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<sst xmlns="http://schemas.openxmlformats.org/spreadsheetml/2006/main" uniqueCount="61288">
  <si>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</si>
  <si>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</si>
  <si>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</si>
  <si>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</si>
  <si>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</si>
  <si>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</si>
  <si>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</si>
  <si>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</si>
  <si>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</si>
  <si>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</si>
  <si>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</si>
  <si>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</si>
  <si>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</si>
  <si>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</si>
  <si>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</si>
  <si>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</si>
  <si>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</si>
  <si>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</si>
  <si>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</si>
  <si>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</si>
  <si>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</si>
  <si>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</si>
  <si>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</si>
  <si>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</si>
  <si>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</si>
  <si>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</si>
  <si>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</si>
  <si>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</si>
  <si>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</si>
  <si>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</si>
  <si>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</si>
  <si>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</si>
  <si>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</si>
  <si>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</si>
  <si>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</si>
  <si>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</si>
  <si>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</si>
  <si>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</si>
  <si>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</si>
  <si>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</si>
  <si>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</si>
  <si>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</si>
  <si>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</si>
  <si>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</si>
  <si>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</si>
  <si>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</si>
  <si>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</si>
  <si>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</si>
  <si>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</si>
  <si>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</si>
  <si>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</si>
  <si>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</si>
  <si>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</si>
  <si>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</si>
  <si>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</si>
  <si>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</si>
  <si>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</si>
  <si>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</si>
  <si>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</si>
  <si>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</si>
  <si>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</si>
  <si>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</si>
  <si>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</si>
  <si>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</si>
  <si>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</si>
  <si>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</si>
  <si>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</si>
  <si>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</si>
  <si>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</si>
  <si>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</si>
  <si>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</si>
  <si>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</si>
  <si>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</si>
  <si>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</si>
  <si>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</si>
  <si>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MBA-ACM</t>
  </si>
  <si>
    <t>2024-2026</t>
  </si>
  <si>
    <t>P24700049</t>
  </si>
  <si>
    <t>AASHIRWAD</t>
  </si>
  <si>
    <t>ASHOKRAO</t>
  </si>
  <si>
    <t>GHUGE</t>
  </si>
  <si>
    <t>Aashirwad Ashokrao Ghuge</t>
  </si>
  <si>
    <t>aashirwadghuge@gmail.com</t>
  </si>
  <si>
    <t>p24700049@student.nicmar.ac.in</t>
  </si>
  <si>
    <t>Male</t>
  </si>
  <si>
    <t>23-Jan-2000</t>
  </si>
  <si>
    <t>Single</t>
  </si>
  <si>
    <t>ENGLISH,HINDI</t>
  </si>
  <si>
    <t>Music</t>
  </si>
  <si>
    <t>A+</t>
  </si>
  <si>
    <t>9657 8471 4368</t>
  </si>
  <si>
    <t>ASHOKRAO GHUGE</t>
  </si>
  <si>
    <t>CIVIL ENGINEER</t>
  </si>
  <si>
    <t>ANJALI GHUGE</t>
  </si>
  <si>
    <t>HOMEMAKER</t>
  </si>
  <si>
    <t>Sector G-22,N-4 Cidco, Near High Court, Chhatrapati Sambhajinagar</t>
  </si>
  <si>
    <t>Aurangabad</t>
  </si>
  <si>
    <t>Maharashtra</t>
  </si>
  <si>
    <t>NA</t>
  </si>
  <si>
    <t>NIRMALA CONVENT HIGH SCHOOL</t>
  </si>
  <si>
    <t>S.S.C BOARD FROM NASHIK/MAHARASHTRA</t>
  </si>
  <si>
    <t>2014-Jun</t>
  </si>
  <si>
    <t>2015-Mar</t>
  </si>
  <si>
    <t>DIPLOMA IN CIVIL ENGINEERING</t>
  </si>
  <si>
    <t xml:space="preserve">MGMS POLYTECHNIC FROM AURANGABAD/MAHARASHTRA </t>
  </si>
  <si>
    <t>2015-Aug</t>
  </si>
  <si>
    <t>2018-Jun</t>
  </si>
  <si>
    <t>DR. BABASAHEB AMBEDKAR TECHNOLOGICAL UNIVERSITY</t>
  </si>
  <si>
    <t xml:space="preserve">SHREEYASH COLLEGE OF ENGINEERING AND TECHNOLOGY FROM AURANGABAD/MAHARASHTRA </t>
  </si>
  <si>
    <t>2019-Sep</t>
  </si>
  <si>
    <t>2022-Aug</t>
  </si>
  <si>
    <t>AutoCAD,MS-Office,Ms-Project,AutoCAD3D,Revit Architecture</t>
  </si>
  <si>
    <t>AJAY PARSHURAM PATHRUT  | TRAINEE ENGINEER | AURANGABAD (CHHATRAPATI SAMBHAJINAGAR)  | Jun 2022 | Jul 2022 | 4 Weeks
ECONSTRUCT DESIGN &amp; BUILD PVT. LTD. | BIM AND PROJECT MANAGEMENT  | BANGALORE  | May 2025 | Jul 2025 | 8 Weeks</t>
  </si>
  <si>
    <t>Project Planning using Microsoft Project
NPTEL Online Certification
Quantity Surveying and Project Billing using MS-Excel
Radhai Organic and Agri Equipments
Champions of Behavioural Science
Klystron 2k17
Revit Architecture
AutoCAD 3D
AutoCAD</t>
  </si>
  <si>
    <t>P24700084</t>
  </si>
  <si>
    <t>VISHNU</t>
  </si>
  <si>
    <t>S</t>
  </si>
  <si>
    <t>NAIR</t>
  </si>
  <si>
    <t>Vishnu S Nair</t>
  </si>
  <si>
    <t>p24700084@student.nicmar.ac.in</t>
  </si>
  <si>
    <t>02-Aug-1997</t>
  </si>
  <si>
    <t>ENGLISH,HINDI,MALAYALAM</t>
  </si>
  <si>
    <t>B+</t>
  </si>
  <si>
    <t>2980 3516 6556</t>
  </si>
  <si>
    <t>SADANANDAN KK</t>
  </si>
  <si>
    <t>RETIRED</t>
  </si>
  <si>
    <t>AJITHA P</t>
  </si>
  <si>
    <t>TEACHER</t>
  </si>
  <si>
    <t>Sreesadanam Pariyarakkal Kavanoor P.o</t>
  </si>
  <si>
    <t>Malappuram</t>
  </si>
  <si>
    <t>Kerala</t>
  </si>
  <si>
    <t>AIRPORT SENIOR SECONDARY SCHOOL</t>
  </si>
  <si>
    <t>MALAPPURAM</t>
  </si>
  <si>
    <t>2012-Jun</t>
  </si>
  <si>
    <t>2013-May</t>
  </si>
  <si>
    <t>2014-Jul</t>
  </si>
  <si>
    <t>2015-May</t>
  </si>
  <si>
    <t>APJ ABDUL KALAM TECHNOLOGICAL UNIVERSITY</t>
  </si>
  <si>
    <t>KOLLAM</t>
  </si>
  <si>
    <t>2016-Aug</t>
  </si>
  <si>
    <t>2021-Nov</t>
  </si>
  <si>
    <t>ms office,others</t>
  </si>
  <si>
    <t>Tron Digital | Marketing Strategist | Kerala | Aug 2023 | Jul 2024 | 0 Years, 11 Months, 7 Days | 0
BYJU | Associate - Business Development | BANGLORE | Apr 2023 | Jul 2023 | 0 Years, 3 Months, 30 Days | 5
Ahalia Group | GRE | Abu dhabi | Dec 2020 | Sep 2022 | 1 Years, 9 Months, 7 Days | 9.6</t>
  </si>
  <si>
    <t>36 month(s)</t>
  </si>
  <si>
    <t>KALPATARU PROJECTS INTERNATIONAL LIMITED | CONTRACTS AND PLANNING INTERN | MUMBAI | May 2025 | Jul 2025 | 8 Weeks</t>
  </si>
  <si>
    <t>Microsoft Excel
Marketing Management
Microsoft project
Advanced planning and scheduling with primavera
Lean Six sigma certification
Power BI
Business analytics with excel</t>
  </si>
  <si>
    <t>P24700184</t>
  </si>
  <si>
    <t>MANE</t>
  </si>
  <si>
    <t>AISHWARYA</t>
  </si>
  <si>
    <t>RAVINDRA</t>
  </si>
  <si>
    <t>Mane Aishwarya Ravindra</t>
  </si>
  <si>
    <t>aishwaryamane2905@gmail.com</t>
  </si>
  <si>
    <t>p24700184@student.nicmar.ac.in</t>
  </si>
  <si>
    <t>Female</t>
  </si>
  <si>
    <t>29-May-2000</t>
  </si>
  <si>
    <t>Married</t>
  </si>
  <si>
    <t>ENGLISH, HINDI,MARATHI</t>
  </si>
  <si>
    <t>Reading</t>
  </si>
  <si>
    <t>8641 3799 0401</t>
  </si>
  <si>
    <t>FARMER</t>
  </si>
  <si>
    <t>ANURADHA</t>
  </si>
  <si>
    <t>HOUSEWIFE</t>
  </si>
  <si>
    <t>At-Kanhergaon, Post-Akole (khu), Tal-Madha, Dist-Solapur</t>
  </si>
  <si>
    <t>Solapur</t>
  </si>
  <si>
    <t>NEW ENGLISH SCHOOL, TEMBHURNI</t>
  </si>
  <si>
    <t>MAHARASHTRA STATE BOARD OF SECONDARY AND HIGHER SECONDARY EDUCATION, PUNE</t>
  </si>
  <si>
    <t>2015-Jun</t>
  </si>
  <si>
    <t>2016-Jun</t>
  </si>
  <si>
    <t>ORCHID JUNIOR COLLEGE, SOLAPUR</t>
  </si>
  <si>
    <t xml:space="preserve">MAHARASHTRA STATE BOARD OF SECONDARY AND HIGHER SECONDARY PUNE, </t>
  </si>
  <si>
    <t>2017-Jun</t>
  </si>
  <si>
    <t>2018-May</t>
  </si>
  <si>
    <t xml:space="preserve">CIVIL </t>
  </si>
  <si>
    <t xml:space="preserve">SHRIRAM INSTITUTE OF ENGINEERING AND TECHNOLOGY (POLY), PANIV. </t>
  </si>
  <si>
    <t>2018-Jul</t>
  </si>
  <si>
    <t>2020-Nov</t>
  </si>
  <si>
    <t>PUNYASHLOK AHILYADEVI HOLAKAR UNIVERSITY, SOLAPUR</t>
  </si>
  <si>
    <t>SHRI VITHAL EDUCATION AND RESEARCH INSTITUTE, COLLEGE OF ENGINEERING, PANDHARPUR</t>
  </si>
  <si>
    <t>2020-Jul</t>
  </si>
  <si>
    <t>2023-Jul</t>
  </si>
  <si>
    <t>AutoCAD,MS Office,Other,REVIT</t>
  </si>
  <si>
    <t>Nyati Engineers &amp; Consultants Pvt. Ltd | I have worked on different type of activities such as planning, finishing, development, some part of MEP | Satara | May 2025 | Jul 2025 | 8 Weeks</t>
  </si>
  <si>
    <t>CCC</t>
  </si>
  <si>
    <t>P24700253</t>
  </si>
  <si>
    <t>KHUTALE</t>
  </si>
  <si>
    <t>JAYKUMAR</t>
  </si>
  <si>
    <t>PRAKASH</t>
  </si>
  <si>
    <t>Khutale Jaykumar Prakash</t>
  </si>
  <si>
    <t>p24700253@student.nicmar.ac.in</t>
  </si>
  <si>
    <t>07-Feb-2001</t>
  </si>
  <si>
    <t>Marathi,hindi,english</t>
  </si>
  <si>
    <t>Reading,Music</t>
  </si>
  <si>
    <t>6105 0905 6606</t>
  </si>
  <si>
    <t xml:space="preserve">PRAKASH MADHUKAR KHUTALE </t>
  </si>
  <si>
    <t>MEENA PRAKASH KHUTALE</t>
  </si>
  <si>
    <t xml:space="preserve">A/p- Khanote, Tal- Daund,  Dist- Pune </t>
  </si>
  <si>
    <t>Pune</t>
  </si>
  <si>
    <t xml:space="preserve">FLAT NO-2108, VTP-ALPINE, MAHALUNGE. </t>
  </si>
  <si>
    <t>BHAIRAVNATH VIDYALAYA BHIGWAN</t>
  </si>
  <si>
    <t>SSC MAHARASHTRA</t>
  </si>
  <si>
    <t>2017-Mar</t>
  </si>
  <si>
    <t>VIDYA PRATISHTHAN'S ARTS, SCIENCE &amp; COMMERCE COLLEGE, BARAMATI COLLEGE IN BARAMATI, MAHARASHTRA</t>
  </si>
  <si>
    <t>HSC MAHARASHTRA</t>
  </si>
  <si>
    <t>2019-Feb</t>
  </si>
  <si>
    <t xml:space="preserve">SAVITRIBAI PHULE PUNE UNIVERSITY </t>
  </si>
  <si>
    <t>SMT KASHIBAI NAVALE COLLEGE OF ARCHITECTURE PUNE MAHARASHTRA</t>
  </si>
  <si>
    <t>2019-Aug</t>
  </si>
  <si>
    <t>2024-Jun</t>
  </si>
  <si>
    <t>BEXCEL,Revit,Cost X,3D VISULIZATION</t>
  </si>
  <si>
    <t>Shitesh Agrawal Architects Pvt.Ltd | Intern (Trainee Architect) | Model Colony, Shivajinagar Pune | Jun 2023 | Dec 2023 | 24 Weeks
Vanguard Ventures | Strategic Business Development (Sales intern) | Mumbai  | Mar 2025 | Jul 2025 | 16 Weeks</t>
  </si>
  <si>
    <t>Participated in competition for designing day to day, interior/exterior spaces on 1ST APRIL, 2023 Geriatric Society Of India.- Pune Chapter
Completed short term course for Medical Architecture for the Elderly in collaboration with Geriatric Society of India in 2023-2024
Fold Unfold 2020- Annual Exhibition &amp; Workshop event on "Architecture &amp; Landscape Architecture"
Startup India- Completed Communication and Confidence Building Course
NPTEL-Ethics in Engineering Practice
Completed Architecture Software Course, by ArchTech Software Training Institute 2023-24
Successfully completed the Finlatics Start-Up Strategist Experience Program. 2025
Digital quality control workshop participation certificate
NPTEL Indian Economy: Some Contemporary Perspectives</t>
  </si>
  <si>
    <t>P24700397</t>
  </si>
  <si>
    <t>RUGVED</t>
  </si>
  <si>
    <t>KISHOR</t>
  </si>
  <si>
    <t>SHEREKAR</t>
  </si>
  <si>
    <t>Rugved Kishor Sherekar</t>
  </si>
  <si>
    <t>p24700397@student.nicmar.ac.in</t>
  </si>
  <si>
    <t>02-Apr-2001</t>
  </si>
  <si>
    <t>Marathi, English,Hindi</t>
  </si>
  <si>
    <t>O+</t>
  </si>
  <si>
    <t>4079 5890 1577</t>
  </si>
  <si>
    <t>GOVERNMENT SERVICE</t>
  </si>
  <si>
    <t>VANDANA</t>
  </si>
  <si>
    <t>Uday Colony No1, Sai Nagar, Amravati, Maharashtra.</t>
  </si>
  <si>
    <t>Amravati</t>
  </si>
  <si>
    <t>1107, B WING VARDHAMAN MOONSTONE, SR NO. 99, OPPOSITE TO JSPM COLLEGE, TATHWADE, PUNE, MAHARASHTRA</t>
  </si>
  <si>
    <t>SHRI SAMARTHA HIGHSCHOOL</t>
  </si>
  <si>
    <t>MAHARASHTRA STATE BOARD OF SECONDARY AND HIGHER SECONDARY EDUCATION , AMRAVATI.</t>
  </si>
  <si>
    <t>CIVIL AND RURAL ENGINEERING</t>
  </si>
  <si>
    <t>DR. PANJABRAO DESHMUKH POLYTECHNIC, AMRAVATI, MAHARASHTRA.</t>
  </si>
  <si>
    <t>2017-Aug</t>
  </si>
  <si>
    <t>SANT GADGE BABA AMRAVATI UNIVERSITY.</t>
  </si>
  <si>
    <t>PROF. RAM MEGHE INSTITUTE OF TECHNOLOGY AND RESEARCH, BADNERA, AMRAVATI, MAHARASHTRA</t>
  </si>
  <si>
    <t>2020-Dec</t>
  </si>
  <si>
    <t>2023-Jun</t>
  </si>
  <si>
    <t>AutoCAD, MS Office, MS Project,Primavera</t>
  </si>
  <si>
    <t>GIRISH NAGPURE &amp; ASSOCIATES | Engineer | Amravati | Jun 2023 | Jun 2024 | 55 Weeks
CAD TECH Ltd. | Engineer | Amravati | Jul 2022 | Aug 2022 | 8 Weeks
BALAJI STRUCTURAL CONSULTANCY | Intern  | Amravati | Aug 2021 | Sep 2021 | 6 Weeks
Pune Metro Rail Corporation | Summer Intern | Pune | May 2025 | Jul 2025 | 8 Weeks</t>
  </si>
  <si>
    <t>AutoCAD (2D+3D)
MS-CIT</t>
  </si>
  <si>
    <t>P24700401</t>
  </si>
  <si>
    <t>ANAND</t>
  </si>
  <si>
    <t>LAXMAN</t>
  </si>
  <si>
    <t>PAWAR</t>
  </si>
  <si>
    <t>Anand Laxman Pawar</t>
  </si>
  <si>
    <t>anandpawar212@gmail.com</t>
  </si>
  <si>
    <t>p24700401@student.nicmar.ac.in</t>
  </si>
  <si>
    <t>22-Sep-1998</t>
  </si>
  <si>
    <t>ENGLISH, HINDI</t>
  </si>
  <si>
    <t>3507 8862 9217</t>
  </si>
  <si>
    <t>LAXMAN RAMHARI PAWAR</t>
  </si>
  <si>
    <t>KALPANA LAXMAN PAWAR</t>
  </si>
  <si>
    <t>At Post Loni Gurav Teh Khamgaon,Dist Buldhan-444303</t>
  </si>
  <si>
    <t>Buldhana</t>
  </si>
  <si>
    <t>NEW VISION ENGLISH HIGH SCHOOL, BALAPUR</t>
  </si>
  <si>
    <t>MAHARASHTRA STATE BOARD OF SECONDARY AND HIGHER SECONDARY BOARD PUNE</t>
  </si>
  <si>
    <t>2012-Jul</t>
  </si>
  <si>
    <t>DIPLOMA IN CIVIL AND RURAL ENGINEERING</t>
  </si>
  <si>
    <t>ACHARYA SHRIMANNARAYAN POLYTECHNIC PIPRI WARDHA</t>
  </si>
  <si>
    <t>2014-Aug</t>
  </si>
  <si>
    <t>UNIVERSITY OF MUMBAI</t>
  </si>
  <si>
    <t>PILLAI HOC COLLEGE OF ENGINEERING AND TECHNOLOGY RASAYANI, PANVEL</t>
  </si>
  <si>
    <t>AutoCAD,MS Office</t>
  </si>
  <si>
    <t>PRISM JOHNSON LIMITED | Sr Executive Assistant | Pune | Apr 2024 | Jul 2024 | 0 Years, 3 Months, 15 Days | 7.00
 NCC Limited | QA/QC Engineer | Mumbai | Nov 2022 | Apr 2024 | 1 Years, 5 Months, 6 Days | 5.05
HCC Limited | QA/QC Engineer | Maharashtra | Jul 2021 | Oct 2022 | 1 Years, 3 Months, 18 Days | 3.00</t>
  </si>
  <si>
    <t>Avia Construction Group Pvt Ltd | Civil Site Engineer | Amravati | Apr 2019 | May 2019 | 5 Weeks
CIDCO | Civil Site Engineer | Navi Mumbai | Jun 2019 | Jul 2019 | 2 Weeks
MILLENNIUM ENGINEERS &amp; CONTRACTORS PVT.LTD. | Planning | Pune | May 2025 | Jul 2025 | 8 Weeks</t>
  </si>
  <si>
    <t>AutoCAD
Primavera P6</t>
  </si>
  <si>
    <t>P24700528</t>
  </si>
  <si>
    <t>NEDURI</t>
  </si>
  <si>
    <t>NESSY</t>
  </si>
  <si>
    <t>CHAND</t>
  </si>
  <si>
    <t>Neduri Nessy Chand</t>
  </si>
  <si>
    <t>ncn.civilengineer@gmail.com</t>
  </si>
  <si>
    <t>p24700528@student.nicmar.ac.in</t>
  </si>
  <si>
    <t>04-Apr-2001</t>
  </si>
  <si>
    <t>English, Telugu</t>
  </si>
  <si>
    <t>Designing</t>
  </si>
  <si>
    <t>8793 8049 7489</t>
  </si>
  <si>
    <t>NEDURI RAJA RAO</t>
  </si>
  <si>
    <t>ADVOCATE</t>
  </si>
  <si>
    <t>NEDURI SUJATHA</t>
  </si>
  <si>
    <t>HOUSE WIFE</t>
  </si>
  <si>
    <t>D.NO 3-30,RAAVI CHETTU STREET, Z.MEDAPADU, MANDAPETA MANDAL.</t>
  </si>
  <si>
    <t>Konaseema</t>
  </si>
  <si>
    <t>Andhra Pradesh</t>
  </si>
  <si>
    <t>SRI CHAITANYA ENGLISH MEDIUM</t>
  </si>
  <si>
    <t>ANDHRAPRADESH BOARD</t>
  </si>
  <si>
    <t>2016-Apr</t>
  </si>
  <si>
    <t>SRI GAYATRI JUNIOR COLLEGE</t>
  </si>
  <si>
    <t>2018-Mar</t>
  </si>
  <si>
    <t>JAWAHARLAL NEHRU TECHNOLOGICAL UNIVERSITY</t>
  </si>
  <si>
    <t>SASI INSTITUTE OF TECHNOLOGY AND ENGINEERING</t>
  </si>
  <si>
    <t>2022-Jun</t>
  </si>
  <si>
    <t>AutoCAD,MS Office,MS Project,Primavera,Other,BIM</t>
  </si>
  <si>
    <t>A1 Projects | Site Engineer | Visakhapatnam | Apr 2023 | May 2024 | 1 Years, 1 Months, 0 Days | 2.04</t>
  </si>
  <si>
    <t>13 month(s)</t>
  </si>
  <si>
    <t>MADHURI ENGINEERS AND CONSTRUCTIONS | QUALITY ENGINEER | PUNE | May 2025 | Jul 2025 | 8 Weeks</t>
  </si>
  <si>
    <t>Udemy ( Basics of Construction Methodology )
RS &amp; GIS</t>
  </si>
  <si>
    <t>P24700529</t>
  </si>
  <si>
    <t>AASHISH</t>
  </si>
  <si>
    <t>BHALERAO</t>
  </si>
  <si>
    <t>Aashish Bhalerao</t>
  </si>
  <si>
    <t>theashish0710@gmail.com</t>
  </si>
  <si>
    <t>p24700529@student.nicmar.ac.in</t>
  </si>
  <si>
    <t>05-Nov-2000</t>
  </si>
  <si>
    <t>MARATHI, HINDI</t>
  </si>
  <si>
    <t>3684 6338 5924</t>
  </si>
  <si>
    <t xml:space="preserve">SHESHARAJ </t>
  </si>
  <si>
    <t>PEON</t>
  </si>
  <si>
    <t>ANITA</t>
  </si>
  <si>
    <t xml:space="preserve">HOUSEWIFE </t>
  </si>
  <si>
    <t xml:space="preserve">At Post - Chinawal, Tal - Raver, Dist- Jalgaon, MH </t>
  </si>
  <si>
    <t>Jalgaon</t>
  </si>
  <si>
    <t xml:space="preserve">201, SINHGAD VRINDAVAN, NEAR SINHGAD LAW COLLEGE, WADGAON CAMPUS, PUNE, MH </t>
  </si>
  <si>
    <t xml:space="preserve">JAWAHAR NAVODAYA VIDYALAYA, JALGAON, MH </t>
  </si>
  <si>
    <t>CENTRAL BOARD OF SECONDARY EDUCATION</t>
  </si>
  <si>
    <t>2019-May</t>
  </si>
  <si>
    <t>SINHGAD COLLEGE OF ARCHITECTURE, PUNE, MH</t>
  </si>
  <si>
    <t>2019-Jul</t>
  </si>
  <si>
    <t>AutoCAD,MS Office,MS Project,Primavera,Other,SketchUp</t>
  </si>
  <si>
    <t>SMJ ARCHITECTS AND INTERIOR DESIGNERS | INTERN | KOTHRUD, PUNE | Jun 2023 | Dec 2023 | 25 Weeks
N. V. RATHOD CIVIL ENGINEER &amp; GOVT CONTRACTOR | PLANNING INTERN | LATUR, MH | May 2025 | Jul 2025 | 8 Weeks</t>
  </si>
  <si>
    <t>P24700537</t>
  </si>
  <si>
    <t>BHUSHAN</t>
  </si>
  <si>
    <t>RAMDAS</t>
  </si>
  <si>
    <t>INGLE</t>
  </si>
  <si>
    <t>Bhushan Ramdas Ingle</t>
  </si>
  <si>
    <t>inglebhushan95@gmail.com</t>
  </si>
  <si>
    <t>p24700537@student.nicmar.ac.in</t>
  </si>
  <si>
    <t>07-Apr-1995</t>
  </si>
  <si>
    <t>English, Marathi</t>
  </si>
  <si>
    <t>Trekking</t>
  </si>
  <si>
    <t>2817 8226 1690</t>
  </si>
  <si>
    <t>RAMDAS INGLE</t>
  </si>
  <si>
    <t>FARMING</t>
  </si>
  <si>
    <t>ASHA INGLE</t>
  </si>
  <si>
    <t>B/20 Emerald Enclave, Akoli Khurd,</t>
  </si>
  <si>
    <t>Akola</t>
  </si>
  <si>
    <t>JUBILEE ENGLISH HIGH SCHOOL</t>
  </si>
  <si>
    <t>MAHARASHTRA STATE BOARD OF SECONDARY AND HIGHER SECONDARY SCHOOL, PUNE</t>
  </si>
  <si>
    <t>2010-May</t>
  </si>
  <si>
    <t>2011-Mar</t>
  </si>
  <si>
    <t>BHONSLA POLYTECHNIC</t>
  </si>
  <si>
    <t>2011-Jul</t>
  </si>
  <si>
    <t>SANT GADGE BABA AMRAVATI UNIVERSITY</t>
  </si>
  <si>
    <t>BHONSLA COLLEGE OF ENGINEERING AND RESEARCH, AKOLA</t>
  </si>
  <si>
    <t>2015-Jul</t>
  </si>
  <si>
    <t>AutoCAD,MS Office,MS Project,Primavera,Other</t>
  </si>
  <si>
    <t>Vision Infrastructure | Civil Engineer | Maharashtra | Feb 2021 | Jan 2024 | 2 Years, 11 Months, 8 Days | 3.0</t>
  </si>
  <si>
    <t>35 month(s)</t>
  </si>
  <si>
    <t>SS CONSTRUCTION &amp; GOVT. CONTRACTOR | PROJECT MANAGMENT INTERN | AKOLA | May 2025 | Jul 2025 | 8 Weeks</t>
  </si>
  <si>
    <t>P24700624</t>
  </si>
  <si>
    <t>AKSHAY</t>
  </si>
  <si>
    <t>DHANAJI</t>
  </si>
  <si>
    <t>YADAV</t>
  </si>
  <si>
    <t>Akshay Dhanaji Yadav</t>
  </si>
  <si>
    <t>ay4051592@gmail.com</t>
  </si>
  <si>
    <t>p24700624@student.nicmar.ac.in</t>
  </si>
  <si>
    <t>15-May-2002</t>
  </si>
  <si>
    <t>English,Hindi</t>
  </si>
  <si>
    <t>AB+</t>
  </si>
  <si>
    <t>7306 5755 6879</t>
  </si>
  <si>
    <t>NANDINI</t>
  </si>
  <si>
    <t>A/P Tavashi, Tal-Pandharpur</t>
  </si>
  <si>
    <t>SADHANA VIDHYALAYA TAVASHI</t>
  </si>
  <si>
    <t>PANDHARPUR</t>
  </si>
  <si>
    <t>B.H.CHATE JR.COLLEGE,GAUD-DARA,PUNE</t>
  </si>
  <si>
    <t>SECONDARY AND HIGHER SECONDARY EDUCATION, PUNE</t>
  </si>
  <si>
    <t>2019-Jan</t>
  </si>
  <si>
    <t>2020-Feb</t>
  </si>
  <si>
    <t>SAVITRIBAI PHULE PUNE UNIVERSITY</t>
  </si>
  <si>
    <t>AISSMS COLLEGE OF ENGINEERING ,PUNE</t>
  </si>
  <si>
    <t>2021-Jan</t>
  </si>
  <si>
    <t>AutoCAD,MS Office,MS Project</t>
  </si>
  <si>
    <t>Sobha Limited-India | Construction Management Trainee | Gurugram | May 2025 | Jul 2025 | 8 Weeks</t>
  </si>
  <si>
    <t>P24700701</t>
  </si>
  <si>
    <t>MIHIR</t>
  </si>
  <si>
    <t>MAHENDRA</t>
  </si>
  <si>
    <t>BHALGAT</t>
  </si>
  <si>
    <t>Mihir Mahendra Bhalgat</t>
  </si>
  <si>
    <t>mbhalgat07@gmail.com</t>
  </si>
  <si>
    <t>p24700701@student.nicmar.ac.in</t>
  </si>
  <si>
    <t>16-Dec-2000</t>
  </si>
  <si>
    <t>HINDI, ENGLISH</t>
  </si>
  <si>
    <t>Playing cricket</t>
  </si>
  <si>
    <t>3134 9593 2393</t>
  </si>
  <si>
    <t>BUSINESS MAN</t>
  </si>
  <si>
    <t>Indira Market Road, In Front Of Axis Bank, Malgujaripura, Wardha</t>
  </si>
  <si>
    <t>Wardha</t>
  </si>
  <si>
    <t>BHALGAT MIHIR MAHENDRA</t>
  </si>
  <si>
    <t>CENTRAL BOARD OF SECONDARY EDUCATION WARDHA MAHARASHTRA</t>
  </si>
  <si>
    <t>ACHARYA SHRIMANNARAYAN POLYTECHNIC PIPRI, WARDHA MAHARASHTRA</t>
  </si>
  <si>
    <t>2017-Jul</t>
  </si>
  <si>
    <t>DR. BABASAHEB AMBEDKAR TECHNOLOGICAL UNIVERSITY, LONERE RAIGAD MAHARASHTRA</t>
  </si>
  <si>
    <t>BAJAJ INSTITUTE OF TECHNOLOGY, WARDHA MAHARASHTRA</t>
  </si>
  <si>
    <t>2023-Aug</t>
  </si>
  <si>
    <t>AutoCAD,MS Office,MS Project,Other,REVIT</t>
  </si>
  <si>
    <t>AVANISH GROUP RAIPUR | CIVIL INTERNSHIP | RAIPUR | Mar 2023 | Aug 2023 | 21 Weeks
J.P ENTERPRISES | ROAD WORKS | WARDHA | Apr 2019 | Jun 2019 | 8 Weeks
PRESTIGE ENCLAVE PVT. LTD | CONSTRUCTION FIRM | WARDHA | Nov 2023 | Apr 2024 | 21 Weeks
NEW CONSOLIDATED CONSTRUCTION CO. LTD. | SITE EXECUTION | MUMBAI | May 2025 | Jul 2025 | 8 Weeks</t>
  </si>
  <si>
    <t>INTRODUCTION TO STRUCTURAL ANALYSIS SOFTWARE
REVIT ARCHITECTURE</t>
  </si>
  <si>
    <t>P24700707</t>
  </si>
  <si>
    <t>TANAY</t>
  </si>
  <si>
    <t>VIJAY</t>
  </si>
  <si>
    <t>KAPSE</t>
  </si>
  <si>
    <t>Tanay Vijay Kapse</t>
  </si>
  <si>
    <t>kapsetanay30@gmail.com</t>
  </si>
  <si>
    <t>p24700707@student.nicmar.ac.in</t>
  </si>
  <si>
    <t>30-Dec-2002</t>
  </si>
  <si>
    <t xml:space="preserve">ENGLISH , HINDI </t>
  </si>
  <si>
    <t>Photography,Chess,Video Editing</t>
  </si>
  <si>
    <t>5875 2657 6942</t>
  </si>
  <si>
    <t>VIJAY KAPSE</t>
  </si>
  <si>
    <t xml:space="preserve">ASSOCIATE PROFESSOR </t>
  </si>
  <si>
    <t>PRARTHANA KAPSE</t>
  </si>
  <si>
    <t>8/3,Sudhavihar Apartment ,Wanjari Nagar ,Nagpur</t>
  </si>
  <si>
    <t>Nagpur</t>
  </si>
  <si>
    <t>MONTFORT SENIOR SECONDARY SCHOOL</t>
  </si>
  <si>
    <t>NAGPUR,MAHARASHTRA</t>
  </si>
  <si>
    <t>ST.XAVIER'S HIGH SCHOOL HINGNA</t>
  </si>
  <si>
    <t>2019-Mar</t>
  </si>
  <si>
    <t>RASHTRASANT TUKADOJI MAHARAJ NAGPUR UNIVERSITY</t>
  </si>
  <si>
    <t>YESHWANTRAO CHAVAN COLLEGE OF ENGINEERING, NAGPUR ,MAHARASHTRA</t>
  </si>
  <si>
    <t>2020-May</t>
  </si>
  <si>
    <t>2024-May</t>
  </si>
  <si>
    <t xml:space="preserve">AutoCAD,MS Project,Primavera,Revit </t>
  </si>
  <si>
    <t>DR. SWAPNIL WANJARI (ASSOCIATE PROFESSOR AT VNIT NAGPUR) | TRAINEE AND SITE ENGINEER | NAGPUR | Jan 2024 | Apr 2024 | 17 Weeks
Impact Infraheights Pvt. Ltd. | Procurement team and Project Coordinator | Pune | May 2025 | Jul 2025 | 7 Weeks</t>
  </si>
  <si>
    <t>P24700768</t>
  </si>
  <si>
    <t>SAKSHI</t>
  </si>
  <si>
    <t>DAYANAND</t>
  </si>
  <si>
    <t>SHIRAL</t>
  </si>
  <si>
    <t>Sakshi Dayanand Shiral</t>
  </si>
  <si>
    <t>sakshidshiral80@gmail.com</t>
  </si>
  <si>
    <t>p24700768@student.nicmar.ac.in</t>
  </si>
  <si>
    <t>31-Aug-2001</t>
  </si>
  <si>
    <t>Travelling,Drawing,Listening Music,Dancing</t>
  </si>
  <si>
    <t>5708 9466 3657</t>
  </si>
  <si>
    <t>DAYANAND SHIRAL</t>
  </si>
  <si>
    <t>SANGITA SHIRAL</t>
  </si>
  <si>
    <t>138/4 Jijau Nagar Barshi Naka, Osmanabad</t>
  </si>
  <si>
    <t>Osmanabad</t>
  </si>
  <si>
    <t>SHRIPATRAO BHOSALE HIGHSCHOOL, OSMANABAD</t>
  </si>
  <si>
    <t xml:space="preserve">MAHARASHTRA STATE BOARD OF SECONDARY AND HIGHER SECONDARY EDUCATION, PUNE, MAHARASHTRA </t>
  </si>
  <si>
    <t>SHRIPATRAO BHOSALE JUNIOR COLLEGE , OSMANABAD</t>
  </si>
  <si>
    <t>2019-Jun</t>
  </si>
  <si>
    <t>CIVIL ENGINEERING</t>
  </si>
  <si>
    <t xml:space="preserve">A.G. PATIL POLYTECHNIC INSTITUTE, SOLAPUR, MAHARASHTRA </t>
  </si>
  <si>
    <t>2021-Aug</t>
  </si>
  <si>
    <t>PUNYASHLOK AHILYADEVI HOLKAR SOLAPUR UNIVERSITY, SOLAPUR</t>
  </si>
  <si>
    <t xml:space="preserve">WALCHAND INSTITUTE TECHNOLOGY (WIT), SOLAPUR, MAHARASHTRA </t>
  </si>
  <si>
    <t>AutoCAD,MS Office,MS Project,Primavera,RIB CostX,Revit,BEXEL MANAGER</t>
  </si>
  <si>
    <t>Rajeshri Developers | Vocational Trainee | Jule Solapur, Solapur | Mar 2023 | Mar 2023 | 2 Weeks
New Consolidated Construction Co. Ltd. | Site Execution, Planning and Project Co-ordination | Mumbai | May 2025 | Jul 2025 | 8 Weeks</t>
  </si>
  <si>
    <t>2025-2027</t>
  </si>
  <si>
    <t>P25700031</t>
  </si>
  <si>
    <t>AKHIL</t>
  </si>
  <si>
    <t>RAJABOINA</t>
  </si>
  <si>
    <t>Akhil Rajaboina</t>
  </si>
  <si>
    <t>akhilrajaboina.ce@gmail.com</t>
  </si>
  <si>
    <t>p25700031@student.nicmar.ac.in</t>
  </si>
  <si>
    <t>24-May-2001</t>
  </si>
  <si>
    <t>Telugu, English, Hindi</t>
  </si>
  <si>
    <t>O+ve</t>
  </si>
  <si>
    <t>3872 9242 9817</t>
  </si>
  <si>
    <t>RAJU</t>
  </si>
  <si>
    <t>RAMA</t>
  </si>
  <si>
    <t>1-30/2, Vill: Shayampet (H), Mdl: Geesugonda, Dist: Warangal, Telangana, India - 506330.</t>
  </si>
  <si>
    <t>Warangal</t>
  </si>
  <si>
    <t>Telangana</t>
  </si>
  <si>
    <t>Z P P SECONDARY SCHOOL DHARMARAM</t>
  </si>
  <si>
    <t>BOARD OF SECONDARY EDUCATION, TELANGANA</t>
  </si>
  <si>
    <t>RAJIV GANDHI UNIVERSITY OF KNOWLEDGE TECHNOLOGIES, BASAR</t>
  </si>
  <si>
    <t>Science (PCM)</t>
  </si>
  <si>
    <t>Bachelor of Technology (B.Tech)</t>
  </si>
  <si>
    <t>Civil Engineering</t>
  </si>
  <si>
    <t>2020-Jun</t>
  </si>
  <si>
    <t>AutoCAD,MS Office,MS Project,Primavera,Power BI,STAAD.Pro,CostX,Revit</t>
  </si>
  <si>
    <t>Navayuga Engineering Company Limited | Project Monitoring and Control | Silkyara - Barkot, Uttarakhand | Jul 2024 | Jun 2025 | 0 Years, 11 Months, 19 Days | 3.1</t>
  </si>
  <si>
    <t>11 month(s)</t>
  </si>
  <si>
    <t>Masin Projects Private Limited | Delay/Quantum | Mumbai | May 2026 | Jul 2026 | 8 Weeks | Campus Internship
Roads and Buildings Department, Telangana State | Site Supervision | Nizamabad, Telangana State | May 2023 | Jun 2023 | 5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</si>
  <si>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</si>
  <si>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P25700556</t>
  </si>
  <si>
    <t>POOJITHA SAI</t>
  </si>
  <si>
    <t>BASATI</t>
  </si>
  <si>
    <t>Poojitha Sai Basati</t>
  </si>
  <si>
    <t>poojithasaibasati@gmail.com</t>
  </si>
  <si>
    <t>p25700556@student.nicmar.ac.in</t>
  </si>
  <si>
    <t>23-Oct-2003</t>
  </si>
  <si>
    <t>A+ve</t>
  </si>
  <si>
    <t>4432 8553 1307</t>
  </si>
  <si>
    <t>BASATI KOTESWARA RAO</t>
  </si>
  <si>
    <t>GOVT TEACHER</t>
  </si>
  <si>
    <t>YADAVALLI VS PARVATHI</t>
  </si>
  <si>
    <t>1-48/2 Seetha Gardens,sanivarapu Peta 534003_x000D_
Eluru,Andhra Pradesh</t>
  </si>
  <si>
    <t>Eluru</t>
  </si>
  <si>
    <t>BHASHYAM E/M HIGH SCHOOL, N.R PET ELURU</t>
  </si>
  <si>
    <t>BOARD OF SECONDARY EDUCATION ANDHRA PRADESH, INDIA</t>
  </si>
  <si>
    <t>2018-Apr</t>
  </si>
  <si>
    <t>ADITYA JUNIOR COLLEGE , PUNADIPADU ANDHRA PRADESH</t>
  </si>
  <si>
    <t>BOARD OF INTERMEDIATE EDUCATION , ANDHRA PRADESH INDIA</t>
  </si>
  <si>
    <t>ACHARYA NAGARJUNA UNIVERSITY</t>
  </si>
  <si>
    <t>R.V.R &amp; J.C COLLEGE OF ENGINEERING , CHOWDAVARAM ANDHRA PRADESH</t>
  </si>
  <si>
    <t>AutoCAD,MS Office,MS Project,Primavera,Project documentation,Scheduling basics,Report preparation</t>
  </si>
  <si>
    <t>Godrej Properties Limited | Operations - Intern | Bangalore | May 2026 | Jul 2026 | 8 Weeks | Campus Internship
SV ASSOCIATES PATTABHIPURAM, GUNTUR 522006 | PLANNING &amp; DESIGNING | GUNTUR | Jan 2024 | May 2024 | 16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</si>
  <si>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</si>
  <si>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P25700173</t>
  </si>
  <si>
    <t>BHAVISHA</t>
  </si>
  <si>
    <t>MANOJ</t>
  </si>
  <si>
    <t>BORDE</t>
  </si>
  <si>
    <t>Bhavisha Manoj Borde</t>
  </si>
  <si>
    <t>bhavishamborde@gmail.com</t>
  </si>
  <si>
    <t>p25700173@student.nicmar.ac.in</t>
  </si>
  <si>
    <t>14-Nov-1999</t>
  </si>
  <si>
    <t>English, Hindi, Marathi, Marawadi.</t>
  </si>
  <si>
    <t>B+ve</t>
  </si>
  <si>
    <t>8653 8712 2679</t>
  </si>
  <si>
    <t>MANOJ BORDE</t>
  </si>
  <si>
    <t>LIASONING OFFICER</t>
  </si>
  <si>
    <t>NISHA BORDE</t>
  </si>
  <si>
    <t>A/30 SINDHU KUNJ, GAURAKSHAN ROAD , AKOLA</t>
  </si>
  <si>
    <t>MOUNT CARMEL SECONDARY AND HIGHERSECONDARY SCHOOL</t>
  </si>
  <si>
    <t>MAHARASHTRA STATE BOARD, AMRAVATI DIVISIONAL BOARD, PUNE</t>
  </si>
  <si>
    <t>2014-Mar</t>
  </si>
  <si>
    <t>LATE JYOTI JANOLKAR COLLEGE , AKOLA.</t>
  </si>
  <si>
    <t>2016-Feb</t>
  </si>
  <si>
    <t>2017-Feb</t>
  </si>
  <si>
    <t>SAVITRIBAI PHULE UNIVERSITY ,PUNE</t>
  </si>
  <si>
    <t>SB PATIL COLLEGE OF ARCHITECTURE AND DESIGN.</t>
  </si>
  <si>
    <t>2022-Apr</t>
  </si>
  <si>
    <t>AutoCAD, MS Office, MS Project, Primavera, Revit, Navisworks, Autodesk contruction cloud, Power BI, RIB CostX, GAMMA AR, Bexel Manager</t>
  </si>
  <si>
    <t>10D Design Services, Pune | BIM Consultant | Hyderabad | Apr 2024 | Jun 2025 | 1 Years, 2 Months, 29 Days | 3.6
Godha Design Hub | Jr. Architect | Hyderabad | Oct 2022 | Mar 2024 | 1 Years, 5 Months, 13 Days | 3</t>
  </si>
  <si>
    <t>32 month(s)</t>
  </si>
  <si>
    <t>Cushman &amp; Wakefield | Intern- Strategic Consulting | Gurgaon | May 2026 | Jun 2026 | 7 Weeks | Campus Internship
Rennu Khanna Associates,Chandigarh | Intern Architect | Chandigarh | Jun 2021 | Nov 2021 | 25 Weeks</t>
  </si>
  <si>
    <t>Diploma in Architecture Softwares
Finance for Non Financial Managers
CFI- Corporate Finance Foundations Professional Certificate 
CFI- Introduction to Business Valuation 
CFI- Real Estate Fundamentals 
CFI- How to read a Commercial Real-Estate Appraisal</t>
  </si>
  <si>
    <t>P25700279</t>
  </si>
  <si>
    <t>DAKSH</t>
  </si>
  <si>
    <t>PRATAP</t>
  </si>
  <si>
    <t>SINGH</t>
  </si>
  <si>
    <t>Daksh Pratap Singh</t>
  </si>
  <si>
    <t>er.singh.p.21@gmail.com</t>
  </si>
  <si>
    <t>p25700279@student.nicmar.ac.in</t>
  </si>
  <si>
    <t>04-Mar-2004</t>
  </si>
  <si>
    <t>Hindi, English, Bhojpuri, German</t>
  </si>
  <si>
    <t>Badminton,Notetaking,Cooking</t>
  </si>
  <si>
    <t>6813 4831 0819</t>
  </si>
  <si>
    <t>MANOJ KUMAR SINGH</t>
  </si>
  <si>
    <t>GOVERNMENT EMPLOYEE</t>
  </si>
  <si>
    <t>SADHANA SINGH</t>
  </si>
  <si>
    <t>HOME MAKER</t>
  </si>
  <si>
    <t>Ii/6/c, Irrigation Colony, Tulsisagar, New Church Compound</t>
  </si>
  <si>
    <t>Ghazipur</t>
  </si>
  <si>
    <t>Uttar Pradesh</t>
  </si>
  <si>
    <t>SHAH FAIZ PUBLIC SCHOOL</t>
  </si>
  <si>
    <t>CENTRAL BOARD OF SECONDAY EDUCATION</t>
  </si>
  <si>
    <t>2019-Apr</t>
  </si>
  <si>
    <t>CITY INTERNATIONAL SCHOOL</t>
  </si>
  <si>
    <t>2021-Jul</t>
  </si>
  <si>
    <t>VELLORE INSTITUTE OF TECHNOLOGY</t>
  </si>
  <si>
    <t>VELLORE INSTITUTE OF TECHNOLOGY WITH VELLORE</t>
  </si>
  <si>
    <t>2021-Sep</t>
  </si>
  <si>
    <t>2025-May</t>
  </si>
  <si>
    <t>MS Office,Power BI,MS Project,Revit,Plaxis,AutoDesk Insight</t>
  </si>
  <si>
    <t>KPMG India | Business Consulting Inter | Gurugram, India | May 2026 | Jun 2026 | 7 Weeks | Campus Internship
GOLDEN PACIFIC TRAD. &amp; CONT. L.L.C. | CONSTRUCTION MANAGEMENT INTERN | MUSCAT, OMAN | May 2025 | Jun 2025 | 8 Weeks
IRRIGATION &amp; WATER RESOURCES DEPARTMENT | CIVIL ENGINEERING INTERN | GHAZIPUR | Aug 2023 | Sep 2023 | 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</si>
  <si>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</si>
  <si>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P25700226</t>
  </si>
  <si>
    <t>DINESH KARTHI</t>
  </si>
  <si>
    <t>M M</t>
  </si>
  <si>
    <t>Dinesh Karthi M M</t>
  </si>
  <si>
    <t>mmdineshkarthi@gmail.com</t>
  </si>
  <si>
    <t>p25700226@student.nicmar.ac.in</t>
  </si>
  <si>
    <t>13-Dec-2001</t>
  </si>
  <si>
    <t>English, Tamil, Hindi</t>
  </si>
  <si>
    <t>5567 2198 0913</t>
  </si>
  <si>
    <t>MURUGAN K</t>
  </si>
  <si>
    <t>MANJULA M</t>
  </si>
  <si>
    <t>6/5/75, Main Road, Near Police Station, Kannivadi.</t>
  </si>
  <si>
    <t>Dindigul</t>
  </si>
  <si>
    <t>Tamil Nadu</t>
  </si>
  <si>
    <t>LOURDE MATHA CONVENT MAT HR SEC SCHOOL UDUMALPET TIRUPPUR</t>
  </si>
  <si>
    <t>STATE BOARD OF SCHOOL EXAMINATIONS, TAMIL NADU</t>
  </si>
  <si>
    <t>2017-May</t>
  </si>
  <si>
    <t>SRI LATHANGI VIDHYA MANDIR MATRIC HR SEC SCHOOL T KOTTAMPATTI POLLACHI</t>
  </si>
  <si>
    <t>Science (PCMB)</t>
  </si>
  <si>
    <t>ANNA UNIVERSITY</t>
  </si>
  <si>
    <t>PSNA COLLEGE OF ENGINEERING AND TECHNOLOGY, DINDIGUL</t>
  </si>
  <si>
    <t>Bachelor of Engineering (B.E.)</t>
  </si>
  <si>
    <t>2023-Apr</t>
  </si>
  <si>
    <t>MS Office,MS Project,Primavera,BIM,PowerBI,AutoCAD</t>
  </si>
  <si>
    <t>URC Construction (P) Ltd | Assistant Planning Engineer | Delhi and Hosur | Jun 2023 | May 2025 | 1 Years, 11 Months, 22 Days | 2.52</t>
  </si>
  <si>
    <t>23 month(s)</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</si>
  <si>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</si>
  <si>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</si>
  <si>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P25700221</t>
  </si>
  <si>
    <t>JITHIN</t>
  </si>
  <si>
    <t>M</t>
  </si>
  <si>
    <t>Jithin M</t>
  </si>
  <si>
    <t>jithinm.mail@gmail.com</t>
  </si>
  <si>
    <t>p25700221@student.nicmar.ac.in</t>
  </si>
  <si>
    <t>10-Nov-2002</t>
  </si>
  <si>
    <t>English, Hindi, Malayalam</t>
  </si>
  <si>
    <t>Long Distance Running,Reading</t>
  </si>
  <si>
    <t>5536 1485 3909</t>
  </si>
  <si>
    <t>BALAKRISHNAN A</t>
  </si>
  <si>
    <t>AGRICULTURE</t>
  </si>
  <si>
    <t>SREEJA M</t>
  </si>
  <si>
    <t xml:space="preserve">Parambath House, Kallanchira , Balal P.O, Kasargod, Kerala </t>
  </si>
  <si>
    <t>Kasaragod</t>
  </si>
  <si>
    <t>ST. JUDE'S H S S VELLARIKUNDU</t>
  </si>
  <si>
    <t>GENERAL EDUCATION DEPARTMENT KERALA</t>
  </si>
  <si>
    <t>BOARD OF HIGHER SECONDARY EXAMINATIONS KERALA</t>
  </si>
  <si>
    <t>2020-Mar</t>
  </si>
  <si>
    <t>APJ ABDUL KALAM TECHNOLOGICAL UNIVERSITY, KERALA</t>
  </si>
  <si>
    <t>COLLEGE OF ENGINEERING TRIVANDRUM, KERALA</t>
  </si>
  <si>
    <t>2021-Oct</t>
  </si>
  <si>
    <t>2025-Apr</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</si>
  <si>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</si>
  <si>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</si>
  <si>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</si>
  <si>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P25700199</t>
  </si>
  <si>
    <t>MOHIT</t>
  </si>
  <si>
    <t>KAKDE</t>
  </si>
  <si>
    <t>Mohit Kakde</t>
  </si>
  <si>
    <t>mohitkakde199@gmail.com</t>
  </si>
  <si>
    <t>p25700199@student.nicmar.ac.in</t>
  </si>
  <si>
    <t>23-Sep-2000</t>
  </si>
  <si>
    <t>English, Hindi, Marathi</t>
  </si>
  <si>
    <t>4866 0472 2489</t>
  </si>
  <si>
    <t>VASANT KAKDE</t>
  </si>
  <si>
    <t>BANKER (RETD.)</t>
  </si>
  <si>
    <t>CHANDA KAKDE</t>
  </si>
  <si>
    <t>Behind Jajoo Hospital , Datta Mandir Ward,Warora</t>
  </si>
  <si>
    <t>Chandrapur</t>
  </si>
  <si>
    <t>ST. ANNE'S PUBLIC SCHOOL,WARORA</t>
  </si>
  <si>
    <t>CENTRAL BOARD OF SECONDARY EDUCATION ,DELHI</t>
  </si>
  <si>
    <t>2016-May</t>
  </si>
  <si>
    <t>SHRI JAYANTRAO WANJARI JUNIOR COLLEGE,WADODA</t>
  </si>
  <si>
    <t>MAHARASHTRA STATE BOARD OF SECONDARY AND HIGHER SECONDARY EDUCATION,PUNE</t>
  </si>
  <si>
    <t>SAVITRIBAI PHULE PUNE UNIVERSITY,PUNE</t>
  </si>
  <si>
    <t>K.K WAGH INSTITUTE OF ENGINEERING EDUCATION AND RESEARCH,NASHIK</t>
  </si>
  <si>
    <t>2022-May</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</si>
  <si>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</si>
  <si>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</si>
  <si>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</si>
  <si>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P25700377</t>
  </si>
  <si>
    <t>RAMAN</t>
  </si>
  <si>
    <t>RACHIT</t>
  </si>
  <si>
    <t>Raman Rachit</t>
  </si>
  <si>
    <t>ramanrachit08@gmail.com</t>
  </si>
  <si>
    <t>p25700377@student.nicmar.ac.in</t>
  </si>
  <si>
    <t>20-Sep-2000</t>
  </si>
  <si>
    <t>6129 0457 7739</t>
  </si>
  <si>
    <t>SHASHI RANJAN</t>
  </si>
  <si>
    <t>SERVICE</t>
  </si>
  <si>
    <t>KUMARI NISHA</t>
  </si>
  <si>
    <t>S/O- Shashi Ranjan,H.No-78,Hathwa Enclave,OPP Bata Petrol Pump, Ramjeechak,Digha,Patna</t>
  </si>
  <si>
    <t>Patna</t>
  </si>
  <si>
    <t>Bihar</t>
  </si>
  <si>
    <t>JAGAT MISSION SR SEC SCHOOL KHAGAUL</t>
  </si>
  <si>
    <t>CBSE- PATNA/BIHAR</t>
  </si>
  <si>
    <t>PRIVATE CANDIDATE</t>
  </si>
  <si>
    <t>CBSE-PATNA/BIHAR</t>
  </si>
  <si>
    <t>GRAPHIC ERA DEEMED TO BE UNIVERSITY</t>
  </si>
  <si>
    <t>GRAPHIC ERA DEEMED TO BE UNIVERSITY- DEHRADUN/UTTRAKHAND</t>
  </si>
  <si>
    <t>AutoCAD,MS Office,MS Project,Primavera,ETABS,MSP,Primavera,Costx</t>
  </si>
  <si>
    <t>M4 Solution Pvt Ltd | Civil Engineer | Ghaziabad | Feb 2025 | May 2025 | 0 Years, 3 Months, 30 Days | 4.28
T&amp;M Consulting Private Limited | Civil Engineer | Gurgaon | Nov 2024 | Jan 2025 | 0 Years, 2 Months, 17 Days | 4.08</t>
  </si>
  <si>
    <t>6 month(s)</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</si>
  <si>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</si>
  <si>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</si>
  <si>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P25700102</t>
  </si>
  <si>
    <t>RIDHDHISH</t>
  </si>
  <si>
    <t>ATUL</t>
  </si>
  <si>
    <t>MALDE</t>
  </si>
  <si>
    <t>Ridhdhish Atul Malde</t>
  </si>
  <si>
    <t>ridhdhish.malde@gmail.com</t>
  </si>
  <si>
    <t>p25700102@student.nicmar.ac.in</t>
  </si>
  <si>
    <t>18-Oct-2001</t>
  </si>
  <si>
    <t>HINDI, ENGLISH ,GUJARATI ,MARATHI ,KUTCHI</t>
  </si>
  <si>
    <t>B-ve</t>
  </si>
  <si>
    <t>3592 2116 9277</t>
  </si>
  <si>
    <t>DEVELOPER</t>
  </si>
  <si>
    <t>PRIYA</t>
  </si>
  <si>
    <t>6/A Yogi Raj Park ,Opposite City Palace ,Tithal-road ,Valsad ,Gujarat.</t>
  </si>
  <si>
    <t>Valsad</t>
  </si>
  <si>
    <t>Gujarat</t>
  </si>
  <si>
    <t>ATUL VIDYALAYA</t>
  </si>
  <si>
    <t>INDIAN CERTIFICATE OF SECONDARY EDUCATION ,NEW DELHI</t>
  </si>
  <si>
    <t>INDIAN SCHOOL CERTIFICATE , NEW DELHI</t>
  </si>
  <si>
    <t>MUMBAI UNIVERSITY</t>
  </si>
  <si>
    <t>DR. BALIRAM HIRAY COLLEGE OF ARCHITECTURE</t>
  </si>
  <si>
    <t>Bachelor of Architecture (B.Arch.)</t>
  </si>
  <si>
    <t>Bachelor of Architecture</t>
  </si>
  <si>
    <t>AutoCAD, MS Office, MS Project, Primavera, Sketchup, Lumion, Photoshop, Enscape, Vray, Power Point</t>
  </si>
  <si>
    <t>Reza Kabul Architects | Junior Architect - Architect | Bandra West ,Mumbai | Jun 2024 | May 2025 | 0 Years, 11 Months, 28 Days | 3.25</t>
  </si>
  <si>
    <t>Colliers International | Technical Advisory Services (TAS)  | Bengaluru, India | May 2026 | Jul 2026 | 8 Weeks | Campus Internship
Ingrain Architects | Intern  | Kalaghoda, Mumbai | Dec 2022 | Apr 2023 | 19 Weeks
D-Workshop | Intern -Trainee | Valsad,Gujarat | Jun 2021 | Oct 2021 | 21 Weeks</t>
  </si>
  <si>
    <t>Finance for Non-Financial Managers
Construction Project Management Columbia University
Risk Management Corporate Finance Institute (CFI)
Risk Management â€“ Corporate Finance Institute (CFI)
Construction Project Management â€“ Columbia University</t>
  </si>
  <si>
    <t>P25700003</t>
  </si>
  <si>
    <t>SREELAKSHMI</t>
  </si>
  <si>
    <t>KRISHNAKUMAR</t>
  </si>
  <si>
    <t>Sreelakshmi Krishnakumar</t>
  </si>
  <si>
    <t>sreelakshmitrkk@gmail.com</t>
  </si>
  <si>
    <t>p25700003@student.nicmar.ac.in</t>
  </si>
  <si>
    <t>20-Mar-2001</t>
  </si>
  <si>
    <t>ENGLISH, HINDI, MALAYALAM</t>
  </si>
  <si>
    <t>7013 6395 7609</t>
  </si>
  <si>
    <t>KRISHNAKUMAR TR</t>
  </si>
  <si>
    <t>EMPLOYEE</t>
  </si>
  <si>
    <t>RADHIKA KRISHNAKUMAR</t>
  </si>
  <si>
    <t>Thoppil House Puttumanoor Puthencruze PO Ernakulam</t>
  </si>
  <si>
    <t>Ernakulam</t>
  </si>
  <si>
    <t>COCHIN REFINERIES SCHOOL</t>
  </si>
  <si>
    <t>CENTRAL BOARD OF SECONDARY EDUCATION, NEW DELHI</t>
  </si>
  <si>
    <t>2017-Apr</t>
  </si>
  <si>
    <t>CENTRAL BOARD OF SECONDARY EDUCATION KERALA</t>
  </si>
  <si>
    <t>KERALA TECHNOLOGICAL UNIVERSITY</t>
  </si>
  <si>
    <t>MAR ATHANASIUS COLLEGE OF ENGINEERING ERNAKULAM KERALA</t>
  </si>
  <si>
    <t>AutoCAD, MS Office, MS Project, Primavera, Revit, RIB Costx</t>
  </si>
  <si>
    <t>Larsen and Toubro | Senior Engineer Civil | Bharuch Gujarat | Jul 2023 | Jun 2025 | 1 Years, 11 Months, 25 Days | 6.6</t>
  </si>
  <si>
    <t>KPMG India | Intern- Major Projects Advisory | Mumbai, Maharashtra | May 2026 | Jun 2026 | 7 Weeks | Campus Internship
Bharat Petroleum Corporation Limited | Intern | Ambalamugal, Kerala | Jun 2023 | Jun 2023 | 4 Weeks
Prestige Group | Site Engineer | Kakkanad, Ernakulam | Aug 2022 | Aug 2022 | 1 Weeks</t>
  </si>
  <si>
    <t>Finance for Non-Financial Managers
Project Management Foundations: Ethics
Project Management Foundations: Requirements
Construction Management: Planning and Scheduling</t>
  </si>
  <si>
    <t>P25700112</t>
  </si>
  <si>
    <t>TEJESH</t>
  </si>
  <si>
    <t>C V</t>
  </si>
  <si>
    <t>Tejesh C V</t>
  </si>
  <si>
    <t>tejesh3104@gmail.com</t>
  </si>
  <si>
    <t>p25700112@student.nicmar.ac.in</t>
  </si>
  <si>
    <t>04-Apr-1999</t>
  </si>
  <si>
    <t>ENGLISH,HINDI,TELUGU,KANNADA,TAMIL</t>
  </si>
  <si>
    <t>4885 2459 9171</t>
  </si>
  <si>
    <t>VASU C</t>
  </si>
  <si>
    <t>SUPERVISOR</t>
  </si>
  <si>
    <t>LAKSHMI C</t>
  </si>
  <si>
    <t>13-144 K GUNDUMALA MADAKASIRA</t>
  </si>
  <si>
    <t>Anantapur</t>
  </si>
  <si>
    <t>AVS CONVENT HIGH SCHOOL</t>
  </si>
  <si>
    <t>KARNATAKA SECONDARY EDUCATION EXAMINATION BOARD, KARNATAKA</t>
  </si>
  <si>
    <t>2005-May</t>
  </si>
  <si>
    <t>THE NATIONAL  PU COLLEGE, JAYANAGAR</t>
  </si>
  <si>
    <t>DEPARTMENT OF PRE UNIVERSITY BOARD, KARNATAKA</t>
  </si>
  <si>
    <t>VISVESVARAYA TECHNOLOGICAL UNIVERSITY, BELAGAVI</t>
  </si>
  <si>
    <t>THE OXFORD COLLEGE OF ENGINEERING, BANGALORE</t>
  </si>
  <si>
    <t>Construction Technology &amp; Management</t>
  </si>
  <si>
    <t>AutoCAD,MS Office,MS Project,Primavera,Power BI</t>
  </si>
  <si>
    <t>Suryapriya Constructions pvt ltd | Project Planning and Control Engineer | Bangalore | May 2023 | Jun 2025 | 2 Years, 1 Months, 5 Days | 4.67
Radical Minds | Customer support Representative | Bangalore | Feb 2022 | Aug 2022 | 0 Years, 5 Months, 9 Days | 2.04</t>
  </si>
  <si>
    <t>30 month(s)</t>
  </si>
  <si>
    <t>Sprng Energy | Project Management Office - Intern  | Pune, Maharashtra | May 2026 | Jul 2026 | 8 Weeks | Campus Internship
SURYAPRIYA CONSTRUCTIONS PVT LTD | MANAGEMENT TRAINEE | BANGALORE | Jan 2023 | May 2023 | 19 Weeks
Reliance Consultant | Trainee | Bangalore | Mar 2021 | Apr 2021 | 4 Weeks</t>
  </si>
  <si>
    <t>Shell || Safeguarding Information
PMI/ LinkedIn || Setting up a PMO
PMI/ LinkedIn || Managing Project Stakeholders
PMI/ LinkedIn || Project Leadership
PMI/ LinkedIn || Project Management-Energy and Water Projects
PMI || Fundamentals of Agile Project Management
PMI || Fundamentals of project management 
L&amp;T || TBMs, Pile Rigs, Cranes &amp; Hauling Vehicles
L&amp;T || Construction Equipment Maintenance &amp; Safety
Ascendas Firstspace || Environment, Health, and Safety (EHS)
Emory University || Finance for Non-Financial Managers
Great Learning || Project Management
Skill Lync || Tendering and its process for EPC projects</t>
  </si>
  <si>
    <t>P25700315</t>
  </si>
  <si>
    <t>UTKARSHA</t>
  </si>
  <si>
    <t>KAVITAKE</t>
  </si>
  <si>
    <t>Utkarsha Kavitake</t>
  </si>
  <si>
    <t>kavitakeu@gmail.com</t>
  </si>
  <si>
    <t>p25700315@student.nicmar.ac.in</t>
  </si>
  <si>
    <t>30-Sep-2001</t>
  </si>
  <si>
    <t>Marathi, English, Hindi.</t>
  </si>
  <si>
    <t>2924 0396 4910</t>
  </si>
  <si>
    <t>GAJANAN KAVITKE</t>
  </si>
  <si>
    <t>RUPALI KAVITKE</t>
  </si>
  <si>
    <t>LAVISH VILLA SOCIETY, MANJARI BUDRUK</t>
  </si>
  <si>
    <t>At Post Gotandi, Village Ghorpadwadi, Tal Indapur</t>
  </si>
  <si>
    <t>KENDRIYA VIDYALAYA, VAYU SENA NAGAR</t>
  </si>
  <si>
    <t>NAGPUR, MAHARASHTRA</t>
  </si>
  <si>
    <t>D. Y. PATIL, COLLEGE OF ENGINEERING, AKURDI, PUNE</t>
  </si>
  <si>
    <t>AutoCAD,MS Office,MS Project,SolidWorks (Basics),Technical Documentation &amp; Reporting</t>
  </si>
  <si>
    <t>Knest Manufacturers Pvt. Ltd. | Design Engineer  | Bhosari, Pune | Jul 2023 | Oct 2024 | 1 Years, 3 Months, 20 Days | 3
Abhikalpan Construction Solutions Pvt. Ltd. | Intermediate Design Engineer | Viman Nagar, Pune | Dec 2024 | May 2025 | 0 Years, 4 Months, 16 Days | 3.35</t>
  </si>
  <si>
    <t>20 month(s)</t>
  </si>
  <si>
    <t>Masin Projects Pvt. Ltd. | Intern - Delay Analysis | Gurgaon | May 2026 | Jul 2026 | 8 Weeks | Campus Internship
Ajwani Infrastructure Pvt. Ltd. | Intern | Aundh, Pune | Jan 2022 | Feb 2022 | 4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</si>
  <si>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</si>
  <si>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P25700584</t>
  </si>
  <si>
    <t>YASH</t>
  </si>
  <si>
    <t>SANTOSH</t>
  </si>
  <si>
    <t>GUNDAWAR</t>
  </si>
  <si>
    <t>Yash Santosh Gundawar</t>
  </si>
  <si>
    <t>yash.s.gundawar1@gmail.com</t>
  </si>
  <si>
    <t>p25700584@student.nicmar.ac.in</t>
  </si>
  <si>
    <t>11-Nov-1999</t>
  </si>
  <si>
    <t>English,Hindi,Marathi</t>
  </si>
  <si>
    <t>5322 6048 2537</t>
  </si>
  <si>
    <t>SANTOSH GUNDAWAR</t>
  </si>
  <si>
    <t>BUSSINESS</t>
  </si>
  <si>
    <t>ARCHANA GUNDAWAR</t>
  </si>
  <si>
    <t>Plot No. 5, Wandre Layout, Nagpur Chandrapur Highway, Warora, Dist- Chandrapur</t>
  </si>
  <si>
    <t>ST. ANNE'S PUBLIC SCHOOL, WARORA, DIST-CHANDRAPUR</t>
  </si>
  <si>
    <t>CENTRAL BOARD OF SECONDARY EDUCATION, DELHI</t>
  </si>
  <si>
    <t>YASHWANTRAO SHINDE JR. COLLEGE (SCIENCE &amp; ARTS),BHADRAWATI</t>
  </si>
  <si>
    <t>K.K. WAGH INSTITUTE OF ENGINEERING EDUCATION AND RESEARCH, NASHIK</t>
  </si>
  <si>
    <t>AutoCAD, MS Office, MS Project, MS Excel, Primavera, Autodesk Revit</t>
  </si>
  <si>
    <t>Adani Electricity Mumbai Infra Limited | Senior Executive | Mumbai | Jul 2022 | Apr 2024 | 1 Years, 9 Months, 1 Days | 7.2</t>
  </si>
  <si>
    <t>21 month(s)</t>
  </si>
  <si>
    <t>KPMG India | Business Consulting- Intern | Mumbai  | May 2026 | Jun 2026 | 7 Weeks | Campus Internship
ZENITH INFRASTRUCTURE | Trainee Site Engineer | Warora, Dist- Chandrapur | Jan 2021 | Jun 2021 | 25 Weeks</t>
  </si>
  <si>
    <t>Project Management Foundations: Requirements | LinkedIn Learning
Setting Up a Project Management Office (PMO) | LinkedIn Learning
Managing Project Stakeholders | LinkedIn Learning</t>
  </si>
  <si>
    <t>p2270426</t>
  </si>
  <si>
    <t>RAJ</t>
  </si>
  <si>
    <t>Raj Singh</t>
  </si>
  <si>
    <t>rajsinghnicmar@gmail.com</t>
  </si>
  <si>
    <t>p2270426@student.nicmar.ac.in</t>
  </si>
  <si>
    <t>22-Mar-1992</t>
  </si>
  <si>
    <t>English , Hindi &amp; Basic Arabic</t>
  </si>
  <si>
    <t>6962 7883 8134</t>
  </si>
  <si>
    <t>YOGENDRA SINGH</t>
  </si>
  <si>
    <t>BRIJESH DEVI</t>
  </si>
  <si>
    <t>House No 36 , Shivaji Nagar</t>
  </si>
  <si>
    <t>Mathura</t>
  </si>
  <si>
    <t>ARCADIAN PUBLIC SENIOR SECONDARY SCHOOL</t>
  </si>
  <si>
    <t>CBSE</t>
  </si>
  <si>
    <t>2008-Mar</t>
  </si>
  <si>
    <t>2009-Mar</t>
  </si>
  <si>
    <t>2010-Mar</t>
  </si>
  <si>
    <t>MONAD UNIVERSITY</t>
  </si>
  <si>
    <t>2011-May</t>
  </si>
  <si>
    <t>AKTU</t>
  </si>
  <si>
    <t>BSA COLLEGE OF ENGINEERING AND TECHNOLOGY</t>
  </si>
  <si>
    <t>2013-Aug</t>
  </si>
  <si>
    <t>AutoCAD,MS Office,MS Project,Primavera P6</t>
  </si>
  <si>
    <t>GE3S | Consulting  | Abu Dhabi-UAE | May 2017 | May 2022 | 5 Years, 0 Months, 0 Days | 28.5
NSCC International saudi Contracting | Construction Environmental and Sustainability Manager | Saudi Arabia | Jan 2024 | Jan 2026 | 1 Years, 11 Months, 17 Days | 100</t>
  </si>
  <si>
    <t>83 month(s)</t>
  </si>
  <si>
    <t>DLF Home Developers Limited | Planning and Exceution Intern | Gurugram | May 2026 | Jul 2026 | 8 Weeks | Campus Internship</t>
  </si>
  <si>
    <t>Estidama - PCRS
ESTIDAMA - PBRS</t>
  </si>
  <si>
    <t>P25700001</t>
  </si>
  <si>
    <t>SUDEESWAR</t>
  </si>
  <si>
    <t>K</t>
  </si>
  <si>
    <t>Sudeeswar K</t>
  </si>
  <si>
    <t>12441sudeeswark@gmail.com</t>
  </si>
  <si>
    <t>p25700001@student.nicmar.ac.in</t>
  </si>
  <si>
    <t>04-Apr-2003</t>
  </si>
  <si>
    <t>TAMIL,ENGLISH,TELUGU</t>
  </si>
  <si>
    <t>5338 3512 1471</t>
  </si>
  <si>
    <t>KUNDUMANI</t>
  </si>
  <si>
    <t>MENAGA</t>
  </si>
  <si>
    <t>5/617 Parakadu Alagapuram Periya Pudur Salem</t>
  </si>
  <si>
    <t>Salem</t>
  </si>
  <si>
    <t>HOLY CROSS MATRICULATION HIGHER SECONDARY SCHOOL</t>
  </si>
  <si>
    <t>STATE BOARD, TAMIL NADU</t>
  </si>
  <si>
    <t>SONA COLLEGE OF TECHNOLOGY SALEM/TAMIL NADU</t>
  </si>
  <si>
    <t>AutoCAD,MS Office,MS Project,Primavera,BIM,STAAD PRO, CostX</t>
  </si>
  <si>
    <t>J. Kumar Infraprojects Ltd | Summer Intern- Site Execution | CHENNAI | May 2026 | Jul 2026 | 9 Weeks | Campus Internship
SURRYA BUILDERS | TRAINEE | SALEM | Jun 2024 | Jul 2024 | 6 Weeks</t>
  </si>
  <si>
    <t>P25700002</t>
  </si>
  <si>
    <t>SAMKIT</t>
  </si>
  <si>
    <t>VIKKI</t>
  </si>
  <si>
    <t>PALRECHA</t>
  </si>
  <si>
    <t>Samkit Vikki Palrecha</t>
  </si>
  <si>
    <t>samkitpalrecha20@gmail.com</t>
  </si>
  <si>
    <t>p25700002@student.nicmar.ac.in</t>
  </si>
  <si>
    <t>07-Mar-2003</t>
  </si>
  <si>
    <t>English, Hindi, Marathi, Marwadi</t>
  </si>
  <si>
    <t>5870 0268 0076</t>
  </si>
  <si>
    <t>VIKKI PALRECHA</t>
  </si>
  <si>
    <t>BUSINESS</t>
  </si>
  <si>
    <t>VINITA PALRECHA</t>
  </si>
  <si>
    <t>Plot No.22, Chanchal Niwas, Pradhan Park, Lonavala 410-401</t>
  </si>
  <si>
    <t>RYEWOOD INTERNATIONAL SCHOOL</t>
  </si>
  <si>
    <t>INDIAN COUNSIL OF SECONDARY EDUCATION, PUNE, MAHARASHTRA</t>
  </si>
  <si>
    <t>DON BOSCO JUNIOR COLLEGE</t>
  </si>
  <si>
    <t>2021-May</t>
  </si>
  <si>
    <t>D Y PATIL COLLEGE OF ENGINEERING, AKURDI, PUNE</t>
  </si>
  <si>
    <t>2021-Jun</t>
  </si>
  <si>
    <t>2025-Jun</t>
  </si>
  <si>
    <t>AutoCAD</t>
  </si>
  <si>
    <t>Vikas Constructions | Project Management  Intern | Lonavala | May 2026 | Jul 2026 | 8 Weeks | Campus Internship
VIKAS CONSTRUCTIONS | JUNIOR ENGINEER | AAMBY VALLEY CITY, SAHARA | Nov 2024 | Mar 2025 | 16 Weeks
SHAASHWAT BUILDERS, PROMOTERS &amp; DEVELOPERS | INTERN | LONAVALA | Dec 2023 | Feb 2024 | 12 Weeks</t>
  </si>
  <si>
    <t>P25700004</t>
  </si>
  <si>
    <t>JAGMA</t>
  </si>
  <si>
    <t>PRIYADARSHINI</t>
  </si>
  <si>
    <t>Jagma Priyadarshini</t>
  </si>
  <si>
    <t>jagma2002@gmail.com</t>
  </si>
  <si>
    <t>p25700004@student.nicmar.ac.in</t>
  </si>
  <si>
    <t>05-Mar-2004</t>
  </si>
  <si>
    <t>ENGLISH,HINDI,ODIA</t>
  </si>
  <si>
    <t>3414 2234 8709</t>
  </si>
  <si>
    <t>HIMANSHU SEKHAR DAS</t>
  </si>
  <si>
    <t>ASST.ENGINEER (MINOR IRRIGATION)</t>
  </si>
  <si>
    <t>MEENAKSHEE DAS</t>
  </si>
  <si>
    <t>A/71,PPL HOUSING COLONY,AIGINIA,KHANDAGIRI,BHUBANESWAR</t>
  </si>
  <si>
    <t>Khordha</t>
  </si>
  <si>
    <t>Odisha</t>
  </si>
  <si>
    <t>DAV PUBLIC SCHOOL,KALINGANAGAR,BHUBANESWAR</t>
  </si>
  <si>
    <t>SECONDARY EDUCATION (CBSE)</t>
  </si>
  <si>
    <t>HIGHER SECONDARY EDUCATION (CBSE)</t>
  </si>
  <si>
    <t>BIJU PATNAIK UNIVERSITY OF TECHNOLOGY,ROURKELA,ODISHA</t>
  </si>
  <si>
    <t>INDIRA GANDHI INSTITUTE OF TECHNOLOGY,SARANG</t>
  </si>
  <si>
    <t>2021-Dec</t>
  </si>
  <si>
    <t>AutoCAD,MS Office,STAAD PRO</t>
  </si>
  <si>
    <t>ASIAN PAINTS | Sales Engineering + Waterproofing | BHUBANESWAR,ODISHA | May 2026 | Jul 2026 | 8 Weeks | Campus Internship
QUALITY ASSURANCE DIVISION ,BHUBANESWAR | INTERN | BHUBANESWAR,ODISHA | May 2024 | Jun 2024 | 4 Weeks
OFFICE OF THE EXECUTIVE ENGINEER BHUBANESWAR (R&amp;B) DIVISION NO-V BHUBANESWARL | INTERN | BHUBANESWAR,ODISHA | May 2023 | Jun 2023 | 4 Weeks</t>
  </si>
  <si>
    <t>P25700005</t>
  </si>
  <si>
    <t>AYUSH</t>
  </si>
  <si>
    <t>NAIK</t>
  </si>
  <si>
    <t>Ayush Naik</t>
  </si>
  <si>
    <t>naikayush402@gmail.com</t>
  </si>
  <si>
    <t>p25700005@student.nicmar.ac.in</t>
  </si>
  <si>
    <t>27-Aug-2002</t>
  </si>
  <si>
    <t>ENGLISH, HINDI, ODIA</t>
  </si>
  <si>
    <t>6491 6445 4028</t>
  </si>
  <si>
    <t>ASIS NAIK</t>
  </si>
  <si>
    <t>MITA RANI NAIK</t>
  </si>
  <si>
    <t>S/O Asis Naik, Ayush Complex, Kainsir Road, Karamtoli, Ainthapali</t>
  </si>
  <si>
    <t>Sambalpur</t>
  </si>
  <si>
    <t>MADNAWATI PUBLIC SCHOOL</t>
  </si>
  <si>
    <t>CENTRAL BOARD OF SECONDARY EDUCATION, SAMBALPUR/ODISHA</t>
  </si>
  <si>
    <t>GANDHI INSTITUTE OF ENGINEERING AND TECHNOLOGY UNIVERSITY, GUNUPUR/ODISHA</t>
  </si>
  <si>
    <t>2020-Sep</t>
  </si>
  <si>
    <t>AutoCAD, MS Office, MS Project, Primavera, Revit</t>
  </si>
  <si>
    <t>Dineshchandra R. Agrawal Infracon Pvt. Ltd. | Graduate Engineer Trainee (GET) | Chennai, Tamil Nadu | Mar 2024 | Jan 2025 | 0 Years, 10 Months, 0 Days | 2.4</t>
  </si>
  <si>
    <t>10 month(s)</t>
  </si>
  <si>
    <t>SOBHA India Limited | Site Execution | Bangalore | May 2026 | Jul 2026 | 9 Weeks | Campus Internship
HINDALCO A UNIT ADITYA ALUMINUM | INTERN | SAMBALPUR, ODISHA | Jun 2023 | Jun 2023 | 4 Weeks</t>
  </si>
  <si>
    <t>P25700006</t>
  </si>
  <si>
    <t>THETE</t>
  </si>
  <si>
    <t>AJINKYA</t>
  </si>
  <si>
    <t>TANAJI</t>
  </si>
  <si>
    <t>Thete Ajinkya Tanaji</t>
  </si>
  <si>
    <t>ajinkyatthete@gmail.com</t>
  </si>
  <si>
    <t>p25700006@student.nicmar.ac.in</t>
  </si>
  <si>
    <t>21-Sep-2002</t>
  </si>
  <si>
    <t>ENGLISH,HINDI,MARATHI</t>
  </si>
  <si>
    <t>9832 4212 6090</t>
  </si>
  <si>
    <t>TANAJI NAMDEO THETE</t>
  </si>
  <si>
    <t>HEAD CLERK</t>
  </si>
  <si>
    <t>VIJAYA TANAJI THETE</t>
  </si>
  <si>
    <t>PRINCIPAL</t>
  </si>
  <si>
    <t>Shivpushp Bunglow, Amrut Nagar, Lasalgaon-422306,Nashik, Maharashtra</t>
  </si>
  <si>
    <t>Nashik</t>
  </si>
  <si>
    <t>LOKNETE DATTAJI PATIL VIDYALAYA,LASALGAON</t>
  </si>
  <si>
    <t>NASHIK</t>
  </si>
  <si>
    <t>LOKNETE DATTAJI PATIL SECONDARY AND HIGHER SECONDARY SCHOOL, LASALGAON</t>
  </si>
  <si>
    <t>S.N.J.B'S KBJ COE,CHANDVAD</t>
  </si>
  <si>
    <t>AutoCAD,MS Office,Revit</t>
  </si>
  <si>
    <t>Samruddhi Associates | Site Engineer  | Nashik | Aug 2024 | Jun 2025 | 0 Years, 10 Months, 9 Days | 2.04</t>
  </si>
  <si>
    <t>Pune metro rail corporation  | Intern | Pune | May 2026 | Jul 2026 | 9 Weeks | Campus Internship
HH Builders and Developer | Intern  | Nashik | Jan 2023 | Feb 2023 | 4 Weeks</t>
  </si>
  <si>
    <t>P25700007</t>
  </si>
  <si>
    <t>ASHUTOSH</t>
  </si>
  <si>
    <t>Ashutosh Singh</t>
  </si>
  <si>
    <t>2007ashutosh2000@gmail.com</t>
  </si>
  <si>
    <t>p25700007@student.nicmar.ac.in</t>
  </si>
  <si>
    <t>12-Dec-2002</t>
  </si>
  <si>
    <t>5144 0136 1325</t>
  </si>
  <si>
    <t>UMESH KUMAR SINGH</t>
  </si>
  <si>
    <t>BUSINESSMAN</t>
  </si>
  <si>
    <t>SUMAN SINGH</t>
  </si>
  <si>
    <t>61,Near Kuchman Station, Chakariya, Keshavpur, Chandauli</t>
  </si>
  <si>
    <t>Chandauli</t>
  </si>
  <si>
    <t>SUNBEAM SCHOOL MUGHALSARAI</t>
  </si>
  <si>
    <t>CENTRAL BOARD OF SECONDARY EDUCATION, MUGHALSARAI/UTTARPRADESH</t>
  </si>
  <si>
    <t>CENTRAL BOARD OF SECONDARY EDUCATION, MUGHALSARAI/UTTAR PRADESH</t>
  </si>
  <si>
    <t>ABDUL KALAM TECHNICAL UNIVERSITY</t>
  </si>
  <si>
    <t>INDRAPRASHTHA ENGENEERING COLLEGE, GHAZIABAD/UTTARPRADESH</t>
  </si>
  <si>
    <t>2023-Dec</t>
  </si>
  <si>
    <t>AutoCAD,MS Office,MS Project,Primavera,StadPro</t>
  </si>
  <si>
    <t>J. kumar Infraprojects Ltd | Planning Engineer intern | New Delhi | May 2026 | Jul 2026 | 9 Weeks | Campus Internship</t>
  </si>
  <si>
    <t>Course on Building Design
BIM Fundamentals for Engineers</t>
  </si>
  <si>
    <t>P25700008</t>
  </si>
  <si>
    <t>DARSHAN</t>
  </si>
  <si>
    <t>SATISHKUMAR</t>
  </si>
  <si>
    <t>VAKHARIYA</t>
  </si>
  <si>
    <t>Darshan Satishkumar Vakhariya</t>
  </si>
  <si>
    <t>darshan.vakharia33@gmail.com</t>
  </si>
  <si>
    <t>p25700008@student.nicmar.ac.in</t>
  </si>
  <si>
    <t>02-Jan-2001</t>
  </si>
  <si>
    <t>ENGLISH,HINDI,MARATHI,GUJARATI</t>
  </si>
  <si>
    <t>2497 3115 8893</t>
  </si>
  <si>
    <t>SHRADDHA</t>
  </si>
  <si>
    <t>202 LIVIA SOCIETY, BHUMKAR NAGAR,HINJAWADI PUNE</t>
  </si>
  <si>
    <t>3299/B Mahavir Marg Barshi</t>
  </si>
  <si>
    <t>SULAKHE ENGLISH MEDIUM SCHOOL</t>
  </si>
  <si>
    <t>SHRI SHIVAJI MAHAVIDYALAYA, BARSHI</t>
  </si>
  <si>
    <t>ZEAL COLLEGE OF ENGINEERING AND RESEARCH</t>
  </si>
  <si>
    <t>2023-May</t>
  </si>
  <si>
    <t>AutoCAD,MS Office,MS Project,PLS-SEM</t>
  </si>
  <si>
    <t>Suyog Development Corporation LTD. | Trainee engineer | Gangadham, pune | Aug 2023 | Apr 2025 | 1 Years, 8 Months, 29 Days | 2.5</t>
  </si>
  <si>
    <t>Jyoti Structures Ltd | Management Intern  | Boisar-Pune | May 2026 | Jul 2026 | 8 Weeks | Campus Internship
Idhant Construction and Developers |  site engineer intern  | Barshi  | Jan 2022 | Feb 2022 | 4 Weeks</t>
  </si>
  <si>
    <t>P25700009</t>
  </si>
  <si>
    <t>SHIVAM</t>
  </si>
  <si>
    <t>SHARMA</t>
  </si>
  <si>
    <t>Shivam Sharma</t>
  </si>
  <si>
    <t>shivamsharma2003cool@gmail.com</t>
  </si>
  <si>
    <t>p25700009@student.nicmar.ac.in</t>
  </si>
  <si>
    <t>24-Nov-2003</t>
  </si>
  <si>
    <t>English Hindi</t>
  </si>
  <si>
    <t>8551 9504 4457</t>
  </si>
  <si>
    <t>ANAND SWARUP SHARMA</t>
  </si>
  <si>
    <t>ASHA DEVI</t>
  </si>
  <si>
    <t>Sector 123 H Block_x000D_
House Number 905</t>
  </si>
  <si>
    <t>Amritsar</t>
  </si>
  <si>
    <t>Punjab</t>
  </si>
  <si>
    <t>TAURIAN WORLD SCHOOL</t>
  </si>
  <si>
    <t>RANCHI JHARKHAND</t>
  </si>
  <si>
    <t>PODAR INTERNATIONAL SCHOOL</t>
  </si>
  <si>
    <t>BHUSAWAL MAHARASHTRA</t>
  </si>
  <si>
    <t>2020-Apr</t>
  </si>
  <si>
    <t>CHANDIGARH UNIVERSITY</t>
  </si>
  <si>
    <t>CHANDIGARH UNIVERSITY PUNJAB</t>
  </si>
  <si>
    <t>MS Project,Primavera,Arc Gis,Open Roads</t>
  </si>
  <si>
    <t>Pidilite Industries Ltd. | PPG Intern Segment | Gurugram | May 2026 | Jun 2026 | 7 Weeks | Campus Internship
aarvee association | Site Engineer | Shamli Saharanpur | May 2024 | Jul 2024 | 8 Weeks</t>
  </si>
  <si>
    <t>P25700010</t>
  </si>
  <si>
    <t>SHUBHANKAR</t>
  </si>
  <si>
    <t>DATTATREY</t>
  </si>
  <si>
    <t>MAIRAL</t>
  </si>
  <si>
    <t>Shubhankar Dattatrey Mairal</t>
  </si>
  <si>
    <t>mairalshubhankar@gmail.com</t>
  </si>
  <si>
    <t>p25700010@student.nicmar.ac.in</t>
  </si>
  <si>
    <t>21-Nov-2002</t>
  </si>
  <si>
    <t>ENGLISH, HINDI, MARATHI.</t>
  </si>
  <si>
    <t>2659 1560 4236</t>
  </si>
  <si>
    <t>DATTATREYA MAIRAL</t>
  </si>
  <si>
    <t>SANJIVANI MAIRAL</t>
  </si>
  <si>
    <t>Plot No. 44, PMG Society, Narendra Nagar, Nagpur.</t>
  </si>
  <si>
    <t>SOMALWAR NIKALAS HIGH SCHOOL AND JUNIOR COLLEGE</t>
  </si>
  <si>
    <t>MAHARASHTRA STATE BOARD</t>
  </si>
  <si>
    <t>RASHTRASANT TUKDOJI MAHARAJ NAGPUR UNIVERSITY</t>
  </si>
  <si>
    <t>YESHWANTRAO CHAVAN COLLEGE OF ENGINEERING, NAGPUR, MAHARASHTRA</t>
  </si>
  <si>
    <t>MASIN PROJECTS PRIVATE LIMITED  | Inter (Delay/Quantum) | Gurugram | May 2026 | Jul 2026 | 8 Weeks | Campus Internship
Manaswi Construction | Intern- Site Execution | Nagpur | Jan 2024 | May 2024 | 17 Weeks</t>
  </si>
  <si>
    <t>P25700011</t>
  </si>
  <si>
    <t>NABA</t>
  </si>
  <si>
    <t>ANSARI</t>
  </si>
  <si>
    <t>Naba Ansari</t>
  </si>
  <si>
    <t>naba.falak@gmail.com</t>
  </si>
  <si>
    <t>p25700011@student.nicmar.ac.in</t>
  </si>
  <si>
    <t>07-Sep-2002</t>
  </si>
  <si>
    <t>English, Hindi, Urdu, Marathi, French</t>
  </si>
  <si>
    <t>4572 3312 2490</t>
  </si>
  <si>
    <t>MOHAMMAD ATIF ANSARI</t>
  </si>
  <si>
    <t>ATIYA NAYAB ANSARI</t>
  </si>
  <si>
    <t>B-35/002, Takshashila Loknagri, MIDC Road, Ambarnath - East, 421501</t>
  </si>
  <si>
    <t>Thane</t>
  </si>
  <si>
    <t>FATIMA HIGH SCHOOL &amp; JUNIOR COLLEGE</t>
  </si>
  <si>
    <t>SMT. CHANDIBAI HIMATHMAL MANSUKHANI COLLEGE, ULHASNAGAR</t>
  </si>
  <si>
    <t>L.S RAHEJA SCHOOL OF ARCHITECTURE</t>
  </si>
  <si>
    <t>AutoCAD,MS Office,MS Project,Sketchup,Revit,Vectorworks,QGIS,Photoshop,Rhino,Indesign,Illustrator,Twinmotion</t>
  </si>
  <si>
    <t>KPMG  | Intern  | Mumbai  | May 2026 | Jun 2026 | 7 Weeks | Campus Internship
SJK ARCHITECTS | ARCHITECTURAL DESIGN INTERN | MUMBAI | Nov 2023 | Apr 2024 | 22 Weeks</t>
  </si>
  <si>
    <t>Architectural Conservation
Building Materials as a Cornerstone to Sustainability
Real Estate Financial Modeling
Foundations of Project Management
Finance for Non-Financial Managers</t>
  </si>
  <si>
    <t>P25700012</t>
  </si>
  <si>
    <t>KRISHNA</t>
  </si>
  <si>
    <t>SACHIN</t>
  </si>
  <si>
    <t>PAREKH</t>
  </si>
  <si>
    <t>Krishna Sachin Parekh</t>
  </si>
  <si>
    <t>krishnasachinparekh@gmail.com</t>
  </si>
  <si>
    <t>p25700012@student.nicmar.ac.in</t>
  </si>
  <si>
    <t>03-May-2003</t>
  </si>
  <si>
    <t>English, Hindi, Marathi, Gujarati</t>
  </si>
  <si>
    <t>AB+ve</t>
  </si>
  <si>
    <t>3960 4649 8957</t>
  </si>
  <si>
    <t>SACHIN JAYSING PAREKH</t>
  </si>
  <si>
    <t>KETAKI SACHIN PAREKH</t>
  </si>
  <si>
    <t>'Rajyog', Near Chanakyapuri Garden, Chanakyapuri, Vishrambag, Sangli</t>
  </si>
  <si>
    <t>Sangli</t>
  </si>
  <si>
    <t>CITY HIGH SCHOOL, SANGLI</t>
  </si>
  <si>
    <t>SSC BOARD, SANGLI, MAHARASHTRA</t>
  </si>
  <si>
    <t>MGSK GUJARATI HIGH SCHOOL, SANGLI</t>
  </si>
  <si>
    <t>HSC BOARD, SANGLI, MAHARASHTRA</t>
  </si>
  <si>
    <t>SHIVAJI UNIVERSITY, KOLHAPUR</t>
  </si>
  <si>
    <t>WALCHAND COLEGE OF ENGINEERING, SANGLI</t>
  </si>
  <si>
    <t>2020-Aug</t>
  </si>
  <si>
    <t>AutoCAD,MS Office,MS Project,Primavera,Edificius 2D &amp; 3D,RIB COSTX,REVIT</t>
  </si>
  <si>
    <t>S. N. Joshi Consultants Pvt. Ltd. | Trainee Engineer - Plumbing &amp; FF | Pune, Maharashtra | Jun 2024 | Feb 2025 | 0 Years, 8 Months, 16 Days | 3.9</t>
  </si>
  <si>
    <t>8 month(s)</t>
  </si>
  <si>
    <t>RITES Limited | Project Management Intern - Highway Division | Gurugram, Harayana | May 2026 | Jul 2026 | 9 Weeks | Campus Internship
USHA CONSTRUCTIONS, BUILDERS &amp; CONTRACTORS | INTERN- SITE SUPERVISOR | SANGLI, MAHARASHTRA | Jun 2023 | Jun 2023 | 4 Weeks
DYNAMIC PRESTRESS  PROJECT &amp; SERVICES PVT. LTD. | INTERN | PUNE, MUMBAI - MAHARASHTRA | Jan 2023 | Jan 2023 | 1 Weeks</t>
  </si>
  <si>
    <t>P25700013</t>
  </si>
  <si>
    <t>SIDDHESH</t>
  </si>
  <si>
    <t>RAI</t>
  </si>
  <si>
    <t>Siddhesh Rai</t>
  </si>
  <si>
    <t>siddheshrai7275@gmail.com</t>
  </si>
  <si>
    <t>p25700013@student.nicmar.ac.in</t>
  </si>
  <si>
    <t>01-Dec-2001</t>
  </si>
  <si>
    <t>ENGLISH , HINDI , FRENCH</t>
  </si>
  <si>
    <t>Badminton,Meditation</t>
  </si>
  <si>
    <t>3607 4678 5140</t>
  </si>
  <si>
    <t>ABHAY RAJ RAI</t>
  </si>
  <si>
    <t>MANJU RAI</t>
  </si>
  <si>
    <t>BUSINESS PROPRIETOR</t>
  </si>
  <si>
    <t>House No. 6 , Durga Puri Colony , Eldeco Tiraha , Chinhat , Lucknow</t>
  </si>
  <si>
    <t>Lucknow</t>
  </si>
  <si>
    <t>DELHI PUBLIC SCHOOL</t>
  </si>
  <si>
    <t>CENTRAL BOARD OF SECONDARY EDUCATION LUCKNOW , UTTAR PRADESH</t>
  </si>
  <si>
    <t>Other</t>
  </si>
  <si>
    <t>THREE YEAR DIPLOMA IN CIVIL ENGINEERING</t>
  </si>
  <si>
    <t>HEWETT POLYTECHNIC LUCKNOW , UTTAR PRADESH</t>
  </si>
  <si>
    <t>2018-Aug</t>
  </si>
  <si>
    <t>BHARATI VIDYAPEETH ( DEEMED TO BE UNIVERSITY )</t>
  </si>
  <si>
    <t>BHARATI VIDYAPEETH COLLEGE OF ENGINEERING, PUNE , MAHARASHTRA</t>
  </si>
  <si>
    <t>AutoCAD,MS Office,MS Project,Primavera,ETABS,STAAD.Pro</t>
  </si>
  <si>
    <t>JS MARINE SERVICES PVT LTD | Site Supervisor | Lucknow | Jun 2024 | Jun 2025 | 1 Years, 0 Months, 1 Days | 3</t>
  </si>
  <si>
    <t>12 month(s)</t>
  </si>
  <si>
    <t>Goa State Infrastructure Development Corporation Limited ( GSIDC ) | Site Execution / Site Supervision  | Goa | May 2026 | Jul 2026 | 8 Weeks | Campus Internship
Tricon Infra Buildtech Pvt . Ltd | Trainee Intern | Lucknow | Jun 2023 | Aug 2023 | 8 Weeks
Uttar Pradesh Awas Vikas Parishad Lucknow | Trainee Intern | Lucknow | Oct 2020 | Nov 2020 | 4 Weeks</t>
  </si>
  <si>
    <t>P25700014</t>
  </si>
  <si>
    <t>DIWATELWAR</t>
  </si>
  <si>
    <t>SUYASH</t>
  </si>
  <si>
    <t>SATISH</t>
  </si>
  <si>
    <t>Diwatelwar Suyash Satish</t>
  </si>
  <si>
    <t>suyashdiwatelwar@gmail.com</t>
  </si>
  <si>
    <t>p25700014@student.nicmar.ac.in</t>
  </si>
  <si>
    <t>30-Oct-2001</t>
  </si>
  <si>
    <t>Marathi, Hindi and English</t>
  </si>
  <si>
    <t>6140 8923 8718</t>
  </si>
  <si>
    <t>SATISH VASANTRAO DIWATELWAR</t>
  </si>
  <si>
    <t>SUHASINI SATISH DIWATELWAR</t>
  </si>
  <si>
    <t>Plot No 2, Santaji Society, Balpande Layout, Narendra Nagar, Rachna Vatika Road, Near Bajrang Aatta Chakki. Nagpur</t>
  </si>
  <si>
    <t>SOMALWAR NIKALAS HIGH SCHOOL AND JR. COLLEGE NAGPUR</t>
  </si>
  <si>
    <t>MAHARASHTRA STATE BOARD OF SECONDARY AND HIGHER SECONDARY EDUCATION, PUNE (NAGPUR/MAHARASHTRA)</t>
  </si>
  <si>
    <t>SHRI SHIVAJI SCIENCE COLLEGE NAGPUR</t>
  </si>
  <si>
    <t>G H RAISONI INSTITUTE OF ENGINEERING AND TECHNOLOGY, NAGPUR. MAHARASHTRA</t>
  </si>
  <si>
    <t>2024-Jul</t>
  </si>
  <si>
    <t>AutoCAD, MS Office, MS Project, Primavera, Revit, MS Excel, Cost-X, PLS-SEM, Civil 3D</t>
  </si>
  <si>
    <t>MB Infra | Site Engineer | Nagpur | Jul 2024 | Jun 2025 | 0 Years, 11 Months, 29 Days | 3.6</t>
  </si>
  <si>
    <t>B. G. SHIRKE CONSTRUCTION TECHNOLOGY PVT. LTD. | Management Trainee | Nagpur | May 2026 | Jul 2026 | 9 Weeks | Campus Internship
MB Infra | Intern | Nagpur | Dec 2023 | Jun 2024 | 25 Weeks
Rajkala Developers | Intern | Nagpur | Jun 2023 | Jul 2023 | 4 Weeks
Prefab Concrete Systems | Intern | Umargaon, Umred Road, Nagpur. | Feb 2022 | Feb 2022 | 2 Weeks</t>
  </si>
  <si>
    <t>AUTOCAD (Drafting Engineer)</t>
  </si>
  <si>
    <t>P25700015</t>
  </si>
  <si>
    <t>ANKIT</t>
  </si>
  <si>
    <t>RANJAN</t>
  </si>
  <si>
    <t>Ankit Ranjan</t>
  </si>
  <si>
    <t>ankitranjan413@gmail.com</t>
  </si>
  <si>
    <t>p25700015@student.nicmar.ac.in</t>
  </si>
  <si>
    <t>28-Feb-2001</t>
  </si>
  <si>
    <t>English and Hindi</t>
  </si>
  <si>
    <t>2759 9383 2103</t>
  </si>
  <si>
    <t>OM PRAKASH OJHA</t>
  </si>
  <si>
    <t>GOVERNMENT JOB</t>
  </si>
  <si>
    <t>MAMTA OJHA</t>
  </si>
  <si>
    <t>F-402 Amrapali Princely Estate Sector-76 Noida</t>
  </si>
  <si>
    <t>Gautam Buddha Nagar</t>
  </si>
  <si>
    <t>SARLA CHOPRA DAV PUBLIC SCHOOL</t>
  </si>
  <si>
    <t>CENTRAL BOARD OF SECONDARY EDUCATION,NOIDA</t>
  </si>
  <si>
    <t>2015-Apr</t>
  </si>
  <si>
    <t>2016-Mar</t>
  </si>
  <si>
    <t>DR.A.P.J ABDUL KALAM TECHNICAL UNIVERSITY</t>
  </si>
  <si>
    <t>JSS ACADEMY OF TECHNICAL EDUCATION, NOIDA</t>
  </si>
  <si>
    <t>AutoCAD,MS Office,MS Project,Primavera</t>
  </si>
  <si>
    <t>Prateek Group | trainee engineer | ghaziabad | Jun 2024 | Apr 2025 | 0 Years, 10 Months, 27 Days | 2.16</t>
  </si>
  <si>
    <t>Prestige group  | Site execution  | Delhi ncr | May 2026 | Jul 2026 | 8 Weeks | Campus Internship
Municipal Corporation of Delhi | Intern | Delhi | Nov 2021 | Apr 2022 | 25 Weeks</t>
  </si>
  <si>
    <t>P25700016</t>
  </si>
  <si>
    <t>VAIBHAV</t>
  </si>
  <si>
    <t>ARJUN</t>
  </si>
  <si>
    <t>BASETWAR</t>
  </si>
  <si>
    <t>Vaibhav Arjun Basetwar</t>
  </si>
  <si>
    <t>basetwarvaibhav@gmail.com</t>
  </si>
  <si>
    <t>p25700016@student.nicmar.ac.in</t>
  </si>
  <si>
    <t>19-May-2002</t>
  </si>
  <si>
    <t>3435 1834 0287</t>
  </si>
  <si>
    <t>VAISHALI</t>
  </si>
  <si>
    <t>Sambhaji Chowk Pandharpur</t>
  </si>
  <si>
    <t>KAVTHEKAR PRASAHALA PANDHARPUR</t>
  </si>
  <si>
    <t>SOLAPUR MAHARASHTRA</t>
  </si>
  <si>
    <t>VIVEK VARDHINI PANDHARPUR</t>
  </si>
  <si>
    <t>AISSMS COLLEGE OF ENGINEERING PUNE</t>
  </si>
  <si>
    <t>2024-Nov</t>
  </si>
  <si>
    <t>MAJESTIC REALTIES | Project Management - Intern  | Kothrud Pune  | May 2026 | Jun 2026 | 7 Weeks | Campus Internship
Tirupati Construction | Site Engineer | Pandharpur | Aug 2024 | Dec 2024 | 17 Weeks</t>
  </si>
  <si>
    <t>P25700017</t>
  </si>
  <si>
    <t>SWAPNIL</t>
  </si>
  <si>
    <t>PRASHANT</t>
  </si>
  <si>
    <t>Swapnil Prashant Mane</t>
  </si>
  <si>
    <t>maneswapnil8101@gmail.com</t>
  </si>
  <si>
    <t>p25700017@student.nicmar.ac.in</t>
  </si>
  <si>
    <t>11-Sep-2001</t>
  </si>
  <si>
    <t>7014 2891 4267</t>
  </si>
  <si>
    <t>PRASHANT BABURAO MANE</t>
  </si>
  <si>
    <t>SHUBHANGI PRASHANT MANE</t>
  </si>
  <si>
    <t>Soham Niwas, Deshpande Colony, Ausa Road, Near Pramod Super Market</t>
  </si>
  <si>
    <t>Latur</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</si>
  <si>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</si>
  <si>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</si>
  <si>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</si>
  <si>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</si>
  <si>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</si>
  <si>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 Years, 10 Months, 23 Days | 8.37</t>
  </si>
  <si>
    <t>22 month(s)</t>
  </si>
  <si>
    <t>New Consolidated Construction Company Limited  | Intern- Planning  | Alibag | May 2026 | Jul 2026 | 8 Weeks | Campus Internship
V.M. MATERE INFRASTRUCTURES (INDIA) PVT. LTD. | Site Engineering Intern | Pune | Mar 2023 | May 2023 | 12 Weeks</t>
  </si>
  <si>
    <t>MS Project
Autocad Civil</t>
  </si>
  <si>
    <t>P25700018</t>
  </si>
  <si>
    <t>MD ZAID</t>
  </si>
  <si>
    <t>TANWEER</t>
  </si>
  <si>
    <t>JAHAGIRDAR</t>
  </si>
  <si>
    <t>Md Zaid Tanweer Jahagirdar</t>
  </si>
  <si>
    <t>ztj7620@gmail.com</t>
  </si>
  <si>
    <t>p25700018@student.nicmar.ac.in</t>
  </si>
  <si>
    <t>06-Nov-2001</t>
  </si>
  <si>
    <t>ENGLISH, HINDI, MARATHI</t>
  </si>
  <si>
    <t>9776 1155 3658</t>
  </si>
  <si>
    <t>TANWEER JAHAGIRDAR</t>
  </si>
  <si>
    <t>NIKHATARA JAHAGIRDAR</t>
  </si>
  <si>
    <t>Plot No 64, Tangsal Nagar, Asra, Majarewadi, Solapur North, Solapur</t>
  </si>
  <si>
    <t>MODEL PUBLIC SCHOOL, SOLAPUR</t>
  </si>
  <si>
    <t>A. D. JOSHI JUNIOR COLLEGE, SOLAPUR</t>
  </si>
  <si>
    <t>WALCHAND COLLEGE OF ENGINEERING, SANGLI</t>
  </si>
  <si>
    <t>2021-Feb</t>
  </si>
  <si>
    <t>AutoCAD,MS Office,MS Project,MS Excel,Revit,Lumion,ABAQUS- Finite Element Analysis</t>
  </si>
  <si>
    <t>Iconic Engineering Solutions | Trainee Engineer | Solapur | Jun 2024 | Jul 2025 | 1 Years, 1 Months, 30 Days | 2.2</t>
  </si>
  <si>
    <t>14 month(s)</t>
  </si>
  <si>
    <t>The Construction House | Structural Designer | Sangli | Jul 2023 | Jul 2023 | 4 Weeks
Unity Multicons Pvt. Ltd. | Site Supervisor | Solapur | Jan 2024 | Apr 2024 | 13 Weeks</t>
  </si>
  <si>
    <t>P25700019</t>
  </si>
  <si>
    <t>PRAJYOT</t>
  </si>
  <si>
    <t>PRADIP</t>
  </si>
  <si>
    <t>PATIL</t>
  </si>
  <si>
    <t>Prajyot Pradip Patil</t>
  </si>
  <si>
    <t>prajyotpatil2815@gmail.com</t>
  </si>
  <si>
    <t>p25700019@student.nicmar.ac.in</t>
  </si>
  <si>
    <t>28-Aug-2003</t>
  </si>
  <si>
    <t>ENGLISH,MARATHI,HINDI</t>
  </si>
  <si>
    <t>2958 6975 3100</t>
  </si>
  <si>
    <t>PRADIP RAMCHANDRA PATIL</t>
  </si>
  <si>
    <t>JYOTI PRADIP PATIL</t>
  </si>
  <si>
    <t>ARDARSH NAGAR BEHINDE RTO OFFICE PEN RAIGAD_x000D_
INFRONT OF SAIDEEP BANGLOW</t>
  </si>
  <si>
    <t>Raigad</t>
  </si>
  <si>
    <t>PEN EDUCATION SOCIETY ENGLISH MEDIUM SCHOOL, PEN</t>
  </si>
  <si>
    <t>PRIVATE HIGH SCHOOL AND JUNIOR COLLEGE, PEN</t>
  </si>
  <si>
    <t>2021-Mar</t>
  </si>
  <si>
    <t>SARASWATI COLLEGE OF ENGINEERING, KHARGHAR</t>
  </si>
  <si>
    <t>Sobha Realty  | Site Execution  | Bangalore  | May 2026 | Jul 2026 | 9 Weeks | Campus Internship
YOGESHWAR CONSTRUCTION | Site Engineer | PEN | May 2025 | Jul 2025 | 8 Weeks
IMARIKA INFRAPROJECTS | Site Engineer | Airoli, Navi Mumbai | Jan 2023 | Feb 2023 | 4 Weeks</t>
  </si>
  <si>
    <t>Certificate Course in AutoCAD</t>
  </si>
  <si>
    <t>P25700020</t>
  </si>
  <si>
    <t>NIKITHA</t>
  </si>
  <si>
    <t>M B</t>
  </si>
  <si>
    <t>Nikitha M B</t>
  </si>
  <si>
    <t>nikithagowda9399@gmail.com</t>
  </si>
  <si>
    <t>p25700020@student.nicmar.ac.in</t>
  </si>
  <si>
    <t>09-Mar-1999</t>
  </si>
  <si>
    <t>English, Kannada, Hindi</t>
  </si>
  <si>
    <t>2718 4029 1882</t>
  </si>
  <si>
    <t>BASAVARAJU</t>
  </si>
  <si>
    <t>BUSINESS &amp; AGRICULTURE</t>
  </si>
  <si>
    <t>JAYALAKSHIMI M</t>
  </si>
  <si>
    <t>#501 B Block, 2nd Cross, JP Nagar, Mysore</t>
  </si>
  <si>
    <t>Mysore</t>
  </si>
  <si>
    <t>Karnataka</t>
  </si>
  <si>
    <t>MARIMALLAPPA'S HIGH SCHOOL</t>
  </si>
  <si>
    <t>KARNATAKA SCHOOL EXAMINATION AND ASSESSMENT BOARD, KARNATAKA</t>
  </si>
  <si>
    <t>2013-Jun</t>
  </si>
  <si>
    <t>2014-Apr</t>
  </si>
  <si>
    <t>MARIMALLAPPA'S PU COLLEGE</t>
  </si>
  <si>
    <t>DEPARTMENT OF PRE-UNIVERSITY EDUCATION, KARNATAKA</t>
  </si>
  <si>
    <t>VISVESVARAYA TECHNOLOGICAL UNIVERSITY</t>
  </si>
  <si>
    <t>VIDYAVARDHAKA COLLEGE OF ENGINEEERING, MYSORE, KARNATAKA</t>
  </si>
  <si>
    <t>MS Office,MS Project,Primavera,Rivet Achitecture,3ds Max,AutoCAD 2D &amp; 3D, BIM, Stakeholder Management</t>
  </si>
  <si>
    <t>Godrej Properties Ltd | Contracts And Procurement Intern | Godrej Ananda, Bangalore, Karnataka | May 2026 | Jul 2026 | 8 Weeks | Campus Internship
VIVIDHA BUILDERS | QUANTITY SURVEYOR | MYSORE,KARNATAKA | Apr 2023 | Nov 2024 | 86 Weeks
G9 Projects | Site Engineer | Mysore,Karnataka | Jul 2019 | Aug 2019 | 4 Weeks</t>
  </si>
  <si>
    <t>P25700021</t>
  </si>
  <si>
    <t>SOUVIK</t>
  </si>
  <si>
    <t>PAUL</t>
  </si>
  <si>
    <t>Souvik Paul</t>
  </si>
  <si>
    <t>souvikpaul9725@gmail.com</t>
  </si>
  <si>
    <t>p25700021@student.nicmar.ac.in</t>
  </si>
  <si>
    <t>07-Jun-2000</t>
  </si>
  <si>
    <t>English, Hindi &amp; Bengali</t>
  </si>
  <si>
    <t>5705 4799 7563</t>
  </si>
  <si>
    <t>SAJAL PAUL</t>
  </si>
  <si>
    <t>PRATIVA PAUL</t>
  </si>
  <si>
    <t>Nangi Chakraborty Para, P.O - Batanagar, Maheshtala, Dist. - South 24 PGS. , Kolkata - 700140</t>
  </si>
  <si>
    <t>South 24 Parganas</t>
  </si>
  <si>
    <t>West Bengal</t>
  </si>
  <si>
    <t>BALLYGUNGE GOVT. HIGH SCHOOL</t>
  </si>
  <si>
    <t>WEST BENGAL BOARD OF SECONDARY EDUCATION (KOLKATA)</t>
  </si>
  <si>
    <t>2015-Jan</t>
  </si>
  <si>
    <t>WEST BENGAL COUNCIL OF HIGHER SECONDARY EDUCATION (KOLKATA)</t>
  </si>
  <si>
    <t>RAMAKRISHNA MISSION SHILPAPITHA (KOLKATA)</t>
  </si>
  <si>
    <t>MAULANA ABUL KALAM AZAD UNIVERSITY OF TECHNOLOGY</t>
  </si>
  <si>
    <t>MEGHNAD SAHA INSTITUTE OF TECHNOLOGY (KOLKATA)</t>
  </si>
  <si>
    <t>2024-Aug</t>
  </si>
  <si>
    <t>AutoCAD, MS Office, MS Project, Autodesk Revit, Primavera, Autodesk Navisworks</t>
  </si>
  <si>
    <t>Central Public Works Department (CPWD) | Project Intern – Execution &amp; Planning | Barrackpore, Kolkata, West Bengal | May 2026 | Jul 2026 | 9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</si>
  <si>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</si>
  <si>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P25700022</t>
  </si>
  <si>
    <t>AMIT</t>
  </si>
  <si>
    <t>ANSHUMAN</t>
  </si>
  <si>
    <t>PATRA</t>
  </si>
  <si>
    <t>Amit Anshuman Patra</t>
  </si>
  <si>
    <t>chirag98amit@gmail.com</t>
  </si>
  <si>
    <t>p25700022@student.nicmar.ac.in</t>
  </si>
  <si>
    <t>01-Jan-2000</t>
  </si>
  <si>
    <t>3690 9209 9221</t>
  </si>
  <si>
    <t>BIBEKANANDA PATRA</t>
  </si>
  <si>
    <t>ANITA MALLICK</t>
  </si>
  <si>
    <t>HOUSE MAKER</t>
  </si>
  <si>
    <t>PLOT NO-570/2245, BAC HOUSE , LANE 5C_x000D_
SHREE VIHAR, PATIA</t>
  </si>
  <si>
    <t>Bhubaneswar</t>
  </si>
  <si>
    <t>ODM PUBLIC SCHOOL</t>
  </si>
  <si>
    <t>CENTRAL BOARD OF SECONDARY EDUCATION. DELHI</t>
  </si>
  <si>
    <t>2014-May</t>
  </si>
  <si>
    <t>KIIT INTERNATIONAL SCHOOL</t>
  </si>
  <si>
    <t>BIJU PATNAIK UNIVERSITY OF TECHNOLOGY, ODISHA</t>
  </si>
  <si>
    <t>INDIRA GANDHI INSTITUTE OF TECHNOLOGY, SARANG, DHENKANAL, ODISHA</t>
  </si>
  <si>
    <t>UNIVERSITY OF MANCHESTER</t>
  </si>
  <si>
    <t>2023-Sep</t>
  </si>
  <si>
    <t>2024-Sep</t>
  </si>
  <si>
    <t>AutoCAD,MS Office,MS Project,Primavera,STADD PRO,ANSYS,LAB VIEW</t>
  </si>
  <si>
    <t>Bharat Heavy Electricals Limited | Site Execution Control | Talcher, Odisha | May 2026 | Jul 2026 | 9 Weeks | Campus Internship
GOVERNMENT OF ODISHA, WORKS DEPARTMENT | AAPRENTICESHIP TRAINEE | BHUBANESWAR | Dec 2022 | Sep 2023 | 39 Weeks</t>
  </si>
  <si>
    <t>Post Graduate Diploma in Structural Engineering</t>
  </si>
  <si>
    <t>P25700023</t>
  </si>
  <si>
    <t>JUSTIN</t>
  </si>
  <si>
    <t>JOSEPH</t>
  </si>
  <si>
    <t>Justin Joseph</t>
  </si>
  <si>
    <t>0602justin@gmail.com</t>
  </si>
  <si>
    <t>p25700023@student.nicmar.ac.in</t>
  </si>
  <si>
    <t>25-Jun-2001</t>
  </si>
  <si>
    <t>3612 3170 1274</t>
  </si>
  <si>
    <t>JOSEPH MATHEW</t>
  </si>
  <si>
    <t>MINIMOL THOMAS</t>
  </si>
  <si>
    <t>AYYANKARY THURAVASSERY,CHAMPAKULAM</t>
  </si>
  <si>
    <t>Alappuzha</t>
  </si>
  <si>
    <t>ST.JOSEPH'S HSS PULINCUNNOO KERALA</t>
  </si>
  <si>
    <t>ST.MARY'S HSS CHAMPAKULAM KERALA</t>
  </si>
  <si>
    <t>BOARD OF HIGHER SECONDARY EXAMINATIONS</t>
  </si>
  <si>
    <t>APJ ABDUL KALAM TECHNOLOGICAL UNIVERSITY KERALA</t>
  </si>
  <si>
    <t>SAINTGITS COLLEGE OF ENGINEERING PATHAMUTTOM KOTTAYAM KERALA</t>
  </si>
  <si>
    <t>AutoCAD,MS Office,MS Project,REVIT,BIM</t>
  </si>
  <si>
    <t>TECHNOLOGY AND GOVERNANCE SUPPORT FORUM | PROJECT ENGINEER | Alappuzha | Jun 2024 | Jun 2025 | 1 Years, 0 Months, 27 Days | 1.8</t>
  </si>
  <si>
    <t>Cherry Hill Interiors | Site Execution Intern | Chennai | May 2026 | Jul 2026 | 8 Weeks | Campus Internship
J M J DEVELOPERS | CIVIL ENGINEERING INTERN | CHANGANACHERRY | Jul 2023 | May 2024 | 46 Weeks</t>
  </si>
  <si>
    <t>BIM Professional Cousre</t>
  </si>
  <si>
    <t>P25700024</t>
  </si>
  <si>
    <t>RAHUL</t>
  </si>
  <si>
    <t>P</t>
  </si>
  <si>
    <t>Rahul P Raju</t>
  </si>
  <si>
    <t>rahulpothiyil@gmail.com</t>
  </si>
  <si>
    <t>p25700024@student.nicmar.ac.in</t>
  </si>
  <si>
    <t>02-Feb-2002</t>
  </si>
  <si>
    <t>English, Malayalam</t>
  </si>
  <si>
    <t>Football</t>
  </si>
  <si>
    <t>4742 8347 1716</t>
  </si>
  <si>
    <t>RAJU P.M</t>
  </si>
  <si>
    <t>EX-GULF</t>
  </si>
  <si>
    <t>RASMI RAJU</t>
  </si>
  <si>
    <t>Pothiyil House
Edathirinji P.O
Thrissur</t>
  </si>
  <si>
    <t>Thrissur</t>
  </si>
  <si>
    <t>Pothiyil House_x000D_
Edathirinji P.O_x000D_
Thrissur_x000D_</t>
  </si>
  <si>
    <t>CHRIST VIDYANIKETHAN</t>
  </si>
  <si>
    <t>ICSE</t>
  </si>
  <si>
    <t>S.N.H.S.S</t>
  </si>
  <si>
    <t>STATE</t>
  </si>
  <si>
    <t>CHRIST COLLEGE OF ENGINEERING , IRINJALAKUDA , KERALA</t>
  </si>
  <si>
    <t>2024-Apr</t>
  </si>
  <si>
    <t>AutoCAD,MS Project</t>
  </si>
  <si>
    <t>Uralungal Labour Contract Co-operative Society | Site Execution | Ernakulam | May 2026 | Jul 2026 | 7 Weeks | Campus Internship
LSGD Palakkad | Civil Engineering Intern | Palakkad | May 2023 | May 2023 | 1 Weeks
LSGD Muriyad | Civil Engineering Intern | Muriyad | Mar 2024 | Apr 2024 | 4 Weeks
KSCSTE-NATPAC | TRAFFIC ENGINEERING INTERN | THRISSUR | Feb 2023 | Mar 2023 | 0 Weeks</t>
  </si>
  <si>
    <t>Sketchup and Lumion
AutoCAD</t>
  </si>
  <si>
    <t>P25700026</t>
  </si>
  <si>
    <t>SAHIL</t>
  </si>
  <si>
    <t>KUMAR</t>
  </si>
  <si>
    <t>SINHA</t>
  </si>
  <si>
    <t>Sahil Kumar Sinha</t>
  </si>
  <si>
    <t>sahilkumarsinha036@gmail.com</t>
  </si>
  <si>
    <t>p25700026@student.nicmar.ac.in</t>
  </si>
  <si>
    <t>22-Mar-2002</t>
  </si>
  <si>
    <t>9555 7148 6852</t>
  </si>
  <si>
    <t>MANOJ KUMAR SINHA</t>
  </si>
  <si>
    <t>RANJU SINHA</t>
  </si>
  <si>
    <t>Flat No 303 Kishundhari Enclave New Punaichak Patna</t>
  </si>
  <si>
    <t>D A V PUBLIC SCHOOL BSEB COLONY PATNA BIHAR</t>
  </si>
  <si>
    <t>CENTRAL BOARD OF SECONDARY EDUCATION PATNA BIHAR</t>
  </si>
  <si>
    <t>VIDYA NIKETAN PO SARAI MANER DANAPUR PATNA BIHAR</t>
  </si>
  <si>
    <t>KIIT UNIVERSITY BHUBANESWAR ODISHA</t>
  </si>
  <si>
    <t>KALINGA INSTITUTE OF INDUSTRIAL TECHNOLOGY BHUBANESWAR ODISHA</t>
  </si>
  <si>
    <t>Convenient Construction Consultancy Pvt Ltd | Planning Intern | Bhubaneswar Odisha | May 2026 | Jul 2026 | 9 Weeks | Campus Internship
SWASTIK INFRALOGICS PVT.LTD | Intern | AURANGABAD BIHAR | May 2023 | Jun 2023 | 4 Weeks
NATIONAL COUNCIL FOR CEMENT AND BUILDING MATERIALS | Intern | BHUBANESWAR ODISHA | Jun 2022 | Jul 2022 | 4 Weeks</t>
  </si>
  <si>
    <t>P25700027</t>
  </si>
  <si>
    <t>ADARSH</t>
  </si>
  <si>
    <t>YAPALPARVI</t>
  </si>
  <si>
    <t>Adarsh Yapalparvi</t>
  </si>
  <si>
    <t>adarsh.01y@gmail.com</t>
  </si>
  <si>
    <t>p25700027@student.nicmar.ac.in</t>
  </si>
  <si>
    <t>27-Sep-2000</t>
  </si>
  <si>
    <t>English, Hindi, Kannada, Telugu</t>
  </si>
  <si>
    <t>8802 5179 6624</t>
  </si>
  <si>
    <t>MANJUNATH</t>
  </si>
  <si>
    <t>LICENSED LAND SURVEYOR</t>
  </si>
  <si>
    <t>SHIVARANJANI</t>
  </si>
  <si>
    <t>S/O MANJUNATH YAPALPARVI_x000D_
NEAR BSNL OFFICE,_x000D_
ABOVE PATANJALI SHOP ,_x000D_
NAVALI ROAD , KARATAGI</t>
  </si>
  <si>
    <t>Koppal</t>
  </si>
  <si>
    <t>S/O Manjunath Yapalparvi, 5th Ward_x000D_
Karatagi, PO: Karatagi</t>
  </si>
  <si>
    <t>SRI VIDYANIKETAN PUBLIC SCHOOL</t>
  </si>
  <si>
    <t>CENTRAL BOARD OF SECONDARY EDUCATION, SRIRAMNAGAR/KARNATAKA</t>
  </si>
  <si>
    <t>ALVAS PRE UNIVERSITY COLLEGE</t>
  </si>
  <si>
    <t>AUTONOMOUS COLLEGE UNDER VISVESYARAYA TECHNOLOGICAL UNIVERSITY</t>
  </si>
  <si>
    <t>B M S COLLEGE OF ENGINEERING BENGALURU/KARNATAKA</t>
  </si>
  <si>
    <t>Shapoorji Pallonji Engineering and Construction | Construction Engineer | Phulbani (Odisha) and Hyderabad | Aug 2023 | Jan 2025 | 1 Years, 5 Months, 0 Days | 4.25</t>
  </si>
  <si>
    <t>17 month(s)</t>
  </si>
  <si>
    <t>V.P. KARIKAL Engineer | Project Planning | Ganagavathi | May 2026 | Jul 2026 | 8 Weeks | Campus Internship
Rao Construction and Builders | Trainee | Bengaluru | Sep 2022 | Oct 2022 | 4 Weeks</t>
  </si>
  <si>
    <t>P25700029</t>
  </si>
  <si>
    <t>ELDHO</t>
  </si>
  <si>
    <t>V</t>
  </si>
  <si>
    <t>SLEEBA</t>
  </si>
  <si>
    <t>Eldho V Sleeba</t>
  </si>
  <si>
    <t>eldhovsleeba11@gmail.com</t>
  </si>
  <si>
    <t>p25700029@student.nicmar.ac.in</t>
  </si>
  <si>
    <t>5558 3334 8186</t>
  </si>
  <si>
    <t>SLEEBA V PAUL</t>
  </si>
  <si>
    <t>FARM OFFICER</t>
  </si>
  <si>
    <t>BIJI KURIAKOSE</t>
  </si>
  <si>
    <t>Vakkanampadathil House,_x000D_
Kureekkad P.O, Tripunithura</t>
  </si>
  <si>
    <t>KENDRIYA VIDYALAYA NO 2, NAVAL BASE, KOCHI</t>
  </si>
  <si>
    <t>CENTRAL BOARD OF SECONDARY EDUCATION - ERNAKULAM, KERALA</t>
  </si>
  <si>
    <t>MUTHOOT INSTITUTE OF TECHNOLOGY AND SCIENCE - VARIKOLI, ERNAKULAM, KERALA</t>
  </si>
  <si>
    <t>AutoCAD,MS Office,MS Project,REVIT,ETABS</t>
  </si>
  <si>
    <t>Buildit PMC Pvt Ltd. | Site Engineer | Ernakulam, Kerala | Dec 2022 | Sep 2024 | 1 Years, 8 Months, 26 Days | 1.8</t>
  </si>
  <si>
    <t>Cherry Hill Interiors Pvt Ltd | Site Execution - Projects | Bangalore | May 2026 | Jul 2026 | 8 Weeks | Campus Internship</t>
  </si>
  <si>
    <t>Etabs - Structural 3D Analysis
Revit Architecture
Foundations of Project management
Cambridge English Level 1 Certificate in ESOL International (Business Preliminary)</t>
  </si>
  <si>
    <t>P25700030</t>
  </si>
  <si>
    <t>NIHAL</t>
  </si>
  <si>
    <t>ROY</t>
  </si>
  <si>
    <t>Nihal Roy</t>
  </si>
  <si>
    <t>nihalroyhsp@gmail.com</t>
  </si>
  <si>
    <t>p25700030@student.nicmar.ac.in</t>
  </si>
  <si>
    <t>18-Aug-2000</t>
  </si>
  <si>
    <t>ENGLISH, HINDI, PUNJABI</t>
  </si>
  <si>
    <t>6551 4890 8152</t>
  </si>
  <si>
    <t>HARE RAM ROY</t>
  </si>
  <si>
    <t>BABITA KUMARI</t>
  </si>
  <si>
    <t>B-25/380A, Moh- Sunder Nagar, Po- Rahimpur</t>
  </si>
  <si>
    <t>Hoshiarpur</t>
  </si>
  <si>
    <t>ST.JOSEPH'S CONVENT SCHOOL</t>
  </si>
  <si>
    <t>HOSHIARPUR/PUNJAB</t>
  </si>
  <si>
    <t>2009-Apr</t>
  </si>
  <si>
    <t>SDS VIDYA MANDIR</t>
  </si>
  <si>
    <t>SAMASTIPUR/BIHAR</t>
  </si>
  <si>
    <t>2016-Jul</t>
  </si>
  <si>
    <t>PT.JR GOVT. POLYTECHNIC COLLEGE</t>
  </si>
  <si>
    <t>THAPAR INSTITUTE OF ENGINEERING &amp; TECHNOLOGY (DEEMED-TO-BE-UNIVERSITY)</t>
  </si>
  <si>
    <t>THAPAR INSTITUTE OF ENGINEERING AND TECHNOLOGY</t>
  </si>
  <si>
    <t>2022-Jul</t>
  </si>
  <si>
    <t>2025-Jul</t>
  </si>
  <si>
    <t>HR Builder | Intern | Ludhiana | May 2026 | Jul 2026 | 8 Weeks | Campus Internship
Angelica Developers ( A subsidiary of Bharti Realty limited ) | Intern | Aerocity, New Delhi | Jun 2024 | Dec 2024 | 26 Weeks</t>
  </si>
  <si>
    <t>P25700032</t>
  </si>
  <si>
    <t>SAI</t>
  </si>
  <si>
    <t>YEDLA</t>
  </si>
  <si>
    <t>Sai Chand Yedla</t>
  </si>
  <si>
    <t>saichandyedla@gmail.com</t>
  </si>
  <si>
    <t>p25700032@student.nicmar.ac.in</t>
  </si>
  <si>
    <t>30-Aug-2004</t>
  </si>
  <si>
    <t>English, Telugu, and Hindi</t>
  </si>
  <si>
    <t>4538 0362 3480</t>
  </si>
  <si>
    <t>SRINIVASA RAO YEDLA</t>
  </si>
  <si>
    <t>PRIVATE</t>
  </si>
  <si>
    <t>LAVANYA YEDLA</t>
  </si>
  <si>
    <t>36-13-12, KALIMIREDDY VAARI STREET, INNISPETA, RAJAHMUNDRY URBAN, EAST GODAVARI, ANDHRA PRADESH- 533101.</t>
  </si>
  <si>
    <t>East Godavari</t>
  </si>
  <si>
    <t>SRI CHAITANYA TECHNO SCHOOL MORAMPUDI</t>
  </si>
  <si>
    <t>BOARD OF SECONDARY EDUCATION ANDHRA PRADESH</t>
  </si>
  <si>
    <t>PRATHIBHA JUNIOR COLLEGE</t>
  </si>
  <si>
    <t>BOARD OF INTERMEDIATE EDUCATION ANDHRA PRADESH</t>
  </si>
  <si>
    <t>SAGI RAMA KRISHNAM RAJU ENGINEERING COLLEGE</t>
  </si>
  <si>
    <t>AutoCAD,MS Office,MS Project,Primavera,REVIT,CostX</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</si>
  <si>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</si>
  <si>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P25700033</t>
  </si>
  <si>
    <t>HEMANTH</t>
  </si>
  <si>
    <t>GORLE</t>
  </si>
  <si>
    <t>Hemanth Kumar Gorle</t>
  </si>
  <si>
    <t>hemanthkumargorle2003@gmail.com</t>
  </si>
  <si>
    <t>p25700033@student.nicmar.ac.in</t>
  </si>
  <si>
    <t>02-Jul-2003</t>
  </si>
  <si>
    <t>English,Telugu</t>
  </si>
  <si>
    <t>8519 0266 4598</t>
  </si>
  <si>
    <t>GORLE TIRUPATI RAO</t>
  </si>
  <si>
    <t>GORLE VANAJAKSHI</t>
  </si>
  <si>
    <t>Kotta Veedhi Rajagopalapuram Palasa Srikakulam Andhra Pradesh - 532221</t>
  </si>
  <si>
    <t>Srikakulam</t>
  </si>
  <si>
    <t>SRI CHAITANYA SCHOOL</t>
  </si>
  <si>
    <t>ANDHRA STATE BOARD</t>
  </si>
  <si>
    <t>SRI VISWA JUNIOR COLLEGE</t>
  </si>
  <si>
    <t>GANDHI INSTITUTE OF TECHNOLOGY AND MANAGEMENT</t>
  </si>
  <si>
    <t>GITAM, VISAKHAPATNAM</t>
  </si>
  <si>
    <t>NAVAYUGA ENGINEERING COMPANY LTD. | PROJECT MANAGEMENT INTERN | PUNE | May 2026 | Jul 2026 | 8 Weeks | Campus Internship
SVS MOOKAMBIKA CONSTRUCTIONS PVT LTD | INTERN | VISAKHAPATNAM | May 2024 | Jun 2024 | 4 Weeks</t>
  </si>
  <si>
    <t>P25700034</t>
  </si>
  <si>
    <t>BHARATH</t>
  </si>
  <si>
    <t>KOYYA</t>
  </si>
  <si>
    <t>Bharath Koyya</t>
  </si>
  <si>
    <t>p25700034@student.nicmar.ac.in</t>
  </si>
  <si>
    <t>09-May-2004</t>
  </si>
  <si>
    <t>English, Hindi, Telugu</t>
  </si>
  <si>
    <t>8038 3840 6926</t>
  </si>
  <si>
    <t>KOYYA APPALANAIDU</t>
  </si>
  <si>
    <t>KOYYA PADMA</t>
  </si>
  <si>
    <t>14-35/2, G. Thimmapuram, Near Vignan World One School, Visakhapatnam, Andhra Pradesh.</t>
  </si>
  <si>
    <t>Visakhapatnam</t>
  </si>
  <si>
    <t>THE PRESIDENTIAL SCHOOL</t>
  </si>
  <si>
    <t>CBSE, VISAKHAPATNAM</t>
  </si>
  <si>
    <t>2013-Mar</t>
  </si>
  <si>
    <t>RAVI JUNIOR COLLEGE</t>
  </si>
  <si>
    <t>SSC, VISAKHAPATNAM</t>
  </si>
  <si>
    <t>AutoCAD,MS Office,MS Project,Primavera,CostX,Revit</t>
  </si>
  <si>
    <t>Sai Constructions &amp; Electrical Works | Intern | Hyderabad | May 2026 | Jul 2026 | 8 Weeks | Campus Internship
SVS MOOKAMBIKA | INTERN | VISAKHAPATNAM | May 2024 | Jun 2024 | 4 Weeks</t>
  </si>
  <si>
    <t>P25700035</t>
  </si>
  <si>
    <t>AKSHITA</t>
  </si>
  <si>
    <t>ARUN</t>
  </si>
  <si>
    <t>BURANDE</t>
  </si>
  <si>
    <t>Akshita Arun Burande</t>
  </si>
  <si>
    <t>akshitaburande85@gmail.com</t>
  </si>
  <si>
    <t>p25700035@student.nicmar.ac.in</t>
  </si>
  <si>
    <t>17-Jul-2000</t>
  </si>
  <si>
    <t>English, Hindi &amp; Marathi</t>
  </si>
  <si>
    <t>7033 0970 6210</t>
  </si>
  <si>
    <t>ARUN PARASHRAMJI BURANDE</t>
  </si>
  <si>
    <t>ASHA ARUN BURANDE</t>
  </si>
  <si>
    <t>283, Jaidurga Society No.1, Near Vitthal Rukmini Mandir,  Narendra Nagar, Nagpur</t>
  </si>
  <si>
    <t>R.S. MUNDLE ENGLISH SCHOOL</t>
  </si>
  <si>
    <t>SANTAJI MAHAVIDYALAYA</t>
  </si>
  <si>
    <t>2018-Feb</t>
  </si>
  <si>
    <t>SMT. MANORAMABAI MUNDLE COLLEGE OF ARCHITECTURE</t>
  </si>
  <si>
    <t>Architecture Design &amp; Planning</t>
  </si>
  <si>
    <t>AutoCAD,MS Office,MS Project,Autodesk Revit,Rhinoceros 3D,Lumion,Sketchup,Photoshop</t>
  </si>
  <si>
    <t>Collective Praxis DPM LLP | Junior Architect | Nagpur | Jun 2024 | Jun 2025 | 0 Years, 11 Months, 28 Days | 1.44
SUPPOSE ARCHITECTURE STUDIO | Junior Architect | Nagpur | Oct 2023 | May 2024 | 0 Years, 7 Months, 19 Days | 1.2</t>
  </si>
  <si>
    <t>19 month(s)</t>
  </si>
  <si>
    <t>Archi Builders and Developers Pvt. Ltd | Project Management Intern | Nagpur  | May 2026 | Jul 2026 | 8 Weeks | Campus Internship
D.Studio Architects | Intern | Nagpur | Aug 2022 | Oct 2022 | 9 Weeks
Shitesh Agrawal Architects | Intern | Pune | Feb 2022 | Jul 2022 | 25 Weeks</t>
  </si>
  <si>
    <t>P25700036</t>
  </si>
  <si>
    <t>NAMITHA</t>
  </si>
  <si>
    <t>SHARAN</t>
  </si>
  <si>
    <t>A</t>
  </si>
  <si>
    <t>Namitha Sharan A</t>
  </si>
  <si>
    <t>namithamba2025@gmail.com</t>
  </si>
  <si>
    <t>p25700036@student.nicmar.ac.in</t>
  </si>
  <si>
    <t>05-May-2004</t>
  </si>
  <si>
    <t>English,Tamil,Hindi</t>
  </si>
  <si>
    <t>7746 8480 1756</t>
  </si>
  <si>
    <t>ALWIN GNANASEHAR.S</t>
  </si>
  <si>
    <t>ENGINEER</t>
  </si>
  <si>
    <t>HEMALATHA.A</t>
  </si>
  <si>
    <t>6/21,7TH,STREET ,NEHRU COLONY,NANGANALLUR,CHENNAI 6000114</t>
  </si>
  <si>
    <t>Chennai</t>
  </si>
  <si>
    <t>PRINCE MATRICULATION HIGHER SECONDARY SCHOOL</t>
  </si>
  <si>
    <t>COLLEGE OF ENGINEERING, GUINDY</t>
  </si>
  <si>
    <t>AutoCAD,MS Office,MS Project,Primavera,Cost X,Revit</t>
  </si>
  <si>
    <t>Address Advisors Private Limited | Intern – Corporate Real Estate Team | chennai | May 2026 | Jul 2026 | 8 Weeks | Campus Internship
LARSEN &amp; TOUBRO | INTERN-EDRC DEPARTMENT  | MANAPAKKAM ,CHENNAI,TAMILNADU. | Jun 2024 | Jul 2024 | 4 Weeks</t>
  </si>
  <si>
    <t>Finance for Non-Financial Managers
TBMs,Pile Rigs,Cranes &amp; Hauling Vehicles
Construction Equipment Maintenance &amp; Safety</t>
  </si>
  <si>
    <t>P25700037</t>
  </si>
  <si>
    <t>UTKARSH</t>
  </si>
  <si>
    <t>VILASRAO</t>
  </si>
  <si>
    <t>SATHE</t>
  </si>
  <si>
    <t>Utkarsh Vilasrao Sathe</t>
  </si>
  <si>
    <t>satheutkarsh456@gmail.com</t>
  </si>
  <si>
    <t>p25700037@student.nicmar.ac.in</t>
  </si>
  <si>
    <t>12-Feb-2000</t>
  </si>
  <si>
    <t>7056 5553 1904</t>
  </si>
  <si>
    <t>LABOUR</t>
  </si>
  <si>
    <t>NISHA</t>
  </si>
  <si>
    <t>HOUSE NO.381,WARD NO.12,SUBHASH CHOWK,GOND PLOT.</t>
  </si>
  <si>
    <t>CHANAKYA SCHOOL OF INTELLIGENCE</t>
  </si>
  <si>
    <t>MAHARASHTRA STATE BOARD OF SECONDARY AND HIGHER SECONDARY EDUCATION,WARDHA,MAHARASHTRA</t>
  </si>
  <si>
    <t>SHRI VIDYAVATI DEODIYA VIDYALAYA AND JUNIOR COLLEGE</t>
  </si>
  <si>
    <t>MAHARASHTRA STATE BOARD OF SECONDARY AND HIGHER SECONDARY EDUCATION,NAGPUR</t>
  </si>
  <si>
    <t>DR. BABASAHEB AMBEDKAR TECHNOLOGICAL UNIVERSITY,LONERE</t>
  </si>
  <si>
    <t>BAJAJ INSTITUTE OF TECHNOLOGY,WARDHA,MAHARASHTRA</t>
  </si>
  <si>
    <t>AutoCAD,MS Office,Revit-architecture</t>
  </si>
  <si>
    <t>Suryapriya Construction Pvt. Ltd. | Site Execution, QS+Billing | Bengaluru | May 2026 | Jul 2026 | 8 Weeks | Campus Internship
PWD | TRAINEE EXECUTION ENGINEER | SELOO, WARDHA | Feb 2022 | Jul 2022 | 25 Weeks</t>
  </si>
  <si>
    <t>P25700038</t>
  </si>
  <si>
    <t>SANKET</t>
  </si>
  <si>
    <t>KANHERE</t>
  </si>
  <si>
    <t>Sanket Vijay Kanhere</t>
  </si>
  <si>
    <t>sanketkanhere03@gmail.com</t>
  </si>
  <si>
    <t>p25700038@student.nicmar.ac.in</t>
  </si>
  <si>
    <t>22-Feb-2003</t>
  </si>
  <si>
    <t>3298 9198 3819</t>
  </si>
  <si>
    <t>VIJAY KANHERE</t>
  </si>
  <si>
    <t>MAYA KANHERE</t>
  </si>
  <si>
    <t>Plot No. 36 S/E Railway Coloney Pratap Nagar, Nagpur</t>
  </si>
  <si>
    <t>NARAYANA VIDYALAYAM</t>
  </si>
  <si>
    <t>CBSE, NAGPUR/MAHARASHTRA</t>
  </si>
  <si>
    <t>MKH SANCHETI PUBLIC SCHOOL AND COLLEGE</t>
  </si>
  <si>
    <t>STATE BOARD , NAGPUR/MAHARASHTRA</t>
  </si>
  <si>
    <t>YESHWANTRAO CHAVAN COLLEGE OF ENGINEERING, NAGPUR/MAHARASTRA</t>
  </si>
  <si>
    <t>AutoCAD,MS Office,MS Project,Primavera,Revit,StaadPro</t>
  </si>
  <si>
    <t>Sagar Skyscrapers LLP | Junior Trainee Engineer | Manjri, Pune | May 2026 | Jun 2026 | 7 Weeks | Campus Internship
Siddh Constructions |  Intern- Site Execution | Nagpur  | Jan 2025 | Apr 2025 | 16 Weeks</t>
  </si>
  <si>
    <t>P25700039</t>
  </si>
  <si>
    <t>LALNGHAKLIEN</t>
  </si>
  <si>
    <t>CHONZIK</t>
  </si>
  <si>
    <t>Joseph Lalnghaklien Chonzik</t>
  </si>
  <si>
    <t>jojochonzik@gmail.com</t>
  </si>
  <si>
    <t>p25700039@student.nicmar.ac.in</t>
  </si>
  <si>
    <t>30-Nov-1998</t>
  </si>
  <si>
    <t>English, Hindi, Assamese, Hmar</t>
  </si>
  <si>
    <t>7155 1093 1588</t>
  </si>
  <si>
    <t>CHAWNGROLIEN CHONZIK</t>
  </si>
  <si>
    <t>DOCTOR</t>
  </si>
  <si>
    <t>RACHEL CHONZIK</t>
  </si>
  <si>
    <t>3C Nirvana Enclave, Basisthapur Byelane 3, Beltola, Guwahati</t>
  </si>
  <si>
    <t>Kamrup Metropolitan</t>
  </si>
  <si>
    <t>Assam</t>
  </si>
  <si>
    <t>DON BOSCO SCHOOL</t>
  </si>
  <si>
    <t>CENTRAL BOARD OF SECONDARY EDUCATION, GUWAHATI</t>
  </si>
  <si>
    <t>SCHOOL OF PLANNING AND ARCHITECTURE</t>
  </si>
  <si>
    <t>SCHOOL OF PLANNING AND ARCHITECTURE, BHOPAL</t>
  </si>
  <si>
    <t>Architecture</t>
  </si>
  <si>
    <t>AutoCAD, MS Office, MS Project, Primavera, Sketchup, Photoshop, REVIT</t>
  </si>
  <si>
    <t>Myriad Hues | Junior Architect | Bangalore | May 2023 | Oct 2024 | 1 Years, 4 Months, 25 Days | 2.16</t>
  </si>
  <si>
    <t>16 month(s)</t>
  </si>
  <si>
    <t>Revespaces | Interior designer | Wakad, Pune | May 2026 | Jul 2026 | 8 Weeks | Campus Internship
Sustainable Organisation for Innovation and Living | Intern architect | Namchi, Sikkim | Jun 2021 | Dec 2021 | 25 Weeks</t>
  </si>
  <si>
    <t>P25700041</t>
  </si>
  <si>
    <t>SADICHHA</t>
  </si>
  <si>
    <t>PATTNAIK</t>
  </si>
  <si>
    <t>Sadichha Pattnaik</t>
  </si>
  <si>
    <t>sadichhapattnaik@gmail.com</t>
  </si>
  <si>
    <t>p25700041@student.nicmar.ac.in</t>
  </si>
  <si>
    <t>22-Mar-1998</t>
  </si>
  <si>
    <t>English,Hindi,Odia</t>
  </si>
  <si>
    <t>7504 7167 5175</t>
  </si>
  <si>
    <t>BIBHUTI BHUSAN PATTNAIK</t>
  </si>
  <si>
    <t>SANJU PATTNAIK</t>
  </si>
  <si>
    <t>LECTURER</t>
  </si>
  <si>
    <t>PLOT.NO-317C, Infront Of The Emerald Apartment, Laxmisagar</t>
  </si>
  <si>
    <t>DAV PUBLIC SCHOOL,UNIT-VIII,BHUBANESWAR</t>
  </si>
  <si>
    <t>CENTRAL BOARD OF SECONDARY EDUCATION, BHUBANESWAR,ODISHA</t>
  </si>
  <si>
    <t>BJB JUNIOR COLLEGE, BHUBANESWAR</t>
  </si>
  <si>
    <t>COUNCIL OF HIGHER SECONDARY EDUCATION, BHUBANESWAR, ODISHA</t>
  </si>
  <si>
    <t>2013-Jul</t>
  </si>
  <si>
    <t>VEER SURENDRA SAI UNIVERSITY OF TECHNOLOGY,BURLA</t>
  </si>
  <si>
    <t>Structural Engineering</t>
  </si>
  <si>
    <t>M.Tech</t>
  </si>
  <si>
    <t>AutoCAD,MS Office,MS Project,Primavera,STAAD Pro.</t>
  </si>
  <si>
    <t>Larsen &amp; Toubro Construction, B&amp;F | Intern | Cuttack, Odisha | May 2026 | Jul 2026 | 9 Weeks | Campus Internship
MINISTRY OF HOUSING AND URBAN AFFAIRS | TULIP INTERN at Bhubaneswar Municipal Corporation | BHUBANESWAR | Feb 2024 | Feb 2025 | 52 Weeks
CENTRAL PUBLIC WORKS DEPARTMENT | INTERN | BHUBANESWAR | May 2019 | Jun 2019 | 4 Weeks
Central Tool Room and Training Center | Intern | Bhubaneswar | Jun 2019 | Jun 2019 | 4 Weeks</t>
  </si>
  <si>
    <t>P25700042</t>
  </si>
  <si>
    <t>SANJYOT</t>
  </si>
  <si>
    <t>Sanjyot S</t>
  </si>
  <si>
    <t>sanjyot1215@gmail.com</t>
  </si>
  <si>
    <t>p25700042@student.nicmar.ac.in</t>
  </si>
  <si>
    <t>15-Dec-1999</t>
  </si>
  <si>
    <t>English,Hindi, Marathi</t>
  </si>
  <si>
    <t>9863 6603 3981</t>
  </si>
  <si>
    <t>SOMESHWAR SULGADLE</t>
  </si>
  <si>
    <t>JYOTI SULGADLE</t>
  </si>
  <si>
    <t>Trupti Plot No. 66 Yogi Rajendra Nagar Vijapur Road Solapur</t>
  </si>
  <si>
    <t>SULGADLE SANJYOT SOMESHWAR</t>
  </si>
  <si>
    <t>STATE BOARD OF MAHARASHTRA</t>
  </si>
  <si>
    <t>2005-Jun</t>
  </si>
  <si>
    <t>SRI CHAITANYA JUNIOR KALASALA</t>
  </si>
  <si>
    <t>SOLAPUR UNIVERISTY</t>
  </si>
  <si>
    <t>WALCHAND INSTITUTE OF TECHNOLOGY, SOLAPUR</t>
  </si>
  <si>
    <t>SOLAPUR UNIVERSITY</t>
  </si>
  <si>
    <t>AutoCAD,MS Office,MS Project,Primavera,Staad Pro,ETABS,Navisworks</t>
  </si>
  <si>
    <t>Spec Technical Solutions Pvt Ltd | Trainee Civil Engineer  | Belapur CBD | Apr 2024 | Jun 2025 | 1 Years, 2 Months, 4 Days | 2.65</t>
  </si>
  <si>
    <t>Banglore Metro Rail Corporation Limited | Execution | Casting Yard, Bagluru Cross, Yelahanka, Banglore. | May 2026 | Jul 2026 | 8 Weeks | Campus Internship
RAJ UTTARA GROUP | SITE ENGINEER  | DHARASHIV | Apr 2023 | Mar 2024 | 51 Weeks</t>
  </si>
  <si>
    <t>P25700043</t>
  </si>
  <si>
    <t>BHAIRAVI</t>
  </si>
  <si>
    <t>DINESH</t>
  </si>
  <si>
    <t>Bhairavi Dinesh Patil</t>
  </si>
  <si>
    <t>bhairavi.d.patil@gmail.com</t>
  </si>
  <si>
    <t>p25700043@student.nicmar.ac.in</t>
  </si>
  <si>
    <t>23-Aug-2001</t>
  </si>
  <si>
    <t>ENGLISH, HINDI, KANNADA, MARATHI</t>
  </si>
  <si>
    <t>2971 2585 9001</t>
  </si>
  <si>
    <t>DINESH V PATIL</t>
  </si>
  <si>
    <t>SELF EMPLOYED</t>
  </si>
  <si>
    <t>DEEPA D PATIL</t>
  </si>
  <si>
    <t>'Shri Mataurobindo Krupa', #10 SBI Colony, Keshav Nagar, Dharwad</t>
  </si>
  <si>
    <t>Dharwad</t>
  </si>
  <si>
    <t>KENDRIYA VIDYALAYA</t>
  </si>
  <si>
    <t>SMT. VIDYA P HANCHINMANI</t>
  </si>
  <si>
    <t>GOVERNMENT OF KARNATAKA</t>
  </si>
  <si>
    <t>KLE TECHNOLOGICAL UNIVERSITY</t>
  </si>
  <si>
    <t>KLE TECHNOLOGICAL UNIVERSITY HUBBALLI</t>
  </si>
  <si>
    <t>AutoCAD,MS Office,MS Project,Primavera,Revit,SketchUp,CostX</t>
  </si>
  <si>
    <t>Chandroo Iyer Associates | Junior Architect | Bangalore | Aug 2023 | Oct 2024 | 1 Years, 2 Months, 4 Days | 3.06</t>
  </si>
  <si>
    <t>Convergence Property Development Services Pvt. Ltd. | Project Management Intern | Bangalore | May 2026 | Jun 2026 | 7 Weeks | Campus Internship
THINKSPACE ARCHITECTS | ARCHITECTAL INTERN | HUBBALLI | Jan 2022 | May 2022 | 17 Weeks</t>
  </si>
  <si>
    <t>P25700044</t>
  </si>
  <si>
    <t>MUKTHAR</t>
  </si>
  <si>
    <t>SAMAD</t>
  </si>
  <si>
    <t>Mukthar A Samad</t>
  </si>
  <si>
    <t>mukthar.samad02@gmail.com</t>
  </si>
  <si>
    <t>p25700044@student.nicmar.ac.in</t>
  </si>
  <si>
    <t>29-Apr-2002</t>
  </si>
  <si>
    <t>English,Malayalam</t>
  </si>
  <si>
    <t>6435 7597 6630</t>
  </si>
  <si>
    <t>C I ABDUL SAMAD</t>
  </si>
  <si>
    <t>SAFIYA SAMAD</t>
  </si>
  <si>
    <t>Fathima Manzil Pallarimangalam PO Pallarimangalam Kothamangalam</t>
  </si>
  <si>
    <t>THE VILLAGE INTERNATIONAL SCHOOL THODUPUZHA</t>
  </si>
  <si>
    <t>A. P. J. ABDUL KALAM TECHNOLOGICAL UNIVERSITY, THIRUVANANTHAPURAM</t>
  </si>
  <si>
    <t>MAR ATHANASIUS COLLEGE OF ENGINEERING KOTHAMANGALAM</t>
  </si>
  <si>
    <t>2020-Oct</t>
  </si>
  <si>
    <t>Econstruct Design &amp; Build Pvt. Ltd. | Summer Intern | Bangalore | May 2026 | Jun 2026 | 8 Weeks | Campus Internship
EKK INFRASTRUCTURE LIMITED | Intern | Chalakudy | May 2023 | May 2023 | 1 Weeks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</si>
  <si>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</si>
  <si>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</si>
  <si>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</si>
  <si>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</si>
  <si>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</si>
  <si>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</si>
  <si>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</si>
  <si>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</si>
  <si>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</si>
  <si>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</si>
  <si>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</si>
  <si>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</si>
  <si>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GULF ASIAN ENGLISH SCHOOL SHARJAH U.A.E</t>
  </si>
  <si>
    <t>CENTRAL BOARD OF SECONDARY EDUCATION ,SHARJAH ,U.A.E</t>
  </si>
  <si>
    <t>A.P.J. ABDUL KALAM TECHNOLOGICAL UNIVERSITY, KERALA</t>
  </si>
  <si>
    <t>MEA ENGINEERING COLLEGE, PERINTHALMANNA, MALAPPURAM, KERALA</t>
  </si>
  <si>
    <t>Bangalore Metro Rail Corporation Ltd. | Site Execution and Site Engineer |  Phase-2B/Package-2 ,Yelahanka ,Bangalore , Karnataka | May 2026 | Jul 2026 | 8 Weeks | Campus Internship</t>
  </si>
  <si>
    <t>AUTOCAD</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</si>
  <si>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</si>
  <si>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</si>
  <si>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</si>
  <si>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</si>
  <si>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</si>
  <si>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</si>
  <si>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</si>
  <si>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</si>
  <si>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</si>
  <si>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</si>
  <si>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</si>
  <si>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</si>
  <si>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</si>
  <si>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</si>
  <si>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</si>
  <si>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</si>
  <si>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</si>
  <si>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AutoCAD,MS Office,MS Project,Revit, Navisworks, CostX</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</si>
  <si>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</si>
  <si>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</si>
  <si>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P25700048</t>
  </si>
  <si>
    <t>Sachin Yadav</t>
  </si>
  <si>
    <t>sachinyadav6777@gmail.com</t>
  </si>
  <si>
    <t>p25700048@student.nicmar.ac.in</t>
  </si>
  <si>
    <t>01-Nov-2001</t>
  </si>
  <si>
    <t>Volleyball,Badminton,Listen music</t>
  </si>
  <si>
    <t>O-</t>
  </si>
  <si>
    <t>6318 4287 4504</t>
  </si>
  <si>
    <t>SUKHBIR SINGH</t>
  </si>
  <si>
    <t>ARMY</t>
  </si>
  <si>
    <t>POONAM DEVI</t>
  </si>
  <si>
    <t xml:space="preserve">124,LEHRODA,NARNAUL, 
</t>
  </si>
  <si>
    <t>Mahendragarh</t>
  </si>
  <si>
    <t>Haryana</t>
  </si>
  <si>
    <t>124,LEHRODA,NARNAUL,MAHENDRAGARH,HARYANA(123001)</t>
  </si>
  <si>
    <t>ARMY PUBLIC SCHOOL UDHAMPUR J&amp;K</t>
  </si>
  <si>
    <t>M R PUB SCH VILL. MITTERPURA DT MOHINDERGARH HRY</t>
  </si>
  <si>
    <t>NIMS UNIVERSITY RAJASTHAN</t>
  </si>
  <si>
    <t>AutoCAD,MS Office,MS Project,Primavera,REVIT</t>
  </si>
  <si>
    <t>DLF Home Developers Limited  | Planning and Execution | GURUGRAM | May 2026 | Jul 2026 | 8 Weeks | Campus Internship
DLF Limited | INTERN | GURUGRAM | Jun 2023 | Jul 2023 | 4 Weeks
KRISHNA BUILDESTATES PVT LTD | JUNIOR ENGINEER  | GURUGRAM | Apr 2025 | Jun 2025 | 10 Weeks
ULTRATECH | ASSISTANT CHEMIST | PUNE | Jan 2025 | Feb 2025 | 5 Weeks</t>
  </si>
  <si>
    <t>P25700049</t>
  </si>
  <si>
    <t>CHANDRALIKA</t>
  </si>
  <si>
    <t>BORAH</t>
  </si>
  <si>
    <t>Chandralika Borah</t>
  </si>
  <si>
    <t>chandralika2001@gmail.com</t>
  </si>
  <si>
    <t>p25700049@student.nicmar.ac.in</t>
  </si>
  <si>
    <t>20-Oct-2001</t>
  </si>
  <si>
    <t>ENGLISH,HINDI,ASSAMESE</t>
  </si>
  <si>
    <t>9116 7055 3856</t>
  </si>
  <si>
    <t>PUTUL KUMAR BORAH</t>
  </si>
  <si>
    <t>SWAPNALI BORAH</t>
  </si>
  <si>
    <t>B.O.C GATE, LANE NO. 3_x000D_
P.O DULIAJAN, DIST DIBRUGARH_x000D_
ASSAM</t>
  </si>
  <si>
    <t>Dibrugarh</t>
  </si>
  <si>
    <t>DELHI PUBLIC SCHOOL,DULIAJAN</t>
  </si>
  <si>
    <t>CENTRAL BOARD OF SECONDARY EDUCATION,DELHI</t>
  </si>
  <si>
    <t>ASSAM SCIENCE AND TECHNOLOGY UNIVERSITY</t>
  </si>
  <si>
    <t>GIRIJANANDA CHOWDHURY INSTITUTE OF MANAGEMENT AND TECHNOLOGY,AZARA</t>
  </si>
  <si>
    <t xml:space="preserve">AutoCAD,MS Office,MS Project, Primavera </t>
  </si>
  <si>
    <t>Shilpkar Construction Private Limited  | Project Planning and Management Intern  | DELHI-NCR | May 2026 | Jun 2026 | 8 Weeks | Campus Internship
OIL INDIA LIMITED, DULIAJAN | CIVIL ENGINEERING | DULIAJAN,ASSAM | Aug 2022 | Sep 2022 | 3 Weeks</t>
  </si>
  <si>
    <t>P25700050</t>
  </si>
  <si>
    <t>DIVYANGI</t>
  </si>
  <si>
    <t>GAUR</t>
  </si>
  <si>
    <t>Divyangi Gaur</t>
  </si>
  <si>
    <t>divyangigaur2000@gmail.com</t>
  </si>
  <si>
    <t>p25700050@student.nicmar.ac.in</t>
  </si>
  <si>
    <t>28-May-2000</t>
  </si>
  <si>
    <t>HINDI AND ENGLISH</t>
  </si>
  <si>
    <t>6856 6515 9949</t>
  </si>
  <si>
    <t>SAMEER GAUR</t>
  </si>
  <si>
    <t>KAMINI GAUR</t>
  </si>
  <si>
    <t>B5/217, Deluxe Apartment Vasundhara Enclave, New Delhi -96</t>
  </si>
  <si>
    <t>East Delhi</t>
  </si>
  <si>
    <t>Delhi</t>
  </si>
  <si>
    <t>VISHWA BHARATI PUBLIC SCHOOL</t>
  </si>
  <si>
    <t>CENTRAL BOARD OF SECONDARY EDUCATION , NOIDA/ UTTAR PRADESH</t>
  </si>
  <si>
    <t>INTEGRAL UNIVERSITY, LUCKNOW</t>
  </si>
  <si>
    <t>FACULTY OF ARCHITECTURE, PLANNING AND DESIGN, INTEGRAL UNIVERSITY, LUCKNOW</t>
  </si>
  <si>
    <t>AutoCAD,MS Excel,Sketchup,Autodesk Revit,MS Power Point,Photoshop,Lumion, MSP, Primavera, Navisworks, CostX</t>
  </si>
  <si>
    <t>Oasis Design Inc | Architect | New Delhi | Oct 2023 | Jun 2025 | 1 Years, 8 Months, 20 Days | 4.2</t>
  </si>
  <si>
    <t>Cushman &amp; Wakefield  | Internship | Gurgaon | May 2026 | Jul 2026 | 8 Weeks | Campus Internship
Edifice Consultants Pvt. Ltd. | Intern | Mumbai | Feb 2022 | May 2022 | 15 Weeks</t>
  </si>
  <si>
    <t>Council of Architecture, Certificate of Registration</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</si>
  <si>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</si>
  <si>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</si>
  <si>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</si>
  <si>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</si>
  <si>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</si>
  <si>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</si>
  <si>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</si>
  <si>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</si>
  <si>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</si>
  <si>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</si>
  <si>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</si>
  <si>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</si>
  <si>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</si>
  <si>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</si>
  <si>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</si>
  <si>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</si>
  <si>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</si>
  <si>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</si>
  <si>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 Weeks | Campus Internship
PWD | Intern  | Ratnagiri | Aug 2024 | Jun 2025 | 43 Weeks</t>
  </si>
  <si>
    <t>Digitalisation Tools for Sustainable and Resilient Infrastructure System, organised by IIT Jodhpur â€“ Technology, Innovation &amp; Start-up Centre.
Finance for Non-Financial Managers.
Microsoft Excel:Beginner to Advanced in animation 2025 + AI</t>
  </si>
  <si>
    <t>P25700052</t>
  </si>
  <si>
    <t>TUSHAR</t>
  </si>
  <si>
    <t>BARATE</t>
  </si>
  <si>
    <t>Tushar Barate</t>
  </si>
  <si>
    <t>tbarate641@gmail.com</t>
  </si>
  <si>
    <t>p25700052@student.nicmar.ac.in</t>
  </si>
  <si>
    <t>12-Nov-2000</t>
  </si>
  <si>
    <t>9295 1785 7805</t>
  </si>
  <si>
    <t>BHAUSAHEB</t>
  </si>
  <si>
    <t>MIRABAI</t>
  </si>
  <si>
    <t>At Waghapur , Post- Kotul , Tal- Akole, Dist- Ahmednagar</t>
  </si>
  <si>
    <t>Ahmednagar</t>
  </si>
  <si>
    <t>MOTHER MARY ENGLISH HIGH SCHOOL</t>
  </si>
  <si>
    <t>DR DEVENDRA AMRUTLAL OHARA JUNIOR COLLEGE</t>
  </si>
  <si>
    <t>DY PATIL COLLEGE OF ENGINEERING AKURDI, PUNE</t>
  </si>
  <si>
    <t>AutoCAD,MS Office,REVIT Architecture,Staad Pro</t>
  </si>
  <si>
    <t>JAGTAP INFRAVENTURES INDIA Pvt.Ltd | Site Engineer | kolhar, Tal-Rahuri, Dist- Ahmednagar | Sep 2023 | May 2025 | 1 Years, 8 Months, 4 Days | 3</t>
  </si>
  <si>
    <t>R.K. CONSTRUCTION Civil Engg &amp; Contractor | Intern | Sangli | Jan 2022 | Feb 2022 | 4 Weeks</t>
  </si>
  <si>
    <t>P25700054</t>
  </si>
  <si>
    <t>TEJAS</t>
  </si>
  <si>
    <t>JANARDHAN</t>
  </si>
  <si>
    <t>PADKONDE</t>
  </si>
  <si>
    <t>Tejas Janardhan Padkonde</t>
  </si>
  <si>
    <t>tejasjp2001@gmail.com</t>
  </si>
  <si>
    <t>p25700054@student.nicmar.ac.in</t>
  </si>
  <si>
    <t>10-Nov-2001</t>
  </si>
  <si>
    <t>English, Hindi, Marathi, Arabic</t>
  </si>
  <si>
    <t>6395 1503 8710</t>
  </si>
  <si>
    <t>RANI</t>
  </si>
  <si>
    <t>Bright Parl Apartment,Desai Nagar, Latur,Maharashtra</t>
  </si>
  <si>
    <t>INDIAN SCHOOL MULADHA</t>
  </si>
  <si>
    <t>CENTRAL BOARD OF SECONDARY EDUCATION/ MULADHA/SULTANATE OF OMAN</t>
  </si>
  <si>
    <t>PURANMAL LAHOTI GOVERNMENT POLYTECHNIC ,LATUR, MAHARASHTRA</t>
  </si>
  <si>
    <t>BRACT'S, VISHWAKARMA INSTITUTE OF INFORMATION TECHNOLOGY, PUNE, MAHARASHTRA</t>
  </si>
  <si>
    <t>2022-Sep</t>
  </si>
  <si>
    <t>2025-may</t>
  </si>
  <si>
    <t>AutoCAD,MS Office,MS Project,Primavera,SKETCH-UP,Auto level</t>
  </si>
  <si>
    <t>GRANT THORTRN BHARAT  | Transformation consultant-Digi govt intern | PUNE | Jun 2026 | Jul 2026 | 5 Weeks | Campus Internship
SDS SURVEYORS AND ENGINEERS PVT LTD | TRAINEE  | Office No. 12, 2nd Floor, PS Angan Society, Magarpatta South Gate, Hadapsar Pune | Jan 2025 | May 2025 | 20 Weeks</t>
  </si>
  <si>
    <t>P25700055</t>
  </si>
  <si>
    <t>MANIDEEP</t>
  </si>
  <si>
    <t>BASA</t>
  </si>
  <si>
    <t>Manideep Basa</t>
  </si>
  <si>
    <t>basamanideep45@gmail.com</t>
  </si>
  <si>
    <t>p25700055@student.nicmar.ac.in</t>
  </si>
  <si>
    <t>24-Jul-2003</t>
  </si>
  <si>
    <t>ENGLISH, TELUGU, HINDI</t>
  </si>
  <si>
    <t>2794 7250 2516</t>
  </si>
  <si>
    <t>PAVAN KUMAR</t>
  </si>
  <si>
    <t>GOVT.EMPLOYEE</t>
  </si>
  <si>
    <t>SHOBHA RANI</t>
  </si>
  <si>
    <t>9-6-70, RAMNAGAR, KARIMNAGAR, 505001</t>
  </si>
  <si>
    <t>Karimnagar</t>
  </si>
  <si>
    <t>MILLENNIUM HIGH SCHOOL</t>
  </si>
  <si>
    <t>HANUMAKONDA, WARANGAL, TELANGANA</t>
  </si>
  <si>
    <t>GOVENMENT POLYTECHNIC, HUSNABAD(636), HUSNABAD, SIDDIPET</t>
  </si>
  <si>
    <t>JAWAHARLAL NEHRU TECHNOLOGICAL UNIVERSITY HYDERABAD</t>
  </si>
  <si>
    <t>SREENIDHI INSTITUTE OF SCIENCE AND TECHNOLOGY, YAMNAMPET, GHATKESHAR, HYDERABAD</t>
  </si>
  <si>
    <t>2022-Oct</t>
  </si>
  <si>
    <t>AutoCAD,MS Office,MS Project,REVIT</t>
  </si>
  <si>
    <t>Bhate and Raje Construction Co.Pvt.Ltd | QA/QC Intern | Navi Mumbai,Airoli | May 2026 | Jul 2026 | 8 Weeks | Campus Internship</t>
  </si>
  <si>
    <t>NPTEL German-1 Online Course</t>
  </si>
  <si>
    <t>P25700056</t>
  </si>
  <si>
    <t>PRITHVI</t>
  </si>
  <si>
    <t>ANANTHA</t>
  </si>
  <si>
    <t>AKIRI</t>
  </si>
  <si>
    <t>Prithvi Anantha Akiri</t>
  </si>
  <si>
    <t>rprithvi552@gmail.com</t>
  </si>
  <si>
    <t>p25700056@student.nicmar.ac.in</t>
  </si>
  <si>
    <t>10-Apr-1999</t>
  </si>
  <si>
    <t>6636 7652 5887</t>
  </si>
  <si>
    <t>AKIRI CHAKRADHAR</t>
  </si>
  <si>
    <t>AKIRI SWARNALATHA</t>
  </si>
  <si>
    <t>Dhanush Enclave FF3 Beside Y2K Park Srilakshmi Nagar_x000D_
Sujatha Nagar Visakhapatnam 530051</t>
  </si>
  <si>
    <t>LITTLE ROCK INDIAN SCHOOL</t>
  </si>
  <si>
    <t>KARNATAKA</t>
  </si>
  <si>
    <t>SRI CHAITANYA JUNIOR COLLEGE</t>
  </si>
  <si>
    <t>ANDHRA PRADESH</t>
  </si>
  <si>
    <t>PRIST UNIVERSITY</t>
  </si>
  <si>
    <t>PRIST UNIVERSITY, THANJAVUR</t>
  </si>
  <si>
    <t>Primavera P6, MS Office, MS Projects, AutoCAD, REVIT</t>
  </si>
  <si>
    <t>Megha Engineering and Infrastructure Limited | Graduate Engineer Trainee | Kasaragod, Kerala | Jan 2023 | Jan 2024 | 0 Years, 11 Months, 25 Days | 2.24
Vishwa Samudra Engineering Pvt Ltd | Junior Engineer | Kollam, Kerala | Feb 2024 | Sep 2024 | 0 Years, 6 Months, 29 Days | 4.15
Rithwik Projects Pvt Ltd | Engineer | Navi Mumbai, Maharashtra  | Oct 2024 | Jul 2025 | 0 Years, 8 Months, 21 Days | 4.2</t>
  </si>
  <si>
    <t>27 month(s)</t>
  </si>
  <si>
    <t>Jyoti Structures Limited | Intern | Bhuj, Gujarat | May 2026 | Jul 2026 | 8 Weeks | Campus Internship</t>
  </si>
  <si>
    <t>P25700057</t>
  </si>
  <si>
    <t>DHARSHAN</t>
  </si>
  <si>
    <t>R</t>
  </si>
  <si>
    <t>Dharshan R</t>
  </si>
  <si>
    <t>rd8610373247@gmail.com</t>
  </si>
  <si>
    <t>p25700057@student.nicmar.ac.in</t>
  </si>
  <si>
    <t>11-Sep-2003</t>
  </si>
  <si>
    <t>Tamil, Telugu, English</t>
  </si>
  <si>
    <t>5097 9251 8036</t>
  </si>
  <si>
    <t>S RAJENDRAN</t>
  </si>
  <si>
    <t>GOVERNMENT STAFF</t>
  </si>
  <si>
    <t>R MAHALAKSHMI</t>
  </si>
  <si>
    <t>2/1580, J, VELAMMAL NAGAR, SIVAKASI.</t>
  </si>
  <si>
    <t>Virudhunagar</t>
  </si>
  <si>
    <t>SRI SHENBAGA VINAYAGAR MATRIC HR. SEC. SCHOOL</t>
  </si>
  <si>
    <t>STATE BOARD, TAMILNADU</t>
  </si>
  <si>
    <t>ANNA UNIVERSITY, CHENNAI.</t>
  </si>
  <si>
    <t>R.M.K. ENGINEERING COLLEGE, KAVARAIPETTAI, THIRUVALLUR DISTRICT, TAMILNADU.</t>
  </si>
  <si>
    <t>Sobha Limited  | Planning Intern  | Bengaluru | May 2026 | Jul 2026 | 9 Weeks | Campus Internship
Sri Maaligaa Constructions | Site Supervision  | Sivakasi | Jul 2023 | Jul 2023 | 4 Weeks</t>
  </si>
  <si>
    <t>P25700058</t>
  </si>
  <si>
    <t>ANUSHKA</t>
  </si>
  <si>
    <t>JADHAV</t>
  </si>
  <si>
    <t>Anushka Vishnu Jadhav</t>
  </si>
  <si>
    <t>rujutajadhav25@gmail.com</t>
  </si>
  <si>
    <t>p25700058@student.nicmar.ac.in</t>
  </si>
  <si>
    <t>25-Dec-2002</t>
  </si>
  <si>
    <t>Marathi, Hindi,English</t>
  </si>
  <si>
    <t>6990 6090 6399</t>
  </si>
  <si>
    <t>VISHNU JADHAV</t>
  </si>
  <si>
    <t>ARUNA JADHAV</t>
  </si>
  <si>
    <t>Block No-9,Plot No-71,Hari Om Darshan Chs ,_x000D_
Gandhinagar Dombivli East</t>
  </si>
  <si>
    <t>Mumbai City</t>
  </si>
  <si>
    <t>TILAK NAGAR VIDYA MANDIR</t>
  </si>
  <si>
    <t>MAHARASHTRA STATE OF BOARD OF SECONDARY AND HIGHER SECONDARY EDUCATION PUNE</t>
  </si>
  <si>
    <t>GOVERNMENT POLYTECHNIC THANE</t>
  </si>
  <si>
    <t>2022-Mar</t>
  </si>
  <si>
    <t>SHIVAJI UNIVERSITY</t>
  </si>
  <si>
    <t>DEPARMENT OF TECHNOLOGY ,KOLHAPUR</t>
  </si>
  <si>
    <t>2022-Nov</t>
  </si>
  <si>
    <t>MS Office</t>
  </si>
  <si>
    <t>Godrej Properties  | Operation Department  | Godrej Horizon Wadala  | Jun 2026 | Jul 2026 | 4 Weeks | Campus Internship</t>
  </si>
  <si>
    <t>P25700059</t>
  </si>
  <si>
    <t>ROHIT</t>
  </si>
  <si>
    <t>LOKHANDE</t>
  </si>
  <si>
    <t>Rohit Arjun Lokhande</t>
  </si>
  <si>
    <t>rohitlokhande183@gmail.com</t>
  </si>
  <si>
    <t>p25700059@student.nicmar.ac.in</t>
  </si>
  <si>
    <t>08-Feb-2002</t>
  </si>
  <si>
    <t>5888 7116 3867</t>
  </si>
  <si>
    <t>ARCHANA</t>
  </si>
  <si>
    <t>VEDANT SOCIETY B, FLAT NO 8, GUNJALWADI, SANGAMNER, AHILYANAGAR,MAHARSHTRA.</t>
  </si>
  <si>
    <t>Mali Galli, Shevgaon</t>
  </si>
  <si>
    <t>DR. B.G. DERE ENGLISH MEDIUM SCHOOL, SANGAMNER</t>
  </si>
  <si>
    <t>STATE BOARD OF MAHARASHTRA, MAHARASHTRA</t>
  </si>
  <si>
    <t>DR. D.A. OHRA JUNIOR COLLEGE, SANGAMNER</t>
  </si>
  <si>
    <t>SAVITRIBAI PHULE PUNE UNIVERSITY, PUNE</t>
  </si>
  <si>
    <t>AMRUTVAHINI COLLEGE OF ENGINEERING, SANGAMNER, MAHARASHTRA</t>
  </si>
  <si>
    <t>AutoCAD,MS Office,MS Project,Primavera,MSExcel, Revit, Navisworks, ETABS, SAP</t>
  </si>
  <si>
    <t>Plansquare Procon Private Limited | Planning Engineer | Nashik | Aug 2024 | Jul 2025 | 0 Years, 11 Months, 6 Days | 1.8</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</si>
  <si>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</si>
  <si>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</si>
  <si>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P25700060</t>
  </si>
  <si>
    <t>D SREE</t>
  </si>
  <si>
    <t>BALAJI</t>
  </si>
  <si>
    <t>D Sree Balaji</t>
  </si>
  <si>
    <t>sreebalajidommadi@gmail.com</t>
  </si>
  <si>
    <t>p25700060@student.nicmar.ac.in</t>
  </si>
  <si>
    <t>29-Dec-2001</t>
  </si>
  <si>
    <t>English, Telugu, Hindi, Tamil</t>
  </si>
  <si>
    <t>8649 3251 5377</t>
  </si>
  <si>
    <t>D PURUSHOTHAM REDDY</t>
  </si>
  <si>
    <t>D GUNA SUNDARI</t>
  </si>
  <si>
    <t>7-32, SESACHALAPURAM (V), MAPAKSHI PART</t>
  </si>
  <si>
    <t>Chittoor</t>
  </si>
  <si>
    <t>KESHAVAREDDY EM HS</t>
  </si>
  <si>
    <t>BOARD OF SECONDARY EDUCATION CHITTOOR/ANDHRA PRADESH</t>
  </si>
  <si>
    <t>SRI VIVEKANANDA JUNIOR COLLEGE</t>
  </si>
  <si>
    <t>BOARD OF INTERMEDIATE EDUCATION CHITTOOR/ANDHRA PRADESH</t>
  </si>
  <si>
    <t>PERI INSTITUTE OF TECHNOLOGY CHENNAI/TAMIL NADU</t>
  </si>
  <si>
    <t>AutoCAD,MS Office,MS Project,Primavera,STAAD PRO</t>
  </si>
  <si>
    <t>MA CONSULTING SERVICES PVT. LTD | Graduate Engineer Trainee | HYDERABAD | Jun 2024 | Jun 2025 | 1 Years, 0 Months, 29 Days | 3.38</t>
  </si>
  <si>
    <t>TRUBOARD PARTNERS | Asset Managment | Mumbai | May 2026 | Jun 2026 | 8 Weeks | Campus Internship
MA CONSULTING SERVICES PVT LTD. | INTERN | HYDERABAD,TELANGANA | Jan 2024 | May 2024 | 21 Weeks</t>
  </si>
  <si>
    <t>P25700061</t>
  </si>
  <si>
    <t>GOWDA M R</t>
  </si>
  <si>
    <t>Rahul Gowda M R</t>
  </si>
  <si>
    <t>armrg15@gmail.com</t>
  </si>
  <si>
    <t>p25700061@student.nicmar.ac.in</t>
  </si>
  <si>
    <t>15-Dec-2002</t>
  </si>
  <si>
    <t>Kannada ,English ,Hindi</t>
  </si>
  <si>
    <t>8212 0477 6115</t>
  </si>
  <si>
    <t>M.RANGANATH</t>
  </si>
  <si>
    <t>SAVITHA DEVI .T</t>
  </si>
  <si>
    <t>#214/55,Sri Ranga Nilaya ,Shantinagar, Arshinakunte ,Nelamangala ,Bangalore Rural-562123</t>
  </si>
  <si>
    <t>Bangalore Rural</t>
  </si>
  <si>
    <t>ST MARY'S HIGH SCHOOL</t>
  </si>
  <si>
    <t>KARNATAKA SECONDARY EDUCATION EXAMINATION BOARD</t>
  </si>
  <si>
    <t>VIDYA MANDIR INDEPENDENT PU COLLEGE</t>
  </si>
  <si>
    <t>DEPARTMENT OF PRE-UNIVERSITY EDUCATION, BANGALORE.</t>
  </si>
  <si>
    <t>VISVESVARAYA TECHNOLOGICAL UNIVERSITY ,BELAGAVI ,KARNATAKA</t>
  </si>
  <si>
    <t>SJB SCHOOL OF ARCHITECTURE AND PLANNING ,BANGALORE</t>
  </si>
  <si>
    <t>AutoCAD,Sketchup,Lumion,Enscape,Photoshop,Revit,VN,D5,Ms office,Ms Projects,Primavera,Costx,civil-3d</t>
  </si>
  <si>
    <t>STAR INFRATECH | Civil Engineering Intern | TUMAKURU | May 2026 | Jul 2026 | 9 Weeks | Campus Internship
SDEG | ARCHITECTURE | BENGALURU | Dec 2024 | Apr 2025 | 17 Weeks</t>
  </si>
  <si>
    <t>UDL Photoshop Masterclass
Designing for Greater Efficiency</t>
  </si>
  <si>
    <t>P25700063</t>
  </si>
  <si>
    <t>POONAM</t>
  </si>
  <si>
    <t>PURSHOTTAM</t>
  </si>
  <si>
    <t>KANADE</t>
  </si>
  <si>
    <t>Poonam Purshottam Kanade</t>
  </si>
  <si>
    <t>poonampkn95@gmail.com</t>
  </si>
  <si>
    <t>p25700063@student.nicmar.ac.in</t>
  </si>
  <si>
    <t>ENGLISH, MARATHI(MT), HINDI</t>
  </si>
  <si>
    <t>3220 1623 8737</t>
  </si>
  <si>
    <t>SHIVAJI</t>
  </si>
  <si>
    <t>.</t>
  </si>
  <si>
    <t>JAYASHREE</t>
  </si>
  <si>
    <t>4,37 DEEPAK APPARTMENT 75/D TARDEO ROAD MUMBAI 400034</t>
  </si>
  <si>
    <t>K.S.L.R SHINDE HIGHSCHOOL ARNYESHWAR PUNE 411009</t>
  </si>
  <si>
    <t>MAHARASHTRA STATE BOARD OF SECONDARY AND HIGHER SECONDARY EDUCATION</t>
  </si>
  <si>
    <t>GOVERNMENT POLYTECHNIC MUMBAI</t>
  </si>
  <si>
    <t>2010-Aug</t>
  </si>
  <si>
    <t>2014-Jan</t>
  </si>
  <si>
    <t>MUMBAI UNIVERCITY</t>
  </si>
  <si>
    <t>VIDYAVARDHINIS COLLEGE OF ENGINEERING AND TECHNOLOGY</t>
  </si>
  <si>
    <t>AutoCAD,MS Office,SAP PP</t>
  </si>
  <si>
    <t>MCON RASAYAN PVT LTD | ASSISTANT TECHNICAL MANAGER | MUMBAI | Aug 2019 | Jan 2023 | 3 Years, 4 Months, 5 Days | 2.4
NEURAL SECURE SERVICES PVT LTD | ACCOUNT MANAGER SPECIAL ACCOUNTS | MUMBAI | Feb 2023 | May 2025 | 2 Years, 3 Months, 28 Days | 7.2</t>
  </si>
  <si>
    <t>68 month(s)</t>
  </si>
  <si>
    <t>Archcon Structural Pvt Ltd | Business Development Intern | Mumbai | May 2026 | Jul 2026 | 8 Weeks | Campus Internship</t>
  </si>
  <si>
    <t>P25700064</t>
  </si>
  <si>
    <t>TANUSH</t>
  </si>
  <si>
    <t>KUNDAN</t>
  </si>
  <si>
    <t>GANDHI</t>
  </si>
  <si>
    <t>Tanush Kundan Gandhi</t>
  </si>
  <si>
    <t>tanushgandhi1@gmail.com</t>
  </si>
  <si>
    <t>p25700064@student.nicmar.ac.in</t>
  </si>
  <si>
    <t>12-Oct-2003</t>
  </si>
  <si>
    <t>8517 7523 8468</t>
  </si>
  <si>
    <t>HARSHALI</t>
  </si>
  <si>
    <t>699/1 Plot No.34/37 Vishwakarma Housing Society , Chile Colony , Jawahar Nagar , Kolhapur.</t>
  </si>
  <si>
    <t>Kolhapur</t>
  </si>
  <si>
    <t>TAVANAPPA PATNE HIGH SCHOOL</t>
  </si>
  <si>
    <t>GOVERNMENT POLYTECHNIC KOLHAPUR</t>
  </si>
  <si>
    <t>KOLHAPUR INSTITUTE OF TECHNOLOGY'S COLLEGE OF ENGINEERING, KOLHAPUR</t>
  </si>
  <si>
    <t>Civil &amp; Environmental Engineering</t>
  </si>
  <si>
    <t>Padam Interiors | Intern | Mumbai | May 2026 | Jul 2026 | 8 Weeks | Campus Internship
SAMVARDHAN ENVIRO PROJECTS | INTERN | KOLHAPUR | Feb 2025 | Apr 2025 | 8 Weeks</t>
  </si>
  <si>
    <t>P25700065</t>
  </si>
  <si>
    <t>SUSHIN</t>
  </si>
  <si>
    <t>J</t>
  </si>
  <si>
    <t>Sushin J</t>
  </si>
  <si>
    <t>sushinjerald@gmail.com</t>
  </si>
  <si>
    <t>p25700065@student.nicmar.ac.in</t>
  </si>
  <si>
    <t>15-Apr-2002</t>
  </si>
  <si>
    <t>ENGLISH TAMIL HINDI</t>
  </si>
  <si>
    <t>9366 8720 6851</t>
  </si>
  <si>
    <t>P JERALD</t>
  </si>
  <si>
    <t>EX SERVICEMEN</t>
  </si>
  <si>
    <t>J RESILINA</t>
  </si>
  <si>
    <t>NO 4 8TH STREET JYOTHI NAGAR CARSHED COMPLEX POWERLINE ROAD ANNANUR</t>
  </si>
  <si>
    <t>Tiruvallur</t>
  </si>
  <si>
    <t>VELAMMAL VIDHYASHRAM SURAPET</t>
  </si>
  <si>
    <t>VELAMMAL VIDHYASHRAM SURAPET CHENNAI TAMILNADU</t>
  </si>
  <si>
    <t>RAJALAKSHMI ENGINEERINGCOLLEGE</t>
  </si>
  <si>
    <t>Colliers International (India) Property Services Private Limited | Trainee | Chennai | Jul 2023 | Aug 2023 | 2 Weeks</t>
  </si>
  <si>
    <t>P25700066</t>
  </si>
  <si>
    <t>SWAGAT</t>
  </si>
  <si>
    <t>BHANJA DEO</t>
  </si>
  <si>
    <t>Swagat Kumar Bhanja Deo</t>
  </si>
  <si>
    <t>swagatbhanjadeo@gmail.com</t>
  </si>
  <si>
    <t>p25700066@student.nicmar.ac.in</t>
  </si>
  <si>
    <t>30-Aug-2000</t>
  </si>
  <si>
    <t>English, Hindi and Odia</t>
  </si>
  <si>
    <t>A-ve</t>
  </si>
  <si>
    <t>4550 8544 9895</t>
  </si>
  <si>
    <t>SATYANARAYAN BHANJADEO</t>
  </si>
  <si>
    <t>GOVERNMENT SECTOR</t>
  </si>
  <si>
    <t>M BHARATEE</t>
  </si>
  <si>
    <t>Sambhunagar Pada, Block 2, East Lane 03, Bhawanipatna</t>
  </si>
  <si>
    <t>Kalahandi</t>
  </si>
  <si>
    <t>VIMALA CONVENT SCHOOL</t>
  </si>
  <si>
    <t>INDIAN CERTIFICATE OF SECONDARY EDUCATION / BHAWANIPATNA, ODISHA</t>
  </si>
  <si>
    <t>2006-May</t>
  </si>
  <si>
    <t>GOURI SHANKAR RESIDENTIAL ENGLISH MEDIUM SCHOOL</t>
  </si>
  <si>
    <t>CENTRAL BOARD OF SECONDARY EDUCATION, BHUBANESWAR, ODISHA</t>
  </si>
  <si>
    <t>SIKSHA 'O' ANUSANDHAN</t>
  </si>
  <si>
    <t>INSTITUTE OF TECHNICAL EDUCATION AND RESEARCH, BHUBANESWAR, ODISHA</t>
  </si>
  <si>
    <t>AutoCAD,MS Office,MS Project,STAAD.Pro</t>
  </si>
  <si>
    <t>Convenient Construction Consultancy Private Limited | Site Execution and Control Intern | Bhubaneswar | May 2026 | Jul 2026 | 9 Weeks | Campus Internship</t>
  </si>
  <si>
    <t>AutoCAD (Civil)
Finance for Non-Financial Managers</t>
  </si>
  <si>
    <t>P25700067</t>
  </si>
  <si>
    <t>DHARAMTHOK</t>
  </si>
  <si>
    <t>Sanket Raju Dharamthok</t>
  </si>
  <si>
    <t>dharamthoksanket@gmail.com</t>
  </si>
  <si>
    <t>p25700067@student.nicmar.ac.in</t>
  </si>
  <si>
    <t>17-Nov-1999</t>
  </si>
  <si>
    <t>8229 9683 9399</t>
  </si>
  <si>
    <t>RAJASHREE</t>
  </si>
  <si>
    <t>NARAHARI NAGAR BEHIND TAPAR HOSTEL RAJAPETH AMRAVATI</t>
  </si>
  <si>
    <t>MANIBAI GUJRATHI ENGLISH HIGH SCHOOL</t>
  </si>
  <si>
    <t>MAHARASHTRA STATE BOARD OF SECONDARY AND HIGHER SECONDARY EDUCATION,PUNE,MAHARASHTRA</t>
  </si>
  <si>
    <t>SHRI SHIVAJI SCIENCE COLLEGE</t>
  </si>
  <si>
    <t>SIPNA COLLEGE OF ENGINEERING AND TECHNOLOGY/AMRAVATI/MAHARASHTRA</t>
  </si>
  <si>
    <t>AutoCAD,MS Office,MS Project,REVIT,NAVISWORKS, Primavera P6</t>
  </si>
  <si>
    <t>AASHI SOLUTIONS PVT. LTD. | TRAINEE ENGINEER  | PUNE | May 2024 | Jun 2025 | 1 Years, 1 Months, 26 Days | 2.37</t>
  </si>
  <si>
    <t>Basil Decor LLP  | Project Management Intern | Pune | May 2026 | Jul 2026 | 9 Weeks | Campus Internship
BLUEPRINTS DESIGN CONSULTING SERVICES PVT. LTD. | BIM INTERN | PUNE | Sep 2023 | Dec 2023 | 12 Weeks
CIVIL (Engg) CAD CENTRE | CIVIL ENGINEERING INTERN | AMRAVATI | Jun 2019 | Jul 2019 | 6 Weeks</t>
  </si>
  <si>
    <t>BIM PROFESSIONAL COURSE
AUTODESK CERTIFIED USER "REVIT FOR ARCHITECTURE"
AUTOCAD</t>
  </si>
  <si>
    <t>P25700068</t>
  </si>
  <si>
    <t>SUDHARSHAN</t>
  </si>
  <si>
    <t>Sudharshan V</t>
  </si>
  <si>
    <t>sudharshanvenkat007@gmail.com</t>
  </si>
  <si>
    <t>p25700068@student.nicmar.ac.in</t>
  </si>
  <si>
    <t>07-Oct-2003</t>
  </si>
  <si>
    <t>Tamil, English</t>
  </si>
  <si>
    <t>O-ve</t>
  </si>
  <si>
    <t>5999 1755 2021</t>
  </si>
  <si>
    <t>VENKATACHALAPATHY R</t>
  </si>
  <si>
    <t>CIVIL ENGINEER &amp; PROPRIETOR</t>
  </si>
  <si>
    <t>PARAMESHWARI</t>
  </si>
  <si>
    <t>24, 2nd Cross, Nehru Nagar, Thengaithittu, Mudaliyarpet</t>
  </si>
  <si>
    <t>Puducherry</t>
  </si>
  <si>
    <t>PETIT SEMINARE HIGHER SECONDARY SCHOOL</t>
  </si>
  <si>
    <t>TAMIL NADU BOARD OF SECONDARY EDUCATION,  PUDUCHERRY</t>
  </si>
  <si>
    <t>VELLORE INSTITUTE OF TECHNOLOGY , VELLORE</t>
  </si>
  <si>
    <t>AutoCAD, MS Office, MS Project, Primavera, arcGIS,  Revit</t>
  </si>
  <si>
    <t>Larsen &amp; Toubro | Project Management intern | Chennai  | May 2026 | Jul 2026 | 8 Weeks | Campus Internship
Chennai Metro Rail Limited | Civil Engineering Trainee | Chennai | Aug 2023 | Sep 2023 | 4 Weeks</t>
  </si>
  <si>
    <t>KPMG Lean Six Sigma Green Belt</t>
  </si>
  <si>
    <t>P25700069</t>
  </si>
  <si>
    <t>VIKRAM</t>
  </si>
  <si>
    <t>Atul Vikram Singh</t>
  </si>
  <si>
    <t>atulofficial7395@gmail.com</t>
  </si>
  <si>
    <t>p25700069@student.nicmar.ac.in</t>
  </si>
  <si>
    <t>05-Sep-2002</t>
  </si>
  <si>
    <t>English , Hindi</t>
  </si>
  <si>
    <t>7459 1075 0370</t>
  </si>
  <si>
    <t>MANISH KUMAR SINGH</t>
  </si>
  <si>
    <t>CLERK</t>
  </si>
  <si>
    <t>REEMA SINGH</t>
  </si>
  <si>
    <t>NEW COLONY MISHRAULIYA RAUZA GHAZIPUR</t>
  </si>
  <si>
    <t>Vill- Bharatpur , Post- Gadaipur</t>
  </si>
  <si>
    <t>MAHATAMA JYOTI RAO PHULE PUBLIC SCHOOL GHAZIPUR</t>
  </si>
  <si>
    <t>CENTRAL BOARD OF SECONDARY EDUCATION  GHAZIPUR</t>
  </si>
  <si>
    <t>DR. A.P.J. ABDUL KALAM TECHNICAL UNIVERSITY UP</t>
  </si>
  <si>
    <t>SHRI RAM SWAROOP MEMORIAL COLLEGE OF ENGG. AND MANAGEMENT , LUCKNOW</t>
  </si>
  <si>
    <t>DEE VEE PROJECTS LIMITED | JR ENGINEER | SGTBSGMC , PANJUPUR YAMUNA NAGAR HARYANA | Feb 2025 | Jun 2025 | 0 Years, 4 Months, 25 Days | 1.68</t>
  </si>
  <si>
    <t>4 month(s)</t>
  </si>
  <si>
    <t>Sobha Ltd. | Project Management Intern | Gurugram | May 2026 | Jul 2026 | 9 Weeks | Campus Internship
UTTAR PRADESH JAL NIGAM | TRAINEE | GOMTI NAGAR LUCKNOW | Jun 2022 | Jul 2022 | 4 Weeks</t>
  </si>
  <si>
    <t>AutoCad</t>
  </si>
  <si>
    <t>P25700070</t>
  </si>
  <si>
    <t>ABHISHEK</t>
  </si>
  <si>
    <t>SANJAY</t>
  </si>
  <si>
    <t>SHINDE</t>
  </si>
  <si>
    <t>Abhishek Sanjay Shinde</t>
  </si>
  <si>
    <t>01abhinicmar@gmail.com</t>
  </si>
  <si>
    <t>p25700070@student.nicmar.ac.in</t>
  </si>
  <si>
    <t>21-May-2001</t>
  </si>
  <si>
    <t>6544 1747 0620</t>
  </si>
  <si>
    <t>SANJAY SHINDE</t>
  </si>
  <si>
    <t>PRAMILA SHINDE</t>
  </si>
  <si>
    <t>Akola Naka, Kata Road, Behind Dr. Aahale Hospital, Washim</t>
  </si>
  <si>
    <t>Washim</t>
  </si>
  <si>
    <t>LIONS VIDYA NIKETAN, WASHIM</t>
  </si>
  <si>
    <t>MAHARASHTRA STATE BOARD, WASHIM</t>
  </si>
  <si>
    <t>GOVERNMENT POLYTECHNIC WASHIM.</t>
  </si>
  <si>
    <t>2017-Oct</t>
  </si>
  <si>
    <t>D. Y. PATIL COLLEGE OF ENGINEERING, AKURDI, PUNE.</t>
  </si>
  <si>
    <t>AutoCAD, MS Office, MS Project, Primavera, STAAD Pro Connect  Edition  (Beginner), STAAD  Foundation (Beginner), MSCIT Certification, Revit (BIM)</t>
  </si>
  <si>
    <t>Maruti Suzuki Arena, Wonder Cars Pvt. Ltd. | Relationship Manager  | Pimpri, Pune | Dec 2024 | Feb 2025 | 0 Years, 2 Months, 2 Days | 2.16
Knest Aluform Pvt. Ltd | Design Engineer  | Pimpri, Pune | Jul 2023 | Nov 2023 | 0 Years, 4 Months, 29 Days | 3</t>
  </si>
  <si>
    <t>7 month(s)</t>
  </si>
  <si>
    <t>Ernst &amp; Young LLP | Business Risk Consultant | Mumbai - Dadar  | May 2026 | Jul 2026 | 8 Weeks | Campus Internship
UNIQUE CONTRACTS PVT. LTD. | SITE ENGINEER  | AKURDI, PUNE | Feb 2025 | Jul 2025 | 20 Weeks
SHARANGDHAR ASSOCIATES | CONSTRUCTION ENGINEERING INTERN (OFFICE &amp; SITE) | WASHIM | Nov 2020 | May 2021 | 28 Weeks</t>
  </si>
  <si>
    <t>Business Analysis Foundation
Finance for Non-Financial Managers, Emory University
Oracle Primavera P6 Professional Project Management
AI Usage and Data - Driven Thinking by Harvard Business Impact 
EY Artificial Intelligence – Applied AI – Bronze Learning (2026) badge</t>
  </si>
  <si>
    <t>P25700071</t>
  </si>
  <si>
    <t>NAKULAN</t>
  </si>
  <si>
    <t>Nakulan A</t>
  </si>
  <si>
    <t>nakulan.ar@outlook.com</t>
  </si>
  <si>
    <t>p25700071@student.nicmar.ac.in</t>
  </si>
  <si>
    <t>31-Dec-2002</t>
  </si>
  <si>
    <t>TAMIL, ENGLISH</t>
  </si>
  <si>
    <t>5794 1218 7398</t>
  </si>
  <si>
    <t>M ARUNACHALAM</t>
  </si>
  <si>
    <t>BUISNESS</t>
  </si>
  <si>
    <t>S RUBA GAYATHRI</t>
  </si>
  <si>
    <t>3/86, Gandhi Nagar,_x000D_
Malaipalayam Road Opp Bank Of Baroda,_x000D_
Senjerimalai</t>
  </si>
  <si>
    <t>Coimbatore</t>
  </si>
  <si>
    <t>BVM GLOBAL @ KARPAGAM CAMPUS</t>
  </si>
  <si>
    <t>CENTRAL BOARD OF SECONDARY EDUCATION, COIMBATORE, TAMIL NADU</t>
  </si>
  <si>
    <t>VIDHYA NIKETAN PUBLIC SCHOOL</t>
  </si>
  <si>
    <t>PSG COLLEGE OF TECHNOLOGY, COIMBATORE, TAMIL NADU</t>
  </si>
  <si>
    <t xml:space="preserve">AutoCAD,MS Office,MS Project,Primavera,STADD Pro,IITPAVE,KENPAVE </t>
  </si>
  <si>
    <t>J Kumar Infraprojects LTD. | Management Intern | Chennai | May 2026 | Jul 2026 | 9 Weeks | Campus Internship</t>
  </si>
  <si>
    <t>Pavement Construction Technology
Finance for Non-Financial Managers</t>
  </si>
  <si>
    <t>P25700072</t>
  </si>
  <si>
    <t>NIRMAL</t>
  </si>
  <si>
    <t>BHARADWAJ</t>
  </si>
  <si>
    <t>Nirmal Bharadwaj</t>
  </si>
  <si>
    <t>bharadwajnirmal@gmail.com</t>
  </si>
  <si>
    <t>p25700072@student.nicmar.ac.in</t>
  </si>
  <si>
    <t>10-Apr-1994</t>
  </si>
  <si>
    <t>Listening Music</t>
  </si>
  <si>
    <t>8926 9319 0264</t>
  </si>
  <si>
    <t>GOVIND PRASAD</t>
  </si>
  <si>
    <t>PVT CONTRACT JOB</t>
  </si>
  <si>
    <t>SUNITA SHARMA</t>
  </si>
  <si>
    <t>KRISHNA COLONY, NEAR YADAV HOTEL,
BARI ROAD, DHOLPUR</t>
  </si>
  <si>
    <t>Dholpur</t>
  </si>
  <si>
    <t>Rajasthan</t>
  </si>
  <si>
    <t>JAWAHAR NAVODAYA VIDHALAYA, DHOLPUR</t>
  </si>
  <si>
    <t>CENTRAL BOARD OF SECONDARY EDUCATION NEW DELHI</t>
  </si>
  <si>
    <t>2007-Apr</t>
  </si>
  <si>
    <t>2008-May</t>
  </si>
  <si>
    <t>SANATAN DHARM SHIKSHA SADAN SR SEC SCHOOL DHOLPUR</t>
  </si>
  <si>
    <t>BOARD OF SECONDARY EDUCATION RAJASTHAN</t>
  </si>
  <si>
    <t>DR. A.P.J. ABDUL KALAM TECHNICAL UNIVERSITY, LUCKNOW, U.P.</t>
  </si>
  <si>
    <t>KAMLA NEHRU INSTITUTE OF TECHNOLOGY, SULTANPUR (U.P.)</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</si>
  <si>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</si>
  <si>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 Years, 2 Months, 28 Days | 20
National Highways Infrastructure Development Corporation Limited (outsourced contract) | Manager (Project) | Leh-Ladakh | Dec 2020 | Sep 2022 | 1 Years, 9 Months, 2 Days | 14
Civil Mantra Infracon Private Limited | Design Engineer Highway &amp; Tunnel | Gurugram-Haryana | Dec 2019 | Dec 2020 | 1 Years, 0 Months, 26 Days | 8.4
National Highways Infrastructure Development Corporation Limited (outsourced contract) | Graduate Engineer (Gr-II) | New Delhi | Nov 2016 | Nov 2019 | 3 Years, 0 Months, 6 Days | 7.2
Ansal Properties &amp; Infrastructure Limited | Project Engineer (Civil) | Ajmer-Rajasthan | Jun 2015 | Nov 2016 | 1 Years, 5 Months, 19 Days | 4</t>
  </si>
  <si>
    <t>114 month(s)</t>
  </si>
  <si>
    <t>Chuan Lim Engineering Pte Ltd (CLE) | Advanced Construction Management (ACM) Intern | Singapore | May 2026 | Jul 2026 | 8 Weeks | Campus Internship
PNC-TRG (JV) | Trainee | Dholpur | Jun 2014 | Jul 2014 | 4 Weeks
PNC-TRG (JV) | Trainee | Dholpur | Jun 2013 | Jun 2013 | 3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</si>
  <si>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</si>
  <si>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P25700073</t>
  </si>
  <si>
    <t>DASHRATH</t>
  </si>
  <si>
    <t>DHUMAL</t>
  </si>
  <si>
    <t>Vaibhav Dashrath Dhumal</t>
  </si>
  <si>
    <t>vaibhavdhumal100@gmail.com</t>
  </si>
  <si>
    <t>p25700073@student.nicmar.ac.in</t>
  </si>
  <si>
    <t>13-Jan-2003</t>
  </si>
  <si>
    <t>MARATHI, HINDI, ENGLISH</t>
  </si>
  <si>
    <t>Cooking</t>
  </si>
  <si>
    <t>3832 4063 5382</t>
  </si>
  <si>
    <t>Retired</t>
  </si>
  <si>
    <t>SEEMA</t>
  </si>
  <si>
    <t>12/701, Vijay Park, Kasarvadavali, Ghodbunder Road, Thane (west), Maharashtra- 400615.</t>
  </si>
  <si>
    <t>PAWAR PUBLIC SCHOOL, BHANDUP (W), MUMBAI</t>
  </si>
  <si>
    <t>COUNCIL FOR THE INDIAN SCHOOL CERTIFICATE EXAMINATIONS, NEW DELHI</t>
  </si>
  <si>
    <t>CHANDRABHAN SHARMA JUNIOR COLLEGE OF SCIENCE AND COMMERCE, POWAI, MUMBAI</t>
  </si>
  <si>
    <t>MS Project, Primavera, RIB CostX, MS Office</t>
  </si>
  <si>
    <t>K E Infrastructure Pvt. Ltd. | INTERN | THANE | May 2026 | Jun 2026 | 8 Weeks | Campus Internship
JAGDALE INFRASTRUCTURE PRIVATE LIMITED | INTERN | THANE | Jun 2023 | Jul 2023 | 4 Weeks</t>
  </si>
  <si>
    <t>P25700074</t>
  </si>
  <si>
    <t>MD KASHIF</t>
  </si>
  <si>
    <t>NADEEM</t>
  </si>
  <si>
    <t>Md Kashif Nadeem</t>
  </si>
  <si>
    <t>nadeem.kashif1011@gmail.com</t>
  </si>
  <si>
    <t>p25700074@student.nicmar.ac.in</t>
  </si>
  <si>
    <t>11-Oct-1993</t>
  </si>
  <si>
    <t>ENGLISH,HINDI,URDU</t>
  </si>
  <si>
    <t>6456 2595 4396</t>
  </si>
  <si>
    <t>MD WAKEEL AHMAD ANSARI</t>
  </si>
  <si>
    <t>RETIRED GOVERNMENT PRINCIPAL</t>
  </si>
  <si>
    <t>AZMATI KHATOON</t>
  </si>
  <si>
    <t>FLAT NO-304, ASSISTANT PROFESSOR APARTMENT, GOVERNMENT ENGINEERING COLLEGE, NAWADA, NEAR BUDHAUL BUS STAND, DIST-NAWADA, BIHAR</t>
  </si>
  <si>
    <t>Nawada</t>
  </si>
  <si>
    <t>HARRAKH COLONY, WARD NO-12, INFRONT OF KABRISTAN MAIN GATE, DIST-BEGUSARAI, BIHAR</t>
  </si>
  <si>
    <t>Begusarai</t>
  </si>
  <si>
    <t>ST.PAUL'S SCHOOL, BEGUSARAI</t>
  </si>
  <si>
    <t>INDIAN CERTIFICATE OF SECONDARY EDUCATION EXAMINATION, NEW DELHI</t>
  </si>
  <si>
    <t>2009-May</t>
  </si>
  <si>
    <t>RAMMOHAN ROY SEMINARY +2, PATNA</t>
  </si>
  <si>
    <t>BIHAR SCHOOL EXAMINATION BOARD, PATNA</t>
  </si>
  <si>
    <t>RAJIV GANDHI PROUDYOGIKI VISHWAVIDYALAYA, BHOPAL</t>
  </si>
  <si>
    <t>JAI NARAIN COLLEGE OF TECHNOLOGY &amp; SCIENCE, BHOPAL</t>
  </si>
  <si>
    <t>NATIONAL INSTITUTE OF TECHNICAL TEACHERS' TRAINING AND RESEARCH, BHOPAL</t>
  </si>
  <si>
    <t>Master of Technology (M.Tech)</t>
  </si>
  <si>
    <t>2019-Dec</t>
  </si>
  <si>
    <t>AutoCAD,MS Office,MS Project,Primavera, Revit &amp; Navisworks (BIM Basic),Civil 3D,CostX</t>
  </si>
  <si>
    <t>GOVERNMENT ENGINEERING COLLEGE, NAWADA | ASSISTANT PROFESSOR | NAWADA | May 2021 | Nov 2022 | 1 Years, 6 Months, 27 Days | 6</t>
  </si>
  <si>
    <t>18 month(s)</t>
  </si>
  <si>
    <t>VSL INDIA PRIVATE LTD | Project Intern | PATNA | May 2026 | Jul 2026 | 8 Weeks | Campus Internship
CSIR- CENTRAL ROAD RESEARCH INSTITUTE | POST GRADUATE RESEARCH SCHOLAR | NEW DELHI | Dec 2018 | Dec 2019 | 51 Weeks
NATIONAL HIGHWAY AUTHORITY OF INDIA | Industrial Training | Muzzafarpur | Jun 2015 | Jun 2015 | 2 Weeks</t>
  </si>
  <si>
    <t>Application of Primavera Software
Project Admin (Scholar) by digiQC
Construction Equipment Maintenance &amp; Safety  by L&amp;T EduTech</t>
  </si>
  <si>
    <t>P25700075</t>
  </si>
  <si>
    <t>Ashutosh Yadav</t>
  </si>
  <si>
    <t>ashudev955@gmail.com</t>
  </si>
  <si>
    <t>p25700075@student.nicmar.ac.in</t>
  </si>
  <si>
    <t>22-Aug-2002</t>
  </si>
  <si>
    <t>9818 1176 8755</t>
  </si>
  <si>
    <t>RAM BILASH SINGH YADAV</t>
  </si>
  <si>
    <t>ASSISTANT GENERAL MANAGER</t>
  </si>
  <si>
    <t>SUSHILA YADAV</t>
  </si>
  <si>
    <t>PHULLANPUR,SHIV NAGAR COLONY,GHAZIPUR,UTTAR PRADESH-233001</t>
  </si>
  <si>
    <t>Vill-Devkhatiya,PO:Belwa Urf Rasulpur,DIST:Ghazipur,Uttar Pradesh-233305</t>
  </si>
  <si>
    <t>DR A I MEMO SUNBEAM SCHOOL ROHANIA VARANASI UP</t>
  </si>
  <si>
    <t>CENTRAL BOARD OF SECONDARY EDUCATION /UTTAR PRADESH</t>
  </si>
  <si>
    <t>CHANDIGARH UNIVERSITY MOHALI/PUNJAB</t>
  </si>
  <si>
    <t>AutoCAD,MS Office,MS Project,Primavera,PLAXIS 3D,STAAD.Pro,Abaqus,REVIT</t>
  </si>
  <si>
    <t>PNC Infratech Limited | Summer Intern | Pune  | May 2026 | Jul 2026 | 9 Weeks | Campus Internship
Arvind Technocrats &amp; Engineers LLP | internship trainee | BELGAUM  | Jun 2023 | Jul 2023 | 6 Weeks</t>
  </si>
  <si>
    <t>P25700076</t>
  </si>
  <si>
    <t>ANIL</t>
  </si>
  <si>
    <t>RAKHONDE</t>
  </si>
  <si>
    <t>Tejas Anil Rakhonde</t>
  </si>
  <si>
    <t>tejasrakhonde@gmail.com</t>
  </si>
  <si>
    <t>p25700076@student.nicmar.ac.in</t>
  </si>
  <si>
    <t>14-May-2000</t>
  </si>
  <si>
    <t>4868 5582 7489</t>
  </si>
  <si>
    <t>SAVITA</t>
  </si>
  <si>
    <t>772, Khadse Nagar, Sancheti Plot, Nandura, Dist- Buldhana, Maharashtra Pin - 443404.</t>
  </si>
  <si>
    <t>SCHOOL OF SCHOLARS, AKOLA</t>
  </si>
  <si>
    <t>GOVERNMENT COLLEGE OF ENGINEERING, YAVATMAL</t>
  </si>
  <si>
    <t>SINDHIKAR ENGINEERS, JALGAON | SITE CIVIL ENGINEEER | JALGAON | Jan 2023 | Mar 2024 | 1 Years, 2 Months, 30 Days | 2.4</t>
  </si>
  <si>
    <t>15 month(s)</t>
  </si>
  <si>
    <t>Embassy Developments Limited | Construction - intern | mumbai | May 2026 | Jul 2026 | 8 Weeks | Campus Internship
MUNICIPAL COUNCIL &amp;  MAHARASHTRA JEEVAN PRADHIKARAN, AMRAVATI. | TRAINEE ENGINEER | AMRAVATI | Jan 2022 | Jun 2022 | 25 Weeks
MUNICIPAL COUNCIL, NANDURA. | TRAINEE ENGINEER | NANDURA | Aug 2021 | Aug 2021 | 4 Weeks
SINDHIKAR ENGINEERS, JALGAON | TRAINEE ENGINEER | Jalgaon | Jun 2019 | Jun 2019 | 4 Weeks</t>
  </si>
  <si>
    <t>AUTOCAD
Finance for Non-Financial Managers
TBMs,Pile Rigs,Cranes &amp; Hauling Vehicles
IGBC Accredited Professional (AP) - Associate
Lean Six Sigma Green Belt Certification
Construction Equipment Maintenance &amp; Safety
Six Sigma and the Organization (Advanced)
Construction Project Management</t>
  </si>
  <si>
    <t>P25700077</t>
  </si>
  <si>
    <t>NISHANT</t>
  </si>
  <si>
    <t>GUPTA</t>
  </si>
  <si>
    <t>Nishant Manoj Gupta</t>
  </si>
  <si>
    <t>nishantg987@gmail.com</t>
  </si>
  <si>
    <t>p25700077@student.nicmar.ac.in</t>
  </si>
  <si>
    <t>23-Dec-2000</t>
  </si>
  <si>
    <t>9612 6931 8910</t>
  </si>
  <si>
    <t>MANOJ GUPTA</t>
  </si>
  <si>
    <t>RITA GUPTA</t>
  </si>
  <si>
    <t>E-52, JHAROKHA 2, AKURLI ROAD, KANDIVALI EAST</t>
  </si>
  <si>
    <t>Mumbai Suburban</t>
  </si>
  <si>
    <t>Shop No 2, M.D. Road, Shinde Chawl, Kandivali East</t>
  </si>
  <si>
    <t>CHILDREN'S ACADEMY</t>
  </si>
  <si>
    <t>SECONDARY SCHOOL CERTIFICATE (SSC), MAHARASHTRA STATE</t>
  </si>
  <si>
    <t>THAKUR COLLEGE OF SCIENCE AND COMMERCE</t>
  </si>
  <si>
    <t>HIGHER SECONDARY CERTIFICATE (HSC), MAHARASHTRA STATE</t>
  </si>
  <si>
    <t>THAKUR POLYTECHNIC, MAHARASHTRA</t>
  </si>
  <si>
    <t>THAKUR COLLEGE OF ENGINEERING AND TECHNOLOGY</t>
  </si>
  <si>
    <t>AutoCAD,MS Office,MS Project,Primavera,Revit</t>
  </si>
  <si>
    <t>Kalpataru | Execution | Mumbai | Jan 2024 | Jun 2025 | 1 Years, 5 Months, 12 Days | 3.53</t>
  </si>
  <si>
    <t>Shreeji Sharan | Project Controls | Mumbai | May 2026 | Jul 2026 | 9 Weeks | Campus Internship
Shraddha Enterprises | Project Intern | Mumbai | May 2019 | Jun 2019 | 5 Weeks
Shreeji Sharan | Project Intern | Mumbai | Jun 2022 | Jun 2022 | 4 Weeks
Shreeji Sharan | Project Intern | Mumbai | Dec 2022 | Dec 2022 | 3 Weeks</t>
  </si>
  <si>
    <t>Autodesk Certified Professional: AutoCAD for Design and Drafting Exam Prep</t>
  </si>
  <si>
    <t>P25700078</t>
  </si>
  <si>
    <t>ROHAN</t>
  </si>
  <si>
    <t>RAMESH</t>
  </si>
  <si>
    <t>KSHIRSAGAR</t>
  </si>
  <si>
    <t>Rohan Ramesh Kshirsagar</t>
  </si>
  <si>
    <t>kshirsagarrohan1811@gmail.com</t>
  </si>
  <si>
    <t>p25700078@student.nicmar.ac.in</t>
  </si>
  <si>
    <t>18-Nov-2002</t>
  </si>
  <si>
    <t>MARATHI,ENGLISH,HINDI</t>
  </si>
  <si>
    <t>7509 8976 6570</t>
  </si>
  <si>
    <t>SUNITA</t>
  </si>
  <si>
    <t>2/B Abhimanshree Nagar Marathi Peth Solapur</t>
  </si>
  <si>
    <t>HARIBHAI DEVKARAN PRASHALA SOLAPUR,MAHARASHTRA</t>
  </si>
  <si>
    <t>SOLAPUR/ MAHARASHTRA</t>
  </si>
  <si>
    <t>SES POLYTECHNIC SOLAPUR/ MAHARASHTRA</t>
  </si>
  <si>
    <t>SAVITRIBAI PHULE UNIVERSITY PUNE</t>
  </si>
  <si>
    <t>SINHGAD INSTITUTE OF TECHNOLOGY AND SCIENCE NARHE PUNE / MAHARASHTRA</t>
  </si>
  <si>
    <t>Sairaj Engineering &amp; Constructions LLP | Junior Civil Engineer | Solapur | May 2024 | May 2025 | 1 Years, 0 Months, 5 Days | 1.5</t>
  </si>
  <si>
    <t>BG Shirke Construction Technology Pvt. Ltd. | Engineering Intern | Pune | May 2026 | Jul 2026 | 8 Weeks | Campus Internship
Synergy SKL Infradevelopment | Engineering Intern | Pune | Jan 2023 | Feb 2023 | 3 Weeks</t>
  </si>
  <si>
    <t>Revit
AutoCAD
Finance for Non-Financial Managers
MSP
MEP
Living with climate change and Water Management
Project Admin (Scholar)</t>
  </si>
  <si>
    <t>P25700079</t>
  </si>
  <si>
    <t>SARJERAO</t>
  </si>
  <si>
    <t>SOLUNKE</t>
  </si>
  <si>
    <t>Tejas Sarjerao Solunke</t>
  </si>
  <si>
    <t>tejassolunke5021@gmail.com</t>
  </si>
  <si>
    <t>p25700079@student.nicmar.ac.in</t>
  </si>
  <si>
    <t>23-Feb-2003</t>
  </si>
  <si>
    <t>MARATHI,HINDI,ENGLISH</t>
  </si>
  <si>
    <t>6132 9613 0979</t>
  </si>
  <si>
    <t>BANER</t>
  </si>
  <si>
    <t>Malunje Khurd</t>
  </si>
  <si>
    <t>ASHTVINAYAK ENGLISH MEDIUM SCHOOL</t>
  </si>
  <si>
    <t>TRIMURTI ARTS,COMMERCE &amp; SCIENCE COLLEGE</t>
  </si>
  <si>
    <t>2021-Apr</t>
  </si>
  <si>
    <t>PIMPRI CHINCHWAD COLLEGE OF ENGINEERING,PUNE</t>
  </si>
  <si>
    <t>AutoCAD,MS Office,MS Project,Primavera,Staad Pro</t>
  </si>
  <si>
    <t>Box Office Space | Execution Intern | Pune | May 2026 | Jul 2026 | 8 Weeks | Campus Internship
Mudra Realities | Site Engineer | Shrirampur | Jun 2024 | Jul 2024 | 4 Weeks</t>
  </si>
  <si>
    <t>P25700080</t>
  </si>
  <si>
    <t>AMAN</t>
  </si>
  <si>
    <t>MADANMOHAN</t>
  </si>
  <si>
    <t>Aman Madanmohan Singh</t>
  </si>
  <si>
    <t>aman.rcoem@gmail.com</t>
  </si>
  <si>
    <t>p25700080@student.nicmar.ac.in</t>
  </si>
  <si>
    <t>06-Jun-2001</t>
  </si>
  <si>
    <t>ENGLISH, HINDI, MARATHI, MAITHILI AND BHOJPURI</t>
  </si>
  <si>
    <t>6574 1937 2904</t>
  </si>
  <si>
    <t>JYOTILATA</t>
  </si>
  <si>
    <t>70/71 Kachore Colony, Chinchbhawan Wardha Road</t>
  </si>
  <si>
    <t>MONTFORT SR SEC. SCHOOL</t>
  </si>
  <si>
    <t>CENTRAL BOARD OF SECONDARY EDUCATION, NAGPUR/MAHARASHTRA</t>
  </si>
  <si>
    <t>2006-Jun</t>
  </si>
  <si>
    <t>BHAVANS B P VIDYA MANDIR</t>
  </si>
  <si>
    <t>RAMDEOBABA COLLEGE OF ENGINEERING AND MANAGEMENT, NAGPUR/MAHARASHTRA</t>
  </si>
  <si>
    <t>Claude, ChatGPT, LLM, AutoCAD,MS Office,MS Project,Primavera,Bluebeam Revu,On Screen Takeoff,Autodesk Construction Cloud,Procore,Planswift,Bim360,Navisworks,CostX,Revit,BEAM AI,Power BI</t>
  </si>
  <si>
    <t>VConstruct India Pvt Ltd | Associate Project Engineer | Pune | Apr 2023 | Apr 2024 | 1 Years, 0 Months, 23 Days | 4.75
Modeledge BIM Solutions | Senior Engineer | Nagpur | May 2024 | Nov 2024 | 0 Years, 6 Months, 27 Days | 8.2
7 Petals Horticulture | Executive Engineer - Planning &amp; Coordination | Mumbai | Dec 2024 | Jul 2025 | 0 Years, 7 Months, 3 Days | 10.28</t>
  </si>
  <si>
    <t>26 month(s)</t>
  </si>
  <si>
    <t>Chuan lim Engineering Pte Ltd | Summer Intern | Singapore (remote) | May 2026 | Jul 2026 | 8 Weeks | Campus Internship
MINISTRY OF ROAD TRANSPORT AND HIGHWAY | SITE ENGINEER INTERN | SONAMARG - J&amp;K | Dec 2022 | Mar 2023 | 13 Weeks</t>
  </si>
  <si>
    <t>Generative AI : Introduction and Applications
Model Context Protocol: Anthropic Advanced
GenAI for Contract Managers Automating CLM
Finance for Non-Financial Managers
Auditing I : Conceptual Foundations of Auditing
Operations Management: Quality and Supply Chain
Construction Project Management
Construction Management Field Operations and Admin Tools
Six Sigma Green Belt
Architectural Design ( AutoCAD 2D, Revit Arch &amp; 3D Max)
Project Delivery in Business Analysis and Capstone Project
Project Execution and Control
Python for Absolute Begineers
Python Basics for Data Science
American Society of Civil Engineers
Corporate Sales Fundamentals
Digital Marketing Fundamentals
Six Sigma Yellow Belt
Practical Application of Generative AI for Project Managers</t>
  </si>
  <si>
    <t>P25700081</t>
  </si>
  <si>
    <t>NANDAMOORI</t>
  </si>
  <si>
    <t>Nandamoori Balaji</t>
  </si>
  <si>
    <t>nandamooribalaji@gmail.com</t>
  </si>
  <si>
    <t>p25700081@student.nicmar.ac.in</t>
  </si>
  <si>
    <t>23-Sep-2001</t>
  </si>
  <si>
    <t>9594 3322 1728</t>
  </si>
  <si>
    <t>NANDAMOORI SUBRAMANYAM VENKATESULU</t>
  </si>
  <si>
    <t>LABOUR CONTRACTOR</t>
  </si>
  <si>
    <t>NANDAMOORI LAKSHMI</t>
  </si>
  <si>
    <t>D.no:8-49, S.N Puram, Tirupati</t>
  </si>
  <si>
    <t>SRIVIDYANIKETHAN EM SCHOOL</t>
  </si>
  <si>
    <t>BOARD OF SECONDARY EDUCATION, ANDHRA PRADESH</t>
  </si>
  <si>
    <t>SRI CHAITANYA JR COLLEGE</t>
  </si>
  <si>
    <t>BOARD OF INTERMEDIATE EDUCATION, ANDHRA PRADESH</t>
  </si>
  <si>
    <t>JAWAHARLAL NEHRU TECHNOLOGICAL UNIVERSITY ANANTAPUR</t>
  </si>
  <si>
    <t>SRI VENKATESWARA COLLEGE OF ENGINEERING, TIRUPATI</t>
  </si>
  <si>
    <t>MS Office,Advanced Excel,MS Project,Primavera,Construction Planning &amp; control,Project risk identification and mitigation,Quantity surveying</t>
  </si>
  <si>
    <t>NBCC | Intern | Greater noida | May 2026 | Jul 2026 | 9 Weeks | Campus Internship
SAMSKRUTHI HOMES | INTERN | TIRUPATI | Jan 2025 | Jun 2025 | 25 Weeks
VAMSIRAM PRUDHVI BUILDERS LLP | INTERN | TIRUPATI | Jan 2024 | Jun 2024 | 25 Weeks</t>
  </si>
  <si>
    <t>Microsoft project 2021
AutoCAD
BIM
Accounting &amp; Finance
GenAI for contract drafting basics
Ethics in Engineering Practice
GenAI for contract managers</t>
  </si>
  <si>
    <t>P25700082</t>
  </si>
  <si>
    <t>KANNAN</t>
  </si>
  <si>
    <t>RAJAPANDIAN S</t>
  </si>
  <si>
    <t>Kannan Rajapandian S</t>
  </si>
  <si>
    <t>kannanrajapandian22@gmail.com</t>
  </si>
  <si>
    <t>p25700082@student.nicmar.ac.in</t>
  </si>
  <si>
    <t>22-Aug-2003</t>
  </si>
  <si>
    <t>ENGLISH,TAMIL</t>
  </si>
  <si>
    <t>2865 1643 6029</t>
  </si>
  <si>
    <t>R SUNDARALINGA VIVEKANANTHAN</t>
  </si>
  <si>
    <t>S SASIKALA</t>
  </si>
  <si>
    <t>POST OFFICE, 25/1, NICMAR UNIVERSITY, N.I.A, BALEWADI RD, RAM NAGAR, BANER.</t>
  </si>
  <si>
    <t>4/184,Rajam Nagar Main Road,s.kolathur,kovilambakkam,_x000D_
Chennai</t>
  </si>
  <si>
    <t>SUNSHINE CHENNAI SENIOR SECONDARY SCHOOL</t>
  </si>
  <si>
    <t>CENTRAL BOARD OF SECONDARY EDUCATION ,CHENNAI/TAMIL NADU</t>
  </si>
  <si>
    <t>SRI SIVASUBRAMANIYA NADAR COLLEGE OF ENGINEERING,CHENNAI/TAMIL NADU</t>
  </si>
  <si>
    <t>AutoCAD,MS Office,MS Project,Cost x, Primavera.</t>
  </si>
  <si>
    <t>Goa State Infrastructure Development Corporation Limited | Site execution Engineer | Goa | May 2026 | Jul 2026 | 8 Weeks | Campus Internship
JAIN HOUSING &amp; CONSTRUCTION LTD. | SITE ENGINEER  | CHENNAI | Jun 2024 | Jul 2024 | 4 Weeks
HANU HOMES | PROJECTS &amp; DESIGN DEPARTMENT | CHENNAI | Jan 2025 | Mar 2025 | 12 Weeks</t>
  </si>
  <si>
    <t>P25700083</t>
  </si>
  <si>
    <t>DARSHANIK</t>
  </si>
  <si>
    <t>REWATKAR</t>
  </si>
  <si>
    <t>Darshanik Prakash Rewatkar</t>
  </si>
  <si>
    <t>drewatkar248@gmail.com</t>
  </si>
  <si>
    <t>p25700083@student.nicmar.ac.in</t>
  </si>
  <si>
    <t>10-Apr-2002</t>
  </si>
  <si>
    <t>2866 3552 4972</t>
  </si>
  <si>
    <t>GOVERNMENT SERVANT</t>
  </si>
  <si>
    <t>PRAJAKTA</t>
  </si>
  <si>
    <t>Plot No. 48-G, Behind S.D. Hospital, Ganesh Nagar, Nagpur</t>
  </si>
  <si>
    <t>PANDIT BACHHARAJ VYAS VIDYALAYA &amp; JUNIOR COLLEGE</t>
  </si>
  <si>
    <t>MAHARASHTRA STATE BOARD OF SECONDARY AND HIGHER SECONDARY EDUCATION, PUNE, MAHARASHTRA</t>
  </si>
  <si>
    <t>PRERNA JUNIOR COLLEGE, VIHIRGAON</t>
  </si>
  <si>
    <t>GOVERNMENT POLYTECHNIC, NAGPUR</t>
  </si>
  <si>
    <t>AJEENKYA D.Y. PATIL SCHOOL OF ENGINEERING, LOHEGAON, PUNE</t>
  </si>
  <si>
    <t>2024-Oct</t>
  </si>
  <si>
    <t>AutoCAD,MS Office,MS Project,Primavera,BIM,Lumion,SketchUp</t>
  </si>
  <si>
    <t>Sobha Limited | Project Management | Gurugram | May 2026 | Jul 2026 | 9 Weeks | Campus Internship
OM SAI RAM BUILDERS &amp; DEVELOPERS | JUNIOR ENGINEER, SUPERVISOR | NAGPUR | Feb 2023 | Mar 2023 | 4 Weeks
OM SAI RAM BUILDERS &amp; DEVELOPERS | SITE ENGINEER, SUPERVISOR | NAGPUR | Jul 2024 | May 2025 | 47 Weeks</t>
  </si>
  <si>
    <t>P25700084</t>
  </si>
  <si>
    <t>ROHITH</t>
  </si>
  <si>
    <t>M J</t>
  </si>
  <si>
    <t>Rohith M J</t>
  </si>
  <si>
    <t>mjrohith2000@gmail.com</t>
  </si>
  <si>
    <t>p25700084@student.nicmar.ac.in</t>
  </si>
  <si>
    <t>13-Nov-2000</t>
  </si>
  <si>
    <t>ENGLISH, MALAYALAM, HINDI</t>
  </si>
  <si>
    <t>5739 4159 5418</t>
  </si>
  <si>
    <t>JAYAN M R</t>
  </si>
  <si>
    <t>DIVISIONAL MANAGER AT AT LIC OF INDIA</t>
  </si>
  <si>
    <t>JYOTHI K P</t>
  </si>
  <si>
    <t>2B MRG Shivapriya_x000D_
Kottekkad Road, Viyyur</t>
  </si>
  <si>
    <t>KENDRIYA VIDYALAYA  PURANATTUKKARA THRISSUR, KERALA</t>
  </si>
  <si>
    <t>APJ ABDUL KALAM KERALA TECHNOLOGICAL UNIVERSITY</t>
  </si>
  <si>
    <t>SCMS SCHOOL OF ENGINEERING AND TECHNOLOGY, KARUKUTTY, KERALA</t>
  </si>
  <si>
    <t>AutoCAD,MS Office,MS Project,PowerBI</t>
  </si>
  <si>
    <t>Asian Paints Limited | Sales Engineering: Waterproofing (SE)    | Coimbatore | May 2026 | Jul 2026 | 8 Weeks | Campus Internship</t>
  </si>
  <si>
    <t>P25700086</t>
  </si>
  <si>
    <t>DEEPAK</t>
  </si>
  <si>
    <t>TAMBATKAR</t>
  </si>
  <si>
    <t>Shivam Deepak Tambatkar</t>
  </si>
  <si>
    <t>shivamtambatkar384@gmail.com</t>
  </si>
  <si>
    <t>p25700086@student.nicmar.ac.in</t>
  </si>
  <si>
    <t>23-Oct-2001</t>
  </si>
  <si>
    <t>MARATHI , HINDI , ENGLISH</t>
  </si>
  <si>
    <t>8036 8814 5317</t>
  </si>
  <si>
    <t>DEEPAK TAMBATKAR</t>
  </si>
  <si>
    <t>WORKER</t>
  </si>
  <si>
    <t>SUWARNA TAMBATKAR</t>
  </si>
  <si>
    <t>PRAKALP PRIDE, NEAR BANER ROAD HIGHWAY, PUNE 411045</t>
  </si>
  <si>
    <t>Telecom Colony, Near T-point , Karanja (Lad), Dist. Washim 444105</t>
  </si>
  <si>
    <t>JD CHAWARE VIDYAMANDIR KARANJA (LAD), DIST. WASHIM 444105</t>
  </si>
  <si>
    <t>AMRAVATI DIVISIONAL BOARD , MAHARASHTRA STATE BOARD (SSC)</t>
  </si>
  <si>
    <t>SWA.VITTHALRAO ADHAO JR. COLLEGE , MANORA</t>
  </si>
  <si>
    <t>MAHARSHTRA STATE BOARD (HSC)</t>
  </si>
  <si>
    <t>G H RAISONI COLLEGE OF ENGINEERING AND MANAGEMENT , PUNE</t>
  </si>
  <si>
    <t>AutoCAD,MS Office,MS Project,Primavera,Revit Structure,BIM,Navisworks</t>
  </si>
  <si>
    <t>Shreeji Infrastructure India  | Summer Intern | Bhopal, Madhya Pradesh | May 2026 | Jun 2026 | 8 Weeks | Campus Internship
Global Business Solutions | Trainee Engineer | Ramwadi ,Pune  | Jun 2023 | Dec 2023 | 29 Weeks</t>
  </si>
  <si>
    <t>Civil CAD  (PDCC)</t>
  </si>
  <si>
    <t>P25700087</t>
  </si>
  <si>
    <t>NIMISH</t>
  </si>
  <si>
    <t>MAHESH</t>
  </si>
  <si>
    <t>BHOIR</t>
  </si>
  <si>
    <t>Nimish Mahesh Bhoir</t>
  </si>
  <si>
    <t>nimishbhoir023@gmail.com</t>
  </si>
  <si>
    <t>p25700087@student.nicmar.ac.in</t>
  </si>
  <si>
    <t>ENGLISH, MARATHI, HINDI</t>
  </si>
  <si>
    <t>4081 1428 9372</t>
  </si>
  <si>
    <t>JYOTI</t>
  </si>
  <si>
    <t>Shree Krupa CHS, Plot-71, Room No-501, Sector-21, Kharghar, Navi Mumbai</t>
  </si>
  <si>
    <t>ST. JOSEPH'S HIGH SCHOOL, NEW PANVEL</t>
  </si>
  <si>
    <t>MAHARASHTRA STATE BOARD OF SECONDARY AND HIGHER SECONDARY EDUCATION, MUMBAI DIVISIONAL BOARD</t>
  </si>
  <si>
    <t>CHANGU KANA THAKUR JR. COLLEGE, NEW PANVEL</t>
  </si>
  <si>
    <t>TERNA ENGINEERING COLLEGE, NERUL, MAHARASHTRA</t>
  </si>
  <si>
    <t>AutoCAD,MS Office,MS Project,Primavera,ETABS,REVIT,STAAD PRO,BBS</t>
  </si>
  <si>
    <t>M.G. CONSTRUCTION | Trainee Civil Engineer | REGD. OFFICE: SHOP NO. 4, SHREEJI DHAM CO-OP, HSG. SOC. LTD., PLOT NO.-18/19, SECTOR-50, SEAWOODS, NERUL, NAVI MUMBAI- 400706. | Oct 2023 | Mar 2025 | 1 Years, 5 Months, 28 Days | 1.8</t>
  </si>
  <si>
    <t>New Consolidated Construction Company Limited | PLANNING INTERN | JUINAGAR, NAVI MUMBAI | May 2026 | Jul 2026 | 8 Weeks | Campus Internship
CITY AND INDUSTRIAL DEVELOUPMENT CORPORATION OF MAHARASHTRA LIMITED | INTERN | BAMANDONGRI STATION, KHARKOPAR STATION(WEST), KHARKOPAR (EAST) AND TALOJA SECTOR 39, NAVI MUMBAI | Dec 2021 | Jan 2022 | 4 Weeks</t>
  </si>
  <si>
    <t>A Complete BIM Course with Revit, Dynamo and Navisworks
SAP Certified Application Associate- Business Foundation &amp; Integration with SAP ERP 6.07</t>
  </si>
  <si>
    <t>P25700088</t>
  </si>
  <si>
    <t>VARAD</t>
  </si>
  <si>
    <t>VINOD</t>
  </si>
  <si>
    <t>SAWARDEKAR</t>
  </si>
  <si>
    <t>Varad Vinod Sawardekar</t>
  </si>
  <si>
    <t>varads1917@gmail.com</t>
  </si>
  <si>
    <t>p25700088@student.nicmar.ac.in</t>
  </si>
  <si>
    <t>26-Jan-2000</t>
  </si>
  <si>
    <t>4335 3038 7451</t>
  </si>
  <si>
    <t>VEENA</t>
  </si>
  <si>
    <t>506, Shanti Niwas, Fitwala Road, Prabhadevi West</t>
  </si>
  <si>
    <t>DR.ANTONIO DA SILVA HIGH SCHOOL</t>
  </si>
  <si>
    <t>MAHARASHTRA STATE BOARD OF SECONDARY AND HIGHER SECONDARY EDUCATION/ MUMBAI DIVISIONAL BOARD</t>
  </si>
  <si>
    <t>GOVERNMENT POLYTECHNIC, MUMBAI / MAHARASHTRA</t>
  </si>
  <si>
    <t>SARDAR PATEL COLLEGE OF ENGINEERING, MUMBAI / MAHARASHTRA</t>
  </si>
  <si>
    <t>AutoCAD,MS Office,MS Project,Primavera,Power Bi,revit structure,shallow foundation,MS Excel</t>
  </si>
  <si>
    <t>Lodha Developers | Site Engineer | Mumbai | Aug 2021 | May 2025 | 3 Years, 9 Months, 14 Days | 6.72</t>
  </si>
  <si>
    <t>45 month(s)</t>
  </si>
  <si>
    <t>Deloitte | Intern- Audit and assuarance | Mumbai | May 2026 | Jul 2026 | 8 Weeks | Campus Internship
Rajasthan Construction Pvt.Ltd | Intern | Mumbai | Dec 2019 | Jan 2020 | 3 Weeks
M/S ROYAL COMBINE | INTERN | MUMBAI | Jun 2017 | Jun 2017 | 2 Weeks</t>
  </si>
  <si>
    <t>P25700089</t>
  </si>
  <si>
    <t>KAUSHAL</t>
  </si>
  <si>
    <t>Kaushal Mahesh Shinde</t>
  </si>
  <si>
    <t>shindekaushal2002@gmail.com</t>
  </si>
  <si>
    <t>p25700089@student.nicmar.ac.in</t>
  </si>
  <si>
    <t>05-Nov-2002</t>
  </si>
  <si>
    <t>7210 2048 3590</t>
  </si>
  <si>
    <t>MAHESH DINKARRAO SHINDE</t>
  </si>
  <si>
    <t>SUSHMA MAHESH SHINDE</t>
  </si>
  <si>
    <t>1182/107, Damodar Residency, E Ward, Mali Colony, Kolhapur.</t>
  </si>
  <si>
    <t>DR. D. Y. PATIL'S SHANTINIKETAN</t>
  </si>
  <si>
    <t>CENTRAL BOARD OF SECONDARY EDUCATION DELHI</t>
  </si>
  <si>
    <t>ALL INDIA SHRI SHIVAJI MEMORIAL SOCIETY COLLEGE OF ENGINEERING</t>
  </si>
  <si>
    <t>AutoCAD,MS Office,MS Project,Primavera,CostX,Revit Architecture</t>
  </si>
  <si>
    <t>Chaphalkar Karandikar Developers | Jr. Site Engineer  | Shivajinagar, Pune  | Aug 2024 | Jun 2025 | 0 Years, 10 Months, 25 Days | 2.64</t>
  </si>
  <si>
    <t>Goel Ganga Group  | Summer Intern | Pune | May 2026 | Jul 2026 | 9 Weeks | Campus Internship</t>
  </si>
  <si>
    <t>P25700090</t>
  </si>
  <si>
    <t>BODDU</t>
  </si>
  <si>
    <t>Rohith Boddu</t>
  </si>
  <si>
    <t>rohithboddu8779@gmail.com</t>
  </si>
  <si>
    <t>p25700090@student.nicmar.ac.in</t>
  </si>
  <si>
    <t>09-Sep-2003</t>
  </si>
  <si>
    <t>TELUGU,ENGLISH,HINDI</t>
  </si>
  <si>
    <t>6750 9472 8415</t>
  </si>
  <si>
    <t>BODDU NAGESWARA RAO</t>
  </si>
  <si>
    <t>BODDU SATYAVENI</t>
  </si>
  <si>
    <t>5-32Aa, KAALUVA VEEDHI,NIMMAKAYALA KOTTHAPALLI,UPPALAGUPTAM MANDAL,EASTGODAVARI,ANDHRA PRADHESH</t>
  </si>
  <si>
    <t>TIRMULA PROACTIVE (EM) HIGH SCHOOL</t>
  </si>
  <si>
    <t>ANDHRAPRADHESH BOARD OF SECONDARY EDUCATION</t>
  </si>
  <si>
    <t>TIRMULA JUNIOR COLLEGE</t>
  </si>
  <si>
    <t>ANDHRA PRADESH BOARD OF INTERMEDIATE EDUCATION</t>
  </si>
  <si>
    <t>JAWAHARLAL NEHRU TECHNOLOGICAL UNIVERSITY ,KAKINADA</t>
  </si>
  <si>
    <t>GAYATRI VIDYA PARISHAD COLLEGE OF ENGINEERING(AUTONOMOUS)  ,VISAKHAPATNAM</t>
  </si>
  <si>
    <t>AutoCAD, MS Office, MS Project, Primavera, STAAD Pro</t>
  </si>
  <si>
    <t>SOBHA LTD  | COSTING INTERN | KERALA  | May 2026 | Jul 2026 | 9 Weeks | Campus Internship
PANCHAYAT RAJ  (PRI) SUB DIVISON | INTERN TRAINEE  | AMALAPURAM | Jun 2023 | Jul 2023 | 4 Weeks
INTERNSHALA | INTERN TRAINEE | INTERN SHALA TRAININGS ONLINE MODE | Aug 2022 | Oct 2022 | 6 Weeks</t>
  </si>
  <si>
    <t>P25700091</t>
  </si>
  <si>
    <t>GANESH</t>
  </si>
  <si>
    <t>DHANRAJ</t>
  </si>
  <si>
    <t>KODNANI</t>
  </si>
  <si>
    <t>Ganesh Dhanraj Kodnani</t>
  </si>
  <si>
    <t>kodnaniganesh@gmail.com</t>
  </si>
  <si>
    <t>p25700091@student.nicmar.ac.in</t>
  </si>
  <si>
    <t>18-Jun-2003</t>
  </si>
  <si>
    <t>HINDI, ENGLISH, MARATHI</t>
  </si>
  <si>
    <t>5416 0759 7364</t>
  </si>
  <si>
    <t>Plot 261, Sector 25, Pradhikaran, Nigdi, Pune - 411044.</t>
  </si>
  <si>
    <t>ST. URSULA HIGH SCHOOL</t>
  </si>
  <si>
    <t>CITY PRIDE JUNIOR COLLEGE</t>
  </si>
  <si>
    <t>PIMPRI CHINCHWAD COLLEGE OF ENGINEERING, PUNE</t>
  </si>
  <si>
    <t>GreenSpace Realty | Project Management Intern | Pune | May 2026 | Jul 2026 | 8 Weeks | Campus Internship
ANP Corp. | Site Engineer | Pune | Jun 2024 | Jul 2024 | 5 Weeks</t>
  </si>
  <si>
    <t>P25700092</t>
  </si>
  <si>
    <t>ADWAITH</t>
  </si>
  <si>
    <t>SHAJI</t>
  </si>
  <si>
    <t>Adwaith Shaji</t>
  </si>
  <si>
    <t>adwaithshaji07@gmail.com</t>
  </si>
  <si>
    <t>p25700092@student.nicmar.ac.in</t>
  </si>
  <si>
    <t>04-Nov-2002</t>
  </si>
  <si>
    <t>ENGLISH, HINDI, MALAYALAM, TAMIL</t>
  </si>
  <si>
    <t>6112 8717 4758</t>
  </si>
  <si>
    <t>SHAJIMON R</t>
  </si>
  <si>
    <t>BINDU C K</t>
  </si>
  <si>
    <t>Andumadam House, 
Kappadu P.O, Kanjirappally,
Kottayam, Kerala</t>
  </si>
  <si>
    <t>Kottayam</t>
  </si>
  <si>
    <t>AKJM HIGHER SECONDARY SCHOOL KANJIRAPPALLY</t>
  </si>
  <si>
    <t>GOVERNMENT OF KERALA, GENERAL EDUCATION DEPARTMENT, KANJIRAPPALLY, KERALA</t>
  </si>
  <si>
    <t>GOVERNMENT OF KERALA, BOARD OF HIGHER SECONDARY EXAMINATION</t>
  </si>
  <si>
    <t>APJ ABDUL KALAM TECHNOLOGICAL UNIVERSITY, TRIVANDRUM, KERALA, INDIA</t>
  </si>
  <si>
    <t>AMAL JYOTHI COLLEGE OF ENGINEERING, KANJIRAPPALLY, KERALA</t>
  </si>
  <si>
    <t>AutoCAD,MS Office,MS Project,Primavera,IMOS,PYTHA</t>
  </si>
  <si>
    <t>DLife Interiors | Junior Quantity Analyst | Vyttila, Eranakulam | Nov 2024 | May 2025 | 0 Years, 6 Months, 19 Days | 2.24</t>
  </si>
  <si>
    <t>Sobha Limited  | Management Intern | Bangalore | May 2026 | Jul 2026 | 9 Weeks | Campus Internship
Kerala State Public Works Department | Site Engineer Intern | Kottayam | May 2023 | May 2023 | 0 Weeks</t>
  </si>
  <si>
    <t>National Service Scheme Volunteer
Student Member of Indian Concrete Institute</t>
  </si>
  <si>
    <t>P25700093</t>
  </si>
  <si>
    <t>MUSTAFA</t>
  </si>
  <si>
    <t>KHAN</t>
  </si>
  <si>
    <t>Mustafa Khan</t>
  </si>
  <si>
    <t>mustafakhan12102002@gmail.com</t>
  </si>
  <si>
    <t>p25700093@student.nicmar.ac.in</t>
  </si>
  <si>
    <t>12-Oct-2002</t>
  </si>
  <si>
    <t>HINDI,ENGLISH,RUSSIAN</t>
  </si>
  <si>
    <t>5107 5094 6454</t>
  </si>
  <si>
    <t>HAMID KHAN</t>
  </si>
  <si>
    <t>KULSUM KHAN</t>
  </si>
  <si>
    <t>HOUSEMAKER</t>
  </si>
  <si>
    <t>B-251, Florence Elite Sushant Lok-3, Sector-57</t>
  </si>
  <si>
    <t>Gurugram</t>
  </si>
  <si>
    <t>ST. PBN PUBLIC SCHOOL</t>
  </si>
  <si>
    <t>CENTRAL BOARD OF SECONDARY EDUCATION, HARYANA</t>
  </si>
  <si>
    <t>SURAJ SCHOOL</t>
  </si>
  <si>
    <t>AMITY UNIVERSITY</t>
  </si>
  <si>
    <t>AMITY SCHOOL OF ENGINEERING &amp; TECHNOLOGY, GURUGRAM</t>
  </si>
  <si>
    <t>AutoCAD,MS Office,MS Project,Primavera,CostX</t>
  </si>
  <si>
    <t>JKUMAR INFRAPROJECTS LIMITED | Project Intern | NOIDA, UTTAR PRADESH | May 2026 | Jul 2026 | 9 Weeks | Campus Internship
ABR INFRASOLUTIONS PRIVATE LIMITED | JR. CIVIL ENGINEER | GREATER NOIDA | Feb 2024 | Nov 2024 | 43 Weeks
UMANG ENGINEERS | INTERN  | TAPUKARA | Dec 2022 | Feb 2023 | 8 Weeks</t>
  </si>
  <si>
    <t>AutoCAD Civil Arch.</t>
  </si>
  <si>
    <t>P25700094</t>
  </si>
  <si>
    <t>MAULI</t>
  </si>
  <si>
    <t>SUDHAKAR</t>
  </si>
  <si>
    <t>RUDRAWAR</t>
  </si>
  <si>
    <t>Mauli Sudhakar Rudrawar</t>
  </si>
  <si>
    <t>maulirudrawar@gmail.com</t>
  </si>
  <si>
    <t>p25700094@student.nicmar.ac.in</t>
  </si>
  <si>
    <t>24-Jun-2001</t>
  </si>
  <si>
    <t>5002 7410 0856</t>
  </si>
  <si>
    <t>SANGITA</t>
  </si>
  <si>
    <t>VTP LEONARA ,PUNE</t>
  </si>
  <si>
    <t>'Sant Krupa', Padma Nagar, Near Sai Baba Temple</t>
  </si>
  <si>
    <t>SHRI KESHAVRAJ MADHYAMIK VIDYALAYA</t>
  </si>
  <si>
    <t>SECONDARY SCHOOL CERTIFICATE ,LATUR, MAHARASHTRA</t>
  </si>
  <si>
    <t>SANT TUKARAM NATIONAL MODEL SCHOOL</t>
  </si>
  <si>
    <t>CENTRAL BOARD OF SECONDARY EDUCATION LATUR MAHARASHTRA</t>
  </si>
  <si>
    <t>COLLEGE OF ENGINEERING PUNE, PUNE , MAHARASHTRA</t>
  </si>
  <si>
    <t>AutoCAD,MS Office,MS Project,Primavera,MS Excel,Revit,Power BI</t>
  </si>
  <si>
    <t>Manisha Group Pvt. Ltd. | Billing Engineer | Pune | Sep 2023 | Feb 2024 | 0 Years, 5 Months, 9 Days | 1.8</t>
  </si>
  <si>
    <t>5 month(s)</t>
  </si>
  <si>
    <t>New Consolidated Construction Company Ltd (NCCCL) | Planning and Execution Intern | Dombivli, Mumbai | May 2026 | Jul 2026 | 8 Weeks | Campus Internship</t>
  </si>
  <si>
    <t>Staad Pro
Project Planning using MSP
QS and Billing using MS Excel</t>
  </si>
  <si>
    <t>P25700095</t>
  </si>
  <si>
    <t>SREEHARI</t>
  </si>
  <si>
    <t>Sreehari V</t>
  </si>
  <si>
    <t>sreehariv181@gmail.com</t>
  </si>
  <si>
    <t>p25700095@student.nicmar.ac.in</t>
  </si>
  <si>
    <t>18-Jan-2000</t>
  </si>
  <si>
    <t>4065 8415 5943</t>
  </si>
  <si>
    <t>O.P.ANANDHAKRISHNAN</t>
  </si>
  <si>
    <t>BUILDING SUPER</t>
  </si>
  <si>
    <t>SAI GEETHA .V</t>
  </si>
  <si>
    <t>INDIRALAYAM(HOUSE),ARANGOTTUKARA(P/O),THRISSUR(DIST),KERALA</t>
  </si>
  <si>
    <t>SREE MAHARSHI VIDYALAYA</t>
  </si>
  <si>
    <t>CBSE - KERALA</t>
  </si>
  <si>
    <t>CBSE-KERALA</t>
  </si>
  <si>
    <t>THEJUS ENGINEERING COLLEGE  ,KERALA</t>
  </si>
  <si>
    <t>AutoCAD,MS Office,REVIT ARCHITECTURE,REVIT STRUCTURE</t>
  </si>
  <si>
    <t>SAM BUILDERS | Site engineer | palakkad | Jun 2023 | Oct 2024 | 1 Years, 4 Months, 26 Days | 1.2</t>
  </si>
  <si>
    <t>JYOTI STRUCTURES LTD. | Student Intern | GUJARAT | May 2026 | Jun 2026 | 8 Weeks | Campus Internship
SUPREME DESIGNERS | SITE ENGINEER | THRISSUR | May 2022 | Apr 2023 | 51 Weeks</t>
  </si>
  <si>
    <t>P25700097</t>
  </si>
  <si>
    <t>SARTHAK</t>
  </si>
  <si>
    <t>Sarthak Sharma</t>
  </si>
  <si>
    <t>sarthak.sharma.ce@gmail.com</t>
  </si>
  <si>
    <t>p25700097@student.nicmar.ac.in</t>
  </si>
  <si>
    <t>9545 2500 6303</t>
  </si>
  <si>
    <t>VIRENDER KUMAR SHARMA</t>
  </si>
  <si>
    <t>POOJA SHARMA</t>
  </si>
  <si>
    <t>153/3, Jail Road, Mandi</t>
  </si>
  <si>
    <t>Mandi</t>
  </si>
  <si>
    <t>Himachal Pradesh</t>
  </si>
  <si>
    <t>OUR LADY OF THE SNOWS HIGH SCHOOL</t>
  </si>
  <si>
    <t>INDIAN CERTIFICATE OF SECONDARY EDUCATION, KULLU, HIMACHAL PRADESH</t>
  </si>
  <si>
    <t>2006-Mar</t>
  </si>
  <si>
    <t>HIM ACADEMY PUBLIC SCHOOL</t>
  </si>
  <si>
    <t>CENTRAL BOARD OF SECONDARY EDUCATION, HAMIRPUR, HIMACHAL PRADESH</t>
  </si>
  <si>
    <t>SRM INSTITUTE OF SCIENCE AND TECHNOLOGY</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</si>
  <si>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</si>
  <si>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</si>
  <si>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</si>
  <si>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</si>
  <si>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P25700098</t>
  </si>
  <si>
    <t>KARTHIK</t>
  </si>
  <si>
    <t>BABU</t>
  </si>
  <si>
    <t>KORUBOTHU</t>
  </si>
  <si>
    <t>Karthik Babu Korubothu</t>
  </si>
  <si>
    <t>karthikkorubothu29@gmail.com</t>
  </si>
  <si>
    <t>p25700098@student.nicmar.ac.in</t>
  </si>
  <si>
    <t>29-Jun-2003</t>
  </si>
  <si>
    <t>ENGLISH, HINDI &amp; TELUGU</t>
  </si>
  <si>
    <t>5985 8110 4209</t>
  </si>
  <si>
    <t>KORUBOTHU KRISHNA</t>
  </si>
  <si>
    <t>KORUBOTHU SUWARNA</t>
  </si>
  <si>
    <t>1-1/52 Kondapur Village, Ghatkesar Mandal</t>
  </si>
  <si>
    <t>Medchal</t>
  </si>
  <si>
    <t>MINERVA GRAMMAR SCHOOL</t>
  </si>
  <si>
    <t>BOARD OF SECONDARY EDUCATION TELANGANA</t>
  </si>
  <si>
    <t>Technical</t>
  </si>
  <si>
    <t>SAMSKRUTI COLLEGE OF ENGINEERING AND TECHNOLOGY</t>
  </si>
  <si>
    <t>MS Project,Primavera,BIM,AutoCAD,MS Office,</t>
  </si>
  <si>
    <t>Goa State Infrastructure Development Corporation GSIDC | Intern Site Execution | Bambolim GOA | May 2026 | Jul 2026 | 8 Weeks | Campus Internship
Ministry Of Road Transport &amp; Highways | Intern | Uppal, Hyderabad | Aug 2023 | Nov 2023 | 13 Weeks
Irrigation &amp; CAD Department | Intern | Choppadandi(V), Karminagar | May 2023 | May 2023 | 2 Weeks</t>
  </si>
  <si>
    <t>P25700099</t>
  </si>
  <si>
    <t>AFRIDHEEN</t>
  </si>
  <si>
    <t>SHAIK</t>
  </si>
  <si>
    <t>Afridheen Shaik</t>
  </si>
  <si>
    <t>afridheenshaik1019@gmail.com</t>
  </si>
  <si>
    <t>p25700099@student.nicmar.ac.in</t>
  </si>
  <si>
    <t>23-Aug-2002</t>
  </si>
  <si>
    <t>ENGLISH,HINDI, TELUGU, URDU</t>
  </si>
  <si>
    <t>3876 7039 0842</t>
  </si>
  <si>
    <t>SHAIK ANJAIAH</t>
  </si>
  <si>
    <t>BUSSINESMAN</t>
  </si>
  <si>
    <t>SHAIK MASTAN BEE</t>
  </si>
  <si>
    <t>2-54,kakanipalem, Addanki, Addanki Mandal, Addanki(North)(u) Bapatla District, Andhra Pradesh-523201</t>
  </si>
  <si>
    <t>Bapatla</t>
  </si>
  <si>
    <t>SRI CHAITANYA TECHNO SCHOOL</t>
  </si>
  <si>
    <t>JAWAHARLAL NEHRU TECHNOLOGICAL UNIVERSITY KAKINADA</t>
  </si>
  <si>
    <t>S.R.K.R ENGINEERING COLLEGE,BHIMAVARAM</t>
  </si>
  <si>
    <t>Primavera P6, MS Project, BIM, MS Excel, CostX, AutoCAD, Revit, ETABS</t>
  </si>
  <si>
    <t>SOBHA Limited | Planning Intern | Thrissur,Kerala | May 2026 | Jul 2026 | 9 Weeks | Campus Internship
Municipal Administration Department | Intern | Bhimavaram | Dec 2024 | Apr 2025 | 17 Weeks
Skill Dzire | Intern | Hyderabad | Dec 2024 | Apr 2025 | 17 Weeks
ASCENT CS GLOBAL | INTERN | HYDERABAD | Jul 2023 | Sep 2023 | 8 Weeks</t>
  </si>
  <si>
    <t>P25700100</t>
  </si>
  <si>
    <t>DNYANESHWAR</t>
  </si>
  <si>
    <t>GIRI</t>
  </si>
  <si>
    <t>Dnyaneshwar Shivaji Giri</t>
  </si>
  <si>
    <t>710giri30102002@gmail.com</t>
  </si>
  <si>
    <t>p25700100@student.nicmar.ac.in</t>
  </si>
  <si>
    <t>30-Oct-2002</t>
  </si>
  <si>
    <t>4416 8923 7103</t>
  </si>
  <si>
    <t>SHARDA</t>
  </si>
  <si>
    <t>Tuljabhawani Coloney Nagzari Road, Ambajogai</t>
  </si>
  <si>
    <t>Beed</t>
  </si>
  <si>
    <t>YOGESHWARI NUTAN VIDHALAYA AMBAJOGAI</t>
  </si>
  <si>
    <t>MAHARASHTRA</t>
  </si>
  <si>
    <t>YOGESHWARI POLYTECHNIC COLLEGE AMBAJOGAI</t>
  </si>
  <si>
    <t>D.K.T.E TEXTILE AND ENGINEERING INSTITUTE ICHALKARANJI</t>
  </si>
  <si>
    <t>AutoCAD,MS Office,MS Project,Primavera,Revit,Staddpro,CostX</t>
  </si>
  <si>
    <t>Rohan Builders Pune | Graduate Engineer Trainee (GET) | pune | Jul 2024 | Oct 2024 | 0 Years, 3 Months, 24 Days | 3.18
Infra Market | Graduate Engineer Trainee (Technical) | pune | Oct 2024 | Jan 2025 | 0 Years, 2 Months, 18 Days | 4</t>
  </si>
  <si>
    <t xml:space="preserve"> Badiyani Constructions | Summer Intern-Design Coordination+Exectution | pune | May 2026 | Jul 2026 | 9 Weeks | Campus Internship
UNIQUE UHPC INFRA LLP | Site Engineer Intern | Satara | Dec 2022 | Jan 2023 | 3 Weeks</t>
  </si>
  <si>
    <t>Research Paper publication
Rohan Skill Development Centre
REVIT
AUTOCAD</t>
  </si>
  <si>
    <t>P25700101</t>
  </si>
  <si>
    <t>TANISH</t>
  </si>
  <si>
    <t>SAMNERKAR</t>
  </si>
  <si>
    <t>Tanish Prashant Samnerkar</t>
  </si>
  <si>
    <t>tsamnerkar@gmail.com</t>
  </si>
  <si>
    <t>p25700101@student.nicmar.ac.in</t>
  </si>
  <si>
    <t>17-Apr-2003</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</si>
  <si>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</si>
  <si>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</si>
  <si>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</si>
  <si>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</si>
  <si>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</si>
  <si>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</si>
  <si>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</si>
  <si>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</si>
  <si>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Fortune Group  | Construction Management Intern | Nashik | May 2026 | Jul 2026 | 7 Weeks | Campus Internship
RACHANA GROUP | SITE ENGINEER | NASHIK | Jan 2024 | Mar 2024 | 6 Weeks</t>
  </si>
  <si>
    <t>AutoCad
Professional Estimation and Costing Course
Professional Billing Course
Internship training in construction skill development</t>
  </si>
  <si>
    <t>P25700103</t>
  </si>
  <si>
    <t>Karthik K S</t>
  </si>
  <si>
    <t>karthikgeena678@gmail.com</t>
  </si>
  <si>
    <t>p25700103@student.nicmar.ac.in</t>
  </si>
  <si>
    <t>30-Aug-2002</t>
  </si>
  <si>
    <t>ENGLISH,MALAYALAM</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</si>
  <si>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</si>
  <si>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</si>
  <si>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</si>
  <si>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</si>
  <si>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</si>
  <si>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</si>
  <si>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</si>
  <si>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</si>
  <si>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</si>
  <si>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</si>
  <si>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</si>
  <si>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</si>
  <si>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P25700104</t>
  </si>
  <si>
    <t>RUTWIK</t>
  </si>
  <si>
    <t>SATISHRAO</t>
  </si>
  <si>
    <t>BHOGE</t>
  </si>
  <si>
    <t>Rutwik Satishrao Bhoge</t>
  </si>
  <si>
    <t>bhogerutwik2002@gmail.com</t>
  </si>
  <si>
    <t>p25700104@student.nicmar.ac.in</t>
  </si>
  <si>
    <t>23-Feb-2002</t>
  </si>
  <si>
    <t>9514 6997 3421</t>
  </si>
  <si>
    <t>SATISH K. BHOGE</t>
  </si>
  <si>
    <t>HARSHIKA S. BHOGE</t>
  </si>
  <si>
    <t>Ramnagar Bhagat Singh Chowk, C/o Sandip Bhandwalkar House, Wardha</t>
  </si>
  <si>
    <t>SUSHIL HIMATSINGAKA VIDYALAYA WARDHA</t>
  </si>
  <si>
    <t>MAHARASHTRA STATE BOARD OF SECONDARY AND HIGHER SECONDARY EDUCATION, PUNE , MAHARASHTRA</t>
  </si>
  <si>
    <t>2012-May</t>
  </si>
  <si>
    <t>ACHARYA SHRIMANNARAYAN POLYTECHNIC, PIPRI (MEGHE), WARDHA</t>
  </si>
  <si>
    <t>DR. BABASAHEB AMBEDKAR TECHNOLOGICAL UNIVERSITY LONERE - RAIGAD, MAHARASHTRA</t>
  </si>
  <si>
    <t>BAJAJ INSTITUTE OF TECHNOLOGY, WARDHA</t>
  </si>
  <si>
    <t>AutoCAD,MS Office,MS Project,Primavera,ESTIMATION,Revit,ETabs</t>
  </si>
  <si>
    <t>HonarAI Pvt Ltd | Graduate Engineer Trainee | Nashik | Jan 2024 | Mar 2025 | 1 Years, 2 Months, 30 Days | 2.4</t>
  </si>
  <si>
    <t>K Raheja Corp | Management Intern | pune | May 2026 | Jul 2026 | 8 Weeks | Campus Internship</t>
  </si>
  <si>
    <t>P25700105</t>
  </si>
  <si>
    <t>NARESH</t>
  </si>
  <si>
    <t>RAJPUT</t>
  </si>
  <si>
    <t>Ashutosh Naresh Rajput</t>
  </si>
  <si>
    <t>rajputashu5514@gmail.com</t>
  </si>
  <si>
    <t>p25700105@student.nicmar.ac.in</t>
  </si>
  <si>
    <t>29-Jul-2000</t>
  </si>
  <si>
    <t>2929 4828 6064</t>
  </si>
  <si>
    <t>NARESH PRABHAKAR RAJPUT</t>
  </si>
  <si>
    <t>MAYA PRABHAKAR RAJPUT</t>
  </si>
  <si>
    <t>AT POST BULDHANA NEAR SARASWATI COLLEGE CHIKALI ROAD</t>
  </si>
  <si>
    <t>ST. JOSEPH'S ENGLISH HIGH SCHOOL BULDHANA</t>
  </si>
  <si>
    <t>MAHARASHTRA STATE BOARD OF SECONDARY AND HIGHER SECONDARY EDUCATION PUNE</t>
  </si>
  <si>
    <t>RAMBHAU LINGADE POLYTECHNIC COLLEGE BULDHANA</t>
  </si>
  <si>
    <t>DR. D.Y. PATIL COLLEGE OF ENGINEERING AKURDI, PUNE</t>
  </si>
  <si>
    <t>ABHIJEET INFRASERV PVT LTD | Site Engineer | CHIKHALI | May 2026 | Jun 2026 | 8 Weeks | Campus Internship</t>
  </si>
  <si>
    <t>P25700106</t>
  </si>
  <si>
    <t>NITISH</t>
  </si>
  <si>
    <t>BARUAH</t>
  </si>
  <si>
    <t>Nitish Baruah</t>
  </si>
  <si>
    <t>nitishbaruah724@gmail.com</t>
  </si>
  <si>
    <t>p25700106@student.nicmar.ac.in</t>
  </si>
  <si>
    <t>19-Dec-1999</t>
  </si>
  <si>
    <t>ENGLISH, HINDI, ASSAMESE</t>
  </si>
  <si>
    <t>6134 7282 7525</t>
  </si>
  <si>
    <t>ROHINI KUMAR BARUAH</t>
  </si>
  <si>
    <t>ACCOUNTS OFFICER, ASSAM SECRETARIAT (RETIRED)</t>
  </si>
  <si>
    <t>HIRAMONI BARUAH</t>
  </si>
  <si>
    <t>Kharghuli Road, Near Subham Residency, Kharghuli</t>
  </si>
  <si>
    <t>DON BOSCO SCHOOL GUWHATI ASSAM</t>
  </si>
  <si>
    <t>CENTRAL BOARD OF SECONDARY EDUCATION, GUWAHATI, ASSAM</t>
  </si>
  <si>
    <t>TEZPUR UNIVERSITY ( A CENTRAL UNIVERSITY ), TEZPUR, ASSAM</t>
  </si>
  <si>
    <t>2022-Dec</t>
  </si>
  <si>
    <t>AutoCAD,MS Office,MS Project,Primavera,Revit,STAAD Pro</t>
  </si>
  <si>
    <t>MaRS Planning &amp; Engineering Services Pvt. Ltd.  | Internship Trainee | Balighat, Simaluguri Town ( Nazira), Sivasagar District , Assam | May 2026 | Jul 2026 | 8 Weeks | Campus Internship
Construction Industry Development Council, New Delhi | Intern (online) | Guwahati | Jun 2021 | Jul 2021 | 4 Weeks
OFFICE OF THE EXECUTIVE ENGINEER, DUDHNOI AND GOALPARA EAST TERRITORIAL ROAD DIVISION, GOALPARA, ASSAM (Public Works Department Government of Assam) | Intern | Goalpara, Assam | Dec 2020 | Jan 2021 | 4 Weeks</t>
  </si>
  <si>
    <t>AUTOCAD
STAAD Pro
Revit</t>
  </si>
  <si>
    <t>P25700107</t>
  </si>
  <si>
    <t>DELVIN</t>
  </si>
  <si>
    <t>DAVIS</t>
  </si>
  <si>
    <t>C</t>
  </si>
  <si>
    <t>Delvin Davis C</t>
  </si>
  <si>
    <t>delvindavis97@gmail.com</t>
  </si>
  <si>
    <t>p25700107@student.nicmar.ac.in</t>
  </si>
  <si>
    <t>27-Jun-1997</t>
  </si>
  <si>
    <t>ENGLISH, MALAYALAM,  HINDI</t>
  </si>
  <si>
    <t>5055 8012 2559</t>
  </si>
  <si>
    <t>DAVIS C J</t>
  </si>
  <si>
    <t>RETD. POSTAL ASSISTANT</t>
  </si>
  <si>
    <t>LINET</t>
  </si>
  <si>
    <t>Chemmannur House Thiroor, Behind St.Thomas Church, Mulagunnathukavu P.O, Thrissur.</t>
  </si>
  <si>
    <t>2004-Jun</t>
  </si>
  <si>
    <t>JYOTHI ENGINEERING COLLEGE THRISSUR/KERALA</t>
  </si>
  <si>
    <t>AutoCAD, MS Office, MS Project, Primavera, CostX, Planswift, MS Excel</t>
  </si>
  <si>
    <t>PROGRAMME IMPLEMENTATION UNIT, LSGD | SITE ENGINEER | Thrissur | Nov 2024 | Jun 2025 | 0 Years, 7 Months, 2 Days | 3
USHUS PROPERTIES AND INFRASTRUCTURE PVT.LTD. (TBPL) | SITE ENGINEER TRAINEE | Thrissur | Sep 2022 | Feb 2023 | 0 Years, 5 Months, 15 Days | 0.96</t>
  </si>
  <si>
    <t>SOBHA Limited | Planning Engineer | Marina One, Kochi, Kerala | May 2026 | Jul 2026 | 9 Weeks | Campus Internship</t>
  </si>
  <si>
    <t>Fundamentals of project planning and management
Quantity Surveying 
NPTEL/Ethics in Engineering Practice
Finance for Non-Financial Managers</t>
  </si>
  <si>
    <t>P25700108</t>
  </si>
  <si>
    <t>KOUNAIN</t>
  </si>
  <si>
    <t>Kounain Khan</t>
  </si>
  <si>
    <t>kounain422@gmail.com</t>
  </si>
  <si>
    <t>p25700108@student.nicmar.ac.in</t>
  </si>
  <si>
    <t>02-Feb-2003</t>
  </si>
  <si>
    <t>5619 3286 5986</t>
  </si>
  <si>
    <t>NAWAB ALI</t>
  </si>
  <si>
    <t>TASLEEMUNNISA</t>
  </si>
  <si>
    <t>Plot No. 2/B/8, Shivaji Nagar, Govandi</t>
  </si>
  <si>
    <t>ENFANT INDIA ENGLISH SCHOOL</t>
  </si>
  <si>
    <t>SECONDARY SCHOOL CERTIFICATE, MUMBAI/ MAHARASHTRA</t>
  </si>
  <si>
    <t>VIVEKANAND EDUCATION SOCIETY'S POLYTECHNIC COLLEGE, MUMBAI/ MAHARASHTRA</t>
  </si>
  <si>
    <t>MAHATMA GANDHI MISSION'S COLLEGE OF ENGINEERING &amp; TECHNOLOGY, NAVI MUMBAI/ MAHARASHTRA</t>
  </si>
  <si>
    <t>Aakar Abhinav Consultants Pvt Ltd | Site Engineer | Mumbai, Maharashtra | Oct 2024 | Jul 2025 | 0 Years, 8 Months, 25 Days | 2.88</t>
  </si>
  <si>
    <t>Jkumar Infraprojects Limited | Summer Intern | Navi Mumbai, Maharashtra | May 2026 | Jul 2026 | 9 Weeks | Campus Internship</t>
  </si>
  <si>
    <t>P25700109</t>
  </si>
  <si>
    <t>SUBINIT</t>
  </si>
  <si>
    <t>NANDI</t>
  </si>
  <si>
    <t>Subinit Nandi</t>
  </si>
  <si>
    <t>nandisubinit@gmail.com</t>
  </si>
  <si>
    <t>p25700109@student.nicmar.ac.in</t>
  </si>
  <si>
    <t>09-Apr-1999</t>
  </si>
  <si>
    <t>BENGALI, ENGLISH, HINDI</t>
  </si>
  <si>
    <t>7619 4311 3106</t>
  </si>
  <si>
    <t>SIBAMOY NANDI</t>
  </si>
  <si>
    <t>RETIRED AXEN, NF RAILWAYS</t>
  </si>
  <si>
    <t>PAPRI NANDI</t>
  </si>
  <si>
    <t>B-14/13, KALYANI, NADIA, WEST BENGAL</t>
  </si>
  <si>
    <t>Nadia</t>
  </si>
  <si>
    <t>PANNALAL INSTITUTION</t>
  </si>
  <si>
    <t>WEST BENGAL BOARD OF SECONDARY EDUCATION WEST BENGAL</t>
  </si>
  <si>
    <t>WEST BENGAL COUNCIL OF HIGHER SECONDARY EDUCATION  WEST BENGAL</t>
  </si>
  <si>
    <t>2016-Jan</t>
  </si>
  <si>
    <t>HOOGHLY ENGINEERING &amp;TECHNOLOGY COLLEGE  WEST BENGAL</t>
  </si>
  <si>
    <t>AutoCAD, MS Office, MS Project, Primavera, BIM, CostX, Revit</t>
  </si>
  <si>
    <t>VENSAR CONSTRUCTIONS COMPANY LIMITED | Graduate Trainee Engineer  | NAGALAND | Aug 2024 | Jun 2025 | 0 Years, 10 Months, 29 Days | 2.16</t>
  </si>
  <si>
    <t>Larsen &amp; Toubro Limited  | PLANNING AND EXECUTION | KALYANI, NADIA, WEST BENGAL | May 2026 | Jul 2026 | 8 Weeks | Campus Internship
Northeast Frontier Railway | INTERN | Maligaon, Guwahati | Jul 2022 | Aug 2022 | 4 Weeks</t>
  </si>
  <si>
    <t>WIND ENERGY
Planning of Metro Rail Systems
Pavement Materials and Design (IRC and MoRTH)
Geometric and Traffic Aspects of Highway
Tunnel Construction Practices
The Construction Industry: The Way Forward
Underground Metros Shafts and Caverns
Deep Excavations and Support Systems
Data Analysis
Construction Project Management
TBMs,Pile Rigs,Cranes &amp; Hauling Vehicles
Construction Equipment Maintenance &amp; Safety
Indian Knowledge System (IKS): An Introduction
Digi QC Project Admin (Scholar)</t>
  </si>
  <si>
    <t>P25700110</t>
  </si>
  <si>
    <t>ADITYA</t>
  </si>
  <si>
    <t>Aditya Sarjerao Kshirsagar</t>
  </si>
  <si>
    <t>kshirsagaraditya2411@gmail.com</t>
  </si>
  <si>
    <t>p25700110@student.nicmar.ac.in</t>
  </si>
  <si>
    <t>24-Nov-2001</t>
  </si>
  <si>
    <t>4287 7810 1763</t>
  </si>
  <si>
    <t>SARJERAO B KSHIRSAGAR</t>
  </si>
  <si>
    <t>MEERA S KSHIRSAGAR</t>
  </si>
  <si>
    <t>Om Sadan, 71/1/2/197, Krushna Chowk Road ,near Samarth Vihar, New Sangavi Pune</t>
  </si>
  <si>
    <t>DAV PUBLIC SCHOOL AUNDH, PUNE</t>
  </si>
  <si>
    <t>CENTRAL BOARD OF SECONDARY EDUCATION (CBSE) PUNE, MAHARASHTRA</t>
  </si>
  <si>
    <t>2005-Feb</t>
  </si>
  <si>
    <t>A I S S M S POLYTECHNIC PUNE</t>
  </si>
  <si>
    <t>DR. D. Y. PATIL INSTITUTE OF TECHNOLOGY PUNE</t>
  </si>
  <si>
    <t>AutoCAD,MS Office,MS Project,Primavera,Staad pro,Ideastatica,RAM CONNECTIONS,CostX,Revit</t>
  </si>
  <si>
    <t>Partik Constructions | Site Engineer | Hinjawadi | Jun 2023 | Dec 2023 | 0 Years, 6 Months, 0 Days | 2.16
Antarkar Consulting Engineers | Structural Engineer | Bavdhan | Mar 2024 | Mar 2025 | 1 Years, 0 Months, 14 Days | 2.48</t>
  </si>
  <si>
    <t>Reliance Industries Limited, New Energy Business | Management Intern | Reliance Corporate Park, Ghansoli, Navi Mumbai | May 2026 | Jul 2026 | 8 Weeks | Campus Internship
RESONIC CONSTRUCTION | JUNIOR ENGINEER | PUNE | Dec 2023 | Feb 2024 | 8 Weeks
MAHARASHTRA METRO RAIL CORPORATION LIMITE, PUNE METRO | JUNIOR SITE ENGINEER INTERN | PUNE | Dec 2021 | Jan 2022 | 4 Weeks
ZILLA PARISHAD PUNE | JUNIOR ENGINEER | PUNE | May 2019 | Jun 2019 | 6 Weeks</t>
  </si>
  <si>
    <t>MSCIT
Information Technology
STAAD.PRO CONNECT edition
Finance for Non-Financial Managers</t>
  </si>
  <si>
    <t>P25700111</t>
  </si>
  <si>
    <t>DEVANSHU</t>
  </si>
  <si>
    <t>KODHEY</t>
  </si>
  <si>
    <t>Devanshu Dilip Kodhey</t>
  </si>
  <si>
    <t>devanshukodhey@gmail.com</t>
  </si>
  <si>
    <t>p25700111@student.nicmar.ac.in</t>
  </si>
  <si>
    <t>20-Jul-2003</t>
  </si>
  <si>
    <t>8857 6565 3854</t>
  </si>
  <si>
    <t>DILIP VITTHALRAO KODHEY</t>
  </si>
  <si>
    <t>RETIRED OFFICER</t>
  </si>
  <si>
    <t>VARSHA DILIP KODHEY</t>
  </si>
  <si>
    <t>FLAT NO. 1708, R16 - A BUILDING LIFE REPUBLIC MULSHI PUNE MARUNJI</t>
  </si>
  <si>
    <t>Plot No.459, New Subhedar Lay-out Near NIT Garden Nagpur</t>
  </si>
  <si>
    <t>SANJUBA HIGH SCHOOL</t>
  </si>
  <si>
    <t>MAHARASHTRA STATE BOARD OF SECONDARY AND HIGHER SECONDARY EDUCATION, PUNE  MAHARASHTRA</t>
  </si>
  <si>
    <t>G. H. RAISONI POLYTECHNIC, NAGPUR</t>
  </si>
  <si>
    <t>2019-Oct</t>
  </si>
  <si>
    <t>PRIYADARSHANI COLLEGE OF ENGINEERING, NAGPUR MAHARASHTRA.</t>
  </si>
  <si>
    <t>KUKREJA INFRASTRUCTURE | Management Intern (Planning, Business Development)  | Nagpur | May 2026 | Jul 2026 | 9 Weeks | Campus Internship
NABHA POWER LIMITED - Owned by L&amp;T | Trainee | Rajpura, Punjab. | Jun 2024 | Jul 2024 | 3 Weeks
PREETEE Builder | Trainee Engineer | Nagpur | Jul 2023 | Jul 2023 | 2 Weeks</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</si>
  <si>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</si>
  <si>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</si>
  <si>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</si>
  <si>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</si>
  <si>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</si>
  <si>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</si>
  <si>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</si>
  <si>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</si>
  <si>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</si>
  <si>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</si>
  <si>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</si>
  <si>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</si>
  <si>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</si>
  <si>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</si>
  <si>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</si>
  <si>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</si>
  <si>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</si>
  <si>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</si>
  <si>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</si>
  <si>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 xml:space="preserve">AutoCAD,MS Office,MS Project, Primavera P6, Power BI, Revit, BEXEL Manager Lite </t>
  </si>
  <si>
    <t>ANP Shelter LLP | INTERNSHIP TRAINEE | Pune | May 2026 | Jul 2026 | 8 Weeks | Campus Internship
GUJARAT ALKALIES AND CHEMICALS LIMITED | APPRENTICE GRADUATE ENGINEER | DAHEJ | Apr 2025 | Jun 2025 | 12 Weeks
NATIONAL HIGHWAY AUTHORITY OF INDIA, PIU-SURAT | INTERNSHIP TRAINEE | SURAT | Jan 2024 | Apr 2024 | 14 Weeks</t>
  </si>
  <si>
    <t>P25700114</t>
  </si>
  <si>
    <t>Aditya Krishna R</t>
  </si>
  <si>
    <t>adityakrishnar2002@gmail.com</t>
  </si>
  <si>
    <t>p25700114@student.nicmar.ac.in</t>
  </si>
  <si>
    <t>ENGLISH , MALAYALAM , HINDI</t>
  </si>
  <si>
    <t>4053 8309 4194</t>
  </si>
  <si>
    <t>P M REJIMON</t>
  </si>
  <si>
    <t>GOVERNMENT  SERVANT</t>
  </si>
  <si>
    <t>NIMMI DAMODHARAN</t>
  </si>
  <si>
    <t>REJI BHAVAN , MANIYAM KUNNU , POONJAR THEKKEKKARA , POONJAR THEKKEKKARA</t>
  </si>
  <si>
    <t>HOLY SPIRIT PUB SCH PAYYANITHOTTAM KOTTAYAM KL</t>
  </si>
  <si>
    <t>S M V HSS</t>
  </si>
  <si>
    <t>GOVERNMENT OF KERALA BOARD OF HIGHER SECONDARY EDUCATION</t>
  </si>
  <si>
    <t>A P J ABDUL KALAM TECHNOLOGICAL UNIVERSITY , THIRUVANANTHAPURAM , KERALA</t>
  </si>
  <si>
    <t>AMAL JYOTHI COLLEGE OF ENGINEERING , KANJIRAPPALLY , KERALA</t>
  </si>
  <si>
    <t>Silpi Global Pvt. Ltd. | Site Engineer | KOCHI | Jul 2024 | Jun 2025 | 0 Years, 10 Months, 25 Days | 2.34</t>
  </si>
  <si>
    <t>Rodic Consultants Pvt. Ltd. | Operations Intern | New Delhi | May 2026 | Jul 2026 | 8 Weeks | Campus Internship
Kerala State Public Works Department | Site Engineer Intern | KOTTAYAM  | May 2023 | May 2023 | 0 Weeks</t>
  </si>
  <si>
    <t>Introduction to AutoCAD</t>
  </si>
  <si>
    <t>P25700116</t>
  </si>
  <si>
    <t>DWITESH</t>
  </si>
  <si>
    <t>Dwitesh Dilip Pawar</t>
  </si>
  <si>
    <t>dwiteshpawar@gmail.com</t>
  </si>
  <si>
    <t>p25700116@student.nicmar.ac.in</t>
  </si>
  <si>
    <t>28-Jun-2002</t>
  </si>
  <si>
    <t>2250 9931 9141</t>
  </si>
  <si>
    <t>DILIP VISHRAM PAWAR</t>
  </si>
  <si>
    <t>SERVICE IN B.E.S.T</t>
  </si>
  <si>
    <t>DAKSHATA DILIP PAWAR</t>
  </si>
  <si>
    <t>201/7- Ravi Chintan, Ravi Chintan 7-8 CHS LTD., Gaurav Sankalp Phase-1, Next To Shanti Vidya Nagari, Near GCC Club, Hatkesh, Mira Road (E), Mira Bhayander Road, Thane</t>
  </si>
  <si>
    <t>VEDANT INTERNATIONAL HIGH SCHOOL</t>
  </si>
  <si>
    <t>ZAGDU SINGH CHARITABLE TRUST'S THAKUR POLYTECHNIC, KANDIVALI (E), MUMBAI, MAHARASHTRA.</t>
  </si>
  <si>
    <t>THAKUR COLLEGE OF ENGINEERING AND TECHNOLOGY, KANDIVALI (E), MUMBAI, MAHARASHTRA.</t>
  </si>
  <si>
    <t>AutoCAD, MS Office, MS Project, Primavera, Revit, SmartPLS</t>
  </si>
  <si>
    <t>Ajmera Group of Companies | Construction Management Intern  | Mumbai | May 2026 | Jun 2026 | 7 Weeks | Campus Internship
INDIAN KNOWLEDGE SYSTEM DIVISION MINISTRY OF EDUCATION, GOVERNMENT OF INDIA | RESEARCH INTERN | MUMBAI | Aug 2023 | Oct 2023 | 8 Weeks
MINISTRY OF HOUSING AND URBAN AFFAIRS | RESEARCH INTERN | MUMBAI | Jul 2022 | Aug 2022 | 5 Weeks</t>
  </si>
  <si>
    <t>P25700117</t>
  </si>
  <si>
    <t>Utkarsh Singh</t>
  </si>
  <si>
    <t>singhu381@gmail.com</t>
  </si>
  <si>
    <t>p25700117@student.nicmar.ac.in</t>
  </si>
  <si>
    <t>01-Oct-2001</t>
  </si>
  <si>
    <t>ENGLISH &amp; HINDI</t>
  </si>
  <si>
    <t>7155 4007 3416</t>
  </si>
  <si>
    <t>VIMLESH</t>
  </si>
  <si>
    <t>AUDIT OFFICER</t>
  </si>
  <si>
    <t>LEENA ANANT</t>
  </si>
  <si>
    <t>House No.1, Adarsh Street 3, Adarsh Nagar, Mowa, Raipur</t>
  </si>
  <si>
    <t>Raipur</t>
  </si>
  <si>
    <t>Chhattisgarh</t>
  </si>
  <si>
    <t>GYAN GANGA EDUCATIONAL ACADEMY</t>
  </si>
  <si>
    <t>CENTRAL BOARD OF SECONDARY EDUCATION (RAIPUR,CHATTISGARH)</t>
  </si>
  <si>
    <t>CHHATTISGARH SWAMI VIVEKANAND TECHNICAL UNIVERSITY, BHILAI, CHATTISSGARH</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</si>
  <si>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</si>
  <si>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</si>
  <si>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 Weeks
CAD BRAIN | Design and Analyst Intern | Raipur | Jul 2022 | Jul 2022 | 1 Weeks</t>
  </si>
  <si>
    <t>REVIT
AUTOCAD</t>
  </si>
  <si>
    <t>P25700118</t>
  </si>
  <si>
    <t>PALASH</t>
  </si>
  <si>
    <t>BHAGAT</t>
  </si>
  <si>
    <t>Palash Bhagat</t>
  </si>
  <si>
    <t>palash.bhagat04@gmail.com</t>
  </si>
  <si>
    <t>p25700118@student.nicmar.ac.in</t>
  </si>
  <si>
    <t>04-Aug-2000</t>
  </si>
  <si>
    <t>9007 0678 2351</t>
  </si>
  <si>
    <t>RAVINDRA NATH BHAGAT</t>
  </si>
  <si>
    <t>PROFESSOR</t>
  </si>
  <si>
    <t>ASHA BHAGAT</t>
  </si>
  <si>
    <t>E-601,JAI VIJAY , KOLTE PATIL_x000D_
VILE PARLE,MUMBAI</t>
  </si>
  <si>
    <t>Unit D, Sector 4, Row House 9_x000D_
Row House 9</t>
  </si>
  <si>
    <t>Ranchi</t>
  </si>
  <si>
    <t>Jharkhand</t>
  </si>
  <si>
    <t>DELHI PUBLIC SCHOOL,SAIL TOWNSHIP DHURWA,RANCHI,JH</t>
  </si>
  <si>
    <t>SUSHANT UNIVERSITY , GURUGRAM</t>
  </si>
  <si>
    <t>SCHOOL OF ART AND ARCHITECTURE , GURUGRAM</t>
  </si>
  <si>
    <t>AutoCAD,MS Office,MS Project,Primavera,ARCHICAD,PHOTOSHOP,SKETCHUP,LUMION</t>
  </si>
  <si>
    <t>DESIGNERS GROUP | ARCHITECT | Mumbai | May 2024 | Jul 2025 | 1 Years, 2 Months, 2 Days | 3</t>
  </si>
  <si>
    <t>Cherry Hill Interiors Pvt. Ltd. | Project Management Intern – Interior Fit-Out | New Delhi | May 2026 | Jul 2026 | 8 Weeks | Campus Internship
We Design | Intern Architect | Delhi | Jun 2022 | Dec 2022 | 26 Weeks</t>
  </si>
  <si>
    <t>P25700119</t>
  </si>
  <si>
    <t>AHMED</t>
  </si>
  <si>
    <t>SHEIKH</t>
  </si>
  <si>
    <t>Sahil Ahmed Sheikh</t>
  </si>
  <si>
    <t>sahil2b23@gmail.com</t>
  </si>
  <si>
    <t>p25700119@student.nicmar.ac.in</t>
  </si>
  <si>
    <t>27-Aug-1999</t>
  </si>
  <si>
    <t>ENGLISH , HINDI</t>
  </si>
  <si>
    <t>7827 7817 6531</t>
  </si>
  <si>
    <t>SHAKIR AHMED SHEIKH</t>
  </si>
  <si>
    <t>SHAMINA PARVIN SHEIKH</t>
  </si>
  <si>
    <t>G193/1-c ,near Church, Behind Lucky Palace, Bhopal Pura Road , Bhilwara</t>
  </si>
  <si>
    <t>Bhilwara</t>
  </si>
  <si>
    <t>SH ADARSH VIDYA NIKETAN SR. SEC. SCHOOL</t>
  </si>
  <si>
    <t>BOARD OF SECONDARY EDUCATION , RAJASTHAN</t>
  </si>
  <si>
    <t>SANGAM UNIVERSITY, BHILWARA, RAJASTHAN</t>
  </si>
  <si>
    <t>SANGAM UNIVERSITY</t>
  </si>
  <si>
    <t>AutoCAD,MS Office,MS Project,Primavera,Quantity Surveying</t>
  </si>
  <si>
    <t>Aditi Constructions | Site Engineer | BHILWARA, RAJASTHAN | Jul 2021 | Jun 2022 | 0 Years, 11 Months, 29 Days | 2.4</t>
  </si>
  <si>
    <t>SRI VAARAHI Real Assets | Real Estate Advisor  | Hyderabad | May 2026 | Jul 2026 | 8 Weeks | Campus Internship
GARUDA DEVELOPERS | INTERN | KUDASAN, GANDHINAGAR, GUJARAT | Jan 2021 | Jun 2021 | 24 Weeks</t>
  </si>
  <si>
    <t>AutoCAD / "Introduction to CAD"</t>
  </si>
  <si>
    <t>P25700121</t>
  </si>
  <si>
    <t>DEVGAONKAR</t>
  </si>
  <si>
    <t>Devgaonkar Yash Santosh</t>
  </si>
  <si>
    <t>ydevgaonkar@gmail.com</t>
  </si>
  <si>
    <t>p25700121@student.nicmar.ac.in</t>
  </si>
  <si>
    <t>ENGLISH HINDI MARATHI</t>
  </si>
  <si>
    <t>3256 8722 9996</t>
  </si>
  <si>
    <t>SANTOSH DEVGAONKAR</t>
  </si>
  <si>
    <t>POOJA</t>
  </si>
  <si>
    <t>Rashin, Taluka: Karjat, District: Ahmednagar</t>
  </si>
  <si>
    <t>DYNAMIC ENGLISH SCHOOL</t>
  </si>
  <si>
    <t>KOTA MENTORS COLLEGE, KARJAT</t>
  </si>
  <si>
    <t>Science (PCB)</t>
  </si>
  <si>
    <t>BHARTI VIDYAPEETH DEEMED UNIVERSITY PUNE</t>
  </si>
  <si>
    <t>BHARTI VIDYAPEETH COLLEGE OF ENGINEERING PUNE ,MAHARASHTRA</t>
  </si>
  <si>
    <t>Pune Metro Rail Corporation Limited (PMRCL)  | Civil, Construction Intern | Phugewadi Metro station, Pune | May 2026 | Jul 2026 | 9 Weeks | Campus Internship
PAVETECH CONSULTANTS PUNE | INTERN | PUNE | Jun 2024 | Aug 2024 | 8 Weeks</t>
  </si>
  <si>
    <t>P25700122</t>
  </si>
  <si>
    <t>MANISHA</t>
  </si>
  <si>
    <t>HADIMANI</t>
  </si>
  <si>
    <t>Manisha M Hadimani</t>
  </si>
  <si>
    <t>hadimanimanisha@gmail.com</t>
  </si>
  <si>
    <t>p25700122@student.nicmar.ac.in</t>
  </si>
  <si>
    <t>14-Dec-2002</t>
  </si>
  <si>
    <t>2294 7071 2810</t>
  </si>
  <si>
    <t>M M HADIMANI</t>
  </si>
  <si>
    <t>POLICE DEPT</t>
  </si>
  <si>
    <t>ANUMATI</t>
  </si>
  <si>
    <t>#16, Shakti Colony, NEAR Water Tank, Sub Jail, Hubli, Karnataka</t>
  </si>
  <si>
    <t>Hubli</t>
  </si>
  <si>
    <t>KENDRIYA VIDYALAYA NO. 1</t>
  </si>
  <si>
    <t>VIDYANIKETHAN SC PU COLLEGE</t>
  </si>
  <si>
    <t>PRELIMINARY UNIVERSITY EDUCATION, HUBLI, KARNATAKA</t>
  </si>
  <si>
    <t>KLE TECHNOLOGICAL UNIVERSITY ( BVB), HUBLI KARNATAKA</t>
  </si>
  <si>
    <t>KLE TECHNOLOGICAL UNIVERSITY (BVB), HUBLI KARNATAKA</t>
  </si>
  <si>
    <t>AutoCAD,MS Office,MS Project,Primavera,Sap2000,Revit,Etabs,Surfer,Python,Matlab, CostX</t>
  </si>
  <si>
    <t>Ahluwalia contracts (india) ltd | Intern | Bengaluru Karnataka | May 2026 | Jul 2026 | 8 Weeks | Campus Internship
N B Hiremath | Project Intern | H.No. 7, 3rd cross, Hosur, HUBLI- 580021 | Jan 2024 | Mar 2024 | 8 Weeks</t>
  </si>
  <si>
    <t>P25700123</t>
  </si>
  <si>
    <t>PREETHIKA</t>
  </si>
  <si>
    <t>KUNDURU</t>
  </si>
  <si>
    <t>Preethika Kunduru</t>
  </si>
  <si>
    <t>kundurupreethika@gmail.com</t>
  </si>
  <si>
    <t>p25700123@student.nicmar.ac.in</t>
  </si>
  <si>
    <t>07-Aug-2002</t>
  </si>
  <si>
    <t>ENGLISH, HINDI, TELUGU</t>
  </si>
  <si>
    <t>7039 0680 7357</t>
  </si>
  <si>
    <t>SRINIVASULU KUNDURU</t>
  </si>
  <si>
    <t>UDAYASRI KUNDURU</t>
  </si>
  <si>
    <t>Flat No. 502, Sai Mayuri Residency,_x000D_
H No. 1-1-538/1/502,_x000D_
Near Andhra Cafe,_x000D_
Gandhi Nagar, New Bakaram</t>
  </si>
  <si>
    <t>Hyderabad</t>
  </si>
  <si>
    <t>FIITJEE WORLD SCHOOL</t>
  </si>
  <si>
    <t>NARAYANA JUNIOR COLLEGE</t>
  </si>
  <si>
    <t>TELANGANA STATE BOARD OF INTERMEDIATE EDUCATION</t>
  </si>
  <si>
    <t>OSMANIA UNIVERSITY</t>
  </si>
  <si>
    <t>METHODIST COLLEGE OF ENGINEERING AND TECHNOLOGY, TELANGANA</t>
  </si>
  <si>
    <t>MS Office,MS Project,Tableau,Power BI</t>
  </si>
  <si>
    <t>Rodic Consultants Pvt Ltd.  | Operations - Intern  | Delhi | May 2026 | Jul 2026 | 8 Weeks | Campus Internship
Imarat Consulting Services | Intern | Hyderabad | Oct 2021 | Nov 2021 | 4 Weeks
TURINGMINDS.AI | DATA SCIENTIST  | HYDERABAD | Oct 2022 | May 2023 | 31 Weeks</t>
  </si>
  <si>
    <t>P25700124</t>
  </si>
  <si>
    <t>SONAWANE</t>
  </si>
  <si>
    <t>RUTUJA</t>
  </si>
  <si>
    <t>PRAVIN</t>
  </si>
  <si>
    <t>Sonawane Rutuja Pravin</t>
  </si>
  <si>
    <t>sonawanerutuja72@gmail.com</t>
  </si>
  <si>
    <t>p25700124@student.nicmar.ac.in</t>
  </si>
  <si>
    <t>ENGLISH , HINDI , MARATHI</t>
  </si>
  <si>
    <t>5031 4442 1144</t>
  </si>
  <si>
    <t>PRAVIN DAMU SONAWANE</t>
  </si>
  <si>
    <t>MALTI PRAVIN SONAWANE</t>
  </si>
  <si>
    <t>More Nagar,Satana , Nashik .</t>
  </si>
  <si>
    <t>BEST ENGLISH MEDIUM SCHOOL</t>
  </si>
  <si>
    <t>MAHARASHTRA STATE BOARD OF SECONDARY AND HIGHER SECONDARY EDUCATION , PUNE</t>
  </si>
  <si>
    <t>SIDDHI INTERNATIONAL SCHOOL AND JUNIOR COLLEGE</t>
  </si>
  <si>
    <t>ALL INDIA SHRI SHIVAJI MEMORIAL SOCIETY COLLEGE OF ENGINEERING, PUNE</t>
  </si>
  <si>
    <t>AutoCAD, MS Office, MS Project ,Primavera , Revit</t>
  </si>
  <si>
    <t>Tirumala Enterprises Engineers and Contractors | Construction Management Trainee | Pune | May 2026 | Jul 2026 | 8 Weeks | Campus Internship
KRUSHNARANG DEVELOPERS | Site Engineer | Pune | Dec 2022 | Jan 2023 | 4 Weeks</t>
  </si>
  <si>
    <t>P25700125</t>
  </si>
  <si>
    <t>SUBHASH</t>
  </si>
  <si>
    <t>WATADE</t>
  </si>
  <si>
    <t>Shraddha Subhash Watade</t>
  </si>
  <si>
    <t>shraddhawatade@gmail.com</t>
  </si>
  <si>
    <t>p25700125@student.nicmar.ac.in</t>
  </si>
  <si>
    <t>06-Aug-2000</t>
  </si>
  <si>
    <t>MARATHI, ENGLISH, HINDI</t>
  </si>
  <si>
    <t>8696 1844 8185</t>
  </si>
  <si>
    <t>SUBHASH WATADE</t>
  </si>
  <si>
    <t>CHEMICAL ENGINEER</t>
  </si>
  <si>
    <t>ASHA WATADE</t>
  </si>
  <si>
    <t>R.C.F. Colony,_x000D_
Type 3B, Bldg No. 36, Room No. 408, Landmark R.C.F. Sports Complex, _x000D_
Chembur, Mumbai 400074.</t>
  </si>
  <si>
    <t>LORETO CONVENT SCHOOL</t>
  </si>
  <si>
    <t>MAHATMA GANDHI MISSION'S COLLEGE OF ENGINEERING AND TECHNOLOGY</t>
  </si>
  <si>
    <t>AutoCAD,MS Office,MS Project,Primavera,Lean 6 Sigma Green Belt</t>
  </si>
  <si>
    <t>Geeta Enterprises | Civil Engineer | Chembur, Mumbai | Jan 2024 | Jun 2025 | 1 Years, 5 Months, 26 Days | 2.4</t>
  </si>
  <si>
    <t>Agami Realty | Business Development | Bandra, Mumbai | May 2026 | Jul 2026 | 8 Weeks | Campus Internship
A K Associates Engineer &amp; Contractors | Civil Engineer | Mumbai | Oct 2022 | Sep 2023 | 51 Weeks</t>
  </si>
  <si>
    <t>Supply Chain &amp; Operation Management
Project Management with Primavera p6
General Management - Leadership &amp; Function of Management</t>
  </si>
  <si>
    <t>P25700126</t>
  </si>
  <si>
    <t>SRI VANI</t>
  </si>
  <si>
    <t>GAJJALAKONDA</t>
  </si>
  <si>
    <t>Sri Vani Gajjalakonda</t>
  </si>
  <si>
    <t>srivanigajjalakonda@gmail.com</t>
  </si>
  <si>
    <t>p25700126@student.nicmar.ac.in</t>
  </si>
  <si>
    <t>14-Aug-2001</t>
  </si>
  <si>
    <t>ENGLISH,HINDI,TELUGU</t>
  </si>
  <si>
    <t>2624 3757 6330</t>
  </si>
  <si>
    <t>G VENKATARAO</t>
  </si>
  <si>
    <t>DAILY WORKER</t>
  </si>
  <si>
    <t>G JAYA LAKSHMI</t>
  </si>
  <si>
    <t>ASHA WORKER</t>
  </si>
  <si>
    <t>70-1-12,6/1 BAVAJI NAGAR, I.P.D COLONY, SANGADIGUNTA</t>
  </si>
  <si>
    <t>Guntur</t>
  </si>
  <si>
    <t>Block No:C10,Flat No:F1,AP Tidco House,Adavitakkellapadu,Guntur West</t>
  </si>
  <si>
    <t>SRI SATYA SAI VIDYA VIHAR PRIMARY SCHOOL, SAI BOMMIDALA NAGAR, GUNTUR</t>
  </si>
  <si>
    <t>M.B.T.S.GOVT. POLYTECHNIC-GUNTUR</t>
  </si>
  <si>
    <t>JAWAHARLAL NEHRU TECHNOLOGICAL UNIVERSITY, KAKINADA</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</si>
  <si>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</si>
  <si>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</si>
  <si>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 Weeks | Campus Internship
HENOTIC TECHNOLOGY PVT LTD | Internship Trainee | HYDERABAD | Jul 2022 | Sep 2022 | 8 Weeks
ROADS AND BUILDINGS DEPARTMENT, KAKINADA | SITE ENGINEER TRAINEE | EAST GODAVARI, AP | Jun 2023 | Jul 2023 | 8 Weeks
TATA PROJECTS LIMITED | STRUCTURAL ANALYSIS AND DESIGN INTERN | SECUNDERABAD | Dec 2023 | Mar 2024 | 15 Weeks</t>
  </si>
  <si>
    <t>P25700127</t>
  </si>
  <si>
    <t>ARPITA</t>
  </si>
  <si>
    <t>RITESH</t>
  </si>
  <si>
    <t>DESHMUKH</t>
  </si>
  <si>
    <t>Arpita Ritesh Deshmukh</t>
  </si>
  <si>
    <t>arpitadeshmukh0501@gmail.com</t>
  </si>
  <si>
    <t>p25700127@student.nicmar.ac.in</t>
  </si>
  <si>
    <t>05-Jan-2001</t>
  </si>
  <si>
    <t>6712 4245 3895</t>
  </si>
  <si>
    <t>RITESH DESHMUKH</t>
  </si>
  <si>
    <t>GOVERNMENT EMPLOYEE (MSRDC)</t>
  </si>
  <si>
    <t>VAISHALI DESHMUKH</t>
  </si>
  <si>
    <t>Shree Laxmi Milestone Apartment, Kirti Nagar, Dighori, Nagpur</t>
  </si>
  <si>
    <t>RELIANCE FOUNDATION SCHOOL, DAHALI MOUDA, NAGPUR</t>
  </si>
  <si>
    <t>2007-Jun</t>
  </si>
  <si>
    <t>NUTAN BHARAT VIDHYALAYA &amp; JR. COLLEGE</t>
  </si>
  <si>
    <t>PRIYADARSHINI INSTITUTE OF ARCHITECTURE AND DESIGN STUDIES, NAGPUR, MAHARASHTRA</t>
  </si>
  <si>
    <t>AutoCAD,MS Office,MS Project,Sketch up,Lumion,Enscape,Photoshop,Revit</t>
  </si>
  <si>
    <t>Pidilite Industries limited  | Summer Intern | Dr. Cipy office, Pune | May 2026 | Jun 2026 | 7 Weeks | Campus Internship
Saptak Patel Architects | Architectural Intern | Ahmedabad | Dec 2023 | Apr 2024 | 15 Weeks</t>
  </si>
  <si>
    <t>Certified Associate in  Project Management  (CAPM)</t>
  </si>
  <si>
    <t>P25700128</t>
  </si>
  <si>
    <t>RAKSHITHA</t>
  </si>
  <si>
    <t>G R</t>
  </si>
  <si>
    <t>Rakshitha G R</t>
  </si>
  <si>
    <t>rakshitha.gondkar@gmail.com</t>
  </si>
  <si>
    <t>p25700128@student.nicmar.ac.in</t>
  </si>
  <si>
    <t>19-Jun-2000</t>
  </si>
  <si>
    <t>ENGLISH, HINDI, KANNADA, TAMIL, MARATHI</t>
  </si>
  <si>
    <t>4978 7619 0376</t>
  </si>
  <si>
    <t>RAJESH G L</t>
  </si>
  <si>
    <t>DEPUTY MANAGER, BHARAT ELECTRONICS LIMITED,BENGALURU</t>
  </si>
  <si>
    <t>AARATHI K</t>
  </si>
  <si>
    <t>ASSISTANT ADMINISTRATIVE OFFICER, DEFENCE ESTATES OFFICE,GOA</t>
  </si>
  <si>
    <t>1366, 5TH MAIN, E BLOCK, 2ND STAGE, RAJAJINAGAR, BENGALURU-560010</t>
  </si>
  <si>
    <t>Bangalore Urban</t>
  </si>
  <si>
    <t>SRI VANI PUBLIC SCHOOL, BANGALORE</t>
  </si>
  <si>
    <t>MES KISHORA KENDRA PU COLLEGE, BANGALORE</t>
  </si>
  <si>
    <t>B.M.S COLLEGE OF ARCHITECTURE, BENGALURU</t>
  </si>
  <si>
    <t>AutoCAD, MS Office, Sketchup, V-ray, Photoshop, Enscape, Lumion, Revit, MS Project, Primavera</t>
  </si>
  <si>
    <t>Int-Hab - Architecture + Design Studio | JUNIOR ARCHITECT | BENGALURU | Sep 2023 | Dec 2024 | 1 Years, 3 Months, 16 Days | 2.04</t>
  </si>
  <si>
    <t>Cushman &amp; Wakefield - Commercial Real Estate Services | Project Management Intern | Bengaluru | May 2026 | Jul 2026 | 8 Weeks | Campus Internship
THE DESIGN FIRM | INTERN ARCHITECT | BENGALURU | Aug 2022 | Dec 2022 | 15 Weeks</t>
  </si>
  <si>
    <t>Construction Equipment Maintenance &amp; Safety-Coursera
Finance for Non-Financial Managers-Coursera
Data Analysis-Coursera
TBMs,Pile Rigs,Cranes &amp; Hauling Vehicles</t>
  </si>
  <si>
    <t>P25700129</t>
  </si>
  <si>
    <t>ANEENA</t>
  </si>
  <si>
    <t>JOHNSON</t>
  </si>
  <si>
    <t>Aneena Johnson</t>
  </si>
  <si>
    <t>aneenajohnsonpanokkaran@gmail.com</t>
  </si>
  <si>
    <t>p25700129@student.nicmar.ac.in</t>
  </si>
  <si>
    <t>14-Feb-2003</t>
  </si>
  <si>
    <t>ENGLISH,MALAYALAM,HINDI</t>
  </si>
  <si>
    <t>4844 6087 4025</t>
  </si>
  <si>
    <t>JOHNSON P L</t>
  </si>
  <si>
    <t>RETIRED SENIOR SUPERINTENDENT,KSEB</t>
  </si>
  <si>
    <t>JASMINE JACOB</t>
  </si>
  <si>
    <t>ASSISTANT MANAGER,KSFE</t>
  </si>
  <si>
    <t>Panokkaran House,Kovilakaparambu,Ayyanthole,Thrissur,_x000D_
Kerala,680003</t>
  </si>
  <si>
    <t>DEVAMATHA CMI PUBLIC SCHOOL THIRUVAMBADY THRISSUR KL</t>
  </si>
  <si>
    <t>CENTRAL BOARD OF SECONDARY EDUCATION, KERALA</t>
  </si>
  <si>
    <t>VIDYA ACADEMY OF SCIENCE AND TECHNOLOGY, THRISSUR</t>
  </si>
  <si>
    <t>AutoCAD,REVIT,MS Project,Primavera,STAAD Pro</t>
  </si>
  <si>
    <t>KABI &amp; ASSOCIATES-ARBITRATION CHAMBERS | Contracts and Claims Management Intern | New Delhi | May 2026 | Jul 2026 | 8 Weeks | Campus Internship
PUBLIC WORKS DEPARTMENT BUILDINGS SECTION NO.2 AYYANTHOLE, THRISSUR | INTERN | AYYANTHOLE,THRISSUR,KERALA | Jul 2024 | Jul 2024 | 0 Weeks
KOCHI METRO RAIL LIMITED (KMRL) | INTERN | KOCHI,KERALA | May 2023 | May 2023 | 1 Weeks</t>
  </si>
  <si>
    <t>P25700130</t>
  </si>
  <si>
    <t>PRANJAL</t>
  </si>
  <si>
    <t>ANNASAHEB</t>
  </si>
  <si>
    <t>KAJABE</t>
  </si>
  <si>
    <t>Pranjal Annasaheb Kajabe</t>
  </si>
  <si>
    <t>ar.pranjalkajabe@gmail.com</t>
  </si>
  <si>
    <t>p25700130@student.nicmar.ac.in</t>
  </si>
  <si>
    <t>03-Jul-2001</t>
  </si>
  <si>
    <t>7833 7849 9653</t>
  </si>
  <si>
    <t>BEBI</t>
  </si>
  <si>
    <t>ANURAG APARTMENT , FALT NO.-4 , FLOOR-2ND , NEAR  NAVSHANTI NIKETAN SOCIETY</t>
  </si>
  <si>
    <t>RUTUGANDHA BUNGLOW,NEAR BANJ NOF MAHARASHTRA ALE, AT POST ALEPHATA</t>
  </si>
  <si>
    <t>R.B.D.VIDYALAYA WADGAON ANAND</t>
  </si>
  <si>
    <t>SPPU PUNE</t>
  </si>
  <si>
    <t>DYANMANDIR JUNIOR COLLEGE ,ALE</t>
  </si>
  <si>
    <t>SPPU</t>
  </si>
  <si>
    <t>D.Y. PATIL COLLEGE OF ARCHITECTURE AKURDI,PUNE</t>
  </si>
  <si>
    <t>AutoCAD,MS Office,MS Project,Primavera,SKETCHUP,PHOTOSHOP,LUMION,WORLD,ENSCAPE,REVIT</t>
  </si>
  <si>
    <t>ECAS.CO | Founder's office intern | Pune | May 2026 | Jul 2026 | 8 Weeks | Campus Internship
ARVIND VAIDYA &amp; ASOCCIATES | INTERN - ARCHITECTURE&amp; DESIGN | SANGAMNER | Jul 2023 | Dec 2023 | 21 Weeks</t>
  </si>
  <si>
    <t>P25700131</t>
  </si>
  <si>
    <t>PRAGATHY</t>
  </si>
  <si>
    <t>S P</t>
  </si>
  <si>
    <t>Pragathy S P</t>
  </si>
  <si>
    <t>pragathysp123@gmail.com</t>
  </si>
  <si>
    <t>p25700131@student.nicmar.ac.in</t>
  </si>
  <si>
    <t>07-Mar-2000</t>
  </si>
  <si>
    <t>3431 3233 8679</t>
  </si>
  <si>
    <t>PRASANNA KUMAR S K</t>
  </si>
  <si>
    <t>SUMA S</t>
  </si>
  <si>
    <t>GOVERMENT EMPLOYEE</t>
  </si>
  <si>
    <t>Prasadam, AGRA 33L, Aiswarya Gardens, Vazhayila, Peroorkada P.O, Thiruvananthapuram, 695005</t>
  </si>
  <si>
    <t>Thiruvananthapuram</t>
  </si>
  <si>
    <t>GOVERNMENT HIGHER SECONDARY SCHOOL FOR GIRLS, COTTON HILL</t>
  </si>
  <si>
    <t>KERALA BOARD OF PUBLIC EXAMINATIONS, KERALA</t>
  </si>
  <si>
    <t>GOVERNMENT GIRLS HIGHER SECONDARY SCHOOL, PEROORKADA</t>
  </si>
  <si>
    <t>BOARD OF HIGHER SECONDARY EDUCATION, KERALA</t>
  </si>
  <si>
    <t>LAL BAHADUR SHASTRI INSTITUTE OF TECHNOLOGY FOR WOMEN, POOJAPPURA, KERALA</t>
  </si>
  <si>
    <t>AutoCAD,MS Project,Primavera,Revit Architecture,3DS Max,STAAD Pro,V-Ray,CostX</t>
  </si>
  <si>
    <t>CAD DESK, Trivandrum, Kerala | CAD Engineer - Civil | Thampanoor, Thiruvananthapuram, Kerala | Apr 2024 | May 2025 | 1 Years, 0 Months, 25 Days | 1.47</t>
  </si>
  <si>
    <t>Suryapriya Constructions Private Limited | Project Co-Ordinater | Bangalore | May 2026 | Jul 2026 | 8 Weeks | Campus Internship
PUBLIC WORKS DEPARTMENT, SPECIAL BUILDINGS SECTION NO.VI, THIRUVANATHAPURAM | INTERN | THIRUVANATHAPURAM, KERALA | Oct 2021 | Oct 2021 | 0 Weeks</t>
  </si>
  <si>
    <t>Master Diploma in Civil CAD
Computer Hardware and Networking</t>
  </si>
  <si>
    <t>P25700132</t>
  </si>
  <si>
    <t>PURVA</t>
  </si>
  <si>
    <t>INGOLE</t>
  </si>
  <si>
    <t>Purva Ramesh Ingole</t>
  </si>
  <si>
    <t>purvaingole1112@gmail.com</t>
  </si>
  <si>
    <t>p25700132@student.nicmar.ac.in</t>
  </si>
  <si>
    <t>06-Jun-2003</t>
  </si>
  <si>
    <t>4119 6025 6858</t>
  </si>
  <si>
    <t>SHITAL</t>
  </si>
  <si>
    <t>Nikita Appt Flat No. 1, Near Jagruti Vidyalay Ranpise Nagar, Akola, 444001</t>
  </si>
  <si>
    <t>VIVEKANAND ENGLISH HIGH SCHOOL, AKOLA</t>
  </si>
  <si>
    <t>MAHARASHTRA STATE BOARD  OF SECONDARY AND HIGHER SECONDARY EDUCATION, PUNE</t>
  </si>
  <si>
    <t>SHREE SAMARTH JR. COLLAGE OF SCIENCE, AKOLA</t>
  </si>
  <si>
    <t>COLLEGE OF ENGINEERING AND TECHNOLOGY AKOLA/ MAHARASHTRA</t>
  </si>
  <si>
    <t>Majestic Realties  | Sales, Site Execution, Project Management  | Pune  | May 2026 | Jun 2026 | 7 Weeks | Campus Internship
Atal Real Tech LTD | Site - Intern | Akola | Jun 2024 | Jul 2024 | 2 Weeks</t>
  </si>
  <si>
    <t>P25700133</t>
  </si>
  <si>
    <t>DISHA</t>
  </si>
  <si>
    <t>AVINASH</t>
  </si>
  <si>
    <t>KAMBLE</t>
  </si>
  <si>
    <t>Disha Avinash Kamble</t>
  </si>
  <si>
    <t>dishaavinashkamble@gmail.com</t>
  </si>
  <si>
    <t>p25700133@student.nicmar.ac.in</t>
  </si>
  <si>
    <t>02-Oct-2001</t>
  </si>
  <si>
    <t>6569 0736 5931</t>
  </si>
  <si>
    <t>AVINASH BALKRISHNA KAMBLE</t>
  </si>
  <si>
    <t>OTHERS</t>
  </si>
  <si>
    <t>SUCHETA AVINASH KAMBLE</t>
  </si>
  <si>
    <t>Build No 230 Room No 8975 Kannamwarnagar 1 Vikhroli East</t>
  </si>
  <si>
    <t>ST JOSEPH'S HIGH SCHOOL</t>
  </si>
  <si>
    <t>MAHARASHTRA STATE BOARD MUMBAI/MAHARAHSTRA</t>
  </si>
  <si>
    <t>VIDYA NIKETAN JUNIOR COLLEGE OF COMMERCE AND SCIENCE</t>
  </si>
  <si>
    <t>MAHARASHTRA STATE BOARD MUMBAI/MAHARASHTRA</t>
  </si>
  <si>
    <t>DATTA MEGHE COLLEGE OF ENGINEERING, NAVI MUMBAI MAHARASHTRA</t>
  </si>
  <si>
    <t xml:space="preserve">B2B Customer Engagement, Customer Needs Analysis, Consultative Communication, Relationship Management, Lead Generation, Solution-Oriented Selling, Technical Solution Communication, Business Development Fundamentals, Primavera P6, Microsoft Project (MSP), </t>
  </si>
  <si>
    <t>AHLUWALIA CONTRACTS | Summer Intern | MUMBAI  | May 2026 | Jun 2026 | 8 Weeks | Campus Internship
GEO INFO TECH | GIS INTERN | NAVI MUMBAI | Jun 2022 | Jul 2022 | 4 Weeks
BHABHA ATOMIC RESEARCH CENTRE (BARC) | STRUCTURAL DESIGN INTERN | MUMBAI  | Dec 2021 | Jan 2022 | 6 Weeks
INDIAN INSTITUTE OF TECHNOLOGY BOMBAY (IIT BOMBAY) | PROJECT ASSOCIATE | POWAI MUMBAI | Jul 2023 | Dec 2024 | 77 Weeks</t>
  </si>
  <si>
    <t>STAAD PRO
PRIMAVERA
MSP PROJECT
AUTOCAD 2D</t>
  </si>
  <si>
    <t>P25700134</t>
  </si>
  <si>
    <t>SANGEETHA</t>
  </si>
  <si>
    <t>S S</t>
  </si>
  <si>
    <t>Sangeetha S S</t>
  </si>
  <si>
    <t>sangeethasskmr@gmail.com</t>
  </si>
  <si>
    <t>p25700134@student.nicmar.ac.in</t>
  </si>
  <si>
    <t>05-Jan-1998</t>
  </si>
  <si>
    <t>6291 3257 0765</t>
  </si>
  <si>
    <t>SASIKUMARAN.M</t>
  </si>
  <si>
    <t>RETIRED MECHANICAL SUPERVISOR</t>
  </si>
  <si>
    <t>SINDHU.S</t>
  </si>
  <si>
    <t>TC 51/2127 Saraswathy Vilasam Pappanamcode, Industrial Estate</t>
  </si>
  <si>
    <t>CARMEL E. M. GIRLS H.S.S. VAZHUTHACAUD</t>
  </si>
  <si>
    <t>STATE, THIRUVANANTHAPURAM</t>
  </si>
  <si>
    <t>LBS INSTITUTE OF TECHNOLOGY FOR WOMEN, POOJAPURA</t>
  </si>
  <si>
    <t>AutoCAD,MS Project,Primavera,3ds Max,Revit,Costx</t>
  </si>
  <si>
    <t>Econstruct Design &amp; Build Pvt. Ltd. | Project Management Intern | Bangalore | May 2026 | Jun 2026 | 8 Weeks | Campus Internship
Spangeo Consultancy &amp; Engineering Pvt.Ltd. | Assistant Project Engineer | Thiruvananthapuram, Kerala  | Aug 2023 | May 2024 | 42 Weeks</t>
  </si>
  <si>
    <t>Autocad 3D
Project Management certification by Google on Coursera
Ethics in Engineering Practice
Certified Associate in Project Management (CAPM) Specialization-Packt (via Coursera)</t>
  </si>
  <si>
    <t>P25700135</t>
  </si>
  <si>
    <t>ANJALY</t>
  </si>
  <si>
    <t>FEROSE</t>
  </si>
  <si>
    <t>Anjaly Ferose</t>
  </si>
  <si>
    <t>feroseanjaly2000@gmail.com</t>
  </si>
  <si>
    <t>p25700135@student.nicmar.ac.in</t>
  </si>
  <si>
    <t>03-Jun-2000</t>
  </si>
  <si>
    <t>ENGLISH, MALAYALAM, HINDI, TAMIL</t>
  </si>
  <si>
    <t>9517 2221 2520</t>
  </si>
  <si>
    <t>FEROSE M G</t>
  </si>
  <si>
    <t>SATHY FEROSE</t>
  </si>
  <si>
    <t>SOPANAM, MULLAMPARAMBIL(H)_x000D_
ARAKULAM WEST_x000D_
P.O KODUNGALLUR</t>
  </si>
  <si>
    <t>HOLY GRACE ACADEMY, MALA</t>
  </si>
  <si>
    <t>SCMS SCHOOL OF ENGINEERING AND TECHNOLOGY, KERALA</t>
  </si>
  <si>
    <t>Econstruct Design &amp; Build Pvt. Ltd. | Management Intern | Kudlu, Bengaluru, Karnataka | May 2026 | Jun 2026 | 8 Weeks | Campus Internship
STEEL INDUSTRIALS KERALA LIMITED | APPRENTICE ENGINEER | OTTAPALAM, KERALA | Nov 2022 | Nov 2023 | 52 Weeks</t>
  </si>
  <si>
    <t>P25700136</t>
  </si>
  <si>
    <t>PARAMITA</t>
  </si>
  <si>
    <t>SAHA</t>
  </si>
  <si>
    <t>Paramita Saha</t>
  </si>
  <si>
    <t>paramitasaha601@gmail.com</t>
  </si>
  <si>
    <t>p25700136@student.nicmar.ac.in</t>
  </si>
  <si>
    <t>19-Apr-1996</t>
  </si>
  <si>
    <t>ENGLISH, HINDI &amp; BENGALI</t>
  </si>
  <si>
    <t>9386 1228 5580</t>
  </si>
  <si>
    <t>LATE SIB PRASAD SAHA</t>
  </si>
  <si>
    <t>EX. EXECUTIVE ENGINEER PWD</t>
  </si>
  <si>
    <t>PRITI SAHA</t>
  </si>
  <si>
    <t>Bl-II, Venketesh Heights, 5th Floor, Dumdum Canyonment</t>
  </si>
  <si>
    <t>Kolkata</t>
  </si>
  <si>
    <t>NALANDA VIDYAPITH</t>
  </si>
  <si>
    <t>WEST BENGAL BOARD OF SECONDARY EDUCATION</t>
  </si>
  <si>
    <t>2011-Jun</t>
  </si>
  <si>
    <t>BALURGHAT LALIT MOHAN ADARSHA UCHHA VIDYALAYA</t>
  </si>
  <si>
    <t>WEST BENGAL COUNCIL OF HIGHER SECONDARY EDUCATION</t>
  </si>
  <si>
    <t>DURGAPUR DR. B.C.ROY ENGINEERING COLLEGE</t>
  </si>
  <si>
    <t>AutoCAD,MS Excel,Primavera,MSP project,BIM</t>
  </si>
  <si>
    <t>Govt. Of West Bengal PWD | Clerk | Kolkata | Mar 2023 | Jun 2025 | 2 Years, 3 Months, 18 Days | 2.62
RITES Ltd. | Graduate Apprentice | Kolkata | Jan 2020 | Dec 2020 | 0 Years, 11 Months, 30 Days | 1.68</t>
  </si>
  <si>
    <t>39 month(s)</t>
  </si>
  <si>
    <t>Sobha Ltd | Costing Management Intern | Gurgaon | May 2026 | Jul 2026 | 9 Weeks | Campus Internship
Shivarth Design And Consultancy Pvt. Ltd | Asst. Estimator | Jharkhand | Jan 2021 | Jan 2023 | 104 Weeks</t>
  </si>
  <si>
    <t>P25700137</t>
  </si>
  <si>
    <t>TAUFIQ</t>
  </si>
  <si>
    <t>Taufiq A</t>
  </si>
  <si>
    <t>taufiqsajitha@gmail.com</t>
  </si>
  <si>
    <t>p25700137@student.nicmar.ac.in</t>
  </si>
  <si>
    <t>01-Apr-2002</t>
  </si>
  <si>
    <t>7698 6111 3723</t>
  </si>
  <si>
    <t>AJI BASHEER</t>
  </si>
  <si>
    <t>DEPUTY TOWN PLANNER</t>
  </si>
  <si>
    <t>SAJITHA P</t>
  </si>
  <si>
    <t>ASSOCIATE PROFESSOR</t>
  </si>
  <si>
    <t>JAMILATH RNRA-31,RESMI NAGAR,MUTTADA PO,TVM</t>
  </si>
  <si>
    <t>ST THOMAS RESIDENTIAL SCHOOL</t>
  </si>
  <si>
    <t>COUNCIL FOR THE INDIAN SCHOOL CERTIFICATE EXAMINATION, NEW DELHI</t>
  </si>
  <si>
    <t>GOVERNMENT ENGINEERING COLLEGE BARTON HILL, KERALA</t>
  </si>
  <si>
    <t>MS Office,MS Project</t>
  </si>
  <si>
    <t>TRV (KERALA) INTERNATIONAL AIRPORT LIMITED | CIVIL ENGINEERING APPRENTICE | TRIVANDRUM | Oct 2024 | Jun 2025 | 0 Years, 8 Months, 23 Days | 1.08</t>
  </si>
  <si>
    <t>Confident Group | Summer Intern | Trivandrum | May 2026 | Jun 2026 | 8 Weeks | Campus Internship</t>
  </si>
  <si>
    <t>P25700138</t>
  </si>
  <si>
    <t>KRISHNAKANT</t>
  </si>
  <si>
    <t>DUBEY</t>
  </si>
  <si>
    <t>Krishnakant Dubey</t>
  </si>
  <si>
    <t>krishnakantdubey963@gmail.com</t>
  </si>
  <si>
    <t>p25700138@student.nicmar.ac.in</t>
  </si>
  <si>
    <t>02-Jan-2002</t>
  </si>
  <si>
    <t>2629 6471 3986</t>
  </si>
  <si>
    <t>CHANDRA SHEKHAR DUBEY</t>
  </si>
  <si>
    <t>ALKA DUBEY</t>
  </si>
  <si>
    <t>1871,New Ram Nagar, Orai</t>
  </si>
  <si>
    <t>Jalaun</t>
  </si>
  <si>
    <t>V S B EDUCATION CENTRE ORAI JALAUN UP</t>
  </si>
  <si>
    <t>S R PUB SCH KALPI ROAD ORAI JALAUN UP</t>
  </si>
  <si>
    <t>GLA UNIVERSITY, MATHURA U.P</t>
  </si>
  <si>
    <t>AutoCAD,MS Office,MS Project,Primavera,RIB CostX,AutodeskRevit,StaadPro</t>
  </si>
  <si>
    <t>KEC International ltd. | Engineer | Noida | Aug 2023 | Sep 2024 | 1 Years, 1 Months, 2 Days | 4</t>
  </si>
  <si>
    <t>New Consolidated Construction Co. Ltd  | Intern Planning  | Lodha, Alibaug  | May 2026 | Jul 2026 | 8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</si>
  <si>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</si>
  <si>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P25700139</t>
  </si>
  <si>
    <t>GOKUL</t>
  </si>
  <si>
    <t>SONWANE</t>
  </si>
  <si>
    <t>Aditya Gokul Sonwane</t>
  </si>
  <si>
    <t>adgsonwane02@gmail.com</t>
  </si>
  <si>
    <t>p25700139@student.nicmar.ac.in</t>
  </si>
  <si>
    <t>20-Feb-2002</t>
  </si>
  <si>
    <t>ENGLISH, MARATHI AND HINDI</t>
  </si>
  <si>
    <t>Reading books and playing guitar</t>
  </si>
  <si>
    <t>7555 5410 9852</t>
  </si>
  <si>
    <t>PRATIBHA</t>
  </si>
  <si>
    <t>Plot No. 5(B), Survey No. 226/1, Behind Jolly Petrol Pump, K.N.P.N Nagar, Bhusawal, Jalgaon</t>
  </si>
  <si>
    <t>SHIRIN DINYAR IRANI LEARNERS ACADEMY</t>
  </si>
  <si>
    <t>MAHARASHTRA STATES BOARDS OF SECONDARY AND HIGHER SECONDARY EDUCATION</t>
  </si>
  <si>
    <t>VIDYAVARDHINI'S BHAUSAHEB VARTAK POLYTECHNIC, VASAI ROAD</t>
  </si>
  <si>
    <t>SHREE L.R. TIWARI COLLEGE OF ENGINEERING, MIRA ROAD</t>
  </si>
  <si>
    <t>AutoCAD,MS Office,MS Project,Primavera,Staad Pro,Excel-based BOQs &amp; BBS</t>
  </si>
  <si>
    <t>Fortress Infracon | Intern – Project Management (Project Controls &amp; PMC) | Thane | May 2026 | Jul 2026 | 8 Weeks | Campus Internship
YMS Consulting Engineers | Civil &amp; Structural Design Engineer | Borivali | Jun 2024 | Oct 2024 | 17 Weeks
Imperial Lifestyle Private Limited | Site Engineer | Vasai | May 2022 | Jul 2022 | 8 Weeks
Jay Jyotirling Construction Company | Site Engineer | Madh Island (Mumbai) | Jun 2023 | Jul 2023 | 5 Weeks</t>
  </si>
  <si>
    <t>Master Diploma in Project Planning and Management
Proficient in Staad Pro
Proficient in Autocad for Civil Engineers and Architects</t>
  </si>
  <si>
    <t>P25700140</t>
  </si>
  <si>
    <t>VEDANT</t>
  </si>
  <si>
    <t>KAILAS</t>
  </si>
  <si>
    <t>Vedant Kailas Patil</t>
  </si>
  <si>
    <t>vedantkpatil08@gmail.com</t>
  </si>
  <si>
    <t>p25700140@student.nicmar.ac.in</t>
  </si>
  <si>
    <t>08-Apr-2003</t>
  </si>
  <si>
    <t>ENGLISH,Hindi,Marathi</t>
  </si>
  <si>
    <t>Rubik's cube</t>
  </si>
  <si>
    <t>9735 5127 5569</t>
  </si>
  <si>
    <t>KAILAS PATIL</t>
  </si>
  <si>
    <t>FINANCIAL ADVISOR</t>
  </si>
  <si>
    <t>NILIMA PATIL</t>
  </si>
  <si>
    <t>STATIONERY BUSINESS</t>
  </si>
  <si>
    <t>Plot 59, Ved, Trimurti Chowk, Durga Nagar, Cidco</t>
  </si>
  <si>
    <t>POST OFFICE, 25/1, NICMAR, N.I.A., BALEWADI RD, RAM NAGAR, BANER</t>
  </si>
  <si>
    <t>FRAVASHI ACADEMY</t>
  </si>
  <si>
    <t>COUNCIL FOR THE INDIAN SCHOOL CERTIFICATE EXAMINATIONS, NASHIK, MAHARASHTRA</t>
  </si>
  <si>
    <t>MATOSHRI JUNIOR COLLEGE</t>
  </si>
  <si>
    <t>MAHARASHTRA STATE BOARD OF SECONDARY AND HIGHER SECONDARY EDUCATION, NASHIK, MAHARASHTRA</t>
  </si>
  <si>
    <t>KARMAVEER KAKASAHEB WAGH INSTITUTE OF ENGINEERING EDUCATION &amp; RESEARCH, NASHIK, MAHARASHTRA</t>
  </si>
  <si>
    <t>AutoCAD, MS Project, Primavera, Revit, MS office</t>
  </si>
  <si>
    <t>Maharashtra Metro Rail Corporation Limited | Project Management Intern | Pimpri-Chinchwad, Maharashtra | May 2026 | Jul 2026 | 9 Weeks | Campus Internship
MAHARASHTRA ENGINEERING RESEARCH INSTITUTE | INTERN | NASHIK | Dec 2023 | Jan 2024 | 4 Weeks</t>
  </si>
  <si>
    <t>Primavera P6
AutoCAD 2D</t>
  </si>
  <si>
    <t>P25700141</t>
  </si>
  <si>
    <t>GOWRI</t>
  </si>
  <si>
    <t>Gowri Krishna V</t>
  </si>
  <si>
    <t>gowrikv8080@gmail.com</t>
  </si>
  <si>
    <t>p25700141@student.nicmar.ac.in</t>
  </si>
  <si>
    <t>16-Jan-2001</t>
  </si>
  <si>
    <t>2687 7445 2833</t>
  </si>
  <si>
    <t>VINOD.S</t>
  </si>
  <si>
    <t>LAKSHMI VINOD</t>
  </si>
  <si>
    <t>Kanjirathu Parambu ,chathanad Ward,North Of Kochukalappura Temple Aryad South,Avalukkunnu, Alappuzha</t>
  </si>
  <si>
    <t>ST MARY'S RESIDENTIAL CENTRAL SCHOOL</t>
  </si>
  <si>
    <t>SAINTGITS COLLEGE OF ENGINEERING</t>
  </si>
  <si>
    <t>AutoCAD,Revit</t>
  </si>
  <si>
    <t>Econstruct Design &amp; Build Pvt.Ltd | management intern  | Bangalore | May 2026 | Jun 2026 | 8 Weeks | Campus Internship
JayArc Construction | intern | online | Jun 2021 | Jun 2021 | 0 Weeks
Kerala State Electronics Development Corporation Ltd | Intern | Kochi | Dec 2021 | Jan 2022 | 0 Weeks</t>
  </si>
  <si>
    <t>P25700142</t>
  </si>
  <si>
    <t>ANVESH</t>
  </si>
  <si>
    <t>Anvesh Roy</t>
  </si>
  <si>
    <t>anveshroy007@gmail.com</t>
  </si>
  <si>
    <t>p25700142@student.nicmar.ac.in</t>
  </si>
  <si>
    <t>29-Jun-1999</t>
  </si>
  <si>
    <t>ENGLISH AND HINDI.</t>
  </si>
  <si>
    <t>5737 0717 0721</t>
  </si>
  <si>
    <t>SHIV KUMAR</t>
  </si>
  <si>
    <t>RETIRED GOVERNMENT EMPLOYEE</t>
  </si>
  <si>
    <t>SUMAN KUMARI</t>
  </si>
  <si>
    <t>House Number 5  Sector 14 Vikas Nagar .</t>
  </si>
  <si>
    <t>CITY MONTESSORI SCHOOL</t>
  </si>
  <si>
    <t>INDIAN CERTIFICATE OF SECONDARY EDUCATION , DELHI</t>
  </si>
  <si>
    <t>CENTRAL ACADEMY</t>
  </si>
  <si>
    <t>SRM INSTITUTE OF SCIENCE AND TECHNOLOGY , TAMIL NADU</t>
  </si>
  <si>
    <t>Kamal Construction Company | Civil Engineer  | Bharatpur (Rajasthan) | Oct 2022 | Jan 2025 | 2 Years, 3 Months, 30 Days | 2.16</t>
  </si>
  <si>
    <t>28 month(s)</t>
  </si>
  <si>
    <t>Rodic consultants | Business Development | New Delhi  | May 2026 | Jul 2026 | 8 Weeks | Campus Internship
Shiv shakti Infravision pvt ltd | Intern | Lucknow | Jun 2019 | Jun 2019 | 4 Weeks</t>
  </si>
  <si>
    <t>P25700143</t>
  </si>
  <si>
    <t>KIRTI</t>
  </si>
  <si>
    <t>SIHOTE</t>
  </si>
  <si>
    <t>Kirti Sihote</t>
  </si>
  <si>
    <t>kirtisihote0304@gmail.com</t>
  </si>
  <si>
    <t>p25700143@student.nicmar.ac.in</t>
  </si>
  <si>
    <t>03-Apr-1998</t>
  </si>
  <si>
    <t>9572 3223 7532</t>
  </si>
  <si>
    <t>RAVI SIHOTE</t>
  </si>
  <si>
    <t>ADMINISTRATIVE OFFICER</t>
  </si>
  <si>
    <t>KALPANA SIHOTE</t>
  </si>
  <si>
    <t>House No. 36, Krishna Vihar Colony</t>
  </si>
  <si>
    <t>Ujjain</t>
  </si>
  <si>
    <t>Madhya Pradesh</t>
  </si>
  <si>
    <t>BAL BHARTI SCHOOL</t>
  </si>
  <si>
    <t>2013-Apr</t>
  </si>
  <si>
    <t>CENTRAL BOARD OF SECONDARY EDUCATION, REWA, MADHYA PRADESH</t>
  </si>
  <si>
    <t>POORNIMA UNIVERSITY, JAIPUR, RAJASTHAN</t>
  </si>
  <si>
    <t>AutoCAD,MS Office,MS Project,Photoshop,Enscape,Sketchup,Revit</t>
  </si>
  <si>
    <t>LIVSPACE | DESIGNER | BANGLORE | Dec 2021 | Mar 2023 | 1 Years, 3 Months, 24 Days | 3.7
Design Cafe | Lead Designer | Bangalore | Jun 2023 | Jun 2025 | 2 Years, 0 Months, 10 Days | 7.2</t>
  </si>
  <si>
    <t>40 month(s)</t>
  </si>
  <si>
    <t>ManAssure  Advisory &amp; Consultancy | Research &amp; Market Intelligence Intern | Hyderabad | May 2026 | Jul 2026 | 8 Weeks | Campus Internship
Designers Forum | Junior Architect | Panchkula | Jan 2020 | Mar 2020 | 10 Weeks</t>
  </si>
  <si>
    <t>P25700144</t>
  </si>
  <si>
    <t>MANDALE</t>
  </si>
  <si>
    <t>ABHISHREE</t>
  </si>
  <si>
    <t>JAYESH</t>
  </si>
  <si>
    <t>Mandale Abhishree Jayesh</t>
  </si>
  <si>
    <t>abhishreemandale054@gmail.com</t>
  </si>
  <si>
    <t>p25700144@student.nicmar.ac.in</t>
  </si>
  <si>
    <t>06-Apr-2000</t>
  </si>
  <si>
    <t>Writing,Cooking</t>
  </si>
  <si>
    <t>7990 1052 8968</t>
  </si>
  <si>
    <t>Jayesh Mandale</t>
  </si>
  <si>
    <t>Business</t>
  </si>
  <si>
    <t>Pravina Mandale</t>
  </si>
  <si>
    <t>Teacher</t>
  </si>
  <si>
    <t xml:space="preserve">201/133, Shri Sai Gajanan appt., RBI Colony, Jaiprakash Nagar, Nagpur. </t>
  </si>
  <si>
    <t>Plot No 35, "Annapurna", Wardha Road, Ganguli Layout, Somalwada, Khamla, Nagpur</t>
  </si>
  <si>
    <t>T.B.R.A.N' S. MUNDLE ENGLISH MEDIUM SCHOOL, NAGPUR,MAHARASHTRA</t>
  </si>
  <si>
    <t>MAHARASHTRA STATE BOARD OF SECONDARY &amp; HIGHER SECONDARY EDUCATION, PUNE, MAHARASHTRA</t>
  </si>
  <si>
    <t>MAJOR HEMANT JAKATE VIDYANIKETAN INSTITUTE OF SCIENCE &amp; COMMERCE, NAGPUR, MAHARASHTRA</t>
  </si>
  <si>
    <t>RASHTRASANT TUKDOJI MAHARAJ NAGPUR UNIVERSITY, NAGPUR, MAHARASHTRA</t>
  </si>
  <si>
    <t>AutoCAD, Revit, MS Office, MS Project, Primavera, Sketchup, Lumion, Photoshop</t>
  </si>
  <si>
    <t>Neilsoft Ltd. | Jr. Architect | Hinjewadi, Pune  | Jul 2023 | Jan 2025 | 1 Years, 6 Months, 5 Days | 3.68</t>
  </si>
  <si>
    <t>Medigence Solutions Pvt. Ltd.  | Project Coordination Intern | Ahmedabad, Gujarat  | May 2026 | Jul 2026 | 8 Weeks | Campus Internship
Design Co-ordinates, Nagpur | Architectural Intern | Nagpur  | Jan 2022 | Sep 2022 | 34 Weeks</t>
  </si>
  <si>
    <t>NPTEL | Ethics of Engineering |</t>
  </si>
  <si>
    <t>P25700145</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</si>
  <si>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</si>
  <si>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</si>
  <si>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</si>
  <si>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</si>
  <si>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</si>
  <si>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</si>
  <si>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</si>
  <si>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</si>
  <si>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</si>
  <si>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</si>
  <si>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</si>
  <si>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Sri Balaji</t>
  </si>
  <si>
    <t>KENDRIYA VIDYALAYA SANGATHAN</t>
  </si>
  <si>
    <t>CENTRAL BOARD OF SECONDARY EDUCATION ANDHRA PRADESH</t>
  </si>
  <si>
    <t>RAJIV GANDHI UNIVERSITY OF KNOWLEDGE TECHNOLOGIES</t>
  </si>
  <si>
    <t>RAJIV KNOWLEDGE VALLEY ANDHRA PRADESH</t>
  </si>
  <si>
    <t>AutoCAD, MS Office, MS Project, Primavera, Basics of BIM, Costex</t>
  </si>
  <si>
    <t>Pidilite Industries | Marketing Intern B2B  | Bangalore | May 2026 | Jun 2026 | 7 Weeks | Campus Internship</t>
  </si>
  <si>
    <t>Financial and Non-Financial Managers
NPTEL online course on German-1</t>
  </si>
  <si>
    <t>P25700146</t>
  </si>
  <si>
    <t>MALAVIKA</t>
  </si>
  <si>
    <t>Malavika S Nair</t>
  </si>
  <si>
    <t>malavikasnair07@gmail.com</t>
  </si>
  <si>
    <t>p25700146@student.nicmar.ac.in</t>
  </si>
  <si>
    <t>11-May-2001</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</si>
  <si>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</si>
  <si>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</si>
  <si>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</si>
  <si>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</si>
  <si>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</si>
  <si>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</si>
  <si>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</si>
  <si>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</si>
  <si>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KERALA BOARD OF PUBLIC EXAMINATION</t>
  </si>
  <si>
    <t>BOARD OF SECONDARY EXAMINATIONS, KERALA</t>
  </si>
  <si>
    <t>FEDERAL INSTITUTE OF SCIENCE AND TECHNOLOGY, ANGAMALY</t>
  </si>
  <si>
    <t>AutoCAD,MS Office,MS Project,TEKLA</t>
  </si>
  <si>
    <t>CLAYSYS LIFESTYLE PVT LTD | CIVIL ENGINEER- L1 | INFOPARK,KAKKANAD,KOCHI | May 2024 | May 2025 | 1 Years, 0 Months, 17 Days | 1.92</t>
  </si>
  <si>
    <t>Rodic Consultants Pvt Ltd | Operations Intern | Work from home | May 2026 | Jul 2026 | 8 Weeks | Campus Internship
FERTILIZERS AND CHEMICALS TRAVANCORE LIMITED | DESIGN TEAM | UDOGAMANDAL ELOOR | Sep 2022 | Sep 2022 | 0 Weeks</t>
  </si>
  <si>
    <t>P25700147</t>
  </si>
  <si>
    <t>SHUBHAM</t>
  </si>
  <si>
    <t>GOPAL</t>
  </si>
  <si>
    <t>CHOMWAL</t>
  </si>
  <si>
    <t>Shubham Gopal Chomwal</t>
  </si>
  <si>
    <t>shubhamchomwal@gmail.coom</t>
  </si>
  <si>
    <t>p25700147@student.nicmar.ac.in</t>
  </si>
  <si>
    <t>14-Mar-2000</t>
  </si>
  <si>
    <t>ENGLISH, HINDI AND MARATHI</t>
  </si>
  <si>
    <t>3910 7685 1338</t>
  </si>
  <si>
    <t>SWATI</t>
  </si>
  <si>
    <t>Chamunda Bunglow B-2  Near Swami Samarth Mandir, SBI Colony No 5, Umari Akola</t>
  </si>
  <si>
    <t>HOLY CROSS CONVENT HIGH SCHOOL AKOLA</t>
  </si>
  <si>
    <t>MAHARASHTRA SATE BOARD OF SECONDARY AND HIGHER SECONDARY EDUCATION</t>
  </si>
  <si>
    <t>SHRI SAMARTH JUNIOR COLLEGE OF SCIENCE, AKOLA</t>
  </si>
  <si>
    <t>COLLEGE OF ENGINEERING AND TECHNOLOGY AKOLA</t>
  </si>
  <si>
    <t>AutoCAD,MS Project,Primavera</t>
  </si>
  <si>
    <t>Medigence Solutions Pvt. Ltd. | Project Management Intern | Ahmedabad | May 2026 | Jul 2026 | 8 Weeks | Campus Internship
Ragita Constructions Pvt Ltd | Site Engineer | Akola | Mar 2024 | Jul 2025 | 66 Weeks</t>
  </si>
  <si>
    <t>P25700148</t>
  </si>
  <si>
    <t>HARI</t>
  </si>
  <si>
    <t>MANIKANTA</t>
  </si>
  <si>
    <t>YATHAM</t>
  </si>
  <si>
    <t>Hari Manikanta Yatham</t>
  </si>
  <si>
    <t>hariyatham2k3@gmail.com</t>
  </si>
  <si>
    <t>p25700148@student.nicmar.ac.in</t>
  </si>
  <si>
    <t>18-Jan-2003</t>
  </si>
  <si>
    <t>8889 7953 0027</t>
  </si>
  <si>
    <t>SRINIVASU</t>
  </si>
  <si>
    <t>NAGA LAKSHMI</t>
  </si>
  <si>
    <t>H No 7-24/2, P.V Road, Vadali, Penugonda Mandal</t>
  </si>
  <si>
    <t>West Godavari</t>
  </si>
  <si>
    <t>DR.K.K.R'S GOWTHAM (EM) SCHOOL</t>
  </si>
  <si>
    <t>SASI JUNIOR COLLEGE</t>
  </si>
  <si>
    <t>SAGI RAMA KRISHNAM RAJU ENGINEERING COLLEGE, BHIMAVARAM</t>
  </si>
  <si>
    <t>AutoCAD,MS Office,MS Project,Primavera,Power BI,CostX,Autodesk Revit,Navis Work</t>
  </si>
  <si>
    <t>ZYETA PRIVATE LIMITED | PROJECT MANAGEMENT INTERN | Bangalore | May 2026 | Jul 2026 | 8 Weeks | Campus Internship
GKC PROJECTS LTD | PROJECT MANAGEMENT INTERN  | HYDERABAD | Dec 2024 | Apr 2025 | 17 Weeks
LARSEN &amp; TOUBRO (L&amp;T) | PROJECT MONITORING INTERN  | ANAND, GUJRAT | Jun 2024 | Jun 2024 | 4 Weeks</t>
  </si>
  <si>
    <t>P25700150</t>
  </si>
  <si>
    <t>MANISH</t>
  </si>
  <si>
    <t>SHEDE</t>
  </si>
  <si>
    <t>Manish Mahesh Shede</t>
  </si>
  <si>
    <t>manishshede22@gmail.com</t>
  </si>
  <si>
    <t>p25700150@student.nicmar.ac.in</t>
  </si>
  <si>
    <t>18-Oct-2002</t>
  </si>
  <si>
    <t>8040 7465 6581</t>
  </si>
  <si>
    <t>NILAM</t>
  </si>
  <si>
    <t>At Post Sakharpa, Bhandarwadi</t>
  </si>
  <si>
    <t>Ratnagiri</t>
  </si>
  <si>
    <t>SHRIMAN TUKARAM GANSHET GANDHI VIDYALAY  KONDGAON</t>
  </si>
  <si>
    <t>KONKAN DIVISIONAL BOARD ,RATNAGIRI</t>
  </si>
  <si>
    <t>GOVERNMENT POLYTECHNIC KARAD , KARAD/MAHARASHTRA</t>
  </si>
  <si>
    <t>ZEAL COLLEGE OF ENGINEERING &amp; RESEARCH PUNE , PUNE/MAHARASHTRA</t>
  </si>
  <si>
    <t>B.G. SHIRKE CONSTRUCTION TECHNOLOGY PRIVATE LIMITED | Site Execution | Mumbai  | May 2026 | Jul 2026 | 8 Weeks | Campus Internship</t>
  </si>
  <si>
    <t>P25700151</t>
  </si>
  <si>
    <t>PRANAV</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</si>
  <si>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</si>
  <si>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</si>
  <si>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</si>
  <si>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</si>
  <si>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</si>
  <si>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</si>
  <si>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</si>
  <si>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</si>
  <si>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</si>
  <si>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</si>
  <si>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</si>
  <si>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</si>
  <si>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</si>
  <si>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 Weeks | Campus Internship
TC ONE PROPERTIES AND PROJECTS PVT.LTD | SITE ENGINEER TRAINEE | KOZHIKODE | Jan 2025 | Jun 2025 | 24 Weeks</t>
  </si>
  <si>
    <t>P25700152</t>
  </si>
  <si>
    <t>NIRAJ</t>
  </si>
  <si>
    <t>LAXMIKANT</t>
  </si>
  <si>
    <t>PATANGE</t>
  </si>
  <si>
    <t>Niraj Laxmikant Patange</t>
  </si>
  <si>
    <t>nirajpatange15@gmail.com</t>
  </si>
  <si>
    <t>p25700152@student.nicmar.ac.in</t>
  </si>
  <si>
    <t>15-Sep-2002</t>
  </si>
  <si>
    <t>English, Marathi, Hindi</t>
  </si>
  <si>
    <t>9296 5043 1935</t>
  </si>
  <si>
    <t>MADHAVI</t>
  </si>
  <si>
    <t>HOUSEWIVE</t>
  </si>
  <si>
    <t>Prabhat Colony, Keshavnagar Chinchwad</t>
  </si>
  <si>
    <t>MANORAM PRIMARY SCHOOL</t>
  </si>
  <si>
    <t>PIMPRI CHINCHWAD POLYTECHNIC PUNE</t>
  </si>
  <si>
    <t>RAJARSHI SHAHU COLLEGE OF ENGINEERING PUNE</t>
  </si>
  <si>
    <t>Pavetech Consultants  | Site Execution and planning management  | Pimpri Chinchwad  | May 2026 | Jul 2026 | 9 Weeks | Campus Internship
Infraking consulting engineers pvt. ltd. | Site trainee engineer | pimpri chinchwad | Dec 2024 | Jun 2025 | 26 Weeks</t>
  </si>
  <si>
    <t>P25700153</t>
  </si>
  <si>
    <t>KARTHIK VIJAY VARMA</t>
  </si>
  <si>
    <t>NIDADAVOLU</t>
  </si>
  <si>
    <t>Karthik Vijay Varma Nidadavolu</t>
  </si>
  <si>
    <t>karthik.nidadavolu@gmail.com</t>
  </si>
  <si>
    <t>p25700153@student.nicmar.ac.in</t>
  </si>
  <si>
    <t>09-Jul-2001</t>
  </si>
  <si>
    <t>8193 6038 9728</t>
  </si>
  <si>
    <t>NIDADAVOLU SITARAMA RAJU</t>
  </si>
  <si>
    <t>NONE</t>
  </si>
  <si>
    <t>NIDADAVOLU BHAVANI DEVI</t>
  </si>
  <si>
    <t>TAILOR</t>
  </si>
  <si>
    <t>3-4/7, Ramakrishna Nagar, Vakalapudi, Kakinada Rural.</t>
  </si>
  <si>
    <t>Kakinada</t>
  </si>
  <si>
    <t>KRISHNAVENI TALENT SCHOOL</t>
  </si>
  <si>
    <t>BOARD OF SECONDARY EDUCATION TELANGANA STATE, INDIA</t>
  </si>
  <si>
    <t>JNTUA COLLEGE OF ENGINEERING KALIKIRI</t>
  </si>
  <si>
    <t>AutoCAD,MS Project,Primavera,Power BI,CostX,MS Excel</t>
  </si>
  <si>
    <t>Asian Paints Limited | Intern - Sales Engineer | Vishakapatnam | May 2026 | Jul 2026 | 8 Weeks | Campus Internship
S&amp;P Constructions | Management Intern-QS | Hyderabad | Jul 2024 | Jan 2025 | 26 Weeks</t>
  </si>
  <si>
    <t>Finance for Non-Financial Managers</t>
  </si>
  <si>
    <t>P25700154</t>
  </si>
  <si>
    <t>Ayush Kumar</t>
  </si>
  <si>
    <t>ayush2003august@gmail.com</t>
  </si>
  <si>
    <t>p25700154@student.nicmar.ac.in</t>
  </si>
  <si>
    <t>4347 3845 9960</t>
  </si>
  <si>
    <t>PANKAJ KUMAR</t>
  </si>
  <si>
    <t>MENKA KUMARI</t>
  </si>
  <si>
    <t>Sr No 279/1/1A Plot No-113 Kutwal Colon, Sathe Wasti , Lohaegaon, Pune 411047</t>
  </si>
  <si>
    <t>MOUNT ST.PATRICK ACADEMY</t>
  </si>
  <si>
    <t>RAO JUNIOR COLLEGE OF SCIENCE, PUNE</t>
  </si>
  <si>
    <t>SHREE HARE KRISHNA INFRA | EXECUTION INTERN | PUNE | May 2026 | Jul 2026 | 8 Weeks | Campus Internship
HAARDIK IMPULSE DEVELOPERS LLP | Estimation &amp; Documentation Intern | Moshi pune  | Dec 2023 | Jan 2024 | 4 Weeks</t>
  </si>
  <si>
    <t>Finance for non financial managers</t>
  </si>
  <si>
    <t>P25700155</t>
  </si>
  <si>
    <t>SARABJIT</t>
  </si>
  <si>
    <t>Sarabjit Yadav</t>
  </si>
  <si>
    <t>ysarabjit88@gmail.com</t>
  </si>
  <si>
    <t>p25700155@student.nicmar.ac.in</t>
  </si>
  <si>
    <t>17-Feb-2000</t>
  </si>
  <si>
    <t>ENGLISH,HINDI AND BENGALI</t>
  </si>
  <si>
    <t>6331 3758 6605</t>
  </si>
  <si>
    <t>BHIKHU YADAV</t>
  </si>
  <si>
    <t>SUGANTI DEVI</t>
  </si>
  <si>
    <t>TEXMACO DARWAN GARAD, BELGHARIA, KAMARHATI M 4 NO RAIL GATE</t>
  </si>
  <si>
    <t>North 24 Parganas</t>
  </si>
  <si>
    <t>BHOLANANDA NATIONAL VIDYALAYA</t>
  </si>
  <si>
    <t>CENTRAL BOARD OF SECONDARY EDUCATION,  NEW DELHI</t>
  </si>
  <si>
    <t>BARRACKPORE CANTONMENT VIDYAPITH (HIGH SCHOOL)</t>
  </si>
  <si>
    <t>WEST BENGAL COUNCIL OF HIGHER SECONDARY EDUCATION KOLKATA</t>
  </si>
  <si>
    <t>MAULANA ABUL KALAM AZAD UNIVERSITY OF TECHNOLOGY, WEST BENGAL</t>
  </si>
  <si>
    <t>NETAJI SUBHASH ENGINEERING COLLEGE KOLKATA</t>
  </si>
  <si>
    <t>AutoCAD,MS Office,MS Project,Excel, Primevera, Bar Bending Schedulel,</t>
  </si>
  <si>
    <t>ICICI BANK | ASSISTANT MANAGER  | Kolkata | Mar 2023 | May 2023 | 0 Years, 1 Months, 21 Days | 3.21
MEGHA ENGINEERING AND INFRASTRUCTURE LIMITED | ENGINEER - STRCS | JAMMU AND KASHMIR | May 2023 | Jun 2025 | 2 Years, 1 Months, 20 Days | 3.48</t>
  </si>
  <si>
    <t>VSL INDIA PRIVATE LIMITED | PROJECT INTERN | PATNA | May 2026 | Jul 2026 | 8 Weeks | Campus Internship
WIPRO | TRAINEE | KOLKATA | Apr 2022 | Jul 2022 | 11 Weeks
KOLKATA CENTRAL HEALTH DIVISION PWD | TRAINEE | KOLKATA | Aug 2021 | Sep 2021 | 3 Weeks</t>
  </si>
  <si>
    <t>P25700156</t>
  </si>
  <si>
    <t>Devendra</t>
  </si>
  <si>
    <t>Vikas</t>
  </si>
  <si>
    <t>Kulkarni</t>
  </si>
  <si>
    <t>Devendra Vikas Kulkarni</t>
  </si>
  <si>
    <t>devendrakulkarni001@gmail.com</t>
  </si>
  <si>
    <t>p25700156@student.nicmar.ac.in</t>
  </si>
  <si>
    <t>11-Mar-2000</t>
  </si>
  <si>
    <t>3626 9859 8523</t>
  </si>
  <si>
    <t>VIKAS</t>
  </si>
  <si>
    <t>SERVICE (RETIRED )</t>
  </si>
  <si>
    <t>LATE</t>
  </si>
  <si>
    <t>Vaishnavi, Namrata Hsg. Soc. Nakhate Nagar Behind Dhangarbaba Mandir Thergaon</t>
  </si>
  <si>
    <t>SHREE FATTECHAND JAIN VIDYALAYA AND JR. COLLAGE CHINCHWAD</t>
  </si>
  <si>
    <t>CUSROW WADIA INSTITUTE OF TECHNOLOGY PUNE</t>
  </si>
  <si>
    <t>TSSMS PADMABHUSHAN VASANT DADA PATIL INSTITUTE OF TECHNOLOGY BAVADHAN</t>
  </si>
  <si>
    <t>A A PMC AND ENGINERRING LLP | Junior Engineer | Taloja phase 2 Navi Mumbai | Mar 2022 | Jun 2025 | 3 Years, 3 Months, 2 Days | 5.06</t>
  </si>
  <si>
    <t>Sribal Construction Company  | Intern  | Bidadi Banglore  | May 2026 | Jul 2026 | 8 Weeks | Campus Internship
Legacy Life spaces LLP | Trainee engineer | Rahatni Pimpri | May 2017 | Jun 2017 | 3 Weeks</t>
  </si>
  <si>
    <t>P25700157</t>
  </si>
  <si>
    <t>SAMEER</t>
  </si>
  <si>
    <t>Sameer Satish Jadhav</t>
  </si>
  <si>
    <t>jadhavsameer.work@gmail.com</t>
  </si>
  <si>
    <t>p25700157@student.nicmar.ac.in</t>
  </si>
  <si>
    <t>9150 3564 3561</t>
  </si>
  <si>
    <t>SATISH JADHAV</t>
  </si>
  <si>
    <t>MANISHA JADHAV</t>
  </si>
  <si>
    <t>4, Navalkar Building, Ram Maruti Road, Dadar [West] Mumbai - 400028</t>
  </si>
  <si>
    <t>IES MODERN ENGLISH SCHOOL, DADAR (WEST) MUMBAI</t>
  </si>
  <si>
    <t>MAHARASHTRA STATE BOARD OF SECONDARY AND HIGHER EDUCATION, PUNE</t>
  </si>
  <si>
    <t>M.H. SABOO SIDDIK POLYTECHNIC, BYCULLA, MUMBAI</t>
  </si>
  <si>
    <t>DATTA MEGHE COLLEGE OF ENGINEERING, AIROLI, NAVI MUMBAI</t>
  </si>
  <si>
    <t>Civil Infrastructure</t>
  </si>
  <si>
    <t>MS Project, Primavera, REVIT, AutoCAD</t>
  </si>
  <si>
    <t>Kolte-Patil Developers Limited | Construction &amp; Operations Intern | Pune, Maharashtra | May 2026 | Jul 2026 | 9 Weeks | Campus Internship
CIDCO, BELAPUR, NAVI MUMBAI | INTERN | ULWE, NAVI MUMBAI | Dec 2023 | Jan 2024 | 3 Weeks</t>
  </si>
  <si>
    <t>Foundations of Project Management - Google (Coursera)
PMI® Kickoff™ Predictive – Project Management Institute (PMI)
Project Management: Initiation and Planning – L&amp;T EduTech (Coursera)</t>
  </si>
  <si>
    <t>P25700158</t>
  </si>
  <si>
    <t>HIMANSHU</t>
  </si>
  <si>
    <t>RATHOD</t>
  </si>
  <si>
    <t>Himanshu Vijay Rathod</t>
  </si>
  <si>
    <t>himanshu.rathodhr1998@gmail.com</t>
  </si>
  <si>
    <t>p25700158@student.nicmar.ac.in</t>
  </si>
  <si>
    <t>09-Feb-1998</t>
  </si>
  <si>
    <t>3857 3629 1015</t>
  </si>
  <si>
    <t>VIJAY RATHOD</t>
  </si>
  <si>
    <t>ANITA RATHOD</t>
  </si>
  <si>
    <t>73, Chandrabhaga Nagar Hudkeshwar Road Nagpur</t>
  </si>
  <si>
    <t>SOUTH POINT SCHOOL</t>
  </si>
  <si>
    <t>SHIVAJI SCIENCE COLLEGE</t>
  </si>
  <si>
    <t>YESHWANTRAO CHAVAN COLLEGE OF ENGINEERING NAGPUR</t>
  </si>
  <si>
    <t>AutoCAD,MS Project,Primavera,Advanced Excel,Power BI,Business Analytics</t>
  </si>
  <si>
    <t>Orange city water Pvt Ltd | Junior Engineer | Nagpur | Jul 2020 | Oct 2021 | 1 Years, 2 Months, 26 Days | 2.52</t>
  </si>
  <si>
    <t>Kalpataru limited  | Projects Department  | Mumbai | May 2026 | Jul 2026 | 8 Weeks | Campus Internship
NAGPUR MUNCIPAL CORPORATION NAGPUR | JUNIOR ENGINEER TRAINEE | NAGPUR | Aug 2024 | Jun 2025 | 43 Weeks
Maharashtra metro rail corporation limited | Intern | Nagpur | May 2018 | Jun 2018 | 1 Weeks
L&amp;T REALTY MUMBAI | TRAINEE ENGINEER | MUMBAI | Jun 2023 | Feb 2024 | 34 Weeks</t>
  </si>
  <si>
    <t>Finance for Non-Financial Managers
STAADPRO
Autocad</t>
  </si>
  <si>
    <t>P25700159</t>
  </si>
  <si>
    <t>PRATIK</t>
  </si>
  <si>
    <t>BHIMRAJ</t>
  </si>
  <si>
    <t>SUDRIK</t>
  </si>
  <si>
    <t>Pratik Bhimraj Sudrik</t>
  </si>
  <si>
    <t>pratiksudrikofficial2002@gmail.com</t>
  </si>
  <si>
    <t>p25700159@student.nicmar.ac.in</t>
  </si>
  <si>
    <t>24-Apr-2002</t>
  </si>
  <si>
    <t>MARATHI, ENGLISH &amp; HINDI</t>
  </si>
  <si>
    <t>7843 0709 6484</t>
  </si>
  <si>
    <t>PRIVATE SERVICE</t>
  </si>
  <si>
    <t>ROHINI SUDRIK</t>
  </si>
  <si>
    <t>404,06 BUILDING NO, AMARANTE SOCITY,KALAMBOLI ROADPALI, NAVI MUMBAI, PLOT 04, SEC 9 E</t>
  </si>
  <si>
    <t>A37/4, PUSHPAK HOUSING SOCIETY,_x000D_
NEAR GANESH MANDIR, VENUNAGAR, WAKAD.</t>
  </si>
  <si>
    <t>CREATIVE PUBLIC SCHOOL, RAVET</t>
  </si>
  <si>
    <t>MAHARASHTRA STATE BORD OF SECONDARY AND HIGHER SECONDARY EDUCATION.</t>
  </si>
  <si>
    <t>FR. AGNEL POLYTECHNIC, VASHI</t>
  </si>
  <si>
    <t>MAHATMA GANDHI MISSION'S COLLEGE OF ENGINEERING AND TECHNOLOGY, KAMOTHE, NAVI MUMBAI</t>
  </si>
  <si>
    <t>CAPACITE INFRAPROJECTS LTD | QUANTITY SURVEY &amp; BILLING GRADUATE ENGINEER TRAINEE | RAYMOND, RAYMOND ROAD, THANE, BEHIND VIVIANA MALL. | Jan 2025 | Jun 2025 | 0 Years, 5 Months, 7 Days | 2.52</t>
  </si>
  <si>
    <t>Embassy Development limited | Intern - Construction | Navi-Mumbai | May 2026 | Jul 2026 | 8 Weeks | Campus Internship
NAVI MUMBAI MUNICIPAL COPORATION | INTERN | BELAPUR WARD, SECTOR 11 | Jun 2023 | Jul 2023 | 3 Weeks</t>
  </si>
  <si>
    <t>P25700160</t>
  </si>
  <si>
    <t>AMITKUMAR</t>
  </si>
  <si>
    <t>Pranav Amitkumar Patil</t>
  </si>
  <si>
    <t>pranavpatil949529@gmail.com</t>
  </si>
  <si>
    <t>p25700160@student.nicmar.ac.in</t>
  </si>
  <si>
    <t>29-Apr-2003</t>
  </si>
  <si>
    <t>7150 6982 0121</t>
  </si>
  <si>
    <t>255/B WARD Plot No 39 Tararani Colony Sambhaji Nagar Kolhapur</t>
  </si>
  <si>
    <t>NEW ENGLISH MEDIUM SCHOOL</t>
  </si>
  <si>
    <t>MAHARAHTRA STATE BOARD OF SECONDARY AND HIGHER SECONDARY EDUCATION PUNE</t>
  </si>
  <si>
    <t>SHIVAJI UNIVERSITY KOLHAPUR</t>
  </si>
  <si>
    <t>DY PATIL COLLEGE OF ENGINEEERING AND TECHNOLOGY KOLHAPUR</t>
  </si>
  <si>
    <t>Kolte-Patil Developers Ltd. | Management Intern - Construction &amp; Operations | Pune, Maharashtra | May 2026 | Jul 2026 | 9 Weeks | Campus Internship</t>
  </si>
  <si>
    <t>Certificate Program in Contract Management (CPCM)
Excel Skills for Business : Essentials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</si>
  <si>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</si>
  <si>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</si>
  <si>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</si>
  <si>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</si>
  <si>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</si>
  <si>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</si>
  <si>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</si>
  <si>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</si>
  <si>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</si>
  <si>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</si>
  <si>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</si>
  <si>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</si>
  <si>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</si>
  <si>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</si>
  <si>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</si>
  <si>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DEPARTMENT OF PRE-UNIVERSITY EDUCATION</t>
  </si>
  <si>
    <t>KLS GOGTE INSTITUTE OF TECHNOLOGY, BELAGAVI</t>
  </si>
  <si>
    <t>BELAGAVI</t>
  </si>
  <si>
    <t>AutoCAD,MS Office,MS Project,ERP Software,Project Management Software</t>
  </si>
  <si>
    <t>Nina Percept Pvt Ltd, Subsidiary of Pidilite Industries. | Engineer - QAQC | Bengaluru | Aug 2023 | Jun 2025 | 1 Years, 9 Months, 27 Days | 3.6</t>
  </si>
  <si>
    <t>Rodic Consultants Pvt. Ltd | Business Development | New Delhi | May 2026 | Jul 2026 | 8 Weeks | Campus Internship
Indian Institute of Technology, Madras | Student Intern - Ambient Air Quality Monitoring and Analysis. | Chennai | Aug 2022 | Oct 2022 | 7 Weeks</t>
  </si>
  <si>
    <t>Plastic Waste Management
Intellectual Property Rights and Competition Law
English Language for Competitive Exams</t>
  </si>
  <si>
    <t>P25700162</t>
  </si>
  <si>
    <t>SHARIKA</t>
  </si>
  <si>
    <t>Sharika S S</t>
  </si>
  <si>
    <t>sharikasshyna@gmail.com</t>
  </si>
  <si>
    <t>p25700162@student.nicmar.ac.in</t>
  </si>
  <si>
    <t>7616 0952 1875</t>
  </si>
  <si>
    <t>SALIMRAJ P R</t>
  </si>
  <si>
    <t>SENIOR TECHNICIAN AT BPCL PUBLIC LIMITED</t>
  </si>
  <si>
    <t>SHYNA SALIMRAJ</t>
  </si>
  <si>
    <t>ACCOUNTANT AT A PRIVATE FIRM</t>
  </si>
  <si>
    <t>LEOS QUARTET APARTMENT, HOUSE NO 3, JAWAHAR NAGAR ROAD, THIRUVANKULAM P.O ERNAKULAM</t>
  </si>
  <si>
    <t>Kottakkattu Veedu, Keezhattingal, P.O Trivandrum</t>
  </si>
  <si>
    <t>COCHIN REFINERIES SCHOOL AMBALAMUGAL</t>
  </si>
  <si>
    <t>CENTRAL BOARD OF SECONDARY EDUCATION KOCHI</t>
  </si>
  <si>
    <t>RAJAGIRI SCHOOL OF ENGINEERING AND TECHNOLOGY</t>
  </si>
  <si>
    <t>NeST Hi-Tek Park Private Limited | Civil Engineer Trainee | Kalamassery , Ernakulam, Kerala | Dec 2023 | May 2025 | 1 Years, 4 Months, 26 Days | 2.4</t>
  </si>
  <si>
    <t>Uralungal Labour Contract Co-operative Society(ULCCS) | Intern | Varkala, Kerala | May 2026 | Jul 2026 | 8 Weeks | Campus Internship
KEC International Limited | Intern | Kochi | Oct 2022 | Oct 2022 | 0 Weeks</t>
  </si>
  <si>
    <t>P25700163</t>
  </si>
  <si>
    <t>KHUSHI</t>
  </si>
  <si>
    <t>KHANNA</t>
  </si>
  <si>
    <t>Khushi Khanna</t>
  </si>
  <si>
    <t>khannakhushi43@gmail.com</t>
  </si>
  <si>
    <t>p25700163@student.nicmar.ac.in</t>
  </si>
  <si>
    <t>23-Mar-2002</t>
  </si>
  <si>
    <t>4376 0748 5575</t>
  </si>
  <si>
    <t>SANJAY KHANNA</t>
  </si>
  <si>
    <t>MAYA KHANNA</t>
  </si>
  <si>
    <t>KD-122, Kavinagar, D Block</t>
  </si>
  <si>
    <t>Ghaziabad</t>
  </si>
  <si>
    <t>THE DPS-G INTERNATIONAL HINDON NGR GHAZIABAD UP</t>
  </si>
  <si>
    <t>CBSE GHAZIABAD/UTTAR PRADESH</t>
  </si>
  <si>
    <t>2012-Apr</t>
  </si>
  <si>
    <t>MANIPAL UNIVERSITY JAIPUR</t>
  </si>
  <si>
    <t>MANIPAL UNIVERSITY JAIPUR/ RAJASTHAN</t>
  </si>
  <si>
    <t>MS Project,MS Office,AutoCAD,SketchUp,Revit,Lumion,Photoshop,Illustrator</t>
  </si>
  <si>
    <t>Ecofirst Services Limited | Architect Trainee | Navi Mumbai | Aug 2024 | Jan 2025 | 0 Years, 5 Months, 12 Days | 4.5</t>
  </si>
  <si>
    <t>Deloitte Touche Tohmatsu India LLP | Intern | Delhi | May 2026 | Jul 2026 | 8 Weeks | Campus Internship
BIPOLAR DESIGNS LLP | INTERN | DELHI | Jan 2023 | Apr 2023 | 15 Weeks</t>
  </si>
  <si>
    <t>Internation Studies in Vernacular Architecture</t>
  </si>
  <si>
    <t>P25700164</t>
  </si>
  <si>
    <t>SURYA</t>
  </si>
  <si>
    <t>SRIVATSAV</t>
  </si>
  <si>
    <t>GOLLAPALLI</t>
  </si>
  <si>
    <t>Surya Srivatsav Gollapalli</t>
  </si>
  <si>
    <t>gollapallisuryasrivatsav@gmail.com</t>
  </si>
  <si>
    <t>p25700164@student.nicmar.ac.in</t>
  </si>
  <si>
    <t>10-Jun-2003</t>
  </si>
  <si>
    <t>ENGLISH , TELUGU, HINDI</t>
  </si>
  <si>
    <t>3416 1119 3649</t>
  </si>
  <si>
    <t>SRINIVASA RAO GOLLAPALLI</t>
  </si>
  <si>
    <t>CONTRACTOR</t>
  </si>
  <si>
    <t>LALITHA SUNDARI GOLLAPALLI</t>
  </si>
  <si>
    <t>DEMISED</t>
  </si>
  <si>
    <t>Mig 2 Block No 16 F3, Visweswaraya Nagar, Autonagar D Block Extn. BHPV Post</t>
  </si>
  <si>
    <t>DE PAUL SCHOOL</t>
  </si>
  <si>
    <t>COUNCIL FOR THE INDIAN SCHOOL CERTIFICATE EXAMINATIONS, VISAKHAPATNAM</t>
  </si>
  <si>
    <t>2006-Jul</t>
  </si>
  <si>
    <t>BOARD OF INTERMEDIATE EDUCATION,KAKINADA</t>
  </si>
  <si>
    <t>GITAM INSTITUTE OF TECHNOLOGY AND MANAGEMENT</t>
  </si>
  <si>
    <t>GITAM UNIVERSITY , VISAKHAPATNAM</t>
  </si>
  <si>
    <t>AutoCAD, MS Office, MS Project, Revit, Primavera</t>
  </si>
  <si>
    <t>NAVAYUGA ENGINEERING COMPANY LTD. | Project Management Intern | PUNE  | May 2026 | Jul 2026 | 8 Weeks | Campus Internship
NHAI | Site intern | visakhapatnam | May 2024 | Jun 2024 | 4 Weeks</t>
  </si>
  <si>
    <t>P25700165</t>
  </si>
  <si>
    <t>RAGHVENDRA</t>
  </si>
  <si>
    <t>Raghvendra Singh</t>
  </si>
  <si>
    <t>raghvendrasinghnagar@gmail.com</t>
  </si>
  <si>
    <t>p25700165@student.nicmar.ac.in</t>
  </si>
  <si>
    <t>19-Sep-2001</t>
  </si>
  <si>
    <t>6656 7928 0086</t>
  </si>
  <si>
    <t>RAVINDER NAGAR</t>
  </si>
  <si>
    <t>DIMPLE NAGAR</t>
  </si>
  <si>
    <t>III-A/87, Nehru Nagar III, Ghaziabad</t>
  </si>
  <si>
    <t>DELHI PUBLIC SCHOOL INDIRAPURAM GHAZIABAD UP</t>
  </si>
  <si>
    <t>CENTRAL BOARD OF SECONDARY EDUCATION, GHAZIABAD UP</t>
  </si>
  <si>
    <t>SHIV NADAR (INSTITUTE OF EMINENCE DEEMED TO BE UNIVERSITY)</t>
  </si>
  <si>
    <t>SHIV NADAR (INSTITUTE OF EMINENCE DEEMED TO BE UNIVERSITY), GREATER NOIDA, UP</t>
  </si>
  <si>
    <t>AutoCAD,MS Office,MS Project,ANSYS</t>
  </si>
  <si>
    <t>EMBASSY DEVELOPMENTS LIMITED | INTERN - CENTRAL MONITORING TEAM (CMT) | Mumbai | May 2026 | Jul 2026 | 8 Weeks | Campus Internship
NAGAR BUILDERS | CONSTRUCTION PROJECT TRAINEE | GHAZIABAD | Nov 2024 | Mar 2025 | 18 Weeks
Indian Road Safety Campaign in association with Transport Department, Uttar Pradesh and Ministry of Road Transport and Highways | Traffic Survey and Road Safety Intern | Dadri | Jan 2022 | Mar 2022 | 12 Weeks</t>
  </si>
  <si>
    <t>P25700166</t>
  </si>
  <si>
    <t>SARFARAZ</t>
  </si>
  <si>
    <t>KAZI</t>
  </si>
  <si>
    <t>Mihir Sarfaraz Kazi</t>
  </si>
  <si>
    <t>mihirkazi2430@gmail.com</t>
  </si>
  <si>
    <t>p25700166@student.nicmar.ac.in</t>
  </si>
  <si>
    <t>6466 1405 3773</t>
  </si>
  <si>
    <t>SARFARAZ KAZI</t>
  </si>
  <si>
    <t>MAKASUDA KAZI</t>
  </si>
  <si>
    <t>SILVER STONE SOCIETY HANDEWADI</t>
  </si>
  <si>
    <t>Kazi Galli Mangalvedhe</t>
  </si>
  <si>
    <t>SINHGAD CITY SCHOOL</t>
  </si>
  <si>
    <t>CYGNET PUBLIC SCHOOL</t>
  </si>
  <si>
    <t>HIGHER SECONDARY CERTIFICATE EXAMINATION</t>
  </si>
  <si>
    <t>VISHWAKARMA INSTITUTE OF INFORMATION TECHNOLOGY , KONDHWA BK , PUNE</t>
  </si>
  <si>
    <t>AutoCAD,MS Office,MS Project,Primavera,Revit,Costx,CivilCad</t>
  </si>
  <si>
    <t>Diamond Industries Infra Pvt,Ltd. | Site Execution  | Solapur  | May 2026 | Jul 2026 | 8 Weeks | Campus Internship
Sanskruti Contech Pvt.Ltd | Site Execution  | Pune , Maharashtra  | Jan 2025 | May 2025 | 19 Weeks</t>
  </si>
  <si>
    <t>P25700167</t>
  </si>
  <si>
    <t>BASIREDDY</t>
  </si>
  <si>
    <t>KARTHIKEYA</t>
  </si>
  <si>
    <t>Basireddy Karthikeya</t>
  </si>
  <si>
    <t>basireddykarthikeya29@gmail.com</t>
  </si>
  <si>
    <t>p25700167@student.nicmar.ac.in</t>
  </si>
  <si>
    <t>29-Jun-2004</t>
  </si>
  <si>
    <t>ENGLISH,TELUGU,HINDI,KANNADA,</t>
  </si>
  <si>
    <t>7545 4147 1048</t>
  </si>
  <si>
    <t>JAYARAMIREDDY</t>
  </si>
  <si>
    <t>JYOTHI</t>
  </si>
  <si>
    <t>ASSISTANT PROFESSOR</t>
  </si>
  <si>
    <t>45-201/16-4,BALAJI NAGAR, CHEMMUMIYAPETA</t>
  </si>
  <si>
    <t>Kadapa</t>
  </si>
  <si>
    <t>BASIREDDY KARTHIKEYA</t>
  </si>
  <si>
    <t>NEW HORIZON COLLEGE OF ENGINEERING ,BENGALURU</t>
  </si>
  <si>
    <t>REPPLEN PROJECTS PRIVATE LIMITED | Project Planning Intern | Alibag | May 2026 | Jun 2026 | 8 Weeks | Campus Internship
S V CONSTRUCTIONS | SITE ENGINEER INTERN  | VIJAYAPURA, KARNATAKA | Feb 2025 | Jul 2025 | 21 Weeks
M.V.V SATYANARRAYANA |  INTERN | BENGALURU | Aug 2023 | Oct 2023 | 9 Weeks</t>
  </si>
  <si>
    <t>P25700168</t>
  </si>
  <si>
    <t>THOTA</t>
  </si>
  <si>
    <t>SAI NITHISH ROYAL</t>
  </si>
  <si>
    <t>Thota Sai Nithish Royal</t>
  </si>
  <si>
    <t>nithishroyal369@gmail.com</t>
  </si>
  <si>
    <t>p25700168@student.nicmar.ac.in</t>
  </si>
  <si>
    <t>13-Sep-2002</t>
  </si>
  <si>
    <t>ENGLISH,TELUGU,HINDI,KANNADA</t>
  </si>
  <si>
    <t>7861 8605 7800</t>
  </si>
  <si>
    <t>THOTA GIRIDHAR</t>
  </si>
  <si>
    <t>BUSINESS,POLITICIAN</t>
  </si>
  <si>
    <t>THOTA SUNITHA</t>
  </si>
  <si>
    <t>Mulakalacheruvu, Chittor Dst, MBT Road, Opposite Market Yard</t>
  </si>
  <si>
    <t>S P V B HIGH SCHOOL</t>
  </si>
  <si>
    <t>BOARD OF SECONDARY EDUCATION , CHITTOR /ANDHRA PRADESH</t>
  </si>
  <si>
    <t>VEMU JUNIOR COLLEGE</t>
  </si>
  <si>
    <t>BOARD OF INTERMEDIATE EDUCATION , P KOTHAKOTA / ANDHRA PRADESH</t>
  </si>
  <si>
    <t>VTU BELAGAVI</t>
  </si>
  <si>
    <t>NEW HORIZON COLLAGE OF ENGINEERING , BENGALURU / KARNATAKA</t>
  </si>
  <si>
    <t>AutoCAD,MS Office,MS Project,Primavera P6,REVIT,SKETCHUP</t>
  </si>
  <si>
    <t>Kattu | Project Management Intern | Bengaluru | May 2026 | Jul 2026 | 8 Weeks | Campus Internship
SBR Group | Intern | Bengaluru | Aug 2024 | Dec 2024 | 17 Weeks</t>
  </si>
  <si>
    <t>P25700169</t>
  </si>
  <si>
    <t>MITALI</t>
  </si>
  <si>
    <t>HANUMANDAS</t>
  </si>
  <si>
    <t>CHANDAK</t>
  </si>
  <si>
    <t>Mitali Hanumandas Chandak</t>
  </si>
  <si>
    <t>mitalichandak22@gmail.com</t>
  </si>
  <si>
    <t>p25700169@student.nicmar.ac.in</t>
  </si>
  <si>
    <t>22-Apr-2001</t>
  </si>
  <si>
    <t>2603 5496 8570</t>
  </si>
  <si>
    <t>Shri Nagar Colony, Nachangaon Road, Pulgaon</t>
  </si>
  <si>
    <t>GANDHI CITY PUBLIC SCHOOL</t>
  </si>
  <si>
    <t>CENTRAL BOARD OF SECONDARY EDUCATION, WARDHA</t>
  </si>
  <si>
    <t>M.P.DEO MEMORIAL DHARAMPETH SCIENCE COLLEGE</t>
  </si>
  <si>
    <t>MAHARASHTRA STATE BOARD, NAGPUR</t>
  </si>
  <si>
    <t>SMT MANORAMABAI MUNDLE COLLEGE OF ARCHITECTURE, NAGPUR</t>
  </si>
  <si>
    <t>MS Office,MS Project,Primavera,Adobe Revit, CostX, AutoCAD, Adobe photoshop,Project Coordination,Stakeholder and client management,Powerpoint,Cost estimation,MS Excel</t>
  </si>
  <si>
    <t>N.Z.Associates | Architectural designer | Nagpur | Aug 2023 | Jun 2025 | 1 Years, 9 Months, 28 Days | 2.16</t>
  </si>
  <si>
    <t>Architect Rushikesh H | Project Management Intern | Pune | May 2026 | Jul 2026 | 9 Weeks | Campus Internship
Ambience Design | Architectural Intern | Ahmedabad | Jun 2022 | Sep 2022 | 17 Weeks</t>
  </si>
  <si>
    <t>DigiQC
Coursera - Finance for Non-finance Manager
Coursera - Construction Equipment Maintenance &amp; Safety</t>
  </si>
  <si>
    <t>P25700170</t>
  </si>
  <si>
    <t>PRATEEK</t>
  </si>
  <si>
    <t>Prateek Sharma</t>
  </si>
  <si>
    <t>ps2555061@gmail.com</t>
  </si>
  <si>
    <t>p25700170@student.nicmar.ac.in</t>
  </si>
  <si>
    <t>15-Aug-2002</t>
  </si>
  <si>
    <t>8881 0094 5337</t>
  </si>
  <si>
    <t>MADAN LAL SHARMA</t>
  </si>
  <si>
    <t>PRIVATE SECTOR</t>
  </si>
  <si>
    <t>ANITA SHARMA</t>
  </si>
  <si>
    <t>EDUCATION DEPARTMENT</t>
  </si>
  <si>
    <t>Om Bhawan Lane 15, Sector 4, Phase 2 Near Dav School New Shimla</t>
  </si>
  <si>
    <t>Shimla</t>
  </si>
  <si>
    <t>DAV PUBLIC SCHOOL NEW SHIMLA</t>
  </si>
  <si>
    <t>JCB PUBLIC SCHOOL NEW SHIMLA</t>
  </si>
  <si>
    <t>JAYPEE UNIVERSITY OF INFORMATION TECHNOLOGY</t>
  </si>
  <si>
    <t>JAYPEE UNIVERSITY OF INFORMATION TECHNOLOGY , SOLAN</t>
  </si>
  <si>
    <t>Adani | Project Management Trainee | Chandrapur, Maharashtra | May 2026 | Jul 2026 | 8 Weeks | Campus Internship
AMBUJA CEMENTS | INTERNSHIP TRAINEE | AMBUJA PLANT DARLAGHAT | Jun 2023 | Jul 2023 | 6 Weeks
SPC INFRA PROJECTS | CIVIL ENGINEER (INTERN) | CHANDRAPUR, MAHARASHTRA  | Aug 2024 | Feb 2025 | 30 Weeks</t>
  </si>
  <si>
    <t>P25700171</t>
  </si>
  <si>
    <t>DHIMAN</t>
  </si>
  <si>
    <t>DAS</t>
  </si>
  <si>
    <t>Dhiman Das</t>
  </si>
  <si>
    <t>dhimandas9@gmail.com</t>
  </si>
  <si>
    <t>p25700171@student.nicmar.ac.in</t>
  </si>
  <si>
    <t>16-Mar-1995</t>
  </si>
  <si>
    <t>ENGLISH, HINDI, BENGALI AND GERMANY(A1)</t>
  </si>
  <si>
    <t>3081 9739 3862</t>
  </si>
  <si>
    <t>KRISHNAGOPAL DAS</t>
  </si>
  <si>
    <t>BIDULA DAS</t>
  </si>
  <si>
    <t>Chunavati Village Road, Near School Math, Uttar Podrah, P.O. Podrah, P.S. Sankrail</t>
  </si>
  <si>
    <t>Howrah</t>
  </si>
  <si>
    <t>MARIA'S DAY SCHOOL</t>
  </si>
  <si>
    <t>S.E.R.MIXED HIGH SCHOOL (E.M.)</t>
  </si>
  <si>
    <t>2011-Apr</t>
  </si>
  <si>
    <t>MEGHNAD SAHA INSTITUTE OF TECHNOLOGY, KOLKATA</t>
  </si>
  <si>
    <t>AutoCAD,MS Office,MS Project,Primavera,Power BI,Excel,Staad Pro,Staad Foundation,Revit</t>
  </si>
  <si>
    <t>Korus Engineering Solutions Pvt Ltd | Project Monitoring Engineer | Tatanagar, Jamshedpur, India | Nov 2023 | Oct 2024 | 0 Years, 11 Months, 30 Days | 1.62
B.K.Ray &amp; Associates | Valuation Surveyor | Kolkata, West Bengal, India | Aug 2021 | Sep 2023 | 2 Years, 1 Months, 28 Days | 0.6
Simplex Infrastructures Limited | Assistant Engineer | Kolkata, West Bengal, India | Aug 2017 | Aug 2019 | 2 Years, 0 Months, 0 Days | 3.18</t>
  </si>
  <si>
    <t>61 month(s)</t>
  </si>
  <si>
    <t>Cemindia Projects Limited | Intern | Powai, Mumbai | May 2026 | Jul 2026 | 9 Weeks | Campus Internship
ITD Cementation India Limited | Trainee | Kolkata, West Bengal. India | Dec 2015 | Jan 2016 | 4 Weeks
BCE Design Services LLP | Intern | Kolkata, West Bengal. India | Apr 2017 | May 2017 | 7 Weeks
Simplex Infrastructures Limited | Trainee | Kolkata | Jul 2016 | Aug 2016 | 4 Weeks</t>
  </si>
  <si>
    <t>Primavera P6 Project Planning and Scheduling Masterclass
Goethe Certificate A1</t>
  </si>
  <si>
    <t>P25700172</t>
  </si>
  <si>
    <t>NIYATEE</t>
  </si>
  <si>
    <t>BHANUDAS</t>
  </si>
  <si>
    <t>Niyatee Bhanudas Patil</t>
  </si>
  <si>
    <t>niyateep7777@gmail.com</t>
  </si>
  <si>
    <t>p25700172@student.nicmar.ac.in</t>
  </si>
  <si>
    <t>26-Jan-2002</t>
  </si>
  <si>
    <t>5407 5205 2713</t>
  </si>
  <si>
    <t>BHANUDAS PATIL</t>
  </si>
  <si>
    <t>RUPALI PATIL</t>
  </si>
  <si>
    <t>701, NEW SADHANA CHS, PANDURANG WADI, DOMBIVLI EAST</t>
  </si>
  <si>
    <t>NACHIKETAS HIGH SCHOOL &amp; JR. COLLEGE</t>
  </si>
  <si>
    <t>MAHARASHTRA STATE BOARD KOLHAPUR DIVISIONAL</t>
  </si>
  <si>
    <t>SHRI BHASKARACHARYA PRATISHTAN</t>
  </si>
  <si>
    <t>MAHARASHTRA STATE BOARD AURANGABAD DIVISIONAL</t>
  </si>
  <si>
    <t>DR. VISHWANATH KARAD MIT-WORLD PEACE UNIVERSITY</t>
  </si>
  <si>
    <t>DR. VISHWANATH KARAD MIT-WORLD PEACE UNIVERSITY PUNE</t>
  </si>
  <si>
    <t>AutoCAD,MS Office,MS Project,Primavera,REVIT,POWER BI</t>
  </si>
  <si>
    <t>Unique Pest Control Service | Civil Engineer | Mumbai | Dec 2023 | Mar 2024 | 0 Years, 3 Months, 17 Days | 3</t>
  </si>
  <si>
    <t>3 month(s)</t>
  </si>
  <si>
    <t>Pidilite Industries | Summer Intern | Mumbai | May 2026 | Jun 2026 | 7 Weeks | Campus Internship
Maharashtra Metro Rail Corporation Limited | Project Management Engineer Trainee | Pune | Dec 2021 | Jan 2022 | 4 Weeks
Meera Cleanfuels Limited | Jr. Project Engineer Trainee | Mumbai | Oct 2022 | Apr 2023 | 28 Weeks</t>
  </si>
  <si>
    <t>REVIT</t>
  </si>
  <si>
    <t>P25700174</t>
  </si>
  <si>
    <t>DHOLAY</t>
  </si>
  <si>
    <t>GULABRAO</t>
  </si>
  <si>
    <t>Dholay Vaishnavi Gulabrao</t>
  </si>
  <si>
    <t>vdholay@gmail.com</t>
  </si>
  <si>
    <t>p25700174@student.nicmar.ac.in</t>
  </si>
  <si>
    <t>29-Dec-1996</t>
  </si>
  <si>
    <t>Gardening</t>
  </si>
  <si>
    <t>3558 8275 6556</t>
  </si>
  <si>
    <t>GULABRAO SOMNATH DHOLAY</t>
  </si>
  <si>
    <t>LATIKA GULABRAO DHOLAY</t>
  </si>
  <si>
    <t>Dhole Vasti, Near Daulat Petrol Pump, Akole Road Kasara Dumala, Sangamner 422605</t>
  </si>
  <si>
    <t>B 804, JEEVAN,  YASHWIN JEEVAN &amp; ORCHID, YASHWIN ROAD, NEAR VIBGYOR SCHOOL, SUS, PUNE</t>
  </si>
  <si>
    <t>2012-Mar</t>
  </si>
  <si>
    <t>FERGUSSON COLLEGE, PUNE</t>
  </si>
  <si>
    <t>2014-Feb</t>
  </si>
  <si>
    <t>SINHGAD COLLEGE OF ARCHITECTURE</t>
  </si>
  <si>
    <t>AutoCAD,MS Office,MS Project,Sketch up,Lumion,V-ray</t>
  </si>
  <si>
    <t>Mind Manifestation Design | Assistant Architect | Pune | Mar 2021 | Mar 2023 | 2 Years, 0 Months, 23 Days | 3
Kabra Architects | Architect | Pune | Apr 2023 | May 2025 | 2 Years, 1 Months, 29 Days | 3.36</t>
  </si>
  <si>
    <t>50 month(s)</t>
  </si>
  <si>
    <t>Planhigh Architects and Project Management Consultants | Project Coordinator | Thane | May 2026 | Jul 2026 | 8 Weeks | Campus Internship
Avinash Nawathe  Architects | Internship Trainee | Pune | May 2019 | Nov 2019 | 25 Weeks</t>
  </si>
  <si>
    <t>P25700175</t>
  </si>
  <si>
    <t>ANUSHA</t>
  </si>
  <si>
    <t>MATH</t>
  </si>
  <si>
    <t>Anusha R Math</t>
  </si>
  <si>
    <t>anushamath01@gmail.com</t>
  </si>
  <si>
    <t>p25700175@student.nicmar.ac.in</t>
  </si>
  <si>
    <t>21-Jul-2001</t>
  </si>
  <si>
    <t>English, Hindi, Kannada</t>
  </si>
  <si>
    <t>7283 3989 2176</t>
  </si>
  <si>
    <t>RAJIV MATH</t>
  </si>
  <si>
    <t>GAYATRI R MATH</t>
  </si>
  <si>
    <t>H.NO 1-1495/40_x000D_
PLT.NO 24_x000D_
GODUTAI COLONY 2ND CROSS OPP TO YASH KOTHARI _x000D_
GULBARGA_x000D_
2ND CROSS</t>
  </si>
  <si>
    <t>Gulbarga</t>
  </si>
  <si>
    <t>11-1624/2_x000D_
Vidya Nagar_x000D_
Bahamanipura_x000D_
Gulbarga Karnataka - 585103</t>
  </si>
  <si>
    <t>CHANDRAKANT PATIL ENGLISH MEDIUM SCHOOL CBSE</t>
  </si>
  <si>
    <t>CBSE, KALABURGI</t>
  </si>
  <si>
    <t>GURUKUL INDEPENDENT PU COLLEGE</t>
  </si>
  <si>
    <t>KARNATAKA BOARD OF THE PRE-UNIVERSITY EDUCATION,KALABURGI</t>
  </si>
  <si>
    <t>VISVESVARAYA TECHNOLOGICAL UNIVERSITY (VTU), BELAGAVI</t>
  </si>
  <si>
    <t>POOJYA DODDAPPA APPA COLLEGE OF ENGINEERING, KALABURGI</t>
  </si>
  <si>
    <t>AutoCAD,MS Office,MS Project,AutoCAD,Lumion,3DS Max,Photoshop,Sketchup</t>
  </si>
  <si>
    <t>Architect Rushikesh H | Project Management Intern | Mumbai | May 2026 | Jul 2026 | 8 Weeks | Campus Internship
shobha and mahesh associates | Architectural Intern | bengaluru | Jun 2023 | Oct 2023 | 17 Weeks</t>
  </si>
  <si>
    <t>Ethics in Engineering Practice
Finance for Non-Financial Managers</t>
  </si>
  <si>
    <t>P25700176</t>
  </si>
  <si>
    <t>VEDITH</t>
  </si>
  <si>
    <t>N</t>
  </si>
  <si>
    <t>Vedith N Rai</t>
  </si>
  <si>
    <t>vedithrai57@gmail.com</t>
  </si>
  <si>
    <t>p25700176@student.nicmar.ac.in</t>
  </si>
  <si>
    <t>17-Apr-2002</t>
  </si>
  <si>
    <t>ENGLISH,HINDI,KANNADA,</t>
  </si>
  <si>
    <t>6039 6056 8662</t>
  </si>
  <si>
    <t>NAVEEN RAI N</t>
  </si>
  <si>
    <t>DIVYA RAI</t>
  </si>
  <si>
    <t>S/O Naveen Rai N Behind N E S Colony Vedhavathi NIlaya Hunsur</t>
  </si>
  <si>
    <t>TALENT PUBLIC SCHOOL</t>
  </si>
  <si>
    <t>CENTRAL BOARD OF SECONDARY EDUCATION,HUNSUR/KARNATAKA</t>
  </si>
  <si>
    <t>TALENT PRE UNIVERSITY COLLEGE</t>
  </si>
  <si>
    <t>DEPARTMENT OF PRE UNIVERSITY EDUCATION</t>
  </si>
  <si>
    <t>JSS SCIENCE AND TECHNOLOGY UNIVERSITY</t>
  </si>
  <si>
    <t>JSS SCIENCE AND TECHNOLOGY UNIVERSITY,MYSORE/KARNATAKA</t>
  </si>
  <si>
    <t>AutoCAD,MS Office,MS Project,Primavera,Sketch-up,Revit,Lumion</t>
  </si>
  <si>
    <t>Stiffeners Property Valuers &amp; Consultants India Pvt. Ltd | Valuation Intern | Bangalore | May 2026 | Jul 2026 | 9 Weeks | Campus Internship
Naksha | Civil Intern | Mysore | Sep 2024 | Feb 2025 | 23 Weeks
M.S Construction Engineers And Builders | Civil Intern | Mysore | Mar 2025 | Jun 2025 | 14 Weeks</t>
  </si>
  <si>
    <t>P25700177</t>
  </si>
  <si>
    <t>NIMIT</t>
  </si>
  <si>
    <t>BHAVESH</t>
  </si>
  <si>
    <t>SHAH</t>
  </si>
  <si>
    <t>Nimit Bhavesh Shah</t>
  </si>
  <si>
    <t>nimitshah2001@gmail.com</t>
  </si>
  <si>
    <t>p25700177@student.nicmar.ac.in</t>
  </si>
  <si>
    <t>27-Aug-2001</t>
  </si>
  <si>
    <t>ENGLISH, HINDI, GUJRATI</t>
  </si>
  <si>
    <t>7242 6748 7992</t>
  </si>
  <si>
    <t>BHAVESH RAMNIKLAL SHAH</t>
  </si>
  <si>
    <t>HETAL BHAVESH SHAH</t>
  </si>
  <si>
    <t>FLAT NO. 602, TATVASHILA BUILDING, KASTURBA ROAD, MULUND WEST, MUMBAI - 400080</t>
  </si>
  <si>
    <t>SHETH KARAMSHI KANJI ENGLISH SCHOOL, MUMBAI</t>
  </si>
  <si>
    <t>K. J. SOMAIYA POLYTECHNIC, MUMBAI</t>
  </si>
  <si>
    <t>DATTA MEGHE COLLEGE OF ENGINEERING, NAVI MUMBAI</t>
  </si>
  <si>
    <t>AutoCAD,MS Office,MS Project,Primavera,Revit, BEXEL Manager, RIB CostX, Navisworks</t>
  </si>
  <si>
    <t>J. Kumar Infraprojects Ltd  | Intern  | Mumbai  | May 2026 | Jul 2026 | 9 Weeks | Campus Internship
RRC Ventures Private Limited | Construction Supervisor Intern | Mumbai | Dec 2022 | Jan 2023 | 4 Weeks
CITY AND INDUSTRIAL DEVELOPMENT CORPORATION OF MAHARASHTRA LIMITED (CIDCO) | Construction Supervisor Intern | Navi Mumbai | Jun 2022 | Jul 2022 | 7 Weeks
ACE Properties | Junior Site Engineer | Thane | Jul 2024 | Feb 2025 | 34 Weeks</t>
  </si>
  <si>
    <t>MahaRERA Real Estate Agent Training and Examination</t>
  </si>
  <si>
    <t>P25700178</t>
  </si>
  <si>
    <t>RISHIKESH</t>
  </si>
  <si>
    <t>REDDY</t>
  </si>
  <si>
    <t>PADIDAM</t>
  </si>
  <si>
    <t>Rishikesh Reddy Padidam</t>
  </si>
  <si>
    <t>rishikesh13reddy@gmail.com</t>
  </si>
  <si>
    <t>p25700178@student.nicmar.ac.in</t>
  </si>
  <si>
    <t>13-Nov-2003</t>
  </si>
  <si>
    <t>7285 3447 9290</t>
  </si>
  <si>
    <t>PADIDAM RAM MOHAN REDDY</t>
  </si>
  <si>
    <t>GOVT. DEGREE COLLEGE PRINCIPAL</t>
  </si>
  <si>
    <t>SRILEKHA MAMILLA</t>
  </si>
  <si>
    <t>11-1-1927/1a/1, Street No-9, Road No-4, Gangastan Phase-1, Kanteshwar, Nizamabad, Telangana-503002</t>
  </si>
  <si>
    <t>Nizamabad</t>
  </si>
  <si>
    <t>VELOCITY HIGH SCHOOL</t>
  </si>
  <si>
    <t>BOARD OF SECONDARY EDUCATION TELANGANA STATE</t>
  </si>
  <si>
    <t>NARAYANA JR COLLEGE</t>
  </si>
  <si>
    <t>JAWAHARLAL NEHRU TECHNOLOGICAL UNIVERSITY HYDERABAD (JNTUH)</t>
  </si>
  <si>
    <t>VNR VIGNANA JOTHI INSTITUTE OF ENGINEERING &amp; TECHNOLOGY, HYDERABAD</t>
  </si>
  <si>
    <t>AutoCAD,MS Office,MS Project,Primavera,Revit, Navisworks, CostX</t>
  </si>
  <si>
    <t>HBS Infra Engineers India Pvt Ltd | Management Intern | Hyderabad | May 2026 | Jul 2026 | 8 Weeks | Campus Internship
A Right Builders Pvt. Ltd. | Intern-Supervision of Residential Project | Khammam, Telangana, India | May 2024 | May 2024 | 3 Weeks
NATIONAL INSTITUTE OF TECHNOLOGY, WARANGAL | INTERN | WARANGAL, TELANGANA,INDIA | Jun 2023 | Jun 2023 | 2 Weeks</t>
  </si>
  <si>
    <t>Plastic Waste Management
Plumbing Design and Fire Fighting
Finance for Non-Financial Managers</t>
  </si>
  <si>
    <t>P25700179</t>
  </si>
  <si>
    <t>SPOORTHI</t>
  </si>
  <si>
    <t>Spoorthi M</t>
  </si>
  <si>
    <t>spoorthimahesh39@gmail.com</t>
  </si>
  <si>
    <t>p25700179@student.nicmar.ac.in</t>
  </si>
  <si>
    <t>28-Jul-2002</t>
  </si>
  <si>
    <t>ENGLISH, HINDI AND KANNADA</t>
  </si>
  <si>
    <t>8543 2459 4563</t>
  </si>
  <si>
    <t>MAHESH B R</t>
  </si>
  <si>
    <t>OUT SOURSE EMPLYEE CMC SAGAR</t>
  </si>
  <si>
    <t>LATHA MAHESH</t>
  </si>
  <si>
    <t>#123 Kuttira, Near Govt Ladies Hostel, Jambagaru</t>
  </si>
  <si>
    <t>Shimoga</t>
  </si>
  <si>
    <t>SRI RAMAKRISHNA ENG.MED HIGH SCHOOL SAGAR</t>
  </si>
  <si>
    <t>MES CHAITHANYA PU COLLEGE, COLLEGE ROAD SIRSI</t>
  </si>
  <si>
    <t>REVA UNIVERSITY, BENGALURU</t>
  </si>
  <si>
    <t>AutoCAD, MS Project, Primavera, ERP Oracle, SAP</t>
  </si>
  <si>
    <t>Ahluwalia Contracts (India) Limited | Intern - Planning and Commercial | Banglore | May 2026 | Jul 2026 | 8 Weeks | Campus Internship
New Consolidated Construction CO. LTD. | QA/QC and EHS | Banglore | Jul 2023 | Aug 2023 | 4 Weeks</t>
  </si>
  <si>
    <t>P25700180</t>
  </si>
  <si>
    <t>HARIDAS</t>
  </si>
  <si>
    <t>BINGI</t>
  </si>
  <si>
    <t>Rohit Haridas Bingi</t>
  </si>
  <si>
    <t>rohitbingi0710@gmail.com</t>
  </si>
  <si>
    <t>p25700180@student.nicmar.ac.in</t>
  </si>
  <si>
    <t>07-Oct-2002</t>
  </si>
  <si>
    <t>ENGLISH, MARATHI, HINDI , TELUGU</t>
  </si>
  <si>
    <t>6315 2430 3150</t>
  </si>
  <si>
    <t>HARIDAS NARSAYYA BINGI</t>
  </si>
  <si>
    <t>TAILOR LABOUR.</t>
  </si>
  <si>
    <t>VIJAYLAXMI HARIDAS BINGI</t>
  </si>
  <si>
    <t>VIDI LABOUR</t>
  </si>
  <si>
    <t>86 A. C Falmari Paccha Peth ,Dattanagar Solapur</t>
  </si>
  <si>
    <t>KUCHAN HIGH SCHOOL</t>
  </si>
  <si>
    <t>MAHARASHTRA BOARD</t>
  </si>
  <si>
    <t>KUCHAN JR. COLLEGE</t>
  </si>
  <si>
    <t>PUNYASHLOK AHILYADEVI HOLKAR SOLAPUR UNIVERSITY,SOLAPUR</t>
  </si>
  <si>
    <t>2024-Mar</t>
  </si>
  <si>
    <t>AutoCAD,MS Office,MS Project,CostX (Beginner),Primavera P6 (Beginner),Google Sketchup,Revit</t>
  </si>
  <si>
    <t>Wani Projects and infra Pvt. Ltd. | Jr.Planning  Engineer. | Satara -Pune | Jun 2024 | Jun 2025 | 1 Years, 0 Months, 17 Days | 2.85</t>
  </si>
  <si>
    <t>Modulus Housing (Debrique Creative Labs Private Limited ) | Founders' Office | Chennai | May 2026 | Jul 2026 | 8 Weeks | Campus Internship
AK CONSTRUCTION | Intern | SOLAPUR | Aug 2023 | Aug 2023 | 2 Weeks
Vasant Vihar Realty Ltd. | Intern | Solapur | Mar 2023 | Mar 2023 | 2 Weeks
Wani Projects &amp; infra | Engineer Trainee (Planning &amp; Quantity Estimation) | Pune (head Office) | Dec 2023 | May 2024 | 26 Weeks</t>
  </si>
  <si>
    <t>Microsoft Project Beginners 2019
Master AutoCAD Corporate Layouts: Design &amp; Drafting Skills (EDUCBA)
Project Planning and Execution Management  (L&amp;T EduTech)</t>
  </si>
  <si>
    <t>P25700181</t>
  </si>
  <si>
    <t>ADVAITH</t>
  </si>
  <si>
    <t>JINESH</t>
  </si>
  <si>
    <t>Advaith Jinesh</t>
  </si>
  <si>
    <t>advaithjineshaj@gmail.com</t>
  </si>
  <si>
    <t>p25700181@student.nicmar.ac.in</t>
  </si>
  <si>
    <t>4022 7354 8276</t>
  </si>
  <si>
    <t>JINESH R</t>
  </si>
  <si>
    <t>POOJA JINESH</t>
  </si>
  <si>
    <t>Plot No.38_x000D_
Press Club Colony, Edappally PO, Kochi_x000D_
Edappally, KERALAÂ 682024_x000D_
India</t>
  </si>
  <si>
    <t>SARASWATHI VIDYANIKETAN PUBLIC SCHOOL ELAMAKARA COCHIN</t>
  </si>
  <si>
    <t>AMRITA VISHWA VIDYAPEETHAM: DEEMED UNIVERSITY</t>
  </si>
  <si>
    <t>AMRITA SCHOOL OF ENGINEERING, COIMBATORE</t>
  </si>
  <si>
    <t>AutoCAD,MS Project,CostX,Primavera</t>
  </si>
  <si>
    <t>Tata Projects Limited | Planning Intern | Chennai, Tamil Nadu, India | May 2026 | Jul 2026 | 8 Weeks | Campus Internship
L&amp;T Constructions, Chennai | Internship Trainee | Larsen and Toubro Limited, Manapakkam, Chennai, Tamil Nadu 600089 | Jun 2024 | Jul 2024 | 1 Weeks
National Highway Authority of India | Internship Trainee | NHAI Project of Six Laning of stretch from Thuravoor to Paravoor to  Kottukulangara in NH-66 in the State of Kerala on EPC Mode as part of Bharathmala Pariyojana | Jan 2024 | Jan 2024 | 0 Weeks</t>
  </si>
  <si>
    <t>P25700182</t>
  </si>
  <si>
    <t>SANSKRITI</t>
  </si>
  <si>
    <t>S Sanskriti</t>
  </si>
  <si>
    <t>sanskritisahu158@gmail.com</t>
  </si>
  <si>
    <t>p25700182@student.nicmar.ac.in</t>
  </si>
  <si>
    <t>28-Dec-2001</t>
  </si>
  <si>
    <t>7404 4108 6419</t>
  </si>
  <si>
    <t>LAXMI NARAYAN SAHU</t>
  </si>
  <si>
    <t>RETIRED GOVERNMENT SERVENT</t>
  </si>
  <si>
    <t>SWAPNA KUMARI KAR</t>
  </si>
  <si>
    <t>Ram Nagar Lane 2, Kamapalli Square, Berhampur, Odisha</t>
  </si>
  <si>
    <t>Angul</t>
  </si>
  <si>
    <t>KENDRIYA VIDYALAYA BALASORE</t>
  </si>
  <si>
    <t>GUIDANCE ENG MED SCHOOL, BHUBNESHWAR, KHORDHA OD</t>
  </si>
  <si>
    <t>ODISHA UNIVERSITY OF TECHNOLOGY AND RESEARCH</t>
  </si>
  <si>
    <t>BHUBNESHWAR</t>
  </si>
  <si>
    <t>Design &amp; Documentation: AutoCAD, Revit, Architectural Drawings, Rendering (Enscape) ; Primavera P6, MS Project, BOQs, Cost X ; MS Office, MS Word, MS Excel, Powerpoint Presentation.</t>
  </si>
  <si>
    <t>Archi Wing Studio | Architect | Hyderabad | Sep 2024 | May 2025 | 0 Years, 8 Months, 8 Days | 2.4</t>
  </si>
  <si>
    <t>Embassy Development Limited | Design Coordinator - Intern | Mumbai | May 2026 | Jul 2026 | 8 Weeks | Campus Internship
Sanil Kumar Associates Architectural Design | Architect | Bangalore | Jun 2023 | Nov 2023 | 26 Weeks
Courtyard Design Studio | Intern | Berhampur | Oct 2022 | Feb 2023 | 20 Weeks
Ministry of Housing and Urban Affairs | Intern | Bhubneshwar | Jul 2022 | Aug 2022 | 5 Weeks</t>
  </si>
  <si>
    <t>P25700183</t>
  </si>
  <si>
    <t>OLAPU</t>
  </si>
  <si>
    <t>Raju Olapu</t>
  </si>
  <si>
    <t>rajuolapu967@gmail.com</t>
  </si>
  <si>
    <t>p25700183@student.nicmar.ac.in</t>
  </si>
  <si>
    <t>01-Jun-2000</t>
  </si>
  <si>
    <t>7590 1631 9384</t>
  </si>
  <si>
    <t>SADANANDAM</t>
  </si>
  <si>
    <t>LAXMI</t>
  </si>
  <si>
    <t>1-5 Kistapur Nallagunta (Meenajipet), Mahamutharam (Mdl.), Jayashankar Bhupalpally (Dist.)-506169, Telangana</t>
  </si>
  <si>
    <t>TELANGANA STATE MODEL SCHOOL</t>
  </si>
  <si>
    <t>BOARD OF SECONDARY EDUCATION -TELANGANA</t>
  </si>
  <si>
    <t>EKASHILA JUNIOR COLLEGE</t>
  </si>
  <si>
    <t>KAKATIYA UNIVERSITY</t>
  </si>
  <si>
    <t>KAKATIYA INSTITUTE OF TECHNOLOGY &amp; SCIENCE, WARANGAL/TELANGANA</t>
  </si>
  <si>
    <t>Primavera P6, MS Project, MS Office, CostX, Revit, AutoCAD &amp; QGIS</t>
  </si>
  <si>
    <t>Aarvee Engineering Consultants Ltd. | Engineer | Hyderabad | Jun 2023 | Jun 2025 | 2 Years, 0 Months, 13 Days | 5</t>
  </si>
  <si>
    <t>24 month(s)</t>
  </si>
  <si>
    <t>Rodic Consultants Private Limited | Project Management Intern | New Delhi | May 2026 | Jul 2026 | 8 Weeks | Campus Internship
AARVEE ENGINEERING CONSULTANTS LIMITED | QUALITY CONTROL AND QUALITY ASSURANCE INTERN | HYDERABAD | Jun 2022 | Aug 2022 | 8 Weeks</t>
  </si>
  <si>
    <t>P25700184</t>
  </si>
  <si>
    <t>AMAR</t>
  </si>
  <si>
    <t>SHIVDAS</t>
  </si>
  <si>
    <t>BHOSALE</t>
  </si>
  <si>
    <t>Amar Shivdas Bhosale</t>
  </si>
  <si>
    <t>bhosaleamar257@gmail.com</t>
  </si>
  <si>
    <t>p25700184@student.nicmar.ac.in</t>
  </si>
  <si>
    <t>25-Jun-2002</t>
  </si>
  <si>
    <t>4802 7721 4464</t>
  </si>
  <si>
    <t>ASHA</t>
  </si>
  <si>
    <t>Flat No. 05, Jyoti Darshan 1, Visawa Society, Near Taljai Busstop, Dhankawadi</t>
  </si>
  <si>
    <t>SHREE SHIVAJI PREPARATORY MILITARY SCHOOL</t>
  </si>
  <si>
    <t>SSC PUNE/MAHARASHTRA</t>
  </si>
  <si>
    <t>SMT. SUSHEELA BAHUDHANI JUNIOR COLLEGE</t>
  </si>
  <si>
    <t>HSC PUNE/MAHARASHTRA</t>
  </si>
  <si>
    <t>SAVITRABAI PHULE PUNE UNIVERSITY</t>
  </si>
  <si>
    <t>ALL INDIAN SHREE SHIVAJI MEMORIAL SOCIETY, COLLEGE OF ENGINEERING, PUNE/MAHARASHTRA</t>
  </si>
  <si>
    <t>AutoCAD,MS Office,MS Project,Primavera P6,CostX,Revit,BIM,Quantity Estimation,Quality Control</t>
  </si>
  <si>
    <t>Suryapriya construction pvt ltd | Planning and execution intern | Bengaluru | May 2026 | Jul 2026 | 8 Weeks | Campus Internship
Dhankawade Group | Intern  | Ambegaon, Pune. | Dec 2023 | Jan 2024 | 5 Weeks</t>
  </si>
  <si>
    <t>Lean Six Sigma Yellow Belt
Ethics in Engineering Pratice
Finance for Non-Financial Management</t>
  </si>
  <si>
    <t>P25700185</t>
  </si>
  <si>
    <t>MOKSHITHAA</t>
  </si>
  <si>
    <t>H S</t>
  </si>
  <si>
    <t>Mokshithaa H S</t>
  </si>
  <si>
    <t>mokshithaasiddappa@gmail.com</t>
  </si>
  <si>
    <t>p25700185@student.nicmar.ac.in</t>
  </si>
  <si>
    <t>24-Jul-2001</t>
  </si>
  <si>
    <t>English , Kannada , Hindi</t>
  </si>
  <si>
    <t>Dancing</t>
  </si>
  <si>
    <t>3377 0911 1869</t>
  </si>
  <si>
    <t>SIDDAPPA C</t>
  </si>
  <si>
    <t>SIDDAGANGAMMA C</t>
  </si>
  <si>
    <t># 303 , 3rd Cross , Maruthi Nagar , Chandra Layout , Bengaluru - 560072</t>
  </si>
  <si>
    <t>SRI SIDDAGANGA HIGHER PRIMARY SCHOOL</t>
  </si>
  <si>
    <t>KLE INDEPENDENT PU COLLEGE</t>
  </si>
  <si>
    <t>GOVT. OF KARNATAKA</t>
  </si>
  <si>
    <t>VISVESVARAYA TECHNOLOGICAL UNIVERSITY , BELAGAVI</t>
  </si>
  <si>
    <t>SJB SCHOOL OF ARCHITECTURE AND PLANNING , KENGERI / KARNATAKA</t>
  </si>
  <si>
    <t>AutoCAD,Primavera,Bexel Manager , RIB CostX, Navisworks,MS Office,MS Project,Sketchup,Revit,Lumion,Enscape,Adobe Photoshop</t>
  </si>
  <si>
    <t>RAINEO ARCHITECTS | JUNIOR ARCHITECT | Bengaluru  | May 2024 | Jun 2025 | 1 Years, 1 Months, 17 Days | 2.7</t>
  </si>
  <si>
    <t>Ashoka Builders India Private Limited (ASBL Private Limited) | Design Research and Coordination Intern | Hyderabad | May 2026 | Jul 2026 | 8 Weeks | Campus Internship
KENAR ARCHITECTS | INTERN  | BENGALURU | Jan 2024 | Apr 2024 | 15 Weeks</t>
  </si>
  <si>
    <t>P25700186</t>
  </si>
  <si>
    <t>NAMDEV</t>
  </si>
  <si>
    <t>KADOLKAR</t>
  </si>
  <si>
    <t>Yash Namdev Kadolkar</t>
  </si>
  <si>
    <t>yashkadolkar99@gmail.com</t>
  </si>
  <si>
    <t>p25700186@student.nicmar.ac.in</t>
  </si>
  <si>
    <t>29-Apr-2001</t>
  </si>
  <si>
    <t>ENGLISH,HINDI AND MARATHI</t>
  </si>
  <si>
    <t>9552 1753 7296</t>
  </si>
  <si>
    <t>NAMDEV SHANKAR KADOLKAR</t>
  </si>
  <si>
    <t>OTHER</t>
  </si>
  <si>
    <t>SUVIDYA NAMDEV KADOLKAR</t>
  </si>
  <si>
    <t>Sutar Mala, Gandhi Camp,Ichalkaranji</t>
  </si>
  <si>
    <t>VYANKATRAO HIGH-SCHOOL AND JUNIOR COLLEGE</t>
  </si>
  <si>
    <t>KOLHAPUR,MAHARASTRA</t>
  </si>
  <si>
    <t>GOVINDRAO JUNIOR COLLEGE</t>
  </si>
  <si>
    <t>SHIVAJI UNIVERSITY, KOHAPUR</t>
  </si>
  <si>
    <t>D.K.T.E. SOCIETY'S TEXTILE AND ENGINEERING INSTITUTE</t>
  </si>
  <si>
    <t>AutoCAD,MS Office,MS Project,Staad Pro,costx</t>
  </si>
  <si>
    <t>Madhure Infra Pvt. Ltd. | Junior Engineer | Pune | Nov 2024 | Jun 2025 | 0 Years, 7 Months, 22 Days | 2.16
Rangate Associates | Junior Engineer  | Ichalkaranji  | Jul 2023 | Oct 2024 | 1 Years, 3 Months, 15 Days | 1.94</t>
  </si>
  <si>
    <t>Kolte -Patil Developers LTD  | Construction &amp; Operation Department | Pune | May 2026 | Jul 2026 | 9 Weeks | Campus Internship
Rangate Associates | Junior Engineer | Ichalkaranji | Dec 2021 | Jan 2022 | 2 Weeks</t>
  </si>
  <si>
    <t>P25700187</t>
  </si>
  <si>
    <t>NIKHIL</t>
  </si>
  <si>
    <t>UTTAM</t>
  </si>
  <si>
    <t>Nikhil Uttam Patil</t>
  </si>
  <si>
    <t>nikhilpat9090@gmail.com</t>
  </si>
  <si>
    <t>p25700187@student.nicmar.ac.in</t>
  </si>
  <si>
    <t>13-Dec-1999</t>
  </si>
  <si>
    <t>Riding,Traveller,Music,Yoga</t>
  </si>
  <si>
    <t>4665 5846 7501</t>
  </si>
  <si>
    <t>UTTAM MAHADEO PATIL</t>
  </si>
  <si>
    <t>CHEMIST</t>
  </si>
  <si>
    <t>MANISHA UTTAM PATIL</t>
  </si>
  <si>
    <t>C 304, LEO LAND HSG SOCIETY, RAJE SHIVAJI NAGAR, L And T GATE NO 7 OPP, SV ROAD, POWAI</t>
  </si>
  <si>
    <t>BOMBAY CAMBRIDGE GURUKUL ANDHERI EAST</t>
  </si>
  <si>
    <t>SECONDARY SCHOOL CERTIFICATE MUMBAI MAHARASHTRA</t>
  </si>
  <si>
    <t>2005-Jul</t>
  </si>
  <si>
    <t>PACE JUNIOR SCIENCE COLLEGE POWAI</t>
  </si>
  <si>
    <t>HIGHER SECONDARY CERTIFICATE MUMBAI MAHARASHTRA</t>
  </si>
  <si>
    <t>2015-Sep</t>
  </si>
  <si>
    <t>MIT WORLD PEACE UNIVERSITY</t>
  </si>
  <si>
    <t>MIT WORLD PEACE UNIVERSITY PUNE MAHARASHTRA</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</si>
  <si>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</si>
  <si>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 Years, 4 Months, 26 Days | 4.8
Gensys Technologies Pvt Ltd | Junior Planning and Billing Engineer | Pune | Feb 2025 | Jun 2025 | 0 Years, 4 Months, 18 Days | 4.8</t>
  </si>
  <si>
    <t>Embassy Developments Limited | Contracts and Procurement Intern | Mumbai | May 2026 | Jul 2026 | 8 Weeks | Campus Internship
WORLEY INDIA | CSA ENGINEER | NAVI MUMBAI | Mar 2023 | Aug 2023 | 26 Weeks
VM CONSULTANT (JSW STEEL PLANT, DOLVI, MH) | JR STRUCTURAL AUDITOR | DOLVI PEN MAHARASHTRA | Jun 2022 | Sep 2022 | 16 Weeks
Vilas Javdekar | Training Engineer | Pune | Jan 2021 | Apr 2021 | 16 Weeks</t>
  </si>
  <si>
    <t>Introduction to OSHA: Safety Standards and Compliance
Budgeting and Scheduling Projects
Fundamentals of Microsoft 365 Generative AI
Finance for Non-Financial Managers</t>
  </si>
  <si>
    <t>P25700188</t>
  </si>
  <si>
    <t>HARIHARAN</t>
  </si>
  <si>
    <t>Hariharan K</t>
  </si>
  <si>
    <t>hariharank5679@gmail.com</t>
  </si>
  <si>
    <t>p25700188@student.nicmar.ac.in</t>
  </si>
  <si>
    <t>26-Apr-2004</t>
  </si>
  <si>
    <t>English, Tamil, Telugu</t>
  </si>
  <si>
    <t>9256 3548 4887</t>
  </si>
  <si>
    <t>KUMARAN K</t>
  </si>
  <si>
    <t>SRIMATHI K</t>
  </si>
  <si>
    <t>PLOT NO 9 VEERAVANJI STREET CHITLAPAKKAM CHENNAI</t>
  </si>
  <si>
    <t>Chengalpattu</t>
  </si>
  <si>
    <t>SREEVATSA VISWANATHAN VIVEKANANDA VIDYALAYA SENIOR SECONDARY SCHOOL</t>
  </si>
  <si>
    <t>SRI SIVASUBRAMANIYA NADAR COLLEGE OF ENGINEERING</t>
  </si>
  <si>
    <t xml:space="preserve">AutoCAD, MS Office, MS Project, Primavera, PLAXIS 2D </t>
  </si>
  <si>
    <t>KPMG INDIA | Project Management Intern – Major Projects Advisory (MPA) | BANGALORE | May 2026 | Jun 2026 | 7 Weeks | Campus Internship
VGK BUILDERS | Intern-site Engineer  | Chennai | Jul 2024 | Aug 2024 | 4 Weeks</t>
  </si>
  <si>
    <t>Lean Six Sigma Green Belt Certification By KPMG</t>
  </si>
  <si>
    <t>P25700189</t>
  </si>
  <si>
    <t>MACHHINDRA</t>
  </si>
  <si>
    <t>GANGADHAR</t>
  </si>
  <si>
    <t>UBALE</t>
  </si>
  <si>
    <t>Machhindra Gangadhar Ubale</t>
  </si>
  <si>
    <t>machhindraubale8@gmail.com</t>
  </si>
  <si>
    <t>p25700189@student.nicmar.ac.in</t>
  </si>
  <si>
    <t>15-Jan-2000</t>
  </si>
  <si>
    <t>Marathi,Hindi,English</t>
  </si>
  <si>
    <t>8653 5193 6749</t>
  </si>
  <si>
    <t>YAMUNABAI</t>
  </si>
  <si>
    <t>GANORI TQ PHULAMBRI AURANGABAD MAHARASHTRA - 431008</t>
  </si>
  <si>
    <t>SHREE SAINATH VIDHYALAY WALUJ</t>
  </si>
  <si>
    <t>MAHARASHTRA STATE OF SECONDARY AND HIGHER SECONDARY EDUCATION, PUNE</t>
  </si>
  <si>
    <t>MAHARASHTRA COLLEGE OF ART, COMMERCE AND SCIENCE WALUJ, AURANGABAD</t>
  </si>
  <si>
    <t>DR. BABASAHEB AMBEDKAR MARATHWADA UNIVERSITY</t>
  </si>
  <si>
    <t>INTERNATIONAL CENTER OF EXCELLENCE ENGINEERING AND MANAGEMENT AURANGABAD</t>
  </si>
  <si>
    <t>P25700190</t>
  </si>
  <si>
    <t>ABHINENDRA</t>
  </si>
  <si>
    <t>Abhinendra Pratap Singh</t>
  </si>
  <si>
    <t>abhinendrapratap800@gmail.com</t>
  </si>
  <si>
    <t>p25700190@student.nicmar.ac.in</t>
  </si>
  <si>
    <t>03-May-2001</t>
  </si>
  <si>
    <t>English, Hindi</t>
  </si>
  <si>
    <t>7410 0902 8327</t>
  </si>
  <si>
    <t>RAKESH CHANDRA</t>
  </si>
  <si>
    <t>SHASHI KALA</t>
  </si>
  <si>
    <t>House Number 306 Sitaram Kushwah Colony _x000D_
Infornt Of Circuit House Near Mangal Hotel</t>
  </si>
  <si>
    <t>EMMANUEL MISSION SENIOR SECONDARY SCHOOL</t>
  </si>
  <si>
    <t>BOARD OF SECONDAY EDUCATION RAJASTHAN</t>
  </si>
  <si>
    <t>SANATAN DHARM SIKSHA SADAN SENIOR SECONDARY SCHOOL</t>
  </si>
  <si>
    <t>SRM INSTITUE OF SCIENCE AND TECHNOLOGY</t>
  </si>
  <si>
    <t>SRM INSTITUE OF SCIENCE AND TECHNOLOGY, KATTANKULATHUR - TAMIL NADU</t>
  </si>
  <si>
    <t>AutoCAD,MS Project,Primavera,COST X,Advanced Excel,Powerpoint,Revit,Navisworks,Bexel Manager</t>
  </si>
  <si>
    <t>M/S Ganga Dhar Agrawal | Field Engineer | Bharatpur | Nov 2022 | Jan 2025 | 2 Years, 2 Months, 30 Days | 1.92</t>
  </si>
  <si>
    <t>Truboard Partners | Real Estate (Asset Management) Intern | Gurugram | May 2026 | Jun 2026 | 8 Weeks | Campus Internship
PUBLIC WORKS DEPARTMENT - RAJASTHAN | CIVIL ENGINEERING INTERN | DHOLPUR - RAJASTHAN | Jun 2019 | Jun 2019 | 4 Weeks</t>
  </si>
  <si>
    <t>Business Analytics with Excel: Elementary to Advanced -  John Hopkins University
Foundations of Project Management - Google
Project Initiation: Starting a Successful Project</t>
  </si>
  <si>
    <t>P25700191</t>
  </si>
  <si>
    <t>AKASH</t>
  </si>
  <si>
    <t>Utkarsh Akash Bhoir</t>
  </si>
  <si>
    <t>utkarshbhoir45@gmail.com</t>
  </si>
  <si>
    <t>p25700191@student.nicmar.ac.in</t>
  </si>
  <si>
    <t>14-May-2002</t>
  </si>
  <si>
    <t>5838 7523 0510</t>
  </si>
  <si>
    <t>AKASH KAMLAKAR BHOIR</t>
  </si>
  <si>
    <t>AKASHTA AKASH BHOIR</t>
  </si>
  <si>
    <t>House No. 533/1, Main Road, Juchandra, Near Railway Fatak, Naigaon East, Vasai, Palghar, Maharashtra</t>
  </si>
  <si>
    <t>Palghar</t>
  </si>
  <si>
    <t>DON BOSCO HIGH SCHOOL AND JUNIOR COLLEGE</t>
  </si>
  <si>
    <t>VIDYAVARDHINI'S BHAUSAHEB VARTAK POLYTECHNIC, VASAI, MAHARASHTRA</t>
  </si>
  <si>
    <t>THAKUR COLLEGE OF ENGINEERING AND TECHNOLOGY, KANDIVALI EAST, MUMBAI</t>
  </si>
  <si>
    <t>AutoCAD, MS Office, MS Project, Primavera, CostX, Revit</t>
  </si>
  <si>
    <t>Konark Infra | Site Engineer | Mumbai | Jun 2024 | Jun 2025 | 1 Years, 0 Months, 0 Days | 2.5</t>
  </si>
  <si>
    <t>New Consolidated Construction Company Limited | Planning Intern | Mahim, Mumbai | May 2026 | Jul 2026 | 8 Weeks | Campus Internship
Indian Knowledge system Division Ministry of Education, Govt. of India | Research Intern | Mumbai | Jul 2022 | Aug 2022 | 6 Weeks
Ministry of Housing and urban affairs, Government of India | Research Intern | Mumbai | Jul 2022 | Aug 2022 | 5 Weeks</t>
  </si>
  <si>
    <t>P25700192</t>
  </si>
  <si>
    <t>RAJESH</t>
  </si>
  <si>
    <t>UNARKER</t>
  </si>
  <si>
    <t>Nishant Rajesh Unarker</t>
  </si>
  <si>
    <t>nishantunarker.architect@gmail.com</t>
  </si>
  <si>
    <t>p25700192@student.nicmar.ac.in</t>
  </si>
  <si>
    <t>26-Nov-2000</t>
  </si>
  <si>
    <t>English, Hindi, Gujrati, &amp; Marathi</t>
  </si>
  <si>
    <t>2531 5568 8564</t>
  </si>
  <si>
    <t>ARCHITECT/CONTRACTOR</t>
  </si>
  <si>
    <t>RUPA</t>
  </si>
  <si>
    <t>A/504, Varun Valley, Atmaram Savant Marg, Kandivali(east), Varun Valley, Atmaram Savant Marg, Kandivali(east)</t>
  </si>
  <si>
    <t>LOKHANDWALA FOUNDATION SCHOOL</t>
  </si>
  <si>
    <t>INDIAN CERTIFICATE OF SECONDARY EDUCATION EXAMINATIONS, MUMBAI, MAHARASHTRA.</t>
  </si>
  <si>
    <t>AMRUTBEN JIVANLAL COLLEGE OF COMMERCE AND ECONOMICS</t>
  </si>
  <si>
    <t>MAHARASHTRA STATE BOARD OF SECONDARY &amp; HIGHER SECONDARY EDUCATION</t>
  </si>
  <si>
    <t>INDIAN EDUCATION SOCIETY'S COLLEGE OF ARCHITECTURE, MUMBAI-400050, MAHARASHTRA</t>
  </si>
  <si>
    <t>Studio MH02 | Jr. Architect &amp; BIM coordinator | Mumbai | Aug 2024 | Jun 2025 | 0 Years, 9 Months, 20 Days | 3.25
SUNIL R. KENKAREY ARCHITECT | Jr. Architect &amp; Project Coordinator | Mumbai | May 2023 | Jun 2024 | 1 Years, 1 Months, 27 Days | 2.4</t>
  </si>
  <si>
    <t>Kamala Farms ( kayne Bio Sciences ltd) | Project Execution Intern | Hyderabad | May 2026 | Jul 2026 | 8 Weeks | Campus Internship</t>
  </si>
  <si>
    <t>P25700193</t>
  </si>
  <si>
    <t>PARHAD</t>
  </si>
  <si>
    <t>YASHRAJ</t>
  </si>
  <si>
    <t>PRAMOD</t>
  </si>
  <si>
    <t>Parhad Yashraj Pramod</t>
  </si>
  <si>
    <t>yparhad.33@gmail.com</t>
  </si>
  <si>
    <t>p25700193@student.nicmar.ac.in</t>
  </si>
  <si>
    <t>06-Sep-2003</t>
  </si>
  <si>
    <t>6014 5322 1834</t>
  </si>
  <si>
    <t>PRAMOD PARHAD</t>
  </si>
  <si>
    <t>SAVITA PARHAD</t>
  </si>
  <si>
    <t>Yashshree , Vinayak Park , Awhalwadi Road , Wagholi , Pune</t>
  </si>
  <si>
    <t>PRODIGY PUBLIC SCHOOL</t>
  </si>
  <si>
    <t>DHOLE PATIL JUNIOR COLLEGE OF ARTS , COMMERCE AND SCIENCE</t>
  </si>
  <si>
    <t>HSC BOARD MAHARASHTRA</t>
  </si>
  <si>
    <t>SYMBIOSIS SKILLS AND PROFESSIONAL UNIVERSITY , PUNE</t>
  </si>
  <si>
    <t>SYMBIOSIS SKILLS AND PROFESSIONAL UNIVERSITY, PUNE - MAHARASHTRA</t>
  </si>
  <si>
    <t>Construction Engineering &amp; Management</t>
  </si>
  <si>
    <t>Supreme infra  | Construction and Operation Intern | Pune | May 2026 | Jul 2026 | 9 Weeks | Campus Internship
CHINTAMANI INFRA | Site supervisor  | Pune  | Jan 2025 | May 2025 | 19 Weeks</t>
  </si>
  <si>
    <t>P25700194</t>
  </si>
  <si>
    <t>HARSHA VARTHAN</t>
  </si>
  <si>
    <t>GURUSAMY</t>
  </si>
  <si>
    <t>Harsha Varthan Gurusamy</t>
  </si>
  <si>
    <t>ttrgharsha2001@gmail.com</t>
  </si>
  <si>
    <t>p25700194@student.nicmar.ac.in</t>
  </si>
  <si>
    <t>13-Sep-2001</t>
  </si>
  <si>
    <t>English,Telugu,Tamil</t>
  </si>
  <si>
    <t>7385 8934 6606</t>
  </si>
  <si>
    <t>GURUSAMY R</t>
  </si>
  <si>
    <t>CONDUCTOR</t>
  </si>
  <si>
    <t>SHANTHI A</t>
  </si>
  <si>
    <t>76, Main Road, Govindanagaram</t>
  </si>
  <si>
    <t>Theni</t>
  </si>
  <si>
    <t>T.K. SANGAM MATRIC HR SEC SCHOOL</t>
  </si>
  <si>
    <t>STATE BOARD OF SCHOOL EXAMINATION, TAMILNADU</t>
  </si>
  <si>
    <t>T.K.SANGAM MATRIC HR SEC SCHOOL</t>
  </si>
  <si>
    <t>STATE BOARD OF SCHOOL EXAMINATION (SEC.), TAMILNADU</t>
  </si>
  <si>
    <t>SRI KRISHNA COLLEGE OF ENGINEERING AND TECHNOLOGY</t>
  </si>
  <si>
    <t>COIMBATORE, TAMILNADU</t>
  </si>
  <si>
    <t>MS Project, Primavera P6, AutoCAD, Revit, MS Excel, Power Query, MS Office</t>
  </si>
  <si>
    <t>Yatzar Creations Private Limited | Junior BIM Software Developer | Coimbatore | Apr 2023 | May 2025 | 2 Years, 1 Months, 30 Days | 2.76</t>
  </si>
  <si>
    <t>M. Arunachalam Projects and Infrastructure Company Private Limited | Construction Project Management Intern | Chennai | May 2026 | Jul 2026 | 8 Weeks | Campus Internship</t>
  </si>
  <si>
    <t>AutoCAD Essential
Ethics in Engineering Practice
Introduction to Strategy Consulting (Job Simulation)</t>
  </si>
  <si>
    <t>P25700195</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</si>
  <si>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</si>
  <si>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</si>
  <si>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</si>
  <si>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</si>
  <si>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</si>
  <si>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</si>
  <si>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</si>
  <si>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</si>
  <si>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</si>
  <si>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</si>
  <si>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</si>
  <si>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</si>
  <si>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GOVERNMENT POLYTECHNIC NAGPUR</t>
  </si>
  <si>
    <t>KAVAYITRI BAHINABAI CHAUDHARI NORTH MAHARASHTRA UNIVERSITY, JALGAON</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</si>
  <si>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</si>
  <si>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</si>
  <si>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 Years, 11 Months, 11 Days | 5.65
K. R. Niwal &amp; Associates | Entry Level Engineer | Nagpur | Nov 2020 | Jul 2022 | 1 Years, 8 Months, 28 Days | 1.62</t>
  </si>
  <si>
    <t>44 month(s)</t>
  </si>
  <si>
    <t>Gubbi Civil Engineers Ltd | Project Management Intern | Thane | May 2026 | Jul 2026 | 8 Weeks | Campus Internship
WAGHUR DAM DIVISION, JALGAON | INTERN | JALGOAN, MAHARASHTRA | Dec 2018 | Dec 2018 | 2 Weeks</t>
  </si>
  <si>
    <t>P25700196</t>
  </si>
  <si>
    <t>VINAYA</t>
  </si>
  <si>
    <t>NAWALE</t>
  </si>
  <si>
    <t>Vinaya Rajesh Nawale</t>
  </si>
  <si>
    <t>nawalevinaya070902@gmail.com</t>
  </si>
  <si>
    <t>p25700196@student.nicmar.ac.in</t>
  </si>
  <si>
    <t>8816 7019 2466</t>
  </si>
  <si>
    <t>RAJESH BHASKAR NAWALE</t>
  </si>
  <si>
    <t>ANITA RAJESH NAWALE</t>
  </si>
  <si>
    <t>C201 Raga Altis, Golden City Hospital, Near Nath Seeds, Paithan Road Itkheda, Aurangabad.</t>
  </si>
  <si>
    <t>SHRI SHARADA MANDIR KANYA PRASHALA, AURANGABAD</t>
  </si>
  <si>
    <t>DEOGIRI COLLEGE, CHHATRAPATI SAMBHAJINAGAR</t>
  </si>
  <si>
    <t>N.D.M.V.P SHARADCHANDRA PAWARJI COLLEGE OF ARCHITECTURE, NASHIK.</t>
  </si>
  <si>
    <t>AutoCAD,MS Office,MS Project,SketchUp,Revit,Photoshop,Lumion</t>
  </si>
  <si>
    <t>Medigence Solutions Pvt. Ltd | Project Management Intern | Ahmedabad  | May 2026 | Jul 2026 | 8 Weeks | Campus Internship
PMA Madhushala | Architectural Intern | Pune  | Jun 2024 | Nov 2024 | 24 Weeks</t>
  </si>
  <si>
    <t>P25700197</t>
  </si>
  <si>
    <t>CHAVADI</t>
  </si>
  <si>
    <t>Vijay S Chavadi</t>
  </si>
  <si>
    <t>vijayschavadi33@gmail.com</t>
  </si>
  <si>
    <t>p25700197@student.nicmar.ac.in</t>
  </si>
  <si>
    <t>09-Dec-2003</t>
  </si>
  <si>
    <t>English,Hindi,Kannada</t>
  </si>
  <si>
    <t>3110 0304 9592</t>
  </si>
  <si>
    <t>LATE SATHYAPPA B CHAVADI</t>
  </si>
  <si>
    <t>ASSISTANT ENGINEER</t>
  </si>
  <si>
    <t>LAKSHMI S CHAVADI</t>
  </si>
  <si>
    <t>#969/13_x000D_
Shivakumar Swamy Badavane, 2nd Stage , 4th Cross</t>
  </si>
  <si>
    <t>Davanagere</t>
  </si>
  <si>
    <t>SRI TARALABALU CENTRAL SCHOOL</t>
  </si>
  <si>
    <t>CENTRAL BOARD OF SECONDARY EDUCATION(CBSE), DAVANGERE,KARNATAKA</t>
  </si>
  <si>
    <t>SIR M V PU COLLEGE</t>
  </si>
  <si>
    <t>DEPARTMENT OF PRE-UNIVERSITY EDUCATION(DPUE), DAVANGERE,KARNATAKA</t>
  </si>
  <si>
    <t>KLE  TECHNOLOGICAL UNIVERSITY, HUBBALLI,KARNATAKA</t>
  </si>
  <si>
    <t>AutoCAD,Primavera,Microsoft project,Revit,Power BI</t>
  </si>
  <si>
    <t>MAHALAXMI RCC CONTRACTORS | Site Execution Intern | DAVANGERE, KARNATAKA | May 2026 | Jul 2026 | 8 Weeks | Campus Internship
White Venture Infratech Private Limited | Intern Site Engineer | Hubballi | Jan 2025 | Mar 2025 | 7 Weeks</t>
  </si>
  <si>
    <t>Primavera P6
POWER BI
Claude AI for Project Managers
Microsoft Excel</t>
  </si>
  <si>
    <t>P25700198</t>
  </si>
  <si>
    <t>ARJYA</t>
  </si>
  <si>
    <t>Arjya Aditya Raj</t>
  </si>
  <si>
    <t>arjyaadityaraj@gmail.com</t>
  </si>
  <si>
    <t>p25700198@student.nicmar.ac.in</t>
  </si>
  <si>
    <t>ENGLISH , HINDI , ODIA</t>
  </si>
  <si>
    <t>9507 0267 6679</t>
  </si>
  <si>
    <t>SATYA SANKAR RAJ</t>
  </si>
  <si>
    <t>SURAJITA RAJ</t>
  </si>
  <si>
    <t>QR. NO-D5 , Engineering School Colony , NEAR POST OFFICE ,BRAHMAPUR</t>
  </si>
  <si>
    <t>Ganjam</t>
  </si>
  <si>
    <t>INDIAN COUNSIL OF SECONDARY EDUCATION</t>
  </si>
  <si>
    <t>2007-May</t>
  </si>
  <si>
    <t>UCP ENGINEERING SCHOOL , BRAHMAPUR , ODISHA</t>
  </si>
  <si>
    <t>VEER SURENDRA SAI UNIVERSITY OF TECHNOLOGY</t>
  </si>
  <si>
    <t>VEER SURENDRA SAI UNIVERSITY OF TECHNOLOGY, ODISHA</t>
  </si>
  <si>
    <t>AutoCAD,MS Project,Primavera,MS EXCELSHEET</t>
  </si>
  <si>
    <t>SM CONSULTANTS PVT LTD | ASSISTANT ENGINEER | SECUNDERABAD | May 2024 | Jul 2025 | 1 Years, 1 Months, 7 Days | 2.4</t>
  </si>
  <si>
    <t>Suryapriya Constructions Pvt Ltd | Project Management Intern | Bengaluru | May 2026 | Jul 2026 | 8 Weeks | Campus Internship</t>
  </si>
  <si>
    <t>P25700200</t>
  </si>
  <si>
    <t>ULHAS</t>
  </si>
  <si>
    <t>Utkarsh Ulhas Bhoir</t>
  </si>
  <si>
    <t>utkarshbhoir5858@gmail.com</t>
  </si>
  <si>
    <t>p25700200@student.nicmar.ac.in</t>
  </si>
  <si>
    <t>10-Feb-2003</t>
  </si>
  <si>
    <t>2156 6640 7821</t>
  </si>
  <si>
    <t>JAYMALA</t>
  </si>
  <si>
    <t>175(1) Ekta Shopping Center, Ambadi Naka ,tal- Bhiwandi, Dist- Thane, Post - Dighashi, Pin- 421302</t>
  </si>
  <si>
    <t>Z.A MEMON ENGLISH SCHOOL</t>
  </si>
  <si>
    <t>EXPERT'S INTERNATIONAL JUNIOR COLLEGE</t>
  </si>
  <si>
    <t>THAKUR COLLEGE OF ENGINEERING AND TECHNOLOGY,KANDIVALI,MAHARASHTRA</t>
  </si>
  <si>
    <t>G.M. KHAN &amp; ASSOCIATES | SITE INTERN | PALGHAR | May 2026 | Jul 2026 | 8 Weeks | Campus Internship
Fair Brothers Associates | Internship Trainee | Mumbai | Dec 2023 | Jan 2024 | 3 Weeks
Fair Brothers Associates | Internship Trainee | Mumbai | Dec 2024 | Jan 2025 | 3 Weeks</t>
  </si>
  <si>
    <t>P25700201</t>
  </si>
  <si>
    <t>STEVE</t>
  </si>
  <si>
    <t>WILSON</t>
  </si>
  <si>
    <t>Steve Wilson</t>
  </si>
  <si>
    <t>wilsonsteve149@gmail.com</t>
  </si>
  <si>
    <t>p25700201@student.nicmar.ac.in</t>
  </si>
  <si>
    <t>08-Jan-2003</t>
  </si>
  <si>
    <t>English, Hindi, Malayalam, Kannada</t>
  </si>
  <si>
    <t>7133 7894 7082</t>
  </si>
  <si>
    <t>WILSON GEORGE</t>
  </si>
  <si>
    <t>MINI THOMAS</t>
  </si>
  <si>
    <t>No 11, Palm Grove Layout, Meganahalli, Chelekere, Kalyan Nagar, Bengaluru, Karnataka. 560043</t>
  </si>
  <si>
    <t>INTERNATIONAL INDIAN SCHOOL AL KHOBAR, SAUDI ARABIA</t>
  </si>
  <si>
    <t>CENTRAL BOARD OF SECONDARY EDUCATION, AL KHOBAR SAUDI ARABIA.</t>
  </si>
  <si>
    <t>KENSRI SCHOOL BANGALORE</t>
  </si>
  <si>
    <t>CENTRAL BOARD OF SECONDARY EDUCATION, BANGALORE.</t>
  </si>
  <si>
    <t>VELLORE INSTITUTE OF TECHNOLOGY, VELLORE.</t>
  </si>
  <si>
    <t>GSIDC ltd | Site Execution  | Candolim Health Centre, GOA | May 2026 | Jul 2026 | 8 Weeks | Campus Internship
KOCHI METRO RAIL LTD. | INTERN | Thrippunithura, KOCHI, KERALA. | Aug 2023 | Sep 2023 | 3 Weeks</t>
  </si>
  <si>
    <t>P25700202</t>
  </si>
  <si>
    <t>REVANTH</t>
  </si>
  <si>
    <t>Revanth V Yadav</t>
  </si>
  <si>
    <t>revanth8gems@gmail.com</t>
  </si>
  <si>
    <t>p25700202@student.nicmar.ac.in</t>
  </si>
  <si>
    <t>20-Jun-2002</t>
  </si>
  <si>
    <t>English, Hindi, Kannada, Telugu, Tamil</t>
  </si>
  <si>
    <t>6980 1955 5914</t>
  </si>
  <si>
    <t>VASANTH</t>
  </si>
  <si>
    <t>CIVIL CONTRACTOR</t>
  </si>
  <si>
    <t>LALITHA</t>
  </si>
  <si>
    <t>#28, ANGADI THIMMAIAH LAYOUT, RMV 2ND STAGE,_x000D_
NAGASHETTIHALLY, BANGALORE-560094</t>
  </si>
  <si>
    <t>SRI SRI RAVISHANKAR VIDYA MANDIR</t>
  </si>
  <si>
    <t>CENTRAL BOARD OF SECONDARY EDUCATION, KARNATAKA</t>
  </si>
  <si>
    <t>MAHESH PU COLLEGE</t>
  </si>
  <si>
    <t>DEPARTMENT OF PRE-UNIVERSITY EDUCATION, GOVERNMENT OF KARNATAKA</t>
  </si>
  <si>
    <t>VIT UNIVERSITY</t>
  </si>
  <si>
    <t>AutoCAD,MS Office,MS Project,Primavera,QGIS,3DS MAX</t>
  </si>
  <si>
    <t>BHANIYANA CONSTRUCTION | SITE ENGINEER | JODHPUR | Jul 2024 | Feb 2025 | 0 Years, 7 Months, 8 Days | 4.4</t>
  </si>
  <si>
    <t>Goa State Infrastructure Development Corporation | Site Execution | Paniji, Goa | May 2026 | Jul 2026 | 8 Weeks | Campus Internship
BHANIYANA CONSTRUCTION | SITE ENGINEER | JODHPUR | Jan 2024 | Jun 2024 | 21 Weeks
B&amp;B BUILDERS PVT LTD | MENS HOSEL S BLOCK | VELLORE | May 2023 | Jun 2023 | 5 Weeks</t>
  </si>
  <si>
    <t>P25700203</t>
  </si>
  <si>
    <t>NIHALAHMAD</t>
  </si>
  <si>
    <t>RIYAJ</t>
  </si>
  <si>
    <t>FARAS</t>
  </si>
  <si>
    <t>Nihalahmad Riyaj Faras</t>
  </si>
  <si>
    <t>nihalfaraz20@gmail.com</t>
  </si>
  <si>
    <t>p25700203@student.nicmar.ac.in</t>
  </si>
  <si>
    <t>07-Sep-2001</t>
  </si>
  <si>
    <t>8937 8496 3011</t>
  </si>
  <si>
    <t>RIYAJ A. FARAS</t>
  </si>
  <si>
    <t>MUMTAJ R. FARAS</t>
  </si>
  <si>
    <t>HOUSWIFE</t>
  </si>
  <si>
    <t>Madhukar Residency Near Katchi Hall Shivaji Road Flat No. T1 Miraj</t>
  </si>
  <si>
    <t>BETHESDA SCHOOL MIRAJ</t>
  </si>
  <si>
    <t>GOVERNMENT POLYTECHNIC MIRAJ</t>
  </si>
  <si>
    <t>DR. BABASAHEB AMBEDKAR TECHNOLOGICAL UNIVERSITY, LONERE,  RAIGAD. MAHARASHTRA</t>
  </si>
  <si>
    <t>PADMABHOOSHAN VASANTRAODADA PATIL INSTITUTE OF TECHNOLOGY (PVPIT), BUDHGAON, SANGLI</t>
  </si>
  <si>
    <t>AutoCAD,MS Office,MS Project,Primavera,Revit Architecture,Q-GIS</t>
  </si>
  <si>
    <t>Khilare And Associates | Site Engineer |  Sangli | Sep 2023 | Nov 2024 | 1 Years, 2 Months, 26 Days | 1.2</t>
  </si>
  <si>
    <t>Panchshil Realty (A2Z Online Services Private Limited) | Project Management &amp; Controls  | Pune | May 2026 | Jul 2026 | 8 Weeks | Campus Internship</t>
  </si>
  <si>
    <t>Construction Project Management by Columbia University
Mastering Construction/ Project Management</t>
  </si>
  <si>
    <t>P25700204</t>
  </si>
  <si>
    <t>KARTIKAY</t>
  </si>
  <si>
    <t>VASHISHTHA</t>
  </si>
  <si>
    <t>Kartikay Vashishtha</t>
  </si>
  <si>
    <t>kartikayvashishtha@gmail.com</t>
  </si>
  <si>
    <t>p25700204@student.nicmar.ac.in</t>
  </si>
  <si>
    <t>12-Aug-2002</t>
  </si>
  <si>
    <t>9433 2489 5608</t>
  </si>
  <si>
    <t>PANKAJ VASHISHTHA</t>
  </si>
  <si>
    <t>SEEMA VASHISHTHA</t>
  </si>
  <si>
    <t>A-208,Jawhar Colony,</t>
  </si>
  <si>
    <t>Jhalawar</t>
  </si>
  <si>
    <t>EDUSUCCESS,PUNE</t>
  </si>
  <si>
    <t>MAHARASHTRA BOARD OF HIGHER SECONDARY EDUCATION</t>
  </si>
  <si>
    <t>SWARAJAYA SENIOR SECONDARY SCHOOL, ALWAR</t>
  </si>
  <si>
    <t>NORTHWEST ACCREDITATION COMMISSION</t>
  </si>
  <si>
    <t>UPES</t>
  </si>
  <si>
    <t>UPES-DEHRADUN</t>
  </si>
  <si>
    <t>AHLUWALIA CONTRACTS INDIA LTD. | Project Management Intern | Head Office,Okhla Phase-1,New Delhi | May 2026 | Jul 2026 | 8 Weeks | Campus Internship
SPML | Graduate trainee engineer | Jaipur  | Apr 2024 | Nov 2024 | 34 Weeks
JWIL | Civil Engineering Intern    | Isarda Dousa Water Supply Project, Rajasthan  | Jun 2023 | Jul 2023 | 8 Weeks</t>
  </si>
  <si>
    <t>P25700205</t>
  </si>
  <si>
    <t>VINAYCHANDRA</t>
  </si>
  <si>
    <t>BHENDAWADE</t>
  </si>
  <si>
    <t>Prateek Vinaychandra Bhendawade</t>
  </si>
  <si>
    <t>prateekbhendawade@gmail.com</t>
  </si>
  <si>
    <t>p25700205@student.nicmar.ac.in</t>
  </si>
  <si>
    <t>3350 7119 6194</t>
  </si>
  <si>
    <t>YUGANDHARA</t>
  </si>
  <si>
    <t>A/P Mangaon Tal Hatkanangale Dist Kolhapur</t>
  </si>
  <si>
    <t>MARATHI MEDIUM HIGHSCHOOL ICHALKARANJI</t>
  </si>
  <si>
    <t>YASHWANTRAO CHAVAN POLYTECHNIC ICHALKARANJI</t>
  </si>
  <si>
    <t>PUNYASHLOK AHILYADEVI HOLKAR SOLAPUR UNIVERSITY</t>
  </si>
  <si>
    <t>WALCHAND INSTITUTE OF TECHNOLOGY,SOLAPUR</t>
  </si>
  <si>
    <t>AutoCAD,MS Office,MS Project,Primavera,Quantity Estimation,Scheduling using Primavera / MS Project,Construction Planning (Academic Exposure),Project Coordination Support,WBS (Work Breakdown Structure),Earned Value Management (EVM)</t>
  </si>
  <si>
    <t>Syneteca Engineering Solutions Private Limited | Tekla Modelling Engineer | Pune | Oct 2021 | Oct 2024 | 3 Years, 0 Months, 30 Days | 3.6</t>
  </si>
  <si>
    <t>37 month(s)</t>
  </si>
  <si>
    <t>Marathon Realty Pvt Ltd | Planning Engineer Intern | Navi Mumbai | May 2026 | Jun 2026 | 7 Weeks | Campus Internship</t>
  </si>
  <si>
    <t>Project Management Fundamentals - Microsoft Coursera
Ethics in Engineering Practice - NPTEL
Finance For Non-Financial Managers - Coursera</t>
  </si>
  <si>
    <t>P25700206</t>
  </si>
  <si>
    <t>Akshay Kumar</t>
  </si>
  <si>
    <t>akakshay257@gmail.com</t>
  </si>
  <si>
    <t>p25700206@student.nicmar.ac.in</t>
  </si>
  <si>
    <t>03-Apr-1996</t>
  </si>
  <si>
    <t>3582 0146 7154</t>
  </si>
  <si>
    <t>RADHA RAMAN KUMAR</t>
  </si>
  <si>
    <t>GOVT EMPLOYEE (SR.SO)</t>
  </si>
  <si>
    <t>ANAMIKA KUMARI</t>
  </si>
  <si>
    <t>305B Ramashish Apartment Kusumpuram Gola Road</t>
  </si>
  <si>
    <t>PATNA CENTRAL SCHOOL SUDARSHAN VIHAR</t>
  </si>
  <si>
    <t>CENTRAL BOARD OF SECONDARY EDUCATION PATNA/BIHAR</t>
  </si>
  <si>
    <t>BHUWNESHWARI DAYAL HIGH SCHOOL TELPA PATNA</t>
  </si>
  <si>
    <t>BIHAR SCHOOL EXAMINATION BOARD PATNA/BIHAR</t>
  </si>
  <si>
    <t>DIT UNIVERSITY</t>
  </si>
  <si>
    <t>DIT UNIVERSITY DEHRADUN/UTTARAKHAND</t>
  </si>
  <si>
    <t>JHARKHAND UNIVERSITY OF TECHNOLOGY</t>
  </si>
  <si>
    <t>Environmental Engineering</t>
  </si>
  <si>
    <t>2023-Oct</t>
  </si>
  <si>
    <t>AutoCAD,MS Office,MS Project,Primavera,CostX,Autodesk Revit</t>
  </si>
  <si>
    <t>RBP INFRASTRUCTURE &amp; ENGINEERING WORKS | SITE ENGINEER | GAYA, BIHAR | Jul 2019 | Aug 2021 | 2 Years, 1 Months, 14 Days | 1.65
M/S GAURAV CONSTRUCTION | SITE ENGINEER | Haidarnagar, Jharkhand | Dec 2023 | Jan 2025 | 1 Years, 1 Months, 30 Days | 2.16</t>
  </si>
  <si>
    <t>Cemindia Projects Limited | Project Intern | Karwar, Karnataka  | May 2026 | Jun 2026 | 8 Weeks | Campus Internship
Building Construction Department, Govt. of Bihar | Vocational Training |  M.LA Housing Patna, Bihar | May 2018 | May 2018 | 3 Weeks
Ranchi Smart City Corporation Limited | Intern | Ranchi, Jharkhand | Jan 2023 | Jul 2023 | 25 Weeks</t>
  </si>
  <si>
    <t>FIDIC Red Book 2017 – Comprehensive Course</t>
  </si>
  <si>
    <t>P25700207</t>
  </si>
  <si>
    <t>BRAHMI</t>
  </si>
  <si>
    <t>Brahmi C</t>
  </si>
  <si>
    <t>bbrahmi975@gmail.com</t>
  </si>
  <si>
    <t>p25700207@student.nicmar.ac.in</t>
  </si>
  <si>
    <t>31-Jan-2003</t>
  </si>
  <si>
    <t>English,Kannada,Hindi,telugu</t>
  </si>
  <si>
    <t>7502 7320 3324</t>
  </si>
  <si>
    <t>CHANDRAMOHAN.V</t>
  </si>
  <si>
    <t>AEE IN CIVIL ENGINEER</t>
  </si>
  <si>
    <t>BHAGYALAKSHMI.M</t>
  </si>
  <si>
    <t>Opp To Rto Office,shankara Vidhyalaya School Road,siri Nilaya,murali Layout,kolar</t>
  </si>
  <si>
    <t>Kolar</t>
  </si>
  <si>
    <t>THE JAIN INTERNATIONAL SCHOOL</t>
  </si>
  <si>
    <t>CENTRAL BOARD OF EDUCATION ,DELHI</t>
  </si>
  <si>
    <t>2010-Jun</t>
  </si>
  <si>
    <t>THE VISION PU COLLEGE</t>
  </si>
  <si>
    <t>GOVERNMENT OF KARNATAKA,KARNATAKA</t>
  </si>
  <si>
    <t>MS RAMAIAH UNIVERSITY OF APPLIED SCIENCES</t>
  </si>
  <si>
    <t>MS RAMAIAH UNIVERSITY OF APPLIED SCIENCES,BANGLORE</t>
  </si>
  <si>
    <t>AutoCAD,MS Office,revit,staddpro</t>
  </si>
  <si>
    <t>Godrej properties limited  | intern operations | Banglore  | May 2026 | Jul 2026 | 8 Weeks | Campus Internship</t>
  </si>
  <si>
    <t>P25700208</t>
  </si>
  <si>
    <t>KB</t>
  </si>
  <si>
    <t>SANATH</t>
  </si>
  <si>
    <t>Kb Sanath Kumar</t>
  </si>
  <si>
    <t>sanathkumarkb13@gmail.com</t>
  </si>
  <si>
    <t>p25700208@student.nicmar.ac.in</t>
  </si>
  <si>
    <t>ENGLISH,KANNADA,HINDI,TELUGU,DAKHNI</t>
  </si>
  <si>
    <t>7594 2423 7978</t>
  </si>
  <si>
    <t>KB SANJEEV PRASAD</t>
  </si>
  <si>
    <t>ROJAVATHI</t>
  </si>
  <si>
    <t>#155 SANJEEVASHREE 1ST MAIN ROAD BASAVESHWARA NAGAR, BALLARI</t>
  </si>
  <si>
    <t>Bellary</t>
  </si>
  <si>
    <t>DREAM WORLD SCHOOL</t>
  </si>
  <si>
    <t>CBSE , BALLARI</t>
  </si>
  <si>
    <t>NARAYANA PU COLLEGE</t>
  </si>
  <si>
    <t>DEPARTMENT OF PRE-UNIVERSITY EDUCATION , GOVT OF KARNATAKA</t>
  </si>
  <si>
    <t>VTU</t>
  </si>
  <si>
    <t>RV COLLEGE OF ENGINEERING BENGALURU</t>
  </si>
  <si>
    <t>AutoCAD,MS Office,MS Project,Primavera,c,c++</t>
  </si>
  <si>
    <t>SPACE BAR ARCHITECTURE + URBANISM | Site Execution  | Banglore | Jul 2024 | Jul 2025 | 1 Years, 0 Months, 1 Days | 3.64</t>
  </si>
  <si>
    <t>New Consolidated Construction Company  | Contracts Intern | Mumbai | May 2026 | Jul 2026 | 8 Weeks | Campus Internship
SPACE BAR ARCHITECTURE + URBANISM | Graduate Engineer | Ballari | Jul 2024 | Jul 2025 | 52 Weeks</t>
  </si>
  <si>
    <t>Valuation (Immovable property)</t>
  </si>
  <si>
    <t>P25700209</t>
  </si>
  <si>
    <t>VASUDEV</t>
  </si>
  <si>
    <t>SHIVADUTTA</t>
  </si>
  <si>
    <t>GAUTAM</t>
  </si>
  <si>
    <t>Vasudev Shivadutta Gautam</t>
  </si>
  <si>
    <t>gautamvasudev287@gmail.com</t>
  </si>
  <si>
    <t>p25700209@student.nicmar.ac.in</t>
  </si>
  <si>
    <t>28-Jul-2000</t>
  </si>
  <si>
    <t>SPORTS</t>
  </si>
  <si>
    <t>2346 6332 0446</t>
  </si>
  <si>
    <t>SHIVADUTTA GAUTAM</t>
  </si>
  <si>
    <t>SSE RAILWAYS</t>
  </si>
  <si>
    <t>ARADHANA SHIVADUTTA GAUTAM</t>
  </si>
  <si>
    <t>Unitech Westend Complex_x000D_
B/304, Periyar Bld No. 29</t>
  </si>
  <si>
    <t>ST. XAVIER'S HIGH SCHOOL</t>
  </si>
  <si>
    <t>SECONDARY SCHOOL CERTIFICATE (SSC) MUMBAI/MAHARASHTRA</t>
  </si>
  <si>
    <t>DIPLOMA IN MECHANICAL ENGINEERING</t>
  </si>
  <si>
    <t>VIDYAVARDHINI BHAUSAHEB VARTAK POLYTECHNIC MUMBAI/MAHARASHTRA</t>
  </si>
  <si>
    <t>THAKUR COLLEGE OF ENGINEERING &amp; TECHNOLOGY MUMBAI/MAHARASHTRA</t>
  </si>
  <si>
    <t>AutoCAD,MS Office,MS Project,Primavera, CostX, Plannerly, BEXEL, Revit, BIM</t>
  </si>
  <si>
    <t>Dattani Estate Developers | Junior Engineer | Kandivali west, Mumbai | Jul 2023 | Jul 2025 | 2 Years, 0 Months, 0 Days | 2.4</t>
  </si>
  <si>
    <t>Dattani Estate Developers | Project Controls | Mumbai | May 2026 | Jul 2026 | 9 Weeks | Campus Internship</t>
  </si>
  <si>
    <t>P25700210</t>
  </si>
  <si>
    <t>JARESH</t>
  </si>
  <si>
    <t>SUNIL</t>
  </si>
  <si>
    <t>GHAG</t>
  </si>
  <si>
    <t>Jaresh Sunil Ghag</t>
  </si>
  <si>
    <t>ghagjaresh@gmail.com</t>
  </si>
  <si>
    <t>p25700210@student.nicmar.ac.in</t>
  </si>
  <si>
    <t>28-Feb-2003</t>
  </si>
  <si>
    <t>English</t>
  </si>
  <si>
    <t>8156 4838 6790</t>
  </si>
  <si>
    <t>GOVERNMENT SERVENT</t>
  </si>
  <si>
    <t>JAYSHRI</t>
  </si>
  <si>
    <t>2434 D Ward, Shukrawar Peth, Bhoi Galli, Kolhapur</t>
  </si>
  <si>
    <t>MAHARASHTRA HIGH SCHOOL, SHIVAJI PETH, KOLHAPUR</t>
  </si>
  <si>
    <t>MAHARASHTRA STATE BOARD OF SECONDARY AND HIGHER SECONDARY, PUNE</t>
  </si>
  <si>
    <t>THE NEW COLLEGE, SHIVAJI PETH, KOLHAPUR.</t>
  </si>
  <si>
    <t>SHIVAJI UNIVERSITY.</t>
  </si>
  <si>
    <t>KOLHAPUR INSTITUTE OF TECHNOLOGY COLLEGE OF ENGINEERING (AUTONOMOUS), KOLHAPUR, MAHARASHTRA.</t>
  </si>
  <si>
    <t>Kunal Group | Site Engineer | Pune | May 2026 | Jun 2026 | 7 Weeks | Campus Internship
Kunal Group, Balewadi, Pune. | Site Engineer | Pune | Jan 2025 | Jun 2025 | 21 Weeks</t>
  </si>
  <si>
    <t>P25700211</t>
  </si>
  <si>
    <t>GOLI</t>
  </si>
  <si>
    <t>SAI SATVIK</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</si>
  <si>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</si>
  <si>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</si>
  <si>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</si>
  <si>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</si>
  <si>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</si>
  <si>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</si>
  <si>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</si>
  <si>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</si>
  <si>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</si>
  <si>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</si>
  <si>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</si>
  <si>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</si>
  <si>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</si>
  <si>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</si>
  <si>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</si>
  <si>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</si>
  <si>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 Weeks</t>
  </si>
  <si>
    <t>P25700212</t>
  </si>
  <si>
    <t>SHOUVIK</t>
  </si>
  <si>
    <t>MANDAL</t>
  </si>
  <si>
    <t>Shouvik Mandal</t>
  </si>
  <si>
    <t>mandalshouvik5@gmail.com</t>
  </si>
  <si>
    <t>p25700212@student.nicmar.ac.in</t>
  </si>
  <si>
    <t>03-Mar-2001</t>
  </si>
  <si>
    <t>ENGLISH, BENGALI, HINDI</t>
  </si>
  <si>
    <t>9394 0588 0859</t>
  </si>
  <si>
    <t>JAYANTA KUMAR MANDAL</t>
  </si>
  <si>
    <t>RETIRED TEACHER</t>
  </si>
  <si>
    <t>KABERI SARKAR MANDAL</t>
  </si>
  <si>
    <t>HOME-MAKER</t>
  </si>
  <si>
    <t>Lane No. - 5A, Lake Garden, Malda.</t>
  </si>
  <si>
    <t>Malda</t>
  </si>
  <si>
    <t>RAMAKRISHNA MISSION VIVEKANANDA VIDYAMANDIR, MALDA</t>
  </si>
  <si>
    <t>WEST BENGAL BOARD OF SECONDARY EDUACTION</t>
  </si>
  <si>
    <t>MEGHNAD SAHA INSTITUTE OF TECHNOLOGY WEST BENGAL</t>
  </si>
  <si>
    <t>MS Office,MS Project,Naviswork,Revit,Primavera P6,Bexel Manager,CostX,Plannerly,DigiQC,Staad Pro, AutoCAD</t>
  </si>
  <si>
    <t>Kalpataru Projects International Limited | Engineer | Allahabad, Uttar Pradesh | Oct 2023 | Jun 2025 | 1 Years, 7 Months, 3 Days | 5.87</t>
  </si>
  <si>
    <t>CPWD | Execution and Planning | Kolkata | May 2026 | Jul 2026 | 9 Weeks | Campus Internship
JMC Projects (India) LTD. | Intern | Kolkata | Aug 2022 | Aug 2022 | 4 Weeks</t>
  </si>
  <si>
    <t>Staad Pro
digiqc
Construction Equipment Maintenance and Safety
Finance for Non-Financial Managers
Data Analysis
Ethics in Engineering Practice 
German Language</t>
  </si>
  <si>
    <t>P25700213</t>
  </si>
  <si>
    <t>HARDIK</t>
  </si>
  <si>
    <t>ASHOK</t>
  </si>
  <si>
    <t>POKAR</t>
  </si>
  <si>
    <t>Hardik Ashok Pokar</t>
  </si>
  <si>
    <t>hardikpokar07@gmail.com</t>
  </si>
  <si>
    <t>p25700213@student.nicmar.ac.in</t>
  </si>
  <si>
    <t>30-Jul-2003</t>
  </si>
  <si>
    <t>English, Hindi, Marathi , Gujarati</t>
  </si>
  <si>
    <t>9350 7875 0319</t>
  </si>
  <si>
    <t>ASHOK RATANSHI POKAR</t>
  </si>
  <si>
    <t>BHARTI ASHOK POKAR</t>
  </si>
  <si>
    <t>Flat No. 301, Yashodeep Building, Shriram Soc., Warje, Pune 58</t>
  </si>
  <si>
    <t>RMD SINGHAD SPRING DALE SCHOOL WARJE</t>
  </si>
  <si>
    <t>CENTRAL BOARD OF SECONDARY EDUCATION, PUNE</t>
  </si>
  <si>
    <t>M.I.T. JUNIOR COLLEGE KOTHRUD</t>
  </si>
  <si>
    <t>SINHGAD COLLEGE OF ENGINEERING, PUNE</t>
  </si>
  <si>
    <t>2022-Jan</t>
  </si>
  <si>
    <t>AutoCAD, MS Project, Primavera, Costx, Revit, Navisworks</t>
  </si>
  <si>
    <t>Sai Nisarg Landmark LLP  | Planning and Execution Intern | Pimpri Chinchwad Pune | May 2026 | Jul 2026 | 9 Weeks | Campus Internship
SIDDHI NISARG ASSOCIATES | Site Intern - Civil Engineer | Wakad, Pune | Dec 2023 | Jan 2024 | 4 Weeks</t>
  </si>
  <si>
    <t>P25700214</t>
  </si>
  <si>
    <t>ABDULKADAR</t>
  </si>
  <si>
    <t>MOHAMMED ISAQ</t>
  </si>
  <si>
    <t>MUTWALLI</t>
  </si>
  <si>
    <t>Abdulkadar Mohammed Isaq Mutwalli</t>
  </si>
  <si>
    <t>abdulmutwalli7860@gmail.com</t>
  </si>
  <si>
    <t>p25700214@student.nicmar.ac.in</t>
  </si>
  <si>
    <t>09-Apr-2002</t>
  </si>
  <si>
    <t>5865 3236 2039</t>
  </si>
  <si>
    <t>MOHAMMED ISAQ MUTWALLI</t>
  </si>
  <si>
    <t>BUSSNIESS</t>
  </si>
  <si>
    <t>TAIYYABA MOHAMMEDISAQ MUTWALLI</t>
  </si>
  <si>
    <t>Darul Hamad Complex Sahara Solapur Awing 303</t>
  </si>
  <si>
    <t>INDIAN MODEL SCHOOL</t>
  </si>
  <si>
    <t>A.D JOSHI JR COLLEGE</t>
  </si>
  <si>
    <t>2020-Jan</t>
  </si>
  <si>
    <t>WALCHAND INSTITUTE OF TECHNOLOGY , SOLAPUR MAHARASHTRA</t>
  </si>
  <si>
    <t>AutoCAD,MS Office,MS Project,Revit,Lumion,Primavera,Excel, Naviswork</t>
  </si>
  <si>
    <t>Iconic Civil Engineering and Structural Solutions ,Solapur | Eng Trainee | Solapur  | Jun 2024 | Jul 2025 | 1 Years, 1 Months, 0 Days | 3</t>
  </si>
  <si>
    <t>Anarock project Management and Engineering Services | Planning and Design Coordination | Bengaluru | May 2026 | Jul 2026 | 9 Weeks | Campus Internship
L&amp;T MUMBAI | Intern | MUMBAI ( VIRAR) | Feb 2024 | Mar 2024 | 4 Weeks
THAKUR&amp;THAKUR PUNE | Intern | PUNE ( SASWAD ) | Mar 2023 | Mar 2023 | 3 Weeks
Iconic Engineering Solutions | Eng Trainee | solapur  | Jun 2024 | Jul 2025 | 56 Weeks</t>
  </si>
  <si>
    <t>Pregrad Bussniess Analysis
Acceleration 2022 WIT
Revit / Lumion 3d
Autocad</t>
  </si>
  <si>
    <t>P25700215</t>
  </si>
  <si>
    <t>SHITANGSHU</t>
  </si>
  <si>
    <t>SARKAR</t>
  </si>
  <si>
    <t>Shitangshu Sarkar</t>
  </si>
  <si>
    <t>arch.shitangshusarkar@gmail.com</t>
  </si>
  <si>
    <t>p25700215@student.nicmar.ac.in</t>
  </si>
  <si>
    <t>10-Oct-2000</t>
  </si>
  <si>
    <t>English, Hindi, Bengali</t>
  </si>
  <si>
    <t>5732 7546 0740</t>
  </si>
  <si>
    <t>TAPAN SARKAR</t>
  </si>
  <si>
    <t>SIPRA SARKAR</t>
  </si>
  <si>
    <t>40B/6, Upendra Chandra Banerjee Road, Kankurgachi, Kolkata - 700054, West Bengal</t>
  </si>
  <si>
    <t>PURWANCHAL VIDYAMANDIR</t>
  </si>
  <si>
    <t>COUNCIL FOR THE INDIAN SCHOOL CERTIFICATE EXAMINATIONS , KOLKATA</t>
  </si>
  <si>
    <t>AMITY UNIVERSITY , KOLKATA</t>
  </si>
  <si>
    <t>AutoCAD,MS Office,MS Project,Primavera,Photoshop,Sketchup,Lumion,Twinmotion,Revit,enscpe,Illustrator,Procreate</t>
  </si>
  <si>
    <t>Ar. Tamal Chaudhuri and Associates | Junior Architect | Kolkata | Sep 2023 | Aug 2024 | 0 Years, 11 Months, 6 Days | 3</t>
  </si>
  <si>
    <t>Ahluwalia Contracts India Ltd  | Planning and Coordination Intern | Kolkata  | May 2026 | Jul 2026 | 8 Weeks | Campus Internship
INTERSTICE STUDIO | INTERN ARCHITECT | NEW DELHI | Aug 2022 | Dec 2022 | 19 Weeks</t>
  </si>
  <si>
    <t>Registered architect under the Council of Architecture ( COA )
Finance for Non financial Managers by Emory University through Coursera</t>
  </si>
  <si>
    <t>P25700216</t>
  </si>
  <si>
    <t>RIYA</t>
  </si>
  <si>
    <t>FALE</t>
  </si>
  <si>
    <t>Riya Fale</t>
  </si>
  <si>
    <t>faleriya92@gmail.com</t>
  </si>
  <si>
    <t>p25700216@student.nicmar.ac.in</t>
  </si>
  <si>
    <t>22-Nov-2003</t>
  </si>
  <si>
    <t>Hindi, English and marathi</t>
  </si>
  <si>
    <t>3572 0256 4917</t>
  </si>
  <si>
    <t>DILIP FALE</t>
  </si>
  <si>
    <t>TANUJA FALE</t>
  </si>
  <si>
    <t>PRIVATE JOB</t>
  </si>
  <si>
    <t>Near Buddh Vihar, Bajar Chauk Saoner, Nagpur, Maharastra</t>
  </si>
  <si>
    <t>ST. JOHN'S MISSION EDUCATION SOCIETY'S CONVENT SAONER</t>
  </si>
  <si>
    <t>GOVERNMENT POLYTECNIC NAGPUR</t>
  </si>
  <si>
    <t>RASHTRASANT TUKADOJI MAHARAJ NAGPUR UNIVERSITY, NAGPUR</t>
  </si>
  <si>
    <t>G. H. RAISONI COLLEGE OF ENGINEERING</t>
  </si>
  <si>
    <t>AutoCAD,MS Office,MS Project,MS-CIT</t>
  </si>
  <si>
    <t>New consolidated construction company pvt ltd (NCCCL) | Project management | Navi Mumbai | May 2026 | Jul 2026 | 8 Weeks | Campus Internship
Panacea Civil India Pvt. Ltd. | Site Engineer Intern | Pune | Jan 2025 | Jun 2025 | 25 Weeks</t>
  </si>
  <si>
    <t>P25700217</t>
  </si>
  <si>
    <t>SAI KEERTHI</t>
  </si>
  <si>
    <t>Sai Keerthi R</t>
  </si>
  <si>
    <t>saikeerthi10301@gmail.com</t>
  </si>
  <si>
    <t>p25700217@student.nicmar.ac.in</t>
  </si>
  <si>
    <t>10-Mar-2001</t>
  </si>
  <si>
    <t>6715 7491 9682</t>
  </si>
  <si>
    <t>RANGANATH N R</t>
  </si>
  <si>
    <t>SAI DARSHAN T R</t>
  </si>
  <si>
    <t>Flat No. 408, Maruthi Enclave Apartment, Balaji Layout, Mallathahalli, Bangalore</t>
  </si>
  <si>
    <t>SRI VANI EDUCATION CENTRE</t>
  </si>
  <si>
    <t>CENTRAL BOARD OF SECONDARY EDUCATION, BANGALORE, KARNATAKA</t>
  </si>
  <si>
    <t>JAIN PU COLLEGE</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</si>
  <si>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</si>
  <si>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</si>
  <si>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</si>
  <si>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</si>
  <si>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P25700218</t>
  </si>
  <si>
    <t>B</t>
  </si>
  <si>
    <t>Akash B V</t>
  </si>
  <si>
    <t>akashbenne18@gmail.com</t>
  </si>
  <si>
    <t>p25700218@student.nicmar.ac.in</t>
  </si>
  <si>
    <t>18-Dec-2002</t>
  </si>
  <si>
    <t>9517 0743 5081</t>
  </si>
  <si>
    <t>VENKATESH B R</t>
  </si>
  <si>
    <t>SUMA T R</t>
  </si>
  <si>
    <t>N0: 87 SHRINIVASA NILAYA 2ND MAIN 1ST CROSS RIGHT SAVALANGA ROAD L B S NAGARA SHIVAMOGGA KARNATAKA</t>
  </si>
  <si>
    <t>KENDRIYA VIDYALAYA SHIVAMOGGA KARNATAKA</t>
  </si>
  <si>
    <t>SHIVAMOGGA KARNATAKA</t>
  </si>
  <si>
    <t>EXCELLENT PU COLLEGE,KALLABETTU MOODBIDRI,MANGALORE TQ</t>
  </si>
  <si>
    <t>MOODBIDRI MANGALORE</t>
  </si>
  <si>
    <t>DAYANANDA SAGAR COLLEGE OF ENGINEERING</t>
  </si>
  <si>
    <t>DAYANANDA SAGAR COLLEGE OF ENGINEERING BANGALORE KARNATAKA</t>
  </si>
  <si>
    <t>VINYAS INFRA LLP ENGINEERS,BUILDERS,DEVELOPERS AND PROMOTORS | Site Engineer  | SHIVAMOGGA | Aug 2024 | Jul 2025 | 0 Years, 11 Months, 0 Days | 3</t>
  </si>
  <si>
    <t>Sobha Limited | Site Execution | Bengaluru | May 2026 | Jul 2026 | 9 Weeks | Campus Internship
DESIGN POINT PROJECT MANAGEMENT CONSULTANTS ARCHITECTS AND ENGINEERS | SITE ENGINEER | RICHMOND ROAD BANGALORE | Aug 2023 | Sep 2023 | 4 Weeks</t>
  </si>
  <si>
    <t>P25700219</t>
  </si>
  <si>
    <t>OMKAR</t>
  </si>
  <si>
    <t>Omkar Arun Bhalerao</t>
  </si>
  <si>
    <t>omkarbhalerao243@gmail.com</t>
  </si>
  <si>
    <t>p25700219@student.nicmar.ac.in</t>
  </si>
  <si>
    <t>09-Mar-2003</t>
  </si>
  <si>
    <t>7800 3509 2668</t>
  </si>
  <si>
    <t>ARUN BHALERAO</t>
  </si>
  <si>
    <t>CHANDRAKALA BHALERAO</t>
  </si>
  <si>
    <t>Room no 413 prabuddha tower A wing opp Assissi Nagar Govandi Mumbai</t>
  </si>
  <si>
    <t>MAYA SADAN, 3RD FLOOR ROOM NO 301, SECTOR  6, HOLI MAIDAN, SARSOLE VILLAGE, NERUL (WEST), NAVI MUMBAI</t>
  </si>
  <si>
    <t>OUR LADY OF PERPETUAL SUCCOUR HIGH SCHOOL</t>
  </si>
  <si>
    <t>GOVERNMENT POLYTECHNIC MUMBAI, BANDRA</t>
  </si>
  <si>
    <t>JKUMAR INFRASTRUCTURE LTD. | Construction Management Intern | PAREL, MUMBAI | May 2026 | Jul 2026 | 9 Weeks | Campus Internship
Jain Engineers Pvt. Ltd. | Intern | Palava Phase-2, Dombivali | Feb 2022 | Aug 2022 | 25 Weeks</t>
  </si>
  <si>
    <t>P25700220</t>
  </si>
  <si>
    <t>YADHUNANDH</t>
  </si>
  <si>
    <t>GUNJARA</t>
  </si>
  <si>
    <t>Yadhunandh Gunjara</t>
  </si>
  <si>
    <t>gunjarayadhunandh@gmail.com</t>
  </si>
  <si>
    <t>p25700220@student.nicmar.ac.in</t>
  </si>
  <si>
    <t>15-Feb-2004</t>
  </si>
  <si>
    <t>English,Telugu,Hindi</t>
  </si>
  <si>
    <t>2296 4734 9130</t>
  </si>
  <si>
    <t>G N PRAKASH BABU</t>
  </si>
  <si>
    <t>SR.SSO-ACCOUNTS, SOUTH CENTRAL RAILWAYS</t>
  </si>
  <si>
    <t>K UMADEVI</t>
  </si>
  <si>
    <t>20/212-G-6, Icon Square Apartment, Vijaya Nagar Colony, Guntakal</t>
  </si>
  <si>
    <t>NARAYANA EM HIGH SCHOOL</t>
  </si>
  <si>
    <t>GUNTAKAL, ANDHRA PRADESH</t>
  </si>
  <si>
    <t>BOARD OF INTERMEDIATE EDUCATION, VIJAYAWADA, ANDHRA PRADESH</t>
  </si>
  <si>
    <t>VELLORE INSTITUTE OF TECHNOLOGY, VELLORE, TAMIL NADU</t>
  </si>
  <si>
    <t>Goa State Infrastructure Development Corporation Limited | Site execution Engineer | Goa | May 2026 | Jul 2026 | 8 Weeks | Campus Internship
Elemental Realty Private Limited | Site Engineer | Hyderbad | Sep 2023 | Oct 2023 | 4 Weeks</t>
  </si>
  <si>
    <t>P25700222</t>
  </si>
  <si>
    <t>SATYAM</t>
  </si>
  <si>
    <t>Satyam Sharma</t>
  </si>
  <si>
    <t>satyamsharma1420@gmail.com</t>
  </si>
  <si>
    <t>p25700222@student.nicmar.ac.in</t>
  </si>
  <si>
    <t>14-Oct-2001</t>
  </si>
  <si>
    <t>Hindi,English</t>
  </si>
  <si>
    <t>6875 0528 2484</t>
  </si>
  <si>
    <t>RAM VINOD SARASWAT</t>
  </si>
  <si>
    <t>SHASHI</t>
  </si>
  <si>
    <t>C-521, BETA-1, GREATER NOIDA</t>
  </si>
  <si>
    <t>CENTRAL BOARD OF SECONDARY EDUCATION , DELHI</t>
  </si>
  <si>
    <t>GAUTAM BUDDHA UNIVERSITY</t>
  </si>
  <si>
    <t>SCHOOL OF ENGINEERING , GREATER NOIDA UP</t>
  </si>
  <si>
    <t>Sobha Ltd. | Intern | Gurugram | May 2026 | Jul 2026 | 9 Weeks | Campus Internship
A.K.CONSTRUCTION | INTERN | LACHHIPUR,GORAKHNATH,GORAKHPUR | Jul 2023 | Dec 2023 | 26 Weeks
CENTRAL WATER COMMISSION | INTERN | IRRIGATION PLANNING(NORTH) DIRECTORATE,CENTRAL WATER COMMISSION, SEWA BHAWAN R.K.PURAM SECTOR-1 NEW DELHI 110066 | Jul 2022 | Aug 2022 | 6 Weeks</t>
  </si>
  <si>
    <t>Ethics in Engineering Practice</t>
  </si>
  <si>
    <t>P25700223</t>
  </si>
  <si>
    <t>GHOLAP</t>
  </si>
  <si>
    <t>Shubham Ashok Gholap</t>
  </si>
  <si>
    <t>ar.shubhamgholap2914@gmail.com</t>
  </si>
  <si>
    <t>p25700223@student.nicmar.ac.in</t>
  </si>
  <si>
    <t>29-Aug-1999</t>
  </si>
  <si>
    <t>8335 4983 1932</t>
  </si>
  <si>
    <t>ASHOK AMBADAS GHOLAP</t>
  </si>
  <si>
    <t>RETIRED CIVIL ENGINEER</t>
  </si>
  <si>
    <t>JAYSHRI ASHOK GHOLAP</t>
  </si>
  <si>
    <t>495, Kanhoba Chari No. 2, Bend Vasti, Loni Kh., Po: Loni Kh, Tal.- Rahata, Dist.- Ahmednagar, Maharashta- 413713</t>
  </si>
  <si>
    <t>RAYAT SHIKSHAN SANSTHA'S PADMASHRI DR. VITTHALRAO VIKHE PATIL VIDYALAY, LONI.</t>
  </si>
  <si>
    <t>PVP JR. COLLEGE, LONI.</t>
  </si>
  <si>
    <t>PRAVARA RURAL COLLEGE OF ARCHITECTURE, LONI.</t>
  </si>
  <si>
    <t>AutoCAD,MS Office,MS Project,Primavera,Sktech up,Lumion,Autodesk Revit,Adobe Photoshop,Adobe Illustrator,Enscape</t>
  </si>
  <si>
    <t>Ekaa Designs | Jr. Architect, Project and Liasoning Architect | Baner, Pune | Jun 2023 | Jun 2025 | 2 Years, 0 Months, 29 Days | 3.56</t>
  </si>
  <si>
    <t>The Venturesome Engineers Pvt. Ltd. | Project Planning and Coordination | Pune | May 2026 | Jul 2026 | 8 Weeks | Campus Internship
Ekaa Designs | Trainee Architect | Baner, Pune | Jul 2022 | Dec 2022 | 24 Weeks</t>
  </si>
  <si>
    <t>P25700224</t>
  </si>
  <si>
    <t>SUNDAR</t>
  </si>
  <si>
    <t>SALVE</t>
  </si>
  <si>
    <t>Rohit Sundar Salve</t>
  </si>
  <si>
    <t>salverohit001@gmail.com</t>
  </si>
  <si>
    <t>p25700224@student.nicmar.ac.in</t>
  </si>
  <si>
    <t>26-Aug-2000</t>
  </si>
  <si>
    <t>Marathi , Hindi , English</t>
  </si>
  <si>
    <t>2010 6597 5556</t>
  </si>
  <si>
    <t>SUNDAR SALVE</t>
  </si>
  <si>
    <t>BUILDING CONTRACTOR</t>
  </si>
  <si>
    <t>SHILA SALVE</t>
  </si>
  <si>
    <t>BANK CLERK</t>
  </si>
  <si>
    <t>POST OFFICE, 25/1, NICMAR UNIVERSITY, N.I.A, BALEWADI RD, RAM NAGAR, BANER, PUNE, MAHARASHTRA 411045</t>
  </si>
  <si>
    <t>Row House No.A5 , GRB Kesar Housing Society ,Sudhakar Nagar Road ,Aurangabad</t>
  </si>
  <si>
    <t>DNYANANKUR  HIGH SCHOOL, AURANGABAD, MAHARASHTRA</t>
  </si>
  <si>
    <t>DR . R. P. NATH JR. COLLEGE ARTS &amp; SCIENCE , AURANGABAD, MAHARASHTRA</t>
  </si>
  <si>
    <t>DR . BABASAHEB AMBEDKAR TECHNOLOGICAL UNIVERSITY ,LONERE , MAHARASHTRA</t>
  </si>
  <si>
    <t>MGM'S JAWAHARLAL NEHRU ENGINEERING COLLEGE, AURANGABAD, MAHARASHTRA</t>
  </si>
  <si>
    <t>Bangalore Metro Rail Corporation Limited (BMRCL) | Management | Bengaluru | May 2026 | Jul 2026 | 8 Weeks | Campus Internship
NEHA CONSTRUCTION | Site Engineer | Aurangabad | Dec 2023 | Apr 2025 | 68 Weeks</t>
  </si>
  <si>
    <t>P25700225</t>
  </si>
  <si>
    <t>ANUGRAHA</t>
  </si>
  <si>
    <t>Anugraha J</t>
  </si>
  <si>
    <t>anugrahaj2002@gmail.com</t>
  </si>
  <si>
    <t>p25700225@student.nicmar.ac.in</t>
  </si>
  <si>
    <t>09-Mar-2002</t>
  </si>
  <si>
    <t>English, Malayalam, Tamil</t>
  </si>
  <si>
    <t>8821 2784 8526</t>
  </si>
  <si>
    <t>JAYAPRAKASH A</t>
  </si>
  <si>
    <t>EX - SERVICE MAN</t>
  </si>
  <si>
    <t>LATHA P</t>
  </si>
  <si>
    <t>Veettiparambil (House), Puthucode (Post), Palakkad (District),</t>
  </si>
  <si>
    <t>Palakkad</t>
  </si>
  <si>
    <t>CHERUPUSHPAM GIRLS HIGHER SECONDARY SCHOOL</t>
  </si>
  <si>
    <t>KERALA STATE BOARD OF EDUCATION</t>
  </si>
  <si>
    <t>JAWAHARLAL COLLEGE OF ENGINEERING AND TECHNOLOGY, LAKKIDI, PALAKKAD, KERALA</t>
  </si>
  <si>
    <t>AutoCAD,MS Office,MS Project,Primavera,Revit Architecture,3DS Max,SketchUp</t>
  </si>
  <si>
    <t>RISE-UP BUILDERS LLP | Junior Site Engineer | Palakkad, Kerala | Jun 2024 | Jun 2025 | 1 Years, 0 Months, 11 Days | 1.44</t>
  </si>
  <si>
    <t>SOBHA LIMITED | PLANNING INTERN | Bangalore | May 2026 | Jul 2026 | 9 Weeks | Campus Internship
SHAPOORJI PALLONJI AND COMPANY PRIVATE LIMITED | INTERNSHIP TRAINEE | IIT PALAKKAD, KERALA | May 2023 | May 2023 | 3 Weeks</t>
  </si>
  <si>
    <t>Navisworks
Primavera P6
3ds Max
SketchUp
Revit Architecture
Autocad 2D and 3D
Construction Equipment Maintenance and Safety
German</t>
  </si>
  <si>
    <t>P25700227</t>
  </si>
  <si>
    <t>ANKITA</t>
  </si>
  <si>
    <t>KUMARI</t>
  </si>
  <si>
    <t>Ankita Kumari Sinha</t>
  </si>
  <si>
    <t>ankitakumarisinha21@gmail.com</t>
  </si>
  <si>
    <t>p25700227@student.nicmar.ac.in</t>
  </si>
  <si>
    <t>23-Aug-1998</t>
  </si>
  <si>
    <t>2706 8302 4913</t>
  </si>
  <si>
    <t>DHIRAJ KUMAR SINGH</t>
  </si>
  <si>
    <t>ARTI KUMARI</t>
  </si>
  <si>
    <t>Bellandur Main road, Bangaluru</t>
  </si>
  <si>
    <t>Bellabdur Main road, Bangaluru</t>
  </si>
  <si>
    <t>SATYAM INTERNATIONAL SCHOOL</t>
  </si>
  <si>
    <t>CBSE, PATNA</t>
  </si>
  <si>
    <t>GIRLS HIGH SCHOOL</t>
  </si>
  <si>
    <t>BBOSE,PATNA</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</si>
  <si>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</si>
  <si>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</si>
  <si>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</si>
  <si>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 Years, 0 Months, 23 Days | 3.6
Intec Infra Technologies Pvt. Ltd. | BIM-Architect | Gurugram, Haryana | Sep 2023 | Jul 2025 | 1 Years, 10 Months, 0 Days | 6.84</t>
  </si>
  <si>
    <t>46 month(s)</t>
  </si>
  <si>
    <t>Ahluwalia Contracts (India) Limited  | Project Coordinator Intern - Formwork Department  | Delhi | May 2026 | Jun 2026 | 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</si>
  <si>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</si>
  <si>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P25700228</t>
  </si>
  <si>
    <t>ABHAY</t>
  </si>
  <si>
    <t>Abhay Yadav</t>
  </si>
  <si>
    <t>abhayyaduvanshi2000@gmail.com</t>
  </si>
  <si>
    <t>p25700228@student.nicmar.ac.in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</si>
  <si>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</si>
  <si>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</si>
  <si>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</si>
  <si>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</si>
  <si>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</si>
  <si>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</si>
  <si>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</si>
  <si>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</si>
  <si>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</si>
  <si>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</si>
  <si>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</si>
  <si>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</si>
  <si>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 Weeks | Campus Internship
Simplex Infrastructures Limited | Intern | Barabehra, Kolkata, West Bengal | Jun 2022 | Jul 2022 | 4 Weeks</t>
  </si>
  <si>
    <t>P25700229</t>
  </si>
  <si>
    <t>SURESH</t>
  </si>
  <si>
    <t>POPERE</t>
  </si>
  <si>
    <t>Sahil Suresh Popere</t>
  </si>
  <si>
    <t>sahilpopere18@gmail.com</t>
  </si>
  <si>
    <t>p25700229@student.nicmar.ac.in</t>
  </si>
  <si>
    <t>18-Feb-2001</t>
  </si>
  <si>
    <t>English, Hindi and Marathi</t>
  </si>
  <si>
    <t>5067 9765 1047</t>
  </si>
  <si>
    <t>SURESH VITTHAL POPERE</t>
  </si>
  <si>
    <t>KAVITA SURESH POPERE</t>
  </si>
  <si>
    <t>SARVODAYA NAGAR AMBICA APARTMENTS_x000D_
CC2 R.NO 418  NEAR JAIN MANDIR_x000D_
MULUND WEST</t>
  </si>
  <si>
    <t>Saishraddha CHS,  3/B, R. No:-305_x000D_
G. G. Road,  Near Lions Club,  Mulund (West)</t>
  </si>
  <si>
    <t>LOKMANYA TILAK ENGLISH HIGH SCHOOL</t>
  </si>
  <si>
    <t>MAHARASHTRA STATE BOARD OF SECONDARY AND HIGHER SECONDARY EDUCATION, MUMBAI, MAHARASHTRA</t>
  </si>
  <si>
    <t>MULUND VIDYA MANDIR JR COLLEGE</t>
  </si>
  <si>
    <t>TERNA ENGINEERING COLLEGE, NAVI MUMBAI, MAHARASHTRA</t>
  </si>
  <si>
    <t>AutoCAD,MS Office,MS Project,Primavera,Staad-Pro Connect Edition,Etabs</t>
  </si>
  <si>
    <t>Vishvaraj Environment Private Limited | Graduate Engineering Trainee (GET) | Mumbai and Ahmedabad | Sep 2023 | Sep 2024 | 0 Years, 11 Months, 20 Days | 3.07</t>
  </si>
  <si>
    <t>J Kumar Infraprojects Ltd.  | Intern – Construction Management (Civil) | Ulwe, Navi Mumbai, Maharashtra | May 2026 | Jul 2026 | 9 Weeks | Campus Internship
City and Industrial Development Corporation of Maharashtra Limited | Internship Trainee | Mulund | Jun 2022 | Jul 2022 | 2 Weeks
Neptune Ventures and Developers Pvt Ltd | Internship Trainee | Mulund | Dec 2021 | Jan 2022 | 4 Weeks</t>
  </si>
  <si>
    <t>Develop Soft Skills
AUTOCAD AND CONCRETE TECHNOLOGY
Staad Pro</t>
  </si>
  <si>
    <t>P25700230</t>
  </si>
  <si>
    <t>SATPUTE</t>
  </si>
  <si>
    <t>ASHWINI</t>
  </si>
  <si>
    <t>Satpute Ashwini Vijay</t>
  </si>
  <si>
    <t>satputeashwini1111@gmail.com</t>
  </si>
  <si>
    <t>p25700230@student.nicmar.ac.in</t>
  </si>
  <si>
    <t>English,  Hindi , Marathi</t>
  </si>
  <si>
    <t>7973 4119 2731</t>
  </si>
  <si>
    <t>VIJAY PANDURANG SATPUTE</t>
  </si>
  <si>
    <t>ANITA VIJAY SATPUTE</t>
  </si>
  <si>
    <t>Tilak Residency,  A2/07 , Sector No.07, Indrayaninagar, Bhosari,  Pune</t>
  </si>
  <si>
    <t>PRIYADARSHANI ENGLISH MEDIUM SCHOOL</t>
  </si>
  <si>
    <t>JAI HIND JUNIOR COLLEGE</t>
  </si>
  <si>
    <t>DR.D.Y.PATIL INSTITUTE OF TECHNOLOGY , PUNE , MAHARASHTRA</t>
  </si>
  <si>
    <t>AutoCAD,MS Office,MS Project,STADpro,MSExcel,MS Word</t>
  </si>
  <si>
    <t>Ratna Construction | Junior Engineer  | Pune  | Aug 2023 | Mar 2025 | 1 Years, 7 Months, 29 Days | 0</t>
  </si>
  <si>
    <t>Bhajan Infratech Pvt Ltd | Site Execution + Control | Surat,Gujrat | May 2026 | Jun 2026 | 7 Weeks | Campus Internship
RATNA CONSTRUCTION | JUNIOR ENGINEER  | PUNE | Dec 2021 | Jan 2022 | 6 Weeks</t>
  </si>
  <si>
    <t>P25700231</t>
  </si>
  <si>
    <t>MANGESH</t>
  </si>
  <si>
    <t>GOVIND</t>
  </si>
  <si>
    <t>Mangesh Govind Jadhav</t>
  </si>
  <si>
    <t>jmangesh193@gmail.com</t>
  </si>
  <si>
    <t>p25700231@student.nicmar.ac.in</t>
  </si>
  <si>
    <t>20-Apr-2002</t>
  </si>
  <si>
    <t>8691 2207 7169</t>
  </si>
  <si>
    <t>CHAMANBAI</t>
  </si>
  <si>
    <t>Holi Post Pethsangvi Ta. Lohara Dist. Dharashiv</t>
  </si>
  <si>
    <t>MAHATMA GANDHI VIDHYALAYA HOLI</t>
  </si>
  <si>
    <t>GAYATRI COLLEGE OF SCIENCE CHARHOLI BK.</t>
  </si>
  <si>
    <t>SAVITRIBAI PHULE UNIVERCITY PUNE</t>
  </si>
  <si>
    <t>SINHGAD COOLEGE OF ENGINEERING VADGAON PUNE</t>
  </si>
  <si>
    <t>AutoCAD, Primavera,MS Project, Revit,</t>
  </si>
  <si>
    <t>Medigence Solutions Pvt. Ltd | Project Management Intern | Ahmedabad | May 2026 | Jul 2026 | 8 Weeks | Campus Internship
Maharashtra Metro Rail Corporation Limited | Intrn | Pune | Feb 2023 | Feb 2023 | 3 Weeks
RATNA CONSTRUCTION, PUNE MAHARASHTRA  | Junior engineer  | Pune | Jul 2024 | Jul 2025 | 55 Weeks</t>
  </si>
  <si>
    <t>P25700232</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</si>
  <si>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</si>
  <si>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</si>
  <si>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</si>
  <si>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</si>
  <si>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</si>
  <si>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</si>
  <si>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</si>
  <si>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</si>
  <si>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</si>
  <si>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</si>
  <si>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Nanded</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</si>
  <si>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</si>
  <si>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</si>
  <si>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</si>
  <si>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</si>
  <si>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</si>
  <si>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</si>
  <si>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 Years, 7 Months, 29 Days | 3.6</t>
  </si>
  <si>
    <t>Sribal Construction Company  | Project Management Intern | Bogapuram ,Vishakhapatnam,A.P | May 2026 | Jul 2026 | 8 Weeks | Campus Internship
HEMAY INFRASTRUCTURE | SITE SUPERVISOR  | AMALNER ,JALGAON | Feb 2023 | Mar 2023 | 4 Weeks</t>
  </si>
  <si>
    <t>Advance Contracts ,Tendering And Procurements.</t>
  </si>
  <si>
    <t>P25700233</t>
  </si>
  <si>
    <t>AAKANKSHA</t>
  </si>
  <si>
    <t>Aakanksha Pramod Pawar</t>
  </si>
  <si>
    <t>pawaraakanksha139@gmail.com</t>
  </si>
  <si>
    <t>p25700233@student.nicmar.ac.in</t>
  </si>
  <si>
    <t>21-Dec-2000</t>
  </si>
  <si>
    <t>9758 8013 1313</t>
  </si>
  <si>
    <t>PRAMOD PAWAR</t>
  </si>
  <si>
    <t>RETIRED COLLEGE PRINCIPAL</t>
  </si>
  <si>
    <t>KANCHAN PAWAR</t>
  </si>
  <si>
    <t>Flat No. 403, Radha Govind Apartment, Pisal Path, Shukrawar Peth</t>
  </si>
  <si>
    <t>ST. JOSEPH CONVENT SENIOR SECONDARY SCHOOL, JALGAON</t>
  </si>
  <si>
    <t>ALL INDIA SHRI SHIVAJI MEMORIAL SOCIETY'S COLLEGE OF POLYTECHNIC, PUNE</t>
  </si>
  <si>
    <t>MARATHWADA MITRA MANDAL'S COLLEGE OF ARCHITECTURE, PUNE</t>
  </si>
  <si>
    <t>AutoCAD,MS Office,MS Project,Primavera,Revit,Photoshop,Sketchup,Lumion,Autocad</t>
  </si>
  <si>
    <t>Prashant Deshmukh and Associates | Project Management/Coordination | Pune | May 2026 | Jul 2026 | 8 Weeks | Campus Internship
Z.P. Works Department, Sub-Division, Haveli, Pune | Intern | Khanapur, Pune | May 2019 | Jun 2019 | 6 Weeks
The Raw Project LLP | Architectural Intern | Ahmedabad, Gujrat | Jun 2024 | Sep 2024 | 16 Weeks</t>
  </si>
  <si>
    <t>P25700234</t>
  </si>
  <si>
    <t>CHIRAG</t>
  </si>
  <si>
    <t>Chirag Roy</t>
  </si>
  <si>
    <t>chiragroy1234@gmail.com</t>
  </si>
  <si>
    <t>p25700234@student.nicmar.ac.in</t>
  </si>
  <si>
    <t>25-Aug-2002</t>
  </si>
  <si>
    <t>3809 3122 2701</t>
  </si>
  <si>
    <t>DHANANJAY ROY</t>
  </si>
  <si>
    <t>KIRAN ROY</t>
  </si>
  <si>
    <t>LAWYER</t>
  </si>
  <si>
    <t>202 Ashiyana Bld, Opp. V.N. Desai Hospital,11TH Road, Santacruz East , Mumbai 400055</t>
  </si>
  <si>
    <t>SHREE MUMBADEVI VIDYA MANDIR</t>
  </si>
  <si>
    <t>SECONDARY AND HIGHER SECONDARY EDUCATION PUNE, MUMBAI, MAHARASHTRA</t>
  </si>
  <si>
    <t>KHAR EDUCATION SOCIETY'S JUNIOR COLLEGE OF SCIENCE</t>
  </si>
  <si>
    <t>J. Kumar Infra projects Ltd | Site Execution | Ulwe , Navi Mumbai | May 2026 | Jul 2026 | 9 Weeks | Campus Internship
V. CHHIBBER &amp; CO | Trainee Site Engineer | Mumbai | Dec 2022 | Mar 2023 | 13 Weeks</t>
  </si>
  <si>
    <t>Fundamentals of Predictive Project  Management</t>
  </si>
  <si>
    <t>P25700235</t>
  </si>
  <si>
    <t>AJAY</t>
  </si>
  <si>
    <t>HIRASING</t>
  </si>
  <si>
    <t>Ajay Hirasing Rathod</t>
  </si>
  <si>
    <t>ajayhrathod0522@gmail.com</t>
  </si>
  <si>
    <t>p25700235@student.nicmar.ac.in</t>
  </si>
  <si>
    <t>05-Feb-2002</t>
  </si>
  <si>
    <t>3453 7090 9655</t>
  </si>
  <si>
    <t>SHOBHA</t>
  </si>
  <si>
    <t>405-ULTIMA HOSTEL NICMAR UNIVERSITY PUNE</t>
  </si>
  <si>
    <t>Umari (I) ,post Dabhadi, Tq. Arni</t>
  </si>
  <si>
    <t>Yavatmal</t>
  </si>
  <si>
    <t>SHAHID BHAGATSINGH HIGHER SECONDARY SCHOOL AND COLLEGE,ARNI</t>
  </si>
  <si>
    <t>MAHARASHTRA STATE BOARD, AMRAVATI DIVISIONAL BOARD</t>
  </si>
  <si>
    <t>SHRI,M.D. BHARTI HIGHER SECONDARY SCHOOL, ARNI</t>
  </si>
  <si>
    <t>JSPM'S IMPERIAL COLLEGE OF ENGINEERING &amp; RESEARCH, WAGHOLI ,PUNE ,MAHARASHTRA</t>
  </si>
  <si>
    <t>Site Execution, Project Coordination, Quantity Surveying, Construction Planning, BOQ Preparation, AutoCAD, MS Project, Primavera, CostX, BIM (Building Information Modeling), MS Office360</t>
  </si>
  <si>
    <t>Riseco Infra Pvt. ltd. | Junior Civil Engineer | Pune | Jan 2024 | Apr 2025 | 1 Years, 2 Months, 22 Days | 3.25</t>
  </si>
  <si>
    <t>Madhuri Engineers  | Project coordinator  | Pune  | May 2026 | Jul 2026 | 8 Weeks | Campus Internship
SAI CONSTRUCTION | TRAINEE CIVIL ENGINEER | ARNI, DIST YAVATMAL,MAHARASHTRA | Apr 2021 | Jan 2023 | 91 Weeks</t>
  </si>
  <si>
    <t>P25700236</t>
  </si>
  <si>
    <t>KUNAL</t>
  </si>
  <si>
    <t>SARMA</t>
  </si>
  <si>
    <t>Kunal Sarma</t>
  </si>
  <si>
    <t>sarmakunal2001@gmail.com</t>
  </si>
  <si>
    <t>p25700236@student.nicmar.ac.in</t>
  </si>
  <si>
    <t>25-Oct-2002</t>
  </si>
  <si>
    <t>English, Hindi, Assamese</t>
  </si>
  <si>
    <t>9419 2245 6838</t>
  </si>
  <si>
    <t>RAJEN SARMA</t>
  </si>
  <si>
    <t>BARNALI SARMA</t>
  </si>
  <si>
    <t>MUSIC TEACHER</t>
  </si>
  <si>
    <t>H.No- 18, Laxmi Mandir Path, Barsajai, Basistha, Kamrup Metro, Assam-781029</t>
  </si>
  <si>
    <t>SANSKRITI THE GURUKUL</t>
  </si>
  <si>
    <t>GUWAHATI, ASSAM</t>
  </si>
  <si>
    <t>KALINGA INSTITUTE OF INDUSTRIAL TECHNOLOGY</t>
  </si>
  <si>
    <t>KALINGA INSTITUTE OF INDUSTRIAL TECHNOLOGY, BHUBANESWAR, ODISHA</t>
  </si>
  <si>
    <t>Goa State Infrastructure Development Corporation Limited (GSIDC) | Site Execution Engineer | Goa | May 2026 | Jul 2026 | 8 Weeks | Campus Internship
PWD(Govt. of Delhi) | Site Engineer Intern | Delhi | May 2024 | May 2024 | 4 Weeks
PWRD East Guwahati Territorial Road Division | Site Engineer Intern | Guwahati | May 2023 | Jun 2023 | 5 Weeks</t>
  </si>
  <si>
    <t>P25700237</t>
  </si>
  <si>
    <t>SALUNKHE</t>
  </si>
  <si>
    <t>Mihir Suresh Salunkhe</t>
  </si>
  <si>
    <t>salunkhemihir47@gmail.com</t>
  </si>
  <si>
    <t>p25700237@student.nicmar.ac.in</t>
  </si>
  <si>
    <t>04-Jul-2001</t>
  </si>
  <si>
    <t>Tennis</t>
  </si>
  <si>
    <t>3451 8337 8478</t>
  </si>
  <si>
    <t>MAHARASHTRA POLICE</t>
  </si>
  <si>
    <t>SAYALI</t>
  </si>
  <si>
    <t>5/6, Om Siddhi Vinayak Housing Society, Sarvodaya Nagar, Jogeshwari East</t>
  </si>
  <si>
    <t>ST DOMINIC SAVIO HIGH SCHOOL</t>
  </si>
  <si>
    <t>MAHARASHTRA STATE BOARD OF SECONDARY EDUCATION</t>
  </si>
  <si>
    <t>SARDAR VALLABHBHAI PATEL POLYTECHNIC MUMBAI/MAHARASHTRA</t>
  </si>
  <si>
    <t>VIVA INSTITUTE OF TECHNOLOGY VIRAR/MAHARASHTRA</t>
  </si>
  <si>
    <t>Wheel Buildwell | Junior Site Engineer | Jogeshwari East | Aug 2023 | Nov 2024 | 1 Years, 3 Months, 29 Days | 0.96
Nexus Builders &amp; Developers | Site Engineer | Jogeshwari | Dec 2024 | Aug 2025 | 0 Years, 8 Months, 14 Days | 3</t>
  </si>
  <si>
    <t>Prestige Group | Execution + Control  | Mumbai | May 2026 | Jul 2026 | 8 Weeks | Campus Internship</t>
  </si>
  <si>
    <t>Kohinoor Technical Institute (Electrical Wireman)</t>
  </si>
  <si>
    <t>P25700238</t>
  </si>
  <si>
    <t>JASH</t>
  </si>
  <si>
    <t>Jash Pawar</t>
  </si>
  <si>
    <t>jashpawarofficial@gmail.com</t>
  </si>
  <si>
    <t>p25700238@student.nicmar.ac.in</t>
  </si>
  <si>
    <t>04-Nov-2000</t>
  </si>
  <si>
    <t>English,Hindi,Gujarati,Marathi</t>
  </si>
  <si>
    <t>3406 9469 4126</t>
  </si>
  <si>
    <t>RAJUBHAI</t>
  </si>
  <si>
    <t>PADMABEN</t>
  </si>
  <si>
    <t>1301, JUIPTER BUILDING RAJHANS CAMPUS NEAR PAL RTO , SURAT CITY , SURAT , GUJARAT - 395009</t>
  </si>
  <si>
    <t>Surat</t>
  </si>
  <si>
    <t>80,Nandanvan Soc , Coseway Beside , Singanpore , Surat City , Surat , Gujarat-395004</t>
  </si>
  <si>
    <t>SMT.S.H GAJERA SEC. &amp; H.SEC SCHOOL</t>
  </si>
  <si>
    <t>GUJARAT SECONDARY &amp; HIGHER SECONDARY EDUCATION BOARD</t>
  </si>
  <si>
    <t>GUJARAT TECHNOLOGIAL UNIVERSITY</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</si>
  <si>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</si>
  <si>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</si>
  <si>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</si>
  <si>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</si>
  <si>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</si>
  <si>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P25700239</t>
  </si>
  <si>
    <t>ISHA</t>
  </si>
  <si>
    <t>RAJKUMARSINGH</t>
  </si>
  <si>
    <t>CHAUHAN</t>
  </si>
  <si>
    <t>Isha Rajkumarsingh Chauhan</t>
  </si>
  <si>
    <t>ishaachauhan1@gmail.com</t>
  </si>
  <si>
    <t>p25700239@student.nicmar.ac.in</t>
  </si>
  <si>
    <t>20-Jan-2001</t>
  </si>
  <si>
    <t>9122 9773 4733</t>
  </si>
  <si>
    <t>RAJKUMARSINGH CHAUHAN</t>
  </si>
  <si>
    <t>MEGHA R CHAUHAN</t>
  </si>
  <si>
    <t>A 105, RIVIERA, MAHALUNGE, BANER, PUNE</t>
  </si>
  <si>
    <t>Plot No 4, Behind Laxmi Devi Bajaj Hospital, Krida Square, Nagpur</t>
  </si>
  <si>
    <t>KENDRIYA VIDYALAYA AJNI, NAGPUR</t>
  </si>
  <si>
    <t>KAMLA NEHRU MAHAVIDYALAYA, NAGPUR</t>
  </si>
  <si>
    <t>MAHARASHTRA STATE BOARD OF SECODARY AND HIGHER SECONDARY EDUCATION, PUNE, MAHARASHTRA</t>
  </si>
  <si>
    <t>SMT. MANORAMABAI MUNDLE COLLEGE OF ARCHITECTURE, NAGPUR, MAHARASHTRA</t>
  </si>
  <si>
    <t>AutoCAD,MS Office,MS Project,Google Sketchup,Revit,BIM,3DS MAX,Photoshop,Illustrator,INdesign</t>
  </si>
  <si>
    <t>Base 4 | Architect | Nagpur, Maharashtra | Jun 2023 | Jul 2024 | 1 Years, 1 Months, 7 Days | 2.4
The Collective Praxis | Architect | Nagpur, Maharashtra | Oct 2024 | Jun 2025 | 0 Years, 8 Months, 0 Days | 1.44</t>
  </si>
  <si>
    <t xml:space="preserve">  Godrej Properties Limited | Operations Intern (Construction) | Maan-Hinjewadi, Pune | May 2026 | Jul 2026 | 8 Weeks | Campus Internship
MISA ARCHITECTS | Architectural Intern | AHMEDABAD | Jan 2022 | Sep 2022 | 35 Weeks</t>
  </si>
  <si>
    <t>Birla Mural making competition- Handson Industry experience (consolation prize)
Ar. Sunil Toye Competition for landscape and sustainable development
Studio Layout Software Academy</t>
  </si>
  <si>
    <t>P25700240</t>
  </si>
  <si>
    <t>VISHWARAJ</t>
  </si>
  <si>
    <t>MOHAN</t>
  </si>
  <si>
    <t>MOKASHI</t>
  </si>
  <si>
    <t>Vishwaraj Mohan Mokashi</t>
  </si>
  <si>
    <t>vishwarajmokashi20@gmail.com</t>
  </si>
  <si>
    <t>p25700240@student.nicmar.ac.in</t>
  </si>
  <si>
    <t>26-Sep-2003</t>
  </si>
  <si>
    <t>5802 3796 5902</t>
  </si>
  <si>
    <t>MOHAN RAGHUNATH MOKASHI</t>
  </si>
  <si>
    <t>SUNITA MOHAN MOKASHI</t>
  </si>
  <si>
    <t>Mokashi Villa, At Post Banpuri Tal-Patan Dist-Satara</t>
  </si>
  <si>
    <t>Satara</t>
  </si>
  <si>
    <t>PATAN VALLEY ENGLISH MEDIUM SCHOLL PATAN MAHARASHTRA</t>
  </si>
  <si>
    <t>SECONDARY SCHOOL CERTIFICATE BOARD MAHARASHTRA</t>
  </si>
  <si>
    <t>GOVERNMENT POLYTECHNIC KOLHAPUR MAHARASHTRA</t>
  </si>
  <si>
    <t>JSPM'S RAJARSHI SHAHU COLLEGE OF ENGINEERING TATHAWADE,PUNE MAHARASHTRA</t>
  </si>
  <si>
    <t>AutoCAD,MS Office,MS Project,Revit Architecture,MS-Excel,MS-PowerPoint,Google Sheets,Quality Audit,Snag list preparation</t>
  </si>
  <si>
    <t>Sai Nisarg Landmark LLP | Execution and Planning Intern | Pimpri Chinchwad Pune | May 2026 | Jul 2026 | 9 Weeks | Campus Internship
Vilas Javdekar Developers Pune | Home Quality Inspection Intern | Wakad,Pune | Jul 2024 | Dec 2024 | 26 Weeks</t>
  </si>
  <si>
    <t>P25700241</t>
  </si>
  <si>
    <t>LOVESON</t>
  </si>
  <si>
    <t>Jithin Joseph Loveson</t>
  </si>
  <si>
    <t>lovesonjithinjoseph@gmail.com</t>
  </si>
  <si>
    <t>p25700241@student.nicmar.ac.in</t>
  </si>
  <si>
    <t>08-Jun-2003</t>
  </si>
  <si>
    <t>English, Malayalam, Hindi</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</si>
  <si>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</si>
  <si>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</si>
  <si>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</si>
  <si>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</si>
  <si>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</si>
  <si>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</si>
  <si>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</si>
  <si>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</si>
  <si>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</si>
  <si>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</si>
  <si>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 Weeks
NATIONAL TRANPORTATION PLANNING AND RESEARCH CENTRE | INTERN | Kottayam, Kerala | Feb 2023 | Feb 2023 | 1 Weeks
VAIKOM PUBLICS WORK DEPARTMENT | INTERN | VAIKOM, KERALA | Jul 2023 | Aug 2023 | 2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</si>
  <si>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</si>
  <si>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P25700242</t>
  </si>
  <si>
    <t>ANUJ</t>
  </si>
  <si>
    <t>BAISHANDER</t>
  </si>
  <si>
    <t>Anuj Baishander</t>
  </si>
  <si>
    <t>anujbaishander321@gmail.com</t>
  </si>
  <si>
    <t>p25700242@student.nicmar.ac.in</t>
  </si>
  <si>
    <t>13-Aug-2001</t>
  </si>
  <si>
    <t>4966 6123 1597</t>
  </si>
  <si>
    <t>AJAY BAISHANDER</t>
  </si>
  <si>
    <t>SUB INSPECTOR (MADHYA PRADESH POLICE)</t>
  </si>
  <si>
    <t>SUMAN BAISHANDER</t>
  </si>
  <si>
    <t>Bhagat Singh Nagar, D.D. Nagar</t>
  </si>
  <si>
    <t>Gwalior</t>
  </si>
  <si>
    <t>GREEN WOOD PUBLIC SCHOOL</t>
  </si>
  <si>
    <t>CENTRAL BOARD OF SECONDARY EDUCATION, GWALIOR, M.P.</t>
  </si>
  <si>
    <t>SUNRISE PUBLIC H.S. SCHOOL</t>
  </si>
  <si>
    <t>BOARD OF SECONDARY EDUCATION, GWALIOR, M.P.</t>
  </si>
  <si>
    <t>RAJIV GANDHI PROUDYOGIKI VISHWAVIDYALAYA</t>
  </si>
  <si>
    <t>MADHAV INSTITUTE OF TECHNOLOGY AND SCIENCE, GWALIOR, M.P.</t>
  </si>
  <si>
    <t>J. Kumar Infraprojects Ltd. | Site Execution | Noida | May 2026 | Jul 2026 | 9 Weeks | Campus Internship
Madhya Pradesh Public Works Department (M.P.P.W.D.) | Summer Intern | Gwalior | Jan 2024 | May 2024 | 17 Weeks</t>
  </si>
  <si>
    <t>Air Pollution and Control
Principles of Construction Management
Introduction to Civil Engineering Profession
Data Analysis
Finance for Non-Financial Managers
Construction Equipment Maintenance &amp; Safety</t>
  </si>
  <si>
    <t>P25700243</t>
  </si>
  <si>
    <t>SHREY</t>
  </si>
  <si>
    <t>BHARAT</t>
  </si>
  <si>
    <t>Shrey Bharat Shinde</t>
  </si>
  <si>
    <t>shrey7p@gmail.com</t>
  </si>
  <si>
    <t>p25700243@student.nicmar.ac.in</t>
  </si>
  <si>
    <t>16-Mar-2001</t>
  </si>
  <si>
    <t>ENGLISH, HINDI, MARATHI, GUJARATI</t>
  </si>
  <si>
    <t>9088 6193 2895</t>
  </si>
  <si>
    <t>GOVERNMENT RETIRED, PRIVATE BUSINESS</t>
  </si>
  <si>
    <t>SEJAL</t>
  </si>
  <si>
    <t>A/6 NITI NAGAR ROW HOUSE ALTHAN CANAL ROAD BHATAR SURAT</t>
  </si>
  <si>
    <t>RADIANT ENGLISH ACADEMY</t>
  </si>
  <si>
    <t>GUJARAT TECHNOLOGICAL UNIVERSITY</t>
  </si>
  <si>
    <t>C.K. PITHAWALA COLLEGE OF ENGINEERING AND TECHNOLOGY, SURAT GUJARAT</t>
  </si>
  <si>
    <t>AutoCAD,MS Office,MS Project,REVIT3D,SKETCHUP</t>
  </si>
  <si>
    <t>WTP Cost Advisory Services India Pvt.Lmt. | SUMMER INTERN | Vikroli, Maharashtra  | May 2026 | Jun 2026 | 7 Weeks | Campus Internship
EARTH ARCHITECTS | INTERN | SURAT | Apr 2024 | Jun 2025 | 65 Weeks
RRASHI CONSULTANCY | INTERN | SURAT | Jun 2023 | Mar 2024 | 43 Weeks
AADESH MAHAVEER PROJECTS (PROJECT - VEER SUPREMUS ) | INTERN | SURAT | Jan 2023 | Apr 2023 | 13 Weeks</t>
  </si>
  <si>
    <t>P25700244</t>
  </si>
  <si>
    <t>SWAMI</t>
  </si>
  <si>
    <t>Akshay Sanjay Swami</t>
  </si>
  <si>
    <t>akshayswami1455@gmail.com</t>
  </si>
  <si>
    <t>p25700244@student.nicmar.ac.in</t>
  </si>
  <si>
    <t>28-Jun-1999</t>
  </si>
  <si>
    <t>English,Hindi,Marathi,Kannada</t>
  </si>
  <si>
    <t>6643 8265 7958</t>
  </si>
  <si>
    <t>SANJAY SWAMI</t>
  </si>
  <si>
    <t>JAGADEVI SWAMI</t>
  </si>
  <si>
    <t>36, A, Mahalaxmi Society, Shelagi, Solapur.</t>
  </si>
  <si>
    <t>SVCS HIGHSCHOOL SOLAPUR MAHARASHTRA</t>
  </si>
  <si>
    <t>AD JOSHI JUNIOR COLLEGE OF SCIENCE, SOLAPUR</t>
  </si>
  <si>
    <t>WALCHAND INSTITUTE OF TECHNOLOGY, SOLAPUR (WIT)</t>
  </si>
  <si>
    <t>AutoCAD,MS Office,MS Project,Primavera,Civil 3D</t>
  </si>
  <si>
    <t>Pushpak Infra Steel Pvt Ltd | Sales Manager | Pune | May 2024 | Jun 2025 | 1 Years, 1 Months, 14 Days | 4
Think &amp; Learn Pvt Ltd | Team Lead | Pune | Sep 2021 | May 2024 | 2 Years, 7 Months, 27 Days | 9.56</t>
  </si>
  <si>
    <t>Goa State Infrastructure Development Corporation  | Intern | Goa | May 2026 | Jul 2026 | 8 Weeks | Campus Internship</t>
  </si>
  <si>
    <t>P25700245</t>
  </si>
  <si>
    <t>VAIDEHI</t>
  </si>
  <si>
    <t>SHIVANKAR</t>
  </si>
  <si>
    <t>Vaidehi Suresh Shivankar</t>
  </si>
  <si>
    <t>vaidehi48a@gmail.com</t>
  </si>
  <si>
    <t>p25700245@student.nicmar.ac.in</t>
  </si>
  <si>
    <t>24-Dec-2001</t>
  </si>
  <si>
    <t>2667 8135 1124</t>
  </si>
  <si>
    <t>PROPERTY DEALER</t>
  </si>
  <si>
    <t>RANJANA</t>
  </si>
  <si>
    <t>Plot No. 61 Prabhu Nagar Kohale Layout Zingabai Takli Godhani Road Nagpur</t>
  </si>
  <si>
    <t>ST. VINCENT PALLOTTI HIGH SCHOOL NAGPUR</t>
  </si>
  <si>
    <t>CENTRAL BOARD OF SECONDARY EDUCATION NAGPUR MAHARASHTRA</t>
  </si>
  <si>
    <t>SAINT FRANCIS DE'SALES COLLEGE NAGPUR</t>
  </si>
  <si>
    <t>MAHARASHTRA STATE BOARD OF SECONDARY AND HIGHER SECONDARY EDUCATION,  MAHARASHTRA</t>
  </si>
  <si>
    <t>PRIYADARSHINI COLLEGE OF ENGINEERING NAGPUR MAHARASHTRA</t>
  </si>
  <si>
    <t>2024-Dec</t>
  </si>
  <si>
    <t>AutoCAD,MS Office,MS Project,Primavera,Excel,Power BI,Tableau,SQL,Auto-CAD,Revit,BIM,MS Word,CostX,Basics of R,Basics of python,Basics of Statistics</t>
  </si>
  <si>
    <t>Wani Projects &amp; Infra | Project Planning Intern | Pune | May 2026 | Jun 2026 | 8 Weeks | Campus Internship
Prayojana Construction Management Training Institute | Intern | Bengaluru | Jul 2022 | Aug 2022 | 4 Weeks
NSK Builders &amp; Developers | Intern | Nashik  | Jun 2024 | Dec 2024 | 26 Weeks
ExcelR Institute | Project Intern | Pune | Nov 2024 | Aug 2025 | 39 Weeks</t>
  </si>
  <si>
    <t>Business Analyst
REVIT
Auto-CAD
Interior texture site training program ( Asian Paints Colour company )
Advance plumbing course
Basic plumbing course
Emory University ( Finance for Non-Financial Managers) Coursera
NPTEL (Ethics in Engineering practices)</t>
  </si>
  <si>
    <t>P25700246</t>
  </si>
  <si>
    <t>Patil Jayesh Ravindra</t>
  </si>
  <si>
    <t>patiljayesh808@gmail.com</t>
  </si>
  <si>
    <t>p25700246@student.nicmar.ac.in</t>
  </si>
  <si>
    <t>2024 7468 4289</t>
  </si>
  <si>
    <t>RAVINDRA PATIL</t>
  </si>
  <si>
    <t>VAISHALI PATIL</t>
  </si>
  <si>
    <t>805 Tulip Bldg.no.8 Everest World Kolshet Road Thane West</t>
  </si>
  <si>
    <t>SRI MA VIDYALAYA, THANE WEST</t>
  </si>
  <si>
    <t>MAHARASHTRA STATE BOARD OF SECONDARY AND HIGHER SECONDARY EDUCATION, THANE</t>
  </si>
  <si>
    <t>SHUBHAMRAJE JUNIOR COLLEGE, THANE WEST</t>
  </si>
  <si>
    <t>BHARATI VIDYAPEETH (DEEMED TO BE UNIVERSITY), PUNE</t>
  </si>
  <si>
    <t>BHARATI VIDYAPEETH DEEMED UNIVERSITY COLLEGE OF ENGINEERING, PUNE</t>
  </si>
  <si>
    <t>AutoCAD,MS Office,MS Project,Market Research,Power BI,Primavera P6,Agentic AI</t>
  </si>
  <si>
    <t>Shreeji Properties | Site Engineer | Mumbai | Sep 2023 | Jun 2025 | 1 Years, 9 Months, 29 Days | 3</t>
  </si>
  <si>
    <t>Rodic Consultants Pvt. Ltd. | Operations &amp; Business Development | Delhi &amp; Mumbai | May 2026 | Jul 2026 | 8 Weeks | Campus Internship
PHYSICSWALLAH | Strategy Intern | MUMBAI | Mar 2023 | Aug 2023 | 20 Weeks
Raunak Group | Industrial trainee | Thane | Jul 2022 | Aug 2022 | 5 Weeks</t>
  </si>
  <si>
    <t>Project Management in Construction
Financial Equity Market Analyst
Municipal Solid Waste Management</t>
  </si>
  <si>
    <t>P25700247</t>
  </si>
  <si>
    <t>AISWARYA</t>
  </si>
  <si>
    <t>A J</t>
  </si>
  <si>
    <t>Aiswarya A J</t>
  </si>
  <si>
    <t>aiswaryaiverkala07@gmail.com</t>
  </si>
  <si>
    <t>P25700247@student.nicmar.ac.in</t>
  </si>
  <si>
    <t>19-Jul-2001</t>
  </si>
  <si>
    <t>Drawing,Reading Books</t>
  </si>
  <si>
    <t>2260 3641 0650</t>
  </si>
  <si>
    <t>JAYACHANDRAN PILLAI G</t>
  </si>
  <si>
    <t>KSFE SENIOR MANAGER</t>
  </si>
  <si>
    <t>ASHADEVI G</t>
  </si>
  <si>
    <t>KSFE ASSISTANT MANAGER</t>
  </si>
  <si>
    <t>SARAYU, Iverkala West North, Puthanampalam P O</t>
  </si>
  <si>
    <t>Kollam</t>
  </si>
  <si>
    <t>SARAYU Iverkala West North, Puthanampalam P O</t>
  </si>
  <si>
    <t>VIVEKANANDA H S FOR GIRLS KADAMBANAD</t>
  </si>
  <si>
    <t>VGSS AHSS NEDIYAVILA</t>
  </si>
  <si>
    <t>BOARD OF HIGHER SECONDARY EXAMINATIONS, KOLLAM</t>
  </si>
  <si>
    <t>APJ  ABDUL KALAM TECHNOLOGICAL UNIVERSITY</t>
  </si>
  <si>
    <t>MAR BASELIOS COLLEGE OF ENGINEERING AND TECHNOLOGY, TRIVANDRUM</t>
  </si>
  <si>
    <t>AutoCAD, BIM, Revit, MS Project, Primavera, CostX, Staad Pro, PTV Vissim</t>
  </si>
  <si>
    <t>Econstruct Design &amp; Build Pvt. Ltd. | Project Management Intern | Banglore | May 2026 | Jun 2026 | 8 Weeks | Campus Internship
Local Self Government Department | Civil Engineering Intern | Pazhakulam | Mar 2023 | Mar 2023 | 1 Weeks
Public Work Department | Civil Engineering Intern | Thiruvananthapuram | Oct 2022 | Oct 2022 | 1 Weeks
Puthenvilayil Construction | Civil Engineering Intern | Thengamam  | Sep 2023 | Sep 2023 | 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</si>
  <si>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</si>
  <si>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P25700248</t>
  </si>
  <si>
    <t>PARMEET</t>
  </si>
  <si>
    <t>KHANUJA</t>
  </si>
  <si>
    <t>Parmeet Singh Khanuja</t>
  </si>
  <si>
    <t>sparmeet731@gmail.com</t>
  </si>
  <si>
    <t>p25700248@student.nicmar.ac.in</t>
  </si>
  <si>
    <t>08-Dec-2002</t>
  </si>
  <si>
    <t>English, Hindi, Punjabi</t>
  </si>
  <si>
    <t>9328 5504 8042</t>
  </si>
  <si>
    <t>TARANJEET SINGH KHANUJA</t>
  </si>
  <si>
    <t>HARJEET KAUR KHANUJA</t>
  </si>
  <si>
    <t>Meet Villa, Near Gurudwara Tarbahar, Sirgitti, Bilaspur Chhattisgarh</t>
  </si>
  <si>
    <t>Bilaspur</t>
  </si>
  <si>
    <t>ST FRANCIS HR SEC SCHOOL</t>
  </si>
  <si>
    <t>CENTRAL BOARD OF SECONDARY EDUCATION CHHATTISGARH</t>
  </si>
  <si>
    <t>CHHATTISGARH SWAMI VIVEKANAND TECHNICAL UNIVERSITY</t>
  </si>
  <si>
    <t>LAKHMI CHAND INSTITUTE OF TECHNOLOGY, BILASPUR</t>
  </si>
  <si>
    <t>2025-Aug</t>
  </si>
  <si>
    <t>AutoCAD,MS Office,MS Project,Tally,Python,AI Tools,CostX</t>
  </si>
  <si>
    <t>Civil Guruji | Trainee | Bhilai Chhattisgarh | Jan 2024 | Feb 2024 | 8 Weeks
Ravi Shankar Tripathi | Billing And Site Engineer Intern | Bilaspur Chhattisgarh | Mar 2024 | Sep 2024 | 30 Weeks</t>
  </si>
  <si>
    <t xml:space="preserve">Done Stock Market Investment Workshop from IIT Kanpur
Done Bridge Design Workshop from IIT Kanpur
Done Skyscrapper Design Workshop from IIT Kanpur
Advanced Certification Program in Construction Management from IIT Guwahati
Major in AI from IIT Ropar
Lean Six Sigma Green Belt Certification by KPMG </t>
  </si>
  <si>
    <t>P25700249</t>
  </si>
  <si>
    <t>PRIYANSH</t>
  </si>
  <si>
    <t>PANDE</t>
  </si>
  <si>
    <t>Priyansh Jayesh Pande</t>
  </si>
  <si>
    <t>priyanshj2003@gmail.com</t>
  </si>
  <si>
    <t>p25700249@student.nicmar.ac.in</t>
  </si>
  <si>
    <t>12-May-2003</t>
  </si>
  <si>
    <t>Gujarati, Hindi, English</t>
  </si>
  <si>
    <t>5055 8663 8967</t>
  </si>
  <si>
    <t>JAYESH D PANDE</t>
  </si>
  <si>
    <t>DEPUTY DIRECTOR, NWDA, MOJS, GOVT OF INDIA.</t>
  </si>
  <si>
    <t>AARTI J PANDE</t>
  </si>
  <si>
    <t>70 Navnathnagar Society,_x000D_
Near Rameshwar School,_x000D_
Gotri Road, Vadodara, Gujarat, 390021.</t>
  </si>
  <si>
    <t>KENDRIYA VIDYALAYA NO 1 HARNI ROAD, VADODARA</t>
  </si>
  <si>
    <t>CENTRAL BOARD OF SECONDARY EDUCATION, VADODARA/GUJARAT</t>
  </si>
  <si>
    <t>THE MAHARAJA SAYAJIRAO UNIVERSITY OF BARODA</t>
  </si>
  <si>
    <t>THE MAHARAJA SAYAJIRAO UNIVERSITY OF BARODA, VADODARA/GUJARAT</t>
  </si>
  <si>
    <t>MS Office,MS Project,Primavera,Autodesk Revit,Autodesk Navisworks,CostX,GIS,Public Sector Projects</t>
  </si>
  <si>
    <t>CBRE | Research Intern | Pune, Maharashtra | May 2026 | Jul 2026 | 9 Weeks | Campus Internship
National Water Development Agency, Ministry of Jal Shakti, Government of India | Summer Intern | New Delhi | May 2024 | Jun 2024 | 4 Weeks</t>
  </si>
  <si>
    <t>NCC 'C' Certificate</t>
  </si>
  <si>
    <t>P25700250</t>
  </si>
  <si>
    <t>SHRUTI</t>
  </si>
  <si>
    <t>Shruti Tanaji Shinde</t>
  </si>
  <si>
    <t>shindeshruti1411@gmail.com</t>
  </si>
  <si>
    <t>p25700250@student.nicmar.ac.in</t>
  </si>
  <si>
    <t>18-Mar-2002</t>
  </si>
  <si>
    <t>English, Marathi and Hindi</t>
  </si>
  <si>
    <t>2449 3686 6348</t>
  </si>
  <si>
    <t>TANAJI SHINDE</t>
  </si>
  <si>
    <t>SUJATA SHINDE</t>
  </si>
  <si>
    <t>Ft No 7, Shree Ganga Heights, Hotel Quality Lodging Inn Lane, Vadgoan Bk, Pune-41</t>
  </si>
  <si>
    <t>CBSE DELHI</t>
  </si>
  <si>
    <t>SURYADATTA PUBLIC SCHOOL</t>
  </si>
  <si>
    <t>JSPM NARHE TECHNICAL CAMPUS, PUNE, MAHARASHTRA</t>
  </si>
  <si>
    <t>AutoCAD,MS Office,MS Project,Primavera,Civil 3d,CostX,Revit,MS Excel</t>
  </si>
  <si>
    <t>Godrej Properties Limited | Operations | Pune | May 2026 | Jul 2026 | 8 Weeks | Campus Internship
SHREE VENKATESH BUILDCON | INTERN | PUNE | Jan 2023 | Feb 2023 | 4 Weeks</t>
  </si>
  <si>
    <t>Microsoft Excel For Construction Management
Ethics in Engineering Practice
Finance for Non-Financial Managers</t>
  </si>
  <si>
    <t>P25700251</t>
  </si>
  <si>
    <t>kr.ayush251@gmail.com</t>
  </si>
  <si>
    <t>p25700251@student.nicmar.ac.in</t>
  </si>
  <si>
    <t>6017 8563 6291</t>
  </si>
  <si>
    <t>ARBIND KUMAR</t>
  </si>
  <si>
    <t>SUNITA DEVI</t>
  </si>
  <si>
    <t>S/O: ARBIND KUMAR, VILLAGE: ATWARPUR, POST OFFICE: KURTHOUL, POLICE STATION: PARSA BAZAR, PATNA, BIHAR</t>
  </si>
  <si>
    <t>BIHAR ENGINEERING UNIVERSITY, PATNA</t>
  </si>
  <si>
    <t>GOVERNMENT ENGINEERING COLLEGE, JEHANABAD</t>
  </si>
  <si>
    <t>J. Kumar Infraprojects Ltd. | Construction Management Intern | New Delhi | May 2026 | Jul 2026 | 9 Weeks | Campus Internship
BIHAR STATE BUILDING CONSTRUCTION CORPORATION LTD. | INTERN | PATNA, BIHAR | Jan 2023 | Mar 2023 | 6 Weeks
BIHAR RAJYA PUL NIRMAN NIGAM LIMITED | INTERN | PATNA, BIHAR | Mar 2022 | Apr 2022 | 3 Weeks
UPADHYAY CONSTRUCTION PVT. LTD. | Engineering Intern | MUZAFFARPUR, BIHAR | Nov 2024 | May 2025 | 30 Weeks</t>
  </si>
  <si>
    <t>P25700252</t>
  </si>
  <si>
    <t>RAHISH</t>
  </si>
  <si>
    <t>HATTARGE</t>
  </si>
  <si>
    <t>Rahish Dinesh Hattarge</t>
  </si>
  <si>
    <t>rahishhattarge@gmail.com</t>
  </si>
  <si>
    <t>p25700252@student.nicmar.ac.in</t>
  </si>
  <si>
    <t>13-Nov-2001</t>
  </si>
  <si>
    <t>English Marathi Hindi</t>
  </si>
  <si>
    <t>5721 6421 8296</t>
  </si>
  <si>
    <t>DEEPALI</t>
  </si>
  <si>
    <t>1042/C/A8,Majgavkar Nagar Near Kanerkar Nagar,Kolhapur</t>
  </si>
  <si>
    <t>PRIVATE HIGHSCHOOL</t>
  </si>
  <si>
    <t>SSC KOLHAPUR/ MAHARASHTRA</t>
  </si>
  <si>
    <t>CHATE JR COLLEGE</t>
  </si>
  <si>
    <t>HSC KOLHAPUR/ MAHARASHTRA</t>
  </si>
  <si>
    <t>TATYASAHEB KORE INSTITUTE OF ENGINEERING AND TECHNOLOGY</t>
  </si>
  <si>
    <t>Panchshil Realty - A2Z Online Services Private Limited | Projects Execution &amp; Planning Division | PUNE | May 2026 | Jul 2026 | 8 Weeks | Campus Internship
Shri Ganesh Builders &amp; Developers | Trainee Engineer  | Kolhapur | Jul 2023 | Aug 2024 | 57 Weeks</t>
  </si>
  <si>
    <t>MS CIT
Scholarship Certificate Nicmar
CAD 2D &amp; 3D Certification
STAAD PRO Software Certificate</t>
  </si>
  <si>
    <t>P25700253</t>
  </si>
  <si>
    <t>GARGHATE</t>
  </si>
  <si>
    <t>Vedant Pradip Garghate</t>
  </si>
  <si>
    <t>vedantgarghate0@gmail.com</t>
  </si>
  <si>
    <t>p25700253@student.nicmar.ac.in</t>
  </si>
  <si>
    <t>02-Jul-2002</t>
  </si>
  <si>
    <t xml:space="preserve">swimming, cricket </t>
  </si>
  <si>
    <t>3539 0816 8413</t>
  </si>
  <si>
    <t>PRADIP GARGHATE</t>
  </si>
  <si>
    <t>PRANJALI</t>
  </si>
  <si>
    <t xml:space="preserve">At. Post Shankarpur, Tah Chimur, Dist Chandrapur
</t>
  </si>
  <si>
    <t>NICMAR HOSTEL, GATE NO 2,BALEWADI PUNE</t>
  </si>
  <si>
    <t>ST CLARET ENGLISH MEDIUM SCHOOL</t>
  </si>
  <si>
    <t>CENTRAL BOARD OF SECONDARY EDUCATION CHANDRAPUR</t>
  </si>
  <si>
    <t>ST PAUL JUNIOR COLLEGE</t>
  </si>
  <si>
    <t>MAHARASTRA STATE BOARD OF SECOUNDRY AND HIGHER SECOUNDRY EDUCATION,PUNE</t>
  </si>
  <si>
    <t>RASHTRASANT TUKADOJI MAHARAJ NAGPUR UNIVERSITY,NAGPUR</t>
  </si>
  <si>
    <t>GH RAISONI COLLEGE OF ENGINEERING,NAGPUR</t>
  </si>
  <si>
    <t>B.G.SHIRKE CONSTRUCTION TECHNOLOGY PVT.LTD. | Managment Trainee | Nagpur | May 2026 | Jul 2026 | 9 Weeks | Campus Internship
D.K Morey | Site Engineer Trainee | Chandrapur | May 2022 | Jun 2022 | 4 Weeks
L.G Developers and Builders | Site Engineer Trainee | Nagpur | Dec 2023 | Jun 2024 | 26 Weeks</t>
  </si>
  <si>
    <t>Revit Architecture and Autocad</t>
  </si>
  <si>
    <t>P25700254</t>
  </si>
  <si>
    <t>MOHAMMED</t>
  </si>
  <si>
    <t>Mohammed Ahmed Deshmukh</t>
  </si>
  <si>
    <t>mohammedahmed.dma123@gmail.com</t>
  </si>
  <si>
    <t>p25700254@student.nicmar.ac.in</t>
  </si>
  <si>
    <t>01-Aug-2002</t>
  </si>
  <si>
    <t>8495 7721 5953</t>
  </si>
  <si>
    <t>MOHAMMED ASLAM DESHMUKH</t>
  </si>
  <si>
    <t>CIVIL ENGINEERING COST CONSULTANT</t>
  </si>
  <si>
    <t>MUMTAZ BEGUM DESHMUKH</t>
  </si>
  <si>
    <t>FLAT-705, BUILDING-3D, HM ROYAL SOCIETY, KONDHWA BUDRUK</t>
  </si>
  <si>
    <t>Row House B-8, Green Valley Housing Society, Near Kohinoor Lawns, Roza Baugh_x000D_</t>
  </si>
  <si>
    <t>JAIN INTERNATIONAL SCHOOL AURANGABAD MAHARASHTRA</t>
  </si>
  <si>
    <t>2017-Jan</t>
  </si>
  <si>
    <t>ARIHANT ARTS, COMMERCE &amp; SCIENCE JUNIOR COLLEGE, BAVDHAN, PUNE-21</t>
  </si>
  <si>
    <t>VELLORE INSTITUTE OF TECHNOLOGY, VELLORE-632014</t>
  </si>
  <si>
    <t>AutoCAD, MS Office, MS Project, Primavera, Revit, NavisWorks, PlanSwift, CostX</t>
  </si>
  <si>
    <t>Clancy Global - AKG Building Consultant Pvt Ltd. | Procurement and Planning | Pune | May 2026 | Jul 2026 | 9 Weeks | Campus Internship</t>
  </si>
  <si>
    <t>P25700255</t>
  </si>
  <si>
    <t>TATODE</t>
  </si>
  <si>
    <t>Aditya Tatode</t>
  </si>
  <si>
    <t>adityatatode26@gmail.com</t>
  </si>
  <si>
    <t>p25700255@student.nicmar.ac.in</t>
  </si>
  <si>
    <t>26-Nov-2001</t>
  </si>
  <si>
    <t>2544 2598 5963</t>
  </si>
  <si>
    <t>PURUSHOTTAM TATODE</t>
  </si>
  <si>
    <t>MEDHA TATODE</t>
  </si>
  <si>
    <t>544, Ashirwad Nagar</t>
  </si>
  <si>
    <t>BHAVAN'S B P VIDYA MANDIR WATHODA NAGPUR MR</t>
  </si>
  <si>
    <t>CENTRAL BOARD OF SECONDARY EDUCATION, NAGPUR</t>
  </si>
  <si>
    <t>M.K.H. SANCHETI PUBLIC SCHOOL &amp; JUNIOR COLLEGE</t>
  </si>
  <si>
    <t>YESHWANTRAO CHAVAN COLLEGE OF ENGINEERING, NAGPUR</t>
  </si>
  <si>
    <t>AutoCAD,Revit,Navisworks,MS Office,MS Project,Primavera,Power BI</t>
  </si>
  <si>
    <t>NFC INFRASTRUCTURES | SITE ENGINEERS | NAGPUR, MAHARASHTRA | Apr 2024 | May 2025 | 1 Years, 1 Months, 1 Days | 1.56</t>
  </si>
  <si>
    <t>Louis Berger International (A WSP Company) | Intern | Mumbai, Maharashtra | May 2026 | Jul 2026 | 9 Weeks | Campus Internship
CIVIL GURUJI PVT. LTD. | TRAINEE | NAGPUR, MAHARASHTRA | Feb 2024 | Mar 2024 | 8 Weeks
MANAVI CONSTRUCTION | SITE ENGINEER | NAGPUR | Jan 2024 | Apr 2024 | 17 Weeks</t>
  </si>
  <si>
    <t>Diploma in Building Design
Corporate Training Coarse
Power BI</t>
  </si>
  <si>
    <t>P25700256</t>
  </si>
  <si>
    <t>ANIKET</t>
  </si>
  <si>
    <t>NIKAM</t>
  </si>
  <si>
    <t>Aniket Shivaji Nikam</t>
  </si>
  <si>
    <t>aninikam18@gmail.com</t>
  </si>
  <si>
    <t>p25700256@student.nicmar.ac.in</t>
  </si>
  <si>
    <t>20-Apr-2001</t>
  </si>
  <si>
    <t>Marathi, Hindi, English</t>
  </si>
  <si>
    <t>5407 2621 7628</t>
  </si>
  <si>
    <t>13/254 Dattar Mala, Ichalkaranji</t>
  </si>
  <si>
    <t>VYANKATESHWARA ENGLISH SCHOOL</t>
  </si>
  <si>
    <t>SSC, MAHARASHTRA</t>
  </si>
  <si>
    <t>SHARAD INSTITUTE OF TECHNOLOGY POLYTECHNIC, MAHARASHTRA</t>
  </si>
  <si>
    <t>SINHAGAD INSTITUTE OF TECHNOLOGY AND SCIENCE</t>
  </si>
  <si>
    <t>Aakar Architects , Interior and Landscapes Consultants | Assistant/ Junior Engineer | Ichalkaranji | Jul 2023 | Dec 2024 | 1 Years, 5 Months, 26 Days | 1.8</t>
  </si>
  <si>
    <t>Goa State Infrastructure Development  Corporation Ltd. (GSIDC) | Site execution | Shiroda, Goa. | May 2026 | Jul 2026 | 8 Weeks | Campus Internship
Omkar Enterprises | Intern  | Pune | Feb 2022 | Apr 2022 | 11 Weeks</t>
  </si>
  <si>
    <t>P25700257</t>
  </si>
  <si>
    <t>PRASAD</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</si>
  <si>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</si>
  <si>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</si>
  <si>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</si>
  <si>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</si>
  <si>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</si>
  <si>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</si>
  <si>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</si>
  <si>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</si>
  <si>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</si>
  <si>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</si>
  <si>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</si>
  <si>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</si>
  <si>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SAP (Billing), Revit, Navisworks, @RISK, Advanced BIM</t>
  </si>
  <si>
    <t>Deepak Mande and Associates | Trainee Engineer | Vikhroli and Nagpur | Jul 2024 | Mar 2025 | 0 Years, 8 Months, 22 Days | 1.95</t>
  </si>
  <si>
    <t>Badiyani Construction | Summer Intern – Billing &amp; Execution | Vanaha Project, Pune | May 2026 | Jul 2026 | 9 Weeks | Campus Internship
Imperial Lifestyle | Internship Trainee | Nalasopara West | Jun 2023 | Jun 2023 | 4 Weeks</t>
  </si>
  <si>
    <t>P25700258</t>
  </si>
  <si>
    <t>GABULA</t>
  </si>
  <si>
    <t>Gabula Balaji</t>
  </si>
  <si>
    <t>gabulabalajibablu12345@gmail.com</t>
  </si>
  <si>
    <t>p25700258@student.nicmar.ac.in</t>
  </si>
  <si>
    <t>05-Aug-1997</t>
  </si>
  <si>
    <t>Telugu Hindi English Kannada Marathi</t>
  </si>
  <si>
    <t>2701 7808 6930</t>
  </si>
  <si>
    <t>GABULA RAMESH</t>
  </si>
  <si>
    <t>GOVT EMPLOYEE</t>
  </si>
  <si>
    <t>GABULA RANJITHA</t>
  </si>
  <si>
    <t>H.no -1-2-431 ,Shanti Nagar Colony  Rakasipet   Bodhan</t>
  </si>
  <si>
    <t>SRI VIJAYA SAI HIGH SCHOOL</t>
  </si>
  <si>
    <t>BOARD OF SECONDARY EDUCATION  NIZAMABAD / TELANGANA</t>
  </si>
  <si>
    <t>NARAYANA JUNIOR COLEEGE</t>
  </si>
  <si>
    <t>BOARD OF INTERMEDIATE EDUCATION HYDERABAD /TELANGANA</t>
  </si>
  <si>
    <t>CMR  TECHNICAL CAMPUS</t>
  </si>
  <si>
    <t>2014-Sep</t>
  </si>
  <si>
    <t>Stiffners | Valuation Engineer  | Hyderabad  | May 2026 | Jul 2026 | 9 Weeks | Campus Internship
SHREE ASSOCIATES | Internship Trainee | Bodhan telangana  | Apr 2024 | May 2025 | 57 Weeks</t>
  </si>
  <si>
    <t>P25700259</t>
  </si>
  <si>
    <t>SHANKU</t>
  </si>
  <si>
    <t>RAAJASHREE</t>
  </si>
  <si>
    <t>NAYUDU</t>
  </si>
  <si>
    <t>Shanku Raajashree Nayudu</t>
  </si>
  <si>
    <t>shankuraajashree@gmail.com</t>
  </si>
  <si>
    <t>p25700259@student.nicmar.ac.in</t>
  </si>
  <si>
    <t>10-Oct-1999</t>
  </si>
  <si>
    <t>Telugu, Hindi, English</t>
  </si>
  <si>
    <t>2818 1648 0451</t>
  </si>
  <si>
    <t>THRILOK RAAJ NAYUDU</t>
  </si>
  <si>
    <t>UNEMPLOYEED</t>
  </si>
  <si>
    <t>SANGEETHA RAAJ</t>
  </si>
  <si>
    <t>4-4-81/16, FLOOR 1 , VEERA REDDY COLONY , KARTHIKEYA NAGARÂ ,500076</t>
  </si>
  <si>
    <t>3-9/46, Flat No: 304, Sharadhanagar, Ramanthapur, Hyderabad - 500013</t>
  </si>
  <si>
    <t>ANNIE BEASENT HIGH SCHOOL</t>
  </si>
  <si>
    <t>JAWAHARLAL NEHRU ARCHITECTURE AND FINE ARTS UNIVERSITY</t>
  </si>
  <si>
    <t>SRI VENKATESHWARA COLLEGE OF ARCHITECTURE</t>
  </si>
  <si>
    <t>2017-Sep</t>
  </si>
  <si>
    <t>AutoCAD,MS Office,sketchup,revit,lumion,enscape,photoshop,indesign,illlustrator</t>
  </si>
  <si>
    <t>GRANITI VICENTIA | DRAFTER  | AMEERPET | Jul 2023 | Mar 2025 | 1 Years, 7 Months, 25 Days | 4.2</t>
  </si>
  <si>
    <t>ManAssure  | Business Development Intern | Remote - Hyderabad | May 2026 | Jul 2026 | 8 Weeks | Campus Internship
L N Design | Jr. Architect  | Bowenpally  | Mar 2022 | Oct 2023 | 81 Weeks</t>
  </si>
  <si>
    <t>P25700260</t>
  </si>
  <si>
    <t>RISHABH</t>
  </si>
  <si>
    <t>KATIYAR</t>
  </si>
  <si>
    <t>Rishabh Katiyar</t>
  </si>
  <si>
    <t>rishabhkatiyar050@gmail.com</t>
  </si>
  <si>
    <t>p25700260@student.nicmar.ac.in</t>
  </si>
  <si>
    <t>26-Mar-2001</t>
  </si>
  <si>
    <t>9379 2476 5909</t>
  </si>
  <si>
    <t>SARVESH CHANDRA KATIYAR</t>
  </si>
  <si>
    <t>SERVICEMAN</t>
  </si>
  <si>
    <t>SHASHI PRABHA KATIYAR</t>
  </si>
  <si>
    <t>1/467 Ambedkar Puram Awas Vikas-3 Kalyanpur, Kanpur</t>
  </si>
  <si>
    <t>Kanpur Nagar</t>
  </si>
  <si>
    <t>54226-GAURAV MEMO INTNL SCHOOL KALYANPUR KANPUR UP</t>
  </si>
  <si>
    <t>CENTRAL BOARD OF SECONDARY EDUCATION (CBSE), DELHI</t>
  </si>
  <si>
    <t>KAMLA NEHRU INSTITUTE OF TECHNOLOGY, SULTANPUR(UP)</t>
  </si>
  <si>
    <t>J.Kumar Infraprojects Ltd | Construction Management Intern | Noida ,Uttar Pradesh | May 2026 | Jul 2026 | 9 Weeks | Campus Internship
Irrigation Department | Internship Trainee | Sultanpur, Uttar Pradesh | Jul 2023 | Jul 2023 | 4 Weeks</t>
  </si>
  <si>
    <t>P25700261</t>
  </si>
  <si>
    <t>YASHASVI</t>
  </si>
  <si>
    <t>SRIVASTAVA</t>
  </si>
  <si>
    <t>Yashasvi Srivastava</t>
  </si>
  <si>
    <t>yashsrivastava26999@gmail.com</t>
  </si>
  <si>
    <t>p25700261@student.nicmar.ac.in</t>
  </si>
  <si>
    <t>26-Nov-1999</t>
  </si>
  <si>
    <t>3734 7515 3283</t>
  </si>
  <si>
    <t>SANJAY KUMAR SRIVASTAVA</t>
  </si>
  <si>
    <t>SAROJ BALA SRIVASTAVA</t>
  </si>
  <si>
    <t>82, Manas Enclave Colony, Indiranagar, Cimap</t>
  </si>
  <si>
    <t>CITY MONTERSSORI SCHOOL</t>
  </si>
  <si>
    <t>INDIAN CERTIFICATE OF SECONDARY EDUCATION EXAMINATION</t>
  </si>
  <si>
    <t>INDIAN SCHOOL CERTIFICATE EXAMINATION</t>
  </si>
  <si>
    <t>SRM INSTITUTE OF SCIENCE AND TECHNOLOGY KATTANKULATHUR</t>
  </si>
  <si>
    <t>Prabha Enterprises | Site Engineer | Lucknow, Uttar Pradesh | May 2024 | Apr 2025 | 0 Years, 11 Months, 2 Days | 3</t>
  </si>
  <si>
    <t>Sobha Ltd. | Planning | Bengaluru  | May 2026 | Jul 2026 | 9 Weeks | Campus Internship
Uttar Pradesh Projects Corporation Ltd. | Civil Engineer | Bahraich, Uttar Pradesh | Jul 2021 | Aug 2021 | 4 Weeks
SF associates | Site Engineer  | Lucknow  | Apr 2023 | Jan 2024 | 40 Weeks</t>
  </si>
  <si>
    <t>P25700262</t>
  </si>
  <si>
    <t>ANSHUL</t>
  </si>
  <si>
    <t>DIPAK</t>
  </si>
  <si>
    <t>FUNDE</t>
  </si>
  <si>
    <t>Anshul Dipak Funde</t>
  </si>
  <si>
    <t>anshulfunde1671@gmail.com</t>
  </si>
  <si>
    <t>p25700262@student.nicmar.ac.in</t>
  </si>
  <si>
    <t>16-Jul-2001</t>
  </si>
  <si>
    <t>8311 4100 8255</t>
  </si>
  <si>
    <t>TEACHER (RETIRED )</t>
  </si>
  <si>
    <t>Near Jamidar Wada, Behind Primary School, Amgaon (District- Gondia)</t>
  </si>
  <si>
    <t>Gondia</t>
  </si>
  <si>
    <t>PROGRESSIVE ENGLISH HIGH SCHOOL, GONDIA</t>
  </si>
  <si>
    <t>VIDYA NIKETAN JUNIOR COLLEGE, AMGAON</t>
  </si>
  <si>
    <t>SHRI LAXMANRAO MANKAR COLLEGE OF POLYTECHNIC, AMGAON</t>
  </si>
  <si>
    <t>G H RAISONI COLLEGE OF ENGINEERING, NAGPUR</t>
  </si>
  <si>
    <t>AutoCAD, MS Office, Primavera P6, MS Project, Power BI</t>
  </si>
  <si>
    <t>Kalpataru Projects International Limited | PMG Intern | Nagpur | May 2026 | Jul 2026 | 8 Weeks | Campus Internship
Khalatkar construction Infra pvt. ltd. | Site Engineer | Nagpur | Jan 2024 | Jul 2024 | 26 Weeks</t>
  </si>
  <si>
    <t>P25700263</t>
  </si>
  <si>
    <t>SAQUIB</t>
  </si>
  <si>
    <t>SHAKIL</t>
  </si>
  <si>
    <t>DAULATABAD</t>
  </si>
  <si>
    <t>Saquib Shakil Daulatabad</t>
  </si>
  <si>
    <t>saquibdaulatabad@gmail.com</t>
  </si>
  <si>
    <t>p25700263@student.nicmar.ac.in</t>
  </si>
  <si>
    <t>09-Oct-2000</t>
  </si>
  <si>
    <t>English,Hindi &amp; Marathi</t>
  </si>
  <si>
    <t>8469 6147 8733</t>
  </si>
  <si>
    <t>SHAHENAZ</t>
  </si>
  <si>
    <t>558, New Paccha Peth, Near Pathroot Chowk, Behind Taj Medical</t>
  </si>
  <si>
    <t>SHANTI ENGLISH MEDIUM SCHOOL</t>
  </si>
  <si>
    <t>MAHARASHTRA STATE BOARD OF SECONDARY AND HIGHER SECONDARY EDUCATION, SOLAPUR</t>
  </si>
  <si>
    <t>TELANGANA STATE BOARD OF INTERMEDIATE EDUCATION, HYDERABAD</t>
  </si>
  <si>
    <t>SRI RAMASWAMY MEMORIAL (SRM) INSTITUTE OF SCIENCE AND TECHNOLOGY</t>
  </si>
  <si>
    <t>SRI RAMASWAMY MEMORIAL (SRM) INSTITUTE OF SCIENCE AND TECHNOLOGY, CHENNAI</t>
  </si>
  <si>
    <t>SOBHA Ltd. | Planning | Bangalore | May 2026 | Jul 2026 | 9 Weeks | Campus Internship</t>
  </si>
  <si>
    <t>Finance for Non-Financial Managers
NPTEL Ethics in Engineering Practice</t>
  </si>
  <si>
    <t>P25700264</t>
  </si>
  <si>
    <t>KANISHK</t>
  </si>
  <si>
    <t>SHILPI</t>
  </si>
  <si>
    <t>Kanishk Kumar Shilpi</t>
  </si>
  <si>
    <t>17kanishkkshilpi@gmail.com</t>
  </si>
  <si>
    <t>p25700264@student.nicmar.ac.in</t>
  </si>
  <si>
    <t>12-Feb-2003</t>
  </si>
  <si>
    <t>5995 1677 5547</t>
  </si>
  <si>
    <t>KANHAIYA LAL LADIA</t>
  </si>
  <si>
    <t>RAJNI LADIA</t>
  </si>
  <si>
    <t>GOVERNMENT TEACHER</t>
  </si>
  <si>
    <t>53, Aakarsh Enclave Tilhari Mandla Road , Jabalpur Madhya Pradesh 482020</t>
  </si>
  <si>
    <t>Jabalpur</t>
  </si>
  <si>
    <t>ST. ALOYSIUS SENIOR SECONDARY SCHOOL CANTT , JABALPUR</t>
  </si>
  <si>
    <t>CENTRAL BOARD OF SECONDARY EDUCATION ,  NEW DELHI</t>
  </si>
  <si>
    <t>RAJIV GANDHI PROUDYOGIKI VISHWAVIDYALAYA (R.G.P.V) BHOPAL ,MADHYA PRADESH</t>
  </si>
  <si>
    <t>MADHAV INSTITUTE OF TECHNOLOGY AND SCIENCE  GWALIOR , MADHYA PRADESH</t>
  </si>
  <si>
    <t>AutoCAD,MS Office,MS Project,MS Excel, REVIT, PrimaVera P6</t>
  </si>
  <si>
    <t>Ahluwalia Contracts (India) Limited | INTERN | Delhi | May 2026 | Jul 2026 | 8 Weeks | Campus Internship
NKC Projects Pvt. Ltd. | INTERN | jabalpur | Jun 2024 | Jul 2024 | 8 Weeks
MADHYA PRADESH PUBLIC WORKS DEPARTMENT , BRIDGE DIVISION JABALPUR | INTERN | JABALPUR | Dec 2024 | May 2025 | 19 Weeks</t>
  </si>
  <si>
    <t>P25700265</t>
  </si>
  <si>
    <t>HARSHVARDHAN</t>
  </si>
  <si>
    <t>GEHLOT</t>
  </si>
  <si>
    <t>Harshvardhan Singh Gehlot</t>
  </si>
  <si>
    <t>harshvardhan3960@gmail.com</t>
  </si>
  <si>
    <t>p25700265@student.nicmar.ac.in</t>
  </si>
  <si>
    <t>9273 4260 0399</t>
  </si>
  <si>
    <t>SANJAY SINGH GEHLOT</t>
  </si>
  <si>
    <t>COMPUTER OPERATOR</t>
  </si>
  <si>
    <t>KALPANA GEHLOT</t>
  </si>
  <si>
    <t>ACCOUNTANT</t>
  </si>
  <si>
    <t>M2,222 Ayodhya Nagri Nanda Nagar</t>
  </si>
  <si>
    <t>Indore</t>
  </si>
  <si>
    <t>ST.JOSEPH'S SCHOOL</t>
  </si>
  <si>
    <t>CENTRAL BOARD OF SECONDARY EDUCATION, INDORE, MADHYA PRADESH</t>
  </si>
  <si>
    <t>VAISHNAV BAL MANDIR H S</t>
  </si>
  <si>
    <t>BOARD OF SECONDARY EDUCATION, INDORE, MADHYA PRADESH</t>
  </si>
  <si>
    <t>SHRI VAISHNAV VIDYAPEETH VISHWAVIDYALAYA, INDORE, MADHYA PRADESH</t>
  </si>
  <si>
    <t>SHRI VAISHNAV INSTITUTE OF TECHNOLOGY AND SCIENCE, INDORE, MADHYA PRADESH</t>
  </si>
  <si>
    <t>Sobha Limited  | Site Execution  | Bangalore, Karnataka  | May 2026 | Jul 2026 | 9 Weeks | Campus Internship
LIUGONG INDIA | GRADUATE ENGINEER TRAINEE  | PITHAMPUR (M.P) | May 2025 | Jun 2025 | 7 Weeks
SIDDIQUI DEVELOPERS | PROJECT INTERN | INDORE | Jan 2025 | Apr 2025 | 14 Weeks</t>
  </si>
  <si>
    <t>P25700266</t>
  </si>
  <si>
    <t>WAGH</t>
  </si>
  <si>
    <t>Shruti Pravin Wagh</t>
  </si>
  <si>
    <t>shrutiwagh9722@gmail.com</t>
  </si>
  <si>
    <t>p25700266@student.nicmar.ac.in</t>
  </si>
  <si>
    <t>09-Jul-2002</t>
  </si>
  <si>
    <t>3851 9629 3669</t>
  </si>
  <si>
    <t>PRAVIN HIRAMAN WAGH</t>
  </si>
  <si>
    <t>MANISHA PRAVIN WAGH</t>
  </si>
  <si>
    <t>Plot No 18/2 Near Z B Patil College Deopur Dhule, 424002</t>
  </si>
  <si>
    <t>Dhule</t>
  </si>
  <si>
    <t>JAI HIND HIGH SCHOOL DHULE</t>
  </si>
  <si>
    <t>SECONDRY AND HIGHER SECONDARY EDUCATION ,MAHARASHTRA</t>
  </si>
  <si>
    <t>SHIKSHAN MAHARSHI DADASAHEB RAWAL GOVERNMENT POLYTECHNIC,DHULE</t>
  </si>
  <si>
    <t>DR D Y PATIL INSTITUTE OF ENGINEERING MANAGEMENT AND REASEARCH AKURDI PUNE</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</si>
  <si>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</si>
  <si>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 Weeks | Campus Internship
PADMASHREE BUILDERS | Site Intern | DHULE | Jan 2023 | Feb 2023 | 4 Weeks
JOGESHWARI CONSTRUCTIONS | Site &amp; Planning Intern | DHULE | Aug 2024 | Jan 2025 | 26 Weeks</t>
  </si>
  <si>
    <t>MSCIT Certificate
Academic excellence
REASEARCH PAPER PUBLISH
AUTOCADD</t>
  </si>
  <si>
    <t>P25700267</t>
  </si>
  <si>
    <t>CHANDRASHEKHAR</t>
  </si>
  <si>
    <t>KHAIRE</t>
  </si>
  <si>
    <t>Rohit Chandrashekhar Khaire</t>
  </si>
  <si>
    <t>rohitckhaire02@gmail.com</t>
  </si>
  <si>
    <t>p25700267@student.nicmar.ac.in</t>
  </si>
  <si>
    <t>08-Oct-2002</t>
  </si>
  <si>
    <t>2212 7119 4993</t>
  </si>
  <si>
    <t>CENTRAL GOVERNMENT SERVANT</t>
  </si>
  <si>
    <t>Savata Niwas, F-118, I.U.D.P, Manmad</t>
  </si>
  <si>
    <t>KAVI RABINDRANATH TAGORE ENGLISH MEDIUM SCHOOL, MANMAD</t>
  </si>
  <si>
    <t>MADHYA RAILWAY MADHYAMIK VIDYALAYA, MANMAD</t>
  </si>
  <si>
    <t>VISHWAKARMA INSTITUTE OF INFORMATION TECHNOLOGY, PUNE</t>
  </si>
  <si>
    <t>AutoCAD,MS Office,MS Project,Revit Architech,Revit Structure, Primavera, CostX</t>
  </si>
  <si>
    <t>Impact Infraheights PVT.LTD | Site Execution | Pune | May 2026 | Jul 2026 | 8 Weeks | Campus Internship
Joshi vastu consultant | Site Execution &amp; Controls | Wagholi, pune | Jan 2024 | May 2024 | 19 Weeks</t>
  </si>
  <si>
    <t>Revit structure and architect
Autocad
Maharashtra state certificate in information technology (MS-CIT)</t>
  </si>
  <si>
    <t>P25700268</t>
  </si>
  <si>
    <t>GEETANSH</t>
  </si>
  <si>
    <t>AGNIHOTRI</t>
  </si>
  <si>
    <t>Geetansh Agnihotri</t>
  </si>
  <si>
    <t>geetansh12agni@gmail.com</t>
  </si>
  <si>
    <t>p25700268@student.nicmar.ac.in</t>
  </si>
  <si>
    <t>12-Aug-2003</t>
  </si>
  <si>
    <t>7505 3945 2007</t>
  </si>
  <si>
    <t>VIJAY AGNIHOTRI</t>
  </si>
  <si>
    <t>LOCO PILOT IN SECR</t>
  </si>
  <si>
    <t>KAJAL AGNIHOTRI</t>
  </si>
  <si>
    <t>T.G.T. TEACHER</t>
  </si>
  <si>
    <t>A 2 , Phase 2 , Sai Dham Colony, Torwa, Bilaspur , Chhattisgarh</t>
  </si>
  <si>
    <t>ST. FRANCIS HIGHER SECONDARY SCHOOL</t>
  </si>
  <si>
    <t>C.B.S.E.</t>
  </si>
  <si>
    <t>COLONELS ACADEMY OF RADIANT EDUCATION PUBLIC SCHOOL</t>
  </si>
  <si>
    <t>SRM INSTITUTE OF SCIENCE AND TECHNOLOGY , UNIVERSITY IN CHENNAI, TAMIL NADU</t>
  </si>
  <si>
    <t xml:space="preserve"> Sai Shlok Infra Pvt. Ltd. | Site Execution | Surangi | May 2026 | Jun 2026 | 8 Weeks | Campus Internship
Evita Construtions | Site Intern | Chennai - Oragadam | Dec 2023 | Dec 2023 | 3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</si>
  <si>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</si>
  <si>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P25700269</t>
  </si>
  <si>
    <t>Shubham Gupta</t>
  </si>
  <si>
    <t>shubhamgupta200058@gmail.com</t>
  </si>
  <si>
    <t>p25700269@student.nicmar.ac.in</t>
  </si>
  <si>
    <t>10-Apr-2000</t>
  </si>
  <si>
    <t>2022 0096 0869</t>
  </si>
  <si>
    <t>HARISH GUPTA</t>
  </si>
  <si>
    <t>MANJU GUPTA</t>
  </si>
  <si>
    <t>13/112, Beside Radha Krishna Temple, Kilaward, Juna Bilaspur, Bilaspur.</t>
  </si>
  <si>
    <t>MAHARISHI VIDYA MANDIR BILASPUR</t>
  </si>
  <si>
    <t>CHHATTISGARH SWAMI VIVEKANAND TECHNICAL UNIVERSITY DURG</t>
  </si>
  <si>
    <t>SHRI SHANKARACHARYA TECHNICAL CAMPUS BHILAI, CHHATTISGARH</t>
  </si>
  <si>
    <t>AutoCAD,MS Office,MS project, Primavera, MS Excel</t>
  </si>
  <si>
    <t>Savvy infrastructure pvt ltd | Cost management intern. | Gandhi Nagar, Gujarat  | May 2026 | Jul 2026 | 8 Weeks | Campus Internship
PUBLIC WORK DEPARTMENT | INTERN | BILASPUR CHHATTISGARH | Sep 2021 | Oct 2021 | 4 Weeks</t>
  </si>
  <si>
    <t>P25700270</t>
  </si>
  <si>
    <t>MANYA</t>
  </si>
  <si>
    <t>MADHU</t>
  </si>
  <si>
    <t>Manya Madhu</t>
  </si>
  <si>
    <t>manyamadhu04@gmail.com</t>
  </si>
  <si>
    <t>p25700270@student.nicmar.ac.in</t>
  </si>
  <si>
    <t>21-Jun-2003</t>
  </si>
  <si>
    <t>8757 9420 6112</t>
  </si>
  <si>
    <t>MADHU KRISHNAN</t>
  </si>
  <si>
    <t>ANITHA MADHU</t>
  </si>
  <si>
    <t>217, Shyam Nagar NX, Near Abhinandan Nagar, Shukhliya</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</si>
  <si>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</si>
  <si>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</si>
  <si>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</si>
  <si>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</si>
  <si>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</si>
  <si>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</si>
  <si>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 Weeks | Campus Internship
PD AGRAWAL CONSTRUCTION COMPANY INDORE | INTERN | INDORE | Jun 2023 | Jun 2023 | 4 Weeks
CSIR-NIIST THIRUVANANTHAPURAM | RESEARCH INTERN | THIRUVANANTHAPURAM | May 2024 | Jul 2024 | 7 Weeks</t>
  </si>
  <si>
    <t>P25700271</t>
  </si>
  <si>
    <t>SANSKRUTI</t>
  </si>
  <si>
    <t>Sanskruti Sanjay Jadhav</t>
  </si>
  <si>
    <t>sanskrutijadhav679@gmail.com</t>
  </si>
  <si>
    <t>p25700271@student.nicmar.ac.in</t>
  </si>
  <si>
    <t>30-Jul-2002</t>
  </si>
  <si>
    <t>2941 8530 2780</t>
  </si>
  <si>
    <t>SANJAY JADHAV</t>
  </si>
  <si>
    <t>GOLDSMITH</t>
  </si>
  <si>
    <t>VAISHALI JADHAV</t>
  </si>
  <si>
    <t>1145, 'B' Ward, Potnis Bol, Mirajkar Tikati , Mangalwar Peth, Kolhapur, 416012</t>
  </si>
  <si>
    <t>HOLY CROSS CONVENT HIGH SCHOOL, KOLHAPUR</t>
  </si>
  <si>
    <t>MAHARASHTRA STATE BOARD OF SECONDARY AND HIGHER SECONDARY EDUCATION, PUNE (KOLHAPUR DIVISIONAL BOARD)</t>
  </si>
  <si>
    <t>THE NEW COLLEGE, KOLHAPUR</t>
  </si>
  <si>
    <t>COLLEGE OF ARCHITECTURE, KOLHAPUR</t>
  </si>
  <si>
    <t>Bachelor of Planning (B.Plan)</t>
  </si>
  <si>
    <t>Vilas Javdekar Developers (Sankalp Contracts Pvt. Ltd.)  | Site Execution  | Pune  | May 2026 | Jun 2026 | 8 Weeks | Campus Internship
ENVIARCH | INTERN ARCHITECT | BANGALORE  | Jan 2024 | May 2024 | 19 Weeks</t>
  </si>
  <si>
    <t>P25700272</t>
  </si>
  <si>
    <t>SOHAM</t>
  </si>
  <si>
    <t>RAJENDRA</t>
  </si>
  <si>
    <t>Soham Rajendra Jadhav</t>
  </si>
  <si>
    <t>sohamj2706@gmail.com</t>
  </si>
  <si>
    <t>p25700272@student.nicmar.ac.in</t>
  </si>
  <si>
    <t>20-Dec-2003</t>
  </si>
  <si>
    <t>5213 6105 2508</t>
  </si>
  <si>
    <t>RAJENDRA KRUSHNAJI JADHAV</t>
  </si>
  <si>
    <t>SMITA RAJENDRA JADHAV</t>
  </si>
  <si>
    <t>Flat No B-506 YASHWIN SOCIETY, Yashwin Rd, Shri Ram Nagar, Sus, Pune, MaharashtraÂ 411021</t>
  </si>
  <si>
    <t>ANAND NIKETAN</t>
  </si>
  <si>
    <t>STATE BOARD OF SECONDARY AND HIGHER SECONDARY EDUCATION, PUNE</t>
  </si>
  <si>
    <t>K.K.WAGH POLYTECHNIC, NASHIK</t>
  </si>
  <si>
    <t>BHARATI VIDYAPEETH'S COLLEGE OF ENGINEERING, LAVALE</t>
  </si>
  <si>
    <t>AutoCAD,MS Office,MS Project,Primavera,MS Excel,CostX,REVIT,CANVA,Power BI,BEXEL Manager</t>
  </si>
  <si>
    <t>Econstruct design &amp; build pvt. ltd. | BIM and Project Management Intern |  Bangalore  | May 2026 | Jun 2026 | 8 Weeks | Campus Internship
Samraat group project | Intern  | Nashik  | Dec 2023 | Jan 2024 | 4 Weeks</t>
  </si>
  <si>
    <t>Factors affecting real estate property rates
IRJET Publication certificate</t>
  </si>
  <si>
    <t>P25700273</t>
  </si>
  <si>
    <t>SUTHIKSAN</t>
  </si>
  <si>
    <t>RAM</t>
  </si>
  <si>
    <t>J S</t>
  </si>
  <si>
    <t>Suthiksan Ram J S</t>
  </si>
  <si>
    <t>suthiksenthil@icloud.com</t>
  </si>
  <si>
    <t>p25700273@student.nicmar.ac.in</t>
  </si>
  <si>
    <t>10-Jul-2004</t>
  </si>
  <si>
    <t>English, Tamil</t>
  </si>
  <si>
    <t>6507 9914 6357</t>
  </si>
  <si>
    <t>SENTHIL C</t>
  </si>
  <si>
    <t>SAVITHA K</t>
  </si>
  <si>
    <t>76/1, Kavery Avenue, MDS Nagar, Hasthampatti, Salem- 636007</t>
  </si>
  <si>
    <t>SENTHIL PUBLIC SCHOOL</t>
  </si>
  <si>
    <t>CENTRAL BOARD OF SECONDARY EDUCATION, SALEM/TAMILNADU</t>
  </si>
  <si>
    <t>HOLYCROSS MATRICULATION HIGHER SECONDARY SCHOOL</t>
  </si>
  <si>
    <t>STATE BOARD OF SCHOOL EXAMINATIONS, SALEM/TAMILNADU</t>
  </si>
  <si>
    <t>SONA COLLEGE OF TECHNOLOGY, SALEM/TAMILNADU</t>
  </si>
  <si>
    <t>AutoCAD,MS Office,MS Project,Revit</t>
  </si>
  <si>
    <t>Suryapriya Constructions Private Limited | Project Management | Bengaluru | May 2026 | Jul 2026 | 8 Weeks | Campus Internship
RK&amp; SONS CONSTRUCTION | CONSTRUCTION OF BUFFER PARKING YARD AT CHENNAI PORT TRUST | CHENNAI PORT TRUST | Jun 2024 | Aug 2024 | 9 Weeks</t>
  </si>
  <si>
    <t>P25700274</t>
  </si>
  <si>
    <t>AARTI</t>
  </si>
  <si>
    <t>VITTHAL</t>
  </si>
  <si>
    <t>GANESHKAR</t>
  </si>
  <si>
    <t>Aarti Vitthal Ganeshkar</t>
  </si>
  <si>
    <t>aartiganeshkar002004@gmail.com</t>
  </si>
  <si>
    <t>p25700274@student.nicmar.ac.in</t>
  </si>
  <si>
    <t>01-Mar-2004</t>
  </si>
  <si>
    <t>6642 2600 0759</t>
  </si>
  <si>
    <t>VITTHAL SUKHADEV GANESHKAR</t>
  </si>
  <si>
    <t>AASHA VITTHAL GANESHKAR</t>
  </si>
  <si>
    <t>168 B Shreenath Colony Sadar Bazar Satara</t>
  </si>
  <si>
    <t>AADARSH VIDYAMANDIR SATARA</t>
  </si>
  <si>
    <t>YASHAVANTRAO CHAVAN INSTITUTE OF SCIENCE, SATARA</t>
  </si>
  <si>
    <t>DR. BABASAHEB AMBEDKAR TECHNOLOGICAL UNIVERSITY LONERE</t>
  </si>
  <si>
    <t>KARMAVEER BHAURAO PATIL COLLEGE OF ENGINEERING, SATARA</t>
  </si>
  <si>
    <t>AutoCAD,MS Office,MS Project,Staad-Pro,MS Excel</t>
  </si>
  <si>
    <t>Bhajan Infra Tech Pvt. Ltd. | Project Coordination Intern  | Surat | May 2026 | Jun 2026 | 7 Weeks | Campus Internship
BUILD TECH HOMES | INTERN | Satara, Maharashtra | Jul 2023 | Aug 2023 | 7 Weeks</t>
  </si>
  <si>
    <t>P25700275</t>
  </si>
  <si>
    <t>MUNISH</t>
  </si>
  <si>
    <t>RANA</t>
  </si>
  <si>
    <t>Munish Rana</t>
  </si>
  <si>
    <t>munishranasmr52@gmail.com</t>
  </si>
  <si>
    <t>p25700275@student.nicmar.ac.in</t>
  </si>
  <si>
    <t>Hindi, English, Punjabi</t>
  </si>
  <si>
    <t>3389 7916 6746</t>
  </si>
  <si>
    <t>MAN SINGH RANA</t>
  </si>
  <si>
    <t>SHANTA RANA</t>
  </si>
  <si>
    <t>1456_x000D_
Dashmesh Nagar_x000D_
Near Church</t>
  </si>
  <si>
    <t>Mohali</t>
  </si>
  <si>
    <t>DAV PUBLIC SCHOOL, CHANDIGARH</t>
  </si>
  <si>
    <t>BAL NIKETAN MODEL SENIOR SECONDARY SCHOOL</t>
  </si>
  <si>
    <t>IK GUJRAL PUNJAB TECHNICAL UNIVERSITY</t>
  </si>
  <si>
    <t>GURU NANAK DEV ENGINEERING COLLEGE, LUDHIANA</t>
  </si>
  <si>
    <t>AutoCAD,MS Office,MS Project,Primavera,EPANET,REVIT,COST X,CIVIL Storm</t>
  </si>
  <si>
    <t>WELSPUN ENTERPRISES LIMITED | INTERN | AURANGABAD, BIHAR | Sep 2023 | Dec 2023 | 14 Weeks</t>
  </si>
  <si>
    <t>P25700277</t>
  </si>
  <si>
    <t>SHYAM</t>
  </si>
  <si>
    <t>Shyam S</t>
  </si>
  <si>
    <t>shyamsudhesan@gmail.com</t>
  </si>
  <si>
    <t>p25700277@student.nicmar.ac.in</t>
  </si>
  <si>
    <t>01-Oct-1999</t>
  </si>
  <si>
    <t>9598 3547 8855</t>
  </si>
  <si>
    <t>SUDESAN G</t>
  </si>
  <si>
    <t>SOBHANA S</t>
  </si>
  <si>
    <t>Manikyamandiram, Alumkadavu P O, Kollam, Karunagappally</t>
  </si>
  <si>
    <t>SREE NARAYANA CENTRAL SCHOOL</t>
  </si>
  <si>
    <t>CBSC -KOLLAM ,KARUNAGAPPALLY</t>
  </si>
  <si>
    <t>SAINTGITS COLLAGE OF ENGINEERING</t>
  </si>
  <si>
    <t>SAINTGITS COLLAGE OF ENGINEERING,CHANGANASSERY,KOTTAYAM</t>
  </si>
  <si>
    <t>Bokhad construction | Site Engineer | Kollam, kerala | Jul 2022 | Jul 2025 | 2 Years, 11 Months, 15 Days | 1.85</t>
  </si>
  <si>
    <t>Cherry hills | Site Engineer | chennai  | May 2026 | Jul 2026 | 8 Weeks | Campus Internship</t>
  </si>
  <si>
    <t>P25700278</t>
  </si>
  <si>
    <t>JAGDISH</t>
  </si>
  <si>
    <t>DIDDI</t>
  </si>
  <si>
    <t>Nikhil Jagdish Diddi</t>
  </si>
  <si>
    <t>nikhildiddi730@gmail.com</t>
  </si>
  <si>
    <t>p25700278@student.nicmar.ac.in</t>
  </si>
  <si>
    <t>English, Hindi, Marathi, Telgu</t>
  </si>
  <si>
    <t>7860 1788 0399</t>
  </si>
  <si>
    <t>JAGDISH DIDDI</t>
  </si>
  <si>
    <t>KAVITA DIDDI</t>
  </si>
  <si>
    <t>FLAT NO 103, RAMALAYAM APARTMENT, ASHOK CHOWK,  SOLAPUR</t>
  </si>
  <si>
    <t>370, Sakhar Peth,solaur</t>
  </si>
  <si>
    <t>ST. JOSEPH HIGH SCHOOL, SOLAPUR</t>
  </si>
  <si>
    <t>MAHARSHTRA STATE BOSARD OF SECONDARY AND HIGHER SECONDARY EDUCATION, PUNE</t>
  </si>
  <si>
    <t>KUCHAN JR. COLLEGE , SOLAPUR</t>
  </si>
  <si>
    <t>MAHARSHTRA STATE BOARD OF SECONDARY AND HIGHER SECONDARY EDUCATION , PUNE</t>
  </si>
  <si>
    <t>PUNYASHLOK AHILYADEVI HOLKAR SOLAPUR UNIVERSITY , SOLAPUR</t>
  </si>
  <si>
    <t>WALCHAND INSTITUTE OF TECHNOLOGY , SOLAPUR, MAHARASHTRA</t>
  </si>
  <si>
    <t>AutoCAD,MS Office,MS Project,Primavera,revit,sketchup,d5,Ms excel,IGBC AP Associate</t>
  </si>
  <si>
    <t>Savvy greens  | Intern- sustainable energy management  | Ahmedabad  | May 2026 | Jul 2026 | 8 Weeks | Campus Internship
Shubh Ventures , solapur | Site engineer | Solapur  | Dec 2024 | Feb 2025 | 8 Weeks</t>
  </si>
  <si>
    <t>2D Drafting and Planning (Using autocad)
REVIT architecture bim level level 1</t>
  </si>
  <si>
    <t>P25700280</t>
  </si>
  <si>
    <t>ARAVIND</t>
  </si>
  <si>
    <t>THAMPI</t>
  </si>
  <si>
    <t>Aravind M Thampi</t>
  </si>
  <si>
    <t>aravindmthampi2003@gmail.com</t>
  </si>
  <si>
    <t>p25700280@student.nicmar.ac.in</t>
  </si>
  <si>
    <t>12-Mar-2003</t>
  </si>
  <si>
    <t>English, Malayalam &amp; Hindi</t>
  </si>
  <si>
    <t>5212 0674 5508</t>
  </si>
  <si>
    <t>VIKRAMAN THAMBI M P</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</si>
  <si>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</si>
  <si>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</si>
  <si>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</si>
  <si>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</si>
  <si>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</si>
  <si>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</si>
  <si>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AutoCAD,MS Office,MS Project,Primavera,Bentley RamConcept,CSI Column</t>
  </si>
  <si>
    <t>Goa State Infrastructure Development Corporation | Site Execution | Panaji, Goa | May 2026 | Jul 2026 | 8 Weeks | Campus Internship
STRANDS POST TENSION EXPERTS | Junior Structural Design Engineer | Kochi | Jul 2024 | Jun 2025 | 52 Weeks
KERALA STATE PUBLIC WORKS DEPARTMENT | Site Engineer- Intern | Kottayam | May 2023 | May 2023 | 0 Weeks</t>
  </si>
  <si>
    <t>ICI Membership
Traffic Studies for Sabari Rail Project
Work Readiness Program
Training on STAAD Pro CONNECT Edition
5-Days Internship in Building Information Modelling
Introduction to AutoCAD
The Fundamentals of Digital Marketing certification Exam</t>
  </si>
  <si>
    <t>P25700282</t>
  </si>
  <si>
    <t>RESHMA</t>
  </si>
  <si>
    <t>CHANDRAN</t>
  </si>
  <si>
    <t>Reshma S Chandran</t>
  </si>
  <si>
    <t>reshmaspillai2001@gmail.com</t>
  </si>
  <si>
    <t>p25700282@student.nicmar.ac.in</t>
  </si>
  <si>
    <t>English and Malayalam</t>
  </si>
  <si>
    <t>7398 2008 0857</t>
  </si>
  <si>
    <t>SUNIL CHANDRAN</t>
  </si>
  <si>
    <t>SAJITHA</t>
  </si>
  <si>
    <t>Puthenveettil,manakkad,vallikunnam.p.o</t>
  </si>
  <si>
    <t>HOLY TRINITY ANGLO INDIAN INTERNATIONAL SCHOOL</t>
  </si>
  <si>
    <t>INDIAN SCHOOL CERTIFICATE</t>
  </si>
  <si>
    <t>SREE BUDDHA COLLEGE OF ENGINEERING,ALAPPUZHA</t>
  </si>
  <si>
    <t>Uralungal Labour Contract Co-operative Society (ULCCS) | Site Execution | Ernakulam | May 2026 | Jul 2026 | 7 Weeks | Campus Internship
MADECKAL CONSTRUCTIONS | INTERNSHIP TRAINEE | KOCHI | Jul 2024 | Jul 2024 | 1 Weeks</t>
  </si>
  <si>
    <t>Data analysis
Finance for Non-Financial Managers
NPTEL</t>
  </si>
  <si>
    <t>P25700283</t>
  </si>
  <si>
    <t>MUKUNDRAO</t>
  </si>
  <si>
    <t>GAMBHIRE</t>
  </si>
  <si>
    <t>Vinod Mukundrao Gambhire</t>
  </si>
  <si>
    <t>vrgambhire1722424@gmail.com</t>
  </si>
  <si>
    <t>p25700283@student.nicmar.ac.in</t>
  </si>
  <si>
    <t>01-Jun-2001</t>
  </si>
  <si>
    <t>other</t>
  </si>
  <si>
    <t>8981 1619 5022</t>
  </si>
  <si>
    <t>MUKUND SHANKARRAO GAMBHIRE</t>
  </si>
  <si>
    <t>MOHINI</t>
  </si>
  <si>
    <t>FLAT NO.305,TOWER 1,KOHINOOR CORAL, OPPOSITE TCS GATE NO. 2 HINJAWADI PHASE 3</t>
  </si>
  <si>
    <t>Vaiibhav Niwas, Near Gurkha Maroti Mandir, Jawala Bazar</t>
  </si>
  <si>
    <t>Hingoli</t>
  </si>
  <si>
    <t>NIWASI HIGHSCHOOL BARASHIV</t>
  </si>
  <si>
    <t>MAHARASHTRA STATE BOARD OF SECONDARY AND HIGHER SECONDARY EDUCATION, MAHARASHTRA</t>
  </si>
  <si>
    <t>ANAND KANISHTHA MAHAVIDYALAYA</t>
  </si>
  <si>
    <t>MAHARASHTRA STATE BOARD OF SECONDARY AND HIGHER SECONDARY EDUCATION,MAHARASHTRA</t>
  </si>
  <si>
    <t>D.Y.PATIL COLLEGE OF ENGINEERING, PUNE</t>
  </si>
  <si>
    <t>Green Building Practices, AutoCAD, Revit,Advanced Excel, Power BI and Tableau,MS Project, Primavera P6</t>
  </si>
  <si>
    <t>Pramukh Omkar Group | Civil Engineer Intern | Randesan, Gandhinagar | May 2026 | Jul 2026 | 8 Weeks | Campus Internship</t>
  </si>
  <si>
    <t>Microsoft Excel - Excel from Beginner to Advanced
Microsoft Power BI Desktop for Business Intelligence(2023)
Ultimate Microsoft Office;Excel,Word,PowerPoint &amp; Access
The Complete AutoCad 2020 2D + 3D Course
Finance for non-Financial Managers
IGBC Accredited Professional - Associate
AI in Construction Program
Advanced Communication
Data Analysis
Autodesk Revit</t>
  </si>
  <si>
    <t>P25700284</t>
  </si>
  <si>
    <t>SUJAL</t>
  </si>
  <si>
    <t>CHANDAN</t>
  </si>
  <si>
    <t>SUWARANI</t>
  </si>
  <si>
    <t>Sujal Chandan Suwarani</t>
  </si>
  <si>
    <t>suwaranisujal45@gmail.com</t>
  </si>
  <si>
    <t>p25700284@student.nicmar.ac.in</t>
  </si>
  <si>
    <t>07-May-2002</t>
  </si>
  <si>
    <t>Cricket, Reading</t>
  </si>
  <si>
    <t>6725 6576 4701</t>
  </si>
  <si>
    <t>CHANDAN SUWARANI</t>
  </si>
  <si>
    <t>VEENA SUWARANI</t>
  </si>
  <si>
    <t>Plot No. 76 Tulsi Nagar, Near Shantinagar Colony, Nagpur- 440002</t>
  </si>
  <si>
    <t>NICMAR HOSTEL GATE NO. 2, BALEWADI, PUNE</t>
  </si>
  <si>
    <t>ST. JOHN'S HIGH SCHOOL</t>
  </si>
  <si>
    <t>NAMO NARAYANI JUNIOR COLLEGE</t>
  </si>
  <si>
    <t>G.H. RAISONI COLLEGE OF ENGINEERING, NAGPUR</t>
  </si>
  <si>
    <t>AutoCAD,MS Office,MS Project,Primavera,Revit,Navisworks,Bluebeam</t>
  </si>
  <si>
    <t>B.G. Shirke Construction Technology Pvt. Ltd. | Management Trainee | Nagpur | May 2026 | Jul 2026 | 9 Weeks | Campus Internship
Ulhas Enterprises (Government contractor of NMC) | Site Engineer Trainee | Nagpur | May 2022 | Jun 2022 | 4 Weeks
LG Developers and Builders | Site Engineer Trainee | Nagpur | Dec 2023 | Jun 2024 | 26 Weeks</t>
  </si>
  <si>
    <t>BIM Engineer</t>
  </si>
  <si>
    <t>P25700285</t>
  </si>
  <si>
    <t>VILAS</t>
  </si>
  <si>
    <t>PEDNEKAR</t>
  </si>
  <si>
    <t>Omkar Vilas Pednekar</t>
  </si>
  <si>
    <t>ompednekar10@gmail.com</t>
  </si>
  <si>
    <t>p25700285@student.nicmar.ac.in</t>
  </si>
  <si>
    <t>16-Dec-2003</t>
  </si>
  <si>
    <t>6790 2439 1365</t>
  </si>
  <si>
    <t>VILAS PEDNEKAR</t>
  </si>
  <si>
    <t>RETRIED FROM CENTRAL RAILWAY (LOCO PILOT)</t>
  </si>
  <si>
    <t>VAISHAKHI</t>
  </si>
  <si>
    <t>ACCOUNT OFFICER IN BMC</t>
  </si>
  <si>
    <t>B/805, Astral, Mahavir Universe, L.B.S Marg, Bhandup West, Mumbai 400078</t>
  </si>
  <si>
    <t>PARAG ENGLISH SCHOOL</t>
  </si>
  <si>
    <t>SSC Board, MUMBAI / MAHARASHTRA</t>
  </si>
  <si>
    <t>VIVEKANAND EDUCATION SOCIETY POLYTECHNIC,MSBTE, MUMBAI / MAHARASHTRA</t>
  </si>
  <si>
    <t>DATTA MEGHE COLLEGE OF ENGINEERING, MUMBAI / MAHARASHTRA</t>
  </si>
  <si>
    <t>Primavera P6, Revit, digiQC, AutoCAD, MS Office, MS Project</t>
  </si>
  <si>
    <t>Moraj AHN Developer LLP | Project Execution &amp; Planning Intern | Moraj Opulence, Mahim, Mumbai | May 2026 | Jul 2026 | 8 Weeks | Campus Internship
NCC-SMC (SATIS) JV | Trainee Internship | Existing Thane Railway Station (East) | Dec 2024 | Jan 2025 | 4 Weeks
Damji Shamji Shah Group | Trainee Engineer |  Thane West | Dec 2022 | Mar 2023 | 12 Weeks</t>
  </si>
  <si>
    <t>National Level Project &amp; Paper Presentation Competition</t>
  </si>
  <si>
    <t>P25700286</t>
  </si>
  <si>
    <t>KRISHNAN</t>
  </si>
  <si>
    <t>Gokul Krishnan M</t>
  </si>
  <si>
    <t>gkalltheday@gmail.com</t>
  </si>
  <si>
    <t>p25700286@student.nicmar.ac.in</t>
  </si>
  <si>
    <t>14-May-2003</t>
  </si>
  <si>
    <t>5956 9867 8633</t>
  </si>
  <si>
    <t>MADHUSOODANAN PILLAI S</t>
  </si>
  <si>
    <t>ELECTRICAL CONTRACTOR</t>
  </si>
  <si>
    <t>GIRIJAKUMARY</t>
  </si>
  <si>
    <t>FOOTBALL COACH</t>
  </si>
  <si>
    <t>EARICKAL YADUKULAM ,MEKKUMMURI,THAMARAKULAM PO,690530,ALAPPUZHA</t>
  </si>
  <si>
    <t>VHSS CHATHIYARA</t>
  </si>
  <si>
    <t>BOARD OF PUBLIC EXAMINATIONS, KERALA</t>
  </si>
  <si>
    <t>BOARD OF HIGHER SECONDARY EXAMINATIONS, GOVERNMENT OF KERALA</t>
  </si>
  <si>
    <t>RAJIV GANDHI INSTITUTE OF TECHNOLOGY KOTTAYAM</t>
  </si>
  <si>
    <t>Uralungal Labour Contract Co-operative Society (ULCCS) | Site Execution | Ernakulam | May 2026 | Jul 2026 | 7 Weeks | Campus Internship</t>
  </si>
  <si>
    <t>P25700287</t>
  </si>
  <si>
    <t>DNYANDEO</t>
  </si>
  <si>
    <t>BIRARI</t>
  </si>
  <si>
    <t>Satyam Dnyandeo Birari</t>
  </si>
  <si>
    <t>satyambirari16@gmail.com</t>
  </si>
  <si>
    <t>p25700287@student.nicmar.ac.in</t>
  </si>
  <si>
    <t>01-Jun-1999</t>
  </si>
  <si>
    <t>8922 1527 1114</t>
  </si>
  <si>
    <t>DNYANDEO GANPAT BIRARI</t>
  </si>
  <si>
    <t>LATA DNYANDEO BIRARI</t>
  </si>
  <si>
    <t>Ambika Nagar,kotamgaon Road ,lasalgaon</t>
  </si>
  <si>
    <t>LOKNETE DATTAJI PATIL VIDYALAY LASALGAON</t>
  </si>
  <si>
    <t>K.K WAGH INSTITUTE OF ENGINEERING AND RESEARCH,NASHIK</t>
  </si>
  <si>
    <t>AutoCAD,MS Office,MS Project,Primavera,Revit,Navisworks,Bexel Manager</t>
  </si>
  <si>
    <t>Saivaishnavi buildcon | Site execution and control | Nashik | Jun 2023 | Sep 2023 | 0 Years, 3 Months, 20 Days | 0.08
Harsh constructions | Quantity Surveying and billing | mumbai | Oct 2023 | May 2025 | 1 Years, 7 Months, 29 Days | 0.2</t>
  </si>
  <si>
    <t>SOBHA LIMITED | Project Planning Intern  | Sobha Infinia Koramangala,Banglore Karnataka | May 2026 | Jul 2026 | 9 Weeks | Campus Internship
VIGHNESH CONSTRUCTIONS | Site Execution and Control | LASALGAON | Mar 2022 | Feb 2023 | 48 Weeks</t>
  </si>
  <si>
    <t>Internship training of construction skill development
Autocad +Revit+3ds max</t>
  </si>
  <si>
    <t>P25700288</t>
  </si>
  <si>
    <t>ARYA</t>
  </si>
  <si>
    <t>Atul Arya</t>
  </si>
  <si>
    <t>arya.atul0@gmail.com</t>
  </si>
  <si>
    <t>p25700288@student.nicmar.ac.in</t>
  </si>
  <si>
    <t>23-Jun-2000</t>
  </si>
  <si>
    <t>3740 5384 3786</t>
  </si>
  <si>
    <t>AMRENDRA KUMAR</t>
  </si>
  <si>
    <t>ARCHANA KUMARI</t>
  </si>
  <si>
    <t>191, Sreerampur Road North,_x000D_
Garia, South 24 Parganas, West Bengal-700084</t>
  </si>
  <si>
    <t>DELHI PUBLIC SCHOOL, RUBY PARK, KOLKATA</t>
  </si>
  <si>
    <t>CBSE, KOLKATA</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</si>
  <si>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</si>
  <si>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</si>
  <si>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</si>
  <si>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</si>
  <si>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</si>
  <si>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P25700289</t>
  </si>
  <si>
    <t>CHETANA</t>
  </si>
  <si>
    <t>DILIPRAO</t>
  </si>
  <si>
    <t>UGE</t>
  </si>
  <si>
    <t>Chetana Diliprao Uge</t>
  </si>
  <si>
    <t>chetanauge@gmail.com</t>
  </si>
  <si>
    <t>p25700289@student.nicmar.ac.in</t>
  </si>
  <si>
    <t>24-Jul-2000</t>
  </si>
  <si>
    <t>3560 1826 1320</t>
  </si>
  <si>
    <t>RETIRED GOVERNMENT SERVANT</t>
  </si>
  <si>
    <t>SANGITA UGE</t>
  </si>
  <si>
    <t>89, Revti Nagar, Besa, Nagpur</t>
  </si>
  <si>
    <t>SOMALWAR HIGH SCHOOL RAMDASPETH, NAGPUR</t>
  </si>
  <si>
    <t>SHIVAJI SCIENCE COLLEGE, NAGPUR</t>
  </si>
  <si>
    <t>RASHTRASANT TUKDOJI MAHARAJ UNIVERSITY, NAGPUR</t>
  </si>
  <si>
    <t>COEP TECHNOLOGICAL UNIVERSITY</t>
  </si>
  <si>
    <t>MBA</t>
  </si>
  <si>
    <t>AutoCAD,MS Office,MS Project,Primavera,BIM</t>
  </si>
  <si>
    <t>Shobha Ltd. | Planning Engineer Trainee | Marathahalli, Bengaluru | May 2026 | Jul 2026 | 9 Weeks | Campus Internship
P.K. Nagrare Construction | Junior Site Engineer | Nagpur | Feb 2023 | May 2023 | 13 Weeks
Center of Excellence in Robotics and AI, COEP Technological University  | Business Analytics Intern | Pune | Jun 2024 | Jul 2024 | 8 Weeks</t>
  </si>
  <si>
    <t>P25700290</t>
  </si>
  <si>
    <t>RAUT</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</si>
  <si>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</si>
  <si>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</si>
  <si>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</si>
  <si>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</si>
  <si>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</si>
  <si>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</si>
  <si>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</si>
  <si>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</si>
  <si>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</si>
  <si>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</si>
  <si>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YESHWANTRAO CHAVAN COLLEGE OF ENGINEERING (YCCE), MAHARASHTRA</t>
  </si>
  <si>
    <t>AutoCAD,MS Office,MS Project,Primavera,Autodesk Revit</t>
  </si>
  <si>
    <t>TRIAA Housing | Jr Site Engineer | Pune | Jan 2024 | Jun 2025 | 1 Years, 5 Months, 19 Days | 3.6</t>
  </si>
  <si>
    <t>Malani Group-Real Estate Division | Executive-Contracts Management | Pune | May 2026 | Jul 2026 | 8 Weeks | Campus Internship
Pune Municipal Corporation | Trainee Engineer | Pune | Jul 2022 | Jul 2023 | 52 Weeks
Maharashtra Metro Rail Corporation Limited | Intern | Nagpur | Feb 2021 | Mar 2021 | 6 Weeks</t>
  </si>
  <si>
    <t>Contract Management - A Practitioner's Approach</t>
  </si>
  <si>
    <t>P25700291</t>
  </si>
  <si>
    <t>BIYANI</t>
  </si>
  <si>
    <t>Darshan Ashok Biyani</t>
  </si>
  <si>
    <t>dbiyani19@gmail.com</t>
  </si>
  <si>
    <t>p25700291@student.nicmar.ac.in</t>
  </si>
  <si>
    <t>19-Dec-2000</t>
  </si>
  <si>
    <t>ENGLISH, HINDI, MARATHI, MARWADI</t>
  </si>
  <si>
    <t>3367 9974 2298</t>
  </si>
  <si>
    <t>SARITA</t>
  </si>
  <si>
    <t>108, Krushna Kunj, Shivaji Chowk, Khalapur, Raigarh, Maharashtra, 410202</t>
  </si>
  <si>
    <t>G.J.M. ENGLISH MEDIUM SCHOOL</t>
  </si>
  <si>
    <t>SSC, RAIGAD,MAHARASHTRA</t>
  </si>
  <si>
    <t>PILLAI HOC COLLEGE OF ENGINEERING AND TECHNOLOGY,MSBTE,Mumbai,Maharashtra</t>
  </si>
  <si>
    <t>AIROLI, NAVI MUMBAI</t>
  </si>
  <si>
    <t>AutoCAD,MS Office,MS Project,STAAD PRO,MATCAD,NAVISWORK,MAT3D,FOUNDATION 3D,RCDC,CAT</t>
  </si>
  <si>
    <t>MAIRE TECNIMONT | ENGINEER (CIVIL) | Malad | Jul 2023 | Jun 2025 | 1 Years, 11 Months, 24 Days | 7.06</t>
  </si>
  <si>
    <t>EMBASSY DEVELOPMENT LIMITED | CONSTRUCTION | SAVROLI | May 2026 | Jul 2026 | 8 Weeks | Campus Internship
REAL INFRASTRUCTURE | TRAINEE ENGINEER | NASHIK | Jun 2022 | Jul 2022 | 4 Weeks
ADVENT MANAGEMENT CONSULTANCY | INTERN (SITE SUPERVISOR) | KHOPOLI, RAIGAD | May 2019 | Jun 2019 | 5 Weeks
D.G JAKHOTIA | SITE ENGINEER | KHOPOLI | Jun 2020 | Sep 2021 | 65 Weeks</t>
  </si>
  <si>
    <t>P25700292</t>
  </si>
  <si>
    <t>ASFIYA</t>
  </si>
  <si>
    <t>Asfiya Khan</t>
  </si>
  <si>
    <t>asfk1262@gmail.com</t>
  </si>
  <si>
    <t>p25700292@student.nicmar.ac.in</t>
  </si>
  <si>
    <t>12-Jun-2002</t>
  </si>
  <si>
    <t>2959 2957 7786</t>
  </si>
  <si>
    <t>MOHAMMED HANEEF KHAN</t>
  </si>
  <si>
    <t>ZUBERA KHAN</t>
  </si>
  <si>
    <t>B-201,Green Heights</t>
  </si>
  <si>
    <t>Rajnandgaon</t>
  </si>
  <si>
    <t>NEERAJ PUBLIC SCHOOL</t>
  </si>
  <si>
    <t>CBSE, RAJNANDGAON,CHHATTISGARH</t>
  </si>
  <si>
    <t>YUGANTAR PUBLIC SCHOOL</t>
  </si>
  <si>
    <t>CBSE ,RAJNANDGAON,CHHATTISGARH</t>
  </si>
  <si>
    <t>SHRI SHANKARACHARYA TECHNICAL CAMPUS, BHILAI,CHHATTISGARH</t>
  </si>
  <si>
    <t>AutoCAD,MS Project,REVIT,STAADPRO</t>
  </si>
  <si>
    <t>Godrej Properties Limited | Summersault Operations Intern | Mumbai | May 2026 | Jul 2026 | 8 Weeks | Campus Internship</t>
  </si>
  <si>
    <t>P25700293</t>
  </si>
  <si>
    <t>SUDHIR</t>
  </si>
  <si>
    <t>PANDHARPURE</t>
  </si>
  <si>
    <t>Aishwarya Sudhir Pandharpure</t>
  </si>
  <si>
    <t>aishwaryapandharpure09@gmail.com</t>
  </si>
  <si>
    <t>p25700293@student.nicmar.ac.in</t>
  </si>
  <si>
    <t>12-Dec-2001</t>
  </si>
  <si>
    <t>Marathi, English, Hindi</t>
  </si>
  <si>
    <t>9626 5641 3440</t>
  </si>
  <si>
    <t>SAMPADA</t>
  </si>
  <si>
    <t>VISHWAMBHAR RESIDENCY MANIK BAUG, ANAND NAGAR,PUNE</t>
  </si>
  <si>
    <t>195 Gajanan Housing Society Karad -415124</t>
  </si>
  <si>
    <t>LAHOTI KANAYA PRASHALA KARAD.</t>
  </si>
  <si>
    <t>MAHARASHTRA STATE BOARD OF SECONDARY AND HIGHER SECONDARY EDUCATION,  DIVISIONAL BOARD - KOLHAPUR.</t>
  </si>
  <si>
    <t>YASHWANTRAO CHAVAN COLLEGE OF SCIENCE , KARAD</t>
  </si>
  <si>
    <t>ALL INDIA SHRI SHIVAJI MEMORIAL SOCIETY, PUNE</t>
  </si>
  <si>
    <t>AutoCAD,MS Office,MS Project,Primavera,REVIT,Quantity Surveying using MS-Excel</t>
  </si>
  <si>
    <t>Shobha limited  | Cost control  | Bengaluru  | May 2026 | Jul 2026 | 9 Weeks | Campus Internship
SKAF CONSTRUCTION PVT.LTD. | QUANTITY SURVEYOR | PUNE | Feb 2025 | Jun 2025 | 21 Weeks</t>
  </si>
  <si>
    <t>P25700294</t>
  </si>
  <si>
    <t>KAUSHIK</t>
  </si>
  <si>
    <t>SRINIVAS</t>
  </si>
  <si>
    <t>GUMMADI</t>
  </si>
  <si>
    <t>Kaushik Srinivas Gummadi</t>
  </si>
  <si>
    <t>ksgimp323@gmail.com</t>
  </si>
  <si>
    <t>p25700294@student.nicmar.ac.in</t>
  </si>
  <si>
    <t>03-Feb-2003</t>
  </si>
  <si>
    <t>English,Hindi,Telugu,Marathi</t>
  </si>
  <si>
    <t>3354 9635 6912</t>
  </si>
  <si>
    <t>KIRANJYOTHI</t>
  </si>
  <si>
    <t>C2-901, Siyona Apartments, Katraj-Dehu, Punawale, Pune</t>
  </si>
  <si>
    <t>APPASAHEB BIRNALE PUBLIC SCHOOL</t>
  </si>
  <si>
    <t>CENTRAL BOARD OF SECONDARY EDUCATION, SANGLI</t>
  </si>
  <si>
    <t>SRM INSTITUTE OF SCIENCE AND TECHNOLOGY, KATTANKULATHUR</t>
  </si>
  <si>
    <t>AutoCAD,MS Office,MS Project,Primavera,Staad pro, Revit</t>
  </si>
  <si>
    <t>Akruti Enterprises | Site Engineer  | Hadapsar  | Jun 2024 | Jul 2025 | 1 Years, 1 Months, 0 Days | 6</t>
  </si>
  <si>
    <t>Shinde Developers Pvt. Ltd. | Trainee Junior Engineer | Dharashiv | May 2026 | Jul 2026 | 8 Weeks | Campus Internship
Skillvertex | Intern | Online  | Mar 2022 | Apr 2022 | 4 Weeks</t>
  </si>
  <si>
    <t>P25700295</t>
  </si>
  <si>
    <t>MAHANAND</t>
  </si>
  <si>
    <t>Sahil Mahanand Pawar</t>
  </si>
  <si>
    <t>sahil301102@gmail.com</t>
  </si>
  <si>
    <t>p25700295@student.nicmar.ac.in</t>
  </si>
  <si>
    <t>30-Nov-2002</t>
  </si>
  <si>
    <t>9865 2010 5897</t>
  </si>
  <si>
    <t>MAHANAND PAWAR</t>
  </si>
  <si>
    <t>LIBRARIAN</t>
  </si>
  <si>
    <t>MANSI PAWAR</t>
  </si>
  <si>
    <t>A/P, Janavli, Shikshak Colony, Near Anumit Super Store, Tarandale Road, Kankavli</t>
  </si>
  <si>
    <t>Sindhudurg</t>
  </si>
  <si>
    <t>ST. URSULA SCHOOL</t>
  </si>
  <si>
    <t>GOVERNMENT POLYTECHNIC MALVAN</t>
  </si>
  <si>
    <t>TERNA ENGINEERING COLLEGE</t>
  </si>
  <si>
    <t>AutoCAD, MS Office, MS Project, Primavera</t>
  </si>
  <si>
    <t>Pawar Patkar  Constructions Pvt. Ltd. | Trainee Engineer | Belapur, Navi-Mumbai | Dec 2024 | Jun 2025 | 0 Years, 6 Months, 10 Days | 1.89</t>
  </si>
  <si>
    <t>Global Engineering Services | Project Management Intern | Navi Mumbai | May 2026 | Jul 2026 | 8 Weeks | Campus Internship</t>
  </si>
  <si>
    <t>P25700296</t>
  </si>
  <si>
    <t>HARSH</t>
  </si>
  <si>
    <t>BHOYAR</t>
  </si>
  <si>
    <t>Harsh Rajendra Bhoyar</t>
  </si>
  <si>
    <t>bhoyarharsh012@gmail.com</t>
  </si>
  <si>
    <t>p25700296@student.nicmar.ac.in</t>
  </si>
  <si>
    <t>19-Aug-2003</t>
  </si>
  <si>
    <t>2020 6466 5902</t>
  </si>
  <si>
    <t>RAJENDRA BHOYAR</t>
  </si>
  <si>
    <t>JYOTSANA BHOYAR</t>
  </si>
  <si>
    <t>Plot No.26,Chichghare Layout Bypass Road Umred, Dist.- Nagpur</t>
  </si>
  <si>
    <t>JEEVAN VIKAS VIDHYALAYA, UMRED</t>
  </si>
  <si>
    <t>ACHARYA SHRIMANNARAYAN POLYTECHNIC PIPRI (MEGHE), WARDHA</t>
  </si>
  <si>
    <t>SINHGAD INSTITUTE OF TECHNOLOGY AND SCIENCE NARHE, PUNE</t>
  </si>
  <si>
    <t>AutoCAD,MS Office,MS Project,Primavera,BIM,CostX</t>
  </si>
  <si>
    <t>Bangalore Metro Rail Corporation Ltd. | Project Intern  | Bangalore | May 2026 | Jul 2026 | 8 Weeks | Campus Internship
M/S M.D.BHOYAR CONSTRUCTIONS | Inten | Khapari | Dec 2023 | Jan 2024 | 3 Weeks</t>
  </si>
  <si>
    <t>P25700297</t>
  </si>
  <si>
    <t>AKSHITH</t>
  </si>
  <si>
    <t>BIJJALA</t>
  </si>
  <si>
    <t>Akshith Bijjala</t>
  </si>
  <si>
    <t>bijjalaakshith@gmail.com</t>
  </si>
  <si>
    <t>p25700297@student.nicmar.ac.in</t>
  </si>
  <si>
    <t>13-Jun-2003</t>
  </si>
  <si>
    <t>4858 5460 7265</t>
  </si>
  <si>
    <t>B S P C CHAKRAVARTHI</t>
  </si>
  <si>
    <t>SOFTWARE ENGINEER</t>
  </si>
  <si>
    <t>B SWAPNA</t>
  </si>
  <si>
    <t>13-6-460/34, MAHESH NAGAR COLONY, GUDIMALKAPUR, KARWAN</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</si>
  <si>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</si>
  <si>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</si>
  <si>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</si>
  <si>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</si>
  <si>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</si>
  <si>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</si>
  <si>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</si>
  <si>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 Weeks
L&amp;T edutech | Trainee  | Chennai  | Jul 2023 | Aug 2023 | 1 Weeks</t>
  </si>
  <si>
    <t>Design of Structural Steel Members
Principles of Construction Management
Safety for Professionals
Deep Excavation And Tunnels
Building Information Modeling
Bridge Engineering Design Practices
Concreting Techniques and Practices</t>
  </si>
  <si>
    <t>P25700298</t>
  </si>
  <si>
    <t>GOPICHAND</t>
  </si>
  <si>
    <t>Sejal Gopichand Rathod</t>
  </si>
  <si>
    <t>sejalrathod4617@gmail.com</t>
  </si>
  <si>
    <t>p25700298@student.nicmar.ac.in</t>
  </si>
  <si>
    <t>11-Jun-2002</t>
  </si>
  <si>
    <t>ENGLISH ,HINDI , MARATHI</t>
  </si>
  <si>
    <t>4703 9991 6788</t>
  </si>
  <si>
    <t>PARVATI</t>
  </si>
  <si>
    <t>N-12 D 52 / 2
T.V Centre ,
Hudco ,
Near Sambhaji Statue
Chhatrapati Sambhaji Nagar
Maharashtra,431001
8956224681</t>
  </si>
  <si>
    <t>SHANTINIKETAN PUBLIC SCHOOL</t>
  </si>
  <si>
    <t>BHASKARACHARYA  HIGHER SECONDARY SCHOOL</t>
  </si>
  <si>
    <t>DR. BABASAHEB AMBEDKAR MARATHWADA UNIVERSITY, CHHATRAPATI SAMBHAJINAGAR, MAHARASHTRA</t>
  </si>
  <si>
    <t>AutoCAD,MS Office,MS Project,lumion,Vray,Sketchup,Revit,html,css,MS Excel</t>
  </si>
  <si>
    <t>PrimaVerse IDC LLP | Junior Civil Engineer | Nanded City ,Pune | May 2024 | Sep 2024 | 0 Years, 4 Months, 10 Days | 2.4</t>
  </si>
  <si>
    <t>Impact Infraheight Pvt. Ltd. | Procurement Intern | Shivajinagar , Pune | May 2026 | Jul 2026 | 8 Weeks | Campus Internship
GVPR Engineers Limited | Intern | Chhatrapati Sambhaji Nagar | Dec 2022 | Apr 2023 | 21 Weeks</t>
  </si>
  <si>
    <t>Construction Practice On-site
Professional Diploma In Civil CAD
Ethics in Engineering Practice
Finance For Non-Financial Manager</t>
  </si>
  <si>
    <t>P25700299</t>
  </si>
  <si>
    <t>Aditya Salve</t>
  </si>
  <si>
    <t>patiladitya542021@gmail.com</t>
  </si>
  <si>
    <t>p25700299@student.nicmar.ac.in</t>
  </si>
  <si>
    <t>Marathi, English and Hindi</t>
  </si>
  <si>
    <t>3000 6093 3518</t>
  </si>
  <si>
    <t>PADMAVATI</t>
  </si>
  <si>
    <t>1102 T3 GODREJ HILLSIDE 2 MAHALUNGE PUNE</t>
  </si>
  <si>
    <t>Mahavir Road , Sarafa Market, Sillod</t>
  </si>
  <si>
    <t>PODAR INTERNATIONAL SCHOOL, AURANGABAD</t>
  </si>
  <si>
    <t>CENTRAL BOARD OF SECONDARY EDUCATION , NEW DELHI</t>
  </si>
  <si>
    <t>DEVIDAS  GHORPADE INTERNATIONAL SCHOOL AND JR COLLEGE</t>
  </si>
  <si>
    <t>DR. BABASAHEB AMBEDKAR MARATHWADA UNIVERSITY, AURANGABAD</t>
  </si>
  <si>
    <t>GOVERNMENT COLLEGE OF ENGINEERING, AURANGABAD</t>
  </si>
  <si>
    <t>P25700300</t>
  </si>
  <si>
    <t>ADITYASINGH</t>
  </si>
  <si>
    <t>SANDIPSINGH</t>
  </si>
  <si>
    <t>MOHANE</t>
  </si>
  <si>
    <t>Adityasingh Sandipsingh Mohane</t>
  </si>
  <si>
    <t>adityamohane@gmail.com</t>
  </si>
  <si>
    <t>p25700300@student.nicmar.ac.in</t>
  </si>
  <si>
    <t>29-Nov-2002</t>
  </si>
  <si>
    <t>2683 6297 2373</t>
  </si>
  <si>
    <t>APARNA</t>
  </si>
  <si>
    <t>Kirti Nagar, Akola</t>
  </si>
  <si>
    <t>NISHU NURSERY AND KOTHARI CONVENT, AKOLA</t>
  </si>
  <si>
    <t>SHRI DAWALE JUNIOR COLLEGE, AKOLA</t>
  </si>
  <si>
    <t>SANT GADGE BABA AMRAVATI UNIVERSITY, AMRAVATI</t>
  </si>
  <si>
    <t>COLLEGE OF ENGINEERING AND TECHNOLOGY, AKOLA</t>
  </si>
  <si>
    <t>AutoCAD, MS Office, MS Project, Staad Pro Software, Primavera, Revit</t>
  </si>
  <si>
    <t>EZ Realty | Procurement Intern | Kharadi, Pune | May 2026 | Jul 2026 | 8 Weeks | Campus Internship
ATAL REALTECH LTD | INTERN- SITE SUPERVISION | AKOLA | Jun 2024 | Jul 2024 | 2 Weeks</t>
  </si>
  <si>
    <t xml:space="preserve">Bentley Foundation Certificate
Bentley Staad Pro Certificate
Indian Green Building Council (IGBC) Certificate </t>
  </si>
  <si>
    <t>P25700301</t>
  </si>
  <si>
    <t>SAGAR</t>
  </si>
  <si>
    <t>Sagar Singh</t>
  </si>
  <si>
    <t>chahalsagar725@gmail.com</t>
  </si>
  <si>
    <t>p25700301@student.nicmar.ac.in</t>
  </si>
  <si>
    <t>25-Apr-2003</t>
  </si>
  <si>
    <t>7958 9711 1849</t>
  </si>
  <si>
    <t>DHEER SINGH</t>
  </si>
  <si>
    <t>RUKMESH DEVI</t>
  </si>
  <si>
    <t>Gyan Vihar Colony, Near Sugar Mill</t>
  </si>
  <si>
    <t>Bijnor</t>
  </si>
  <si>
    <t>ROOTS INTL SCHOOL</t>
  </si>
  <si>
    <t>CBSE    BIJNOR/UTTAR PRADESH</t>
  </si>
  <si>
    <t>MD INTERNATIONAL SCHOOL</t>
  </si>
  <si>
    <t>CHANDIGARH UNIVERSITY  MOHALI/PUNJAB</t>
  </si>
  <si>
    <t>AutoCAD,MS Office,MS Project,OPENROADS,Abaqus,Civil 3D,Navisworks,Primevera P6</t>
  </si>
  <si>
    <t xml:space="preserve"> NBCC (INDIA) LIMITED | Intern | Gr. Noida | May 2026 | Jul 2026 | 9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</si>
  <si>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</si>
  <si>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P25700302</t>
  </si>
  <si>
    <t>RANDHE</t>
  </si>
  <si>
    <t>KALPESH</t>
  </si>
  <si>
    <t>Randhe Kalpesh Janardhan</t>
  </si>
  <si>
    <t>kalpeshrandhe999@gmail.com</t>
  </si>
  <si>
    <t>p25700302@student.nicmar.ac.in</t>
  </si>
  <si>
    <t>26-Dec-1996</t>
  </si>
  <si>
    <t>Marathi, Hinidi, English</t>
  </si>
  <si>
    <t>6366 7989 0055</t>
  </si>
  <si>
    <t>NICMAR BOYS' HOSTEL, N.I.A POST OFFICE, BALEWADI, PUNE</t>
  </si>
  <si>
    <t>Near Balaji Symphony, Sukhapur, Matheran Road, New Panvel, Tal- Panvel, Dist-Raigad</t>
  </si>
  <si>
    <t>PRIYADARSHANI HIGH SCHOOL</t>
  </si>
  <si>
    <t>PUNE/MAHARASHTRA</t>
  </si>
  <si>
    <t>CHANGU KANA THAKUR SECONDARY &amp; HIGHER SECONDARY VIDYALAYA</t>
  </si>
  <si>
    <t>MUMBAI/MAHARASHTRA</t>
  </si>
  <si>
    <t>J.S.P.M IMPERIAL COLLEGE OF ENGINEERING &amp; RESEARCH</t>
  </si>
  <si>
    <t>Balaji Symphony | Jr. Site Engineer | City-Panvel, Maharashtra | Sep 2018 | Sep 2022 | 4 Years, 0 Months, 29 Days | 1.87
Right Advisor Pvt.Ltd | Civil Engineer | Bamandongri, Kharkopar State- Maharashtra | Oct 2022 | Jun 2025 | 2 Years, 7 Months, 27 Days | 3.6</t>
  </si>
  <si>
    <t>80 month(s)</t>
  </si>
  <si>
    <t>Sobha Ltd | Site execution and planning intern | Bangalore | May 2026 | Jul 2026 | 9 Weeks | Campus Internship</t>
  </si>
  <si>
    <t>Safety conscious person</t>
  </si>
  <si>
    <t>P25700303</t>
  </si>
  <si>
    <t>Shaik Mohammed Sameer</t>
  </si>
  <si>
    <t>sameersss1432@gmail.com</t>
  </si>
  <si>
    <t>p25700303@student.nicmar.ac.in</t>
  </si>
  <si>
    <t>ENGLISH,HINDI,TELUGU,URDU,TAMIL,ARABIC</t>
  </si>
  <si>
    <t>7351 1384 2219</t>
  </si>
  <si>
    <t>SHAIK MAHABOOB BASHA</t>
  </si>
  <si>
    <t>SHAIK SHAWAR</t>
  </si>
  <si>
    <t>39/107-138 Tagore Nagar, Bose Nagar, Raya Choti, Cuddapah</t>
  </si>
  <si>
    <t>PENCHAL REDDY HIGH SCHOOL</t>
  </si>
  <si>
    <t>CENTRAL BOARD OF SECONDARY EDUCATION, RAYACHOTY ANDHRA PRADESH</t>
  </si>
  <si>
    <t>SRI CHAITNYA BOYS JUNIOR COLLEGE</t>
  </si>
  <si>
    <t>BOARD OF INTERMEDIATE EDUCATION , VIJAYAWADA ANDHRA PRADESH</t>
  </si>
  <si>
    <t>SREE VIDYANIKETHAN ENGINEERING COLLAGE</t>
  </si>
  <si>
    <t>CEAT Limited | Project Trainee | Nagpur | May 2026 | Jul 2026 | 8 Weeks | Campus Internship
GS Peb &amp; Civil Works PVT.LTD | Shaik Mohammed Sameer | Chakan pune | Jan 2025 | Jun 2025 | 21 Weeks</t>
  </si>
  <si>
    <t>P25700304</t>
  </si>
  <si>
    <t>SAMUDRAPU</t>
  </si>
  <si>
    <t>LAKSHMI DURGA</t>
  </si>
  <si>
    <t>ANAND KUMAR</t>
  </si>
  <si>
    <t>Samudrapu Lakshmi Durga Anand Kumar</t>
  </si>
  <si>
    <t>anandkumarsamudrapu@gmail.com</t>
  </si>
  <si>
    <t>p25700304@student.nicmar.ac.in</t>
  </si>
  <si>
    <t>28-May-2003</t>
  </si>
  <si>
    <t>2799 1929 3546</t>
  </si>
  <si>
    <t>ANIL KUMAR</t>
  </si>
  <si>
    <t>VASANTHA KUMARI</t>
  </si>
  <si>
    <t>3-71,Dibbalamida,Near Mahankallimma Temple,Undi Mandalam,Mahadevapatnam</t>
  </si>
  <si>
    <t>SRI BHARATHI EM HIGH SCHOOL</t>
  </si>
  <si>
    <t>BOARD OF SECOUNDARY EDUCATION ANDHRA PRADESH</t>
  </si>
  <si>
    <t>NARAYANA JUNIOUR COLLEGE</t>
  </si>
  <si>
    <t>SAGI RAMAKRISHNAM RAJU ENGINEERING COLLEGE</t>
  </si>
  <si>
    <t>FORTRESS INFRACON | Planning, Architect &amp; Engineering Department | Amaravathi | May 2026 | Jul 2026 | 8 Weeks | Campus Internship
ASCENT CS GLOBAL | INTERN | HYDERBAD | Jul 2022 | Sep 2022 | 8 Weeks
TRAFFIC POLICE  DEPARTMENT, BHIMAVARAM, ANDHRA PRADESH | INTERN IN TRAFFIC VOLUME STUDY  | BHIMAVARAM | Jun 2023 | Aug 2023 | 8 Weeks</t>
  </si>
  <si>
    <t>P25700305</t>
  </si>
  <si>
    <t>BALASAHEB</t>
  </si>
  <si>
    <t>FARGADE</t>
  </si>
  <si>
    <t>Yash Balasaheb Fargade</t>
  </si>
  <si>
    <t>yashfargade856@gmail.com</t>
  </si>
  <si>
    <t>p25700305@student.nicmar.ac.in</t>
  </si>
  <si>
    <t>5251 0121 6068</t>
  </si>
  <si>
    <t>BALASAHEB DATTU FARGADE</t>
  </si>
  <si>
    <t>PUSHPA</t>
  </si>
  <si>
    <t>AT-MEHENDURI,PO-RUMBHODI,TAL-AKOLE,DIS-AHILYANAGAR-422601</t>
  </si>
  <si>
    <t>SHRI CHHATRAPATI SHIVAJI MAHARAJ VIDYALAYA, MEHENDURI</t>
  </si>
  <si>
    <t>MAHARASHTRA STATE BOARD OF SECONDARY AND HIGHER SECONDARY EDUCATION,PUNE-(AKOLE,AHILYANAGAR-422601)</t>
  </si>
  <si>
    <t>SARSWATI VIDYALAYA AND JR. COLLEGE, DHAMANGAON PAT</t>
  </si>
  <si>
    <t>MAHARASHTRA STATE BOARD OF SECONDARY AND HIGHER SECONDARY EDUCATION,PUNE-(AKOLE, AHILYANAGAR-422601)</t>
  </si>
  <si>
    <t>AMRUTVAHINI POLYTECHNIC,(SANGAMNER,AHILYANAGAR-422605)</t>
  </si>
  <si>
    <t>DR.D.Y.PATIL SCHOOL OF ENGG AND TECH CHARHOLI BK ,(PUNE-412105)</t>
  </si>
  <si>
    <t>Primavera P6 – Planning &amp; Scheduling, MS Project (MSP), Project Controls, MS Excel – Data Analysis &amp; MIS,  MS Office,  CostX – Estimation &amp; Quantity Take-off,  BOQ &amp; Estimation, Contracts &amp; Claims,  AutoCAD | Revit | Navisworks</t>
  </si>
  <si>
    <t>TECHNOCRAFT FORMWORKS PRIVATE LIMITED | Design Engineer | Bavdhan, Pune-411021 | Aug 2024 | May 2025 | 0 Years, 8 Months, 20 Days | 3.36</t>
  </si>
  <si>
    <t>RITES Limited | Construction Management Intern | Mumbai, Maharashtra | May 2026 | Jul 2026 | 9 Weeks | Campus Internship</t>
  </si>
  <si>
    <t>IGBC Accredited Professional – Associate Indian Green Building Council (IGBC) 
digiQC Academy – Project Admin (Scholar)
SPJIMR – Data Analysis
Revit Architecture
AUTOCAD
Emory University – Finance for Non-Financial Managers</t>
  </si>
  <si>
    <t>P25700306</t>
  </si>
  <si>
    <t>KURUVILA</t>
  </si>
  <si>
    <t>SAIJAN</t>
  </si>
  <si>
    <t>Kuruvila Saijan</t>
  </si>
  <si>
    <t>999.ar.k.s@gmail.com</t>
  </si>
  <si>
    <t>p25700306@student.nicmar.ac.in</t>
  </si>
  <si>
    <t>22-Mar-1999</t>
  </si>
  <si>
    <t>5013 6534 1614</t>
  </si>
  <si>
    <t>SAIJAN KURIAKOSE</t>
  </si>
  <si>
    <t>DALIA SAIJAN</t>
  </si>
  <si>
    <t>Oliyapuram House, EN-160, Angamaly, Ernakulam, Kerala, 683572</t>
  </si>
  <si>
    <t>VISWAJYOTHI PUBLIC SCHOOL</t>
  </si>
  <si>
    <t>Commerce with Maths</t>
  </si>
  <si>
    <t>UNIVERSITY OF CALICUT</t>
  </si>
  <si>
    <t>AVANI INSTITUTE OF DESIGN, CALICUT, KERALA</t>
  </si>
  <si>
    <t>AutoCAD,MS Office,SketchUp,ArchiCAD,Revit,Rhino &amp; Grasshopper,Twinmotion,Adobe Creative Cloud,Procreate</t>
  </si>
  <si>
    <t>WOA DESIGN STUDIO PVT LTD | Lead Architect &amp; System Strategist | Kadavanthra, Ernakulam, Kerala  | Apr 2023 | Apr 2025 | 2 Years, 0 Months, 4 Days | 4.15</t>
  </si>
  <si>
    <t>NURU KARIM PARTNERS LLP | Urban Planning  | Mumbai | May 2026 | Jul 2026 | 8 Weeks | Campus Internship
Flying Elephant Studio | Trainee Architect  | Kalyan Nagar, Bangalore  | Jan 2021 | Jun 2021 | 22 Weeks
OLIYAPURAM MARKETING COMPANY | ARCHITECT (INTERN) | ANGAMALY, ERNAKULAM | Jun 2022 | Feb 2023 | 38 Weeks</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</si>
  <si>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</si>
  <si>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</si>
  <si>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</si>
  <si>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</si>
  <si>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</si>
  <si>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</si>
  <si>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</si>
  <si>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</si>
  <si>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</si>
  <si>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</si>
  <si>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</si>
  <si>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</si>
  <si>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</si>
  <si>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</si>
  <si>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</si>
  <si>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 Years, 11 Months, 30 Days | 3</t>
  </si>
  <si>
    <t>Medigence Solutions Pvt. Ltd  | Project Management Intern | Ahmedabad, Gujrat | May 2026 | Jul 2026 | 8 Weeks | Campus Internship
Unique Civil | Intern Bim Modeler | Pune | May 2024 | Nov 2024 | 26 Weeks
GAGAN UNNATI PROMOTERS , GAGAN CEFIRO | Civil Engineer Student  | PUNE | May 2018 | Jun 2018 | 4 Weeks</t>
  </si>
  <si>
    <t>Ethics in Engineering Practice
Finance for Non-Financial Managers
Indian Green Building Council (IGBC) Accredited Professional - Associate</t>
  </si>
  <si>
    <t>P25700308</t>
  </si>
  <si>
    <t>RITWICK</t>
  </si>
  <si>
    <t>VATSA</t>
  </si>
  <si>
    <t>Ritwick Vatsa</t>
  </si>
  <si>
    <t>ritwickvatsa@gmail.com</t>
  </si>
  <si>
    <t>p25700308@student.nicmar.ac.in</t>
  </si>
  <si>
    <t>28-Nov-1999</t>
  </si>
  <si>
    <t>English,Hindi,Gujrati</t>
  </si>
  <si>
    <t>4781 8664 5382</t>
  </si>
  <si>
    <t>PRAKASH CHANDRA SINGH</t>
  </si>
  <si>
    <t>KUMARI MANJU</t>
  </si>
  <si>
    <t>FLAT NO 202,SHANTI APARTMENT,WEST OF 90 FT ROAD , KANKARBAGH</t>
  </si>
  <si>
    <t>SATTVA VIKAS SCHOOL</t>
  </si>
  <si>
    <t>CBSE,AHMEDABAD</t>
  </si>
  <si>
    <t>R.J.P.R.P COLLEGE</t>
  </si>
  <si>
    <t>BSEB,PATNA</t>
  </si>
  <si>
    <t>KALINGA INSTITUTE OF INDUSTRIAL TECHNOLOGY,BHUBANESHWAR</t>
  </si>
  <si>
    <t>Ashiana Housing Ltd | Assistant Engineer | Bhiwadi | Apr 2023 | Jun 2025 | 2 Years, 1 Months, 24 Days | 4.32</t>
  </si>
  <si>
    <t>25 month(s)</t>
  </si>
  <si>
    <t>Masin Projects Private Limited | Quantum Intern | Gurgaon | May 2026 | Jul 2026 | 8 Weeks | Campus Internship</t>
  </si>
  <si>
    <t>P25700309</t>
  </si>
  <si>
    <t>GIRIPRASATH</t>
  </si>
  <si>
    <t>Giriprasath N</t>
  </si>
  <si>
    <t>ngiriprasath15@gmail.com</t>
  </si>
  <si>
    <t>p25700309@student.nicmar.ac.in</t>
  </si>
  <si>
    <t>15-Jul-2004</t>
  </si>
  <si>
    <t>English, Tamil and Telugu</t>
  </si>
  <si>
    <t>2245 6095 9239</t>
  </si>
  <si>
    <t>NAVANEETHAKRISHNAN T</t>
  </si>
  <si>
    <t>DATA MANAGER, GOVERNMENT HOSPITAL, VIRUDHUNAGAR, TAMIL NADU</t>
  </si>
  <si>
    <t>DHANALAKSHMI S</t>
  </si>
  <si>
    <t>1/223-8,kooraikundu,Virudhunagar Collectorate</t>
  </si>
  <si>
    <t>KVS MATRIC HR SEC SCHOOL VIRUDHUNAGAR</t>
  </si>
  <si>
    <t>Computer Science (CS)</t>
  </si>
  <si>
    <t>NATIONAL ENGINEERING COLLEGE, KOVILPATTI</t>
  </si>
  <si>
    <t>Primavera P6,MS Project,MS Office,Revit,AutoCAD,CostX</t>
  </si>
  <si>
    <t>Bangalore Metro Corporation Ltd | Management Intern | Bangalore | May 2026 | Jul 2026 | 8 Weeks | Campus Internship
BALFOUR BEATTY INFRASTRUCTURE INDIA PVT. LTD. | Design and Drafting Engineer (Intern) | BANGALORE (UK-BASED COMPANY) | Jun 2024 | Jun 2024 | 3 Weeks
THE RAMCO CEMENTS LIMITED | Site Maintenance Engineer  | R.R. NAGAR FACTORY, TAMIL NADU | Nov 2023 | Nov 2023 | 2 Weeks</t>
  </si>
  <si>
    <t>Quantity Surveying Building Estimation and Project planning</t>
  </si>
  <si>
    <t>P25700310</t>
  </si>
  <si>
    <t>Bharat Parmar</t>
  </si>
  <si>
    <t>bharat866parmar@gmail.com</t>
  </si>
  <si>
    <t>p25700310@student.nicmar.ac.in</t>
  </si>
  <si>
    <t>16-Aug-2003</t>
  </si>
  <si>
    <t>Hindi,English,Marathi</t>
  </si>
  <si>
    <t>7062 5238 0855</t>
  </si>
  <si>
    <t>PARASMAL PARMAR</t>
  </si>
  <si>
    <t>PARUDEVI PARMAR</t>
  </si>
  <si>
    <t>FLAT NO 4 ANNAPURNA APARTMENTS 18 PANDE LAYOUT KHAML NAGPUR</t>
  </si>
  <si>
    <t>Parasmal Parmar, 22/104 Sonam Veena Chs Ltd, ., Nr Jain Bunglow, New Golden Nest, Phase -11, Bhaindar East, Thane</t>
  </si>
  <si>
    <t>SOMALWAR NIKALAS HIGH SCHOOL</t>
  </si>
  <si>
    <t>MAHARASHTRA STATE BOARD OF SECONDARY AND HIGHER SECONDARY EDUCATION, NAGPUR MAHARASHTRA</t>
  </si>
  <si>
    <t>MKH SANCHETI COLLAGE</t>
  </si>
  <si>
    <t>SHRI RAMDEOBABA COLLEGE OF ENGINEERING AND MANAGEMENT, NAGPUR MAHARASHTRA</t>
  </si>
  <si>
    <t>Primavera P6,MS Project,Revit,Naviswork,AutoCAD,SAP2000,Beam AI,Automeasure</t>
  </si>
  <si>
    <t>NBCC (INDIA) LIMITED | PROJECT INTERN | Greater Noida | May 2026 | Jul 2026 | 9 Weeks | Campus Internship
ATTENTIVE OS PRIVATE LIMITED | TRAINEE ESTIMATOR | NEW DELHI | Jan 2025 | Jun 2025 | 21 Weeks
R.K. MADHANI &amp; CO | INTERN | Amravati | May 2024 | Jul 2024 | 7 Weeks</t>
  </si>
  <si>
    <t>Construction Cost Estimating and Cost Control
International Leadership and Organizational  Behavior
Campus to Corporate
Resource and Waste Management in Buildings
Investment Analysis and Portfolio Management
Green Building Assessment &amp; Certification
Financial Reporting &amp; Analysis: Complete Preparation
Concreting Techniques and Practices</t>
  </si>
  <si>
    <t>P25700311</t>
  </si>
  <si>
    <t>Vaishnavi .</t>
  </si>
  <si>
    <t>ar.vysh332@gmail.com</t>
  </si>
  <si>
    <t>p25700311@student.nicmar.ac.in</t>
  </si>
  <si>
    <t>03-Mar-2000</t>
  </si>
  <si>
    <t>Riding,cooking,Dancing</t>
  </si>
  <si>
    <t>2503 6271 6368</t>
  </si>
  <si>
    <t>NAGNATH</t>
  </si>
  <si>
    <t>POLICE HEADCONSTABLE</t>
  </si>
  <si>
    <t>GOURAMMA</t>
  </si>
  <si>
    <t>15-5-269, Basavashraya, Near Gurudatta Dhyanmandir, Bidar</t>
  </si>
  <si>
    <t>Bidar</t>
  </si>
  <si>
    <t>GNYANA SUDHA VIDYALAYA, BIDAR</t>
  </si>
  <si>
    <t>CBSE, DELHI</t>
  </si>
  <si>
    <t>SC GURUKULA PU COLLEGE, KARDYAL BHALKI TQ, BIDAR DT 585328</t>
  </si>
  <si>
    <t>GOVERNMENT OF KARNATAKA, DEPARTMENT OF PRE UNIVERSITY EDUCATION, BANGALORE</t>
  </si>
  <si>
    <t>VISVESVARAYA TECHNOLOGICAL UNIVERSITY, BELGAVI</t>
  </si>
  <si>
    <t>BMS COLLEGE OF ARCHITECTURE, BENGALURU</t>
  </si>
  <si>
    <t>Power BI, Microsoft Excel, Data Analysis, Quantitative Analysis, MS Project, Primavera, Project Planning &amp; Scheduling, Project Controls, Cost Estimation, Risk Management, Process Improvement, Operational Excellence, BIM, Revit, AutoCAD, MS Office</t>
  </si>
  <si>
    <t>INFRASCAPES LLP | ARCHITECT- DESIGN ASSOCIATE | Hyderabad | Mar 2024 | Mar 2025 | 1 Years, 0 Months, 0 Days | 3.6</t>
  </si>
  <si>
    <t>CHERRY HILL INTERIORS PVT. LTD. | Intern | Delhi | May 2026 | Jul 2026 | 8 Weeks | Campus Internship
CREATIVE GROUP LLP | INTERN ARCHITECT | NEW DELHI | Aug 2022 | Dec 2022 | 15 Weeks
GROUND TALE ARCHITECTS AND DESIGNERS | JUNIOR ARCHITECT  | PUNE | Jun 2023 | Mar 2024 | 37 Weeks</t>
  </si>
  <si>
    <t>C.Tech higher diploma in interior design
Operational excellence foundations
Root cause analysis: getting to the root of business problems
Microsoft project in business situations: tips from the field
Microsoft project quick tips
Microsoft project step-by-step: planning for successful project management
Learning Microsoft project
Six Sigma: green belt
Six Sigma foundations
Learn six Sigma foundations
Getting started with Microsoft project
Become a six sigma green belt
Ethics and engineering practice
Finance for non-financial managers
Construction Management: Planning and  Scheduling</t>
  </si>
  <si>
    <t>P25700312</t>
  </si>
  <si>
    <t>SANYAM</t>
  </si>
  <si>
    <t>KRUSHNARAO</t>
  </si>
  <si>
    <t>Sanyam Krushnarao Patil</t>
  </si>
  <si>
    <t>patilsanyam123@gmail.com</t>
  </si>
  <si>
    <t>p25700312@student.nicmar.ac.in</t>
  </si>
  <si>
    <t>10-Feb-1999</t>
  </si>
  <si>
    <t>7206 3466 9067</t>
  </si>
  <si>
    <t>KRUSHNARAO KASHIRAM PATIL</t>
  </si>
  <si>
    <t>RAJANI KRUSHNARAO PATIL</t>
  </si>
  <si>
    <t>SANKALP VIHAR WING A-19 JSPM COLLEGE ROAD, VETAL BUA CHOWK,NARHE,PUNE,41</t>
  </si>
  <si>
    <t>LATE B.D.S HIGHSCHOOL MOTALA,DIST BULDHANA</t>
  </si>
  <si>
    <t>ZEAL POLYTECHNIC NARHE,PUNE,MAHARASHTRA</t>
  </si>
  <si>
    <t>ALL INDIA SHREE SHIVAJI MEMORIAL SOCIETY,COLLEGE OF ENGINEERING ,PUNE</t>
  </si>
  <si>
    <t>AutoCAD,MS Office,Primavera,MSP</t>
  </si>
  <si>
    <t>Bangalore Metro Rail Corporation Ltd. | Management  | Bangalore | May 2026 | Jul 2026 | 8 Weeks | Campus Internship
IMPERIAL PLAZA | Intern | Pune | Aug 2021 | Aug 2023 | 108 Weeks
Government Polytechnic Pune | Intern | Pune | Oct 2024 | Aug 2025 | 47 Weeks</t>
  </si>
  <si>
    <t>Primavera
Autocad Advanced</t>
  </si>
  <si>
    <t>P25700313</t>
  </si>
  <si>
    <t>M S</t>
  </si>
  <si>
    <t>Manoj M S</t>
  </si>
  <si>
    <t>manoj77manu07@gmail.com</t>
  </si>
  <si>
    <t>p25700313@student.nicmar.ac.in</t>
  </si>
  <si>
    <t>11-Feb-2000</t>
  </si>
  <si>
    <t>reading, travelling, photography</t>
  </si>
  <si>
    <t>9524 4003 0464</t>
  </si>
  <si>
    <t>SIDDESHWARA M B</t>
  </si>
  <si>
    <t>ASHA K</t>
  </si>
  <si>
    <t xml:space="preserve">207,
Chikkobanahalli (P),
Molakalmuru (T),
</t>
  </si>
  <si>
    <t>Chitradurga</t>
  </si>
  <si>
    <t>207, _x000D_
Chikkobanahalli (P),_x000D_
Molakalmuru (T),_x000D_
Chitradurga (D),_x000D_
Karnataka._x000D_
Pincode - 577535</t>
  </si>
  <si>
    <t>ANMOL PUBLIC SCHOOL</t>
  </si>
  <si>
    <t>ST JOHN'S P.U. SCIENCE COLLEGE</t>
  </si>
  <si>
    <t>DEPARTMENT OF PRE-UNIVERSITY EDUCATION, KARNATKA</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</si>
  <si>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</si>
  <si>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</si>
  <si>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 Years, 3 Months, 9 Days | 5
SMEC RAIL INDIA PRIVATE LIMITED | GRADUATE ENGINEER TRAINEE | CHENNAI, TAMIL NADU | Aug 2021 | Mar 2022 | 0 Years, 6 Months, 27 Days | 3</t>
  </si>
  <si>
    <t>Hindustan Construction Company (HCC) | Project Intern | MUMBAI | May 2026 | Jul 2026 | 7 Weeks | Campus Internship
SYSTRA MVA CONSULTING INDIA PRIVATE LIMITED | INTERN | BENGALURU | Mar 2021 | Apr 2021 | 8 Weeks</t>
  </si>
  <si>
    <t>Impact Lab - Young Leaders Program 2025
PMP Certification</t>
  </si>
  <si>
    <t>P25700314</t>
  </si>
  <si>
    <t>NOOPUR</t>
  </si>
  <si>
    <t>HANDE</t>
  </si>
  <si>
    <t>Noopur Ravindra Hande</t>
  </si>
  <si>
    <t>noopurhande456@gmail.com</t>
  </si>
  <si>
    <t>p25700314@student.nicmar.ac.in</t>
  </si>
  <si>
    <t>22-Sep-2001</t>
  </si>
  <si>
    <t>4803 7634 4993</t>
  </si>
  <si>
    <t>VARSHA</t>
  </si>
  <si>
    <t>F 1304 Eastern River Residency , Kashid Park ,_x000D_
Pimple Gurav 411061</t>
  </si>
  <si>
    <t>BLOOMINGDALE INTERNATIONAL SCHOOL</t>
  </si>
  <si>
    <t>INDIAN CERTIFICATE OF SECONDARY EDUCATION</t>
  </si>
  <si>
    <t>CUSROW WADIA INSTITUTE OF TECHNOLOGY</t>
  </si>
  <si>
    <t>RMD SINHGAD TECHNICAL INSTITUTE CAMPUS</t>
  </si>
  <si>
    <t>Primark Associates  | Management Trainee | Pune  | May 2026 | Jul 2026 | 8 Weeks | Campus Internship
Vaibhav Gulabrao Benke(government contractor &amp; engineer) | Civil Engineering Trainee | Junnar | May 2019 | Jun 2019 | 4 Weeks</t>
  </si>
  <si>
    <t>Ethics in Engineering Practice
AutoCAD</t>
  </si>
  <si>
    <t>P25700316</t>
  </si>
  <si>
    <t>IFHAM</t>
  </si>
  <si>
    <t>Ifham Khan</t>
  </si>
  <si>
    <t>iamifhamkhan@gmail.com</t>
  </si>
  <si>
    <t>p25700316@student.nicmar.ac.in</t>
  </si>
  <si>
    <t>06-Mar-2000</t>
  </si>
  <si>
    <t>5862 2786 3453</t>
  </si>
  <si>
    <t>MASROOR AHMED KHAN</t>
  </si>
  <si>
    <t>SHAHINA FAIZ</t>
  </si>
  <si>
    <t>4470, Shahtara Street, Ajmeri Gate</t>
  </si>
  <si>
    <t>Central Delhi</t>
  </si>
  <si>
    <t>CAMBRIDGE SCHOOL</t>
  </si>
  <si>
    <t>CENTRAL BOARD OF SECONDARY EDUCATION , NEW DELHI, DELHI</t>
  </si>
  <si>
    <t>CENTRAL BOARD OF SECONDARY EDUCATION, NEW DELHI, DELHI</t>
  </si>
  <si>
    <t>GURU GOBIND SINGH INDRAPRASTHA UNIVERSITY</t>
  </si>
  <si>
    <t>DR. AKHILESH DAS GUPTA INSTITUTE OF TECHNOLOGY &amp; MANAGEMENT</t>
  </si>
  <si>
    <t>AutoCAD,MS Office,MS Project,Primavera,Work Breakdown Structures,Progress Dashboard,Cost/Quantity Data Handling,Documentation Management,Engineering Drawings Interpretation,Quantity Takeoff</t>
  </si>
  <si>
    <t>Prestige Estates Projects Limited | Intern | Ghazibad, Uttar Pradesh  | May 2026 | Jul 2026 | 8 Weeks | Campus Internship
ABR Infrasolutions Pvt. Ltd. | Civil Engineer Trainee | Noida, Uttar Pradesh  | Sep 2022 | Nov 2022 | 8 Weeks</t>
  </si>
  <si>
    <t>Primavera P6
Staad Pro
Revit Structure</t>
  </si>
  <si>
    <t>P25700317</t>
  </si>
  <si>
    <t>MUDEWAR</t>
  </si>
  <si>
    <t>Shruti Mudewar</t>
  </si>
  <si>
    <t>shrutimudewar13@gmail.com</t>
  </si>
  <si>
    <t>p25700317@student.nicmar.ac.in</t>
  </si>
  <si>
    <t>13-Jun-2001</t>
  </si>
  <si>
    <t>English, hindi, marathi</t>
  </si>
  <si>
    <t>6965 3078 3914</t>
  </si>
  <si>
    <t>MAMTA</t>
  </si>
  <si>
    <t>Mamta Niwas, Near Renault Security Office, Haveli Garden, Chandrapur</t>
  </si>
  <si>
    <t>VIDYA NIKETAN HIGH SCHOOL</t>
  </si>
  <si>
    <t>NARAYANA GIRLS COLLEGE</t>
  </si>
  <si>
    <t>DIPLOMA OF INTERIOR DESIGNING</t>
  </si>
  <si>
    <t>HIMALAYAN UNIVERSITY</t>
  </si>
  <si>
    <t>PRIYADARSHINI INSTITUTE OF ARCHITECTURE AND DESIGN STUDIES, NAGPUR</t>
  </si>
  <si>
    <t>AutoCAD,MS Office,MS Project,Primavera,Sketchup,CostX</t>
  </si>
  <si>
    <t>A.W.khan | Project Coordination intern | Chandrapur  | May 2026 | Jul 2026 | 8 Weeks | Campus Internship
Modi Srivasta and Associates | Trainee Architect | Vadodara, gujrat | Jan 2023 | Sep 2023 | 33 Weeks</t>
  </si>
  <si>
    <t>P25700318</t>
  </si>
  <si>
    <t>Jaiswal</t>
  </si>
  <si>
    <t>Chaitanya</t>
  </si>
  <si>
    <t>Shailesh</t>
  </si>
  <si>
    <t>Jaiswal Chaitanya Shailesh</t>
  </si>
  <si>
    <t>chaitanyajaiswal23@gmail.com</t>
  </si>
  <si>
    <t>p25700318@student.nicmar.ac.in</t>
  </si>
  <si>
    <t>23-Sep-2002</t>
  </si>
  <si>
    <t>Cooking,Badminton,Reading Book</t>
  </si>
  <si>
    <t>9190 4431 9274</t>
  </si>
  <si>
    <t>SHAILESH</t>
  </si>
  <si>
    <t>VIDYA</t>
  </si>
  <si>
    <t>HOME ECONOMIST (HOUSE WIFE)</t>
  </si>
  <si>
    <t xml:space="preserve">Mudliyaar Nagar Near Vitthal Rukmini Mandir,Amravati
</t>
  </si>
  <si>
    <t>DESHMUKHWADI SHIVANE SWAMI BALAJI SOCIETY PUNE</t>
  </si>
  <si>
    <t>NARAYANDAS LADDHA HIGH SCHOOL,AMRAVATI</t>
  </si>
  <si>
    <t>DR.PANJABRAO DESHMUKH POLYTECHNIC, AMRAVATI</t>
  </si>
  <si>
    <t>SINHGAD COLLEGE OF ENGINEERING VADGAON, PUNE</t>
  </si>
  <si>
    <t>AutoCAD, Primavera P6, MS Project, Revit, Navisworks, BIM, Microsoft Excel, MS Office, MS Word</t>
  </si>
  <si>
    <t>SAI SHLOK INFRA PVT LTD  | Site Execution Intern | Silvassa - surangi | May 2026 | Jun 2026 | 8 Weeks | Campus Internship
Taha Construction  | Site Engineer | Amravati | Aug 2024 | Dec 2024 | 21 Weeks
SIDDHIVINAYAK ENTERPRISES | Intern-Site Management | Pune | Jan 2025 | Mar 2025 | 8 Weeks</t>
  </si>
  <si>
    <t>MS Excel
Autodesk BIM Professional
Autodesk Autocad 2022
RevitÂ® For Architecture</t>
  </si>
  <si>
    <t>P25700320</t>
  </si>
  <si>
    <t>RAVI</t>
  </si>
  <si>
    <t>Rohit Ravi</t>
  </si>
  <si>
    <t>revirohit@gmaill.com</t>
  </si>
  <si>
    <t>p25700320@student.nicmar.ac.in</t>
  </si>
  <si>
    <t>31-May-2000</t>
  </si>
  <si>
    <t>ENGLISH, HINDI, KONKANI, MARATHI, MALAYALAM</t>
  </si>
  <si>
    <t>9072 0926 4469</t>
  </si>
  <si>
    <t>RAVINDRAN KORAPRETH</t>
  </si>
  <si>
    <t>LOUJA NALLAVEETIL</t>
  </si>
  <si>
    <t>VARALAXMI P.G., THIRD FLOOR, ROOM NO. 301, MAHALUNGE, BANER, PUNE-MAHARASHTRA</t>
  </si>
  <si>
    <t>TF-1, Bhanudeep Residency, Near Supermarket Complex, Ponda-Goa</t>
  </si>
  <si>
    <t>North Goa</t>
  </si>
  <si>
    <t>Goa</t>
  </si>
  <si>
    <t>G. V. M'S A. J. DE ALMEIDA HIGH SCHOOL, PONDA-GOA</t>
  </si>
  <si>
    <t>GOA BOAD OF SECONDARY AND HIGHER SECONDARY EDUCATION, ALTO-BETIM, GOA</t>
  </si>
  <si>
    <t>G. V. M'S S. N. J. A. HIGHER SECONDARY SCHOOL, FARMAGUDI, PONDA-GOA</t>
  </si>
  <si>
    <t>GOA  UNIVERSITY</t>
  </si>
  <si>
    <t>DON BOSCO COLLEGE OF ENGINEERING</t>
  </si>
  <si>
    <t>AutoCAD,MS Office,MS Project,REVIT,E-TABS</t>
  </si>
  <si>
    <t>ENCUBE ETHICALS | ENGINEER | MADKAI, PONDA-GOA | Oct 2022 | Dec 2023 | 1 Years, 2 Months, 26 Days | 2.5
UR DREAMS | ENGINEER | VASCO | Aug 2024 | Jul 2025 | 0 Years, 10 Months, 26 Days | 2.16</t>
  </si>
  <si>
    <t>Sobha Ltd. | Site Execution  | Bengaluru  | May 2026 | Jul 2026 | 9 Weeks | Campus Internship</t>
  </si>
  <si>
    <t>Advance Diploma in 3D Design (Revit and E-TABS )
L&amp;T EduTech - Project Management : Initiation and Planning</t>
  </si>
  <si>
    <t>P25700321</t>
  </si>
  <si>
    <t>DEVANSH</t>
  </si>
  <si>
    <t>DWIVEDI</t>
  </si>
  <si>
    <t>Devansh Dwivedi</t>
  </si>
  <si>
    <t>devanshdwivedi1504@gmail.com</t>
  </si>
  <si>
    <t>p25700321@student.nicmar.ac.in</t>
  </si>
  <si>
    <t>15-Apr-2003</t>
  </si>
  <si>
    <t>HINDI ,ENGLISH</t>
  </si>
  <si>
    <t>3265 7168 1710</t>
  </si>
  <si>
    <t>SHACHIN DWIVEDI</t>
  </si>
  <si>
    <t>N/A</t>
  </si>
  <si>
    <t>GEETIKA DWIVEDI</t>
  </si>
  <si>
    <t>POST OFFICE, 25/1, NICMAR UNIVERSITY, GATE NO.2 , N.I.A_x000D_
RAM NAGAR,, BALEWADI RD, BANER, PUNE, MAHARASHTRA 411045</t>
  </si>
  <si>
    <t>10-C Pocket-A Dilshad Garden</t>
  </si>
  <si>
    <t>SHAHEED RAJPAL DAV PUBLIC SCHOOL DAYANAND VIHAR, DELHI -110092</t>
  </si>
  <si>
    <t>CBSE DELHI / EAST DELHI</t>
  </si>
  <si>
    <t>GURU GOBIND SINGH INDRAPRASTHA UNIVERSITY- DELHI</t>
  </si>
  <si>
    <t>DR. AKHILESH DAS GUPTA INSTITUTE OF PROFESSIONAL STUDIES, NEW DELHI-110056</t>
  </si>
  <si>
    <t>AutoCAD, Revit, MS Office</t>
  </si>
  <si>
    <t>GSIDC | Execution | Goa | May 2026 | Jul 2026 | 8 Weeks | Campus Internship
TATA PROJECTS LIMITED | N/A | TCS NOIDA-IT PARK | Jul 2024 | Aug 2024 | 5 Weeks</t>
  </si>
  <si>
    <t>Civil Design on Auto CAD, STAAD.Pro, ETABS &amp; Revit Architecture
IGBC certification</t>
  </si>
  <si>
    <t>P25700322</t>
  </si>
  <si>
    <t>NIDHIN</t>
  </si>
  <si>
    <t>KAILAS A</t>
  </si>
  <si>
    <t>Nidhin Kailas A</t>
  </si>
  <si>
    <t>nidhinkailasa2@gmail.com</t>
  </si>
  <si>
    <t>p25700322@student.nicmar.ac.in</t>
  </si>
  <si>
    <t>29-Jun-2002</t>
  </si>
  <si>
    <t>English, Hindi, Malayalam, Tamil(only speak and listen)</t>
  </si>
  <si>
    <t>4246 0797 9803</t>
  </si>
  <si>
    <t>K AKHIL</t>
  </si>
  <si>
    <t>GOVT SERVANT</t>
  </si>
  <si>
    <t>K DINI</t>
  </si>
  <si>
    <t>ARA-72, TC 6/2194(7), AITHADI LANE, NEAR PRASANTHNAGAR, ULLOOR TO AKKULAM ROAD, MEDICAL COLLEGE P.O., THIRUVANANTHAPURAM</t>
  </si>
  <si>
    <t>KENDRIYA VIDYALAYA PATTOM</t>
  </si>
  <si>
    <t>CBSE, KERALA</t>
  </si>
  <si>
    <t>COLLEGE OF ENGINEERING TRIVANDRUM , KERALA</t>
  </si>
  <si>
    <t>AutoCAD,MS Office,MS Project,Staad.Pro,VISSIM, Primavera, CostX, Navisworks</t>
  </si>
  <si>
    <t>ULCCS Ltd. | Student intern | Trivandrum, Kerala | May 2026 | Jun 2026 | 7 Weeks | Campus Internship
KERALA STATE ELECTRICITY BOARD LIMITED | STUDENT INTERN | MUNNAR, IDUKKI | Jun 2024 | Jun 2024 | 1 Weeks</t>
  </si>
  <si>
    <t>P25700323</t>
  </si>
  <si>
    <t>PRATHAMESH</t>
  </si>
  <si>
    <t>BHOKARE</t>
  </si>
  <si>
    <t>Prathamesh Bhokare</t>
  </si>
  <si>
    <t>pbhokare27@gmail.com</t>
  </si>
  <si>
    <t>p25700323@student.nicmar.ac.in</t>
  </si>
  <si>
    <t>27-Jul-1999</t>
  </si>
  <si>
    <t>ENGLISH , MARATHI , HINDI</t>
  </si>
  <si>
    <t>3692 2952 6474</t>
  </si>
  <si>
    <t>ANAND VASANTRAO BHOKARE</t>
  </si>
  <si>
    <t>PRIVATE WORKER</t>
  </si>
  <si>
    <t>VARSHA ANAND BHOKARE</t>
  </si>
  <si>
    <t>SHREE RAM NAGAR NEAR AMBAR HOTEL DEEPDARSHAN APT GROUND FLOOR JULE SOLAPUR , SOLAPUR</t>
  </si>
  <si>
    <t>SECONDARY AND HIGHER SECONDARY EDUCATION , PUNE , MAHARASHTRA</t>
  </si>
  <si>
    <t>DESHBHAKT HARINARAYAN BANKATLAL SONI COLLEGE</t>
  </si>
  <si>
    <t>DR.BABASAHEB AMBEDKAR TECHNOLOGICAL UNIVERSITY, LONERE , RAIGAD</t>
  </si>
  <si>
    <t>NAGESH KARAJAGI ORCHID COLLEGE OF ENGINEERING &amp; TECHNOLOGY , SOLAPUR , MAHARASHTRA</t>
  </si>
  <si>
    <t>AutoCAD, MS Office , MS Project , Cost X , Oracle Primavera, Staad Pro, Revit</t>
  </si>
  <si>
    <t>Yash Construction  | Project Co-ordination Intern  | Solapur | May 2026 | Jul 2026 | 9 Weeks | Campus Internship
MINISTRY OF HOUSING &amp; URBAN AFFAIRS , GOVERNMENT OF INDIA , AICTE | INTERN | SOLAPUR | Jul 2022 | Aug 2022 | 5 Weeks</t>
  </si>
  <si>
    <t>IGBC  Accredited Professional - Associate
Project Planning
Foundations of Project Management
Finance for Non-Financial Managers</t>
  </si>
  <si>
    <t>P25700324</t>
  </si>
  <si>
    <t>RITIK</t>
  </si>
  <si>
    <t>Ritik Rana</t>
  </si>
  <si>
    <t>ritikranabaldeo@gmail.com</t>
  </si>
  <si>
    <t>p25700324@student.nicmar.ac.in</t>
  </si>
  <si>
    <t>20-May-2004</t>
  </si>
  <si>
    <t>9459 5099 5506</t>
  </si>
  <si>
    <t>HARIHAR RANA</t>
  </si>
  <si>
    <t>RAJESHWARI RANA</t>
  </si>
  <si>
    <t>Village- Angai Post-Baldeo Tehsil-Mahavan District-Mathura Uttar Pradesh</t>
  </si>
  <si>
    <t>HEERA SINGH PUBLIC SCHOOL</t>
  </si>
  <si>
    <t>CBSE - MATHURA</t>
  </si>
  <si>
    <t>GREEN WILLOW PUBLIC SCHOOL</t>
  </si>
  <si>
    <t>DR. A.P.J ABDUL KALAM TECHNICAL UNIVERSITY</t>
  </si>
  <si>
    <t>B.S.A COLLEGE OF ENGINEERING AND TECHNOLOGY, MATHURA</t>
  </si>
  <si>
    <t>Montecarlo Limited  | Management Intern  | Parbhani, Maharashtra  | May 2026 | Jul 2026 | 9 Weeks | Campus Internship
Public Works Department | Intern  | Mathura  | Jul 2023 | Aug 2023 | 6 Weeks</t>
  </si>
  <si>
    <t>P25700326</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</si>
  <si>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</si>
  <si>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</si>
  <si>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</si>
  <si>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</si>
  <si>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</si>
  <si>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</si>
  <si>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</si>
  <si>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</si>
  <si>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</si>
  <si>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</si>
  <si>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</si>
  <si>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</si>
  <si>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R.S.M. POONAWALA SARVAJANIK EXPERIMENTAL SCHOOL</t>
  </si>
  <si>
    <t>GUJARAT SECONDARY AND HIGHER SECONDARY EDUCATION BOARD, SURAT</t>
  </si>
  <si>
    <t>SHREE SWAMI ATMANAND SARASWATI INSTITUTE OF TECHNOLOGY, SURAT</t>
  </si>
  <si>
    <t>AutoCAD,MS Office,MS Project,Primavera,Power bi,Excel,Revit</t>
  </si>
  <si>
    <t>Professional Engineering Services | Junior Civil Engineer | Surat, Gujarat | Nov 2021 | Apr 2023 | 1 Years, 5 Months, 19 Days | 1.8
AVADH GROUP | Junior Civil Engineer | Surat, Gujarat | May 2023 | Jun 2025 | 2 Years, 1 Months, 22 Days | 2.64</t>
  </si>
  <si>
    <t>43 month(s)</t>
  </si>
  <si>
    <t>NBCC (INDIA) LIMITED | Project Intern  | Greater Noida | May 2026 | Jul 2026 | 9 Weeks | Campus Internship</t>
  </si>
  <si>
    <t>Revit
Auto CAD</t>
  </si>
  <si>
    <t>P25700327</t>
  </si>
  <si>
    <t>LEKHANA</t>
  </si>
  <si>
    <t>SHARADA</t>
  </si>
  <si>
    <t>Lekhana Sharada</t>
  </si>
  <si>
    <t>lekhanasharada@gmail.com</t>
  </si>
  <si>
    <t>p25700327@student.nicmar.ac.in</t>
  </si>
  <si>
    <t>26-Feb-2004</t>
  </si>
  <si>
    <t>ENGLISH,HINDI AND KANNADA</t>
  </si>
  <si>
    <t>4959 7573 4556</t>
  </si>
  <si>
    <t>PRAHLADA</t>
  </si>
  <si>
    <t>RAJANI MR</t>
  </si>
  <si>
    <t>No 19, Ganesh Mansion, 1st Cross, Kothanur Dinne Main Road, JP NAGAR 8TH PHASE</t>
  </si>
  <si>
    <t>APS PUBLIC SCHOOL</t>
  </si>
  <si>
    <t>ICSE, NEW DELHI</t>
  </si>
  <si>
    <t>VISVESWARAYA TECHNOLOGICAL UNIVERSITY</t>
  </si>
  <si>
    <t>BMS COLLEGE OF ENGINEERING, BENGALURU</t>
  </si>
  <si>
    <t>MS Office,MS Project,CostX,Primavera,Revit</t>
  </si>
  <si>
    <t>AHLUWALIA CONTRACTS INDIA LTD. | Intern  | Bengaluru  | May 2026 | Jul 2026 | 8 Weeks | Campus Internship
SOUTH WESTERN RAILWAY, OFFICE OF THE DEPUTY CHIEF ENGINEER (STATION DEVELOPMENT, CONSTRUCTION ORGANISATION), BENGALURU CANTONMENT | STUDENT TRAINEEâ€“ STATION DEVELOPMENT &amp; CONSTRUCTION | YESHWANTPUR RAILWAY STATION | Jul 2024 | Aug 2024 | 4 Weeks</t>
  </si>
  <si>
    <t>P25700328</t>
  </si>
  <si>
    <t>GIDAYE</t>
  </si>
  <si>
    <t>Gidaye Vedant Ravindra</t>
  </si>
  <si>
    <t>gidayevedant18@gmail.com</t>
  </si>
  <si>
    <t>p25700328@student.nicmar.ac.in</t>
  </si>
  <si>
    <t>05-Nov-2001</t>
  </si>
  <si>
    <t>3459 8345 0142</t>
  </si>
  <si>
    <t>RAVINDRA DHONDU GIDAYE</t>
  </si>
  <si>
    <t>GOVT. TEACHER</t>
  </si>
  <si>
    <t>ROHINI RAVINDRA GIDAYE</t>
  </si>
  <si>
    <t>SHRADDHA GARDEN,BUILDING 12, FLAT 12, GAWADE PARK, CHINCHWAD</t>
  </si>
  <si>
    <t>At/post-Devrukh ,near ASP College ,HP Gas Agency Road.</t>
  </si>
  <si>
    <t>SMT. ARUNDHATI ARUN PADHYE ENGLISH MEDIUM SCHOOL, DEVRUKH</t>
  </si>
  <si>
    <t>PADMASHREE DR. D. Y. PATIL COLLEGE OF ARCHITECTURE, AKURDI, PUNE</t>
  </si>
  <si>
    <t>AutoCAD,MS Office,MS Project,Primavera, CostX,Revit, Navisworks,BEXEL Manager,SketchUp,D5 Render,Photoshop</t>
  </si>
  <si>
    <t>Avenue Architect | Architectural Intern - Redevelopment &amp; Building Sanctioning | Chinchwad, Pune | May 2026 | Jul 2026 | 8 Weeks | Campus Internship
Key Project | Architecture Intern | Pune | Jun 2024 | Oct 2024 | 18 Weeks</t>
  </si>
  <si>
    <t>IGBC Accredited Professional- Associate</t>
  </si>
  <si>
    <t>P25700329</t>
  </si>
  <si>
    <t>MRUDUL</t>
  </si>
  <si>
    <t>UMAKANT</t>
  </si>
  <si>
    <t>Mrudul Umakant Bhagat</t>
  </si>
  <si>
    <t>mrudulbhagat2@gmail.com</t>
  </si>
  <si>
    <t>p25700329@student.nicmar.ac.in</t>
  </si>
  <si>
    <t>26-Mar-2002</t>
  </si>
  <si>
    <t>6593 2404 2176</t>
  </si>
  <si>
    <t>JANKI NAGAR, NEAR PETROL PUMP, KATOL, NAGPUR</t>
  </si>
  <si>
    <t>BHAGAT MRUDUL UMAKANT</t>
  </si>
  <si>
    <t>SARASWAT JUNIOR COLLEGE SAONER</t>
  </si>
  <si>
    <t>HIGHER SECONDARY CERTIFICATE</t>
  </si>
  <si>
    <t>AutoCAD, MS Office, MS Project, Primavera, SAP2000V21, STAADPRO, Revit, CostX , Naviswork</t>
  </si>
  <si>
    <t>Revespaces | Marketing Analytic and Digital Strategy Intern | Wakad , Pune | May 2026 | Jul 2026 | 8 Weeks | Campus Internship
MANE REALTORS PVT. LTD. | Office Work | Nagpur | Jan 2024 | Apr 2024 | 17 Weeks</t>
  </si>
  <si>
    <t>P25700330</t>
  </si>
  <si>
    <t>HARSHDIP</t>
  </si>
  <si>
    <t>Harshdip Vikas Patil</t>
  </si>
  <si>
    <t>harshdipvpatil@rediffmail.com</t>
  </si>
  <si>
    <t>p25700330@student.nicmar.ac.in</t>
  </si>
  <si>
    <t>11-Aug-1999</t>
  </si>
  <si>
    <t>HINDI,ENGLISH &amp; MARATHI</t>
  </si>
  <si>
    <t>9747 7614 9874</t>
  </si>
  <si>
    <t>VIKAS PATIL</t>
  </si>
  <si>
    <t>POLICE</t>
  </si>
  <si>
    <t>BHARTI PATIL</t>
  </si>
  <si>
    <t>32 Jitendra Nagar, Deopur , Dhule</t>
  </si>
  <si>
    <t>JAHIND HIGHSCHOOL DHULE</t>
  </si>
  <si>
    <t>MAHARASTRA STATE BOARD OF SECONDARY AND HIGHER SECONDARY EDUCATION,PUNE</t>
  </si>
  <si>
    <t>G.D SAWANT COLLAGE ,NASHIK</t>
  </si>
  <si>
    <t>NETAJI POLYTECHNIC COLLAGE DHULE</t>
  </si>
  <si>
    <t>NORTH MAHARASHTRA UNIVERSITY JALGOAN</t>
  </si>
  <si>
    <t>SHRI JAYKUMAR RAVAL INSTISTUTE OF TECHNOLOGY DONDAICHA DHULE</t>
  </si>
  <si>
    <t>AutoCAD,MS Office, MSP</t>
  </si>
  <si>
    <t>B.G. SHIRKE | Management Trainee  | Goregaon west , Mumbai | May 2026 | Jul 2026 | 8 Weeks | Campus Internship</t>
  </si>
  <si>
    <t>AutoCAD and construction skill and Quantity surveying</t>
  </si>
  <si>
    <t>P25700331</t>
  </si>
  <si>
    <t>PRACHI</t>
  </si>
  <si>
    <t>BHOINALLU</t>
  </si>
  <si>
    <t>Prachi Bhoinallu</t>
  </si>
  <si>
    <t>prachibhoinallu15@gmail.com</t>
  </si>
  <si>
    <t>p25700331@student.nicmar.ac.in</t>
  </si>
  <si>
    <t>15-Mar-2002</t>
  </si>
  <si>
    <t>6358 9886 5554</t>
  </si>
  <si>
    <t>JOB</t>
  </si>
  <si>
    <t>Sr. No. 13/4/5 Flat No. 25, Wing No. 3, Anandpark, Ektanagari, Anandnagar, Sinhgad Road, Pune 51</t>
  </si>
  <si>
    <t>BHOINALLU PRACHI VIJAY</t>
  </si>
  <si>
    <t>SECONDARY AND HIGHER SECONDARY EDUCATION, PUNE MAHARASHTRA</t>
  </si>
  <si>
    <t>HIGHER SECONDARY EDUCATION, PUNE MAHARASHTRA</t>
  </si>
  <si>
    <t>ZEAL POLYTECHNIC PUNE, MAHARASHTRA</t>
  </si>
  <si>
    <t>R. M. D SINHGAD SCHOOL OF ENGINEERING, PUNE MAHARASHTRA</t>
  </si>
  <si>
    <t>New Consolidated Construction Company ltd  | Planning Intern | Mumbai | May 2026 | Jul 2026 | 8 Weeks | Campus Internship
Son Waterproofing Co. LLP. | Billing Assistance | Pune | Jul 2024 | Nov 2024 | 20 Weeks</t>
  </si>
  <si>
    <t>P25700332</t>
  </si>
  <si>
    <t>OM</t>
  </si>
  <si>
    <t>Om Rahul Jadhav</t>
  </si>
  <si>
    <t>omjadhav9950@gmail.com</t>
  </si>
  <si>
    <t>p25700332@student.nicmar.ac.in</t>
  </si>
  <si>
    <t>16-Mar-2003</t>
  </si>
  <si>
    <t>English , Marathi , Hindi</t>
  </si>
  <si>
    <t>2769 2739 1544</t>
  </si>
  <si>
    <t>RAHUL BHIKASHETH JADHAV</t>
  </si>
  <si>
    <t>RUPALI RAHUL JADHAV</t>
  </si>
  <si>
    <t>Swpankunj Tilak Road Saraf Bazar Saraf</t>
  </si>
  <si>
    <t>MAHARASHTRA STATE BOARD OF SECONDARY AND HIGHER SECONDARY EDUCATION (MSBSHSE) , NASHIK</t>
  </si>
  <si>
    <t>UPADHYAY COLLEGE OF SCIENCE</t>
  </si>
  <si>
    <t>MIT WORLD PEACE UNIVERSITY, PUNE , MAHARASHTRA</t>
  </si>
  <si>
    <t>2027-Jun</t>
  </si>
  <si>
    <t>Dhanavade Group  | Site Executiion , Control  and Planning  | Pune | May 2026 | Jul 2026 | 8 Weeks | Campus Internship
INDIAN INSTITUTE OF TECHNOLOGY BOMBAY | RESEARCH INTERN | MUMBAI | Jan 2025 | Jul 2025 | 25 Weeks</t>
  </si>
  <si>
    <t>P25700333</t>
  </si>
  <si>
    <t>TRIBHUVAN</t>
  </si>
  <si>
    <t>SALUNKE</t>
  </si>
  <si>
    <t>Tribhuvan Sunil Salunke</t>
  </si>
  <si>
    <t>salunketribhuvan@gmail.com</t>
  </si>
  <si>
    <t>p25700333@student.nicmar.ac.in</t>
  </si>
  <si>
    <t>21-Nov-1998</t>
  </si>
  <si>
    <t>6706 6315 7654</t>
  </si>
  <si>
    <t>UJWALA</t>
  </si>
  <si>
    <t>102 Om Plaza, Laxmi Colony Old Ausa Road_x000D_</t>
  </si>
  <si>
    <t>SHRI SADANAND HIGH SCHOOL LATUR.</t>
  </si>
  <si>
    <t>VISHWESHWARAYYA ABHIYANTRIKI PADVIKA MAHAVIDYALAYA ALMALA</t>
  </si>
  <si>
    <t>K J COLLEGE OF ENGINEERING &amp; MANAGEMENT RESEARCH,PUNE</t>
  </si>
  <si>
    <t>Convenient Construction Consultancy Pvt Ltd (CCCPL) | Site Execution | Porvorim ,Goa | May 2026 | Jul 2026 | 9 Weeks | Campus Internship</t>
  </si>
  <si>
    <t>P25700334</t>
  </si>
  <si>
    <t>VINAYAKA</t>
  </si>
  <si>
    <t>PRAKASHAPPA</t>
  </si>
  <si>
    <t>CHAPPARADALLI</t>
  </si>
  <si>
    <t>Vinayaka Prakashappa Chapparadalli</t>
  </si>
  <si>
    <t>vinayakapc83@gmail.com</t>
  </si>
  <si>
    <t>p25700334@student.nicmar.ac.in</t>
  </si>
  <si>
    <t>2391 3504 9052</t>
  </si>
  <si>
    <t>LATE FORMER</t>
  </si>
  <si>
    <t>HOUSE WORK</t>
  </si>
  <si>
    <t>GURUCHARAN PG LAXMAN NAGAR BANER, LAXMAN NAGAR, BANER, PUNE,Â MAHARASHTRA</t>
  </si>
  <si>
    <t>Haveri (Dis),Hirekerur(Tq), Ingalagondi (V) (P).</t>
  </si>
  <si>
    <t>Haveri</t>
  </si>
  <si>
    <t>BGS ENG MED SCHOOL, SHARAVATHI NAGAR SHIVAMOGGA.</t>
  </si>
  <si>
    <t>KARNATAKA SECONDARY EDUCATION EXAMINATION BOARD, KARNATAKA.</t>
  </si>
  <si>
    <t>ADICHUNCHANAGIRI PU COLLEGE, KUVEMPU ROAD SHARAVATHI NAGAR, SHIVAMOGGA.</t>
  </si>
  <si>
    <t>DEPARTMENT OF PRE-UNIVERSITY EDUCATION, KARNATAKA.</t>
  </si>
  <si>
    <t>VISHWESHVARAIH TECHNOLOGICAL UNIVERSITY(VTU)</t>
  </si>
  <si>
    <t>DAYANANDA SAGAR COLLEGE OF ENGINEERING, KUMARSWAMY LAYOUT, BENGALURU, KARNATAKA.</t>
  </si>
  <si>
    <t>AutoCAD, MS Project, Primavera, MS office,Cost X.</t>
  </si>
  <si>
    <t>Varunkumar Construction | Site Engineer and QA/QC | Bengaluru  | Feb 2024 | Jan 2025 | 0 Years, 11 Months, 29 Days | 2.5</t>
  </si>
  <si>
    <t>Oswal Group (Vardhman Amrante Pvt. Ltd.) | QA/QC &amp; Safety Control Intern | Ludhiana, Punjab  | May 2026 | Jul 2026 | 9 Weeks | Campus Internship
DESIGN POINT PROJECT MANAGEMENT AND CONSULTANTS | Site Engineer | Bangalore, Karnataka | Aug 2023 | Sep 2023 | 4 Weeks</t>
  </si>
  <si>
    <t>P25700335</t>
  </si>
  <si>
    <t>Anuj Gautam</t>
  </si>
  <si>
    <t>anuj28gautam@gmail.com</t>
  </si>
  <si>
    <t>p25700335@student.nicmar.ac.in</t>
  </si>
  <si>
    <t>02-Aug-2003</t>
  </si>
  <si>
    <t>7741 9856 0821</t>
  </si>
  <si>
    <t>RAKESH KUMAR GAUTAM</t>
  </si>
  <si>
    <t>MALTI</t>
  </si>
  <si>
    <t>432/95B/35, Momin Nagar, Campbell Road, Lucknow</t>
  </si>
  <si>
    <t>KASIGA SCHOOL</t>
  </si>
  <si>
    <t>CBSE, DEHRADUN</t>
  </si>
  <si>
    <t>VELLORE INSTITUTE OF TECHNOLOGY, CHENNAI</t>
  </si>
  <si>
    <t>CentreTech PMC Pvt. Ltd. | Project Management Intern | Thane | May 2026 | Jul 2026 | 8 Weeks | Campus Internship
Suraj Builder India Pvt. Ltd. | Trainee Engineer | Lucknow | Jul 2024 | Nov 2024 | 17 Weeks</t>
  </si>
  <si>
    <t>Finance for Non-Financial Managers
Primavera with PPM Concepts</t>
  </si>
  <si>
    <t>P25700336</t>
  </si>
  <si>
    <t>PRAGATI</t>
  </si>
  <si>
    <t>JEETENDRA</t>
  </si>
  <si>
    <t>JAGTAP</t>
  </si>
  <si>
    <t>Pragati Jeetendra Jagtap</t>
  </si>
  <si>
    <t>jagtapp087@gmail.com</t>
  </si>
  <si>
    <t>p25700336@student.nicmar.ac.in</t>
  </si>
  <si>
    <t>12-Nov-1998</t>
  </si>
  <si>
    <t>2553 8466 7012</t>
  </si>
  <si>
    <t>JEETENDRA JAGTAP</t>
  </si>
  <si>
    <t>SANDHYA JAGTAP</t>
  </si>
  <si>
    <t>B1, 501, WELWORTH CELINA SOCIETY, OFF BANER ROAD, BANER, PUNE</t>
  </si>
  <si>
    <t>House No.18B, Ward No.6 Near Sai Temple,_x000D_
Arni Road, Samta Nagar, Yavatmal</t>
  </si>
  <si>
    <t>MAHILA VIDHYALA, YAVATMAL</t>
  </si>
  <si>
    <t>MAHARASHTRA STATE BOARD OF SECONDARY AND HIGHER SECONDARY EDUCATION (SSC)</t>
  </si>
  <si>
    <t>GOVERNMENT POLYTECHNIC, YAVATMAL, MAHARASHTRA</t>
  </si>
  <si>
    <t>JAGADAMBHA COLLAGE OF ENGINEERING AND TECHNOLOGY, YAVATMAL</t>
  </si>
  <si>
    <t>AutoCAD,MS Office,MS Project,Primavera, Revit, BIM,3D modeling using Sketchup-pro,Autodesk 3DS Max,Cost-x,Coohom AI Tool</t>
  </si>
  <si>
    <t>K Group of Emperors | Interior Designer | Pune | Jun 2022 | Jan 2024 | 1 Years, 7 Months, 30 Days | 4</t>
  </si>
  <si>
    <t>UrbanGaon Properties Pvt. Ltd. | Project Management Intern | Jaipur, Rajasthan | May 2026 | Jul 2026 | 8 Weeks | Campus Internship</t>
  </si>
  <si>
    <t>AutoCAD
3D Modeling, Animation &amp; Rendering using Autodesk 3DS Max
3D Modeling using SketchUp Pro</t>
  </si>
  <si>
    <t>P25700337</t>
  </si>
  <si>
    <t>RESHANYA</t>
  </si>
  <si>
    <t>Reshanya Gautam</t>
  </si>
  <si>
    <t>gautamreshanya@gmail.com</t>
  </si>
  <si>
    <t>p25700337@student.nicmar.ac.in</t>
  </si>
  <si>
    <t>English &amp; Hindi</t>
  </si>
  <si>
    <t>6209 6984 1950</t>
  </si>
  <si>
    <t>VIJAY GAUTAM</t>
  </si>
  <si>
    <t>GAYATRI GAUTAM</t>
  </si>
  <si>
    <t>576-577 Sai Kripa Colony</t>
  </si>
  <si>
    <t>THE SHISHUKUNJ INTERNATIONAL SCHOOL</t>
  </si>
  <si>
    <t>CENTRAL BOARD OF SECONDARY EDUCATION INDORE MADHYA PRADESH</t>
  </si>
  <si>
    <t>COLUMBIA CONVENT SCHOOL</t>
  </si>
  <si>
    <t>CENTRAL BOARD OF SECONDARY EDUCATION  INDORE MADHYA PRADESH</t>
  </si>
  <si>
    <t>SRM INSTITUTE OF SCIENCE AND TECHNOLOGY CHENNAI TAMIL NADU</t>
  </si>
  <si>
    <t>Construction Equipment Maintenance and Safety 
Finance for Non-Financial Managers</t>
  </si>
  <si>
    <t>P25700338</t>
  </si>
  <si>
    <t>KANSAL</t>
  </si>
  <si>
    <t>Krishna Kansal</t>
  </si>
  <si>
    <t>kansalkrishna2609@gmail.com</t>
  </si>
  <si>
    <t>p25700338@student.nicmar.ac.in</t>
  </si>
  <si>
    <t>5058 9782 3971</t>
  </si>
  <si>
    <t>YOGESH KANSAL</t>
  </si>
  <si>
    <t>POONAM KANSAL</t>
  </si>
  <si>
    <t>E-1055, SARASWATI VIHAR, PITAMPURA, NEW DELHI-110034</t>
  </si>
  <si>
    <t>North West Delhi</t>
  </si>
  <si>
    <t>SACHDEVA PUBLIC SCHOOL</t>
  </si>
  <si>
    <t>DELHI TECHNOLOGICAL UNIVERSITY</t>
  </si>
  <si>
    <t>DELHI TECHNOLOGICAL UNIVERSITY , DELHI</t>
  </si>
  <si>
    <t>Claude,ChatGPT,LLM,AutoCAD,MS Office,MS Project,Primavera,REVIT,STADDPRO,Navisworks,CostX</t>
  </si>
  <si>
    <t>Prestige Developers | Summer Intern | DELHI | May 2026 | Jul 2026 | 8 Weeks | Campus Internship
PUSHPDEEP INFRASTRUCTURE | TRAINEE CIVIL ENGINEER | DELHI | Feb 2025 | Jun 2025 | 21 Weeks
CENTRAL PUBLIC WORKS DEPARTMENT | TRAINEE CIVIL ENGINEER | DELHI | May 2024 | Jul 2024 | 8 Weeks
KBG ENGINEERS | TRAINEE CIVIL ENGINEER | JODHPUR, RAJASTHAN | Jun 2023 | Jun 2023 | 4 Weeks</t>
  </si>
  <si>
    <t>Indian Green Building Council Accredited Professional
Introduction to Microsoft Excel
Course on AutoCAD Essential</t>
  </si>
  <si>
    <t>P25700339</t>
  </si>
  <si>
    <t>NAVANEET</t>
  </si>
  <si>
    <t>ANANT</t>
  </si>
  <si>
    <t>THORWAT</t>
  </si>
  <si>
    <t>Navaneet Anant Thorwat</t>
  </si>
  <si>
    <t>navaneetthorwat10@gmail.com</t>
  </si>
  <si>
    <t>p25700339@student.nicmar.ac.in</t>
  </si>
  <si>
    <t>ENGLISH, MARATHI, HINDI &amp; KANNADA</t>
  </si>
  <si>
    <t>6026 1052 4796</t>
  </si>
  <si>
    <t>ANJANA</t>
  </si>
  <si>
    <t>SHANKAR NAGAR NIDASOSHI ROAD,NEAR JOTHIBHA TEMPLE, SANKESHWAR</t>
  </si>
  <si>
    <t>Belgaum</t>
  </si>
  <si>
    <t>41321 - S S (K) PATIL ENG MED SCH SANKESHWAR BELGAUM KK</t>
  </si>
  <si>
    <t>SNJPSNMS INDP PU COLLEGE, NIDASOSHI HUKKERI TQ, BELGAUM DT 591236</t>
  </si>
  <si>
    <t>KLE TECHNOLOGICAL UNIVERSITY, HUBBALLI, KARNATAKA, INDIA.</t>
  </si>
  <si>
    <t>AutoCAD,MS Office,MS Project,primavera,Civil 3D,CostX,Revit,MS Excel,PLS-SEM</t>
  </si>
  <si>
    <t>HalleysBlue Pvt. Ltd | Graduate Engineer Trainee | Bangalore  | Jun 2024 | Jun 2025 | 1 Years, 0 Months, 6 Days | 3.69</t>
  </si>
  <si>
    <t>B.G. SHIRKE CONSTRUCTION TECHNOLOGY PVT. LTD. | Management Trainee | Goregaon West, Mumbai. | May 2026 | Jul 2026 | 8 Weeks | Campus Internship
SHRIYA PROPERTIES | SITE ENGINEER | HUBBALLI | Jan 2024 | Mar 2024 | 8 Weeks</t>
  </si>
  <si>
    <t>P25700340</t>
  </si>
  <si>
    <t>RONAK</t>
  </si>
  <si>
    <t>NITIN</t>
  </si>
  <si>
    <t>Ronak Nitin Rajput</t>
  </si>
  <si>
    <t>p25700340@student.nicmar.ac.in</t>
  </si>
  <si>
    <t>11-Dec-2002</t>
  </si>
  <si>
    <t>ENGLISH ,MARATHI, HINDI</t>
  </si>
  <si>
    <t>5232 5670 9852</t>
  </si>
  <si>
    <t>GANDHI NAGAR ,MALKAPUR</t>
  </si>
  <si>
    <t>DNYANADA ENGLISH SCHOOL</t>
  </si>
  <si>
    <t>CENTRAL BOARD OF SECONDARY EDUCATION, AURANGABAD, MAHARASTRA</t>
  </si>
  <si>
    <t>VIDYA VIKAS JR. COLLEGE OF ART &amp; SCIENCE</t>
  </si>
  <si>
    <t>MAHARASTRA STATE BOARDOF SECONDARY  AND HIGHER SECONDARY EDUCATION,BULDANA, MAHARASTRA</t>
  </si>
  <si>
    <t>D. Y. PATIL COLLEGE OF ENGINEERING, AKURDI</t>
  </si>
  <si>
    <t>MS Office,MS Project,Primavera,MS Excel</t>
  </si>
  <si>
    <t>SAI SHLOK INFRA PVT LTD  | Intern | Surangi, Silvassa  | May 2026 | Jun 2026 | 8 Weeks | Campus Internship
MAHARASHTRA METRO RAIL CORPORATION LTD. | INTERN | PUNE | Dec 2023 | Jan 2024 | 4 Weeks</t>
  </si>
  <si>
    <t>Ethics in Engineering Practice
Project Management Professional (PMP)
Business Analysis &amp; Process Management
Renewable Energy and Green Building Entrepreneurship
Finance for Non- Financial Managers</t>
  </si>
  <si>
    <t>P25700341</t>
  </si>
  <si>
    <t>NINAD</t>
  </si>
  <si>
    <t>Shinde Ninad Nikhil</t>
  </si>
  <si>
    <t>ninadshinde2803@gmail.com</t>
  </si>
  <si>
    <t>p25700341@student.nicmar.ac.in</t>
  </si>
  <si>
    <t>4700 3173 4781</t>
  </si>
  <si>
    <t>SUMEDHA</t>
  </si>
  <si>
    <t>907,KSHIRSAGAR SPHURTI,_x000D_
Khan Bhag,_x000D_
Kshirsagar Galli,_x000D_
VTC: Sangli,_x000D_
PO: Sangli,_x000D_
District: Sangli,_x000D_
State:Â Maharashtra,</t>
  </si>
  <si>
    <t>SOU SUNDARABAI SHANKARLAL MALU ENGLISH MEDIUM SCHOOL, HARIPUR, SANGLI</t>
  </si>
  <si>
    <t>KOLHAPUR DIVISIONAL BOARD/ MAHARASHTRA</t>
  </si>
  <si>
    <t>ARVADE HIGHSCHOOL, SANGLI</t>
  </si>
  <si>
    <t>D.BATU</t>
  </si>
  <si>
    <t>PADMABHOOSHAN VASANTRAODADA PATIL INSTITUTE OF TECHNOLOGY, BUDHGAON, SANGLI</t>
  </si>
  <si>
    <t>AutoCAD, Primavera, Sketchup, MS Project, Revit, MS Office.</t>
  </si>
  <si>
    <t>MAHARASHTRA METRO RAIL CORPORATION LIMITED | Intern  | Pune | May 2026 | Jul 2026 | 9 Weeks | Campus Internship</t>
  </si>
  <si>
    <t>P25700342</t>
  </si>
  <si>
    <t>GHANSHYAM</t>
  </si>
  <si>
    <t>RAGHUNATH</t>
  </si>
  <si>
    <t>Ghanshyam Raghunath Patil</t>
  </si>
  <si>
    <t>grpatil512002@gmail.com</t>
  </si>
  <si>
    <t>p25700342@student.nicmar.ac.in</t>
  </si>
  <si>
    <t>05-Jan-2002</t>
  </si>
  <si>
    <t>6624 9853 1776</t>
  </si>
  <si>
    <t>RAGHUNATH PATIL</t>
  </si>
  <si>
    <t>FLAT NO. - 506, SARTHI SKYBAY C- WING, MAHALUNGE BALEWADI DIST. - PUNE</t>
  </si>
  <si>
    <t>A/P Avandhi, Tal. - Jath, Dist. - Sangli</t>
  </si>
  <si>
    <t>SHREE BHAVANI VIDYALAYA ATPADI.</t>
  </si>
  <si>
    <t>SANGLI/ MAHARASHTRA</t>
  </si>
  <si>
    <t>LAXMIDEVI PRIMARY, SECONDARY AND HIGHER EDUCATION</t>
  </si>
  <si>
    <t>SANGOLA/ MARASHTRA</t>
  </si>
  <si>
    <t>DR. BABASAHEB AMBEDKAR TECHNOLOGICAL UNIVERSITY, LONARE</t>
  </si>
  <si>
    <t>PADMABHOOSHAN VASANTRAO DADA PATIL INSTITUTE OF TECHNOLOGY, BUDHGAON</t>
  </si>
  <si>
    <t>Sobha Limited | Site Execution | Thrissur, Kerala | May 2026 | Jul 2026 | 9 Weeks | Campus Internship</t>
  </si>
  <si>
    <t>P25700343</t>
  </si>
  <si>
    <t>PRAJIT</t>
  </si>
  <si>
    <t>Prajit S S</t>
  </si>
  <si>
    <t>prajitss03@gmail.com</t>
  </si>
  <si>
    <t>p25700343@student.nicmar.ac.in</t>
  </si>
  <si>
    <t>05-Sep-2003</t>
  </si>
  <si>
    <t>7227 8445 0768</t>
  </si>
  <si>
    <t>SIVAKUMAR</t>
  </si>
  <si>
    <t>SHANMUGAVADIVU</t>
  </si>
  <si>
    <t>125, Veppankattuthottam, Uppilipalayam, K G Valasu Post, Murungatholuvu</t>
  </si>
  <si>
    <t>Erode</t>
  </si>
  <si>
    <t>THE INDIAN PUBLIC SCHOOL</t>
  </si>
  <si>
    <t>CENTRAL BOARD OF SECONDARY EDUCATION, TAMIL NADU</t>
  </si>
  <si>
    <t>THE SUGUNA PIP SCHOOL</t>
  </si>
  <si>
    <t>AMRITA VISHWA VIDYAPEETHAM</t>
  </si>
  <si>
    <t>J Kumar InfraProjects Ltd | Project Management Intern | Chennai | May 2026 | Jul 2026 | 9 Weeks | Campus Internship
URC CONSTRUCTIONS (P) LTD | INTERN | CHENNAI | Jun 2024 | Jun 2024 | 2 Weeks
SRI MURUGAN CONSTRUCTIONS | PROJECT ASSISTANT INTERN | ERODE | May 2025 | Jun 2025 | 8 Weeks
L&amp;T EDUTECH | INTERN | CHENNAI | Jun 2024 | Jul 2024 | 1 Weeks</t>
  </si>
  <si>
    <t>Sustainable Design Of Buildings
Principles of Construction Management</t>
  </si>
  <si>
    <t>P25700344</t>
  </si>
  <si>
    <t>RUSHIKESH</t>
  </si>
  <si>
    <t>AMRUT</t>
  </si>
  <si>
    <t>KHALSE</t>
  </si>
  <si>
    <t>Rushikesh Amrut Khalse</t>
  </si>
  <si>
    <t>rakhalse@gmail.com</t>
  </si>
  <si>
    <t>p25700344@student.nicmar.ac.in</t>
  </si>
  <si>
    <t>06-Dec-1999</t>
  </si>
  <si>
    <t>7430 9272 6866</t>
  </si>
  <si>
    <t>VIJAYA</t>
  </si>
  <si>
    <t>BHAVANI GALLI SHENDURNI TAL-JAMNER DIST-JALGAON</t>
  </si>
  <si>
    <t>A.G.R.G.M.VIDYALAYA SHENDURNI</t>
  </si>
  <si>
    <t>SIDDHIVINAYAK TECHNICAL CAMPUS</t>
  </si>
  <si>
    <t>SAVITRIBAI PHULE UNIVERSITY PUNE UNIVERSITY</t>
  </si>
  <si>
    <t>SINHGAD ACADEMY OF ENGINEERING</t>
  </si>
  <si>
    <t>AutoCAD,MS Office,MS Project,Primavera,PHOTOSHOP,GRAPHIC DESIGN</t>
  </si>
  <si>
    <t>Deshpande landmark private limited | Project Engineer | Kothrud,Pune | May 2023 | Oct 2024 | 1 Years, 5 Months, 6 Days | 2.04</t>
  </si>
  <si>
    <t>SR VASTU | Management Intern | Pune | May 2026 | Jul 2026 | 8 Weeks | Campus Internship</t>
  </si>
  <si>
    <t>P25700345</t>
  </si>
  <si>
    <t>PRAKSHALE</t>
  </si>
  <si>
    <t>Ayush Dilip Prakshale</t>
  </si>
  <si>
    <t>ayushprakshale@gmail.com</t>
  </si>
  <si>
    <t>p25700345@student.nicmar.ac.in</t>
  </si>
  <si>
    <t>30-Apr-2003</t>
  </si>
  <si>
    <t>4397 2463 5817</t>
  </si>
  <si>
    <t>DILIP SHAMRAO PRAKSHALE</t>
  </si>
  <si>
    <t>GOVERNMENT OFFICER</t>
  </si>
  <si>
    <t>SHAILAJA DILIP PRAKSHALE</t>
  </si>
  <si>
    <t>B 204 PRAKASH DEEP , NEAR NARAYANI DHAM MANDIR , KATRAJ , PUNE 411046</t>
  </si>
  <si>
    <t>PAWAR PUBLIC SCHOOL</t>
  </si>
  <si>
    <t>GOVERNMENT POLYTECHNIC PUNE, MAHARSHTRA</t>
  </si>
  <si>
    <t>DR.VISHWANATH KARAD MIT WORLD PEACE UNIVERSITY , PUNE , MAHARASHTRA</t>
  </si>
  <si>
    <t>Primavera ,Cost X ,Revit ,Microsoft Project , eTabs(Basic Modelling) , AutoCAD ,MS Office ,</t>
  </si>
  <si>
    <t xml:space="preserve"> Savvy Infrastructure Pvt. Ltd. | Quality Assurance &amp; Quality Control Intern | Gift City ,Gujarat | May 2026 | Jul 2026 | 8 Weeks | Campus Internship</t>
  </si>
  <si>
    <t>ISO 9001:2015 QMS Implementation and Auditing Practices
Managing Project Life Cycle with Primavera
Foundations of Project Management
Operations Management
IGBC Green Buildings &amp; Built Environment
Strategic Management
Certificate of Completion Talking to AI Prompt Engineering for Project Managers</t>
  </si>
  <si>
    <t>P25700346</t>
  </si>
  <si>
    <t>KAVYA</t>
  </si>
  <si>
    <t>NARAYANAN</t>
  </si>
  <si>
    <t>Kavya Narayanan</t>
  </si>
  <si>
    <t>kavya.hyd2019@gmail.com</t>
  </si>
  <si>
    <t>p25700346@student.nicmar.ac.in</t>
  </si>
  <si>
    <t>21-Jun-2001</t>
  </si>
  <si>
    <t>English, Hindi, Tamil</t>
  </si>
  <si>
    <t>5882 0135 5743</t>
  </si>
  <si>
    <t>JAI NARAYANAN SRINIVASAN</t>
  </si>
  <si>
    <t>SRIVIDYA NARAYANAN</t>
  </si>
  <si>
    <t>Flat 108, Lilac Tower, L And T Serene County, Telecom Nagar, Near Urdu University, Gachibowli</t>
  </si>
  <si>
    <t>MERIDIAN SCHOOL HYDERABAD RR DISTRICT</t>
  </si>
  <si>
    <t>CENTRAL BOARD OF SECONDARY EDUCATION , HYDERABAD</t>
  </si>
  <si>
    <t>CHIREC PUBLIC SCHOOL KONDAPUR HYDERABAD</t>
  </si>
  <si>
    <t>MANIPAL ACADEMY OF HIGHER EDUCATION</t>
  </si>
  <si>
    <t>MANIPAL SCHOOL OF ARCHITECTURE AND PLANNING , MANIPAL , KARNATAKA</t>
  </si>
  <si>
    <t>Smart Cities Development</t>
  </si>
  <si>
    <t>MS Project, Primavera P6, MS Office, Advanced Excel, Power BI, AutoCAD, Autodesk Revit, Sketchup, Twinmotion</t>
  </si>
  <si>
    <t>KPMG India | Summer Intern in Transformation - MPA team | Hyderabad | May 2026 | Jun 2026 | 7 Weeks | Campus Internship
SPaN Associates | Architectural Intern | Hyderabad | Jan 2023 | Jun 2023 | 25 Weeks</t>
  </si>
  <si>
    <t xml:space="preserve">Procore: AI in Construction Program 
Emory University: Finance for Non-Finance Managers
SPJIMR: Data Analysis
Solar Decathlon India 2021-22: Online Learning Modules on Net Zero Energy and Water Buildings </t>
  </si>
  <si>
    <t>P25700347</t>
  </si>
  <si>
    <t>RAJDEEPSING</t>
  </si>
  <si>
    <t>DINKAR</t>
  </si>
  <si>
    <t>Rajdeepsing Dinkar Patil</t>
  </si>
  <si>
    <t>rajdeep.patil1109@gmail.com</t>
  </si>
  <si>
    <t>p25700347@student.nicmar.ac.in</t>
  </si>
  <si>
    <t>8885 8156 4168</t>
  </si>
  <si>
    <t>DINKAR T PATIL</t>
  </si>
  <si>
    <t>RAJSHREE PATIL</t>
  </si>
  <si>
    <t>Rajdeep Banglow,Plot No 21 To 26A, RD Circle, Karmyogi Nager, Nashik 422008</t>
  </si>
  <si>
    <t>MARATHA HIGHSCHOOL NASHIK</t>
  </si>
  <si>
    <t>KTHM COLLAGE NASHIK</t>
  </si>
  <si>
    <t>MIT ACADEMY OF ENGINEERING,ALANDI,PUNE</t>
  </si>
  <si>
    <t>Primavera P6, AutoCAD,MS Office,REVIT,ETABS</t>
  </si>
  <si>
    <t>Singhania Buildcon Pvt. Ltd. | Project Intern – Site Execution control  &amp; Planning | Raipur, Chhattisgarh | May 2026 | Jul 2026 | 8 Weeks | Campus Internship
Winntus Aluminium Formwork | Design Engineer  | Pune  | Jan 2025 | May 2025 | 21 Weeks
NIRMITI CONSULTANTS PVT.LTD | SITE ENGINEER | NASHIK | Jun 2024 | Jul 2024 | 4 Weeks</t>
  </si>
  <si>
    <t>Autodesk Revit For Architecture
Autocad Certification Course</t>
  </si>
  <si>
    <t>P25700348</t>
  </si>
  <si>
    <t>MANTHAN</t>
  </si>
  <si>
    <t>DAHIWALE</t>
  </si>
  <si>
    <t>Manthan Dahiwale</t>
  </si>
  <si>
    <t>manthan12@gmail.com</t>
  </si>
  <si>
    <t>p25700348@student.nicmar.ac.in</t>
  </si>
  <si>
    <t>12-Aug-1999</t>
  </si>
  <si>
    <t>8129 4805 0309</t>
  </si>
  <si>
    <t>CHITRA</t>
  </si>
  <si>
    <t>C-302, Kandpile Residency Near Sbi Atm Takka Panvel</t>
  </si>
  <si>
    <t>MPSC COLLEGE</t>
  </si>
  <si>
    <t>STATE BOARD</t>
  </si>
  <si>
    <t>SHANTINIKETAN POLYTECHNIC, MUMBAI</t>
  </si>
  <si>
    <t>MGM COLLEGE OF ENGINEERING</t>
  </si>
  <si>
    <t xml:space="preserve">AutoCAD,MS Office PrimaveraP6 </t>
  </si>
  <si>
    <t>Rajshree Construction Consortium | Junior Engineer | Mumbai | Jan 2024 | Sep 2024 | 0 Years, 8 Months, 13 Days | 2.52
Visiontech Construction | Project Engineer | Mumbai | Oct 2024 | Jun 2025 | 0 Years, 8 Months, 29 Days | 3</t>
  </si>
  <si>
    <t>Sangan Engineers | Site intern | Valsad | May 2026 | Jul 2026 | 8 Weeks | Campus Internship
Kedar Buildcon Builders &amp; Developers | Site Intern | Mumbai | Nov 2022 | Feb 2023 | 13 Weeks</t>
  </si>
  <si>
    <t>P25700349</t>
  </si>
  <si>
    <t>ROBIN</t>
  </si>
  <si>
    <t>Robin Singh</t>
  </si>
  <si>
    <t>robinsingh6250@gmail.com</t>
  </si>
  <si>
    <t>p25700349@student.nicmar.ac.in</t>
  </si>
  <si>
    <t>15-Sep-1998</t>
  </si>
  <si>
    <t>4768 5712 8424</t>
  </si>
  <si>
    <t>SAJEEWAN SINGH</t>
  </si>
  <si>
    <t>SUSHEELA SINGH</t>
  </si>
  <si>
    <t>Indira Nagar Nyotani Unnao</t>
  </si>
  <si>
    <t>Unnao</t>
  </si>
  <si>
    <t>K R B SINGH INTER COLLEGE</t>
  </si>
  <si>
    <t>UTTAR PRADESH STATE BOARD OF HIGH SCHOOL AND INTERMEDIATE EDUCATION</t>
  </si>
  <si>
    <t>DR. A.P.J ABDUL KALAM TECHNICAL UNIVERSITY, UP</t>
  </si>
  <si>
    <t>BANSAL INSTITUTE OF ENGINEERING &amp; TECHNOLOGY</t>
  </si>
  <si>
    <t>AutoCAD,MS Office,Microsoft Excel, Primavera P6, Revit, Cost X</t>
  </si>
  <si>
    <t>Neccon Power &amp; Infra Ltd | Civil Engineer | Hajo Assam | Nov 2021 | Feb 2025 | 3 Years, 2 Months, 27 Days | 3.6
Quess Corp Limited | Civil Engineer | Velgatoor Telangana | Feb 2025 | Jul 2025 | 0 Years, 4 Months, 13 Days | 4.85</t>
  </si>
  <si>
    <t>Kamala Farms (Kayne Bio Sciences Ltd.) | Project Execution Intern | Hyderabad | May 2026 | Jul 2026 | 8 Weeks | Campus Internship
U. P Rajkiya Nirmad Nigam Limited Lucknow Uttar Pradesh. | Summer Trainee | Lucknow | Jul 2018 | Jul 2018 | 4 Weeks
Research Designs and standards organisation Manak Nagar Lucknow Uttar Pradesh | Summer Trainee | Lucknow | Jun 2019 | Jul 2019 | 5 Weeks</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</si>
  <si>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</si>
  <si>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</si>
  <si>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</si>
  <si>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</si>
  <si>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</si>
  <si>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</si>
  <si>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</si>
  <si>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</si>
  <si>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</si>
  <si>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</si>
  <si>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</si>
  <si>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</si>
  <si>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</si>
  <si>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</si>
  <si>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</si>
  <si>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</si>
  <si>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 Years, 8 Months, 21 Days | 8.28</t>
  </si>
  <si>
    <t>Sobha Limited | Planning Intern | Bangalore | May 2026 | Jul 2026 | 9 Weeks | Campus Internship
NESTABIDE | Trainee | Ernakulam | Dec 2021 | Jul 2022 | 29 Weeks</t>
  </si>
  <si>
    <t>Internal QMS Auditor (ISO-9001-2015)</t>
  </si>
  <si>
    <t>P25700351</t>
  </si>
  <si>
    <t>ZAMBRE</t>
  </si>
  <si>
    <t>SANJIV</t>
  </si>
  <si>
    <t>Zambre Sarthak Sanjiv</t>
  </si>
  <si>
    <t>zambresarthak@gmail.com</t>
  </si>
  <si>
    <t>p25700351@student.nicmar.ac.in</t>
  </si>
  <si>
    <t>23-May-2003</t>
  </si>
  <si>
    <t>2091 0417 0352</t>
  </si>
  <si>
    <t>SANJIV ZAMBRE</t>
  </si>
  <si>
    <t>MANISHA ZAMBRE</t>
  </si>
  <si>
    <t>Vasantdada Sugar Factory Ctype 4/R11 Madhavnagar Road Sangli</t>
  </si>
  <si>
    <t>SANGLI HIGHSCHOOL, SANGLI</t>
  </si>
  <si>
    <t>MAHARASHTRA STATE BOARD OF SECONDARY AND HIGHER SECONDARY EDUCATION, PUNE, MAHARASHTRA.</t>
  </si>
  <si>
    <t>SHIVAJI UNIVERSITY , KOLHAPUR</t>
  </si>
  <si>
    <t>RAJARAMBAPU INSTITUTE OF TECHNOLOGY, RAJARAMNAGAR (SAKHARALE), WALWA, DIST-SANGLI,MAHARASHTRA.</t>
  </si>
  <si>
    <t>AutoCAD,MS Office,MS Project,Primavera,staadpro,Costx</t>
  </si>
  <si>
    <t>GNY Group  | Summer Intern | Chhatrapati Sambhajinagar. | May 2026 | Jul 2026 | 8 Weeks | Campus Internship
MB CONSTRUCTION HOUSE | SITE ENGINEER | SANGLI | Aug 2023 | Aug 2023 | 2 Weeks</t>
  </si>
  <si>
    <t>Ethics in Engineering Practice
Finance for non-Financial Managers
Foundations of Project Management
German-I</t>
  </si>
  <si>
    <t>P25700352</t>
  </si>
  <si>
    <t>SARVESH</t>
  </si>
  <si>
    <t>CHAUDHARI</t>
  </si>
  <si>
    <t>Sarvesh Rajesh Chaudhari</t>
  </si>
  <si>
    <t>sarveshchaudhari194@gmail.com</t>
  </si>
  <si>
    <t>p25700352@student.nicmar.ac.in</t>
  </si>
  <si>
    <t>05-Mar-2000</t>
  </si>
  <si>
    <t>8625 5103 4513</t>
  </si>
  <si>
    <t>RAJESH MADHUKAR CHAUDHARI</t>
  </si>
  <si>
    <t>CENTRAL RAILWAY EMPLOYEE</t>
  </si>
  <si>
    <t>SUREKHA RAJESH CHAUDHARI</t>
  </si>
  <si>
    <t>VTP ATHEREOUS T1, MHALUNGE HI-TECH CITY, MAIN ENTRANCE HINJEWADI PHASE 1 ROAD, MAHALUNGE, MAAN</t>
  </si>
  <si>
    <t>'Shree Smaran', Ganeshpuri, Behind Sonichaawadi, Jamner Road, Bhusawal,</t>
  </si>
  <si>
    <t>GODAVARI FOUNDATION, DR. ULHAS PATIL ENGLISH MEDIUM SCHOOL, BHUSAWAL, MAHARASHTRA, 425201</t>
  </si>
  <si>
    <t>BABASAHEB UTANGALE JUNIOR COLLEGE OF SCIENCE, AKOLA, MAHARASHTRA, 444302.</t>
  </si>
  <si>
    <t>MAHARASHTA BOARD OF SECONDARY &amp; HIGHER SECONDARY EDUCATION, PUNE.</t>
  </si>
  <si>
    <t>DATTA MEGHE COLLEGE OF ENGINEERING, AIROLI, NAVI MUMBAI, 400708.</t>
  </si>
  <si>
    <t>AutoCAD,MS Office,MS Project,MS Power BI</t>
  </si>
  <si>
    <t>Marathon Realty Pvt. Ltd. | Project Planning &amp; Execution | Mulund Head office, Mumbai | Dec 2021 | Jul 2025 | 3 Years, 6 Months, 26 Days | 4.6</t>
  </si>
  <si>
    <t>42 month(s)</t>
  </si>
  <si>
    <t>Deloitte Touche Tohmatsu India LLP | Intern | Mumbai | May 2026 | Jul 2026 | 8 Weeks | Campus Internship
CITY AND INDUSTRIAL DEVELOPMENT CORPORATION OF MAHARASHTRA LIMITED | INTERN | PUSHPAK NAGAR, DAPOLI, NAVI MUMBAI | Dec 2019 | Jan 2020 | 4 Weeks</t>
  </si>
  <si>
    <t>Computing &amp; Typing English (30WPM)
Maharashtra State Certificate In Information Technology (MS-CIT)
MS Excel
Autocad 2D &amp; 3D
Power BI</t>
  </si>
  <si>
    <t>P25700353</t>
  </si>
  <si>
    <t>NAKUL</t>
  </si>
  <si>
    <t>RAMKISAN</t>
  </si>
  <si>
    <t>Ingle Nakul Ramkisan</t>
  </si>
  <si>
    <t>nakulingle5@gmail.com</t>
  </si>
  <si>
    <t>p25700353@student.nicmar.ac.in</t>
  </si>
  <si>
    <t>11-Aug-2002</t>
  </si>
  <si>
    <t>3791 6472 1776</t>
  </si>
  <si>
    <t>RAMKISAN PARMESHWAR INGLE</t>
  </si>
  <si>
    <t>MEENA RAMKISAN INGLE</t>
  </si>
  <si>
    <t>FLAT NO B- 702 , KAVERI APARTMENT, MHADA COLONY, NEAR SNBP INTERNATIONAL SCHOOL MORWADI, PIMPRI, PUNE</t>
  </si>
  <si>
    <t>At.Pentakali, Po. Hiwara Aashram, Tq. Mehkar, Dist. Buldhana. Maharashtra. Pin - 443301</t>
  </si>
  <si>
    <t>CHATRAPATI SHAHU MAHARAJ VIDYALAYA, PENTAKALI</t>
  </si>
  <si>
    <t>CUSROW WADIA INSTITUTE OF TECHNOLOGY, PUNE</t>
  </si>
  <si>
    <t>DR. D. Y. PATIL INSTITUTE OF TECHNOLOGY, PIMPRI, PUNE</t>
  </si>
  <si>
    <t>AutoCAD,MS Office,MS Project,Primavera,Autodesk Revit,MS Excel,AutoCAD 3D,BIM,CostX</t>
  </si>
  <si>
    <t>Kolte Patil Developer's limited  | Construction &amp; Operation Department - Intern | Wagholi, Pune | May 2026 | Jul 2026 | 9 Weeks | Campus Internship
INFRAKING CONSULTING ENGINEERS PVT.LTD | Project Management Assistant | Pune, Maharashtra | Feb 2023 | Mar 2023 | 4 Weeks</t>
  </si>
  <si>
    <t>Certificate Course in AutoCAD
Certificate Course In REVIT</t>
  </si>
  <si>
    <t>P25700354</t>
  </si>
  <si>
    <t>BHOOMIKA</t>
  </si>
  <si>
    <t>Bhoomika M S</t>
  </si>
  <si>
    <t>bhoomibhoomika772001@gmail.com</t>
  </si>
  <si>
    <t>p25700354@student.nicmar.ac.in</t>
  </si>
  <si>
    <t>07-Jul-2001</t>
  </si>
  <si>
    <t>English, Hindi, Kannada and Telugu</t>
  </si>
  <si>
    <t>6308 8158 5594</t>
  </si>
  <si>
    <t>SATISH BABU M S</t>
  </si>
  <si>
    <t>V KATHYAYINI</t>
  </si>
  <si>
    <t>#59, 1st Stage 18A Cross, E Block, Mahendra Enclave, Near Kavitha Bakery, JP Nagar</t>
  </si>
  <si>
    <t>CHAITRA HIGH SCHOOL</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</si>
  <si>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</si>
  <si>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</si>
  <si>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 Years, 4 Months, 19 Days | 3.2
Eleganz Interiors Ltd | Project Coordinator | Bengaluru | Jan 2025 | Jun 2025 | 0 Years, 5 Months, 7 Days | 5.4</t>
  </si>
  <si>
    <t>Prestige Estates Projects Limited | Site and Project Planning Intern | Bengaluru | May 2026 | Jul 2026 | 8 Weeks | Campus Internship
PUBLIC WORKS DEPARTMENT OFFICE, MYSURU | INTERNSHIP TRAINEE | MYSURU | Aug 2022 | Sep 2022 | 6 Weeks</t>
  </si>
  <si>
    <t>P25700355</t>
  </si>
  <si>
    <t>VIVEK</t>
  </si>
  <si>
    <t>GATADE</t>
  </si>
  <si>
    <t>Vivek Sachin Gatade</t>
  </si>
  <si>
    <t>vivekgatade0909@gmail.com</t>
  </si>
  <si>
    <t>p25700355@student.nicmar.ac.in</t>
  </si>
  <si>
    <t>16-Jan-2003</t>
  </si>
  <si>
    <t>English, Hindi,Marathi</t>
  </si>
  <si>
    <t>6348 6670 0954</t>
  </si>
  <si>
    <t>CONSTRUCTION BUSINESS</t>
  </si>
  <si>
    <t>Babasaheb Patil Colony, Plot No. 90, Near Datt Mandir, Manermala, Unchgaon, Kolhapur.</t>
  </si>
  <si>
    <t>ROYAL ENGLISH MEDIUM SCHOOL, UNCHAGAON, KOLHAPUR</t>
  </si>
  <si>
    <t>MAHARASHTRA STATE BOARD OF SECONDARY AND  HIGHER SECONDARY EDUCATION ,PUNE</t>
  </si>
  <si>
    <t>D Y PATIL COLLEGE OF ENGINEERING AND TECHNOLOGY, KOLHAPUR</t>
  </si>
  <si>
    <t>AutoCAD,MS Office,MS Project,Revit (Arch.)</t>
  </si>
  <si>
    <t>Kolte-Patil Developers LTD. | Construction and Operation Department | Pune  | May 2026 | Jul 2026 | 9 Weeks | Campus Internship
DIKSHA CONSTRUCTION | SITE EXECUTION | KOLHAPUR | Jun 2024 | Jul 2024 | 4 Weeks</t>
  </si>
  <si>
    <t>MS-CIT
Rivet
AutoCAD
Finance For Non-Financial Managers</t>
  </si>
  <si>
    <t>P25700356</t>
  </si>
  <si>
    <t>Rushikesh Atul Jagtap</t>
  </si>
  <si>
    <t>rushiatul@gmail.com</t>
  </si>
  <si>
    <t>p25700356@student.nicmar.ac.in</t>
  </si>
  <si>
    <t>8442 2391 5724</t>
  </si>
  <si>
    <t>ATUL JAGTAP</t>
  </si>
  <si>
    <t>SELF-EMPLOYED</t>
  </si>
  <si>
    <t>SUMATI JAGTAP</t>
  </si>
  <si>
    <t>B/104, Jijau CHS, Sec- 17, Kamothe, Panvel.</t>
  </si>
  <si>
    <t>MNR SCHOOL OF EXCELLENCE</t>
  </si>
  <si>
    <t>GOVERNMENT POLYTECHNIC THANE, MUMBAI</t>
  </si>
  <si>
    <t>SARASWATI COLLEGE OF ENGINEERING, KHARGHAR, MAHARASHTRA</t>
  </si>
  <si>
    <t>AutoCAD,MS Office,MS Project,Revit,qgis</t>
  </si>
  <si>
    <t>Zyeta Pvt. Ltd. | Intern (Project Co-ordination) | Bengaluru | May 2026 | Jul 2026 | 8 Weeks | Campus Internship
Girish Enterprises Pvt. Ltd. | Trainee | Dronagiri, JNPT, Navi Mumbai | Jan 2022 | Mar 2022 | 6 Weeks
BG Shirke Construction Technology Pvt. Ltd. | Trainee | Taloja, Navi Mumbai | Feb 2021 | Feb 2021 | 2 Weeks</t>
  </si>
  <si>
    <t>Autodesk Revit
NPTEL Design of Steel Structures
Finance for Non- Financial Manager
Data Analysis
Introduction to Lean Construction (Module 1 - Lean Basics)
German-I
Ethics in Engineering Practice</t>
  </si>
  <si>
    <t>P25700357</t>
  </si>
  <si>
    <t>PAL</t>
  </si>
  <si>
    <t>MITUL</t>
  </si>
  <si>
    <t>DESAI</t>
  </si>
  <si>
    <t>Pal Mitul Desai</t>
  </si>
  <si>
    <t>paldesai321@gmail.com</t>
  </si>
  <si>
    <t>p25700357@student.nicmar.ac.in</t>
  </si>
  <si>
    <t>31-Aug-2003</t>
  </si>
  <si>
    <t>English, Hindi, Gujarati</t>
  </si>
  <si>
    <t>5466 7704 5579</t>
  </si>
  <si>
    <t>MITUL DESAI</t>
  </si>
  <si>
    <t>MINTU DESAI</t>
  </si>
  <si>
    <t>Niraant, Opposite Diamond Factory, At And Post Parnera Pardi, Valsad</t>
  </si>
  <si>
    <t>ATUL VIDYALAYA, ATUL</t>
  </si>
  <si>
    <t>INDIAN SCHOOL CERTIFICATE (ISC) EXAMINATION, NEW DELHI</t>
  </si>
  <si>
    <t>SARVAJANIK UNIVERSITY</t>
  </si>
  <si>
    <t>SARVAJANIK COLLEGE OF ENGINEERING AND TECHNOLOGY, SURAT</t>
  </si>
  <si>
    <t>MS Office,MS Project,Primavera,CostX,Revit</t>
  </si>
  <si>
    <t>New Consolidated Construction Company Limited | Civil Intern | Navi Mumbai | May 2026 | Jul 2026 | 8 Weeks | Campus Internship
PSP PROJECTS LIMITED | INTERN | SURAT | Jan 2025 | Mar 2025 | 11 Weeks</t>
  </si>
  <si>
    <t>P25700358</t>
  </si>
  <si>
    <t>NEHA</t>
  </si>
  <si>
    <t>Neha Raj Asha</t>
  </si>
  <si>
    <t>neharajasha@gmail.com</t>
  </si>
  <si>
    <t>p25700358@student.nicmar.ac.in</t>
  </si>
  <si>
    <t>ENGLISH, MALAYALAM, HINDI, ARABIC, FRENCH</t>
  </si>
  <si>
    <t>8542 3595 8994</t>
  </si>
  <si>
    <t>RAJKUMAR NARAYANAN NAIR</t>
  </si>
  <si>
    <t>ASHA RAJKUMAR</t>
  </si>
  <si>
    <t>TLRA 23 ANISHA, Thoppil Lane, Kumarapuram</t>
  </si>
  <si>
    <t>SHARJAH INDIAN SCHOOL</t>
  </si>
  <si>
    <t>COCHIN UNIVERSITY OF SCIENCE AND TECHNOLOGY</t>
  </si>
  <si>
    <t>MARIAN COLLEGE OF ARCHITECTURE AND PLANNING, THIRUVANANTHAPURAM</t>
  </si>
  <si>
    <t>AutoCAD,MS Office,MS Project,Sketchup,Adobe Indesign,Adobe Photoshop,Lumion,V-Ray,Enscape,Procreate,Primevera,Naviskworks,Autodesk Revit, RIB CostX,Smart PLS</t>
  </si>
  <si>
    <t>Top Concept Engineering Consultants | Architect | Dubai, U.A.E | Jun 2024 | Aug 2025 | 1 Years, 2 Months, 28 Days | 12.9
Next Engineering Consultants | Architectural Engineer | Dubai, U.A.E | Jun 2023 | Feb 2024 | 0 Years, 8 Months, 26 Days | 10.04</t>
  </si>
  <si>
    <t>Savvy Infrastructure Pvt. Ltd. | Contracts Intern | Gandhinagar, Gujarat | May 2026 | Jul 2026 | 8 Weeks | Campus Internship
Varghese Panicker Architects | Architectural Intern | Trivandrum, Kerala | Aug 2021 | Dec 2021 | 18 Weeks</t>
  </si>
  <si>
    <t>Sustainability in Architecture: An Interdisciplinary Introduction from Universitat PolitÃ¨cnica de ValÃ¨ncia
Fundamentals of Project Planning and Management from University of Virginia</t>
  </si>
  <si>
    <t>P25700359</t>
  </si>
  <si>
    <t>BARRE</t>
  </si>
  <si>
    <t>Ajay Barre</t>
  </si>
  <si>
    <t>ajaybarre72@gmail.com</t>
  </si>
  <si>
    <t>p25700359@student.nicmar.ac.in</t>
  </si>
  <si>
    <t>12-Feb-2004</t>
  </si>
  <si>
    <t>English,Hindi,telugu</t>
  </si>
  <si>
    <t>3090 2977 7335</t>
  </si>
  <si>
    <t>BARRE YONA</t>
  </si>
  <si>
    <t>DAILY WAGER</t>
  </si>
  <si>
    <t>BARRE SUNEETHA</t>
  </si>
  <si>
    <t>7-63,thurpu Digavalli,nuzvid</t>
  </si>
  <si>
    <t>ZP HIGH SCHOOL</t>
  </si>
  <si>
    <t>A.A.N.MURTHY&amp;V.V.R.SESHADRI RAO POLYTECHNIC</t>
  </si>
  <si>
    <t>AFFILIATED TO JNTUK</t>
  </si>
  <si>
    <t>VISHNU INSTITUTE OF TECHNOLOGY,BHIMAVARAM</t>
  </si>
  <si>
    <t>AutoCAD,MS Office,MS Project,Primavera,ETABS,REVIT,CostX,STAAD Pro</t>
  </si>
  <si>
    <t>Zyeta pvt.ltd | Project management intern  | Banglore  | May 2026 | Jul 2026 | 8 Weeks | Campus Internship
ROADS AND BUILDINGS DEPARTMENT | OPERATIONS&amp; SITE INTERN | BHIMAVARAM | Nov 2023 | Jan 2024 | 8 Weeks
NATIONAL INSTITUTE OF CONSTRUCTION MANAGEMENT AND RESEARCH | PROJECT MANAGEMENT INTERN | HYDERABAD | Jun 2024 | Jun 2024 | 2 Weeks</t>
  </si>
  <si>
    <t>P25700360</t>
  </si>
  <si>
    <t>RENUKA</t>
  </si>
  <si>
    <t>BANTE</t>
  </si>
  <si>
    <t>Renuka Sudhir Bante</t>
  </si>
  <si>
    <t>renukabante.23@gmail.com</t>
  </si>
  <si>
    <t>p25700360@student.nicmar.ac.in</t>
  </si>
  <si>
    <t>23-Sep-1999</t>
  </si>
  <si>
    <t>8489 5299 6633</t>
  </si>
  <si>
    <t>SANJANA</t>
  </si>
  <si>
    <t>3,Sainath Nagar, Near Nagpur Naka, Takiya Ward, Bhandara</t>
  </si>
  <si>
    <t>Bhandara</t>
  </si>
  <si>
    <t>JAYCEES CONVENT</t>
  </si>
  <si>
    <t>SRI CHAITANYA JUNIOR KALASHALSA</t>
  </si>
  <si>
    <t>TELENGANA STATE BOARD OF INTERMEDIATE EDUCATION</t>
  </si>
  <si>
    <t>DEPARTMENT OF TECHNOLOGY, SHIVAJI UNIVERSITY, KOLHAPUR</t>
  </si>
  <si>
    <t>AutoCAD,MS Office,MS Project,Primavera,Revit,CostX</t>
  </si>
  <si>
    <t>Urbangaon  | Project Management Intern | Jaipur  | May 2026 | Jul 2026 | 8 Weeks | Campus Internship
Datta Construction | Site Engineer Trainee | LAKHANI | Jun 2023 | Jul 2023 | 4 Weeks
M/S.V.Y. NIKHAR &amp;ASSOCIATES | SITE ENGINEER TRAINEE | BHANDARA | May 2019 | Jun 2019 | 3 Weeks</t>
  </si>
  <si>
    <t>Six Sigma Green Belt
Project Management in Construction
Highway Planning, Pavement Design and Construction
Data Analysis
Project Management Principles and Practices Specialization
Infrastructure for Transportation Systems
Sustainable Design Practices in Building Design
	Mechanization in Construction Specialization
	Construction Management Fundamentals</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</si>
  <si>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</si>
  <si>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</si>
  <si>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</si>
  <si>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</si>
  <si>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</si>
  <si>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</si>
  <si>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</si>
  <si>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</si>
  <si>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</si>
  <si>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</si>
  <si>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</si>
  <si>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</si>
  <si>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</si>
  <si>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</si>
  <si>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</si>
  <si>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</si>
  <si>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</si>
  <si>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</si>
  <si>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</si>
  <si>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 Years, 9 Months, 25 Days | 3.25</t>
  </si>
  <si>
    <t>Bhajan Infratech Pvt limited | Project Co-ordinator  | Surat | May 2026 | Jun 2026 | 7 Weeks | Campus Internship</t>
  </si>
  <si>
    <t>Cost Estimating &amp; Cost Control
Advanced Communication Strategies
Finance for Non-Financial Managers</t>
  </si>
  <si>
    <t>P25700362</t>
  </si>
  <si>
    <t>PRAVEEN</t>
  </si>
  <si>
    <t>Praveen P</t>
  </si>
  <si>
    <t>praveeensvg@gmail.com</t>
  </si>
  <si>
    <t>p25700362@student.nicmar.ac.in</t>
  </si>
  <si>
    <t>17-Sep-2003</t>
  </si>
  <si>
    <t>6099 9964 4445</t>
  </si>
  <si>
    <t>PARAMASIVAM A P</t>
  </si>
  <si>
    <t>RETIRED STATE GOVERNMENT EMPLOYEE</t>
  </si>
  <si>
    <t>SANGARAPARAMESWARI R</t>
  </si>
  <si>
    <t>STATE GOVERNMENT EMPLOYEE</t>
  </si>
  <si>
    <t>2/409, Yuvaraja Illam, T.Pudur, Krishna Nagar, 4th Street, Sivaganga</t>
  </si>
  <si>
    <t>Sivaganga</t>
  </si>
  <si>
    <t>MAHARISHI INTERNATIONAL RESIDENTIAL SCHOOL</t>
  </si>
  <si>
    <t>CENTRAL BOARD OF SECONDARY EDUCATION , CHENNAI</t>
  </si>
  <si>
    <t>CENTRAL BOARD OF SECONDARY EDUCATION, CHENNAI</t>
  </si>
  <si>
    <t>SASTRA DEEMED TO BE UNIVERSITY</t>
  </si>
  <si>
    <t>SASTRA DEEMED TO BE UNIVERSITY, THANJAVUR</t>
  </si>
  <si>
    <t>MS Project,Primavera,AutoCAD,MS Office,Cost X.</t>
  </si>
  <si>
    <t>AKG Building Consultants Pvt. Ltd. | Site execution Control | Bangalore | May 2026 | Jul 2026 | 8 Weeks | Campus Internship
UNIQCORE CONSTRUCTIONS INDIA PVT LTD | Site Engineering Intern | SASTRA Deemed to be University,Thanjavur | Jun 2024 | Jul 2024 | 4 Weeks</t>
  </si>
  <si>
    <t>P25700363</t>
  </si>
  <si>
    <t>PUSHPENDRA</t>
  </si>
  <si>
    <t>Pushpendra Yadav</t>
  </si>
  <si>
    <t>pushpendra.yadav2809@gmail.com</t>
  </si>
  <si>
    <t>p25700363@student.nicmar.ac.in</t>
  </si>
  <si>
    <t>28-Sep-2000</t>
  </si>
  <si>
    <t>2905 8063 1443</t>
  </si>
  <si>
    <t>RAMNARESH</t>
  </si>
  <si>
    <t>MAYA</t>
  </si>
  <si>
    <t>Bk 1658, Yogesh Nagar, Section-26_x000D_
Near Nutan Marathi School, Ulhasnagar 4</t>
  </si>
  <si>
    <t>NEW ENGLISH HIGH SCHOOL</t>
  </si>
  <si>
    <t>MAHARSHTRA STATE BOARD OF SECONDARY AND HIGHER SECONDARY EXAMINATION, MUMBAI, MAHARASHTRA</t>
  </si>
  <si>
    <t>S.H. JONDHALE POLYTECHNIC, DOMBIVLI, MAHARASHTRA</t>
  </si>
  <si>
    <t>B.R. HARNE COLLEGE OF ENGINEERING AND TECHNOLOGY, VANGANI, MAHARASHTRA</t>
  </si>
  <si>
    <t>AutoCAD,MS Office,MS Project,Primavera,Revit,Canva,Costx</t>
  </si>
  <si>
    <t>J.F. Constructions | Site Engineer | Ambarnath | Jul 2022 | Jun 2025 | 2 Years, 11 Months, 29 Days | 3.2</t>
  </si>
  <si>
    <t>Masin Projects Private Limited | Intern - Delay Department | Gurugram | May 2026 | Jul 2026 | 8 Weeks | Campus Internship
SUMITRA BUILDCONS PVT. LTD. | SITE CIVIL ENGINEER | MURBAD | Dec 2019 | Jan 2020 | 4 Weeks</t>
  </si>
  <si>
    <t>Finance for Non-Financial Managers
Google Project Management
Managing Social and Human Capital
Introduction to Artificial Intelligence (AI) by IBM
Microsoft Public Relations and Communications Associate
Microeconomics Principles
Construction Project Management
Construction Finance
Construction Industry: The Way Forward
AI For Everyone by DeepLearning.AI</t>
  </si>
  <si>
    <t>P25700364</t>
  </si>
  <si>
    <t>INGALE</t>
  </si>
  <si>
    <t>Prathamesh Mahesh Ingale</t>
  </si>
  <si>
    <t>pmingale109@gmail.com</t>
  </si>
  <si>
    <t>p25700364@student.nicmar.ac.in</t>
  </si>
  <si>
    <t>24-Mar-2002</t>
  </si>
  <si>
    <t>7901 6542 4979</t>
  </si>
  <si>
    <t>G1 Arihant Apartment, Ingale Colony, Shivane, NDA Road, Pune-411023</t>
  </si>
  <si>
    <t>SAHYADRI NATIONAL SCHOOL</t>
  </si>
  <si>
    <t>BALSHIKSHAN MANDIR CAMPUS</t>
  </si>
  <si>
    <t>ZEAL COLLEGE OF ENGINEERING &amp; RESEARCH, PUNE, MAHARASHTRA</t>
  </si>
  <si>
    <t>GNY Group | Junior Project Engineer Intern | Chhatrapati Sambhajinagar | May 2026 | Jul 2026 | 8 Weeks | Campus Internship
VASTU INFRA | Site Engineer Intern | Kekarav, Bavdhan Hills, Pune | Jun 2024 | Jun 2024 | 4 Weeks</t>
  </si>
  <si>
    <t>P25700366</t>
  </si>
  <si>
    <t>Tejas Sunil Pawar</t>
  </si>
  <si>
    <t>tejas.tp9797@gmail.com</t>
  </si>
  <si>
    <t>p25700366@student.nicmar.ac.in</t>
  </si>
  <si>
    <t>3203 0141 4259</t>
  </si>
  <si>
    <t>SUNIL BABURAO PAWAR</t>
  </si>
  <si>
    <t>VANDANA SUNIL PAWAR</t>
  </si>
  <si>
    <t>51,Shivaji Housing Society Karad.</t>
  </si>
  <si>
    <t>HOLY FAMILY CONVENT HIGH SCHOOL</t>
  </si>
  <si>
    <t>MAHARASHTRA STATE BOARD OF SECONDARY AND HIGHER SECONDARY EDUCATION , PUNE DIVISION KOLHAPUR</t>
  </si>
  <si>
    <t>2008-Jun</t>
  </si>
  <si>
    <t>SHRI HANUMANTRAO CHATE JR.COLLEGE OF SCIENCE,SATARA</t>
  </si>
  <si>
    <t>MAHARASHTRA STATE BOARD OF SECONDARY AND HIGHER SECONDARY EDUCATION, PUNE DIVISION KOLHAPUR</t>
  </si>
  <si>
    <t>SHIVAJI UNIVERSITY,KOLHAPUR</t>
  </si>
  <si>
    <t>RAJARAMBAPU INSTITUTE OF TECHNOLOGY, SAKHARALE TAL WALWA DIST SANGLI.</t>
  </si>
  <si>
    <t>AutoCAD,MS Office,MS Project,Primavera,Cost X</t>
  </si>
  <si>
    <t>Mantra Properties | Management-Intern | Pune  | May 2026 | Jul 2026 | 8 Weeks | Campus Internship
M/S. KRISHNA ASSOCIATES | JR. CIVIL ENGINEER | KARAD  | Jan 2024 | Jul 2024 | 27 Weeks</t>
  </si>
  <si>
    <t>P25700368</t>
  </si>
  <si>
    <t>MENDHE</t>
  </si>
  <si>
    <t>Vikas Prakash Mendhe</t>
  </si>
  <si>
    <t>vikasmendhe5260@gmail.com</t>
  </si>
  <si>
    <t>p25700368@student.nicmar.ac.in</t>
  </si>
  <si>
    <t>21-Aug-2001</t>
  </si>
  <si>
    <t>2883 3370 5033</t>
  </si>
  <si>
    <t>PRAKASH MENDHE</t>
  </si>
  <si>
    <t>DEFENCE (CRPF)</t>
  </si>
  <si>
    <t>SANGITA MENDHE</t>
  </si>
  <si>
    <t>FLAT NO 202 KRISHNA KUNJ APARTMENT SUSGAON PUNE</t>
  </si>
  <si>
    <t>Ward No 3 Siddhi Vinayak Colony Tarwekar Layout Nagbhid</t>
  </si>
  <si>
    <t>ST. XAVIERS HIGH SCHOOL MIDC ,NAGPUR</t>
  </si>
  <si>
    <t>CENTRAL BOARD OF SECONDARY EDUCATION , MAHARASHTRA</t>
  </si>
  <si>
    <t>MAJOR HEMANT JAKATE HIGH SCHOOL ,NAGPUR</t>
  </si>
  <si>
    <t>MAHARASHTRA STATE BOARD OF SECONDARY AND HIGHER SECONDARY EDUCATION PUNE, MAHARASHTRA</t>
  </si>
  <si>
    <t>RASHTRASANT TUKADOJI MAHRARAJ NAGPUR UNIVERSITY</t>
  </si>
  <si>
    <t>KAVIKULGURU INSTITUTE OF TECHNOLOGY AND SCIENCE RAMTEK MAHARASHTRA</t>
  </si>
  <si>
    <t>AutoCAD ,MS Project, Primavera, RIB Cost X, Revit</t>
  </si>
  <si>
    <t>NCCCL  | Planning Intern  | Dombivli Mumbai | May 2026 | Jul 2026 | 8 Weeks | Campus Internship
Suntronic renewables | junior civil engineer  | nagpur | Mar 2024 | May 2025 | 65 Weeks</t>
  </si>
  <si>
    <t>P25700369</t>
  </si>
  <si>
    <t>Prasad Ramesh Mane</t>
  </si>
  <si>
    <t>prasadm3440@gmail.com</t>
  </si>
  <si>
    <t>p25700369@student.nicmar.ac.in</t>
  </si>
  <si>
    <t>3051 2276 0670</t>
  </si>
  <si>
    <t>GREENLIFE SOCIETY, LAXMI CHOWK, HINJEWADI PHASE-1, PIMPRI-CHINCHWAD</t>
  </si>
  <si>
    <t>Mahapur, Tq. Latur, Dist. Latur</t>
  </si>
  <si>
    <t>SHRI DESHIKENDRA VIDYALAYA, LATUR, MAHARASHTRA.</t>
  </si>
  <si>
    <t>MAHARASHTRA STATE BOARD OF SECONDARY AND HIGHER SECONDARY EDUCATION, PUNE.</t>
  </si>
  <si>
    <t>SWAMI VIVEKANAND INSTITUTE OF POLYTECHNIC, LATUR.</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</si>
  <si>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</si>
  <si>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</si>
  <si>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</si>
  <si>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P25700370</t>
  </si>
  <si>
    <t>SOLANKI</t>
  </si>
  <si>
    <t>Rahul Mahesh Solanki</t>
  </si>
  <si>
    <t>rahulmaheshsolanki018@gmail.com</t>
  </si>
  <si>
    <t>p25700370@student.nicmar.ac.in</t>
  </si>
  <si>
    <t>18-Jan-2001</t>
  </si>
  <si>
    <t>ENGLISH, GUJARATI, HINDI, MARATHI</t>
  </si>
  <si>
    <t>6240 7944 9401</t>
  </si>
  <si>
    <t>BMC SERVANT</t>
  </si>
  <si>
    <t>ALKA</t>
  </si>
  <si>
    <t>382 RAJMALA ROOM NO 13 CHARKOP SEC 3 OPP DOMINOS PIZZA KANDIVALI WEST</t>
  </si>
  <si>
    <t>B-3/21 Shravan Nagar Near Ekta Nagar At New Link Road Kandivali West</t>
  </si>
  <si>
    <t>P J PANCHOLIA HIGH SCHOOL</t>
  </si>
  <si>
    <t>SARDAR VALLABHBHAI PATEL POLYTECHNIC</t>
  </si>
  <si>
    <t>2024-Jan</t>
  </si>
  <si>
    <t>THE GREEN VENTUREZ DEVELOPERS | Site Engineer | Kandivali West | Dec 2023 | Jun 2025 | 1 Years, 6 Months, 19 Days | 2.4</t>
  </si>
  <si>
    <t>J Kumar  | Execution plus control  | Mumbai  | May 2026 | Jul 2026 | 9 Weeks | Campus Internship</t>
  </si>
  <si>
    <t>P25700371</t>
  </si>
  <si>
    <t>Disha J</t>
  </si>
  <si>
    <t>dishajagdeesh@gmail.com</t>
  </si>
  <si>
    <t>p25700371@student.nicmar.ac.in</t>
  </si>
  <si>
    <t>23-Jan-1999</t>
  </si>
  <si>
    <t>3190 5576 9693</t>
  </si>
  <si>
    <t>JAGADEESH K</t>
  </si>
  <si>
    <t>EX-  BLOCK EDUCATION OFFICER</t>
  </si>
  <si>
    <t>SAVITHA S R</t>
  </si>
  <si>
    <t>Door Number 99, Third Cross, South, Anikethana Road, Kuvempunagar, Mysore, Karnataka</t>
  </si>
  <si>
    <t>GNANAGANGA VIDYAPEETA</t>
  </si>
  <si>
    <t>KARNATAKA SECONDARY EDUCATION EXAMINATION BOARD, GOVERNMENT OF KARNATAKA</t>
  </si>
  <si>
    <t>VIJAYAVITTALA PU COLLEGE</t>
  </si>
  <si>
    <t>DEPARTMENT OF PRE- UNIVERSITY EDUCATION, GOVERNMENT OF KARNATAKA</t>
  </si>
  <si>
    <t>VIDYA VARDHAKA COLLEGE OF ENGINEERING, MYSORE, KARNATAKA</t>
  </si>
  <si>
    <t>The National Institute of Engineering,Mysore</t>
  </si>
  <si>
    <t>AutoCAD,MS Office,MS Project,Primavera, Power BI,Staad pro,Etabs,3dsmax,Idea Statica,Cohoom,Revit</t>
  </si>
  <si>
    <t>RR CONSTRUCTIONS | Structural Design Engineer | Mysore, Karnataka | Nov 2022 | Jul 2024 | 1 Years, 8 Months, 22 Days | 1.2</t>
  </si>
  <si>
    <t>BECHTEL INDIA PRIVATE LIMITED | Supply chain management - Intern | Gurugram, India | May 2026 | Jul 2026 | 7 Weeks | Campus Internship
MYSORE CITY CORPORATION- VANI VILAS WATER SUPPLY DIVISION | Engineer - Intern | MYSORE | Jul 2019 | Aug 2019 | 4 Weeks
R.K. ASSOCIATES, PROJECT MANAGEMENT AND STRUCTURAL CONSULTANTS | Structural Designer/ Engineer | MYSORE | Oct 2021 | Nov 2021 | 8 Weeks</t>
  </si>
  <si>
    <t>Diploma in Interior Design</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</si>
  <si>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</si>
  <si>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</si>
  <si>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</si>
  <si>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</si>
  <si>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</si>
  <si>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</si>
  <si>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</si>
  <si>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</si>
  <si>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</si>
  <si>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</si>
  <si>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</si>
  <si>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</si>
  <si>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</si>
  <si>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</si>
  <si>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</si>
  <si>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SYMBIOSIS INTERNATIONAL UNIVERSITY</t>
  </si>
  <si>
    <t>Primavera P6, MSP, AutoCAD,MS Office,Bluebeam Revu, CostX</t>
  </si>
  <si>
    <t>Turner International | Assistant Quantity Surveyor | Bengaluru | Jul 2022 | Nov 2022 | 0 Years, 4 Months, 10 Days | 3
Ceigall India Limited | Engineer - Contracts Administration | Gurugram | Mar 2024 | Jun 2025 | 1 Years, 3 Months, 15 Days | 7.5</t>
  </si>
  <si>
    <t>KPMG Assurance and Consulting Services LLP  | Intern - Transformation (MPA) | Gurugram | May 2026 | Jun 2026 | 7 Weeks | Campus Internship
Turner Project Management India Pvt Ltd (Turner International) | Quantity Surveying Trainee | Bengaluru | Feb 2022 | Jun 2022 | 21 Weeks</t>
  </si>
  <si>
    <t>P25700373</t>
  </si>
  <si>
    <t>RAJDEEP</t>
  </si>
  <si>
    <t>MULE</t>
  </si>
  <si>
    <t>Rajdeep Rajesh Mule</t>
  </si>
  <si>
    <t>rajdeepmule@gmail.com</t>
  </si>
  <si>
    <t>p25700373@student.nicmar.ac.in</t>
  </si>
  <si>
    <t>03-Mar-2002</t>
  </si>
  <si>
    <t>5152 8355 6580</t>
  </si>
  <si>
    <t>RAJESH MULE</t>
  </si>
  <si>
    <t>DR DIPALI MULE</t>
  </si>
  <si>
    <t>G-46 Patang Plaza Tower, Opp PICT College, Bharti Vidyapeeth, Katraj, Pune - 411046</t>
  </si>
  <si>
    <t>THE BISHOP'S CO-ED SCHOOL, UNDRI, PUNE</t>
  </si>
  <si>
    <t>MES ABASAHEB GARWARE COLLEGE, PUNE</t>
  </si>
  <si>
    <t>HIGHER SECONDARY CERTIFICATE EXAMINATION, MAHARASHTRA</t>
  </si>
  <si>
    <t>AutoCAD,MS Office,MS Project,Primavera,Sketchup,Enscape,Photoshop,Canva,InDesign,RIB CostX,Revit,Lumion</t>
  </si>
  <si>
    <t>Adani Realty's Navbharat Mega Developers Pvt. Ltd.  | Project Planning &amp; Control Intern | BKC Inspire, Mumbai | May 2026 | Jul 2026 | 7 Weeks | Campus Internship
Prashant Deshmukh &amp; Associates | Trainee Architect | Pune | Jun 2024 | Oct 2024 | 17 Weeks</t>
  </si>
  <si>
    <t>Ethics in Engineering Practice - authorized by Indian Institute of Technology Kharagpur
Generative AI for Everyone - authorized by DeepLearning.AI
Finance for Non-Financial Managers - authorized by Emory University</t>
  </si>
  <si>
    <t>P25700374</t>
  </si>
  <si>
    <t>NAINA</t>
  </si>
  <si>
    <t>BHAT</t>
  </si>
  <si>
    <t>Naina Bhat</t>
  </si>
  <si>
    <t>nainabhat24@gmail.com</t>
  </si>
  <si>
    <t>p25700374@student.nicmar.ac.in</t>
  </si>
  <si>
    <t>English, Hindi, Kashmiri</t>
  </si>
  <si>
    <t>4088 9189 2185</t>
  </si>
  <si>
    <t>RAMESH KUMAR BHAT</t>
  </si>
  <si>
    <t>LOVELY BHAT</t>
  </si>
  <si>
    <t>Hno 435 Near Sector 9 Basai Village Gurgaon Haryana</t>
  </si>
  <si>
    <t>DEENBANDHU CHHOTU RAM UNIVERSITY OF SCIENCE AND TECHNOLOGY</t>
  </si>
  <si>
    <t>DEENBANDHU CHHOTU RAM UNIVERSITY OF SCIENCE AND TECHNOLOGY MURTHAL HARYANA</t>
  </si>
  <si>
    <t>AutoCAD,MS Project,Primavera,Revit,MS excel</t>
  </si>
  <si>
    <t>Prestige Estates Private Limited | Inrtern | Ghaziabad | May 2026 | Jul 2026 | 8 Weeks | Campus Internship
Shivam Construction | Intern | Gurugram | Sep 2023 | Feb 2024 | 22 Weeks
PWD B&amp;R PANCHKULA | Intern | Panchkula chandigarh | Aug 2022 | Dec 2022 | 19 Weeks</t>
  </si>
  <si>
    <t>AUTOCAD
One million leaders Asia fellowship program
Finance for Non-Financial Managers</t>
  </si>
  <si>
    <t>P25700375</t>
  </si>
  <si>
    <t>RAJKUMAR</t>
  </si>
  <si>
    <t>NAGULWAR</t>
  </si>
  <si>
    <t>Rahul Rajkumar Nagulwar</t>
  </si>
  <si>
    <t>rahulrajkumarnagulwar1@gmail.com</t>
  </si>
  <si>
    <t>p25700375@student.nicmar.ac.in</t>
  </si>
  <si>
    <t>19-Dec-2003</t>
  </si>
  <si>
    <t>English , Hindi , Marathi</t>
  </si>
  <si>
    <t>8594 6963 2228</t>
  </si>
  <si>
    <t>RAJKUMAR B. NAGULWAR</t>
  </si>
  <si>
    <t>VARSHA R. NAGULWAR</t>
  </si>
  <si>
    <t>F-101 NAGULWAR COMPLEX , ABOVE INDIAN BANK , MAHALAXMI NAGAR , MANEWADA ROAD , NAGPUR , 440024</t>
  </si>
  <si>
    <t>MONTFORT SCHOOL ASHOKWAN NAGPUR/MAHARASHTRA</t>
  </si>
  <si>
    <t>CENTRAL BOARD OF SECONDARY EDUCATION NAGPUR/MAHARASHTRA</t>
  </si>
  <si>
    <t>GOVERNMENT POLYTECHNIC, NAGPUR/MAHARASHTRA</t>
  </si>
  <si>
    <t>SHRI RAMDEOBABA COLLEGE OF ENGINEERING AND MANAGEMENT , NAGPUR/MAHARASHTRA</t>
  </si>
  <si>
    <t>AutoCAD,MS Office,MS Project,Beam AI,Automeasure</t>
  </si>
  <si>
    <t>ATTENTIVE  OS PRIVATE LIMITED | TRAINEE ESTIMATOR | NEW DELHI | Apr 2025 | Jul 2025 | 0 Years, 2 Months, 13 Days | 3.34</t>
  </si>
  <si>
    <t>2 month(s)</t>
  </si>
  <si>
    <t>SRIBAL CONSTRUCTION COMPANY | PROJECT COORDINATION | BHOGAPURAM, VIZAG | May 2026 | Jul 2026 | 8 Weeks | Campus Internship
B.R.SHARMA &amp; ASSOCIATE ARCHITECTS &amp; CONSULTING | INTERN SITE ENGINEER | NAGPUR/ MAHARASHTRA | May 2024 | Jul 2024 | 5 Weeks
ATTENTIVE  OS PRIVATE LIMITED | INTERN ESTIMATOR  | NEW DELHI | Jan 2025 | Apr 2025 | 12 Weeks</t>
  </si>
  <si>
    <t>P25700376</t>
  </si>
  <si>
    <t>PRATIKSHA</t>
  </si>
  <si>
    <t>Patil Pratiksha Ramesh</t>
  </si>
  <si>
    <t>pratiksharpatil2002@gmail.com</t>
  </si>
  <si>
    <t>p25700376@student.nicmar.ac.in</t>
  </si>
  <si>
    <t>22-May-2002</t>
  </si>
  <si>
    <t>3543 9646 7820</t>
  </si>
  <si>
    <t>RAMESH JANARDHAN PATIL</t>
  </si>
  <si>
    <t>SUREKHA RAMESH PATIL</t>
  </si>
  <si>
    <t>Plot 27/w, S No. 563/5, Anurag State Bank Colony, Mahabal, Jalgaon 425001_x000D_</t>
  </si>
  <si>
    <t>LATE B. G. SHANBHAG SCHOOL, JALGAON</t>
  </si>
  <si>
    <t>GOVERNMENT POLYTECHNIC JALGAON</t>
  </si>
  <si>
    <t>AutoCAD, MS Office, Revit, Primavera, MSP</t>
  </si>
  <si>
    <t>Tirumala Enterprises Engineers and Contractors | Construction Management trainee | Pune | May 2026 | Jul 2026 | 8 Weeks | Campus Internship
ADVETKUNAL ENTERPRISES PVT.LTD | Site Engineer trainee | Pune | Dec 2022 | Jan 2023 | 4 Weeks</t>
  </si>
  <si>
    <t>P25700378</t>
  </si>
  <si>
    <t>SHELAWADAKAR</t>
  </si>
  <si>
    <t>Shubham Dinkar Shelawadakar</t>
  </si>
  <si>
    <t>shelawadakarshubham@gmail.com</t>
  </si>
  <si>
    <t>p25700378@student.nicmar.ac.in</t>
  </si>
  <si>
    <t>11-Jul-2003</t>
  </si>
  <si>
    <t>5697 7226 1454</t>
  </si>
  <si>
    <t>MALVADI, A/P. MINCHE KHURD, BHUDARGAD, KOLHAPUR</t>
  </si>
  <si>
    <t>Main Road, Pandivare, Tikkewadi, Kolhapur</t>
  </si>
  <si>
    <t>R.V. DESAI SCHOOL, MINCHE KHURD</t>
  </si>
  <si>
    <t>CIVIL &amp; RURAL ENGINEERING</t>
  </si>
  <si>
    <t>INSTITUTE OF CIVIL &amp; RURAL ENGINEERING, GARGOTI</t>
  </si>
  <si>
    <t>AutoCAD,MS Office,MS Project,Primavera,CostX,REVIT,NavisWorks</t>
  </si>
  <si>
    <t>ANAROCK Property Consultants Pvt. Ltd. | Intern-PMES | Goa | May 2026 | Jul 2026 | 9 Weeks | Campus Internship</t>
  </si>
  <si>
    <t>Industrial / Inplant Training
TECHNOTSAV 2k24 (National Level Technical Event)
ChatGPT &amp; AI Tools Workshop
Project Management Assessment
Data Analysis
Cybersecurity for Everyone</t>
  </si>
  <si>
    <t>P25700379</t>
  </si>
  <si>
    <t>DHANANJAY</t>
  </si>
  <si>
    <t>DALAVI</t>
  </si>
  <si>
    <t>Kalpesh Dhananjay Dalavi</t>
  </si>
  <si>
    <t>kalpeshdalavi2777@gmail.com</t>
  </si>
  <si>
    <t>p25700379@student.nicmar.ac.in</t>
  </si>
  <si>
    <t>22-Nov-1999</t>
  </si>
  <si>
    <t>7027 0263 1823</t>
  </si>
  <si>
    <t>A/P SASURE TAL BARSHI DIS SOLAPUR</t>
  </si>
  <si>
    <t>VIDAY MANDAR HIGHSCHOOL ,VAIRAG</t>
  </si>
  <si>
    <t>DR. CHANDARBHANU SONAWANE MAHAVIDAYLA ,LATUR</t>
  </si>
  <si>
    <t>SVERI'S COLLEGE OF ENGINEERING (POLY)</t>
  </si>
  <si>
    <t>JSPM'S RAJARSHI SHAHU COLLEGE OF ENGINEERING</t>
  </si>
  <si>
    <t xml:space="preserve">AutoCAD,MS Office,MS Project,Primavera,E-TAB,STAAD PRO, Plannarly, Bexel Manager </t>
  </si>
  <si>
    <t>Bhate &amp; Raje Construction Co. Pvt. Ltd. | Project Planning | Punawale, Pune | May 2026 | Jul 2026 | 8 Weeks | Campus Internship
Kalpesh Construction | Site Engineer | Vairag | Apr 2023 | Mar 2024 | 52 Weeks
Pune Metro | Intern | Shivajinagar | Feb 2022 | Apr 2022 | 8 Weeks</t>
  </si>
  <si>
    <t>P25700380</t>
  </si>
  <si>
    <t>ANNA</t>
  </si>
  <si>
    <t>SAJU</t>
  </si>
  <si>
    <t>Anna Saju</t>
  </si>
  <si>
    <t>annasaju20@gmail.com</t>
  </si>
  <si>
    <t>p25700380@student.nicmar.ac.in</t>
  </si>
  <si>
    <t>20-May-2002</t>
  </si>
  <si>
    <t>3829 4665 5094</t>
  </si>
  <si>
    <t>SAJU THOMAS</t>
  </si>
  <si>
    <t>SHEENA SAJU</t>
  </si>
  <si>
    <t>Pellissery House Ammadam P.O. Thrissur Kerala 680563</t>
  </si>
  <si>
    <t>SACRED HEART C.G.H.S.S. THRISSUR</t>
  </si>
  <si>
    <t>BOARD OF PUBLIC EXAMINATIONS KERALA</t>
  </si>
  <si>
    <t>CHRIST COLLEGE OF ENGINEERING IRINJALAKUDA</t>
  </si>
  <si>
    <t>AutoCAD,MS Office,MS Project,Primavera,ETABS,Quantity Survey and Estimation,Lumion,Google SketchUp</t>
  </si>
  <si>
    <t>IIT GUWAHATI | Research Fellowship  | Guwahati  | Aug 2024 | Jun 2025 | 0 Years, 10 Months, 11 Days | 3</t>
  </si>
  <si>
    <t>Godrej properties limited  | Operations Intern | Bangalore  | May 2026 | Jul 2026 | 8 Weeks | Campus Internship
LOCAL SELF GOVERNMENT DEPARTMENT | INTERN | PALAKKAD | May 2023 | May 2023 | 1 Weeks</t>
  </si>
  <si>
    <t>Advancement and Applications of Analytical Instruments
3D Visualisation
Non-Destructive Testing
Quantity Survey and Estimation
ETABS
Introduction to Machining and Machining Fluids
Theory Of Production Processes
Expansive Soil
Rock Engineering
Urban Transportation Systems Planning</t>
  </si>
  <si>
    <t>P25700381</t>
  </si>
  <si>
    <t>DARPAN</t>
  </si>
  <si>
    <t>NARENDRA</t>
  </si>
  <si>
    <t>TATIYA</t>
  </si>
  <si>
    <t>Darpan Narendra Tatiya</t>
  </si>
  <si>
    <t>darpan11tatiya@gmail.com</t>
  </si>
  <si>
    <t>p25700381@student.nicmar.ac.in</t>
  </si>
  <si>
    <t>04-Nov-2003</t>
  </si>
  <si>
    <t>English,Hindi,Marwari,Marathi</t>
  </si>
  <si>
    <t>8377 4975 6242</t>
  </si>
  <si>
    <t>Plot No 8, Adarsh Nagar,Sakri,Dhule</t>
  </si>
  <si>
    <t>HON. SHARAD PAWAR PUBLIC SCHOOL</t>
  </si>
  <si>
    <t>CENTRAL BOARD OF SECONDARY EDUCATION, NASHIK/MAHARASHTRA</t>
  </si>
  <si>
    <t>NAMO RIMS JUNIOR COLLEGE</t>
  </si>
  <si>
    <t>MAHARASHTRA STATE BOARD OF SECONDARY AND HIGHER SECONDARY EDUCATION, PUNE/MAHARASHTRA</t>
  </si>
  <si>
    <t>DR. VISHWANATH KARAD MIT WORLD PEACE UNIVERSITY</t>
  </si>
  <si>
    <t>DR. VISHWANATH KARAD MIT WORLD PEACE UNIVERSITY, PUNE/MAHARASHTRA</t>
  </si>
  <si>
    <t>AutoCAD,MS Office,MS Project,Primavera, Basic BIM</t>
  </si>
  <si>
    <t>Dhanavade Group | Site Execution, Control and Planning | Pune | May 2026 | Jul 2026 | 8 Weeks | Campus Internship
NM Sonawane Govt. Contractor | Junior Site Supervisor | Dhongsagali | Dec 2024 | Jun 2025 | 25 Weeks</t>
  </si>
  <si>
    <t>P25700382</t>
  </si>
  <si>
    <t>TETALI</t>
  </si>
  <si>
    <t>BHANU KRISHNA</t>
  </si>
  <si>
    <t>Tetali Bhanu Krishna Reddy</t>
  </si>
  <si>
    <t>krishnareddy2686@gmail.com</t>
  </si>
  <si>
    <t>p25700382@student.nicmar.ac.in</t>
  </si>
  <si>
    <t>16-Jun-2002</t>
  </si>
  <si>
    <t>7110 4671 7984</t>
  </si>
  <si>
    <t>SATYANARAYANA REDDY</t>
  </si>
  <si>
    <t>SANTHA KUMARI</t>
  </si>
  <si>
    <t>D.no- 9-61/2, Flat No. 508, Block- C, Vasanth Vihar, Kommadi, Madhurawada, Visakhapatnam, 530048, Andhra Pradesh.</t>
  </si>
  <si>
    <t>DR KKRS GOWTHAM</t>
  </si>
  <si>
    <t>LAWSONS BAY COLONY, VISAKHAPATNAM, ANDHRA PRADESH.</t>
  </si>
  <si>
    <t>SAI GANAPATHI, VISAKHAPATNAM, ANDHRA PRADESH.</t>
  </si>
  <si>
    <t>GITAM (DEEMED UNIVERSITY)</t>
  </si>
  <si>
    <t>GANDHI INSTITUTE OF TECHNOLOGY AND MANAGEMENT, VISAKHAPATNAM, ANDHRA PRADESH.</t>
  </si>
  <si>
    <t>MS Project, AutoCAD, MS Office, Excel, Primavera</t>
  </si>
  <si>
    <t>Vaisakhi Developers | Project Management Intern | Visakhapatnam | May 2026 | Jul 2026 | 9 Weeks | Campus Internship
Chennai Metro Rail Limited | Site Intern | Chennai | May 2024 | Jun 2024 | 4 Weeks
ROADS &amp; BUILDINGS | Site Intern | Visakhapatnam | May 2019 | Nov 2019 | 26 Weeks</t>
  </si>
  <si>
    <t>P25700383</t>
  </si>
  <si>
    <t>POORNESH</t>
  </si>
  <si>
    <t>J Poornesh</t>
  </si>
  <si>
    <t>poorneshchowdary167@gmail.com</t>
  </si>
  <si>
    <t>p25700383@student.nicmar.ac.in</t>
  </si>
  <si>
    <t>16-Jul-2002</t>
  </si>
  <si>
    <t>English,Telugu ,Kannada&amp;Hindi</t>
  </si>
  <si>
    <t>7301 8550 5545</t>
  </si>
  <si>
    <t>J RAMESH</t>
  </si>
  <si>
    <t>FARMER &amp; BUSINESS</t>
  </si>
  <si>
    <t>J UMADEVI</t>
  </si>
  <si>
    <t>19-12-551 BAIRAGIPETTADA TIRUPATI SRI BALAJI DISTRICT</t>
  </si>
  <si>
    <t>000,Ramesh Naidu Building ,sindhurajapuram , AM Puram(p) ,SR Puram (m) Chittor Dist</t>
  </si>
  <si>
    <t>BHARATIYA VIDHYA BHAVANS</t>
  </si>
  <si>
    <t>CENTRAL BOARD OF SECONDARY EDUCATION,NEW DELHI</t>
  </si>
  <si>
    <t>SRI CHAITHANYA ACADEMY JUNIOR COLLEGE</t>
  </si>
  <si>
    <t>REVA UNIVERSITY</t>
  </si>
  <si>
    <t>REVA UNIVERSITY ,BANGALORE , KARNATAKA</t>
  </si>
  <si>
    <t>AutoCAD,MS Project,Google sketchup &amp; enscape,Costx</t>
  </si>
  <si>
    <t>E Construct  | Project Management Intern | Bangalore  | May 2026 | Jul 2026 | 8 Weeks | Campus Internship
Swathi civil consultancy |  Designer  | Banglore | Feb 2024 | May 2024 | 11 Weeks
Swathi civil consultancy | Site execution | Banglore | Feb 2024 | Jan 2025 | 49 Weeks</t>
  </si>
  <si>
    <t>P25700384</t>
  </si>
  <si>
    <t>VEDANGI</t>
  </si>
  <si>
    <t>PALHADE</t>
  </si>
  <si>
    <t>Vedangi Sanjay Palhade</t>
  </si>
  <si>
    <t>vedangipalhade2002@gmail.com</t>
  </si>
  <si>
    <t>p25700384@student.nicmar.ac.in</t>
  </si>
  <si>
    <t>28-Aug-2002</t>
  </si>
  <si>
    <t>9608 9863 1882</t>
  </si>
  <si>
    <t>KAVITA</t>
  </si>
  <si>
    <t>Raut Wadi Nilesh Bhawan Akola</t>
  </si>
  <si>
    <t>SHRI DAWALE JR. COLLEGE MOTHI UMARI AKOLA</t>
  </si>
  <si>
    <t>COLLEGE OF ENGINEERING &amp; TECHNOLOGY, AKOLA</t>
  </si>
  <si>
    <t>AutoCAD,MS Office,MS Project,Primavera,3DS MAX V-Ray,Sketchup,Project Planning &amp; Scheduling</t>
  </si>
  <si>
    <t>Kothari Construction Company | Site Engineer | Akola, Maharashtra  | May 2026 | Jul 2026 | 7 Weeks | Campus Internship</t>
  </si>
  <si>
    <t>Autocad Civil &amp; 3D Max Advance</t>
  </si>
  <si>
    <t>P25700385</t>
  </si>
  <si>
    <t>HONNAGUDI</t>
  </si>
  <si>
    <t>Sanjay Honnagudi</t>
  </si>
  <si>
    <t>sanjayhonnagudi@gmail.com</t>
  </si>
  <si>
    <t>p25700385@student.nicmar.ac.in</t>
  </si>
  <si>
    <t>9369 5440 3448</t>
  </si>
  <si>
    <t>VEERESH HONNAGUDI</t>
  </si>
  <si>
    <t>RETIRED CO-OPERATIVE BANK EMPLOYEE</t>
  </si>
  <si>
    <t>HEMAVATHI</t>
  </si>
  <si>
    <t>Veeresh Honnagudi,_x000D_
House No: 8-5-117/38 Ganga Nilaya, Vasundara Nagara Central Public School Road Karatagi - 583229</t>
  </si>
  <si>
    <t>SRI SHARANA BASAVESHWARA ENGLISH MEDIUM HIGH SCHOOL KARATAGI</t>
  </si>
  <si>
    <t>SRI VIDYANIKETAN PU COLLEGE GANAGAVTHI</t>
  </si>
  <si>
    <t>BAPUJI INSTITUTE OF ENGINEERING AND TECHNOLOGY, DAVANGERE</t>
  </si>
  <si>
    <t>AutoCAD,MS Office,MS Project, Primavera, CostX, Revit Architecture, Sketchup, Vray Essential</t>
  </si>
  <si>
    <t>BENAKA DEVELOPERS AND PROJECT PVT LTD | Site Engineer | Bengaluru | Jul 2024 | Jun 2025 | 0 Years, 11 Months, 29 Days | 2.34</t>
  </si>
  <si>
    <t>Prestige Estates Projects Limited | Site Execution and Control | Bangalore | May 2026 | Jul 2026 | 7 Weeks | Campus Internship
FORUM OF PRACTICING ARCHITECTS AND CONSULTING CIVIL ENGINEERS | SITE INTERN | DAVANAGERE | Aug 2023 | Sep 2023 | 3 Weeks</t>
  </si>
  <si>
    <t>Master in CIVIL CAD</t>
  </si>
  <si>
    <t>P25700386</t>
  </si>
  <si>
    <t>RISHU</t>
  </si>
  <si>
    <t>Rishu Kumar</t>
  </si>
  <si>
    <t>singhrishu067@gmail.com</t>
  </si>
  <si>
    <t>p25700386@student.nicmar.ac.in</t>
  </si>
  <si>
    <t>24-Mar-1999</t>
  </si>
  <si>
    <t>3776 2016 8063</t>
  </si>
  <si>
    <t>JITENDRA</t>
  </si>
  <si>
    <t>Mini Bigha , Jaidev Nagar Aurangabad , Bihar (824101)</t>
  </si>
  <si>
    <t>LORD BUDDHA PUBLIC SCHOOL ,AURANGABAD , BIHAR</t>
  </si>
  <si>
    <t>C.B.S.E BOARD DELHI</t>
  </si>
  <si>
    <t>R.S.Y COLLEGE DEVKUND, AAURNGABAD , BIHAR (824101)</t>
  </si>
  <si>
    <t>B.S.E.B PATNA BIHAR</t>
  </si>
  <si>
    <t>D.I.T UNIVERSITY DEHRADUN UTTARAKHAND</t>
  </si>
  <si>
    <t>DEHRADUN INSTITUTE OF TECHNOLOGY, DEHRADUN, UTTARAKHAND</t>
  </si>
  <si>
    <t>Pasa Resources pvt. ltd | Site Engineer | Ranchi, Jharkhand | Jan 2023 | Apr 2024 | 1 Years, 3 Months, 28 Days | 2.53
TEXAM Projects LLP | Site Engineer | Sangil  Mahasthara  | May 2024 | Jul 2025 | 1 Years, 1 Months, 29 Days | 3.36</t>
  </si>
  <si>
    <t>29 month(s)</t>
  </si>
  <si>
    <t>Cemindia Project Limited  | Summer Intern | Karwar , Karnataka | May 2026 | Jun 2026 | 8 Weeks | Campus Internship
PWD Dehradun | Intern | Mussoorie | Apr 2018 | Jul 2018 | 10 Weeks
BRBCL | Intern | Aurangabad Bihar | Jun 2019 | Jul 2019 | 5 Weeks</t>
  </si>
  <si>
    <t>P25700387</t>
  </si>
  <si>
    <t>DHAS</t>
  </si>
  <si>
    <t>Sakshi Sanjay Dhas</t>
  </si>
  <si>
    <t>dhassakshi1102@gmail.com</t>
  </si>
  <si>
    <t>p25700387@student.nicmar.ac.in</t>
  </si>
  <si>
    <t>11-Jan-2002</t>
  </si>
  <si>
    <t>6593 1422 4900</t>
  </si>
  <si>
    <t>SANJAY B. DHAS</t>
  </si>
  <si>
    <t>VANITA SANJAY DHAS</t>
  </si>
  <si>
    <t>A/P Masur, Plot No.10, Near Shivaji High School, Kiwal Road ._x000D_
Tal - Karad Dist - Satara</t>
  </si>
  <si>
    <t>LAHOTI KANYA PRASHALA, KARAD</t>
  </si>
  <si>
    <t>MAHARASHTRA STATE BOARD KOLHAPUR/ MAHARASHTRA</t>
  </si>
  <si>
    <t>LIGADE PATIL JR.COLLEGE OF SCIENCE KARAD</t>
  </si>
  <si>
    <t>MAHARASHTRA STATE BOARD KOLHAPUR/MAHARASHTRA</t>
  </si>
  <si>
    <t>D. Y. PATIL COLLEGE OF ENGINEERING AKURDI, PUNE/ MAHARASHTRA</t>
  </si>
  <si>
    <t>AutoCAD,MS Office,MS Project,Revit Architecture,ARC GIS,MS EXCEL</t>
  </si>
  <si>
    <t>K. P. INFRA | JR. Billing Engineer | Karad | Jul 2023 | Jun 2025 | 1 Years, 11 Months, 29 Days | 2.4</t>
  </si>
  <si>
    <t>Sobha Ltd | PMO Planning intern | Bangalore | May 2026 | Jul 2026 | 9 Weeks | Campus Internship
AJWANI INFRASTRUCTURE PVT.LTD. | INTERN | PUNE | Jan 2022 | Feb 2022 | 4 Weeks</t>
  </si>
  <si>
    <t>P25700388</t>
  </si>
  <si>
    <t>ABHINAV</t>
  </si>
  <si>
    <t>Abhinav V</t>
  </si>
  <si>
    <t>abhinavvnath10@gmail.com</t>
  </si>
  <si>
    <t>p25700388@student.nicmar.ac.in</t>
  </si>
  <si>
    <t>29-Aug-2002</t>
  </si>
  <si>
    <t>English, Hindi, Malayalam, Tamil</t>
  </si>
  <si>
    <t>5052 3757 4368</t>
  </si>
  <si>
    <t>VISWANATHAN A</t>
  </si>
  <si>
    <t>RTD</t>
  </si>
  <si>
    <t>BHAGIASREE K C</t>
  </si>
  <si>
    <t>Vaiga Malur
Sivapuram</t>
  </si>
  <si>
    <t>Kannur</t>
  </si>
  <si>
    <t>BHAVANS VIDYA MANDIR CHITHALI</t>
  </si>
  <si>
    <t>JAWAHARLAL COLLEGE OF ENGINEERING AND TECHNOLOGY</t>
  </si>
  <si>
    <t>AutoCAD,MS Office,MS Project,Primavera,Revit,Sketchup</t>
  </si>
  <si>
    <t>Uralungal Labour Contract Co-operative Society Ltd (ULCCS Ltd) | Site execution | Kannur, Kerala | May 2026 | Jul 2026 | 7 Weeks | Campus Internship
MADECKAL CONSTRUCTIONS | INTERNSHIP TRAINEE | MUVATTUPUZHA | Jan 2022 | Jan 2022 | 0 Weeks
SKYLINE BUILDERS | INTERNSHIP TRAINEE | KOCHI | May 2023 | May 2023 | 1 Weeks</t>
  </si>
  <si>
    <t>BIM
Revit Architecture
AutoCAD 2D &amp; 3D
German - 1</t>
  </si>
  <si>
    <t>P25700389</t>
  </si>
  <si>
    <t>SURESHRAO</t>
  </si>
  <si>
    <t>RASEKAR</t>
  </si>
  <si>
    <t>Aditya Sureshrao Rasekar</t>
  </si>
  <si>
    <t>rasekar19@gmail.com</t>
  </si>
  <si>
    <t>p25700389@student.nicmar.ac.in</t>
  </si>
  <si>
    <t>19-Sep-1997</t>
  </si>
  <si>
    <t>6379 4583 0504</t>
  </si>
  <si>
    <t>SHIWAJI WARD DESAIGANJ (WADSA), GADCHIROLI MH</t>
  </si>
  <si>
    <t>Gadchiroli</t>
  </si>
  <si>
    <t>KUTHE PATIL HIGH SCHOOL</t>
  </si>
  <si>
    <t>PRABHAT POLYTECHNIC BRAMHAPURI MAHARASHTRA</t>
  </si>
  <si>
    <t>SAVITRIBAI PHULE PUNE UNIVERSITY,  PUNE MAHARASHTRA</t>
  </si>
  <si>
    <t>G H RAISONI COLLEGE OF ENGINEERING AND MANAGEMENT, PUNE MAHARASHTRA</t>
  </si>
  <si>
    <t>AutoCAD,MS Office,MS Project,Primavera,MS EXCEL</t>
  </si>
  <si>
    <t>SHRAVANI HITECH PRIVATE LIMITED | JR ENGINEER | CHANDRAPUR | Feb 2021 | Jun 2025 | 4 Years, 4 Months, 15 Days | 4.36</t>
  </si>
  <si>
    <t>52 month(s)</t>
  </si>
  <si>
    <t>SOBHA LIMITED INDIA | PROJECT PLANNING | BANGLORE | May 2026 | Jul 2026 | 9 Weeks | Campus Internship
ADVANCED BRICKSTONE CONSTRUCTIONS PVT LTD | TRAINEE ENGINEER | PUNE | Aug 2019 | Mar 2020 | 32 Weeks</t>
  </si>
  <si>
    <t>Microsoft Project Professional &amp; Primavera P6</t>
  </si>
  <si>
    <t>P25700390</t>
  </si>
  <si>
    <t>CHAITANYA</t>
  </si>
  <si>
    <t>TELTUMBDE</t>
  </si>
  <si>
    <t>Chaitanya Anand Teltumbde</t>
  </si>
  <si>
    <t>chaitanyateltembade4@gmail.com</t>
  </si>
  <si>
    <t>p25700390@student.nicmar.ac.in</t>
  </si>
  <si>
    <t>14-Sep-2003</t>
  </si>
  <si>
    <t>4481 7418 0997</t>
  </si>
  <si>
    <t>ANAND TELTUMBADE</t>
  </si>
  <si>
    <t>BUSINESSMEN</t>
  </si>
  <si>
    <t>NILIMA TELTUMBDE</t>
  </si>
  <si>
    <t>GOODSLAND PG, OPPO DMART, BANER</t>
  </si>
  <si>
    <t>Behind Amit Motors, Sant Tukdoji Ward, Hinganghat</t>
  </si>
  <si>
    <t>ST.JOHN'S HIGHSCHOOL (CBSE)</t>
  </si>
  <si>
    <t>HINGANGHAT, MAHARASHTRA</t>
  </si>
  <si>
    <t>DR. B. R. AMBEDKAR JUNIOR COLLEGE</t>
  </si>
  <si>
    <t>BRACTS VISHWAKARMA INSTITUTE OF INFORMATION TECHNOLOGY</t>
  </si>
  <si>
    <t>ECAS | Business Development Intern | Pune | May 2026 | Jun 2026 | 8 Weeks | Campus Internship
PRUDENT ENGINEERING AND VALUATION SERVICES | VALUATION INTERN  | PUNE | Jan 2025 | May 2025 | 17 Weeks</t>
  </si>
  <si>
    <t>P25700391</t>
  </si>
  <si>
    <t>ANVAY</t>
  </si>
  <si>
    <t>GHARAT</t>
  </si>
  <si>
    <t>Anvay R Gharat</t>
  </si>
  <si>
    <t>anvay.gharat01@gmail.com</t>
  </si>
  <si>
    <t>p25700391@student.nicmar.ac.in</t>
  </si>
  <si>
    <t>HINDI, MARATHI, ENGLISH</t>
  </si>
  <si>
    <t>3804 7030 9386</t>
  </si>
  <si>
    <t>RAVINDRA GOVIND GHARAT</t>
  </si>
  <si>
    <t>SAMPADA GOVIND GHARAT</t>
  </si>
  <si>
    <t>Nandadeep CHS, Plot No 70, Sector 9, New Panvel</t>
  </si>
  <si>
    <t>ST.JOSEPH'S HIGH SCHOOL ( RYAN INTERNAL SCHOOL) NAVI MUMBAI</t>
  </si>
  <si>
    <t>C.B.S.E ( PANVEL, MAHARASHTRA)</t>
  </si>
  <si>
    <t>DAV PUBLIC SCHOOL NEW PANVEL NAVI MUMBAI</t>
  </si>
  <si>
    <t>VISHWANIKETAN'S INSTITUTE OF MANAGEMENT ENTREPRENEURSHIP AND ENGINEERING TECHNOLOGY ( KHALAPUR, MAHARASHTRA)</t>
  </si>
  <si>
    <t>2025-Jan</t>
  </si>
  <si>
    <t>AutoCAD,MS Office,MS Project,Primavera P6,CANVA,Revit, Cost X, Naviswork</t>
  </si>
  <si>
    <t>Desai Construction Pvt. Ltd | Planning &amp; Contract Intern | Vapi | May 2026 | Jul 2026 | 8 Weeks | Campus Internship
Akurai PEB LLP | Asst Sales Engineer | Malad | Oct 2023 | Feb 2025 | 72 Weeks
J.M. MHATRE INFRA PVT. LTD. | SITE EXECUTION TRAINEE | PANVEL-KARJAT RAILWAY CORRIDOR | Jan 2023 | Apr 2023 | 12 Weeks</t>
  </si>
  <si>
    <t>P25700392</t>
  </si>
  <si>
    <t>SHREYARAM</t>
  </si>
  <si>
    <t>Shreyaram .</t>
  </si>
  <si>
    <t>shreyaram2404@gmail.com</t>
  </si>
  <si>
    <t>p25700392@student.nicmar.ac.in</t>
  </si>
  <si>
    <t>ENGLISH, KANNADA, HINDI</t>
  </si>
  <si>
    <t>Reading Architecture Journals</t>
  </si>
  <si>
    <t>7576 3118 0305</t>
  </si>
  <si>
    <t>N SHANTHARAM</t>
  </si>
  <si>
    <t>CONSULTING CIVIL ENGINEERING</t>
  </si>
  <si>
    <t>JYOTHI S G</t>
  </si>
  <si>
    <t>#FF-03, A-Block, 1st Floor, Ajantha Vihar Apartment, Industrial Town, 4th Phase, Yelahanka New Town, Bengaluru - 560064</t>
  </si>
  <si>
    <t>Poornaprajna Education Centre</t>
  </si>
  <si>
    <t>PRESIDENCY PRE-UNIVERSITY COLLEGE</t>
  </si>
  <si>
    <t>BMS SCHOOL OF ARCHITECTURE</t>
  </si>
  <si>
    <t>AutoCAD, MS Project, MS Word, MS Excel, MS PowerPoint, SketchUp, BIM (Revit), Adobe Photoshop, TwinMotion, D5 Render, Enscape, CostX, Primavera</t>
  </si>
  <si>
    <t>PRESTIGE ESTATES PROJECTS LIMITED | PROJECT MANAGEMENT INTERN | BANGALORE  | May 2026 | Jul 2026 | 8 Weeks | Campus Internship
ANJAN DESIGN ATRIUM | ARCHITECTURAL INTERN | BANGALORE  | Jan 2025 | Apr 2025 | 15 Weeks</t>
  </si>
  <si>
    <t>Ethics in Engineering
German - I
Indian Town Planning and Architecture
Data Analysis
Finance for Non-Financial Managers
digiQC</t>
  </si>
  <si>
    <t>P25700393</t>
  </si>
  <si>
    <t>RAKESH</t>
  </si>
  <si>
    <t>D</t>
  </si>
  <si>
    <t>Rakesh D</t>
  </si>
  <si>
    <t>diliprakesh29@gmail.com</t>
  </si>
  <si>
    <t>p25700393@student.nicmar.ac.in</t>
  </si>
  <si>
    <t>29-Sep-2000</t>
  </si>
  <si>
    <t>English, Hindi, Telugu, Tamil, Kannada</t>
  </si>
  <si>
    <t>3049 8473 7850</t>
  </si>
  <si>
    <t>S DILIP KUMAR</t>
  </si>
  <si>
    <t>PARTNER</t>
  </si>
  <si>
    <t>D LATHA</t>
  </si>
  <si>
    <t>No. 9905, Dishitha,60ft Road, Vijayanagar 4th Stage 2nd Phase, Near Indian Bank, Mysore_x000D_</t>
  </si>
  <si>
    <t>06429-KENDRIYA VIDYALAYA TUNGABHADRA DAM HOSPET KK</t>
  </si>
  <si>
    <t>CIVIL ENGINEERING (GENERAL)</t>
  </si>
  <si>
    <t>SANDUR POLYTECHNIC, KARNATAKA</t>
  </si>
  <si>
    <t>PES UNIVERSITY</t>
  </si>
  <si>
    <t>PES UNIVERSITY, BENGALURU</t>
  </si>
  <si>
    <t>Construction &amp; Project Management</t>
  </si>
  <si>
    <t>AutoCAD,MS Office,MS Project,Primavera,Design and Build,Cost &amp; Time Management,Strategic Planning,Conflict Resolution,Rapid Prototyping,Team Building,Stakeholder Management</t>
  </si>
  <si>
    <t>DL Engineering Works | Construction Project Coordinator (Turnkey Projects) | Mysore | Apr 2023 | Jun 2025 | 2 Years, 2 Months, 0 Days | 4.14</t>
  </si>
  <si>
    <t>Ahluwalia Contracts (India) Limited | Planning &amp; Commercial | Bengaluru | May 2026 | Jul 2026 | 8 Weeks | Campus Internship
TAHAL Group | Intern | Bangalore  | Nov 2019 | Dec 2019 | 1 Weeks
Nexus India INC | BIM Trainee | Mysore | Jan 2023 | Apr 2023 | 12 Weeks</t>
  </si>
  <si>
    <t>P25700394</t>
  </si>
  <si>
    <t>Himanshu Himanshu</t>
  </si>
  <si>
    <t>hsharma2128@gmail.com</t>
  </si>
  <si>
    <t>p25700394@student.nicmar.ac.in</t>
  </si>
  <si>
    <t>17-May-2002</t>
  </si>
  <si>
    <t>English, Hindi, Punjabi, Haryanvi</t>
  </si>
  <si>
    <t>2280 9787 1726</t>
  </si>
  <si>
    <t>SATYAWAN</t>
  </si>
  <si>
    <t>NEELAM</t>
  </si>
  <si>
    <t>393/18 Kaithal, Haryana</t>
  </si>
  <si>
    <t>Kaithal</t>
  </si>
  <si>
    <t>D A V CENTENARY PUBLIC SCHOOL, JIND</t>
  </si>
  <si>
    <t>NAV DURGA SR SEC SCHOOL, JIND</t>
  </si>
  <si>
    <t>BOARD OF SCHOOL EDUCATION HARYANA, HARYANA</t>
  </si>
  <si>
    <t>THAPAR INSTITUTE OF ENGINEERING AND TECHNOLOGY, PATIALA</t>
  </si>
  <si>
    <t>AutoCAD,MS Office,MS Project,Primavera,Autodesk Revit,Staad pro,Visilean</t>
  </si>
  <si>
    <t>Geoquest India | Operations Intern | Delhi, India | May 2026 | Jun 2026 | 8 Weeks | Campus Internship
A &amp; S CONTRACTING L.L.C | INTERN | DUBAI | Jul 2023 | Dec 2023 | 20 Weeks</t>
  </si>
  <si>
    <t>P25700395</t>
  </si>
  <si>
    <t>ASHISH</t>
  </si>
  <si>
    <t>Ashish Mahendra Dubey</t>
  </si>
  <si>
    <t>ashisshhhhh@gmail.com</t>
  </si>
  <si>
    <t>p25700395@student.nicmar.ac.in</t>
  </si>
  <si>
    <t>25-May-2000</t>
  </si>
  <si>
    <t>5589 7871 3881</t>
  </si>
  <si>
    <t>MAHENDRA DUBEY</t>
  </si>
  <si>
    <t>ANITA DUBEY</t>
  </si>
  <si>
    <t>B/406 Rajdeep Apartment Opp Sheetal Cinema Kurla West</t>
  </si>
  <si>
    <t>HOLY CROSS HIGH SCHOOL</t>
  </si>
  <si>
    <t>MAHARASHTRA STATE BOARD OF SECONDARY AND HIGHER SECONDARY EDUCATION MUMBAI/MAHARASHTRA</t>
  </si>
  <si>
    <t>THAKUR COLLEGE OF ENGINEERING AND TECHNOLOGY MUMBAI/MAHARASHTRA</t>
  </si>
  <si>
    <t>Runwal Group | Junior Engineer - Projects  | Mumbai  | Sep 2023 | Jul 2025 | 1 Years, 10 Months, 0 Days | 3.5</t>
  </si>
  <si>
    <t>RUNWAL ENTERPRISES | Contracts Intern | Mumbai | May 2026 | Jul 2026 | 8 Weeks | Campus Internship</t>
  </si>
  <si>
    <t>P25700396</t>
  </si>
  <si>
    <t>SIDDHARTH</t>
  </si>
  <si>
    <t>JAIN</t>
  </si>
  <si>
    <t>Siddharth Rajesh Jain</t>
  </si>
  <si>
    <t>siddharth99.srj@gmail.com</t>
  </si>
  <si>
    <t>p25700396@student.nicmar.ac.in</t>
  </si>
  <si>
    <t>26-Apr-2003</t>
  </si>
  <si>
    <t>English , hindi, marathi , marwadi</t>
  </si>
  <si>
    <t>3977 9796 4304</t>
  </si>
  <si>
    <t>RAJESH JAIN</t>
  </si>
  <si>
    <t>BUSSINESSMAN</t>
  </si>
  <si>
    <t>JYOSTNA JAIN</t>
  </si>
  <si>
    <t>72, Appasaheb Nagar, Dondaicha</t>
  </si>
  <si>
    <t>AHINSA INTERNATIONAL SCHOOL</t>
  </si>
  <si>
    <t>MET BHUJBAL KNOWLWDGE CITY, NASHIK</t>
  </si>
  <si>
    <t>WORLD PEACE UNIVERSITY</t>
  </si>
  <si>
    <t>MIT WPU , KOTHRUD PUNE</t>
  </si>
  <si>
    <t>Madhuri Engineers | Planning and coordination  | Pune | May 2026 | Jul 2026 | 8 Weeks | Campus Internship
Dhanavade group | Site engineer  | Pune | Apr 2025 | Jul 2025 | 12 Weeks
Bharucha  construction and co. | Quality engineer  | Pune | Jan 2025 | Apr 2025 | 12 Weeks</t>
  </si>
  <si>
    <t>Skilling engineers  for professional success</t>
  </si>
  <si>
    <t>P25700397</t>
  </si>
  <si>
    <t>KONDHARE</t>
  </si>
  <si>
    <t>Aniket Santosh Kondhare</t>
  </si>
  <si>
    <t>aniketkondhare05@gmail.com</t>
  </si>
  <si>
    <t>p25700397@student.nicmar.ac.in</t>
  </si>
  <si>
    <t>05-Jun-2001</t>
  </si>
  <si>
    <t>Marathi, English &amp; Hindi</t>
  </si>
  <si>
    <t>9311 1247 9482</t>
  </si>
  <si>
    <t>SANTOSH KONDHARE</t>
  </si>
  <si>
    <t>PRIVATE SECTOR EMPLOYEE</t>
  </si>
  <si>
    <t>ANITA KONDHARE</t>
  </si>
  <si>
    <t>FLAT NO. 1003, FLOOR 10TH, YES RESIDENCY, HADAPSAR GAON, HADAPSAR, PUNE.</t>
  </si>
  <si>
    <t>Subhash Nagar, Post- Jagdish Nagar, Tal- Khalapur, Dist.- Raigad.</t>
  </si>
  <si>
    <t>J.C MAHINDRA MEMORIAL SCHOOL</t>
  </si>
  <si>
    <t>KHOPOLI/MAHARASHTRA</t>
  </si>
  <si>
    <t>SOU. VENUTAI CHAVAN POLYTECHNIC COLLEGE/MAHARASHTRA</t>
  </si>
  <si>
    <t>SINHGAD INSTITUTE OF TECHNOLOGY AND SCIENCE/MAHARASHTRA</t>
  </si>
  <si>
    <t>Microsoft Project (MSP), Primavera, AutoCAD, Revit</t>
  </si>
  <si>
    <t>Progressia Valuers and Consultants LLP | Valuation Engineer | Tilak Road, Pune | Aug 2024 | Jun 2025 | 0 Years, 10 Months, 18 Days | 1.8
Millennium Engineers and Contractors Limited. | Trainee. Engineer | Wagholi, Pune | Aug 2023 | Jul 2024 | 0 Years, 11 Months, 15 Days | 1.68</t>
  </si>
  <si>
    <t>Convenient Construction Consultancy Pvt Ltd | Planning Intern | Bengaluru, Karnataka, India | May 2026 | Jul 2026 | 9 Weeks | Campus Internship
SUVIDHA CONSTRO | INTERN | MAYUR COLONY, KOTHRUD, PUNE | May 2019 | Jun 2019 | 6 Weeks</t>
  </si>
  <si>
    <t>Diploma in BIM Professional (DBIM)
Asian Paints Smart Idea Challenge 2025</t>
  </si>
  <si>
    <t>P25700398</t>
  </si>
  <si>
    <t>NALAMWAR</t>
  </si>
  <si>
    <t>Nalamwar Priya Santosh</t>
  </si>
  <si>
    <t>priyasantoshnalamwar@gmail.com</t>
  </si>
  <si>
    <t>p25700398@student.nicmar.ac.in</t>
  </si>
  <si>
    <t>06-Oct-2003</t>
  </si>
  <si>
    <t>5833 1483 8857</t>
  </si>
  <si>
    <t>SAPANA</t>
  </si>
  <si>
    <t>501, NEEV CLASSIC, MADHUBAN SOCIETY RD, BALEWADI</t>
  </si>
  <si>
    <t>44/45, Balaji Niwas, Green Park, Arni</t>
  </si>
  <si>
    <t>SUNRISE NURSERY &amp; CONVENT, ARNI</t>
  </si>
  <si>
    <t>GOVERNMENT POLYTECHNIC PUNE</t>
  </si>
  <si>
    <t>SLB Onesubsea | Planner | Hinjewadi, Pune | May 2026 | Jul 2026 | 8 Weeks | Campus Internship
Legacy Lifespaces | Site Engineer | Ravet, Pune | Dec 2023 | Jan 2024 | 5 Weeks</t>
  </si>
  <si>
    <t>P25700399</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</si>
  <si>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</si>
  <si>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</si>
  <si>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</si>
  <si>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</si>
  <si>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</si>
  <si>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</si>
  <si>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</si>
  <si>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</si>
  <si>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</si>
  <si>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</si>
  <si>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</si>
  <si>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</si>
  <si>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NANDINI VIDYANIKETHANA H S</t>
  </si>
  <si>
    <t>JSS POLYTECHNIC / BGS POLYTECHNIC , KARNATAKA</t>
  </si>
  <si>
    <t>NEW HORIZON COLLEGE OF ENGINEERING , BENGALURU</t>
  </si>
  <si>
    <t>AutoCAD, MS Office, MS Project, P6 primavera,CostX,AutoCAD Civil 3D, MS Excel, BIM</t>
  </si>
  <si>
    <t>Rodic Consultants Pvt Ltd | Business Development | Delhi | May 2026 | Jul 2026 | 8 Weeks | Campus Internship
Cendrol Contruction Contracts Pvt Ltd | Construction Project Engineer Intern | Bengaluru  | Jan 2025 | Mar 2025 | 6 Weeks</t>
  </si>
  <si>
    <t>Ethics in Engineering Practice
Finance for Non-Financial Managers
Google Project Management</t>
  </si>
  <si>
    <t>P25700400</t>
  </si>
  <si>
    <t>GURAV</t>
  </si>
  <si>
    <t>SUDESH</t>
  </si>
  <si>
    <t>Gurav Sudesh Suresh</t>
  </si>
  <si>
    <t>sudeshgurav2003@gmail.com</t>
  </si>
  <si>
    <t>p25700400@student.nicmar.ac.in</t>
  </si>
  <si>
    <t>22-Jan-2003</t>
  </si>
  <si>
    <t>5246 2028 5205</t>
  </si>
  <si>
    <t>KAMAL</t>
  </si>
  <si>
    <t>Maharatna Nivas, Navin Vasahat, _x000D_
A/p Harali BK, Gadhinglaj</t>
  </si>
  <si>
    <t>CREATIVE HIGH SCHOOL, GADHINGLAJ</t>
  </si>
  <si>
    <t>K. J. SOMAIYA POLYTECHNIC VIDYAVIHAR, MUMBAI</t>
  </si>
  <si>
    <t>SAVATRIBAI PHULE PUNE UNIVERSITY</t>
  </si>
  <si>
    <t>DR. D. Y.PATIL INSTITUTE OF TECHNOLOGY PIMPRI,PUNE</t>
  </si>
  <si>
    <t>Chemical Engineering</t>
  </si>
  <si>
    <t>New Consolidated Construction Company Limited | Site Execution | Juinagar , Navi Mumbai | May 2026 | Jul 2026 | 8 Weeks | Campus Internship
Legacy Lifespace | Site Engineer | Ravet ,Pune | Dec 2023 | Jan 2024 | 3 Weeks</t>
  </si>
  <si>
    <t>P25700401</t>
  </si>
  <si>
    <t>HIMESH</t>
  </si>
  <si>
    <t>Himesh Pravin Patil</t>
  </si>
  <si>
    <t>himeshpatil1705@gmail.com</t>
  </si>
  <si>
    <t>p25700401@student.nicmar.ac.in</t>
  </si>
  <si>
    <t>24-Sep-2000</t>
  </si>
  <si>
    <t>English, Hindi, Marathi, Gujrati</t>
  </si>
  <si>
    <t>3293 2920 4387</t>
  </si>
  <si>
    <t>ASSISTANT TEACHER</t>
  </si>
  <si>
    <t>PRADNYA</t>
  </si>
  <si>
    <t>13/B, AASHIRWAD, SHIV SUNDARAM NAGAR, DONGARGAON ROAD</t>
  </si>
  <si>
    <t>Nandurbar</t>
  </si>
  <si>
    <t>AT- ALKHED, POST- PADALDA, TALUKA- SHAHADA, DISTRICT- NANDURBAR.</t>
  </si>
  <si>
    <t>SHETH V.K.SHAH VIDYAMANDIR SHAHADA</t>
  </si>
  <si>
    <t>KAI.SAU.G.F.PATIL JUNIOR COLLEGE OF ARTS, SCIENCE AND COMMERCE.</t>
  </si>
  <si>
    <t>JSPM'S RAJARSHI SHAHU COLLEGE OF ENGINEERING, PUNE.</t>
  </si>
  <si>
    <t>EConstruct Design &amp; Build Pvt. Ltd. | Project Management Intern | Bengaluru, Karnataka | May 2026 | Jun 2026 | 0 Years, 1 Months, 26 Days | 0</t>
  </si>
  <si>
    <t>1 month(s)</t>
  </si>
  <si>
    <t>NISHANK CONSTRUCTIONS | Civil Engineering Intern | Palghar | Sep 2024 | Jun 2025 | 43 Weeks</t>
  </si>
  <si>
    <t>Applications OF Microsoft Project</t>
  </si>
  <si>
    <t>P25700402</t>
  </si>
  <si>
    <t>Hardik Singh</t>
  </si>
  <si>
    <t>hardiksingh635@gmail.com</t>
  </si>
  <si>
    <t>p25700402@student.nicmar.ac.in</t>
  </si>
  <si>
    <t>28-Oct-2003</t>
  </si>
  <si>
    <t>3766 2191 5691</t>
  </si>
  <si>
    <t>BASHESHWAR SINGH</t>
  </si>
  <si>
    <t>REKHA</t>
  </si>
  <si>
    <t>C-19 BEL COLONY KOTDWAR BALBHADRAPUR</t>
  </si>
  <si>
    <t>Pauri</t>
  </si>
  <si>
    <t>Uttarakhand</t>
  </si>
  <si>
    <t>BALUNI PUBLIC SCHOOL</t>
  </si>
  <si>
    <t>CBSE (UTTAR PRADESH)</t>
  </si>
  <si>
    <t>UTTARAKHAND TECHNICAL UNIVERSITY</t>
  </si>
  <si>
    <t>GOVIND BALLABH PANT INSTITUTE OF ENGINEERING &amp; TECHNOLOGY (UTTARAKHAND</t>
  </si>
  <si>
    <t>AutoCAD,MS Office,MS Project,Primavera,CIVIL 3D,Adobe Premiere pro,Filmora</t>
  </si>
  <si>
    <t>CLANCY GLOBAL CONSULTANCY | SITE EXECUTION | DELHI NCR | May 2026 | Jul 2026 | 8 Weeks | Campus Internship
Public Works Department | SITE INTERN (PWD) | ROORKEE | Jun 2023 | Jul 2023 | 4 Weeks
Bharat Electronics Limited (BEL) | INTERN | KOTDWARA | Jul 2022 | Aug 2022 | 4 Weeks</t>
  </si>
  <si>
    <t xml:space="preserve">Finance for Non-Financial Managers
Construction Equipment Maintenance &amp; Safety
Data Analysis
NPTEL (Ethics in Engineering Practice, German)
digiQC </t>
  </si>
  <si>
    <t>P25700403</t>
  </si>
  <si>
    <t>MALVIYA</t>
  </si>
  <si>
    <t>Pushpendra Malviya</t>
  </si>
  <si>
    <t>pushpm1234@gmail.com</t>
  </si>
  <si>
    <t>p25700403@student.nicmar.ac.in</t>
  </si>
  <si>
    <t>27-Dec-2002</t>
  </si>
  <si>
    <t>Hindi and English</t>
  </si>
  <si>
    <t>3552 5778 3476</t>
  </si>
  <si>
    <t>SUNIL MALVIYA</t>
  </si>
  <si>
    <t>SUNITA MALVIYA</t>
  </si>
  <si>
    <t>JR.MIG, 6/1, ANKUR COMPLEX PHASE-3, NEAR PARUL HOSPITAL, SHIVAJI NAGAR</t>
  </si>
  <si>
    <t>Bhopal</t>
  </si>
  <si>
    <t>MAHARISHI VIDYA MANDIR, RATANPUR</t>
  </si>
  <si>
    <t>CBSE, BHOPAL, MADHYA PRADESH</t>
  </si>
  <si>
    <t>MAULANA AZAD NATIONAL INSTITUTE OF TECHNOLOGY</t>
  </si>
  <si>
    <t>MANIT BHOPAL, MADHYA PRADESH</t>
  </si>
  <si>
    <t>AutoCAD,MS Office,MS Project,Primavera,QGIS,Sketchup,Autodesk Flow,ArcGIS,Google Earth,Data Analysis,Revit,Navisworks,CostX</t>
  </si>
  <si>
    <t>Dilip Buildcon Ltd. | Contracts Intern | Bhopal | May 2026 | Jul 2026 | 8 Weeks | Campus Internship
Town and Country Planning, Madhya Pradesh | Data Analyst  | Bhopal | May 2024 | Jun 2024 | 6 Weeks</t>
  </si>
  <si>
    <t>Six Sigma Green Belt
Project Management in Construction
Highway Planning, Pavement Design and Construction
Data Analysis
Project Management Principles and Practices Specialization
Infrastructure for Transportation Systems
Construction Equipment Maintenance &amp; Safety
Sustainable Design Practices in Building Design
Mechanization in Construction Specialization
Construction Project Management
Construction Management Fundamentals
Finance for Non-Financial Managers
Google Project Management</t>
  </si>
  <si>
    <t>P25700404</t>
  </si>
  <si>
    <t>SUNNY</t>
  </si>
  <si>
    <t>BARWAL</t>
  </si>
  <si>
    <t>Sunny Sanjay Barwal</t>
  </si>
  <si>
    <t>sunnybarwal46@gmail.com</t>
  </si>
  <si>
    <t>p25700404@student.nicmar.ac.in</t>
  </si>
  <si>
    <t>07-Mar-2002</t>
  </si>
  <si>
    <t>8971 7099 3403</t>
  </si>
  <si>
    <t>SANJAY BARWAL</t>
  </si>
  <si>
    <t>SANGITA BARWAL</t>
  </si>
  <si>
    <t>B-5, Suyog Colony, Padampura, Aurangabad, Maharashtra</t>
  </si>
  <si>
    <t>THE COUNCIL FOR THE INDIAN SCHOOL CERTIFICATE EXAMINATIONS, NEW DELHI</t>
  </si>
  <si>
    <t>DEOGIRI COLLEGE</t>
  </si>
  <si>
    <t>DEOGIRI INSTITUTE OF ENGINEERING AND MANAGEMENT STUDIES, AURANGABAD, MAHARASHTRA</t>
  </si>
  <si>
    <t>ANAROCK Property Consultants Pvt. Ltd | Intern-PMES | Bangalore  | May 2026 | Jul 2026 | 8 Weeks | Campus Internship
Ideal Infratech | Site Supervisor  | Golwadi Bypass, Aurangabad, Maharashtra | Feb 2024 | May 2024 | 12 Weeks</t>
  </si>
  <si>
    <t>P25700405</t>
  </si>
  <si>
    <t>GLYDA</t>
  </si>
  <si>
    <t>PAIVA</t>
  </si>
  <si>
    <t>Glyda Paiva</t>
  </si>
  <si>
    <t>glydapaiva@gmail.com</t>
  </si>
  <si>
    <t>p25700405@student.nicmar.ac.in</t>
  </si>
  <si>
    <t>24-Jun-2003</t>
  </si>
  <si>
    <t>6299 7635 1012</t>
  </si>
  <si>
    <t>JUFRIN PAIVA</t>
  </si>
  <si>
    <t>RETIRED ASSISTANT ENGINEER, KSEB</t>
  </si>
  <si>
    <t>SERINA REBELLO</t>
  </si>
  <si>
    <t>BETHEL, Colony Road, Manjummel</t>
  </si>
  <si>
    <t>AL-AMEEN PUBLIC SCHOOL, EDAPPALLY, KOCHI</t>
  </si>
  <si>
    <t>CENTRAL BOARD OF SECONDARY EDUCATION, KOCHI</t>
  </si>
  <si>
    <t>SACRED HEART HIGHER SECONDARY SCHOOL, KERALA</t>
  </si>
  <si>
    <t>KMEA ENGINEERING COLLEGE, KERALA</t>
  </si>
  <si>
    <t>AutoCAD,MS Office,MS Project,Primavera,Geostudio(Slope/W)</t>
  </si>
  <si>
    <t>Uralungal Labour Contract Co-operative Society(ULCCS) | Intern | Varkala, Kerala | May 2026 | Jul 2026 | 8 Weeks | Campus Internship
A &amp; E PROJECTS | INTERN | ERNAKULAM | May 2023 | May 2023 | 0 Weeks</t>
  </si>
  <si>
    <t>P25700406</t>
  </si>
  <si>
    <t>AKHILESH</t>
  </si>
  <si>
    <t>CHOUDHARY</t>
  </si>
  <si>
    <t>Akhilesh Choudhary</t>
  </si>
  <si>
    <t>cakhilesh218@gmail.com</t>
  </si>
  <si>
    <t>p25700406@student.nicmar.ac.in</t>
  </si>
  <si>
    <t>24-Oct-1999</t>
  </si>
  <si>
    <t>7127 1912 3748</t>
  </si>
  <si>
    <t>VASANT CHOUDHARY</t>
  </si>
  <si>
    <t>USHA CHOUDHARY</t>
  </si>
  <si>
    <t>WARD NO 10 KADU COLONY SAUSAR</t>
  </si>
  <si>
    <t>Chhindwara</t>
  </si>
  <si>
    <t>Pipla Narayanwar Ward No 06</t>
  </si>
  <si>
    <t>OM SAI CENTRAL PUBLIC SCHOOL SAUSAR</t>
  </si>
  <si>
    <t>CBSE SAUSAR/MADHYA PRADESH</t>
  </si>
  <si>
    <t>SHRI CHAITANYA KALASHYALA</t>
  </si>
  <si>
    <t>TSBIE HYDERABAD/ TELANGANA</t>
  </si>
  <si>
    <t>YESHWANTRAO CHAVAN COLLEGE OF ENGINEERING NAGPUR/MAHARASHTRA</t>
  </si>
  <si>
    <t>AutoCAD,MS Office,MS Project,Primavera,Sql,Excel</t>
  </si>
  <si>
    <t>S.K. Associate | Project Engineer | Nagpur (Maharashtra) | Oct 2021 | Oct 2022 | 1 Years, 0 Months, 28 Days | 2.25
Narayana Infra Construction | Site Engineer | Sausar (Madhya Pradesh) | Nov 2022 | Jun 2023 | 0 Years, 7 Months, 25 Days | 2.82
Quess Corp Limited (ADANI GREEN ENERGY LTD) | Engineer  | khavda (Gujarat) | Jul 2023 | Dec 2024 | 1 Years, 5 Months, 27 Days | 5.37</t>
  </si>
  <si>
    <t>38 month(s)</t>
  </si>
  <si>
    <t>Masin Projects Private Limited  | Summer Intern - Delay / Quantum Department | Gurgaon | May 2026 | Jul 2026 | 8 Weeks | Campus Internship</t>
  </si>
  <si>
    <t>Zero Energy Building
Finance for Non-Financial Manager
Adani Agel Spot  Recognition
Autocad</t>
  </si>
  <si>
    <t>P25700408</t>
  </si>
  <si>
    <t>ALAGAR</t>
  </si>
  <si>
    <t>SANTHOSH</t>
  </si>
  <si>
    <t>Alagar Santhosh S</t>
  </si>
  <si>
    <t>alagarsam2003@gmail.com</t>
  </si>
  <si>
    <t>p25700408@student.nicmar.ac.in</t>
  </si>
  <si>
    <t>11-Jan-2003</t>
  </si>
  <si>
    <t>English,Tamil</t>
  </si>
  <si>
    <t>6007 4240 7323</t>
  </si>
  <si>
    <t>SAMPATH A</t>
  </si>
  <si>
    <t>HR MANAGER</t>
  </si>
  <si>
    <t>DHANALAKSHMI K</t>
  </si>
  <si>
    <t>1/1270,Vivekananthar Street,_x000D_
Pandian Nagar,_x000D_
Virudhunagar</t>
  </si>
  <si>
    <t>KSHATRIYA VIDHYA SALA ENGLISH MEDIUM SCHOOL</t>
  </si>
  <si>
    <t>VIRUDHUNAGAR</t>
  </si>
  <si>
    <t>PSG INSTITUTE OF TECHNOLOGY AND APPLIED RESEARCH</t>
  </si>
  <si>
    <t>COIMBATORE</t>
  </si>
  <si>
    <t>AutoCAD,MS Office,MS Project,Primavera,CostX,BIM</t>
  </si>
  <si>
    <t>Sobha Limited | Planning | Bengaluru | May 2026 | Jul 2026 | 9 Weeks | Campus Internship
Larsen and Toubro | Internship Chennai metro | Chennai | Jul 2023 | Aug 2023 | 4 Weeks
S &amp; P Foundation | Intern â€“ Billing &amp; Quantity Surveying (Residential project) | Chennai | Sep 2024 | Feb 2025 | 24 Weeks</t>
  </si>
  <si>
    <t>Drone Surveying and Mapping by Bentley Institute.</t>
  </si>
  <si>
    <t>P25700409</t>
  </si>
  <si>
    <t>PARAS</t>
  </si>
  <si>
    <t>NAGESH</t>
  </si>
  <si>
    <t>Paras Nagesh Patil</t>
  </si>
  <si>
    <t>patilparas22@gmail.com</t>
  </si>
  <si>
    <t>p25700409@student.nicmar.ac.in</t>
  </si>
  <si>
    <t>4637 9048 3777</t>
  </si>
  <si>
    <t>NAGESH CHALU PATIL</t>
  </si>
  <si>
    <t>ASHWINI NAGESH PATIL</t>
  </si>
  <si>
    <t>C-1,203 , Sanghavi Valley_x000D_
Parsik Nagar , Old Mumbai Pune Road</t>
  </si>
  <si>
    <t>SAHAKAR VIDHYA PRASARAK MANDAL SECONARY SCHOOL</t>
  </si>
  <si>
    <t>MAHARASTRA STATE BOARD OF SECONDARY AND HIGHER EECONDARY EDUCATION, PUNE</t>
  </si>
  <si>
    <t>GOVERNMENT POLYTECHNIC, MUMBAI,BANDRA</t>
  </si>
  <si>
    <t>DATTA MEGHE COLLEGE OF ENGINEERING,AIROLI</t>
  </si>
  <si>
    <t>AutoCAD,MS Office,MS Project,ETABS,QGIS</t>
  </si>
  <si>
    <t>Embassy Developments Ltd. | Construction- Intern | Thane  | May 2026 | Jul 2026 | 8 Weeks | Campus Internship
B.G.SHIRKE CONSTRUCTION TECHNOLOGY PVT. LTD. | INTERN  | SHIRDHON, DOMBIVLI | Jun 2024 | Jul 2024 | 4 Weeks
JAIN ENGINEERS PVT. LTD. | INTERN  | PALAVA, KHONI, DOMBIVLI (EAST) | Feb 2022 | Sep 2022 | 30 Weeks</t>
  </si>
  <si>
    <t>P25700410</t>
  </si>
  <si>
    <t>ABHIJITH</t>
  </si>
  <si>
    <t>K M</t>
  </si>
  <si>
    <t>Abhijith K M</t>
  </si>
  <si>
    <t>abhijithmanoj666@gmail.com</t>
  </si>
  <si>
    <t>p25700410@student.nicmar.ac.in</t>
  </si>
  <si>
    <t>9206 1992 5411</t>
  </si>
  <si>
    <t>MANOJ KUMAR K T</t>
  </si>
  <si>
    <t>SIJIMOL P M</t>
  </si>
  <si>
    <t>KAROTH HOUSE, WEST KADUNGALLOOR.P.O, ALUVA, ERNAKULAM,KERALA</t>
  </si>
  <si>
    <t>RAJASHREE S M MEMORIAL SCHOOL ALUVA</t>
  </si>
  <si>
    <t>CENTRAL  BOARD OF SECONDARY EDUCATION, KERALA</t>
  </si>
  <si>
    <t>SNDP HSS ALUVA</t>
  </si>
  <si>
    <t>GOVERNMENT OF KERALA BOARD OF HIGHER SECONDARY EXAMINATIONS KERALA</t>
  </si>
  <si>
    <t>COCHIN INTERNATIONAL AIRPORT LIMITED | SITE SUPERVISION | COCHIN INTERNATIONAL AIRPORT | Jan 2024 | Dec 2024 | 0 Years, 11 Months, 30 Days | 1.62</t>
  </si>
  <si>
    <t>Sobha Limited | Project Management &amp; Planning Intern | Marina One, Kochi | May 2026 | Jul 2026 | 9 Weeks | Campus Internship</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</si>
  <si>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</si>
  <si>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</si>
  <si>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</si>
  <si>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</si>
  <si>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</si>
  <si>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</si>
  <si>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</si>
  <si>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</si>
  <si>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</si>
  <si>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</si>
  <si>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</si>
  <si>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</si>
  <si>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</si>
  <si>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</si>
  <si>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MACRO VISION ACADEMY BURHANPUR DT KHANDWA MP</t>
  </si>
  <si>
    <t>VISHWAKARMA INSTITUTE OF INFORMATION TECHNOLOGY</t>
  </si>
  <si>
    <t>AutoCAD, MS Office, MS Project, Primavera, BIM, Cost X</t>
  </si>
  <si>
    <t>MAHINDRA LIFESPACE DEVELOPERS LIMITED | SR. EXECUTIVE PLANNING | PUNE | Jul 2022 | Jul 2025 | 2 Years, 11 Months, 13 Days | 7.68</t>
  </si>
  <si>
    <t>KPMG India | Transformation- Major Projects Advisory  | Mumbai | May 2026 | Jun 2026 | 7 Weeks | Campus Internship
CENTRAL RAILWAYS | ENGINEER TRAINEE | PUNE | Jun 2020 | Nov 2020 | 21 Weeks</t>
  </si>
  <si>
    <t>Communicate to Connect
Cost and Resource Loading in Microsoft Project
Successful Presentation
Excel Skills for Business Essentials
Project Management: The Basics for Success
Finance for Non-Financial Managers</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</si>
  <si>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</si>
  <si>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</si>
  <si>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</si>
  <si>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</si>
  <si>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</si>
  <si>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</si>
  <si>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</si>
  <si>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</si>
  <si>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</si>
  <si>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</si>
  <si>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</si>
  <si>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SAPTHAGIRI PUBLIC SCHOOL, GANGAVATHI</t>
  </si>
  <si>
    <t>INDIAN CERTIFICATE OF SECONDARY EDUCATION (ICSE), GANGAVATHI, KARNATAKA</t>
  </si>
  <si>
    <t>SMT. PUSHPA SHAMANUR MAHALINGAPPA PU COLLEGE, DAVANGERE</t>
  </si>
  <si>
    <t>DEPARTMENT OF PRE-UNIVERSITY EDUCATION, DAVANAGERE, KARNATAKA</t>
  </si>
  <si>
    <t>THE NATIONAL INSTITUTE OF ENGINEERING, MYSURU, KARNATAKA</t>
  </si>
  <si>
    <t>AutoCAD,MS Office,MS Project,Primavera,Civil 3D,SketchUp,Lumion,revit</t>
  </si>
  <si>
    <t>M R Constructions &amp; Consultancy | Junior Civil Engineer | Gangavathi, Karnataka | Nov 2023 | Oct 2024 | 0 Years, 11 Months, 29 Days | 1.44
Atkins | Graduate Engineer | Bengaluru | Aug 2022 | Aug 2023 | 1 Years, 0 Months, 1 Days | 4.24</t>
  </si>
  <si>
    <t>Prestige Estates Projects Ltd | Site Execution + Control | Bengaluru | May 2026 | Jul 2026 | 8 Weeks | Campus Internship</t>
  </si>
  <si>
    <t>P25700413</t>
  </si>
  <si>
    <t>VACHAN</t>
  </si>
  <si>
    <t>GAIKWAD</t>
  </si>
  <si>
    <t>Vivek Vachan Gaikwad</t>
  </si>
  <si>
    <t>vivekgaikwad910@gmail.com</t>
  </si>
  <si>
    <t>p25700413@student.nicmar.ac.in</t>
  </si>
  <si>
    <t>10-Aug-2004</t>
  </si>
  <si>
    <t>8502 3448 4866</t>
  </si>
  <si>
    <t>VACHAN GAIKWAD</t>
  </si>
  <si>
    <t>PINKI GAIKWAD</t>
  </si>
  <si>
    <t>Baliram Niwas, Tisgoan, Kalyan, East, 421306</t>
  </si>
  <si>
    <t>SAMRAT ASHOK HIGHSCHOOL</t>
  </si>
  <si>
    <t>AutoCAD,MS Office,MS Project,Primavera,Revit,Navisworks,CostX</t>
  </si>
  <si>
    <t>PSP Projects Limited  | Civil-Intern | Dharavi, Mumbai | May 2026 | Jul 2026 | 8 Weeks | Campus Internship
B.G.SHIRKE CONSTRUCTION TECHNOLOGY PVT.LTD. | INTERN  | DOMBIVLI | Jun 2024 | Jul 2024 | 4 Weeks</t>
  </si>
  <si>
    <t>P25700414</t>
  </si>
  <si>
    <t>HARSHAVARDHAN</t>
  </si>
  <si>
    <t>Harshavardhan B</t>
  </si>
  <si>
    <t>hvb10082212@gmail.com</t>
  </si>
  <si>
    <t>p25700414@student.nicmar.ac.in</t>
  </si>
  <si>
    <t>22-Sep-2000</t>
  </si>
  <si>
    <t>English, Kannada, Hindi, Telugu, Tamil</t>
  </si>
  <si>
    <t>6234 2752 1509</t>
  </si>
  <si>
    <t>BALAJI BHASKAR</t>
  </si>
  <si>
    <t>CHANDRAKALA</t>
  </si>
  <si>
    <t>789, 6th Cross Road, BHCS Layout, Lakkegowdanagar, Uttarahalli, Bangalore 560061</t>
  </si>
  <si>
    <t>CARMEL ENGLISH HIGH SCHOOL, BANGALORE</t>
  </si>
  <si>
    <t>RASHTREEYA VIDYALAYA PRE UNIVERSITY COLLEGE (RVPU), BANGALORE</t>
  </si>
  <si>
    <t>DEPARTMENT OF PRE UNIVERSITY EDUCATION, KARNATAKA</t>
  </si>
  <si>
    <t>VISVESVARAYA TECHNOLOGICAL UNIVERSITY, BELAGAVI, KARNATAKA</t>
  </si>
  <si>
    <t>B.M.S COLLEGE OF ARCHITECTURE, BANGALORE</t>
  </si>
  <si>
    <t>Autodesk ACC - AutoCAD, Revit, Navisworks ; Bexel Manager, Sketchup, MS Office, MS Project, Primavera, CostX, Adobe Photoshop, Enscape, V-ray, Twinmotion, Lumion</t>
  </si>
  <si>
    <t>Int-Hab Architecture + Design Studio | Junior Architect | J P nagar, Bengaluru | Jul 2024 | Jul 2025 | 1 Years, 0 Months, 0 Days | 2.64</t>
  </si>
  <si>
    <t>ASBL  | Design Coordination + Research Intern | Hyderabad | May 2026 | Jul 2026 | 8 Weeks | Campus Internship
369 OCHRE STUDIO | DESIGN AND DOCUMENTATION CONSULTANT | BENGALURU | Jun 2023 | Jun 2024 | 52 Weeks
Urban Frame PVT.LTD | Architecture Intern | Bengaluru | Aug 2022 | Dec 2022 | 17 Weeks</t>
  </si>
  <si>
    <t>NPTEL - Ethics in Engineering Practice
Coursera - Finance for Non-Financial Managers
Coursera - TBMs, Pile Rigs, Cranes &amp; Hauling Vehicles
Indian Town Planning and Architecture in Indian Knowlwdge system (IKS)
Coursera - Construction Equipment Maintainence and Safety
Coursera - Data Analysis
Coursera - Project Planning and Execution Management</t>
  </si>
  <si>
    <t>P25700415</t>
  </si>
  <si>
    <t>SURESHCHANDRA</t>
  </si>
  <si>
    <t>GOSAVI</t>
  </si>
  <si>
    <t>Sai Sureshchandra Gosavi</t>
  </si>
  <si>
    <t>gosavisaisureshchandra24@gmail.com</t>
  </si>
  <si>
    <t>p25700415@student.nicmar.ac.in</t>
  </si>
  <si>
    <t>24-Sep-2002</t>
  </si>
  <si>
    <t>2326 0232 5110</t>
  </si>
  <si>
    <t>PROFESSOR HOD, POLYTECHNIC COLLEGE</t>
  </si>
  <si>
    <t>A/103, Ruhsbah Tower, Suncity, Vasai West, Mumbai, Pin-401202</t>
  </si>
  <si>
    <t>CARMELITE CONVENT ENGLISH HIGH SCHOOL</t>
  </si>
  <si>
    <t>M.G.M ACADEMY HIGH SCHOOL &amp; JUNIOR COLLEGE OF ARTS, COMMERCE &amp; SCIENCE</t>
  </si>
  <si>
    <t>VIDYAVARDHINI'S BHAUSAHEB VARTAK POLYTECHNIC</t>
  </si>
  <si>
    <t>VIDYAVARDHINI'S COLLEGE OF ENGINEERING AND TECHNOLOGY, MUMBAI, MAHARASHTRA</t>
  </si>
  <si>
    <t>AutoCAD, MS Office, MS Project, Primavera, Revit, Navisworks, CostX</t>
  </si>
  <si>
    <t>EN CON PROJECT CONSULTANTS FOR ARCHITECTURAL &amp; STRUCTURAL WORKS | TRAINEE ENGINEER | MUMBAI, VASAI | Jun 2023 | Jul 2023 | 2 Weeks
Gleeds Consultancy | Intern Cost Management | Mumbai, Andheri- Marol | May 2026 | Jul 2026 | 8 Weeks</t>
  </si>
  <si>
    <t>Certificate of Excellence
VNPS-25
OSCILLATIONS'25
VNPS-24
OSCILLATIONS'24
OSCILLATIONS'23</t>
  </si>
  <si>
    <t>P25700416</t>
  </si>
  <si>
    <t>MANAV</t>
  </si>
  <si>
    <t>MUKESH</t>
  </si>
  <si>
    <t>Manav Mukesh Parmar</t>
  </si>
  <si>
    <t>manav.p.3622@gmail.com</t>
  </si>
  <si>
    <t>p25700416@student.nicmar.ac.in</t>
  </si>
  <si>
    <t>22-Oct-2003</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</si>
  <si>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</si>
  <si>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</si>
  <si>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</si>
  <si>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</si>
  <si>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</si>
  <si>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</si>
  <si>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</si>
  <si>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</si>
  <si>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</si>
  <si>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</si>
  <si>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 Weeks | Campus Internship
Aashir Engineering Pvt.Ltd | Intern (BIM Planning &amp; Estimation) | Ahmedabad, Gujrat | Dec 2024 | Apr 2025 | 16 Weeks
Rigid Construction Corporation | Trainee Engineer | Ahmedabad, Gujrat | Jun 2024 | Jul 2024 | 5 Weeks</t>
  </si>
  <si>
    <t>Nirma Volunteer
BIM Work shop
Best Out of Waste</t>
  </si>
  <si>
    <t>P25700417</t>
  </si>
  <si>
    <t>MEENA</t>
  </si>
  <si>
    <t>Rishabh Meena</t>
  </si>
  <si>
    <t>rishabh.meena5@gmail.com</t>
  </si>
  <si>
    <t>p25700417@student.nicmar.ac.in</t>
  </si>
  <si>
    <t>01-May-1997</t>
  </si>
  <si>
    <t>7660 6692 3118</t>
  </si>
  <si>
    <t>SHIV DAYAL MEENA</t>
  </si>
  <si>
    <t>KAMLESH MEENA</t>
  </si>
  <si>
    <t>B-61, MANGALAM ANANTARA THE VILLA'S, OPPOSITE PINK PEARL WATER PARK, AJMER ROAD, GRAND CITY EXT PRIME</t>
  </si>
  <si>
    <t>Jaipur</t>
  </si>
  <si>
    <t>MAHESHWARI PUBLIC SCHOOL</t>
  </si>
  <si>
    <t>CENTRAL BOARD OF SECONDARY EDUCATION RAJASTHAN</t>
  </si>
  <si>
    <t>JAIPUR ENGINEERING COLLEGE AND RESEARCH CENTRE UNIVERSITY</t>
  </si>
  <si>
    <t>JAIPUR ENGINEERING COLLEGE AND RESEARCH CENTRE UNIVERSITY JAIPUR/RAJASTHAN</t>
  </si>
  <si>
    <t>NATIONAL INSTITUTE OF TECHNOLOGY HAMIRPUR</t>
  </si>
  <si>
    <t>MS Office, MS Project, MS Excel, Primavera P6</t>
  </si>
  <si>
    <t>Goa State Infrastructure Development Corporation (GSIDC) | Summer Intern – Site Execution | Sanquelim, Goa | May 2026 | Jul 2026 | 8 Weeks | Campus Internship</t>
  </si>
  <si>
    <t>Lean Six Sigma Green Belt KPMG INDIA</t>
  </si>
  <si>
    <t>P25700418</t>
  </si>
  <si>
    <t>VIBUDH</t>
  </si>
  <si>
    <t>TIWARI</t>
  </si>
  <si>
    <t>Vibudh Tiwari</t>
  </si>
  <si>
    <t>vibstark3000@gmail.com</t>
  </si>
  <si>
    <t>p25700418@student.nicmar.ac.in</t>
  </si>
  <si>
    <t>29-Oct-1998</t>
  </si>
  <si>
    <t>9237 7117 7675</t>
  </si>
  <si>
    <t>RAJESH KUMAR TIWARI</t>
  </si>
  <si>
    <t>NIDHI TIWARI</t>
  </si>
  <si>
    <t>91, Coral Cottage, Misrod,Huzur, Bhopal</t>
  </si>
  <si>
    <t>GWALIOR GLORY HIGH SCH NEEMCHANDOHA GWALIOR MP</t>
  </si>
  <si>
    <t>CENTRAL BOARD OF SECONDARY EDUCATION GWALIOR MADHYA PRADESH</t>
  </si>
  <si>
    <t>AHMEDABAD PUB SCH INT BHAAT GANDHINAGAR GUJ</t>
  </si>
  <si>
    <t>CENTRAL BOARD OF SECONDARY EDUCATION GANDHINAGAR GUJARAT</t>
  </si>
  <si>
    <t>VIT UNIVERSITY VELLORE TAMILNADU</t>
  </si>
  <si>
    <t>Primavera P6, MS Office, MS Project</t>
  </si>
  <si>
    <t>Shalini Assosciates | Site Engineer | MAHSR C4 (Section-5) Project  Karjan, Gujarat-39124 | Sep 2022 | May 2024 | 1 Years, 7 Months, 22 Days | 2.97
Ultratech Cement Limited RMC Division | Chemist Junior Officer |  Chainage 154 (Upalat, Palghar,  Dahanu) | Mar 2025 | Jun 2025 | 0 Years, 3 Months, 9 Days | 5</t>
  </si>
  <si>
    <t>Hilti India | Summer Sale Intern | Mumbai | May 2026 | Jul 2026 | 8 Weeks | Campus Internship
Oil and Natural Gas Corporation Limited | Summer Intern | Ahmedabad | May 2019 | Jun 2019 | 6 Weeks</t>
  </si>
  <si>
    <t>Lean Six Sigma Green Belt  KPMG India</t>
  </si>
  <si>
    <t>P25700419</t>
  </si>
  <si>
    <t>Bhushan Arun Pawar</t>
  </si>
  <si>
    <t>bhushan210056@gmail.com</t>
  </si>
  <si>
    <t>p25700419@student.nicmar.ac.in</t>
  </si>
  <si>
    <t>11-Aug-2000</t>
  </si>
  <si>
    <t>Playing Chess</t>
  </si>
  <si>
    <t>2440 3515 3312</t>
  </si>
  <si>
    <t>ARUN PANDHRINATH PAWAR</t>
  </si>
  <si>
    <t>PUBLIC SERVANT</t>
  </si>
  <si>
    <t>MANISHA ARUN PAWAR</t>
  </si>
  <si>
    <t>Plot No.37, Sharda Nagar, Near Wageshwari Mandir, 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</si>
  <si>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</si>
  <si>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</si>
  <si>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</si>
  <si>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</si>
  <si>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</si>
  <si>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</si>
  <si>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</si>
  <si>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</si>
  <si>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</si>
  <si>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P25700420</t>
  </si>
  <si>
    <t>MYTHILI</t>
  </si>
  <si>
    <t>Mythili R</t>
  </si>
  <si>
    <t>mythiliramachandra2000@gmail.com</t>
  </si>
  <si>
    <t>p25700420@student.nicmar.ac.in</t>
  </si>
  <si>
    <t>17-Sep-1998</t>
  </si>
  <si>
    <t>English,Tamil,Kannada and Telugu</t>
  </si>
  <si>
    <t>7121 2623 3499</t>
  </si>
  <si>
    <t>RAMACHANDRA R</t>
  </si>
  <si>
    <t>GOVINDAMMA</t>
  </si>
  <si>
    <t># 34,6th Cross Balaji Layout Kodigehalli Bangalore 560094</t>
  </si>
  <si>
    <t>CLUNY CONVENT HIGH SCHOOL</t>
  </si>
  <si>
    <t>INDIAN CERTIFICATE OF SECONDARY EDUCATION EXAMINATION, BANGALORE/KARNATAKA</t>
  </si>
  <si>
    <t>MES KISHORKENDRA PU COLLEGE</t>
  </si>
  <si>
    <t>GOVERNMENT OF KARNATAKA DEPARTMENT OF PRE UNIVERSITY EDUCATION, BANGALORE/KARNATAKA</t>
  </si>
  <si>
    <t>BMS SCHOOL OF ARCHITECTURE, BANGALORE/KARNATAKA</t>
  </si>
  <si>
    <t>AutoCAD,Sketchup,Revit,Lumion,Rhino</t>
  </si>
  <si>
    <t>Earthricks Architecture,Planning and Sustainability | Junior Architect | Yelahanka satellite town,Bangalore,Karnataka | Jul 2024 | Jul 2025 | 1 Years, 0 Months, 13 Days | 3.9</t>
  </si>
  <si>
    <t>Pidilite Industries Ltd. | Intern | Bangalore, Karnataka | May 2026 | Jun 2026 | 7 Weeks | Campus Internship
Co-Ordinates Architecture + Interior Design | Intern | #9,vivyd,4th cross, central excise layout, Vijayanagar, Bangalore- 560040 | Sep 2022 | Dec 2022 | 15 Weeks</t>
  </si>
  <si>
    <t>P25700421</t>
  </si>
  <si>
    <t>SHETTY</t>
  </si>
  <si>
    <t>Rahul R Shetty</t>
  </si>
  <si>
    <t>rahulshetty2501@gmail.com</t>
  </si>
  <si>
    <t>p25700421@student.nicmar.ac.in</t>
  </si>
  <si>
    <t>25-Feb-2001</t>
  </si>
  <si>
    <t>English, Hindi, Kannada, Marathi</t>
  </si>
  <si>
    <t>6042 2302 7283</t>
  </si>
  <si>
    <t>RAJESH J SHETTY</t>
  </si>
  <si>
    <t>RAVEENA R SHETTY</t>
  </si>
  <si>
    <t>Penta Orchid, Flat No. 104, First Floor, Opp To Railway Health Unit, Indrali, Udupi Taluk, Udupi Karnataka</t>
  </si>
  <si>
    <t>Udupi</t>
  </si>
  <si>
    <t>T A PAI ENGLISH MEDIUM HIGH SCHOOL</t>
  </si>
  <si>
    <t>POORNAPRAJNA PRE UNIVERSITY COLLEGE</t>
  </si>
  <si>
    <t>MANIPAL UNIVERSITY</t>
  </si>
  <si>
    <t>MANIPAL INSTITUTE OF TECHNOLOGY, MANIPAL</t>
  </si>
  <si>
    <t>AutoCAD, Revit, MS Office, MS Project, Primavera, StaadPro, Etabs</t>
  </si>
  <si>
    <t>KPMG India | Analyst | Mumbai | Jul 2023 | May 2025 | 1 Years, 9 Months, 19 Days | 6.54</t>
  </si>
  <si>
    <t>Masin Projects | Quantum Intern | Gurugram, Haryana, India | May 2026 | Jul 2026 | 8 Weeks | Campus Internship
KPMG INDIA | TRAINEE | MUMBAI | Jan 2023 | Jul 2023 | 25 Weeks</t>
  </si>
  <si>
    <t>P25700422</t>
  </si>
  <si>
    <t>MAYANK</t>
  </si>
  <si>
    <t>Mayank Sharma</t>
  </si>
  <si>
    <t>mayanksharma221b@gmail.com</t>
  </si>
  <si>
    <t>p25700422@student.nicmar.ac.in</t>
  </si>
  <si>
    <t>03-Aug-2002</t>
  </si>
  <si>
    <t>English, Hindi.</t>
  </si>
  <si>
    <t>9460 2627 7862</t>
  </si>
  <si>
    <t>VED PRAKASH SHARMA</t>
  </si>
  <si>
    <t>LATE SANGEETA SHARMA</t>
  </si>
  <si>
    <t>Gautam Nagar_x000D_
House No. 336</t>
  </si>
  <si>
    <t>CAMPION SCHOOL</t>
  </si>
  <si>
    <t>RAJEEV GANDHI HIGHER SEC. SCHOOL</t>
  </si>
  <si>
    <t>MANIPAL UNIVERSITY JAIPUR, JAIPUR, RAJASTHAN.</t>
  </si>
  <si>
    <t>Civil &amp; Structural Engineering</t>
  </si>
  <si>
    <t xml:space="preserve">AutoCAD, MS Office, MS Project, Primavera, Sketch up, revit,  CostX, </t>
  </si>
  <si>
    <t>Ahluwalia Contracts (India) Limited | Project management Intern | Gurugram, Haryana, India | May 2026 | Jul 2026 | 7 Weeks | Campus Internship
Acotech Consultants Pvt. Ltd. | Intern | Badlapur, Thane, Maharastra | May 2023 | Jul 2023 | 6 Weeks
Ghanaram Infra Engineer Pvt. Ltd. | Site intern | Jhalawar, Rajashthan | Jan 2024 | Apr 2024 | 17 Weeks</t>
  </si>
  <si>
    <t>P25700424</t>
  </si>
  <si>
    <t>Shubham Singh</t>
  </si>
  <si>
    <t>shubham9891@yahoo.com</t>
  </si>
  <si>
    <t>p25700424@student.nicmar.ac.in</t>
  </si>
  <si>
    <t>19-Feb-2001</t>
  </si>
  <si>
    <t>Hindi, English</t>
  </si>
  <si>
    <t>2912 1564 0477</t>
  </si>
  <si>
    <t>SATISH KUMAR</t>
  </si>
  <si>
    <t>DHARAMSHEELA</t>
  </si>
  <si>
    <t>C206, MUNDESHWARI ORBIT MALL, DANAPUR KHAGAUL ROAD, PATNA</t>
  </si>
  <si>
    <t>Narayan Niwas, Surya Vihar Colony, Opposite CMRI Gate, Dhaiya, Dhanbad</t>
  </si>
  <si>
    <t>Dhanbad</t>
  </si>
  <si>
    <t>BIRLA PUBLIC SCHOOL, VIDYA NIKETAN</t>
  </si>
  <si>
    <t>CENTRAL BOARD OF SECONDARY EDUCATION (CBSE), PILANI, RAJASTHAN</t>
  </si>
  <si>
    <t>CENTRAL BOARD OF SECONDARY EDUCATION(CBSE), PILANI, RAJASTHAN</t>
  </si>
  <si>
    <t>AutoCAD,MS Office,MS Project,CostX</t>
  </si>
  <si>
    <t>VSL India Private Limited  | Intern | Patna, Bihar | Jun 2026 | Jul 2026 | 5 Weeks | Campus Internship
Ceigall India | Intern | Patna, Bihar | Jul 2026 | Jul 2026 | 3 Weeks | Campus Internship
NATIONAL BUILDING CONSTRUCTION COPORATION LTD. | INTERN | PATNA | May 2023 | Jul 2023 | 8 Weeks</t>
  </si>
  <si>
    <t>P25700425</t>
  </si>
  <si>
    <t>KADAM</t>
  </si>
  <si>
    <t>Vaibhav Sanjay Kadam</t>
  </si>
  <si>
    <t>vaibhavskadam25@gmail.com</t>
  </si>
  <si>
    <t>p25700425@student.nicmar.ac.in</t>
  </si>
  <si>
    <t>19-Nov-2001</t>
  </si>
  <si>
    <t>4883 4589 7440</t>
  </si>
  <si>
    <t>SANJAY KADAM</t>
  </si>
  <si>
    <t>SANGEETA KADAM</t>
  </si>
  <si>
    <t>HOSEWIFE</t>
  </si>
  <si>
    <t>B/S4 WAGHMODE COMPLEX NEAR VANTMURE CORNER, MIRAJ</t>
  </si>
  <si>
    <t>Above Patil Kidney Care, Near HDFC Bank, Osmanabad</t>
  </si>
  <si>
    <t>CAMBRIDGE SCHOOL, MIRAJ</t>
  </si>
  <si>
    <t>SHIKSHANMAHARSHI DR. BAPUJI SALUNKHE COLLEGE, MIRAJ</t>
  </si>
  <si>
    <t>DR. BABASAHEB AMBEDKAR TECHNOLOGICAL UNIVERSITY, LONERE</t>
  </si>
  <si>
    <t>PADMABHOOSHAN VASANTRAODADA PATIL INSTITUTE OF TECHNOLOGY, BUDHGAON</t>
  </si>
  <si>
    <t>AutoCAD,MS Office,MS Project,STAADPRO,EXCEL,REVIT</t>
  </si>
  <si>
    <t>Sobha Limited | Planning Intern | Bangalore | May 2026 | Jul 2026 | 9 Weeks | Campus Internship</t>
  </si>
  <si>
    <t>P25700426</t>
  </si>
  <si>
    <t>JUILEE</t>
  </si>
  <si>
    <t>KIRAN</t>
  </si>
  <si>
    <t>DESHPANDE</t>
  </si>
  <si>
    <t>Juilee Kiran Deshpande</t>
  </si>
  <si>
    <t>juileedeshpande427@gmail.com</t>
  </si>
  <si>
    <t>p25700426@student.nicmar.ac.in</t>
  </si>
  <si>
    <t>16-Jul-2003</t>
  </si>
  <si>
    <t>8847 9843 9432</t>
  </si>
  <si>
    <t>BANK MANAGER</t>
  </si>
  <si>
    <t>Vijayshree Nivas, Keshvshrusti, Devrukh, Sangmeshwar</t>
  </si>
  <si>
    <t>R B SHIRKE HIGHSCHOOL, RATNAGIRI</t>
  </si>
  <si>
    <t>TATYASAHEB MUSALE VIDYALAYA AND JUNIOR COLLEGE ICHALKARANJI, MAHARASHTRA</t>
  </si>
  <si>
    <t>VELLORE INSTITUTE OF TECHNOLOGY, VELLORE</t>
  </si>
  <si>
    <t>AutoCAD,MS Office,MS Excel</t>
  </si>
  <si>
    <t>godrej properties limited | operations intern | Vashi,Navi Mumbai | May 2026 | Jul 2026 | 8 Weeks | Campus Internship
PUNE IT CITY METRO RAIL LIMITED | INTERN | SHIVAJI NAGAR, PUNE | May 2025 | Jun 2025 | 4 Weeks
DRDO High Energy Materials Research Laboratory (HEMRL) | intern | Sutarwadi, Pune | Sep 2023 | Oct 2023 | 4 Weeks</t>
  </si>
  <si>
    <t>P25700427</t>
  </si>
  <si>
    <t>SRIPATHI</t>
  </si>
  <si>
    <t>MANI</t>
  </si>
  <si>
    <t>TEJA</t>
  </si>
  <si>
    <t>Sripathi Mani Teja</t>
  </si>
  <si>
    <t>nanimt8999@gmail.com</t>
  </si>
  <si>
    <t>p25700427@student.nicmar.ac.in</t>
  </si>
  <si>
    <t>16-Apr-2002</t>
  </si>
  <si>
    <t>ENGLISH,TELUGU,HINDI</t>
  </si>
  <si>
    <t>9912 4401 7140</t>
  </si>
  <si>
    <t>SRIPATHI SADAIAH</t>
  </si>
  <si>
    <t>SRIPATHI SANGEETHA</t>
  </si>
  <si>
    <t>1-1-92/5/F/1,ITI COLONY,SHANTHI NAGAR,PEDDAPALLI</t>
  </si>
  <si>
    <t>Peddapalli</t>
  </si>
  <si>
    <t>SRI CHAITANYA HIGH SCHOOL</t>
  </si>
  <si>
    <t>TELANGANA STATE SECONDARY SCHOOL CERTIFICATE (SSC) EXAMINATION,HYDERABAD,TELANGANA</t>
  </si>
  <si>
    <t>TELANGANA STATE BOARD OF INTERMEDIATE EDUCATION,HYDERABAD,TELANGANA</t>
  </si>
  <si>
    <t>GURU NANAK INSTITUTIONS TECHNICAL CAMPUS,IBRAHIMPATNAM,TELANGANA</t>
  </si>
  <si>
    <t>AutoCAD,MS Project, Primavera P6, Revit, Cost X</t>
  </si>
  <si>
    <t>SINGHANIA BUILDCON GROUP | Site Execution &amp; Control Intern | Raipur | May 2026 | Jul 2026 | 8 Weeks | Campus Internship</t>
  </si>
  <si>
    <t>P25700428</t>
  </si>
  <si>
    <t>AMEY</t>
  </si>
  <si>
    <t>CHOUDHARI</t>
  </si>
  <si>
    <t>Amey Diliprao Choudhari</t>
  </si>
  <si>
    <t>ameychoudhari311@gmail.com</t>
  </si>
  <si>
    <t>p25700428@student.nicmar.ac.in</t>
  </si>
  <si>
    <t>09-Oct-2002</t>
  </si>
  <si>
    <t>4172 3236 3989</t>
  </si>
  <si>
    <t>DILIP CHOUDHARI</t>
  </si>
  <si>
    <t>VAISHALI CHOUDHARI</t>
  </si>
  <si>
    <t>Ward No. 2, Main Road, Juni Gujri Chowk, Mandhal</t>
  </si>
  <si>
    <t>MISSION INDIA VIDYA NIKETAN ENGLISH MEDIUM SCHOOL, KUHI</t>
  </si>
  <si>
    <t>MAHARASHTRA STATE BOARD OF SECONDARY AND HIGHER SECONDARY EDUCATION, NAGPUR</t>
  </si>
  <si>
    <t>UJJWAL JUNIOR COLLEGE, NAGPUR</t>
  </si>
  <si>
    <t>YESHWANTRAO CHAVAN COLLEGE OF ENGINEERING , NAGPUR</t>
  </si>
  <si>
    <t>AutoCAD,MS Office,MS Project,Primavera,Advance Excel</t>
  </si>
  <si>
    <t>RAK Projects (P) Ltd | Graduate Trainee Engineer | Nagpur | Jun 2024 | Jun 2025 | 1 Years, 0 Months, 18 Days | 1.5</t>
  </si>
  <si>
    <t>DP Jain &amp; Co. Infrastructure Pvt. Ltd. | Contracts and Claims Intern | Nagpur | May 2026 | Jul 2026 | 8 Weeks | Campus Internship
Shree Sai Developers and Construction Co. | Site Engineer | katol | Jan 2024 | Apr 2024 | 13 Weeks</t>
  </si>
  <si>
    <t>Procurement, Negotiation, and Contract Execution
Introduction to Lean Construction (NPTEL)
Building Your First AI Agent with OpenAI
Data Analysis
Budgeting and Scheduling Projects
Corporate Training Course, Civil Guruji</t>
  </si>
  <si>
    <t>P25700429</t>
  </si>
  <si>
    <t>TANMAY</t>
  </si>
  <si>
    <t>MANISHRAO</t>
  </si>
  <si>
    <t>GIRHE</t>
  </si>
  <si>
    <t>Tanmay Manishrao Girhe</t>
  </si>
  <si>
    <t>tanmaygirhe1@gmail.com</t>
  </si>
  <si>
    <t>p25700429@student.nicmar.ac.in</t>
  </si>
  <si>
    <t>08-Dec-2001</t>
  </si>
  <si>
    <t>4741 6506 3154</t>
  </si>
  <si>
    <t>MANISHRAO GIRHE</t>
  </si>
  <si>
    <t>SUSHMADEVI GIRHE</t>
  </si>
  <si>
    <t>AT POST. RAJDHANI SQUARE, HIWARKHED TQ. TELHARA DIST. AKOLA 444103</t>
  </si>
  <si>
    <t>SAHAKAR VIDYA MANDIR YELGAON BULDANA MAHARASHTRA</t>
  </si>
  <si>
    <t>GOVERNMENT POLYTECHNIC, NAGPUR, MAHARASHTRA</t>
  </si>
  <si>
    <t>SHIVAJI UNIVERSITY, KOLHAPUR, MAHARASHTRA</t>
  </si>
  <si>
    <t>DEPARTMENT OF TECHNOLOGY, SHIVAJI UNIVERSITY, KOLHAPUR, MAHARASHTRA</t>
  </si>
  <si>
    <t>AutoCAD,MS Office,MS Project, Primavera.</t>
  </si>
  <si>
    <t>Pidilite Industries | Market Research Analyst | Kolkata, West Bengal. | May 2026 | Jun 2026 | 7 Weeks | Campus Internship
NAVALE BUILDERS, NARHE, PUNE | INTERN | NARHE, PUNE | Nov 2020 | Nov 2020 | 2 Weeks</t>
  </si>
  <si>
    <t>ADVANCE DIPLOMA IN STRUCTURAL DESIGN AND ANALYSIS
MS CIT
Sustainable Construction Management Certificate
Foundations of Project Management
Lean Management Fundamentals
Data Analysis
Construction Equipment And Safety
Organisational Design
Green Building Assessment and Certifications
Comfort in Building</t>
  </si>
  <si>
    <t>P25700430</t>
  </si>
  <si>
    <t>SHREYAS</t>
  </si>
  <si>
    <t>SUTAR</t>
  </si>
  <si>
    <t>Shreyas Pravin Sutar</t>
  </si>
  <si>
    <t>yashsutar200001@gmail.com</t>
  </si>
  <si>
    <t>p25700430@student.nicmar.ac.in</t>
  </si>
  <si>
    <t>01-Dec-2000</t>
  </si>
  <si>
    <t>7008 4518 0465</t>
  </si>
  <si>
    <t>PRAVIN SHAMRAO SUTAR</t>
  </si>
  <si>
    <t>CARPENTER</t>
  </si>
  <si>
    <t>DEEPALI PRAVIN SUTAR</t>
  </si>
  <si>
    <t>A2 103 Anand Savali Residency, Near Sant Nirankari Chowk, Eastern Express Highway, Thane West.</t>
  </si>
  <si>
    <t>DR. BEDEKAR VIDYA MANDIR, THANE</t>
  </si>
  <si>
    <t>NANASAHEB MAHADIK POLYTECHNIC INSTITUTE, PETH, MAHARASHTRA</t>
  </si>
  <si>
    <t>MGM COLLEGE OF ENGINEERING AND TECHNOLOGY, KAMOTHE, MAHARASHTRA</t>
  </si>
  <si>
    <t>Akash Impex Inc | Project Supervisor  | Powai, Mumbai | Nov 2022 | May 2024 | 1 Years, 5 Months, 20 Days | 2.3
Nina Percept Pvt. Ltd. | Project Engineer. | Mahalaxmi, Mumbai | May 2024 | Apr 2025 | 0 Years, 11 Months, 9 Days | 3.8</t>
  </si>
  <si>
    <t>Ascendas Firstspace Development Management Pvt. Ltd. |  Projects Department as (Intern – Projects) | BKC Road Bandra East,Mumbai  | May 2026 | Jun 2026 | 8 Weeks | Campus Internship</t>
  </si>
  <si>
    <t>P25700431</t>
  </si>
  <si>
    <t>BISWAPREM</t>
  </si>
  <si>
    <t>Biswaprem Das</t>
  </si>
  <si>
    <t>biswapremdas.06@gmail.com</t>
  </si>
  <si>
    <t>p25700431@student.nicmar.ac.in</t>
  </si>
  <si>
    <t>06-Nov-2000</t>
  </si>
  <si>
    <t>English,Hindi,Odia,Bengali</t>
  </si>
  <si>
    <t>2527 3848 0663</t>
  </si>
  <si>
    <t>PREMJIT DAS</t>
  </si>
  <si>
    <t>BUSINESS OWNER</t>
  </si>
  <si>
    <t>DHARITRI DAS</t>
  </si>
  <si>
    <t>Near Ambika Temple, Ward No. 1 , Baripada , Pin: 757001, Mayurbhanj, Odisha</t>
  </si>
  <si>
    <t>Mayurbhanj</t>
  </si>
  <si>
    <t>CENTRAL BOARD OF SECONDARY EDUCATION, BARIPADA, ODISHA</t>
  </si>
  <si>
    <t>KALINGA INSTITUTE OF INDUSTRIAL TECHNOLOGY , BHUBANESWAR, ODISHA</t>
  </si>
  <si>
    <t>AutoCAD,MS Office,MS Project,Primavera,Twinmotion,Sketchup,Enscape,Adobe Lightroom,Revit,Adobe Photoshop,Lumion</t>
  </si>
  <si>
    <t>SWASTIK ASSOCIATES | Junior Architect | Baripada | Jul 2024 | Jul 2025 | 0 Years, 11 Months, 16 Days | 3.25</t>
  </si>
  <si>
    <t>Rodic Consultants Private Limited | Business Development Intern | Aga Khan Hall, 1st Floor, 6 Sarojini House, Bhagwan Das Rd, New Delhi, Delhi 110001 | May 2026 | Jul 2026 | 8 Weeks | Campus Internship
Gayathri and Namith Architects | Intern Trainee | 14, Temple Trees Row, S.T. Bed, 1st Block Koramangala, Koramangala, Bengaluru, Karnataka 560047 | Jun 2023 | Dec 2023 | 26 Weeks</t>
  </si>
  <si>
    <t>P25700432</t>
  </si>
  <si>
    <t>BARADIA</t>
  </si>
  <si>
    <t>Shubham Baradia</t>
  </si>
  <si>
    <t>shubbaradia@gmail.com</t>
  </si>
  <si>
    <t>p25700432@student.nicmar.ac.in</t>
  </si>
  <si>
    <t>23-Sep-1996</t>
  </si>
  <si>
    <t>english,hindi</t>
  </si>
  <si>
    <t>8786 9063 5036</t>
  </si>
  <si>
    <t>SANJAY BARADIA</t>
  </si>
  <si>
    <t>GOVERMENT JOB</t>
  </si>
  <si>
    <t>ASHA BARADIA</t>
  </si>
  <si>
    <t>Hig-105 Shankara Charya Nagar,bagsevania</t>
  </si>
  <si>
    <t>CARMEL CONVENT SENIOR SECONDARY SCHOOL RATANPUR</t>
  </si>
  <si>
    <t>CENTRAL BOARD OF SECONDARY EDUCATION, BHOPAL</t>
  </si>
  <si>
    <t>LAKSHMI NARAIN COLLEGE OF TECHNOLOGY &amp; SCIENCE ,BHOPAL</t>
  </si>
  <si>
    <t>MS Office,MS Project,Primavera,REVIT,Navisworks</t>
  </si>
  <si>
    <t>infosys | Systems Engineer | indore and hybird | Jan 2022 | Jun 2023 | 1 Years, 4 Months, 23 Days | 3</t>
  </si>
  <si>
    <t>Madhya Pradesh Housing And Infrastructure Development Board | Intern | Bhopal, M.P | May 2026 | Jul 2026 | 8 Weeks | Campus Internship
OFFICE OF DIVISIONAL PROJECT ENGINEER P.W.D. PIU-2 BHOPAL, | trainee | bhopal | Jun 2018 | Jun 2018 | 2 Weeks</t>
  </si>
  <si>
    <t>P25700433</t>
  </si>
  <si>
    <t>KHANDARE</t>
  </si>
  <si>
    <t>Shubham Gulabrao Khandare</t>
  </si>
  <si>
    <t>shubhamkhandare1717@gmail.com</t>
  </si>
  <si>
    <t>p25700433@student.nicmar.ac.in</t>
  </si>
  <si>
    <t>01-Jun-1997</t>
  </si>
  <si>
    <t>English,marathi,Hindi</t>
  </si>
  <si>
    <t>7351 2100 7914</t>
  </si>
  <si>
    <t>GULABARAO</t>
  </si>
  <si>
    <t>RETIRED GOVERMENT OFFICER</t>
  </si>
  <si>
    <t>At Bhadgaon Usarewadi Oppositeto Grampanchayat Office Bhadgaon Khonde Tal Khed Dist Ratnagiri</t>
  </si>
  <si>
    <t>SCS HIGHSCHOOL KHED RATNAGIRI</t>
  </si>
  <si>
    <t>SVCP,SINHGAD PUNE</t>
  </si>
  <si>
    <t>SITS SINHGAD NARHE PUNE</t>
  </si>
  <si>
    <t>Matoshree metal works and construction | Senior civil engineer  | Khed ratnagiri  | Jul 2022 | Jun 2025 | 2 Years, 11 Months, 29 Days | 2.96</t>
  </si>
  <si>
    <t>KATTU CONSTRUCTION TECHNOLOGY SERVICES LLP  | Intern | New BEL Road, ITI Layout  | May 2026 | Jul 2026 | 8 Weeks | Campus Internship</t>
  </si>
  <si>
    <t>P25700434</t>
  </si>
  <si>
    <t>Devansh Manoj Gupta</t>
  </si>
  <si>
    <t>devanshgupta060303@gmail.com</t>
  </si>
  <si>
    <t>p25700434@student.nicmar.ac.in</t>
  </si>
  <si>
    <t>06-Mar-2003</t>
  </si>
  <si>
    <t>Hindi , English , Marathi</t>
  </si>
  <si>
    <t>9406 2920 5108</t>
  </si>
  <si>
    <t>Sneh Bunglow,plot 530 Sector 28, Pradhikaran, Nigdi</t>
  </si>
  <si>
    <t>CITY PRIDE SCHOOL</t>
  </si>
  <si>
    <t>CENTRAL BOARD OF SECONDARY EDUCATION - PUNE</t>
  </si>
  <si>
    <t>MAHARASHTRA STATE BOARD OF SECONDARY AND HIGHER SECONDARY EDUCATION - PUNE</t>
  </si>
  <si>
    <t>AutoCAD,MS Office,MS Project,Primavera,Staad Pro,Revit</t>
  </si>
  <si>
    <t>Kritija Enterprises | Execution Intern | Pune | May 2026 | Jun 2026 | 8 Weeks | Campus Internship
BG shirke | Intern | Pune | May 2024 | Jul 2024 | 8 Weeks</t>
  </si>
  <si>
    <t>P25700435</t>
  </si>
  <si>
    <t>SRI</t>
  </si>
  <si>
    <t>VETAGIRI</t>
  </si>
  <si>
    <t>Teja Sri Vetagiri</t>
  </si>
  <si>
    <t>tejasrivetagiri27@gmail.com</t>
  </si>
  <si>
    <t>p25700435@student.nicmar.ac.in</t>
  </si>
  <si>
    <t>27-Apr-2002</t>
  </si>
  <si>
    <t>Telugu,English,Hindi</t>
  </si>
  <si>
    <t>2623 8465 6889</t>
  </si>
  <si>
    <t>SRINIVASA RAO VETAGIRI</t>
  </si>
  <si>
    <t>MECHANIC</t>
  </si>
  <si>
    <t>RAMA DEVI VETAGIRI</t>
  </si>
  <si>
    <t>5-49, Ramalayam Street, Peda Kancherla, Vinukonda, Guntur, 522649</t>
  </si>
  <si>
    <t>AP MODEL SCHOOL</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</si>
  <si>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</si>
  <si>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</si>
  <si>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</si>
  <si>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</si>
  <si>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P25700436</t>
  </si>
  <si>
    <t>ADNAN</t>
  </si>
  <si>
    <t>AHMAD</t>
  </si>
  <si>
    <t>Adnan Ahmad Khan</t>
  </si>
  <si>
    <t>adnanah139@gmail.com</t>
  </si>
  <si>
    <t>p25700436@student.nicmar.ac.in</t>
  </si>
  <si>
    <t>28-May-2001</t>
  </si>
  <si>
    <t>4422 5966 0491</t>
  </si>
  <si>
    <t>ILYAS KHAN</t>
  </si>
  <si>
    <t>ZAMZAM ILYAS KHAN</t>
  </si>
  <si>
    <t>Near Kali Masjid, Humayun Road Baidpura, Akola</t>
  </si>
  <si>
    <t>QUBA URDU HIGH SCHOOL AKOLA</t>
  </si>
  <si>
    <t>MANAV SCHOOL OF POLYTECHNIC</t>
  </si>
  <si>
    <t>New Consolidated construction company Limited | Planning Intern | Dombivli, Mumbai  | May 2026 | Jul 2026 | 8 Weeks | Campus Internship</t>
  </si>
  <si>
    <t>Ethics in Engineering Practice
Finance for Non-Financial Managers
Planning of Metro Rail Systems</t>
  </si>
  <si>
    <t>P25700437</t>
  </si>
  <si>
    <t>BHAVIT</t>
  </si>
  <si>
    <t>RAMCHANDRA</t>
  </si>
  <si>
    <t>SASE</t>
  </si>
  <si>
    <t>Bhavit Ramchandra Sase</t>
  </si>
  <si>
    <t>bhavitsase12@gmail.com</t>
  </si>
  <si>
    <t>p25700437@student.nicmar.ac.in</t>
  </si>
  <si>
    <t>12-Mar-1999</t>
  </si>
  <si>
    <t>English,Marathi,Hindi</t>
  </si>
  <si>
    <t>2073 4023 1874</t>
  </si>
  <si>
    <t>MANGAL</t>
  </si>
  <si>
    <t>Sai Shraddha Niwas, Near ZP School, At Kudavali, Post Tal Murbad, Dist Thane</t>
  </si>
  <si>
    <t>WISDOM ENGLISH HIGH SCHOOL</t>
  </si>
  <si>
    <t>S.H JONDHALE POLYTECHNIC DOMBIVLI</t>
  </si>
  <si>
    <t>B.R HARNE COLLEGE OF ENGINEERING AND TECHNOLOGY</t>
  </si>
  <si>
    <t>RUNWAL RESIDENCY PRIVATE LTD | JUNIOR ENGINEER | DOMBIVLI | Jun 2023 | Jun 2025 | 1 Years, 11 Months, 26 Days | 3.5</t>
  </si>
  <si>
    <t>Suryapriya Constructions Pvt. Ltd. | Intern-Planning Department | Bangalore | May 2026 | Jul 2026 | 8 Weeks | Campus Internship
R.A. GHULE | Site Engineer | Saphale (Palghar) | Feb 2023 | May 2023 | 14 Weeks
Sumitra Buildcons Pvt Ltd | Site Civil Engineer | Murbad | Dec 2019 | Jan 2020 | 4 Weeks</t>
  </si>
  <si>
    <t>Runwal Gardens - Certificate of achievement as Quality Conscious GET
Runwal Group -Efficient Project Engineer of the Year (2024-2025)
Finance for Non-Financial Managers
Construction Project Management
Project Planning: Putting It All Together
Introduction to Artificial Intelligence (AI) by IBM
Google Project Management 
Construction Equipment Maintenance and Safety</t>
  </si>
  <si>
    <t>P25700438</t>
  </si>
  <si>
    <t>Disha Sonawane</t>
  </si>
  <si>
    <t>dishasonawane953@gmail.com</t>
  </si>
  <si>
    <t>p25700438@student.nicmar.ac.in</t>
  </si>
  <si>
    <t>09-May-2003</t>
  </si>
  <si>
    <t>3563 1031 4035</t>
  </si>
  <si>
    <t>RAMRAO</t>
  </si>
  <si>
    <t>CHHAYA</t>
  </si>
  <si>
    <t>FLAT NO 1002, A3, AVON VISTA, PATIL NAGAR, BALEWADI.</t>
  </si>
  <si>
    <t>Flat No 03, Tirupati Residency_x000D_
Ramchandra Nagar, Dargah Road, Chhatrapati Sambhajinagar.</t>
  </si>
  <si>
    <t>COUNCIL FOR THE INDIAN SCHOOL CERTIFICATE EXAMINATIONS (CISCE), NEW DELHI</t>
  </si>
  <si>
    <t>SAINT LAWRENCE SUPER THIRTY JUNIOR COLLEGE, AURANGABAD</t>
  </si>
  <si>
    <t>Shreeji Infrastructure India Pvt. Ltd. | Management trainee engineer- Billing and planning  | Bhopal | May 2026 | Jun 2026 | 8 Weeks | Campus Internship
Gunjal &amp; Associates | Intern | Chhatrapati Sambhajinagar | Jul 2024 | Jul 2024 | 4 Weeks
PRECAST INDIA INFRASTRUCTURES PRIVATE LIMITED | INTERN | PUNE | Mar 2025 | Mar 2025 | 1 Weeks</t>
  </si>
  <si>
    <t>P25700439</t>
  </si>
  <si>
    <t>SAYEE</t>
  </si>
  <si>
    <t>Sayee Sanjay Mane</t>
  </si>
  <si>
    <t>manesayee28@gmail.com</t>
  </si>
  <si>
    <t>p25700439@student.nicmar.ac.in</t>
  </si>
  <si>
    <t>28-Jun-2003</t>
  </si>
  <si>
    <t>8891 4912 4187</t>
  </si>
  <si>
    <t>Plot No.22 , "Manomay" Bunglow, K.K.Nagar , Chinchani Road, Tasgaon, Dist. - Sangli. Pincode - 416312</t>
  </si>
  <si>
    <t>CHAMPABEN WADILAL DYANMANDIR , TASGAON.</t>
  </si>
  <si>
    <t>MAHARASHTRA STATE BOARD OF SECONDARY &amp; HIGHER SECONDARY EDUCATION , PUNE ( KOLHAPUR DIVISIONAL BOARD)</t>
  </si>
  <si>
    <t>VYANKATRAO HIGHSCHOOL &amp; JUNIOR COLLEGE, ICHALKARANJI.</t>
  </si>
  <si>
    <t>WALCHAND COLLEGE OF ENGINEERING , SANGLI.</t>
  </si>
  <si>
    <t>AutoCAD,MS Office,MS Project,Primavera,Revit,Cost X</t>
  </si>
  <si>
    <t>New Consolidated Construction Limited (NCCCL), Mumbai | Quality Assurance &amp; Control | Seawoods Darave , Navi Mumbai  | May 2026 | Jul 2026 | 8 Weeks | Campus Internship
AGRAWAL DEVELOPERS | QUANTITY SURVEYOR &amp; SITE EXECUTION | MIRAJ | Jun 2024 | Jun 2024 | 4 Weeks
PRIVATE FIRM OF ER. VIVEK R. PATIL | AUTOCAD DESIGNER | MIRAJ | Jun 2023 | Jul 2023 | 2 Weeks</t>
  </si>
  <si>
    <t>P25700440</t>
  </si>
  <si>
    <t>URVI</t>
  </si>
  <si>
    <t>TAMORE</t>
  </si>
  <si>
    <t>Urvi Dipak Tamore</t>
  </si>
  <si>
    <t>tamoreurvi@gmail.com</t>
  </si>
  <si>
    <t>p25700440@student.nicmar.ac.in</t>
  </si>
  <si>
    <t>29-Mar-2001</t>
  </si>
  <si>
    <t>7797 7717 3582</t>
  </si>
  <si>
    <t>DIPAK JANARDAN TAMORE</t>
  </si>
  <si>
    <t>SWATI DIPAK TAMORE</t>
  </si>
  <si>
    <t>TYPE -C,59/8 BARC COLONY, BOISAR</t>
  </si>
  <si>
    <t>Pacchim Mangel Aali, At &amp; Post - Ghivali,Tal &amp; Dist _x000D_
Palghar</t>
  </si>
  <si>
    <t>ATOMIC ENERGY CENTRAL SCHOOL -2, TARAPUR</t>
  </si>
  <si>
    <t>CBSE / BOISAR / MAHARASTRA</t>
  </si>
  <si>
    <t>ST JOHN COLLEGE OF ENGINEERING AND MANAGEMENT, PALGHAR, MAHARASHTRA</t>
  </si>
  <si>
    <t>AutoCAD,MS Office,MS Project,Primavera,1. QGIS SOFTWARE (BASIC),2. MS EXCEL,Revit,Costx</t>
  </si>
  <si>
    <t>Asian Paints Limited | Sales Engineer Intern | Mumbai  | May 2026 | Jul 2026 | 8 Weeks | Campus Internship</t>
  </si>
  <si>
    <t>Data Science &amp; Machine Learning â€“ Industry Certification (TesTriq)</t>
  </si>
  <si>
    <t>P25700441</t>
  </si>
  <si>
    <t>GNANESHWAR</t>
  </si>
  <si>
    <t>K Gnaneshwar</t>
  </si>
  <si>
    <t>gnaneshwar9123@gmail.com</t>
  </si>
  <si>
    <t>p25700441@student.nicmar.ac.in</t>
  </si>
  <si>
    <t>14-Aug-2002</t>
  </si>
  <si>
    <t>English,Hindi,telugu,kannada</t>
  </si>
  <si>
    <t>5154 4128 0209</t>
  </si>
  <si>
    <t>K NARAIAH</t>
  </si>
  <si>
    <t>K NEERAJA</t>
  </si>
  <si>
    <t>39/480-16, OM SHANTI NAGAR, ROAD NO 17, VIVEKANANDA STRRET</t>
  </si>
  <si>
    <t>NO 6/177-1, B C HOSTEL VIDI, KOTHA MADHAVARAM, VONTIMITTA</t>
  </si>
  <si>
    <t>CBSE,KADAPA,ANDHRAPRADESH</t>
  </si>
  <si>
    <t>PU,BANGALORE,KARNATAKA</t>
  </si>
  <si>
    <t>RV COLLEGE OF ENGINEERING, BANGALORE,KARNATAKA</t>
  </si>
  <si>
    <t>AutoCAD,MS Project,Excel, Primavera,Revit</t>
  </si>
  <si>
    <t>BEML LIMITED | JUNIOR EXECUTIVE  | KARNATAKA  | Aug 2024 | Feb 2025 | 0 Years, 5 Months, 22 Days | 3.36</t>
  </si>
  <si>
    <t>SOBHA LIMITED | Site Execution  | Hyderabad  | May 2026 | Jul 2026 | 9 Weeks | Campus Internship</t>
  </si>
  <si>
    <t>P25700442</t>
  </si>
  <si>
    <t>DHANASHRI</t>
  </si>
  <si>
    <t>HARUGADE</t>
  </si>
  <si>
    <t>Dhanashri Jitendra Harugade</t>
  </si>
  <si>
    <t>dhanashriharugade@gmail.com</t>
  </si>
  <si>
    <t>p25700442@student.nicmar.ac.in</t>
  </si>
  <si>
    <t>7838 7372 2025</t>
  </si>
  <si>
    <t>JITENDRA BALKRISHNA HARUGADE</t>
  </si>
  <si>
    <t>MINAKSHI JITENDRA HARUGADE</t>
  </si>
  <si>
    <t>36 Vaibhav, Appasaheb Patil Nagar, Near Sona Clinic Hospital, Near New Pride Hotel, Sangli, Maharashtra</t>
  </si>
  <si>
    <t>CENTRAL BOARD OF SECONDARY EDUCATION, SANGLI, MAHARASHTRA</t>
  </si>
  <si>
    <t>MAEER'S MIT VISHWASHANTI GURKUL SCHOOL</t>
  </si>
  <si>
    <t>SIKKIM MANIPAL UNIVERSITY</t>
  </si>
  <si>
    <t>SIKKIM MANIPAL INSTITUTE OF TECHNOLOGY, SIKKIM</t>
  </si>
  <si>
    <t>AutoCAD,MS Office,MS Project,Revit,CostX,Primavera</t>
  </si>
  <si>
    <t>Pidilite Industries Ltd. | Summer Intern  | Kolkata | May 2026 | Jun 2026 | 7 Weeks | Campus Internship
Prime Constructions | Site Engineer | Sangli | Mar 2025 | May 2025 | 8 Weeks
G. B. Bagade, Pune Municipal Corporation | Site Engineer | Pune | Jan 2025 | Mar 2025 | 10 Weeks</t>
  </si>
  <si>
    <t>Autodesk Revit - Beginner to Advanced level</t>
  </si>
  <si>
    <t>P25700443</t>
  </si>
  <si>
    <t>SOPAN</t>
  </si>
  <si>
    <t>Rushikesh Sopan Patil</t>
  </si>
  <si>
    <t>rushipatil0137@gmail.com</t>
  </si>
  <si>
    <t>p25700443@student.nicmar.ac.in</t>
  </si>
  <si>
    <t>13-Feb-2001</t>
  </si>
  <si>
    <t>3817 8625 3144</t>
  </si>
  <si>
    <t>SOPAN PATIL</t>
  </si>
  <si>
    <t>705 Dhake Wada Nimbhora Bk Tal Raver</t>
  </si>
  <si>
    <t>MACRO VISION ACADEMY SCHOOL RAVER</t>
  </si>
  <si>
    <t>SANDIP POLYTECHNIC NASHIK</t>
  </si>
  <si>
    <t>G.E.SOC'S COLLEGE OF ENGINEERING, NASHIK</t>
  </si>
  <si>
    <t>AutoCAD,MS Office,MS Project,Primavera,REVIT,RIB costX</t>
  </si>
  <si>
    <t>SYSTRA MVA Consulting (India) Private Limited  | CTR Intern | Ahmedabad | May 2026 | Jul 2026 | 8 Weeks | Campus Internship
Vijay Buildcon | Site Engineer | Savda | Jun 2024 | Jun 2025 | 51 Weeks</t>
  </si>
  <si>
    <t>Project Admin Scholar
Construction Equipment Maintenance &amp; Safety
Foundations of Project Management</t>
  </si>
  <si>
    <t>P25700444</t>
  </si>
  <si>
    <t>NANDHAGOPAL</t>
  </si>
  <si>
    <t>Nandhagopal P</t>
  </si>
  <si>
    <t>pnandhagopal14@gmail.com</t>
  </si>
  <si>
    <t>p25700444@student.nicmar.ac.in</t>
  </si>
  <si>
    <t>14-Jun-2004</t>
  </si>
  <si>
    <t>9882 4973 0667</t>
  </si>
  <si>
    <t>PRSBAKARAN P</t>
  </si>
  <si>
    <t>LAKSHMI P</t>
  </si>
  <si>
    <t>STAFF NURSE</t>
  </si>
  <si>
    <t>No.18, Park Street, Naveen Satish Nagar, Guduvancheri, Chengalpattu</t>
  </si>
  <si>
    <t>ST.JHONS MATRIC HIGHER SECONDRY SCHOOL</t>
  </si>
  <si>
    <t>STATE BOARD OF SCHOOL EXAMINATIONS, TAMILNADU</t>
  </si>
  <si>
    <t>SRI SAIRAM POLYTECHNIC COLLEGE/ CHENNAI</t>
  </si>
  <si>
    <t>SRI SAIRAM ENGINEERING COLLEGE/ CHENNAI</t>
  </si>
  <si>
    <t>J KUMAR | SITE EXECUTION, PLANING | MADHURAVOYAL, CHENNAI | May 2026 | Jul 2026 | 9 Weeks | Campus Internship
HR LEVELS INFRASTRUCTURE Pvt .Ltd | Site Engineer | Pallavaram, chennai | Jun 2024 | Jul 2024 | 7 Weeks</t>
  </si>
  <si>
    <t>P25700445</t>
  </si>
  <si>
    <t>SHIVRAJ</t>
  </si>
  <si>
    <t>Shivraj Tanaji Pawar</t>
  </si>
  <si>
    <t>shivrajpawar52@gmail.com</t>
  </si>
  <si>
    <t>p25700445@student.nicmar.ac.in</t>
  </si>
  <si>
    <t>06-Sep-1998</t>
  </si>
  <si>
    <t>English,Hindi and Marathi</t>
  </si>
  <si>
    <t>6129 5921 5308</t>
  </si>
  <si>
    <t>Gandharv Park Hsg Soc RH-93 Flat No B2/7 Shahunagar Chinchwad Pune</t>
  </si>
  <si>
    <t>SHRI SHIVCHATRAPATI SHIVAJI RAJE MADHYAMIK VIDYALAYA</t>
  </si>
  <si>
    <t>DR. D.Y. PATIL JR COLLEGE</t>
  </si>
  <si>
    <t>MAHARASHTRA STATE BOARD PUNE</t>
  </si>
  <si>
    <t>JSPM RAJARSHI SHAHU COLLEGE OF ENGINEERING TATHAWADE PUNE</t>
  </si>
  <si>
    <t>AutoCAD,MS Office,MS Project,QS billing</t>
  </si>
  <si>
    <t>Millenium Engineers &amp; Contractors PVT LTD | Jr. Engineer - Execution | Koregaon Park, Pune | May 2022 | Nov 2023 | 1 Years, 6 Months, 2 Days | 3.03
NB Bhondve Builders | Site Engineer | Ravet, Pune | Jan 2024 | Dec 2024 | 0 Years, 11 Months, 2 Days | 2.4</t>
  </si>
  <si>
    <t>Grow India Residency Private | Execution &amp; Planning Intern | Chinchwad Pune | May 2026 | Jul 2026 | 8 Weeks | Campus Internship</t>
  </si>
  <si>
    <t>P25700446</t>
  </si>
  <si>
    <t>JUIKAR</t>
  </si>
  <si>
    <t>Urvi Rajesh Juikar</t>
  </si>
  <si>
    <t>urvi.juikar17@gmail.com</t>
  </si>
  <si>
    <t>p25700446@student.nicmar.ac.in</t>
  </si>
  <si>
    <t>17-Jan-2002</t>
  </si>
  <si>
    <t>8308 4756 2316</t>
  </si>
  <si>
    <t>RAJESH NARHARI JUIKAR</t>
  </si>
  <si>
    <t>VINAYA RAJESH JUIKAR</t>
  </si>
  <si>
    <t>At-Pandvadevi, Po-Poynad, Tal-Alibag, Dist-Raigad</t>
  </si>
  <si>
    <t>K.E.S ENGLISH MEDIUM SCHOOL, PEZARI</t>
  </si>
  <si>
    <t>K.E.S N.N. PATIL JUNIOR COLLEGE, POYNAD</t>
  </si>
  <si>
    <t>SARDAR PATEL COLLEGE OF ENGINEERING, ANDHERI</t>
  </si>
  <si>
    <t>2025-Mar</t>
  </si>
  <si>
    <t>MS Office,MS Project,Primavera,CostX</t>
  </si>
  <si>
    <t>Godrej Properties Limited | Planning Engineer   | Panvel | May 2026 | Jul 2026 | 9 Weeks | Campus Internship</t>
  </si>
  <si>
    <t>P25700447</t>
  </si>
  <si>
    <t>KANISHKA</t>
  </si>
  <si>
    <t>Kanishka Pratap Singh</t>
  </si>
  <si>
    <t>kanishka.ps55@gmail.com</t>
  </si>
  <si>
    <t>p25700447@student.nicmar.ac.in</t>
  </si>
  <si>
    <t>12-Jan-2001</t>
  </si>
  <si>
    <t>ENGLISH HINDI</t>
  </si>
  <si>
    <t>6004 3906 6011</t>
  </si>
  <si>
    <t>NARENDRA KUMAR SINGH</t>
  </si>
  <si>
    <t>MADHU SINGH</t>
  </si>
  <si>
    <t>104 Mega Dream Homes Karamchari Nagar Mini Bypass Road Bareilly</t>
  </si>
  <si>
    <t>Bareilly</t>
  </si>
  <si>
    <t>DELHI PUBLIC SCHOOL BAREILLY</t>
  </si>
  <si>
    <t>DR. APJ ABDUL KALAM TECHNICAL UNIVERSITY, LUCKNOW, UTTAR PRADESH</t>
  </si>
  <si>
    <t>G.L. BAJAJ INSTITUTE OF TECHNOLOGY AND MANAGEMENT, GREATER NOIDA, UTTAR PRADESH</t>
  </si>
  <si>
    <t>MS Office,MS Project,Primavera</t>
  </si>
  <si>
    <t>Consultadd | Management Trainee Engineer | pune | Jul 2022 | Oct 2022 | 0 Years, 3 Months, 6 Days | 5</t>
  </si>
  <si>
    <t>HILTI India | Summer Intern | Jaipur, Rajasthan | May 2026 | Jul 2026 | 8 Weeks | Campus Internship</t>
  </si>
  <si>
    <t>Coursera Spreadsheet for beginners
McKenzie Forward Program 
Coursera Finance for Non Finance Managers
Construction Contracts Management by Tim Fairley</t>
  </si>
  <si>
    <t>P25700448</t>
  </si>
  <si>
    <t>HEMACHANDRAN</t>
  </si>
  <si>
    <t>C R</t>
  </si>
  <si>
    <t>Hemachandran C R</t>
  </si>
  <si>
    <t>crhemachandran@gmail.com</t>
  </si>
  <si>
    <t>p25700448@student.nicmar.ac.in</t>
  </si>
  <si>
    <t>17-Nov-2000</t>
  </si>
  <si>
    <t>ENGLISH, TELUGU, HINDI, TAMIL</t>
  </si>
  <si>
    <t>5375 9164 5299</t>
  </si>
  <si>
    <t>RAMAKISHAN R</t>
  </si>
  <si>
    <t>RETIRED FROM GOVERNMENT SERVICES</t>
  </si>
  <si>
    <t>RADHIKA R</t>
  </si>
  <si>
    <t>SENIOR ANALYST IN SOFTWARE DEVELOPMENT AT ACCENTURE SOLUTIONS PVT. LTD</t>
  </si>
  <si>
    <t>25/1, N.I.A. POST OFFICE,_x000D_
BALEWADI, PUNE â€“ 411045,_x000D_
MAHARASHTRA, INDIA</t>
  </si>
  <si>
    <t>W-Block First Street ; Number - 31/4 ; Annanagar ; Chennai-40</t>
  </si>
  <si>
    <t>S B O A SCHOOL &amp; JR COLLEGE</t>
  </si>
  <si>
    <t>D A V MATRIC HR SEC SCHOOL</t>
  </si>
  <si>
    <t>COLLEGE OF ENGINEERING GUINDY, CHENNAI</t>
  </si>
  <si>
    <t>Total Environment Building System Private Limited | Senior Executive as a Project Operation Coordinator | Bangalore | Jun 2024 | Jun 2025 | 1 Years, 0 Months, 1 Days | 6.5</t>
  </si>
  <si>
    <t>DELOITTE TOUCHE TOHMATSU INDIA LLP | Intern - Project Monitoring | Chennai | May 2026 | Jul 2026 | 8 Weeks | Campus Internship
EVERSENDAI CONSTRUCTIONS PRIVATE LIMITED | Intern | Chennai | Jul 2023 | Jul 2023 | 4 Weeks</t>
  </si>
  <si>
    <t>AutoCAD, Revit
Project Management Training using MS Project</t>
  </si>
  <si>
    <t>P25700449</t>
  </si>
  <si>
    <t>SHANTANU</t>
  </si>
  <si>
    <t>SARULE</t>
  </si>
  <si>
    <t>Shantanu Shivaji Sarule</t>
  </si>
  <si>
    <t>shantanu1187@gmail.com</t>
  </si>
  <si>
    <t>p25700449@student.nicmar.ac.in</t>
  </si>
  <si>
    <t>20-Mar-2003</t>
  </si>
  <si>
    <t>ENGLISH MARATHI HINDI</t>
  </si>
  <si>
    <t>7062 2310 0943</t>
  </si>
  <si>
    <t>SHIVAJI SARULE</t>
  </si>
  <si>
    <t>JYOTI SARULE</t>
  </si>
  <si>
    <t>Vikram Nagar Latur Maharashtra</t>
  </si>
  <si>
    <t>KESHAVRAJ VIDHYALAY LATUE</t>
  </si>
  <si>
    <t>SSC BOARD MAHARASHTRA LATUR MAHARASHTRA</t>
  </si>
  <si>
    <t>RAJARSHI SHAHU MAHAVIDHYALAY</t>
  </si>
  <si>
    <t>HSC BOARD LATUR MAHARASHTRA</t>
  </si>
  <si>
    <t>MIT WPU</t>
  </si>
  <si>
    <t>MIT WPU PUNE</t>
  </si>
  <si>
    <t>Shubharambh Landmarks | Assistant to Project Manager - Site Execution and Planning | Ravet, Pune | May 2026 | Jul 2026 | 10 Weeks | Campus Internship
SHRI SWAMI DEVELOPERS | Jr Engineer | Akola | Jan 2025 | May 2025 | 20 Weeks
Maverick Architects | Assistant to Execution Engineer | Pune | Jun 2023 | Jul 2024 | 60 Weeks</t>
  </si>
  <si>
    <t>P25700450</t>
  </si>
  <si>
    <t>VASAIKAR</t>
  </si>
  <si>
    <t>RAMESHBHAI</t>
  </si>
  <si>
    <t>Vasaikar Ritesh Rameshbhai</t>
  </si>
  <si>
    <t>riteshvasaikar64@gmail.com</t>
  </si>
  <si>
    <t>p25700450@student.nicmar.ac.in</t>
  </si>
  <si>
    <t>21-Feb-2000</t>
  </si>
  <si>
    <t>Marathi, Gujarati, Hindi, English</t>
  </si>
  <si>
    <t>8817 8900 0288</t>
  </si>
  <si>
    <t>RAMESHBHAI VASAIKAR</t>
  </si>
  <si>
    <t>RAHSHREEBEN VASAIKAR</t>
  </si>
  <si>
    <t>A-25, MANGALTIRTH SOCIETY,_x000D_
OPP. AMITY SCHOOL,_x000D_
DAHEJ BYPASS ROAD,_x000D_
BHARUCH.</t>
  </si>
  <si>
    <t>Bharuch</t>
  </si>
  <si>
    <t>AMITY SCHOOL</t>
  </si>
  <si>
    <t>GUJARAT SECONDARY AND HIGHER SECONDARY EDUCATION BOARD</t>
  </si>
  <si>
    <t>PRATHNA VIDHYALAY</t>
  </si>
  <si>
    <t>SHRI S'AD VIDYA MANDAL INSTITUTE OF TECHNOLOGY, BHARUCH</t>
  </si>
  <si>
    <t>AutoCAD,MS Office,QUANTITY ESTIMATION,BBS,MS EXCEL.</t>
  </si>
  <si>
    <t>GROWSTONE VENTURES LLP. | JUNIOR ENGINEER | JM Road, Shivajinagar, Pune. | Jun 2024 | Jun 2025 | 1 Years, 0 Months, 27 Days | 1.8</t>
  </si>
  <si>
    <t>Sobha India Limited | Intern - Project Management  | GIFT City, Gandhinagar | May 2026 | Jul 2026 | 9 Weeks | Campus Internship</t>
  </si>
  <si>
    <t>PROJECT PLANNING USING MICROSOFT PROJECT
QUANTITY SURVEYING AND PROJECT BILLING USING MS-EXCEL
POST GRADUATE PROGRAM IN CONSTRUCTION PROJECT MANAGEMENT</t>
  </si>
  <si>
    <t>P25700451</t>
  </si>
  <si>
    <t>DANGE</t>
  </si>
  <si>
    <t>Mayank Kumar Dange</t>
  </si>
  <si>
    <t>dange.mayank03@gmail.com</t>
  </si>
  <si>
    <t>p25700451@student.nicmar.ac.in</t>
  </si>
  <si>
    <t>09-Jun-2000</t>
  </si>
  <si>
    <t>2976 3773 5618</t>
  </si>
  <si>
    <t>DINESH DANGE</t>
  </si>
  <si>
    <t>SHOBHA DANGE</t>
  </si>
  <si>
    <t>HN 40 Ojha Colony Street No. 4</t>
  </si>
  <si>
    <t>Nagda</t>
  </si>
  <si>
    <t>ADITYA BIRLA SENIOR SECONDARY SCHOOL</t>
  </si>
  <si>
    <t>CENTREL BOARD OF SECONDARY EDUCATION, MADHYA PRADESH</t>
  </si>
  <si>
    <t>SCHOOL OF ARCHITECTURE, IPS ACADEMY</t>
  </si>
  <si>
    <t>AutoCAD,MS Office,MS Project,LUMION,V-RAY,ENSCAPE,RHINO,GRASSHOPPER,PHOTOSHOP,3DS MAX,REVIT ARCHITECTURE,TWINMOTION,SKETCHUP</t>
  </si>
  <si>
    <t>SINGHANIA BUILDCON | Site Execution | Raipur | May 2026 | Jul 2026 | 8 Weeks | Campus Internship
JDA ARCHITECTS | Architectural Intern | NAGPUR | Feb 2024 | Jun 2024 | 21 Weeks
THE DESIGN CHARRETTE | Architectural Intern | INDORE | Jul 2023 | Dec 2023 | 21 Weeks</t>
  </si>
  <si>
    <t>INTERNATIONAL ARCHITECTURAL CONFERENCE
SKETCHUP AND VRAY
PHOTOSHOP
LUMION
AUTOCAD
3DS MAX
REVIT ARCHITECTURE</t>
  </si>
  <si>
    <t>P25700452</t>
  </si>
  <si>
    <t>REGIKUMAR</t>
  </si>
  <si>
    <t>Rohan Regikumar</t>
  </si>
  <si>
    <t>rohanregi99@gmail.com</t>
  </si>
  <si>
    <t>p25700452@student.nicmar.ac.in</t>
  </si>
  <si>
    <t>MALAYALAM, ENGLISH, HINDI, TAMIL</t>
  </si>
  <si>
    <t>2890 3514 8381</t>
  </si>
  <si>
    <t>REHIKUMAR K</t>
  </si>
  <si>
    <t>GENERAL MANAGER</t>
  </si>
  <si>
    <t>MANJULA PAVITHRAN</t>
  </si>
  <si>
    <t>CHIEF MANAGER</t>
  </si>
  <si>
    <t>ROOM 339, SILVER JUBILEE HOSTEL, NICMAR UNIVERSITY</t>
  </si>
  <si>
    <t>ARRA 53, INDRANEELAM, ROYAL GARDEN, ADHAPPILLY RD, VENNALA, KOCHI, ERNAKULAM, KERALA</t>
  </si>
  <si>
    <t>BHAVANS ADARSHA VIDHYALAYA</t>
  </si>
  <si>
    <t>KERALA</t>
  </si>
  <si>
    <t>AutoCAD,MS Office,MS Project,Primavera,Candy,Revit Arch,Revit Structure,Navisworks</t>
  </si>
  <si>
    <t>RELIANCE JIO INFOCOM LTD | SENIOR TOWER ENGINEER | KOCHI, KERALA | Sep 2023 | Jun 2025 | 1 Years, 9 Months, 4 Days | 3</t>
  </si>
  <si>
    <t>Embassy developments limited  | Summer intern-procurement and contracts  | Mumbai  | May 2026 | Jul 2026 | 8 Weeks | Campus Internship</t>
  </si>
  <si>
    <t>P25700453</t>
  </si>
  <si>
    <t>PRANAY</t>
  </si>
  <si>
    <t>UDAY</t>
  </si>
  <si>
    <t>AINCHWAR</t>
  </si>
  <si>
    <t>Pranay Uday Ainchwar</t>
  </si>
  <si>
    <t>pranay591999@gmail.com</t>
  </si>
  <si>
    <t>p25700453@student.nicmar.ac.in</t>
  </si>
  <si>
    <t>05-Sep-1999</t>
  </si>
  <si>
    <t>9679 4909 2141</t>
  </si>
  <si>
    <t>UDAY AINCHWAR</t>
  </si>
  <si>
    <t>VANITA  AINCHWAR</t>
  </si>
  <si>
    <t>Ward No 3, Bhangaram Talodhi Ta. Gondpipari</t>
  </si>
  <si>
    <t>SHREE SWAMINARAYAN GURUKUL VIDYALAYA</t>
  </si>
  <si>
    <t>CENTRAL BOARD OF SECONDARY EDUCATION, HYDERABAD</t>
  </si>
  <si>
    <t>SHIKSHAN MAHARSHI LATE SHRIHARI JIWATODE JUNIOR COLLEGE</t>
  </si>
  <si>
    <t>MAHARASHTRA STATE BOARD OF SECONDARY AND HIGHER SECONDARY EDUCATION, CHANDRAPUR</t>
  </si>
  <si>
    <t>PRIYADARSHINI COLLEGE OF ENGINEERING, NAGPUR</t>
  </si>
  <si>
    <t>AutoCAD,MS Office,MS Project,Primavera P6,Revit,CostX,Cet Configura Software</t>
  </si>
  <si>
    <t>HNI India Pvt. Ltd. | GET, Design &amp; Proposal | Nagpur, Maharashtra | Feb 2024 | Jun 2025 | 1 Years, 4 Months, 5 Days | 2.5</t>
  </si>
  <si>
    <t>SANGAM ENGINEERS | SITE EXECUTION &amp; PROJECT CONTROLS INTERN | Vapi, Gujrat | May 2026 | Jul 2026 | 8 Weeks | Campus Internship
CONCRETE TECHNO | INTERN  | CHANDRAPUR, MAHARASHTRA  | Jul 2021 | Aug 2021 | 4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</si>
  <si>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</si>
  <si>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P25700454</t>
  </si>
  <si>
    <t>KIRUTHIK</t>
  </si>
  <si>
    <t>P G</t>
  </si>
  <si>
    <t>Kiruthik P G</t>
  </si>
  <si>
    <t>kiruthikpg@gmail.com</t>
  </si>
  <si>
    <t>p25700454@student.nicmar.ac.in</t>
  </si>
  <si>
    <t>28-Jul-2003</t>
  </si>
  <si>
    <t>TAMIL,ENGLISH</t>
  </si>
  <si>
    <t>5488 4253 4199</t>
  </si>
  <si>
    <t>GUNASEKARAN R</t>
  </si>
  <si>
    <t>PROPRIETOR</t>
  </si>
  <si>
    <t>KAVITHA G</t>
  </si>
  <si>
    <t>NO-4/171-1,PON NAGAR_x000D_
ANDANKOVIL EAST_x000D_
Andankovil East</t>
  </si>
  <si>
    <t>Karur</t>
  </si>
  <si>
    <t>SHREE SARAS SWATHI VIDHYAAH MANDHEER SCHOOL</t>
  </si>
  <si>
    <t>CENTRAL BOARD OF SECONDARY EDUCATION COIMBATORE</t>
  </si>
  <si>
    <t>PSG COLLEGE OF TECHNOLOGY</t>
  </si>
  <si>
    <t>AutoCAD,MS Office,Python,C++, Primavera P6,Excel</t>
  </si>
  <si>
    <t>L&amp;T GeoStructure | Management Intern | Chennai  | May 2026 | Jul 2026 | 8 Weeks | Campus Internship
ATM ASSOCIATES | Site Supervision | Karur | May 2024 | Jun 2024 | 4 Weeks</t>
  </si>
  <si>
    <t>P25700455</t>
  </si>
  <si>
    <t>Akshay Raghunath Nawale</t>
  </si>
  <si>
    <t>arnawale.social@gmail.com</t>
  </si>
  <si>
    <t>p25700455@student.nicmar.ac.in</t>
  </si>
  <si>
    <t>29-Jul-1996</t>
  </si>
  <si>
    <t>2884 3355 1773</t>
  </si>
  <si>
    <t>VITHALWADI, DEHUGAON, HAVELI</t>
  </si>
  <si>
    <t>Shivajinagar, Dhumalwadi</t>
  </si>
  <si>
    <t>MARUTIRAO KOTE ABHINAV PUBLIC SCHOOL, AKOLE</t>
  </si>
  <si>
    <t>DR. DEVENDRA AMRUTLAL OHARA JUNIOR COLLEGE, SANGAMNER</t>
  </si>
  <si>
    <t>IMPERIAL COLLEGE OF ENGINEERING AND RESEARCH, PUNE</t>
  </si>
  <si>
    <t>AutoCAD,MS Office,MS Project,Primavera,MS Excel,Revit Architecture</t>
  </si>
  <si>
    <t>Sunil Babanrao Datir Engineers &amp; Contractors | Civil Engineer | Akole | Jan 2021 | Sep 2023 | 2 Years, 8 Months, 25 Days | 3
Sudhir V. Katore Engineer &amp; Govt. Contractor | Civil Engineer (Project Engineering) | Pune | Nov 2023 | Dec 2024 | 1 Years, 1 Months, 29 Days | 2.1</t>
  </si>
  <si>
    <t>ANAROCK Property Consultants Pvt. Ltd. | Project Management &amp; Engineering Services (PMES) Intern | Bangalore, Karnataka | May 2026 | Jul 2026 | 9 Weeks | Campus Internship</t>
  </si>
  <si>
    <t>Construction Project Management
Generative AI for Project Managers (Specialization)
digiQC Project Admin (Scholar)
Construction Equipment Maintenance &amp; Safety
Successful Negotiation: Essential Strategies and Skills
Legal Contracts and Agreements for Entrepreneurs
Draft Commercial Contracts: Checklists
Climate Change, Sustainability, and Global Public Health
Data Analysis
Generative AI Mastermind
Finance For Non-Financial Manager (Coursera)
Real Estate Project Quantity Surveying
AutoCAD 2D Drafting
Revit Architecture
Basic Course of Disaster Management</t>
  </si>
  <si>
    <t>P25700456</t>
  </si>
  <si>
    <t>SUMEET</t>
  </si>
  <si>
    <t>RUNWAL</t>
  </si>
  <si>
    <t>Sumeet Sachin Runwal</t>
  </si>
  <si>
    <t>sumeetrunwal0269@gmail.com</t>
  </si>
  <si>
    <t>p25700456@student.nicmar.ac.in</t>
  </si>
  <si>
    <t>28-Nov-1997</t>
  </si>
  <si>
    <t>English, Hindi, Marathi.</t>
  </si>
  <si>
    <t>7295 8233 0903</t>
  </si>
  <si>
    <t>SACHIN  SHANTILAL RUNWAL</t>
  </si>
  <si>
    <t>RAKHEE SACHIN RUNWAL</t>
  </si>
  <si>
    <t>PLOT NO. 56, VIKAS COLONY, NEAR INCOME TAX OFFICE, SAKRI ROAD, DHULE</t>
  </si>
  <si>
    <t>1735, Runwal Ledij Shopping, Agra Road, Dhule.</t>
  </si>
  <si>
    <t>CANOSSA CONVENT HIGH SCHOOL</t>
  </si>
  <si>
    <t>NASHIK DIVISIONAL BOARD</t>
  </si>
  <si>
    <t>SHRI NANA SAHEB ZULAL ZULAL BHILAJIRAO PATIL HIGHER SECONDARY SCHOOL</t>
  </si>
  <si>
    <t>SHRI SHIVAJI VIDYA PRASARAK SANSTHA'S BAPUSAHEB SHIVAJIRAO DEORE POLYTECHNIC, DHULE</t>
  </si>
  <si>
    <t>R. C. PATEL INSTITUTE OF TECHNOLOGY, SHIRPUR.</t>
  </si>
  <si>
    <t>Runwal groups | Junior Engineer | Mumbai | Oct 2022 | Jul 2025 | 2 Years, 9 Months, 11 Days | 4.42</t>
  </si>
  <si>
    <t>33 month(s)</t>
  </si>
  <si>
    <t>Shilpkar Construction Pvt. Ltd. | Project planning and Management intern | Delhi | May 2026 | Jun 2026 | 8 Weeks | Campus Internship
Runwal Group | General Trainee Engineer | Mumbai | Mar 2022 | Sep 2022 | 26 Weeks</t>
  </si>
  <si>
    <t>AutoCADD</t>
  </si>
  <si>
    <t>P25700457</t>
  </si>
  <si>
    <t>ABI</t>
  </si>
  <si>
    <t>SHRIYA V</t>
  </si>
  <si>
    <t>Abi Shriya V</t>
  </si>
  <si>
    <t>shriyavenki22@gmail.com</t>
  </si>
  <si>
    <t>p25700457@student.nicmar.ac.in</t>
  </si>
  <si>
    <t>22-May-2004</t>
  </si>
  <si>
    <t>English and Tamil</t>
  </si>
  <si>
    <t>6296 0640 6516</t>
  </si>
  <si>
    <t>VENKATESWARAN R</t>
  </si>
  <si>
    <t>SOUTHERN RAILWAY</t>
  </si>
  <si>
    <t>SATHYA PRIYA V</t>
  </si>
  <si>
    <t>No 2, Ramalingam Illam , Reddy Nagar 4th Cross Street, Olaiyur Main, Kk Nagar, Tiruchirappalli</t>
  </si>
  <si>
    <t>Tiruchirappalli</t>
  </si>
  <si>
    <t>JEGAN MATHA MATRIC HR. SEC. SCHOOL</t>
  </si>
  <si>
    <t>STATE BOARD OF SCHOOL EXAMINATION, TAMIL NADU</t>
  </si>
  <si>
    <t>AutoCAD,MS Project,STAAD PRO,Ansys,ABAQUS,MS Office</t>
  </si>
  <si>
    <t>Agami Realty | Site execution | Mumbai | May 2026 | Jul 2026 | 7 Weeks | Campus Internship</t>
  </si>
  <si>
    <t>Construction Equipment Maintenance &amp; Safety
Lean Six Sigma - Green Belt</t>
  </si>
  <si>
    <t>P25700458</t>
  </si>
  <si>
    <t>HARSHIT</t>
  </si>
  <si>
    <t>Kumar Harshit</t>
  </si>
  <si>
    <t>koulharshit03@gmail.com</t>
  </si>
  <si>
    <t>p25700458@student.nicmar.ac.in</t>
  </si>
  <si>
    <t>11-Oct-2001</t>
  </si>
  <si>
    <t>5526 7333 7635</t>
  </si>
  <si>
    <t>SANJAY KUMAR</t>
  </si>
  <si>
    <t>DENTAL ASSISITANT IN GOVT HOSPITAL</t>
  </si>
  <si>
    <t>RAJNI</t>
  </si>
  <si>
    <t>H. No 4 Vassant Enclave Gole Gujral Camp Road Jammu</t>
  </si>
  <si>
    <t>Jammu</t>
  </si>
  <si>
    <t>Jammu Kashmir</t>
  </si>
  <si>
    <t>SOS HERMANN GMEINER SCHOOL</t>
  </si>
  <si>
    <t>JC BOSE UNIVERSITY OF SCIENCE AND TECHNOLOGY, FARIDABAD</t>
  </si>
  <si>
    <t>YMCA, HARYANA</t>
  </si>
  <si>
    <t>AutoCAD, MS Office, MS Project, Video Editing, Problem Solving</t>
  </si>
  <si>
    <t>Shilpkar Construction Pvt. Ltd. | Project Planning and Management Intern | Sarita Vihar | May 2026 | Jun 2026 | 8 Weeks | Campus Internship
KRC Infraprojects pvt. ltd. | Engineer Trainee | Dehradun | Jan 2024 | Jul 2024 | 26 Weeks</t>
  </si>
  <si>
    <t>Six Sigma Green Belt
Project Management in Construction
Basic Construction Materials
Risk Job Simulation
Data Analysis by S.P.J.I.M.R.
Preparing Data for Analysis with Microsoft Excel</t>
  </si>
  <si>
    <t>P25700459</t>
  </si>
  <si>
    <t>HARSHAL</t>
  </si>
  <si>
    <t>Harshal Dilip Patil</t>
  </si>
  <si>
    <t>hdharshalpatil@gmail.com</t>
  </si>
  <si>
    <t>p25700459@student.nicmar.ac.in</t>
  </si>
  <si>
    <t>26-May-2001</t>
  </si>
  <si>
    <t>4850 6062 5772</t>
  </si>
  <si>
    <t>JAYA</t>
  </si>
  <si>
    <t>4, Dattadurga Nagar, Dr. Hedgewar Nagar, Dharangaon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</si>
  <si>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</si>
  <si>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</si>
  <si>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</si>
  <si>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</si>
  <si>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</si>
  <si>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</si>
  <si>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 Years, 9 Months, 18 Days | 4.75</t>
  </si>
  <si>
    <t>MASIN PROJECTS PRIVATE LIMITED | Summer Intern – Delay &amp; Quantum Analysis | Navi Mumbai | May 2026 | Jul 2026 | 8 Weeks | Campus Internship
CSIR - National Environmental Engineering Research Institute | Intern | Nagpur | Dec 2022 | Jun 2023 | 25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</si>
  <si>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</si>
  <si>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P25700460</t>
  </si>
  <si>
    <t>KOUSHIK</t>
  </si>
  <si>
    <t>ARUNASALAM</t>
  </si>
  <si>
    <t>Koushik Arunasalam</t>
  </si>
  <si>
    <t>aksince2k4@gmail.com</t>
  </si>
  <si>
    <t>p25700460@student.nicmar.ac.in</t>
  </si>
  <si>
    <t>25-May-2004</t>
  </si>
  <si>
    <t>7651 7370 5778</t>
  </si>
  <si>
    <t>AMUTHA</t>
  </si>
  <si>
    <t>13/54, JAYAM GARDEN, RAKKIYAPLAYAM, AVINASHI, TIRUPPUR</t>
  </si>
  <si>
    <t>Tiruppur</t>
  </si>
  <si>
    <t>SRI SHAKTHI INTERNATIONAL SCHOOL</t>
  </si>
  <si>
    <t>COIMBATORE/TAMIL NADU</t>
  </si>
  <si>
    <t>VELLORE/TAMIL NADU</t>
  </si>
  <si>
    <t>AutoCAD,MS Excel,MS Project,Primavera</t>
  </si>
  <si>
    <t>Larsen &amp; Tubro limited construction ( heavy civil infrastructure ) | Management intern  | Chennai | May 2026 | Jul 2026 | 8 Weeks | Campus Internship
ECO PROTECTION ENGINEERING PVT.LTD | TRAINEE  | FAIZABAD, LUCKNOW, UTTER PRADESH | Sep 2023 | Oct 2023 | 4 Weeks</t>
  </si>
  <si>
    <t>Wild Life Ecology
Forests and their Management
Conservation Economics
Python Beginner Course
Finance for Non-Financial Managers
AutoCad</t>
  </si>
  <si>
    <t>P25700461</t>
  </si>
  <si>
    <t>SHANTARAM</t>
  </si>
  <si>
    <t>Yash Shantaram Kamble</t>
  </si>
  <si>
    <t>kambleyash6241@gmail.com</t>
  </si>
  <si>
    <t>p25700461@student.nicmar.ac.in</t>
  </si>
  <si>
    <t>27-Jun-2003</t>
  </si>
  <si>
    <t>7037 2460 5343</t>
  </si>
  <si>
    <t>HOUSE- WIFE</t>
  </si>
  <si>
    <t>At/ Navingar, Post-kangoan, Tal - Daund, Dis- Pune</t>
  </si>
  <si>
    <t>SHRI GOPINATH SECONDARY HIGHER SECONDARY &amp; TECHNICAL SCHOOL, VARVAND</t>
  </si>
  <si>
    <t>MAHARASHTRA STATE BOARD OF SECONDARY AND HIGHER SECONDARY EDUCATION, PUNE MAHARASHTRA</t>
  </si>
  <si>
    <t>GOVERNMENT POLYTECHNIC PUNE, MAHARASHTRA</t>
  </si>
  <si>
    <t>SINHGAD INSTITUTE OF TECHNOLOGY AND SCIENCE, PUNE MAHARASHTRA</t>
  </si>
  <si>
    <t>AutoCAD,MS Office,MS Project,Primavera,Revit Architecture,Revit Structure,Revit MEP</t>
  </si>
  <si>
    <t>PSP Projects Limited | Civil Intern  | Mahim, Dharavi, Mumbai, Maharashtra | May 2026 | Jul 2026 | 8 Weeks | Campus Internship
RAJAT UDAY FADTARE CIVIL ENGINEERS AND GOVT. CONTRACTOR | SITE ENGINEER | TAL-DAUND, PUNE | Dec 2023 | Jan 2024 | 4 Weeks</t>
  </si>
  <si>
    <t>PROFESSIONAL DIPLOMA IN CIVIL CAD (PDCC)</t>
  </si>
  <si>
    <t>P25700462</t>
  </si>
  <si>
    <t>REETIK</t>
  </si>
  <si>
    <t>Reetik Anand</t>
  </si>
  <si>
    <t>reetikanand9@gmail.com</t>
  </si>
  <si>
    <t>p25700462@student.nicmar.ac.in</t>
  </si>
  <si>
    <t>25-Mar-1998</t>
  </si>
  <si>
    <t>8849 5497 4490</t>
  </si>
  <si>
    <t>AJAY ANAND</t>
  </si>
  <si>
    <t>KAVITA ANAND</t>
  </si>
  <si>
    <t>D-704, YASHWIN HINJEWADI, PHASE - 2</t>
  </si>
  <si>
    <t>E-92, P.C. Colony, Kankarbagh, Lohiya Nagar</t>
  </si>
  <si>
    <t>ST. DOMINIC SAVIOS HIGH SCHOOL</t>
  </si>
  <si>
    <t>CENTRAL BOARD OF SECONDARY EDUCATION, BIHAR</t>
  </si>
  <si>
    <t>SHIVAM CONVENT SCHOOL</t>
  </si>
  <si>
    <t>AutoCAD,MS Office,MS Project,Digital Marketing,Python Programming Language</t>
  </si>
  <si>
    <t>Ram Kripal Singh Construction, Pvt. Ltd | Site , Billing &amp; Estimation Enginner | Patna | Nov 2023 | Dec 2024 | 1 Years, 1 Months, 30 Days | 1.8</t>
  </si>
  <si>
    <t>VSL India Private Limited | Site Execution | Patna | May 2026 | Jul 2026 | 8 Weeks | Campus Internship
SOLYTICS PARTNER | DATA RESEARCH CONSULTANT | REMOTE | Jan 2025 | Jul 2025 | 27 Weeks</t>
  </si>
  <si>
    <t>Basic Digital Marketing Workshop</t>
  </si>
  <si>
    <t>P25700463</t>
  </si>
  <si>
    <t>KASHISHA</t>
  </si>
  <si>
    <t>PRABHAKAR</t>
  </si>
  <si>
    <t>Kashisha Prabhakar Kapse</t>
  </si>
  <si>
    <t>kashishakapse04@gmail.com</t>
  </si>
  <si>
    <t>p25700463@student.nicmar.ac.in</t>
  </si>
  <si>
    <t>7459 5345 0388</t>
  </si>
  <si>
    <t>PRABHAKAR SHRIRAM KAPSE</t>
  </si>
  <si>
    <t>DEEPTI PRABHAKAR KAPSE</t>
  </si>
  <si>
    <t>KABIRA APARTMENT, PLOT NO. 97, INDRAPRASTH SOCIETY, FLAT NO. 201,OMKAR NAGAR, NAGPUR</t>
  </si>
  <si>
    <t>NO. 43, NEAR N. M. C. SCHOOL, NEW BIDPETH, Ayodhya Nagar, Nagpur, Maharashtra, 440024</t>
  </si>
  <si>
    <t>KENDRIYA VIDYALAY, AJNI, NAGPUR</t>
  </si>
  <si>
    <t>TAYWADE JUNIOR COLLEGE, KORADI, NAGPUR</t>
  </si>
  <si>
    <t>RASHTRASANT TUKADOJI MAHARAJ NAGPUR UNIVERSITY (RTMNU)</t>
  </si>
  <si>
    <t>YASHWANTRAO CHAVAN COLLEGE OF ENGINEERING, NAGPUR, MAHARASHTRA</t>
  </si>
  <si>
    <t>AutoCAD,MS Project,Revit architecture,StaadPro</t>
  </si>
  <si>
    <t>New Consolidated Construction Company Ltd. | Planning intern  | Mumbai  | May 2026 | Jul 2026 | 8 Weeks | Campus Internship
PUBLIC WORKS DEPARTMENT | INTERN | NAGPUR | Jan 2025 | Apr 2025 | 15 Weeks</t>
  </si>
  <si>
    <t>P25700464</t>
  </si>
  <si>
    <t>SHIVA KRISHNA</t>
  </si>
  <si>
    <t>ARURI</t>
  </si>
  <si>
    <t>Shiva Krishna Aruri</t>
  </si>
  <si>
    <t>shivakrishna.aruri08@gmail.com</t>
  </si>
  <si>
    <t>p25700464@student.nicmar.ac.in</t>
  </si>
  <si>
    <t>12-Aug-2001</t>
  </si>
  <si>
    <t>English, Telugu &amp; Hindi</t>
  </si>
  <si>
    <t>9706 2950 9993</t>
  </si>
  <si>
    <t>SARANGAPANI</t>
  </si>
  <si>
    <t>GOVT. JOB</t>
  </si>
  <si>
    <t>H.No:6-85/2, Tharalapalli, Kazipet, Hanamkonda, Telangana 506003</t>
  </si>
  <si>
    <t>Hanamkonda</t>
  </si>
  <si>
    <t>SACRED HEART EM HIGH SCHOOL</t>
  </si>
  <si>
    <t>SVS POLYTECHNIC, TELANGANA</t>
  </si>
  <si>
    <t>BHARATH UNIVERSITY</t>
  </si>
  <si>
    <t>BHARATH INSTITUTE OF HIGHER EDUCATION AND RESEARCH, TAMILNADU</t>
  </si>
  <si>
    <t>Oracle Primavera, MS Project, Revit, AutoCAD, MS Office</t>
  </si>
  <si>
    <t>Karunya Constructions | Junior Engineer | Warangal | May 2024 | May 2025 | 1 Years, 0 Months, 10 Days | 2.04</t>
  </si>
  <si>
    <t>Kattu Construction Technology Services LLP | Project Management Intern | New BEL Road, Bangalore | May 2026 | Jul 2026 | 8 Weeks | Campus Internship
OFFICE OF EXECUTIVE ENGINEER (R&amp;B) NH DIVISION | INTERNSHIP | WARANGAL | Jun 2020 | Dec 2020 | 23 Weeks</t>
  </si>
  <si>
    <t>P25700465</t>
  </si>
  <si>
    <t>Giri R</t>
  </si>
  <si>
    <t>giri752003@gmail.com</t>
  </si>
  <si>
    <t>p25700465@student.nicmar.ac.in</t>
  </si>
  <si>
    <t>07-May-2003</t>
  </si>
  <si>
    <t>English , Tamil , Malayalam</t>
  </si>
  <si>
    <t>9865 6695 4674</t>
  </si>
  <si>
    <t>RAJAGANESAN</t>
  </si>
  <si>
    <t>RETIRED DEPUTY COLLECTOR</t>
  </si>
  <si>
    <t>DEIVAYANAI</t>
  </si>
  <si>
    <t>SENIOR ELECTRICAL ENGINEER</t>
  </si>
  <si>
    <t>Plot No 30, 4th Street Indira Nagar , Medical College Road, Thanjavur</t>
  </si>
  <si>
    <t>Thanjavur</t>
  </si>
  <si>
    <t>BLOSSOM PUBLIC SCHOOL</t>
  </si>
  <si>
    <t>CENTRAL BOARD OF SECONDARY EDUCATION...THANJAVUR/TAMIL NADU</t>
  </si>
  <si>
    <t>THE VELAMMAL INTERNATIONAL SCHOOL</t>
  </si>
  <si>
    <t>CENTRAL BOARD OF SECONDARY EDUCATION, THIRUVALLUR/TAMIL NADU</t>
  </si>
  <si>
    <t>SRM UNIVERSITY</t>
  </si>
  <si>
    <t>SRM INSTITUTE OF SCIENCE AND TECHNOLOGY, KATTANKULATHUR, CHENNAI</t>
  </si>
  <si>
    <t>AutoCAD,MS Project,MS Excel,MS Powerpoint,Revit,Rhino &amp; Grasshopper,Adobe Creative Suite,Lumion,ArcGIS</t>
  </si>
  <si>
    <t>GOA STATE INFRASTRUCTURE DEVELOPMENT CORPORATION LIMITED (GSIDC) | Site Execution Engineer | Goa | May 2026 | Jul 2026 | 8 Weeks | Campus Internship
BIOME ENVIRONMENTAL SOLUTIONS | FULL-TIME ARCHITECTURAL INTERN | BANGALORE | Jun 2024 | Dec 2024 | 26 Weeks</t>
  </si>
  <si>
    <t>P25700466</t>
  </si>
  <si>
    <t>VIRAJ</t>
  </si>
  <si>
    <t>Sakshi Viraj Patil</t>
  </si>
  <si>
    <t>patilsakshi200230@gmail.com</t>
  </si>
  <si>
    <t>p25700466@student.nicmar.ac.in</t>
  </si>
  <si>
    <t>3644 6311 4962</t>
  </si>
  <si>
    <t>PRIMARY TEACHER</t>
  </si>
  <si>
    <t>GIRIRAJ DREAMS, BHASKAR COLONY, NAUPADA</t>
  </si>
  <si>
    <t>Sahjeevan Bungalow, Gandhare, Wada</t>
  </si>
  <si>
    <t>VIVEKANANDA PUBLIC SCHOOL, KHARIVALI</t>
  </si>
  <si>
    <t>VIVEKANANDA JR COLLEGE OF ARTS AND SCIENCE, KHARIVALI</t>
  </si>
  <si>
    <t>ANJUMAN-I-ISLAMS M.H SABOO SIDDIK COLLEGE OF ENGINEERING, BYCULLA</t>
  </si>
  <si>
    <t>MS Office, MS Project, AutoCAD(Basic), CostX, Revit (BIM Basic),Primavera</t>
  </si>
  <si>
    <t>Sneh Vastu Sampada | Trainee | Wada,Maharashtra | May 2026 | Jul 2026 | 8 Weeks | Campus Internship</t>
  </si>
  <si>
    <t>P25700467</t>
  </si>
  <si>
    <t>SURYANSH</t>
  </si>
  <si>
    <t>SONI</t>
  </si>
  <si>
    <t>Suryansh Soni</t>
  </si>
  <si>
    <t>suryanshsoni242003@gmail.com</t>
  </si>
  <si>
    <t>p25700467@student.nicmar.ac.in</t>
  </si>
  <si>
    <t>04-Feb-2004</t>
  </si>
  <si>
    <t>Reading,Motorcycling,Fitness</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</si>
  <si>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</si>
  <si>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</si>
  <si>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</si>
  <si>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</si>
  <si>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</si>
  <si>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</si>
  <si>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</si>
  <si>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</si>
  <si>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</si>
  <si>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 Weeks | Campus Internship
Public Works Department (Building) Division Dhar Madhya Pradesh | Site engineer Intern | Dhar, Madhya Pradesh | Aug 2023 | Sep 2023 | 4 Weeks</t>
  </si>
  <si>
    <t>P25700468</t>
  </si>
  <si>
    <t>DEVARAJ</t>
  </si>
  <si>
    <t>MALI PATIL</t>
  </si>
  <si>
    <t>Devaraj B Mali Patil</t>
  </si>
  <si>
    <t>devarajmp327@gmail.com</t>
  </si>
  <si>
    <t>p25700468@student.nicmar.ac.in</t>
  </si>
  <si>
    <t>04-Apr-2000</t>
  </si>
  <si>
    <t>English,Kannada,Telugu,Hindi</t>
  </si>
  <si>
    <t>6305 5380 9851</t>
  </si>
  <si>
    <t>BSAVARAJ S MALI PATIL</t>
  </si>
  <si>
    <t>MAHADEVI</t>
  </si>
  <si>
    <t>AMARAPUR, SINDHANUR TALUK, RAICHUR DISTRICT.</t>
  </si>
  <si>
    <t>Raichur</t>
  </si>
  <si>
    <t>DAFFODILS CONCEPT SCHOOL</t>
  </si>
  <si>
    <t>COUNCIL FOR THE INDIAN SCHOOL CERTIFICATE EXAMINATION,  SINDHANUR, KARNATAKA</t>
  </si>
  <si>
    <t>SIR MV PU COLLEGE</t>
  </si>
  <si>
    <t>MS Office,MS Project,Primavera P6</t>
  </si>
  <si>
    <t>Bangalore Metro Rail Corporation Ltd. | Summer Intern | BENGALURU | May 2026 | Jul 2026 | 8 Weeks | Campus Internship
SWATHI CIVIL CONSULTANCY | INTERN | BENGALURU,YELAHANKA | Mar 2022 | Apr 2022 | 5 Weeks</t>
  </si>
  <si>
    <t>MS Project for civil engineering
Primavera P6</t>
  </si>
  <si>
    <t>P25700470</t>
  </si>
  <si>
    <t>KULKARNI</t>
  </si>
  <si>
    <t>Amrut Prakash Kulkarni</t>
  </si>
  <si>
    <t>kulkarniamrut098@gmail.com</t>
  </si>
  <si>
    <t>p25700470@student.nicmar.ac.in</t>
  </si>
  <si>
    <t>19-May-2003</t>
  </si>
  <si>
    <t>Kannada, Marathi, Hindi, English, German</t>
  </si>
  <si>
    <t>3211 6456 7597</t>
  </si>
  <si>
    <t>C-1001, SRK K52, Near Potnis Parisar, Karvenagar, Pune 411052</t>
  </si>
  <si>
    <t>DR. KALMADI SHAMARAO HIGH SCHOOL AND JR. COLLEGE</t>
  </si>
  <si>
    <t>AutoCAD, Revit, MS Office, MS Project, Primavera, CostX</t>
  </si>
  <si>
    <t>Cushman and Wakefield India Pvt. Ltd. | Project Management Intern | Shivajinagar, Pune 411016 | May 2026 | Jul 2026 | 8 Weeks | Campus Internship
ROHAN BUILDERS (INDIA) PVT. LTD. | INTERN | KHARADI, PUNE 411014 | Sep 2023 | Nov 2023 | 12 Weeks</t>
  </si>
  <si>
    <t>Certificate in Concreting Techniques and Practices
Certificate in Mechanised Construction Techniques</t>
  </si>
  <si>
    <t>P25700471</t>
  </si>
  <si>
    <t>Aditya Gautam</t>
  </si>
  <si>
    <t>aadigautam25@gmail.com</t>
  </si>
  <si>
    <t>p25700471@student.nicmar.ac.in</t>
  </si>
  <si>
    <t>25-Aug-2000</t>
  </si>
  <si>
    <t>3542 4494 2704</t>
  </si>
  <si>
    <t>MR. SHIV GOVIND GAUTAM</t>
  </si>
  <si>
    <t>MRS. PUSHPLATA GAUTAM</t>
  </si>
  <si>
    <t>111, Pandey Gali , Gandhi Ganj, Mahatma Gandhi Ward Murwara Katni MP</t>
  </si>
  <si>
    <t>Katni</t>
  </si>
  <si>
    <t>SAINT PAUL HIGHER SEC SCHOOL, KATNI.</t>
  </si>
  <si>
    <t>CENTRAL BOARD OF SECONDARY EDUCATION, KATNI,MADHYA PRADESH.</t>
  </si>
  <si>
    <t>NOBLE HEART PUBLIC H. S. SCHOOL, KATNI.</t>
  </si>
  <si>
    <t>BOARD OF SECONDARY EDUCATION, MADHYA PRADESH.</t>
  </si>
  <si>
    <t>RAJIV GANDHI PROUDYOGIKI VISHWAVIDYALAYA, BHOPAL, MP</t>
  </si>
  <si>
    <t>ENGINEERING COLLEGE NOWGONG, CHHATARPUR</t>
  </si>
  <si>
    <t>Megha Engineering and Infrastructure Limited (MEIL) | Engineer Cons. Cord. | Agra UP | Oct 2023 | Jun 2025 | 1 Years, 8 Months, 25 Days | 3.48
CIVIL GURUJI PVT. LTD. | CORPORATE TRAINER | BHOPAL MP | Jan 2023 | Sep 2023 | 0 Years, 8 Months, 29 Days | 2.4
Sri SP ENGINEERING | Civil Site Engineer | BHOPAL MP | Jun 2022 | Oct 2022 | 0 Years, 4 Months, 30 Days | 1.44</t>
  </si>
  <si>
    <t>34 month(s)</t>
  </si>
  <si>
    <t>Sobha Limited  | Project management intern  | Bengaluru  | May 2026 | Jul 2026 | 9 Weeks | Campus Internship</t>
  </si>
  <si>
    <t>BBS CALCULATION, BBS ADVANCE, DAILY PROGRESS REPORT, SALB RATE BILL, RECONCILIATION, PRICE ESCALATION</t>
  </si>
  <si>
    <t>P25700472</t>
  </si>
  <si>
    <t>Ganesh Ashok Shinde</t>
  </si>
  <si>
    <t>ganeshshinde7200@gmail.com</t>
  </si>
  <si>
    <t>p25700472@student.nicmar.ac.in</t>
  </si>
  <si>
    <t>09-Jun-2001</t>
  </si>
  <si>
    <t>3497 7815 4308</t>
  </si>
  <si>
    <t>ASHOK POPATRAO SHINDE</t>
  </si>
  <si>
    <t>SWATI ASHOK SHINDE</t>
  </si>
  <si>
    <t>BANKER</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</si>
  <si>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</si>
  <si>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</si>
  <si>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</si>
  <si>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</si>
  <si>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</si>
  <si>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Architecture,Sketchup,Revit,Autodesk Civil 3D</t>
  </si>
  <si>
    <t>Yashada Realty | Graduate Engineer Trainee | Ravet, Pimpri Chinchwad | Aug 2023 | Dec 2023 | 0 Years, 4 Months, 1 Days | 1.8
Precision Precast Solutions Pvt Ltd | Designer | Baif Campus, Warje | Jul 2024 | Jul 2025 | 0 Years, 11 Months, 22 Days | 3.61</t>
  </si>
  <si>
    <t>New Consolidated Construction Company Limited | Planning Intern | Runwall Timeless, Pratiksha Nagar Depot Rd, Mkada Chawl, Sion East, Sion, Mumbai | May 2026 | Jul 2026 | 8 Weeks | Campus Internship
Rathi Developers | Intern | Tathawade | Jan 2022 | Feb 2022 | 5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</si>
  <si>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</si>
  <si>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P25700473</t>
  </si>
  <si>
    <t>KHOSE</t>
  </si>
  <si>
    <t>PIYUSH</t>
  </si>
  <si>
    <t>DIGAMBAR</t>
  </si>
  <si>
    <t>Khose Piyush Digambar</t>
  </si>
  <si>
    <t>piyushkhose2k@gmail.com</t>
  </si>
  <si>
    <t>p25700473@student.nicmar.ac.in</t>
  </si>
  <si>
    <t>24-Oct-2000</t>
  </si>
  <si>
    <t>5669 7084 0976</t>
  </si>
  <si>
    <t>DIGAMBAR NAGURAO KHOSE</t>
  </si>
  <si>
    <t>RAMA DIGAMBAR KHOSE</t>
  </si>
  <si>
    <t>C1504, Ashar16, Wagle Estate, Nr. Brodma Company</t>
  </si>
  <si>
    <t>WEES ENGLISH HIGH SCHOOL</t>
  </si>
  <si>
    <t>AGNEL POLYTECHNIC, NAVI MUMBAI, MAHARASHTRA</t>
  </si>
  <si>
    <t>NEW HORIZON INSTITUTE OF TECHNOLOGY AND MANAGEMENT, THANE, MAHARASHTRA</t>
  </si>
  <si>
    <t>NB ASSOCIATES PVT.LTD. | Graduate Engineer Trainee | Bhiwandi (Lodha Upper Thane) | Jul 2022 | Nov 2022 | 0 Years, 4 Months, 9 Days | 1.44
STRANQUIL CONSTRUCTION PVT. LTD. | Site Engineer | Bhiwandi (Lodha Upper Thane) | Nov 2022 | May 2024 | 1 Years, 6 Months, 27 Days | 2.16
CAPACITE INFRAPROJECTS LIMITED | Planning Engineer | Bhandup | Dec 2024 | Jul 2025 | 0 Years, 6 Months, 18 Days | 3.24</t>
  </si>
  <si>
    <t>Prestige Estates Projects Ltd. | Site Execution Intern | Mulund (W), Mumbai | May 2026 | Jul 2026 | 8 Weeks | Campus Internship</t>
  </si>
  <si>
    <t>P25700474</t>
  </si>
  <si>
    <t>ANIRUDDHA</t>
  </si>
  <si>
    <t>DEVENDRA</t>
  </si>
  <si>
    <t>Kulkarni Aniruddha Devendra</t>
  </si>
  <si>
    <t>kulkarnianiruddhad@gmail.com</t>
  </si>
  <si>
    <t>p25700474@student.nicmar.ac.in</t>
  </si>
  <si>
    <t>11-Jun-2003</t>
  </si>
  <si>
    <t>7116 9188 8823</t>
  </si>
  <si>
    <t>GIRIJA</t>
  </si>
  <si>
    <t>EMPLOYED</t>
  </si>
  <si>
    <t>B/8, Bank Of India Colony, Aranyeshwar, Pune</t>
  </si>
  <si>
    <t>MUKTANGAN ENGLISH SCHOOL &amp; JR COLLEGE</t>
  </si>
  <si>
    <t>ALL INDIA SHRI SHIVAJI MEMORIAL SOCIETY'S COLLEGE OF ENGINEERING, PUNE</t>
  </si>
  <si>
    <t>AutoCAD,MS Project,Primavera,MS Excel</t>
  </si>
  <si>
    <t>Pyramid Lifestyle LTD | Intern - Civil Dept | Pune | May 2026 | Jul 2026 | 8 Weeks | Campus Internship
Haardhik Impulse Developers LLP | Trainee | Moshi, Pune - 412105 | Dec 2023 | Jan 2024 | 4 Weeks</t>
  </si>
  <si>
    <t>P25700475</t>
  </si>
  <si>
    <t>G</t>
  </si>
  <si>
    <t>Avinash G</t>
  </si>
  <si>
    <t>avinash13157@gmail.com</t>
  </si>
  <si>
    <t>p25700475@student.nicmar.ac.in</t>
  </si>
  <si>
    <t>13-Oct-2003</t>
  </si>
  <si>
    <t>6249 6613 8986</t>
  </si>
  <si>
    <t>GUNASHEKAREN S</t>
  </si>
  <si>
    <t>PUSHPA G</t>
  </si>
  <si>
    <t>6/802E, E.B.COLONY, PARAMATHI ROAD_x000D_
NAMAKKAL.</t>
  </si>
  <si>
    <t>Namakkal</t>
  </si>
  <si>
    <t>CENTRAL BOARD OF SECONDARY EDUCATION, TAMILNADU</t>
  </si>
  <si>
    <t>VELLORE INSTITUTE OF TECHNOLOGY, VELLORE, TAMILNADU</t>
  </si>
  <si>
    <t>NBCC (India) Limited | Intern - Projects | Greater Noida | May 2026 | Jul 2026 | 9 Weeks | Campus Internship
LARSEN &amp; TOUBRO CONSTRUCTION | INTERN | CHENNAI | Jan 2025 | May 2025 | 20 Weeks
DESIGN TREE SERVICE CONSULTANTS Pvt Ltd | INTERN | BANGALORE | Aug 2023 | Sep 2023 | 3 Weeks</t>
  </si>
  <si>
    <t>BIM Fundamentals for Engineers
Entrepreneurship (NPTEL)</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</si>
  <si>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</si>
  <si>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</si>
  <si>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</si>
  <si>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</si>
  <si>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</si>
  <si>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</si>
  <si>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</si>
  <si>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</si>
  <si>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</si>
  <si>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</si>
  <si>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</si>
  <si>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</si>
  <si>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</si>
  <si>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</si>
  <si>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</si>
  <si>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</si>
  <si>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</si>
  <si>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</si>
  <si>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</si>
  <si>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</si>
  <si>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 Years, 8 Months, 2 Days | 3.6</t>
  </si>
  <si>
    <t>Jyoti Structures Limited | Intern | Bhuj Gujarat | May 2026 | Jul 2026 | 8 Weeks | Campus Internship</t>
  </si>
  <si>
    <t>P25700477</t>
  </si>
  <si>
    <t>GUNJAL</t>
  </si>
  <si>
    <t>Yash Prashant Gunjal</t>
  </si>
  <si>
    <t>yashgunjal694@gmail.com</t>
  </si>
  <si>
    <t>p25700477@student.nicmar.ac.in</t>
  </si>
  <si>
    <t>10-May-2001</t>
  </si>
  <si>
    <t>2387 9106 4731</t>
  </si>
  <si>
    <t>GAYATRI</t>
  </si>
  <si>
    <t>Panhale Road, Nhanave, Tal.Chandwad,Dist.Nashik</t>
  </si>
  <si>
    <t>SHREE NEMINATH JAIN HIGH SCHOOL</t>
  </si>
  <si>
    <t>GOVERMENT POLYTECHNIC AWASARI(KH),MAHARASTRA</t>
  </si>
  <si>
    <t>GH RAISONI COLLEGE OF ENGINEERING AND MANAGEMENT,PUNE,MAHARASTRA</t>
  </si>
  <si>
    <t>AutoCAD,MS Office,MS Project,Primavera,Revit Archetecture,ERP(Highrise),CQRA Quality Analysis Software,CostX</t>
  </si>
  <si>
    <t>Aishwaryam Group | Site engineer | Pune | Dec 2024 | Jun 2025 | 0 Years, 6 Months, 14 Days | 4.16</t>
  </si>
  <si>
    <t>TruBoard Partners | Asset management Intern | Mumbai | May 2026 | Jun 2026 | 8 Weeks | Campus Internship
COGNIZANT TECHNOLOGY SOLUTIONS INDIA PRIVATE LIMITED. | PROGRAMMER ANALYST TRAINEE | PUNE | May 2023 | Aug 2023 | 16 Weeks</t>
  </si>
  <si>
    <t>Minor degree in Computer Engineering
National Cadet Corps (NCC)
Certificate Of Publication For Article
Revit Architecture</t>
  </si>
  <si>
    <t>P25700478</t>
  </si>
  <si>
    <t>SHRESHTH</t>
  </si>
  <si>
    <t>Shreshth Gupta</t>
  </si>
  <si>
    <t>shreshthgupta1608@gmail.com</t>
  </si>
  <si>
    <t>p25700478@student.nicmar.ac.in</t>
  </si>
  <si>
    <t>8939 2348 2045</t>
  </si>
  <si>
    <t>RITESH GUPTA</t>
  </si>
  <si>
    <t>PREETI GUPTA</t>
  </si>
  <si>
    <t>F-6c, Harinagar, Opp Desu Office,Mayapuri, New Delhi, 110064</t>
  </si>
  <si>
    <t>South West Delhi</t>
  </si>
  <si>
    <t>TAGORE SENIOR SECONDARY SCHOOL</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</si>
  <si>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</si>
  <si>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</si>
  <si>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 Weeks
GIRDHARI LAL CONSTRUCTIONS PRIV LIMITED | SUMMER INTERN | Delhi | Jun 2023 | Jul 2023 | 4 Weeks
KAMLADITYYA CONSTRUCTION PRIVATE LIMITED | Summer Intern | Delhi | Jul 2022 | Aug 2022 | 3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</si>
  <si>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</si>
  <si>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P25700479</t>
  </si>
  <si>
    <t>ALDAR</t>
  </si>
  <si>
    <t>SOHAN</t>
  </si>
  <si>
    <t>PANDHARINATH</t>
  </si>
  <si>
    <t>Aldar Sohan Pandharinath</t>
  </si>
  <si>
    <t>sohanaldar99@gmail.com</t>
  </si>
  <si>
    <t>p25700479@student.nicmar.ac.in</t>
  </si>
  <si>
    <t>22-May-2001</t>
  </si>
  <si>
    <t>9137 1254 4108</t>
  </si>
  <si>
    <t>Udanwadi</t>
  </si>
  <si>
    <t>SHREE BHAVANI VIDYALAYA ,ATAPADI</t>
  </si>
  <si>
    <t>MAHARASHTRA STATE BOARD OF SECONDARY EDUCATION ,PUNE[KOLHAPUR DIVISION]</t>
  </si>
  <si>
    <t>JSPN NARHE TECHNICAL CAMPUS,PUNE-411041</t>
  </si>
  <si>
    <t>AutoCAD,MS Project,Primavera,Cost X,Revit,Naviswork</t>
  </si>
  <si>
    <t>NIVARA ARCHITECTURE AND DEVELOPER | JUNIOR ENGINEER | solapur | Jun 2024 | Nov 2024 | 0 Years, 5 Months, 29 Days | 2.76
Sai Associates | Site Engineer | Pune | Aug 2020 | Aug 2021 | 0 Years, 11 Months, 8 Days | 1.2</t>
  </si>
  <si>
    <t>LYD Engineers | Contract Intern | Mumbai | May 2026 | Jul 2026 | 8 Weeks | Campus Internship
Rudra Supertech LLP | TRAINEE | NEW MUMBAI | Dec 2019 | Apr 2020 | 20 Weeks</t>
  </si>
  <si>
    <t>CERTIFICATE OF PRESENTATION</t>
  </si>
  <si>
    <t>P25700480</t>
  </si>
  <si>
    <t>KALLAPPA</t>
  </si>
  <si>
    <t>PUJARI</t>
  </si>
  <si>
    <t>Yash Kallappa Pujari</t>
  </si>
  <si>
    <t>yashupujari11@gmail.com</t>
  </si>
  <si>
    <t>p25700480@student.nicmar.ac.in</t>
  </si>
  <si>
    <t>19-Feb-2002</t>
  </si>
  <si>
    <t>6738 9615 8611</t>
  </si>
  <si>
    <t>RETIRED GOVERNMENT OFFICER</t>
  </si>
  <si>
    <t>Plot No.19 , "Pancharatna" Bunglow , Suryawanshi Colony, Daulatnagar ,Satara. Pincode- 415001</t>
  </si>
  <si>
    <t>NIRMALA CONVENT HIGHSCHOOL, SATARA</t>
  </si>
  <si>
    <t>CHHATRAPATI SHAHU ACADEMY &amp; SCIENCE JUNIOR COLLEGE, SATARA</t>
  </si>
  <si>
    <t>New Consolidated Construction Company limited (NCCCL) | Estimation and Costing Engineer | Navi Mumbai, Ghansoli | May 2026 | Jul 2026 | 8 Weeks | Campus Internship
SHREE DEVELOPERS | Site Execution | Satara | Jun 2024 | Jun 2024 | 3 Weeks
M/S SHREE KEDARBAJI CONSTRUCTION | Site Execution | Satara | Jun 2023 | Jul 2023 | 3 Weeks</t>
  </si>
  <si>
    <t>P25700481</t>
  </si>
  <si>
    <t>MATE</t>
  </si>
  <si>
    <t>Vivek Ulhas Mate</t>
  </si>
  <si>
    <t>vivekmate27@gmail.com</t>
  </si>
  <si>
    <t>p25700481@student.nicmar.ac.in</t>
  </si>
  <si>
    <t>17-Jan-2000</t>
  </si>
  <si>
    <t>English,hindi,marathi</t>
  </si>
  <si>
    <t>6321 3662 4892</t>
  </si>
  <si>
    <t>402,DATTA KRUPA NWAS APT.GOLEWADI BADLAPUR EAST.</t>
  </si>
  <si>
    <t>ADARSH VIDYA MANDIR</t>
  </si>
  <si>
    <t>R.K.TALREJA COLLEGE OF SCIENCE ,ARTS &amp; COMMERCE</t>
  </si>
  <si>
    <t>NAVSAHYADRI INSTITUTE OF TECHNOLOGY, PUNE</t>
  </si>
  <si>
    <t>PILLAI HOC COLLEGE OF ENGINEERING AND TECHNOLOGY, RASAYANI</t>
  </si>
  <si>
    <t>Bharat Petroleum Corporation Limited | Apprentice | MAHUL ,BPCL MUMBAI REFINERY | Nov 2023 | Nov 2024 | 0 Years, 11 Months, 30 Days | 2.16
CLR Facility Services Pvt. Ltd | supervisor | Mahul , BPCL Mumbai refinery | Feb 2025 | Apr 2025 | 0 Years, 2 Months, 29 Days | 3.2</t>
  </si>
  <si>
    <t>Embasssy Development Limited | Intern-Budgeting and Quantity surveying | Mumbai | May 2026 | Jul 2026 | 8 Weeks | Campus Internship
Mahindra Sustenâ€™s Centre of Excellence | Trainee | Karjat | Jun 2022 | Jul 2022 | 7 Weeks</t>
  </si>
  <si>
    <t>AUTO CAD CIVIL
Construction Equipment Maintenance &amp; Safety
Finance for Non-Financial Managers
Ethics in Engineering Practice
Foundations of Project Management
Project Valuation and the Capital Budgeting Process
Budgeting and Cost Control Techniques
Budgeting and Variance Analysis Techniques</t>
  </si>
  <si>
    <t>P25700482</t>
  </si>
  <si>
    <t>M P</t>
  </si>
  <si>
    <t>Arun M P</t>
  </si>
  <si>
    <t>arunmanivasakan@gmail.com</t>
  </si>
  <si>
    <t>p25700482@student.nicmar.ac.in</t>
  </si>
  <si>
    <t>10-Apr-2004</t>
  </si>
  <si>
    <t>4935 1488 7366</t>
  </si>
  <si>
    <t>MANIVASAKAN M</t>
  </si>
  <si>
    <t>PERIANAYAGHI M</t>
  </si>
  <si>
    <t>Plot No 80, Karups Nagar Extension, 3rd Street, New Bus Stand, Thanjavur. 613005</t>
  </si>
  <si>
    <t>CENTRAL BOARD OF SECONDARY EDUCATION, THANJAVUR</t>
  </si>
  <si>
    <t>DR. MAHALINGAM COLLEGE OF ENGINEERING AND TECHNOLOGY</t>
  </si>
  <si>
    <t>AutoCAD,MS Office,MS Project,Sketch UP,Staad Pro</t>
  </si>
  <si>
    <t>Sobha Limited | Site Execution | Bengaluru | May 2026 | Jul 2026 | 9 Weeks | Campus Internship
Cube Engineers | Technical Feild Engineer | Chennai | Dec 2024 | Mar 2025 | 14 Weeks
SURA Builders | Junior Engineer | Thanjavur  | Jun 2023 | Jul 2023 | 1 Weeks</t>
  </si>
  <si>
    <t>MS Project, Staad Pro and Technical skills</t>
  </si>
  <si>
    <t>P25700483</t>
  </si>
  <si>
    <t>SUDNESH</t>
  </si>
  <si>
    <t>PRAFULLA</t>
  </si>
  <si>
    <t>BORSE</t>
  </si>
  <si>
    <t>Sudnesh Prafulla Borse</t>
  </si>
  <si>
    <t>sudneshborse123@gmail.com</t>
  </si>
  <si>
    <t>p25700483@student.nicmar.ac.in</t>
  </si>
  <si>
    <t>03-Dec-2001</t>
  </si>
  <si>
    <t>7416 3942 9309</t>
  </si>
  <si>
    <t>PRAFULLA BHAGWAN BORSE</t>
  </si>
  <si>
    <t>DHANASHREE PRAFULLA BORSE</t>
  </si>
  <si>
    <t>Bunglow No. 232 Sarthak, Audumbar Nagar, Amrutdham, Panchavati</t>
  </si>
  <si>
    <t>ST FRANCIS HIGH SCHOOL</t>
  </si>
  <si>
    <t>BOYS TOWN JUNIOR COLLEGE</t>
  </si>
  <si>
    <t>K.K WAGH INSTITUTE OF ENGINEERING EDUCATION AND RESEARCH NASHIK MAHARASTRA</t>
  </si>
  <si>
    <t>AutoCAD,MS Office,MS Project,Primavera,REVIT,RIB costX,RSGIS</t>
  </si>
  <si>
    <t>JP Structural Engineers | Junior Structural Engineer | Nashik | Jun 2024 | Jun 2025 | 1 Years, 0 Months, 29 Days | 3.75</t>
  </si>
  <si>
    <t>Jyoti Structures Limited | Project Control | Pune | May 2026 | Jul 2026 | 8 Weeks | Campus Internship
Suvik Buildcon | SITE EXECUTION AND CONTROL | Nashik  | Jan 2023 | Feb 2023 | 4 Weeks</t>
  </si>
  <si>
    <t>Construction Equipment Maintenance &amp; Safety (L&amp;T)
Project Admin (Scholar)
Sustainable Structures Club
workshop on concrete mix design
Training Programme on Remote Sensing &amp; GIS</t>
  </si>
  <si>
    <t>P25700484</t>
  </si>
  <si>
    <t>PRITESH</t>
  </si>
  <si>
    <t>GHITRE</t>
  </si>
  <si>
    <t>Pritesh Prakash Ghitre</t>
  </si>
  <si>
    <t>priteshghitre07@gmail.com</t>
  </si>
  <si>
    <t>p25700484@student.nicmar.ac.in</t>
  </si>
  <si>
    <t>03-Aug-1999</t>
  </si>
  <si>
    <t>9102 4454 9577</t>
  </si>
  <si>
    <t>NEAR DONGAON ROAD, SHIKSHAK COLONY, LASUR STATION, CHH. SAMBHAJINAGAR</t>
  </si>
  <si>
    <t>At. Agathan, Post. Mehaboobkheda,Tq. Gangapur, Dist. Chh. Sambhajinagar</t>
  </si>
  <si>
    <t>MAHARASHTRA PUBLIC SCHOOL</t>
  </si>
  <si>
    <t>VIVEKANAND ARTS, SARDAR DALIPSINGH COMMERCE AND SCIENCE COLLEGE</t>
  </si>
  <si>
    <t>CSMSS COLLEGE OF POLYTECHNIC</t>
  </si>
  <si>
    <t>CSMSS, CHHATRAPATI SHAHU COLLEGE OF ENGINEERING, CHHATRAPATI SAMBHAJINAGAR</t>
  </si>
  <si>
    <t>GNY Group | Site Execution and Quantity Surveyor | Chhatrapati Sambhajinagar | May 2026 | Jul 2026 | 8 Weeks | Campus Internship
RAMA CONSTRUCTION | Planning and Site Co-ordination | AURANGABAD, | Feb 2023 | May 2023 | 13 Weeks
YASHRAJ INFRASTRUCTURE | Site Engineer | AURANGABAD | May 2019 | Jun 2019 | 6 Weeks</t>
  </si>
  <si>
    <t>Ethics in Engineering Practice,NPTEL
Finance for Non-Financial Managers,Coursera</t>
  </si>
  <si>
    <t>P25700485</t>
  </si>
  <si>
    <t>PRATHAM</t>
  </si>
  <si>
    <t>DHANAJKAR</t>
  </si>
  <si>
    <t>Pratham Sanjay Dhanajkar</t>
  </si>
  <si>
    <t>dhanajkarpratham@gmail.com</t>
  </si>
  <si>
    <t>p25700485@student.nicmar.ac.in</t>
  </si>
  <si>
    <t>29-Oct-2001</t>
  </si>
  <si>
    <t>7136 5876 7526</t>
  </si>
  <si>
    <t>NANDA</t>
  </si>
  <si>
    <t>At Dhanaj Post Chondi, TQ Mukhed, Dist Nanded</t>
  </si>
  <si>
    <t>SHAHIR ANNABHAU SATHE VIDYALAYA,MUKHED</t>
  </si>
  <si>
    <t>SSC/NANDED/MAHARASHTRA</t>
  </si>
  <si>
    <t>SAHIR ANNABHAU SATHE JUNIOR COLLEGE, MUKHED</t>
  </si>
  <si>
    <t>HSC/NANDED/MAHARASHTRA</t>
  </si>
  <si>
    <t>2019-june</t>
  </si>
  <si>
    <t>SINHGAD COLLEGE OF ENGINEERING VADGAO BK,PUNE MAHARASHTRA</t>
  </si>
  <si>
    <t>AutoCAD,MS Office,MS Project,Primavera,Cost X,Autodesk Revit</t>
  </si>
  <si>
    <t>Pundlik Builders And Developers | Project Engineer  | Nanded | Jun 2024 | Jun 2025 | 1 Years, 0 Months, 29 Days | 2.04</t>
  </si>
  <si>
    <t>T and T Infra Pvt Ltd. | Site Execution &amp; Coordination Intern | Pune | May 2026 | Jul 2026 | 9 Weeks | Campus Internship
Electrocivil Corporation | Intern  | Pune | Feb 2023 | Mar 2023 | 6 Weeks</t>
  </si>
  <si>
    <t>P25700486</t>
  </si>
  <si>
    <t>TAHIRHUSEN</t>
  </si>
  <si>
    <t>ZAKIRHUSEN</t>
  </si>
  <si>
    <t>BAGWAN</t>
  </si>
  <si>
    <t>Tahirhusen Zakirhusen Bagwan</t>
  </si>
  <si>
    <t>bagwantahirhusen@gmail.com</t>
  </si>
  <si>
    <t>p25700486@student.nicmar.ac.in</t>
  </si>
  <si>
    <t>04-Apr-2002</t>
  </si>
  <si>
    <t>9683 5930 1206</t>
  </si>
  <si>
    <t>VEGETABLE MERCHANT</t>
  </si>
  <si>
    <t>HAFIJA</t>
  </si>
  <si>
    <t>Near Malti Cloth Shop, Nandani Road, Shahunagar, Jaysingpur - 416101</t>
  </si>
  <si>
    <t>JAYPRABHA ENGLISH MEDIUM HIGHSCHOOL, JAYSINGPUR</t>
  </si>
  <si>
    <t>MAHARASHTRA STATE BOARD OF  SECONDARY AND HIGHER SECONDARY EDUCATION, PUNE</t>
  </si>
  <si>
    <t>VYANKATRAO HIGH SCHOOL AND JUNIOR COLLEGE, ICHALKARANJI</t>
  </si>
  <si>
    <t>SAVITRIBAI PHULE PUNE UNIVERSITY  PUNE.</t>
  </si>
  <si>
    <t>COEP TECHNOLOGICAL UNIVERSITY, PUNE</t>
  </si>
  <si>
    <t>AutoCAD,MS Office,MS Project,Primavera,Revit Architecture,Revit Structure,Revit MEP,Staad Pro</t>
  </si>
  <si>
    <t xml:space="preserve"> National Buildings Construction Corporation Limited (NBCC) | Project Management Intern | Greater Noida (NCR) | May 2026 | Jul 2026 | 9 Weeks | Campus Internship
PATEL BUILDERS AND DEVELOPERS | Intern | Jaysingpur, Kolhapur | Jan 2025 | Jun 2025 | 25 Weeks</t>
  </si>
  <si>
    <t>Project Planning and Execution Management
REVIT STRUCTURE Associated with Project Management Institution
STADD PRO Associated with Project Management Institution
REVIT MEP Associated with Project Management Institution
REVIT ARCHITECTURE Associated with Project Management Institution
AUTOCAD 2D AND 3D Associated with Project Management Institution</t>
  </si>
  <si>
    <t>P25700487</t>
  </si>
  <si>
    <t>SHIVKUMAR</t>
  </si>
  <si>
    <t>VITTHALRAO</t>
  </si>
  <si>
    <t>ARMAL</t>
  </si>
  <si>
    <t>Shivkumar Vitthalrao Armal</t>
  </si>
  <si>
    <t>shivkumararmal@gmail.com</t>
  </si>
  <si>
    <t>p25700487@student.nicmar.ac.in</t>
  </si>
  <si>
    <t>28-Dec-1999</t>
  </si>
  <si>
    <t>English,Marathi, Hindi</t>
  </si>
  <si>
    <t>6483 0436 9820</t>
  </si>
  <si>
    <t>SHILPA</t>
  </si>
  <si>
    <t>E-182/6 CSTPS COLONY, URJANAGAR</t>
  </si>
  <si>
    <t>VIDYA MANDIR HIGH SCHOOL, URJANAGAR</t>
  </si>
  <si>
    <t>MAHARASHTRA STATE BOARD OF SECONDARY AND HIGHER SECONDARY EDUCATION, PUNE,MAHARASHTRA</t>
  </si>
  <si>
    <t>VIDYA NIKETAN JUNIOR COLLEGE, URJANAGAR</t>
  </si>
  <si>
    <t>SIPNA COLLEGE ENGINEERING AND TECHNOLOGY, AMRAVATI</t>
  </si>
  <si>
    <t>AutoCAD,MS Office,MS Project,REVIT,NAVISWORK</t>
  </si>
  <si>
    <t>GREEN ECOMES SOLUTION PVT. LTD. | BIM MEP ENGINEER | PUNE | Mar 2024 | Oct 2024 | 0 Years, 7 Months, 23 Days | 2.82</t>
  </si>
  <si>
    <t>SOBHA LIMITED | Planning Intern-BIM | CPO-Bengaluru | May 2026 | Jul 2026 | 9 Weeks | Campus Internship
BLUEPRINTS DESIGN CONSULTING SERVICES PVT.LTD. | BIM INTERN | PUNE | Oct 2023 | Dec 2023 | 10 Weeks</t>
  </si>
  <si>
    <t xml:space="preserve">BIM PROFESSIONAL COURSE
AUTODESK CERTIFIED USER REVIT FOR ARCHITECTURE
BIM : Fundamentals and Applications In AECO Industry </t>
  </si>
  <si>
    <t>P25700488</t>
  </si>
  <si>
    <t>CHINMAY</t>
  </si>
  <si>
    <t>GADADINNI</t>
  </si>
  <si>
    <t>Chinmay S Gadadinni</t>
  </si>
  <si>
    <t>gadadinnichinmay36@gmail.com</t>
  </si>
  <si>
    <t>p25700488@student.nicmar.ac.in</t>
  </si>
  <si>
    <t>29-Oct-1999</t>
  </si>
  <si>
    <t>6129 2349 5121</t>
  </si>
  <si>
    <t>SHRISHAIL</t>
  </si>
  <si>
    <t>SUREKHA</t>
  </si>
  <si>
    <t>S/o Shrishail, #87, Mayuri Garden, Gokul Road, Behind New Bus Stand.</t>
  </si>
  <si>
    <t>CHETAN PUBLIC SCHOOL</t>
  </si>
  <si>
    <t>KARNATAKA SECONDARY EDUCATION EXAMINATION BOARD, HUBLI, KARNATAKA</t>
  </si>
  <si>
    <t>VIDYANIKETAN SC PU COLLEGE</t>
  </si>
  <si>
    <t>DEPARTMENT OF PRE-UNIVERSITY EDUCATION,HUBLI, KARNATAKA</t>
  </si>
  <si>
    <t>KARNATAKA LINGAYAT EDUCATION SOCIETY'S INSTITUTE OF TECHNOLOGY, HUBLI</t>
  </si>
  <si>
    <t>AutoCAD,MS Office,MS Project,AUTODESK Revit</t>
  </si>
  <si>
    <t>SAMVARDDH ASSOCIATES Pvt Ltd | Site Engineer | Bengaluru | Feb 2024 | May 2024 | 0 Years, 2 Months, 8 Days | 3
Hella Infra Market Pvt Ltd | Graduate Engineer | Bengaluru | Sep 2021 | Apr 2022 | 0 Years, 6 Months, 30 Days | 4</t>
  </si>
  <si>
    <t>9 month(s)</t>
  </si>
  <si>
    <t>Ahluwalia Contracts(India) Limited  | Planning Intern | Bangalore, Karnataka  | May 2026 | Jul 2026 | 8 Weeks | Campus Internship
SHEJAWADKAR CONSTRUCTION COMPANY PVT LTD | Intern | Hubli | Oct 2020 | Nov 2020 | 4 Weeks</t>
  </si>
  <si>
    <t>Diploma Course in Civil CAD</t>
  </si>
  <si>
    <t>P25700489</t>
  </si>
  <si>
    <t>GALANGE</t>
  </si>
  <si>
    <t>Siddharth Mohan Galange</t>
  </si>
  <si>
    <t>siddharthgalange.29@gmail.com</t>
  </si>
  <si>
    <t>p25700489@student.nicmar.ac.in</t>
  </si>
  <si>
    <t>29-Jul-2003</t>
  </si>
  <si>
    <t>3232 4389 1302</t>
  </si>
  <si>
    <t>GITANJALI</t>
  </si>
  <si>
    <t>Pratibimb, Plot No. 6354/28, Urmilanagar, Chougule Mala, Near Abhaynagar, Sangli</t>
  </si>
  <si>
    <t>NAV KRISHNA VALLEY JR. COLLEGE</t>
  </si>
  <si>
    <t>RAJARAMBAPU INSTITUTE OF TECHNOLOGY, RAJARAMNAGAR, WALWA, MAHARASHTRA</t>
  </si>
  <si>
    <t>AutoCAD,MS Office,MS Project,Primavera,BBS,CostX</t>
  </si>
  <si>
    <t>New Consolidated Construction Company Limited | Engineering Intern | Navi Mumbai | May 2026 | Jul 2026 | 8 Weeks | Campus Internship
Ascon Projects | Trainee Engineer | Sangli | Aug 2023 | Aug 2023 | 2 Weeks
Tejraj Group | Intern - Engineering | Baner, Pune | Jan 2025 | May 2025 | 20 Weeks</t>
  </si>
  <si>
    <t>Construction Equipment Maintenance and Safety
Finance for Non-Financial Managers
Ethics in Engineering Practice</t>
  </si>
  <si>
    <t>P25700490</t>
  </si>
  <si>
    <t>RISHI</t>
  </si>
  <si>
    <t>PRADEEP</t>
  </si>
  <si>
    <t>DHAKULKAR</t>
  </si>
  <si>
    <t>Rishi Pradeep Dhakulkar</t>
  </si>
  <si>
    <t>rishidhakulkar12@gmail.com</t>
  </si>
  <si>
    <t>p25700490@student.nicmar.ac.in</t>
  </si>
  <si>
    <t>12-Mar-2001</t>
  </si>
  <si>
    <t>8905 4020 4531</t>
  </si>
  <si>
    <t>PRADEEP DHAKULKAR</t>
  </si>
  <si>
    <t>MANDA</t>
  </si>
  <si>
    <t>Wadgaon Road, Vitthalwadi Wani</t>
  </si>
  <si>
    <t>MACAROON STUDENTS ACADEMY WANI</t>
  </si>
  <si>
    <t>CENTRAL BOARD OF SECONDARY EDUCATION EDUCATION, MAHARASHTRA</t>
  </si>
  <si>
    <t>HISLOP COLLEGE NAGPUR</t>
  </si>
  <si>
    <t>SHRI RAMDEOBABA COLLEGE OF ENGINEERING AND MANAGEMENT, NAGPUR</t>
  </si>
  <si>
    <t>AutoCAD,MS Office,MS Project,Primavera,CostX,Revit,SAP</t>
  </si>
  <si>
    <t>Adani Realty | Assistant Manager | Mumbai | Jul 2023 | Jul 2025 | 2 Years, 0 Months, 2 Days | 8.48</t>
  </si>
  <si>
    <t>Shapoorji Pallonji Real Estate | Intern - Development Management  | Mumbai | May 2026 | Jul 2026 | 8 Weeks | Campus Internship
Godbole Gates Pvt Ltd | Trainee | Nagpur | Feb 2023 | Jun 2023 | 19 Weeks
SMD Infrastructure | Intern | Wani | Jun 2021 | Aug 2021 | 11 Weeks</t>
  </si>
  <si>
    <t>Primavera P6
FIDIC</t>
  </si>
  <si>
    <t>P25700491</t>
  </si>
  <si>
    <t>DHANAJIRAO</t>
  </si>
  <si>
    <t>Ganesh Dhanajirao Desai</t>
  </si>
  <si>
    <t>desaiganesh817@gmail.com</t>
  </si>
  <si>
    <t>p25700491@student.nicmar.ac.in</t>
  </si>
  <si>
    <t>4165 1267 6613</t>
  </si>
  <si>
    <t>DHANAJIRAO BALWANTRAO DESAI</t>
  </si>
  <si>
    <t>RETD. PROFESSOR</t>
  </si>
  <si>
    <t>URMILA DHANAJIRAO DESAI</t>
  </si>
  <si>
    <t>SCHOOL TEACHER</t>
  </si>
  <si>
    <t>TEERTH AVILLA,A-803,NEAR SUS,VIDYA VALLEY SCHOOL ROAD,PUNE</t>
  </si>
  <si>
    <t>Bal Pilae Sadan,Shikshak Colony,Karve Naka,Shaniwar Peth,Karad</t>
  </si>
  <si>
    <t>SHIKSHAN MANDAL SANSTHA'S ENGLISH MEDIUM SCHOOL,KARAD</t>
  </si>
  <si>
    <t>GOVERNMENT POLYTECHNIC,KARAD</t>
  </si>
  <si>
    <t>MIT WORLD PEACE UNIVERSITY,PUNE</t>
  </si>
  <si>
    <t>DR. VISHWANATH KARAD MIT WORLD PEACE UNIVERSITY,PUNE</t>
  </si>
  <si>
    <t>AutoCAD,MS Office,MS Project,Primavera,ARC-GIS,Q-GIS,BIM,Revit,Navisworks</t>
  </si>
  <si>
    <t>Millennium Engineers &amp; Contractors Pvt. Ltd. | Project Management Intern | Pune | May 2026 | Jul 2026 | 8 Weeks | Campus Internship
L.K. CONSTRUCTION, KARAD | ONSITE CIVIL INTERN TRAINEE(BUILDING CONSTRUCTION) | KARAD | Nov 2022 | May 2023 | 30 Weeks</t>
  </si>
  <si>
    <t>Entrepreneurship -NPTEL Online Certification</t>
  </si>
  <si>
    <t>P25700492</t>
  </si>
  <si>
    <t>JATIN</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</si>
  <si>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</si>
  <si>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</si>
  <si>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</si>
  <si>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</si>
  <si>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</si>
  <si>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</si>
  <si>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</si>
  <si>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</si>
  <si>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</si>
  <si>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MULJIBHAI MEHTA INTERNATIONAL SCHOOL</t>
  </si>
  <si>
    <t>UTKARSHA JR COLLEGE</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</si>
  <si>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</si>
  <si>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</si>
  <si>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 Weeks</t>
  </si>
  <si>
    <t>Associate Bar Bender and Steel Fixer</t>
  </si>
  <si>
    <t>P25700493</t>
  </si>
  <si>
    <t>Pranav Pradeep</t>
  </si>
  <si>
    <t>pranavprvk@gmail.com</t>
  </si>
  <si>
    <t>p25700493@student.nicmar.ac.in</t>
  </si>
  <si>
    <t>13-Apr-2000</t>
  </si>
  <si>
    <t>English, Malayalam, Hindi, Tamil</t>
  </si>
  <si>
    <t>7018 7092 6795</t>
  </si>
  <si>
    <t>PRADEEP SEKHARAN</t>
  </si>
  <si>
    <t>ACCOUNTS MANAGER</t>
  </si>
  <si>
    <t>SREERENJINI PRADEEP</t>
  </si>
  <si>
    <t>Sreenikethan_x000D_
Kuravilangad PO</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</si>
  <si>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</si>
  <si>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</si>
  <si>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</si>
  <si>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</si>
  <si>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 Years, 10 Months, 26 Days | 7.2</t>
  </si>
  <si>
    <t>Goa State Infrastructure Development Corporation | Management Intern | Goa | May 2026 | Jul 2026 | 8 Weeks | Campus Internship
AL BASTI &amp; MUKTHA LLC | TRAINEE INTERN | DUBAI, UAE | Dec 2021 | Dec 2021 | 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</si>
  <si>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</si>
  <si>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P25700494</t>
  </si>
  <si>
    <t>P ADITHYA</t>
  </si>
  <si>
    <t>P Adithya Das</t>
  </si>
  <si>
    <t>padithyadas@gmail.com</t>
  </si>
  <si>
    <t>p25700494@student.nicmar.ac.in</t>
  </si>
  <si>
    <t>24-Jun-1998</t>
  </si>
  <si>
    <t>English Malayalam Hindi</t>
  </si>
  <si>
    <t>3574 4237 0116</t>
  </si>
  <si>
    <t>PC NARAYANA DAS</t>
  </si>
  <si>
    <t>SHYLAJA D</t>
  </si>
  <si>
    <t>Vaishnavam, House No 138, Street 12, Museum Cross Lane, Chembukkavu PO</t>
  </si>
  <si>
    <t>BHARATIYA VIDYA BHAVAN'S VIDYA MANDIR, POOCHATTY</t>
  </si>
  <si>
    <t>CENTRAL BOARD OF SECONDARY EDUCATION (CBSE)</t>
  </si>
  <si>
    <t>FEDERAL INSTITUTE OF SCIENCE AND TECHNOLOGY, ERNAKULAM, KERALA</t>
  </si>
  <si>
    <t>Primavera,Power BI,CAD,Costx,Autodesk Revit,Autodesk Navisworks,MS Office, Plannerly</t>
  </si>
  <si>
    <t>SOBHA LIMITED | Project Management Intern – Execution | Thrissur  | May 2026 | Jul 2026 | 9 Weeks | Campus Internship
FINCRUX TECHNOLOGIES LLP | MARKET RESEARCH ANALYST | MUMBAI | Jan 2026 | Apr 2026 | 9 Weeks</t>
  </si>
  <si>
    <t>Microsoft Data Visualization Fundamentals
Excel and Copilot Fundamentals -Microsoft
Finance for Non-Financial Managers - Emory University
Concreting Practices L&amp;T EduTech
Six Sigma Green Belt
Machinery for Concreting L&amp;T Edutech</t>
  </si>
  <si>
    <t>P25700495</t>
  </si>
  <si>
    <t>KOLHE</t>
  </si>
  <si>
    <t>Sahil Arun Kolhe</t>
  </si>
  <si>
    <t>sahilkolhe006@gmail.com</t>
  </si>
  <si>
    <t>p25700495@student.nicmar.ac.in</t>
  </si>
  <si>
    <t>11-Jul-2001</t>
  </si>
  <si>
    <t>7223 1566 1773</t>
  </si>
  <si>
    <t>ARUN KOLHE</t>
  </si>
  <si>
    <t>VARSHA KOLHE</t>
  </si>
  <si>
    <t>FLAT 14 WING 4 VISAVA HEIGHTS DP ROAD AUNDH, PUNE.</t>
  </si>
  <si>
    <t>DAV PUBLIC SCHOOL, PUNE.</t>
  </si>
  <si>
    <t>CENTRAL BOARD OF SECONDARY EDUCATION, CBSE, PUNE MAHARASHTRA</t>
  </si>
  <si>
    <t>ALL INDIA SHRI SHIVAJI MEMORIAL SOCIETY (AISSMS) POLYTECHNIC, PUNE.</t>
  </si>
  <si>
    <t>SAVITRIBAI PHULE PUNE UNIVERSITY, PUNE.</t>
  </si>
  <si>
    <t>DR. D.Y. PATIL INSTITUTE OF TECHNOLOGY, PIMPRI, PUNE.</t>
  </si>
  <si>
    <t>2023-Nov</t>
  </si>
  <si>
    <t>STATE STREET GLOBAL ADVISORS | Investment banking analyst | Bangalore, India | Feb 2024 | Aug 2024 | 0 Years, 6 Months, 11 Days | 3</t>
  </si>
  <si>
    <t>P25700496</t>
  </si>
  <si>
    <t>SAMYAK</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</si>
  <si>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</si>
  <si>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</si>
  <si>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</si>
  <si>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</si>
  <si>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</si>
  <si>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</si>
  <si>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</si>
  <si>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</si>
  <si>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</si>
  <si>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</si>
  <si>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</si>
  <si>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</si>
  <si>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</si>
  <si>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</si>
  <si>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</si>
  <si>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</si>
  <si>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 Years, 3 Months, 27 Days | 2.16
Runwal group | junior engineer | Dombivli Thane | Dec 2024 | Jun 2025 | 0 Years, 6 Months, 24 Days | 3.5</t>
  </si>
  <si>
    <t>Sribal construction company  | Intern | Bengaluru | May 2026 | Jul 2026 | 8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</si>
  <si>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</si>
  <si>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P25700497</t>
  </si>
  <si>
    <t>NANDANA</t>
  </si>
  <si>
    <t>Akshay Nandana</t>
  </si>
  <si>
    <t>akshaynandana4@gmail.com</t>
  </si>
  <si>
    <t>p25700497@student.nicmar.ac.in</t>
  </si>
  <si>
    <t>13-Aug-2003</t>
  </si>
  <si>
    <t>7603 3858 4616</t>
  </si>
  <si>
    <t>SUDHAKAR NANDANA</t>
  </si>
  <si>
    <t>SRIDEVI NANDANA</t>
  </si>
  <si>
    <t>7-365, Komati Peta, Palakonda</t>
  </si>
  <si>
    <t>SEETHA MAHALAKSHMI DAV PUB SCH</t>
  </si>
  <si>
    <t>CENTRAL BOARD OF SECONDARY EDUCATON , PALAKONDA</t>
  </si>
  <si>
    <t>TIRUMALA JUNIOR COLLEGE</t>
  </si>
  <si>
    <t>BOARD OF INTERMEDIATE EDUCATION ANDHRA PRADESH , RAJULATALLAVALASA</t>
  </si>
  <si>
    <t>J.N.T. UNIVERSITY KAKINADA</t>
  </si>
  <si>
    <t>GAYATRI VIDYA PARISHAD COLLEGE OF ENGINEERING , VISAKHAPATNAM</t>
  </si>
  <si>
    <t>AutoCAD,MS Office,MS Project,Primavera,BIM,RIB CostX</t>
  </si>
  <si>
    <t>VAISAKHI DEVELOPERS | Project Management Intern | Visakhapatnam | May 2026 | Jul 2026 | 9 Weeks | Campus Internship
SAI SRI CONSTRUCTIONS | Intern | VISAKHAPATNAM | Dec 2024 | Mar 2025 | 13 Weeks
The Sri Sai Kruoa Homes | Intern | SRIKAKULAM | May 2023 | Jun 2023 | 2 Weeks</t>
  </si>
  <si>
    <t>BIM using Revit Architecture
Design and Drafting using Autocad 2D &amp; 3D</t>
  </si>
  <si>
    <t>P25700498</t>
  </si>
  <si>
    <t>PANIGRAHI</t>
  </si>
  <si>
    <t>Vedant Panigrahi</t>
  </si>
  <si>
    <t>vpanigrahidec22@gmail.com</t>
  </si>
  <si>
    <t>p25700498@student.nicmar.ac.in</t>
  </si>
  <si>
    <t>22-Dec-2001</t>
  </si>
  <si>
    <t>8508 2355 5016</t>
  </si>
  <si>
    <t>BISWAJIT PANIGRAHI</t>
  </si>
  <si>
    <t>RETIRED STATE GOVT OF ODISHA ENGINEER IN IRRIGATION DEPARTMENT</t>
  </si>
  <si>
    <t>GITANJALI PANIGRAHI</t>
  </si>
  <si>
    <t>PANIGRAHI BHAWAN INFRONT OF SINDHI BHAWAN_x000D_
SHAKTINAGAR BARGARH</t>
  </si>
  <si>
    <t>Bargarh</t>
  </si>
  <si>
    <t>VIKASH RESIDENTIAL SCHOOL</t>
  </si>
  <si>
    <t>CENTRAL BOARD OF SECONDARY EDUCATION,ODISHA</t>
  </si>
  <si>
    <t>BIJU PATTNAIK UNIVERSITY OF TECHNOLOGY,ODISHA ROURKELA</t>
  </si>
  <si>
    <t>PARALA MAHARAJA ENGINEERING COLLEGE,BERHAMPUR</t>
  </si>
  <si>
    <t>AutoCAD,MS Office,MS Project,SAP S4 HANA</t>
  </si>
  <si>
    <t>BOXOFFICE SPACES | PROCUREMENT INTERN | PUNE | May 2026 | Jul 2026 | 8 Weeks | Campus Internship
SAAT PHERE INDIA | PROGRAMME MANAGER | BHILLAI | Oct 2022 | Oct 2022 | 4 Weeks
ROURKELA STEEL PLANT | TOWN PLANING DEPARTMENT | ROURKELA | May 2024 | Jun 2024 | 4 Weeks</t>
  </si>
  <si>
    <t>SAP Certified Associate - SAP S/4HANA Cloud Private Edition, SourcingÂ andÂ Procurement</t>
  </si>
  <si>
    <t>P25700499</t>
  </si>
  <si>
    <t>SINGH SHUBHAM</t>
  </si>
  <si>
    <t>ASHWANI KUMAR</t>
  </si>
  <si>
    <t>Singh Shubham Kumar Ashwani Kumar</t>
  </si>
  <si>
    <t>ss1881720@gmail.com</t>
  </si>
  <si>
    <t>p25700499@student.nicmar.ac.in</t>
  </si>
  <si>
    <t>13-Oct-1998</t>
  </si>
  <si>
    <t>3241 6462 9550</t>
  </si>
  <si>
    <t>ASHWANI SHIVMURTI SINGH</t>
  </si>
  <si>
    <t>RIKSHA DRIVER</t>
  </si>
  <si>
    <t>SHEELA SINGH</t>
  </si>
  <si>
    <t>D/wing 304, Om Sai Shraddha Apt Ostwal Nagari Nalasopara East</t>
  </si>
  <si>
    <t>B L RUIA HIGH SCHOOL</t>
  </si>
  <si>
    <t>MAHARASHTRA STATE BOARD OF SECONDARY AND HIGHER SECONDARY EDUCATION- MUMBAI- MAHARASHTRA</t>
  </si>
  <si>
    <t>BHAVANS COLLEGE</t>
  </si>
  <si>
    <t>AutoCAD, MS Office, MS Project, MS excel, Primavera, Revit, Navisworks</t>
  </si>
  <si>
    <t>STALLION CONSTRUCTIONS | SITE ENGINNER | KANDIVALI- MUMBAI | May 2021 | Nov 2022 | 1 Years, 6 Months, 14 Days | 1.92
BKS ASSOCIATE | JUNIOR ENGINNER | THANE- MUMBAI | Nov 2022 | Oct 2023 | 0 Years, 11 Months, 15 Days | 2.68
Talib and shamsi construction pvt ltd | JUNIOR ENGINNER | THANE-BORIVALI-MUMBAI | Nov 2023 | Jun 2025 | 1 Years, 7 Months, 24 Days | 3.32</t>
  </si>
  <si>
    <t>49 month(s)</t>
  </si>
  <si>
    <t>Sobha Limited India  | Costing Intern  | Bengaluru | May 2026 | Jul 2026 | 9 Weeks | Campus Internship</t>
  </si>
  <si>
    <t>APTECH COMPUTER EDUCATION</t>
  </si>
  <si>
    <t>P25700500</t>
  </si>
  <si>
    <t>ARURU</t>
  </si>
  <si>
    <t>CHARAN SAI</t>
  </si>
  <si>
    <t>Aruru Charan Sai</t>
  </si>
  <si>
    <t>aruru.charansai31@gmail.com</t>
  </si>
  <si>
    <t>p25700500@student.nicmar.ac.in</t>
  </si>
  <si>
    <t>31-Jul-2002</t>
  </si>
  <si>
    <t>8230 1506 6300</t>
  </si>
  <si>
    <t>ARURU ARAVIND KRISHNA</t>
  </si>
  <si>
    <t>ARURU MADHURI</t>
  </si>
  <si>
    <t>00,ARURU Village,Chitamuru Mandal,Tirupati Dist.</t>
  </si>
  <si>
    <t>RATNAM EM HIGH SCHOOL</t>
  </si>
  <si>
    <t>TIRUMALA JUNIOR KALASALA</t>
  </si>
  <si>
    <t>SRI VENKATESWARA UNIVERSITY</t>
  </si>
  <si>
    <t>SRI VENKATESWARA UNIVERSITY COLLEGE OF ENGINEERING-TIRUPATI/ANDHRA PRADESH</t>
  </si>
  <si>
    <t>AutoCAD,MS Office,MS Project,Primavera,RIB CostX,Infor</t>
  </si>
  <si>
    <t>NAGARJUNA CONSTRUCTION COMPANY (NCC) Ltd. | Quantity Surveyor-GET | Navi Mumbai | May 2024 | May 2025 | 1 Years, 0 Months, 4 Days | 3.2</t>
  </si>
  <si>
    <t>Deloitte Touche Tohmatsu India LLP | Intern-Audit and Assurance | Bengaluru | May 2026 | Jul 2026 | 8 Weeks | Campus Internship
GOVERNAMENT OF ANDHRA PRADESH | STUDENT | RAYADURG | May 2023 | May 2023 | 4 Weeks</t>
  </si>
  <si>
    <t>NPTEL-Air Pollution and Control
NPTEL-Ethics in Engineering
NPTEL-Leadership and Team Effectiveness
NPTEL-Soft Skills</t>
  </si>
  <si>
    <t>P25700501</t>
  </si>
  <si>
    <t>RAMINENI</t>
  </si>
  <si>
    <t>SAI SHIFRANTH</t>
  </si>
  <si>
    <t>VARMA</t>
  </si>
  <si>
    <t>Ramineni Sai Shifranth Varma</t>
  </si>
  <si>
    <t>shifranth@gmail.com</t>
  </si>
  <si>
    <t>p25700501@student.nicmar.ac.in</t>
  </si>
  <si>
    <t>English Hindi Telugu</t>
  </si>
  <si>
    <t>5234 3964 6126</t>
  </si>
  <si>
    <t>RAMINENI VENKATESHWARLU</t>
  </si>
  <si>
    <t>GOVT TEACHER (SA MATHS)</t>
  </si>
  <si>
    <t>Y SNEHA</t>
  </si>
  <si>
    <t>GOVT TEACHER (SA BIOSCIENCE)</t>
  </si>
  <si>
    <t>Plot No 95 Road No 10/B Sree Venkateshwara Colony Kuntloor Hayathnagar Abdulapurmet Mandal Kv Ranga Reddy District Hyderabad Telangana</t>
  </si>
  <si>
    <t>NARAYANA HIGH SCHOOL</t>
  </si>
  <si>
    <t>OSMANIA UNIVERSITY HYDERABAD</t>
  </si>
  <si>
    <t>MVSR ENGINEERING COLLEGE, HYDERABAD</t>
  </si>
  <si>
    <t>AutoCAD,MS Office,MS Project,Primavera,MS Word,MS Excel,Sketchup,Enscape</t>
  </si>
  <si>
    <t>EZ REALTY | Management Consultant | Pune | May 2026 | Jul 2026 | 8 Weeks | Campus Internship
GREATER HYDERABAD MUNICIPAL CORPORATION, GOVERNMENT OF TELANGANA | SUMMER INTERNSHIP | HYDERABAD | May 2023 | Jun 2023 | 4 Weeks
National Academy Of Construction | Finishing School Programme | Hyderabad  | Dec 2024 | Mar 2025 | 13 Weeks</t>
  </si>
  <si>
    <t>4 DAYS HAND'S ON WORKSHOP AT LAURIE BAKER Centre for Habitat Studies, Trivandrum, Kerala
INFRASTRUCTURE ENTREPRENEURSHIP COURSE, CONTRACTOR DEVLOPMENT INISTITUTE HYDERABAD
3-MONTHS FINISHING SCHOOL PROGRAM, NATIONAL ACADEMY OF CONSTRUCTION, HYDERABAD
Project - Monitoring and Control
Lean Six Sigma - Green Belt
Resource and Waste Management in Buildings
Comforts In Building by L&amp;T Edu Tech
Finance for Non-Financial Managers</t>
  </si>
  <si>
    <t>P25700625</t>
  </si>
  <si>
    <t>Tanmay</t>
  </si>
  <si>
    <t>Roy</t>
  </si>
  <si>
    <t>Tanmay Roy</t>
  </si>
  <si>
    <t>p25700625@student.nicmar.ac.in</t>
  </si>
  <si>
    <t>No Uploaded</t>
  </si>
  <si>
    <t>P24700009</t>
  </si>
  <si>
    <t>Kiran</t>
  </si>
  <si>
    <t>Kiran P</t>
  </si>
  <si>
    <t>kiranreddy2002@gmail.com</t>
  </si>
  <si>
    <t>P24700009@nicmar.ac.in</t>
  </si>
  <si>
    <t>Hindi,english,kannada</t>
  </si>
  <si>
    <t>Rajendra</t>
  </si>
  <si>
    <t>Govt employee</t>
  </si>
  <si>
    <t>Vijaylaxmi</t>
  </si>
  <si>
    <t xml:space="preserve">Home maker </t>
  </si>
  <si>
    <t>chitta, Bidar Karnataka India, 585403</t>
  </si>
  <si>
    <t xml:space="preserve">Kendriya vidyalaya afs bidar </t>
  </si>
  <si>
    <t xml:space="preserve">Saheen ind college </t>
  </si>
  <si>
    <t>Sir M. Visvesvaraya Institute of Technology karnataka</t>
  </si>
  <si>
    <t>Ms projects ,primavera,autocad</t>
  </si>
  <si>
    <t>P24700293</t>
  </si>
  <si>
    <t>Ankit</t>
  </si>
  <si>
    <t>Yadav</t>
  </si>
  <si>
    <t>Ankit Yadav</t>
  </si>
  <si>
    <t>ankityadav.431721@gmail.com</t>
  </si>
  <si>
    <t>P24700293@student.nicmar.ac.in</t>
  </si>
  <si>
    <t>28-Feb-1998</t>
  </si>
  <si>
    <t>Suresh Yadav</t>
  </si>
  <si>
    <t>Retd. Resident Engineer</t>
  </si>
  <si>
    <t>Shanti Yadav</t>
  </si>
  <si>
    <t>Home Maker</t>
  </si>
  <si>
    <t>12/272/8 Indiranagar Lucknow</t>
  </si>
  <si>
    <t>Delhi Public School Dehradun</t>
  </si>
  <si>
    <t>Central Board of Secondary Education</t>
  </si>
  <si>
    <t>Doon International School Dehradun</t>
  </si>
  <si>
    <t>Symbiosis International University,  Pune</t>
  </si>
  <si>
    <t>Symbiosis Institute of Technology,  Pune</t>
  </si>
  <si>
    <t>NICMAR University, Pune</t>
  </si>
  <si>
    <t>School Of Construction NICMAR University Pune</t>
  </si>
  <si>
    <t>2026-May</t>
  </si>
  <si>
    <t>MS Projects,Primavera P6,AutoCAD,MS Excel</t>
  </si>
  <si>
    <t>P25700085</t>
  </si>
  <si>
    <t>ATHARVA</t>
  </si>
  <si>
    <t>MAHANTESH</t>
  </si>
  <si>
    <t>KOKALKI</t>
  </si>
  <si>
    <t>Atharva Mahantesh Kokalki</t>
  </si>
  <si>
    <t>kokalkiatharva@gmail.com</t>
  </si>
  <si>
    <t>p25700085@student.nicmar.ac.in</t>
  </si>
  <si>
    <t>03-Apr-2000</t>
  </si>
  <si>
    <t>8903 2822 7635</t>
  </si>
  <si>
    <t>MAHANTESH RAJSHEKHAR KOKALKI</t>
  </si>
  <si>
    <t>ARCHITECT</t>
  </si>
  <si>
    <t>ANURADHA MAHANTESH KOKALKI</t>
  </si>
  <si>
    <t>55 New Industrial Estate Near Night College, Ichalkaranji-416115</t>
  </si>
  <si>
    <t>LITERA VALLEY ZEE SCHOOL</t>
  </si>
  <si>
    <t>MANERE HIGH SCHOOL AND JUNIOR COLLEGE</t>
  </si>
  <si>
    <t>KLS GOGTE INSTITUE OF TECHNOLOGY</t>
  </si>
  <si>
    <t>AutoCAD,MS Office,BIM,StaddPro</t>
  </si>
  <si>
    <t>Prathamesh Construction | Junior Civil Engineer | Ichalkaranji | Jul 2023 | Sep 2024 | 1 Years, 2 Months, 0 Days | 1.8</t>
  </si>
  <si>
    <t>Synergy School of Business Skills | BIM | Belagavi | Sep 2021 | Oct 2021 | 8 Weeks</t>
  </si>
  <si>
    <t>Cambridge Assessment English
Course on ETBAS Essential
Synergy School of Business Skills
Wipo Academy</t>
  </si>
  <si>
    <t>P25700096</t>
  </si>
  <si>
    <t>Pranay Bhanudas Sutar</t>
  </si>
  <si>
    <t>pranaybsutar@gmail.com</t>
  </si>
  <si>
    <t>p25700096@student.nicmar.ac.in</t>
  </si>
  <si>
    <t>14-Feb-1998</t>
  </si>
  <si>
    <t>2098 7983 9337</t>
  </si>
  <si>
    <t>BHANUDAS SUTAR</t>
  </si>
  <si>
    <t>SUREKHA SUTAR</t>
  </si>
  <si>
    <t>403 Varadvinayak Apt. House No.408/475 Shiravane Sector 1 Nerul Navi Mumbai 400706</t>
  </si>
  <si>
    <t>2002-Jun</t>
  </si>
  <si>
    <t>AGNEL POLYTECHNIC VASHI MAHARASHTRA</t>
  </si>
  <si>
    <t>PILLAI HOC COLLEGE OF ENGINEERING AND TECHNOLOGY</t>
  </si>
  <si>
    <t>Indrayani Developers | Site Engineer | Mumbai Goa hwy, near karnala bird sanctuary Panvel | May 2021 | Apr 2023 | 1 Years, 11 Months, 29 Days | 2.2</t>
  </si>
  <si>
    <t>Shrikrupa Enterprises | Project intern | Nerul,NaviMumbai | Jul 2023 | Dec 2023 | 26 Weeks
City and Industrial Development Corporation  (CIDCO) | Trainee | Navi Mumbai metro Rail 1 | Jun 2019 | Jul 2019 | 2 Weeks
Ajwani Infrastructure private Ltd. | Trainee engineer | NaviMumbai | May 2016 | Jun 2016 | 4 Weeks</t>
  </si>
  <si>
    <t>NON destructive test on Concrete: An innovative Approach
ISRO's Remote sensing and Digital Image analysis
MACQUARIE University's EXCEl skills for Business : Essentials.
GOOGLE's Foundation of Project Management
Business Foundation &amp; Integration with SAP ERP 6.07
Planning &amp; Control with  Oracle Primavera PPM  Professional
Primavera P6 - Project Setup and Basic Management
Construction Cost Estimation and cost Control (Columbia University)
Data Driven Decisions With Power BI
Google's Agile Project Management Certificate
Google's Project Management Professional Certificate (PMP)</t>
  </si>
  <si>
    <t>P25700115</t>
  </si>
  <si>
    <t>Yash Santosh Kadam</t>
  </si>
  <si>
    <t>yk.yashkadam@gmail.com</t>
  </si>
  <si>
    <t>p25700115@student.nicmar.ac.in</t>
  </si>
  <si>
    <t>11-Feb-2003</t>
  </si>
  <si>
    <t>3916 9932 3288</t>
  </si>
  <si>
    <t>SANTOSH KADAM</t>
  </si>
  <si>
    <t>DIKSHA KADAM</t>
  </si>
  <si>
    <t>Dharma Apartments, Near Baal Gopal School, Pimpri Pune 411017.</t>
  </si>
  <si>
    <t>JAI HIND HIGH SCHOOL</t>
  </si>
  <si>
    <t>PIMPRI CHINCHWAD POLYTECHNIC, PUNE, MAHARASHTRA</t>
  </si>
  <si>
    <t>SYMBIOSIS SKILLS &amp; OPEN UNIVERSITY</t>
  </si>
  <si>
    <t>SYMBIOSIS SKILLS &amp; PROFESSIONAL UNIVERSITY, PUNE, MAHARASHTRA.</t>
  </si>
  <si>
    <t>P25700502</t>
  </si>
  <si>
    <t>SHAIKH</t>
  </si>
  <si>
    <t>UMAR</t>
  </si>
  <si>
    <t>FAROOQ</t>
  </si>
  <si>
    <t>Shaikh Umar Farooq</t>
  </si>
  <si>
    <t>shaikharumar018@gmail.com</t>
  </si>
  <si>
    <t>p25700502@student.nicmar.ac.in</t>
  </si>
  <si>
    <t>17-Nov-2001</t>
  </si>
  <si>
    <t>9753 9170 4273</t>
  </si>
  <si>
    <t>SHAIKH ISMAIL</t>
  </si>
  <si>
    <t>MOHAMMEDI</t>
  </si>
  <si>
    <t>5-993/78/B_x000D_
RING ROAD MAHBOOB NAGAR_x000D_
NEAR MADEENA MASJID GULBARGA</t>
  </si>
  <si>
    <t>FARAAN ENGLISH MEDIUM HIGH SCHOOL</t>
  </si>
  <si>
    <t>KALABURAGI/KARNATAKA</t>
  </si>
  <si>
    <t>AL SHARAY PU COLLEGE OF SCIENCE</t>
  </si>
  <si>
    <t>SHARNBASAVA UNIVERSITY</t>
  </si>
  <si>
    <t>SHARNBASAVA UNIVERSITY KALABURAGI/KARNATAKA</t>
  </si>
  <si>
    <t>AutoCAD,Sketchup,lumion,Revit,Navisworks,Bluebeam,COSTx,MS Office,MS Project,Primavera</t>
  </si>
  <si>
    <t>THE BIG STOREY | Junior Architect | kalaburagi | Jul 2024 | Jun 2025 | 0 Years, 11 Months, 29 Days | 1.44</t>
  </si>
  <si>
    <t>vConstruct Private Limited  | Project Intern – VB  | Pune, Maharashtra  | May 2026 | Jul 2026 | 9 Weeks | Campus Internship
THE BIG STOREY | Intern  | KALABURAGI | Feb 2024 | May 2024 | 17 Weeks
NA ARCHITECTS | Intern  | Hyderabad | Sep 2023 | Jan 2024 | 15 Weeks</t>
  </si>
  <si>
    <t>P25700503</t>
  </si>
  <si>
    <t>JEVANAND</t>
  </si>
  <si>
    <t>Jevanand B</t>
  </si>
  <si>
    <t>jevabalakavi@gmail.com</t>
  </si>
  <si>
    <t>p25700503@student.nicmar.ac.in</t>
  </si>
  <si>
    <t>03-May-2002</t>
  </si>
  <si>
    <t>8683 1073 4212</t>
  </si>
  <si>
    <t>BALAMURUGAN M</t>
  </si>
  <si>
    <t>EMPLOYEE IN MNC</t>
  </si>
  <si>
    <t>KAVITHA B</t>
  </si>
  <si>
    <t>WORKING IN MEDICAL SHOP</t>
  </si>
  <si>
    <t>MIG-2, Plot.No-4, Phase - 15 TNHB, Mullainagar, Hosur</t>
  </si>
  <si>
    <t>Krishnagiri</t>
  </si>
  <si>
    <t>ST. JOSEPH'S MATRIC HIGH SCHOOL SIPCOT HOUSING COLONY, DHARGA</t>
  </si>
  <si>
    <t>SRI VIJAY VIDYALAYA MATRIC HR SEC SCHOOL HOSUR</t>
  </si>
  <si>
    <t>SCHOOL OF ARCHITECTURE AND PLANNING, CHENNAI</t>
  </si>
  <si>
    <t>AutoCAD,MS Office,MS Project,Primavera,Revit,CostX,Bexel Manager,Sketchup,Illustrator,Photoshop,Indesign</t>
  </si>
  <si>
    <t>M. ARUNACHALAM PROJECTS AND INFRASTRUCTURE COMPANY PRIVATE LIMITED | CONSTRUCTION PROJECT MANAGEMENT INTERN | CHENNAI | May 2026 | Jul 2026 | 8 Weeks | Campus Internship
SPONGE COLLABORATIVE, SAMANEA CONSULTANCY PRIVATE LIMITED | INTERN ARCHITECT | CHENNAI | Jan 2024 | Jun 2024 | 19 Weeks</t>
  </si>
  <si>
    <t>Introduction To Cognitive Psychology - NPTEL
Registered Architect in COA (Council of Architecture)
Finance for Non-Financial Managers - Coursera
Gem Sports Prize for Best Sportsperson for the Year 2024 in School of Architecture and Planning, Anna University
Ethics in Engineering Practice - NPTEL</t>
  </si>
  <si>
    <t>P25700504</t>
  </si>
  <si>
    <t>PATHADE</t>
  </si>
  <si>
    <t>Ankit Ashok Pathade</t>
  </si>
  <si>
    <t>ankitpathade7@gmail.com</t>
  </si>
  <si>
    <t>p25700504@student.nicmar.ac.in</t>
  </si>
  <si>
    <t>28-Jan-2000</t>
  </si>
  <si>
    <t>9422 0100 6743</t>
  </si>
  <si>
    <t>ASHOK PATHADE</t>
  </si>
  <si>
    <t>SAVITA PATHADE</t>
  </si>
  <si>
    <t>FLAT NO -302, 3RD FLOOR, SHANTI RESIDENCY, SIDHATEK SOCIETY</t>
  </si>
  <si>
    <t>HOUSE NO.1475/3, GURUKRUPA NIWAS, AHILYADEVINAGAR, JAFRABAD, JALNA</t>
  </si>
  <si>
    <t>Jalna</t>
  </si>
  <si>
    <t>SWAMI VIVEKANAND ACADEMY</t>
  </si>
  <si>
    <t>STATE BOARD/CHHATRAPATI SAMBHAJINAGAR</t>
  </si>
  <si>
    <t>SIDDHARTH ARTS,SCIENCE AND COMMERCE COLLEGE</t>
  </si>
  <si>
    <t>STATE BOARD/ JAFRABAD,JALNA</t>
  </si>
  <si>
    <t>CTES COLLEGE OF ARCHITECTURE / MAHARASHTRA</t>
  </si>
  <si>
    <t>AutoCAD,MS Office,MS Project,sketch up,d-5 render,revit,Photoshop,Enscape, Primavera p6,Bexel,Cost x</t>
  </si>
  <si>
    <t>Design 11 | Junior Architect | Baner, pune | Jan 2024 | Jun 2025 | 1 Years, 5 Months, 19 Days | 2.52</t>
  </si>
  <si>
    <t>Savvy infrastructure  | Quantity surveying and billing  | Gift city, Gandhinagar,Gujrat | May 2026 | Jul 2026 | 8 Weeks | Campus Internship
PLANOSCAPES ARCHITECTS AND PLANNERS | INTERN | MUMBAI | Dec 2021 | Apr 2022 | 21 Weeks</t>
  </si>
  <si>
    <t>P25700505</t>
  </si>
  <si>
    <t>PRUTHVIRAJ</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</si>
  <si>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</si>
  <si>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</si>
  <si>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</si>
  <si>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</si>
  <si>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</si>
  <si>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</si>
  <si>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</si>
  <si>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</si>
  <si>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</si>
  <si>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</si>
  <si>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</si>
  <si>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</si>
  <si>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</si>
  <si>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</si>
  <si>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</si>
  <si>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</si>
  <si>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 xml:space="preserve">AutoCAD, MS Office, MS Project, Primavera P6 </t>
  </si>
  <si>
    <t>Pune Metro Rail Corporation Limited | Civil, constrtuction intern | Phugewadi metro office | May 2026 | Jul 2026 | 9 Weeks | Campus Internship
SIDDHIVINAYAK ENTERPRISES | INTERN | VISHRANTWADI-TINGRE NAGAR  | Sep 2024 | Mar 2025 | 25 Weeks
AMAR BUTTEPATIL GROUP | INTERN | SAHAKAR NAGAR | Jan 2023 | Feb 2023 | 4 Weeks</t>
  </si>
  <si>
    <t>P25700506</t>
  </si>
  <si>
    <t>ANIMESH</t>
  </si>
  <si>
    <t>Animesh Sinha</t>
  </si>
  <si>
    <t>animeshsinha001@gmail.com</t>
  </si>
  <si>
    <t>p25700506@student.nicmar.ac.in</t>
  </si>
  <si>
    <t>02-Jul-2000</t>
  </si>
  <si>
    <t xml:space="preserve">Travelling </t>
  </si>
  <si>
    <t>6028 9875 0134</t>
  </si>
  <si>
    <t>AWADHESH KUMAR SINHA</t>
  </si>
  <si>
    <t>ABHA SINHA</t>
  </si>
  <si>
    <t>303 B Block, Shiv Shankar Apartment Kitadih, Jamshedpur</t>
  </si>
  <si>
    <t>East Singhbhum</t>
  </si>
  <si>
    <t>ULTIMA HOSTEL, NICMAR UNIVERSITY, BANER, PUNE</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</si>
  <si>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</si>
  <si>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</si>
  <si>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</si>
  <si>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</si>
  <si>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</si>
  <si>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</si>
  <si>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 Years, 0 Months, 2 Days | 6.22</t>
  </si>
  <si>
    <t>Masin Projects Private Limited | DELAY/QUANTUM  INTERN | Gurgaon | May 2026 | Jul 2026 | 8 Weeks | Campus Internship
SNTI TATA STEEL | CONSTRUCTION PLANNING AND MANAGEMENT | JAMSHEDPUR | Jun 2022 | Jun 2022 | 4 Weeks</t>
  </si>
  <si>
    <t>P25700507</t>
  </si>
  <si>
    <t>RUPESH</t>
  </si>
  <si>
    <t>Rupesh Ramesh Kadam</t>
  </si>
  <si>
    <t>rupeshkadam463@gmail.com</t>
  </si>
  <si>
    <t>p25700507@student.nicmar.ac.in</t>
  </si>
  <si>
    <t>07-Nov-1999</t>
  </si>
  <si>
    <t>3617 8513 9886</t>
  </si>
  <si>
    <t>RAMESH KADAM</t>
  </si>
  <si>
    <t>RUPALI KADAM</t>
  </si>
  <si>
    <t>101, DAFFODILE B WING, KAILASH NAGAR, VADAVALI SECTION, MIDC ROAD, AMBERNATH EAST</t>
  </si>
  <si>
    <t>GURUKUL GRAND UNION HIGH SCHOOL</t>
  </si>
  <si>
    <t>B R HARNE COLLEGE OF ENGINEERING AND TECHNOLOGY</t>
  </si>
  <si>
    <t>SHIVAJIRAO S JONDHLE COLLEGE OF ENGINEERING AND TECHNOLOGY</t>
  </si>
  <si>
    <t>AutoCAD,MS Office,MS Project,Primavera,STAAD PRO,ETABS,REVIT</t>
  </si>
  <si>
    <t>J Kumar Infraprojects Ltd. | Intern – Project Execution | Thane, Maharashtra | May 2026 | Jul 2026 | 9 Weeks | Campus Internship</t>
  </si>
  <si>
    <t>AUTO CAD
STAAD PRO
ETABS
REVIT</t>
  </si>
  <si>
    <t>P25700508</t>
  </si>
  <si>
    <t>SAVALE</t>
  </si>
  <si>
    <t>UMESH</t>
  </si>
  <si>
    <t>Savale Atharva Umesh</t>
  </si>
  <si>
    <t>17.savale@gmail.com</t>
  </si>
  <si>
    <t>p25700508@student.nicmar.ac.in</t>
  </si>
  <si>
    <t>17-Sep-2000</t>
  </si>
  <si>
    <t>4794 9545 0814</t>
  </si>
  <si>
    <t>UMESH GOVIND SAVALE</t>
  </si>
  <si>
    <t>VIJAYA UMESH SAVALE</t>
  </si>
  <si>
    <t>Lane No- B-18, Flat No-12, Ujwal Kunj 2, Raikar Nagar, Dhayari, Pune</t>
  </si>
  <si>
    <t>DNYANGANGA ENGLISH MEDIUM SCHOOL, PUNE</t>
  </si>
  <si>
    <t>SOU VENUTAI CHAVAN POLYTECHNIC, PUNE</t>
  </si>
  <si>
    <t>RMD SINHGAD SCHOOL OF ENGINEERING, WARJE, PUNE</t>
  </si>
  <si>
    <t xml:space="preserve">MS Office, AutoCAD, Revit, MS Project, Primavera, Cost X </t>
  </si>
  <si>
    <t>Aditya Constructions | Site Engineer | Pune | Sep 2022 | Nov 2023 | 1 Years, 2 Months, 29 Days | 1.8
Calypso Reality | Junior Site Engineer | Pune | Dec 2023 | Sep 2024 | 0 Years, 9 Months, 0 Days | 2.28</t>
  </si>
  <si>
    <t>Goa State Infrastructure Development Corporation | Site Execution | Goa, India | May 2026 | Jul 2026 | 8 Weeks | Campus Internship</t>
  </si>
  <si>
    <t>P25700510</t>
  </si>
  <si>
    <t>NIMBARTE</t>
  </si>
  <si>
    <t>Prathamesh Arun Nimbarte</t>
  </si>
  <si>
    <t>prathameshnimbarte99@gmail.com</t>
  </si>
  <si>
    <t>p25700510@student.nicmar.ac.in</t>
  </si>
  <si>
    <t>03-Jun-1999</t>
  </si>
  <si>
    <t>9123 9996 9266</t>
  </si>
  <si>
    <t>NO</t>
  </si>
  <si>
    <t>NALINI</t>
  </si>
  <si>
    <t>SADHGURU RESIDENCY, BEHIND YASHORAHI HOSPITAL, SHIVANE, PUNE</t>
  </si>
  <si>
    <t>24, ANAND VIHAR COLONY, VIDYUT NAGAR, V.M.V ROAD, AMRAVATI</t>
  </si>
  <si>
    <t>PRATHAMESH ARUN NIMBARTE</t>
  </si>
  <si>
    <t>PRAVIN RAMCHANDRAJI PATIL INSTITUTE OF POLYTECHNIC AND TECHNOLOGY, AMRAVATI</t>
  </si>
  <si>
    <t>GYANCHAD HARIKISANDAS RAISONI COLLEGE OF ENGINEERING, AMRAVATI</t>
  </si>
  <si>
    <t>AutoCAD,MS Office,MS Project,Primavera,CostX Software,BIM REVIT</t>
  </si>
  <si>
    <t>PINNACLE CONSTRUCTIONS | JUNIOR / SITE ENGINEER | Pune | Aug 2024 | May 2025 | 0 Years, 8 Months, 28 Days | 2.4</t>
  </si>
  <si>
    <t>Sobha Limited | Project Management Intern  | Gurugram, Harayana | May 2026 | Jul 2026 | 9 Weeks | Campus Internship
F.CAD.CONSTRUCTION | AUTO-CAD Drafter | Amravati | May 2018 | Jul 2018 | 7 Weeks</t>
  </si>
  <si>
    <t>P25700511</t>
  </si>
  <si>
    <t>JAY</t>
  </si>
  <si>
    <t>Jay Kiran Jadhav</t>
  </si>
  <si>
    <t>jayjadhav811@gmail.com</t>
  </si>
  <si>
    <t>p25700511@student.nicmar.ac.in</t>
  </si>
  <si>
    <t>26-Dec-2002</t>
  </si>
  <si>
    <t>6906 8512 0121</t>
  </si>
  <si>
    <t>KIRAN JADHAV</t>
  </si>
  <si>
    <t>At Post Pande Taluka - Wai District - Satara</t>
  </si>
  <si>
    <t>SINHGAD SPRING DALE PUBLIC SCHOOL</t>
  </si>
  <si>
    <t>BHARTI VIDHYAPEETH'S JAWAHARLAL NEHRU INSTITUTE OF TECHNOLOGY PUNE MAHARASHTRA</t>
  </si>
  <si>
    <t>RMD SINHGAD SCHOOL OF ENGINEERING PUNE MAHARASHTRA</t>
  </si>
  <si>
    <t>AutoCAD,MS Project,Primavera,Revit,CostX</t>
  </si>
  <si>
    <t>Badiyani Constructions | Design Coordination + Execution  | Pune  | May 2026 | Jul 2026 | 9 Weeks | Campus Internship
Ravindra Construction | Promoters And Builders | Pune | Oct 2024 | Apr 2025 | 30 Weeks</t>
  </si>
  <si>
    <t>P25700512</t>
  </si>
  <si>
    <t>D H</t>
  </si>
  <si>
    <t>Akhil Gowda D H</t>
  </si>
  <si>
    <t>dhakhilgowda@gmail.com</t>
  </si>
  <si>
    <t>p25700512@student.nicmar.ac.in</t>
  </si>
  <si>
    <t>2117 1976 8262</t>
  </si>
  <si>
    <t>HEMANTH KUMAR</t>
  </si>
  <si>
    <t>AGRICULTURIST</t>
  </si>
  <si>
    <t>SUKANYA</t>
  </si>
  <si>
    <t>#143, Salagame Road, Dasarakoppalu Hassan</t>
  </si>
  <si>
    <t>Hassan</t>
  </si>
  <si>
    <t>HOLY CROSS SISTERS HIGH SCHOOL</t>
  </si>
  <si>
    <t>MASTERS PU COLLEGE</t>
  </si>
  <si>
    <t>Microsoft Excel, Microsoft PowerPoint, Microsoft Word, Microsoft Project, Primavera P6</t>
  </si>
  <si>
    <t>CBRE India | Valuation &amp; Advisory Intern | Bengaluru, Karnataka | May 2026 | Jul 2026 | 11 Weeks | Campus Internship
KHAM DESIGN | ARCHITECTURAL INTERN | BENGALURU | Jan 2025 | Apr 2025 | 15 Weeks</t>
  </si>
  <si>
    <t>Real Estate Development: Building Value in Your Community
Urban Land Economics and Real Estate Market Dynamics
Real Estate Financial Modeling
The Three Pillars of Effective Communications by PMI
Six Sigma: Green Belt by Project management Institute</t>
  </si>
  <si>
    <t>P25700513</t>
  </si>
  <si>
    <t>Rakesh V</t>
  </si>
  <si>
    <t>rakeshreddyraki1211@gmail.com</t>
  </si>
  <si>
    <t>p25700513@student.nicmar.ac.in</t>
  </si>
  <si>
    <t>06-Oct-2002</t>
  </si>
  <si>
    <t>ENGLISH, HINDI, KANNADA ,TELUGU</t>
  </si>
  <si>
    <t>2804 7148 2601</t>
  </si>
  <si>
    <t>VENKATA REDDY</t>
  </si>
  <si>
    <t>GEETHAMMA</t>
  </si>
  <si>
    <t>15, 1ST CROSS RD, MARUTHI LAYOUT, ROYAL SHELTERS STAGE 4,BOMMANAHALLI,BENGALURU,</t>
  </si>
  <si>
    <t>KADEHALLI VILLAGE, GUDIBANDE TALUK, CHIKKABALLAPUR DISTRICT</t>
  </si>
  <si>
    <t>Chikkaballapur</t>
  </si>
  <si>
    <t>NEW HORIZON ENGLISH SCHOOL</t>
  </si>
  <si>
    <t>VARADADRI PU COLLEGE</t>
  </si>
  <si>
    <t>NITTE MEENAKSHI INSTITUTE OF TECHNOLOGY,BANGALORE</t>
  </si>
  <si>
    <t>AutoCAD,MS Office,MS Project,Primavera,BIM,STAAD PRO,costx</t>
  </si>
  <si>
    <t>MANA PROJECTS PVT LTD | PROJECT INTERN | BENGALURU | May 2026 | Jul 2026 | 8 Weeks | Campus Internship
ANR CONSTRUCTIONS | INTERN | Bagepalli  | Jul 2023 | Nov 2023 | 17 Weeks</t>
  </si>
  <si>
    <t>PROJECT PLANING AND MANAGEMENT
AROGYA BHARATHI TRUST (NGO)
GEOGRAPHIC INFORMATION SYSTEM
SAFETY IN CONSTRUCTION
3D MODEL CREATION WITH AUTODESK FUSION 360
BIM FUNDAMENTALS FOR  ENGINEERS
BIM APPLICATION FOR ENGINEERS
BIM Revit</t>
  </si>
  <si>
    <t>P25700514</t>
  </si>
  <si>
    <t>Abhinav Sharma</t>
  </si>
  <si>
    <t>abhinav.info15@gmail.com</t>
  </si>
  <si>
    <t>p25700514@student.nicmar.ac.in</t>
  </si>
  <si>
    <t>26-Sep-2002</t>
  </si>
  <si>
    <t>8143 4072 6007</t>
  </si>
  <si>
    <t>RAKESH KUMAR SHARMA</t>
  </si>
  <si>
    <t>DECEASED</t>
  </si>
  <si>
    <t>RITA SHARMA</t>
  </si>
  <si>
    <t>Haryana Lodge Tutikandi Shimla - 171004</t>
  </si>
  <si>
    <t>DAYANAND PUBLIC SCHOOL</t>
  </si>
  <si>
    <t>CENTRAL BOARD OF SECONDARY EDUCATION SHIMLA/HIMACHAL PRADESH</t>
  </si>
  <si>
    <t>GOVERNMENT SENIOR SECONDARY SCHOOL LALPANI</t>
  </si>
  <si>
    <t>HIMACHAL PRADESH BOARD OF SCHOOL EDUCATION SHIMLA/HIMACHAL PRADESH</t>
  </si>
  <si>
    <t>HIMACHAL PRADESH UNIVERSITY</t>
  </si>
  <si>
    <t>UNIVERSITY INSTITUTE OF TECHNOLOGY SHIMLA/HIMACHAL PRADESH</t>
  </si>
  <si>
    <t>MS Project, Primavera, CostX, AutoCAD, MS Office</t>
  </si>
  <si>
    <t>NCCCL | Contracts &amp; Commercial Intern | Dombivili, Mumbai | May 2026 | Jul 2026 | 8 Weeks | Campus Internship
M/S RAVINDER CHAUHAN | SITE ENGINEER  | SHIMLA | Aug 2024 | Jan 2025 | 26 Weeks
SJVN LIMITED | INTERN | SHIMLA | Jan 2024 | Feb 2024 | 4 Weeks</t>
  </si>
  <si>
    <t>Current Ground Improvement Practices in India: A Research &amp; Industrial Advancement</t>
  </si>
  <si>
    <t>P25700515</t>
  </si>
  <si>
    <t>SAPKAL</t>
  </si>
  <si>
    <t>Vishwaraj Ramesh Sapkal</t>
  </si>
  <si>
    <t>rajsapkal4030@gmail.com</t>
  </si>
  <si>
    <t>p25700515@student.nicmar.ac.in</t>
  </si>
  <si>
    <t>2200 8637 4420</t>
  </si>
  <si>
    <t>TRUPTI</t>
  </si>
  <si>
    <t>587 Shantinagar, Shahbaug, Wai</t>
  </si>
  <si>
    <t>BLOSSOM CHILDREN'S ACADEMY, WAI</t>
  </si>
  <si>
    <t>KISANVEER JUNIOR MAHAVIDYALAYA, WAI</t>
  </si>
  <si>
    <t>SINHGAD COLLEGE OF ENGINEERING, VADGAON BK</t>
  </si>
  <si>
    <t>AutoCAD,MS Office,MS Project,Cost X,Primavera P6,</t>
  </si>
  <si>
    <t>PRIMARK ASSOCIATES | Project Management Intern | Pune | May 2026 | Jul 2026 | 8 Weeks | Campus Internship
SHRADDHA ENTERPRISES | INTERNSHIP TRAINEE | WAI | Jan 2023 | Feb 2023 | 3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</si>
  <si>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</si>
  <si>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</si>
  <si>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</si>
  <si>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</si>
  <si>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</si>
  <si>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</si>
  <si>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</si>
  <si>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</si>
  <si>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</si>
  <si>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</si>
  <si>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NEW ENGLISH SCHOOL, LANJA</t>
  </si>
  <si>
    <t>GOVERNMENT POLYTECHNIC, RATNAGIRI</t>
  </si>
  <si>
    <t>SINHGAD ACADEMY OF ENGINEERING, KONDHWA (BK), PUNE</t>
  </si>
  <si>
    <t>AutoCAD,MS Office, Microsoft Project</t>
  </si>
  <si>
    <t>Watmov Engineering Pvt Ltd | Associate Design Engineer | Pune | Dec 2022 | Apr 2024 | 1 Years, 4 Months, 14 Days | 3.5
Precision Precast Solutions (PPS) | Designer | Pune | May 2024 | Jul 2025 | 1 Years, 2 Months, 2 Days | 4.4</t>
  </si>
  <si>
    <t>Cushman &amp; Wakefield | Project Management Intern | Pune | May 2026 | Jul 2026 | 8 Weeks | Campus Internship</t>
  </si>
  <si>
    <t>P25700518</t>
  </si>
  <si>
    <t>INDRAKUMAR</t>
  </si>
  <si>
    <t>MISHRA</t>
  </si>
  <si>
    <t>Ganesh Indrakumar Mishra</t>
  </si>
  <si>
    <t>ganeshmishra.23.08@gmail.com</t>
  </si>
  <si>
    <t>p25700518@student.nicmar.ac.in</t>
  </si>
  <si>
    <t>English,Hindi,Marathi.</t>
  </si>
  <si>
    <t>2960 7573 6040</t>
  </si>
  <si>
    <t>INDRAKUMAR MISHRA</t>
  </si>
  <si>
    <t>PRODUCTION MANAGER</t>
  </si>
  <si>
    <t>KUSUM MISHRA</t>
  </si>
  <si>
    <t>Room No. 9, Pandey Bhavan C Chinchpada Road, Near Model College Kalyan East,Thane, Maharashtra</t>
  </si>
  <si>
    <t>NATIONAL ENGLISH HIGH SCHOOL</t>
  </si>
  <si>
    <t>SAKET COLLEGE</t>
  </si>
  <si>
    <t>TERNA ENGINEERING COLLEGE,NERUL/ MAHARASHTRA</t>
  </si>
  <si>
    <t>AutoCAD,MS Office,MS Project,Primavera,Revit,costx</t>
  </si>
  <si>
    <t>ICICI Bank | Assitant Technical Manager | Dombivali | Jun 2023 | Jun 2025 | 1 Years, 11 Months, 7 Days | 4.4</t>
  </si>
  <si>
    <t>Firstspace Development Management Private Limited | Intern-Projects (Planning) | BKC-Mumbai | May 2026 | Jun 2026 | 8 Weeks | Campus Internship
CIDCO | INTERNSHIP TRAINEE | TALOJA | Dec 2021 | Jan 2022 | 2 Weeks</t>
  </si>
  <si>
    <t>MS-CIT</t>
  </si>
  <si>
    <t>P25700519</t>
  </si>
  <si>
    <t>SHRINIVAS</t>
  </si>
  <si>
    <t>KURAPATI</t>
  </si>
  <si>
    <t>Rushikesh Shrinivas Kurapati</t>
  </si>
  <si>
    <t>rishikurapati6@gmail.com</t>
  </si>
  <si>
    <t>p25700519@student.nicmar.ac.in</t>
  </si>
  <si>
    <t>English , Marathi , Hindi , Telegu</t>
  </si>
  <si>
    <t>4887 0179 3122</t>
  </si>
  <si>
    <t>AMBIKA</t>
  </si>
  <si>
    <t>KRISHNAKUNJ, SR. NO. 17/4B/7, DATTARAJ COLONY, LANE NO. 7, MANGALNAGAR, WAKAD, PUNE</t>
  </si>
  <si>
    <t>08/218 , Raghavendra Nagar , MIDC Road , Solapur</t>
  </si>
  <si>
    <t>H D HIGH SCHOOL SOLAPUR</t>
  </si>
  <si>
    <t>SECONDARY AND HIGHER SECONDARY EDUCATION PUNE</t>
  </si>
  <si>
    <t>A.G. PATIL INSTITUTE OF TECHNOLOGY SOLAPUR</t>
  </si>
  <si>
    <t>N. B. NAVALE SINHGAD COLLEGE OF ENGINEERING SOLAPUR</t>
  </si>
  <si>
    <t>AutoCAD,MS Office,MS Project,Revit,Etabs</t>
  </si>
  <si>
    <t>Core Management Services | Junior Planning Engineer | Pune Maharashtra  | Jan 2024 | Dec 2024 | 0 Years, 11 Months, 16 Days | 1.68
Bhate Raje Construction Pvt Ltd | Junior Planning Engineer | Pimpri-Chinchwad, Maharashtra 411057 | Jan 2025 | Jun 2025 | 0 Years, 5 Months, 28 Days | 3</t>
  </si>
  <si>
    <t>Sagar Skyscrapper LLP | Trainee Junior Engineer.  | Pune | May 2026 | Jun 2026 | 7 Weeks | Campus Internship
SRUSHTI ENGINEERS AND CONSULTANT | PROJECT TRAINEE ENGINEER | SOLAPUR, MAHARASHTRA | Jul 2022 | Dec 2022 | 25 Weeks</t>
  </si>
  <si>
    <t>Microsoft Project
Maharashtra State Board of Skill, Vocational Education and Training
SAP01 Training Program
Construction Equipment Maintenance &amp; Safety
Revit Arc. Certificate 
ETABS Certificate
Finance for non - Financial Manager  
Data Analysis</t>
  </si>
  <si>
    <t>P25700520</t>
  </si>
  <si>
    <t>Patil Hemanth Kumar</t>
  </si>
  <si>
    <t>patilhemanth6601@gmail.com</t>
  </si>
  <si>
    <t>p25700520@student.nicmar.ac.in</t>
  </si>
  <si>
    <t>English, Hindi, Telugu, Marathi, Kannada</t>
  </si>
  <si>
    <t>3322 4663 2302</t>
  </si>
  <si>
    <t>PATIL VENKAT</t>
  </si>
  <si>
    <t>PHARMACIST</t>
  </si>
  <si>
    <t>PATIL JYOTHI</t>
  </si>
  <si>
    <t>1-2-497, RAKASIPET, BODHAN, NIZAMABAD DIST._x000D_
503185 TELANGANA, INDIA</t>
  </si>
  <si>
    <t>VIJAYA MARY HIGH SCHOOL RAKASIPET BODHAN NIZAMABAD DISTRICT</t>
  </si>
  <si>
    <t>NARAYANA JUNIOR COLLEGE SAPTHAGIRI COLONY KUKATPALLY HYDERABAD</t>
  </si>
  <si>
    <t>TELANGANA STATE BOARD OF INTERMEDIATE EDUCATION HYDERABAD TELANGANA STATE INDIA</t>
  </si>
  <si>
    <t>JAWAHARLAL NEHRU TECHNOLOGICAL UNIVERSITY HYDERABAD TELANGANA STATE INDIA</t>
  </si>
  <si>
    <t>ANURAG GROUP OF INSTITUTIONS HYDERABAD TELANGANA INDIA</t>
  </si>
  <si>
    <t>2023-Mar</t>
  </si>
  <si>
    <t>AutoCAD,MS Office,MS Project,Primavera, Advanced Excel,Autodesk Revit</t>
  </si>
  <si>
    <t>D.E.C. INFRASTRUCTURE AND PROJECTS (INDIA) PRIVATE LIMITED | GRADUATE ENGINEER TRAINEE - QUALITY CONTROL | MANCHERIAL MEDICAL COLLEGE PROJECT | May 2024 | Nov 2024 | 0 Years, 6 Months, 11 Days | 2.64</t>
  </si>
  <si>
    <t>Ernst &amp; Young LLP | Business Consulting Risk | Ahmedabad | May 2026 | Jul 2026 | 8 Weeks | Campus Internship
PRIYA CONSTRUCTIONS (RAILWAY AND CIVIL WORK) | INTERN | NIZAMABAD | Oct 2023 | Mar 2024 | 26 Weeks</t>
  </si>
  <si>
    <t>PROJECT MANAGEMENT FOUNDATIONS
COMPLETE   AUTOCAD 2D + 3D COURSE
MICROSOFT EXCEL - EXCEL FROM BEGINNER TO ADVANCED</t>
  </si>
  <si>
    <t>P25700521</t>
  </si>
  <si>
    <t>SAURABH</t>
  </si>
  <si>
    <t>PANDURANG</t>
  </si>
  <si>
    <t>BURADE</t>
  </si>
  <si>
    <t>Saurabh Pandurang Burade</t>
  </si>
  <si>
    <t>saurabhburade0990@gmail.com</t>
  </si>
  <si>
    <t>p25700521@student.nicmar.ac.in</t>
  </si>
  <si>
    <t>21-Mar-2000</t>
  </si>
  <si>
    <t>8350 6439 0011</t>
  </si>
  <si>
    <t>PANDURANG BURADE</t>
  </si>
  <si>
    <t>VILLAGE DEVLOPMENT OFFICER</t>
  </si>
  <si>
    <t>PRATIBHA BURADE</t>
  </si>
  <si>
    <t>Pilare Complex,, Near Sahare Hospital,, Desaiganj Main Road, Desaiganj, Maharashtra</t>
  </si>
  <si>
    <t>SCHOOL OF SCHOLARS , GADCHIROLI</t>
  </si>
  <si>
    <t>CENTER BOARD OF SECONDARY EDUCATION , DELHI</t>
  </si>
  <si>
    <t>SHIVKRUPA JR. SCIENCE COLLAGE , GADCHIROLI</t>
  </si>
  <si>
    <t>HIGHER SECONDARY EDUCATION , PUNE (NAGPUR DIVISION BOARD)</t>
  </si>
  <si>
    <t>DR. D . Y . PATIL COLLAGE ENGINEERING ,AKURDI ,PUNE</t>
  </si>
  <si>
    <t>Manisha Groups PVT. LTD. | Jr. Site Engineer | Pheonix Mall Of The Millennium ,Wakad ,Pune  | Apr 2024 | Nov 2024 | 0 Years, 6 Months, 9 Days | 1.8</t>
  </si>
  <si>
    <t>Tejraj group  | Planing Department  | Pune | May 2026 | Jul 2026 | 8 Weeks | Campus Internship</t>
  </si>
  <si>
    <t>P25700522</t>
  </si>
  <si>
    <t>SAYAN</t>
  </si>
  <si>
    <t>HALDER</t>
  </si>
  <si>
    <t>Sayan Halder</t>
  </si>
  <si>
    <t>sayanhalder948@gmail.com</t>
  </si>
  <si>
    <t>p25700522@student.nicmar.ac.in</t>
  </si>
  <si>
    <t>26-Dec-1999</t>
  </si>
  <si>
    <t>2283 6001 0855</t>
  </si>
  <si>
    <t>PUTUL KUMAR HALDER</t>
  </si>
  <si>
    <t>CENTRAL GOVT. EMPLOYE</t>
  </si>
  <si>
    <t>SUSHAMA HALDER</t>
  </si>
  <si>
    <t>UTTAR HAZIPUR,DIAMOND HARBOUR,WORD NO. -15</t>
  </si>
  <si>
    <t>SARISHA RAMKRISHNA MISSION SIKSHA MANDIR</t>
  </si>
  <si>
    <t>FATEPUR SRINATH INSTITUTION</t>
  </si>
  <si>
    <t>MAULANA ABUL KALAM AZAD UNIVERSITY OF TECHNOLOGY , WEST BENGAL</t>
  </si>
  <si>
    <t>NETAJI SUBHASH ENGINEERING COLLEGE</t>
  </si>
  <si>
    <t xml:space="preserve">MS Office,MS Project,Primavera(p6),BIM ,COSTX </t>
  </si>
  <si>
    <t>SAJAL DEB GOVT. CONTRACTOR OF C.P.W.D.&amp; P.W.D. GENERAL ORDER SUPPLIERS | SITE ENGINEER | NORTH TRIPURA | Dec 2021 | Feb 2025 | 3 Years, 2 Months, 8 Days | 3.24</t>
  </si>
  <si>
    <t>Central Public Works Department    ( C.P.W.D.) |  Planning And Execution | Kolkata | May 2026 | Jul 2026 | 9 Weeks | Campus Internship</t>
  </si>
  <si>
    <t>BEHAVIORAL SKILLS &amp; TECHNICAL SKILLS -IT
DIPLOMA IN COMPUTER APPLICATION</t>
  </si>
  <si>
    <t>P25700524</t>
  </si>
  <si>
    <t>NOEL</t>
  </si>
  <si>
    <t>JOY</t>
  </si>
  <si>
    <t>Noel Joy</t>
  </si>
  <si>
    <t>noelrj003@gmail.com</t>
  </si>
  <si>
    <t>p25700524@student.nicmar.ac.in</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</si>
  <si>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</si>
  <si>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</si>
  <si>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</si>
  <si>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</si>
  <si>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</si>
  <si>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</si>
  <si>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</si>
  <si>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</si>
  <si>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</si>
  <si>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RAJAGIRI SCHOOL OF ENGINEERING &amp; TECHNOLOGY, KOCHI, KERALA</t>
  </si>
  <si>
    <t>AutoCAD, MS Project, Primavera, Revit</t>
  </si>
  <si>
    <t>VSL INDIA PVT LTD | SITE EXECUTION INTERN | CHENNAI | May 2026 | Jul 2026 | 8 Weeks | Campus Internship
AMRUTHA CONSULTANTS | CIVIL ENGINEERING INTERN | KOCHI, KERALA | Mar 2023 | Apr 2023 | 2 Weeks</t>
  </si>
  <si>
    <t>Data Analytics
Repair and Maintenance of Buildings
QGIS
Energy Simulation in Buildings
Construction Equipment Maintenance &amp; Safety
Construction Machinery for Concreting /Roads &amp; Earth Moving
TBMs,Pile Rigs,Cranes &amp; Hauling Vehicles
German - I</t>
  </si>
  <si>
    <t>P25700525</t>
  </si>
  <si>
    <t>CHAURASIA</t>
  </si>
  <si>
    <t>Om Rajesh Chaurasia</t>
  </si>
  <si>
    <t>omchaurasia739@gmail.com</t>
  </si>
  <si>
    <t>p25700525@student.nicmar.ac.in</t>
  </si>
  <si>
    <t>01-Mar-2001</t>
  </si>
  <si>
    <t>6355 8310 1375</t>
  </si>
  <si>
    <t>RAJESH CHAURASIA</t>
  </si>
  <si>
    <t>ANITA CHAURASIA</t>
  </si>
  <si>
    <t>Room No. 5, Ashok Bhavan, M D Road, Opp Power House, Kandivali East</t>
  </si>
  <si>
    <t>THAKUR VIDYA MANDIR HIGH SCHOOL</t>
  </si>
  <si>
    <t>THAKUR COLLEGE OF ENGINEERING &amp; TECHNOLOGY</t>
  </si>
  <si>
    <t>Shreeji Sharan Group Of Companies | Junior Engineer | Mumbai | Jun 2022 | Jun 2025 | 3 Years, 0 Months, 0 Days | 2.52</t>
  </si>
  <si>
    <t>SOBHA LIMITED | Planning | Kerala | May 2026 | Jul 2026 | 9 Weeks | Campus Internship
SACHIN GUPTA BUILDCON PVT. LTD. | JUNIOR ENGINEER | MUMBAI | Dec 2021 | Jan 2022 | 8 Weeks</t>
  </si>
  <si>
    <t>Maharashtra State Certificate in Information Technology
Extension Work Team</t>
  </si>
  <si>
    <t>P25700526</t>
  </si>
  <si>
    <t>RITIKA</t>
  </si>
  <si>
    <t>MESHRAM</t>
  </si>
  <si>
    <t>Ritika Gautam Meshram</t>
  </si>
  <si>
    <t>ritikameshram995@gmail.com</t>
  </si>
  <si>
    <t>p25700526@student.nicmar.ac.in</t>
  </si>
  <si>
    <t>6675 6808 8799</t>
  </si>
  <si>
    <t>GAUTAM MESHRAM</t>
  </si>
  <si>
    <t>SEEMA MESHRAM</t>
  </si>
  <si>
    <t>SHUBHAM COLONY,LOHARA BYPASS YAVATMAL</t>
  </si>
  <si>
    <t>SANSKAR ENGLISH MEDIUM SCHOOL</t>
  </si>
  <si>
    <t>PEOPLES JR COLLEGE</t>
  </si>
  <si>
    <t>DR DY PATIL INSTITUTE OF TECHNOLOGY,PIMPRI,PUNE.</t>
  </si>
  <si>
    <t>Godrej Properties Limited  | Operations  | Mumbai RO | May 2026 | Jul 2026 | 8 Weeks | Campus Internship
BHATE&amp;RAJE CONSTRUCTION COMPANY PVT.LTD. | JUNIOR ENGINEER | PUNE | Dec 2023 | Jan 2024 | 4 Weeks</t>
  </si>
  <si>
    <t>Revit
Autocad</t>
  </si>
  <si>
    <t>P25700527</t>
  </si>
  <si>
    <t>LIKITHA</t>
  </si>
  <si>
    <t>BHOOPATHI</t>
  </si>
  <si>
    <t>Likitha Priya Bhoopathi</t>
  </si>
  <si>
    <t>likithapriyabhoopathi@gmail.com</t>
  </si>
  <si>
    <t>p25700527@student.nicmar.ac.in</t>
  </si>
  <si>
    <t>05-Dec-2003</t>
  </si>
  <si>
    <t>5014 9201 0207</t>
  </si>
  <si>
    <t>BHOOPATHI VYAS CHANDER</t>
  </si>
  <si>
    <t>JONNALA SREEDEVI</t>
  </si>
  <si>
    <t>2-11-201/1/401 Hari Hara Towers, KUC X Road</t>
  </si>
  <si>
    <t>SPR SCHOOL OF EXCELLENCE</t>
  </si>
  <si>
    <t>BOARD OF SECONDARY EDUCATION/TELANGANA</t>
  </si>
  <si>
    <t>VMR POLYTECHNIC/TELANGANA</t>
  </si>
  <si>
    <t>KAKATIYA INSTITUTE OF TECHNOLOGY ANDÂ SCIENCE/TELANGANA</t>
  </si>
  <si>
    <t>AutoCAD,MS Office,MS Project,Primavera,Staad pro,Revit,CostX</t>
  </si>
  <si>
    <t>Artizen Project LLp | Project Coordinate Intern | Hyderabad | May 2026 | Jul 2026 | 8 Weeks | Campus Internship
National Institute Of Construction Management And Reseach | Intern | Hyderabad | Jun 2024 | Jun 2024 | 2 Weeks
Government of telangana IRRIGATION &amp; CAD Department | intern | Parkal | May 2023 | Jun 2023 | 3 Weeks</t>
  </si>
  <si>
    <t>P25700528</t>
  </si>
  <si>
    <t>VISHWANATH</t>
  </si>
  <si>
    <t>Riya Vishwanath</t>
  </si>
  <si>
    <t>29riyav@gmail.com</t>
  </si>
  <si>
    <t>p25700528@student.nicmar.ac.in</t>
  </si>
  <si>
    <t>5880 8641 0461</t>
  </si>
  <si>
    <t>VIKRAMADITYA VISHWANATH</t>
  </si>
  <si>
    <t>KAVITA VISHWANATH</t>
  </si>
  <si>
    <t>First Floor, Saijyot Apartment, Vataremala, BT Kawde Road</t>
  </si>
  <si>
    <t>AIR FORCE SCHOOL VIMAN NAGAR</t>
  </si>
  <si>
    <t>SPRINGDALES CHILDREN'S SCHOOL</t>
  </si>
  <si>
    <t>SYMBIOSIS INSTITUTE OF TECHNOLOGY, PUNE</t>
  </si>
  <si>
    <t>Cushman &amp; Wakefield | Project Management Intern | Pune | May 2026 | Jul 2026 | 8 Weeks | Campus Internship
KOLTE-PATIL INTEGRATED TOWNSHIPS LTD. | Executive Intern | MARUNJI | Jan 2025 | May 2025 | 20 Weeks</t>
  </si>
  <si>
    <t>Diploma in Business management
Primavera P6 Professional Training
Six Sigma White belt
Environmental health and safety on construction projects</t>
  </si>
  <si>
    <t>P25700529</t>
  </si>
  <si>
    <t>JANHAVI</t>
  </si>
  <si>
    <t>Janhavi Vijay Patil</t>
  </si>
  <si>
    <t>patiljanhavi6283@gmail.com</t>
  </si>
  <si>
    <t>p25700529@student.nicmar.ac.in</t>
  </si>
  <si>
    <t>29-Sep-1998</t>
  </si>
  <si>
    <t>8874 1543 5853</t>
  </si>
  <si>
    <t>VIJAY NANA PATIL</t>
  </si>
  <si>
    <t>FABRICATION WORKS</t>
  </si>
  <si>
    <t>SANGITA VIJAY PATIL</t>
  </si>
  <si>
    <t>B6, Flat No. 16, Ganesh Complex, Manikbaug, Sinhgad Road, Opp. Brahma Garden Hotel, Near Nava Sinhgad Parisar Office.</t>
  </si>
  <si>
    <t>RMD SINHGAD TECHNICAL INSTITUTE CAMPUS, WARJE, PUNE, MAHARASHTRA</t>
  </si>
  <si>
    <t>AutoCAD,MS Office,MS Project,Primavera,Revit,Naviswork</t>
  </si>
  <si>
    <t>TCG REAL ESTATE - TCG IBPL | JUNIOR ENGINEER | Hinjewadi Phase 2, Pune, Maharashtra | Jul 2023 | Jun 2025 | 1 Years, 11 Months, 20 Days | 3.71
Mazagon Dock Shipbuilders Ltd. | Graduate Apprentice | Mumbai, Maharashtra | Mar 2021 | Mar 2022 | 0 Years, 11 Months, 27 Days | 1.08</t>
  </si>
  <si>
    <t>Primark Associates | Project Management Services | Baner, Pune | May 2026 | Jul 2026 | 8 Weeks | Campus Internship</t>
  </si>
  <si>
    <t>Diploma in Building Design</t>
  </si>
  <si>
    <t>P25700530</t>
  </si>
  <si>
    <t>GOHIL</t>
  </si>
  <si>
    <t>MANSIBA</t>
  </si>
  <si>
    <t>JAYDEEPSINH</t>
  </si>
  <si>
    <t>Gohil Mansiba Jaydeepsinh</t>
  </si>
  <si>
    <t>mgohil472003@gmail.com</t>
  </si>
  <si>
    <t>p25700530@student.nicmar.ac.in</t>
  </si>
  <si>
    <t>04-Jul-2003</t>
  </si>
  <si>
    <t>9142 8941 4570</t>
  </si>
  <si>
    <t>MR. JAYDEEPSINH GOHIL</t>
  </si>
  <si>
    <t>MRS. REKHABA GOHIL</t>
  </si>
  <si>
    <t>Ghogha Road, Murlidhar Society, Block10/A, Bhavnagar, Gujarat</t>
  </si>
  <si>
    <t>Bhavnagar</t>
  </si>
  <si>
    <t>ST. MARYâ€™S ENGLISH SCHOOL, BHAVNAGAR</t>
  </si>
  <si>
    <t>GUJARAT SECONDARY AND HIGHER SECONDARY EDUCATION BOARD, GANDHINAGAR</t>
  </si>
  <si>
    <t>GYANMANJARI HIGHER SECONDARY SCHOOL, BHAVNAGAR</t>
  </si>
  <si>
    <t>GOVERNMENT ENGINEERING COLLEGE, BHAVNAGAR</t>
  </si>
  <si>
    <t>AutoCAD,MS Office,MS Project,SketchUp</t>
  </si>
  <si>
    <t>Pidilite Industries Ltd.  | Summer Intern | Mumbai | May 2026 | Jul 2026 | 7 Weeks | Campus Internship
SETU Infrastructure | Trainee | 701-704 The First, behind ITC Narmada Vastrapur, Ahmedabad 380015, Gujarat  | Jan 2025 | Apr 2025 | 11 Weeks
Er. Akul Pandya | Intern | 204, Atlanta Complex, Opp. Joggers Park, Bhavnagar 364001, Gujarat  | Jun 2024 | Jul 2024 | 1 Weeks</t>
  </si>
  <si>
    <t>P25700531</t>
  </si>
  <si>
    <t>TALBIYA</t>
  </si>
  <si>
    <t>ASIF IQBAL</t>
  </si>
  <si>
    <t>Talbiya Asif Iqbal Shaikh</t>
  </si>
  <si>
    <t>talbiyashaikh31@gmail.com</t>
  </si>
  <si>
    <t>p25700531@student.nicmar.ac.in</t>
  </si>
  <si>
    <t>31-Jan-2004</t>
  </si>
  <si>
    <t>ENGLISH, HINDI, MARATHI, URDU</t>
  </si>
  <si>
    <t>7628 2275 2076</t>
  </si>
  <si>
    <t>AISF IQBAL SHAIKH</t>
  </si>
  <si>
    <t>ALMAS SHAIKH</t>
  </si>
  <si>
    <t>Flat No.13, Arsheen Apartment, Modi Khana, Saat Rasta.</t>
  </si>
  <si>
    <t>LITTLE FLOWER CONVENT HIGH SCHOOL</t>
  </si>
  <si>
    <t>WALCHAND COLLEGE OF ARTS &amp; SCIENCE</t>
  </si>
  <si>
    <t>NAGESH KARAJAGI ORCHID COLLEGE OF ENGINEERING &amp; TECHNOLOGY, SOLAPUR, MAHARASHTRA</t>
  </si>
  <si>
    <t>SOBHA Limited  | Project Planning   | Hyderabad  | May 2026 | Jul 2026 | 9 Weeks | Campus Internship
Ar. Bhavik Gandhi &amp; Associates | Civil Design &amp; Site Supervision  | Solapur, Maharashtra  | Dec 2024 | Feb 2025 | 10 Weeks</t>
  </si>
  <si>
    <t>BIM REVIT</t>
  </si>
  <si>
    <t>P25700532</t>
  </si>
  <si>
    <t>NETRAVATI</t>
  </si>
  <si>
    <t>T</t>
  </si>
  <si>
    <t>SHEPUR</t>
  </si>
  <si>
    <t>Netravati T Shepur</t>
  </si>
  <si>
    <t>shepurnetra@gmail.com</t>
  </si>
  <si>
    <t>p25700532@student.nicmar.ac.in</t>
  </si>
  <si>
    <t>15-Mar-1990</t>
  </si>
  <si>
    <t>ENGLISH HINDI KANNADA TELUGU</t>
  </si>
  <si>
    <t>5676 1811 6715</t>
  </si>
  <si>
    <t>DR T A SHEPUR</t>
  </si>
  <si>
    <t>SUJATHA T SHEPUR</t>
  </si>
  <si>
    <t>#89, 13Th Cross, Lingarajnagar , Vidyanagar , Patil Layout</t>
  </si>
  <si>
    <t>ST ANTONY'S PUBLIC SCHOOL</t>
  </si>
  <si>
    <t>CENTRAL BOARD OF SECONDAY EDUCATION , DELHI</t>
  </si>
  <si>
    <t>SRI CHAITANYA KALASHALA</t>
  </si>
  <si>
    <t>BOARD OF INTERMEDIATE EDUCATION , ANDHRA PRADESH</t>
  </si>
  <si>
    <t>2008-Apr</t>
  </si>
  <si>
    <t>VTU BELAGUM</t>
  </si>
  <si>
    <t>B V BHOOMRADDI COLLEGE OF ENGINEERING AND TECHNOLOGY, HUBLI</t>
  </si>
  <si>
    <t>2008-Jul</t>
  </si>
  <si>
    <t>Dr. Ambedkar Institute of Technology, Bangalore</t>
  </si>
  <si>
    <t>2012-Sep</t>
  </si>
  <si>
    <t>2014-Oct</t>
  </si>
  <si>
    <t xml:space="preserve">AutoCAD,MS Office,MS Project,STAADPRO,ETABS,RCDC,REVIT, Primevera, Costx. </t>
  </si>
  <si>
    <t>SUPRADA CONSTRUCTIONS PRIVATE LIMITED | STRUCTURAL ENGINEER | BENGALURU | Apr 2023 | Dec 2024 | 1 Years, 8 Months, 14 Days | 7.18
SMEC INDIA PVT LTD | JUNIOR DESIGN ENGINEER | BENGALURU | Feb 2022 | Dec 2022 | 0 Years, 9 Months, 27 Days | 5.04
MARS PLANNING AND ENGINEERING SERVICES | SENIOR ENGINEER-PROJECTS | BENGALURU | Jan 2025 | Apr 2025 | 0 Years, 3 Months, 5 Days | 10.8
CRYSTAL INFOTECH SERVICES | STRUCTURAL ENGINEER | BENGALURU | Jul 2020 | Feb 2022 | 1 Years, 7 Months, 2 Days | 4.05
YELLAMMA DASAPPA INSTITUTE OF TECHNOLOGY | Assistant Professor | BENGALURU | Aug 2014 | Aug 2019 | 5 Years, 0 Months, 6 Days | 2.81</t>
  </si>
  <si>
    <t>112 month(s)</t>
  </si>
  <si>
    <t>Prestige Estates Projects Limited  | Intern | Bangalore | May 2026 | Jul 2026 | 8 Weeks | Campus Internship
SEAN ENGINEER | DESIGN ENGINEER | Bangalore | Sep 2019 | Jun 2020 | 43 Weeks</t>
  </si>
  <si>
    <t>Quantity surveying and Billing Engineer 
IJERT PAPER PUBLICATION
NPTEL LEAN CONSTRUCTIONS
Construction Equipments</t>
  </si>
  <si>
    <t>P25700533</t>
  </si>
  <si>
    <t>GUNJAN</t>
  </si>
  <si>
    <t>DHOBLE</t>
  </si>
  <si>
    <t>Gunjan Shivaji Dhoble</t>
  </si>
  <si>
    <t>gunjandhoble7@gmail.com</t>
  </si>
  <si>
    <t>p25700533@student.nicmar.ac.in</t>
  </si>
  <si>
    <t>5173 3776 4431</t>
  </si>
  <si>
    <t>SHIVAJI DHOBLE</t>
  </si>
  <si>
    <t>SUNANDA DHOBLE</t>
  </si>
  <si>
    <t>AT KHANDHALA (KHURD) , POST-LADGAON THASIL-KATOL DISTRICT- NAGPUR</t>
  </si>
  <si>
    <t>BANARASIDAS RUIYA HIGH SCHOOL KATOL</t>
  </si>
  <si>
    <t>KATOL / MAHARASHTRA</t>
  </si>
  <si>
    <t>NATIONAL INSTITUTE OF TECHNOLOGY NAGPUR</t>
  </si>
  <si>
    <t>PRIYADARSHANI BHAGWATI COLLEGE OF ENGINEERING NAGPUR</t>
  </si>
  <si>
    <t>Primavera,MS Project,AutoCAD,MS Office,Primavera,Cost X,REVIT</t>
  </si>
  <si>
    <t>Bangalore Metro Rail Corporation Ltd. | Site Execution Intern | Bangalore | May 2026 | Jul 2026 | 8 Weeks | Campus Internship
Er. Prashant M. Kalbande | Trainee | Katol | Apr 2024 | May 2025 | 60 Weeks</t>
  </si>
  <si>
    <t>Autocad
NCC
Ethics and Engineering Practices
Coursera Finance for Non-Financial Managers</t>
  </si>
  <si>
    <t>P25700534</t>
  </si>
  <si>
    <t>DIVYA</t>
  </si>
  <si>
    <t>HIRALAL</t>
  </si>
  <si>
    <t>WAILTHARE</t>
  </si>
  <si>
    <t>Divya Hiralal Wailthare</t>
  </si>
  <si>
    <t>dhwailthare29@gmail.com</t>
  </si>
  <si>
    <t>p25700534@student.nicmar.ac.in</t>
  </si>
  <si>
    <t>9879 4083 6493</t>
  </si>
  <si>
    <t>HIRALAL WAILTHARE</t>
  </si>
  <si>
    <t>ASSISTANT POLICE INSPECTOR</t>
  </si>
  <si>
    <t>NANDA WAILTHARE</t>
  </si>
  <si>
    <t>Shiv Apartment, Ganesh Nagar, Tukum, Chandrapur</t>
  </si>
  <si>
    <t>CENTRAL BOARD OF SECONDARY EDUCATION, CHANDRAPUR, MAHARASHTRA</t>
  </si>
  <si>
    <t>MIT ADT UNIVERSITY</t>
  </si>
  <si>
    <t>MIT ADT SCHOOL OF ENGINEERING AND SCIENCES</t>
  </si>
  <si>
    <t>AutoCAD, STADD Pro, Primavera, Revit, Power BI, MS Project</t>
  </si>
  <si>
    <t>Rodic Consultants | Operation Intern | Delhi | May 2026 | Jul 2026 | 8 Weeks | Campus Internship
MAHARASHTRA METRO RAIL CORPORATION LIMITED | INTERN | PUNE | Feb 2025 | Feb 2025 | 3 Weeks</t>
  </si>
  <si>
    <t>Construction Scheduling</t>
  </si>
  <si>
    <t>P25700535</t>
  </si>
  <si>
    <t>BHARVEE</t>
  </si>
  <si>
    <t>Bharvee Manoj Mokashi</t>
  </si>
  <si>
    <t>bharveemanoj21@gmail.com</t>
  </si>
  <si>
    <t>p25700535@student.nicmar.ac.in</t>
  </si>
  <si>
    <t>21-Apr-2003</t>
  </si>
  <si>
    <t>HINDI,MARATHI, ENGLISH</t>
  </si>
  <si>
    <t>7883 6680 0734</t>
  </si>
  <si>
    <t>MANOJ MOKASHI</t>
  </si>
  <si>
    <t>VRUNDA MOKASHI</t>
  </si>
  <si>
    <t>Damodar Nivas 3rd Flr Vitawa Thane Belapur Road</t>
  </si>
  <si>
    <t>JVM'S NEW ENGLISH SCHOOL KALWA</t>
  </si>
  <si>
    <t>GOVERNMENT POLYTECHNIC THANE, MAHARASHTRA</t>
  </si>
  <si>
    <t>DATTA MEGHE COLLEGE OF ENGINEERING AIROLI NAVI MUMBAI, MAHARASHTRA</t>
  </si>
  <si>
    <t>AutoCAD,MS Office,MS Project,Primavera,ArcGIS,QGIS</t>
  </si>
  <si>
    <t>CUSHMAN AND WAKEFIELD | TEMP ASSOCIATE | BKC | Dec 2024 | Jan 2025 | 4 Weeks
CIDCO | TESTING INTERN | NAVIMUMBAI | Dec 2023 | Jan 2024 | 3 Weeks
CIDCO | EXECUTION INTERN  | NAVIMUMBAI | Jun 2023 | Jul 2023 | 4 Weeks</t>
  </si>
  <si>
    <t>P25700536</t>
  </si>
  <si>
    <t>Preeti</t>
  </si>
  <si>
    <t>Sinha</t>
  </si>
  <si>
    <t>Preeti Sinha</t>
  </si>
  <si>
    <t>sinha.preeti6534@gmail.com</t>
  </si>
  <si>
    <t>p25700536@student.nicmar.ac.in</t>
  </si>
  <si>
    <t>27-Mar-1997</t>
  </si>
  <si>
    <t>Travelling,Reading,Music,Painting,Cooking</t>
  </si>
  <si>
    <t>7529 3195 5151</t>
  </si>
  <si>
    <t xml:space="preserve">Paras Nath Sinha </t>
  </si>
  <si>
    <t>Retired Government Employee</t>
  </si>
  <si>
    <t>Asha Sinha</t>
  </si>
  <si>
    <t>Homemaker</t>
  </si>
  <si>
    <t xml:space="preserve">Tower I1 Flat Number 1706 IITL Nimbus Express Park View 2, Chi-V, Greater Noida </t>
  </si>
  <si>
    <t>D.A.V. PUBLIC SCHOOL CANTONMENT AREA GAYA</t>
  </si>
  <si>
    <t>MAHARSHI DAYANAND UNIVERSITY, ROHTAK</t>
  </si>
  <si>
    <t>RABINDRANATH TAGORE INSTITUTE OF ARCHITECTURE, FARIDABAD, HARYANA</t>
  </si>
  <si>
    <t>AutoCAD, Revit, SketchUp, Navisworks, BEXEL Manager, Microsoft Project (MS Project), Primavera P6, Plannerly, CostX, SmartPLS, Lumion, V-Ray, MS Offic</t>
  </si>
  <si>
    <t>Fotress Infracon Limited | Infrastructure &amp; Project Advisory Intern | Thane, Mumbai | May 2026 | Jul 2026 | 8 Weeks | Campus Internship
Ankur &amp; Associates, Mayapuri | Architectural Design Intern | New Delhi | Dec 2019 | May 2020 | 23 Weeks</t>
  </si>
  <si>
    <t>Diploma in Revit Architecture</t>
  </si>
  <si>
    <t>P25700537</t>
  </si>
  <si>
    <t>DEVIKA</t>
  </si>
  <si>
    <t>Devika Raj</t>
  </si>
  <si>
    <t>devikaraj1202@gmail.com</t>
  </si>
  <si>
    <t>p25700537@student.nicmar.ac.in</t>
  </si>
  <si>
    <t>5488 4231 7231</t>
  </si>
  <si>
    <t>RAJAN C</t>
  </si>
  <si>
    <t>RETIRED GOVT OFFICIAL</t>
  </si>
  <si>
    <t>REJITHA M</t>
  </si>
  <si>
    <t>GOVT OFFICIAL</t>
  </si>
  <si>
    <t>SREEPADAM, C KANNAN NAGAR COLONY, ELAYAVOOR, P.O. MUNDAYAD</t>
  </si>
  <si>
    <t>ST. FRANCIS ENGLISH MEDIUM SCHOOL, KANNUR</t>
  </si>
  <si>
    <t>VIMAL JYOTHI ENGINEERING COLLEGE, KANNUR</t>
  </si>
  <si>
    <t>Godrej Properties Limited | Operations-Planning | Bangalore | May 2026 | Jul 2026 | 8 Weeks | Campus Internship</t>
  </si>
  <si>
    <t>Budgeting and Scheduling Projects
Project Management Fundamentals
Construction Equipment Maintenance &amp; Safety
Foundations of Project Management
AI Fundamentals
GERMAN-1</t>
  </si>
  <si>
    <t>P25700538</t>
  </si>
  <si>
    <t>SREYA</t>
  </si>
  <si>
    <t>Sreya Raj</t>
  </si>
  <si>
    <t>sreyaraj27@gmail.com</t>
  </si>
  <si>
    <t>p25700538@student.nicmar.ac.in</t>
  </si>
  <si>
    <t>04-Jan-2002</t>
  </si>
  <si>
    <t>5025 4395 4610</t>
  </si>
  <si>
    <t>PADMARAJAN</t>
  </si>
  <si>
    <t>RTD. SUBENGINEER</t>
  </si>
  <si>
    <t>SUJITHA</t>
  </si>
  <si>
    <t>SREYAS,CHARUKADU, CHEMMAKADU PO, PANAYAM,KOLLAM</t>
  </si>
  <si>
    <t>SREYA RAJ</t>
  </si>
  <si>
    <t>GOVERNMENT HIGHER SECONDARY SCHOOL ANCHALOOMOOD</t>
  </si>
  <si>
    <t>KERALA STATE BOARD OF HSE</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</si>
  <si>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</si>
  <si>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</si>
  <si>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</si>
  <si>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P25700539</t>
  </si>
  <si>
    <t>NANSHAL</t>
  </si>
  <si>
    <t>BAJAJ</t>
  </si>
  <si>
    <t>Nanshal Bajaj</t>
  </si>
  <si>
    <t>nanshalbajaj@gmail.com</t>
  </si>
  <si>
    <t>p25700539@student.nicmar.ac.in</t>
  </si>
  <si>
    <t>01-Sep-1998</t>
  </si>
  <si>
    <t>English, Hindi, Sindhi and Marathi</t>
  </si>
  <si>
    <t>2155 3196 7822</t>
  </si>
  <si>
    <t>VINOD BAJAJ</t>
  </si>
  <si>
    <t>ANSHU BAJAJ</t>
  </si>
  <si>
    <t>A3-25, ADITYA BREEZE PARK, BALEWADI</t>
  </si>
  <si>
    <t>Ward No. 08, Kotma Road, Burhar</t>
  </si>
  <si>
    <t>Shahdol</t>
  </si>
  <si>
    <t>CARMEL CONVENT HR SEC SCHOOL SOHAGPUR SHAHDOL MP</t>
  </si>
  <si>
    <t>S.B. PATIL COLLEGE OF ARCHITECTURE AND DESIGN</t>
  </si>
  <si>
    <t>AutoCAD,MS Office,MS Project,Primavera,Sketchup,Revit,Enscape,Lumion</t>
  </si>
  <si>
    <t>About the Space | Junior Architect | Pune | Jul 2023 | Sep 2024 | 1 Years, 2 Months, 1 Days | 2.4
Chopra Design Studio | Junior Architect | Indore | Nov 2022 | Jun 2023 | 0 Years, 7 Months, 29 Days | 1.8</t>
  </si>
  <si>
    <t>Ahluwalia Contracts (India) Ltd. | Intern | Mumbai | May 2026 | Jun 2026 | 8 Weeks | Campus Internship
Renu Khanna and Associates | Architectural Intern | Panchkula, Chandigarh | Jul 2021 | Nov 2021 | 21 Weeks</t>
  </si>
  <si>
    <t>Diploma in Architecture Softwares</t>
  </si>
  <si>
    <t>P25700540</t>
  </si>
  <si>
    <t>AMEYA</t>
  </si>
  <si>
    <t>MILIND</t>
  </si>
  <si>
    <t>BUJONE</t>
  </si>
  <si>
    <t>Ameya Milind Bujone</t>
  </si>
  <si>
    <t>ameya.bujone21@gmail.com</t>
  </si>
  <si>
    <t>p25700540@student.nicmar.ac.in</t>
  </si>
  <si>
    <t>6158 1738 6492</t>
  </si>
  <si>
    <t>MILIND GOVINDRAO BUJONE</t>
  </si>
  <si>
    <t>RASHMI MILIND BUJONE</t>
  </si>
  <si>
    <t>SAI SHREE APARTMENT, PIMPLE SAUDAGAR, PUNE</t>
  </si>
  <si>
    <t>Maxx Glory Society, Beltarodi, Nagpur</t>
  </si>
  <si>
    <t>VIDYA NIKETAN, CHANDRAPUR</t>
  </si>
  <si>
    <t>VIDYA NIKETAN</t>
  </si>
  <si>
    <t>RASHTRASANT TUKDOJI MAHARAJ NAGPUR UNIVERSITY, NAGPUR</t>
  </si>
  <si>
    <t>Project Planning &amp; Scheduling, Cost Control, Quantity Surveying &amp; Billing, Project Execution, Procurement, Contracts, Primavera P6, MS Project</t>
  </si>
  <si>
    <t>The Indian Hume Pipe Co. Ltd. | Engineer | Gadakota, Madhya pradesh | Aug 2022 | Mar 2024 | 1 Years, 7 Months, 0 Days | 3.6
Jagdish Prasad Agarwal | Site Engineer | Aspur, Rajasthan | May 2024 | Sep 2024 | 0 Years, 3 Months, 30 Days | 4.05</t>
  </si>
  <si>
    <t>CHERRY HILL INTERIOR PVT. LTD. | QS AND BILLING INTERN | BANGLORE  | May 2026 | Jul 2026 | 8 Weeks | Campus Internship
SD Construction and Gharkul Construction | Intern  | Chandrapur, Maharashtra | Dec 2020 | Feb 2021 | 5 Weeks</t>
  </si>
  <si>
    <t>NPTEL- German 1
Ethics in Engineering practice</t>
  </si>
  <si>
    <t>P25700541</t>
  </si>
  <si>
    <t>PARIMAL</t>
  </si>
  <si>
    <t>ALAWANE</t>
  </si>
  <si>
    <t>Parimal Pradip Alawane</t>
  </si>
  <si>
    <t>parimalalawane2214@gmail.com</t>
  </si>
  <si>
    <t>p25700541@student.nicmar.ac.in</t>
  </si>
  <si>
    <t>7525 4078 2883</t>
  </si>
  <si>
    <t>Musale Vasti,Road No.2,B18,Parimal Bunglow</t>
  </si>
  <si>
    <t>PRAVARA PUBLIC SCHOOL,PRAVARANAGAR</t>
  </si>
  <si>
    <t>PADMASHRI VIKHE PATIL COLLEGE OF ARTS,SCIENCE AND COMMERCE,PRAVARANAGAR</t>
  </si>
  <si>
    <t>K.K. WAGH INSTITUTE OF ENGINEERING EDUCATION AND RESEARCH,NASHIK</t>
  </si>
  <si>
    <t>Larsen &amp; Toubro Construction, HCI IC | Construction Management Intern | Orange Gate Urban Tunnel Project, Mumbai, Maharashtra | May 2026 | Jun 2026 | 8 Weeks | Campus Internship
SANDIP KHATALE (GOVERNMENT CONTRACTOR,MAHARASHTRA STATE) | SUPERVISING ENGINEER | NASHIK | Jan 2022 | Feb 2022 | 4 Weeks
VIRA INFRACTRUCTURE | TRAINING ENGINEER | AHMEDNAGAR | Jul 2020 | Dec 2020 | 26 Weeks</t>
  </si>
  <si>
    <t>CERTIFICATE OF PROFICIENCY BY DIRECTORATE OF SPORTS AND YOUTH SERVICES,MAHARASHTRA STATE,PUNE
HANDS-ON TRAINING ON REMOTE SENSING AND GIS
MS-CIT</t>
  </si>
  <si>
    <t>P25700542</t>
  </si>
  <si>
    <t>MANAS</t>
  </si>
  <si>
    <t>Manas Deepak Jadhav</t>
  </si>
  <si>
    <t>manasdjadhav0902@gmail.com</t>
  </si>
  <si>
    <t>p25700542@student.nicmar.ac.in</t>
  </si>
  <si>
    <t>2470 6822 1512</t>
  </si>
  <si>
    <t>DEEPAK DAULAT JADHAV</t>
  </si>
  <si>
    <t>MANISHA DEEPAK JADHAV</t>
  </si>
  <si>
    <t>13, Down Town A, Chaitanya Nagar, Gangapur Road, Nashik, 422013</t>
  </si>
  <si>
    <t>NEW MARATHA HIGHSCHOOL, NASHIK</t>
  </si>
  <si>
    <t>MATOSHRI JUNIOR COLLEGE, MHASRUL, NASHIK</t>
  </si>
  <si>
    <t>COLLEGE OF ENGINEERING, PUNE</t>
  </si>
  <si>
    <t>AutoCAD,MS Project,Primavera,CostX,Revit</t>
  </si>
  <si>
    <t>Pyramid Lifestyle LLP | Civil Intern | Pune | May 2026 | Jul 2026 | 8 Weeks | Campus Internship
Anand Builders And Developers, Nashik | Execution and Planning Intern | Nashik | Aug 2024 | May 2025 | 39 Weeks</t>
  </si>
  <si>
    <t>Minor in Financial Engineering</t>
  </si>
  <si>
    <t>P25700543</t>
  </si>
  <si>
    <t>NAVEEN</t>
  </si>
  <si>
    <t>JOSON</t>
  </si>
  <si>
    <t>Naveen Joson</t>
  </si>
  <si>
    <t>naveenjoson@gmail.com</t>
  </si>
  <si>
    <t>p25700543@student.nicmar.ac.in</t>
  </si>
  <si>
    <t>29-Sep-1999</t>
  </si>
  <si>
    <t>6160 5414 4107</t>
  </si>
  <si>
    <t>JOSON MANAVALAN</t>
  </si>
  <si>
    <t>LAKSHMI T</t>
  </si>
  <si>
    <t>62/980 Thottekkat House, Thottekkat Compound, Durbar Hall Road, Kochi</t>
  </si>
  <si>
    <t>BHAVANS VIDYA MANDIR GIRINAGAR COCHIN KERALA</t>
  </si>
  <si>
    <t>SCHOOL  OF ENGINEERING, CUSAT, KOCHI</t>
  </si>
  <si>
    <t>MS Office,Java,Tableau,MySQL</t>
  </si>
  <si>
    <t>Tata Consultancy Services | Assistant Systems Engineer | Kochi, Kerala | Dec 2021 | Jan 2024 | 2 Years, 0 Months, 10 Days | 3.88</t>
  </si>
  <si>
    <t>Sobha Limited | Project Management Intern | Hyderabad, Telangana | May 2026 | Jul 2026 | 9 Weeks | Campus Internship
The Fertilisers and Chemicals Travancore Limited | Internship Trainee | Udyogamandal, Ernakulam, Kerala | Jun 2019 | Jun 2019 | 0 Weeks</t>
  </si>
  <si>
    <t>Professional Certificate Course in Data Analytics</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</si>
  <si>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</si>
  <si>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</si>
  <si>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</si>
  <si>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</si>
  <si>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</si>
  <si>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</si>
  <si>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</si>
  <si>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</si>
  <si>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</si>
  <si>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</si>
  <si>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</si>
  <si>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</si>
  <si>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</si>
  <si>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</si>
  <si>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</si>
  <si>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</si>
  <si>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 Years, 8 Months, 17 Days | 7.3
Ashiana Housing Ltd | Graduate Trainee Engineer | Jaipur | Jun 2022 | Oct 2022 | 0 Years, 3 Months, 17 Days | 3.6</t>
  </si>
  <si>
    <t>MASIN PROJECTS | INTERN, QUANTUM DEPARTMENT | GURUGRAM | May 2026 | Jul 2026 | 8 Weeks | Campus Internship</t>
  </si>
  <si>
    <t>Project Management Professional (PMP)Â®-4215403
Essentials of project planning and control(EPCC) 2.0
Oil &amp; Gas Industry Operations and Markets
BIM professional course for Architects and Engineers</t>
  </si>
  <si>
    <t>P25700545</t>
  </si>
  <si>
    <t>KASUKURTHI</t>
  </si>
  <si>
    <t>MAHESH BABU</t>
  </si>
  <si>
    <t>Kasukurthi Mahesh Babu</t>
  </si>
  <si>
    <t>maheshbabuk2003@gmail.com</t>
  </si>
  <si>
    <t>p25700545@student.nicmar.ac.in</t>
  </si>
  <si>
    <t>17-Feb-2003</t>
  </si>
  <si>
    <t>8567 1193 1994</t>
  </si>
  <si>
    <t>KASUKURTHI SRINU</t>
  </si>
  <si>
    <t>KASUKURTHI MAHESH BABU</t>
  </si>
  <si>
    <t>LAKSHMI GANAPTHI BOYS PG, EMERALD PARK-2, PATIL WASTI, PATI NAGAR, BALEWADI</t>
  </si>
  <si>
    <t>14 -121, Ambedkar Nagar, Tanguturu, Prakasam</t>
  </si>
  <si>
    <t>Prakasam</t>
  </si>
  <si>
    <t>ANDHRA PRADESH RESIDENTIAL JUNIOR COLLEGE</t>
  </si>
  <si>
    <t>BOARD OF INTERMEDIATE EDUCATION ANDHARA PRAESH</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</si>
  <si>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</si>
  <si>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</si>
  <si>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 Years, 1 Months, 2 Days | 4.5</t>
  </si>
  <si>
    <t>Fortress Infracon Limited | Project Management Consultancy Intern | Pune | May 2026 | Jul 2026 | 9 Weeks | Campus Internship
AURO REALITY | GET | HYDERABAD | May 2023 | Jun 2023 | 4 Weeks</t>
  </si>
  <si>
    <t>P25700546</t>
  </si>
  <si>
    <t>ABHIRISHI</t>
  </si>
  <si>
    <t>JASWANT</t>
  </si>
  <si>
    <t>Abhirishi Jaswant Kumar</t>
  </si>
  <si>
    <t>abhirishijk@gmail.com</t>
  </si>
  <si>
    <t>p25700546@student.nicmar.ac.in</t>
  </si>
  <si>
    <t>15-Nov-2002</t>
  </si>
  <si>
    <t>Travelling,Badminton,Networking</t>
  </si>
  <si>
    <t>6587 0517 8805</t>
  </si>
  <si>
    <t>MR. JASWANT KUMAR SINGH</t>
  </si>
  <si>
    <t>MRS. ASHA RANI</t>
  </si>
  <si>
    <t>B-204, Ishwari Enclave, Vidyapati Nagar, Kanke Road, 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</si>
  <si>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</si>
  <si>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</si>
  <si>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</si>
  <si>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</si>
  <si>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</si>
  <si>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</si>
  <si>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</si>
  <si>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</si>
  <si>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</si>
  <si>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</si>
  <si>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</si>
  <si>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</si>
  <si>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</si>
  <si>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</si>
  <si>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</si>
  <si>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</si>
  <si>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</si>
  <si>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</si>
  <si>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</si>
  <si>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SARANYA CONCEPT SCHOOL</t>
  </si>
  <si>
    <t>CENTRAL BOARD OF SECONDARY EDUCATON , KORINGA POST , KAKINADA</t>
  </si>
  <si>
    <t>ADITYA JUNIOR COLLEGE</t>
  </si>
  <si>
    <t>BOARD OF INTERMEDIATE EDUCATION ANDHRA PRADESH , KAKINADA</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</si>
  <si>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</si>
  <si>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</si>
  <si>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 Weeks
L&amp;T EDUTECH | INDUSTRY INTERNSHIP | Chennai | Jun 2024 | Jul 2024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</si>
  <si>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</si>
  <si>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P25700548</t>
  </si>
  <si>
    <t>HARISH</t>
  </si>
  <si>
    <t>SALVI</t>
  </si>
  <si>
    <t>Harish Shivaji Salvi</t>
  </si>
  <si>
    <t>salviharish59@gmail.com</t>
  </si>
  <si>
    <t>p25700548@student.nicmar.ac.in</t>
  </si>
  <si>
    <t>3202 2383 2378</t>
  </si>
  <si>
    <t>A/203, Om Sai Kiran, Damodar Nagar, Netivali, Kalyan East</t>
  </si>
  <si>
    <t>LOK KALYAN PUBLIC SCHOOL</t>
  </si>
  <si>
    <t>RAMCHAND KIMATRAM TALREJA COLLEGE OF ARTS, SCIENCE &amp; COMMERCE</t>
  </si>
  <si>
    <t>DIPLOMA IN  CIVIL ENGINEERING</t>
  </si>
  <si>
    <t>G.V. ACHARYA POLYTECHNIC, SHELU</t>
  </si>
  <si>
    <t>A.P. SHAH INSTITUTE OF TECHNOLOGY</t>
  </si>
  <si>
    <t>AutoCAD,MS Office,MS Project,Revit (Architecture)</t>
  </si>
  <si>
    <t>Prestige Estates Projects Limited | Project Management Intern | Mulund | May 2026 | Jul 2026 | 8 Weeks | Campus Internship
Radhika Construction Company | Inplant Trainee Engineer | Dombivli | Jun 2023 | Jul 2023 | 4 Weeks</t>
  </si>
  <si>
    <t>P25700549</t>
  </si>
  <si>
    <t>SHAURYA</t>
  </si>
  <si>
    <t>Shaurya Mishra</t>
  </si>
  <si>
    <t>smishra2032000@gmail.com</t>
  </si>
  <si>
    <t>p25700549@student.nicmar.ac.in</t>
  </si>
  <si>
    <t>20-Mar-2000</t>
  </si>
  <si>
    <t>Cricket,Fitness</t>
  </si>
  <si>
    <t>9295 6617 5131</t>
  </si>
  <si>
    <t>AWANISH KUMAR MISHRA</t>
  </si>
  <si>
    <t>SHABNAM MISHRA</t>
  </si>
  <si>
    <t>4E, Vyas Enclave, Antu Chowk, Tagore Hill Road, Morabadi, Ranchi</t>
  </si>
  <si>
    <t>DHANBAD PUBLIC SCHOOL</t>
  </si>
  <si>
    <t>DHANBAD , JHARKHAND</t>
  </si>
  <si>
    <t>SHIV JYOTI SR SEC SCHOOL</t>
  </si>
  <si>
    <t>KOTA, RAJASTHAN</t>
  </si>
  <si>
    <t>MANIPAL INSTITUTE OF TECHNOLOGY, MANIPAL UDUPI, KARNATAKA</t>
  </si>
  <si>
    <t>Dalmia Bharat Limited | Senior Executive Engineer Civil | Umrangso, Dima Hasao District, Assam | May 2024 | Jun 2025 | 1 Years, 1 Months, 0 Days | 5.5</t>
  </si>
  <si>
    <t>TATA STEEL LIMITED | Civil Engineering Intern | Joda, Odisha | May 2026 | Jul 2026 | 8 Weeks | Campus Internship
NHAI ( Chaitanya Projects) | Intern | Sawai Madhopur , Rajasthan | Feb 2022 | May 2022 | 15 Weeks
NAGARJUNA CONSTRUCTION COMPANY LTD ( NCC LTD) | Intern | PATNA | Jul 2021 | Aug 2021 | 4 Weeks</t>
  </si>
  <si>
    <t>Finance for Non Financial Managers by Coursera
NPTEL Ethics in Engineering by IIT Kharagpur
digi QC Project Admin Role
Construction Equipment Maintenance &amp; Safety by  L&amp;T Edtech Coursera</t>
  </si>
  <si>
    <t>P25700550</t>
  </si>
  <si>
    <t>MANGESHRAO</t>
  </si>
  <si>
    <t>KHONDE</t>
  </si>
  <si>
    <t>Krishna Mangeshrao Khonde</t>
  </si>
  <si>
    <t>krishnakhonde39@gmail.com</t>
  </si>
  <si>
    <t>p25700550@student.nicmar.ac.in</t>
  </si>
  <si>
    <t>30-Apr-2004</t>
  </si>
  <si>
    <t>English, Hindi , Marathi</t>
  </si>
  <si>
    <t>4382 9454 4788</t>
  </si>
  <si>
    <t>MANGESH DAMODHARRAO KHONDE</t>
  </si>
  <si>
    <t>SHARDA MANGESHRAO KHONDE</t>
  </si>
  <si>
    <t>C-104,7 AVENUES ,PATIL WASTI , BALEWADI ,PUNE , 411045</t>
  </si>
  <si>
    <t>DEEP NAGAR NO 1, CHATRI TALAO ROAD, AMRAVATI</t>
  </si>
  <si>
    <t>DNYANMATA HIGH SCHOOL</t>
  </si>
  <si>
    <t>NARAYAN JUNIOR COLLEGE</t>
  </si>
  <si>
    <t>TELANGANA STATE BOARD OF INTERMEDIATE EDUCATION, VIDYA BHAVAN, NAMPALLY, HYDERABAD</t>
  </si>
  <si>
    <t>SAVITRIBAI PHULE PUNE UNIVERSITY , GANESHKHIND PUNE,411007</t>
  </si>
  <si>
    <t>D.Y.PATIL COLLEGE OF ENGINEERING, AKURDI , PUNE, MAHARASHTRA</t>
  </si>
  <si>
    <t>AutoCAD,Revit Architecture</t>
  </si>
  <si>
    <t>Vikas Constructions | Project Management Intern | Lonavala, Maharashtra | May 2026 | Jul 2026 | 8 Weeks | Campus Internship
Pethkar Projects | Site Engineer | pune | Dec 2023 | Jan 2024 | 4 Weeks</t>
  </si>
  <si>
    <t>Construction Skill Development Council Of India
Revit Architecture
AUTOCAD</t>
  </si>
  <si>
    <t>P25700551</t>
  </si>
  <si>
    <t>DHARMADHIKARI</t>
  </si>
  <si>
    <t>Atharva Sanjay Dharmadhikari</t>
  </si>
  <si>
    <t>atharvadharmadhikari2001@gmail.com</t>
  </si>
  <si>
    <t>p25700551@student.nicmar.ac.in</t>
  </si>
  <si>
    <t>ENGLISH HINDI MARATHI GERMAN</t>
  </si>
  <si>
    <t>6043 7630 5341</t>
  </si>
  <si>
    <t>SANJAY DHARMADHIKARI</t>
  </si>
  <si>
    <t>SNEHA DHARMADHIKARI</t>
  </si>
  <si>
    <t>Atharva Residency, Govt Colony, Vishrambag, Sangli, 416415</t>
  </si>
  <si>
    <t>ALPHONSA SCHOOL, MIRAJ</t>
  </si>
  <si>
    <t>2009-Jun</t>
  </si>
  <si>
    <t>CAMBRIDGE JUNIOR SCHOOL, MIRAJ</t>
  </si>
  <si>
    <t>PVPIT,BUDHGOAN, SANGLI</t>
  </si>
  <si>
    <t>AutoCAD,MS Office,MS Project,Primavera,Stadd pro,Rcdc,CostX,BIM</t>
  </si>
  <si>
    <t>Revespaces  | Business development  | Pune | May 2026 | Jul 2026 | 8 Weeks | Campus Internship
Rajvardhan Constructions | Civil Engineer | Sangli | Sep 2024 | Jun 2025 | 39 Weeks
Gayatri Developers | Junior Engineer | Sangli | Jun 2024 | Aug 2024 | 13 Weeks</t>
  </si>
  <si>
    <t>P25700552</t>
  </si>
  <si>
    <t>TANUJ</t>
  </si>
  <si>
    <t>MADHUKAR</t>
  </si>
  <si>
    <t>SAHARE</t>
  </si>
  <si>
    <t>Tanuj Madhukar Sahare</t>
  </si>
  <si>
    <t>saharetanuj65@gmail.com</t>
  </si>
  <si>
    <t>p25700552@student.nicmar.ac.in</t>
  </si>
  <si>
    <t>24-Sep-1998</t>
  </si>
  <si>
    <t>7880 6902 7367</t>
  </si>
  <si>
    <t>MADHUKAR SAHARE</t>
  </si>
  <si>
    <t>DURGA SAHARE</t>
  </si>
  <si>
    <t>DENA NAGAR , BEHIND BHOLE PETROL PUMP, NH6 , AT POST TAL:- BHUSAWAL</t>
  </si>
  <si>
    <t>Ram Mandir Ward , Ram Mandir Road , Sindewahi</t>
  </si>
  <si>
    <t>TAPTI PUBLIC SCHOOL, BHUSAWAL</t>
  </si>
  <si>
    <t>P.0.NAHATA COLLEGE , BHUSAWAL</t>
  </si>
  <si>
    <t>DR. BABASAHEB AMBEDKAR TECHNOLOGICAL UNIVERSITY, LONERE, RAIGAD</t>
  </si>
  <si>
    <t>SHRI SANT GADGE BABA COLLEGE OF ENGINEERING AND TECHNOLOGY,ZTC, BHUSAWAL</t>
  </si>
  <si>
    <t>AutoCAD,MS Office,MS Project,Primavera,3D MAX,EXCEL</t>
  </si>
  <si>
    <t>M/s. Chaturbhuj Constructions , Bhusawal | Senior Site engineer | Bhusawal | May 2022 | May 2025 | 3 Years, 0 Months, 0 Days | 2.2</t>
  </si>
  <si>
    <t>SINGHANIA BUILDCON Pvt. Ltd | PLanning , Site execution and Control | Raipur | May 2026 | Jul 2026 | 8 Weeks | Campus Internship
Jivan Pramod Sarode | Site Engineer | BHusawal | Dec 2021 | Apr 2022 | 21 Weeks
Dhananjay Nath Tiwari | Intern at site | Bhusawal | Dec 2018 | Dec 2018 | 2 Weeks</t>
  </si>
  <si>
    <t>Elementary and Intermediate grade Drawing Examination
E Tendering programme
Auto Cad , 3d MAX</t>
  </si>
  <si>
    <t>P25700553</t>
  </si>
  <si>
    <t>SAMEEP</t>
  </si>
  <si>
    <t>KUMBALKAR</t>
  </si>
  <si>
    <t>Sameep Jagdish Kumbalkar</t>
  </si>
  <si>
    <t>sameepk31@gmail.com</t>
  </si>
  <si>
    <t>p25700553@student.nicmar.ac.in</t>
  </si>
  <si>
    <t>31-Jul-2003</t>
  </si>
  <si>
    <t>4147 9757 1147</t>
  </si>
  <si>
    <t>JAGDISH BHAGWANTRAO KUMBALKAR</t>
  </si>
  <si>
    <t>SUJATA JAGDISH KUMBALKAR</t>
  </si>
  <si>
    <t>FLAT 605 AMAR SERINITY E WING PASHAN PUNE 411021</t>
  </si>
  <si>
    <t>12, VIJSNEHI COLONY KATHORA ROAD AMRAVATI 444604</t>
  </si>
  <si>
    <t>TOMOAE PRIMARY ENGLISH MEDIUM SCHOOL , RAHATGAON</t>
  </si>
  <si>
    <t>COUNCIL FOR INDIAN SCHOOL CERTIFICATE EXAMINATIONS , NEW DELHI</t>
  </si>
  <si>
    <t>P. R. POTE PATIL KANISHTHA MAHAVIDYALAYA , AMRAVATI</t>
  </si>
  <si>
    <t>MAHARASHTRA STATE BOARD OF SECONDARY AND HIGHER EDUCATION , PUNE</t>
  </si>
  <si>
    <t>AISSMS COLLEGE OF ENGINEERING , PUNE</t>
  </si>
  <si>
    <t xml:space="preserve">AutoCAD , MS Office , MS Project , Primavera </t>
  </si>
  <si>
    <t>Pyramid Lifestyle LTD | Intern - Civil Dep. | Pune | May 2026 | Jul 2026 | 8 Weeks | Campus Internship
HAARDHIK IMPULSE DEVELOPERS LLP | TRAINEE ENGINEER | MOSHI , PUNE 412105 | Dec 2023 | Jan 2024 | 4 Weeks</t>
  </si>
  <si>
    <t>P25700554</t>
  </si>
  <si>
    <t>Shubham Dilip Shinde</t>
  </si>
  <si>
    <t>shubhamshinde5175@gmail.com</t>
  </si>
  <si>
    <t>p25700554@student.nicmar.ac.in</t>
  </si>
  <si>
    <t>04-Mar-2000</t>
  </si>
  <si>
    <t>marathi, english,hindi</t>
  </si>
  <si>
    <t>7847 5502 8276</t>
  </si>
  <si>
    <t>VANITA</t>
  </si>
  <si>
    <t>604 Brindavan Vatika, Near KDMC B WARD OFFICE, OPP. Cinemax, Barave Road, Khadakpada, Kalyan(W)</t>
  </si>
  <si>
    <t>SHREE  GAJANAN VIDHALAY</t>
  </si>
  <si>
    <t>MAHARASHTRA STATE BOARD OF SECONDARY AND HIGHER EDUCATION</t>
  </si>
  <si>
    <t>K. M. AGARRWAL</t>
  </si>
  <si>
    <t>S.H. JONDHALE COLLEGE  POLYTECHNIC DOMBIVLI</t>
  </si>
  <si>
    <t>M.G.M COLLEGE OF ENGINEERING AND TECHNOLOGY. KAMOTHE.</t>
  </si>
  <si>
    <t>PSP Projects | Civil Intern | mahim, mumbai | May 2026 | Jul 2026 | 8 Weeks | Campus Internship
Ethics Infotech | intern  | Thane | May 2019 | Jun 2019 | 5 Weeks
Eagle Design And Construction | intern  | kalyan | Oct 2024 | Jan 2025 | 13 Weeks</t>
  </si>
  <si>
    <t>P25700555</t>
  </si>
  <si>
    <t>KARTIK</t>
  </si>
  <si>
    <t>SHELKE</t>
  </si>
  <si>
    <t>Kartik Sunil Shelke</t>
  </si>
  <si>
    <t>kartikshelke976@gmail.com</t>
  </si>
  <si>
    <t>p25700555@student.nicmar.ac.in</t>
  </si>
  <si>
    <t>6191 2097 1746</t>
  </si>
  <si>
    <t>SUNIL SHELKE</t>
  </si>
  <si>
    <t>LATA SHELKE</t>
  </si>
  <si>
    <t>PARK CONNECT RAJIV GANDHI IT PARK, HINJEWADI PHASE 1 , 411057</t>
  </si>
  <si>
    <t>Samarth Super Shop, Ekta Nagar , Buldana , 443001</t>
  </si>
  <si>
    <t>BHARAT VIDAYALAYA BULDANA</t>
  </si>
  <si>
    <t>SHARAD PAWAR VIDYALAYA AND KANISTHA MAHAVIDYALAYA BULDANA</t>
  </si>
  <si>
    <t>DR.D Y PATIL INSTITUTE OF ENGINEERING MANAGEMENT AND RESEARCH,PUNE</t>
  </si>
  <si>
    <t>AutoCAD,MS Office,MS Project,Oracle Fusion</t>
  </si>
  <si>
    <t>Kirloskar Ferrous Industries limited | Senior Engineer | Baramati | Oct 2024 | May 2025 | 0 Years, 7 Months, 8 Days | 4.65
Kirloskar Ferrous Industries limited | Graduate Enginner Trainee | Baramati | Oct 2023 | Oct 2024 | 0 Years, 11 Months, 29 Days | 4</t>
  </si>
  <si>
    <t>EZ Realty | Management Consultant | Kharadi , Pune | May 2026 | Jul 2026 | 8 Weeks | Campus Internship</t>
  </si>
  <si>
    <t>P25700557</t>
  </si>
  <si>
    <t>JAYWANT</t>
  </si>
  <si>
    <t>Chinmay Jaywant Patil</t>
  </si>
  <si>
    <t>patilchinmay2000@gmail.com</t>
  </si>
  <si>
    <t>p25700557@student.nicmar.ac.in</t>
  </si>
  <si>
    <t>14-Nov-2000</t>
  </si>
  <si>
    <t>6774 2379 2603</t>
  </si>
  <si>
    <t>JAYWANT RAGHO PATIL</t>
  </si>
  <si>
    <t>SUSHILA</t>
  </si>
  <si>
    <t>FLAT NO-403, 4TH FLOOR, AURUS SOCIETY, VIRBHADRA NAGAR, BANER- PUNE</t>
  </si>
  <si>
    <t>Plot No- 319, Near Vajreshwari Temple, Shivaji Nagar, Jalgaon</t>
  </si>
  <si>
    <t>LALJI NARAYANJI SARVAJANIK VIDYALAY, JALGAON</t>
  </si>
  <si>
    <t>SECONDARY AND HIGHER SECONDARY EDUCATION, PUNE/MAHARSHTRA</t>
  </si>
  <si>
    <t>GOVERNMENT POLYTECHNIC, AWSARI(KH), PUNE</t>
  </si>
  <si>
    <t>SINHGAD ACADEMY OF ENGINEERING, PUNE</t>
  </si>
  <si>
    <t>MSP (Microsoft Project), Primavera P6, SAP (ERP), MS Office, Revit, Intermediate Drawing Grade Examination, MS- CIT, KLiC Certificate Courses of AutoCAD</t>
  </si>
  <si>
    <t>J. K. Construction | Site Engineer | Pune | Sep 2023 | Mar 2024 | 0 Years, 6 Months, 21 Days | 1
Ganesh B. Dabak | Site Engineer | Pune | Apr 2024 | Apr 2025 | 1 Years, 0 Months, 0 Days | 1.1</t>
  </si>
  <si>
    <t>Hiranandani Group | Project Contract and Planning Intern | Powai, Mumbai | May 2026 | Jul 2026 | 9 Weeks | Campus Internship
NIRTMITEE | TRAINEE ENGINEER | VILE PAREL (EAST), MUMBAI | Mar 2022 | Apr 2022 | 6 Weeks</t>
  </si>
  <si>
    <t>MS- CIT
Intermediate Drawing Grade Examination
KLiC Certificate Course in AutoCAD</t>
  </si>
  <si>
    <t>P25700558</t>
  </si>
  <si>
    <t>YADHNESHRAJE</t>
  </si>
  <si>
    <t>Yadhneshraje Kishor Burade</t>
  </si>
  <si>
    <t>yadhnesh01@gmail.com</t>
  </si>
  <si>
    <t>p25700558@student.nicmar.ac.in</t>
  </si>
  <si>
    <t>22-Oct-2001</t>
  </si>
  <si>
    <t>Hindi, Marathi, English</t>
  </si>
  <si>
    <t>7253 0245 6462</t>
  </si>
  <si>
    <t>KISHOR S. BURADE</t>
  </si>
  <si>
    <t>GOVERMENT SERVENT</t>
  </si>
  <si>
    <t>JYOTI S. BURADE</t>
  </si>
  <si>
    <t>BALEWADI, PUNE, MAHARASHTRA</t>
  </si>
  <si>
    <t>Mahal, Nagpur, Maharashtra</t>
  </si>
  <si>
    <t>NITYANAND VIDYALAY</t>
  </si>
  <si>
    <t>NAGPUR</t>
  </si>
  <si>
    <t>NANDANWAN HIGH SCHOOL</t>
  </si>
  <si>
    <t>PRIYADARSHINI INSTITUTE OF ARCHITECTURE AND DESIGN STUDIES</t>
  </si>
  <si>
    <t>AutoCAD,MS Office,Photoshop,Lumion,Sketchup,Blender,Revit</t>
  </si>
  <si>
    <t>BLUBRICK REALTY | Sales Executive  | Pune | May 2026 | Jul 2026 | 8 Weeks | Campus Internship
SHITESH AGRAWAL ARCHITECTS PVT. LTD. | ARCHITECTURAL INTERN | PUNE | Jan 2023 | Sep 2023 | 34 Weeks</t>
  </si>
  <si>
    <t>BIM Fundamentals for Engineers
Finance for Non-Financial Managers</t>
  </si>
  <si>
    <t>P25700559</t>
  </si>
  <si>
    <t>GADA</t>
  </si>
  <si>
    <t>Anant Gada</t>
  </si>
  <si>
    <t>anantgada5011@gmail.com</t>
  </si>
  <si>
    <t>p25700559@student.nicmar.ac.in</t>
  </si>
  <si>
    <t>21-Feb-2003</t>
  </si>
  <si>
    <t>ENGLISH ,KANNADA ,HINDI , TELUGU</t>
  </si>
  <si>
    <t>Buildability focused on Meta- Architecture,Indian Philosophy and Cultural Science</t>
  </si>
  <si>
    <t>8334 8418 8547</t>
  </si>
  <si>
    <t>SURENDRA GADA</t>
  </si>
  <si>
    <t>VEENA S GADA</t>
  </si>
  <si>
    <t>HNO 1-6/3,Garden Road,Gada Complex , Vasant Rao Jajee Layout</t>
  </si>
  <si>
    <t>SWAMINARAYAN INTERNATIONAL SCHOOL GULBARGA</t>
  </si>
  <si>
    <t>GURUKUL PU COLLEGEOF SC</t>
  </si>
  <si>
    <t>DEPARTMENT OF PRE-UNIVERSITY EDUCTATION,KARNATAKA</t>
  </si>
  <si>
    <t>SJB SCHOOL OF ARCHITECTURE AND PLANNING</t>
  </si>
  <si>
    <t>AutoCAD,MS Office,MS Project,Primavera,RIB CostX,Revit,SketchUp,Photoshop,Canva,D5</t>
  </si>
  <si>
    <t>Ahluwalia Contracts (India) Limited | Tendering &amp; Technical Coordination Intern | New Delhi | May 2026 | Jul 2026 | 8 Weeks | Campus Internship
SANKALP ASSOCIATES | INTERN  | KALABURAGI  | Dec 2024 | Apr 2025 | 15 Weeks
EdiGlobe | Construction Planning Intern | Remote | Mar 2026 | May 2026 | 8 Weeks</t>
  </si>
  <si>
    <t>P25700560</t>
  </si>
  <si>
    <t>INDULE</t>
  </si>
  <si>
    <t>Rohit Sanjay Indule</t>
  </si>
  <si>
    <t>rohitindule@gmail.com</t>
  </si>
  <si>
    <t>p25700560@student.nicmar.ac.in</t>
  </si>
  <si>
    <t>06-Feb-2002</t>
  </si>
  <si>
    <t>8931 4429 5243</t>
  </si>
  <si>
    <t>Flat No. E - 1103, The Metropolitan Society, Opposite Darshan Hall, Pimpri-Chinchwad Link Road, Chinchwad, Pune 411033</t>
  </si>
  <si>
    <t>CITY INTERNATONAL SCHOOL AUNDH PUNE MR</t>
  </si>
  <si>
    <t>THE ORCHID SCHOOL PUNE MAHARASHTRA</t>
  </si>
  <si>
    <t>PIMPRI CHINCHWAD EDUCATION TRUST'S  PIMPRI CHINCHWAD COLLEGE OF ENGINEERING NIGDI PUNE</t>
  </si>
  <si>
    <t>AutoCAD, MS Office, MS Project, Primavera, Building Information Modeling (BIM)</t>
  </si>
  <si>
    <t>EZ Realty | Real Estate Marketing Intern | PUNE | May 2026 | Jul 2026 | 8 Weeks | Campus Internship
know How Schools LLP | Onsite Civil Training Intern (Building Construction)) | Pune | Jun 2023 | Jul 2023 | 4 Weeks</t>
  </si>
  <si>
    <t>P25700561</t>
  </si>
  <si>
    <t>ROHAN KUMAR</t>
  </si>
  <si>
    <t>RAMADUGU</t>
  </si>
  <si>
    <t>Rohan Kumar Ramadugu</t>
  </si>
  <si>
    <t>rohankumarramadugu@gmail.com</t>
  </si>
  <si>
    <t>p25700561@student.nicmar.ac.in</t>
  </si>
  <si>
    <t>14-Sep-2001</t>
  </si>
  <si>
    <t>ENGLISH, HINDI AND TELUGU</t>
  </si>
  <si>
    <t>8250 2153 3467</t>
  </si>
  <si>
    <t>RAMADUGU SREENIVASULU</t>
  </si>
  <si>
    <t>RAMADUGU SRIDEVI</t>
  </si>
  <si>
    <t>H.no 6-3-1113 JM Apartment, Flat No 102, 1st Floor, Nishat Bagh Colony, Somajiguda, Hyderabad, Telangana</t>
  </si>
  <si>
    <t>BOARD OF SECONDARY EDUCATION, TELANGANA STATE</t>
  </si>
  <si>
    <t>DELTA JUNIOR COLLEGE</t>
  </si>
  <si>
    <t>JAWAHARLAL NEHRU ARCHITECTURE AND FINE ARTS UNIVERSITY, SPA</t>
  </si>
  <si>
    <t>AutoCAD,MS Office,MS Project,Primavera,Revit,BIM,Navisworks,CostX,SketchUp,Adobe Photoshop,Adobe Indesign,Lumion</t>
  </si>
  <si>
    <t>Team One India Pvt.Ltd | Architect (Design Co-ordination) | Hyderabad, Telangana | Jul 2024 | Jun 2025 | 0 Years, 11 Months, 13 Days | 3.6</t>
  </si>
  <si>
    <t>Cherry Hill Interiors Pvt Ltd | Project Management Intern | Hyderabad, Telangana | May 2026 | Jul 2026 | 8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</si>
  <si>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</si>
  <si>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P25700562</t>
  </si>
  <si>
    <t>CS DEVADATHAN</t>
  </si>
  <si>
    <t>NAMBOOTHIRY</t>
  </si>
  <si>
    <t>Cs Devadathan Namboothiry</t>
  </si>
  <si>
    <t>devadathanchandramana@gmail.com</t>
  </si>
  <si>
    <t>p25700562@student.nicmar.ac.in</t>
  </si>
  <si>
    <t>English, Malayalam,Tamil</t>
  </si>
  <si>
    <t>Cricket,Movies,Gaming</t>
  </si>
  <si>
    <t>6513 0758 0801</t>
  </si>
  <si>
    <t>CS SREEDHARAN NAMBOOTHIRY</t>
  </si>
  <si>
    <t>COOPERATIVE EMPLOYEE</t>
  </si>
  <si>
    <t>GEETHA DEVI M</t>
  </si>
  <si>
    <t>Chandramana ,Pathirappally. P.0-
Alappuzha</t>
  </si>
  <si>
    <t>MATHA SENIOR SECONDARY SCHOOL</t>
  </si>
  <si>
    <t>CBSE BOARD - ALAPPUZHA , KERALA</t>
  </si>
  <si>
    <t>HSS THIRUVAMBADY</t>
  </si>
  <si>
    <t>DHSE BOARD -ALAPPUZHA, KERALA</t>
  </si>
  <si>
    <t>RAJAGIRI SCHOOL OF ENGINEERING AND TECHNOLOGY ,ERNAKULAM , KERALA</t>
  </si>
  <si>
    <t>AutoCAD,MS Project,Primavera,eQUEST</t>
  </si>
  <si>
    <t>Sobha Limited  | Intern-Project Planning  | Thiruvananthapuram,Kerala | May 2026 | Jul 2026 | 9 Weeks | Campus Internship
J &amp; J CONSTRUCTION | INTERN | THIRUVANANTHAPURAM, VAIKOM | Jul 2024 | Jul 2024 | 1 Weeks</t>
  </si>
  <si>
    <t>P25700563</t>
  </si>
  <si>
    <t>ANTONY</t>
  </si>
  <si>
    <t>THOMAS</t>
  </si>
  <si>
    <t>Antony Thomas</t>
  </si>
  <si>
    <t>antonykt2000@gmail.com</t>
  </si>
  <si>
    <t>p25700563@student.nicmar.ac.in</t>
  </si>
  <si>
    <t>18-Mar-2000</t>
  </si>
  <si>
    <t>7689 3134 1942</t>
  </si>
  <si>
    <t>K.PAUL THOMAS</t>
  </si>
  <si>
    <t>INSURANCE AGENT</t>
  </si>
  <si>
    <t>JIBI THOMAS</t>
  </si>
  <si>
    <t>HOUSE NO. 92A-KURUSSUVEETTIL HOUSE, THOTTUMUGHOM P.O, ALUVA</t>
  </si>
  <si>
    <t>MAR ATHANASIUS COLLEGE OF ENGINEERING, KOTHAMANGALAM</t>
  </si>
  <si>
    <t>AutoCAD, Revit, Navisworks, MS Office, MS Project, Primavera, RIB CostX, Facts ERP</t>
  </si>
  <si>
    <t>ASTRA ENGINEERING &amp; CONSTRUCTION LLC | ENGINEER - PLANNING | SHARJAH, UNITED ARAB EMIRATES | May 2023 | Apr 2025 | 1 Years, 11 Months, 22 Days | 15.18</t>
  </si>
  <si>
    <t>JYOTI STRUCTURES LIMITED | SUMMER INTERN | GUJARAT | May 2026 | Jul 2026 | 8 Weeks | Campus Internship</t>
  </si>
  <si>
    <t>PRIMAVERA WITH PPM CONCEPTS
REVIT ARCHITECTURE
AutoCAD (CIVIL)</t>
  </si>
  <si>
    <t>P25700564</t>
  </si>
  <si>
    <t>JALLELA</t>
  </si>
  <si>
    <t>Dinesh Yadav Jallela</t>
  </si>
  <si>
    <t>dineshjallela@gmail.com</t>
  </si>
  <si>
    <t>p25700564@student.nicmar.ac.in</t>
  </si>
  <si>
    <t>15-Oct-2002</t>
  </si>
  <si>
    <t>3821 8084 7178</t>
  </si>
  <si>
    <t>JALLELA LAXMAIAH</t>
  </si>
  <si>
    <t>JALLELA SHIVALEELA</t>
  </si>
  <si>
    <t>PLOT NO 100, SAI BRUNDAVAN COLONY, RAGANNAGUDA, RANGAREDDY, TELANGANA</t>
  </si>
  <si>
    <t>Ranga Reddy</t>
  </si>
  <si>
    <t>IICT ZM HIGH SCHOOL</t>
  </si>
  <si>
    <t>JN GOVERNMENT POLYTECHNIC, RAMANTHAPUR, HYDERABAD</t>
  </si>
  <si>
    <t>ACE ENGINEERING COLLEGE, MEDCHAL-MALKAJGIRI, TELANGANA</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</si>
  <si>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</si>
  <si>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</si>
  <si>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</si>
  <si>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P25700565</t>
  </si>
  <si>
    <t>LOKESH</t>
  </si>
  <si>
    <t>S.</t>
  </si>
  <si>
    <t>MARGHADE</t>
  </si>
  <si>
    <t>Lokesh S. Marghade</t>
  </si>
  <si>
    <t>lmarghade2003@gmail.com</t>
  </si>
  <si>
    <t>p25700565@student.nicmar.ac.in</t>
  </si>
  <si>
    <t>02-May-2003</t>
  </si>
  <si>
    <t>Travelling</t>
  </si>
  <si>
    <t>2712 8747 0207</t>
  </si>
  <si>
    <t>Babaji Nivas, Near Aditi Automobile, Deoli, Wardha</t>
  </si>
  <si>
    <t>JNATA VIDYALAYA PAWAN NAGAR, CIDCO, NASHIK</t>
  </si>
  <si>
    <t>MAHARASHTRA STATE BOARD OF SECONDARY AND HIGHER SECONDARY EDUCATION, NASHIK/ MAHARASHTRA</t>
  </si>
  <si>
    <t>ACHARYA SHRIMANNARAYAN POLYTECHNIC PIPRI, WARDHA/ MAHARASHTRA</t>
  </si>
  <si>
    <t>ST. VINCENT PALLOTTI COLLEGE OF ENGINEERING &amp; TECHNOLOGY, NAGPUR/ MAHARASHTRA</t>
  </si>
  <si>
    <t>AutoCAD,MS Office,MS Project,Primavera,Naviswork,Revit Architecture</t>
  </si>
  <si>
    <t>R Sandesh LLP | Construction Management Trainee | Nagpur | May 2026 | Jul 2026 | 9 Weeks | Campus Internship
PLA PROJECT PRIVATE LIMITED | TRAINEE ENGINEER | NAGPUR | Dec 2024 | Apr 2025 | 19 Weeks</t>
  </si>
  <si>
    <t>P25700566</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</si>
  <si>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</si>
  <si>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</si>
  <si>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</si>
  <si>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</si>
  <si>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</si>
  <si>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</si>
  <si>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</si>
  <si>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</si>
  <si>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</si>
  <si>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</si>
  <si>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</si>
  <si>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</si>
  <si>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</si>
  <si>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</si>
  <si>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Uralungal Labour Contractive co-operative Society | Site Engineer | Trivandrum | Dec 2022 | Dec 2024 | 2 Years, 0 Months, 21 Days | 3</t>
  </si>
  <si>
    <t>E-Construct Design &amp; Build Pvt Ltd | Management Intern | Banglore | May 2026 | Jun 2026 | 8 Weeks | Campus Internship
P.W.D Special Buildings Section Thiruvananthapuram | Site Intern | Thiruvananthapuram | Jul 2019 | Jul 2019 | 0 Weeks
P.W.D Bridges section Thiruvananthapuram | Site intern | Thiruvananthapuram | Jun 2018 | Jul 2018 | 2 Weeks</t>
  </si>
  <si>
    <t>Microsoft Project for Project Manager &amp; Civil Engineers
Proffesional Certificate in Project Management</t>
  </si>
  <si>
    <t>P25700567</t>
  </si>
  <si>
    <t>VISHAD</t>
  </si>
  <si>
    <t>Vishad Ramesh Patil</t>
  </si>
  <si>
    <t>vishad.patil2001@gmail.com</t>
  </si>
  <si>
    <t>p25700567@student.nicmar.ac.in</t>
  </si>
  <si>
    <t>26-Apr-2001</t>
  </si>
  <si>
    <t>2021 0722 6038</t>
  </si>
  <si>
    <t>RAMESH PATIL</t>
  </si>
  <si>
    <t>EXPIRE</t>
  </si>
  <si>
    <t>SANDHYA PATIL</t>
  </si>
  <si>
    <t>C-17/202, Shree Sagar Darshan CHS, Sector-16, Nerul, Navi Mumbai</t>
  </si>
  <si>
    <t>MAHATMA GANDHI MISSION PRIMARY &amp; SECONDARY SCHOOL, NERUL</t>
  </si>
  <si>
    <t>CENTRAL BOARD OF SECONDARY EDUCATION (CBSE), NAVI MUMBAI/MAHARASHTRA</t>
  </si>
  <si>
    <t>MAHARASHTRA STATE BOARD OF TECHNICAL EDUCATION</t>
  </si>
  <si>
    <t>AGNEL POLYTECHNIC, VASHI, NAVI MUMBAI/MAHARASHTRA</t>
  </si>
  <si>
    <t>MAHATMA GANDHI MISSION'S COLLEGE OF ENGINEERING &amp; TECHNOLOGY</t>
  </si>
  <si>
    <t>DMart - Avenue Supermarts Limited | GET - Procurement | Thane, Maharashtra | Jan 2025 | May 2025 | 0 Years, 4 Months, 14 Days | 4
Biltrax Construction Data | Analyst | Turbhe, Navi Mumbai | Aug 2023 | Oct 2024 | 1 Years, 2 Months, 10 Days | 1.92</t>
  </si>
  <si>
    <t>PSP Projects Limited | Civil - Intern | Mumbai, Maharashtra | May 2026 | Jul 2026 | 8 Weeks | Campus Internship
J.KUMAR INFRAPROJECTS LTD. | INTERN | WAHAL, ULWE | May 2019 | Jun 2019 | 5 Weeks</t>
  </si>
  <si>
    <t>P25700568</t>
  </si>
  <si>
    <t>TOKALE</t>
  </si>
  <si>
    <t>Rutuja Dhanaji Tokale</t>
  </si>
  <si>
    <t>rututokale2000@gmail.com</t>
  </si>
  <si>
    <t>p25700568@student.nicmar.ac.in</t>
  </si>
  <si>
    <t>01-Jan-2001</t>
  </si>
  <si>
    <t>4624 8815 8830</t>
  </si>
  <si>
    <t>DHANAJI GANAPATRAO TOKALE</t>
  </si>
  <si>
    <t>SATYABHAMA TOKALE</t>
  </si>
  <si>
    <t>Reddy Colony, College Road, Behind Reddy Petrol Pump, Ahmedpur</t>
  </si>
  <si>
    <t>YESHAWANT VIDYALAYA, AHMEDPUR.</t>
  </si>
  <si>
    <t>SAVITRIBAI PHULE PUNE UNVIVERSITY</t>
  </si>
  <si>
    <t>D. Y. PATIL SCHOOL OF ARCHITECTURE, AMBI, PUNE, MAHARASHTRA</t>
  </si>
  <si>
    <t>AutoCAD,MS Office,Sketchup,Vray,Enscape,Lumion,Photoshop</t>
  </si>
  <si>
    <t>Hauspire Luxury Interiors | Junior Architect | Pune | Mar 2024 | Mar 2025 | 1 Years, 0 Months, 1 Days | 2</t>
  </si>
  <si>
    <t>Medigence solutions | Project management role | Ahmedabad | May 2026 | Jul 2026 | 8 Weeks | Campus Internship</t>
  </si>
  <si>
    <t>Leadership and emotional intelligence
Project Network
Coursera - Digital Manufacturing &amp; Design</t>
  </si>
  <si>
    <t>P25700569</t>
  </si>
  <si>
    <t>HARSHARAJ</t>
  </si>
  <si>
    <t>Harsharaj Singh</t>
  </si>
  <si>
    <t>harsharaj2099@gmail.com</t>
  </si>
  <si>
    <t>p25700569@student.nicmar.ac.in</t>
  </si>
  <si>
    <t>20-Oct-1999</t>
  </si>
  <si>
    <t>English,Hindi,Bengali</t>
  </si>
  <si>
    <t>2958 3452 1847</t>
  </si>
  <si>
    <t>PURUSHOTTAM KUMAR SINGH</t>
  </si>
  <si>
    <t>LT MEENAKSHI SINGH</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</si>
  <si>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</si>
  <si>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</si>
  <si>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</si>
  <si>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</si>
  <si>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</si>
  <si>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</si>
  <si>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</si>
  <si>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P25700570</t>
  </si>
  <si>
    <t>Patil Jay Sunil</t>
  </si>
  <si>
    <t>rohanpati6279@gmail.com</t>
  </si>
  <si>
    <t>p25700570@student.nicmar.ac.in</t>
  </si>
  <si>
    <t>20-Jun-2000</t>
  </si>
  <si>
    <t>4050 6933 1656</t>
  </si>
  <si>
    <t>SUNIL JIJABRAO PATIL</t>
  </si>
  <si>
    <t>SWATI SUNIL PATIL</t>
  </si>
  <si>
    <t>Uttam Bhai Chal Taloda Road, Nandurbar</t>
  </si>
  <si>
    <t>SMT. HIRIBEN GOVINDDAS SHROFF HIGHSCHOOL</t>
  </si>
  <si>
    <t>UPADHYE COLLEGE OF SCIENCE, NASHIK</t>
  </si>
  <si>
    <t>MET BHUJBAL KNOWLEDGE CITY, NASHIK</t>
  </si>
  <si>
    <t>NORTH MAHARASHTRA UNIVERSITY JALGAON</t>
  </si>
  <si>
    <t>SHRI JAYKUMAR RAVAL INSTITUTE OF TECHNOLOGY DONDAICHA DHULE</t>
  </si>
  <si>
    <t>BLUBRICK REALTY  | Sales Intern | Pune | May 2026 | Jul 2026 | 8 Weeks | Campus Internship</t>
  </si>
  <si>
    <t>P25700571</t>
  </si>
  <si>
    <t>OMPRAKASH</t>
  </si>
  <si>
    <t>HEDA</t>
  </si>
  <si>
    <t>Abhishek Omprakash Heda</t>
  </si>
  <si>
    <t>hedaabhishek9@gmail.com</t>
  </si>
  <si>
    <t>p25700571@student.nicmar.ac.in</t>
  </si>
  <si>
    <t>09-May-2001</t>
  </si>
  <si>
    <t>8263 3506 5451</t>
  </si>
  <si>
    <t>OMPRAKASH HEDA</t>
  </si>
  <si>
    <t>SONAL HEDA</t>
  </si>
  <si>
    <t>19, Mahesh Nagar, Behind Dmart, Badnera Road, Amravati</t>
  </si>
  <si>
    <t>JUBLI ENGLISH HIGH SCHOOL AKOLA MAHARASHTRA</t>
  </si>
  <si>
    <t>CBSE, AKOLA MAHARASHTRA</t>
  </si>
  <si>
    <t>GOVERNMENT POLYTECHNIC, ARVI, WARDHA</t>
  </si>
  <si>
    <t>ST. VINCENT PALLOTTI COLLEGE OF ENGINEERING &amp; TECHNOLOGY, NAGPUR, MAHARASHTRA</t>
  </si>
  <si>
    <t>Sobha Limited | Project Management Intern | Ernakulam, Kerala | May 2026 | Jul 2026 | 9 Weeks | Campus Internship
INTEGRITY CONSTRUCTION PVT. LTD. | SITE/FIELD INTERN | NAGPUR | Jan 2024 | Apr 2024 | 14 Weeks</t>
  </si>
  <si>
    <t>Ethics in Engineering Practice
Green Building Assessment &amp;  Certification
Project Management</t>
  </si>
  <si>
    <t>P25700572</t>
  </si>
  <si>
    <t>MANGAONKAR</t>
  </si>
  <si>
    <t>Swapnil Sanjay Mangaonkar</t>
  </si>
  <si>
    <t>swapnilmangaonkar10@gmail.com</t>
  </si>
  <si>
    <t>p25700572@student.nicmar.ac.in</t>
  </si>
  <si>
    <t>3424 4046 1914</t>
  </si>
  <si>
    <t>1/15,sahakar Niwas ,haryali Village_x000D_
Ganesh Marg, Vikhroli (E), Mumbai - 40083</t>
  </si>
  <si>
    <t>VIKAS HIGH SCHOOL, VIKHROLI, MUMBAI</t>
  </si>
  <si>
    <t>DIPLOMA IN CIVIL ENGINEERING (DCE)</t>
  </si>
  <si>
    <t>VEERMATA JIJABAI TECHNOLOGICAL INSTITUTE, MATUNGA, MUMBAI</t>
  </si>
  <si>
    <t>NEW HORIZON INSTITUTE OF TECHNOLOGY AND MANAGEMENT, THANE</t>
  </si>
  <si>
    <t>AutoCAD,MS Office,MS Project,Primavera,Power BI,CostX</t>
  </si>
  <si>
    <t>Aurum Girnar Pvt. Ltd | PMC Execution - Junior Site Engineer | Q parc, Ghansoli, Navi Mumbai | Nov 2022 | Jun 2025 | 2 Years, 7 Months, 4 Days | 4.75</t>
  </si>
  <si>
    <t>31 month(s)</t>
  </si>
  <si>
    <t>Firstspace Development Management Private Limited | Intern - Projects | Bkc, Mumbai | May 2026 | Jun 2026 | 8 Weeks | Campus Internship
AURUM PLATZ IT PVT LTD | CIVIL ENGINEER INTERN | GHANSOLI | Jul 2022 | Sep 2022 | 13 Weeks</t>
  </si>
  <si>
    <t>Mr. Swapnil Mangaonkar, Prof. Yashwanth Kumar Shetty " Comparison Between EPS Construction and Brick Construction" International Research Journal of Modernization in Engineering and Technology and Science (IRJMETS), E-ISSN:2582-5208, Volume 04, Issue 04.
Finance for Non-Financial Manager, Emory University</t>
  </si>
  <si>
    <t>P25700573</t>
  </si>
  <si>
    <t>KUNDALWAL</t>
  </si>
  <si>
    <t>Pranav Rajesh Kundalwal</t>
  </si>
  <si>
    <t>pranavkundalwal@gmail.com</t>
  </si>
  <si>
    <t>p25700573@student.nicmar.ac.in</t>
  </si>
  <si>
    <t>8327 7249 0544</t>
  </si>
  <si>
    <t>RAJESH KUNDALWAL</t>
  </si>
  <si>
    <t>BABY KUNDALWAL</t>
  </si>
  <si>
    <t>GODREJ HILL SIDE 1, MAHALUNGE, PUNE</t>
  </si>
  <si>
    <t>Ambika Nagar, Yavatmal</t>
  </si>
  <si>
    <t>JAJOO JUNIOR COLLEGE</t>
  </si>
  <si>
    <t>SANT GADGE BABA UNIVERSITY, AMRAVATI</t>
  </si>
  <si>
    <t>JAWAHARLAL DARDA INSTITUTE OF ENGINEERING AND TECHNOLOGY, YAVATMAL</t>
  </si>
  <si>
    <t>JAGANNATH CONSTRUCTION COMPANY | site engineer  | YAVATMAL | Jan 2023 | Jan 2023 | 1 Weeks</t>
  </si>
  <si>
    <t>P25700574</t>
  </si>
  <si>
    <t>DEEKSHITH</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</si>
  <si>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</si>
  <si>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</si>
  <si>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</si>
  <si>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</si>
  <si>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</si>
  <si>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</si>
  <si>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</si>
  <si>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</si>
  <si>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</si>
  <si>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</si>
  <si>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</si>
  <si>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DEPARTMENT OF PRE-UNIVERSITY EDUCATION KARNATAKA</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</si>
  <si>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</si>
  <si>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</si>
  <si>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 Weeks</t>
  </si>
  <si>
    <t>Introduction To Revit
ASCE Student Chapter Secretary
Indian Concrete Institute Student Membership
NPTEL - The Joy of Computing Using Python</t>
  </si>
  <si>
    <t>P25700575</t>
  </si>
  <si>
    <t>RAJENDRAKUMAR</t>
  </si>
  <si>
    <t>NARALE</t>
  </si>
  <si>
    <t>Rohit Rajendrakumar Narale</t>
  </si>
  <si>
    <t>rohitnarale9999@gmail.com</t>
  </si>
  <si>
    <t>p25700575@student.nicmar.ac.in</t>
  </si>
  <si>
    <t>30-Jun-2002</t>
  </si>
  <si>
    <t>Swimming</t>
  </si>
  <si>
    <t>5425 3957 2334</t>
  </si>
  <si>
    <t>SADHANA</t>
  </si>
  <si>
    <t>Near S.RA.More School, 9, Ganesh Nagar Bhag 4 Vijapur Road, Solapur</t>
  </si>
  <si>
    <t>BHARATI VIDHYAPEETH , SOLAPUR</t>
  </si>
  <si>
    <t>MAHARASHTRA STATE BOARD OF SECONDARY  AND HIGHER SECONDARY EDUCATION, PUNE</t>
  </si>
  <si>
    <t>SWAMI VIVEKANAND ART AND SCIENCE JUNIOR COLLEGE, SOLAPUR</t>
  </si>
  <si>
    <t>COLLEGE OF ENGINEERING, PANDHARPUR</t>
  </si>
  <si>
    <t>AutoCAD,MS Office,MS Project,Primavera,SketchUP,Revit,BIM,MS EXCEL,Naviswork,Cost X</t>
  </si>
  <si>
    <t>Goel Ganga Group | Site Execution &amp; Project control Intern | Pune | May 2026 | Jul 2026 | 8 Weeks | Campus Internship
GURU DEVELOPERS AND ASSOCIATES | TRAINEE ENGINEER | PUNE | Aug 2023 | Mar 2024 | 32 Weeks</t>
  </si>
  <si>
    <t>P25700576</t>
  </si>
  <si>
    <t>DANGAT</t>
  </si>
  <si>
    <t>Arya Umesh Dangat</t>
  </si>
  <si>
    <t>aryadangat4843@gmail.com</t>
  </si>
  <si>
    <t>p25700576@student.nicmar.ac.in</t>
  </si>
  <si>
    <t>6018 9523 5086</t>
  </si>
  <si>
    <t>UMESH DANGAT</t>
  </si>
  <si>
    <t>ASHA DANGAT</t>
  </si>
  <si>
    <t>Flat No. 24 Indralok Apt_x000D_
Pune Satara Road</t>
  </si>
  <si>
    <t>CITY INTERNATIONAL SCHOOL, SATARA ROAD</t>
  </si>
  <si>
    <t>SIR PARSHURAMBHAU COLLEGE</t>
  </si>
  <si>
    <t>HIGHER SECONDARY  CERTIFICATE</t>
  </si>
  <si>
    <t>AISSMS COLLEGE OF ENGINEERING , PUNE/ MAHARASHTRA</t>
  </si>
  <si>
    <t>Sobha Limited | Project Management | Trivandrum,Kerala | May 2026 | Jul 2026 | 9 Weeks | Campus Internship
Dhankawde Group | Intern  | Pune  | Dec 2023 | Jan 2024 | 4 Weeks</t>
  </si>
  <si>
    <t>Finance for Non-Financial Managers
Ethics In Engineering Practice
Journal Of Technology
LEAN SIX SIGMA YELLOW BELT</t>
  </si>
  <si>
    <t>P25700577</t>
  </si>
  <si>
    <t>SUSHRUT</t>
  </si>
  <si>
    <t>BHAISWAR</t>
  </si>
  <si>
    <t>Sushrut Anant Bhaiswar</t>
  </si>
  <si>
    <t>sushrut.bhaiswar@gmail.com</t>
  </si>
  <si>
    <t>p25700577@student.nicmar.ac.in</t>
  </si>
  <si>
    <t>25-Apr-2002</t>
  </si>
  <si>
    <t>6120 9221 0167</t>
  </si>
  <si>
    <t>ANANT BHAISWAR</t>
  </si>
  <si>
    <t>SUNITA BHAISWAR</t>
  </si>
  <si>
    <t>17, Buty Layout ,Rajnagar, Nagpur, Maharashtra,440013</t>
  </si>
  <si>
    <t>BHAVAN'S B.P VIDYA MANDIR ASHTI</t>
  </si>
  <si>
    <t>CENTER POINT SCHOOL KATOL ROAD</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</si>
  <si>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</si>
  <si>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</si>
  <si>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 Weeks
IMAGIS ENGINEERING SOLUTIONS PVT LTD | INTERN | NAGPUR | Jan 2024 | Jun 2024 | 21 Weeks</t>
  </si>
  <si>
    <t>P25700578</t>
  </si>
  <si>
    <t>ANUJA</t>
  </si>
  <si>
    <t>Anuja Deepak Deshmukh</t>
  </si>
  <si>
    <t>anujadeshmukh1907@gmail.com</t>
  </si>
  <si>
    <t>p25700578@student.nicmar.ac.in</t>
  </si>
  <si>
    <t>19-Jul-2003</t>
  </si>
  <si>
    <t>7766 7587 5348</t>
  </si>
  <si>
    <t>DEEPAK DESHMUKH</t>
  </si>
  <si>
    <t>SANDHYA DESHMUKH</t>
  </si>
  <si>
    <t>Flat No 05 Jai Ambe Appartment Sudhir Colony Akola</t>
  </si>
  <si>
    <t>SCHOOL OF SCHOLARS</t>
  </si>
  <si>
    <t>CENTRAL BOARD OF SECONDARY EDUCATION AKOLA, MAHARASHTRA</t>
  </si>
  <si>
    <t>SRI. R.L.T COLLEGE OF SCIENCE AND ARTS AKOLA</t>
  </si>
  <si>
    <t>B.A.C.R.T'S VISHWAKARMA INSTITUTE OF INFORMATION AND TECHNOLOGY PUNE, MAHARASHTRA</t>
  </si>
  <si>
    <t>AutoCAD,MS Office,MS Project,ETABS</t>
  </si>
  <si>
    <t>LAGOO APTE DEVELOPERS  | Site Intern  | Pune , Swargate  | May 2026 | Jun 2026 | 8 Weeks | Campus Internship
Snivaa Structural Consultants | Design Intern  | Pune ,Hadapsar | Jul 2024 | Dec 2024 | 24 Weeks</t>
  </si>
  <si>
    <t>P25700579</t>
  </si>
  <si>
    <t>MEHANDI</t>
  </si>
  <si>
    <t>D S</t>
  </si>
  <si>
    <t>Mehandi D S</t>
  </si>
  <si>
    <t>dsmehandi@gmail.com</t>
  </si>
  <si>
    <t>p25700579@student.nicmar.ac.in</t>
  </si>
  <si>
    <t>24-Jul-1998</t>
  </si>
  <si>
    <t>English, Hindi, Tamil, Kannada</t>
  </si>
  <si>
    <t>2056 6614 0185</t>
  </si>
  <si>
    <t>D SARAVANA KUMAR</t>
  </si>
  <si>
    <t>ASSISTANT COMMISSIONER CGST</t>
  </si>
  <si>
    <t>DEVI SARAVANA KUMAR</t>
  </si>
  <si>
    <t>B-305, Amrutha Grandeur Apt_x000D_
Rachenhalli , Thanisandra Main Road</t>
  </si>
  <si>
    <t>KENDRIYA VIDYALAYA IISC</t>
  </si>
  <si>
    <t>VISHVESHWARYA TECHNICAL UNIVERSITY</t>
  </si>
  <si>
    <t>ACHARYA NRV SCHOOL OF ARCHITECTURE, BANGALORE</t>
  </si>
  <si>
    <t>AutoCAD,MS Project,Autodesk Revit,Sketchup,Adobe Photoshop</t>
  </si>
  <si>
    <t>Total Environment Building Systems | Design Manager  | Bangalore  | Apr 2023 | Sep 2024 | 1 Years, 4 Months, 29 Days | 5.67
Studio Alaya Projects pvt lmt | Architect | Bangalore, India  | May 2022 | Jan 2023 | 0 Years, 8 Months, 13 Days | 3.24
Meragi Events | Design Consultant  | Bangalore, Karnataka, India  | Nov 2024 | May 2025 | 0 Years, 5 Months, 15 Days | 6.6</t>
  </si>
  <si>
    <t>Deloitte Touche Tohmatsu India LLP | Controls : Audit and Assurance Intern   | Bangalore | May 2026 | Jul 2026 | 8 Weeks | Campus Internship
Manasaram Architects | Intern | Bangalore, Karnataka, India | Feb 2021 | Aug 2021 | 25 Weeks</t>
  </si>
  <si>
    <t>P25700580</t>
  </si>
  <si>
    <t>AWAIS</t>
  </si>
  <si>
    <t>KUTUBUDDIN</t>
  </si>
  <si>
    <t>PINJARI</t>
  </si>
  <si>
    <t>Awais Kutubuddin Pinjari</t>
  </si>
  <si>
    <t>pinjari.awais@gmail.com</t>
  </si>
  <si>
    <t>p25700580@student.nicmar.ac.in</t>
  </si>
  <si>
    <t>23-Aug-2003</t>
  </si>
  <si>
    <t>9810 3144 4997</t>
  </si>
  <si>
    <t>SELF-EMPLOYEE</t>
  </si>
  <si>
    <t>SULTANA</t>
  </si>
  <si>
    <t>Plot No 25, Muslim Nagar, Near Sagar Hotel</t>
  </si>
  <si>
    <t>SHREEJI ENGLISH MEDIUM SCHOOL</t>
  </si>
  <si>
    <t>SHRI VILE PARLE KELAVANI MANDAL INSTITUTE OF TECHNOLOGY</t>
  </si>
  <si>
    <t>AutoCAD,MS Office,MS Project,Primavera,Revit Architecture,V-Ray,Sketchup</t>
  </si>
  <si>
    <t>New Consolidated Construction Company Limited | Planning Engineer | L&amp;T Realty – Island Cove, Mahim, Mumbai | May 2026 | Jul 2026 | 8 Weeks | Campus Internship
GROW HIGH ENGINEERS | Site Engineer | Nashik, Maharashtra | Dec 2024 | Feb 2025 | 12 Weeks</t>
  </si>
  <si>
    <t>REVIT
3DS MAX
AUTOCAD</t>
  </si>
  <si>
    <t>P25700581</t>
  </si>
  <si>
    <t>ARAJU</t>
  </si>
  <si>
    <t>LATIF</t>
  </si>
  <si>
    <t>ATTAR</t>
  </si>
  <si>
    <t>Araju Latif Attar</t>
  </si>
  <si>
    <t>arajuattar69@gmail.com</t>
  </si>
  <si>
    <t>p25700581@student.nicmar.ac.in</t>
  </si>
  <si>
    <t>30-May-2003</t>
  </si>
  <si>
    <t>Hindi , Marathi , English</t>
  </si>
  <si>
    <t>4900 4774 6576</t>
  </si>
  <si>
    <t>LATIF MUBARAK ATTAR</t>
  </si>
  <si>
    <t>VAHIDA LATIF ATTAR</t>
  </si>
  <si>
    <t>At/post - Walwa, Taluka - Walwa , District - Sangli</t>
  </si>
  <si>
    <t>JIJAMATA VIDYALAYA, WALWA</t>
  </si>
  <si>
    <t>SSC Board ,Maharashtra</t>
  </si>
  <si>
    <t>RAJARAMBAPU INSTITUTE OF TECHNOLOGY , RAJARAMNAGAR</t>
  </si>
  <si>
    <t>DR.BABASAHEB AMBEDKAR TECHNOLOGICAL UNIVERSITY LONERE - RAIGAD, MAHARASHTRA</t>
  </si>
  <si>
    <t>NANASAHEB MAHADIK COLLEGE OF ENGINEERING ,PETH MAHARASHTRA</t>
  </si>
  <si>
    <t>AutoCAD,MS Project,Diploma in BIM Professional (4D BIM)</t>
  </si>
  <si>
    <t>New Consolidated Construction Company Limited  | Project Planning  | Mumbai  | May 2026 | Jul 2026 | 8 Weeks | Campus Internship</t>
  </si>
  <si>
    <t xml:space="preserve">BIM Professional </t>
  </si>
  <si>
    <t>P25700582</t>
  </si>
  <si>
    <t>GUNWANT</t>
  </si>
  <si>
    <t>GALANDE</t>
  </si>
  <si>
    <t>Sagar Gunwant Galande</t>
  </si>
  <si>
    <t>sagargalande.sg@gmail.com</t>
  </si>
  <si>
    <t>p25700582@student.nicmar.ac.in</t>
  </si>
  <si>
    <t>8204 5771 8557</t>
  </si>
  <si>
    <t>RAJSHRI</t>
  </si>
  <si>
    <t>FLAT NO. 103, KESHAV KUNJ, PLOT NO. 11, SECTOR 26, TALOJA PHASE-2</t>
  </si>
  <si>
    <t>V &amp; C PATEL ENGLISH SCHOOL</t>
  </si>
  <si>
    <t>CBSE ANAND</t>
  </si>
  <si>
    <t>ANANDALAYA</t>
  </si>
  <si>
    <t>WALCHAND INSTITUTE OF TECHNOLOGY</t>
  </si>
  <si>
    <t>Shapoorji Pallonji and Company Private Limited | GET | Mulund  | Aug 2023 | Feb 2024 | 0 Years, 5 Months, 26 Days | 3.75</t>
  </si>
  <si>
    <t>EY LLP | Risk Analyst | Mumbai | May 2026 | Jul 2026 | 8 Weeks | Campus Internship
RCM INFRASTRUCTURE | Intern | Paithan, Maharashtra | Jul 2022 | Aug 2022 | 2 Weeks
B.G. Shirke | Intern | Taloja, Mumbai | Jan 2022 | Feb 2022 | 2 Weeks</t>
  </si>
  <si>
    <t>P25700583</t>
  </si>
  <si>
    <t>LABDHE</t>
  </si>
  <si>
    <t>Mihir Bharat Labdhe</t>
  </si>
  <si>
    <t>mihirlabdhe0@gmail.com</t>
  </si>
  <si>
    <t>p25700583@student.nicmar.ac.in</t>
  </si>
  <si>
    <t>5368 2836 2222</t>
  </si>
  <si>
    <t>MEDHA</t>
  </si>
  <si>
    <t>Ap.Shirgaon , Tal.Chiplun , Dist.Ratnagiri</t>
  </si>
  <si>
    <t>ALORE HIGHSCHOOL ALORE</t>
  </si>
  <si>
    <t>MAHARASHTRA  STATE BOARD OF SECONDARY AND HIGHER SECONDARY EDUCATION PUNE / MAHARASHTRA</t>
  </si>
  <si>
    <t>SHIRGAON SECONDARY AND HIGHER SECONDARY SCHOOL</t>
  </si>
  <si>
    <t>AJEENKYA DY PATIL SCHOOL OF ENGINEERING , PUNE / MAHARASHTRA</t>
  </si>
  <si>
    <t>AutoCAD,MS Project,Revit</t>
  </si>
  <si>
    <t>Sobha Limited | Procurement Auditing Intern | Banglore | May 2026 | Jul 2026 | 9 Weeks | Campus Internship
KNOW HOW SCHOOLS | INTERN | PUNE | Feb 2023 | Mar 2023 | 4 Weeks
RUMAS CONSULTANCY AND INFRA | INTERN | CHIPLUN,RATNAGIRI | Jul 2024 | May 2025 | 47 Weeks</t>
  </si>
  <si>
    <t>P25700585</t>
  </si>
  <si>
    <t>GIRISH</t>
  </si>
  <si>
    <t>N C</t>
  </si>
  <si>
    <t>Girish . N C</t>
  </si>
  <si>
    <t>girishnc2001@gmail.com</t>
  </si>
  <si>
    <t>p25700585@student.nicmar.ac.in</t>
  </si>
  <si>
    <t>09-Sep-2001</t>
  </si>
  <si>
    <t>ENGLISH, HINDI, KANNADA</t>
  </si>
  <si>
    <t>8168 1094 0814</t>
  </si>
  <si>
    <t>CHANDRAPPA N H</t>
  </si>
  <si>
    <t>FDAA</t>
  </si>
  <si>
    <t>LINGAMMA M</t>
  </si>
  <si>
    <t>#213/15 SHIVA PRAVATHI BADAVANE, SHAMNUR DAVANAGERE.</t>
  </si>
  <si>
    <t>SRI SOMASHWARA VIDYALAYA</t>
  </si>
  <si>
    <t>KARNATAKA SCHOOL EXAMINATION AND ASSESSMENT BOARD</t>
  </si>
  <si>
    <t>G M POLYTECHNIC, DAVANAGERE, KARNATAKA</t>
  </si>
  <si>
    <t>G M INSTITUTE OF TECHNOLOGY , DAVANAGERE, KARNATAKA.</t>
  </si>
  <si>
    <t>AutoCAD,MS Office,MS Project,REVIT ARCHITECTURE,STAAD PRO</t>
  </si>
  <si>
    <t>SOBHA LIMITED | Planning Department | BANGALORE | May 2026 | Jul 2026 | 9 Weeks | Campus Internship
MY TECH TRAINING INSTITUTE | INPLANT TRAINING PROGRAM | DAVANAGERE | Jan 2020 | Jan 2020 | 1 Weeks
MISSION AMRIT SAROVAR JAL DHAROHAR SANRAKSHAN INTERNSHIP | SITE ENGINEER | MUSSAFIRKHANA AND HONDA ,SANTHEBENNUR, DAVANAGERE. | Jul 2022 | Aug 2022 | 5 Weeks
RNS Infrastructure limited | Site Engineer | Chitradurga  | Aug 2022 | Sep 2022 | 4 Weeks</t>
  </si>
  <si>
    <t>AUTOCAD 2D AND 3D
FINANCE FOR NON FINANCIAL MANAGERS
DIGI QC ACADEMY</t>
  </si>
  <si>
    <t>P25700586</t>
  </si>
  <si>
    <t>VAIBHAVI</t>
  </si>
  <si>
    <t>SAKHALKAR</t>
  </si>
  <si>
    <t>Vaibhavi Vinod Sakhalkar</t>
  </si>
  <si>
    <t>vaibhavi1051@gmail.com</t>
  </si>
  <si>
    <t>p25700586@student.nicmar.ac.in</t>
  </si>
  <si>
    <t>9006 6189 0194</t>
  </si>
  <si>
    <t>VINOD GAJANAN SAKHALKAR</t>
  </si>
  <si>
    <t>SHRUTI VINOD SAKAHLKAR</t>
  </si>
  <si>
    <t>B/701 FAITH SOCIETY, FAITH SOCIETY ROAD,BALEWADI</t>
  </si>
  <si>
    <t>B/701 Madhuban Chs Oppo Vitthal Mandir Dahisar West</t>
  </si>
  <si>
    <t>VPM'S VIDYA MANDIR SCHOOL</t>
  </si>
  <si>
    <t>SAMTA VIDYA MANDIR, KANDIVALI EAST</t>
  </si>
  <si>
    <t>THAKUR SCHOOL OF ARCHITECTURE AND PLANNING, MUMBAI MAHARASHTRA</t>
  </si>
  <si>
    <t>AutoCAD,MS Office,MS Project,Photoshop</t>
  </si>
  <si>
    <t>Embassy Developments Limited  | Business strategy and operations  | Prabhadevi ,Mumbai  | May 2026 | Jul 2026 | 8 Weeks | Campus Internship
MAULI ENTERPRISES | ARCHITECTURAL INTERN | BORIVALI, MUMBAI MAHARASHTRA | Nov 2022 | Feb 2023 | 15 Weeks</t>
  </si>
  <si>
    <t>Certificate of participation for Solar Decathlon India, 2021-'22.
Certificate of participation in the Indian Conclave's Janvaad: Astihiva Edition, 2023.
Certificate for the workshop,'Research Paper and Writing and Publication Masterclass' organized by Kaarwan,2023.
Certificate of completion, Explore Human Resources Job Simulations,2025.
Certificate on McKinsey.org Forward Program, 2025.</t>
  </si>
  <si>
    <t>P25700587</t>
  </si>
  <si>
    <t>VARUN</t>
  </si>
  <si>
    <t>SHARAD</t>
  </si>
  <si>
    <t>Varun Sharad Deshmukh</t>
  </si>
  <si>
    <t>varund1155@gmail.com</t>
  </si>
  <si>
    <t>p25700587@student.nicmar.ac.in</t>
  </si>
  <si>
    <t>14-Jun-2002</t>
  </si>
  <si>
    <t>7821 3416 0412</t>
  </si>
  <si>
    <t>SHARAD S. DESHMUKH</t>
  </si>
  <si>
    <t>NANDINI SHARAD DESHMUKH</t>
  </si>
  <si>
    <t>Flat No. B/4, Sawali Apartment, Tapadiya Nagar, Near Maa Hospital, Akola.</t>
  </si>
  <si>
    <t>BAL SHIVAJI HIGH SCHOOL, JATHARPETH, AKOLA. 444005</t>
  </si>
  <si>
    <t>SHRI SHIVAJI JUNIOR COLLEGE, NIMBA, TQ. BALAPUR, DIST. AKOLA.</t>
  </si>
  <si>
    <t>SAVITRIBAI PHULE UNIVERSITY, PUNE.</t>
  </si>
  <si>
    <t>JSPM NARHE TECHNICAL CAMPUS, PUNE.</t>
  </si>
  <si>
    <t>AutoCAD,MS Office,MS Project,Excel,CostX</t>
  </si>
  <si>
    <t>Ahluwalia Contracts India Limited | Project Management Intern | Sion,Mumbai | May 2026 | Jul 2026 | 8 Weeks | Campus Internship
VEDNIRMITEE projects | Intern | pune | Jul 2024 | Feb 2025 | 33 Weeks</t>
  </si>
  <si>
    <t>P25700588</t>
  </si>
  <si>
    <t>JAHNAVI</t>
  </si>
  <si>
    <t>VIJAYA PRAKASH</t>
  </si>
  <si>
    <t>Jahnavi Vijaya Prakash</t>
  </si>
  <si>
    <t>jahnavivijayaprakash@gmail.com</t>
  </si>
  <si>
    <t>p25700588@student.nicmar.ac.in</t>
  </si>
  <si>
    <t>23-Jan-2001</t>
  </si>
  <si>
    <t>8122 8290 0772</t>
  </si>
  <si>
    <t>DR . VIJAYA PRAKASH A M</t>
  </si>
  <si>
    <t>GEETHA S</t>
  </si>
  <si>
    <t>#18 , 6th Cross , 6th Block , 2nd Stage , Nagarbhavi _x000D_
Bengaluru - 72</t>
  </si>
  <si>
    <t>NATIONAL PUBLIC SCHOOL , YESHWANTHPUR</t>
  </si>
  <si>
    <t>DEEKSHA CENTER FOR LEARNING</t>
  </si>
  <si>
    <t>SJB SCHOOL FOR ARCHITECTURE AND PLANNING , KENGERI/KARNATAKA</t>
  </si>
  <si>
    <t>AutoCAD,MS Office,MS Project,Primavera,Sketchup,Lumion,Enscape,D5,Revit,Adobe Photoshop,MS Power Point,MS Excel,CostX</t>
  </si>
  <si>
    <t>STUDIO 9 ARCHITECTURE | ARCHITECT  | BENGALURU  | Sep 2024 | Jun 2025 | 0 Years, 9 Months, 19 Days | 2.5</t>
  </si>
  <si>
    <t>Adrianse India Pvt Ltd | Project Management  | Bengaluru | May 2026 | Jul 2026 | 8 Weeks | Campus Internship
ASHWIN ARCHITECTS | Intern  | Bengaluru  | Jan 2024 | Apr 2024 | 15 Weeks</t>
  </si>
  <si>
    <t>TERI â€“ Building Performance Simulation Certification
Autodesk Navisworks Certification
EDGE â€“ Green Building Certification (IFC / World Bank Group)
UDL Photoshop Cetification
Council of Architecture (COA) â€“ Registered Architect
Procore Certification</t>
  </si>
  <si>
    <t>P25700589</t>
  </si>
  <si>
    <t>CHATURVEDI</t>
  </si>
  <si>
    <t>Shubham Chaturvedi</t>
  </si>
  <si>
    <t>shubhamchaturvedi592@gmail.com</t>
  </si>
  <si>
    <t>P25700589@student.nicmar.ac.in</t>
  </si>
  <si>
    <t>14-Dec-1999</t>
  </si>
  <si>
    <t>Reading Newspapers,Watching Sports</t>
  </si>
  <si>
    <t>5285 2468 9797</t>
  </si>
  <si>
    <t>DINESH KUMAR CHATURVEDI</t>
  </si>
  <si>
    <t>KAMLESH CHATURVEDI</t>
  </si>
  <si>
    <t>HN 299, Shanti Nagar B Gujar Ki Thadi, Mansarover, Jaipur, 302019</t>
  </si>
  <si>
    <t>ST SOLDIER'S PUB SCHOOL B D ROAD JAIPUR RAJ</t>
  </si>
  <si>
    <t>CBSE JAIPUR/RAJASTHAN</t>
  </si>
  <si>
    <t>BLUE HEAVEN VIDYALAYA SFS,MANSAROVAR JAIPUR</t>
  </si>
  <si>
    <t>CBSE JAIPUR / RAJASTHAN</t>
  </si>
  <si>
    <t>MANIPAL UNIVERSITY JAIPUR , JAIPUR / RAJASTHAN</t>
  </si>
  <si>
    <t>AutoCAD,MS Office,Primavera,APMS (Adani project management system )</t>
  </si>
  <si>
    <t>Adani Green energy limited | Assitsant Manager in project management and assurance group (PMAG ) | Ahemdabad | Jul 2022 | Aug 2023 | 1 Years, 0 Months, 23 Days | 6.5</t>
  </si>
  <si>
    <t>Goa State Infrastruture Development Corporation Limited (GSIDC) | Site Execution Intern  | Goa medical college ,Bambolim ,goa  | May 2026 | Jul 2026 | 8 Weeks | Campus Internship
JAIPUR INTERNATIONAL AIRPORT LIMITED | INTERN AT PROJECTS DEPARTMENT  | JAIPUR | Feb 2022 | May 2022 | 16 Weeks</t>
  </si>
  <si>
    <t>P25700590</t>
  </si>
  <si>
    <t>Chinmay Kumar Das</t>
  </si>
  <si>
    <t>chinmaydas03@gmail.com</t>
  </si>
  <si>
    <t>p25700590@student.nicmar.ac.in</t>
  </si>
  <si>
    <t>07-Aug-1998</t>
  </si>
  <si>
    <t>5156 7593 7315</t>
  </si>
  <si>
    <t>PABITRA RANJAN DAS</t>
  </si>
  <si>
    <t>SUSMITA DAS</t>
  </si>
  <si>
    <t>C/O Pabitra Ranjan Das, Salandi Colony, Near Salandi Bypass</t>
  </si>
  <si>
    <t>Bhadrak</t>
  </si>
  <si>
    <t>RANGE SCHOOL</t>
  </si>
  <si>
    <t>CBSE BALASORE/ODISHA</t>
  </si>
  <si>
    <t>VEER SURENDRA SAI UNIVERSITY OF TECHNOLOGY BURLA/ODISHA</t>
  </si>
  <si>
    <t>SOBHA | Site Execution (Under Planning Department) | Banglore  | May 2026 | Jul 2026 | 9 Weeks | Campus Internship
UltraTech Cement | Technical Intern | Bhubaneshwar, Odisha, India | May 2023 | Jun 2023 | 4 Weeks</t>
  </si>
  <si>
    <t>ESG Virtual Experience Program</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</si>
  <si>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</si>
  <si>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</si>
  <si>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</si>
  <si>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</si>
  <si>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</si>
  <si>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</si>
  <si>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</si>
  <si>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</si>
  <si>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</si>
  <si>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</si>
  <si>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</si>
  <si>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</si>
  <si>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</si>
  <si>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</si>
  <si>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</si>
  <si>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SM LOHIYA HIGH SCHOOL KOLHAPUR</t>
  </si>
  <si>
    <t>NEW COLLEGE KOLHAPUR</t>
  </si>
  <si>
    <t>NEW POLYTECHNIC KOLHAPUR</t>
  </si>
  <si>
    <t>DYPATIL COLLEGE OF ENGINEERING AND TECHNOLOGY KOLHAPUR</t>
  </si>
  <si>
    <t>AutoCAD,MS Office,MS Project,MS EXCELS POWER POINT</t>
  </si>
  <si>
    <t>Atal Real Tech Limited | Junior Engineer | Pune | Jun 2024 | May 2025 | 0 Years, 11 Months, 30 Days | 3</t>
  </si>
  <si>
    <t>New consolidated construction company limited  | Site and planning intern | Alibaug ,Maharashtra  | May 2026 | Jul 2026 | 8 Weeks | Campus Internship
SHUBHAM EPC PVT LTD | GRADUATE ENGINEERING TRAINEE | PUNE | Dec 2023 | May 2024 | 21 Weeks</t>
  </si>
  <si>
    <t>P25700592</t>
  </si>
  <si>
    <t>PRATHMESH</t>
  </si>
  <si>
    <t>Prathmesh Singh</t>
  </si>
  <si>
    <t>prathmesh080thakur@gmail.com</t>
  </si>
  <si>
    <t>p25700592@student.nicmar.ac.in</t>
  </si>
  <si>
    <t>04-May-2002</t>
  </si>
  <si>
    <t xml:space="preserve">treeking, Music,Cricket </t>
  </si>
  <si>
    <t>2271 1307 4331</t>
  </si>
  <si>
    <t>DINESH SINGH</t>
  </si>
  <si>
    <t>KUSUM</t>
  </si>
  <si>
    <t>WARD SISTER</t>
  </si>
  <si>
    <t>House no. 13A/5, Chatrokhri, Sundernagar, Mandi, HP</t>
  </si>
  <si>
    <t>DAYANAND ANGLO VEDIC PUBLIC SCHOOL SUNDERNAGAR MANDI HP</t>
  </si>
  <si>
    <t>HIMACHAL PRADESH TECHNICAL UNIVERSITY</t>
  </si>
  <si>
    <t>JAWAHAR LAL NEHRU GOVERNMENT ENGINEERING COLLEGE</t>
  </si>
  <si>
    <t>SOBHA Ltd | Project Management Trainee | Gurugram | May 2026 | Jul 2026 | 9 Weeks | Campus Internship
Satluj Jal Vidyut Nigam | Intern | Rampur, HP | Aug 2022 | Sep 2022 | 4 Weeks
BEE GEE BUILTECH | INTERN | MOHALI | Feb 2023 | Jun 2023 | 17 Weeks</t>
  </si>
  <si>
    <t>P25700593</t>
  </si>
  <si>
    <t>DHRUV</t>
  </si>
  <si>
    <t>CHALODE</t>
  </si>
  <si>
    <t>Dhruv Rajendra Chalode</t>
  </si>
  <si>
    <t>dhruvchalode@gmail.com</t>
  </si>
  <si>
    <t>p25700593@student.nicmar.ac.in</t>
  </si>
  <si>
    <t>19-Dec-2001</t>
  </si>
  <si>
    <t>MARATHI, HINDI, ENGLISH.</t>
  </si>
  <si>
    <t>2309 3981 9204</t>
  </si>
  <si>
    <t>RAJENDRA CHALODE</t>
  </si>
  <si>
    <t>SHOBHA PARANJE</t>
  </si>
  <si>
    <t>EX ADMINISTRATIVE OFFICER AT TECHNICAL EDUCATION DEPARTMENT MAHARASHTRA</t>
  </si>
  <si>
    <t>Whispering Winds Phase 1,Wing -A, Flat No.6 Baner Pashan Link Road -411021</t>
  </si>
  <si>
    <t>RIVERDALE HIGH SCHOOL</t>
  </si>
  <si>
    <t>AURANGABAD, MAHARASHTRA</t>
  </si>
  <si>
    <t>RJ INTERNATIONAL</t>
  </si>
  <si>
    <t>MARATHWADA MITRA MANDAL COLLEGE OF ARCHITECTURE</t>
  </si>
  <si>
    <t>AutoCAD,MS Office,MS Project,Primavera,Autodesk Sketchbook,Sketchup,Enscape,Revit,Photoshop,Excel,CostX,Procreate,Canva</t>
  </si>
  <si>
    <t>Basil Decor | Project Manager | Pune | May 2026 | Jul 2026 | 9 Weeks | Campus Internship
MVK associates | Architectural Intern  | Aurangabad, Maharashtra  | Jun 2024 | Sep 2024 | 17 Weeks</t>
  </si>
  <si>
    <t>Heritage and Documentation Workshop</t>
  </si>
  <si>
    <t>P25700594</t>
  </si>
  <si>
    <t>SHRIYA</t>
  </si>
  <si>
    <t>BAGARIA</t>
  </si>
  <si>
    <t>Shriya Bagaria</t>
  </si>
  <si>
    <t>shriyabagaria@gmail.com</t>
  </si>
  <si>
    <t>p25700594@student.nicmar.ac.in</t>
  </si>
  <si>
    <t>23-Nov-2000</t>
  </si>
  <si>
    <t>5165 8383 6125</t>
  </si>
  <si>
    <t>RAJESH BAGARIA</t>
  </si>
  <si>
    <t>RASHMI BAGARIA</t>
  </si>
  <si>
    <t>C-9, Third Floor, Power Emperia Rise, Laluram Colony, TP Nagar</t>
  </si>
  <si>
    <t>Korba</t>
  </si>
  <si>
    <t>DELHI PUBLIC SCHOOL, NTPC, JAMNIPALI, KORBA</t>
  </si>
  <si>
    <t>INSTITUTE OF DESIGN EDUCATION AND ARCHITECTURAL STUDIES, NAGPUR</t>
  </si>
  <si>
    <t>AutoCAD,MS Project,Report Writing,MS Excel,Sketchup</t>
  </si>
  <si>
    <t>Homelane | Design Associate | Mumbai | Feb 2025 | Jul 2025 | 0 Years, 4 Months, 28 Days | 3.45</t>
  </si>
  <si>
    <t>Ahluwalia Contracts India Limited | Summer Intern | Delhi, India | May 2026 | Jul 2026 | 8 Weeks | Campus Internship
Scarlett Design Private Limited | Architectural Intern | Ahmedabad, Gujrat | Jul 2022 | Oct 2022 | 16 Weeks
Design Cell | Architectural Intern | Raipur, Chhattisgarh | Mar 2022 | May 2022 | 11 Weeks</t>
  </si>
  <si>
    <t>P25700595</t>
  </si>
  <si>
    <t>VIDHI</t>
  </si>
  <si>
    <t>SHET</t>
  </si>
  <si>
    <t>Vidhi Sanjay Shet</t>
  </si>
  <si>
    <t>vidhishet09@gmail.com</t>
  </si>
  <si>
    <t>p25700595@student.nicmar.ac.in</t>
  </si>
  <si>
    <t>English, Hindi, Marathi &amp; Konkani</t>
  </si>
  <si>
    <t>7895 5949 5045</t>
  </si>
  <si>
    <t>SANJAY SHET</t>
  </si>
  <si>
    <t>VANDANA SHET</t>
  </si>
  <si>
    <t>G-5, Saraswati Apartment ,Near Kamat Nursing Home , Durga-bhat, Ponda -Goa.</t>
  </si>
  <si>
    <t>South Goa</t>
  </si>
  <si>
    <t>A . J . DE ALMEIDA HIGH SCHOOL</t>
  </si>
  <si>
    <t>GOA BOARD OF SECONDARY AND HIGHER SECONDARY EDUCATION ,GOA</t>
  </si>
  <si>
    <t>ADARSH HIGHER SECONDARY</t>
  </si>
  <si>
    <t>GOA UNIVERSITY</t>
  </si>
  <si>
    <t>GOA COLLEGE OF ENGINEERING ,GOA</t>
  </si>
  <si>
    <t>Sobha Limited | Site Execution | Banglore | May 2026 | Jul 2026 | 9 Weeks | Campus Internship
Raj Housing Development Private Limited | Site Engineer | Ponda ,Goa | Jul 2023 | Sep 2023 | 7 Weeks</t>
  </si>
  <si>
    <t>Autocad</t>
  </si>
  <si>
    <t>P25700596</t>
  </si>
  <si>
    <t>SUSHMA</t>
  </si>
  <si>
    <t>Sushma Prasad Bhat</t>
  </si>
  <si>
    <t>sushmabhat1100@gmail.com</t>
  </si>
  <si>
    <t>p25700596@student.nicmar.ac.in</t>
  </si>
  <si>
    <t>English, Hindi, Marathi, Kannada</t>
  </si>
  <si>
    <t>9227 9172 6912</t>
  </si>
  <si>
    <t>PRASAD BHAT</t>
  </si>
  <si>
    <t>SULAKSHANA BHAT</t>
  </si>
  <si>
    <t>Flat No-B2-202, Empire Estate, Pimpri Chinchwad, Near Old Pune-Mumbai Highway.</t>
  </si>
  <si>
    <t>KAMALNAYAN BAJAJ HIGH SCHOOL</t>
  </si>
  <si>
    <t>MAHARASHTRA STATE BOARD OF SECONDARY &amp; HIGHER SECONDARY EDUCATION, PUNE</t>
  </si>
  <si>
    <t>JAYSHREE PERIWAL HIGH SCHOOL</t>
  </si>
  <si>
    <t>S.B PATIL COLLEGE OF ARCHITECTURE &amp; DESIGN, PUNE, MAHARASHTRA</t>
  </si>
  <si>
    <t>MS Project, Primavera, MS Office, Revit, ACC ( Autodesk Construction cloud ), BIM Coordination, Sketchup, Lumion, Figma, Photoshop, AutoCAD</t>
  </si>
  <si>
    <t>Morphogenesis | Project Architect | Pune, Maharashtra | Jul 2023 | Jun 2025 | 1 Years, 11 Months, 13 Days | 5.78</t>
  </si>
  <si>
    <t>Cushman &amp; Wakefield | Project Management Intern | Pune, Maharashtra, India | May 2026 | Jul 2026 | 8 Weeks | Campus Internship
Sandeep Shikre &amp; Associates | Trainee Architect | Pune, Maharashtra, India | Jun 2022 | Dec 2022 | 26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</si>
  <si>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</si>
  <si>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P25700597</t>
  </si>
  <si>
    <t>SAHANA</t>
  </si>
  <si>
    <t>VILASKUMAR</t>
  </si>
  <si>
    <t>MASHETTY</t>
  </si>
  <si>
    <t>Sahana Vilaskumar Mashetty</t>
  </si>
  <si>
    <t>sahanamashetty24@gmail.com</t>
  </si>
  <si>
    <t>p25700597@student.nicmar.ac.in</t>
  </si>
  <si>
    <t>24-Jan-2001</t>
  </si>
  <si>
    <t>5066 1168 2047</t>
  </si>
  <si>
    <t>RTD ENGINEER</t>
  </si>
  <si>
    <t>VIJAYLAXMI</t>
  </si>
  <si>
    <t>H No 1-1495/43/2_x000D_
MSK Mill Road_x000D_
Behind Central Bustand_x000D_
Bhagwati Nagar_x000D_
House Name - "Vilas Nivas"_x000D_
585102 - Pincode_x000D_
Plot No - 22_x000D_
Gulbarga, Karnataka</t>
  </si>
  <si>
    <t>SHARANABASAVESWAR RES. HIGH SCHOOL KALABURAGI</t>
  </si>
  <si>
    <t>KARNATAKA SECONDARY EDUCATION EXAMINATION BOARD KARNATAKA</t>
  </si>
  <si>
    <t>SBASAVESHWAR RESI PU COL, SHARANA NAGAR, GULBARGA 585103</t>
  </si>
  <si>
    <t>GOVT OF KARNATAKA</t>
  </si>
  <si>
    <t>POOJYA DODDAPPA APPA COLLEGE OF ENGINEERING, KALABURAGI</t>
  </si>
  <si>
    <t>AutoCAD,MS Office,MS Project,Primavera,MS Excel,MS Powerpoint,Lumion,Sketch up,Revit,Adobe photoshop</t>
  </si>
  <si>
    <t>RAINEO ARCHITECTS | ARCHITECT  | BANGLORE  | Jan 2024 | Jun 2025 | 1 Years, 5 Months, 10 Days | 3.01</t>
  </si>
  <si>
    <t>J Kumar Infraprojects | Project Coordination | Chennai | May 2026 | Jul 2026 | 8 Weeks | Campus Internship
SHOBHA &amp; MAHESH ASSOCIATES | INTERN  | BANGLORE | Aug 2022 | Jan 2023 | 18 Weeks</t>
  </si>
  <si>
    <t>Creative Landscape Design</t>
  </si>
  <si>
    <t>P25700598</t>
  </si>
  <si>
    <t>DHEERAJ</t>
  </si>
  <si>
    <t>MAHAJAN</t>
  </si>
  <si>
    <t>Dheeraj Satish Mahajan</t>
  </si>
  <si>
    <t>dhirajmahajan444@gmail.com</t>
  </si>
  <si>
    <t>p25700598@student.nicmar.ac.in</t>
  </si>
  <si>
    <t>7381 4685 2362</t>
  </si>
  <si>
    <t>AUTO DRIVER</t>
  </si>
  <si>
    <t>KARLA ROAD SWAGAT  COLONY SABDALE LAYOUT WARDHA</t>
  </si>
  <si>
    <t>AGRAGAMIHIGH SCHOOL WARDHA</t>
  </si>
  <si>
    <t>WARDHA/MAHARASHTRA</t>
  </si>
  <si>
    <t>VITHALRAO CHAMAT HIGH  SCHOOL NAGPUR</t>
  </si>
  <si>
    <t>NAGPUR /MAHARASHTRA</t>
  </si>
  <si>
    <t>DR BABASAHEB AMBEDKAR TECHNOLOGICAL  UNIVERSITY LONERE RAIGADH</t>
  </si>
  <si>
    <t>BAJAJ INSTITUTE OF TECHNOLOGY WARDHA /MAHARASHTRA</t>
  </si>
  <si>
    <t>P25700599</t>
  </si>
  <si>
    <t>RISHIKA</t>
  </si>
  <si>
    <t>Rishika Menon</t>
  </si>
  <si>
    <t>rishikamenon27@gmail.com</t>
  </si>
  <si>
    <t>p25700599@student.nicmar.ac.in</t>
  </si>
  <si>
    <t>English, Hindi, Bengali, Malayalam</t>
  </si>
  <si>
    <t>5755 1234 0060</t>
  </si>
  <si>
    <t>SADANANDA MANOJ KUMAR</t>
  </si>
  <si>
    <t>INDU MENON</t>
  </si>
  <si>
    <t>NICMAR, POST OFFICE, 25/1, NICMAR UNIVERSITY, N.I.A, BALEWADI RD, RAM NAGAR, BANER, PUNE, MAHARASHTRA 411045</t>
  </si>
  <si>
    <t>Flat No 2-D, Srinibas Mansion, Riverside Road, Burnpur, Asansol, West Bengal- 713325_x000D_</t>
  </si>
  <si>
    <t>Paschim Bardhaman</t>
  </si>
  <si>
    <t>BURNPUR RIVERSIDE SCHOOL</t>
  </si>
  <si>
    <t>CENTRAL BOARD OF SECONDARY EDUCATION, ASANSOL/WEST BENGAL</t>
  </si>
  <si>
    <t>SCHOOL OF PLANNING AND ARCHITECTURE, VIJAYAWADA/ANDHRA PRADESH</t>
  </si>
  <si>
    <t>AutoCAD,MS Office,MS Project,sketchup,revit,photoshop</t>
  </si>
  <si>
    <t>Agami Realty | Site Execution and Control | Bandra, Mumbai | May 2026 | Jul 2026 | 7 Weeks | Campus Internship
Milestone Design Studio | Junior Architect | Bengalurtu | Sep 2023 | Dec 2023 | 10 Weeks
Between Spaces | Junior Architect | Bangaluru | Jun 2023 | Sep 2023 | 15 Weeks</t>
  </si>
  <si>
    <t>P25700600</t>
  </si>
  <si>
    <t>DHANAVATHULA</t>
  </si>
  <si>
    <t>UDAY SAI</t>
  </si>
  <si>
    <t>Dhanavathula Uday Sai Naik</t>
  </si>
  <si>
    <t>sainaik939@gmail.com</t>
  </si>
  <si>
    <t>p25700600@student.nicmar.ac.in</t>
  </si>
  <si>
    <t>14-Dec-2000</t>
  </si>
  <si>
    <t>4538 2100 8563</t>
  </si>
  <si>
    <t>DHANAVATHULA SRINIVAS</t>
  </si>
  <si>
    <t>RAILWAY EMPLOYEE</t>
  </si>
  <si>
    <t>DHANAVATHULA PATHINI BAI</t>
  </si>
  <si>
    <t>POORNANDAM PETA ,MOHAMMED BAIG STREET,VIJAYAWADA, ANDHRA PRDESH</t>
  </si>
  <si>
    <t>Krishna</t>
  </si>
  <si>
    <t>SRI CHAITANYA</t>
  </si>
  <si>
    <t>SRI CHAITANYA JR COLLAGE</t>
  </si>
  <si>
    <t>VELAGAPUDI RAMAKRISHNA SIDDHARTHA ENGINEERING COLLAGE</t>
  </si>
  <si>
    <t>AutoCAD,MS Office,MS Project,Primavera,ARC GIS,QGIS</t>
  </si>
  <si>
    <t>Pidilite Industries Limited | Summer Intern | Goa | May 2026 | Jun 2026 | 7 Weeks | Campus Internship
GARUDALYTICS PRIVATE LIMITED | GIS TRAINING /INTERNSHIP PROGRAM | VIJAYAWADA | Jul 2022 | Aug 2022 | 7 Weeks</t>
  </si>
  <si>
    <t>P25700601</t>
  </si>
  <si>
    <t>SUMUKH</t>
  </si>
  <si>
    <t>VATS</t>
  </si>
  <si>
    <t>Sumukh Vats</t>
  </si>
  <si>
    <t>sumukhvats788@gmail.com</t>
  </si>
  <si>
    <t>p25700601@student.nicmar.ac.in</t>
  </si>
  <si>
    <t>03-Jun-2002</t>
  </si>
  <si>
    <t>3021 0980 7245</t>
  </si>
  <si>
    <t>MANOJ VATS</t>
  </si>
  <si>
    <t>BUILDER</t>
  </si>
  <si>
    <t>MEENU VATS</t>
  </si>
  <si>
    <t>HNO 15 VPO MITRAON VILLAGE, NAJAFGARGH, SOUTH WEST DELHI</t>
  </si>
  <si>
    <t>MAXFORT SCHOOL</t>
  </si>
  <si>
    <t>SACHDEVA GLOBAL SCHOOL</t>
  </si>
  <si>
    <t>SHREE GURU GOBIND SINGH TRICENTENARY UNIVERSITY,GURUGRAM</t>
  </si>
  <si>
    <t>SHREE GURU GOBIND SINGH TRICENTENARY UNIVERSITY, GURUGRAM</t>
  </si>
  <si>
    <t xml:space="preserve">AutoCAD, MS Office, MS Project , ETABS, RCDC,  Planswift, Bluebeam revu, Costx , Power BI </t>
  </si>
  <si>
    <t>Cushman and Wakefield  | Project Management Intern  | DLF CyberHub (Gurugram, Haryana) | May 2026 | Jul 2026 | 8 Weeks | Campus Internship
ACE Infracity Developers Pvt Ltd. | Site Trainee | Noida , sector 150 | Feb 2024 | Jun 2024 | 18 Weeks
AIRPORT AUTHORITY OF INDIA. | Site trainee | New Delhi | Jul 2023 | Aug 2023 | 6 Weeks</t>
  </si>
  <si>
    <t>Construction Project Management
Construction Cost Estimating and Cost Control
EPFL- Smart Cities â€“ Management of Smart Urban
Investment Risk Management
Business Analysis &amp; Process Management
Google-Foundations Data, Data, Everywhere
The Construction Industry The Way Forward
Mastering bitumen for better roads and innovative</t>
  </si>
  <si>
    <t>P25700602</t>
  </si>
  <si>
    <t>Riya Singh</t>
  </si>
  <si>
    <t>riyasingh41911@gmail.com</t>
  </si>
  <si>
    <t>p25700602@student.nicmar.ac.in</t>
  </si>
  <si>
    <t>16-Dec-2001</t>
  </si>
  <si>
    <t>ENGLISH AND HINDI</t>
  </si>
  <si>
    <t>5339 2470 4706</t>
  </si>
  <si>
    <t>SANJAY SINGH</t>
  </si>
  <si>
    <t>SIYA SINGH</t>
  </si>
  <si>
    <t>WHITE HOUSE PG HINJEWADI PHASE 1</t>
  </si>
  <si>
    <t>Ward No 2 Infront Of Balram Ice Factory</t>
  </si>
  <si>
    <t>ST. ALOYSIUS HIGH SCHOOL, SHAHDOL</t>
  </si>
  <si>
    <t>BOARD OF SECONDARY EDUCATION, MADHYA PRADESH, BHOPAL</t>
  </si>
  <si>
    <t>DAV BURHAR PUBLIC SCHOOL PAKARIA BURHAR SHAHDOL, M.P.</t>
  </si>
  <si>
    <t>LAKSHMI NARAIN COLLEGE OF TECHNOLOGY, BHOPAL</t>
  </si>
  <si>
    <t>AutoCAD,MS Office,Ms excel,QGIS,Google earth Pro,Primavera,Costx,Advanced BIM</t>
  </si>
  <si>
    <t>Primark associate  | Project coordination and management  | Pune | May 2026 | Jul 2026 | 9 Weeks | Campus Internship</t>
  </si>
  <si>
    <t>P25700603</t>
  </si>
  <si>
    <t>DIVYANSH</t>
  </si>
  <si>
    <t>Divyansh Gupta</t>
  </si>
  <si>
    <t>divyanshtushar11@gmail.com</t>
  </si>
  <si>
    <t>p25700603@student.nicmar.ac.in</t>
  </si>
  <si>
    <t>11-Apr-2001</t>
  </si>
  <si>
    <t>2044 4439 7245</t>
  </si>
  <si>
    <t>RAJESH KUMAR GUPTA</t>
  </si>
  <si>
    <t>PRAMILA GUPTA</t>
  </si>
  <si>
    <t>Choubey Colony Near Family Super Store</t>
  </si>
  <si>
    <t>Chhatarpur</t>
  </si>
  <si>
    <t>MARIA MATA CONVENT HIGH SCHOOL</t>
  </si>
  <si>
    <t>CENTRAL BOARD OF SECONDARY EDUCATION CHHATARPUR/MADHYA PRADESH</t>
  </si>
  <si>
    <t>MEDI-CAPS UNIVERSITY</t>
  </si>
  <si>
    <t>Construction Management</t>
  </si>
  <si>
    <t xml:space="preserve">AutoCAD,MS Office,MS Project,Revit, Primavera </t>
  </si>
  <si>
    <t>Sobha Limited  | Project Planning  | Gurugram  | May 2026 | Jul 2026 | 9 Weeks | Campus Internship
PATH HIGHWAYS | Trainee | Indore | Jan 2021 | Jan 2021 | 2 Weeks
RS Associate's | Civil Engineer | Indore | Oct 2023 | Oct 2024 | 52 Weeks
Public Work Department | Intern | Chhatarpur | Jan 2022 | Apr 2022 | 17 Weeks</t>
  </si>
  <si>
    <t>P25700604</t>
  </si>
  <si>
    <t>MAHESHWARI</t>
  </si>
  <si>
    <t>AHIRE</t>
  </si>
  <si>
    <t>Maheshwari Ahire</t>
  </si>
  <si>
    <t>mhshwriahr01@gmail.com</t>
  </si>
  <si>
    <t>p25700604@student.nicmar.ac.in</t>
  </si>
  <si>
    <t>6790 8127 3141</t>
  </si>
  <si>
    <t>ASHOK AHIRE</t>
  </si>
  <si>
    <t>NAYANA</t>
  </si>
  <si>
    <t>64, NAYAN VILLA, RENUKA NAGAR, WADIBHOKAR ROAD, DHULE, MAHARASHTRA, 424002</t>
  </si>
  <si>
    <t>A/P Borvihir, Dhule, Maharashtra, 424311</t>
  </si>
  <si>
    <t>JAI HIND HIGH SCHOOL &amp; JUNIOR COLLEGE, DHULE</t>
  </si>
  <si>
    <t>SHRI NANASAHEB ZULAL BHILAJIRAO PATIL HIGHER SECONDARY SCHOOL, DHULE</t>
  </si>
  <si>
    <t>VEERMATA JIJABAI TECHNOLOGICAL INSTITUTE, MATUNGA, MUMBAI,400019</t>
  </si>
  <si>
    <t>Jones Lang LaSalle | Project Engineer | Mumbai | Jul 2023 | Dec 2024 | 1 Years, 5 Months, 12 Days | 4.5</t>
  </si>
  <si>
    <t>Suryapriya Construction pvt lmt  | Project Planning | Banglore, Karnataka  | May 2026 | Jul 2026 | 8 Weeks | Campus Internship
K H CONSTRUCTION, MUMBAI | INTERN | MUMBAI | Jun 2022 | Jul 2022 | 8 Weeks</t>
  </si>
  <si>
    <t>P25700605</t>
  </si>
  <si>
    <t>ARYAN</t>
  </si>
  <si>
    <t>ABHIJIT</t>
  </si>
  <si>
    <t>DIGHOLE</t>
  </si>
  <si>
    <t>Aryan Abhijit Dighole</t>
  </si>
  <si>
    <t>aryandighole@gmail.com</t>
  </si>
  <si>
    <t>p25700605@student.nicmar.ac.in</t>
  </si>
  <si>
    <t>07-Sep-2000</t>
  </si>
  <si>
    <t>2712 6145 7842</t>
  </si>
  <si>
    <t>VRUSHALI</t>
  </si>
  <si>
    <t>A-303, ASHTAVINAYAK TOWER, BEHIND HDFC BANK, THATTE NAGAR, GANGAPUR ROAD, NASHIK</t>
  </si>
  <si>
    <t>PLOT NO. 53, AKSHAY BUNGALOW, OPPOSITE YES BANK, KULKARNI BAUG, COLLEGE ROAD, NASHIK</t>
  </si>
  <si>
    <t>SYMBIOSIS SCHOOL</t>
  </si>
  <si>
    <t>CENTRAL BOARD OF SECONDARY EDUCATION, MAHARASHTRA</t>
  </si>
  <si>
    <t>K.V.N NAIK COLLEGE OF ARTS, COMMERCE AND SCIENCE</t>
  </si>
  <si>
    <t>HIGHER SECONDARY EDUCATION, MAHARASHTRA</t>
  </si>
  <si>
    <t>K.K. WAGH COLLEGE OF ENGINEERING EDUCATION AND RESEARCH</t>
  </si>
  <si>
    <t>AutoCAD, MS Office, MS Project, Primavera P6</t>
  </si>
  <si>
    <t>SOBHA LIMITED | SITE EXECUTION | SOBHA ATLANTIS, KOCHI, KERALA | May 2026 | Jul 2026 | 9 Weeks | Campus Internship</t>
  </si>
  <si>
    <t>Estimation and Costing
AUTOCAD
Finance for Non-finance managers</t>
  </si>
  <si>
    <t>P25700606</t>
  </si>
  <si>
    <t>BABARAOJI</t>
  </si>
  <si>
    <t>Gunjan Babaraoji Khandare</t>
  </si>
  <si>
    <t>khandaregunjankhandare@gmail.com</t>
  </si>
  <si>
    <t>p25700606@student.nicmar.ac.in</t>
  </si>
  <si>
    <t>24-Dec-1998</t>
  </si>
  <si>
    <t>6191 7004 0445</t>
  </si>
  <si>
    <t>SITE SUPERVISOR</t>
  </si>
  <si>
    <t>MAYAWATI</t>
  </si>
  <si>
    <t>SANT TUKDOJI WARD PIMPALGAON ROAD BEHIND COTTAGE HOSPITAL HINGANGHAT DISTRICT WARDHA</t>
  </si>
  <si>
    <t>MAHESH GYANPEETH HIGH SCHOOL</t>
  </si>
  <si>
    <t>GOVERNMENT POLYTECHNIC, JALGAON</t>
  </si>
  <si>
    <t>PROF RAM MEGHE COLLEGE OF ENGINEERING &amp; MANAGEMENT, BADNERA</t>
  </si>
  <si>
    <t>AutoCAD,MS Office,MS Project,Primavera,Advanced Excel Certification.,CERTIFIED POWER BI PROFESSIONAL (CBIP).</t>
  </si>
  <si>
    <t>PRAMUKH REAL ESTATE LLP | GRADUATE ENGINEER TRAINEE | VAPI | Dec 2021 | Sep 2024 | 2 Years, 9 Months, 7 Days | 1.44
SILVERBELL REALTY | PROJECT ENGINEER | VAPI | Nov 2024 | Feb 2025 | 0 Years, 3 Months, 15 Days | 3.12
DREAMBOAT PARTNERS | CHIEF PROJECT ENGINEER | VAPI | Feb 2025 | Jun 2025 | 0 Years, 3 Months, 30 Days | 5.28</t>
  </si>
  <si>
    <t>NEW CONSOLIDATED CONSTRUCTION CO. LTD. | Contracts &amp; Commercials | Navi Mumbai | May 2026 | Jul 2026 | 8 Weeks | Campus Internship</t>
  </si>
  <si>
    <t>P25700607</t>
  </si>
  <si>
    <t>GREGORY</t>
  </si>
  <si>
    <t>JOHN</t>
  </si>
  <si>
    <t>Gregory John</t>
  </si>
  <si>
    <t>gregoyjohn911@gmail.com</t>
  </si>
  <si>
    <t>p25700607@student.nicmar.ac.in</t>
  </si>
  <si>
    <t>09-Nov-2003</t>
  </si>
  <si>
    <t>English, Tamil , Malayalam</t>
  </si>
  <si>
    <t>7911 1484 8347</t>
  </si>
  <si>
    <t>JOHN MATHEN</t>
  </si>
  <si>
    <t>JILLY JOHN</t>
  </si>
  <si>
    <t>108, Government Arts College Road, Race Course, Coimbatore, Tamil Nadu</t>
  </si>
  <si>
    <t>STANES ANGLO INDIAN HIGHER SECONDARY SCHOOL</t>
  </si>
  <si>
    <t>TAMIL NADU STATE BOARD</t>
  </si>
  <si>
    <t>AMRITA SCHOOL OF ENGINEERING</t>
  </si>
  <si>
    <t>J Kumar Infra Projects | Intern- Site Execution | Chennai | May 2026 | Jun 2026 | 8 Weeks | Campus Internship
Josmi Constructions | Trainee Engineer | Coimbatore | Jan 2025 | Jun 2025 | 25 Weeks
URC Construction Private Limited | Intern | Chennai | Jun 2024 | Jun 2024 | 2 Weeks</t>
  </si>
  <si>
    <t>Sustainable Design Of Buildings
Principles Of Construction Management</t>
  </si>
  <si>
    <t>P25700608</t>
  </si>
  <si>
    <t>ISHITA</t>
  </si>
  <si>
    <t>SARAGADA</t>
  </si>
  <si>
    <t>Ishita Saragada</t>
  </si>
  <si>
    <t>ishitasaragada@gmail.com</t>
  </si>
  <si>
    <t>p25700608@student.nicmar.ac.in</t>
  </si>
  <si>
    <t>19-Sep-2002</t>
  </si>
  <si>
    <t>ENGLISH, TELUGU</t>
  </si>
  <si>
    <t>7910 2573 1200</t>
  </si>
  <si>
    <t>SURESH REDDY SARAGADA LATE</t>
  </si>
  <si>
    <t>EX-SERVICEMEN (NAVY)</t>
  </si>
  <si>
    <t>JAYA LAKSHMI SARAGADA</t>
  </si>
  <si>
    <t>BANK EMPLOYEE</t>
  </si>
  <si>
    <t>D. No 53-7-7/2, Atchi Vari Street_x000D_
Maddilapalem,Visakhapatnam</t>
  </si>
  <si>
    <t>SRI PRAKSH VIDYANIKETAN</t>
  </si>
  <si>
    <t>ANDHRA UNIVERSITY</t>
  </si>
  <si>
    <t>ANIL NEERUKONDA INSTITUTE OF TECHNOLOGY AND SCIENCES, VISAKHAPATNAM, ANDHRA PRADESH</t>
  </si>
  <si>
    <t>ASIAN PAINTS | Summer Intern - Project Sales | Chennai, Tamil Nadu | May 2026 | Jul 2026 | 8 Weeks | Campus Internship
SHAPOORJI PALLONJI CONSTRUCTION PRIVATE LIMITED | Intern â€“ Project Controls &amp; Commercial Operations at IIM Visakhapatnam  | VISAKHAPATNAM | Jul 2024 | Aug 2024 | 4 Weeks</t>
  </si>
  <si>
    <t>P25700609</t>
  </si>
  <si>
    <t>SURESHKUMAR</t>
  </si>
  <si>
    <t>Shubham Sureshkumar Prasad</t>
  </si>
  <si>
    <t>shubhamprasad338@gmail.com</t>
  </si>
  <si>
    <t>p25700609@student.nicmar.ac.in</t>
  </si>
  <si>
    <t>3106 9386 1891</t>
  </si>
  <si>
    <t>SURESHKUMAR PRASAD</t>
  </si>
  <si>
    <t>REETA PRASAD</t>
  </si>
  <si>
    <t>Tiranga Society, C-8, 3-16, Sector 25, Juinagar, Navi Mumbai</t>
  </si>
  <si>
    <t>CENTRAL BOARD OF SECONDARY EDUCATION ( CBSE )</t>
  </si>
  <si>
    <t>TERNA ENGINEERING COLLEGE, NERUL, NAVI-MUMBAI</t>
  </si>
  <si>
    <t>RIB CostX, Excel, AutoCAD, MS Project, Primavera, Revit</t>
  </si>
  <si>
    <t>BOXOFFICE SPACE | INTERN | Pune | May 2026 | Jul 2026 | 8 Weeks | Campus Internship
DIRECTORATE OF CONSTRUCTION, SERVICES AND ESTATE MANAGEMENT, DEPARTMENT OF ATOMIC ENERGY, GOVERNMENT OF INDIA | INTERN | MUMBAI | Dec 2022 | Jan 2023 | 4 Weeks
VIKAS CONSTRUCTION | Estimation &amp; Costing intern | Mumbai | Jan 2025 | Apr 2025 | 12 Weeks</t>
  </si>
  <si>
    <t>Construction Cost Estimating and Cost Control 
Data Analysis
Project Planning and Execution Management
Project - Monitoring and Control
Project Management - Initiation and Planning
Project Management in  Construction</t>
  </si>
  <si>
    <t>P25700610</t>
  </si>
  <si>
    <t>LLOYD</t>
  </si>
  <si>
    <t>ALBAN</t>
  </si>
  <si>
    <t>MORAES</t>
  </si>
  <si>
    <t>Lloyd Alban Moraes</t>
  </si>
  <si>
    <t>lloydmrs007@gmail.com</t>
  </si>
  <si>
    <t>p25700610@student.nicmar.ac.in</t>
  </si>
  <si>
    <t>11-Dec-1996</t>
  </si>
  <si>
    <t>4347 9465 4807</t>
  </si>
  <si>
    <t>ABC</t>
  </si>
  <si>
    <t>LORRENE</t>
  </si>
  <si>
    <t>A-101,EMERALD,MAHAVIR UNIVERSE,OPP. DMART,CHILHAR ROAD,BOISAR(E)</t>
  </si>
  <si>
    <t>MORAES LLOYD ALBAN</t>
  </si>
  <si>
    <t>TARAPUR VIDYA MANDIR</t>
  </si>
  <si>
    <t>2015-Feb</t>
  </si>
  <si>
    <t>ST.JOHN COLLEGE OF ENGINEERING AND MANAGEMENT,PALGHAR/MAHARSHTRA</t>
  </si>
  <si>
    <t>AutoCAD, MS Office, MS Project, Primavera, Revit, RIB CostX, Bexel Manager</t>
  </si>
  <si>
    <t>AGAMI REALTY | SITE ENGINEER | BANDRA,MUMBAI | Dec 2020 | May 2025 | 4 Years, 5 Months, 30 Days | 4.2</t>
  </si>
  <si>
    <t>54 month(s)</t>
  </si>
  <si>
    <t>Cherry Hill Interiors Pvt. Ltd. | Project Management Trainee | Banglore | May 2026 | Jul 2026 | 8 Weeks | Campus Internship
ADHIKARI RMC | QA/QC | BOISAR,MAHARASHTRA | Jun 2019 | Jul 2019 | 6 Weeks
K K BUILDERS | TRAINEE | PALGHAR,MAHARASHTRA | May 2016 | Jun 2016 | 4 Weeks</t>
  </si>
  <si>
    <t>APTECH MSP CERTIFICATION
Finance for non financial Managers
Construction Management Project Delivery Methods &amp; Contracts</t>
  </si>
  <si>
    <t>P25700611</t>
  </si>
  <si>
    <t>WAMAN</t>
  </si>
  <si>
    <t>Omkar Santosh Waman</t>
  </si>
  <si>
    <t>omkar.waman99@gmail.com</t>
  </si>
  <si>
    <t>p25700611@student.nicmar.ac.in</t>
  </si>
  <si>
    <t>9611 4444 4338</t>
  </si>
  <si>
    <t>SANTOSH RAMBHAU WAMAN</t>
  </si>
  <si>
    <t>SUREKHA SANTOSH WAMAN</t>
  </si>
  <si>
    <t>301/10,Celebration KH4,Sector 17,Kharghar,Navi Mumbai</t>
  </si>
  <si>
    <t>I.E.S.V.N.SULE GURUJI ENGLISH MEDIUM SCHOOL</t>
  </si>
  <si>
    <t>MAHARASHTRA STATE BOARD ,MUMBAI/MAHARSHTRA</t>
  </si>
  <si>
    <t>MAHARSHI DAYANAND COLLEGE OF ARTS, COMMERCE AND SCIENCE</t>
  </si>
  <si>
    <t>ANJUMAN-I-ISLAMS M.H.SABOO SIDDIK COLLEGE OF ENGINEERING,MUMBAI/MAHARASHTRA</t>
  </si>
  <si>
    <t>GIRISH ENTERPRISES PRIVATE LIMITED | TRAINEE CIVIL ENGINEER | Taloja, Navi Mumbai | Nov 2024 | Jun 2025 | 0 Years, 6 Months, 21 Days | 3</t>
  </si>
  <si>
    <t>SOBHA LIMITED | Project Management Intern | GIFT City, Ahmedabad | May 2026 | Jul 2026 | 9 Weeks | Campus Internship
CITY AND INDUSTRIAL DEVLOPMENT CORPORATION OF MAHARASHTRA LIMITED | INTERN | TALOJA, NAVI MUMBAI | Jun 2023 | Jun 2023 | 4 Weeks</t>
  </si>
  <si>
    <t>P25700612</t>
  </si>
  <si>
    <t>SANGMESHWAR</t>
  </si>
  <si>
    <t>SHAMBHU</t>
  </si>
  <si>
    <t>JALKOTE</t>
  </si>
  <si>
    <t>Sangmeshwar Shambhu Jalkote</t>
  </si>
  <si>
    <t>jalkotesangmeshwar@gmail.com</t>
  </si>
  <si>
    <t>p25700612@student.nicmar.ac.in</t>
  </si>
  <si>
    <t>3490 0542 7678</t>
  </si>
  <si>
    <t>SHAMBHU JALKOTE</t>
  </si>
  <si>
    <t>MAHADEVI JALKOTE</t>
  </si>
  <si>
    <t>R1/6 Ramesh Wande Nagar Near Mari Aai Mandir, Upper Village Kolshet</t>
  </si>
  <si>
    <t>KENDRIYA VIDYALA AFS THANE</t>
  </si>
  <si>
    <t>KENDRIYA VIDYALAYA AFS THANE</t>
  </si>
  <si>
    <t>A.P SHAH INSTITUTE OF TECHNOLOGY THANE</t>
  </si>
  <si>
    <t>AutoCAD,MS Office,MS Project,Primavera,BIM,Market Research &amp; Feasibility Support,Tender Documentation &amp; Vendor Coordination</t>
  </si>
  <si>
    <t>Asian Paints Limited | Project Sales | Mumbai, Navi Mumbai | May 2026 | Jul 2026 | 8 Weeks | Campus Internship
HARSH CONSTRUCTION PVT LTD | INTERN | THANE | May 2023 | Jul 2023 | 7 Weeks
ADITIYA ENTERPRISES | INTERN | MUMBAI | Dec 2021 | Jan 2023 | 57 Weeks
GUBBI CIVIL ENGINEERS | INTERN | MUMBAI | Jun 2024 | Jun 2025 | 56 Weeks</t>
  </si>
  <si>
    <t>Professional Drafting and Presentation
Universal Human Values
Finance for non Finance mangers
Six Sigma</t>
  </si>
  <si>
    <t>P25700613</t>
  </si>
  <si>
    <t>SARUMATHI</t>
  </si>
  <si>
    <t>Sarumathi C</t>
  </si>
  <si>
    <t>sarumathichinnaiyan32@gmail.com</t>
  </si>
  <si>
    <t>p25700613@student.nicmar.ac.in</t>
  </si>
  <si>
    <t>ENGLISH,TAMIL,HINDI</t>
  </si>
  <si>
    <t>2607 5741 3904</t>
  </si>
  <si>
    <t>CHINNAIYAN.S</t>
  </si>
  <si>
    <t>RAMAMIRTHAM.C</t>
  </si>
  <si>
    <t>615,SOUTH STREET,THIRUMANGALAKKOTAI WEST,ORATHANADU(TK),THANJAVUR(DT)</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</si>
  <si>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</si>
  <si>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</si>
  <si>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</si>
  <si>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</si>
  <si>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 Years, 6 Months, 16 Days | 2.16</t>
  </si>
  <si>
    <t>BECHTEL INDIA PRIVATE LIMITED | PROJECT CONTROLS | Gurgaon, HaryanaGurgaon,Haryana | May 2026 | Jul 2026 | 7 Weeks | Campus Internship
CHENNAI METROPOLITIAN DEVELOPMENT AUTHORITY-CMDA | SUMMER INTERN | CHENNAI | Dec 2023 | Mar 2024 | 14 Weeks</t>
  </si>
  <si>
    <t>Shaping Urban Futures
Renewable Energy and Green Building  Entrepreneurship</t>
  </si>
  <si>
    <t>P25700614</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</si>
  <si>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</si>
  <si>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</si>
  <si>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</si>
  <si>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</si>
  <si>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</si>
  <si>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</si>
  <si>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</si>
  <si>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</si>
  <si>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</si>
  <si>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</si>
  <si>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</si>
  <si>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GOVERNMENT HIGHER SECONDARY SCHOOL GURRAIYA CHHINDWARA</t>
  </si>
  <si>
    <t>GOVT. ADARSH MULTI PURPOSH HIGHER SECONDARY EXCELLENCE SCHOOL, CHHINDWARA</t>
  </si>
  <si>
    <t>RAJIV GANDHI PROUDYOGIKI VISHWAVIDYALAYA BHOPAL</t>
  </si>
  <si>
    <t>MALWA INSTITUTE OF TECHNOLOGY,INDORE MADHYA PRADESH</t>
  </si>
  <si>
    <t>DEV BHOOMI DEVELOPERS | SITE ENGINEER | CHHINDWARA | Jun 2023 | Dec 2023 | 0 Years, 6 Months, 30 Days | 1.8</t>
  </si>
  <si>
    <t>Goa State Infrastructure Development Corporation Limited | Site execution |  Construction of Panchayat Ghar and Shopping Complex along with Community Hall at Bazar Shiroda in the Property of V.P. Shiroda.  | May 2026 | Jul 2026 | 8 Weeks | Campus Internship</t>
  </si>
  <si>
    <t>P25700615</t>
  </si>
  <si>
    <t>PANICKER</t>
  </si>
  <si>
    <t>Vishnu Sunil Panicker</t>
  </si>
  <si>
    <t>vishnus8005@gmail.com</t>
  </si>
  <si>
    <t>p25700615@student.nicmar.ac.in</t>
  </si>
  <si>
    <t>18-May-2001</t>
  </si>
  <si>
    <t>ENGLISH, HINDI, MARATHI, MALAYALAM</t>
  </si>
  <si>
    <t>8824 4047 2522</t>
  </si>
  <si>
    <t>SUNIL KUMAR C PANICKER</t>
  </si>
  <si>
    <t>SIMMY SUNIL PANICKER</t>
  </si>
  <si>
    <t>104, B-4 Nandkishor CHS LTD, Vrindavan Complex, Sukapur, New Panvel</t>
  </si>
  <si>
    <t>CHANGU KHANA THAKUR VIDYALAYA &amp; JR. COLLEGE</t>
  </si>
  <si>
    <t>PILLAI HOC COLLEGE OF ENGINEERING AND TECHNOLOGY, RASAYANI, MAHARASHTRA.</t>
  </si>
  <si>
    <t>Ajwani Infrastructure Pvt Ltd | Assistant resident Engineer | Navade, Taloja, Maharashtra | Dec 2023 | Jun 2025 | 1 Years, 6 Months, 29 Days | 2.71</t>
  </si>
  <si>
    <t>Cherry Hill Pvt Ltd | Management Trainee | Pune | May 2026 | Jul 2026 | 8 Weeks | Campus Internship
SIMSA Infraprojects PVT LTD | Jr. Engineer | Rasayani, Maharashtra  | Jun 2023 | Aug 2023 | 12 Weeks
CITY AND INDUSTRIAL DEVELOPMENT CORPORATION OF MAHARASHTRA | INTERNSHIP TRAINEE | TALOJA, MAHARASHTRA. BHAMANDONGIRI | Jun 2022 | Jul 2022 | 4 Weeks
THAKUR INFRAPROJECTS PVT LTD | CIVIL SUPERVISOR | JASAI, URAN | Dec 2021 | Jan 2022 | 3 Weeks</t>
  </si>
  <si>
    <t>P25700617</t>
  </si>
  <si>
    <t>KALAMBE</t>
  </si>
  <si>
    <t>Devanshu Vikas Kalambe</t>
  </si>
  <si>
    <t>kalambedevanshu@gmail.com</t>
  </si>
  <si>
    <t>p25700617@student.nicmar.ac.in</t>
  </si>
  <si>
    <t>4931 0718 4976</t>
  </si>
  <si>
    <t>VIKAS KALAMBE</t>
  </si>
  <si>
    <t>SHUBHANGI KALAMBE</t>
  </si>
  <si>
    <t>53/B, Ramna Maruti Nagar</t>
  </si>
  <si>
    <t>TEJASWINI VIDYAMANDIR</t>
  </si>
  <si>
    <t>WANI Projects &amp; Infra | Site Execution + Control Intern | PUNE | May 2026 | Jun 2026 | 8 Weeks | Campus Internship
Panacea Civil India Pvt. ltd. | Site Engineer Intern | Pune | Jan 2025 | Jun 2025 | 25 Weeks</t>
  </si>
  <si>
    <t>P25700618</t>
  </si>
  <si>
    <t>ANKUR</t>
  </si>
  <si>
    <t>KOLTE</t>
  </si>
  <si>
    <t>Ankur Sanjay Kolte</t>
  </si>
  <si>
    <t>kolteankur28@gmail.com</t>
  </si>
  <si>
    <t>p25700618@student.nicmar.ac.in</t>
  </si>
  <si>
    <t>28-Apr-2002</t>
  </si>
  <si>
    <t>9834 5479 0283</t>
  </si>
  <si>
    <t>SANJAY KOLTE</t>
  </si>
  <si>
    <t>DEEPALI KOLTE</t>
  </si>
  <si>
    <t>C808,Palm Springs,SB Patil College Road,Ravet,PCMC,Pune</t>
  </si>
  <si>
    <t>SONA I ENGLISH MEDIUM HIGH SCHOOL,PUNE</t>
  </si>
  <si>
    <t>BHARATI VIDYAPEETH'S COLLEGE OF ENGINEERING,LAVALE,PUNE</t>
  </si>
  <si>
    <t>AutoCAD, MS Office, MS Project, Primavera, RIB COSTX, Quantity Surveying Building Estimation BBS with Excel &amp;CAD</t>
  </si>
  <si>
    <t>PSC Infracon Pvt. Ltd. | Junior Engineer | Wakad,Pune | Jul 2024 | May 2025 | 0 Years, 9 Months, 15 Days | 2.71</t>
  </si>
  <si>
    <t>EMBASSY DEVELOPMENTS LIMITED | BUSINESS DEVELOPMENT INTERN | Mumbai,Maharashtra | May 2026 | Jul 2026 | 8 Weeks | Campus Internship
VANCON ENGINEERS | INTERN | PUNE | Jan 2023 | Feb 2023 | 4 Weeks
KOLTE-PATIL DEVELOPERS LTD. | INTERN | UNDRI,PUNE | Sep 2021 | Nov 2021 | 12 Weeks</t>
  </si>
  <si>
    <t>Real Estate Financial Modeling by CFI
Data Analysis
Quantity Surveying Building Estimation BBS with EXCEL and CAD
Finance for Non-Financial Managers</t>
  </si>
  <si>
    <t>P25700619</t>
  </si>
  <si>
    <t>Chirag Kumar</t>
  </si>
  <si>
    <t>chiragpratibha1997@gmail.com</t>
  </si>
  <si>
    <t>p25700619@student.nicmar.ac.in</t>
  </si>
  <si>
    <t>23-Jan-1997</t>
  </si>
  <si>
    <t>9690 4789 1076</t>
  </si>
  <si>
    <t>RAVINDRA KUMAR</t>
  </si>
  <si>
    <t>PRATIBHA KUMARI</t>
  </si>
  <si>
    <t>E-1008, Fusion Homes, TechZone 4, Greater Noida West</t>
  </si>
  <si>
    <t>DAV PUBLIC SCHOOL, VASANT KUNJ</t>
  </si>
  <si>
    <t>MANIPAL UNIVERSITY JAIPUR, RAJASTHAN</t>
  </si>
  <si>
    <t>Pidilite Industries Ltd. | Summer Intern | Delhi NCR | May 2026 | Jun 2026 | 7 Weeks | Campus Internship</t>
  </si>
  <si>
    <t>P25700620</t>
  </si>
  <si>
    <t>AGRAWAL</t>
  </si>
  <si>
    <t>Aditya Agrawal</t>
  </si>
  <si>
    <t>aditya.agrawal.1930@gmail.com</t>
  </si>
  <si>
    <t>p25700620@student.nicmar.ac.in</t>
  </si>
  <si>
    <t>03-Jan-2002</t>
  </si>
  <si>
    <t>7279 9916 6529</t>
  </si>
  <si>
    <t>ROOPESH AGRAWAL</t>
  </si>
  <si>
    <t>MAMTA AGRAWAL</t>
  </si>
  <si>
    <t>T-49, Shalin-3, New Vavol</t>
  </si>
  <si>
    <t>Gandhinagar</t>
  </si>
  <si>
    <t>HILLWOODS SCHOOL</t>
  </si>
  <si>
    <t>CBSE GANDHINAGAR/GUJARAT</t>
  </si>
  <si>
    <t>AHMEDABAD PUBLIC SCHOOL INTERNATIONAL</t>
  </si>
  <si>
    <t>CENTRE FOR ENVIRONMENTAL PLANNING AND TECHNOLOGY</t>
  </si>
  <si>
    <t>CENTRE FOR ENVIRONMENTAL PLANNING AND TECHNOLOGY, AHMEDABAD, GUJARAT</t>
  </si>
  <si>
    <t>AutoCAD,MS Office,Sketchup,STAAD Pro,Photoshop,Enscape</t>
  </si>
  <si>
    <t>Masin Projects Pvt. Ltd. | Intern - Quantum Analysis | Gurugram | May 2026 | Jul 2026 | 8 Weeks | Campus Internship
Prajukti Consultants Pvt. Ltd. | Structural Design | Gurugram | Jan 2023 | Apr 2023 | 16 Weeks</t>
  </si>
  <si>
    <t>Human Resources Management Essentials
Finance for Non-financial managers
Ethics in Engineering Practice
DIGI QC
Data Analysis
Construction Equipment Maintenance &amp; Safety</t>
  </si>
  <si>
    <t>P25700621</t>
  </si>
  <si>
    <t>RISHAV</t>
  </si>
  <si>
    <t>Rishav Raj</t>
  </si>
  <si>
    <t>rishav0013@gmail.com</t>
  </si>
  <si>
    <t>p25700621@student.nicmar.ac.in</t>
  </si>
  <si>
    <t>03-Jun-2003</t>
  </si>
  <si>
    <t>3413 6652 2703</t>
  </si>
  <si>
    <t>PRAMOD KUMAR</t>
  </si>
  <si>
    <t>SANGITA DEVI</t>
  </si>
  <si>
    <t>NICMAR UNIVERSITY</t>
  </si>
  <si>
    <t>A/54, Matru Sadan, Mitramandal Colony_x000D_</t>
  </si>
  <si>
    <t>VIDYA NIKETAN (BIRLA PUBLIC SCH) PILANI RAJ</t>
  </si>
  <si>
    <t>PILANI, RAJASTHAN</t>
  </si>
  <si>
    <t>P. P. M. SCHOOL VENKATESHWAR NAGER</t>
  </si>
  <si>
    <t>MOHALI, PUNJAB</t>
  </si>
  <si>
    <t>AutoCAD,MS Office,MS Project,Primavera,ARC GIS,Open Roads,Revit,CostX,QGIS,3DsMax</t>
  </si>
  <si>
    <t>JAKSON LIMITED | Execution | NOIDA | May 2026 | Jul 2026 | 8 Weeks | Campus Internship
REHLANI INFRATECH PVT. LTD. | PROJECT SUPERVISOR | AJMER | May 2024 | Jul 2024 | 6 Weeks</t>
  </si>
  <si>
    <t>Ethics in Engineering Practice
Finance for Non-Financial Managers
Application of GIS &amp; Remote Sensing in Civil Engineering</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</si>
  <si>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</si>
  <si>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</si>
  <si>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</si>
  <si>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</si>
  <si>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</si>
  <si>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</si>
  <si>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</si>
  <si>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</si>
  <si>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</si>
  <si>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</si>
  <si>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</si>
  <si>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House No 68, Om Nilaya, 5th Cross  Swami Vivekanand Nagar</t>
  </si>
  <si>
    <t>LITTLE FLOWER CONVENT HIGH SCHOOL, SOLAPUR</t>
  </si>
  <si>
    <t>PUNE DIVISIONAL BOARD, SOLAPUR, MAHARASHTRA</t>
  </si>
  <si>
    <t>SANGAMESHWAR COLLEGE, SOLAPUR</t>
  </si>
  <si>
    <t>SHARNBASVA UNIVERSITY</t>
  </si>
  <si>
    <t>SHARNBASVA UNIVERSITY, KALABURAGI, KARNATAKA</t>
  </si>
  <si>
    <t>AutoCAD,MS Office,MS Project, Revit, Primavera</t>
  </si>
  <si>
    <t>Rodic Consultants Pvt Ltd | Business Development | New Delhi | May 2026 | Jul 2026 | 8 Weeks | Campus Internship
Sakshi Enterprises | Intern | Jejuri, Pune | Mar 2024 | May 2024 | 8 Weeks</t>
  </si>
  <si>
    <t>ICCRIP Conference Certificate (Hospitallity Management)
Finance for Non- Financial Managers</t>
  </si>
  <si>
    <t>P25700623</t>
  </si>
  <si>
    <t>TRIPATHI</t>
  </si>
  <si>
    <t>Sejal . Tripathi</t>
  </si>
  <si>
    <t>p25700623@student.nicmar.ac.in</t>
  </si>
  <si>
    <t>25-Feb-2002</t>
  </si>
  <si>
    <t>6396 8316 8116</t>
  </si>
  <si>
    <t>SANJAY TRIPATHI</t>
  </si>
  <si>
    <t>POONAM TRIPATHI</t>
  </si>
  <si>
    <t>Kasaridih Borsi Road Mukt Nagar Durg</t>
  </si>
  <si>
    <t>Durg</t>
  </si>
  <si>
    <t>SRI SANKARA VIDYALAYA SECTOR-X BHILAI DURG CG</t>
  </si>
  <si>
    <t xml:space="preserve">CENTRAL BOARD OF SECONDARY EDUCATION </t>
  </si>
  <si>
    <t>SHRI SHANKARACHARYA VIDYALAYA AMDI NGR BHILAI CG</t>
  </si>
  <si>
    <t>CHHATTISGARH SWAMI VIVEKANAND TECHNICAL UNIVERSITY, BHILAI</t>
  </si>
  <si>
    <t>SHRI  SHANKARACHARYA TECHNICAL CAMPUS, BHILAI CHHATTISGARH</t>
  </si>
  <si>
    <t>Suryapriya Construction Pvt Ltd | Project Planning | Banglore | May 2026 | Jul 2026 | 8 Weeks | Campus Internship
BHILAI STEEL PLANT | Civil Engineer Trainee | BHILAI CHHATTISGARH | Jul 2023 | Aug 2023 | 3 Weeks
DESIGN CONSULTANT | Civil Engineer Trainee | BHILAI CHHATTISGARH | Jun 2023 | Jul 2023 | 2 Weeks
WATER RESOURCE DEPARTMENT | Civil Engineer Trainee | BHILAI CHHATTISGARH | Jun 2022 | Jul 2022 | 4 Weeks</t>
  </si>
  <si>
    <t>P25700624</t>
  </si>
  <si>
    <t>BHARATI</t>
  </si>
  <si>
    <t>Gayatri Mohan Bharati</t>
  </si>
  <si>
    <t>gayatribharti9371@gmail.com</t>
  </si>
  <si>
    <t>p25700624@student.nicmar.ac.in</t>
  </si>
  <si>
    <t>8927 9835 7212</t>
  </si>
  <si>
    <t>MOHAN BHARTI</t>
  </si>
  <si>
    <t>RASHMI BHARTI</t>
  </si>
  <si>
    <t>STAMP VENDOR</t>
  </si>
  <si>
    <t>Near Balaji Book Depo Gandhi Chowk Ward No.2 Gadchandur</t>
  </si>
  <si>
    <t>HOLY FAMILY CONVENT SCHOOL</t>
  </si>
  <si>
    <t>CENTRAL BOARD OF SECONDARY EDUCATION MAHARASHTRA</t>
  </si>
  <si>
    <t>INSPIRE JR. COLLEGE OF SCIENCE</t>
  </si>
  <si>
    <t>SECONDARY AND HIGHER SECONDARY EDUCATION ,PUNE</t>
  </si>
  <si>
    <t>G.H RAISONI COLLEGE OF ENGINEERING ,NAGPUR</t>
  </si>
  <si>
    <t>AutoCAD,MS Office,MS Project,Primavera, cost x , Revit , Naviswork</t>
  </si>
  <si>
    <t>SOBHA | Planning intern | Bangalore | May 2026 | Jul 2026 | 9 Weeks | Campus Internship
R S CONSTRUCTION | TRAINEE | NAGPUR | Feb 2024 | Jun 2024 | 18 Weeks</t>
  </si>
  <si>
    <t>P25700626</t>
  </si>
  <si>
    <t>Aishwarya P</t>
  </si>
  <si>
    <t>aishwaryapyarilal@gmail.com</t>
  </si>
  <si>
    <t>p25700626@student.nicmar.ac.in</t>
  </si>
  <si>
    <t>25-Sep-2001</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</si>
  <si>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</si>
  <si>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</si>
  <si>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</si>
  <si>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</si>
  <si>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</si>
  <si>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</si>
  <si>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</si>
  <si>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</si>
  <si>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</si>
  <si>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</si>
  <si>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 Years, 9 Months, 30 Days | 4.44</t>
  </si>
  <si>
    <t>Bechtel India Private Limited | Intern - Project Controls | Gurgaon | May 2026 | Jul 2026 | 7 Weeks | Campus Internship
Uralungal Labour Contract Co-operative Society (ULCCS) Ltd. | Trainee | Kerala | Oct 2022 | Oct 2022 | 1 Weeks</t>
  </si>
  <si>
    <t>AutoCAD: 2D and 3D
Waterproofing and Insulation
Quantity Surveying Elevate Course and Live Project
Leading AI Agents at Work</t>
  </si>
  <si>
    <t>P25700627</t>
  </si>
  <si>
    <t>SAURAV</t>
  </si>
  <si>
    <t>Saurav Sunil</t>
  </si>
  <si>
    <t>sauravsunil101@gmail.com</t>
  </si>
  <si>
    <t>p25700627@student.nicmar.ac.in</t>
  </si>
  <si>
    <t>ENGLISH,HINDI,MALAYALAM ,TAMIL</t>
  </si>
  <si>
    <t>Sports ,Reading</t>
  </si>
  <si>
    <t>7348 7884 5080</t>
  </si>
  <si>
    <t>SUNIL KUMAR VV</t>
  </si>
  <si>
    <t>SONA PV</t>
  </si>
  <si>
    <t>SREELAKAM ,
Velippara Street No 4 , Karimbam (PO),
Taliparamba.</t>
  </si>
  <si>
    <t>CHINMAYA VIDYALAYA  , TALIPARAMBA</t>
  </si>
  <si>
    <t>CENTRAL BOARD OF SECONDARY EDUCATION , KERALA</t>
  </si>
  <si>
    <t>MOOTHEDATH HIGHER SECONDARY SCHOOL , TALIPARAMBA</t>
  </si>
  <si>
    <t>VIMAL JYOTHI ENGINEERING COLLEGE , KERALA</t>
  </si>
  <si>
    <t>AutoCAD,MS Office,MS Project,Primavera,BIM,Revit,Navisworks</t>
  </si>
  <si>
    <t>MILLENNIUM ENGINEERS &amp; CONTRACTORS PVT. LTD. ( Project : Godrej Emerald Waters, Pune) | Summer Intern | Pimpri, Pune | May 2026 | Jul 2026 | 8 Weeks | Campus Internship
VR4BIM LLP | BIM MODELER - INTERN | KOCHI , KERALA | Dec 2024 | Feb 2025 | 12 Weeks
ACADEMIC PROJECT | INFLUENCE OF SUGARCANE BAGASSE ASH IN SELF COMPACTING CONCRETE | KANNUR, KERALA | Jul 2023 | Jul 2024 | 52 Weeks</t>
  </si>
  <si>
    <t>BIM LABS CERTIFIED BIM MODELLER IN ARCHITECTURE
Power Bi workshop</t>
  </si>
  <si>
    <t>P25700628</t>
  </si>
  <si>
    <t>KATA</t>
  </si>
  <si>
    <t>Ganesh Kumar Kata</t>
  </si>
  <si>
    <t>ganeshkumarkata@gmail.com</t>
  </si>
  <si>
    <t>p25700628@student.nicmar.ac.in</t>
  </si>
  <si>
    <t>16-Jan-2002</t>
  </si>
  <si>
    <t>4904 4786 3765</t>
  </si>
  <si>
    <t>KATA SIVAYYA</t>
  </si>
  <si>
    <t>KATA BHAGYA LAKSHMI</t>
  </si>
  <si>
    <t>Tarvanipeta, 4-10-20, Dr.B.R. Ambedkar Konaseema . Near Bus Stand.</t>
  </si>
  <si>
    <t>ST ANN'S (EM) HS MANDAPETA</t>
  </si>
  <si>
    <t>KAKINADA INSTITUTE OF ENGINEERING &amp; TECHNOLOGY KORANGI.</t>
  </si>
  <si>
    <t>JAWAHARLAL NEHRU TECHNOLOGICAL UNIVERSITY KAKINADA.</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</si>
  <si>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</si>
  <si>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</si>
  <si>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 Weeks | Campus Internship
Ap police housing corporation limited | Trainee  | Kakinada | Oct 2020 | Jan 2021 | 12 Weeks
ULTRATECH CEMENT | INTERN | RAJAHMUNDRY  | Jul 2023 | Jul 2023 | 3 Weeks</t>
  </si>
  <si>
    <t>Certified Associate In Project Management ( CAPM )
Lean Six Sigma Green Belt
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t>
  </si>
  <si>
    <t>P25700629</t>
  </si>
  <si>
    <t>JINIA</t>
  </si>
  <si>
    <t>DUTTA</t>
  </si>
  <si>
    <t>Jinia Dutta</t>
  </si>
  <si>
    <t>jinia.slg@gmail.com</t>
  </si>
  <si>
    <t>p25700629@student.nicmar.ac.in</t>
  </si>
  <si>
    <t>25-Aug-1999</t>
  </si>
  <si>
    <t>English, Hindi and Bengali</t>
  </si>
  <si>
    <t>7735 1683 2431</t>
  </si>
  <si>
    <t>PRATIM DUTTA</t>
  </si>
  <si>
    <t>SOMA DUTTA</t>
  </si>
  <si>
    <t>Ward No.27,Biplabi Ganesh Ghosh Sarani, South Babupara ,Siliguri</t>
  </si>
  <si>
    <t>Darjeeling</t>
  </si>
  <si>
    <t>ST. JOSEPH'S HIGH SCHOOL , MATIGARA</t>
  </si>
  <si>
    <t>INDIAN CERTIFICATE OF SECONDARY EXAMINATION ,SILIGURI ,WEST BENGAL</t>
  </si>
  <si>
    <t>INDIAN SCHOOL CERTIFICATE , SILIGURI, WEST BENGAL</t>
  </si>
  <si>
    <t>BHARATI VIDYAPEETH (DEEMED TO BE UNIVERSITY)</t>
  </si>
  <si>
    <t>BHARATI VIDYAPEETH (DEEMED TO BE UNIVERSITY) COLLEGE OF ARCHITECTURE , PUNE ,MAHARASHTRA</t>
  </si>
  <si>
    <t>AutoCAD,MS Office,MS Project,Primavera P6, Revit,Navisworks,Sketchup,Lumion,Twinmotion,Adobe Photoshop,Adobe InDesign</t>
  </si>
  <si>
    <t>Green Architecture Consulting Engineers Pvt. Ltd. | Architect | Siliguri , West Bengal | Nov 2022 | Jun 2025 | 2 Years, 7 Months, 29 Days | 5.28</t>
  </si>
  <si>
    <t>Cherry Hill Interiors Pvt. Ltd. | Project Intern | Hyderabad | May 2026 | Jul 2026 | 8 Weeks | Campus Internship
Habib Modara Art and Architecture | Trainee Architect | Bahrain | Jul 2022 | Sep 2022 | 12 Weeks
GREEN ARCHITECTURE CONSULTING ENGINEERS PVT. LTD. | TRAINEE ARCHITECT | SILIGURI, WEST BENGAL | Jul 2021 | Dec 2021 | 23 Weeks</t>
  </si>
  <si>
    <t>Council of Architecture</t>
  </si>
  <si>
    <t>P25700630</t>
  </si>
  <si>
    <t>THAMBAN</t>
  </si>
  <si>
    <t>Navya Thamban</t>
  </si>
  <si>
    <t>navyathamban253@gmail.com</t>
  </si>
  <si>
    <t>p25700630@student.nicmar.ac.in</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</si>
  <si>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</si>
  <si>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</si>
  <si>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</si>
  <si>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</si>
  <si>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</si>
  <si>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</si>
  <si>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</si>
  <si>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</si>
  <si>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</si>
  <si>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</si>
  <si>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</si>
  <si>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</si>
  <si>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 Weeks
KOCHI MUNICIPAL CORPORATION | Intern | Ernakulam | May 2023 | May 2023 | 2 Weeks</t>
  </si>
  <si>
    <t>Course on AutoCAD Essential
Master Certification in BIM</t>
  </si>
  <si>
    <t>P25700631</t>
  </si>
  <si>
    <t>AVAGADDA</t>
  </si>
  <si>
    <t>LIKITH</t>
  </si>
  <si>
    <t>Avagadda Likith Karthikeya</t>
  </si>
  <si>
    <t>likithkarthikeya.avagadda@gmail.com</t>
  </si>
  <si>
    <t>p25700631@student.nicmar.ac.in</t>
  </si>
  <si>
    <t>06-Dec-2003</t>
  </si>
  <si>
    <t>ENGLISH ,TELUGU ,HINDI</t>
  </si>
  <si>
    <t>7885 7857 2155</t>
  </si>
  <si>
    <t>AVAGADDA SURYA RAO</t>
  </si>
  <si>
    <t>AVAGADDA JAMUNA</t>
  </si>
  <si>
    <t>DOOR NO. 39-8-36/5,MURALINAGAR,</t>
  </si>
  <si>
    <t>H No. 1-32,pulagalipalem,near Ramalayam,Pendhurthi</t>
  </si>
  <si>
    <t>APOORVA HIGH SCHOOL</t>
  </si>
  <si>
    <t>BOARD OF SECONDRY EDUCATION ANDHRA PRADESH</t>
  </si>
  <si>
    <t>ANDHRA UNIVERSITY COLLEGE OF ENGINEERING</t>
  </si>
  <si>
    <t>ANDHRA UNIVERSITY COLLEGE OF ENGINEERING ANDHRA PRADESH</t>
  </si>
  <si>
    <t>AutoCAD,MS Office,MS Project,Primavera,Staad.pro</t>
  </si>
  <si>
    <t>SB URBANSCAPES | Project Management Intern | Bengaluru, Karnataka | May 2026 | Jul 2026 | 8 Weeks | Campus Internship
VISHWANADH AVENUES  IND PVT,LTD | Intern | Visakhapatnam,Andhra Pradesh | May 2024 | Jun 2024 | 4 Weeks</t>
  </si>
  <si>
    <t>NATIONAL CADET CORPS
Total Station Training Program
AUTOCAD</t>
  </si>
  <si>
    <t>P25700632</t>
  </si>
  <si>
    <t>NIYATI</t>
  </si>
  <si>
    <t>VENUGOPAL</t>
  </si>
  <si>
    <t>Niyati Venugopal Shetty</t>
  </si>
  <si>
    <t>niyatishetty01@gmail.com</t>
  </si>
  <si>
    <t>p25700632@student.nicmar.ac.in</t>
  </si>
  <si>
    <t>21-Jan-2001</t>
  </si>
  <si>
    <t>English, Hindi, Marathi, Tulu</t>
  </si>
  <si>
    <t>9167 9551 6641</t>
  </si>
  <si>
    <t>VENUGOPAL SHIVANNA SHETTY</t>
  </si>
  <si>
    <t>SAPNA VENUGOPAL SHETTY</t>
  </si>
  <si>
    <t>4/57, Runwal Park, Near Marketyard Last Bus Depot. Jawaharlal Road, Gultekadi, Pune, Maharashtra</t>
  </si>
  <si>
    <t>ST. ANNE'S HIGH SCHOOL</t>
  </si>
  <si>
    <t>S.M. CHOKSEY HIGH SCHOOL AND JUNIOR COLLEGE</t>
  </si>
  <si>
    <t>MARATHWADA MITRA MANDAL'S COLLEGE OF ARCHITECTURE (MMCOA),MAHARASHTRA,PUNE</t>
  </si>
  <si>
    <t>AutoCAD, Revit, Navisworks, Archicad, Sketchup, Lumion, D5 Render, Primavera P6, MS Project, CostX, MS Office, Adobe Photoshop, Adobe InDesign, Adobe Illustrator</t>
  </si>
  <si>
    <t>Alkove-Design | Junior Architect | Pune | Sep 2024 | Jun 2025 | 0 Years, 9 Months, 28 Days | 2.52</t>
  </si>
  <si>
    <t>Cherry Hill Interiors Pvt. Ltd. | Site Execution - Project Management &amp; Coordination | Bengaluru | May 2026 | Jul 2026 | 8 Weeks | Campus Internship
d6thD design studio | Architectural Intern | Ahmedabad | Jun 2023 | Nov 2023 | 20 Weeks</t>
  </si>
  <si>
    <t>P25700633</t>
  </si>
  <si>
    <t>KRITHIKA</t>
  </si>
  <si>
    <t>Krithika R</t>
  </si>
  <si>
    <t>p25700633@student.nicmar.ac.in</t>
  </si>
  <si>
    <t>English, Kannada, Tamil, Hindi</t>
  </si>
  <si>
    <t>8894 5206 7659</t>
  </si>
  <si>
    <t>RAJAN M</t>
  </si>
  <si>
    <t>APCQCO</t>
  </si>
  <si>
    <t>BANU T</t>
  </si>
  <si>
    <t>#625, 15th Cross, BDA Layout Lingarajapuram  Bangalore North,St Thomas Town, Bangalore-560084, Karnataka</t>
  </si>
  <si>
    <t>ST CHARLES HIGH SCHOOL</t>
  </si>
  <si>
    <t>ST ANNE'S GIRLS PU COLLEGE</t>
  </si>
  <si>
    <t>REVA UNIVERSITY, BENGALURU, KARNATAKA</t>
  </si>
  <si>
    <t>AutoCAD,MS Office,MS Project,Primavera,POWER BI,STAAD PRO</t>
  </si>
  <si>
    <t>VESTIAN GLOBAL WORKSPACE SERVICES PVT LTD | Graduate Engineer -Trainee  | Bangalore ,Karnataka | Aug 2023 | Jun 2025 | 1 Years, 10 Months, 19 Days | 4.6</t>
  </si>
  <si>
    <t>DEBRIQUE CREATIVE LABS PRIVATE LIMITED  | INTERN-Supply Chain Management Team | CHENNAI, TAMILNADU | May 2026 | Jul 2026 | 8 Weeks | Campus Internship
VESTIAN GLOBAL WORKSPACE SERVICES PVT LTD | INTERN  | BANGALORE, KARNATAKA  | Mar 2023 | Jul 2023 | 20 Weeks
L&amp;T CONSTRUCTION | INTERN  | BANGALORE  | Jul 2022 | Aug 2022 | 4 Weeks</t>
  </si>
  <si>
    <t>Coursera-Managing Project Risks and Changes
Coursera-Initiating and Planning Projects
Coursera-Budgeting and Scheduling Projects</t>
  </si>
  <si>
    <t>P25700634</t>
  </si>
  <si>
    <t>SAIRAJ</t>
  </si>
  <si>
    <t>Sairaj Ashish Kadam</t>
  </si>
  <si>
    <t>sairajkadam910@gmail.com</t>
  </si>
  <si>
    <t>p25700634@student.nicmar.ac.in</t>
  </si>
  <si>
    <t>19-Feb-2004</t>
  </si>
  <si>
    <t>9726 1023 0689</t>
  </si>
  <si>
    <t>ASHISH KADAM</t>
  </si>
  <si>
    <t>PRAJAKTA KADAM</t>
  </si>
  <si>
    <t>601; GAURISHANKAR BLDG ; SHANTIVAN ; BORIVALI EAST.</t>
  </si>
  <si>
    <t>B.D.D Chawl No.11; Room No. 50 ; Dr. G.M Bhosle Marg ; Near Jambori Maidan.</t>
  </si>
  <si>
    <t>NARAYANA E-TECHNO</t>
  </si>
  <si>
    <t>MUMBAI / MAHARASHTRA</t>
  </si>
  <si>
    <t>NARAYANA</t>
  </si>
  <si>
    <t>DR. VISHWANATH KARAD</t>
  </si>
  <si>
    <t>MIT-WPU PUNE / MAHARASHTRA</t>
  </si>
  <si>
    <t>Yash Constructions | Site execution  | Mumbai | May 2026 | Jul 2026 | 8 Weeks | Campus Internship
SHREE CONTRACTOR | JR. SITE ENGINEER  | MUMBAI | Jan 2025 | Jun 2025 | 22 Weeks</t>
  </si>
  <si>
    <t>P25700635</t>
  </si>
  <si>
    <t>DETH</t>
  </si>
  <si>
    <t>Hari Deth</t>
  </si>
  <si>
    <t>harideth666@gmail.com</t>
  </si>
  <si>
    <t>p25700635@student.nicmar.ac.in</t>
  </si>
  <si>
    <t>31-May-2001</t>
  </si>
  <si>
    <t>English,Malayalam,Hindi,Tamil</t>
  </si>
  <si>
    <t>6388 6394 3968</t>
  </si>
  <si>
    <t>GURUDATHAN.V</t>
  </si>
  <si>
    <t>BANK MANAGER(CURRENTLY RETIRED)</t>
  </si>
  <si>
    <t>SUNITHA.V</t>
  </si>
  <si>
    <t>White Pearl,nellicode,vadasserikonam P.O Varkala</t>
  </si>
  <si>
    <t>HARIDETH</t>
  </si>
  <si>
    <t>CENTRAL BOARD OF SECONDARY EDUCATION-KERALA</t>
  </si>
  <si>
    <t>MARIAN ENGINEERING COLLEGE</t>
  </si>
  <si>
    <t>AutoCAD,MS Office,MS Project,Planswift,MS Excel</t>
  </si>
  <si>
    <t>Bond interiors International | Quantity surveyor-Estimator | Thiruvananthapuram  | Jul 2023 | Apr 2025 | 1 Years, 9 Months, 18 Days | 2.4</t>
  </si>
  <si>
    <t>Uralungal Labour Contract Co-operative Society (ULCCS) | Intern | Government Taluk Hospital, Varkala, Thiruvananthapuram, Kerala | May 2026 | Jul 2026 | 8 Weeks | Campus Internship</t>
  </si>
  <si>
    <t>P25700636</t>
  </si>
  <si>
    <t>FURQUANZIYA</t>
  </si>
  <si>
    <t>SHAKEEL</t>
  </si>
  <si>
    <t>Furquanziya Shakeel Shaikh</t>
  </si>
  <si>
    <t>furquanshaikh3130@gmail.com</t>
  </si>
  <si>
    <t>p25700636@student.nicmar.ac.in</t>
  </si>
  <si>
    <t>22-Nov-2001</t>
  </si>
  <si>
    <t>6959 9604 4285</t>
  </si>
  <si>
    <t>SHAKEEL SHAIKH</t>
  </si>
  <si>
    <t>PARVEEN SHAIKH</t>
  </si>
  <si>
    <t>FL-01 UTKARSH NAGAR, BEHIND SHAKUNTALA NIKAM UDYAN, GOKHALENAGAR, PUNE</t>
  </si>
  <si>
    <t>Behind National Enterprises, Methwada Road, Maheshwar</t>
  </si>
  <si>
    <t>Khargone</t>
  </si>
  <si>
    <t>D.A.V PUBLIC SCHOOL</t>
  </si>
  <si>
    <t>CBSE PUNE MAHARASHTRA</t>
  </si>
  <si>
    <t>CBSE ,PUNE, MAHARASHTRA</t>
  </si>
  <si>
    <t>MIT ACADEMY OF ENGINEERING, ALANDI, PUNE</t>
  </si>
  <si>
    <t>AutoCAD,MS Office,REVIT, MS Project, Primavera, CostX, Navisworks</t>
  </si>
  <si>
    <t>Pune Metro Rail Corporation | Site Execution | Pune | May 2026 | Jul 2026 | 9 Weeks | Campus Internship
CQRA PVT LTD | Management Trainee | Pune | Jan 2025 | Jun 2025 | 19 Weeks
MIllennium Engineers and Contractors PVT LTD | Site Intern | Lohegoan, Pune | Jun 2024 | Jul 2024 | 4 Weeks</t>
  </si>
  <si>
    <t>NPTEL Air Pollution and Control
Basics of Financial Management
Revit for Architecture</t>
  </si>
  <si>
    <t>P25700637</t>
  </si>
  <si>
    <t>WAGHMARE</t>
  </si>
  <si>
    <t>Kunal Rajendra Waghmare</t>
  </si>
  <si>
    <t>kunalwaghmare.301091@gmail.com</t>
  </si>
  <si>
    <t>p25700637@student.nicmar.ac.in</t>
  </si>
  <si>
    <t>6038 5343 9663</t>
  </si>
  <si>
    <t>FLAT NO.1708. R16- A BUILDING REPUBLIC MULSHI PUNE MARUNGI</t>
  </si>
  <si>
    <t>Aatipati Ward, Allipur,</t>
  </si>
  <si>
    <t>ST. JOHN'S SCHOOL ALLIPUR</t>
  </si>
  <si>
    <t>ACHARYA SHRIMANNARAYAN POLYTECHNIC, PIPRI, WARDHA</t>
  </si>
  <si>
    <t>ST.VINCENT PALLOTTI COLLEGE OF ENGINEERING AND TECHNOLOGY , NAGPUR</t>
  </si>
  <si>
    <t>AutoCAD,MS Office,MS Project,Primavera,Naviswork,Revit Architecture,CostX</t>
  </si>
  <si>
    <t>Singaniya Buildcon | Planning, Site Execution &amp; Control, and Procurement | Raipur | May 2026 | Jul 2026 | 8 Weeks | Campus Internship
PLA PROJECT PRIVATE LIMITED | TRAINEE ENGINEER | NAGPUR | Dec 2024 | Apr 2025 | 19 Weeks</t>
  </si>
  <si>
    <t>Revit Architecture
Naviswork
Primavera,</t>
  </si>
  <si>
    <t>P25700638</t>
  </si>
  <si>
    <t>Vivek Dilip Deshmukh</t>
  </si>
  <si>
    <t>deshmukhvivek098@gmail.com</t>
  </si>
  <si>
    <t>p25700638@student.nicmar.ac.in</t>
  </si>
  <si>
    <t>4034 3937 2176</t>
  </si>
  <si>
    <t>GOVERMENT CONTRACTOR</t>
  </si>
  <si>
    <t>Sane Guruji Nagar, Khadki, Akola</t>
  </si>
  <si>
    <t>MOUNT CARMEL HIGH SCHOOL AKOLA</t>
  </si>
  <si>
    <t>MAHARASHTRA STATE BOARD OF SECONDARY AND HIGHER SECONDARY EDUCATION ,PUNE</t>
  </si>
  <si>
    <t>SUDHAKARRAO NAIK ART,SCIENCE &amp; UMASHANKAR KHETAN COMMERCE JR.COLLAGE AKOLA</t>
  </si>
  <si>
    <t>COLLAGE OF ENGINEERING AND TECHNOLOGY AKOLA/ MAHARASHTRA</t>
  </si>
  <si>
    <t>MS Office,MS Project,Primavera,Revit,CostX</t>
  </si>
  <si>
    <t>Chandrahas Technologies Private Limited  | Site Execution &amp; Planning  | Akola  | May 2026 | Jul 2026 | 8 Weeks | Campus Internship
SHRI.BRAHMACHAITANYA INFRASTRUCTURE PVT.LTD | INTERN  | AKOLA | May 2024 | Jun 2024 | 4 Weeks</t>
  </si>
  <si>
    <t>P25700639</t>
  </si>
  <si>
    <t>SUSHANT</t>
  </si>
  <si>
    <t>MANOHAR</t>
  </si>
  <si>
    <t>Sushant Manohar Mane</t>
  </si>
  <si>
    <t>03sushmane@gmail.com</t>
  </si>
  <si>
    <t>p25700639@student.nicmar.ac.in</t>
  </si>
  <si>
    <t>21-Mar-2003</t>
  </si>
  <si>
    <t>ENGLIS ,HINDI,MARATHI</t>
  </si>
  <si>
    <t>9115 0801 2367</t>
  </si>
  <si>
    <t>MANOHAR HARIBHAU MANE</t>
  </si>
  <si>
    <t>SANGITA MANOHAR MANE</t>
  </si>
  <si>
    <t>MANE  CHAL  ,NAGRAJ COLONEY ,100FT ROAD , VISHRAMBAG , SANGLI</t>
  </si>
  <si>
    <t>SAVARKAR SCHOOL , SANGLI</t>
  </si>
  <si>
    <t>WILLINGDONE COLLEGE OF SCINCE &amp; ART , SANGLI</t>
  </si>
  <si>
    <t>APPASAHEB COLLGE OF ARCHITECTURE ,SANGLI</t>
  </si>
  <si>
    <t>AutoCAD,MS Office,MS Project,SKETCHUP,V-RAY,PHOTOSHOP,COSTX</t>
  </si>
  <si>
    <t>KAYNE BIO SCIENCES LIMITED | Project Operations Intern. |  HYDERABAD | May 2026 | Aug 2026 | 13 Weeks | Campus Internship
IMARAT ARCHITECT | INTERN ARCHITECT | CHANDIGRAH  | Jan 2024 | Jul 2024 | 26 Weeks</t>
  </si>
  <si>
    <t>P25700640</t>
  </si>
  <si>
    <t>SHELAR</t>
  </si>
  <si>
    <t>Vivek Deepak Shelar</t>
  </si>
  <si>
    <t>vivekshelar02@gmail.com</t>
  </si>
  <si>
    <t>p25700640@student.nicmar.ac.in</t>
  </si>
  <si>
    <t>English, Marathi &amp; Hindi</t>
  </si>
  <si>
    <t>5324 7042 4629</t>
  </si>
  <si>
    <t>DEEPAK SHELAR</t>
  </si>
  <si>
    <t>VARSHA SHELAR</t>
  </si>
  <si>
    <t>27, Laxmi Nagar, Abhay College Road, Behind Cotton Market Yard, Dhule</t>
  </si>
  <si>
    <t>JAI HIND HIGH SCHOOL, DHULE</t>
  </si>
  <si>
    <t>MAHARASTRA STATE BOARD OF SECONDARY AND HIGHER SECONDARY EDUCATION, PUNE</t>
  </si>
  <si>
    <t>BAPUSAHEB SHIVAJIRAO DEORE POLYTECHNIC, DHULE</t>
  </si>
  <si>
    <t>DEEMED TO BE UNIVERSITY, PUNE</t>
  </si>
  <si>
    <t>BHARATI VIDYAPEETH DEEMED TO BE UNIVERSITY COLLEGE OF ENGINEERING, KATRAJ, PUNE.</t>
  </si>
  <si>
    <t>AutoCAD,MS Office,MS Project,Primavera,Revit Architecture,cost X</t>
  </si>
  <si>
    <t>Bhate &amp; Raje Construction Co Pvt Ltd | Project Planning | Pune | May 2026 | Jul 2026 | 8 Weeks | Campus Internship
Jogeshwari Constrution, Dhule | Intern  | Dhule | Jun 2020 | Jul 2020 | 2 Weeks
Jogeshwari Construction, Dhule | Intern | Dhule | Jul 2024 | Feb 2025 | 34 Weeks</t>
  </si>
  <si>
    <t>Primavera
Cost X Estimation &amp; Costing
AutoCad</t>
  </si>
  <si>
    <t>P25700641</t>
  </si>
  <si>
    <t>ALOK</t>
  </si>
  <si>
    <t>Alok Kumar</t>
  </si>
  <si>
    <t>alok31maykumar@gmail.com</t>
  </si>
  <si>
    <t>p25700641@student.nicmar.ac.in</t>
  </si>
  <si>
    <t>3012 8640 6461</t>
  </si>
  <si>
    <t>VIJAY KUMAR</t>
  </si>
  <si>
    <t>SANDHYA</t>
  </si>
  <si>
    <t>Hanuman Colony, Near Primary School, Ramnagar Road, Kashipur</t>
  </si>
  <si>
    <t>Udham Singh Nagar</t>
  </si>
  <si>
    <t>TULARAM RAJARAM SARASWATI VIDHYA MANDIR INTER COLLEGE</t>
  </si>
  <si>
    <t>BOARD OF SCHOOL EDUCATION UTTARAKHAND</t>
  </si>
  <si>
    <t>TEERTHANKAR MAHAVIR UNIVERSITY</t>
  </si>
  <si>
    <t>TEERTHANKAR MAHAVIR UNIVERSITY, MORADABAD (UTTAR PRADESH)</t>
  </si>
  <si>
    <t>MS Office,MS Project,Presentation Skill,Excellent Communication,Ability to work under pressure,Willingness to travel for project requirements</t>
  </si>
  <si>
    <t>Artius Interior Products Private Limited | Project Engineer  | Gurugram  | Sep 2023 | Jun 2025 | 1 Years, 9 Months, 12 Days | 3.8</t>
  </si>
  <si>
    <t>Cherry Hill Interiors Pvt. Ltd. | Site Execution  | Gurugram  | May 2026 | Jul 2026 | 8 Weeks | Campus Internship
EMAAR INDIA | INTERN  | GURUGRAM  | Jul 2022 | Sep 2022 | 10 Weeks</t>
  </si>
  <si>
    <t>Data, Data, Everywhere
Foundation of Project Management</t>
  </si>
  <si>
    <t>P25700642</t>
  </si>
  <si>
    <t>Atul Krishna</t>
  </si>
  <si>
    <t>atulkrishna282001@gmail.com</t>
  </si>
  <si>
    <t>p25700642@student.nicmar.ac.in</t>
  </si>
  <si>
    <t>English, Hindi, Arabic, Malayalam</t>
  </si>
  <si>
    <t>4550 8669 4887</t>
  </si>
  <si>
    <t>K V SURESH KUMAR</t>
  </si>
  <si>
    <t>SALINI SURESH</t>
  </si>
  <si>
    <t>5A Vadakunatham Towers, Peringavu, Thrissur</t>
  </si>
  <si>
    <t>LEADERS PRIVATE SCHOOL, SHARJAH</t>
  </si>
  <si>
    <t>CENTRAL BOARD OF SECONDARY EDUCATION - DUBAI</t>
  </si>
  <si>
    <t>LEADERS PRIVATE SCHOOL</t>
  </si>
  <si>
    <t>FEDERAL INSTITUTE OF SCIENCE AND TECHNOLOGY</t>
  </si>
  <si>
    <t>SOBHA LIMITED | SITE EXECUTION INTERN | KERALA | May 2026 | Jul 2026 | 9 Weeks | Campus Internship
Saad Trading and Consultants FZC LLC | Site Engineer | Dubai | Mar 2025 | Jul 2025 | 20 Weeks</t>
  </si>
  <si>
    <t>P25700643</t>
  </si>
  <si>
    <t>KABRA</t>
  </si>
  <si>
    <t>Pratik Dinesh Kabra</t>
  </si>
  <si>
    <t>pratikkabra26@gmail.com</t>
  </si>
  <si>
    <t>p25700643@student.nicmar.ac.in</t>
  </si>
  <si>
    <t>ENGLISH, HINDI, MARWARI, MARATHI</t>
  </si>
  <si>
    <t>5628 6365 9927</t>
  </si>
  <si>
    <t>DINESH KABRA</t>
  </si>
  <si>
    <t>SAVITRI KABRA</t>
  </si>
  <si>
    <t>'Pratik' House, Near Rampuri Scool, Camp Area, Gadchiroli</t>
  </si>
  <si>
    <t>PLATINUM JUBILEE SCHOOL AND JUNIOR COLLEGE</t>
  </si>
  <si>
    <t>MAHARASHTRA STATE BOARD SSC</t>
  </si>
  <si>
    <t>NIRALA JUNIOR COLLEGE</t>
  </si>
  <si>
    <t>MAHARASHTRA STATE BOARD HSC</t>
  </si>
  <si>
    <t>AutoCAD,MS Project,STAAD.Pro</t>
  </si>
  <si>
    <t>Sobha India Limited | Project Management Intern | Gurugram | May 2026 | Jul 2026 | 9 Weeks | Campus Internship
RamaCivil India Construction Pvt. Ltd. | Intern | Jaipur | May 2024 | Jun 2024 | 6 Weeks</t>
  </si>
  <si>
    <t>Finance for Non-Financial Managers
Construction Cost Estimating and Cost Control
Leadership and organizational behavior
NAVARITIH: Certificate Course on Innovative Construction Technologies</t>
  </si>
  <si>
    <t>P25700644</t>
  </si>
  <si>
    <t>Sahil Sunil Naik</t>
  </si>
  <si>
    <t>p25700644@student.nicmar.ac.in</t>
  </si>
  <si>
    <t>6751 4051 4223</t>
  </si>
  <si>
    <t>SUNIL NAIK</t>
  </si>
  <si>
    <t>VISHAKHA NAIK</t>
  </si>
  <si>
    <t>2204,TOWER 3, GODREJ HILLSIDE 2, MAHALUNGE, PUNE</t>
  </si>
  <si>
    <t>Naik House, Yavatmal, Maharashtra India</t>
  </si>
  <si>
    <t>FREE METHODIST ENGLISH MEDIUM SCHOOL, YAVATMAL, MAHARASHTRA INDIA</t>
  </si>
  <si>
    <t>SECONDARY STATE BOARD OF MAHARASHTRA</t>
  </si>
  <si>
    <t>SHRI NIRALA VIDYALAYA NAGPUR  MAHARASHTRA INDIA</t>
  </si>
  <si>
    <t>HIGHER SECONDARY BOARD OF MAHARASHTRA</t>
  </si>
  <si>
    <t>VISHWAKARMA INSTITUTE OF INFORMATION TECHNOLOGY PUNE MAHARASHTRA INDIA</t>
  </si>
  <si>
    <t>AutoCAD,MS Office,MS Project,Primavera,Live 3D homes,revit,Autocad</t>
  </si>
  <si>
    <t>Clancy Global | Project Coordinate | PUNE | May 2026 | Jul 2026 | 8 Weeks | Campus Internship
LOGASS CONSTRUCTIONS | CIVIL INTERN(SITE ENGINEER INTERN) | PUNE | Dec 2024 | May 2025 | 21 Weeks</t>
  </si>
  <si>
    <t>P25700645</t>
  </si>
  <si>
    <t>Yash Manish Gandhi</t>
  </si>
  <si>
    <t>yashmgandhi99@gmail.com</t>
  </si>
  <si>
    <t>p25700645@student.nicmar.ac.in</t>
  </si>
  <si>
    <t>ENGLISH,HINDI,MARATHI,MARWADI</t>
  </si>
  <si>
    <t>3038 2071 8382</t>
  </si>
  <si>
    <t>FLAT NO 08, D1 BUILDING, SURYAPRABHA GARDENS, IN FRONT OF THE LIGHTHOUSE, BIBWEWADI, PUNE 37</t>
  </si>
  <si>
    <t>ASHISH SUPER MARKET, MARKET YARD ROAD,A/P-KADA, TALUKA-ASHTI, DIST-BEED.</t>
  </si>
  <si>
    <t>VARDHAMAN MAHAVIR ENGLISH SCHOOL KADA</t>
  </si>
  <si>
    <t>P M MUNOT JR. COLLEGE KADA</t>
  </si>
  <si>
    <t>BRACTS VISHWAKARMA INSTITUTE OF INFORMATION TECHNOLOGY, KONDHWA, PUNE</t>
  </si>
  <si>
    <t>Orbisoul Properties | Jr. Site Engineer | TMV Colony, Mukund Nagar, Swargate, Pune-411037 | Jun 2024 | Jun 2025 | 1 Years, 0 Months, 29 Days | 1.8</t>
  </si>
  <si>
    <t>KPMG GLOBAL SERVICES | Deal Advisory Trainee | Mumbai | May 2026 | Jul 2026 | 9 Weeks | Campus Internship
MAJESTIQUE LANDMARKS | JR. SITE ENGINEER | HANDEWADI, PUNE | Jul 2023 | Dec 2023 | 21 Weeks</t>
  </si>
  <si>
    <t>P25700646</t>
  </si>
  <si>
    <t>GATTEPALLI</t>
  </si>
  <si>
    <t>Rohan Gattepalli</t>
  </si>
  <si>
    <t>rohangattepalli0402@gmail.com</t>
  </si>
  <si>
    <t>p25700646@student.nicmar.ac.in</t>
  </si>
  <si>
    <t>04-Feb-2002</t>
  </si>
  <si>
    <t>English, Hindi, Telugu and Tamil</t>
  </si>
  <si>
    <t>4571 5251 9133</t>
  </si>
  <si>
    <t>RAMANANDA SAGAR</t>
  </si>
  <si>
    <t>REAL ESTATE BUSINESS</t>
  </si>
  <si>
    <t>HEMA</t>
  </si>
  <si>
    <t>5-8-147, KISHANPURA</t>
  </si>
  <si>
    <t>TEJASWI HIGH SCHOOL</t>
  </si>
  <si>
    <t>SRI PREMNADH JUNIOR COLLEGE</t>
  </si>
  <si>
    <t>VNB CONSTRUCTIONS | In Plant Trainee | Kadapa, Andhra Pradesh | Aug 2022 | Sep 2022 | 2 Weeks
L&amp;T CONSTRUCTION | TRAINEE | CHENNAI | Jul 2023 | Aug 2023 | 1 Weeks</t>
  </si>
  <si>
    <t>P25700647</t>
  </si>
  <si>
    <t>AMMAR</t>
  </si>
  <si>
    <t>MOHAMMED IMRAN</t>
  </si>
  <si>
    <t>PARIHAR</t>
  </si>
  <si>
    <t>Ammar Mohammed Imran Parihar</t>
  </si>
  <si>
    <t>ammar.i.parihar@gmail.com</t>
  </si>
  <si>
    <t>p25700647@student.nicmar.ac.in</t>
  </si>
  <si>
    <t>08-Sep-2000</t>
  </si>
  <si>
    <t>4752 6837 2118</t>
  </si>
  <si>
    <t>MOHAMMED IMRAN PARIHAR</t>
  </si>
  <si>
    <t>TABASSUM PARIHAR</t>
  </si>
  <si>
    <t>Flat No 1401 Lodha Bel Air Tower C Patel Estate Road Jogeshwari West</t>
  </si>
  <si>
    <t>LEARNERS' ACADEMY BANDRA WEST MUMBAI</t>
  </si>
  <si>
    <t>ZAGDU SINGH CHARITABLE TRUST'S THAKUR POLYTECHNIC</t>
  </si>
  <si>
    <t>RIZVI COLLEGE OF ENGINEERING MUMBAI, MAHARASHTRA</t>
  </si>
  <si>
    <t>Contracts Management, Contracts Administration, Project Coordination, Stakeholder Management, Procurement Process, MS Project, Primavera, MS Office</t>
  </si>
  <si>
    <t>Mace Project and Cost Management Private Limited | Project Administrator (GET - Contracts and Procurement) | Mumbai  | Apr 2023 | Jun 2025 | 2 Years, 2 Months, 10 Days | 3.6</t>
  </si>
  <si>
    <t>Ahluwalia Contracts (India) Limited | Contracts | Mumbai  | May 2026 | Jun 2026 | 8 Weeks | Campus Internship
Mace Project and Cost Management Private Limited | Project Management  | Mumbai  | Nov 2022 | Apr 2023 | 23 Weeks</t>
  </si>
  <si>
    <t>Course on MS Project
Proficient in AutoCAD for Civil Engineers and Architects</t>
  </si>
  <si>
    <t>P25700648</t>
  </si>
  <si>
    <t>ARNOV</t>
  </si>
  <si>
    <t>HITESH</t>
  </si>
  <si>
    <t>GOYAL</t>
  </si>
  <si>
    <t>Arnov Hitesh Goyal</t>
  </si>
  <si>
    <t>arnovgoyal04@gmail.com</t>
  </si>
  <si>
    <t>p25700648@student.nicmar.ac.in</t>
  </si>
  <si>
    <t>5906 4243 0438</t>
  </si>
  <si>
    <t>HITESH GOYAL</t>
  </si>
  <si>
    <t>BINDU GOYAL</t>
  </si>
  <si>
    <t>528, ULTIMA HOSTEL, NICMAR UNIVERSITY, N.I.A, BALEWADI RD, RAM NAGAR, BANER</t>
  </si>
  <si>
    <t>4A, Pragya Apartment, Ravishankar Sankul, Bhatar Char Rasta</t>
  </si>
  <si>
    <t>DELHI PUBLIC SCHOOL SURAT</t>
  </si>
  <si>
    <t>CENTRAL BOARD OF SECONDARY EDUCATION, SURAT, GUJARAT</t>
  </si>
  <si>
    <t>PANDIT DEENDAYAL ENERGY UNIVERSITY, GANDHINAGAR GUJARAT</t>
  </si>
  <si>
    <t>MS Office, MS Project, Primavera, Revit</t>
  </si>
  <si>
    <t>Impact Infraheight Pvt.Ltd | Site execution Intern | Pune | May 2026 | Jul 2026 | 8 Weeks | Campus Internship
Sardar Vallabhbhai National Institute of Technology | Intern | Surat | Jan 2025 | Apr 2025 | 17 Weeks</t>
  </si>
  <si>
    <t>P25700649</t>
  </si>
  <si>
    <t>YARAMATI</t>
  </si>
  <si>
    <t>Yaramati Gangadhar</t>
  </si>
  <si>
    <t>yaramatigangadhar3@gmail.com</t>
  </si>
  <si>
    <t>p25700649@student.nicmar.ac.in</t>
  </si>
  <si>
    <t>17-Nov-2003</t>
  </si>
  <si>
    <t>5207 4163 1031</t>
  </si>
  <si>
    <t>YARAMATI VENKATARAO</t>
  </si>
  <si>
    <t>YARAMATI VARALAKSHMI</t>
  </si>
  <si>
    <t>H NO:2-1,KORUPROLU VILLAGE,S RAYAVARAM MANDAL,ANAKAPALLE DISTRICT</t>
  </si>
  <si>
    <t>Anakapalli</t>
  </si>
  <si>
    <t>Z P HIGH SCHOOL - KORUPROLU,VISAKHAPATNAM DISTRICT</t>
  </si>
  <si>
    <t>BOARD OF SECONDARY EDUCATION ANDHRA PRADESH,INDIA</t>
  </si>
  <si>
    <t>SRI PRAKASH JUNIOR COLLEGE</t>
  </si>
  <si>
    <t>BOARD OF INTERMEDIATE EDUCATION ANDHRA PRADESH,INDIA</t>
  </si>
  <si>
    <t>JAWAHARLAL NEHRU TECHNOLOGY UNIVERSITY KAKINADA</t>
  </si>
  <si>
    <t>GAYATRI VIDYA PARISHAD COLLEGE OF ENGINEERING(AUTONOMOUS)</t>
  </si>
  <si>
    <t>AutoCAD,MS Office,MS Project,Primavera,REVIT,STAAD.Pro</t>
  </si>
  <si>
    <t>ZYETA INTERIORS PVT.LTD. | Project Management Intern | Bangalore | May 2026 | Jul 2026 | 8 Weeks | Campus Internship
ITD Cementation India Limited | INTERN | Rambilli,Visakhapatnam  Andhra Pradesh | Jun 2024 | Jun 2024 | 4 Weeks
PANCHAYAT RAJ DEPARTMENT | INTERN | PAYAKARAOPETA, ANDHRA PRADESH | May 2023 | Jun 2023 | 2 Weeks</t>
  </si>
  <si>
    <t>P25700650</t>
  </si>
  <si>
    <t>SURYAVANSHI</t>
  </si>
  <si>
    <t>Shubham Sanjay Suryavanshi</t>
  </si>
  <si>
    <t>suryavanshishubham459@gmail.com</t>
  </si>
  <si>
    <t>p25700650@student.nicmar.ac.in</t>
  </si>
  <si>
    <t>ENGLISH, HINDI &amp; MARATHI</t>
  </si>
  <si>
    <t>2849 7794 5799</t>
  </si>
  <si>
    <t>SANJAY VENKATI SURYAVANSHI</t>
  </si>
  <si>
    <t>KOMAL SANJAY SURYAVANSHI</t>
  </si>
  <si>
    <t>A WING 403 ATHARVA APPARMENT, NEAR DEEPANGAN TOWER, UMRALA ROAD, SAMEL PADA, NALLASOPARA WEST</t>
  </si>
  <si>
    <t>B WING 001 KAILASH DHAM, PLEASANT PARK, NEAR DON BOSCO HIGH SCHOOL, MIRA ROAD EAST</t>
  </si>
  <si>
    <t>SACRED HEART HIGH SCHOOL</t>
  </si>
  <si>
    <t>VIDHYAVARDHINI'S BHAUSAHEB VARTAK POLYTECHNIC,  VASAI WEST, MAHARASHTRA</t>
  </si>
  <si>
    <t>VIVA INSTITUTE OF TECHNOLOGY, VIRAR EAST, MAHARASHTRA</t>
  </si>
  <si>
    <t>MS Office, MS Project, Primavera</t>
  </si>
  <si>
    <t>LARSEN AND TOUBRO PVT LTD. (L&amp;T) | PLANNING INTERN | MUMBAI  | May 2026 | Jul 2026 | 8 Weeks | Campus Internship</t>
  </si>
  <si>
    <t>P25700651</t>
  </si>
  <si>
    <t>THAWKAR</t>
  </si>
  <si>
    <t>SAWARI</t>
  </si>
  <si>
    <t>KHOGENDRA</t>
  </si>
  <si>
    <t>Thawkar Sawari Khogendra</t>
  </si>
  <si>
    <t>sawri3015@gmail.com</t>
  </si>
  <si>
    <t>p25700651@student.nicmar.ac.in</t>
  </si>
  <si>
    <t>8265 3418 1426</t>
  </si>
  <si>
    <t>MADHURI</t>
  </si>
  <si>
    <t>Sahara Nest, Damodar Colony, Bhangarwadi, Lonavala,</t>
  </si>
  <si>
    <t>AUXILIUM CONVENT HIGH SCHOOL</t>
  </si>
  <si>
    <t>MAHARASHTRA STATE EDUCATION BOARD</t>
  </si>
  <si>
    <t>RYEWOOD INTERNATIONAL  JUNIOR COLLEGE</t>
  </si>
  <si>
    <t>ADA'S MINERVA COLLEGE OF ARCHITECTURE</t>
  </si>
  <si>
    <t>AutoCAD,MS Office,Sketchup,Lumion,Photoshop,Canva</t>
  </si>
  <si>
    <t>Vconstruct  | Intern  | Hadapsar, Magarpatta City,pune  | May 2026 | Jul 2026 | 9 Weeks | Campus Internship
Associated  Planners Lonavala | Intern  | Lonavala | Jul 2024 | Oct 2024 | 17 Weeks</t>
  </si>
  <si>
    <t>P25700652</t>
  </si>
  <si>
    <t>SHYAMENAHALLI</t>
  </si>
  <si>
    <t>POOJITHA</t>
  </si>
  <si>
    <t>NATARAJ</t>
  </si>
  <si>
    <t>Shyamenahalli Poojitha Nataraj</t>
  </si>
  <si>
    <t>poojithanataraj3222@gmail.com</t>
  </si>
  <si>
    <t>p25700652@student.nicmar.ac.in</t>
  </si>
  <si>
    <t>03-Feb-2002</t>
  </si>
  <si>
    <t>ENGLISH,HINDI,MARATHI AND KANNADA</t>
  </si>
  <si>
    <t>4205 1039 0395</t>
  </si>
  <si>
    <t>MAMATHA</t>
  </si>
  <si>
    <t>SANSKRUTI APPT FLAT NO 20 NEAR GOKUL HOTEL ABOVE SHIVAM GENERAL STORE</t>
  </si>
  <si>
    <t>ST.SEBASTIAN HIGH SCHOOL AND JR. COLLEGE</t>
  </si>
  <si>
    <t>SHREE MANGESH MEMORIAL COLLEGE</t>
  </si>
  <si>
    <t>PUNE / MAHARASTRA</t>
  </si>
  <si>
    <t>Godrej Properties  | Site Execution  | Mumbai HO  | May 2026 | Jul 2026 | 8 Weeks | Campus Internship
DESIGN ACCORD CONSULTANTS | INTERN ARCHITECT | DELHI | Jun 2024 | Oct 2024 | 21 Weeks</t>
  </si>
  <si>
    <t>P25700653</t>
  </si>
  <si>
    <t>SNEHAL</t>
  </si>
  <si>
    <t>BABAR</t>
  </si>
  <si>
    <t>Snehal Santosh Babar</t>
  </si>
  <si>
    <t>snehalbabar9696@gmail.com</t>
  </si>
  <si>
    <t>p25700653@student.nicmar.ac.in</t>
  </si>
  <si>
    <t>04-Oct-2002</t>
  </si>
  <si>
    <t>8591 9157 6234</t>
  </si>
  <si>
    <t>PLOT AGENCY</t>
  </si>
  <si>
    <t>CHEF</t>
  </si>
  <si>
    <t>Ganesh Nagar, 3rd Lane, Ichalkaranji</t>
  </si>
  <si>
    <t>HIRA-RAM GIRLS HIGHSCHOOL</t>
  </si>
  <si>
    <t>SANJAY GHODAWAT POLYTECHNIC ,ATIGRE KOLHAPUR</t>
  </si>
  <si>
    <t>SHARAD INSTITUTE OF TECHNOLOGY COLLEGE OF ENGINEERING, YADRAV</t>
  </si>
  <si>
    <t>M/s. V. S. Lingras Roads &amp; Building Contractror | Trainee Engineer | Kolhapur | Nov 2024 | Jul 2025 | 0 Years, 7 Months, 27 Days | 1.2</t>
  </si>
  <si>
    <t>Blubrick Realty  | Pre-sales, Sales | Pune | May 2026 | Jul 2026 | 8 Weeks | Campus Internship
MAHABHARAT CONSTRUCTION CORPORATION | Civil Intern | Kolhapur | Dec 2023 | Apr 2024 | 17 Weeks</t>
  </si>
  <si>
    <t>Auto Cad, Revit</t>
  </si>
  <si>
    <t>P25700654</t>
  </si>
  <si>
    <t>SOURAV</t>
  </si>
  <si>
    <t>Sourav Das</t>
  </si>
  <si>
    <t>sourav.das2025@hotmail.com</t>
  </si>
  <si>
    <t>p25700654@student.nicmar.ac.in</t>
  </si>
  <si>
    <t>08-Dec-1996</t>
  </si>
  <si>
    <t>English, Bengali, Hindi</t>
  </si>
  <si>
    <t>9866 3763 6001</t>
  </si>
  <si>
    <t>NIRMAL KANTI DAS</t>
  </si>
  <si>
    <t>MADHUMITA DAS</t>
  </si>
  <si>
    <t>49/23 Rabindra Sarani_x000D_
Rishra</t>
  </si>
  <si>
    <t>GOSPEL HOME SCHOOL</t>
  </si>
  <si>
    <t>2004-Mar</t>
  </si>
  <si>
    <t>ELITTE INSTITUTE OF ENGINEERING &amp; MANAGEMENT, GHOLA, KOLKATA</t>
  </si>
  <si>
    <t>MAULANA ABDUL KALAM AZAD UNIVERSITY OF TECHNOLOGY, WEST BENGAL</t>
  </si>
  <si>
    <t>SUPREME KNOWLEDGE FOUNDATION GROUP OF INSTITUTION, HOOGHLY, WEST BENGAL</t>
  </si>
  <si>
    <t>Oishi International | Junior Engineer | Odisha (Sonepur) | Mar 2022 | Mar 2024 | 2 Years, 0 Months, 24 Days | 2.8
BCPL Railway Infrastructure ltd. | Assistant Project Manager | Odisha (Anugul) | Apr 2024 | Jan 2025 | 0 Years, 9 Months, 30 Days | 3.85</t>
  </si>
  <si>
    <t>MASIN PROJECTS PRIVATE LIMITED | Delay/Quantum Department | Gurugram | May 2026 | Jul 2026 | 8 Weeks | Campus Internship
Royal Infraconstru ltd | Trainee | Birbhum (Ilambazar) | Jan 2019 | Jan 2019 | 1 Weeks</t>
  </si>
  <si>
    <t>P25700655</t>
  </si>
  <si>
    <t>SAMRUTWAR</t>
  </si>
  <si>
    <t>Samrutwar Pranay Ashok</t>
  </si>
  <si>
    <t>pranaysamrutwar130@gmail.com</t>
  </si>
  <si>
    <t>p25700655@student.nicmar.ac.in</t>
  </si>
  <si>
    <t>21-May-2002</t>
  </si>
  <si>
    <t>7944 3067 1864</t>
  </si>
  <si>
    <t>GOV. SERVANT</t>
  </si>
  <si>
    <t>SUDHA SAMRUTWARPLOT NO. 14</t>
  </si>
  <si>
    <t>Plot No.14,gopal Krishna Nagari,DP Road,Pandharkawada</t>
  </si>
  <si>
    <t>DR.YARDY ENGLISH HIGH SCHOOL,UMRI</t>
  </si>
  <si>
    <t>SECONDARY AND HIGHER SECONDARY EDUCATION,PUNE</t>
  </si>
  <si>
    <t>BDP COLLOGE OF SCIENCE,PARWA</t>
  </si>
  <si>
    <t>SAVITRIBAI PHULE PUNE UNIVERSITY ,PUNE</t>
  </si>
  <si>
    <t>AISSMS COLLOGE OF ENGINEERING ,PUNE</t>
  </si>
  <si>
    <t>Pyramid Lifestyle Limited | Assistant To Project Manager  | Pune | May 2026 | Jul 2026 | 8 Weeks | Campus Internship
ADVETKUNAL ENTERPRISES PVT . LTD | site engineering | pune | Dec 2022 | Jan 2023 | 4 Weeks</t>
  </si>
  <si>
    <t>P25700656</t>
  </si>
  <si>
    <t>BRAVIMRAJ</t>
  </si>
  <si>
    <t>BAJIRAO</t>
  </si>
  <si>
    <t>Bravimraj Bajirao Desai</t>
  </si>
  <si>
    <t>bravimraj05@gmail.com</t>
  </si>
  <si>
    <t>p25700656@student.nicmar.ac.in</t>
  </si>
  <si>
    <t>19-Oct-2001</t>
  </si>
  <si>
    <t>2356 5697 3119</t>
  </si>
  <si>
    <t>TRACK MAINTENANCE, ENGINEERING DEPARTMENT, INDIAN RAILWAYS</t>
  </si>
  <si>
    <t>BHAGYASHRI</t>
  </si>
  <si>
    <t>Row Bangalow No. 3, Anand Garden, Bapuram Nagar, Kalamba, Kolhapur.</t>
  </si>
  <si>
    <t>NEW ENGLISH MEDIUM SCHOOL KOLHAPUR</t>
  </si>
  <si>
    <t>AutoCAD, Microsoft Excel, Microsoft Word, Microsoft PowerPoint, MS Project, Primavera P6, BOQ Preparation, Quantity Estimation &amp; Take-offs, Project Planning &amp; Scheduling, Project Documentation &amp; Reporting</t>
  </si>
  <si>
    <t>Shree Datta Developers | Junior Site Engineer | Kolhapur | Jul 2024 | Jun 2025 | 0 Years, 11 Months, 29 Days | 1.08</t>
  </si>
  <si>
    <t>Cherry Hill Interiors Pvt. Ltd. | Site Execution and Control - Projects  | Gurugram, Haryana, India | May 2026 | Jul 2026 | 8 Weeks | Campus Internship</t>
  </si>
  <si>
    <t>P25700657</t>
  </si>
  <si>
    <t>YEOLE</t>
  </si>
  <si>
    <t>SURAJ</t>
  </si>
  <si>
    <t>Yeole Suraj Naresh</t>
  </si>
  <si>
    <t>surajnyeole89@gmail.com</t>
  </si>
  <si>
    <t>p25700657@student.nicmar.ac.in</t>
  </si>
  <si>
    <t>23-Nov-1994</t>
  </si>
  <si>
    <t>5883 3132 6190</t>
  </si>
  <si>
    <t>NARESH VASUDEORAO YEOLE</t>
  </si>
  <si>
    <t>HEMLATA NARESH YEOLE</t>
  </si>
  <si>
    <t>226B, Santoshi Nagar, Hudkeshwar Road</t>
  </si>
  <si>
    <t>MAHARASHTRA STATE BOARD, NAGPUR/MAHARASHTRA</t>
  </si>
  <si>
    <t>MAJOR HEMANT JAKATE VIDYANIKETAN</t>
  </si>
  <si>
    <t>2012-Feb</t>
  </si>
  <si>
    <t>GURU NANAK INSTITUTE OF ENGINEERING &amp; MANAGEMENT</t>
  </si>
  <si>
    <t>Vijay Nirman Company Pvt Ltd | Junior Engineer | Nanded and Washim Maharashtra  | Jan 2018 | Oct 2021 | 3 Years, 9 Months, 13 Days | 3
Delhi Integrated Multi Modal Transit System Ltd. (DIMTS) | Assistant Engineer | Surat Gujarat | Oct 2021 | Aug 2023 | 1 Years, 9 Months, 30 Days | 5</t>
  </si>
  <si>
    <t>67 month(s)</t>
  </si>
  <si>
    <t>Hill International  | Intern | Mumbai (Thane) | May 2026 | Jul 2026 | 8 Weeks | Campus Internship</t>
  </si>
  <si>
    <t>Be 10X AI Course
BIM Professional Course for Civil Engineers</t>
  </si>
  <si>
    <t>P25700658</t>
  </si>
  <si>
    <t>PARDHI</t>
  </si>
  <si>
    <t>PRANAP</t>
  </si>
  <si>
    <t>SURYAPRAKASH</t>
  </si>
  <si>
    <t>Pardhi Pranap Suryaprakash</t>
  </si>
  <si>
    <t>pranappardhi05@gmail.com</t>
  </si>
  <si>
    <t>p25700658@student.nicmar.ac.in</t>
  </si>
  <si>
    <t>11-May-2002</t>
  </si>
  <si>
    <t>5639 2796 7865</t>
  </si>
  <si>
    <t>Appaji Nagar, Angur Bagicha Gondia</t>
  </si>
  <si>
    <t>VIVEK MANDIR HIGH SCHOOL GONDIA</t>
  </si>
  <si>
    <t>MAHARASTRA STATE BOARD OF SECONDARY AND HIGHER SECONDARY EDUCATION , PUNE</t>
  </si>
  <si>
    <t>GOVERMENT POLYTECHNIC ,NAGPUR</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</si>
  <si>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</si>
  <si>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</si>
  <si>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</si>
  <si>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 Weeks | Campus Internship
M/s. MAYUR W. BODANE Govt Civil Contractor &amp; Building Material Suppliers | Graduate Engineer Trainee | Sakoli  | Dec 2024 | May 2025 | 21 Weeks</t>
  </si>
  <si>
    <t xml:space="preserve">Excel Using AI Workshop
Certificate of Appreciation - Gh Raisoni Nagpur </t>
  </si>
  <si>
    <t>P25700659</t>
  </si>
  <si>
    <t>ADARSH NAIDU</t>
  </si>
  <si>
    <t>GADE</t>
  </si>
  <si>
    <t>Adarsh Naidu Gade</t>
  </si>
  <si>
    <t>gadeadarshnaidu@gmail.com</t>
  </si>
  <si>
    <t>p25700659@student.nicmar.ac.in</t>
  </si>
  <si>
    <t>3324 1014 2286</t>
  </si>
  <si>
    <t>GADE RAMU</t>
  </si>
  <si>
    <t>GADE PRASANTHI</t>
  </si>
  <si>
    <t>K JOGAMPETA VILLAGE GOLUGONDA POST GOLUGONDA MANDAL ANAKAPALLI DISTRICT ANDHRA PRADESH 531084</t>
  </si>
  <si>
    <t>SASI ENGLISH MEDIUM HIGH SCHOOL</t>
  </si>
  <si>
    <t>SASI NEW GEN JUNIOR COLLEGE</t>
  </si>
  <si>
    <t>BOARD OF INTERMEDIATE   EDUCATION ANDHRA PRADESH</t>
  </si>
  <si>
    <t>ANIL NEERKONDA INSTITUTE OF TECHNOLOGY AND SCIENCES ANDHRA PRADESH</t>
  </si>
  <si>
    <t>AutoCAD,MS Office,MS Project,Primavera,ARC GIS,REVIT,STAAD,CostX,BIM</t>
  </si>
  <si>
    <t>L. V. NAIDU CONSTRUCTIONS | PROJECT MANAGEMENT INTERN | NARSIPATNAM | Apr 2026 | Jun 2026 | 8 Weeks | Campus Internship
L V Naidu Constructions | Junior Site Engineer | Bheemunipatnam-Narsipatnam Road In Anakapalli District, ANDHRA PRADESH | May 2023 | May 2023 | 2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</si>
  <si>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</si>
  <si>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P25700660</t>
  </si>
  <si>
    <t>KRANISHA</t>
  </si>
  <si>
    <t>Kranisha S</t>
  </si>
  <si>
    <t>keerthisuresh1504@gmail.com</t>
  </si>
  <si>
    <t>p25700660@student.nicmar.ac.in</t>
  </si>
  <si>
    <t>15-Apr-2004</t>
  </si>
  <si>
    <t>3379 5662 7041</t>
  </si>
  <si>
    <t>SURESH C</t>
  </si>
  <si>
    <t>SUGUNA N</t>
  </si>
  <si>
    <t>87/10H, Majeeth Teru, Harur.</t>
  </si>
  <si>
    <t>Dharmapuri</t>
  </si>
  <si>
    <t>JAYAM VIDHYALAYA MATRIC HR SEC SCHOOL HARUR DHARMAPURI</t>
  </si>
  <si>
    <t>SRI SIVASUBRAMANIYA NADAR COLLEGE OF ENGINEERING, TAMIL NADU</t>
  </si>
  <si>
    <t>AutoCAD,MS Office,MS Project,Primavera,BIM,Revit</t>
  </si>
  <si>
    <t>DLF HOME DEVELOPERS LIMITED | Trainee | Chennai,Tamil Nadu | May 2026 | Jun 2026 | 8 Weeks | Campus Internship
LARSEN &amp;TOUBRO LIMITED | Trainee | Chennai,Tamil Nadu | Jul 2024 | Jul 2024 | 4 Weeks</t>
  </si>
  <si>
    <t>P25700661</t>
  </si>
  <si>
    <t>SHASHANK</t>
  </si>
  <si>
    <t>Shashank N</t>
  </si>
  <si>
    <t>shashank.n.civil22@gmail.com</t>
  </si>
  <si>
    <t>p25700661@student.nicmar.ac.in</t>
  </si>
  <si>
    <t>14-Jun-2000</t>
  </si>
  <si>
    <t>ENGLISH, TAMIL , HINDI</t>
  </si>
  <si>
    <t>5571 9062 3818</t>
  </si>
  <si>
    <t>NAGANDRA BABU VS</t>
  </si>
  <si>
    <t>SUMATHI S</t>
  </si>
  <si>
    <t>No.3, 7th Floor, 3rd Block, Pace Prana Apartments, Padikuppam Road, Anna Nagar West, Chennai - 600040</t>
  </si>
  <si>
    <t>SMT. DURGADEVI CHOUDHARY VIVEKANANDA VIDYALAYA</t>
  </si>
  <si>
    <t>VELAMMAL MATRICULATION HIGHER SECONDARY SCHOOL</t>
  </si>
  <si>
    <t>RAJALAKSHMI ENGINEERING COLLEGE, TAMILNADU</t>
  </si>
  <si>
    <t>AutoCAD,MS Office,MS Project,Primavera,CostX,PowerBI</t>
  </si>
  <si>
    <t>Larsen &amp; Toubro Limited | Site Planning Engineer | Chennai, Tamil Nadu | Oct 2022 | Jun 2025 | 2 Years, 8 Months, 19 Days | 7.2</t>
  </si>
  <si>
    <t>KPMG Global Services Private Limited | Business Consulting - Capital Projects | Bangalore | May 2026 | Jul 2026 | 9 Weeks | Campus Internship
WATER RESOURCES DEPARTMENT, GOVERNMENT OF TAMILNADU | TRAINEE ENGINEER | CHENNAI | Nov 2019 | Nov 2019 | 0 Weeks
INTEGRAL COACH FACTORY, CHENNAI | JUNIOR SITE ENGINEER | CHENNAI | Oct 2021 | Oct 2021 | 1 Weeks</t>
  </si>
  <si>
    <t>NPTEL - Introduction to Civil Engineering profession
Indian Construction Project Management Fundamentals - Udemy
Essentials of Project Planning and Control (EPPC) 2.0' - L&amp;T programme
BCG - Introduction to Strategy Consulting Job Simulation
NPTEL - Ethics in Engineering Practice</t>
  </si>
  <si>
    <t>P25700662</t>
  </si>
  <si>
    <t>RANE</t>
  </si>
  <si>
    <t>Soham Ravindra Rane</t>
  </si>
  <si>
    <t>sohamrane8810@gmail.com</t>
  </si>
  <si>
    <t>p25700662@student.nicmar.ac.in</t>
  </si>
  <si>
    <t>25-Feb-2003</t>
  </si>
  <si>
    <t>5975 4417 1691</t>
  </si>
  <si>
    <t>RAVINDRA VASANT RANE</t>
  </si>
  <si>
    <t>POONAM RAVINDRA RANE</t>
  </si>
  <si>
    <t>At Pohi Post Kalamb Tal Karjat Dist Raigad Neral</t>
  </si>
  <si>
    <t>L.A.E.S ENGLISH HIGH SCHOOL</t>
  </si>
  <si>
    <t>MAHARASHTRA STATE BOARD OF  SECONDARY AND  HIGHER SECONDARY EDUCATION PUNE</t>
  </si>
  <si>
    <t>G.V ACHARYA POLYTECHNIC SHELU MAHARASHTRA</t>
  </si>
  <si>
    <t>PILLAI HOC OF ENGINEERING AND TECHNOLOGY</t>
  </si>
  <si>
    <t>AutoCAD,MS Office,MS Project,Primavera,Revit Structure,Stadpro</t>
  </si>
  <si>
    <t>Pyramid lifestyle Limited  | Assistant Site Manager  | Pune  Balewadi  | May 2026 | Jul 2026 | 8 Weeks | Campus Internship
CIDCO Mass Housing Project | Site Engineer | Taloja | Jun 2022 | Aug 2022 | 8 Weeks</t>
  </si>
  <si>
    <t>P25700663</t>
  </si>
  <si>
    <t>SHIRSAT</t>
  </si>
  <si>
    <t>Omkar Dilip Shirsat</t>
  </si>
  <si>
    <t>shirsatomkar2220@yahoo.com</t>
  </si>
  <si>
    <t>p25700663@student.nicmar.ac.in</t>
  </si>
  <si>
    <t>30-Aug-2025</t>
  </si>
  <si>
    <t>3839 5845 9603</t>
  </si>
  <si>
    <t>DILIP SHIRSAT</t>
  </si>
  <si>
    <t>VAISHALI SHIRSAT</t>
  </si>
  <si>
    <t>HOUSE  WIFE</t>
  </si>
  <si>
    <t>Patil Vasti, Ranmala, Uruli Kanchan, Haveli, Pune</t>
  </si>
  <si>
    <t>MAHATMA GANDHI VIDHYALAYA, URULI KANCHAN, PUNE.</t>
  </si>
  <si>
    <t>MAHARASTRA STATE BOARD OF SECONDARY AND HIGHER EDUCATION, PUNE</t>
  </si>
  <si>
    <t>CUSROW WADIA INSTITUE OF TECHNOLOGY</t>
  </si>
  <si>
    <t>DR. D Y PATIL SCHOOL OF ENGINEERING AND TECHNOLOGY , CHARHOLI BK., LOHEGAON, PUNE.</t>
  </si>
  <si>
    <t>SJ Contracts Private Limited | Planning Intern | Chhatrapati Sambhajinagar  | May 2026 | Jun 2026 | 7 Weeks | Campus Internship
Ucon PT Structural System Private Limited | Junior Engineer | Pune | Jan 2025 | Apr 2025 | 16 Weeks
SAI CONSTRUCTION |  TRAINEE ENGINEER | PUNE | Jan 2024 | Jan 2024 | 4 Weeks
Nirman Civil Engineers | Junior Site Engineer | Pune | Sep 2021 | Oct 2022 | 56 Weeks</t>
  </si>
  <si>
    <t>P25700664</t>
  </si>
  <si>
    <t>SRIVAS</t>
  </si>
  <si>
    <t>SAMA</t>
  </si>
  <si>
    <t>Srivas Sama Reddy</t>
  </si>
  <si>
    <t>srivvass.reddy@gmail.com</t>
  </si>
  <si>
    <t>p25700664@student.nicmar.ac.in</t>
  </si>
  <si>
    <t>22-Sep-2002</t>
  </si>
  <si>
    <t>english, telugu, hindi</t>
  </si>
  <si>
    <t>8210 9569 3952</t>
  </si>
  <si>
    <t>RAJPAL REDDY</t>
  </si>
  <si>
    <t>SARASWATHI REDDY</t>
  </si>
  <si>
    <t>2-4-14/A, Upperpally, Rajendra Nagar, 500048</t>
  </si>
  <si>
    <t>OAKRIDGE INTERNATIONAL SCHOOL</t>
  </si>
  <si>
    <t>CBSE, HYDERABAD</t>
  </si>
  <si>
    <t>CBSE ,HYDERABAD</t>
  </si>
  <si>
    <t>VELLORE INSTITUTE OF TECHNOLOGY CHENNAI</t>
  </si>
  <si>
    <t>MS Project,Primavera, Autocad, MS Office, Revit, Cost X</t>
  </si>
  <si>
    <t>M Arunachalam projects and infrastructure | PM - intern  | chennai | May 2026 | Jul 2026 | 8 Weeks | Campus Internship</t>
  </si>
  <si>
    <t>primnavera</t>
  </si>
  <si>
    <t>P25700665</t>
  </si>
  <si>
    <t>PRIYANSHI</t>
  </si>
  <si>
    <t>VISHWANG</t>
  </si>
  <si>
    <t>MEHTA</t>
  </si>
  <si>
    <t>Priyanshi Vishwang Mehta</t>
  </si>
  <si>
    <t>mehta.priyanshi01@gmail.com</t>
  </si>
  <si>
    <t>p25700665@student.nicmar.ac.in</t>
  </si>
  <si>
    <t>17-Sep-2001</t>
  </si>
  <si>
    <t>ENGLISH, HINDI, GUJARATI, MARATHI</t>
  </si>
  <si>
    <t>6681 5815 1380</t>
  </si>
  <si>
    <t>SONIYA</t>
  </si>
  <si>
    <t>Siddhi ABC Chsl, Vasant Nagri, Vasai Road East 401208.</t>
  </si>
  <si>
    <t>SHETH VIDYA MANDIR ENGLISH HIGH SCHOOL AND JUNIOR COLLEGE OF SCIENCE AND COMMERCE</t>
  </si>
  <si>
    <t>MAHARASHTRA STATE BOARD OF SECONDARY AND HIGHER EDUCATION, VASAI, MAHARASHTRA</t>
  </si>
  <si>
    <t>SARDAR VALLABHBHAI PATEL JUNIOR COLLEGE OF SCIENCE AND COMMERCE</t>
  </si>
  <si>
    <t>MAHARASHTRA STATE BOARD OF SECONDARY AND HIGHER EDUCATION, MUMBAI, MAHARASHTRA</t>
  </si>
  <si>
    <t>THAKUR SCHOOL OF ARCHITECTURE AND PLANNING, MUMBAI, MAHARASHTRA</t>
  </si>
  <si>
    <t>Technical Due Diligence, Project Performance &amp; Monitoring, Project Controls, Risk Assessment, Project Consultation &amp; Co-ordination, Earned Value Management (EVM), Oracle Primavera P6, MS Project, BIM Revit &amp; AutoCAD, MS Office, Canva, Power BI</t>
  </si>
  <si>
    <t>REZA KABUL ARCHITECTS |  Architect | Design Planning, Project Co-ordination and Consulting | Bandra, Mumbai. | May 2024 | Jun 2025 | 1 Years, 0 Months, 22 Days | 3.36</t>
  </si>
  <si>
    <t>Masters Management Consultants (India) Private Limited | Project Management Intern | Mumbai | May 2026 | Jul 2026 | 8 Weeks | Campus Internship
KNS ARCHITECTS | Intern, Architecture Student | ANDHERI AND WORLI, MUMBAI | Nov 2022 | May 2023 | 24 Weeks</t>
  </si>
  <si>
    <t>Coursera_Foundations of Project Management
Coursera_Real Estate Development
National Workshop cum Training on Project Management from IIT Kharagpur using Primavera P6
Coursera _ Finance for Non-Financial Managers
Ms office - MSCIT
NPTEL course _ Ethics in Engineering Pratice
NICMAR- UDHBAV- IDENTITY Logo Design
MU Ideas Interior Design Competition by Mumbai University</t>
  </si>
  <si>
    <t>P25700666</t>
  </si>
  <si>
    <t>KANKALE</t>
  </si>
  <si>
    <t>Om Sanjay Kankale</t>
  </si>
  <si>
    <t>omkankale2004@gmail.com</t>
  </si>
  <si>
    <t>p25700666@student.nicmar.ac.in</t>
  </si>
  <si>
    <t>17-Feb-2004</t>
  </si>
  <si>
    <t>3547 7240 3142</t>
  </si>
  <si>
    <t>SANJAY KANKALE</t>
  </si>
  <si>
    <t>PRITI KANKALE</t>
  </si>
  <si>
    <t>Rathinagar, Amravati, In Front Of Water Tank</t>
  </si>
  <si>
    <t>CBSE, AMRAVATI, MAHARASHTRA</t>
  </si>
  <si>
    <t>BHAGYASHRI JUNIOR COLLEGE, AMRAVATI, MAHARASHTRA</t>
  </si>
  <si>
    <t>HSC, AMRAVATI, MAHARASHTRA</t>
  </si>
  <si>
    <t>DR. VISHWANATH KARAD MIT - WORLD PEACE UNIVERSITY</t>
  </si>
  <si>
    <t>DR. VISHWANATH KARAD MIT - WORLD PEACE UNIVERSITY, KOTHRUD, PUNE, MAHARASHTRA</t>
  </si>
  <si>
    <t>AutoCAD,MS Project,Primavera,Revit</t>
  </si>
  <si>
    <t>MILLENNIUM ENGINEERS &amp; CONTRACTORS PVT. LTD. (Project : Godrej Emerald Waters, Pune) | SUMMER INTERN | PUNE | May 2026 | Jul 2026 | 8 Weeks | Campus Internship
Shree Govinda Infra | Site Engineer | Amravati | Jan 2025 | Apr 2025 | 14 Weeks
KRISHNARPAN ENGINEERS, BUILDERS &amp; LAND DEVELOPERS | Site Engineer &amp; Auto CAD Software Technician  | AMRAVATI | Jun 2023 | Aug 2023 | 9 Weeks</t>
  </si>
  <si>
    <t>P25700667</t>
  </si>
  <si>
    <t>NANDALAL</t>
  </si>
  <si>
    <t>BAGAL</t>
  </si>
  <si>
    <t>Devendra Nandalal Bagal</t>
  </si>
  <si>
    <t>devendranbagal2003@gmail.com</t>
  </si>
  <si>
    <t>p25700667@student.nicmar.ac.in</t>
  </si>
  <si>
    <t>06-Feb-2003</t>
  </si>
  <si>
    <t>2732 7396 4167</t>
  </si>
  <si>
    <t>BHAVANA</t>
  </si>
  <si>
    <t>Plot No. 41, Chandraprabha, Audumber Colony, Dondaicha, Dist. Dhule.</t>
  </si>
  <si>
    <t>ROTARY ENGLISH SCHOOL</t>
  </si>
  <si>
    <t>GOVERNMENT POLYTECHNIC DHULE, DHULE</t>
  </si>
  <si>
    <t>AutoCAD,STAAD.Pro,3ds Max</t>
  </si>
  <si>
    <t>LJR Constructions LLP | Construction Management Intern | Dhayari, Pune | May 2026 | Jul 2026 | 8 Weeks | Campus Internship
Infraking Consulting Engineers Pvt. Ltd. | Civil Engineering Intern | Mundhwa, Pune | Dec 2023 | Jan 2024 | 4 Weeks</t>
  </si>
  <si>
    <t>P25700668</t>
  </si>
  <si>
    <t>KIRTAN</t>
  </si>
  <si>
    <t>HARESH</t>
  </si>
  <si>
    <t>Kirtan Haresh Patel</t>
  </si>
  <si>
    <t>kirtanp081998@gmail.com</t>
  </si>
  <si>
    <t>p25700668@student.nicmar.ac.in</t>
  </si>
  <si>
    <t>18-Aug-1998</t>
  </si>
  <si>
    <t>English, Hindi, Gujarati, Marathi</t>
  </si>
  <si>
    <t>7337 0289 5516</t>
  </si>
  <si>
    <t>HARESH PATEL</t>
  </si>
  <si>
    <t>DHARMISTHA PATEL</t>
  </si>
  <si>
    <t>C/22, Laxmi Krupa Bldg., Daftary Road, Pushpa Park, Malad -(East)</t>
  </si>
  <si>
    <t>MAHARASHTRA STATE BOARD OF SECONDARY AND HIGHER SECONDARY EDUCATION, PUNE/    MUMBAI DIVISIONAL BOARD</t>
  </si>
  <si>
    <t>K. J. SOMAIYA POLYTECHNIC,  MUMBAI/ MAHARASHTRA</t>
  </si>
  <si>
    <t>DATTA MEGHE COLLEGE OF ENGINEERING,  NAVI MUMBAI/  MAHARASHTRA</t>
  </si>
  <si>
    <t>AutoCAD,MS Office,MS Project,ETabs,Revit</t>
  </si>
  <si>
    <t>Dev Construction | Jr. Site Engineer | Kalwa, Thane | Jun 2024 | Jun 2025 | 1 Years, 0 Months, 8 Days | 2.52</t>
  </si>
  <si>
    <t>Evita Constructions Pvt. Ltd. | Site Engineer  | Panvel | May 2026 | Jul 2026 | 8 Weeks | Campus Internship
RRC Ventures Private Limited | Site Supervisor | Mumbai | Dec 2022 | Jan 2023 | 4 Weeks
City And Industrial Development Corporation of Maharashtra Limited, CIDCO | Site Supervisor | Navi Mumbai | Jun 2022 | Jul 2022 | 7 Weeks</t>
  </si>
  <si>
    <t>P25700669</t>
  </si>
  <si>
    <t>DEBI</t>
  </si>
  <si>
    <t>JENA</t>
  </si>
  <si>
    <t>Debi Prasad Jena</t>
  </si>
  <si>
    <t>debiprasad.dpj@gmail.com</t>
  </si>
  <si>
    <t>p25700669@student.nicmar.ac.in</t>
  </si>
  <si>
    <t>12-Apr-1999</t>
  </si>
  <si>
    <t>4057 5674 4660</t>
  </si>
  <si>
    <t>AKSHYAYA KUMAR JENA</t>
  </si>
  <si>
    <t>ODISHA TRANSPORT DEPARTMENT</t>
  </si>
  <si>
    <t>LATE SOVARANI JENA</t>
  </si>
  <si>
    <t>Plot No 10,Phase 2, Sweety Housing Complex ,Ganganagar ,Unit6</t>
  </si>
  <si>
    <t>ST.XAVIER'S HIGH SCHOOL</t>
  </si>
  <si>
    <t>MOTHER'S PUBLIC SCHOOL</t>
  </si>
  <si>
    <t>AutoCAD,MS Office,MS Project,Primavera,Solidworks,Python,SQL</t>
  </si>
  <si>
    <t>Asian Paints Ltd | Sales Engineering Intern |  Bhubaneswar,Odisha | May 2026 | Jul 2026 | 8 Weeks | Campus Internship
RAJPUTANA CUSTOM MOTORCYCLES | TRAINEE | JAIPUR,RAJASTHAN | Jun 2019 | Jun 2019 | 0 Weeks
Hindustan Coca-Cola Beverages Pvt.Ltd | Trainee | Khorda, Odisha | Dec 2018 | Dec 2018 | 4 Weeks
SAIL Rourkela Steel Plant | Trainee | Rourkela,Odisha | Jun 2019 | Jun 2019 | 2 Weeks</t>
  </si>
  <si>
    <t>P25700670</t>
  </si>
  <si>
    <t>BASAVARAJA</t>
  </si>
  <si>
    <t>B T</t>
  </si>
  <si>
    <t>Basavaraja B T</t>
  </si>
  <si>
    <t>basavarajbt333@gmail.com</t>
  </si>
  <si>
    <t>p25700670@student.nicmar.ac.in</t>
  </si>
  <si>
    <t>7202 4228 7915</t>
  </si>
  <si>
    <t>B THIPPESHA</t>
  </si>
  <si>
    <t>PADMAVATHI</t>
  </si>
  <si>
    <t>K E B Badavane Near Welcome Board,Nayakanahatti,challekere Taluk,chitradurga District</t>
  </si>
  <si>
    <t>SRI BHUVANENDRA RESIDENTIAL SCHOOL ,KARKALA,UDUPI(DIST),KARNATAKA</t>
  </si>
  <si>
    <t>CENTRAL BOARD OF SECONDARY EDUCATION,KARKALA</t>
  </si>
  <si>
    <t>S R PU COLLEGE,HEBRI,KARNATAKA</t>
  </si>
  <si>
    <t>DEPARTMENT OF PRE-UNIVERSITY EDUCATION,KARNATAKA</t>
  </si>
  <si>
    <t>VISVESVARAYA TECHNOLOGICAL UNIVERSITY,BELAGAVI</t>
  </si>
  <si>
    <t>ST JOSEPH ENGINNERING COLLEGE,VAMANJOOR,MANGALURU,KARNATAKA</t>
  </si>
  <si>
    <t>AutoCAD,MS Office,MS Project,Primavera,Auto plotter,QGIS,REVIT,STAADPRO</t>
  </si>
  <si>
    <t>Sai shloka infra pvt Ltd  | Site execution  | Vapi,valsad district,Gujurat | May 2026 | Jun 2026 | 8 Weeks | Campus Internship
ROTER LEHMANN PARTNER PVT.LTD. | GEOSPATIAL ENGINEER | BANGLORE | Apr 2025 | May 2025 | 2 Weeks
INFRA SUPPORT ENGINEERING CONSULTANTS PVT.LTD | 3rd Party Inspection | HUBLI,DHARWAD | Feb 2025 | Apr 2025 | 8 Weeks</t>
  </si>
  <si>
    <t>COURSERA IN MUNCIPAL SOLID WASTE MANAGEMENT IN DEVELOPING COUNTRIES</t>
  </si>
  <si>
    <t>P25700671</t>
  </si>
  <si>
    <t>NANDHA KUMARAN</t>
  </si>
  <si>
    <t>Nandha Kumaran S</t>
  </si>
  <si>
    <t>dgnandy88063@gmail.com</t>
  </si>
  <si>
    <t>p25700671@student.nicmar.ac.in</t>
  </si>
  <si>
    <t>23-Aug-2004</t>
  </si>
  <si>
    <t>Tamil,English</t>
  </si>
  <si>
    <t>7282 3645 9804</t>
  </si>
  <si>
    <t>SUNDARAMOORTHY R</t>
  </si>
  <si>
    <t>SUBASHINI S</t>
  </si>
  <si>
    <t>No.192 , 4th Street , Nehru Nagar , Anna Nagar , Ch-600040</t>
  </si>
  <si>
    <t>ANNA UNIVERSITY , TAMILNADU</t>
  </si>
  <si>
    <t>SRI SAI RAM ENGINEERING COLLEGE , TAMILNADU</t>
  </si>
  <si>
    <t>AutoCAD ,Revit ,Sketchup ,Primavera ,MS Projects</t>
  </si>
  <si>
    <t>Prestige Estates Projects Ltd | Site Execution + Control | Banglore | May 2026 | Jul 2026 | 8 Weeks | Campus Internship
LEXI CREW ENTERPRISES | SOFTWARE TRAINER  | MEDAVAKKAM,CHENNAI | May 2024 | Jun 2024 | 4 Weeks
VASIYAM HOMES PVT LTD | Site Supervisor | Medavakkam,Chennai | Feb 2024 | Feb 2024 | 2 Weeks</t>
  </si>
  <si>
    <t>P25700672</t>
  </si>
  <si>
    <t>SHEFALI</t>
  </si>
  <si>
    <t>SHAILENDRA</t>
  </si>
  <si>
    <t>Shefali Shailendra Gaikwad</t>
  </si>
  <si>
    <t>shefaligaikwad6@gmail.com</t>
  </si>
  <si>
    <t>p25700672@student.nicmar.ac.in</t>
  </si>
  <si>
    <t>09-Apr-2000</t>
  </si>
  <si>
    <t>8171 4575 4279</t>
  </si>
  <si>
    <t>SHARMILA</t>
  </si>
  <si>
    <t>D-9 Mohit Building, Barlota Nagar, Mamurdi, Dehuroad Pune</t>
  </si>
  <si>
    <t>ST. JUDE HIGH SCHOOL</t>
  </si>
  <si>
    <t>PUNE MAHARASHTRA</t>
  </si>
  <si>
    <t>DR D Y PATIL PRATISHTHAN'S Y.B PATIL POLYTECHNIC AKURDI PUNE</t>
  </si>
  <si>
    <t>PIMPRI CHINCHWAD COLLEGE OF ENGINEERING AND RESEARCH,RAVET PUNE</t>
  </si>
  <si>
    <t>AutoCAD,MS Office,MS Project,Primavera,3D MAX,Autodesk Civil 3D,BIM,REVIT</t>
  </si>
  <si>
    <t>Clancy Global - AKG Building Consultant Pvt Ltd.  | Project Co-ordination | Pune  | May 2026 | Jul 2026 | 8 Weeks | Campus Internship
VIJAY CONSTRUCTION | SITE ENGINEER | DEHUROAD PUNE  | Oct 2022 | Nov 2022 | 4 Weeks
NP Venture | Site Engineer | Pune | Dec 2019 | Dec 2019 | 0 Weeks</t>
  </si>
  <si>
    <t>Basics of Remote Sensing and GIS
NPTEL Ethics in Engineering Practice
Coursera Finance for Non finance Manager</t>
  </si>
  <si>
    <t>P25700673</t>
  </si>
  <si>
    <t>NEELAPALA</t>
  </si>
  <si>
    <t>ANANTHA SAI</t>
  </si>
  <si>
    <t>Neelapala Anantha Sai Ganesh</t>
  </si>
  <si>
    <t>neelapalagani@gmail.com</t>
  </si>
  <si>
    <t>p25700673@student.nicmar.ac.in</t>
  </si>
  <si>
    <t>31-May-2002</t>
  </si>
  <si>
    <t>3935 4551 3614</t>
  </si>
  <si>
    <t>NEELAPALA CHANDRA SEKHAR</t>
  </si>
  <si>
    <t>CENTRAL GOVERNMENT EMPLOYEE</t>
  </si>
  <si>
    <t>NEELAPALA GEETHA</t>
  </si>
  <si>
    <t>1/1720 YERRAMUKKAPALLI, KADAPA, Andhra Pradesh</t>
  </si>
  <si>
    <t>BOARD OF SECONDARY EDUCATION KADAPA ANDHRA PRADESH</t>
  </si>
  <si>
    <t>BOARD OF INTERMEDIATE EDUCATION KADAPA ANDHRA PRADESH</t>
  </si>
  <si>
    <t>AutoCAD,MS Office,MS Project,Primavera,Sketch Up,revit</t>
  </si>
  <si>
    <t>KCVR INFRA PROJECT PRIVATE LIMITED | SITE SUPERVISOR INTERN | ANANTAPUR | Aug 2022 | Sep 2022 | 4 Weeks</t>
  </si>
  <si>
    <t>RURAL WATER RESOURCES MANAGEMENT BY NPTEL
SAFETY IN CONSTRUCTION BY NPTEL</t>
  </si>
  <si>
    <t>P25700674</t>
  </si>
  <si>
    <t>Abhishek Atul Deshmukh</t>
  </si>
  <si>
    <t>abhishekcoc1994@gmail.com</t>
  </si>
  <si>
    <t>p25700674@student.nicmar.ac.in</t>
  </si>
  <si>
    <t>23-Feb-2004</t>
  </si>
  <si>
    <t>7113 7199 3172</t>
  </si>
  <si>
    <t>ATUL DESHMUKH</t>
  </si>
  <si>
    <t>MANISHA DESHMUKH</t>
  </si>
  <si>
    <t>BEHIND SHANTI MARKET, SAHYADRI COLONY, ROOM NO.34, ULHASNAGAR-1, 421001</t>
  </si>
  <si>
    <t>CENTURY RAYON HIGH SCHOOL, SHAHAD</t>
  </si>
  <si>
    <t>S. H. JONDHALE POLYTECHNIC, DOMBIVLI (W)</t>
  </si>
  <si>
    <t>AutoCAD,MS Office, Primavera P6, CostX, MSP</t>
  </si>
  <si>
    <t>J. Kumar Infraprojects Ltd. | Intern | Mumbai | May 2026 | Jul 2026 | 9 Weeks | Campus Internship</t>
  </si>
  <si>
    <t>P25700675</t>
  </si>
  <si>
    <t>GOKULA KRISHNAN</t>
  </si>
  <si>
    <t>Gokula Krishnan . K</t>
  </si>
  <si>
    <t>gokuldsk@gmail.com</t>
  </si>
  <si>
    <t>p25700675@student.nicmar.ac.in</t>
  </si>
  <si>
    <t>19-Apr-2001</t>
  </si>
  <si>
    <t>ENGLISH, TAMIL</t>
  </si>
  <si>
    <t>3127 7308 8444</t>
  </si>
  <si>
    <t>KARUNAKARAN DS</t>
  </si>
  <si>
    <t>REPORTER</t>
  </si>
  <si>
    <t>SHANTHI K</t>
  </si>
  <si>
    <t>35,kaspa A Main Road, Ambur</t>
  </si>
  <si>
    <t>Vellore</t>
  </si>
  <si>
    <t>BETHEL MATRIC HIGHER SECONDARY SCHOOL</t>
  </si>
  <si>
    <t>ADHIYAMAAN COLLEGE OF ENGINEERING,HOSUR</t>
  </si>
  <si>
    <t>AutoCAD,MS Office,sketchup,photoshop,enscape</t>
  </si>
  <si>
    <t>CRR ARCHITECTS | JUNIOR ARCHITECT | CHENNAI | Sep 2023 | Jul 2025 | 1 Years, 10 Months, 1 Days | 0.2</t>
  </si>
  <si>
    <t>Stiffeners Property Valuers &amp; Consultants India Pvt. Ltd. | Valuation  Engineer - Intern | Chennai | May 2026 | Jul 2026 | 9 Weeks | Campus Internship
Vivacious Designs | Intern | Jaipur | Jul 2022 | Nov 2022 | 16 Weeks</t>
  </si>
  <si>
    <t>P25700676</t>
  </si>
  <si>
    <t>PRAJWAL</t>
  </si>
  <si>
    <t>VINAYAK</t>
  </si>
  <si>
    <t>KHADE</t>
  </si>
  <si>
    <t>Prajwal Vinayak Khade</t>
  </si>
  <si>
    <t>prajwal7027@gmail.com</t>
  </si>
  <si>
    <t>p25700676@student.nicmar.ac.in</t>
  </si>
  <si>
    <t>25-Jun-2003</t>
  </si>
  <si>
    <t>5261 5645 5581</t>
  </si>
  <si>
    <t>VINAYAK KHADE</t>
  </si>
  <si>
    <t>SUNITA KHADE</t>
  </si>
  <si>
    <t>Ambika Sadan, Wakeshwar Road ,Vaduj</t>
  </si>
  <si>
    <t>SEVAGIRI ENGLISH MEDIUM SCHOOL, VADUJ</t>
  </si>
  <si>
    <t>MAHARASTRA STATE BOARD OF SECONDARY AND HIGHER SECONDARY EDUCATION</t>
  </si>
  <si>
    <t>CHH. SHIVAJI JUNIOR COLLEGE, VADUJ</t>
  </si>
  <si>
    <t>SPPU UNIVERSITY</t>
  </si>
  <si>
    <t>VIDYA PRATISHTHAN, BARAMATI</t>
  </si>
  <si>
    <t>AutoCAD,MS Office,MS Project,Primavera,msexcel</t>
  </si>
  <si>
    <t>Greenworld Buildcon | Site Planning Engineer | Baramati, Maharashtra | May 2026 | Jul 2026 | 8 Weeks | Campus Internship
SHIR SHIRSAI BUILDERS &amp; DEVELOPERS | INTERN | JALOCHI ROAD BARAMATI | Jan 2024 | Feb 2024 | 5 Weeks</t>
  </si>
  <si>
    <t>P25700677</t>
  </si>
  <si>
    <t>PATE</t>
  </si>
  <si>
    <t>Saurav Dilip Pate</t>
  </si>
  <si>
    <t>saurav.pate99@gmail.com</t>
  </si>
  <si>
    <t>p25700677@student.nicmar.ac.in</t>
  </si>
  <si>
    <t>ENGLISH ,HINDI,MARATHI</t>
  </si>
  <si>
    <t>4386 1025 9285</t>
  </si>
  <si>
    <t>3,bhoite NAGAR JALGAON</t>
  </si>
  <si>
    <t>R.R. VIDYALAYA JALGAON</t>
  </si>
  <si>
    <t>SECONDARY AND HIGHER SECOUNDARY EDUCATION, PUNE</t>
  </si>
  <si>
    <t>M.J COLLAGE, JALGAON</t>
  </si>
  <si>
    <t>GOVERMENT COLLAGE OF ENGINEERING, JALGAON</t>
  </si>
  <si>
    <t>AutoCAD,MS Office,MS Project,Primavera,Sketchup,Lumion,Python,Excel,Tableau,Power bi</t>
  </si>
  <si>
    <t>MUKESH PATIL (Goverment Contractor) | Site Engineer  | Jalgaon | Sep 2023 | Jun 2025 | 1 Years, 9 Months, 10 Days | 1.6</t>
  </si>
  <si>
    <t>tejraj Group  | Engineering Department Intern (Contract &amp; Procurement, Site Execution &amp; Project Monitoring) | PUNE,MH  | May 2026 | Jul 2026 | 8 Weeks | Campus Internship
PUBLIC WORK DEPARTMENT GOVERMENT OF MAHARASHTRA | TRAINEE | JALGAON | Dec 2019 | Jan 2020 | 3 Weeks
GOVERMENT CONTRACTOR | TRAINEE | JALGAON | Apr 2022 | May 2022 | 5 Weeks</t>
  </si>
  <si>
    <t>AutoCAD 2d
Geographic Information System (GIS)
Brilliance Foundation (Quantity Surveying,Biling and Autocad 2d)
GCOEJ (SPORTFORD CERTIFACATE WINNER BADMINTION)
Info PLANET (C Programming)
SUNBEAM CERTIFICATE (PreCat-Preparatory Course For Entrance)
CDAC (PG DIPLOMA IN BIG DATA ANALYTICS)</t>
  </si>
  <si>
    <t>P25700678</t>
  </si>
  <si>
    <t>HEMANT</t>
  </si>
  <si>
    <t>HINGE</t>
  </si>
  <si>
    <t>Purva Hemant Hinge</t>
  </si>
  <si>
    <t>hingepurva@gmail.com</t>
  </si>
  <si>
    <t>p25700678@student.nicmar.ac.in</t>
  </si>
  <si>
    <t>6335 4371 1284</t>
  </si>
  <si>
    <t>HEMANT HINGE</t>
  </si>
  <si>
    <t>NITA HINGE</t>
  </si>
  <si>
    <t>ASHIRWAD APPT NEAR HYDERABAD GARAGE JATHARPETH AKOLA.</t>
  </si>
  <si>
    <t>SCHOOL OF SCHOLARS.</t>
  </si>
  <si>
    <t>MAHARASHTRA STATE BOARD OF SECONDARY AND HIGHER SECONDARY EDUCATION , PUNE.</t>
  </si>
  <si>
    <t>BHARTI VIDYAPEETH JAWAHARLAL NEHRU INSTITUTE OF TECHNOLOGY AND SCIENCE ,PUNE.</t>
  </si>
  <si>
    <t>SINHGAD INSTITUTE OF TECHNOLOGY AND SCIENCE, PUNE.</t>
  </si>
  <si>
    <t>Primavera,REVIT,AutoCAD,MS Project,MS Office</t>
  </si>
  <si>
    <t>GODREJ PROPERTIES LTD. | Operations Intern. | Pune | May 2026 | Jul 2026 | 8 Weeks | Campus Internship
DBR STRUCTURES | TRAINEE | NAGPUR | Dec 2023 | Jan 2024 | 2 Weeks
SWASTIK DEVELOPERS | TRAINEE | PUNE | Aug 2021 | Sep 2021 | 5 Weeks</t>
  </si>
  <si>
    <t>P25700679</t>
  </si>
  <si>
    <t>SWARAJ</t>
  </si>
  <si>
    <t>BALWADKAR</t>
  </si>
  <si>
    <t>Swaraj Kiran Balwadkar</t>
  </si>
  <si>
    <t>swarajbalwadkar91@gmail.com</t>
  </si>
  <si>
    <t>p25700679@student.nicmar.ac.in</t>
  </si>
  <si>
    <t>03-Jul-2003</t>
  </si>
  <si>
    <t>4164 5358 7385</t>
  </si>
  <si>
    <t>KIRAN BALWADKAR</t>
  </si>
  <si>
    <t>CHHAYA BALWADKAR</t>
  </si>
  <si>
    <t>401 Vinayak Mohan Nagar Baner Pune 411045</t>
  </si>
  <si>
    <t>DR. AC HIGH SCHOOL</t>
  </si>
  <si>
    <t>LAXMANROA APTE</t>
  </si>
  <si>
    <t>MIT WPU PUNE MAHARASHTRA</t>
  </si>
  <si>
    <t>P25700680</t>
  </si>
  <si>
    <t>VEERESH</t>
  </si>
  <si>
    <t>NAVALGUNDMATH</t>
  </si>
  <si>
    <t>Veeresh P Navalgundmath</t>
  </si>
  <si>
    <t>veereshveeresh68015@gmail.com</t>
  </si>
  <si>
    <t>p25700680@student.nicmar.ac.in</t>
  </si>
  <si>
    <t>ENGLISH, KANNADA AND HINDI</t>
  </si>
  <si>
    <t>3481 3878 8645</t>
  </si>
  <si>
    <t>PRABHURAJ B NAVALGUNDMATH</t>
  </si>
  <si>
    <t>SUNITA P NAVALGUNDMATH</t>
  </si>
  <si>
    <t>Veerapur Road Near Basav Mantap, Hubballi</t>
  </si>
  <si>
    <t>SUKRUTI PUBLIC SCHOOL, HUBBALLI</t>
  </si>
  <si>
    <t>KARNATAKA SECONDARY EDUCATION EXAMINATION BOARD, HUBBALLI</t>
  </si>
  <si>
    <t>C.I MUNAVALLI POLYTECHNIC , HUBBALLI</t>
  </si>
  <si>
    <t>KLE TECHNOLOGICAL UNIVERSITY, HUBBALLI</t>
  </si>
  <si>
    <t>KLE TECHNOLOGICAL UNIVERSITY, HUBALLI</t>
  </si>
  <si>
    <t>AutoCAD,MS Office,Primavera,Revit,3dsmax,Googlesketchup</t>
  </si>
  <si>
    <t>Bangalore Metro Rail Corporation Limited (BMRCL) | Construction Engineering Intern | Bangalore, Karnataka | May 2026 | Jun 2026 | 8 Weeks | Campus Internship
NHAI , R&amp;C COMPANY | INTERN | HUBBALLI NHAI 48 | Jan 2025 | Mar 2025 | 8 Weeks</t>
  </si>
  <si>
    <t>Google SketchUp
3dsmax
Revit
Auto CADD</t>
  </si>
  <si>
    <t>P25700681</t>
  </si>
  <si>
    <t>GANPAT</t>
  </si>
  <si>
    <t>KHODAKE</t>
  </si>
  <si>
    <t>Vaibhav Ganpat Khodake</t>
  </si>
  <si>
    <t>v.g.khodake@gmail.com</t>
  </si>
  <si>
    <t>p25700681@student.nicmar.ac.in</t>
  </si>
  <si>
    <t>25-May-2001</t>
  </si>
  <si>
    <t>5967 8169 8309</t>
  </si>
  <si>
    <t>HEAD OF THE DEPARTMENT (PROFESSOR)</t>
  </si>
  <si>
    <t>S.NO. 22/1/8, BUCHADEWASTI Near BARNE CRUSHER</t>
  </si>
  <si>
    <t>LAXMIBAI NANDGUDE HIGHSCHOOL</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</si>
  <si>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</si>
  <si>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</si>
  <si>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</si>
  <si>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</si>
  <si>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P25700682</t>
  </si>
  <si>
    <t>SUMANTH</t>
  </si>
  <si>
    <t>VALLAPA</t>
  </si>
  <si>
    <t>Sumanth Pradeep Vallapa</t>
  </si>
  <si>
    <t>sumanthpv30@gmail.com</t>
  </si>
  <si>
    <t>p25700682@student.nicmar.ac.in</t>
  </si>
  <si>
    <t>ENGLISH,KANNADA,HINDI,TELUGU</t>
  </si>
  <si>
    <t>9222 1874 5379</t>
  </si>
  <si>
    <t>PRADEEP GANGAIAH</t>
  </si>
  <si>
    <t>RASHMI PRADEEP</t>
  </si>
  <si>
    <t>No. 492, Next To Dead End, 3rd Floor, Sir M Vishveshwaraiah Main Rd, Pattanagere, RR Nagar, Bengaluru, Karnataka</t>
  </si>
  <si>
    <t>NATIONAL PUBLIC SCHOOL, BANASHANKARI</t>
  </si>
  <si>
    <t>PARIVARTHANA SCHOOL AND PU COLLEGE,SRIRANGAPATNA</t>
  </si>
  <si>
    <t>SJB SCHOOL OF ARCHITECTURE AND PLANNING, BENGALURU</t>
  </si>
  <si>
    <t>AutoCAD,SKETCHUP,LUMION,ENSCAPE,REVIT</t>
  </si>
  <si>
    <t>Purvankara Limited | Construction Management Intern – Project Execution &amp; Cross-Functional Operations | Bengaluru | May 2026 | Jul 2026 | 8 Weeks | Campus Internship
Genesis Architecture | Intern as Junior Architect  | BTM layout, Bengaluru  | Jan 2025 | Apr 2025 | 15 Weeks</t>
  </si>
  <si>
    <t>P25700683</t>
  </si>
  <si>
    <t>CHETAN</t>
  </si>
  <si>
    <t>Chetan Mahesh Patil</t>
  </si>
  <si>
    <t>chetancmpatil@gmail.com</t>
  </si>
  <si>
    <t>p25700683@student.nicmar.ac.in</t>
  </si>
  <si>
    <t>3418 0868 9933</t>
  </si>
  <si>
    <t>MAHESH LALCHAND PATIL</t>
  </si>
  <si>
    <t>AARTI MAHESH PATIL</t>
  </si>
  <si>
    <t>PLOT NO.7, WAGHULDE NAGAR, NEAR S.M.I.T COLLEGE</t>
  </si>
  <si>
    <t>H 48, Kathora</t>
  </si>
  <si>
    <t>PROGRESSIVE ENGLISH MEDIUM SCHOOL</t>
  </si>
  <si>
    <t>G.H.RAISONI INSTITUTE OF ENGINEERING AND MANAGEMENT, JALGAON, MAHARASHTRA.</t>
  </si>
  <si>
    <t>KAVAYITRI BAHINABAI CHAUDHARI NORTH MAHARASHTRA UNIVERSITY JALGAON, MAHARASHTRA.</t>
  </si>
  <si>
    <t>AutoCAD,MS Office,MS Project,Revit,Naviswork,Lumion,Enscape,Primavera P6,Bexel Manager,Synchro,Autodesk Construction Cloud</t>
  </si>
  <si>
    <t>Indovance Pvt.Ltd | Design Engineer | pune | Sep 2024 | Mar 2025 | 0 Years, 5 Months, 20 Days | 3</t>
  </si>
  <si>
    <t>SOBHA LIMITED | Project Management Intern (Planning &amp; BIM) | Bengaluru, Karnataka | May 2026 | Jul 2026 | 9 Weeks | Campus Internship
UNIQUE CIVIL | INTERN BIM MODELER | PUNE | Apr 2024 | Sep 2024 | 21 Weeks</t>
  </si>
  <si>
    <t>Naviswork
AutoCAD 2D &amp; 3D
Revit Architecture and Structure
Certified Information Manager Level 1 Basics Course (plannerly)
Certified Information Manager Level 2 Advanced Course (plannerly)
Certified Information Manager Level 3 Expert Course (plannerly)</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</si>
  <si>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</si>
  <si>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</si>
  <si>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</si>
  <si>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</si>
  <si>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</si>
  <si>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</si>
  <si>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</si>
  <si>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</si>
  <si>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</si>
  <si>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</si>
  <si>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</si>
  <si>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</si>
  <si>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</si>
  <si>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</si>
  <si>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JAWAHAR NAVODAYA VIDYALAYA NERIMANGALAM, ERNAKULAM</t>
  </si>
  <si>
    <t>CRESCENT PUBLIC SCHOOL ALUVA</t>
  </si>
  <si>
    <t>MUTHOOT INSTITUTE OF TECHNOLOGY AND SCIENCE</t>
  </si>
  <si>
    <t>AutoCAD,MS Office,MS Project,Primavera,Autodesk Revit,ETABS</t>
  </si>
  <si>
    <t>Sobha Limited | Planning Engineer | Bangalore | Dec 2022 | Jun 2025 | 2 Years, 5 Months, 17 Days | 3.44</t>
  </si>
  <si>
    <t>Deloitte | Intern- Audit &amp; Assurance - Controls Team | Mumbai | May 2026 | Jul 2026 | 8 Weeks | Campus Internship</t>
  </si>
  <si>
    <t>Advance Training Programme on Geographical
ETABS - Structural 3D Analysis
Revit &amp; Total Station</t>
  </si>
  <si>
    <t>P25700685</t>
  </si>
  <si>
    <t>PUJAN</t>
  </si>
  <si>
    <t>Pujan Tushar Patil</t>
  </si>
  <si>
    <t>pujanpatil1410@gmail.com</t>
  </si>
  <si>
    <t>p25700685@student.nicmar.ac.in</t>
  </si>
  <si>
    <t>14-Oct-2003</t>
  </si>
  <si>
    <t>2824 6292 4781</t>
  </si>
  <si>
    <t>54,Ram Vihar , Mayur Colony ,Deopur, Dhule</t>
  </si>
  <si>
    <t>CHAVARA HIGH SCHOOL</t>
  </si>
  <si>
    <t>ZULAL BHILAJIRAO PATIL COLLEGE DHULE</t>
  </si>
  <si>
    <t>SHRI VILE PARLE KELAVANI MANDAL INSITITUTE OF TECHNOLOGY DHULE</t>
  </si>
  <si>
    <t>AutoCAD,MS Office,MS Project,3DSMax,Revit,VRay</t>
  </si>
  <si>
    <t>ANP Corp | Software Systems Intern – Design &amp; Coordination | Balewadi High Street, Baner, Pune, Maharashtra | May 2026 | Jul 2026 | 8 Weeks | Campus Internship
Indian Institute of Technology Indore | Intern | Geohazards Lab, IIT Indore, Simrol, Indore â€“ 453552, Madhya Pradesh | Mar 2025 | Jun 2025 | 12 Weeks</t>
  </si>
  <si>
    <t>AutoCad Essentials
Revit Architecture
STAAD. Pro
Essential in Max of engineers for institutes</t>
  </si>
  <si>
    <t>P25700686</t>
  </si>
  <si>
    <t>SIDDHANT</t>
  </si>
  <si>
    <t>MOHEKAR</t>
  </si>
  <si>
    <t>Siddhant Pramod Mohekar</t>
  </si>
  <si>
    <t>mohekarsiddhant8@gmail.com</t>
  </si>
  <si>
    <t>p25700686@student.nicmar.ac.in</t>
  </si>
  <si>
    <t>17-Apr-1999</t>
  </si>
  <si>
    <t>7454 8201 6089</t>
  </si>
  <si>
    <t>PRAMOD MOHEKAR</t>
  </si>
  <si>
    <t>MADHURI MOHEKAR</t>
  </si>
  <si>
    <t>Ash 302, Rosalie Lx, Godrej Hill Road, Khadakpada, Kalyan West</t>
  </si>
  <si>
    <t>RCTS P.M.M ROTARY SCHOOL AMBERNATH</t>
  </si>
  <si>
    <t>NEW ENGLISH HIGH SCHOOL AND JUNIOR COLLEGE, ULHASNAGAR</t>
  </si>
  <si>
    <t>DILKAP RESEARCH INSTITUTE OF ENGINEERING, NERAL</t>
  </si>
  <si>
    <t>Biltrax Construction Data | Analyst | Navi Mumbai | Mar 2023 | Aug 2024 | 1 Years, 4 Months, 19 Days | 3</t>
  </si>
  <si>
    <t>Sribal Construction Company | Contracts and Procurement Engineer | Bangalore | May 2026 | Jul 2026 | 8 Weeks | Campus Internship</t>
  </si>
  <si>
    <t>P25700687</t>
  </si>
  <si>
    <t>DURGESH</t>
  </si>
  <si>
    <t>THAKUR</t>
  </si>
  <si>
    <t>Anand Durgesh Thakur</t>
  </si>
  <si>
    <t>adthak98@gmail.com</t>
  </si>
  <si>
    <t>p25700687@student.nicmar.ac.in</t>
  </si>
  <si>
    <t>03-Jun-1998</t>
  </si>
  <si>
    <t>9682 5233 0184</t>
  </si>
  <si>
    <t>DURGESH DEVIDAS THAKUR</t>
  </si>
  <si>
    <t>GRADUATE</t>
  </si>
  <si>
    <t>RATNA DURGESH THAKUR</t>
  </si>
  <si>
    <t>GOKUL NAGAR NANDURA ROAD KHAMGAON</t>
  </si>
  <si>
    <t>AK NATIONAL HEIGH SCHOOL KHAMGAON</t>
  </si>
  <si>
    <t>THE MAHARASHTRA STATE BOARD OF SECONDARY AND HIGHER SECONDARY EDUCATION</t>
  </si>
  <si>
    <t>MAULI JR COLLEGE SHEGAON</t>
  </si>
  <si>
    <t>SINHGAD COLLEGE OF ENGINEERING PUNE</t>
  </si>
  <si>
    <t>Asian paints LTD | Sales management intern | Sambhaji nagar Maharashtra  | May 2026 | Jul 2026 | 8 Weeks | Campus Internship
GURU CONSTRUCTIONS | SITE ENGINEER | KHAMGAON  | Jul 2021 | Aug 2023 | 112 Weeks</t>
  </si>
  <si>
    <t>P25700688</t>
  </si>
  <si>
    <t>Abhishek Gokul Thakur</t>
  </si>
  <si>
    <t>abhishekgokulthakur@gmail.com</t>
  </si>
  <si>
    <t>p25700688@student.nicmar.ac.in</t>
  </si>
  <si>
    <t>8552 3289 6053</t>
  </si>
  <si>
    <t>Plot No.112, Lane No.7, Surewadi, Jadhavwadi, Harsul, Aurangabad</t>
  </si>
  <si>
    <t>SENT LAWRENCE MARATHI HIGH SCHOOL, AURANGABAD</t>
  </si>
  <si>
    <t>SHRI SHIVAJI SCIENCE COLLEGE, AMRAVATI</t>
  </si>
  <si>
    <t>AutoCAD,MS Office,MS Project,Primavera P6,CostX</t>
  </si>
  <si>
    <t>Sobha Limited | Site execution intern | Bengaluru  | May 2026 | Jul 2026 | 9 Weeks | Campus Internship
Jogeshwari Construction | Civil Intern | Dhule, Maharashtra | Sep 2024 | Mar 2025 | 29 Weeks</t>
  </si>
  <si>
    <t>P25700689</t>
  </si>
  <si>
    <t>ROSHAN</t>
  </si>
  <si>
    <t>SHIKHARE</t>
  </si>
  <si>
    <t>Roshan Suresh Shikhare</t>
  </si>
  <si>
    <t>roshanshikhare084@gmail.com</t>
  </si>
  <si>
    <t>p25700689@student.nicmar.ac.in</t>
  </si>
  <si>
    <t>3289 3982 0672</t>
  </si>
  <si>
    <t>SURESH SHIKHARE</t>
  </si>
  <si>
    <t>Near Desai Wada, Gandhi Chowk, Minche</t>
  </si>
  <si>
    <t>SHRI BALVANTRAO YADAV HIGH SCHOOL, PETH VADGAON</t>
  </si>
  <si>
    <t>SANJAY GHODAWAT POLYTECHNIC, ATIGRE</t>
  </si>
  <si>
    <t>TATYASAHEB KORE INSTITUTE OF ENGINEERING AND TECHNOLOGY, WARANANAGAR</t>
  </si>
  <si>
    <t>AutoCAD,MS Office,MS Project,Primavera,Staad pro,Etaab,CostX</t>
  </si>
  <si>
    <t>Vaishnavi Developers And Builders |  Site Execution and Planning | Pune | May 2026 | Jul 2026 | 8 Weeks | Campus Internship
SSPA Consulting Engineers |  Structural Design Intern | Pune, Kothrud | Jan 2025 | Apr 2025 | 12 Weeks</t>
  </si>
  <si>
    <t>Revit and Staad pro
NSPC
coursera certificate
 proficient in microsoft project
 proficient in primavera</t>
  </si>
  <si>
    <t>P25700690</t>
  </si>
  <si>
    <t>ARSHAD</t>
  </si>
  <si>
    <t>AYYUB</t>
  </si>
  <si>
    <t>MULANI</t>
  </si>
  <si>
    <t>Arshad Ayyub Mulani</t>
  </si>
  <si>
    <t>mulaniaaofficial@gmail.com</t>
  </si>
  <si>
    <t>p25700690@student.nicmar.ac.in</t>
  </si>
  <si>
    <t>07-Apr-2003</t>
  </si>
  <si>
    <t>Reading, Chess</t>
  </si>
  <si>
    <t>6831 7647 6505</t>
  </si>
  <si>
    <t>RETIRED GOVERNMENT DEPUTY ENGINEER</t>
  </si>
  <si>
    <t>AFROJ</t>
  </si>
  <si>
    <t>Plot No.15,16, Survey No.65/1, Padmavati Nagar Road, Near Airport, Bhadkamkar Nagar, Phaltan -415523</t>
  </si>
  <si>
    <t>MUDHOJI HIGH SCHOOL AND JUNIOR COLLEGE, PHALTAN</t>
  </si>
  <si>
    <t>KOLHAPUR DIVISIONAL BOARD</t>
  </si>
  <si>
    <t>RIZVI COLLEGE OF ARCHITECTURE, MUMBAI, MAHARASHTRA</t>
  </si>
  <si>
    <t>MS Project,Primavera,AutoCAD,MS Office,SketchUp,Rhinoceros 3D,Revit,Archicad,Grasshopper,Dynamo,Lumion,Twinmotion,Enscape,V-Ray,D5 Render,Adobe Photoshop,Adobe Illustrator,Adobe InDesign,Canva,Velux Daylight Visualizer,Model making (physical),CostX</t>
  </si>
  <si>
    <t>Raisoni Corp. | Project Controls Intern | Office Plot No. 5 A 1 CTS 6 &amp; 7, Lotus House, Lane E, North Main Road, Koregaon Park, Pune-411001, Maharashtra, India. | May 2026 | Jul 2026 | 9 Weeks | Campus Internship
AGORA Designers Pvt. Ltd. | Intern Architect | Deccan Gymkhana, Pune | Jan 2024 | May 2024 | 17 Weeks</t>
  </si>
  <si>
    <t>Completed Shared Heritage program, Rizvi College of Architecture, Mumbai
Completed Project Admin (Scholar), digiQC Academy “ Focus on project administration, documentation, and quality processes
Completed Human Resources Management Essentials, Coursera (Johns Hopkins University)
Completed Finance for Non-Financial Managers, Coursera (Emory University)
Completed Data Analysis, Coursera (SP Jain Institute of Management &amp; Research)
Completed Business Analytics with Excel: Elementary to Advanced Excel, Coursera (Johns Hopkins University)
Completed “Lean Six Sigma Green Belt Certification Programme”, KPMG India (KPMG India Services LLP)
Completed “German Language - 1”, NPTEL (IIT Madras)</t>
  </si>
  <si>
    <t>P25700691</t>
  </si>
  <si>
    <t>DHARMENDRA</t>
  </si>
  <si>
    <t>AHIR</t>
  </si>
  <si>
    <t>Vedant Dharmendra Ahir</t>
  </si>
  <si>
    <t>ar.ahirvedant@gmail.com</t>
  </si>
  <si>
    <t>p25700691@student.nicmar.ac.in</t>
  </si>
  <si>
    <t>28-Sep-2002</t>
  </si>
  <si>
    <t>8684 2174 4261</t>
  </si>
  <si>
    <t>DEVELOPER, CIVIL CONTRACTOR.</t>
  </si>
  <si>
    <t>A-302, Jai Sai Dham Society, Sodawala Lane, Borivali West, Mumbai-400092</t>
  </si>
  <si>
    <t>SWAMI VIVEKANAND INTERNATIONAL SCHOOL &amp; JR. COLLEGE.</t>
  </si>
  <si>
    <t>MAHARASHTRA STATE BOARD OF SECONDARY AND HIGHER SECONDARY EDUCATION, MUMBAI DIVISIONAL BOARD, MAHARASHTRA.</t>
  </si>
  <si>
    <t>NIRMALA MEMORIAL FOUNDATION JUNIOR COLLEGE OF COMMERCE &amp; SCIENCE</t>
  </si>
  <si>
    <t>THAKUR SCHOOL OF ARCHITECTURE &amp; PLANNING</t>
  </si>
  <si>
    <t>AutoCAD,MS Office,MS Project,Primavera,Revit,Photoshop,Endscape,Twinmotion,Sketchup</t>
  </si>
  <si>
    <t>Goa State Infrastructure Development Corporation Ltd. (GSIDC)  | Intern-Site Execution | Goa | May 2026 | Jul 2026 | 8 Weeks | Campus Internship
A+ Architects +Planners | Intern Architect | Borivali East, Mumbai | Jan 2024 | Jun 2024 | 25 Weeks</t>
  </si>
  <si>
    <t>P25700692</t>
  </si>
  <si>
    <t>MOUNIKA</t>
  </si>
  <si>
    <t>KURMA</t>
  </si>
  <si>
    <t>Mounika Kurma</t>
  </si>
  <si>
    <t>kurma.mounikaaa@gmail.com</t>
  </si>
  <si>
    <t>p25700692@student.nicmar.ac.in</t>
  </si>
  <si>
    <t>2884 3353 5250</t>
  </si>
  <si>
    <t>MOSES KURMA</t>
  </si>
  <si>
    <t>SIRISHA KURMA</t>
  </si>
  <si>
    <t>F - 603, VTP BELAIR, BLUEWATERS TOWNSHIP, PUNE, MAHARASHTRA</t>
  </si>
  <si>
    <t>21-11-61/A, G3, M S Towers, 3rd Lane, Beside SBI ATM, Madhuranagar, Vijayawada, NTR District, Andhra Pradesh</t>
  </si>
  <si>
    <t>N T Rama Rao</t>
  </si>
  <si>
    <t>SEVENTH DAY ADVENTIST HIGH SCHOOL</t>
  </si>
  <si>
    <t>ANDHRA LOYOLA COLLEGE</t>
  </si>
  <si>
    <t>CHRIST ( DEEMED TO BE UNIVERSITY)</t>
  </si>
  <si>
    <t>CHRIST ( DEEMED TO BE UNIVERSITY), BANGALORE, KARNATAKA</t>
  </si>
  <si>
    <t>AutoCAD,MS Office,MS Project,Primavera,Adobe Photoshop,canva</t>
  </si>
  <si>
    <t>Kamala Farms | Project Operations Intern | Hyderabad | May 2026 | Jul 2026 | 8 Weeks | Campus Internship
Manipal Health Enterprises Private Limited | Project Management &amp; Project Controls | Bangalore | Dec 2023 | Jul 2024 | 30 Weeks
S V Associates | Site Execution + Control | Guntur | May 2023 | Jun 2023 | 4 Weeks
S V K CONSTRUCTIONS | Site Execution + Control | Vijayawada | May 2022 | Jun 2022 | 4 Weeks</t>
  </si>
  <si>
    <t>P25700693</t>
  </si>
  <si>
    <t>Vedant Pandharinath Gunjal</t>
  </si>
  <si>
    <t>gunjalvedant5@gmail.com</t>
  </si>
  <si>
    <t>p25700693@student.nicmar.ac.in</t>
  </si>
  <si>
    <t>05-Apr-2002</t>
  </si>
  <si>
    <t>2616 2908 8058</t>
  </si>
  <si>
    <t>Gunjal Vasti, Kelwad KH, Taluka Rahata, Dist. Ahmadnagar.</t>
  </si>
  <si>
    <t>ABHINAV AADRASH HIGH SCHOOL</t>
  </si>
  <si>
    <t>P.DR.V.V.PATIL,POLYTECHNIC , LONI.</t>
  </si>
  <si>
    <t>AutoCAD,MS Office,MS Project,Primavera,sketchup,googleearthpro,Civil3D</t>
  </si>
  <si>
    <t>Goa State infrastructure development corporation  | Site execution  | Bambolim. Goa | May 2026 | Jul 2026 | 8 Weeks | Campus Internship
Aware Constructions | Site Engineer  | Ahmednagar | Jun 2022 | Dec 2022 | 26 Weeks
Harsh builders &amp; developers | Quantity surveying, estimation and billing | Ahmadnagar  | Dec 2024 | Jun 2025 | 26 Weeks</t>
  </si>
  <si>
    <t>P25700695</t>
  </si>
  <si>
    <t>BHAURAHA</t>
  </si>
  <si>
    <t>Durgesh Bhauraha</t>
  </si>
  <si>
    <t>durgeshmishra584@gmail.com</t>
  </si>
  <si>
    <t>p25700695@student.nicmar.ac.in</t>
  </si>
  <si>
    <t>15-Jul-1995</t>
  </si>
  <si>
    <t>4805 8932 3772</t>
  </si>
  <si>
    <t>ASHOK KUMAR</t>
  </si>
  <si>
    <t>2/38 Sector B Priyadarshini Coloney</t>
  </si>
  <si>
    <t>MONTFORT INTER COLLEGE</t>
  </si>
  <si>
    <t>BOARD OF HIGH SCHOOL AND INTERMEDIATE EDUCATION, U.P</t>
  </si>
  <si>
    <t>2010-Jul</t>
  </si>
  <si>
    <t>DR APJ ABDUL KALAM TECHNICAL UNIVERSITY</t>
  </si>
  <si>
    <t>KRISHNA INSTITUTE OF ENGINEERING AND TECHNOLOGY GHAJIABAD UTTARPRADESH</t>
  </si>
  <si>
    <t>MAA BHAVANI CONSTRUCTION | SITE ENGINEER | RAEBARELI UTTARPRADESH | Jun 2018 | Jan 2020 | 1 Years, 6 Months, 14 Days | 2.4
M/S JMD INFRASTRUCTURE | CONSULTING ENGINEER | AYODHYA AND RAEBARELI | Feb 2020 | Jun 2022 | 2 Years, 4 Months, 19 Days | 3.8</t>
  </si>
  <si>
    <t>47 month(s)</t>
  </si>
  <si>
    <t>Prestige Estates Project Limited | Site Execution Intern. | INDIRAPURAM , GAZIABAD. | May 2026 | Jul 2026 | 8 Weeks | Campus Internship</t>
  </si>
  <si>
    <t>autocad ,revit ,staad.</t>
  </si>
  <si>
    <t>P25700696</t>
  </si>
  <si>
    <t>NITESH</t>
  </si>
  <si>
    <t>LAGASHETTY</t>
  </si>
  <si>
    <t>Nitesh A Lagashetty</t>
  </si>
  <si>
    <t>lagashettynitesh@gmail.com</t>
  </si>
  <si>
    <t>p25700696@student.nicmar.ac.in</t>
  </si>
  <si>
    <t>7635 3725 8985</t>
  </si>
  <si>
    <t>H NO 2-907-78-39 MG ROAD NEELAMBIKA NILAYA NEAR SGN COLLEGE LAXMI NAGAR MB NAGAR GULBARGA KALABURAGI</t>
  </si>
  <si>
    <t>KARNATAKA SECONDARY EDUCATION EXAMINATION BOARD, KALABURAGI, KARNATAKA.</t>
  </si>
  <si>
    <t>S BASAVESWAR RESI PU COLLEGE SHARANA NAGAR</t>
  </si>
  <si>
    <t>DEPARTMENT OF PRE-UNIVERSITY EDUCATION KALABURAGI KARNATAKA</t>
  </si>
  <si>
    <t>POOJYA DODDAPPA APPA COLLEGE OF ENGINEERING KALABURAGI KARNATAKA</t>
  </si>
  <si>
    <t>AutoCAD,MS Office,MS Project,Primavera , Revit, CostX</t>
  </si>
  <si>
    <t>Suryapriya Construction Pvt Ltd | QA/QC intern | Bengaluru | May 2026 | Jul 2026 | 8 Weeks | Campus Internship
HARKUD SHREE BUILDERS | Site Engineer | JAMSHETTY LAYOUT AND NEAR SAI MANDIR KALBURAGI. | Feb 2025 | May 2025 | 12 Weeks</t>
  </si>
  <si>
    <t>AUTOCAD CIVIL</t>
  </si>
  <si>
    <t>P25700697</t>
  </si>
  <si>
    <t>BANDE</t>
  </si>
  <si>
    <t>Ritesh Satish Bande</t>
  </si>
  <si>
    <t>riteshbande32@gmail.com</t>
  </si>
  <si>
    <t>p25700697@student.nicmar.ac.in</t>
  </si>
  <si>
    <t>20-Aug-2003</t>
  </si>
  <si>
    <t>ENGLISH,HINDI,MARATHI,KANNADA</t>
  </si>
  <si>
    <t>9250 0918 8353</t>
  </si>
  <si>
    <t>SATISH BANDE</t>
  </si>
  <si>
    <t>RUPALI BANDE</t>
  </si>
  <si>
    <t>32, KuberLaxmi Vihar Near IMS School Jule Solapur</t>
  </si>
  <si>
    <t>EXTERNAL STUDENT (FORM 17)</t>
  </si>
  <si>
    <t>MAHARASHTRA STATE BOARD OF SECONDARY AND HIGHER EDUCATION,PUNE,MAHARASHTRA</t>
  </si>
  <si>
    <t>DIPLOMA IN CIVIL  ENGINEERING</t>
  </si>
  <si>
    <t>A.G.PATIL POLYTECHNIC INSTITUTE , SOLAPUR</t>
  </si>
  <si>
    <t>WALCHAND  INSTITUTE OF TECHNOLOGY</t>
  </si>
  <si>
    <t>PARANJPE SCHEMES (CONSTRUCTION)  LIMITED | INTERN | FOREST TRIALS TOWNSHIP "RIVOLO",PUNE   | May 2026 | Jul 2026 | 8 Weeks | Campus Internship
RATNAKAR BIRAJDAR ENGINEERS. |  INTERN PROJECT MANAGER | SOLAPUR | Dec 2024 | Apr 2025 | 20 Weeks
Sponsored by Punyashlok Ahilyadevi Holkar Solapur University ,Solapur | Traffic Surveyor | Solapur | Dec 2023 | Feb 2024 | 8 Weeks</t>
  </si>
  <si>
    <t>P25700698</t>
  </si>
  <si>
    <t>KSHITIJ</t>
  </si>
  <si>
    <t>JALGAONKAR</t>
  </si>
  <si>
    <t>Kshitij Manohar Jalgaonkar</t>
  </si>
  <si>
    <t>kshitijjalgaonkar@gmail.com</t>
  </si>
  <si>
    <t>p25700698@student.nicmar.ac.in</t>
  </si>
  <si>
    <t>23-Dec-1999</t>
  </si>
  <si>
    <t>5134 7059 9837</t>
  </si>
  <si>
    <t>MANSEE</t>
  </si>
  <si>
    <t>House No. 582 Rohidas Wadi, Umbarle, Tal- Dapoli, Dist- Ratnagiri</t>
  </si>
  <si>
    <t>ALFRED GADNEY HIGH SCHOOL, DAPOLI</t>
  </si>
  <si>
    <t>MAHARASHTRA STATE BOARD SECONDARY AND HIGHER SECONDARY EDUCATION, PUNE</t>
  </si>
  <si>
    <t>WARNA VIDYANIKETAN AND ABASAHEB PATIL JUNIOR COLLEGE OF SCIENCE, NAVE PARGAON</t>
  </si>
  <si>
    <t>THAKUR COLLEGE OF ENGINEERING AND TECHNOLOGY, KANDIVALI, MUMBAI</t>
  </si>
  <si>
    <t>E I Technologies Private Limited | Assistant Engineer | Bangalore | Jul 2023 | Jul 2025 | 1 Years, 11 Months, 13 Days | 2.82</t>
  </si>
  <si>
    <t>SOBHA LIMITED | Project Management Intern | Banglaore | May 2026 | Jul 2026 | 9 Weeks | Campus Internship
Avishkar Developrers | Site Engineer (Trainee) | Dapoli | Dec 2021 | Jan 2022 | 7 Weeks
Avishkar Developrers | Site Engineer (Trainee) | Dapoli | Jun 2021 | Jul 2021 | 8 Weeks</t>
  </si>
  <si>
    <t>Plannerly - Level 1 (Basic)
Plannerly - Level 2 (Advance)
Plannerly - Level 3 (Expert)</t>
  </si>
  <si>
    <t>P25700699</t>
  </si>
  <si>
    <t>ARNAV</t>
  </si>
  <si>
    <t>VINAY</t>
  </si>
  <si>
    <t>MULGAONKAR</t>
  </si>
  <si>
    <t>Arnav Vinay Mulgaonkar</t>
  </si>
  <si>
    <t>arnavmulgaonkar@gmail.com</t>
  </si>
  <si>
    <t>p25700699@student.nicmar.ac.in</t>
  </si>
  <si>
    <t>12-Nov-2003</t>
  </si>
  <si>
    <t>english, hindi, marathi</t>
  </si>
  <si>
    <t>5100 7496 8615</t>
  </si>
  <si>
    <t>VINAY MULGAONKAR</t>
  </si>
  <si>
    <t>MEGHNA MULGAONKAR</t>
  </si>
  <si>
    <t>ACCENT TRAINER</t>
  </si>
  <si>
    <t>1903, Ashwa Platinum , Din Dayal Upadhyay Marg, Mulund West</t>
  </si>
  <si>
    <t>V.P.M.'S INTERNATIONAL SCHOOL</t>
  </si>
  <si>
    <t>COUNCIL FOR THE INDIAN SCHOOL CERTIFICATE EXAMINATIONS , NEW DELHI</t>
  </si>
  <si>
    <t>WAMAN RAO MURANJAN JUNIOR COLLEGE OF SCIENCE &amp; COMMERCE</t>
  </si>
  <si>
    <t>MAHARASTRA STATE BOARD OF SECONDARY AND HIGHER EDUCATION , PUNE</t>
  </si>
  <si>
    <t>DATTA MEGHE COLLEGE OF ENGINEERING , AIROLI</t>
  </si>
  <si>
    <t>AutoCAD,MS Office,MS Project,Primavera,Autodesk revit,Navisworks,</t>
  </si>
  <si>
    <t>J KUMAR INFRA PROJECTS LTD | INTERN | Ulwe , Navi Mumbai , Maharashtra | May 2026 | Jul 2026 | 9 Weeks | Campus Internship
IDEASEse | Intern | Kharghar, Navi Mumbai | Jan 2025 | Feb 2025 | 8 Weeks</t>
  </si>
  <si>
    <t>P25700700</t>
  </si>
  <si>
    <t>CHARUDATTA</t>
  </si>
  <si>
    <t>JOSHI</t>
  </si>
  <si>
    <t>Prathamesh Charudatta Joshi</t>
  </si>
  <si>
    <t>prathameshjoshi424@gmail.com</t>
  </si>
  <si>
    <t>p25700700@student.nicmar.ac.in</t>
  </si>
  <si>
    <t>31-Aug-2000</t>
  </si>
  <si>
    <t>5740 8577 4933</t>
  </si>
  <si>
    <t>CHARUDATTA ANANT JOSHI</t>
  </si>
  <si>
    <t>PLOT NO-20, NIRANJAN HOUSING SOCIETY, KATRAJ-KONDHWA ROAD</t>
  </si>
  <si>
    <t>821 C Ward Chougule Lane Kagal Dist- Kolhapur</t>
  </si>
  <si>
    <t>HOLYDEN ENGLISH MEDIUM SCHOOL, KAGAL</t>
  </si>
  <si>
    <t>MAHARASHTRA STATE BOARD OF SECONDARY AND HIGHER EDUCATION,KOLHAPUR.</t>
  </si>
  <si>
    <t>GOVERNMENT POLYTECHNIC KOLHAPUR. MAHARASHTRA</t>
  </si>
  <si>
    <t>SHIVAJI UNIVERSITY, KOLHAPUR.</t>
  </si>
  <si>
    <t>TATYASAHEB KORE INSTITUTE OF ENGINEERING AND TECHNOLOGY KOLHAPUR. MAHARASHTRA</t>
  </si>
  <si>
    <t>Construction Point.Pvt.Ltd | Junior Planning Engineer | Pune Maharashtra. | Sep 2024 | Jul 2025 | 0 Years, 9 Months, 25 Days | 2.64</t>
  </si>
  <si>
    <t>Goa State Infrastructure Development Corporation | Summer Intern- Site Execution | Goa | May 2026 | Jul 2026 | 8 Weeks | Campus Internship
Disha Construction | Civil- Supervisor Intern | Kagal Dist- Kolhapur | Jan 2021 | Mar 2021 | 8 Weeks</t>
  </si>
  <si>
    <t>P25700701</t>
  </si>
  <si>
    <t>SAILEE</t>
  </si>
  <si>
    <t>AJIT</t>
  </si>
  <si>
    <t>SALI</t>
  </si>
  <si>
    <t>Sailee Ajit Sali</t>
  </si>
  <si>
    <t>saileesali1107@gmail.com</t>
  </si>
  <si>
    <t>p25700701@student.nicmar.ac.in</t>
  </si>
  <si>
    <t>11-Jul-2002</t>
  </si>
  <si>
    <t>Hindi, English, Marathi</t>
  </si>
  <si>
    <t>6749 4208 4735</t>
  </si>
  <si>
    <t>AJIT SALI</t>
  </si>
  <si>
    <t>REVENUE DEPT.</t>
  </si>
  <si>
    <t>MANISHA SALI</t>
  </si>
  <si>
    <t>JUDICAIL OFFICER</t>
  </si>
  <si>
    <t>1302, JM Road , Shivajinagar, Pune-411005</t>
  </si>
  <si>
    <t>ST. ANNE'S HIGH SCHOOL, PUNE</t>
  </si>
  <si>
    <t>BHARTI VIDYAPEETH'S JAWAHARLAL NEHRU INSTITUE OF  TECHNOLOGY ( POLYTECHNIC),PUNE</t>
  </si>
  <si>
    <t>SINHGAD INSTITUE OF TECHNOLOGY AND SCIENCE (SITS), PUNE</t>
  </si>
  <si>
    <t>AutoCAD,MS Office,MS Project,Primavera,Cost x,Revit,Naviswork,Ms Excel,Power Point Presentation</t>
  </si>
  <si>
    <t>Boxoffice Space | Execution Intern | Baner,Pune | May 2026 | Jul 2026 | 8 Weeks | Campus Internship
Swastik Developers | Trainee Junior Engineer  | Pune | Aug 2021 | Sep 2021 | 5 Weeks
Pune Municipal Corporation, Pune | Trainee Junior Engineer | Pune Municipal Corporation, Pune | Oct 2024 | Mar 2025 | 25 Weeks
Maharashtra Metro Rail Corporation Limited | Trainee Junior Engineer | Pune Metro, Maharashtra | Dec 2023 | Jan 2024 | 4 Weeks</t>
  </si>
  <si>
    <t>P25700702</t>
  </si>
  <si>
    <t>Adarsh Singh</t>
  </si>
  <si>
    <t>adarshsingh4471@gmail.com</t>
  </si>
  <si>
    <t>p25700702@student.nicmar.ac.in</t>
  </si>
  <si>
    <t>7770 4156 3433</t>
  </si>
  <si>
    <t>VIJAY SINGH</t>
  </si>
  <si>
    <t>SERVICES</t>
  </si>
  <si>
    <t>NITU SINGH</t>
  </si>
  <si>
    <t>SOCIAL WORK</t>
  </si>
  <si>
    <t>101 Omkar Enclave , Sant Nagar, _x000D_
Lane No 2 , Lohegaon Wagholi Road ,Lohegaon , Pune, 411047</t>
  </si>
  <si>
    <t>THE CENTRAL BOARD OF SECONDARY EDUCATION</t>
  </si>
  <si>
    <t>S.N.B.P INTERNATIONAL SCHOOL</t>
  </si>
  <si>
    <t>MAHARASTRA STATE BOARD OF  SECONDARY AND HIGHER  SECONDARY EDUCATION</t>
  </si>
  <si>
    <t>DR D.Y. PATIL INSTITUTION OF  TECHNOLOGY , MAHARASHTRA</t>
  </si>
  <si>
    <t>Sobha Limited | Intern  | Banglore | May 2026 | Jul 2026 | 9 Weeks | Campus Internship</t>
  </si>
  <si>
    <t>P25700703</t>
  </si>
  <si>
    <t>HIRAL</t>
  </si>
  <si>
    <t>CHAWDA</t>
  </si>
  <si>
    <t>Hiral Chawda</t>
  </si>
  <si>
    <t>hiralchawda001@gmail.com</t>
  </si>
  <si>
    <t>p25700703@student.nicmar.ac.in</t>
  </si>
  <si>
    <t>25-Nov-1994</t>
  </si>
  <si>
    <t>GUJARATI, HINDI, ENGLISH</t>
  </si>
  <si>
    <t>9677 0094 7556</t>
  </si>
  <si>
    <t>DIPAKBHAI RATHOD</t>
  </si>
  <si>
    <t>PRATIMABEN RATHOD</t>
  </si>
  <si>
    <t>C-1108, ALKASA SOCIETY, TARVADEWASTI, HADAPSAR,</t>
  </si>
  <si>
    <t>B-4, Agyeya Nagar, Bilaspur Chhattisgarh</t>
  </si>
  <si>
    <t>MATRUCHAYA KANYA VIDYALAYA - BHUJ</t>
  </si>
  <si>
    <t>GUJARAT SECONDARY &amp; HIGHER SECONDARY EDUCATION BOARD, BHUJ-GUJARAT</t>
  </si>
  <si>
    <t>KRISHNA SCIENCE HIGH SCHOOL</t>
  </si>
  <si>
    <t>GUJARAT SECONDARY &amp; HIGHER SECONDARY EDUCATION BOARD, RAJKOT-GUJARAT</t>
  </si>
  <si>
    <t>VEER NARMAD SOUTH GUJARAT UNIVERSITY, SURAT-GUJARAT</t>
  </si>
  <si>
    <t>SARVAJANIK COLLEGE OF ENGINEERING &amp; TECHNOLOGY, SURAT-GUJARAT</t>
  </si>
  <si>
    <t>AutoCAD,Sketchup,Revit,Lumion,Enscape,Navisworks,MS Project, Primvera</t>
  </si>
  <si>
    <t>vConstruct Private Limited | Project Engineer | Pune | Mar 2020 | Jul 2023 | 3 Years, 4 Months, 22 Days | 5.3</t>
  </si>
  <si>
    <t>Ojas Hirani Architects &amp; Engineers | Jr.Architect | Ahmedabad, Gujarat | Feb 2018 | Aug 2018 | 27 Weeks
Mamta Shah &amp; Associates | Jr.Architect | Vadodara, Gujarat | Dec 2015 | Nov 2016 | 46 Weeks
CCL-City Corporation Limited | Site Engineer | Pune | May 2026 | Jul 2026 | 8 Weeks</t>
  </si>
  <si>
    <t xml:space="preserve">Lean Leadership
Lean Six Sigma Green Belt </t>
  </si>
  <si>
    <t>P25700704</t>
  </si>
  <si>
    <t>JAGDALE</t>
  </si>
  <si>
    <t>Rushikesh Ganesh Jagdale</t>
  </si>
  <si>
    <t>rushikeshjagdale79@gmail.com</t>
  </si>
  <si>
    <t>p25700704@student.nicmar.ac.in</t>
  </si>
  <si>
    <t>09-Aug-2003</t>
  </si>
  <si>
    <t>3776 3365 9577</t>
  </si>
  <si>
    <t>SHILA</t>
  </si>
  <si>
    <t>A/P NIRA TAL PURANDAR DIS PUNE_x000D_</t>
  </si>
  <si>
    <t>At.Nanegaon Post Davarwadi , Dawarwadi, Aurangabad Maharashtra 431107</t>
  </si>
  <si>
    <t>ST. ANN'S ENGLISH MEDIUM SCHOOL LONAND, MAHARASHTRA</t>
  </si>
  <si>
    <t>SHRI SOMESHWAR SHIKSHAN PRASARAK MANDAL'S SOMESHWAR SCIENCE COLLEGE, SOMESHWARNAGAR</t>
  </si>
  <si>
    <t>VIDYA PRATISHTHAN'S COLLEGE OF ENGINEERING, BARAMATI</t>
  </si>
  <si>
    <t>AutoCAD,MS Office,MS Project,Primavera,QGIS (Basic)</t>
  </si>
  <si>
    <t>New Consolidated Construction Company Limited | Project Management Intern | Mumbai | May 2026 | Jul 2026 | 8 Weeks | Campus Internship
SHRI SHIRSAI BUILDERS &amp; DEVELOPERS | ENGINEER TRAINEE | JALOCHI BARAMATI | Jan 2024 | Feb 2024 | 5 Weeks</t>
  </si>
  <si>
    <t>NPTEL Online Certification - Design Of Steel Structure
QGIS Training â€“ Spoken Tutorial Project, IIT Bombay</t>
  </si>
  <si>
    <t>P25700705</t>
  </si>
  <si>
    <t>SAI DEEPAK</t>
  </si>
  <si>
    <t>POTNURU</t>
  </si>
  <si>
    <t>Sai Deepak Potnuru</t>
  </si>
  <si>
    <t>saideepakpotnuru@gmail.com</t>
  </si>
  <si>
    <t>p25700705@student.nicmar.ac.in</t>
  </si>
  <si>
    <t>14-Mar-2002</t>
  </si>
  <si>
    <t>English, Telugu, Hindi, Oriya.</t>
  </si>
  <si>
    <t>3618 6547 9369</t>
  </si>
  <si>
    <t>POTNURU SAIBABU</t>
  </si>
  <si>
    <t>POTNURU SUVARNA</t>
  </si>
  <si>
    <t>24-166, Indiranagar Colony, Narasannapeta, Srikakulam, Andhra Pradesh - 532421.</t>
  </si>
  <si>
    <t>SARVANI VIDYALAYA</t>
  </si>
  <si>
    <t>BOARD OF SECONDARY EDUCATION, ANDHRA PRADESH.</t>
  </si>
  <si>
    <t>INDIAN INSTITUTE OF ENGINEERING SCIENCE AND TECHNOLOGY, SHIBPUR</t>
  </si>
  <si>
    <t>AutoCAD, MS Office, MS Project,Primavera,Revit,staadpro, ACC Cloud</t>
  </si>
  <si>
    <t>Ahluwalia Contracts (India) Limited | Project Management Intern  | Delhi | May 2026 | Jul 2026 | 8 Weeks | Campus Internship
APARNA CONSTRUCTIONS AND ESTATES PVT. LTD. | INTERN TRAINEE | HYDERABAD | May 2023 | Jul 2023 | 7 Weeks</t>
  </si>
  <si>
    <t>STADD PRO
AUTOCAD
MS PROJECT
PRIMAVERA
REVIT</t>
  </si>
  <si>
    <t>P25700706</t>
  </si>
  <si>
    <t>SHREYASH</t>
  </si>
  <si>
    <t>GHATE</t>
  </si>
  <si>
    <t>Shreyash Ravindra Ghate</t>
  </si>
  <si>
    <t>shreyashghate631@gmail.com</t>
  </si>
  <si>
    <t>p25700706@student.nicmar.ac.in</t>
  </si>
  <si>
    <t>5023 5384 5839</t>
  </si>
  <si>
    <t>Karla Road , Near Krishna Mandir, Vajurkar Layout, Pipri Meghe , Wradha</t>
  </si>
  <si>
    <t>SCHOOL OF BRILLIANTS</t>
  </si>
  <si>
    <t>MAHARASHTRA STATE BOARD TECHNICAL EDUCATION</t>
  </si>
  <si>
    <t>2019-Nov</t>
  </si>
  <si>
    <t>SINHGAD COLLEGE OF ENGINEERING /PUNE</t>
  </si>
  <si>
    <t>AutoCAD,MS Office,Rivet,StaddPro</t>
  </si>
  <si>
    <t>KUKREJA INFRASTRUCTURES | MANAGMENT INTERN PLANNING | Kukreja Paris City ,Nagpur | May 2026 | Jul 2026 | 8 Weeks | Campus Internship
SIDDHI DEVELOPERS | SITE INTERN | PUNE | Dec 2023 | Jan 2024 | 4 Weeks</t>
  </si>
  <si>
    <t>Diploma in Building Design
Construction Machinery for concreting/Roads &amp;Earth moving
Leadership Skills
Data Analysis
DIGIQC Certification
Finance For Non-Financial Managers
NPTEL Online Certification-German -I</t>
  </si>
  <si>
    <t>P25700707</t>
  </si>
  <si>
    <t>YOGESH</t>
  </si>
  <si>
    <t>YESHWANT</t>
  </si>
  <si>
    <t>Desai Yogesh Yeshwant</t>
  </si>
  <si>
    <t>yogeshdesai9370@gmail.com</t>
  </si>
  <si>
    <t>p25700707@student.nicmar.ac.in</t>
  </si>
  <si>
    <t>05-Jun-2002</t>
  </si>
  <si>
    <t>English,Hindi,marathi</t>
  </si>
  <si>
    <t>5264 4194 2740</t>
  </si>
  <si>
    <t>YESHWANT RAOSAHEB DESAI</t>
  </si>
  <si>
    <t>SAVITA YESHWANT DESAI</t>
  </si>
  <si>
    <t>HOISE WIFE</t>
  </si>
  <si>
    <t>H. No. 1-4- 90, Behind Janata Market, Phulenagar, Nanded, Nanded, Maharashtra, 431602</t>
  </si>
  <si>
    <t>CAMBRIDGE VIDYALAYA</t>
  </si>
  <si>
    <t>JSPM'S RSCOE THTHAWADE,PUNE</t>
  </si>
  <si>
    <t>AutoCAD,MS Office,MS Project,Primavera,Sketchup,SWMM,SURFER</t>
  </si>
  <si>
    <t>Sobha limited | Planning intern | Gurugram  | May 2026 | Jul 2026 | 9 Weeks | Campus Internship
GIRITIRTH ASSOCIATES | INTERN SITE ENGINEER  | RAVET,PUNE. | Jan 2024 | Jun 2024 | 25 Weeks</t>
  </si>
  <si>
    <t>Ethics in engineering pratice
Finance for Non-Financial Managers</t>
  </si>
  <si>
    <t>P25700708</t>
  </si>
  <si>
    <t>SHAM</t>
  </si>
  <si>
    <t>BHADKE</t>
  </si>
  <si>
    <t>Yash Sham Bhadke</t>
  </si>
  <si>
    <t>yashbhadke2003@gmail.com</t>
  </si>
  <si>
    <t>p25700708@student.nicmar.ac.in</t>
  </si>
  <si>
    <t>ENGLISH</t>
  </si>
  <si>
    <t>3881 8789 3835</t>
  </si>
  <si>
    <t>SHAM RAMESH BHADKE</t>
  </si>
  <si>
    <t>SHITAL SHAM BHADKE</t>
  </si>
  <si>
    <t>Chintamani Apartment Jatharpeth Akola</t>
  </si>
  <si>
    <t>BAL SHIVAJI HIGH SCHOOL</t>
  </si>
  <si>
    <t>AKOLA</t>
  </si>
  <si>
    <t>GOVERNMENT POLYTECHNIC AMRAVTI</t>
  </si>
  <si>
    <t>SANT GADGE BABA AMRAVTI UNIVERSITY</t>
  </si>
  <si>
    <t>Majestic Realties | Site Excecution And Project Management  | Pune | May 2026 | Jun 2026 | 7 Weeks | Campus Internship
Pawan Park | Site trainee | Akola | Jun 2024 | Jun 2024 | 4 Weeks</t>
  </si>
  <si>
    <t>P25700709</t>
  </si>
  <si>
    <t>PRERANA</t>
  </si>
  <si>
    <t>SAPKALE</t>
  </si>
  <si>
    <t>Prerana Sapkale</t>
  </si>
  <si>
    <t>preranasapkale03@gmail.com</t>
  </si>
  <si>
    <t>p25700709@student.nicmar.ac.in</t>
  </si>
  <si>
    <t>8190 3377 5554</t>
  </si>
  <si>
    <t>CHANDRAKANT</t>
  </si>
  <si>
    <t>SITE ENGINEER</t>
  </si>
  <si>
    <t>HARIPRIYA</t>
  </si>
  <si>
    <t>SCHOOL PRINCIPAL</t>
  </si>
  <si>
    <t>A-1206, Season Sahara, Near 50-50 Dhaba, Malang Gad Road, KalyanÂ east,Â Thane</t>
  </si>
  <si>
    <t>PODAR INTERNATIONAL SCHOOL, JALGAON</t>
  </si>
  <si>
    <t>CBSE, MAHRASHTRA</t>
  </si>
  <si>
    <t>SHARAD PAWAR PUBLIC SCHOOL</t>
  </si>
  <si>
    <t>CBSE, MAHARASHTRA</t>
  </si>
  <si>
    <t>S.H. JONDHALE POLYTECHNIC</t>
  </si>
  <si>
    <t>MGM COLLEGE OF ENGINEERING AND TECHNOLOGY</t>
  </si>
  <si>
    <t>Vinayak Chopdekar &amp; Associates / A.R.C. &amp; I. | Site Execution | Badlapur | May 2026 | Jul 2026 | 8 Weeks</t>
  </si>
  <si>
    <t>P25700710</t>
  </si>
  <si>
    <t>DINESH CHANDRA</t>
  </si>
  <si>
    <t>Mule Dinesh Chandra Reddy</t>
  </si>
  <si>
    <t>dineshreddy8261@gmail.com</t>
  </si>
  <si>
    <t>p25700710@student.nicmar.ac.in</t>
  </si>
  <si>
    <t>8936 7609 5284</t>
  </si>
  <si>
    <t>MULE BALAKRISHNA REDDY</t>
  </si>
  <si>
    <t>MULE HARITHA</t>
  </si>
  <si>
    <t>Flat No : 401, Dhanalakshmi Residency, Sai Balaji Gardens, Dhanalakshmi Puram, Nellore</t>
  </si>
  <si>
    <t>Nellore</t>
  </si>
  <si>
    <t>BOARD OF SECONDARY EDUCATION/ ANDHRA PRADESH</t>
  </si>
  <si>
    <t>BOARD OF INTERMEDIATE EDUCATION/ ANDHRA PRADESH</t>
  </si>
  <si>
    <t>ZYETA PVT LTD | Project Management Intern | Bengaluru | May 2026 | Jul 2026 | 8 Weeks | Campus Internship
L&amp;T | Trainee | Chennai | Jul 2023 | Aug 2023 | 1 Weeks</t>
  </si>
  <si>
    <t>P25700711</t>
  </si>
  <si>
    <t>SOMNATH</t>
  </si>
  <si>
    <t>DAMODAR</t>
  </si>
  <si>
    <t>DEVEKAR</t>
  </si>
  <si>
    <t>Somnath Damodar Devekar</t>
  </si>
  <si>
    <t>somnathdevekar55@gmail.com</t>
  </si>
  <si>
    <t>p25700711@student.nicmar.ac.in</t>
  </si>
  <si>
    <t>Marathi, Hindi &amp; English</t>
  </si>
  <si>
    <t>4190 7587 2863</t>
  </si>
  <si>
    <t>RETIRED TEACHER, FARMING</t>
  </si>
  <si>
    <t>Mauli Home, Near Primary School, Khadak Colony, Basarewadi, Gargoti.</t>
  </si>
  <si>
    <t>MADHYAMIK VIDYALAYA DARWAD</t>
  </si>
  <si>
    <t>CHHATRAPATI SHAHU VIDYALAYA &amp; JUNIOR COLLEGE, KOLHAPUR</t>
  </si>
  <si>
    <t>2022-Feb</t>
  </si>
  <si>
    <t>TATYASAHEB KORE INSTITUTE OF ENGINEERING &amp; TECHNOLOGY</t>
  </si>
  <si>
    <t>Vaishnavi Developers &amp; Builders | Site Execution &amp; Planning | Pune | May 2026 | Jul 2026 | 8 Weeks | Campus Internship
Rushikesh Associates | Site engineer | Kolhapur | Feb 2024 | Apr 2024 | 12 Weeks</t>
  </si>
  <si>
    <t>sketchup Workshop
Microsoft Project
Primavera</t>
  </si>
  <si>
    <t>P25700712</t>
  </si>
  <si>
    <t>Rohan Rajendra Patil</t>
  </si>
  <si>
    <t>patilrohan688@gmail.com</t>
  </si>
  <si>
    <t>p25700712@student.nicmar.ac.in</t>
  </si>
  <si>
    <t>26-May-1999</t>
  </si>
  <si>
    <t>8389 6696 8122</t>
  </si>
  <si>
    <t>RAJENDRA JALINDAR PATIL</t>
  </si>
  <si>
    <t>RAJASHRI</t>
  </si>
  <si>
    <t>Patilwasti, Tandulwadi Road, A/P- Mahim Tal- Sangola Dist- Solapur</t>
  </si>
  <si>
    <t>PVG'S MAHARASHTRA VIDYALAYA PUNE-30</t>
  </si>
  <si>
    <t>MODERN COLLEGE OF ARTS SCIENCE AND COMMERCE SHIVAJINAGAR PUNE.</t>
  </si>
  <si>
    <t>ANNASAHEB DANGE COLLEGE OF ENGINEERING AND TECHNOLOGY, ASHTA</t>
  </si>
  <si>
    <t>T And T Infra Ltd. | Jr. Engineer | Maharashtra | Dec 2021 | Jan 2025 | 3 Years, 1 Months, 11 Days | 3.85</t>
  </si>
  <si>
    <t>Koranne Techno-Legal Services  | Intern  | Thane, Maharashtra  | May 2026 | Jun 2026 | 8 Weeks | Campus Internship</t>
  </si>
  <si>
    <t>P25700714</t>
  </si>
  <si>
    <t>PAIDI</t>
  </si>
  <si>
    <t>Paidi Mohan Kumar</t>
  </si>
  <si>
    <t>mohanp1paidi@gmail.com</t>
  </si>
  <si>
    <t>p25700714@student.nicmar.ac.in</t>
  </si>
  <si>
    <t>01-Jul-2004</t>
  </si>
  <si>
    <t>5177 8715 2141</t>
  </si>
  <si>
    <t>PAIDI LAKSHMANA RAO</t>
  </si>
  <si>
    <t>RAILWAY EMPLOYE</t>
  </si>
  <si>
    <t>PAIDI SUNEETHA</t>
  </si>
  <si>
    <t>DOOR NO:20-239/14/7,CARVAL NAGAR,KOTHPALEM,GOPALAPATNAM,VISAKHAPATNAM</t>
  </si>
  <si>
    <t>Door No:2-74,main Street ,Modalavalasa,Srikakulam,Andhra Pradesh-532484</t>
  </si>
  <si>
    <t>BOARD OF SECONDARY EDUCATION ,ANDHRA PRADESH</t>
  </si>
  <si>
    <t>ANDHRA UNIVERSITY COLLEGE OF ENGINEERING,ANDHRA PRADESH</t>
  </si>
  <si>
    <t xml:space="preserve">MS Project, Primavera, MS Office, AutoCAD, STAAD Pro, Revit, Navisworks, Cost X </t>
  </si>
  <si>
    <t>Rithwik Projects Private Limited | Project Management Intern | Hyderabad | May 2026 | Jul 2026 | 8 Weeks | Campus Internship
Vizag Steel Plant | Intern | Visakhapatnam | May 2024 | Jun 2024 | 3 Weeks</t>
  </si>
  <si>
    <t>P25700715</t>
  </si>
  <si>
    <t>DEULKAR</t>
  </si>
  <si>
    <t>Sahil Rajendra Deulkar</t>
  </si>
  <si>
    <t>sahildeulkar95@gmail.com</t>
  </si>
  <si>
    <t>p25700715@student.nicmar.ac.in</t>
  </si>
  <si>
    <t>3574 0049 2179</t>
  </si>
  <si>
    <t>RAJENDRA KRUSHNARAO DEULKAR</t>
  </si>
  <si>
    <t>GOVERNMENT CONTRACTOR</t>
  </si>
  <si>
    <t>SAVITA RAJENDRA DEULKAR</t>
  </si>
  <si>
    <t>C-203, 2ND FLOOR, ORABELLE BHOOMI INFRACON</t>
  </si>
  <si>
    <t>Shivaji Nagar, Ner Parsopant, Yavatmal, 445102</t>
  </si>
  <si>
    <t>SHANTINIKETAN HIGH SCHOOL, NER, YAVATMAL</t>
  </si>
  <si>
    <t>GOVERNMENT POLYTECHNIC AMRAVATI</t>
  </si>
  <si>
    <t>PIMPRI CHINCHWAD COLLEGE OF ENGINEERING &amp; RESEARCH, RAVET, PUNE</t>
  </si>
  <si>
    <t>AutoCAD,MS Office,MS Project,MH-CIT</t>
  </si>
  <si>
    <t>Sangam Engineers | Site Intern | R K Trade Centre, Vapi, Gujarat  | May 2026 | Jul 2026 | 8 Weeks | Campus Internship
Know How | Site engineer trainee | Ravet, Pune | Dec 2023 | Jan 2024 | 3 Weeks
Amravati Municipal Corporation, Amravati | Site engineer trainee | Amravati  | Aug 2021 | Sep 2021 | 4 Weeks</t>
  </si>
  <si>
    <t>P25700716</t>
  </si>
  <si>
    <t>SHIKHIL</t>
  </si>
  <si>
    <t>CHAMEL</t>
  </si>
  <si>
    <t>Shikhil Chamel</t>
  </si>
  <si>
    <t>shikhilchamel4273@gmail.com</t>
  </si>
  <si>
    <t>p25700716@student.nicmar.ac.in</t>
  </si>
  <si>
    <t>16-Jun-2001</t>
  </si>
  <si>
    <t>HINDI,ENGLISH</t>
  </si>
  <si>
    <t>9551 1578 7166</t>
  </si>
  <si>
    <t>SANJAY KUMAR CHAMEL</t>
  </si>
  <si>
    <t>CIVIL ENGINEER(GOVT.)</t>
  </si>
  <si>
    <t>RITA CHAMEL</t>
  </si>
  <si>
    <t>39/7, Ward No. -02 ,Prem Vihar ,Shamsherpur(117),Paonta Sahib</t>
  </si>
  <si>
    <t>Sirmaur</t>
  </si>
  <si>
    <t>CENTRAL BOARD OF SECONDARY EDUCATION , SHIMLA ,HIMACHAL PRADESH</t>
  </si>
  <si>
    <t>GRAPHIC ERA , DEHRADUN ,UTTRAKHAND</t>
  </si>
  <si>
    <t>Geoquest India Private Limited  | Operations Intern | New Delhi | May 2026 | Jun 2026 | 8 Weeks | Campus Internship
National Highway Authority of India | Trainee  | Ganeshpur, Dehradun | Jun 2022 | Aug 2022 | 6 Weeks
SHARNAGAT CONSTRUCTION PVT. LTD. | Trainee Engineer | Shimla | Dec 2023 | Nov 2024 | 48 Weeks</t>
  </si>
  <si>
    <t>P25700717</t>
  </si>
  <si>
    <t>GHAYTADAK</t>
  </si>
  <si>
    <t>Ritesh Sanjay Ghaytadak</t>
  </si>
  <si>
    <t>riteshghaytadak7@gmail.com</t>
  </si>
  <si>
    <t>p25700717@student.nicmar.ac.in</t>
  </si>
  <si>
    <t>9705 8775 1230</t>
  </si>
  <si>
    <t>SANJAY GHAYTADAK</t>
  </si>
  <si>
    <t>HEMAKSHI GHAYTADAK</t>
  </si>
  <si>
    <t>Babu Park, Near Samarth Hitech Security, Bahirewadi, Warananagar</t>
  </si>
  <si>
    <t>SHREE WARANA VIDYALAY WARANANAGAR</t>
  </si>
  <si>
    <t>AutoCAD,MS Office,MS Project,Primavera,Staad pro,Etaab,Revit,Cost X</t>
  </si>
  <si>
    <t>Vaishnavi Developers &amp; Builders | Site Execution &amp; Planning | Pune | May 2026 | Jul 2026 | 8 Weeks | Campus Internship
SSPA Consulting Engineers | Structural design and draftsman | Pune, Kothrud | Jan 2025 | Apr 2025 | 12 Weeks</t>
  </si>
  <si>
    <t>3 months of training and internship in AutoCAD
Bentley Staad pro Virtual Internship
Finance for Non - Financial Manager
Foundations of Project Management
Proficient in Primavera
Proficient in Microsoft Project</t>
  </si>
  <si>
    <t>P25700718</t>
  </si>
  <si>
    <t>SURADKAR</t>
  </si>
  <si>
    <t>Aditya Vinayak Suradkar</t>
  </si>
  <si>
    <t>adityavs1605@gmail.com</t>
  </si>
  <si>
    <t>p25700718@student.nicmar.ac.in</t>
  </si>
  <si>
    <t>16-May-1999</t>
  </si>
  <si>
    <t>3239 3047 7162</t>
  </si>
  <si>
    <t>Flat No. 601, F-wing, Lake Castle Bldg, Opp. Gauripada Talao, Gauripada, Kalyan West, 421301</t>
  </si>
  <si>
    <t>LOURDES HIGH SCHOOL</t>
  </si>
  <si>
    <t>LAXMAN DEVRAM SONAWANE COLLEGE</t>
  </si>
  <si>
    <t>DILKAP RESEARCH INSTITUTE OF ENGINEERING AND MANAGEMENT STUDIES, NERAL</t>
  </si>
  <si>
    <t>AutoCAD, MS Office, MS Project, Primavera P6, Revit Architecture, Cost X, Etabs</t>
  </si>
  <si>
    <t>Kinjal Civilcon LLP | Jr. Planning Engineeer | Kalyan | Mar 2024 | Jul 2025 | 1 Years, 4 Months, 15 Days | 2.77</t>
  </si>
  <si>
    <t>Kabi &amp; Assosciates | Contracts &amp; Claim Management Intern  | Delhi | May 2026 | Jul 2026 | 8 Weeks | Campus Internship
Built Charms | Intern | Kalyan | Jun 2021 | Nov 2021 | 26 Weeks</t>
  </si>
  <si>
    <t>P25700719</t>
  </si>
  <si>
    <t>AMRUTANSHU</t>
  </si>
  <si>
    <t>BINDHANI</t>
  </si>
  <si>
    <t>Amrutanshu Bindhani</t>
  </si>
  <si>
    <t>amrutanshubindhani2001@gmail.com</t>
  </si>
  <si>
    <t>p25700719@student.nicmar.ac.in</t>
  </si>
  <si>
    <t>23-Feb-2001</t>
  </si>
  <si>
    <t>English, Hindi, Odia</t>
  </si>
  <si>
    <t>5472 1014 6798</t>
  </si>
  <si>
    <t>HARIHAR BINDHANI</t>
  </si>
  <si>
    <t>RETIRED LECTURER</t>
  </si>
  <si>
    <t>SUMATI BINDHANI</t>
  </si>
  <si>
    <t>At Deulasahi, Ward Number-7, Baripada, Mayurbhanj, Pin-757001, Odisha</t>
  </si>
  <si>
    <t>KENDRIYA VIDYALAYA MURGABADI MAYURBHANJ ODISHA</t>
  </si>
  <si>
    <t>CENTRAL BOARD OF SECONDARY EDUCATION, BARIPADA/ODISHA</t>
  </si>
  <si>
    <t>KENDRIYA VIDYALAYA BARIPADA MAYURBHANJ ODISHA</t>
  </si>
  <si>
    <t>BIJU PATNAIK UNIVERSITY OF TECHNOLOGY</t>
  </si>
  <si>
    <t>GOVERNMENT COLLEGE OF ENGINEERING KEONJHAR/ODISHA</t>
  </si>
  <si>
    <t>HINDUSTAN CONSTRUCTION COMPANY LTD | SITE ENGINEER | RAIGAD, MAHARASTRA | Jul 2023 | Jul 2025 | 2 Years, 0 Months, 11 Days | 6.15</t>
  </si>
  <si>
    <t>NBCC (India) Ltd. | Intern- Project Management | Delhi | May 2026 | Jul 2026 | 9 Weeks | Campus Internship</t>
  </si>
  <si>
    <t>Auto CAD (Civil)</t>
  </si>
  <si>
    <t>P25700720</t>
  </si>
  <si>
    <t>SHWETA</t>
  </si>
  <si>
    <t>MOHITE</t>
  </si>
  <si>
    <t>Shweta Anil Mohite</t>
  </si>
  <si>
    <t>shwetamohite2025@gmail.com</t>
  </si>
  <si>
    <t>p25700720@student.nicmar.ac.in</t>
  </si>
  <si>
    <t>8371 0595 0677</t>
  </si>
  <si>
    <t>ANIL MOHITE</t>
  </si>
  <si>
    <t>SHUBHANGI MOHITE</t>
  </si>
  <si>
    <t>Amrutnagar, Nawalewadi, Tal. Akole</t>
  </si>
  <si>
    <t>DHRUV  ACADEMY</t>
  </si>
  <si>
    <t>DELHI</t>
  </si>
  <si>
    <t>AGASTI COLLEGE</t>
  </si>
  <si>
    <t>PUNE</t>
  </si>
  <si>
    <t>SAVITRIBAI PHULE UNIVERSITY, PUNE</t>
  </si>
  <si>
    <t>TRINITY COLLEGE OF ARCHITECTURE, PUNE</t>
  </si>
  <si>
    <t>AutoCAD,MS Office,MS Project,Lumion,Enscape,Photoshop,Vray</t>
  </si>
  <si>
    <t>P25700721</t>
  </si>
  <si>
    <t>MAYURI</t>
  </si>
  <si>
    <t>SULABHA</t>
  </si>
  <si>
    <t>SALOKHE</t>
  </si>
  <si>
    <t>Mayuri Sulabha Salokhe</t>
  </si>
  <si>
    <t>salokhemayuri25@gmail.com</t>
  </si>
  <si>
    <t>p25700721@student.nicmar.ac.in</t>
  </si>
  <si>
    <t>06-Feb-2000</t>
  </si>
  <si>
    <t>English , Hindi &amp; Marathi</t>
  </si>
  <si>
    <t>5430 5383 1734</t>
  </si>
  <si>
    <t>SHEELA</t>
  </si>
  <si>
    <t>653 Mafatalal Gate, Navjeevan_x000D_
Waliv_x000D_
Vasai East</t>
  </si>
  <si>
    <t>THE AMBASSADOR HIGH SCHOOL</t>
  </si>
  <si>
    <t>CONSTRUCTION TECHNOLOGY</t>
  </si>
  <si>
    <t>VIVA INSTITUTE OF TECHNOLOGY</t>
  </si>
  <si>
    <t>AutoCAD, MS Office, MS Project, Primavera P6,3D SketchUp, Revit, BIM</t>
  </si>
  <si>
    <t>Parekh Integrated Services Private Limited | Executive- Design | Goregaon | Feb 2024 | Jul 2025 | 1 Years, 5 Months, 11 Days | 3.48
SAMAQ BUILDER PVT.LTD | Jr. QS Engineer | Chunabhatti | Jul 2023 | Jan 2024 | 0 Years, 5 Months, 1 Days | 2.64</t>
  </si>
  <si>
    <t>Wani Projects and Infra Pvt. Ltd. | Site Execution + Control | Pune | May 2026 | Jun 2026 | 8 Weeks | Campus Internship
Aaradhya Associates | Trainee Engineer | Virar | Jun 2022 | Jun 2022 | 4 Weeks
Naman Regency Developers | Site Trainee Engineer | Dockyard Road, Mazgaon | Jun 2019 | Mar 2022 | 143 Weeks</t>
  </si>
  <si>
    <t>P25700722</t>
  </si>
  <si>
    <t>DIKE</t>
  </si>
  <si>
    <t>Dike Shruti Mahesh</t>
  </si>
  <si>
    <t>shrutidike15@gmail.com</t>
  </si>
  <si>
    <t>p25700722@student.nicmar.ac.in</t>
  </si>
  <si>
    <t>4864 2282 5871</t>
  </si>
  <si>
    <t>MAHESH SONU DIKE</t>
  </si>
  <si>
    <t>MEGHA MAHESH DIKE</t>
  </si>
  <si>
    <t>Kunal Estate, Flat No. 31, Building No. A3, A-wing, Keshavnagar, Near Morya Gosavi Krida Sankul, Chinchwadgaon, Pune-411033</t>
  </si>
  <si>
    <t>VIDYA NIKETAN ENGLISH MEDIUM SCHOOL, PIMPRI (TATA MOTORS EMPLOYEES EDUCATION TRUST)</t>
  </si>
  <si>
    <t>SHRI FATTECHAND JAIN VIDYALAYA AND JUNIOR COLLEGE, CHINCHWADGAON</t>
  </si>
  <si>
    <t>DR. D.Y. PATIL COLLEGE OF ARCHITECTURE, AKURDI</t>
  </si>
  <si>
    <t>AutoCAD,MS Office,MS Project,Primavera,Sketchup,Revit,Photoshop,Lumion,Enscape</t>
  </si>
  <si>
    <t>Integrid Design | Junior Architect | Pune | Dec 2024 | Jul 2025 | 0 Years, 7 Months, 2 Days | 1.8</t>
  </si>
  <si>
    <t>Ahluwalia Contracts India Limited | Project Management Intern | Sion, Mumbai | May 2026 | Jul 2026 | 8 Weeks | Campus Internship
Architect Hafeez Contractor | Architect Intern | Mumbai | Jul 2023 | Nov 2023 | 20 Weeks</t>
  </si>
  <si>
    <t>P25700723</t>
  </si>
  <si>
    <t>M JAYENDRA</t>
  </si>
  <si>
    <t>SARATCHANDRA</t>
  </si>
  <si>
    <t>M Jayendra Saratchandra</t>
  </si>
  <si>
    <t>jayendraman530@gmail.com</t>
  </si>
  <si>
    <t>p25700723@student.nicmar.ac.in</t>
  </si>
  <si>
    <t>01-Nov-2003</t>
  </si>
  <si>
    <t>English, Hindi, Telugu, Tamil</t>
  </si>
  <si>
    <t>6881 6215 4937</t>
  </si>
  <si>
    <t>MANGALAMPALLI SRINIVAS</t>
  </si>
  <si>
    <t>CENTRAL GOVT. EMPLOYEE</t>
  </si>
  <si>
    <t>M V S SUBHA</t>
  </si>
  <si>
    <t>259/1, NORTH COLONY, I.C.F., PERAMBUR</t>
  </si>
  <si>
    <t>Plot No 25 (southern Part), Vidyanagar, Nadukuthagai, Tiruninravur</t>
  </si>
  <si>
    <t>KENDRIYA VIDYALAYA O.C.F. AVADI</t>
  </si>
  <si>
    <t>KENDRIYA VIDYALAYA ANNA NAGAR</t>
  </si>
  <si>
    <t>SASTRA UNIVERSITY, THANJAVUR</t>
  </si>
  <si>
    <t>AutoCAD,MS Office,MS Project,Primavera,BIM,AnSYS</t>
  </si>
  <si>
    <t>Agami Realty | Site Engineer | Mumbai | May 2026 | Jul 2026 | 7 Weeks | Campus Internship
LARSEN &amp; TOUBRO LIMITED | INTERN TRAINEE | INNOVATION CAMPUS SITE, MANAPAKKAM, CHENNAI 600089 | Jun 2023 | Jun 2023 | 1 Weeks</t>
  </si>
  <si>
    <t>P25700724</t>
  </si>
  <si>
    <t>BHALCHANDRA</t>
  </si>
  <si>
    <t>BAGWE</t>
  </si>
  <si>
    <t>Harsh Bhalchandra Bagwe</t>
  </si>
  <si>
    <t>hbagwe03@gmail.com</t>
  </si>
  <si>
    <t>p25700724@student.nicmar.ac.in</t>
  </si>
  <si>
    <t>MARATHI, HINDI &amp; ENGLISH</t>
  </si>
  <si>
    <t>3590 6433 6935</t>
  </si>
  <si>
    <t>BHALCHANDRA BAGWE</t>
  </si>
  <si>
    <t>BHAKTI BAGWE</t>
  </si>
  <si>
    <t>-</t>
  </si>
  <si>
    <t>27/20, B.D.D. CHAWL, GANPAT JADHAV MARG, NEAR DOORDARSHAN, WORLI, MUMBAI</t>
  </si>
  <si>
    <t>A/201, SIDDHIVINAYAK TOWER, OPPOSITE EXPERT SCHOOL, Y.K. NAGAR.N.X, VIRAR WEST</t>
  </si>
  <si>
    <t>MAHARASHTRA STATE BOARD OF SECONDARY AND HIGHER SECONDARY EDUCATION, VIRAR</t>
  </si>
  <si>
    <t>VIDYAVARDHINI'S BHAUSAHEB VARTAK POLYTECHNIC, VASAI</t>
  </si>
  <si>
    <t>L.R. TIWARI COLLEGE OF ENGINEERING</t>
  </si>
  <si>
    <t>Bharat Petroleum Corporation Ltd. (BPCL) | Apprentice Junior Engineer (Site In-Charge)  | Bandra Kurla Complex, Mumbai  | Sep 2024 | Jul 2025 | 0 Years, 10 Months, 21 Days | 3.00</t>
  </si>
  <si>
    <t>Basil Decor | Project Management Intern | Pune | May 2026 | Jul 2026 | 9 Weeks | Campus Internship
BHARAT PETROLEUM CORPORATION LTD. | APPRENTICE JUNIOR ENGINEER | BANDRA KURLA COMPLEX | Sep 2024 | Jul 2025 | 46 Weeks
VIJAY GURAV AND ASSOCIATES | JUNIOR ENGINEER | VIRAR | Jun 2023 | Jul 2023 | 4 Weeks
SAC PARADISE | JUNIOR ENGINEER | DOMBIVLI | Jun 2022 | Jul 2022 | 3 Weeks</t>
  </si>
  <si>
    <t>PROFICIENT IN AUTOCAD</t>
  </si>
  <si>
    <t>P25700725</t>
  </si>
  <si>
    <t>NIKITA</t>
  </si>
  <si>
    <t>KHANDU</t>
  </si>
  <si>
    <t>CHAVAN</t>
  </si>
  <si>
    <t>Nikita Khandu Chavan</t>
  </si>
  <si>
    <t>chavan.nikita0987@gmail.com</t>
  </si>
  <si>
    <t>p25700725@student.nicmar.ac.in</t>
  </si>
  <si>
    <t>25-Apr-1999</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</si>
  <si>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</si>
  <si>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</si>
  <si>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</si>
  <si>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</si>
  <si>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</si>
  <si>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</si>
  <si>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</si>
  <si>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</si>
  <si>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</si>
  <si>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 Years, 7 Months, 4 Days | 1.92
Futurism Technologies Pvt. Ltd. | Associate Digital Marketing Executive | Futurism Campus, 1/1, Hinjawadi Phase 1 Rd, Phase 1, Hinjawadi Rajiv Gandhi Infotech Park, MIDC, Pune, Pimpri-Chinchwad, Maharashtra 411057 | Nov 2023 | Jul 2025 | 1 Years, 8 Months, 2 Days | 2.79</t>
  </si>
  <si>
    <t>Sprng Energy Private Limited (Shell Group) | Project Management Intern  | Magarpatta City, Pune  | May 2026 | Jul 2026 | 8 Weeks | Campus Internship</t>
  </si>
  <si>
    <t>P25700727</t>
  </si>
  <si>
    <t>Prajwal Mahesh Nikam</t>
  </si>
  <si>
    <t>prajwalnikam9404@gmai.com</t>
  </si>
  <si>
    <t>p25700727@student.nicmar.ac.in</t>
  </si>
  <si>
    <t>5582 2006 6722</t>
  </si>
  <si>
    <t>MAHESH NIKAM</t>
  </si>
  <si>
    <t>MANSI NIKAM</t>
  </si>
  <si>
    <t>Near Z.p. School, Mayani Road, Nagewadi.</t>
  </si>
  <si>
    <t>BHARATI VIDYAPEETH'S ENGLISH MEDIUM HIGH SCHOOL, VITA.</t>
  </si>
  <si>
    <t>PIMPRI CHINCHWAD POLYTECHNIC, NIGDI.</t>
  </si>
  <si>
    <t>DR. D.Y.PATIL INSTITUTE OF ENGINEERING,MANAGEMENT AND RESEARCH, AKURDI.</t>
  </si>
  <si>
    <t>NYATI GROUP | PROJECT MANAGEMENT INTERN | Pune | May 2026 | Jul 2026 | 8 Weeks | Campus Internship
R.K. DEVELOPERS | INTERN SITE ENGINEER  | PIMPRI CHINCHWAD | Jan 2024 | Feb 2024 | 4 Weeks</t>
  </si>
  <si>
    <t>P25700729</t>
  </si>
  <si>
    <t>PASHMINA</t>
  </si>
  <si>
    <t>BANSI</t>
  </si>
  <si>
    <t>POPALI</t>
  </si>
  <si>
    <t>Pashmina Bansi Popali</t>
  </si>
  <si>
    <t>pashminapopali2712@gmail.com</t>
  </si>
  <si>
    <t>p25700729@student.nicmar.ac.in</t>
  </si>
  <si>
    <t>8692 0473 6789</t>
  </si>
  <si>
    <t>BANSI POPALI</t>
  </si>
  <si>
    <t>POOJA POPALI</t>
  </si>
  <si>
    <t>STANZA LIVING, WACO HOUSE, BALEWADI, PUNE</t>
  </si>
  <si>
    <t>Tagore Square, Beside Shyaam Bhavan, Wani</t>
  </si>
  <si>
    <t>D.A.V PUBLIC SCHOOL, NEELJAY, WANI</t>
  </si>
  <si>
    <t>CBSE - MAHARASHTRA</t>
  </si>
  <si>
    <t>SWARNLEELA INTERNATIONAL SCHOOL, WANI</t>
  </si>
  <si>
    <t>RTMNU, NAGPUR</t>
  </si>
  <si>
    <t>PRIYADARSHINI INSTITUTE OF ARCHITECTURE &amp; DESIGN STUDIES, NAGPUR</t>
  </si>
  <si>
    <t>AutoCAD,MS Office,MS Project,Primavera,SketchUp,Lumion,Enscape,Photoshop,Illustration,CostX,Revit</t>
  </si>
  <si>
    <t>Anarock Property Consultants  | Sourcing and Closing | Mumbai | May 2026 | Jul 2026 | 9 Weeks | Campus Internship
Saptak Patel Architects. Ahmedabad | Architectural Intern | Ahmedabad | Dec 2023 | Apr 2024 | 15 Weeks</t>
  </si>
  <si>
    <t>P25700730</t>
  </si>
  <si>
    <t>DIPEN</t>
  </si>
  <si>
    <t>HEMENDRA</t>
  </si>
  <si>
    <t>BALDANIA</t>
  </si>
  <si>
    <t>Dipen Hemendra Baldania</t>
  </si>
  <si>
    <t>baldaniadipen@gmail.com</t>
  </si>
  <si>
    <t>p25700730@student.nicmar.ac.in</t>
  </si>
  <si>
    <t>8440 2129 8163</t>
  </si>
  <si>
    <t>HEMENDRA BALDANIYA</t>
  </si>
  <si>
    <t>BHAVNA BALDANIYA</t>
  </si>
  <si>
    <t>Plot - 265, Ward - 2/B, Adipur, Gandhidham</t>
  </si>
  <si>
    <t>Kutch</t>
  </si>
  <si>
    <t>AMARCHAND SINGHVI INTERNATIONAL SCHOOL</t>
  </si>
  <si>
    <t>CENTRAL BOARD OF SECONDARY EDUCATION GUJARAT</t>
  </si>
  <si>
    <t>ST. ANN'S SCHOOL</t>
  </si>
  <si>
    <t>PARUL UNIVERSITY</t>
  </si>
  <si>
    <t>PARUL INSTITUTE OF ENGINEERING &amp; TECHNOLOGY</t>
  </si>
  <si>
    <t>PSP PROJECTS LTD | Civil Intern | Mumbai | May 2026 | Jul 2026 | 8 Weeks | Campus Internship</t>
  </si>
  <si>
    <t>Integrated Design for Buildings with MIDAS/Gen: Beginner Level
AutoCAD 2D and 3D</t>
  </si>
  <si>
    <t>P25700731</t>
  </si>
  <si>
    <t>NANDAN</t>
  </si>
  <si>
    <t>H N</t>
  </si>
  <si>
    <t>Nandan H N</t>
  </si>
  <si>
    <t>nandhanraju07@gmail.com</t>
  </si>
  <si>
    <t>p25700731@student.nicmar.ac.in</t>
  </si>
  <si>
    <t>17-Apr-2000</t>
  </si>
  <si>
    <t>KANNADA,ENGLISH,HINDI</t>
  </si>
  <si>
    <t>9833 2861 4624</t>
  </si>
  <si>
    <t>NARASIMHAIAH H M</t>
  </si>
  <si>
    <t>RETIRED HEAD MASTER</t>
  </si>
  <si>
    <t>INDIRAMMA H S</t>
  </si>
  <si>
    <t>Keshava Nagar Sira Tumakuru Karnataka 572137</t>
  </si>
  <si>
    <t>Tumkur</t>
  </si>
  <si>
    <t>THE PRESIDENCY PUBLIC SCHOOL</t>
  </si>
  <si>
    <t>INDIAN CERTIFICATE OF SECONDARY EDUCATION SIRA KARNATAKA</t>
  </si>
  <si>
    <t>PRESIDENCY PU COLLEGE</t>
  </si>
  <si>
    <t>REVA UNIVERSITY BENGALURU KARNATAKA</t>
  </si>
  <si>
    <t>AutoCAD,MS Office,MS Project,Primavera,SAP,ERP TOOL</t>
  </si>
  <si>
    <t>Jagannatha C.V | Site Engineer | Sira | Oct 2021 | Oct 2023 | 1 Years, 11 Months, 28 Days | 3
Manjushree Technopack Limited | Purchase Engineer | Bengaluru | Oct 2023 | Aug 2025 | 1 Years, 10 Months, 4 Days | 4.85</t>
  </si>
  <si>
    <t>Jyoti Structures Limited (JSL) | Project Coordination | Bhuj,Gujurat | May 2026 | Jun 2026 | 8 Weeks | Campus Internship
HINDUSTAN AERONAUTICS LIMITED | INTERN | BENGALURU | Jun 2019 | Jul 2019 | 2 Weeks</t>
  </si>
  <si>
    <t>Coursera-Financial Markets
Coursera-Java Programming
Reva University</t>
  </si>
  <si>
    <t>P25700732</t>
  </si>
  <si>
    <t>TALEKAR</t>
  </si>
  <si>
    <t>Talekar Sahil Chandrashekhar</t>
  </si>
  <si>
    <t>sahiltalekar2001@gmail.com</t>
  </si>
  <si>
    <t>p25700732@student.nicmar.ac.in</t>
  </si>
  <si>
    <t>English Hindi Marathi</t>
  </si>
  <si>
    <t>8417 9064 8935</t>
  </si>
  <si>
    <t>SHRUTIKA</t>
  </si>
  <si>
    <t>Om Shree Sai A-Wing Room No-07 Building No-3,Near Hdfc Bank Kalwa (w)</t>
  </si>
  <si>
    <t>SARASWATI VIDYALAYA HIGH SCHOOL AND JUNIOR COLLEGE OF SCIENCE</t>
  </si>
  <si>
    <t>MAHARASHTRA STATE BOARD OF SECONDARY AND HIGHER SECONDARY EDUCATION ,MAHARASHTRA</t>
  </si>
  <si>
    <t>MUCHHALA POLYTECHNIC , MAHARASHTRA</t>
  </si>
  <si>
    <t>A.P.SHAH INSTITUTE OF TECHNOLOGY , MAHARASHTRA</t>
  </si>
  <si>
    <t>Sunrise Housing Construction LTD | Junior Civil Engineer | Santacruz , Mumbai  | Feb 2024 | Jul 2025 | 1 Years, 5 Months, 30 Days | 3.25</t>
  </si>
  <si>
    <t>Ascendas Firstspace Development Pvt Ltd | Project-Intern | Mumbai | May 2026 | Jun 2026 | 8 Weeks | Campus Internship
Tatkare's All In One Solutions | Junior Engineer | Kalwa,Thane | Sep 2022 | Oct 2022 | 4 Weeks
Dosti Group | Junior Engineer | Balkum , Thane | May 2019 | Jun 2019 | 5 Weeks</t>
  </si>
  <si>
    <t>P25700733</t>
  </si>
  <si>
    <t>KUSHAL</t>
  </si>
  <si>
    <t>WANKHEDE</t>
  </si>
  <si>
    <t>Kushal Ravindra Wankhede</t>
  </si>
  <si>
    <t>kp5635874@gmail.com</t>
  </si>
  <si>
    <t>p25700733@student.nicmar.ac.in</t>
  </si>
  <si>
    <t>5957 2753 0371</t>
  </si>
  <si>
    <t>RAVINDRA WANKHEDE</t>
  </si>
  <si>
    <t>BA</t>
  </si>
  <si>
    <t>GAYATRI WANKHEDE</t>
  </si>
  <si>
    <t>Plot No. 10 Dharmaraj Nagar Korit Road, Tal. Dist. Nandurbar Pin 425412</t>
  </si>
  <si>
    <t>EKLAVYA VIDYALAY, NANDURBAR</t>
  </si>
  <si>
    <t>J G NATAWADKAR COLLEGE, NANDURBAR</t>
  </si>
  <si>
    <t>SANDIP FOUNDATION, SANDIP INSTITUTE OF ENGINEERING AND MANAGEMENT, MAHIRAVANI, NASHIK</t>
  </si>
  <si>
    <t>Desai Construction Private Limited | Site Execution and Control | Vapi | May 2026 | Jul 2026 | 8 Weeks | Campus Internship
D V Patil Construction, Nandurbar | Road Construction | Nandurbar | Mar 2024 | Apr 2024 | 2 Weeks</t>
  </si>
  <si>
    <t>P25700734</t>
  </si>
  <si>
    <t>SONU</t>
  </si>
  <si>
    <t>Sonu Kumar</t>
  </si>
  <si>
    <t>sonu.kr_@outlook.com</t>
  </si>
  <si>
    <t>p25700734@student.nicmar.ac.in</t>
  </si>
  <si>
    <t>06-May-1998</t>
  </si>
  <si>
    <t>English,Hindi,Angika,French</t>
  </si>
  <si>
    <t>Exploring Nature,Watching movies and TV series,Intersted in geopolitical affairs,Infrastructure &amp; Urban development</t>
  </si>
  <si>
    <t>5318 5162 9754</t>
  </si>
  <si>
    <t>KISHOR KUMAR</t>
  </si>
  <si>
    <t>FARMERS CUM PVT TEACHER</t>
  </si>
  <si>
    <t>BOBY DEVI</t>
  </si>
  <si>
    <t>HOME MAKER CUM PVT TEACHER</t>
  </si>
  <si>
    <t>Ward 8 Naokothi Begusarai Bihar</t>
  </si>
  <si>
    <t>A P S HIGH SCHOOL NAOKOTHI</t>
  </si>
  <si>
    <t>BIHAR SCHOOL EXAMINATION BOARD</t>
  </si>
  <si>
    <t>S.S.M.R.J.D.I COLLEGE BISNUPURBEGUSARAI</t>
  </si>
  <si>
    <t>VIT UNIVERSITY VELLORE</t>
  </si>
  <si>
    <t>VELLORE INSTITUTE OF TECHNOLOGY,  VELLORE</t>
  </si>
  <si>
    <t>AutoCAD, Primavera P6, MS Project, CostX, Road Estimator, ERP, MS Office | Basic: Autodesk Revit (BIM), Navisworks, Civil 3D.</t>
  </si>
  <si>
    <t>Rajshyama Constructions Pvt Ltd | Engineer Billing Planning | Bikaner | Nov 2020 | Jan 2022 | 1 Years, 2 Months, 26 Days | 2.16
Arcons Infrastructures and Constructions Private Limited | Engineer Billing and Planning | Nagpur | Feb 2022 | Jul 2025 | 3 Years, 5 Months, 1 Days | 6</t>
  </si>
  <si>
    <t>55 month(s)</t>
  </si>
  <si>
    <t>NBCC (India) Limited | Project Intern | Greater Noida,West,Uttar Pradesh | May 2026 | Jul 2026 | 9 Weeks | Campus Internship
IOCL | Vocational Trainee  | BARAUNI  | Jun 2018 | Jul 2018 | 4 Weeks</t>
  </si>
  <si>
    <t>Finance for Everyone: Markets
Six Sigma Green Belt-By Kennesaw State University, Coursera
Introduction to Generative AI Learning Path by Google Cloud Training,Coursera
Planning &amp; Control with Oracle Primavera PPM Professional by Packt , Coursera
Construction Management: Safety and Health By LinkedIn Learning
Project Admin (Scholar) by digiQC
Ethics in Engineering Practice by NPTEL
Construction Techniques and Practices by L&amp;T EduTech, Coursera
Career Success Specialization Online course by UC Irvine, Coursera</t>
  </si>
  <si>
    <t>P25700735</t>
  </si>
  <si>
    <t>KHILWANI</t>
  </si>
  <si>
    <t>Nandini Khilwani</t>
  </si>
  <si>
    <t>khilwani.nandini@gmail.com</t>
  </si>
  <si>
    <t>p25700735@student.nicmar.ac.in</t>
  </si>
  <si>
    <t>ENGLISH, HINDI, MARATHI, SINDHI</t>
  </si>
  <si>
    <t>5394 9961 0042</t>
  </si>
  <si>
    <t>SANJAY KHILWANI</t>
  </si>
  <si>
    <t>TAX CONSULTANT</t>
  </si>
  <si>
    <t>ARCHANA KHILWANI</t>
  </si>
  <si>
    <t>443 TREASURE TOWN_x000D_
BIJALPUR</t>
  </si>
  <si>
    <t>THE NEW DIGAMBER PUBLIC SCHOOL</t>
  </si>
  <si>
    <t>ANNIE BESANT SCHOOL</t>
  </si>
  <si>
    <t>SCHOOL OF ARCHITECTURE, IPS ACADEMY, INDORE</t>
  </si>
  <si>
    <t>AutoCAD,MS Office,MS Project,Photoshop,Sketchup,Vray,Enscape,Revit,Rhino &amp; Grasshopper,Lumion</t>
  </si>
  <si>
    <t>ARCHITECT RUSHIKESH H. | Junior Architect | Mumbai | Jul 2024 | Jul 2025 | 1 Years, 0 Months, 21 Days | 3.39
The Synetics Design Studio | Part-time Junior Architect | Indore, Madhya Pradesh | Apr 2022 | Mar 2023 | 0 Years, 11 Months, 30 Days | 1.44</t>
  </si>
  <si>
    <t>Ashoka Builders India Private Limited | Intern | Hyderabad | May 2026 | Jul 2026 | 8 Weeks | Campus Internship
Bhaskar Wagle &amp; Associates | Full-time Intern | Panjim, Goa | Jun 2023 | Nov 2023 | 24 Weeks</t>
  </si>
  <si>
    <t>P25700736</t>
  </si>
  <si>
    <t>ANANDKUMAR</t>
  </si>
  <si>
    <t>KOLI</t>
  </si>
  <si>
    <t>Omkar Anandkumar Koli</t>
  </si>
  <si>
    <t>omkarkoli7298@gmail.com</t>
  </si>
  <si>
    <t>p25700736@student.nicmar.ac.in</t>
  </si>
  <si>
    <t>07-Feb-1998</t>
  </si>
  <si>
    <t>3526 8232 7070</t>
  </si>
  <si>
    <t>ANANDKUMAR SATYAPPA KOLI</t>
  </si>
  <si>
    <t>RETIRED GOVERNMENT OFFICER(EXECUTIVE ENGINEER)</t>
  </si>
  <si>
    <t>BHAGYASHREE ANANDKUMAR KOLI</t>
  </si>
  <si>
    <t>B-302,radhakrishna Complex,sector-12,plot-29,kharghar, Navi Mumbai</t>
  </si>
  <si>
    <t>BAL BHARATI PUBLIC SCHOOL</t>
  </si>
  <si>
    <t>CBSE , NAVI MUMBAI</t>
  </si>
  <si>
    <t>GREENFINGERS GLOBAL SCHOOL</t>
  </si>
  <si>
    <t>CBSE ,NAVI MUMBAI</t>
  </si>
  <si>
    <t>PILLAI HOC COLLEGE OF ENGINEERING &amp; TECHNOLOGY , MAHARASHTRA</t>
  </si>
  <si>
    <t>Planext &amp; planhigh | Strategic business development and analytics  | Thane | May 2026 | Jul 2026 | 8 Weeks | Campus Internship
PUBLIC WORKS DEPARTMENT(GOVERNMENT OF MAHARASHTRA) | Trainee | mumbai | Jun 2019 | Jul 2019 | 4 Weeks</t>
  </si>
  <si>
    <t>P25700737</t>
  </si>
  <si>
    <t>SAMPAT</t>
  </si>
  <si>
    <t>SHEDGE</t>
  </si>
  <si>
    <t>Aishwarya Sampat Shedge</t>
  </si>
  <si>
    <t>aishwaryashedge18@gmail.com</t>
  </si>
  <si>
    <t>p25700737@student.nicmar.ac.in</t>
  </si>
  <si>
    <t>18-Apr-1999</t>
  </si>
  <si>
    <t>English HIndi Marathi</t>
  </si>
  <si>
    <t>5041 9178 1106</t>
  </si>
  <si>
    <t>Chandrangan Society Phase 5 Flat No. 24 Ambegaon Pathar</t>
  </si>
  <si>
    <t>BHARATI VIDYAPEETH ENGLISH MEDIUM SCHOOL</t>
  </si>
  <si>
    <t>PUNE CAMBRIDGE PUBLIC SCHOOL &amp; JUNIOR COLLEGE</t>
  </si>
  <si>
    <t>BHIVRABAI SAWANT COLLEGE OF ENGINEERING &amp; RESEARCH, NARHE PUNE</t>
  </si>
  <si>
    <t>ACME STRUCTURAL CONSULTANTS | Trainee Design Engineer  | PUNE | Aug 2024 | Jul 2025 | 0 Years, 11 Months, 20 Days | 1.8</t>
  </si>
  <si>
    <t>Ahluwalia Contracts (India) Limited | Project Planning | Mumbai | May 2026 | Jun 2026 | 8 Weeks | Campus Internship
ACME STRUCTURAL CONSULTANTS | DESIGN ENGINEER TRAINEE | PUNE | Jan 2023 | Apr 2023 | 13 Weeks</t>
  </si>
  <si>
    <t>P25700739</t>
  </si>
  <si>
    <t>SIDDHI</t>
  </si>
  <si>
    <t>HANWATE</t>
  </si>
  <si>
    <t>Siddhi Kishor Hanwate</t>
  </si>
  <si>
    <t>siddhihanwate2003@gmail.com</t>
  </si>
  <si>
    <t>p25700739@student.nicmar.ac.in</t>
  </si>
  <si>
    <t>15-Jul-2003</t>
  </si>
  <si>
    <t>4540 6333 2065</t>
  </si>
  <si>
    <t>Shewanta Park Lane No 2 Near Bharat Dhaba Dhanori Pune-411015</t>
  </si>
  <si>
    <t>AGRASEN HIGH SCHOOL</t>
  </si>
  <si>
    <t>NOWROSJEE WADIA COLLEGE PUNE 411 001</t>
  </si>
  <si>
    <t>MAHARASHTRA HIGHER SECONDARY CERTIFICATE EXAMINATION</t>
  </si>
  <si>
    <t>ALL INDIA SHRI SHIVAJI MEMORIAL SOCIETY'S  COLLEGE OF ENGINEERING , PUNE 411001</t>
  </si>
  <si>
    <t xml:space="preserve">AutoCAD, MS Office, MS Project, Primavera P6, Microsoft Excel, Revit, Navisworks, Power BI </t>
  </si>
  <si>
    <t>BOXOFFICE SPACE  | EXECUTION INTERN  | Pune  | May 2026 | Jul 2026 | 8 Weeks | Campus Internship
Haardhik Impulse | Junior engineer Intern | Moshi Pune  | Dec 2023 | Jan 2024 | 4 Weeks</t>
  </si>
  <si>
    <t>Data Analysis
Project Admin (Scholar) DigiQc
NPTEL Ethics in Engineering Practice (Elite)
NPTEL Structural Analysis
Finance for Non-Financial Managers</t>
  </si>
  <si>
    <t>P25700740</t>
  </si>
  <si>
    <t>YUKTA</t>
  </si>
  <si>
    <t>Yukta Ramchandra Shinde</t>
  </si>
  <si>
    <t>yuktashinde1234@gmail.com</t>
  </si>
  <si>
    <t>p25700740@student.nicmar.ac.in</t>
  </si>
  <si>
    <t>03-Jan-2000</t>
  </si>
  <si>
    <t>7596 1178 2286</t>
  </si>
  <si>
    <t>RAMCHANDRA SOPAN SHINDE</t>
  </si>
  <si>
    <t>SHOBHANA RAMCHANDRA SHINDE</t>
  </si>
  <si>
    <t>MUKTAI ROWHOUSE NO 4 SR NO 61/1A VEDANT KUNJIR COLONY PIMPLE SAUDAGAR PUNE 411027</t>
  </si>
  <si>
    <t>DR KALMADI SHAMARAO HIGH SCHOOL</t>
  </si>
  <si>
    <t>NOWROSJEE WADIA COLLEGE</t>
  </si>
  <si>
    <t>SAVITRI BAI PHULE UNIVERSITY</t>
  </si>
  <si>
    <t>PIMPRI CHINCHWAD COLLEGE OF ENGINEERING AND REASEARCH</t>
  </si>
  <si>
    <t>AutoCAD,MS Office,REVIT,STADDPRO</t>
  </si>
  <si>
    <t>Godrej Properties  | Operations Costing and Budgeting | Mumbai  | May 2026 | Jul 2026 | 8 Weeks | Campus Internship</t>
  </si>
  <si>
    <t>P25700741</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</si>
  <si>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</si>
  <si>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</si>
  <si>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</si>
  <si>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</si>
  <si>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</si>
  <si>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</si>
  <si>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</si>
  <si>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</si>
  <si>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</si>
  <si>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Bankatswami Nagar, Canal Road, Near ABC Kids School, Beed.</t>
  </si>
  <si>
    <t>SHRI SHIVAJI VIDYALAYA, BEED.</t>
  </si>
  <si>
    <t>BEED/MAHARASHTRA</t>
  </si>
  <si>
    <t>SHRI BANKATSWAMI MAHAVIDYALAYA, BEED.</t>
  </si>
  <si>
    <t>BEED/MAHARASTRA</t>
  </si>
  <si>
    <t>JSPM'S RAJARSHI SHAHU COLLEGE OF ENGINEERING, PUNE-033.</t>
  </si>
  <si>
    <t>AutoCAD,MS Office,MS Project,Primavera,Stadd pro,CostX,Revit,Naviswork</t>
  </si>
  <si>
    <t>Sankalp Contracts Private Limited | Junior Engineer | Y1Et Hinjewadi Phase 2 | May 2024 | Jul 2025 | 1 Years, 2 Months, 29 Days | 4.1</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</si>
  <si>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</si>
  <si>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</si>
  <si>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P25700742</t>
  </si>
  <si>
    <t>HRISHIKESH</t>
  </si>
  <si>
    <t>RAVIRAO</t>
  </si>
  <si>
    <t>GHOGARE</t>
  </si>
  <si>
    <t>Hrishikesh Ravirao Ghogare</t>
  </si>
  <si>
    <t>hrishighogare44@gmail.com</t>
  </si>
  <si>
    <t>p25700742@student.nicmar.ac.in</t>
  </si>
  <si>
    <t>03-Jan-2001</t>
  </si>
  <si>
    <t>3807 2156 4932</t>
  </si>
  <si>
    <t>RAVIRAO BHASKARAO GHOGARE</t>
  </si>
  <si>
    <t>Dr. Ghogare Hospital Opposite SBI Bank Rahata, Nagar Manmad Highway, Rahata</t>
  </si>
  <si>
    <t>PRAVARA PUBLIC SCHOOL</t>
  </si>
  <si>
    <t>UPADHYE COLLEGE OF SCIENCE</t>
  </si>
  <si>
    <t>SAVITRIBAI PHULE PUNE UNIVERSITY, PUNE, MAHARASHTRA</t>
  </si>
  <si>
    <t>PRAVARA RURAL EDUCATION SOCIETY'S COLLEGE OF ARCHITECTURE</t>
  </si>
  <si>
    <t>AutoCAD,MS Office,MS Project,Revit,3D Max,SketchUp,Photoshop</t>
  </si>
  <si>
    <t>interarch Associates | Jr. Architect | Nashik | Aug 2022 | Nov 2022 | 13 Weeks</t>
  </si>
  <si>
    <t>P25700743</t>
  </si>
  <si>
    <t>Ashwini Rajesh Shinde</t>
  </si>
  <si>
    <t>ashwinishindeas7@gmail.com</t>
  </si>
  <si>
    <t>p25700743@student.nicmar.ac.in</t>
  </si>
  <si>
    <t>07-Jul-1999</t>
  </si>
  <si>
    <t>ENGLISH,HINDI, MARATHI</t>
  </si>
  <si>
    <t>9243 3997 6683</t>
  </si>
  <si>
    <t>SANGEETA</t>
  </si>
  <si>
    <t>Hotel Matoshree Executive, Kaswaji Road, Poonam Chowk Near Union Bank</t>
  </si>
  <si>
    <t>VIDYA NIKETAN HIGH SCHOOL ,PANCHGANI</t>
  </si>
  <si>
    <t>D.Y.PATIL SCHOOL OF ARCHITECTURE, AMBI,PUNE</t>
  </si>
  <si>
    <t>AutoCAD,MS Office,MS Project,Enscape,photoshop,ms tools,Sketchup</t>
  </si>
  <si>
    <t>Kalpataru limited | Planning  | Santacruz E, Mumbai | May 2026 | Jul 2026 | 9 Weeks | Campus Internship
LIVSPACE | INTERIOR DESIGNER  | PUNE | Jan 2024 | Sep 2024 | 32 Weeks
PROJECT ARCHITECTS | ARCHITECT | PASHAN, PUNE | Jul 2022 | Dec 2022 | 19 Weeks</t>
  </si>
  <si>
    <t>P25700744</t>
  </si>
  <si>
    <t>AMAAN</t>
  </si>
  <si>
    <t>RIYAJAHMED</t>
  </si>
  <si>
    <t>Amaan Riyajahmed Attar</t>
  </si>
  <si>
    <t>amaanattar0157@gmail.com</t>
  </si>
  <si>
    <t>p25700744@student.nicmar.ac.in</t>
  </si>
  <si>
    <t>12-Sep-2002</t>
  </si>
  <si>
    <t>2660 2745 5514</t>
  </si>
  <si>
    <t>PARVIN</t>
  </si>
  <si>
    <t>B506 , ATRIUM SKYWARD UNDRI</t>
  </si>
  <si>
    <t>202, S B PEACE CORNER, ASARA CHOWK , Solapur</t>
  </si>
  <si>
    <t>CHHATRAPATI SHIVAJI MAHARAJ COLLEGE OF ARTS AND SCIENCE</t>
  </si>
  <si>
    <t>DR BABASAHEB AMBEDKAR TECHNOLOGICAL UNIVERSITY</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</si>
  <si>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</si>
  <si>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</si>
  <si>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</si>
  <si>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P25700745</t>
  </si>
  <si>
    <t>RAMHARI</t>
  </si>
  <si>
    <t>NISHAD</t>
  </si>
  <si>
    <t>Rahul Ramhari Nishad</t>
  </si>
  <si>
    <t>rahul942374@gmail.com</t>
  </si>
  <si>
    <t>p25700745@student.nicmar.ac.in</t>
  </si>
  <si>
    <t>ENGLISH, MARATHI, HINDI &amp; JAPANESE</t>
  </si>
  <si>
    <t>6398 8151 7233</t>
  </si>
  <si>
    <t>RAMHARI NISHAD</t>
  </si>
  <si>
    <t>743/2b 4th Lane Shahupuri Kolhapur</t>
  </si>
  <si>
    <t>SEVENTH DAY ADVENTIST HIGHER SECONDARY ISCE / ISC SCHOOL</t>
  </si>
  <si>
    <t>KOLHAPUR / MAHARASHTRA</t>
  </si>
  <si>
    <t>HANUMANT RAO CHATE JR COLLEGE</t>
  </si>
  <si>
    <t>D Y PATIL COLLEGE OF ENGINEERING AND TECHNOLOGY</t>
  </si>
  <si>
    <t>Primavera,Sketch Up,Revit,AutoCAD,MS Office,MS Project,Adobe Photoshop,Adobe Premiere Pro,Adobe After Effects</t>
  </si>
  <si>
    <t>Neelkanth Builders | Site Engineer | Kolhapur, Maharashtra | Aug 2023 | Jul 2025 | 1 Years, 11 Months, 30 Days | 1.52</t>
  </si>
  <si>
    <t>Basil Homes | Project Management Intern | Pune | May 2026 | Jul 2026 | 9 Weeks | Campus Internship</t>
  </si>
  <si>
    <t>District &amp; Zonal Sports
NPTEL Ethics
NPTEL German</t>
  </si>
  <si>
    <t>P25700746</t>
  </si>
  <si>
    <t>FATIMA</t>
  </si>
  <si>
    <t>BACHA</t>
  </si>
  <si>
    <t>Fatima Bacha</t>
  </si>
  <si>
    <t>fbacha174@gmail.com</t>
  </si>
  <si>
    <t>p25700746@student.nicmar.ac.in</t>
  </si>
  <si>
    <t>English, Hindi , Urdu , Kashmiri</t>
  </si>
  <si>
    <t>Reading,Travelling</t>
  </si>
  <si>
    <t>7240 1309 8490</t>
  </si>
  <si>
    <t>GUL MUHAMMAD BACHA</t>
  </si>
  <si>
    <t>REHANA AKHTAR</t>
  </si>
  <si>
    <t>Upper Ashpeer Sopore</t>
  </si>
  <si>
    <t>Baramulla</t>
  </si>
  <si>
    <t>Srinagar</t>
  </si>
  <si>
    <t>ST.JOSEPH'S HIGHER SECONDARY SCHOOL</t>
  </si>
  <si>
    <t>THE JAMMU AND KASHMIR STATE BOARD</t>
  </si>
  <si>
    <t>2015-Nov</t>
  </si>
  <si>
    <t>2016-Nov</t>
  </si>
  <si>
    <t>2018-Nov</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</si>
  <si>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</si>
  <si>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</si>
  <si>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</si>
  <si>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 Years, 11 Months, 25 Days | 3.6</t>
  </si>
  <si>
    <t>KPMG India | Summer Intern- Transformation-MPA | Mumbai | May 2026 | Jun 2026 | 7 Weeks | Campus Internship
R&amp;B Public Works Department | Student Intern | Sopore, Jammu&amp; Kashmir ,India | Aug 2023 | Sep 2023 | 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</si>
  <si>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</si>
  <si>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P25700747</t>
  </si>
  <si>
    <t>VISHAL</t>
  </si>
  <si>
    <t>Vishal Vinod Mishra</t>
  </si>
  <si>
    <t>vishalmishraji02@gmail.com</t>
  </si>
  <si>
    <t>p25700747@student.nicmar.ac.in</t>
  </si>
  <si>
    <t>5146 2667 3369</t>
  </si>
  <si>
    <t>VINOD MISHRA</t>
  </si>
  <si>
    <t>MEERA MISHRA</t>
  </si>
  <si>
    <t>103 -A Wing Dharma Galaxy Gurawalipada Titwala East</t>
  </si>
  <si>
    <t>I.E.S NEW ENGLISH SCHOOL</t>
  </si>
  <si>
    <t>PATUCK COLLEGE OF SCIENCE</t>
  </si>
  <si>
    <t>VIVA COLLEGE</t>
  </si>
  <si>
    <t>A. P. SHAH INSTITUTE OF TECHNOLOGY THANE</t>
  </si>
  <si>
    <t>AutoCAD,GIS,MS Office,MS Project,Primavera, Revit.</t>
  </si>
  <si>
    <t>JAY ENTERPRISES construction and engineering | Junior Site Engineer  | Thane/Dombivali | May 2023 | Jul 2024 | 1 Years, 2 Months, 12 Days | 1.8
Puneet Urban Scpaces | Junior Engineer | Kurla  | Aug 2024 | Jul 2025 | 0 Years, 11 Months, 17 Days | 4.2</t>
  </si>
  <si>
    <t>GOUR ROAD TAR COAT PVT. LTD. | Project Management Intern | Jabalpur | May 2026 | Jul 2026 | 8 Weeks | Campus Internship
GAUR ROAD TAR COAT PVT. LTD. | Junior engineer | Jabalpur | May 2021 | Aug 2021 | 14 Weeks
SANJAY CONSTRUCTION | JUNIOR ENGINEER  | VIRAR | May 2019 | Aug 2019 | 15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</si>
  <si>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</si>
  <si>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P25700748</t>
  </si>
  <si>
    <t>BATHARAJU</t>
  </si>
  <si>
    <t>Batharaju Rakesh</t>
  </si>
  <si>
    <t>rakeshbatharaju@gmail.com</t>
  </si>
  <si>
    <t>p25700748@student.nicmar.ac.in</t>
  </si>
  <si>
    <t>25-Oct-2000</t>
  </si>
  <si>
    <t>ENGLISH,HINDHI,TELUGU</t>
  </si>
  <si>
    <t>5917 0123 8559</t>
  </si>
  <si>
    <t>BATHARAJU SAILU</t>
  </si>
  <si>
    <t>BATHARAJU VIJAYALAXMI</t>
  </si>
  <si>
    <t>Flat.no.201,ashtalakshmi Residency ,margadharshini Colony Rdno.6, Kothapet</t>
  </si>
  <si>
    <t>DILSHUKNAGAR PUBLIC  SCHOOL</t>
  </si>
  <si>
    <t>BOARD OF SECONDARY EDUCATION : TELANGANA</t>
  </si>
  <si>
    <t>CHURCH OF SOUTH INDIAN INSTITUTE OF TECHNOLOGY</t>
  </si>
  <si>
    <t>AutoCAD, MS Office, MS Project, Primavera, Photoshop, Enscape, Sketchup, Revit, Adobe Premiere Pro, Canva, Lumion, PowerPoint</t>
  </si>
  <si>
    <t>VMV CONSULTANTS | Jr .Architect | hyderabad | Aug 2023 | Sep 2024 | 1 Years, 1 Months, 8 Days | 3</t>
  </si>
  <si>
    <t>CITRA ASSOCIATES INFRA STUDIO PRIVATE LIMITED | Sr.Architect| Design And Execution Intern | Project Coordination | Hyderabad | May 2026 | Jul 2026 | 8 Weeks | Campus Internship
aparna consultants | Jr.Architect | Hyderabad | Aug 2022 | Jan 2023 | 19 Weeks</t>
  </si>
  <si>
    <t>sketchup and lumion software.</t>
  </si>
  <si>
    <t>P25700749</t>
  </si>
  <si>
    <t>BHURA</t>
  </si>
  <si>
    <t>Rohit Bhura Patil</t>
  </si>
  <si>
    <t>rohitbp1801@gmail.com</t>
  </si>
  <si>
    <t>p25700749@student.nicmar.ac.in</t>
  </si>
  <si>
    <t>07-Nov-2001</t>
  </si>
  <si>
    <t>8068 7848 6231</t>
  </si>
  <si>
    <t>BHURA INDA PATIL</t>
  </si>
  <si>
    <t>Plot No. 22 Gokarn Society Deopur Dhule. Maharashtra</t>
  </si>
  <si>
    <t>SSS PARIWAR HIFH SCHOOL AARVI DHULE</t>
  </si>
  <si>
    <t>SAVITRIBAI PHULE PUNE UNIVERSITY , PUNE , MAHARASHTRA</t>
  </si>
  <si>
    <t>SINHGAD ACADEMY OF ENGINEERING , PUNE MAHARASHTRA .</t>
  </si>
  <si>
    <t>AutoCAD,MS Office,MS Project,Primavera,Excel,Costx,Revit,BIM</t>
  </si>
  <si>
    <t>Cognizant Technology Solutions India Private Limited | Programmer Analyst | pune | Dec 2023 | Aug 2025 | 1 Years, 8 Months, 17 Days | 4.31</t>
  </si>
  <si>
    <t>New Consolidated Construction Co. Ltd. | Civil Intern | Seawoods , Navi Mumbai  | May 2026 | Jul 2026 | 8 Weeks | Campus Internship
COGNIZANT TECHNOLOGY SOLUTIONS INDIA PRIVATE LIMITED | GEN-C | CHENNAI | Sep 2023 | Dec 2023 | 10 Weeks
Mahalaxmi Developer | Intern  | Saswad | Mar 2022 | Apr 2022 | 6 Weeks</t>
  </si>
  <si>
    <t>P25700750</t>
  </si>
  <si>
    <t>PALAK</t>
  </si>
  <si>
    <t>VITHLANI</t>
  </si>
  <si>
    <t>Palak Hitesh Vithlani</t>
  </si>
  <si>
    <t>palvithlani7@gmail.com</t>
  </si>
  <si>
    <t>p25700750@student.nicmar.ac.in</t>
  </si>
  <si>
    <t>7275 1355 7053</t>
  </si>
  <si>
    <t>HITESH VITHLANI</t>
  </si>
  <si>
    <t>RAKHI VITHLANI</t>
  </si>
  <si>
    <t>Tilak Society, Veraval</t>
  </si>
  <si>
    <t>Gir Somnath</t>
  </si>
  <si>
    <t>THE ADITYA BIRLA PUBLIC SCHOOL, VERAVAL</t>
  </si>
  <si>
    <t>NIOS</t>
  </si>
  <si>
    <t>LOK JAGRUTI KENDRA UNIVERSITY, AHMEDABAD</t>
  </si>
  <si>
    <t>L.J.SCHOOL OF ARCHITECTURE, AHMEDABAD</t>
  </si>
  <si>
    <t xml:space="preserve">AutoCAD, MS Office, MS Project, Primavera, SketchUp , Photoshop, Lumion , Civil 3D </t>
  </si>
  <si>
    <t>BHAJAN INFRATECH PVT. LTD. | Project Manager Intern | Surat | May 2026 | Jun 2026 | 7 Weeks | Campus Internship
ARCHIMEDES CONSULTANT PVT LTD | INTERN | AHMEDABAD | Jan 2025 | Apr 2025 | 13 Weeks
TRANQUIL , THE DESIGN WAVE | INTERN | AHMEDABAD | Jun 2023 | Oct 2023 | 19 Weeks</t>
  </si>
  <si>
    <t>AI in Project Management
Agile Project Management Foundation
Power BI Essential Training, by Gini von Courter
Construction Finance Fundamentals
Project Management: Energy and Water Projects</t>
  </si>
  <si>
    <t>P25700751</t>
  </si>
  <si>
    <t>BORATE</t>
  </si>
  <si>
    <t>Soham Dashrath Borate</t>
  </si>
  <si>
    <t>boratesoham1@gmail.com</t>
  </si>
  <si>
    <t>p25700751@student.nicmar.ac.in</t>
  </si>
  <si>
    <t>18-Feb-2004</t>
  </si>
  <si>
    <t>8236 8680 6233</t>
  </si>
  <si>
    <t>Malawadi Subdistrict:Man</t>
  </si>
  <si>
    <t>MIT VISHWASHANTI GURUKUL SCHOOL PANDHARPUR</t>
  </si>
  <si>
    <t>KOTA COLLEGE OF SCIENCE KARAD</t>
  </si>
  <si>
    <t>MAHARASHTRA STATE BOARD OF SECONDARY AND HIGHER SECONDARY BOARD</t>
  </si>
  <si>
    <t>SAVITRIBAI PHULE PUNE UNIVESSITY</t>
  </si>
  <si>
    <t>DY PATIL COLLEGE OF ENGINEERING AKURDI</t>
  </si>
  <si>
    <t>Navkarmik Infra | Project Planning  And Execution Intern | Mumbai | May 2026 | Jul 2026 | 8 Weeks | Campus Internship
Omkar Construction Vaduj | Site Engineer | Satara | Dec 2023 | Jan 2024 | 6 Weeks</t>
  </si>
  <si>
    <t>Becoming an SAP Professional
Data Analysis
Construction Equipment Maintenance &amp; Safety
Finance for Non-Financial Managers</t>
  </si>
  <si>
    <t>P25700752</t>
  </si>
  <si>
    <t>MAHALAKSHMI</t>
  </si>
  <si>
    <t>BIDARI</t>
  </si>
  <si>
    <t>Mahalakshmi Prakash Bidari</t>
  </si>
  <si>
    <t>pbmaha5141@gmail.com</t>
  </si>
  <si>
    <t>p25700752@student.nicmar.ac.in</t>
  </si>
  <si>
    <t>ENGLISH,KANNADA,HINDI</t>
  </si>
  <si>
    <t>5646 4179 6055</t>
  </si>
  <si>
    <t>PRAKASH BIDARI</t>
  </si>
  <si>
    <t>NAYANA BIDARI</t>
  </si>
  <si>
    <t>House No887 Near Shivalaya Ramtheerth Nagar Belgaum</t>
  </si>
  <si>
    <t>KITTUR RANI CHANNAMMA RESIDENTIAL SAINIK SCHOOL</t>
  </si>
  <si>
    <t>MAHESH PU COLLEGE BELGAUM</t>
  </si>
  <si>
    <t>GOVT. OF KARNATAKA, DEPARTMENT OF PRE-UNIVERSITY EDUCATION, KARNATAKA</t>
  </si>
  <si>
    <t>VISHVESVARAYA TECHNOLOGICAL UNIVERSITY,BELGAUM</t>
  </si>
  <si>
    <t>GOGTE INSTITUTE OF TECHNOLOGY BELGAUM</t>
  </si>
  <si>
    <t>AUTOCAD,MS OFFICE,SKETCHUP,LUMION,PHOTOSHOP,CANVA,MSP,MS word,PRIMEVERA</t>
  </si>
  <si>
    <t>Suryapriya Construction Private Limited | Project Management . | Banglore | May 2026 | Jul 2026 | 8 Weeks | Campus Internship
Khuba Architects | Mahalakshmi P Bidari | Banglore | Feb 2023 | Jun 2023 | 15 Weeks</t>
  </si>
  <si>
    <t>UI/UX</t>
  </si>
  <si>
    <t>P25700753</t>
  </si>
  <si>
    <t>VISPUTE</t>
  </si>
  <si>
    <t>Ajinkya Umakant Vispute</t>
  </si>
  <si>
    <t>ajinkyavispute2001@gmail.com</t>
  </si>
  <si>
    <t>p25700753@student.nicmar.ac.in</t>
  </si>
  <si>
    <t>23-Apr-2001</t>
  </si>
  <si>
    <t>5350 8438 0096</t>
  </si>
  <si>
    <t>UMAKANT VIJAY VISPUTE</t>
  </si>
  <si>
    <t>SWATI UMAKANT VISPUTE</t>
  </si>
  <si>
    <t>CONSULTANT</t>
  </si>
  <si>
    <t>FLAT NO.3 BUILDING NO, F1 GIRIJA SHANKAR VIHAR SOCIETY, KARVE NAGAR PUNE</t>
  </si>
  <si>
    <t>Flat No. 3 Anand Majestry Rundavan Colony Ambad Link Road Nashik</t>
  </si>
  <si>
    <t>BOYS' TOWN PUBLIC SCHOOL</t>
  </si>
  <si>
    <t>2007-Mar</t>
  </si>
  <si>
    <t>NASHIK MAHARASHTRA</t>
  </si>
  <si>
    <t>SINHGAD INSTITUTE OF TECHNOLOGY AND SCIENCE NARHE, PUNE, MAHARASHTRA</t>
  </si>
  <si>
    <t xml:space="preserve">MS Project, AutoCAD, STAAD Pro. </t>
  </si>
  <si>
    <t>Millennium Engineers and Contractors Pvt. Ltd Pune | Site Execution  | Baner Pune Maharashtra | Apr 2024 | Aug 2025 | 1 Years, 3 Months, 27 Days | 3.9</t>
  </si>
  <si>
    <t>Colliers International (India) Property Services Private Limited | Project Management Intern | Pune | May 2026 | Jul 2026 | 8 Weeks | Campus Internship</t>
  </si>
  <si>
    <t>P25700754</t>
  </si>
  <si>
    <t>THITE</t>
  </si>
  <si>
    <t>Jay Dnyaneshwar Thite</t>
  </si>
  <si>
    <t>jaythite1000@gmail.com</t>
  </si>
  <si>
    <t>p25700754@student.nicmar.ac.in</t>
  </si>
  <si>
    <t>26-Dec-2000</t>
  </si>
  <si>
    <t>3018 0343 9784</t>
  </si>
  <si>
    <t>A/p. Bhose (k), Tal. Pandharpur, Dist. Solapur</t>
  </si>
  <si>
    <t>YASHWANT VIDHYALAYA BHOSE</t>
  </si>
  <si>
    <t>KARMAVEER BHAURAO PATIL MAHAVIDYALAYA, PANDHARPUR</t>
  </si>
  <si>
    <t>D. Y. PATIL COLLEGE OF ENGINEERING &amp; TECHNOLOGY, KASABA BAWADA, KOLHAPUR</t>
  </si>
  <si>
    <t xml:space="preserve">AutoCAD,MS Office,MS Project,Primavera </t>
  </si>
  <si>
    <t>B. G. Shirke Construction Technology Pvt Ltd, Pune | Trainee Engineer- Civil | Tathawade Phase 2, Pune | Nov 2023 | Mar 2024 | 0 Years, 4 Months, 30 Days | 1.92
Pragati Construction, Pune | Junior Engineer | Akkalkot, Solapur | Apr 2024 | Jul 2025 | 1 Years, 3 Months, 14 Days | 3.6</t>
  </si>
  <si>
    <t>Larsen &amp; Toubro Energy Hydrocarbon (LTEH) | Construction Management Intern | L&amp;T Knowledge City, Vadodara, Gujarat | May 2026 | Jun 2026 | 8 Weeks | Campus Internship</t>
  </si>
  <si>
    <t>P25700755</t>
  </si>
  <si>
    <t>NILESH</t>
  </si>
  <si>
    <t>NIKHADE</t>
  </si>
  <si>
    <t>Nilesh Dilip Nikhade</t>
  </si>
  <si>
    <t>nileshnikhade2019@gmail.com</t>
  </si>
  <si>
    <t>p25700755@student.nicmar.ac.in</t>
  </si>
  <si>
    <t>23-May-2000</t>
  </si>
  <si>
    <t>6443 3345 4905</t>
  </si>
  <si>
    <t>NICMAR UNIVERSITY, BALEWADI, PUNE.</t>
  </si>
  <si>
    <t>Vaijapur Gramin 1, Vaijapur Rural, Aurangabad,vaijapur.</t>
  </si>
  <si>
    <t>NEW HIGH SCHOOL, VAIJAPUR.</t>
  </si>
  <si>
    <t>SANJIVANI COLLEGE OF ENGINEERING, KOPARGAON, MAHARASHTRA</t>
  </si>
  <si>
    <t>SINHAGAD ACADEMY OF ENGINEERING, KONDHWA, MAHARASHTRA.</t>
  </si>
  <si>
    <t>AutoCAD,MS Office,MS Project,Primavera,Cost X,BIM</t>
  </si>
  <si>
    <t>Amazon Development Centre (India) Private Limited | Product Compliance Associate â€“ TSE | Pune  | Jul 2022 | Jan 2025 | 2 Years, 6 Months, 18 Days | 5.8</t>
  </si>
  <si>
    <t>B.B. Lahamge Government Contractor  | Project Planning | Vaijapur | May 2026 | Jul 2026 | 9 Weeks</t>
  </si>
  <si>
    <t>P25700281</t>
  </si>
  <si>
    <t>SAROJ</t>
  </si>
  <si>
    <t>Atul Vinod Saroj</t>
  </si>
  <si>
    <t>atulsaroj85@gmail.com</t>
  </si>
  <si>
    <t>p25700281@student.nicmar.ac.in</t>
  </si>
  <si>
    <t>13-May-1998</t>
  </si>
  <si>
    <t>2763 2199 9288</t>
  </si>
  <si>
    <t>VINOD SAROJ</t>
  </si>
  <si>
    <t>SHEELA VINOD SAROJ</t>
  </si>
  <si>
    <t>Room No. 306 Jivdani Darshan Building, Opppsite Mehta Pharmaceutical Industries Kopri Naka, Virar East.</t>
  </si>
  <si>
    <t>NEW MODEL ENGLISH HIGH SCHOOL</t>
  </si>
  <si>
    <t>PATUCK TECHNICAL HIGH SCHOOL &amp; JR. COLLEGE</t>
  </si>
  <si>
    <t>DIPLOMA IN CIVIL ENGIINEERING</t>
  </si>
  <si>
    <t>LOVELY PROFESSIONAL UNIVERSITY, PHAGWARA/PUNJAB</t>
  </si>
  <si>
    <t>LOVELY PROFESSIONAL UNIVERSITY</t>
  </si>
  <si>
    <t>AutoCAD,P6,CostX,MS Project,Revit Arch,Staad Pro,Navis work,DGQC,MS Excel</t>
  </si>
  <si>
    <t>Umiya Associates | Junior Engineer | Mumbai | Jul 2022 | Jun 2025 | 2 Years, 11 Months, 5 Days | 4.44
Xpressbees | Associate Executive-Admin | Surat | Apr 2021 | Jul 2022 | 1 Years, 3 Months, 20 Days | 2.4</t>
  </si>
  <si>
    <t>New Consolidated Construction Company Limited (NCCCL) | Intern-Planning | Mumbai Maharashtra | May 2026 | Jul 2026 | 8 Weeks | Campus Internship</t>
  </si>
  <si>
    <t>P25700325</t>
  </si>
  <si>
    <t>JAMGADE</t>
  </si>
  <si>
    <t>Harsh Sunil Jamgade</t>
  </si>
  <si>
    <t>harshjamgade03@gmail.com</t>
  </si>
  <si>
    <t>p25700325@student.nicmar.ac.in</t>
  </si>
  <si>
    <t>03-Apr-2002</t>
  </si>
  <si>
    <t>ENGLISH, MARATHI, AND HINDI</t>
  </si>
  <si>
    <t>2812 0492 1127</t>
  </si>
  <si>
    <t>SHAH LAYOUT, FETRI, KALMESHWAR ROAD, NAGPUR 441501</t>
  </si>
  <si>
    <t>WARD NO.1 MAHURZARI KALMESWAR ROAD NAGPUR RURAL</t>
  </si>
  <si>
    <t>BHAVAN'S B.P. VIDYA MANDIR, ASHTI</t>
  </si>
  <si>
    <t>CENTRAL BOARD OF SECONDARY EDUCATION (CBSE),NEW DELHI</t>
  </si>
  <si>
    <t>CENTRAL BOARD OF SECONDARY EDUCATION (CBSE), NEW DELHI</t>
  </si>
  <si>
    <t>YESHWANTRAO CHAVAN COLLEGE OF ENGINEERING (YCCE), NAGPUR</t>
  </si>
  <si>
    <t>Primavera P6, MS Project, Power BI, Advanced MS Excel, AutoCAD, ArcGIS, QGIS, MS Office Suite</t>
  </si>
  <si>
    <t>Ahluwalia Contracts (India) Limited | Intern | Delhi NCR  | May 2026 | Jul 2026 | 8 Weeks | Campus Internship
SHREE CONSTRUCTION | CIVIL ENGINEERING INTERN | NAGPUR  | Jan 2024 | Apr 2024 | 17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</si>
  <si>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</si>
  <si>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P25700367</t>
  </si>
  <si>
    <t>DWARSALA</t>
  </si>
  <si>
    <t>Dwarsala Mohit Reddy</t>
  </si>
  <si>
    <t>mohit2002777@gmail.com</t>
  </si>
  <si>
    <t>p25700367@student.nicmar.ac.in</t>
  </si>
  <si>
    <t>English , Hindi , Telugu</t>
  </si>
  <si>
    <t>8076 7418 2771</t>
  </si>
  <si>
    <t>DWARSALA SREE RAM MANOHAR REDDY</t>
  </si>
  <si>
    <t>GAJJALA SUDHA</t>
  </si>
  <si>
    <t>Flat.no -502 , Garudadhri Residency , Opposite To P.F .Office , Kadapa</t>
  </si>
  <si>
    <t>BOARD OF SECONDARY EDUCATION , ANDHRA PRADESH</t>
  </si>
  <si>
    <t>LARSEN &amp; TOUBRO | Project Planning Trainee  | Chennai  | May 2026 | Jul 2026 | 8 Weeks | Campus Internship
VNB Constructions | In Plant Trainee  | Kadapa | Aug 2022 | Sep 2022 | 2 Weeks
L&amp;T EduTech | Trainee | Chennai  | Jul 2023 | Aug 2023 | 1 Weeks</t>
  </si>
  <si>
    <t>Finance for Non-Finance Managers by Emory University
Construction Equipment and Techniques by LNT EduTech</t>
  </si>
  <si>
    <t>P25700694</t>
  </si>
  <si>
    <t>DANISH</t>
  </si>
  <si>
    <t>IRFAN</t>
  </si>
  <si>
    <t>PATHAN</t>
  </si>
  <si>
    <t>Danish Irfan Pathan</t>
  </si>
  <si>
    <t>danishpathan064@gmail.com</t>
  </si>
  <si>
    <t>p25700694@student.nicmar.ac.in</t>
  </si>
  <si>
    <t>21-Apr-1999</t>
  </si>
  <si>
    <t>9858 9901 5321</t>
  </si>
  <si>
    <t>IRFAN PATHAN</t>
  </si>
  <si>
    <t>SHAISTA PATHAN</t>
  </si>
  <si>
    <t>FLAT NO 203,SUNSHINE APARTMENT, LANE NO 6, SANJAY PARK ,NEAR GANESH MANDIR ,PUNE 411032</t>
  </si>
  <si>
    <t>50/2A Wadeshwar Nagar Wadgoansheri ,Old Mundwa Road , Pune 411014</t>
  </si>
  <si>
    <t>NIRMALA CONVENT SCHOOL</t>
  </si>
  <si>
    <t>MAHARASHTRA STATE BOARD OF SECONDARY AND HIGHER SECONDARY EDUCATION ,PUNE, MAHARASHTRA</t>
  </si>
  <si>
    <t>DON BOSCO JUNIOR COLLEGE OF ARTS, SCIENCE AND COMMERCE ,PUNE, MAHARASHTRA</t>
  </si>
  <si>
    <t>MAHARASHTRA STATE BOARD OF SECONDARY AND HIGHER SECONDARY EDUCATION , PUNE,MAHARASHTRA</t>
  </si>
  <si>
    <t>ALLANA COLLEGE OF ARCHITECTURE ,PUNE, MAHARASHTRA</t>
  </si>
  <si>
    <t>AutoCAD,MS Office,MS Project,Primavera,Revit,Lumion,Enscape,Rhino,Dynamo,Archicad</t>
  </si>
  <si>
    <t>PRASHANT DESHMUKH AND ASSOCIATES | JUNIOR ARCHITECT | Pune  | Jul 2022 | Jul 2025 | 2 Years, 11 Months, 23 Days | 4.8</t>
  </si>
  <si>
    <t>RAISONI CORP | Project Control Intern | Pune | May 2026 | Jul 2026 | 9 Weeks | Campus Internship
INGRAIN ARCHITECTS | INTERN ARCHITECT | MUMBAI  | Jun 2021 | Nov 2021 | 23 Weeks</t>
  </si>
  <si>
    <t>2026-2028</t>
  </si>
  <si>
    <t>P26700001</t>
  </si>
  <si>
    <t>Om</t>
  </si>
  <si>
    <t>Girish</t>
  </si>
  <si>
    <t>Keley</t>
  </si>
  <si>
    <t>Om Girish Keley</t>
  </si>
  <si>
    <t>omgkeley@gmail.com</t>
  </si>
  <si>
    <t>P26700001@student.nicmar.ac.in</t>
  </si>
  <si>
    <t>16-Oct-2003</t>
  </si>
  <si>
    <t>Traveling,Movies,Sports, Racing</t>
  </si>
  <si>
    <t>Girish N. Keley</t>
  </si>
  <si>
    <t>Farmer</t>
  </si>
  <si>
    <t>Nalini G. Keley</t>
  </si>
  <si>
    <t>Plot no. 186-A, N-3, CIDCO, Aurangabad</t>
  </si>
  <si>
    <t>Podar International School</t>
  </si>
  <si>
    <t>Central Board of Secondary Education, Aurangabad, Maharashtra</t>
  </si>
  <si>
    <t>Shiv Chhatrapati College</t>
  </si>
  <si>
    <t>Higher Secondary Certificate Examination, Aurangabad, Maharashtra</t>
  </si>
  <si>
    <t>Dr. Babasaheb Ambedkar Technological University</t>
  </si>
  <si>
    <t>Deogiri Institute of Engineering and Management Studies</t>
  </si>
  <si>
    <t>AutoCAD,MS Excel,MS Office,MS Project,Primavera</t>
  </si>
  <si>
    <t>Quantum ProjectInfra Pvt. Ltd. | Engineer | Mumbai | Aug 2025 | Jun 2026 | 0 Years, 9 Months, 11 Days | 3.5</t>
  </si>
  <si>
    <t>Quantum ProjectInfra Pvt. Ltd | Intern | Mumbai | Mar 2025 | Jun 2025 | 13 Weeks</t>
  </si>
  <si>
    <t>P26700002</t>
  </si>
  <si>
    <t>Aditya Sreeram</t>
  </si>
  <si>
    <t>Dharmavaram</t>
  </si>
  <si>
    <t>Aditya Sreeram Dharmavaram</t>
  </si>
  <si>
    <t>adityasreeram08@gmail.com</t>
  </si>
  <si>
    <t>P26700002@student.nicmar.ac.in</t>
  </si>
  <si>
    <t>29-Aug-2003</t>
  </si>
  <si>
    <t>Telugu,Hindi,English,Kannada</t>
  </si>
  <si>
    <t>Reading,Movies,Music,Exploring AI,Basketball,Fitness,Meditation &amp; Shambhavi Kriya,Volunteering</t>
  </si>
  <si>
    <t>D Prabhakar</t>
  </si>
  <si>
    <t>Retired MEO</t>
  </si>
  <si>
    <t>D Rupavani</t>
  </si>
  <si>
    <t>11/629 GDS Street</t>
  </si>
  <si>
    <t>Nirmala English Medium High School</t>
  </si>
  <si>
    <t>Board Of Secondary Education Andhra Pradesh</t>
  </si>
  <si>
    <t>Narayana Junior College</t>
  </si>
  <si>
    <t>Board Of Intermediate Education Andhra Pradesh</t>
  </si>
  <si>
    <t>JNTUA, Ananthapuramu</t>
  </si>
  <si>
    <t>KSRM College Of Engineering Andhra Pradesh</t>
  </si>
  <si>
    <t>AutoCAD,MS Office,MS Project,Agisoft Metashape,Sketchup</t>
  </si>
  <si>
    <t>MEIL (EPPL Payroll) | Project Planning &amp; Coordination – Civil(GET) | Bagalkot, Karnataka | Jun 2024 | Aug 2025 | 1 Years, 1 Months, 24 Days | 2.39</t>
  </si>
  <si>
    <t>L &amp; T -Buildings &amp; Factories | Project Intern | Hyderabad-Telangana | Sep 2023 | Oct 2023 | 3 Weeks</t>
  </si>
  <si>
    <t>NPTEL-Municipal Solid Waste Management
NPTEL-Introduction to Internet of Things
Excel-Microsoft Excel course Beginner to Expert 2023 
AutoCAD-2D Workshop</t>
  </si>
  <si>
    <t>P26700003</t>
  </si>
  <si>
    <t>Sudeep</t>
  </si>
  <si>
    <t>Sudarshan</t>
  </si>
  <si>
    <t>Hemadri</t>
  </si>
  <si>
    <t>Sudeep Sudarshan Hemadri</t>
  </si>
  <si>
    <t>sudeephemadri2003@gmail.com</t>
  </si>
  <si>
    <t>P26700003@student.nicmar.ac.in</t>
  </si>
  <si>
    <t>English,hindi,kannada</t>
  </si>
  <si>
    <t>Table tennis,wildlife photogrph,travelling</t>
  </si>
  <si>
    <t>Vani</t>
  </si>
  <si>
    <t>Home maker</t>
  </si>
  <si>
    <t>no.1 beside ABMM hostel shanti colony(s) vidyanagar, Hubli-580021</t>
  </si>
  <si>
    <t>Smt. Nirmala K Thakkar English Medium High School</t>
  </si>
  <si>
    <t>Hubli, Karnataka</t>
  </si>
  <si>
    <t>Vidyanikaten PU Science Collage</t>
  </si>
  <si>
    <t>KLE Technological University Hubli</t>
  </si>
  <si>
    <t>Autocad,MS Office,Excel,MS Project,Asta power project,primavera</t>
  </si>
  <si>
    <t>Total Environment Building Systems | Graduate Engineer Trainee | Bengaluru | Aug 2025 | Apr 2026 | 0 Years, 8 Months, 24 Days | 5.5</t>
  </si>
  <si>
    <t>Total-Environment Building Systems Pvt.Ltd | Intern | Bengaluru | Jan 2025 | Jul 2025 | 25 Weeks</t>
  </si>
  <si>
    <t>P26700004</t>
  </si>
  <si>
    <t>P26700004@student.nicmar.ac.in</t>
  </si>
  <si>
    <t>P26700005</t>
  </si>
  <si>
    <t>Bhagyashree</t>
  </si>
  <si>
    <t>Dinesh</t>
  </si>
  <si>
    <t>Chaube</t>
  </si>
  <si>
    <t>Bhagyashree Dinesh Chaube</t>
  </si>
  <si>
    <t>bhagyashreechaube@gmail.com</t>
  </si>
  <si>
    <t>P26700005@student.nicmar.ac.in</t>
  </si>
  <si>
    <t>22-Jan-2001</t>
  </si>
  <si>
    <t>Reading,Travelling,Gaming</t>
  </si>
  <si>
    <t>Dinesh Chaube</t>
  </si>
  <si>
    <t>Government Engineer</t>
  </si>
  <si>
    <t>Sonali Chaube</t>
  </si>
  <si>
    <t>A, 306, Sarang, Nanded City</t>
  </si>
  <si>
    <t>Sinhgad Spring Dale School</t>
  </si>
  <si>
    <t>SSC, Pune</t>
  </si>
  <si>
    <t>Sou. Venutai Chavan Polytechnic</t>
  </si>
  <si>
    <t>Mumbai University</t>
  </si>
  <si>
    <t>A. P. Shah, Thane</t>
  </si>
  <si>
    <t>AutoCAD,MS OFFICE,MS PROJECTS,EXCEL</t>
  </si>
  <si>
    <t>KEC International | Associate | Worli, Mumbai | Aug 2023 | Dec 2024 | 1 Years, 4 Months, 22 Days | 4.29</t>
  </si>
  <si>
    <t>Mahalaxmi Constructions | Associate Quantity Surveyor | Pune | Jan 2025 | Feb 2026 | 60 Weeks
Sou. Venutai Chavan Polytechnic | Student Researcher | Pune | Jul 2019 | Mar 2020 | 39 Weeks</t>
  </si>
  <si>
    <t>P26700006</t>
  </si>
  <si>
    <t>Kartavya</t>
  </si>
  <si>
    <t>Satish</t>
  </si>
  <si>
    <t>Waghchoure</t>
  </si>
  <si>
    <t>Kartavya Satish Waghchoure</t>
  </si>
  <si>
    <t>P26700006@student.nicmar.ac.in</t>
  </si>
  <si>
    <t>22-Sep-2003</t>
  </si>
  <si>
    <t>hindi ,marath,english</t>
  </si>
  <si>
    <t>bike and horse riding,music,sports,travel,pencil and charcoal sketching</t>
  </si>
  <si>
    <t>Satish Arjun Waghchoure</t>
  </si>
  <si>
    <t>Government Official</t>
  </si>
  <si>
    <t>Shilpa Satish Waghchoure</t>
  </si>
  <si>
    <t>Librarian</t>
  </si>
  <si>
    <t>A603/ Building 109, Rajshree Flora, Chembur Shiv Shakti CHS LTD, Tilak Nagar, Chembur</t>
  </si>
  <si>
    <t>Dr.  Antonio da Silva High Schoo;</t>
  </si>
  <si>
    <t>Mumbai</t>
  </si>
  <si>
    <t xml:space="preserve">D.G. Ruparel College of Arts, Commerce and Science  </t>
  </si>
  <si>
    <t>Mumbai  University</t>
  </si>
  <si>
    <t>Sardar Patel College of Engineering, Mumbai</t>
  </si>
  <si>
    <t>2026-Mar</t>
  </si>
  <si>
    <t>AutoCAD, MS office,MS Project, Primavera ,revit</t>
  </si>
  <si>
    <t>Maharashtra State Road Development Corporation | Intern | Mumbai | Jan 2026 | Apr 2026 | 16 Weeks</t>
  </si>
  <si>
    <t>P26700007</t>
  </si>
  <si>
    <t>Shravani</t>
  </si>
  <si>
    <t>Vinod</t>
  </si>
  <si>
    <t>Bhoite</t>
  </si>
  <si>
    <t>Shravani Vinod Bhoite</t>
  </si>
  <si>
    <t>P26700007@student.nicmar.ac.in</t>
  </si>
  <si>
    <t xml:space="preserve">Marathi, Hindi ,English </t>
  </si>
  <si>
    <t>Sketching, Designing,Running</t>
  </si>
  <si>
    <t>Supriya</t>
  </si>
  <si>
    <t>Housemaker</t>
  </si>
  <si>
    <t>At. Post Wagholi, Takula Koregaon, District Satara</t>
  </si>
  <si>
    <t>Chhatrapati Shahu Academy, Satara</t>
  </si>
  <si>
    <t>SSC Maharashtra</t>
  </si>
  <si>
    <t>HSC Maharashtra</t>
  </si>
  <si>
    <t>Sir J.J. College Of Architecture, Mumbai</t>
  </si>
  <si>
    <t>2026-Apr</t>
  </si>
  <si>
    <t>AutoCAD, Sketchup,Lumion,Revit,Enscape,Vray,Photoshop,Microsoft projects</t>
  </si>
  <si>
    <t>Landmark Design Group, Pune | Intern | Pune | Dec 2024 | Apr 2025 | 19 Weeks</t>
  </si>
  <si>
    <t>P26700008</t>
  </si>
  <si>
    <t>P26700008@student.nicmar.ac.in</t>
  </si>
  <si>
    <t>P26700009</t>
  </si>
  <si>
    <t>Ashutosh</t>
  </si>
  <si>
    <t>Nayak</t>
  </si>
  <si>
    <t>Ashutosh Nayak</t>
  </si>
  <si>
    <t>ashutoshnayak493@gmail.com</t>
  </si>
  <si>
    <t>P26700009@student.nicmar.ac.in</t>
  </si>
  <si>
    <t>06-Feb-2005</t>
  </si>
  <si>
    <t>English,hindi,odia</t>
  </si>
  <si>
    <t>singing,Reading Fictions,Exploring new ideas facts &amp; knoledge</t>
  </si>
  <si>
    <t>Tapas Kumar Nayak</t>
  </si>
  <si>
    <t>Advocate</t>
  </si>
  <si>
    <t>Aparajita Bhoi</t>
  </si>
  <si>
    <t>Deuli,At/Po Basudevpur,Bhadrak</t>
  </si>
  <si>
    <t>Saraswati Shishu Vidya Mandir, Basudevpur</t>
  </si>
  <si>
    <t>Board of secondary Education, Odisha</t>
  </si>
  <si>
    <t>JHADESWAR SC. RES.H.S.SCH, REMUNA, Remuna</t>
  </si>
  <si>
    <t>COUNCIL OF HIGHER SECONDARY EDUCATION, ODISHA</t>
  </si>
  <si>
    <t>Parala Maharaja Engineering College, bERHAMPUR</t>
  </si>
  <si>
    <t>Adani Ports and Logistics | Summer Intern | DPCL, ADANI  PORT, DHAMRA  | Jun 2025 | Jun 2025 | 4 Weeks | Campus Internship
WORKS DEPARTMENT, BHADRAK (R&amp;B) DIVISION BHADRAK | Summer Practical Training | Bhadrak | Jun 2024 | Jul 2024 | 4 Weeks | Campus Internship</t>
  </si>
  <si>
    <t>AutoCAD 2D 
REVIT</t>
  </si>
  <si>
    <t>P26700010</t>
  </si>
  <si>
    <t>Kamalakannan</t>
  </si>
  <si>
    <t>Kamalakannan M</t>
  </si>
  <si>
    <t>kamalakannan110504@gmail.com</t>
  </si>
  <si>
    <t>P26700010@student.nicmar.ac.in</t>
  </si>
  <si>
    <t>11-May-2004</t>
  </si>
  <si>
    <t>Music, Driving,Gym,Cleaning</t>
  </si>
  <si>
    <t>Murugavelan K</t>
  </si>
  <si>
    <t>Buisness</t>
  </si>
  <si>
    <t>Angaiyarkanni K</t>
  </si>
  <si>
    <t>Govt. Health Visitor</t>
  </si>
  <si>
    <t>2/219 New Dharapuram road, North Indra Nagar, Palani</t>
  </si>
  <si>
    <t>Velan Vikhass Matriculation Higher Secondary School</t>
  </si>
  <si>
    <t>State of Board Education of Tamilnadu</t>
  </si>
  <si>
    <t>Amrita Vishwa Vidhyapeetham</t>
  </si>
  <si>
    <t>Amrita School of Engineering, Coimabatore</t>
  </si>
  <si>
    <t>AutoCAD,MS Project,Primavera,MS office,Revit,SCIA,STAD Pro,Tekla Tedds,SAFE,SketchUp,Enscape</t>
  </si>
  <si>
    <t>CADS Software and Design Services India Ltd. | Junior Structural Engineer | Coimbatore, Tamilnadu | May 2025 | Mar 2026 | 0 Years, 10 Months, 16 Days | 2.4</t>
  </si>
  <si>
    <t>P26700011</t>
  </si>
  <si>
    <t>Sneha</t>
  </si>
  <si>
    <t>Vijaykumar</t>
  </si>
  <si>
    <t>Bhosale</t>
  </si>
  <si>
    <t>Sneha Vijaykumar Bhosale</t>
  </si>
  <si>
    <t>P26700011@student.nicmar.ac.in</t>
  </si>
  <si>
    <t>18-Mar-2004</t>
  </si>
  <si>
    <t>Reading Fiction, Exploring new places</t>
  </si>
  <si>
    <t>Retired Government Personnel</t>
  </si>
  <si>
    <t>Seema</t>
  </si>
  <si>
    <t>Housewife</t>
  </si>
  <si>
    <t>'Manas' Plot-169 Balajinagar, Kupwad Road, Sangli.</t>
  </si>
  <si>
    <t>Shri Parshwanath English School, Sangli</t>
  </si>
  <si>
    <t>Maharashtra State Board of Secondary and Higher Secondary Education, Pune</t>
  </si>
  <si>
    <t>Diploma in Civil Engineering</t>
  </si>
  <si>
    <t>Walchand College of Engineering, Sangli</t>
  </si>
  <si>
    <t>Savitribai Phule Pune University</t>
  </si>
  <si>
    <t>Sinhgad College of Engineering, Pune</t>
  </si>
  <si>
    <t>2026-Jul</t>
  </si>
  <si>
    <t>AutoCAD,MS office</t>
  </si>
  <si>
    <t>Studio 888 | Industrial Trainee | Sangli | Jul 2022 | Aug 2022 | 5 Weeks
Vardhan Buildcon | Civil Engineering Intern / Trainee | Sangli | Dec 2024 | Jan 2025 | 4 Weeks</t>
  </si>
  <si>
    <t>P26700012</t>
  </si>
  <si>
    <t xml:space="preserve">Kanchana </t>
  </si>
  <si>
    <t>Kanchana  S</t>
  </si>
  <si>
    <t>P26700012@student.nicmar.ac.in</t>
  </si>
  <si>
    <t>23-May-2004</t>
  </si>
  <si>
    <t>Music, Craft ,outdoor sports</t>
  </si>
  <si>
    <t>Sivasankar P</t>
  </si>
  <si>
    <t>Retired Fire Force Officer</t>
  </si>
  <si>
    <t>Preetha Mol R</t>
  </si>
  <si>
    <t>Government Servant-Senior U.D. Clerk</t>
  </si>
  <si>
    <t>PARANKIMAMVILA VEEDU , KADAVOOR PERINAD PO KOLLAM,691601</t>
  </si>
  <si>
    <t>VIMALA HRIDAYA HSS FOR GIRLS</t>
  </si>
  <si>
    <t>Kerala Board of Public Examinations,Kerala</t>
  </si>
  <si>
    <t>NSSHSS Prakkulam</t>
  </si>
  <si>
    <t>Board of Higher Secondary Education,Kerala</t>
  </si>
  <si>
    <t>APJ Abdul Kalam Technological University(KTU)</t>
  </si>
  <si>
    <t>TKM College of Engineering, Kollam, Kerala</t>
  </si>
  <si>
    <t>MS Project,MS powerpoint,MS excel,AutoCAD</t>
  </si>
  <si>
    <t>Larsen &amp; Toubro | Civil Engineering Intern | Manapakkam , chennai, TamilNadu | Jun 2025 | Jun 2025 | 1 Weeks</t>
  </si>
  <si>
    <t>P26700013</t>
  </si>
  <si>
    <t>ADITI</t>
  </si>
  <si>
    <t>DEVIDAS</t>
  </si>
  <si>
    <t>Aditi Devidas Patil</t>
  </si>
  <si>
    <t>patiladiti224@gmail.com</t>
  </si>
  <si>
    <t>P26700013@student.nicmar.ac.in</t>
  </si>
  <si>
    <t>Sketching,Drawing,Cooking,Interior Design &amp; Space Planning</t>
  </si>
  <si>
    <t>Devidas Patil</t>
  </si>
  <si>
    <t>Retired Teacher</t>
  </si>
  <si>
    <t>Archana Patil</t>
  </si>
  <si>
    <t>Bl.206, Sumit Complex, Motiram Talav Road, Pen</t>
  </si>
  <si>
    <t xml:space="preserve"> SAU M. N. NENE KANYA VIDYALAYA, PEN</t>
  </si>
  <si>
    <t>PEN EDUCATION SOCIETY'S PRIVATE HIGHSCHOOL AND JUNIOR COLLEGE, PEN</t>
  </si>
  <si>
    <t>DR. BABASAHEB AMBEDKAR TECHNOLOGICAL UNIVERSITY, MAHARASHTRA</t>
  </si>
  <si>
    <t>AutoCAD,MS Office,MS Project,Farvision</t>
  </si>
  <si>
    <t>ISPRAVA VESTA PRIVATE LIMITED | Executive Operations Analyst | Mumbai, Maharashtra, India | Aug 2024 | May 2026 | 1 Years, 9 Months, 27 Days | 4.2</t>
  </si>
  <si>
    <t>ISPRAVA VESTA PRIVATE LIMITED | Operations Intern | Mumbai, Maharashtra, India | Feb 2024 | Jul 2024 | 25 Weeks
CIDCO | Intern | Kharghar, Navi Mumbai | Apr 2023 | Jun 2023 | 8 Weeks
CIDCO | Intern | Taloja, Navi Mumbai | Feb 2023 | Mar 2023 | 4 Weeks</t>
  </si>
  <si>
    <t>P26700014</t>
  </si>
  <si>
    <t>Dhanush</t>
  </si>
  <si>
    <t>p</t>
  </si>
  <si>
    <t>Dhanush P</t>
  </si>
  <si>
    <t>P26700014@student.nicmar.ac.in</t>
  </si>
  <si>
    <t>16-Jun-2003</t>
  </si>
  <si>
    <t>English,kannada,telugu,hindi</t>
  </si>
  <si>
    <t xml:space="preserve">travelling ,trekking ,cricket ,swimming,Volleyball ,music,Badminton </t>
  </si>
  <si>
    <t>ParashuRam.R</t>
  </si>
  <si>
    <t xml:space="preserve">Building Contractor </t>
  </si>
  <si>
    <t>Padma.A</t>
  </si>
  <si>
    <t>House Wife</t>
  </si>
  <si>
    <t>#81, Sri Manjunatha Nelaya, 2nd floor, 3rd cross, near Annapurneshwari Nagar , GT residency , Bengaluru - 560058</t>
  </si>
  <si>
    <t>Sri Chaitanya Techno School</t>
  </si>
  <si>
    <t xml:space="preserve">Central Board Of Secondary Education, Bengaluru, Karnataka </t>
  </si>
  <si>
    <t>KMWA PU College</t>
  </si>
  <si>
    <t>Department Of Pre-University Education, Bengaluru, Karanataka</t>
  </si>
  <si>
    <t xml:space="preserve">Visvesvaraya Technological University, Belagavi, Karanataka </t>
  </si>
  <si>
    <t>Acharya NRV School Of Architecture</t>
  </si>
  <si>
    <t>BIM Certficate ,NSDC Certficate,Autodesk revit certificate,Bently certficate (4d 5d 6d) (SYNCHRO 4D PRO),Naviswork in BIM and REVIT,4D 5D AND 6D In BIM</t>
  </si>
  <si>
    <t>Aedium Design | Architecture Intern | Halasuru, Bengaluru, Karanataka | Dec 2025 | Apr 2026 | 18 Weeks</t>
  </si>
  <si>
    <t xml:space="preserve">BIM Novatr Course </t>
  </si>
  <si>
    <t>P26700015</t>
  </si>
  <si>
    <t>Devang</t>
  </si>
  <si>
    <t xml:space="preserve">Pratap </t>
  </si>
  <si>
    <t>Sood</t>
  </si>
  <si>
    <t>Devang Pratap  Sood</t>
  </si>
  <si>
    <t>P26700015@student.nicmar.ac.in</t>
  </si>
  <si>
    <t>08-Aug-1999</t>
  </si>
  <si>
    <t xml:space="preserve">English, Hindi, Marathi </t>
  </si>
  <si>
    <t>Traveling, Driving</t>
  </si>
  <si>
    <t>Pratap</t>
  </si>
  <si>
    <t>Shilpa</t>
  </si>
  <si>
    <t>House wife</t>
  </si>
  <si>
    <t>1499, Yashoda Yashwant Niwas, Opposite Petrolpump Kodavali, Rajapur, Tal.- Rajapur, Dist.- Ratnagiri</t>
  </si>
  <si>
    <t>Flat No.- D401, Surabhi Mangalam Housing Society, Dhanori, Pune-411015</t>
  </si>
  <si>
    <t>Rajapur Highschool Rajapur</t>
  </si>
  <si>
    <t>Maharashtra State Board of Secondary and Higher Secondary Education</t>
  </si>
  <si>
    <t>Navjeevan Junior College, Rajapur</t>
  </si>
  <si>
    <t>Three Year Diploma Programme in Civil Engineering</t>
  </si>
  <si>
    <t>Government Polytechnic Kolhapur</t>
  </si>
  <si>
    <t>Sinhgad Institute of Technology and science, Narhe</t>
  </si>
  <si>
    <t>AutoCAD,MS Project,MS Office,CTDEO</t>
  </si>
  <si>
    <t>SSK Bharat Management and Media Ltd. | Junior Civil Engineer | Mumbai, Varanasi | Oct 2023 | Oct 2024 | 1 Years, 0 Months, 30 Days | 1.81
J Kumar Infraproject Ltd. | Junior Engineer | Ulwe, Navi-Mumbai | Nov 2024 | Jun 2026 | 1 Years, 7 Months, 18 Days | 2.4</t>
  </si>
  <si>
    <t>V. V. Associates | Intern | Pune | Feb 2022 | Mar 2022 | 8 Weeks</t>
  </si>
  <si>
    <t>AutoCAD
Computer Typing &amp; Data Entry Operator Certificate</t>
  </si>
  <si>
    <t>P26700016</t>
  </si>
  <si>
    <t>Yashvardhan</t>
  </si>
  <si>
    <t>Anantsingh</t>
  </si>
  <si>
    <t>Rajput</t>
  </si>
  <si>
    <t>Yashvardhan Anantsingh Rajput</t>
  </si>
  <si>
    <t>P26700016@student.nicmar.ac.in</t>
  </si>
  <si>
    <t>English, Marathi,hindi</t>
  </si>
  <si>
    <t>Reading,travelling</t>
  </si>
  <si>
    <t>Anantsingh Shankarsingh Rajput</t>
  </si>
  <si>
    <t>Government Servant</t>
  </si>
  <si>
    <t>Sunita Anantsingh Rajput</t>
  </si>
  <si>
    <t>504, Siddhineel Arcade, Sector - 5, D-Mart, New Panvel</t>
  </si>
  <si>
    <t>St. Joseph High School</t>
  </si>
  <si>
    <t>S. S. High School &amp; Jr. College</t>
  </si>
  <si>
    <t>Maharashtra State Board of Secondary &amp; Higher Secondary Education</t>
  </si>
  <si>
    <t>Shivaji University, Kolhapur</t>
  </si>
  <si>
    <t>autocad,ms office,ms project,primavera</t>
  </si>
  <si>
    <t>S. N. Joshi Consultants Pvt. Ltd. | Plumbing Design Engineer | Pune,  Maharashtra | Jun 2024 | Jul 2026 | 2 Years, 1 Months, 8 Days | 4.2</t>
  </si>
  <si>
    <t>Kotibhaskar Builders, Contractors and Developers | Site Intern | Sangli | Jan 2023 | Jan 2023 | 2 Weeks</t>
  </si>
  <si>
    <t>P26700017</t>
  </si>
  <si>
    <t>Balivada</t>
  </si>
  <si>
    <t>Manoj</t>
  </si>
  <si>
    <t>Balivada Manoj</t>
  </si>
  <si>
    <t>manojbalivada123@gmail.com</t>
  </si>
  <si>
    <t>P26700017@student.nicmar.ac.in</t>
  </si>
  <si>
    <t>11-May-2003</t>
  </si>
  <si>
    <t>Cricket,Travelling,Music</t>
  </si>
  <si>
    <t>Balivada Srinivasa Rao</t>
  </si>
  <si>
    <t>Self Employed</t>
  </si>
  <si>
    <t>Balivada Archana</t>
  </si>
  <si>
    <t>44-7-39, Reddy Thatichetlapalem</t>
  </si>
  <si>
    <t>39-17-15/1, Madhavadhara Main road, Tenneti nagar</t>
  </si>
  <si>
    <t>Haragopal School</t>
  </si>
  <si>
    <t>Board of Secondary Education, Andhra Pradesh</t>
  </si>
  <si>
    <t>Sankethika Polytechnic College, PM Palem, Visakhapatnam</t>
  </si>
  <si>
    <t>Andhra University</t>
  </si>
  <si>
    <t>Sanketika Vidya Parishad Engineering College, Visakhapatnam</t>
  </si>
  <si>
    <t>Revit,Navis Works,MS Office,MS Project,AutoCAD</t>
  </si>
  <si>
    <t>Sevenhills Survey and Engineers | Trainee Engineer | Visakhapatnam | Mar 2024 | Aug 2024 | 0 Years, 5 Months, 14 Days | 2</t>
  </si>
  <si>
    <t>Building Information Modelling (BIM)
Revit</t>
  </si>
  <si>
    <t>P26700018</t>
  </si>
  <si>
    <t>Akash</t>
  </si>
  <si>
    <t>Akash P</t>
  </si>
  <si>
    <t>akash19padmanaban66@gmail.com</t>
  </si>
  <si>
    <t>P26700018@student.nicmar.ac.in</t>
  </si>
  <si>
    <t>English,Tamil,Telugu</t>
  </si>
  <si>
    <t>Basketball,Music,Personal Finance,Video games,gym,Trekking,Driving</t>
  </si>
  <si>
    <t>Padmanaban R</t>
  </si>
  <si>
    <t>Rengammal S</t>
  </si>
  <si>
    <t>Government School Teacher</t>
  </si>
  <si>
    <t>1/71,East street,Kulakkattakurichi,Thiruvengadam Taluk,Tenkasi</t>
  </si>
  <si>
    <t>Tenkasi</t>
  </si>
  <si>
    <t>Ravilla K R A Vidhyashram Matric Hr Sec School</t>
  </si>
  <si>
    <t>Tamil Nadu Board of Secondary Education, Tamil Nadu</t>
  </si>
  <si>
    <t>KVS Matriculation Higher Secondary School</t>
  </si>
  <si>
    <t>Tamil Nadu Board Of Higher Secondary Education,Tamil Nadu</t>
  </si>
  <si>
    <t>Anna University</t>
  </si>
  <si>
    <t>Government College of Technology, Coimbatore, Tamil Nadu</t>
  </si>
  <si>
    <t>Autocad,Revit,STAADPRO,ETABS,MS Project,Geo5</t>
  </si>
  <si>
    <t>CHENNAI PORT AUTHORITY | In-Plant Trainee | Chennai | Apr 2024 | May 2024 | 2 Weeks
A.Murugan Construction | Intern | Tiruppur | Jul 2025 | Jul 2025 | 2 Weeks</t>
  </si>
  <si>
    <t>P26700019</t>
  </si>
  <si>
    <t>Tejas</t>
  </si>
  <si>
    <t>Narendrabhai</t>
  </si>
  <si>
    <t>Pandya</t>
  </si>
  <si>
    <t>Tejas Narendrabhai Pandya</t>
  </si>
  <si>
    <t>P26700019@student.nicmar.ac.in</t>
  </si>
  <si>
    <t>Gujarati,Hindi,English</t>
  </si>
  <si>
    <t>Dance,Sports,Yoga,Art</t>
  </si>
  <si>
    <t>Narendra</t>
  </si>
  <si>
    <t>Job</t>
  </si>
  <si>
    <t>Aarti</t>
  </si>
  <si>
    <t>Block no. 41/c, Butbhavani Krupa, New Parimal society street no. 2, B/H Akash Wani quarters</t>
  </si>
  <si>
    <t>Rajkot</t>
  </si>
  <si>
    <t>Sinhar School</t>
  </si>
  <si>
    <t>Rajkot/Gujarat</t>
  </si>
  <si>
    <t>Innovative School</t>
  </si>
  <si>
    <t>Indubhai Parekh School Of Architecture</t>
  </si>
  <si>
    <t>AutoCAD,MS Office,MS Project,SketchUP,Photoshop,InDesign</t>
  </si>
  <si>
    <t>Beyond Green | Intern | Pune | Jun 2024 | Oct 2024 | 0 Years, 4 Months, 22 Days | 0.35</t>
  </si>
  <si>
    <t>P26700020</t>
  </si>
  <si>
    <t>Ayush</t>
  </si>
  <si>
    <t>Ranjan</t>
  </si>
  <si>
    <t>Ayush Ranjan</t>
  </si>
  <si>
    <t>P26700020@student.nicmar.ac.in</t>
  </si>
  <si>
    <t>15-Jun-2002</t>
  </si>
  <si>
    <t xml:space="preserve">Hindi, English </t>
  </si>
  <si>
    <t xml:space="preserve">Playing Guitar , Singing </t>
  </si>
  <si>
    <t xml:space="preserve">Manoj Kumar Singh </t>
  </si>
  <si>
    <t>Private Job</t>
  </si>
  <si>
    <t xml:space="preserve">Ranjana Singh </t>
  </si>
  <si>
    <t>House maker</t>
  </si>
  <si>
    <t xml:space="preserve">Devi Mandap Road Hesal Ratu Road Ranchi Jharkhand </t>
  </si>
  <si>
    <t xml:space="preserve">D.A.V Public School Hehal Ranchi </t>
  </si>
  <si>
    <t xml:space="preserve">Ranchi Jharkhand </t>
  </si>
  <si>
    <t xml:space="preserve">Manipal Institute of Technology </t>
  </si>
  <si>
    <t xml:space="preserve">Manipal Udupi Karnataka </t>
  </si>
  <si>
    <t>AutoCAD, MS Office, Etabs , Star pro , Arc Gis, Waldo</t>
  </si>
  <si>
    <t>P26700021</t>
  </si>
  <si>
    <t>Sowmya</t>
  </si>
  <si>
    <t>Sowmya A</t>
  </si>
  <si>
    <t>P26700021@student.nicmar.ac.in</t>
  </si>
  <si>
    <t>10-Nov-2004</t>
  </si>
  <si>
    <t>English,Tamil,Telugu,Hindi</t>
  </si>
  <si>
    <t xml:space="preserve">Completed initial grade in Guitar practical exam from Trinity College London,Completed grade 1 and 2 in theory of music exam from Trinity College London </t>
  </si>
  <si>
    <t>Anandan R</t>
  </si>
  <si>
    <t xml:space="preserve">Business </t>
  </si>
  <si>
    <t>Padma A</t>
  </si>
  <si>
    <t>No. 12, Rama Street
Nungambakkam, Chennai, Tamil Nadu - 600 034</t>
  </si>
  <si>
    <t>No. 12, Rama street
Nungambakkam, Chennai, Tamil Nadu - 600 034</t>
  </si>
  <si>
    <t>Maharishi Vidya Mandir Senior Secondary School Chetpet</t>
  </si>
  <si>
    <t>College of Engineering Guindy, Chennai, Tamil Nadu</t>
  </si>
  <si>
    <t>AutoCAD,SketchUp,Revit,PowerBI,MS Office</t>
  </si>
  <si>
    <t>IIT Madras | Internship | Chennai, Tamil Nadu | Jun 2025 | Jul 2025 | 4 Weeks
RSB Arch Project Consultants | Internship | Chennai, Tamil Nadu | Dec 2024 | Dec 2024 | 1 Weeks
ACS Technologies Chennai | Internship | Chennai, Tamil Nadu | Jul 2024 | Jul 2024 | 2 Weeks
Anvil Projects  | Internship  | Chennai, Tamil Nadu  | Jun 2024 | Jun 2024 | 2 Weeks</t>
  </si>
  <si>
    <t>NPTEL - Structural Dynamics
CAD/BIM Specialization 
Introduction to Psychology course authorized by Yale University 
Initial Acoustic Guitar - Trinity College London
Grade 1 Theory of Music - Trinity College London
Grade 2 Theory of Music - Trinity College London</t>
  </si>
  <si>
    <t>P26700022</t>
  </si>
  <si>
    <t>Ninad</t>
  </si>
  <si>
    <t>Bapu</t>
  </si>
  <si>
    <t>Gaikwad</t>
  </si>
  <si>
    <t>Ninad Bapu Gaikwad</t>
  </si>
  <si>
    <t>ninadgaikwad697@gmail.com</t>
  </si>
  <si>
    <t>P26700022@student.nicmar.ac.in</t>
  </si>
  <si>
    <t>15-May-2000</t>
  </si>
  <si>
    <t>English,Marathi and Hindi</t>
  </si>
  <si>
    <t>Workout,Trecking ,Reading</t>
  </si>
  <si>
    <t>4590 5105 1920</t>
  </si>
  <si>
    <t>Bapu Rangrao Gaikwad</t>
  </si>
  <si>
    <t>Retired Government servant</t>
  </si>
  <si>
    <t>Babita Bapu Gaikwad</t>
  </si>
  <si>
    <t>Shree Datt vihar sankul B101 Phase2
Rameshwadi Badlapur west
Near Bhagawati Hospital</t>
  </si>
  <si>
    <t>St. Anthony,s Higher Secondary School.</t>
  </si>
  <si>
    <t>Diploma In Civil Engineering</t>
  </si>
  <si>
    <t>Government Polytechnic Thane</t>
  </si>
  <si>
    <t>2016-Sep</t>
  </si>
  <si>
    <t>University of Mumbai</t>
  </si>
  <si>
    <t>Bharat College of Engineering</t>
  </si>
  <si>
    <t>AutoCAD, MS Office</t>
  </si>
  <si>
    <t>Hindustan Construction Company  | Site Engineer | Mumbai CSMT | Jan 2024 | Jun 2026 | 2 Years, 5 Months, 15 Days | 3.82
VB Group of Companies | Site Engineer | Thane | May 2023 | Jan 2024 | 0 Years, 7 Months, 12 Days | 2.16</t>
  </si>
  <si>
    <t>P26700023</t>
  </si>
  <si>
    <t xml:space="preserve">Ashish </t>
  </si>
  <si>
    <t>Thomas</t>
  </si>
  <si>
    <t>Varghese</t>
  </si>
  <si>
    <t>Ashish  Thomas Varghese</t>
  </si>
  <si>
    <t>P26700023@student.nicmar.ac.in</t>
  </si>
  <si>
    <t>03-Apr-2003</t>
  </si>
  <si>
    <t>English,Malayalam ,Hindi</t>
  </si>
  <si>
    <t>Guitarist ,Drawing,Football ,Badminton</t>
  </si>
  <si>
    <t>Varghese Thomas</t>
  </si>
  <si>
    <t>Vice President - Sales</t>
  </si>
  <si>
    <t xml:space="preserve">Mini Susan </t>
  </si>
  <si>
    <t>Thomas Villa, No.17, Avvai Nagar, Selaiyur PO, Chennai</t>
  </si>
  <si>
    <t>AC Gold apt, Flat no 1E, St James Road, Janatha road, Vytilla, Cochin, Kerala</t>
  </si>
  <si>
    <t>Toc-H Public School</t>
  </si>
  <si>
    <t>CBSE, Kerala</t>
  </si>
  <si>
    <t xml:space="preserve">Rajagiri School of Engineering and Technology </t>
  </si>
  <si>
    <t>A.P.J. Abdul Kalam Technological University, Kerala</t>
  </si>
  <si>
    <t>AutoCAD,Revit,BIM basics ,3ds Max,Lumion ,Quantity Estimation ,Primavera</t>
  </si>
  <si>
    <t>Professional in 2D Drafting course
Professional in Architectural BIM Course
Professional in Interior and Exterior Designing Course</t>
  </si>
  <si>
    <t>P26700024</t>
  </si>
  <si>
    <t>Nikita</t>
  </si>
  <si>
    <t>Singh</t>
  </si>
  <si>
    <t>Nikita Singh</t>
  </si>
  <si>
    <t>P26700024@student.nicmar.ac.in</t>
  </si>
  <si>
    <t>03-Dec-2002</t>
  </si>
  <si>
    <t xml:space="preserve"> Cooking  ,Listening music</t>
  </si>
  <si>
    <t>Manoj Kumar</t>
  </si>
  <si>
    <t>Deputy Manager,IFFCO</t>
  </si>
  <si>
    <t>Nirmala</t>
  </si>
  <si>
    <t>Meerut One, Modipuram Meerut, NH58</t>
  </si>
  <si>
    <t>Meerut</t>
  </si>
  <si>
    <t>DAYAWATI MODI ACADEMY MODIPURAM MEERUT UP</t>
  </si>
  <si>
    <t>CBSE, Meerut/ UP</t>
  </si>
  <si>
    <t>SUBHARTI POLYTECHNIC COLLEGE</t>
  </si>
  <si>
    <t>SWAMI VIVEKANAND SUBHARTI UNIVERSITY</t>
  </si>
  <si>
    <t>SUBHARTI INSTITUTE OF TECHNOLOGY AND ENGINEERING, MEERUT/ UP</t>
  </si>
  <si>
    <t>AutoCAD, MS Project,MS Office</t>
  </si>
  <si>
    <t>P26700025</t>
  </si>
  <si>
    <t>Jayashree</t>
  </si>
  <si>
    <t>Jayashree N</t>
  </si>
  <si>
    <t>P26700025@student.nicmar.ac.in</t>
  </si>
  <si>
    <t>Kannada, English,Telugu,Hindi</t>
  </si>
  <si>
    <t>Music, Reading,Sketching,Cooking</t>
  </si>
  <si>
    <t>Nagaraju</t>
  </si>
  <si>
    <t>Yashodha</t>
  </si>
  <si>
    <t>Basavanapura, Mayaganahalli Post, Kasaba Hobli, Ramanagara Taluk, Bangalore South.</t>
  </si>
  <si>
    <t>Ramanagara</t>
  </si>
  <si>
    <t>Shanthiniketan Public School</t>
  </si>
  <si>
    <t>Central Board Of Secondary Education, Karnataka</t>
  </si>
  <si>
    <t>Kumarans Comp PU College</t>
  </si>
  <si>
    <t>Department Of Pre-University Education, Karnataka</t>
  </si>
  <si>
    <t>Visvesvaraya Technological University, Belagavi</t>
  </si>
  <si>
    <t>Sir M Visvesvaraya Institute of Technology, Bangalore</t>
  </si>
  <si>
    <t>Autocad, Ms Office,MS project</t>
  </si>
  <si>
    <t>KARNATAKA STATE NATURAL DISATER MONITORING CENTRE | Student Intern | Yelahanka, Bangalore | Aug 2023 | Sep 2023 | 4 Weeks
VRB DESIGNERS | Intern | Bengaluru | Dec 2025 | Feb 2026 | 12 Weeks</t>
  </si>
  <si>
    <t>Academic Excellence During UG Programme.</t>
  </si>
  <si>
    <t>P26700026</t>
  </si>
  <si>
    <t xml:space="preserve">RUDRENDRA </t>
  </si>
  <si>
    <t>Rudrendra  Dubey</t>
  </si>
  <si>
    <t>P26700026@student.nicmar.ac.in</t>
  </si>
  <si>
    <t>Reading, Music</t>
  </si>
  <si>
    <t>Ashish Kumar Dubey</t>
  </si>
  <si>
    <t>Sarita Dubey</t>
  </si>
  <si>
    <t xml:space="preserve">255 Rk puram havelia jhushi </t>
  </si>
  <si>
    <t>Prayagraj</t>
  </si>
  <si>
    <t>BSS PUBLIC SCHOOL AMOL VIHAR</t>
  </si>
  <si>
    <t>CENTRAL BOARD OF SECONDARY EDUCATION Raebareli/Uttar Pradesh</t>
  </si>
  <si>
    <t xml:space="preserve">BSS PUBLIC SCHOOL AMOL VIHAR </t>
  </si>
  <si>
    <t>CENTRAL BOARD OF SECONDARY EDUCATION Raebareli/UttarPradesh</t>
  </si>
  <si>
    <t>Dr. A.P.J. Abdul Kalam Technical University, Lucknow</t>
  </si>
  <si>
    <t>INSTITUTE OF ENGINEERING AND RURAL TECHNOLOGY, Prayagraj/UttarPradesh</t>
  </si>
  <si>
    <t>AUTOCAD,EXCEL,MS PROJECT,PRIMAVERA</t>
  </si>
  <si>
    <t>JAL NIGAM  | INTERN | RAEBARELI | Jun 2022 | Aug 2022 | 6 Weeks</t>
  </si>
  <si>
    <t>P26700027</t>
  </si>
  <si>
    <t xml:space="preserve">Yeshwantagouda </t>
  </si>
  <si>
    <t>Patil</t>
  </si>
  <si>
    <t>Yeshwantagouda  Patil</t>
  </si>
  <si>
    <t>yeshwantgoudapatil@gmail.com</t>
  </si>
  <si>
    <t>P26700027@student.nicmar.ac.in</t>
  </si>
  <si>
    <t>English,Kannada,Hindi</t>
  </si>
  <si>
    <t>Football,Reading Books,Music</t>
  </si>
  <si>
    <t>Somanagouda Patil</t>
  </si>
  <si>
    <t>Employee</t>
  </si>
  <si>
    <t>Geetha Patil</t>
  </si>
  <si>
    <t>43/B,Siddharodh Nilay,Nirmal Nagar, Dharwad, Karnataka 580003</t>
  </si>
  <si>
    <t>Rajiv Gandhi Vidyalaya,Dharwad,Karnataka</t>
  </si>
  <si>
    <t>CBSE,Karnataka</t>
  </si>
  <si>
    <t>Prism PU Science College,Dharwad,Karnataka</t>
  </si>
  <si>
    <t>Karnataka PU Board,Karnataka</t>
  </si>
  <si>
    <t>Visvesvaraya Technological University , Belagavi</t>
  </si>
  <si>
    <t>KLS Vishwanathrao Deshpande Institute of Technology, Haliyal</t>
  </si>
  <si>
    <t>AutoCAD,MS Project,Primavera P6,Revit</t>
  </si>
  <si>
    <t>Project Management By L&amp;T Edutech
Revit Architectural
Revit Structural
Primavera P6</t>
  </si>
  <si>
    <t>P26700028</t>
  </si>
  <si>
    <t xml:space="preserve">Yuvraj </t>
  </si>
  <si>
    <t>Narula</t>
  </si>
  <si>
    <t>Yuvraj  Narula</t>
  </si>
  <si>
    <t>P26700028@student.nicmar.ac.in</t>
  </si>
  <si>
    <t>04-Sep-2004</t>
  </si>
  <si>
    <t>Tennis, swimming, reading</t>
  </si>
  <si>
    <t>Rajesh Narula</t>
  </si>
  <si>
    <t xml:space="preserve">Self Employed </t>
  </si>
  <si>
    <t>Rajni Narula</t>
  </si>
  <si>
    <t xml:space="preserve">901, Solitaire Apartment, Opp. DAV Nandraj School, Bariatu, Ranchi </t>
  </si>
  <si>
    <t>Sarala Birla Public School</t>
  </si>
  <si>
    <t>Central Board of Secondary Education, Ranchi/Jharkhand</t>
  </si>
  <si>
    <t>Central Board of Secondary Eduction, Ranchi/Jharkhand</t>
  </si>
  <si>
    <t>Manipal Academy of Higher Education, Manipal</t>
  </si>
  <si>
    <t xml:space="preserve">Manipal Institute of Technology, Manipal, Karnataka </t>
  </si>
  <si>
    <t>2026-Aug</t>
  </si>
  <si>
    <t>AutoCAD , MS Project, MS office, Stadpro</t>
  </si>
  <si>
    <t>GR Infraprojects Ltd (GRIL) | Intern | Uttar Pradesh | Jun 2025 | Jul 2025 | 4 Weeks</t>
  </si>
  <si>
    <t>P26700029</t>
  </si>
  <si>
    <t>Mugilan</t>
  </si>
  <si>
    <t>S T</t>
  </si>
  <si>
    <t>Mugilan S T</t>
  </si>
  <si>
    <t>stmugil2003@gmail.com</t>
  </si>
  <si>
    <t>P26700029@student.nicmar.ac.in</t>
  </si>
  <si>
    <t>21-Jan-2003</t>
  </si>
  <si>
    <t>english ,tamil</t>
  </si>
  <si>
    <t>running,swimming,music,movies,reading</t>
  </si>
  <si>
    <t>Thirunavukkarasu S</t>
  </si>
  <si>
    <t>Civil Engineer</t>
  </si>
  <si>
    <t>Sangeetha Priya</t>
  </si>
  <si>
    <t>Vinayagar Kovil 2nd street, Moolapalayam, Erode, Tamil Nadu</t>
  </si>
  <si>
    <t>SSVM, Mettupalayam</t>
  </si>
  <si>
    <t>CBSE, Coimbatore, Tamil Nadu</t>
  </si>
  <si>
    <t>MIT, Manipal</t>
  </si>
  <si>
    <t xml:space="preserve">Udupi, Karnataka </t>
  </si>
  <si>
    <t>2026-Jun</t>
  </si>
  <si>
    <t>AutoCAD, MS Office,MS Project,QGIS,Agisoft Metashape,DJI Terra,STAAD.Pro,ETABS</t>
  </si>
  <si>
    <t>L&amp;T | GIS | Chennai | Jan 2026 | Jun 2026 | 21 Weeks | Campus Internship</t>
  </si>
  <si>
    <t>P26700030</t>
  </si>
  <si>
    <t>Bachhav</t>
  </si>
  <si>
    <t>Tejas Bapu Bachhav</t>
  </si>
  <si>
    <t>tejasbachhav113@gmail.com</t>
  </si>
  <si>
    <t>P26700030@student.nicmar.ac.in</t>
  </si>
  <si>
    <t>05-Aug-2003</t>
  </si>
  <si>
    <t>Travelling, Music,Reading</t>
  </si>
  <si>
    <t>Vanita</t>
  </si>
  <si>
    <t>House No N-41 Ja3/7/6 Sai Baba Chowk Sawata Nagar Cicdo Nashik</t>
  </si>
  <si>
    <t xml:space="preserve">Guru Gobind Singh Public School </t>
  </si>
  <si>
    <t xml:space="preserve">Maharashtra State Board Of Secondary And Higher Secondary Education </t>
  </si>
  <si>
    <t xml:space="preserve">Diploma In Civil Engineering </t>
  </si>
  <si>
    <t xml:space="preserve">Guru Gobind Singh Polytechnic College Of Engineering </t>
  </si>
  <si>
    <t xml:space="preserve">Savitribai Phule Pune University </t>
  </si>
  <si>
    <t xml:space="preserve">Gokhale Education Society R. H Sapat Collage Of Enginneering </t>
  </si>
  <si>
    <t>AutoCad,MS Project,Excel</t>
  </si>
  <si>
    <t>P26700031</t>
  </si>
  <si>
    <t>Sagar</t>
  </si>
  <si>
    <t>Rajaram</t>
  </si>
  <si>
    <t>Jadhavar</t>
  </si>
  <si>
    <t>Sagar Rajaram Jadhavar</t>
  </si>
  <si>
    <t>P26700031@student.nicmar.ac.in</t>
  </si>
  <si>
    <t>08-Nov-1997</t>
  </si>
  <si>
    <t>English,marathi,hindi</t>
  </si>
  <si>
    <t>Reading,Documentaries ,Adventure,Travelling</t>
  </si>
  <si>
    <t>Goverment Employee</t>
  </si>
  <si>
    <t>Lilavati</t>
  </si>
  <si>
    <t>Samarth colony ,Kasarwadi Road ,Barshi</t>
  </si>
  <si>
    <t>Supreme Infra  | Planning Engineeer  | Pune | Jul 2025 | May 2026 | 0 Years, 10 Months, 19 Days | 3
Supreme Infra  | Site Engineer | Pune | Jul 2024 | Jun 2025 | 0 Years, 11 Months, 29 Days | 2.4</t>
  </si>
  <si>
    <t>P26700032</t>
  </si>
  <si>
    <t>Ehtesham</t>
  </si>
  <si>
    <t>Zakir Hussain</t>
  </si>
  <si>
    <t xml:space="preserve"> Sayed</t>
  </si>
  <si>
    <t>Ehtesham Zakir Hussain  Sayed</t>
  </si>
  <si>
    <t>P26700032@student.nicmar.ac.in</t>
  </si>
  <si>
    <t xml:space="preserve">Reading, travelling,Music </t>
  </si>
  <si>
    <t>Sayed Zakir Hussain</t>
  </si>
  <si>
    <t xml:space="preserve"> Service</t>
  </si>
  <si>
    <t>Sayed Shabina Banoo</t>
  </si>
  <si>
    <t xml:space="preserve">G-103, Chandresh Chayya, Lodha Complex, Mira Road East </t>
  </si>
  <si>
    <t xml:space="preserve">N.H English Academy </t>
  </si>
  <si>
    <t>Maharashtra State Board of Secondary and Higher Secondary Education, Mumbai</t>
  </si>
  <si>
    <t>Royal College of Arts, Science and Commerce</t>
  </si>
  <si>
    <t>Pravin Patil College of Diploma Engineering &amp; Technology, Mira Bhayandar, Maharashtra</t>
  </si>
  <si>
    <t>M.H. Saboo Siddik College of Engineering, Mumbai, Maharashtra</t>
  </si>
  <si>
    <t>AutoCAD, MS Project, MS Excel,MS Word &amp; PowerPoint,Procurement &amp; Material Management,RMC Procurement &amp; Coordination,Rate Analysis &amp; Cost Estimation,Vendor Management</t>
  </si>
  <si>
    <t>Avenue Supermarts Ltd. | Assistant Manager - Procurement | Thane | Jun 2025 | Jul 2026 | 1 Years, 0 Months, 20 Days | 4.3</t>
  </si>
  <si>
    <t>SKAF Construction Pvt. Ltd. | Intern | Borivali, Mumbai | Dec 2024 | Jan 2025 | 4 Weeks</t>
  </si>
  <si>
    <t>P26700033</t>
  </si>
  <si>
    <t>Vinayak</t>
  </si>
  <si>
    <t>Shekharappa</t>
  </si>
  <si>
    <t>Halli</t>
  </si>
  <si>
    <t>Vinayak Shekharappa Halli</t>
  </si>
  <si>
    <t>P26700033@student.nicmar.ac.in</t>
  </si>
  <si>
    <t>07-Aug-2003</t>
  </si>
  <si>
    <t>English,Kannada,Hindi,Telugu</t>
  </si>
  <si>
    <t>Music,Sports</t>
  </si>
  <si>
    <t>Shekharappa Halli</t>
  </si>
  <si>
    <t>Nothing</t>
  </si>
  <si>
    <t>Manjula Shekharappa Halli</t>
  </si>
  <si>
    <t>Sharanabasaveshwar Nagar Betageri Gadag Karnataka - 582102</t>
  </si>
  <si>
    <t>Gadag</t>
  </si>
  <si>
    <t>Lions G D Shah English Medium High School Gadag -582101</t>
  </si>
  <si>
    <t>Karnataka Secondary Education Examination Board (KSEEB)</t>
  </si>
  <si>
    <t>Anjuman E Islam Polytechnic Gadag 582101 -Karnataka</t>
  </si>
  <si>
    <t>Visvesvaraya Technological University Belagavi</t>
  </si>
  <si>
    <t>Tontadrya College of Engineering Gadag 582101 Karnataka</t>
  </si>
  <si>
    <t>Building Information Modelling,AutoCAD,3Ds Max</t>
  </si>
  <si>
    <t>EduCADD Learning Solutions Pvt Ltd  | Student Intern | EduCADD Kammanahalli Bangalore | Feb 2026 | May 2026 | 13 Weeks</t>
  </si>
  <si>
    <t>BIM Course Complition Certificate</t>
  </si>
  <si>
    <t>P26700034</t>
  </si>
  <si>
    <t>Prajwal</t>
  </si>
  <si>
    <t>Keshav</t>
  </si>
  <si>
    <t>Sonawane</t>
  </si>
  <si>
    <t>Prajwal Keshav Sonawane</t>
  </si>
  <si>
    <t>P26700034@student.nicmar.ac.in</t>
  </si>
  <si>
    <t xml:space="preserve">Hindi, Marathi English </t>
  </si>
  <si>
    <t>Playing Videogames,Exploring,Cricket</t>
  </si>
  <si>
    <t>Keshav Sonawane</t>
  </si>
  <si>
    <t>Charushila Sonawane</t>
  </si>
  <si>
    <t xml:space="preserve">Government Teacher </t>
  </si>
  <si>
    <t>Shrimantyogi Bunglow, Devaji Nagar, Chaugaon Road, Satana, Nashik</t>
  </si>
  <si>
    <t>Central Board of Secondary Education, Nashik</t>
  </si>
  <si>
    <t>Gramoday Secondary and Higher secondary vidyalaya, Nashik</t>
  </si>
  <si>
    <t>Central Board of Secondary Education , Nashik</t>
  </si>
  <si>
    <t>Savitribai Phule Pune University,Pune</t>
  </si>
  <si>
    <t>Dr.D.Y.Patil College of Architecture, Akurdi</t>
  </si>
  <si>
    <t>Autocad 2d, sketchup 3d, MS Office , Photoshop , Unreal engine, lumion, Revit</t>
  </si>
  <si>
    <t>Spacemekk designers pvt.ltd. | Intern | Morwadi,Pimpri- Chinchwad | May 2025 | Nov 2025 | 29 Weeks | Campus Internship</t>
  </si>
  <si>
    <t>P26700035</t>
  </si>
  <si>
    <t>TALARI</t>
  </si>
  <si>
    <t>BHANU TEJA</t>
  </si>
  <si>
    <t>Talari Bhanu Teja</t>
  </si>
  <si>
    <t>P26700035@student.nicmar.ac.in</t>
  </si>
  <si>
    <t>02-Jul-2004</t>
  </si>
  <si>
    <t>READING,PLAYING GAMES</t>
  </si>
  <si>
    <t>TALARI APPARAO</t>
  </si>
  <si>
    <t>TALARI KONDATHALLI</t>
  </si>
  <si>
    <t>D.NO- 1-4,SATYAVARAM VILLAGE,V.MADUGULA MANDAL,ANAKAPALLI DISTRICT,ANDHRA PRADESH-531027</t>
  </si>
  <si>
    <t>SRI VIGNAN HIGH SCHOOL</t>
  </si>
  <si>
    <t>SAI GANAPATHI POLYTECHNIC,VISAKHAPATNAM</t>
  </si>
  <si>
    <t>JAWAHARLAL NEHRU TECHNOLIGICAL UNIVERSITY,KAKINADA</t>
  </si>
  <si>
    <t>GODAVARI INSTITUTE OF ENGINEERING AND TECHNOLOGY</t>
  </si>
  <si>
    <t>MS Project,Primavera,Autocad,Revit,MS Office</t>
  </si>
  <si>
    <t>KARLAN CONSTRUCTIONS LLP | INTERN | VISAKHAPATNAM | Mar 2026 | Jun 2026 | 14 Weeks | Campus Internship
KOMAL BUILDCON PVT LTD | INTERN | VISAKHAPATNAM | Aug 2022 | Dec 2022 | 18 Weeks | Campus Internship</t>
  </si>
  <si>
    <t>Building Materials as s Cornerstone to Sustainability
Quantity Surveying and Cost Estimation
Revit Architecture and BIM</t>
  </si>
  <si>
    <t>P26700036</t>
  </si>
  <si>
    <t>Neeraj</t>
  </si>
  <si>
    <t>Valsan</t>
  </si>
  <si>
    <t>Neeraj Valsan</t>
  </si>
  <si>
    <t>neerajvalsan@gmail.com</t>
  </si>
  <si>
    <t>P26700036@student.nicmar.ac.in</t>
  </si>
  <si>
    <t>07-Mar-2001</t>
  </si>
  <si>
    <t>Football,Movies,Reading</t>
  </si>
  <si>
    <t>Valsan Moolakkat</t>
  </si>
  <si>
    <t>Nisha Kumari</t>
  </si>
  <si>
    <t>Lawyer</t>
  </si>
  <si>
    <t>'Cherath', Edachery, Pallikunnu PO, Kannur</t>
  </si>
  <si>
    <t>Chinmaya Vidyalaya</t>
  </si>
  <si>
    <t>CBSE,Kannur,Kerala</t>
  </si>
  <si>
    <t>St.Micheals AIHSS</t>
  </si>
  <si>
    <t>Board of Higher Secondary Education, Kerala</t>
  </si>
  <si>
    <t>SRM University</t>
  </si>
  <si>
    <t>SRM Institute of Science and Technology</t>
  </si>
  <si>
    <t>Autocad,MS Project,Revit,Sketchup,Lumion,Photoshop,MS Office</t>
  </si>
  <si>
    <t>Avesana | Junior Architect | Delhi | Nov 2024 | Jun 2026 | 1 Years, 7 Months, 1 Days | 3.12</t>
  </si>
  <si>
    <t>Shiva's Architect and Planners | Intern Architect | Hyderabad | Jun 2023 | Nov 2023 | 20 Weeks | Campus Internship</t>
  </si>
  <si>
    <t>P26700037</t>
  </si>
  <si>
    <t>Ankita</t>
  </si>
  <si>
    <t xml:space="preserve">Hanamant </t>
  </si>
  <si>
    <t xml:space="preserve">Kulkarni Ankita Hanamant </t>
  </si>
  <si>
    <t>P26700037@student.nicmar.ac.in</t>
  </si>
  <si>
    <t>04-Oct-2003</t>
  </si>
  <si>
    <t>Dancing,Reading,Photography</t>
  </si>
  <si>
    <t>Hanamant Gangadhar Kulkarni</t>
  </si>
  <si>
    <t>Uma Hanamant Kulkarni</t>
  </si>
  <si>
    <t>M 48 Sahavas Nagar Jule Solapur near kumthekar hospital, Solapur</t>
  </si>
  <si>
    <t xml:space="preserve">INDIAN MODEL SCHOOL </t>
  </si>
  <si>
    <t>Solapur, Maharashtra</t>
  </si>
  <si>
    <t xml:space="preserve">Civil Engineering </t>
  </si>
  <si>
    <t>GOVERNMENT POLYTECHNIC, SOLAPUR</t>
  </si>
  <si>
    <t>Godrej Properties | Senior Civil Officer | Pune | Jul 2025 | Oct 2025 | 0 Years, 3 Months, 26 Days | 3.2</t>
  </si>
  <si>
    <t>ACN CONSTRUCTIONS PRIVATE LIMITED | Intern | Pune | Dec 2023 | Jan 2024 | 4 Weeks | Campus Internship
Godrej Properties  | Senior Civil Officer | Pune | Aug 2024 | Jun 2025 | 44 Weeks
Mahalaxmi Construction Company | Junior Engineer | Solapur | Nov 2025 | Jun 2026 | 32 Weeks</t>
  </si>
  <si>
    <t>P26700038</t>
  </si>
  <si>
    <t xml:space="preserve">Dhanya </t>
  </si>
  <si>
    <t>Sibi</t>
  </si>
  <si>
    <t>Dhanya  Sibi</t>
  </si>
  <si>
    <t>P26700038@student.nicmar.ac.in</t>
  </si>
  <si>
    <t>03-Nov-1999</t>
  </si>
  <si>
    <t>Malayalam,English,Hindi,Tamil</t>
  </si>
  <si>
    <t>Reading, sports</t>
  </si>
  <si>
    <t>Sibi George</t>
  </si>
  <si>
    <t>Beena Sibi</t>
  </si>
  <si>
    <t>Kizhakkeparambil House 
Karimkayam post 
Kizhakkencherry 
Mangalam Dam</t>
  </si>
  <si>
    <t xml:space="preserve">Cherupushpam Girls Higher Secondary School </t>
  </si>
  <si>
    <t>Nemmara Boys School, Nemmara</t>
  </si>
  <si>
    <t>Karunya University</t>
  </si>
  <si>
    <t>Christ University</t>
  </si>
  <si>
    <t>Etabs,Autocad,MS office</t>
  </si>
  <si>
    <t>Designtree Consulatants pvt.ltd | Trainee Structural Design Engineer | Bengaluru | Jul 2023 | Apr 2024 | 0 Years, 9 Months, 2 Days | 3.6</t>
  </si>
  <si>
    <t>Shapoorji Pallonji | Intern | Palakkad, Kerala | Jan 2021 | Apr 2021 | 12 Weeks | Campus Internship</t>
  </si>
  <si>
    <t>P26700039</t>
  </si>
  <si>
    <t>Purva</t>
  </si>
  <si>
    <t>Babasaheb</t>
  </si>
  <si>
    <t>Suryawanshi</t>
  </si>
  <si>
    <t>Purva Babasaheb Suryawanshi</t>
  </si>
  <si>
    <t>P26700039@student.nicmar.ac.in</t>
  </si>
  <si>
    <t>14-Jan-2002</t>
  </si>
  <si>
    <t>Hindi , English, Marathi</t>
  </si>
  <si>
    <t>Cooking ,painting</t>
  </si>
  <si>
    <t>Ex Servicemen</t>
  </si>
  <si>
    <t>Vijaya</t>
  </si>
  <si>
    <t>NEAR MEDICAL COLLEGE SOMWANSHI NAGAR (ARVI) LATUR 
BEHIND HANUMAN MANDIR</t>
  </si>
  <si>
    <t>NARHE NEAR MAHARASHTRA BANK
LOTUS PARK BLDG</t>
  </si>
  <si>
    <t xml:space="preserve">Kripa Sadan Convent High School </t>
  </si>
  <si>
    <t>Maharashtra state board of secondary and higher secondary education.</t>
  </si>
  <si>
    <t xml:space="preserve">Government residential women's polytechnic </t>
  </si>
  <si>
    <t>savitribai phule pune university</t>
  </si>
  <si>
    <t xml:space="preserve">JSPM Rajeshri Shahu College of engineering </t>
  </si>
  <si>
    <t>Autocad , MS Office , MS Project</t>
  </si>
  <si>
    <t>PrimaVerse  | Junior civil engineer  | Symphony IT Park nanded city  | Nov 2024 | May 2025 | 0 Years, 6 Months, 26 Days | 2.4</t>
  </si>
  <si>
    <t xml:space="preserve">Onsite Civil Training on building construction </t>
  </si>
  <si>
    <t>P26700040</t>
  </si>
  <si>
    <t>Aswin</t>
  </si>
  <si>
    <t>Varaha Sitaram Reddy</t>
  </si>
  <si>
    <t>Neelapu</t>
  </si>
  <si>
    <t>Aswin Varaha Sitaram Reddy Neelapu</t>
  </si>
  <si>
    <t>P26700040@student.nicmar.ac.in</t>
  </si>
  <si>
    <t>21-Sep-2005</t>
  </si>
  <si>
    <t>Telugu,English ,Hindi</t>
  </si>
  <si>
    <t>Singing,Cricket,Writing</t>
  </si>
  <si>
    <t>Neelapu Srinivasa Reddy</t>
  </si>
  <si>
    <t>Neelapu Aruna Kumari</t>
  </si>
  <si>
    <t xml:space="preserve">Housewife </t>
  </si>
  <si>
    <t>Don-5-190, SC and BC Colony, Venakatapuram, Gopalapatnam,Vishakapatnam-530029</t>
  </si>
  <si>
    <t>Balaji English Medium High School</t>
  </si>
  <si>
    <t xml:space="preserve">Diploma in Civil Engineering </t>
  </si>
  <si>
    <t>Government Polytechnic-Pendurthi, Visakhapatnam, Andhra Pradesh</t>
  </si>
  <si>
    <t xml:space="preserve">Andhra University </t>
  </si>
  <si>
    <t xml:space="preserve">Anil Neerukonda Institute of Technology and Sciences, Visakhapatnam, Andhra Pradesh </t>
  </si>
  <si>
    <t>AutoCAD,MS Project,Excel</t>
  </si>
  <si>
    <t>Megha Engineering And Infrastructure Private Limited | Intern Trainee | Odisha | May 2025 | Jun 2025 | 4 Weeks | Campus Internship</t>
  </si>
  <si>
    <t>P26700041</t>
  </si>
  <si>
    <t>Atharv</t>
  </si>
  <si>
    <t>Bipin</t>
  </si>
  <si>
    <t>Korgaonkar</t>
  </si>
  <si>
    <t>Atharv Bipin Korgaonkar</t>
  </si>
  <si>
    <t>P26700041@student.nicmar.ac.in</t>
  </si>
  <si>
    <t xml:space="preserve">Trekking, Talking to People,Gymming ,Acting ,Shooting </t>
  </si>
  <si>
    <t>Vaishali</t>
  </si>
  <si>
    <t>Banker</t>
  </si>
  <si>
    <t>Room 101, A-wing, Jagannatha Plaza, infront of Talathi Office, Kankavli</t>
  </si>
  <si>
    <t>Room 101, A-wing, Jagannatha Plaza, infront of Talathi Office, Kankavli- 416602</t>
  </si>
  <si>
    <t>Ideal English School And Junior College of commerce &amp; science</t>
  </si>
  <si>
    <t xml:space="preserve">Maharashtra state board of secondary and higher secondary education, Kankavli, Maharashtra </t>
  </si>
  <si>
    <t xml:space="preserve">Mumbai university </t>
  </si>
  <si>
    <t>Sardar patel college of engineering, Mumbai, Maharashtra</t>
  </si>
  <si>
    <t>AutoCAD, MS Project, Canva</t>
  </si>
  <si>
    <t>SMC Infrastructure pvt ltd | Site Supervisor Intern | Airoli, Navi Mumbai  | Jan 2026 | Apr 2026 | 14 Weeks | Campus Internship</t>
  </si>
  <si>
    <t>P26700042</t>
  </si>
  <si>
    <t>Girish Raghunath Yadav</t>
  </si>
  <si>
    <t>P26700042@student.nicmar.ac.in</t>
  </si>
  <si>
    <t>03-Mar-1997</t>
  </si>
  <si>
    <t xml:space="preserve">MARATHI,HINDI,ENGLISH </t>
  </si>
  <si>
    <t>Writing short stories, Dancing ,Watching Anime,Music</t>
  </si>
  <si>
    <t>Raghunath</t>
  </si>
  <si>
    <t>Jayashri</t>
  </si>
  <si>
    <t>AT POST KHADKA TQ SONPETH DIST PARBHANI
Parbhani</t>
  </si>
  <si>
    <t>Parbhani</t>
  </si>
  <si>
    <t>Mahesh Galaxy, D wing Flat no. 1101, sinhagad road</t>
  </si>
  <si>
    <t>Mahatma Jyotiba Phule Vidyalay, Kalamnuri</t>
  </si>
  <si>
    <t>State Board Of Maharashtra</t>
  </si>
  <si>
    <t>Dr. Chandrabhanu Sonavane jr. College Latur</t>
  </si>
  <si>
    <t>Sate Board Of Maharashtra</t>
  </si>
  <si>
    <t>Government Polytechnic Ambad, Ambad</t>
  </si>
  <si>
    <t>Dr. Babasaheb Ambedkar Technological University, Lonere</t>
  </si>
  <si>
    <t>Shri Shivaji Institute Of Engineering And Management Studies, Parbhani</t>
  </si>
  <si>
    <t>CSC e-Governance Solutions | Block Technical Officer(RGSA) | Panchayat Samiti, Pathri | Apr 2021 | Jun 2022 | 1 Years, 2 Months, 29 Days | 2.4</t>
  </si>
  <si>
    <t>P26700043</t>
  </si>
  <si>
    <t>Viraj</t>
  </si>
  <si>
    <t>Nandkishor</t>
  </si>
  <si>
    <t>Jagtap</t>
  </si>
  <si>
    <t>Viraj Nandkishor Jagtap</t>
  </si>
  <si>
    <t>P26700043@student.nicmar.ac.in</t>
  </si>
  <si>
    <t>27-Aug-2004</t>
  </si>
  <si>
    <t>Playing Football,Gym &amp; Fitness Training,Listening to Music,Running,Watching documentaries</t>
  </si>
  <si>
    <t>Nandkishor Dattoba Jagtap</t>
  </si>
  <si>
    <t>Annapurna Nandkishor Jagtap</t>
  </si>
  <si>
    <t>At post Shelkewadi, Tal- Kavathemahankal, Dist - Sangli</t>
  </si>
  <si>
    <t>Kirloskar Highschool, Kirloskarvadi</t>
  </si>
  <si>
    <t xml:space="preserve">  SSC Board</t>
  </si>
  <si>
    <t>Rajput Junior College of Science</t>
  </si>
  <si>
    <t>Walchand College of Engineering Sangli</t>
  </si>
  <si>
    <t>AutoCAD ,MS Office,MS Project,Primavera,Revit</t>
  </si>
  <si>
    <t>P26700044</t>
  </si>
  <si>
    <t>Vatre</t>
  </si>
  <si>
    <t xml:space="preserve">Dhairyasheel </t>
  </si>
  <si>
    <t>Prakash</t>
  </si>
  <si>
    <t>Vatre Dhairyasheel  Prakash</t>
  </si>
  <si>
    <t>dpvatre@gmail.com</t>
  </si>
  <si>
    <t>P26700044@student.nicmar.ac.in</t>
  </si>
  <si>
    <t>02-Aug-2004</t>
  </si>
  <si>
    <t xml:space="preserve">Marathi ,English ,Hindi </t>
  </si>
  <si>
    <t xml:space="preserve">Working out , swimming,Volunteering,exploring new places </t>
  </si>
  <si>
    <t>5133 6782 3467</t>
  </si>
  <si>
    <t>Prakash vatre</t>
  </si>
  <si>
    <t>Nita vatre</t>
  </si>
  <si>
    <t xml:space="preserve">Paradise appartment wakhan road karad </t>
  </si>
  <si>
    <t>Holy family convent high school</t>
  </si>
  <si>
    <t>SSC karad Maharashtra</t>
  </si>
  <si>
    <t xml:space="preserve">Civil engineering </t>
  </si>
  <si>
    <t>Government Polytechnic Karad , Maharashtra</t>
  </si>
  <si>
    <t>MIT ADT Pune</t>
  </si>
  <si>
    <t>MIT ADT Pune Maharashtra</t>
  </si>
  <si>
    <t>AutoCAD, MS office.</t>
  </si>
  <si>
    <t>P26700045</t>
  </si>
  <si>
    <t>Yashika</t>
  </si>
  <si>
    <t>Khanna</t>
  </si>
  <si>
    <t>Yashika Khanna</t>
  </si>
  <si>
    <t>P26700045@student.nicmar.ac.in</t>
  </si>
  <si>
    <t>28-Nov-2000</t>
  </si>
  <si>
    <t>Music,Fashion ,Travel</t>
  </si>
  <si>
    <t>Mr. Gagan Khanna</t>
  </si>
  <si>
    <t>Businessman</t>
  </si>
  <si>
    <t>Mrs. Veenu Khanna</t>
  </si>
  <si>
    <t>Businesswomen</t>
  </si>
  <si>
    <t>H. No. C-54, Street no. 2, Hardev Nagar, near Jharoda Majra, Burari, Delhi- 110084</t>
  </si>
  <si>
    <t>North Delhi</t>
  </si>
  <si>
    <t>Goodley Public School</t>
  </si>
  <si>
    <t>Guru Gobind Singh Indraprastha University</t>
  </si>
  <si>
    <t>MBS School of Planning and Architecture, Dwarka, New Delhi</t>
  </si>
  <si>
    <t>AutoCAD,Revit,MS Office</t>
  </si>
  <si>
    <t>Creative Group LLP | Jr. Architect | Delhi | Oct 2024 | Jun 2026 | 1 Years, 8 Months, 13 Days | 3.96
Studio Design Palette | Intern Architect | NSP, Delhi | Aug 2023 | Dec 2023 | 0 Years, 3 Months, 27 Days | 1.08
Design Archito | Summer Intern | Rajouri Garden, New Delhi | Jul 2022 | Sep 2022 | 0 Years, 1 Months, 15 Days | 0.72</t>
  </si>
  <si>
    <t>P26700046</t>
  </si>
  <si>
    <t xml:space="preserve">Virdhawal </t>
  </si>
  <si>
    <t xml:space="preserve">Dadasaheb </t>
  </si>
  <si>
    <t xml:space="preserve">Darade </t>
  </si>
  <si>
    <t xml:space="preserve">Virdhawal  Dadasaheb  Darade </t>
  </si>
  <si>
    <t>virdhawaldarade830@gmail.com</t>
  </si>
  <si>
    <t>P26700046@student.nicmar.ac.in</t>
  </si>
  <si>
    <t>30-Dec-2000</t>
  </si>
  <si>
    <t xml:space="preserve">Marathi, English, Hindi </t>
  </si>
  <si>
    <t>Volunteering ,team sports ,Travel ,Bike Rides</t>
  </si>
  <si>
    <t xml:space="preserve">Dadasaheb Ramchandra Darade </t>
  </si>
  <si>
    <t xml:space="preserve">Teacher </t>
  </si>
  <si>
    <t xml:space="preserve">Swapna Dadasaheb Darade </t>
  </si>
  <si>
    <t xml:space="preserve">Government employee </t>
  </si>
  <si>
    <t>At - Akole, Post-Nirgude, Tal-Indapur, Dist-Pune</t>
  </si>
  <si>
    <t xml:space="preserve">DARADE VIRDHAWAL DADASAHEB </t>
  </si>
  <si>
    <t xml:space="preserve">Maharashtra state board </t>
  </si>
  <si>
    <t xml:space="preserve">Darade Virdhawal Dadasaheb </t>
  </si>
  <si>
    <t xml:space="preserve">Savitribai phule pune university </t>
  </si>
  <si>
    <t>Vidya Pratishthan's Kamalnayan Bajaj Institute of Engineering and Technology</t>
  </si>
  <si>
    <t>Ms excel,  Ms project</t>
  </si>
  <si>
    <t>Hella Infra Market Limited | Assistant manager Quality Control | Pune | Sep 2023 | Jul 2026 | 2 Years, 9 Months, 9 Days</t>
  </si>
  <si>
    <t>P26700047</t>
  </si>
  <si>
    <t>THANZEER</t>
  </si>
  <si>
    <t>N Thanzeer</t>
  </si>
  <si>
    <t>P26700047@student.nicmar.ac.in</t>
  </si>
  <si>
    <t>22-Aug-2000</t>
  </si>
  <si>
    <t>SINGING,FOOTBALL,BIKING,TREKKING</t>
  </si>
  <si>
    <t>NASARUDEEN N H</t>
  </si>
  <si>
    <t>GOVT EMPLOYEE (RETIRED)</t>
  </si>
  <si>
    <t>SHAJIDHA B</t>
  </si>
  <si>
    <t>NAZAR MANZIL, ALENCHERRY, YEROOR (P.O)</t>
  </si>
  <si>
    <t>ST JOHN'S SCHOOL, ANCHAL</t>
  </si>
  <si>
    <t>VVHSS, POREDOM</t>
  </si>
  <si>
    <t>KERALA BOARD OF HIGHER SECONDARY EDUCAION</t>
  </si>
  <si>
    <t>MAR BASEIOS COLLEGE OF ENGINEERING AD TECHNOLOGY, THIRUVANANTHAPURAM</t>
  </si>
  <si>
    <t>TKM COLLEGE OF ENGINEERING, KOLLAM</t>
  </si>
  <si>
    <t>AutoCAD,Revit,ETABS,STAADPro,Lumion,MS Project,Primavera</t>
  </si>
  <si>
    <t>SOBHA Ltd. | Project Intern | Thiruvananthapuram | Jun 2025 | Aug 2025 | 7 Weeks | Campus Internship</t>
  </si>
  <si>
    <t>Master Diploma in BIM Technologies - AutoCAD, 3DS Max, ETABS, Lumion, Navisworks, Primavera, Revit (Arch, MEP, Structure), StaadPro, V-Ray, VR
NPTEL-Development and Applications of Special Concretes
Konkan Railway Academy - Skilling Engineers for Professional Success
National Service Scheme - Higher Secondary
National Service Scheme - BTech</t>
  </si>
  <si>
    <t>P26700048</t>
  </si>
  <si>
    <t>Mohmmad</t>
  </si>
  <si>
    <t>Fazil</t>
  </si>
  <si>
    <t>Ashar</t>
  </si>
  <si>
    <t>Mohmmad Fazil Ashar</t>
  </si>
  <si>
    <t>fazilmuhammad537@gmail.com</t>
  </si>
  <si>
    <t>P26700048@student.nicmar.ac.in</t>
  </si>
  <si>
    <t>Hindi,Marathi,english</t>
  </si>
  <si>
    <t>Hiking,    Exploring Offbeat places</t>
  </si>
  <si>
    <t>DOLPA4820N</t>
  </si>
  <si>
    <t>Abdus Salik</t>
  </si>
  <si>
    <t>Asma</t>
  </si>
  <si>
    <t>Khamgaon road , aqsa complex , Vyanktesh nagar , Shegaon</t>
  </si>
  <si>
    <t>Shri Gajanan Maharaj English School</t>
  </si>
  <si>
    <t>Dr.D.Y.Patil Prathisthan’s Y.B.Patil Polytechnic,Akurdi,Pune</t>
  </si>
  <si>
    <t>Pillai HOC College of Engineering &amp; Technology</t>
  </si>
  <si>
    <t>2025-Feb</t>
  </si>
  <si>
    <t>AutoCad,Ms office</t>
  </si>
  <si>
    <t>Intertek India Private Limited | Site Engineer | Mumbai | Dec 2025 | Jun 2026 | 0 Years, 5 Months, 17 Days | 4.27</t>
  </si>
  <si>
    <t>P26700049</t>
  </si>
  <si>
    <t>Kapish</t>
  </si>
  <si>
    <t>Mohit</t>
  </si>
  <si>
    <t>Mehrotra</t>
  </si>
  <si>
    <t>Kapish Mohit Mehrotra</t>
  </si>
  <si>
    <t>P26700049@student.nicmar.ac.in</t>
  </si>
  <si>
    <t>17-Oct-2003</t>
  </si>
  <si>
    <t>Hindi,english,marathi</t>
  </si>
  <si>
    <t>Sports,Music,Sudoku,Trekking,Hiking,Trvelling</t>
  </si>
  <si>
    <t>Mohit Mehrotra</t>
  </si>
  <si>
    <t>Smita Mehrotra</t>
  </si>
  <si>
    <t>Housequeen</t>
  </si>
  <si>
    <t>402,Shreeman Complex,A-Wing,Above Union Bank Of India,Dhantoli,Nagpur-440012</t>
  </si>
  <si>
    <t>CENTRE POINT SCHOOL KATOL ROAD NAGPUR</t>
  </si>
  <si>
    <t>CBSE Maharashtra Nagpur</t>
  </si>
  <si>
    <t>Rashtrasant Tukadoji Maharaj Nagpur University</t>
  </si>
  <si>
    <t>YESHWANTRAO CHAVAN COLLEGE OF ENGINEERING Nagpur</t>
  </si>
  <si>
    <t>AutoCAD,Microsoft Excel</t>
  </si>
  <si>
    <t>P26700050</t>
  </si>
  <si>
    <t>Prashant Pramod Mane</t>
  </si>
  <si>
    <t>prashantmane325@gmail.com</t>
  </si>
  <si>
    <t>P26700050@student.nicmar.ac.in</t>
  </si>
  <si>
    <t>23-Jul-2001</t>
  </si>
  <si>
    <t>Reading,Outdoor Sports,Hiking</t>
  </si>
  <si>
    <t>PRAMOD MANE</t>
  </si>
  <si>
    <t>PRATIBHA MANE</t>
  </si>
  <si>
    <t xml:space="preserve">
FLAT NO 6 ASAWARI APT NEAR BHIMSEN JOSHI NATYAGRAH AUNDH PUNE</t>
  </si>
  <si>
    <t>Aundh
FLAT NO 6 ASAWARI APT NEAR BHIMSEN JOSHI NATYAGRAH AUNDH PUNE</t>
  </si>
  <si>
    <t>VIDYA BHAVAN HIGH SCHOOL AND JUNIOR COLLEGE</t>
  </si>
  <si>
    <t>MAHARASHTRA STATE BOARD OF SECONDARY AND HIGHER SECONDARY EDUCATION-PUNE BOARD</t>
  </si>
  <si>
    <t>BHONSALA MILITARY SCHOOL NASHIK</t>
  </si>
  <si>
    <t>MAHARASHTRA STATE BOARD OF SECONDARY AND HIGHER SECONDARY EDUCATION-NASHIK BOARD</t>
  </si>
  <si>
    <t>SPPU UNIVERSITY PUNE</t>
  </si>
  <si>
    <t>JSPM'S RSCOE COLLEGE OF ENGINEERING TATHAWADE</t>
  </si>
  <si>
    <t>2025-Dec</t>
  </si>
  <si>
    <t>MS OFFICE MS PROJECT PRIMAVERA,Excel</t>
  </si>
  <si>
    <t>Rajpath Infracon Pvt.Ltd | Junior Engineer | Baner, Pune | Sep 2024 | Apr 2026 | 1 Years, 7 Months, 28 Days | 2.67</t>
  </si>
  <si>
    <t>P26700051</t>
  </si>
  <si>
    <t>Himanshu</t>
  </si>
  <si>
    <t>Kumar</t>
  </si>
  <si>
    <t>Himanshu Kumar</t>
  </si>
  <si>
    <t>saxena.himanshu698@gmail.com</t>
  </si>
  <si>
    <t>P26700051@student.nicmar.ac.in</t>
  </si>
  <si>
    <t>12-Apr-2003</t>
  </si>
  <si>
    <t>Travelling,Running,Photography,Sketching</t>
  </si>
  <si>
    <t>Hari Krishan</t>
  </si>
  <si>
    <t>Central Government Pensioner</t>
  </si>
  <si>
    <t>Sneh Lata</t>
  </si>
  <si>
    <t>Behind Of Prasad Cinema Kachcha Tundla, Near RPF Ground (Pal Chai Shop)</t>
  </si>
  <si>
    <t>TINY TOTS ENG MEDIUM SCHOOL</t>
  </si>
  <si>
    <t>DIPLOMA IN ENGINEERING</t>
  </si>
  <si>
    <t>D.E.I. TECHNICAL COLLEGE AGRA</t>
  </si>
  <si>
    <t>DR. A.P.J. ABDUL KALAM TECHNICAL UNIVERSITY</t>
  </si>
  <si>
    <t>RISHI INSTITUTE OF ENGINEERING &amp; TECHNOLOGY, MEERUT</t>
  </si>
  <si>
    <t>MICROSOFT EXCEL,MICROSOFT PROJECT, MICROSOFT POWER BI , GENERATIVE AI , PROMPT ENGINEERING</t>
  </si>
  <si>
    <t>MICROSOFT EXCEL BY UDEMY
GENERATIVE AI FOUNDATION CERTIFICATE BY UPGRAD
AI TOOLS &amp; CLAUDE WORKSHOP BY BE10X</t>
  </si>
  <si>
    <t>P26700052</t>
  </si>
  <si>
    <t>Soumadeep</t>
  </si>
  <si>
    <t>Dey</t>
  </si>
  <si>
    <t>Modak</t>
  </si>
  <si>
    <t>Soumadeep Dey Modak</t>
  </si>
  <si>
    <t>P26700052@student.nicmar.ac.in</t>
  </si>
  <si>
    <t>21-Nov-2001</t>
  </si>
  <si>
    <t>Consultancy,Planning,Business Development,Contracts</t>
  </si>
  <si>
    <t>Basudeb Dey Modak</t>
  </si>
  <si>
    <t>Pratima Dey Modak</t>
  </si>
  <si>
    <t>1st Floor, Joy Guru Fruit Center, Opp. Lal Bazar Traffic Post, Lal Bazar More</t>
  </si>
  <si>
    <t>Bankura</t>
  </si>
  <si>
    <t>Assembly of God Church School</t>
  </si>
  <si>
    <t>Indian Certificate of Secondary Education, West Bengal</t>
  </si>
  <si>
    <t>Central Academy</t>
  </si>
  <si>
    <t>Central Board of Secondary Education, Kota</t>
  </si>
  <si>
    <t>Jadavpur University</t>
  </si>
  <si>
    <t>Jadavpur University, Kolkata</t>
  </si>
  <si>
    <t>AutoCAD,Staad Pro,MS OFFICE,MS Project,Naviworks</t>
  </si>
  <si>
    <t>Tata Consulting Engineers | Senior Engineer | Kolkata | Aug 2024 | Jun 2026 | 1 Years, 10 Months, 24 Days | 6.02</t>
  </si>
  <si>
    <t>P26700053</t>
  </si>
  <si>
    <t>Gauri</t>
  </si>
  <si>
    <t>Parag</t>
  </si>
  <si>
    <t>Gauri Parag Patil</t>
  </si>
  <si>
    <t>P26700053@student.nicmar.ac.in</t>
  </si>
  <si>
    <t>23-Nov-2002</t>
  </si>
  <si>
    <t>Architecture &amp; infrastructure photography,Problem-solving activities &amp; puzzles,3D modelling,Model making</t>
  </si>
  <si>
    <t>Parag Patil</t>
  </si>
  <si>
    <t>Consultant</t>
  </si>
  <si>
    <t>Anjali Patil</t>
  </si>
  <si>
    <t>Emilia-204,Nyati Meadows,Wadgaon Sheri, Pune</t>
  </si>
  <si>
    <t xml:space="preserve"> RYAN INTERNATIONAL SCHOOL</t>
  </si>
  <si>
    <t>COUNCIL FOR THE INDIAN SCHOOL CERTIFICATE EXAMINATIONS, Navi Mumbai Maharashtra</t>
  </si>
  <si>
    <t xml:space="preserve">GREENFINGERS GLOBAL SCHOOL KHARGHAR NAVI MUMBAI </t>
  </si>
  <si>
    <t>CENTRAL BOARD OF SECONDARY EDUCATION, Navi Mumbai Maharashtra</t>
  </si>
  <si>
    <t>MARATHWADA MITRA MANDAL'S INSTITUTE OF ENVIRONMENTAL AND DESIGN'S COLLEGE OF ARCHITECTURE</t>
  </si>
  <si>
    <t>Autocad,sketchup ,revit,Photoshop,Enscape,Lumion,vray,canva,ms project</t>
  </si>
  <si>
    <t>Studio 55 | Internship | Pune | Jan 2024 | Apr 2024 | 17 Weeks
Rudved Buildtech | Internship | Pune | Jul 2025 | Jan 2026 | 26 Weeks</t>
  </si>
  <si>
    <t>P26700054</t>
  </si>
  <si>
    <t>Omkar</t>
  </si>
  <si>
    <t>Malgave</t>
  </si>
  <si>
    <t>Omkar Babasaheb Malgave</t>
  </si>
  <si>
    <t>omkarmalgave2000@gmail.com</t>
  </si>
  <si>
    <t>P26700054@student.nicmar.ac.in</t>
  </si>
  <si>
    <t>09-Jan-2000</t>
  </si>
  <si>
    <t xml:space="preserve">English,Hindi,Marathi </t>
  </si>
  <si>
    <t>Exercise,Photography,Table Tennis</t>
  </si>
  <si>
    <t>Babasaheb Anna Malgave</t>
  </si>
  <si>
    <t>Retired Government Officer</t>
  </si>
  <si>
    <t xml:space="preserve">Anita Babasaheb Malgave </t>
  </si>
  <si>
    <t xml:space="preserve">1308, Sonarli Vasahat Road, Near Mahavir Mandir, Mahavir Nagar, Bhendavade, PO: Bhendawade, Dist: Kolhapur, Maharashtra - 416112 </t>
  </si>
  <si>
    <t>Kalsulkar English School, Sawantwadi</t>
  </si>
  <si>
    <t>Maharashtra State Board Of Secondary and Higher Secondary Education, Pune</t>
  </si>
  <si>
    <t>Vivekanand College, Kolhapur</t>
  </si>
  <si>
    <t>Shivaji University</t>
  </si>
  <si>
    <t>D. Y. Patil College of Engineering &amp; Technology, Kolhapur, Maharashtra</t>
  </si>
  <si>
    <t>MS Project, AutoCAD,SketchUp,Revit,Lumion,Adobe Photoshop,MS Word,MS Excel,MS PowerPoint</t>
  </si>
  <si>
    <t>Meinhardt EPCM India Pvt. Ltd. | Junior Manager - Architect | Bengaluru, Karnataka | Aug 2022 | Feb 2025 | 2 Years, 6 Months, 10 Days | 4.86
Egis India Consulting Engineer Pvt. Ltd. | Assistant Manager - Architect | Belagavi Airport, Sambra, Belagavi, Karnataka | Mar 2025 | Jun 2026 | 1 Years, 3 Months, 20 Days | 7.07</t>
  </si>
  <si>
    <t>Mahesh Naik Architects | Intern | Porvorim, Goa | Jul 2021 | Oct 2021 | 13 Weeks</t>
  </si>
  <si>
    <t>Engineering Project Management - Scope, Time and Cost Management - RICE University
Initiating and Planning Projects
Procurement &amp; Sourcing Introduction - Rutgers the State University of New Jersey
Revit Architecture: Designing a House
Construction Project Management - Columbia University</t>
  </si>
  <si>
    <t>P26700055</t>
  </si>
  <si>
    <t>Pushkar</t>
  </si>
  <si>
    <t>Atul</t>
  </si>
  <si>
    <t>Pushkar Atul Kulkarni</t>
  </si>
  <si>
    <t>P26700055@student.nicmar.ac.in</t>
  </si>
  <si>
    <t>Sketching, Sculpting, Gaming</t>
  </si>
  <si>
    <t>Atul Kulkarni</t>
  </si>
  <si>
    <t>Former Government Employee (Retired)</t>
  </si>
  <si>
    <t>Anushka Kulkarni</t>
  </si>
  <si>
    <t>C/21, Tara Rani CHS, Opposite Acharya Marathe College, NG Acharya Marg, Chembur East.</t>
  </si>
  <si>
    <t>OLPS High School</t>
  </si>
  <si>
    <t>Vivekanand Education Society's Junior College</t>
  </si>
  <si>
    <t xml:space="preserve">CTES College of Architecture, Mumbai. </t>
  </si>
  <si>
    <t>AutoCAD, ZWCAD, DraftSight, Vectorworks 12.5, Vectorworks 24, Photoshop, Twinmotion, Enscape, Rhino and Grasshopper, Power BI, MS Project, Primavera P6.</t>
  </si>
  <si>
    <t>Anil Nagrath and Associates | Junior Architect  | Mumbai | May 2024 | Oct 2024 | 0 Years, 5 Months, 0 Days | 2.16
Abhikalpan Architects and Planners | Junior Architect Grade 2 | Mumbai | Dec 2024 | Feb 2026 | 1 Years, 2 Months, 10 Days | 3</t>
  </si>
  <si>
    <t>Project Finance Analyst
Certificate of Appreciation 
Certificate of Excellence 
Parametric Design Certificate 
Design Esquee Award</t>
  </si>
  <si>
    <t>P26700056</t>
  </si>
  <si>
    <t xml:space="preserve">Gayatri </t>
  </si>
  <si>
    <t>Chandrabhan</t>
  </si>
  <si>
    <t>Katore</t>
  </si>
  <si>
    <t>Gayatri  Chandrabhan Katore</t>
  </si>
  <si>
    <t>P26700056@student.nicmar.ac.in</t>
  </si>
  <si>
    <t>21-Jun-2002</t>
  </si>
  <si>
    <t>Marathi,Hindi, English</t>
  </si>
  <si>
    <t>Playing Kho-Kho,Cooking</t>
  </si>
  <si>
    <t>Vimal</t>
  </si>
  <si>
    <t>A/P-Ukkadgaon,Tal- Shrigonda, Dist-Ahmednagar</t>
  </si>
  <si>
    <t>Shri.Munjoba Madhyamik Vidyalaya Ukkadgaon</t>
  </si>
  <si>
    <t>Shri. Chhatrapati Shivaji Mahavidyalaya ,Shrigonda</t>
  </si>
  <si>
    <t>Government Polytechnic, Pune</t>
  </si>
  <si>
    <t>BRACT's, Vishwakarma Institute of Information Technology, Pune</t>
  </si>
  <si>
    <t>AutoCAD,Revit,MS Project,MS Office</t>
  </si>
  <si>
    <t>AutoCAD
Certificate Programme in Practical English And Life Skills</t>
  </si>
  <si>
    <t>P26700057</t>
  </si>
  <si>
    <t>THAKRE</t>
  </si>
  <si>
    <t>Gautam Thakre</t>
  </si>
  <si>
    <t>gautamthakre.official@gmail.com</t>
  </si>
  <si>
    <t>P26700057@student.nicmar.ac.in</t>
  </si>
  <si>
    <t>06-Jan-2003</t>
  </si>
  <si>
    <t>Singing,Playing Guitar</t>
  </si>
  <si>
    <t>PRABHAKAR THAKRE</t>
  </si>
  <si>
    <t>Farming</t>
  </si>
  <si>
    <t>SAVITA THAKRE</t>
  </si>
  <si>
    <t>Guraiya, Chhindwara (M.P.)</t>
  </si>
  <si>
    <t>GOVT H S SCHOOL, GURRIYA CHHINDWARA</t>
  </si>
  <si>
    <t>RAJIV GANDHI PROUDYOGIKI VISHWAVIDYALAYA (RGPV)</t>
  </si>
  <si>
    <t>SAGAR INSTITUTE OF SCIENCE, TECHNOLOGY &amp; RESEARCH</t>
  </si>
  <si>
    <t>AutoCAD,MS Office,SketchUp</t>
  </si>
  <si>
    <t>Maintenance and Repair of Concrete Structures
Wastewater Treatment and Recycling
Construction Management Foundations
MS Excel - Formulas &amp; Functions Beginner to Expert
Communication Skills
Time Management
Project Management - Initiation and Planning by L&amp;T EduTech</t>
  </si>
  <si>
    <t>P26700058</t>
  </si>
  <si>
    <t>Abhishek</t>
  </si>
  <si>
    <t>Milind</t>
  </si>
  <si>
    <t>Dhawade</t>
  </si>
  <si>
    <t>Abhishek Milind Dhawade</t>
  </si>
  <si>
    <t>P26700058@student.nicmar.ac.in</t>
  </si>
  <si>
    <t>04-Oct-2000</t>
  </si>
  <si>
    <t>hindi english marathi</t>
  </si>
  <si>
    <t xml:space="preserve">Music, treaking , watching movies, adventure </t>
  </si>
  <si>
    <t>milind</t>
  </si>
  <si>
    <t>business</t>
  </si>
  <si>
    <t>varsha</t>
  </si>
  <si>
    <t>house wife</t>
  </si>
  <si>
    <t xml:space="preserve">k3/01 n5 cidco opp jijamata high school chhatrapathi sambhajinagar </t>
  </si>
  <si>
    <t>Panchshil  | SENIOR SITE ENGINEER | chhatrapathi sambhaji nagar | Aug 2022 | Apr 2025 | 2 Years, 8 Months, 0 Days | 1.2
Abhishek Developers | SENIOR SITE ENGINEER | chhatrapathi sambhaji nagar | May 2025 | Jul 2026 | 1 Years, 1 Months, 28 Days | 1.2</t>
  </si>
  <si>
    <t>P26700059</t>
  </si>
  <si>
    <t>P26700059@student.nicmar.ac.in</t>
  </si>
  <si>
    <t>P26700060</t>
  </si>
  <si>
    <t>Shravni</t>
  </si>
  <si>
    <t>Wasnik</t>
  </si>
  <si>
    <t>Shravni Wasnik</t>
  </si>
  <si>
    <t>P26700060@student.nicmar.ac.in</t>
  </si>
  <si>
    <t>Drawing,Painting,Listening music,Exploring nature</t>
  </si>
  <si>
    <t>Ajay</t>
  </si>
  <si>
    <t>Govt. Employee</t>
  </si>
  <si>
    <t>Shweta</t>
  </si>
  <si>
    <t>MakeUp Artist</t>
  </si>
  <si>
    <t>Plot. 324 Siddharth Nagar teka, Nagpur</t>
  </si>
  <si>
    <t>The Rashtrasant tukadoji maharaj nagpur university</t>
  </si>
  <si>
    <t>Anjuman College of Engineering and Technology, Nagpur Maharashtra</t>
  </si>
  <si>
    <t>AutoCAD,Revit, MS Office,Python,Java</t>
  </si>
  <si>
    <t>P26700061</t>
  </si>
  <si>
    <t>Aaryan</t>
  </si>
  <si>
    <t>Anil</t>
  </si>
  <si>
    <t>Chirlekar</t>
  </si>
  <si>
    <t>Aaryan Anil Chirlekar</t>
  </si>
  <si>
    <t>P26700061@student.nicmar.ac.in</t>
  </si>
  <si>
    <t>Tech Exploring,Photography</t>
  </si>
  <si>
    <t>Anil Babu Chirlekar</t>
  </si>
  <si>
    <t>Service</t>
  </si>
  <si>
    <t>Anita Anil Chirlekar</t>
  </si>
  <si>
    <t>HOUSE NO 8, D Wahal Vilage, Ulwe, RAIGARH, VAHAL,
MAHARASHTRA-410206</t>
  </si>
  <si>
    <t xml:space="preserve">IES JNP VIDYALAYA </t>
  </si>
  <si>
    <t>Maharashtra State Board of Secondary and higher secondary education , Pune , Mumbai Divisional Board</t>
  </si>
  <si>
    <t>Agnel Polytechnic, Vashi</t>
  </si>
  <si>
    <t>Terna Engineering College</t>
  </si>
  <si>
    <t>AutoCaD,MS OFFICE,ETABS,Staad-pro,Watergems,Canva,MSP</t>
  </si>
  <si>
    <t>Public Works Department (PWD), Maharashtra | Intern | Kokan Bhavan, Belapur | Dec 2024 | Dec 2024 | 4 Weeks
PGD PMC | Intern | Lotus Project,Mulund | Jun 2024 | Jul 2024 | 2 Weeks</t>
  </si>
  <si>
    <t>Etabs
Project management 101</t>
  </si>
  <si>
    <t>P26700062</t>
  </si>
  <si>
    <t xml:space="preserve">JOSEPH </t>
  </si>
  <si>
    <t>CYRIAC JOE</t>
  </si>
  <si>
    <t>MATTAM</t>
  </si>
  <si>
    <t>Joseph  Cyriac Joe Mattam</t>
  </si>
  <si>
    <t>P26700062@student.nicmar.ac.in</t>
  </si>
  <si>
    <t>30-Sep-1998</t>
  </si>
  <si>
    <t>MALAYALAM,ENGLISH,TAMIL,HINDI</t>
  </si>
  <si>
    <t>TRAVEL,SWIMMING,BIKE RIDING,MUSIC,TREAKING</t>
  </si>
  <si>
    <t>JOEMON JOSEPH</t>
  </si>
  <si>
    <t>LICY JOE</t>
  </si>
  <si>
    <t>MATTATHIL MANNULLIL HOUSE, KURIANAD PO, MONIPALLY VIA, KOTTAYAM, KERALA, 686636</t>
  </si>
  <si>
    <t>DE PAUL PUBLIC SCHOOL, KURAVILANGAD,KOTTAYAM, KERALA</t>
  </si>
  <si>
    <t>DE PAUL HIGHER SECONDARY SCHOOL, KURAVILANGAD, KOTTAYAM, KERALA</t>
  </si>
  <si>
    <t>GOVERNMENT OF KERALA BOARD OF HIGHER SECONDARY EXAMINATION, THIRUVANATHAPURAM/KERALA</t>
  </si>
  <si>
    <t>GLOBAL INSTITUTE OF ARCHITECTURE, PALAKKAD,KERALA</t>
  </si>
  <si>
    <t>AUTOCAD,LUMION,REVIT,SKETCHUP,EXCEL,WORD,MSPROJECTS,PRIMAVERA,MS OFFICE,AFFINITY,PHOTOSHOP,HANDMODELING,ENDSCAPE,SKETCHING,CRAFTWORK,EVENT PLANNING,EVENT COORDINATION</t>
  </si>
  <si>
    <t>T SQUARE ARCHITECTS | JUNIOR ARCHITECT | CALICUT,KERALA | Aug 2023 | Jul 2024 | 0 Years, 11 Months, 30 Days | 2.52
MINDSCAPE ARCHITECTS | JUNIOR ARCHITECT | KOTTAYAM | Sep 2024 | Mar 2026 | 1 Years, 6 Months, 29 Days | 3.72</t>
  </si>
  <si>
    <t>SILPI ARCHITECTS | INTERN ARCHITECT | THEVARA,ERNAKULAM | Mar 2022 | Aug 2022 | 19 Weeks | Campus Internship
GLOBAL ARCHITECT AND BUILDERS | INTERN ARCHITECT | UZHAVOOR,KOTTAYAM | Nov 2020 | Jan 2021 | 13 Weeks</t>
  </si>
  <si>
    <t>COA-THESIS AWARD
KMRL-AWARD
GULF DRAWING
COLLEGE BEST THESIS
UAE ATTESTATION
INDIAN INSTITUTE OF ARCHITECTS- MEMBERSHIP
COUNCIL OF ARCHITECTURE -CERTIFICATE
PRIMAVERA- CADD CENTER</t>
  </si>
  <si>
    <t>P26700063</t>
  </si>
  <si>
    <t>Nikhitha</t>
  </si>
  <si>
    <t>Thatipamula</t>
  </si>
  <si>
    <t>Nikhitha Thatipamula</t>
  </si>
  <si>
    <t>P26700063@student.nicmar.ac.in</t>
  </si>
  <si>
    <t>27-Oct-2003</t>
  </si>
  <si>
    <t>Telugu,Hindi,English,Malyalam</t>
  </si>
  <si>
    <t>Freelance Architect,Modelling,Guitarist ,Swimmer,Weight lifting</t>
  </si>
  <si>
    <t>MECHANICAL ENGINEER</t>
  </si>
  <si>
    <t>Q.no:D/03,staff colony ,basanthnagar , peddapalli dist.</t>
  </si>
  <si>
    <t>INDIA MISSION SECONDARY HIGH SCHOOL</t>
  </si>
  <si>
    <t>SECONDARY SCHOOL CERTIFICATE</t>
  </si>
  <si>
    <t>TELANGANA STATE BOARD OF SECONDARY EDUCATION</t>
  </si>
  <si>
    <t>VAISHNAVI SCHOOL OF ARCHITECTURE AND PLANNING</t>
  </si>
  <si>
    <t>Auto Cad,Sketchup,Revit,On site experience,Ms project ,Ms excel,Ms word,Adobe photoshop</t>
  </si>
  <si>
    <t>STUDIO SHILPI | JUNIOR ARCHITECT | HYDERABAD | Sep 2025 | Jun 2026 | 0 Years, 9 Months, 4 Days
RAJ ARCHITECTS | INTERN | HYDERABAD | Sep 2024 | Jan 2025 | 0 Years, 4 Months, 18 Days</t>
  </si>
  <si>
    <t>ANDC design trophy finalist-NASA,COA-Architecture
Batch topper-architecture UG  degree-2025
Merit certification -UG Architecture</t>
  </si>
  <si>
    <t>P26700064</t>
  </si>
  <si>
    <t>Varun</t>
  </si>
  <si>
    <t>Nemichand</t>
  </si>
  <si>
    <t>Solanki</t>
  </si>
  <si>
    <t>Varun Nemichand Solanki</t>
  </si>
  <si>
    <t>varunsolankishiv@gmail.com</t>
  </si>
  <si>
    <t>P26700064@student.nicmar.ac.in</t>
  </si>
  <si>
    <t>Entrepreneurship, Running, Business Research, Cycling, Travelling,Networking,Leadership Activities,Trekking</t>
  </si>
  <si>
    <t>7117 9686 4831</t>
  </si>
  <si>
    <t xml:space="preserve">Sonali </t>
  </si>
  <si>
    <t>47,kiriti heights walvekar nagar Pune satara road Pune - 411009</t>
  </si>
  <si>
    <t>Sardar Dastur Hormazdiar High School</t>
  </si>
  <si>
    <t>SSC Pune/Maharashtra</t>
  </si>
  <si>
    <t>Sou. Venutai Chavan Polytechnic College Pune/Maharashtra</t>
  </si>
  <si>
    <t>Sinhgad College of Engineering Pune/Maharashtra</t>
  </si>
  <si>
    <t>AutoCAD,MSOffice,Google Earth Pro</t>
  </si>
  <si>
    <t>Fidesto | Project Intern | PUNE | Jan 2025 | Jan 2025 | 4 Weeks | Campus Internship
Siddhashila | Project Intern | PUNE | Jul 2022 | Aug 2022 | 4 Weeks | Campus Internship</t>
  </si>
  <si>
    <t>Career Development College London
Indian Institute Of Information Technology Kota
Proficient in AutoCAD for Civil Engineers and Architects</t>
  </si>
  <si>
    <t>P26700065</t>
  </si>
  <si>
    <t>Shubham</t>
  </si>
  <si>
    <t>Tiwari</t>
  </si>
  <si>
    <t>Shubham Tiwari</t>
  </si>
  <si>
    <t>P26700065@student.nicmar.ac.in</t>
  </si>
  <si>
    <t>04-Jan-2004</t>
  </si>
  <si>
    <t>dancing,Music</t>
  </si>
  <si>
    <t>Rajesh Tiwari</t>
  </si>
  <si>
    <t>businessman</t>
  </si>
  <si>
    <t>Saroj Tiwari</t>
  </si>
  <si>
    <t>housewife</t>
  </si>
  <si>
    <t>133A, Daudpur,Gorakhpur</t>
  </si>
  <si>
    <t>Gorakhpur</t>
  </si>
  <si>
    <t>The Pillars Public School , Gorakhpur</t>
  </si>
  <si>
    <t xml:space="preserve">CBSE </t>
  </si>
  <si>
    <t xml:space="preserve">MB International,Kota </t>
  </si>
  <si>
    <t>Symbiosis Institute of Technology, Pune</t>
  </si>
  <si>
    <t>MS Project,Autocad,MS office</t>
  </si>
  <si>
    <t>Rail Land development Authority | Intern | New Delhi railway station | Jan 2026 | May 2026 | 19 Weeks | Campus Internship</t>
  </si>
  <si>
    <t>Bus occupancy and opinion surveys</t>
  </si>
  <si>
    <t>P26700066</t>
  </si>
  <si>
    <t>Dhruv</t>
  </si>
  <si>
    <t>Pal</t>
  </si>
  <si>
    <t>Dhruv Pal</t>
  </si>
  <si>
    <t>P26700066@student.nicmar.ac.in</t>
  </si>
  <si>
    <t>20-Jan-2004</t>
  </si>
  <si>
    <t>Hindi, english</t>
  </si>
  <si>
    <t>Music,Playing,travelling</t>
  </si>
  <si>
    <t>Naresh Kumar</t>
  </si>
  <si>
    <t>Anju</t>
  </si>
  <si>
    <t>Domestic Engineer</t>
  </si>
  <si>
    <t>H. no 24, Vill Begampur , PO Gudha , Teh Gharaunda , Distt Karnal</t>
  </si>
  <si>
    <t>Karnal</t>
  </si>
  <si>
    <t>Paul Construction Co | General Trainee Engineer | Panipat | Jan 2026 | Jun 2026 | 21 Weeks</t>
  </si>
  <si>
    <t>P26700067</t>
  </si>
  <si>
    <t>KHUSHIL</t>
  </si>
  <si>
    <t>VIRAT</t>
  </si>
  <si>
    <t>BHATT</t>
  </si>
  <si>
    <t>Khushil Virat Bhatt</t>
  </si>
  <si>
    <t>khushilb637@gmail.com</t>
  </si>
  <si>
    <t>P26700067@student.nicmar.ac.in</t>
  </si>
  <si>
    <t>25-Sep-2004</t>
  </si>
  <si>
    <t>Cricket,Volleyball,Travelling,Fitness,Music</t>
  </si>
  <si>
    <t>Virat Dilipbhai Bhatt</t>
  </si>
  <si>
    <t xml:space="preserve">Accountant </t>
  </si>
  <si>
    <t>Himja Virat Bhatt</t>
  </si>
  <si>
    <t>A-604 Stuti Icon nr Shree Jalaram International School, Palanpur, Surat-395009</t>
  </si>
  <si>
    <t xml:space="preserve">L. P. Savani School </t>
  </si>
  <si>
    <t>Gujarat Secondary and Higher Secondary Education Board, Surat, Gujarat</t>
  </si>
  <si>
    <t>L. P. Savani Vidhyabhavan School</t>
  </si>
  <si>
    <t>Gujarat Technological University</t>
  </si>
  <si>
    <t>Dr. S. &amp; S.S. Ghandhy Government Engineering College</t>
  </si>
  <si>
    <t>MS Office,AutoCAD,Revit, MS Project</t>
  </si>
  <si>
    <t>AVD Infra | Site Engineer | Avadh Paloma Pride, University Road nr GD goenka, Surat. | Jan 2026 | Apr 2026 | 12 Weeks</t>
  </si>
  <si>
    <t>AutoCAD
Revit</t>
  </si>
  <si>
    <t>P26700068</t>
  </si>
  <si>
    <t>Akshay</t>
  </si>
  <si>
    <t>Venugopal</t>
  </si>
  <si>
    <t>Akshay Venugopal</t>
  </si>
  <si>
    <t>P26700068@student.nicmar.ac.in</t>
  </si>
  <si>
    <t>20-Oct-2003</t>
  </si>
  <si>
    <t>English, hindi,malayalam,tamil</t>
  </si>
  <si>
    <t>Reading,Traveling,music</t>
  </si>
  <si>
    <t>6109 1562 6436</t>
  </si>
  <si>
    <t>Venugopal t.t</t>
  </si>
  <si>
    <t>Rani Venugopal</t>
  </si>
  <si>
    <t>Thamarassery house, Karattupallikara, Perumbavoor P.O, Ernakulam, Kerala, 683542</t>
  </si>
  <si>
    <t>LUKE MEMORIAL PUB SCH IRINGOLE ERNAKULAM KERALA</t>
  </si>
  <si>
    <t>Central Board of Secondary Education, Ernakulam</t>
  </si>
  <si>
    <t xml:space="preserve"> Guardian Angel English Medium Higher Secondary School</t>
  </si>
  <si>
    <t>Kerala Board of Higher Secondary Education</t>
  </si>
  <si>
    <t>A. P. J. Abdul Kalam Technological University</t>
  </si>
  <si>
    <t>Federal Institute of Science and Technology, Angamaly</t>
  </si>
  <si>
    <t>AutoCAD, MS Project, Revit,Primavera</t>
  </si>
  <si>
    <t>P26700069</t>
  </si>
  <si>
    <t xml:space="preserve">Samrish </t>
  </si>
  <si>
    <t>kumar</t>
  </si>
  <si>
    <t>s</t>
  </si>
  <si>
    <t>Samrish  Kumar S</t>
  </si>
  <si>
    <t>P26700069@student.nicmar.ac.in</t>
  </si>
  <si>
    <t>03-Feb-2004</t>
  </si>
  <si>
    <t>English,tamil</t>
  </si>
  <si>
    <t xml:space="preserve">cricket,dance,music,fashion,movie </t>
  </si>
  <si>
    <t>sampath kumar y</t>
  </si>
  <si>
    <t xml:space="preserve">Project manager </t>
  </si>
  <si>
    <t>priya s s</t>
  </si>
  <si>
    <t>8/12 sollaiyappan st 2nd lane old washermenpet, chennai 600021</t>
  </si>
  <si>
    <t>St bedes anglo indian higher secondary school</t>
  </si>
  <si>
    <t>tamilnadu</t>
  </si>
  <si>
    <t>st johns matriculation higher secondary school</t>
  </si>
  <si>
    <t>Tamilnadu</t>
  </si>
  <si>
    <t xml:space="preserve">Easwari Engineering College </t>
  </si>
  <si>
    <t>AUTOCAAD,MICROSOFTPROJECT,STAADPRO,TEKLA,REVIT</t>
  </si>
  <si>
    <t>PROTHIOUS ENGINEERING SERVICES | GRADUATE ENGINEER TRANIEE | CHENNAI | Jun 2025 | Dec 2025 | 0 Years, 5 Months, 29 Days | 2
EVERSENDAI CONSTRUCTION PRIVATE LIMITED | GRADUTE ENGINEERING TRAINEE | CHENNAI | Dec 2025 | Jul 2026 | 0 Years, 6 Months, 14 Days | 4</t>
  </si>
  <si>
    <t>ALPHA CONSTRUCTIONS  | INTERN AS A SITE ENGINEER | CHENNAI | Dec 2023 | Jan 2024 | 2 Weeks
SREE TIRUMALA CONSTRUCTION  INTERIOR AND BUILDER | INTERN AS A SITE ENGINEER | CHENNAI | May 2024 | Jun 2024 | 2 Weeks</t>
  </si>
  <si>
    <t>INDUSTRIAL TRANING AT ANODE FABRICATORS ,HANDS ON EXPERIENCE IN ADMIXTURES WITH DR FIXIT, WORKED AS A MEMBER AND A PRESIDENT OF INDIAN CONCRETE INSTITUTE</t>
  </si>
  <si>
    <t>P26700070</t>
  </si>
  <si>
    <t>Bikash</t>
  </si>
  <si>
    <t>Sahu</t>
  </si>
  <si>
    <t>Bikash Ranjan Sahu</t>
  </si>
  <si>
    <t>bikashranjansahu007@gmail.com</t>
  </si>
  <si>
    <t>P26700070@student.nicmar.ac.in</t>
  </si>
  <si>
    <t>Odia,Hindi,English</t>
  </si>
  <si>
    <t>Movies,Cricket</t>
  </si>
  <si>
    <t>Babarao Sahu</t>
  </si>
  <si>
    <t>Ex-Army</t>
  </si>
  <si>
    <t>Sujata Sahu</t>
  </si>
  <si>
    <t>At/po- Nuapentho
Via- Surangi
Ps- Jarada</t>
  </si>
  <si>
    <t>Swamy Chetanananda Saraswat Vidyamandir, Govindarajpr</t>
  </si>
  <si>
    <t>BSE, Odisha</t>
  </si>
  <si>
    <t>The Mother's International H S School</t>
  </si>
  <si>
    <t>CHSE,Odisha</t>
  </si>
  <si>
    <t>Biju Patnaik University Of Technology Rourkela, Odisha</t>
  </si>
  <si>
    <t>Indira Gandhi Institute Of Technology, Sarang, Odisha</t>
  </si>
  <si>
    <t>AutoCAD,MSPROJECT</t>
  </si>
  <si>
    <t xml:space="preserve"> UltraTech Cement Limited  | Technical Executive | Jajpur | Dec 2024 | Feb 2025 | 0 Years, 2 Months, 1 Days | 3.26 </t>
  </si>
  <si>
    <t>PWD (Road &amp; Building) | Apprenticeship Trainee | Berhampur | Apr 2025 | Mar 2026 | 52 Weeks</t>
  </si>
  <si>
    <t>P26700071</t>
  </si>
  <si>
    <t>P26700071@student.nicmar.ac.in</t>
  </si>
  <si>
    <t>South Point High School</t>
  </si>
  <si>
    <t>CBSE, Kolkata, West Bengal</t>
  </si>
  <si>
    <t>Career Point Gurukul School</t>
  </si>
  <si>
    <t>CBSE, Kota, Rajashtan</t>
  </si>
  <si>
    <t>Gandhi Institute of Technology and Management</t>
  </si>
  <si>
    <t>Gandhi Institute of Technology and Management, Visakhapatnam, Andhra Pradesh</t>
  </si>
  <si>
    <t>MS  Project,MS PowerPoint,MS Excel,MS Word,Concrete Technology,Construction Planning &amp; Management</t>
  </si>
  <si>
    <t>P26700072</t>
  </si>
  <si>
    <t>Sahoo</t>
  </si>
  <si>
    <t>Ayush Kumar Sahoo</t>
  </si>
  <si>
    <t>ayushkumarsahoo5@gmail.com</t>
  </si>
  <si>
    <t>P26700072@student.nicmar.ac.in</t>
  </si>
  <si>
    <t>24-Mar-2001</t>
  </si>
  <si>
    <t>Music,Long drive</t>
  </si>
  <si>
    <t>Nilamadhab Sahoo</t>
  </si>
  <si>
    <t>Bedajyoti Sahoo</t>
  </si>
  <si>
    <t>At-Kunjabangarh, Laxmibazar, Po-Daspalla, Dist-Nayagarh, State-Odisha, Pin-752084</t>
  </si>
  <si>
    <t>Nayagarh</t>
  </si>
  <si>
    <t>Daspalla High School, Daspalla</t>
  </si>
  <si>
    <t>Board of Secondary Education, Odisha</t>
  </si>
  <si>
    <t>UNIITECH Residential College, Nayagarh</t>
  </si>
  <si>
    <t>Council of Higher Secondary Education, Odisha</t>
  </si>
  <si>
    <t>Biju Patnaik University of Technology,Odisha</t>
  </si>
  <si>
    <t>Parala Maharaja Engineering College, Berhampur</t>
  </si>
  <si>
    <t>Odisha University of Technology And Research, Bhubaneswar</t>
  </si>
  <si>
    <t>Microsoft Projects,Primavera P6,AutoCAD,Revit,Staad Pro,MS office</t>
  </si>
  <si>
    <t>Metro Acrerise Promoters Pvt. Ltd. | Graduate Engineer Trainee-Civil | Bhubaneswar, Odisha | Jul 2025 | Jul 2026 | 1 Years, 0 Months, 1 Days | 2.24</t>
  </si>
  <si>
    <t>Soil To Sky Projects Pvt. Ltd. | Summer Intern | Bhubaneswar, Odisha | Jun 2024 | Aug 2024 | 9 Weeks
Ray Infraprojects Pvt. Ltd. | Summer Intern | Meramandali, Dhenkanal, Odisha | May 2022 | Jul 2022 | 9 Weeks</t>
  </si>
  <si>
    <t>Project Management in Construction By L&amp;T EduTech
Project Management-Initiation &amp; Planning by L&amp;T EduTech
Project Planning &amp; Execution Management by L&amp;T EduTech
Project Management Job Simulation by CBRE
Advanced Planning &amp; Scheduling with Primavera P6(11.5 PDUs) by UDEMY
Microsoft Projects Certification by Civil Guruji
AutoCAD (Civil) by Central Tool Room &amp; Training Center,Bhubaneswar</t>
  </si>
  <si>
    <t>P26700073</t>
  </si>
  <si>
    <t>Neel</t>
  </si>
  <si>
    <t>Dhairyashil</t>
  </si>
  <si>
    <t>Bodade</t>
  </si>
  <si>
    <t>Neel Dhairyashil Bodade</t>
  </si>
  <si>
    <t>P26700073@student.nicmar.ac.in</t>
  </si>
  <si>
    <t>18-Oct-2004</t>
  </si>
  <si>
    <t>English, Hindi,Marathi,Japanese</t>
  </si>
  <si>
    <t>Travelling,Music,Table Tennis,Volleyball,Hiking</t>
  </si>
  <si>
    <t>Dhairyashil Madhukar Bodade</t>
  </si>
  <si>
    <t>Shobha Dhairyashil Bodade</t>
  </si>
  <si>
    <t>Suman Bungalow, Plot no- 23, Gate no- 198, Wamanbhau Housing Society, Opposite of Address One Office, Village- Gahunje, Taluka- Maval, Pune- 412101.</t>
  </si>
  <si>
    <t>S. M. Dr. D. Y. Patil English Medium School</t>
  </si>
  <si>
    <t>Maharashtra State Board of Secondary And Higher Secondary Education, Pune/ Maharashtra</t>
  </si>
  <si>
    <t>Shri Chanakya Education Society's Indira College of Engineering &amp; Management, Pune/ Maharashtra</t>
  </si>
  <si>
    <t>Indira College of Engineering and Management, Pune/ Maharashtra</t>
  </si>
  <si>
    <t>BIM,AutoCAD,MS Office</t>
  </si>
  <si>
    <t>P26700074</t>
  </si>
  <si>
    <t>Jadhav</t>
  </si>
  <si>
    <t>Akaram</t>
  </si>
  <si>
    <t>Jadhav Ayush Akaram</t>
  </si>
  <si>
    <t>P26700074@student.nicmar.ac.in</t>
  </si>
  <si>
    <t>29-Jan-2004</t>
  </si>
  <si>
    <t>English,Hindi Marathi</t>
  </si>
  <si>
    <t>powerlifting,travelling,running</t>
  </si>
  <si>
    <t>Akaram Sakharam Jadhav</t>
  </si>
  <si>
    <t>Varsha Akaram Jadhav</t>
  </si>
  <si>
    <t xml:space="preserve">House wife </t>
  </si>
  <si>
    <t>1B-502, HEMA PARK, VEER SAVARKAR MARG, BHANDUP EAST</t>
  </si>
  <si>
    <t>National Education Society High School</t>
  </si>
  <si>
    <t>Secondry and Higher Secondry Education Board,Mumbai,Maharashtra</t>
  </si>
  <si>
    <t>Diploma in civil engineering</t>
  </si>
  <si>
    <t>M.H Saboo Siddik</t>
  </si>
  <si>
    <t>A.P Shah Institute of Technology , Thane ,Maharashtra</t>
  </si>
  <si>
    <t>Autocad,MS Office</t>
  </si>
  <si>
    <t>General Consultant DBEC - HILL - LBG | Civil Engineer Intern (intern) | Mumbai | Jul 2022 | Aug 2022 | 5 Weeks</t>
  </si>
  <si>
    <t>P26700075</t>
  </si>
  <si>
    <t>Sandip</t>
  </si>
  <si>
    <t>Panja</t>
  </si>
  <si>
    <t>Sandip Panja</t>
  </si>
  <si>
    <t>P26700075@student.nicmar.ac.in</t>
  </si>
  <si>
    <t>30-Sep-2003</t>
  </si>
  <si>
    <t>English,Hindi,Bengali,Marathi,Gujrati</t>
  </si>
  <si>
    <t>Music,Travelling,Exploring</t>
  </si>
  <si>
    <t>Sanjay Kumar Panja</t>
  </si>
  <si>
    <t>Civil engineer</t>
  </si>
  <si>
    <t>Debi Panja</t>
  </si>
  <si>
    <t>C/o-Ram Prasad Panja , near DMB girls school , Mankur ,Bagnan , Howrah</t>
  </si>
  <si>
    <t>A-06,Lotus Park Society , ambegaon bk , Pune</t>
  </si>
  <si>
    <t>Alard Public School</t>
  </si>
  <si>
    <t>Central Board Of Secondary Education Pune</t>
  </si>
  <si>
    <t xml:space="preserve">Prestige Public School </t>
  </si>
  <si>
    <t xml:space="preserve">Maharashtra State Board Of Higher Secondary Education </t>
  </si>
  <si>
    <t>Bharti Vidyapeeth Deemed University</t>
  </si>
  <si>
    <t>Bharti Vidyapeeth College Of Engineering Pune</t>
  </si>
  <si>
    <t>MS Project,Primavera,Autocad,Ms Excel,BBS Making And Preparation</t>
  </si>
  <si>
    <t>Reliance Jio Infocom Ltd | Civil Engineering Intern - Construction Manger | Pune | Jun 2024 | Aug 2024 | 8 Weeks</t>
  </si>
  <si>
    <t>Ms Project
Primavera</t>
  </si>
  <si>
    <t>P26700076</t>
  </si>
  <si>
    <t>P26700076@student.nicmar.ac.in</t>
  </si>
  <si>
    <t>P26700077</t>
  </si>
  <si>
    <t>Yashraj</t>
  </si>
  <si>
    <t>Aditya</t>
  </si>
  <si>
    <t>Yashraj Aditya Patil</t>
  </si>
  <si>
    <t>P26700077@student.nicmar.ac.in</t>
  </si>
  <si>
    <t>21-Sep-2004</t>
  </si>
  <si>
    <t>Music,Traveling &amp; Exploration,Nature &amp; Wildlife</t>
  </si>
  <si>
    <t xml:space="preserve">  Aditya Anandrao Patil</t>
  </si>
  <si>
    <t>Architect</t>
  </si>
  <si>
    <t>Swati Aditya Patil</t>
  </si>
  <si>
    <t>Shivaji galli Wadanage</t>
  </si>
  <si>
    <t>Shivaji galli wadanage</t>
  </si>
  <si>
    <t>Shantiniketan</t>
  </si>
  <si>
    <t>CBSE, Kolhapur , Maharashtra</t>
  </si>
  <si>
    <t>Chate Jr. College of Science</t>
  </si>
  <si>
    <t>HSC, Kolhapur, Maharashtra</t>
  </si>
  <si>
    <t>Kolhapur Institute of Technology (Empowered Autonomous)</t>
  </si>
  <si>
    <t>AutoCAD , MS Word,MS PowerPoint,MS Project</t>
  </si>
  <si>
    <t>Pharande Spaces - Benchmark Realty , Pune | Intern | Punawale , Pune | Jan 2026 | Apr 2026 | 0 Years, 2 Months, 24 Days | 0</t>
  </si>
  <si>
    <t>P26700078</t>
  </si>
  <si>
    <t xml:space="preserve">Raj </t>
  </si>
  <si>
    <t>Bardhan</t>
  </si>
  <si>
    <t>Raj  Bardhan</t>
  </si>
  <si>
    <t>P26700078@student.nicmar.ac.in</t>
  </si>
  <si>
    <t>30-Nov-2001</t>
  </si>
  <si>
    <t>hindi, english,marathi,bhojpuri</t>
  </si>
  <si>
    <t xml:space="preserve">travelling </t>
  </si>
  <si>
    <t>Prakash kumar</t>
  </si>
  <si>
    <t>Renu Devi</t>
  </si>
  <si>
    <t>Barh, patna,Bihar</t>
  </si>
  <si>
    <t xml:space="preserve">Sarswati vidhya mandir </t>
  </si>
  <si>
    <t>CBSE Board -Barh /patna</t>
  </si>
  <si>
    <t>A.N.S college</t>
  </si>
  <si>
    <t>Bihar State board -Barh/Patna</t>
  </si>
  <si>
    <t>Rajiv gandhi college of engineering &amp; Reserch</t>
  </si>
  <si>
    <t>Auto cad , revit ,Ms power point,MS power point presentation,ms word</t>
  </si>
  <si>
    <t>Golden homes infraventures | Site engineer | Nagpur,Besa Pipla Phata | Aug 2022 | Aug 2024 | 1 Years, 11 Months, 27 Days | 3.6
VSL INDIA PRIVATE LIMITED | Engineer  | Bakhtiyarpur Tajpur Ganga bridge, Bakhtiyarpur, PATNA (BIHAR) | Sep 2024 | Jul 2026 | 1 Years, 9 Months, 23 Days | 4.43</t>
  </si>
  <si>
    <t>P26700079</t>
  </si>
  <si>
    <t>Tapish</t>
  </si>
  <si>
    <t>Dharmick</t>
  </si>
  <si>
    <t>Tapish Kumar Dharmick</t>
  </si>
  <si>
    <t>tapishdharmick@gmail.com</t>
  </si>
  <si>
    <t>P26700079@student.nicmar.ac.in</t>
  </si>
  <si>
    <t>27-Mar-1998</t>
  </si>
  <si>
    <t>Travelling,Cricket</t>
  </si>
  <si>
    <t>Kirpa Shankar Dharmick</t>
  </si>
  <si>
    <t>Koushayla Dharmick</t>
  </si>
  <si>
    <t>H-1, Krishna Nagar, Street No. 2, Coach Factory road, Nishatpura, Bhopal</t>
  </si>
  <si>
    <t>Bal Bharati Public School</t>
  </si>
  <si>
    <t>Central Board of Secondary Education Bhopal / Madhya pradesh</t>
  </si>
  <si>
    <t>G B Convent H.S. School</t>
  </si>
  <si>
    <t>Board of Secondary Education, Madhya Pradesh, Bhopal</t>
  </si>
  <si>
    <t>Devi Ahilya Vishwavidyalya, Indore</t>
  </si>
  <si>
    <t>Institute of Engineering &amp; Technology, Indore</t>
  </si>
  <si>
    <t>AutoCAD,MS Project,Advance exce</t>
  </si>
  <si>
    <t>United Land Holding | Internship Trainee | Bhopal | Feb 2022 | Aug 2022 | 26 Weeks</t>
  </si>
  <si>
    <t>MS Project
Auto CAD
Advance Excel</t>
  </si>
  <si>
    <t>P26700080</t>
  </si>
  <si>
    <t>P26700080@student.nicmar.ac.in</t>
  </si>
  <si>
    <t>P26700081</t>
  </si>
  <si>
    <t>Arunkumar</t>
  </si>
  <si>
    <t>Govind Giri</t>
  </si>
  <si>
    <t>Arunkumar Govind Giri</t>
  </si>
  <si>
    <t>arunkumargovindgiri9@gmail.com</t>
  </si>
  <si>
    <t>P26700081@student.nicmar.ac.in</t>
  </si>
  <si>
    <t>05-Aug-2001</t>
  </si>
  <si>
    <t>Hindi, English, Telugu, Marathi</t>
  </si>
  <si>
    <t xml:space="preserve">Reading Novel, Dancing, Long Bike rides </t>
  </si>
  <si>
    <t>Narayan Govind Giri</t>
  </si>
  <si>
    <t>Late Yadamma</t>
  </si>
  <si>
    <t>H.No: 3-13-8, Kalalwadi Colony, Subash Road</t>
  </si>
  <si>
    <t>Narayanpet</t>
  </si>
  <si>
    <t>Krishnaveni High School</t>
  </si>
  <si>
    <t>Board of Secondary Education, Telangana</t>
  </si>
  <si>
    <t>Narayan Junior College</t>
  </si>
  <si>
    <t>Telangana State Board of Intermediate Education</t>
  </si>
  <si>
    <t>National Institute of Technology, Calicut</t>
  </si>
  <si>
    <t>National Institute of Technology, Calicut, Kerala</t>
  </si>
  <si>
    <t>AutoCAD Revit SketchUp V-Ray Lumion Project Management Communication Time Management Site Planning Construction Documents Design Thinking Problem Solving Architectural design 3D modeling software Construction materials evaluation Client relationship manag</t>
  </si>
  <si>
    <t>Olympeo Infrastructure | Assistant Manager - Design &amp; Construction | Navi Mumbai | Nov 2024 | Jan 2026 | 1 Years, 2 Months, 2 Days | 3.6
R S De | Junior Architect | Navi Mumbai | Aug 2024 | Oct 2024 | 0 Years, 2 Months, 12 Days | 2.88</t>
  </si>
  <si>
    <t>Kanan Modi Associates  | Intern Architect | Hyderabad | Jan 2023 | Jun 2023 | 25 Weeks | Campus Internship</t>
  </si>
  <si>
    <t xml:space="preserve">Council Of Architecture </t>
  </si>
  <si>
    <t>P26700082</t>
  </si>
  <si>
    <t>Vedant</t>
  </si>
  <si>
    <t>Sunil</t>
  </si>
  <si>
    <t>Nalawade</t>
  </si>
  <si>
    <t>Vedant Sunil Nalawade</t>
  </si>
  <si>
    <t>vedantnalawade75@gmail.com</t>
  </si>
  <si>
    <t>P26700082@student.nicmar.ac.in</t>
  </si>
  <si>
    <t>29-Jan-2003</t>
  </si>
  <si>
    <t>Travelling,football</t>
  </si>
  <si>
    <t>Jyoti</t>
  </si>
  <si>
    <t>84,kanga colony sadar bazar,satara</t>
  </si>
  <si>
    <t>Mona School</t>
  </si>
  <si>
    <t>Maharashtra state Board of secondary and higher secondary education,Satara,Maharashtra</t>
  </si>
  <si>
    <t>Yashavantrao Chavan Institute of Science, Satara</t>
  </si>
  <si>
    <t>Maharashtra state Board of secondary and higher secondary eduacation,satara,maharashtra</t>
  </si>
  <si>
    <t>Dnyanshree Institute of Engineering and Technology, satara</t>
  </si>
  <si>
    <t>P26700083</t>
  </si>
  <si>
    <t>Sanskruti</t>
  </si>
  <si>
    <t>Zulkanthiwar</t>
  </si>
  <si>
    <t>Sanskruti Atul Zulkanthiwar</t>
  </si>
  <si>
    <t>sanskrutizulkanthiwar@gmail.com</t>
  </si>
  <si>
    <t>P26700083@student.nicmar.ac.in</t>
  </si>
  <si>
    <t>Travelling,dancing,listening music,reading books,learning fashion ,cooking,watching series</t>
  </si>
  <si>
    <t>Geeta</t>
  </si>
  <si>
    <t>Hiteshree heights, dharampeth, khare-town, Nagpur</t>
  </si>
  <si>
    <t>Sanskruti Zulkanthiwar</t>
  </si>
  <si>
    <t>CBSE,Nagpur,Maharashtra</t>
  </si>
  <si>
    <t>Autocad,revit,Msp,Sketchup,naviswork,power point</t>
  </si>
  <si>
    <t>Creative Ventures | Architectural Intern | Pune | Jan 2025 | May 2025 | 21 Weeks</t>
  </si>
  <si>
    <t>P26700084</t>
  </si>
  <si>
    <t>Kumar Aryan Singh</t>
  </si>
  <si>
    <t>P26700084@student.nicmar.ac.in</t>
  </si>
  <si>
    <t>27-Dec-2001</t>
  </si>
  <si>
    <t>TRAVELLING,WATCHING MOVIES,MUSIC,EXPLORING</t>
  </si>
  <si>
    <t>Mukund Kumar Singh</t>
  </si>
  <si>
    <t>Government Employ</t>
  </si>
  <si>
    <t>Roma Singh</t>
  </si>
  <si>
    <t xml:space="preserve">Ward No.10 Panchil Colony Junnardeo, District Chhindwara </t>
  </si>
  <si>
    <t>SANT CHAVARA NATIONAL ACADEMY</t>
  </si>
  <si>
    <t>CBSE   CHANDAMETA,MADHYA PRADESH</t>
  </si>
  <si>
    <t>MACRO VISION ACADEMY</t>
  </si>
  <si>
    <t>CBSE.   BURHANPUR,MADHYA PRADESH</t>
  </si>
  <si>
    <t>KIIT BHUBANESHWAR,ODISHA</t>
  </si>
  <si>
    <t>Autocad, MS PROJECT,PRIMEVERA,MS OFFICE</t>
  </si>
  <si>
    <t>Vishvaraj Environment Limited | Senior Engineer | NASHIK | Jul 2024 | Apr 2026 | 1 Years, 9 Months, 29 Days | 6.25</t>
  </si>
  <si>
    <t>WAPCOS LIMITED | TRAINEE ENGINEER | Barauni, Bihar | Jun 2022 | Jul 2022 | 4 Weeks | Campus Internship
WAPCOS LIMITED | TRAINEE ENGINEER | Barauni, Bihar | Jun 2023 | Jul 2023 | 4 Weeks | Campus Internship</t>
  </si>
  <si>
    <t xml:space="preserve">MICROSOFT OFFICE SPECIALIST </t>
  </si>
  <si>
    <t>P26700085</t>
  </si>
  <si>
    <t xml:space="preserve">CHANNAKESHAVA </t>
  </si>
  <si>
    <t>Channakeshava  J</t>
  </si>
  <si>
    <t>channakeshavajay540@gmail.com</t>
  </si>
  <si>
    <t>P26700085@student.nicmar.ac.in</t>
  </si>
  <si>
    <t>05-Sep-2001</t>
  </si>
  <si>
    <t>Kannada,English,hindi,Telugu</t>
  </si>
  <si>
    <t>listening music,waching movies,swimming</t>
  </si>
  <si>
    <t>JAYANNA S E</t>
  </si>
  <si>
    <t>Horticulturist</t>
  </si>
  <si>
    <t>LEELA S P</t>
  </si>
  <si>
    <t>House manager</t>
  </si>
  <si>
    <t>Near SJM High school halepete Birur,Kadur(T),Chikkamagaluru(D),Karnataka-577116</t>
  </si>
  <si>
    <t>Chikkamagaluru</t>
  </si>
  <si>
    <t>MURUGARAJENDRA HIGH SCHOOL BIRUR-577116</t>
  </si>
  <si>
    <t>KADUR SCIENCE PU COLLEGE KADUR,CHIKKAMAGALURU(D)</t>
  </si>
  <si>
    <t>DEPARTMENT OF PRE UNIVERSITY EDUCATION KARNATAKA</t>
  </si>
  <si>
    <t>VISVESVARAYA TECHNOLOGICAL UNIVERSITY BELAGAVI</t>
  </si>
  <si>
    <t>ADHICHUNCHANAGIRI INSTITUTE OF TECHNOLOGY,CHIKKAMAGALURU</t>
  </si>
  <si>
    <t>Autocad,MS office,MS excel,MSpower point</t>
  </si>
  <si>
    <t>KALPATARU PROJECTS INTERNATIONAL LIMITED | ENGINEER-PROJECT EXECUTION | Hyderabad | Feb 2024 | May 2026 | 2 Years, 2 Months, 18 Days | 4.67</t>
  </si>
  <si>
    <t>P26700086</t>
  </si>
  <si>
    <t>Arpit</t>
  </si>
  <si>
    <t>Rahul</t>
  </si>
  <si>
    <t>Shaha</t>
  </si>
  <si>
    <t>Arpit Rahul Shaha</t>
  </si>
  <si>
    <t>arpitshah374@gmail.com</t>
  </si>
  <si>
    <t>P26700086@student.nicmar.ac.in</t>
  </si>
  <si>
    <t>01-Jan-2004</t>
  </si>
  <si>
    <t>Sports,Cycling,Gaming,Music</t>
  </si>
  <si>
    <t>Rahul Shaha</t>
  </si>
  <si>
    <t>Civil Contractor</t>
  </si>
  <si>
    <t>Priya Shaha</t>
  </si>
  <si>
    <t>RH - 28, Apratim Pushp Housing Society, Behind Satara Police Station, Satara Parisar, Beed By Pass</t>
  </si>
  <si>
    <t>NICMAR UNIVERSITY, Pune, 25/1/2, Balewadi, N.I.A Post Office</t>
  </si>
  <si>
    <t>Tender Care Home</t>
  </si>
  <si>
    <t>Central Board of Secondary Education, Delhi</t>
  </si>
  <si>
    <t>Sarosh Junior College</t>
  </si>
  <si>
    <t>Maharashtra State Board of Secondary and Higher Education, Pune, Aurangabad Divisional Board</t>
  </si>
  <si>
    <t>Birla Institute of Technology and Science, Pilani</t>
  </si>
  <si>
    <t>2026-Jan</t>
  </si>
  <si>
    <t>AutoCAD,STAADPro,Revit,Navisworks,WaterGEMS,QGIS,MATLAB,Python,Excel,Microsoft Project,OpenSees</t>
  </si>
  <si>
    <t>Unnatti Constructions Pvt. Ltd. | Trainee Engineer | Nagpur, Maharashtra | Jul 2025 | Dec 2025 | 0 Years, 5 Months, 10 Days | 3
Mall Infrastructure | Trainee Engineer | Chhatrapati Sambhajinagar, Maharashtra | Apr 2026 | Jun 2026 | 0 Years, 2 Months, 26 Days | 2.4</t>
  </si>
  <si>
    <t>P26700087</t>
  </si>
  <si>
    <t>Zayam</t>
  </si>
  <si>
    <t>Yousuf</t>
  </si>
  <si>
    <t>Zayam Yousuf</t>
  </si>
  <si>
    <t>zayamyousuf04@gmail.com</t>
  </si>
  <si>
    <t>P26700087@student.nicmar.ac.in</t>
  </si>
  <si>
    <t>07-Oct-2004</t>
  </si>
  <si>
    <t>English,Hindi,Kannada,Malayalam</t>
  </si>
  <si>
    <t>Singing,Football</t>
  </si>
  <si>
    <t>Abdul Rahiman</t>
  </si>
  <si>
    <t>Mariyam Nisha</t>
  </si>
  <si>
    <t>1303 Shalimar Liverpool
Bendoorwell
Mangalore</t>
  </si>
  <si>
    <t>Dakshina Kannada</t>
  </si>
  <si>
    <t>St.Theresa's School</t>
  </si>
  <si>
    <t>Indian Certificate of Secondary Education Mangaluru</t>
  </si>
  <si>
    <t>Narayana Junior College Raviryala</t>
  </si>
  <si>
    <t>Telangana State Board of Intermediate Education,Hyderabad</t>
  </si>
  <si>
    <t>Vellore Institute Of Technology</t>
  </si>
  <si>
    <t>Vellore Institute Of Technology, Vellore</t>
  </si>
  <si>
    <t>AutoCAD,Revit,Plaxis 3D,MS Project</t>
  </si>
  <si>
    <t>MFar Constructions  | Planning and scheduling Intern | Bangalore | Jan 2026 | May 2026 | 19 Weeks
Shalimar Realty Holdings | Site Execution | Mangalore | May 2025 | Jul 2025 | 7 Weeks</t>
  </si>
  <si>
    <t>P26700088</t>
  </si>
  <si>
    <t>Soham</t>
  </si>
  <si>
    <t>Dev</t>
  </si>
  <si>
    <t>Jagdale</t>
  </si>
  <si>
    <t>Soham Dev Jagdale</t>
  </si>
  <si>
    <t>P26700088@student.nicmar.ac.in</t>
  </si>
  <si>
    <t xml:space="preserve">Playing Sports, Learning new skills,Cycling, Travel and explore new places, Watching documentaries </t>
  </si>
  <si>
    <t>3950 8552 5001</t>
  </si>
  <si>
    <t>Dev Pandurang Jagdale</t>
  </si>
  <si>
    <t>Office Boy</t>
  </si>
  <si>
    <t>Madhavi Dev Jagdale</t>
  </si>
  <si>
    <t>House-Wife</t>
  </si>
  <si>
    <t>2/4, Saideep CHS, Nanda Sawant Chawl, Near Datta Mandir, Rukhmini Nagar, Bhandup East, Mumbai 400042</t>
  </si>
  <si>
    <t>ST. Francis Xaviers High School</t>
  </si>
  <si>
    <t>Maharashtra State Board of Secondary and Higher Secondary Education, Maharashtra, Mumbai.</t>
  </si>
  <si>
    <t>Ramniranjan Jhunjhunwala College of Arts, Science and Commerce</t>
  </si>
  <si>
    <t>Datta Meghe College of Engineering</t>
  </si>
  <si>
    <t>MS Word, MS Powerpoint,Advance Excel, Autocad,MS Project</t>
  </si>
  <si>
    <t>A.P.I. CIVILCON PVT. LTD | Junior Site Engineer (Intern) | Mumbai | Dec 2022 | Dec 2022 | 4 Weeks
New Rishabh Construction  | Junior Site Engineer (Intern) Supervisor  | Mumbai | Jun 2023 | Jul 2023 | 5 Weeks
Parmeshwar Enterprises | Junior Site Engineer (Intern) | Mumbai | Dec 2024 | Dec 2024 | 4 Weeks</t>
  </si>
  <si>
    <t>Ground Water Training and Research Training Programme</t>
  </si>
  <si>
    <t>P26700089</t>
  </si>
  <si>
    <t>Meenu</t>
  </si>
  <si>
    <t>Meenu Krishna</t>
  </si>
  <si>
    <t>P26700089@student.nicmar.ac.in</t>
  </si>
  <si>
    <t>20-Oct-2000</t>
  </si>
  <si>
    <t>Reading,Hearing music</t>
  </si>
  <si>
    <t>Santhosh M K</t>
  </si>
  <si>
    <t>Painting</t>
  </si>
  <si>
    <t>Sudha Santhosh</t>
  </si>
  <si>
    <t>Tailor</t>
  </si>
  <si>
    <t>Molathuparambill (H)
Thaikkattukara P O
Kunnathery, Aluva 683106</t>
  </si>
  <si>
    <t xml:space="preserve"> SGTS Vidyaniketan Senior Secondary School</t>
  </si>
  <si>
    <t>Govt Boys HSS Aluva</t>
  </si>
  <si>
    <t>Government of Kerala  Board of Higher Secondary Examinations</t>
  </si>
  <si>
    <t>APJ Abdul Kalam Technological University</t>
  </si>
  <si>
    <t>Albertian Institute of Science and Technology</t>
  </si>
  <si>
    <t>AutoCAD, MS Office, MS Project</t>
  </si>
  <si>
    <t>Ghiles Infra Developers Pvt Ltd | Civil Engineer | Ernakulam, Kerala | May 2025 | Jun 2026 | 1 Years, 1 Months, 3 Days | 2.16
Kerala State Pollution Control Board | Technical Assistant | District Office, Ernakulam | Jan 2025 | May 2025 | 0 Years, 3 Months, 29 Days | 3
Kerala State Pollution Control Board | Graduate Engineering Apprentice | Regional Office, Ernakulam | Dec 2024 | Dec 2025 | 0 Years, 11 Months, 29 Days | 1.2</t>
  </si>
  <si>
    <t>Anversons | Civil Engineering Trainee | Aluva, Ernakulam | Apr 2024 | Oct 2024 | 26 Weeks | Campus Internship</t>
  </si>
  <si>
    <t>Training programme on total Station
IC- IPSET 24</t>
  </si>
  <si>
    <t>P26700090</t>
  </si>
  <si>
    <t>Vipul</t>
  </si>
  <si>
    <t>Vipul Yadav</t>
  </si>
  <si>
    <t>P26700090@student.nicmar.ac.in</t>
  </si>
  <si>
    <t>hindi,english</t>
  </si>
  <si>
    <t>working out at gym ,playing sports game,Travelling</t>
  </si>
  <si>
    <t>kartar singh</t>
  </si>
  <si>
    <t>govt. employee</t>
  </si>
  <si>
    <t>kiran</t>
  </si>
  <si>
    <t>home maker</t>
  </si>
  <si>
    <t xml:space="preserve"> nagla rai,post-sothra road , tehsil-sirsaganj, distt. firozabad</t>
  </si>
  <si>
    <t>delhi public school,shikohabad</t>
  </si>
  <si>
    <t>uttar pradesh</t>
  </si>
  <si>
    <t>maharishi arvind public school</t>
  </si>
  <si>
    <t>rajasthan</t>
  </si>
  <si>
    <t>DR. APJ ABDUL KALAM TECHNICAL UNIVERSITY,UP</t>
  </si>
  <si>
    <t>JSS ACADEMY OF TECHNICAL EDUCATION,GAUTAM BUDDH NAGAR</t>
  </si>
  <si>
    <t>autocad,ms project,ms office</t>
  </si>
  <si>
    <t>Nagarajuna construction company limited | assitant site engineer | firozabad | Jul 2025 | Oct 2025 | 17 Weeks</t>
  </si>
  <si>
    <t>UKIERI CONCRETE CONGRESS, NIT JALANDHAR</t>
  </si>
  <si>
    <t>P26700091</t>
  </si>
  <si>
    <t xml:space="preserve">Vinit </t>
  </si>
  <si>
    <t xml:space="preserve">Vijay </t>
  </si>
  <si>
    <t xml:space="preserve">Chougule </t>
  </si>
  <si>
    <t xml:space="preserve">Vinit  Vijay  Chougule </t>
  </si>
  <si>
    <t>P26700091@student.nicmar.ac.in</t>
  </si>
  <si>
    <t>06-Jan-2004</t>
  </si>
  <si>
    <t>Exploring New Construction Technologies,Playing Cricket,Learning New Software &amp; Technologies</t>
  </si>
  <si>
    <t>Vijay</t>
  </si>
  <si>
    <t>Plot no . 450 , Sammed Niwas , Mahavir Chowk , Shahahunagar, Jaysingpur, Tal-Shirol</t>
  </si>
  <si>
    <t xml:space="preserve">Shri Hanumantrao Chate school </t>
  </si>
  <si>
    <t xml:space="preserve">Maharashtra State Board of Secondary and Higher Secondary Education , Maharashtra </t>
  </si>
  <si>
    <t xml:space="preserve">Walchand College of engineering , Sangli , Maharashtra </t>
  </si>
  <si>
    <t xml:space="preserve">Dr. J.J. Magdum College Of Engineering - Jaysingpur , Maharashtra </t>
  </si>
  <si>
    <t>Autocad , Revit, MS Project,sketchup</t>
  </si>
  <si>
    <t>Shapoorji Pallonji and Company Private Limited  | Intern - Planning &amp; Quality  | Pune  | Aug 2023 | May 2026 | 144 Weeks
Public Work Department (PWD ) Sangli  | Intern | Sangli | Jul 2022 | Aug 2022 | 5 Weeks</t>
  </si>
  <si>
    <t xml:space="preserve">Auto Cad 
Revit </t>
  </si>
  <si>
    <t>P26700092</t>
  </si>
  <si>
    <t>Kshiti</t>
  </si>
  <si>
    <t>Sudhakar</t>
  </si>
  <si>
    <t>Salunkhe</t>
  </si>
  <si>
    <t>Kshiti Sudhakar Salunkhe</t>
  </si>
  <si>
    <t>kshitisalunkhe2001@gmail.com</t>
  </si>
  <si>
    <t>P26700092@student.nicmar.ac.in</t>
  </si>
  <si>
    <t>11-Feb-2001</t>
  </si>
  <si>
    <t>Playing Badminton,Carrom</t>
  </si>
  <si>
    <t>Sudhakar Parshuram Salunkhe</t>
  </si>
  <si>
    <t>Swati Sudhakar Salunkhe</t>
  </si>
  <si>
    <t>At/Post- Khambale, Tal- Vaibhavwadi, Dist- Sindhudurg</t>
  </si>
  <si>
    <t>Abhinav Vidhya Mandir English Medium School Sonali</t>
  </si>
  <si>
    <t>Government Polytechnic Mumbai</t>
  </si>
  <si>
    <t>A. P. Shah Institute of Technology, Thane</t>
  </si>
  <si>
    <t>TBC, Proest,Bluebeam revu, Autocad,MS Project</t>
  </si>
  <si>
    <t>Araco Engineering India Pvt. Ltd | Estimator &amp; Assistant Reviewer | Thane | Oct 2023 | Jun 2026 | 2 Years, 8 Months, 7 Days | 6.7</t>
  </si>
  <si>
    <t>P26700093</t>
  </si>
  <si>
    <t>Harsh</t>
  </si>
  <si>
    <t>Paidlewar</t>
  </si>
  <si>
    <t>Harsh Vijay Paidlewar</t>
  </si>
  <si>
    <t>P26700093@student.nicmar.ac.in</t>
  </si>
  <si>
    <t>08-Sep-2004</t>
  </si>
  <si>
    <t>gym,football,badminton,chess,carrom</t>
  </si>
  <si>
    <t>Vijay Paidlewar</t>
  </si>
  <si>
    <t>proprietor</t>
  </si>
  <si>
    <t>Jyothi</t>
  </si>
  <si>
    <t>housemaker</t>
  </si>
  <si>
    <t>234, gandhi nagar,Nagpur</t>
  </si>
  <si>
    <t>St. Xaivers high school</t>
  </si>
  <si>
    <t>Central board of secondary education</t>
  </si>
  <si>
    <t>Bhavan's B P V Mandir</t>
  </si>
  <si>
    <t>Rashtrasant Tukadoji Maharaj Nagpur university</t>
  </si>
  <si>
    <t>G H Raisoni college of engineering,Nagpur</t>
  </si>
  <si>
    <t>Autocad, Revit,Staadpro,MS project,Primavera,Excel</t>
  </si>
  <si>
    <t>Concrete Developers | Intern | Nagpur | Dec 2025 | May 2026 | 21 Weeks | Campus Internship</t>
  </si>
  <si>
    <t>P26700094</t>
  </si>
  <si>
    <t>AJITH</t>
  </si>
  <si>
    <t>Akshay Ajith</t>
  </si>
  <si>
    <t>P26700094@student.nicmar.ac.in</t>
  </si>
  <si>
    <t>04-Jan-2003</t>
  </si>
  <si>
    <t>DRAWING ,TRAVELS,PHOTOGRAPHY, FITNESS &amp; SPORTS</t>
  </si>
  <si>
    <t>AJITH KUMAR</t>
  </si>
  <si>
    <t>KAVITHA AJITH</t>
  </si>
  <si>
    <t>ANUGRAHA HOUSE KUMBALAM P.O ERNAKULAM</t>
  </si>
  <si>
    <t>AL AMEEN PUBLIC SCHOOL CHANDIROOR</t>
  </si>
  <si>
    <t>CBSE/KERALA</t>
  </si>
  <si>
    <t>SNDP HSS UDAYAMPEROOR</t>
  </si>
  <si>
    <t>DHSE/KERALA</t>
  </si>
  <si>
    <t>SCMS SCHOOL OF ENGINEERING AND TECHNOLOGY</t>
  </si>
  <si>
    <t>AutoCAD,MS Office,MS Projects,Primavera,STAAD,Concrete Technology,QA/QC,MATERIAL TESTING,Site Execution</t>
  </si>
  <si>
    <t>VARMA HOMES  | JUNIOR ENGINEER | kochi | Jun 2024 | Dec 2025 | 1 Years, 6 Months, 19 Days | 2.28
SOBHA LTD | ENGINEER | kochi | Jan 2026 | Jun 2026 | 0 Years, 4 Months, 20 Days | 3.32</t>
  </si>
  <si>
    <t>RIVERTECH IT SOLUTIONS | TRAINEE | kochi | Jan 2022 | Jan 2022 | 0 Weeks</t>
  </si>
  <si>
    <t>P26700095</t>
  </si>
  <si>
    <t>Prajyot</t>
  </si>
  <si>
    <t>Dnyandev</t>
  </si>
  <si>
    <t>Sude</t>
  </si>
  <si>
    <t>Prajyot Dnyandev Sude</t>
  </si>
  <si>
    <t>prajyotsude@gmail.com</t>
  </si>
  <si>
    <t>P26700095@student.nicmar.ac.in</t>
  </si>
  <si>
    <t>08-Aug-2003</t>
  </si>
  <si>
    <t>Yoga,Music</t>
  </si>
  <si>
    <t>Dnyandev Sude</t>
  </si>
  <si>
    <t>Contractor</t>
  </si>
  <si>
    <t>Bhagyashri Sude</t>
  </si>
  <si>
    <t>Malhar,infront of parth appartment,old MIDC road,mandade colony,latur</t>
  </si>
  <si>
    <t>Goldcrest High,Latur</t>
  </si>
  <si>
    <t xml:space="preserve">Council For The Indian School Certificate Examinations ,New Delhi </t>
  </si>
  <si>
    <t>Late Prayagbai Patil Jr.Collage Latur</t>
  </si>
  <si>
    <t>Maharashtra State Board of Secondary and Higher Secondary Education ,Pune</t>
  </si>
  <si>
    <t>AISSMS Collage Of Engineering ,Pune</t>
  </si>
  <si>
    <t>MS Project,MS Excel</t>
  </si>
  <si>
    <t>P26700096</t>
  </si>
  <si>
    <t>Mihir</t>
  </si>
  <si>
    <t>Mitesh</t>
  </si>
  <si>
    <t>Vora</t>
  </si>
  <si>
    <t>Mihir Mitesh Vora</t>
  </si>
  <si>
    <t>vora.mihir2003@gmail.com</t>
  </si>
  <si>
    <t>P26700096@student.nicmar.ac.in</t>
  </si>
  <si>
    <t>10-May-2003</t>
  </si>
  <si>
    <t>Basketball,chess,Listening music,Watching anime</t>
  </si>
  <si>
    <t xml:space="preserve">Mitesh </t>
  </si>
  <si>
    <t>Pallavi</t>
  </si>
  <si>
    <t>B-11, Nanddham Gokul Vihar township, Gunjan, Vapi</t>
  </si>
  <si>
    <t>St. Mary School</t>
  </si>
  <si>
    <t>GUJRAT SECONDARY &amp; HIGHER SECONDARY EDUCATION BOARD</t>
  </si>
  <si>
    <t>V A MGM AMIN AND VN SAVANI SCH KILLA PARDI</t>
  </si>
  <si>
    <t>Central Board Of Secondary Education</t>
  </si>
  <si>
    <t>Pandit Deendayal Energy University</t>
  </si>
  <si>
    <t>Pandit Deendayal Energy University, Gandhinagar, Gujarat</t>
  </si>
  <si>
    <t>Autocad, MS Project,Primavera,Revit</t>
  </si>
  <si>
    <t>P26700097</t>
  </si>
  <si>
    <t>ANILKUMAR</t>
  </si>
  <si>
    <t>Anilkumar Manda</t>
  </si>
  <si>
    <t>P26700097@student.nicmar.ac.in</t>
  </si>
  <si>
    <t>05-Jul-2004</t>
  </si>
  <si>
    <t>HINDI,TAMIL,TELUGU,ENGLISH</t>
  </si>
  <si>
    <t>PLAYING BATMINTAN,RUNNING</t>
  </si>
  <si>
    <t>MANDA ANKIREDDY</t>
  </si>
  <si>
    <t>MANDA KRISHNA KUMARI</t>
  </si>
  <si>
    <t>SHOPKEEPER</t>
  </si>
  <si>
    <t>S/O MANDA ANKIREDDY
5/3/24
BOMMUVARISTREET
NALLAGONDLA
NELLORE
ANDHRAPRADHESH
524228
8328292571</t>
  </si>
  <si>
    <t>RAVINDHRABHARATHI HIGH SCHOOL</t>
  </si>
  <si>
    <t>NELLORE,ANDHRAPRADESH</t>
  </si>
  <si>
    <t>SRI CHAITHANYA JUNIOUR COLLEGE</t>
  </si>
  <si>
    <t>NELLORE/ANDHRAPRADHESH</t>
  </si>
  <si>
    <t>JAWAHARLAL NEHRU TECHNOLOGICAL UNIVERSITY ANANTHAPUR</t>
  </si>
  <si>
    <t>N.B.K.R.INSTITUTE OF SCIENCE AND TECHNOLOGY</t>
  </si>
  <si>
    <t>P26700098</t>
  </si>
  <si>
    <t xml:space="preserve">Katikadala Dheeraj </t>
  </si>
  <si>
    <t>Das</t>
  </si>
  <si>
    <t>Katikadala Dheeraj  Das</t>
  </si>
  <si>
    <t>P26700098@student.nicmar.ac.in</t>
  </si>
  <si>
    <t>22-Aug-2005</t>
  </si>
  <si>
    <t>Playing Cricket,Travelling,Listening Music</t>
  </si>
  <si>
    <t>Katikadala Rambabu</t>
  </si>
  <si>
    <t>Katikadala Swarna Kumari</t>
  </si>
  <si>
    <t>1-33, Pathaladibba , Uppalaguptam ,Bheemanapalli, Dr.B.R.Ambedkar konaseema District</t>
  </si>
  <si>
    <t>Z P High School</t>
  </si>
  <si>
    <t>Board of Secondary Education/Gollavilli</t>
  </si>
  <si>
    <t>G.M.R Poltechnic/Yetapaka</t>
  </si>
  <si>
    <t xml:space="preserve">Acharya Nagarjuna University </t>
  </si>
  <si>
    <t>University of Engineering and Technology</t>
  </si>
  <si>
    <t>Autocad,Revit Architecture,Staad Pro</t>
  </si>
  <si>
    <t>Simfy Infracon Pvt Ltd | Interior Site Engineer | Hyderabad | Jan 2026 | Apr 2026 | 15 Weeks | Campus Internship
Sunshine Infra Pvt Ltd | Site Engineer | Hyderabad | May 2024 | Jun 2024 | 7 Weeks | Campus Internship</t>
  </si>
  <si>
    <t>P26700099</t>
  </si>
  <si>
    <t>Christina</t>
  </si>
  <si>
    <t>Elangbam</t>
  </si>
  <si>
    <t>Christina Elangbam</t>
  </si>
  <si>
    <t>christy65004@gmail.com</t>
  </si>
  <si>
    <t>P26700099@student.nicmar.ac.in</t>
  </si>
  <si>
    <t>06-May-2004</t>
  </si>
  <si>
    <t>Hindi, English, Meitei</t>
  </si>
  <si>
    <t>Music, Writing, Singing, Badmiton</t>
  </si>
  <si>
    <t>Elangbam Charles Singh</t>
  </si>
  <si>
    <t xml:space="preserve">Retired, Medical Store Manager </t>
  </si>
  <si>
    <t>Kalpana Soram</t>
  </si>
  <si>
    <t>Deputy Inspetor of Schools</t>
  </si>
  <si>
    <t>Bamon Kampu, Maiyai Leikai, Imphal East, Manipur</t>
  </si>
  <si>
    <t>Imphal East</t>
  </si>
  <si>
    <t>Manipur</t>
  </si>
  <si>
    <t>Kendriya Vidyalaya, Lamphelpat Imphal</t>
  </si>
  <si>
    <t>CBSE, Manipur</t>
  </si>
  <si>
    <t>Vellore Institute of Technology</t>
  </si>
  <si>
    <t>Vellore Institute of Technology, Chennai , Tamil Nadu</t>
  </si>
  <si>
    <t>AutoCAD, MS Project, Revit, StaadPro</t>
  </si>
  <si>
    <t>P26700100</t>
  </si>
  <si>
    <t>Prafull</t>
  </si>
  <si>
    <t>Bhishamdas</t>
  </si>
  <si>
    <t>Vaishnav</t>
  </si>
  <si>
    <t>Prafull Bhishamdas Vaishnav</t>
  </si>
  <si>
    <t>P26700100@student.nicmar.ac.in</t>
  </si>
  <si>
    <t>16-Feb-2002</t>
  </si>
  <si>
    <t>Singing,Baskeball,Karate,Sketching</t>
  </si>
  <si>
    <t>Bhishamdas Vaishnav</t>
  </si>
  <si>
    <t>Entrepreneur</t>
  </si>
  <si>
    <t>Usha Vaishnav</t>
  </si>
  <si>
    <t>RAM Mandir Waroda, Opposite to Mankar College,
Ramji Nagri, Kalmeshwar</t>
  </si>
  <si>
    <t>Municipal High School &amp; Junior College</t>
  </si>
  <si>
    <t>MSBSHSE (Nagpur/Maharashtra)</t>
  </si>
  <si>
    <t>Dr. Babasaheb Ambedkar Technological University, Lonare</t>
  </si>
  <si>
    <t>J D College of Engineering and Management, Nagpur</t>
  </si>
  <si>
    <t>AutoCAD,Revit,Bluebeam,MS Project,BIM</t>
  </si>
  <si>
    <t>RPJ Design &amp; BIM Solution | BIM Engineer | Nagpur | Nov 2025 | May 2026 | 0 Years, 6 Months, 28 Days | 3
MAE Consultants | Project Assistant | Remote | May 2025 | Oct 2025 | 0 Years, 5 Months, 6 Days | 6.87
Pinaka Construction Solutions LLC | Project Assistant | Remote | Aug 2023 | Apr 2025 | 1 Years, 8 Months, 29 Days | 2.4</t>
  </si>
  <si>
    <t>Revit Trainiing
Revit MEP Fire Protection
AutoCAD
BIM
Edu Sports-Physical Education &amp; Sports Trainer
Drawing Competition
2nd NSKAI Karate Championship
6th NSKAI Karate Championship
8th NSKAI Karate Championship
Joint Event Co-ordinator
Cleanliness Drive
Mayor Cup-Kata Championship 
Mayor Cup-Karate Championship
Mood Indigo Singing Competition
Swarnamanzar Singing Competition
Hallabol Nukkad Competition
Vibrance Drama Competition
Vibrance Singing Competition
Nagpur Ploggers Letter of Appreciation
Paper Presentation Brainwaves
Mind Fest Poster Presentation
Project Management</t>
  </si>
  <si>
    <t>P26700101</t>
  </si>
  <si>
    <t xml:space="preserve">Golajana </t>
  </si>
  <si>
    <t>Gowtham</t>
  </si>
  <si>
    <t>Golajana  Gowtham</t>
  </si>
  <si>
    <t>gowthamgolajana45@gmail.com</t>
  </si>
  <si>
    <t>P26700101@student.nicmar.ac.in</t>
  </si>
  <si>
    <t>26-Jul-2002</t>
  </si>
  <si>
    <t>GYM,Playing sports,travelling,Music</t>
  </si>
  <si>
    <t>Golajana Ramaguruvu</t>
  </si>
  <si>
    <t>cultivation</t>
  </si>
  <si>
    <t>Golajana Saroja</t>
  </si>
  <si>
    <t>office subordinate</t>
  </si>
  <si>
    <t>10-5/3-6,hukumpeta,bukka street,vizianagaram,535002</t>
  </si>
  <si>
    <t>Vizianagaram</t>
  </si>
  <si>
    <t>St.josephs english medium high school</t>
  </si>
  <si>
    <t>Board of secondary education Andhrapradesh</t>
  </si>
  <si>
    <t>Narayana junior collage</t>
  </si>
  <si>
    <t>Board of intermediate education Andhrapradesh</t>
  </si>
  <si>
    <t>JNTUK,kakinada</t>
  </si>
  <si>
    <t>GMR institute of Technology</t>
  </si>
  <si>
    <t>Auto CAD,MS office,MSP,Revit</t>
  </si>
  <si>
    <t>KMV projects ltd | Assistant Engineer | Belagavi,karnataka | Jun 2024 | Feb 2026 | 1 Years, 8 Months, 11 Days | 4.2</t>
  </si>
  <si>
    <t>National hinghways Authority of india | intern | Vishakapatnam | Nov 2023 | Feb 2024 | 11 Weeks | Campus Internship</t>
  </si>
  <si>
    <t>P26700102</t>
  </si>
  <si>
    <t>Saloni</t>
  </si>
  <si>
    <t xml:space="preserve">Ramgopal </t>
  </si>
  <si>
    <t>Khobragade</t>
  </si>
  <si>
    <t>Saloni Ramgopal  Khobragade</t>
  </si>
  <si>
    <t>P26700102@student.nicmar.ac.in</t>
  </si>
  <si>
    <t xml:space="preserve">Hindi,English </t>
  </si>
  <si>
    <t>Listening to music,Reading,Playing sports,participating in social/community activities</t>
  </si>
  <si>
    <t>Professor</t>
  </si>
  <si>
    <t>Darshana</t>
  </si>
  <si>
    <t xml:space="preserve">At post, k.k nagar Shitalwadi, Ramtek </t>
  </si>
  <si>
    <t>Reliance foundation school, Mouda</t>
  </si>
  <si>
    <t>Central Board of secondary education</t>
  </si>
  <si>
    <t>06.86</t>
  </si>
  <si>
    <t>Samarth junior college of science, Ramtek</t>
  </si>
  <si>
    <t>Maharashtra state board of education</t>
  </si>
  <si>
    <t>Rashtrasant tukdoji maharaj nagpur university</t>
  </si>
  <si>
    <t>Kavikulguru Institute of technology and science, Ramtek</t>
  </si>
  <si>
    <t>AutoCAD, MS Project, MS Office (Excel, Word, PowerPoint), Basic Civil Engineering Software</t>
  </si>
  <si>
    <t>A.S. Iyer construction pvt.ltd | Graduate engineer traniee | Nagpur | May 2024 | May 2024 | 1 Weeks | Campus Internship</t>
  </si>
  <si>
    <t>P26700103</t>
  </si>
  <si>
    <t>Desai</t>
  </si>
  <si>
    <t>Rahul Anil Desai</t>
  </si>
  <si>
    <t>P26700103@student.nicmar.ac.in</t>
  </si>
  <si>
    <t>15-Feb-2000</t>
  </si>
  <si>
    <t>Reading,Sports,Music</t>
  </si>
  <si>
    <t>Anil Krishnarao Desai</t>
  </si>
  <si>
    <t>Sanjivani</t>
  </si>
  <si>
    <t>A/P - Kadgaon, Desai Galli, Taluka - Bhudargad</t>
  </si>
  <si>
    <t>Kumar Bhavan Kadgaon</t>
  </si>
  <si>
    <t>Diploma in Civil and Rural Engineering</t>
  </si>
  <si>
    <t>Institute of Civil and Rural Engineering, Gargoti</t>
  </si>
  <si>
    <t>Tatyasaheb Kore Institute of Engineering and Technology, Warananagar</t>
  </si>
  <si>
    <t>Aakar Abhinav Consultants Pvt. Ltd.  | Executive - Estimation | Navi Mumbai | Nov 2021 | May 2023 | 1 Years, 5 Months, 20 Days | 2.16
Yash Engineering Consultants Pvt. Ltd. | Engineer Quantity Estimation | Navi Mumbai | May 2023 | Jul 2026 | 3 Years, 1 Months, 18 Days | 6.25</t>
  </si>
  <si>
    <t>P26700104</t>
  </si>
  <si>
    <t>KANTE</t>
  </si>
  <si>
    <t>JASWANTH</t>
  </si>
  <si>
    <t>Kante Jaswanth</t>
  </si>
  <si>
    <t>P26700104@student.nicmar.ac.in</t>
  </si>
  <si>
    <t>11-Nov-2002</t>
  </si>
  <si>
    <t>TELUGU,HINDI,ENGLISH</t>
  </si>
  <si>
    <t>READING,LIESTING MUSIC,TRAVELLING,BATMINTON</t>
  </si>
  <si>
    <t>KANTE RAVINDRA KUMAR</t>
  </si>
  <si>
    <t>KANTE SRI DEVI</t>
  </si>
  <si>
    <t>KRISHNA KALYANI NAGAR, MANDAPETA, EAST GODAVARI,ANDHRA PRADESH,533308</t>
  </si>
  <si>
    <t>SRI ANNAPURNA (EM) SCHOOL</t>
  </si>
  <si>
    <t>MPS JUNIOR COLLEGE</t>
  </si>
  <si>
    <t>Jawaharlal Nehru Technological University Kakinada</t>
  </si>
  <si>
    <t>SAGI RAMA KRISHNAM RAJU ENGINEERING COLLEGE, ANDHRA PRADESH</t>
  </si>
  <si>
    <t>AUTOCAD, REVIT,MS OFFICE,MS PROJECT</t>
  </si>
  <si>
    <t>NCC LIMITED | QUANTITY SURVEYOR | NAVI MUMBAI | May 2024 | Jul 2026 | 2 Years, 1 Months, 19 Days | 3.2</t>
  </si>
  <si>
    <t>P26700105</t>
  </si>
  <si>
    <t>Diksha</t>
  </si>
  <si>
    <t>Aggarwal</t>
  </si>
  <si>
    <t>Diksha Aggarwal</t>
  </si>
  <si>
    <t>dikshaagg98@gmail.com</t>
  </si>
  <si>
    <t>P26700105@student.nicmar.ac.in</t>
  </si>
  <si>
    <t>12-Sep-2003</t>
  </si>
  <si>
    <t>Hindi, English,French</t>
  </si>
  <si>
    <t>Dance, Reading, Management</t>
  </si>
  <si>
    <t>Sanjeev Aggarwal</t>
  </si>
  <si>
    <t>Bhawna Aggarwal</t>
  </si>
  <si>
    <t>HouseWife</t>
  </si>
  <si>
    <t>A-8 Surya Nagar Ghaziabad Uttar Pradesh-201011</t>
  </si>
  <si>
    <t>SNEH International School</t>
  </si>
  <si>
    <t>CBSE Board, New Delhi</t>
  </si>
  <si>
    <t>MBS College</t>
  </si>
  <si>
    <t>AutoCAD, MS Office, MS Project,Revit, BIM,Navisworks,Cloud 360</t>
  </si>
  <si>
    <t>Bobby Mukherjii Architects | Architectural Intern | New Delhi | Jul 2025 | Nov 2025 | 16 Weeks | Campus Internship</t>
  </si>
  <si>
    <t>BIM Professional Course</t>
  </si>
  <si>
    <t>P26700106</t>
  </si>
  <si>
    <t>Nitin Yadav</t>
  </si>
  <si>
    <t>P26700106@student.nicmar.ac.in</t>
  </si>
  <si>
    <t>09-Jul-1997</t>
  </si>
  <si>
    <t>Hindi, English,Haryanvi</t>
  </si>
  <si>
    <t>Music,Basketball,Sketching</t>
  </si>
  <si>
    <t>Gauri Shankar</t>
  </si>
  <si>
    <t>Central Government</t>
  </si>
  <si>
    <t>Neelam Yadav</t>
  </si>
  <si>
    <t>A-2/16 Type 3 
Police Colony,
Pitampura,New Delhi</t>
  </si>
  <si>
    <t>KIIT World School</t>
  </si>
  <si>
    <t>Guru Nanak Public School</t>
  </si>
  <si>
    <t>Maharishi Dayanand University</t>
  </si>
  <si>
    <t>Echelon Institute of Technology/ Faridabad Haryana</t>
  </si>
  <si>
    <t>Group Surya | Billing Intern | Pune | Dec 2024 | Jul 2026 | 1 Years, 6 Months, 17 Days | 4.19</t>
  </si>
  <si>
    <t>P26700107</t>
  </si>
  <si>
    <t>MARIA</t>
  </si>
  <si>
    <t>Anna Maria Joy</t>
  </si>
  <si>
    <t>P26700107@student.nicmar.ac.in</t>
  </si>
  <si>
    <t>05-Feb-2004</t>
  </si>
  <si>
    <t>ENGLISH,MALAYALAM,TAMIL</t>
  </si>
  <si>
    <t>SPORTS, ART,JOURNALLING ,VOLUNTEERING</t>
  </si>
  <si>
    <t>JOY PAUL</t>
  </si>
  <si>
    <t>SIJI JOSEPH</t>
  </si>
  <si>
    <t>PUTHUSSERY HOUSE CHERAI P.O, ERNAKULAM , KERALA</t>
  </si>
  <si>
    <t>ST AUGUSTINES GHSS KUZHUPPILLY</t>
  </si>
  <si>
    <t>SAHODARAN MEMORIAL H.S.S CHERAI</t>
  </si>
  <si>
    <t xml:space="preserve">APJ ABDUL KALAM TECHNOLOGICAL UNIVERSITY </t>
  </si>
  <si>
    <t>MS PROJECT,MS EXEL,AUTOCAD</t>
  </si>
  <si>
    <t>AZIRA STRUCTURES | PROJECT COORDINATOR | KERALA | Jan 2026 | Jun 2026 | 25 Weeks</t>
  </si>
  <si>
    <t>P26700108</t>
  </si>
  <si>
    <t>Soni</t>
  </si>
  <si>
    <t>Krishna Soni</t>
  </si>
  <si>
    <t>krishna.krishnasoni123@gmail.com</t>
  </si>
  <si>
    <t>P26700108@student.nicmar.ac.in</t>
  </si>
  <si>
    <t>18-Feb-2003</t>
  </si>
  <si>
    <t>Reading, Exploring</t>
  </si>
  <si>
    <t>Shrawan Kumar Soni</t>
  </si>
  <si>
    <t>Rinku Soni</t>
  </si>
  <si>
    <t>8 B.F.F., RIGHT SIDE, SHIVPURI EXTENSION, CHANDER NAGAR, KRISHNA NAGAR, EAST DELHI - 110051</t>
  </si>
  <si>
    <t>National Victor Public School</t>
  </si>
  <si>
    <t>AutoCAD, MS Office,BIM,Revit,Navisworks</t>
  </si>
  <si>
    <t>ARCOP Associates | Architectural Intern | New Delhi | Jul 2025 | Nov 2025 | 18 Weeks | Campus Internship</t>
  </si>
  <si>
    <t>P26700109</t>
  </si>
  <si>
    <t>Dhanashree</t>
  </si>
  <si>
    <t>Sudhir</t>
  </si>
  <si>
    <t>Mandaokar</t>
  </si>
  <si>
    <t>Dhanashree Sudhir Mandaokar</t>
  </si>
  <si>
    <t>P26700109@student.nicmar.ac.in</t>
  </si>
  <si>
    <t>19-Aug-2002</t>
  </si>
  <si>
    <t>Singing,Dancing</t>
  </si>
  <si>
    <t>Sudhir Mandaokar</t>
  </si>
  <si>
    <t>Business Man</t>
  </si>
  <si>
    <t>Vandana Mandaokar</t>
  </si>
  <si>
    <t>subhash road ganeshpeth nagpur</t>
  </si>
  <si>
    <t>Somalwar High School Ramdaspeth, Nagpur</t>
  </si>
  <si>
    <t>Secondary School Certificate</t>
  </si>
  <si>
    <t>Somalwar Junior College Ramdaspeth, Nagpur</t>
  </si>
  <si>
    <t xml:space="preserve"> Higher Secondary Certificate</t>
  </si>
  <si>
    <t>Priyadarshini Institute of Architectural Design and Studies</t>
  </si>
  <si>
    <t>AutoCad,Skecthup,lumion,revit,msp,primavera,bexel,naviswork,dynamo,grasshopper,rhino</t>
  </si>
  <si>
    <t>Galactic Group  | BIM Architect | Nagpur | Jan 2026 | May 2026 | 0 Years, 4 Months, 30 Days | 2</t>
  </si>
  <si>
    <t>Nagpur Smart and Sustainable Corporation Development Limited | Architectural Intern | Nagpur | Dec 2023 | Apr 2025 | 69 Weeks
Technostructruct Academy | BIM Architect | Nagpur | May 2025 | Dec 2025 | 31 Weeks</t>
  </si>
  <si>
    <t>BIM-Ready Architecture Advanced
Bexel Manager Certification exam</t>
  </si>
  <si>
    <t>P26700110</t>
  </si>
  <si>
    <t>Priya</t>
  </si>
  <si>
    <t>Ranapratap</t>
  </si>
  <si>
    <t>Chavan</t>
  </si>
  <si>
    <t>Priya Ranapratap Chavan</t>
  </si>
  <si>
    <t>P26700110@student.nicmar.ac.in</t>
  </si>
  <si>
    <t>26-Feb-2001</t>
  </si>
  <si>
    <t>Reading, Music, Painting, Sports,Trekking</t>
  </si>
  <si>
    <t>Maharashtra Police</t>
  </si>
  <si>
    <t>Soniya</t>
  </si>
  <si>
    <t>403/'A' WING, RAMDAS APT., SURYANAGAR, VITAWA, KALWA</t>
  </si>
  <si>
    <t>SMT. Sushiladevi Deshmukh Vidyalaya, Airoli, Navi Mumbai, Maharashtra</t>
  </si>
  <si>
    <t>Vidya Prasarak Mandal’s B. N. Bandodkar College of Science, Thane, Maharashtra</t>
  </si>
  <si>
    <t>Dr. D. Y. Patil College of Architecture, Nerul, Navi Mumbai, Maharashtra</t>
  </si>
  <si>
    <t>MS Office, Autocad, MS Project, Photoshop, Sketchup, Lumion, D5 Render,Canva,Revit</t>
  </si>
  <si>
    <t xml:space="preserve">Nexstep Consultant | Architect | Thane, Mumbai | Jun 2024 | Jun 2026 | 2 Years, 0 Months, 27 Days | 3 </t>
  </si>
  <si>
    <t>Rajeev Taishete &amp; Associates, Dombivli | Trainee Architect | Thane | Nov 2021 | Apr 2022 | 20 Weeks</t>
  </si>
  <si>
    <t>P26700111</t>
  </si>
  <si>
    <t>B P</t>
  </si>
  <si>
    <t>LIKHIT</t>
  </si>
  <si>
    <t>B P Likhit</t>
  </si>
  <si>
    <t>bplikhit@gmail.com</t>
  </si>
  <si>
    <t>P26700111@student.nicmar.ac.in</t>
  </si>
  <si>
    <t>11-Aug-2001</t>
  </si>
  <si>
    <t>English,Kannada,Hindi,Telugu,tamil</t>
  </si>
  <si>
    <t>Sports,Reading,Travelling</t>
  </si>
  <si>
    <t>B V PARAMESHWARA</t>
  </si>
  <si>
    <t>Engineer</t>
  </si>
  <si>
    <t>TRIVENI S</t>
  </si>
  <si>
    <t>2, Pushpagiri  Nilaya, 11th cross, 8th c main, sree ananthnagar phase 1, E city post, Bengaluru 560100</t>
  </si>
  <si>
    <t>JSS PUBLIC SCHOOL</t>
  </si>
  <si>
    <t>Central Board of Secondary Education (CBSE), New Delhi</t>
  </si>
  <si>
    <t>STJ PU COLLEGE</t>
  </si>
  <si>
    <t>Department of Pre University Education, Karnataka</t>
  </si>
  <si>
    <t>Visvesvaraya Technological University</t>
  </si>
  <si>
    <t>Bangalore Institute of Technology</t>
  </si>
  <si>
    <t>MS Office, AutoCAD,Revit 3D</t>
  </si>
  <si>
    <t>Chandrika Constructions | Project Engineer | Bangalore | Jun 2023 | Dec 2023 | 0 Years, 6 Months, 14 Days | 0.9
Assetz Property Group | Engineer - QS | Bangalore | Dec 2023 | Jun 2026 | 2 Years, 5 Months, 17 Days | 4.71</t>
  </si>
  <si>
    <t>L &amp; T Construction | Intern | Bangalore | Aug 2022 | Sep 2022 | 3 Weeks</t>
  </si>
  <si>
    <t>Projects Cost Management, Estimating, Budgeting and Control.</t>
  </si>
  <si>
    <t>P26700112</t>
  </si>
  <si>
    <t>Jayachandra</t>
  </si>
  <si>
    <t>Jayachandra S</t>
  </si>
  <si>
    <t>P26700112@student.nicmar.ac.in</t>
  </si>
  <si>
    <t>Hindi,Engligh,telugu,kannada</t>
  </si>
  <si>
    <t>Lisenting to music, Working out, Swimming</t>
  </si>
  <si>
    <t>S Ravi kumar</t>
  </si>
  <si>
    <t>S Pushpavali Sailaja</t>
  </si>
  <si>
    <t>R-1/18, Vidyanagar, JSW Township, Toranagallu, Bellary</t>
  </si>
  <si>
    <t>JINDAL VIDYA MANDIR</t>
  </si>
  <si>
    <t>CENTRAL BOARD OF SECONDARY EDUCATION KARNATAKA</t>
  </si>
  <si>
    <t>SRI CHAITANAYA PU COLLEGE</t>
  </si>
  <si>
    <t>Department of Pre- University Karnataka</t>
  </si>
  <si>
    <t>AutoCAD, MS Project, Primavera,MS Word,MS Excel</t>
  </si>
  <si>
    <t>KALAPATARU PROJECTS INTERNATIONAL LIMITED | ENGINEER-BBS | Hyderabad | Apr 2024 | Jun 2026 | 2 Years, 2 Months, 15 Days | 5.34</t>
  </si>
  <si>
    <t>P26700113</t>
  </si>
  <si>
    <t>Salil</t>
  </si>
  <si>
    <t>Yogesh</t>
  </si>
  <si>
    <t>Karmarkar</t>
  </si>
  <si>
    <t>Salil Yogesh Karmarkar</t>
  </si>
  <si>
    <t>karmarkarsalil3@gmail.com</t>
  </si>
  <si>
    <t>P26700113@student.nicmar.ac.in</t>
  </si>
  <si>
    <t>03-Nov-2003</t>
  </si>
  <si>
    <t>Marathi,Hindi,English,Japanese</t>
  </si>
  <si>
    <t>Playing guitar,Writing small quotes</t>
  </si>
  <si>
    <t>Yogesh Karmarkar</t>
  </si>
  <si>
    <t>Private Service</t>
  </si>
  <si>
    <t>Sonali Karmarkar</t>
  </si>
  <si>
    <t>Plot.no.139, Mangaldeep karmarkar's, Shivaji Nagar, Nagpur</t>
  </si>
  <si>
    <t>Lt.Col.Paranjape Memorial Scool</t>
  </si>
  <si>
    <t>Maharashtra state board of secondary and higher secondary education</t>
  </si>
  <si>
    <t>Government Polytechnic, Nagpur, Maharashtra</t>
  </si>
  <si>
    <t>Rashtrasant tukadoji maharaj nagpur university</t>
  </si>
  <si>
    <t>Yeshwantrao chavan college of engineering, Nagpur, Maharashtra</t>
  </si>
  <si>
    <t>Autocad,Revit architechture,MS Office,MS Project</t>
  </si>
  <si>
    <t>Attentive.Ai | Trainee Estimator | Remote | Jun 2025 | May 2026 | 0 Years, 11 Months, 22 Days | 3.34</t>
  </si>
  <si>
    <t>Concrete Developers | Intern | Nagpur | Oct 2022 | Nov 2022 | 4 Weeks
Attentive.Ai | Intern estimator | Remote | Mar 2025 | Jun 2025 | 12 Weeks</t>
  </si>
  <si>
    <t>Coursera
Civil Software</t>
  </si>
  <si>
    <t>P26700114</t>
  </si>
  <si>
    <t>Zope</t>
  </si>
  <si>
    <t>Maithilee</t>
  </si>
  <si>
    <t>Tushar</t>
  </si>
  <si>
    <t>Zope Maithilee Tushar</t>
  </si>
  <si>
    <t>P26700114@student.nicmar.ac.in</t>
  </si>
  <si>
    <t>27-Aug-2003</t>
  </si>
  <si>
    <t>English,hindi,Marathi</t>
  </si>
  <si>
    <t>Travelling and Listening Music</t>
  </si>
  <si>
    <t>Tushar Dnyandev Zope</t>
  </si>
  <si>
    <t>Dhiroja Tushar Zope</t>
  </si>
  <si>
    <t>At. Post Padalse Tal. Yawal</t>
  </si>
  <si>
    <t>K. Narkhede Vidyalaya Bhusawal</t>
  </si>
  <si>
    <t>Maharashtra State Board of secondary and Higher Secondary Education, pune</t>
  </si>
  <si>
    <t>Government Polytechnic Jalgaon</t>
  </si>
  <si>
    <t>JSPM Rajarshi Shahu College of Engineering</t>
  </si>
  <si>
    <t>AutoCAD,MS Project,Primavaera,MS Office</t>
  </si>
  <si>
    <t>Godrej Properties Ltd. | Senior Officer- Civil | Pune | Jun 2025 | Jun 2026 | 1 Years, 0 Months, 11 Days | 2.69</t>
  </si>
  <si>
    <t>P26700115</t>
  </si>
  <si>
    <t>Vishwaksena</t>
  </si>
  <si>
    <t>Vishwaksena D</t>
  </si>
  <si>
    <t>P26700115@student.nicmar.ac.in</t>
  </si>
  <si>
    <t>10-Dec-2002</t>
  </si>
  <si>
    <t xml:space="preserve">English,Tamil </t>
  </si>
  <si>
    <t>music, videograpghy, photography, design, Bike Rides, Content Creation,Reading</t>
  </si>
  <si>
    <t>Dhinesh R</t>
  </si>
  <si>
    <t>Project Manager</t>
  </si>
  <si>
    <t>Bhuvaneswari</t>
  </si>
  <si>
    <t>4/14,Norton 2nd street,Raja Annamalaipuram, Chennai, Tamilnadu - 600028</t>
  </si>
  <si>
    <t>SIR SIVASWAMI KALALAYA S S SCH MYLAPORE CHENNAI</t>
  </si>
  <si>
    <t>CENTRAL BOARD OF SECOUNDARY EDUCATION</t>
  </si>
  <si>
    <t>SIR SIVASWAMI KALALAYA HR SEC SCHOOL</t>
  </si>
  <si>
    <t>SRM INSTITUTE OF SCIENCE AND TECHNOLOGY, CHENNAI</t>
  </si>
  <si>
    <t>AutoCad, Revit,Sektchup, Lumion, Microsoft Office, MSP( Microsoft Projects),Rhinoceros 3D, Photoshop, D5 Render</t>
  </si>
  <si>
    <t>Mahalakshmi estates | Junior Architect | Chennai | Jun 2025 | Jun 2026 | 1 Years, 0 Months, 7 Days</t>
  </si>
  <si>
    <t>WARD FOUR Consulting Pvt. Ltd | Architectural Intern | Bangalore | Jul 2024 | Nov 2024 | 17 Weeks | Campus Internship</t>
  </si>
  <si>
    <t>BIM With Revit &amp; AI</t>
  </si>
  <si>
    <t>P26700116</t>
  </si>
  <si>
    <t xml:space="preserve">Aleena Mariya </t>
  </si>
  <si>
    <t>Jojo</t>
  </si>
  <si>
    <t>Aleena Mariya  Jojo</t>
  </si>
  <si>
    <t>P26700116@student.nicmar.ac.in</t>
  </si>
  <si>
    <t xml:space="preserve">English,Hindi,Malayalam,Tamil </t>
  </si>
  <si>
    <t>Dancing ,Badminton</t>
  </si>
  <si>
    <t>Mangaly Ittera Jojo</t>
  </si>
  <si>
    <t>Jophy Thomas</t>
  </si>
  <si>
    <t>Nurse</t>
  </si>
  <si>
    <t>Mangaly House , Thuravoor P.O, Angamaly,Ernakulam,Kerala</t>
  </si>
  <si>
    <t>Auxilium School ,Kidangoor, Ernakulam</t>
  </si>
  <si>
    <t>ICSE Ernakulam Kerala</t>
  </si>
  <si>
    <t>Vimala Matha HSS</t>
  </si>
  <si>
    <t>DHSE Kerala</t>
  </si>
  <si>
    <t>Federal Institute of Science and Technology</t>
  </si>
  <si>
    <t>MS Office,MS PRoject,QGIS,HECHMS,AUTOCAD</t>
  </si>
  <si>
    <t>MAR SLEEVA medicity palai | Intern as Site Engineer | Pala ,Kerala | Jun 2025 | Jun 2025 | 1 Weeks | Campus Internship
MAG TECH ENGINEERS &amp; CONTRACTORS | Intern as Site Supervisor | Thrissur | Feb 2024 | Feb 2024 | 0 Weeks | Campus Internship</t>
  </si>
  <si>
    <t>AutoCAD 
Advanced Geomatics Engineering</t>
  </si>
  <si>
    <t>P26700117</t>
  </si>
  <si>
    <t>P26700117@student.nicmar.ac.in</t>
  </si>
  <si>
    <t>School Of Scholars</t>
  </si>
  <si>
    <t>Central Board of Secondary Education / Maharashtra</t>
  </si>
  <si>
    <t>Diploma in Civil &amp; Rural Engineering</t>
  </si>
  <si>
    <t>Acharya Shrimannnarayan Polytechnic Pipri , Wardha /Maharastra</t>
  </si>
  <si>
    <t>Rashtrasant Tukdoji Maharaj Nagpur University , Nagpur</t>
  </si>
  <si>
    <t>Yeashwantrao Chavan College of Engineering , Nagpur / Maharashtra</t>
  </si>
  <si>
    <t>AutoCAD,REVIT</t>
  </si>
  <si>
    <t>Attentive.ai | Estimator | New Delhi | Jun 2025 | Jun 2026 | 1 Years, 0 Months, 15 Days | 3.34</t>
  </si>
  <si>
    <t>Attentive.ai | Intern Estimator | New Delhi | Mar 2025 | Jun 2025 | 12 Weeks | Campus Internship
Alucomet  | Traniee Engineer | Nagpur | Jan 2025 | Feb 2025 | 8 Weeks</t>
  </si>
  <si>
    <t>P26700118</t>
  </si>
  <si>
    <t xml:space="preserve">Ronit </t>
  </si>
  <si>
    <t>Purushottam</t>
  </si>
  <si>
    <t xml:space="preserve"> Dangare</t>
  </si>
  <si>
    <t>Ronit  Purushottam  Dangare</t>
  </si>
  <si>
    <t>P26700118@student.nicmar.ac.in</t>
  </si>
  <si>
    <t>31-Oct-2000</t>
  </si>
  <si>
    <t>Hindi,English ,Marathi</t>
  </si>
  <si>
    <t>reaing,Travelling new places ,workout</t>
  </si>
  <si>
    <t>farmer</t>
  </si>
  <si>
    <t>Sunita</t>
  </si>
  <si>
    <t>263,purushottam dangare house ,at sinjar ,po mendhala ,teh narkhed,dis nagpur</t>
  </si>
  <si>
    <t>Mount carmel convent school katol</t>
  </si>
  <si>
    <t>Katol,Maharastra</t>
  </si>
  <si>
    <t xml:space="preserve">National institute of open schooling </t>
  </si>
  <si>
    <t>Nagpur,Maharastra</t>
  </si>
  <si>
    <t>Rashtrasanth Tukdoji Maharaj NagpurUniversity</t>
  </si>
  <si>
    <t>Yeshwantrao chavhan collage of engineering ,nagpur</t>
  </si>
  <si>
    <t>Quantity Surveying using MS-Excel,Project Billing Using MS-Excel,BBS Using MS-Excel,Project planning using MSP,Auto-CAD,PRIMAVERA P6,ERP Software(Enterprise Resource planning)</t>
  </si>
  <si>
    <t>P26700119</t>
  </si>
  <si>
    <t>Lalit</t>
  </si>
  <si>
    <t>Naik</t>
  </si>
  <si>
    <t>Lalit Kumar Naik</t>
  </si>
  <si>
    <t>P26700119@student.nicmar.ac.in</t>
  </si>
  <si>
    <t>20-Aug-2000</t>
  </si>
  <si>
    <t>English, Hindi, Odia, Bengali</t>
  </si>
  <si>
    <t>Aviation &amp; Airport Infrastructure, Travel &amp; Cultural Exploration, Drones</t>
  </si>
  <si>
    <t>Buddhadev Naik</t>
  </si>
  <si>
    <t>Retired SAIL Employee</t>
  </si>
  <si>
    <t>Urbashi Naik</t>
  </si>
  <si>
    <t>Village - Mangalpur, P.O.- Khuntapingu, Tahsil- Saharpada, Dist-Kendujhar</t>
  </si>
  <si>
    <t>Kendujhar</t>
  </si>
  <si>
    <t xml:space="preserve">Vikash Residential School </t>
  </si>
  <si>
    <t>Bhubaneshwar/Odisha</t>
  </si>
  <si>
    <t>National Institute of Technology, Rourkela</t>
  </si>
  <si>
    <t>Rourkela/Odisha</t>
  </si>
  <si>
    <t>AutoCAD, MS Office, MS Project, Primavera P6, SketchUp, D5 Render, Revit (Basic),Advanced Excel,Power BI</t>
  </si>
  <si>
    <t>Spectrum Architects and Developers  | Associate Architect  | Cuttack | May 2025 | Jun 2026 | 1 Years, 0 Months, 6 Days | 1</t>
  </si>
  <si>
    <t>Dencity Architects  | Intern | Bhubaneshwar | Dec 2023 | Apr 2024 | 20 Weeks</t>
  </si>
  <si>
    <t>P26700120</t>
  </si>
  <si>
    <t xml:space="preserve">Suryawanshi  </t>
  </si>
  <si>
    <t>Janhavi</t>
  </si>
  <si>
    <t>Subhash</t>
  </si>
  <si>
    <t>Suryawanshi   Janhavi Subhash</t>
  </si>
  <si>
    <t>P26700120@student.nicmar.ac.in</t>
  </si>
  <si>
    <t xml:space="preserve">Traveling,Driving, Music </t>
  </si>
  <si>
    <t>3744 2826 4194</t>
  </si>
  <si>
    <t>Subhash Dangal Suryawanshi</t>
  </si>
  <si>
    <t xml:space="preserve">Government job </t>
  </si>
  <si>
    <t>Vaishali Subhash Suryawanshi</t>
  </si>
  <si>
    <t>59, Suyog Nagar Wadibhokar Road, Infront of Dinbandhu Hostel, Deopur, Dhule</t>
  </si>
  <si>
    <t>Jai Hind High School, Dhule, Maharashtra</t>
  </si>
  <si>
    <t>Maharashtra  State Board, Pune</t>
  </si>
  <si>
    <t>Zulal Bhilajirao Patil College, Dhule, Maharashtra</t>
  </si>
  <si>
    <t>Maharashtra State Board, Pune</t>
  </si>
  <si>
    <t>Dr. Babasaheb Ambedkar Technological University Lonere-Raigad, Maharashtra</t>
  </si>
  <si>
    <t>Shri Vile Parle Kelvani Mandal Institute Of Technology, Dhule, Maharashtra</t>
  </si>
  <si>
    <t>Auto Cad ,3Ds Max, Revit, STAADPRO</t>
  </si>
  <si>
    <t>Laxmi Construction | Intern | Dhule, Maharashtra | Aug 2025 | Jan 2026 | 26 Weeks</t>
  </si>
  <si>
    <t>P26700121</t>
  </si>
  <si>
    <t>Aniketh</t>
  </si>
  <si>
    <t>Mahesh</t>
  </si>
  <si>
    <t>Aniketh Mahesh Naik</t>
  </si>
  <si>
    <t>P26700121@student.nicmar.ac.in</t>
  </si>
  <si>
    <t>28-Oct-2002</t>
  </si>
  <si>
    <t>English, Hindi, Konkani, Marathi</t>
  </si>
  <si>
    <t xml:space="preserve">Cycling, Photography, Editing, Gardening , Music </t>
  </si>
  <si>
    <t>Mahesh Naik</t>
  </si>
  <si>
    <t>Retired Govt. Servant</t>
  </si>
  <si>
    <t>Harsha Naik</t>
  </si>
  <si>
    <t>HNO. 253 Fabric Vaddo, Velsao, Cansaulim, South Goa</t>
  </si>
  <si>
    <t>St. Thomas High School in Cansaulim, Goa</t>
  </si>
  <si>
    <t>Goa Board of Secondary and Higher Secondary Education, Alto Betim, Goa</t>
  </si>
  <si>
    <t>M.E.S Higher Secondary School, Zuarinagar, Vasco, South Goa</t>
  </si>
  <si>
    <t>Goa Board of Secondary and Higher Secondary Education (GBSHSE), Goa</t>
  </si>
  <si>
    <t>Goa University</t>
  </si>
  <si>
    <t>Goa College of Engineering, Farmagudi, Goa</t>
  </si>
  <si>
    <t>MS Office,MS Excel, MS Project, Auto cad</t>
  </si>
  <si>
    <t>M/s. Datta Kare Associates Margao, Goa |   Intern-Site Engineer | Margao South Goa | Jul 2024 | Aug 2024 | 7 Weeks | Campus Internship</t>
  </si>
  <si>
    <t>P26700122</t>
  </si>
  <si>
    <t>Rishikesavan</t>
  </si>
  <si>
    <t>Rishikesavan S P</t>
  </si>
  <si>
    <t>P26700122@student.nicmar.ac.in</t>
  </si>
  <si>
    <t>28-Feb-2005</t>
  </si>
  <si>
    <t>TAMIL,ENGLISH,MALAYALAM,HINDI</t>
  </si>
  <si>
    <t>Writing poems, travelling, content creation, dancing, public speaking, and being an RJ (Radio Jockey).</t>
  </si>
  <si>
    <t>Senthil Kumar G</t>
  </si>
  <si>
    <t>Building Contractor</t>
  </si>
  <si>
    <t>Padmapriya K</t>
  </si>
  <si>
    <t>Unemployed</t>
  </si>
  <si>
    <t>1/217, Palaniswamy nagar, Malumichampatti</t>
  </si>
  <si>
    <t xml:space="preserve">PMG MATRIC. HIGHER SEC. SCHOOL </t>
  </si>
  <si>
    <t>STATE BOARD OF TAMIL NADU</t>
  </si>
  <si>
    <t>AUTOCAD,MS OFFICE,SKETCHUP,STAADPRO,CANVA</t>
  </si>
  <si>
    <t>PUBLIC WORK DEPARTMENT, TAMIL NADU | SITE ENGINEER | COIMBATORE | Dec 2025 | Apr 2026 | 17 Weeks</t>
  </si>
  <si>
    <t>P26700123</t>
  </si>
  <si>
    <t>YASHASAVI</t>
  </si>
  <si>
    <t>CHANGRA</t>
  </si>
  <si>
    <t>Yashasavi Changra</t>
  </si>
  <si>
    <t>P26700123@student.nicmar.ac.in</t>
  </si>
  <si>
    <t xml:space="preserve">Cricket </t>
  </si>
  <si>
    <t>Sanjay Rana</t>
  </si>
  <si>
    <t>Senior Mananger (Mechanical Engineer)</t>
  </si>
  <si>
    <t>Ranjna Rana</t>
  </si>
  <si>
    <t>Government Job (Accountant)</t>
  </si>
  <si>
    <t>Opp durga marbles, vill kalehali PO bajaura, teh bhuntar, dist kullu HP- 175125</t>
  </si>
  <si>
    <t>Kullu</t>
  </si>
  <si>
    <t>Our Lady of the Snows High School</t>
  </si>
  <si>
    <t>2003-Apr</t>
  </si>
  <si>
    <t>Dr. Devi Chand DAV Senior Secondary School</t>
  </si>
  <si>
    <t>Vellore Institute of Technology, Chennai Campus</t>
  </si>
  <si>
    <t>MS Project</t>
  </si>
  <si>
    <t>AFCONS INFRASTRUTURE LTD | EXECUTION-CIVIL | Tuna Port, Gujarat | Jun 2024 | May 2026 | 1 Years, 11 Months, 6 Days | 4.2</t>
  </si>
  <si>
    <t>P26700124</t>
  </si>
  <si>
    <t>Sethupathi</t>
  </si>
  <si>
    <t>N L</t>
  </si>
  <si>
    <t>Sethupathi N L</t>
  </si>
  <si>
    <t>P26700124@student.nicmar.ac.in</t>
  </si>
  <si>
    <t>30-Sep-2004</t>
  </si>
  <si>
    <t>Watching Movies,Playing Cricket,Gym,Trekking</t>
  </si>
  <si>
    <t>Loganathan N</t>
  </si>
  <si>
    <t>Agriculture</t>
  </si>
  <si>
    <t>Sasikala L</t>
  </si>
  <si>
    <t>9/73,Periya Varapatti,Chinnamarudhur,Dharapuram Taluk</t>
  </si>
  <si>
    <t>Yuvabharathi Public School</t>
  </si>
  <si>
    <t>Central Board of  Secondary Education</t>
  </si>
  <si>
    <t>Kumaraguru College of Technology,Tamilnadu</t>
  </si>
  <si>
    <t>AutoCAD,MS Project,Primavera,Staad Pro,Revit,MS Office</t>
  </si>
  <si>
    <t>Kumaraguru College of Technology | Senior Intern | Coimbatore | Jul 2024 | Apr 2026 | 93 Weeks</t>
  </si>
  <si>
    <t>Concreting Materials</t>
  </si>
  <si>
    <t>P26700125</t>
  </si>
  <si>
    <t>Aishwarya</t>
  </si>
  <si>
    <t>Agare</t>
  </si>
  <si>
    <t>Aishwarya Sudarshan Agare</t>
  </si>
  <si>
    <t>P26700125@student.nicmar.ac.in</t>
  </si>
  <si>
    <t>23-Oct-2002</t>
  </si>
  <si>
    <t>Reading,Gardening,skeching</t>
  </si>
  <si>
    <t xml:space="preserve">Territory Manager </t>
  </si>
  <si>
    <t>Rajaswa vathare mala ,MSEB colony , Dattanagar 8th lane vishrambagh, Sangli 416-416</t>
  </si>
  <si>
    <t>Rajaswa vatharemala ,MSEB colony , Dattanagar 8th lane vishrambagh, SANGLI 416-416</t>
  </si>
  <si>
    <t>Santhome School Sangli</t>
  </si>
  <si>
    <t>Indian Certificate of Secondary Education( ICSE) Sangli</t>
  </si>
  <si>
    <t>Willingdon College Sangli</t>
  </si>
  <si>
    <t>State Board</t>
  </si>
  <si>
    <t>Shivaji University , Kolhapur</t>
  </si>
  <si>
    <t>Appasaheb Birnale College of Architecture</t>
  </si>
  <si>
    <t>Autocad,MS word,MS powerpoint,MS project ,MS Excel , Photoshop ,sketchup</t>
  </si>
  <si>
    <t>Studio888 Architects | Junior Architect | Sangli | Jan 2026 | Jun 2026 | 0 Years, 5 Months, 29 Days | 1.2</t>
  </si>
  <si>
    <t>I-CON Architects &amp; Urban Planners | Architect I ntern | Ahmedabad, Gujarat | Jan 2024 | Apr 2024 | 15 Weeks | Campus Internship
Somani &amp; Associates | Junior Architect | Sangli, Maharashtra | Jun 2025 | Sep 2025 | 13 Weeks</t>
  </si>
  <si>
    <t>P26700126</t>
  </si>
  <si>
    <t>Atharva Rahul Dangat</t>
  </si>
  <si>
    <t>atharvardangat@gmail.com</t>
  </si>
  <si>
    <t>P26700126@student.nicmar.ac.in</t>
  </si>
  <si>
    <t>25-Jun-2004</t>
  </si>
  <si>
    <t>TRAVEL,EXPLORING NEW THINGS, TREKKING</t>
  </si>
  <si>
    <t>RAHUL SHIVAJI DANGAT</t>
  </si>
  <si>
    <t>SONALI RAHUL DANGAT</t>
  </si>
  <si>
    <t>SR.NO.5 LAXMAN PARVATI RESIDENCY ,NEAR MARUTI MANDIR ,SHIVANE</t>
  </si>
  <si>
    <t xml:space="preserve">SR.NO.5 LAXMAN PARVATI RESIDENCY ,NEAR MARUTI MANDIR </t>
  </si>
  <si>
    <t>RMS SINGHGAD SPRING DALE SCHOOL WARJE PUNE</t>
  </si>
  <si>
    <t>ASIAN JUNIOR COLLEGE PUNE</t>
  </si>
  <si>
    <t>ALL INDIA SHRI SHIVAJI MEMORIAL SOCIETY COLLEGE OF ENGINEERING PUNE</t>
  </si>
  <si>
    <t>MSP</t>
  </si>
  <si>
    <t>P26700127</t>
  </si>
  <si>
    <t>Nia</t>
  </si>
  <si>
    <t>Reji</t>
  </si>
  <si>
    <t>Nia Reji Thomas</t>
  </si>
  <si>
    <t>P26700127@student.nicmar.ac.in</t>
  </si>
  <si>
    <t>30-May-2004</t>
  </si>
  <si>
    <t>Volunteering,Playing badminton,Listening to music,Journaling</t>
  </si>
  <si>
    <t>Reji Thomas</t>
  </si>
  <si>
    <t>Pharmacist</t>
  </si>
  <si>
    <t>Anu Reji Thomas</t>
  </si>
  <si>
    <t>Tc No 4/32 CVRA 17 Kowdiar PO, Trivandrum, 695003</t>
  </si>
  <si>
    <t>Sarvodaya Vidyalaya</t>
  </si>
  <si>
    <t>Council for the Indian School Certificate Examinations, New Delhi</t>
  </si>
  <si>
    <t>APJ ABDUL KALAM TECHNOLOGY UNIVERSITY</t>
  </si>
  <si>
    <t>TKM College of Engineering, Kollam</t>
  </si>
  <si>
    <t>Kerala Water Authority | Intern | Aruvikkara | May 2023 | May 2023 | 0 Weeks | Campus Internship
Kerala State Housing Board  | Intern | Trivandrum | Jun 2025 | Jun 2025 | 0 Weeks | Campus Internship</t>
  </si>
  <si>
    <t>NPTEL Online Certification- Introduction to Civil Engineering Profession
Ragam- Ethical Hacking
VERZEO- AutoCAD Course
TATHVA'22- AutoCAD
AUTODESK- Revit Architecture
UltraTech Cement Limited- Waterproofing and Tiling Solutions</t>
  </si>
  <si>
    <t>P26700128</t>
  </si>
  <si>
    <t>GADIGE</t>
  </si>
  <si>
    <t>Akash Gadige</t>
  </si>
  <si>
    <t>gadigaeakash@gmail.com</t>
  </si>
  <si>
    <t>P26700128@student.nicmar.ac.in</t>
  </si>
  <si>
    <t>24-Nov-2002</t>
  </si>
  <si>
    <t>Telugu,English,Hindi,kanada</t>
  </si>
  <si>
    <t>playing cricket,playing badminton</t>
  </si>
  <si>
    <t>AB-</t>
  </si>
  <si>
    <t>Gadige Venu Gopal</t>
  </si>
  <si>
    <t>Govt Teacher</t>
  </si>
  <si>
    <t>Ramireddy Varalakshmi</t>
  </si>
  <si>
    <t>D/no 12-4-272-1, obuldev nagar, anantapur, andhrapradesh</t>
  </si>
  <si>
    <t>Rao's English medium high school</t>
  </si>
  <si>
    <t>Board of secondary education/ Andhra pradesh</t>
  </si>
  <si>
    <t>Sasi new gen jr college</t>
  </si>
  <si>
    <t>Board of Intermediate education/ Andhra pradesh</t>
  </si>
  <si>
    <t>Visvesvaraya technological university</t>
  </si>
  <si>
    <t>BMS College of Engineering,Bengaluru/ karnataka</t>
  </si>
  <si>
    <t>AutoCAD, MS Office, MS Project, Revit</t>
  </si>
  <si>
    <t>Sumadhura Infracon pvt ltd | Site Engineer | Bengaluru | Sep 2023 | Oct 2023 | 4 Weeks | Campus Internship</t>
  </si>
  <si>
    <t>Masters in BIM</t>
  </si>
  <si>
    <t>P26700129</t>
  </si>
  <si>
    <t>Sanket</t>
  </si>
  <si>
    <t>Santosh</t>
  </si>
  <si>
    <t>Sakpal</t>
  </si>
  <si>
    <t>Sanket Santosh Sakpal</t>
  </si>
  <si>
    <t>P26700129@student.nicmar.ac.in</t>
  </si>
  <si>
    <t>12-Dec-1998</t>
  </si>
  <si>
    <t>Marathi,hindi, English</t>
  </si>
  <si>
    <t>Reading, Badminton,Traveling</t>
  </si>
  <si>
    <t>Santosh Sakpal</t>
  </si>
  <si>
    <t>Shaila Sakpal</t>
  </si>
  <si>
    <t>Flat No. 66, Elito grand central building, Pokhran road no. 1, Thane west</t>
  </si>
  <si>
    <t>Sou A.K Joshi Eng. Med. School</t>
  </si>
  <si>
    <t>SSC Mumbai divisional Board, Thane</t>
  </si>
  <si>
    <t xml:space="preserve">B. N. Bandodkar College </t>
  </si>
  <si>
    <t>HSC Mumbai divisional board, Thane</t>
  </si>
  <si>
    <t>Dr. Babasaheb Ambedkar Technological University, lonere</t>
  </si>
  <si>
    <t>DBatu, Lonere, Mangaon, Raigad</t>
  </si>
  <si>
    <t>AutoCAD, MS Office, MS Project, Primavera P6,Power BI</t>
  </si>
  <si>
    <t>Puneet Urban Spaces | Planning Engineer | Thane, Mumbai | Nov 2023 | Jun 2026 | 2 Years, 7 Months, 3 Days | 5.12
Alliance Infra Corp. (Nandivardhan Developers) | Site Engineer | Lower Parel, Mumbai | Jun 2022 | Nov 2023 | 1 Years, 4 Months, 28 Days | 3
Atharva Consulting Engineers | Site Engineer | Thane, Mumbai | Dec 2020 | Jun 2022 | 1 Years, 6 Months, 19 Days | 1.2</t>
  </si>
  <si>
    <t>66 month(s)</t>
  </si>
  <si>
    <t>Underwater Domain Awareness  Organization | Research intern | Kalina university mumbai &amp; Goa  national Oceanography center | Jun 2019 | Jul 2019 | 5 Weeks | Campus Internship
Larsen &amp; Toubro | Site Engineer | Byculla, Mumbai | Dec 2018 | Jan 2019 | 2 Weeks</t>
  </si>
  <si>
    <t xml:space="preserve">Microsoft Projects
Primavera P6
AutoCad </t>
  </si>
  <si>
    <t>P26700130</t>
  </si>
  <si>
    <t>Kaustubh</t>
  </si>
  <si>
    <t>Suraj</t>
  </si>
  <si>
    <t>Saudagar</t>
  </si>
  <si>
    <t>Kaustubh Suraj Saudagar</t>
  </si>
  <si>
    <t>P26700130@student.nicmar.ac.in</t>
  </si>
  <si>
    <t>05-Sep-2004</t>
  </si>
  <si>
    <t>Trekking, Swimming</t>
  </si>
  <si>
    <t>Suraj Saudagar</t>
  </si>
  <si>
    <t>Sonali Saudagar</t>
  </si>
  <si>
    <t>Ramanjana Niwas, Azad Chowk, Bhoi Galli, Latur-413512</t>
  </si>
  <si>
    <t>VTP Aetherous, Padale Chowk, Maan Road, Mhalunge, Pune-411045</t>
  </si>
  <si>
    <t>TEJDARSHAN INFRA Pvt. Ltd. | Site Engineer | PMC site - Chh. Shivaji Maharaj Cricket Stadium, Warje, Pune | Dec 2024 | Jan 2025 | 0 Years, 0 Months, 30 Days | 0</t>
  </si>
  <si>
    <t>TEJDARSHAN INFRA Pvt. Ltd. | Site Engineer | Chh. Shivaji Maharaj Cricket Stadium, Warje, Pune | Dec 2024 | Jan 2025 | 4 Weeks | Campus Internship</t>
  </si>
  <si>
    <t>P26700131</t>
  </si>
  <si>
    <t xml:space="preserve">Naman </t>
  </si>
  <si>
    <t>Srivastasva</t>
  </si>
  <si>
    <t>Naman  Srivastasva</t>
  </si>
  <si>
    <t>P26700131@student.nicmar.ac.in</t>
  </si>
  <si>
    <t>Hindi English</t>
  </si>
  <si>
    <t>Travelling and Cricket</t>
  </si>
  <si>
    <t>J.P Srivastava</t>
  </si>
  <si>
    <t xml:space="preserve">Mining </t>
  </si>
  <si>
    <t>Anjula Srivastava</t>
  </si>
  <si>
    <t>House Maker</t>
  </si>
  <si>
    <t>H.no 700 Sector 30 Faridabad Haryana</t>
  </si>
  <si>
    <t>Faridabad</t>
  </si>
  <si>
    <t>St JOSEPH'S Covent school</t>
  </si>
  <si>
    <t>Cbse Faridabad Haryana</t>
  </si>
  <si>
    <t>Delhi Public School Faridabad</t>
  </si>
  <si>
    <t>Cbse Faridabnad Haryana</t>
  </si>
  <si>
    <t>Manipal Academy of Higher Education</t>
  </si>
  <si>
    <t>Manipal Institute of Technology Manipal Karnataka</t>
  </si>
  <si>
    <t>Planswift MS project Primavera ,Cadest,MS Project,Primavera</t>
  </si>
  <si>
    <t>SJ  Estimating House  | Trainee Estimator | Faridabad | Jan 2024 | Dec 2024 | 0 Years, 11 Months, 29 Days | 2.16</t>
  </si>
  <si>
    <t>P26700132</t>
  </si>
  <si>
    <t>Pavan</t>
  </si>
  <si>
    <t>Pavan R</t>
  </si>
  <si>
    <t>P26700132@student.nicmar.ac.in</t>
  </si>
  <si>
    <t>25-Jan-2000</t>
  </si>
  <si>
    <t xml:space="preserve">Sketching ,Reading ,Photography ,Travelling,Bike riding </t>
  </si>
  <si>
    <t xml:space="preserve">518505777 464 </t>
  </si>
  <si>
    <t>Rangaswamy G V</t>
  </si>
  <si>
    <t xml:space="preserve">BMTC bus conductor </t>
  </si>
  <si>
    <t>Sujatha Y B</t>
  </si>
  <si>
    <t>Govt teacher</t>
  </si>
  <si>
    <t>Bandajji nilaya, hassan road, near ganesh marbles, Tiptur</t>
  </si>
  <si>
    <t>Kalpataru Central School</t>
  </si>
  <si>
    <t>CBSE, Tiptur, Tumkur</t>
  </si>
  <si>
    <t>Narayana PU College</t>
  </si>
  <si>
    <t xml:space="preserve">Department of Pre-University Education </t>
  </si>
  <si>
    <t>Visvesvaraya Technological University (VTU)</t>
  </si>
  <si>
    <t>BMS School Of Architecture</t>
  </si>
  <si>
    <t>AutoCAD, MS Office, Revit,naviswork</t>
  </si>
  <si>
    <t>z-axis Design Studio | Project Architect | BTM Layout Bengaluru | Jul 2023 | Dec 2023 | 0 Years, 5 Months, 5 Days | 2.2
Inform Architects | Junior  Architect | Banashankari, Bengaluru | Apr 2024 | Jul 2025 | 1 Years, 2 Months, 15 Days | 3.84
Sobha Ltd | Senior Executive - Junior Architect | Bellandur, Bengaluru | Sep 2025 | Jun 2026 | 0 Years, 9 Months, 29 Days | 5.08</t>
  </si>
  <si>
    <t>Mallikarjuna and Associates | Internship Trainee | BTM Layout, Bengaluru | Aug 2022 | Dec 2022 | 16 Weeks | Campus Internship</t>
  </si>
  <si>
    <t>P26700133</t>
  </si>
  <si>
    <t>Biju</t>
  </si>
  <si>
    <t>Pillai</t>
  </si>
  <si>
    <t>Kiran Biju Pillai</t>
  </si>
  <si>
    <t>kiran.bijupillai@gmail.com</t>
  </si>
  <si>
    <t>P26700133@student.nicmar.ac.in</t>
  </si>
  <si>
    <t>English ,Malayalam,Hindi</t>
  </si>
  <si>
    <t>Drawing, Reading,Dancing,Badminton,Sports,Acting</t>
  </si>
  <si>
    <t>Biju S Pillai</t>
  </si>
  <si>
    <t>Manager (Retired)</t>
  </si>
  <si>
    <t>Asha Biju</t>
  </si>
  <si>
    <t>Sreevalsam,
Housing society,
Thathampally</t>
  </si>
  <si>
    <t>Sarovaram,
Pilapuzha,
Haripad Town Mosque Road,
Haripad P O</t>
  </si>
  <si>
    <t>Gulf Asian English School</t>
  </si>
  <si>
    <t>Central Board of Secondary Education, Sharjah</t>
  </si>
  <si>
    <t>New Indian Model School</t>
  </si>
  <si>
    <t xml:space="preserve">Government of Kerala Board of Higher Secondary Examination, Dubai </t>
  </si>
  <si>
    <t>Vellore Institute of Technology, Vellore</t>
  </si>
  <si>
    <t>AutoCAD,MS Project,Revit,STAAD,Excel</t>
  </si>
  <si>
    <t>P26700134</t>
  </si>
  <si>
    <t xml:space="preserve">M </t>
  </si>
  <si>
    <t>TAMILKUMARAN</t>
  </si>
  <si>
    <t>M  Tamilkumaran</t>
  </si>
  <si>
    <t>P26700134@student.nicmar.ac.in</t>
  </si>
  <si>
    <t>29-Sep-2003</t>
  </si>
  <si>
    <t>Badminton</t>
  </si>
  <si>
    <t>S MURUGAVEL</t>
  </si>
  <si>
    <t>M VIJAYA</t>
  </si>
  <si>
    <t>NO:7/52,7th block , Velammal school backside,Mogappair west , Chennai 600037</t>
  </si>
  <si>
    <t>VELAMMAL VIDYALAYA</t>
  </si>
  <si>
    <t xml:space="preserve">VELAMMAL VIDYALAYA </t>
  </si>
  <si>
    <t>AUTOCAD,PRIMAVERA,REVIT,SKETCHUP,REVIT MEP,LUMION,NAVISWORK</t>
  </si>
  <si>
    <t>P26700135</t>
  </si>
  <si>
    <t>Manish</t>
  </si>
  <si>
    <t>Jagdish</t>
  </si>
  <si>
    <t>Shetty</t>
  </si>
  <si>
    <t>Manish Jagdish Shetty</t>
  </si>
  <si>
    <t>shettymanish205@gmail.com</t>
  </si>
  <si>
    <t>P26700135@student.nicmar.ac.in</t>
  </si>
  <si>
    <t>English,Hindi,Marathi,Tulu</t>
  </si>
  <si>
    <t>Sports,Travelling ,Photography</t>
  </si>
  <si>
    <t>8018 9329 6488</t>
  </si>
  <si>
    <t>Jagdish Balakrishna Shetty</t>
  </si>
  <si>
    <t>Jayashree Jagdish Shetty</t>
  </si>
  <si>
    <t>C-203, Vasant Sarita,90 feet road, Thakur Complex, Kandivali East, Mumbai.</t>
  </si>
  <si>
    <t>Rustomjee International School &amp; Junior College</t>
  </si>
  <si>
    <t>Maharashtra Secondary School Certificate (SSC)</t>
  </si>
  <si>
    <t>Thakur College Of Science And Commerce</t>
  </si>
  <si>
    <t>Maharashtra Higher Secondary Certificate (HSC)</t>
  </si>
  <si>
    <t>Thakur College Of Engineering &amp; Technology</t>
  </si>
  <si>
    <t>Proficient In AutoCAD
Extension Work - University of Mumbai
SLP length paper 
Rotaract Club Voluntary Service</t>
  </si>
  <si>
    <t>P26700136</t>
  </si>
  <si>
    <t xml:space="preserve">Chandra vadanan </t>
  </si>
  <si>
    <t>Chandra Vadanan  K</t>
  </si>
  <si>
    <t>chandravadanank4@gmail.com</t>
  </si>
  <si>
    <t>P26700136@student.nicmar.ac.in</t>
  </si>
  <si>
    <t>22-Mar-2004</t>
  </si>
  <si>
    <t xml:space="preserve">Tamil,English </t>
  </si>
  <si>
    <t xml:space="preserve">Cycling and running </t>
  </si>
  <si>
    <t>B-</t>
  </si>
  <si>
    <t xml:space="preserve">Kishore Kumar </t>
  </si>
  <si>
    <t xml:space="preserve">Farmer </t>
  </si>
  <si>
    <t xml:space="preserve">Sudha </t>
  </si>
  <si>
    <t xml:space="preserve">402, vignesh apsara, perumal puram , Srirangam , Trichy 5 </t>
  </si>
  <si>
    <t>P26700137</t>
  </si>
  <si>
    <t>Ritika</t>
  </si>
  <si>
    <t>Golhani</t>
  </si>
  <si>
    <t>Ritika Golhani</t>
  </si>
  <si>
    <t>ritikagolhani012003@gmail.com</t>
  </si>
  <si>
    <t>P26700137@student.nicmar.ac.in</t>
  </si>
  <si>
    <t>01-Sep-2003</t>
  </si>
  <si>
    <t>hindi, english</t>
  </si>
  <si>
    <t>music, reading</t>
  </si>
  <si>
    <t>Arvind Golhani</t>
  </si>
  <si>
    <t>Alka Golhani</t>
  </si>
  <si>
    <t>Flat No. 409, Jayanti Mansion 3, Manish Nagar, Somalwada, Nagpur</t>
  </si>
  <si>
    <t>P26700138</t>
  </si>
  <si>
    <t>Harshada</t>
  </si>
  <si>
    <t>Oza</t>
  </si>
  <si>
    <t>Harshada Mahesh Oza</t>
  </si>
  <si>
    <t>harshadaoa77@gmail.com</t>
  </si>
  <si>
    <t>P26700138@student.nicmar.ac.in</t>
  </si>
  <si>
    <t>21-Aug-2003</t>
  </si>
  <si>
    <t>Hindi, English,marathi,marwadi</t>
  </si>
  <si>
    <t>Dancing,painting,reading</t>
  </si>
  <si>
    <t>Mahesh Vishnuprasad Oza</t>
  </si>
  <si>
    <t>Manju Mahesh Oza</t>
  </si>
  <si>
    <t>FLat no.2, Sajjangadh Apartments, besides joshi hospital, near kamla nehru park, bhandarkar road</t>
  </si>
  <si>
    <t>Jnana Prabodhini Prashala</t>
  </si>
  <si>
    <t>central board of secondary education, Pune, Maharashtra</t>
  </si>
  <si>
    <t>Vidya Bhavan Junior College</t>
  </si>
  <si>
    <t>Maharashtra state board of secondary education, Pune, Maharashtra</t>
  </si>
  <si>
    <t>Rachana Sansad's Academy of Architecture, Mumbai, Maharashtra</t>
  </si>
  <si>
    <t>AutoCAD,sketchup,revit,ms project,photoshop,indesign,d5 renders,rhino</t>
  </si>
  <si>
    <t>Abhikalpan Architects and Planners | Intern | Pune | Nov 2024 | Apr 2025 | 21 Weeks</t>
  </si>
  <si>
    <t>P26700139</t>
  </si>
  <si>
    <t>BAGUL</t>
  </si>
  <si>
    <t>SIDDHIKA</t>
  </si>
  <si>
    <t>Bagul Siddhika Rajesh</t>
  </si>
  <si>
    <t>P26700139@student.nicmar.ac.in</t>
  </si>
  <si>
    <t>22-Nov-2002</t>
  </si>
  <si>
    <t>Dancing,acting,travelling,photography,reading,music</t>
  </si>
  <si>
    <t>Rajesh Bagul</t>
  </si>
  <si>
    <t>Shobhana Bagul</t>
  </si>
  <si>
    <t>Plot no 26 Sonai, Samrat Nagar, Jamanagiri Road, opp shri krishna dairy, Dhule</t>
  </si>
  <si>
    <t>Chavara High School, Dhule</t>
  </si>
  <si>
    <t>MAHARASHTRA STATE BOARD OF SECONDARY EDUCATION,DHULE</t>
  </si>
  <si>
    <t>Jai Hind Junior College, Dhule</t>
  </si>
  <si>
    <t>Dr D Y Patil College of Architecture, Akurdi, Pune</t>
  </si>
  <si>
    <t>AutoCAD, SketchUp, Revit, V-Ray, Lumion, Enscape, D5 Render, Adobe Photoshop, Microsoft Word, Excel, PowerPoint and other Microsoft and other Office applications.</t>
  </si>
  <si>
    <t>ICONS ASSOCIATES | JUNIOR ARCHITECT | BANER, PUNE | Jul 2025 | Jul 2026 | 1 Years, 0 Months, 25 Days | 3.5</t>
  </si>
  <si>
    <t>P26700140</t>
  </si>
  <si>
    <t>ATISH</t>
  </si>
  <si>
    <t xml:space="preserve">BAGDIYA </t>
  </si>
  <si>
    <t xml:space="preserve">Deepak Atish Bagdiya </t>
  </si>
  <si>
    <t>P26700140@student.nicmar.ac.in</t>
  </si>
  <si>
    <t>24-Oct-2004</t>
  </si>
  <si>
    <t>HINDI, ENGLISH,MARATHI,MARWADI</t>
  </si>
  <si>
    <t>Music,gym</t>
  </si>
  <si>
    <t xml:space="preserve">MAMTA </t>
  </si>
  <si>
    <t xml:space="preserve">HOME MAKER </t>
  </si>
  <si>
    <t>GAJANAN MAHARAJ COMPLEX HINGOLI ROAD GAJANAN NAGAR RISOD Dist: WASHIM 444506</t>
  </si>
  <si>
    <t>VARDIYNI SOCIETY SUS- ROAD PASHAN PUNE 411021</t>
  </si>
  <si>
    <t xml:space="preserve">BHAVANA PUBLIC SCHOOL </t>
  </si>
  <si>
    <t xml:space="preserve">SHRI SHAVAJI JUNIOR COLLEGE DONGAON </t>
  </si>
  <si>
    <t xml:space="preserve">HSC AMRAVATI </t>
  </si>
  <si>
    <t xml:space="preserve">SYMBIOSIS INTERNATIONAL UNIVERSITY </t>
  </si>
  <si>
    <t xml:space="preserve">SYMBIOSIS INSTITUE OF TECHNOLOGY PUNE </t>
  </si>
  <si>
    <t>AutoCAD, MSOFFICE,EXCEL</t>
  </si>
  <si>
    <t>kotecha infra projects ,Beed | Site Junior Engineer | Mangalwar peth pune  | Jan 2026 | May 2026 | 20 Weeks | Campus Internship</t>
  </si>
  <si>
    <t xml:space="preserve">highway planning design &amp; construction
ASCE Vision 2050: Engineering Excellence To Transform Communities
Assystem India limited </t>
  </si>
  <si>
    <t>P26700141</t>
  </si>
  <si>
    <t>Amey</t>
  </si>
  <si>
    <t>Narayan</t>
  </si>
  <si>
    <t>Shinde</t>
  </si>
  <si>
    <t>Amey Narayan Shinde</t>
  </si>
  <si>
    <t>amushinde101@gmail.com</t>
  </si>
  <si>
    <t>P26700141@student.nicmar.ac.in</t>
  </si>
  <si>
    <t>26-Jun-2002</t>
  </si>
  <si>
    <t>Hiking,Workout,Hanging out,music</t>
  </si>
  <si>
    <t>Narayan Shinde</t>
  </si>
  <si>
    <t>Vidya Shinde</t>
  </si>
  <si>
    <t>S/O: Narayan Shinde, Sr No. 15, Plot No. 18, Atharva Bunglow, Saragam Society, Lane No.1, Near Kakade City, Warje Jakat Naka, Pune City, Pune, Maharashtra - 411052</t>
  </si>
  <si>
    <t>Bhartiya Vidya Bhavan's Paranjape Vidya Mandir</t>
  </si>
  <si>
    <t>Maharashtra Education Society's, Higher Secondary School, Bal Shikshan Mandir Campus</t>
  </si>
  <si>
    <t>All India Shri Shivaji Memorial Society's College of Engineering, Pune</t>
  </si>
  <si>
    <t>AutoCAD,MS OFFICE</t>
  </si>
  <si>
    <t>Build Well Construction | Junior Site Engineer0 | Pune | Jul 2024 | Jun 2026 | 1 Years, 10 Months, 27 Days</t>
  </si>
  <si>
    <t>Vastushree Construction | Site Supervisor Intern | Pune | Dec 2022 | Jan 2023 | 4 Weeks</t>
  </si>
  <si>
    <t>Quantity Survey
Design of Steel Structures and its Connection</t>
  </si>
  <si>
    <t>P26700142</t>
  </si>
  <si>
    <t>Manas</t>
  </si>
  <si>
    <t>Tambe</t>
  </si>
  <si>
    <t>Manas Santosh Tambe</t>
  </si>
  <si>
    <t>P26700142@student.nicmar.ac.in</t>
  </si>
  <si>
    <t>01-May-2004</t>
  </si>
  <si>
    <t>English,Hindi,Marathi,Sanskrit</t>
  </si>
  <si>
    <t xml:space="preserve">Playing Team Sports,Public speaking,Travelling,Networking,Volunteering,Fitness activities,Organizing events </t>
  </si>
  <si>
    <t>Santosh Laxman Tambe</t>
  </si>
  <si>
    <t>Real Estate</t>
  </si>
  <si>
    <t>Vidya Santosh Tambe</t>
  </si>
  <si>
    <t xml:space="preserve">Production Operator </t>
  </si>
  <si>
    <t>Plot No. 83, Sector No. 1, Chaitanya Park, Indrayaninagar, Bhosari, Pune-411039</t>
  </si>
  <si>
    <t>SNBP International School</t>
  </si>
  <si>
    <t>Maharashtra State Board</t>
  </si>
  <si>
    <t>Vidya Valley Northpoint College</t>
  </si>
  <si>
    <t>MIT Academy of Engineering</t>
  </si>
  <si>
    <t>AutoCAD Revit,AutoCAD,MS Office,MS Project,Bentley OpenFlows WaterGEMS,Bentley OpenFlows SewerGEMS,BOQ Preparation,Construction Planning &amp; Management,Quantity Estimation &amp; Costing</t>
  </si>
  <si>
    <t>Mamde Infra Pvt Ltd | Jr Engineer | Pune | Jun 2025 | Jul 2025 | 4 Weeks | Campus Internship</t>
  </si>
  <si>
    <t>Revit For Architecture
Python Programming
Living With Climate Change &amp; Water Management
PMI Project Management Ready™
Business to Business Marketing (B2B)
Wastewater Treatment and Recycling
Data Visualisation: Empowering Business with Effective Insights
AI-ML Virtual Internship
Water Resource Management Virtual Internship</t>
  </si>
  <si>
    <t>P26700143</t>
  </si>
  <si>
    <t>Niharika</t>
  </si>
  <si>
    <t>Alapati</t>
  </si>
  <si>
    <t>Niharika Alapati</t>
  </si>
  <si>
    <t>P26700143@student.nicmar.ac.in</t>
  </si>
  <si>
    <t>17-Dec-2000</t>
  </si>
  <si>
    <t>Alapati Srinagesh</t>
  </si>
  <si>
    <t>Corporate Trainer</t>
  </si>
  <si>
    <t>Narsin Sunitha</t>
  </si>
  <si>
    <t>D-304, MY Space, ADR &amp; Makuta, Bachupally, Hyderabad, 500090.</t>
  </si>
  <si>
    <t>Sri Aurobindo International School</t>
  </si>
  <si>
    <t>Telangana Secondary Board of education</t>
  </si>
  <si>
    <t>Sarath Junior School</t>
  </si>
  <si>
    <t>Vaishnavi School of Architecture and Planning</t>
  </si>
  <si>
    <t>AutoCAD,REVIT,Enscape,Sketchup,MS Office,MS Project</t>
  </si>
  <si>
    <t>P26700144</t>
  </si>
  <si>
    <t>Pranavi</t>
  </si>
  <si>
    <t>Pasumarty</t>
  </si>
  <si>
    <t>Pranavi Pasumarty</t>
  </si>
  <si>
    <t>P26700144@student.nicmar.ac.in</t>
  </si>
  <si>
    <t>19-Jun-2002</t>
  </si>
  <si>
    <t>Reading, Music,debate</t>
  </si>
  <si>
    <t>R V R Pasumarty</t>
  </si>
  <si>
    <t xml:space="preserve">Retired </t>
  </si>
  <si>
    <t>Pasumarty Santamani</t>
  </si>
  <si>
    <t>Flat no. 505, MVV Ozone apartments, Madhuravada</t>
  </si>
  <si>
    <t>St. Joseph's School</t>
  </si>
  <si>
    <t xml:space="preserve">Central Board of Education </t>
  </si>
  <si>
    <t>Autocad, MS Office,MS Project,Revit,Sketchup,lumion</t>
  </si>
  <si>
    <t>Akshay Kaul and Associates | Architecture design Intern | New Delhi | Jan 2025 | May 2025 | 21 Weeks | Campus Internship
Fore Studios | Architecture Design Intern  | Nagpur | May 2024 | Jul 2025 | 59 Weeks</t>
  </si>
  <si>
    <t>P26700145</t>
  </si>
  <si>
    <t>Falguni</t>
  </si>
  <si>
    <t xml:space="preserve">Nripendra </t>
  </si>
  <si>
    <t>Jain</t>
  </si>
  <si>
    <t>Falguni Nripendra  Jain</t>
  </si>
  <si>
    <t>falguninj@gmail.com</t>
  </si>
  <si>
    <t>P26700145@student.nicmar.ac.in</t>
  </si>
  <si>
    <t>english</t>
  </si>
  <si>
    <t>Running</t>
  </si>
  <si>
    <t>Nripendranath Jain</t>
  </si>
  <si>
    <t>Seema Jain</t>
  </si>
  <si>
    <t>Sai Ashish Road
E/201, Sai Pooja Apartments</t>
  </si>
  <si>
    <t>Udayachal High School</t>
  </si>
  <si>
    <t>Shri S. K. Somaiya Vinay Mandir Junior College</t>
  </si>
  <si>
    <t>Sir J.J. College of Architecture</t>
  </si>
  <si>
    <t>autocad,ms office,sketchup,rhino,revit,grasshopper,lumion,enscape,d5</t>
  </si>
  <si>
    <t>Worksphere Ventures pvt. ltd.  | Architectural Intern | Mumbai | May 2024 | Jun 2024 | 6 Weeks
The Design Plexus Architects | Architectural Intern | Mumbai | Nov 2024 | Apr 2025 | 23 Weeks</t>
  </si>
  <si>
    <t>P26700146</t>
  </si>
  <si>
    <t>Suresh</t>
  </si>
  <si>
    <t>Hunashikatti</t>
  </si>
  <si>
    <t>Shilpa Suresh Hunashikatti</t>
  </si>
  <si>
    <t>P26700146@student.nicmar.ac.in</t>
  </si>
  <si>
    <t>27-Nov-2001</t>
  </si>
  <si>
    <t>Kannada English Hindi</t>
  </si>
  <si>
    <t>Rekha</t>
  </si>
  <si>
    <t>WARD NO. 6 VTC RABAKAVI
PO . GALAGALI
TALUK  BILAGI</t>
  </si>
  <si>
    <t>THUNGALA ENGLISH MEDIUM HIGH SCHOOL JAMAKHANDI</t>
  </si>
  <si>
    <t>Bagalkot, Karnataka</t>
  </si>
  <si>
    <t>TUNGAL SCIENCE PU COLLEGE , VIJAYAPUR</t>
  </si>
  <si>
    <t>Vijayapur, Karnataka</t>
  </si>
  <si>
    <t>KLE TECHNOLOGICAL UNIVERSITY , HUBLI</t>
  </si>
  <si>
    <t>BVB COLLEGE OF ENGINEERING AND TECHNOLOGY, HUBLI, KARNATAKA</t>
  </si>
  <si>
    <t>SHRIYA PROPERTIES | Site Engineer | Hubballi | Jan 2024 | Mar 2024 | 8 Weeks</t>
  </si>
  <si>
    <t>NCC CERTIFICATE</t>
  </si>
  <si>
    <t>P26700147</t>
  </si>
  <si>
    <t>Anirudh</t>
  </si>
  <si>
    <t>Nargotra</t>
  </si>
  <si>
    <t>Anirudh Nargotra</t>
  </si>
  <si>
    <t>P26700147@student.nicmar.ac.in</t>
  </si>
  <si>
    <t>20-Jan-2003</t>
  </si>
  <si>
    <t>English, hindi</t>
  </si>
  <si>
    <t>Learning new things, playing cricket</t>
  </si>
  <si>
    <t>Pardhuman Kumar</t>
  </si>
  <si>
    <t>Project manager Delhi metro</t>
  </si>
  <si>
    <t>Supria Sawhney</t>
  </si>
  <si>
    <t>H NO-02 KH NO-545 UGF BLOCK-C VINDHYASHREE APPT BURARI , NORTH DELHI</t>
  </si>
  <si>
    <t>DL DAV Model School Shalimar Bagh</t>
  </si>
  <si>
    <t>Dr. Akhilesh Das Gupta Institute of technology and Management</t>
  </si>
  <si>
    <t>Auto CAD</t>
  </si>
  <si>
    <t>VRC Construction (India) ltd. | Civil Engineer | Delhi | Mar 2025 | Jun 2026 | 1 Years, 3 Months, 0 Days</t>
  </si>
  <si>
    <t>P26700148</t>
  </si>
  <si>
    <t>Siddhi</t>
  </si>
  <si>
    <t>Choubey</t>
  </si>
  <si>
    <t>Siddhi Choubey</t>
  </si>
  <si>
    <t>siddhichoubey1604@gmail.com</t>
  </si>
  <si>
    <t>P26700148@student.nicmar.ac.in</t>
  </si>
  <si>
    <t>16-Apr-2004</t>
  </si>
  <si>
    <t>Reading, Dancing, Writing</t>
  </si>
  <si>
    <t>Puneet Choubey</t>
  </si>
  <si>
    <t>Shweta Choubey</t>
  </si>
  <si>
    <t>Rose 84 Talpuri A block</t>
  </si>
  <si>
    <t>Delhi Public School, Bhilai</t>
  </si>
  <si>
    <t>Chhattisgarh Swami Vivekanad Technical University</t>
  </si>
  <si>
    <t>Bhilai Institute of Technology, Durg</t>
  </si>
  <si>
    <t>Ministry of Road Transport and Highways | Vocational Trainee | Dehradun | May 2024 | May 2024 | 0 Weeks
Public Health Engineering Depatrment, Durg | Vocational Trainee | Durg | May 2024 | Jun 2024 | 4 Weeks
Steel Authority of India Limited (SAIL) BSP | Project based Trainee | Bhilai | May 2025 | Jun 2025 | 3 Weeks</t>
  </si>
  <si>
    <t>P26700149</t>
  </si>
  <si>
    <t>Rushikesh</t>
  </si>
  <si>
    <t>Bhausaheb</t>
  </si>
  <si>
    <t>Badhe</t>
  </si>
  <si>
    <t>Rushikesh Bhausaheb Badhe</t>
  </si>
  <si>
    <t>rushikeshbadhe97@gmail.com</t>
  </si>
  <si>
    <t>P26700149@student.nicmar.ac.in</t>
  </si>
  <si>
    <t>31-Oct-1997</t>
  </si>
  <si>
    <t>Reading Books, Music, Current Affairs</t>
  </si>
  <si>
    <t>Badhe Bhausaheb Raghunath</t>
  </si>
  <si>
    <t>Badhe Bhavika Bhausaheb</t>
  </si>
  <si>
    <t>Khandoba Nagar near ZP School Shevgaon</t>
  </si>
  <si>
    <t>Balasaheb Bharde Highschool, Shevgaon</t>
  </si>
  <si>
    <t>Balasaheb Bharde Junior College, Shevgaon</t>
  </si>
  <si>
    <t>Savitribai Phule Pune University, Pune</t>
  </si>
  <si>
    <t>Amrutvahini College of Engineering, Sangamner</t>
  </si>
  <si>
    <t>Revit,Archicad,Navisworks,AutoCAD,Bluebeam Revu,Twinmotion,MS Project</t>
  </si>
  <si>
    <t>Anand Construction | Site Engineer | Shevgaon, Maharashtra | Jan 2023 | Mar 2024 | 1 Years, 2 Months, 21 Days | 1.80
DIMENSION PLUS | Jr. BIM Modeller | Ahmedabad, Gujarat | Feb 2025 | May 2026 | 1 Years, 3 Months, 28 Days | 3</t>
  </si>
  <si>
    <t>TechnoStruct, LLC | BIM Intern | Pune | Apr 2024 | Aug 2024 | 21 Weeks</t>
  </si>
  <si>
    <t>BIM Ready Complete: International Certification in BIM Modeling &amp; Coordination
Bluebeam Revu Essentials - Bluebeam University
Start Using Bluebeam for Everyone- Bluebeam University
Collaborating with Studio - Bluebeam University certifications</t>
  </si>
  <si>
    <t>P26700150</t>
  </si>
  <si>
    <t>Gargi</t>
  </si>
  <si>
    <t>Vishwas</t>
  </si>
  <si>
    <t>Laturkar</t>
  </si>
  <si>
    <t>Gargi Vishwas Laturkar</t>
  </si>
  <si>
    <t>gargilaturkar@gmail.com</t>
  </si>
  <si>
    <t>P26700150@student.nicmar.ac.in</t>
  </si>
  <si>
    <t xml:space="preserve">Badminton,Traveling ,Music </t>
  </si>
  <si>
    <t>Vishwas N. Laturkar</t>
  </si>
  <si>
    <t>Bussiness</t>
  </si>
  <si>
    <t>Vidula V. Laturkar</t>
  </si>
  <si>
    <t>Yoga instructor</t>
  </si>
  <si>
    <t xml:space="preserve">"Samadhan" Ram nager ausa road latur </t>
  </si>
  <si>
    <t xml:space="preserve"> Rajyog Society Baner</t>
  </si>
  <si>
    <t>Shri Keshavraj Vidyalaya Latur</t>
  </si>
  <si>
    <t>SSC Latur Maharashtra</t>
  </si>
  <si>
    <t>Puranmal lahoti government polytechnic latur</t>
  </si>
  <si>
    <t>Sinhagad college of engineering pune maharashtra</t>
  </si>
  <si>
    <t>P26700151</t>
  </si>
  <si>
    <t>Masurkar</t>
  </si>
  <si>
    <t xml:space="preserve">Vikram </t>
  </si>
  <si>
    <t>Uday</t>
  </si>
  <si>
    <t>Masurkar Vikram  Uday</t>
  </si>
  <si>
    <t>P26700151@student.nicmar.ac.in</t>
  </si>
  <si>
    <t>28-Apr-2003</t>
  </si>
  <si>
    <t>Marathi ,Hindi ,English,Malvani</t>
  </si>
  <si>
    <t>Fitness,cricket,swimming</t>
  </si>
  <si>
    <t>Sujal</t>
  </si>
  <si>
    <t>service</t>
  </si>
  <si>
    <t>G-399 , UBHABAJAR , SAWANTWADI</t>
  </si>
  <si>
    <t>Milagris High School</t>
  </si>
  <si>
    <t>Maharashtra State Borad</t>
  </si>
  <si>
    <t>Yashwantroa Bhosale Polytechnic</t>
  </si>
  <si>
    <t>AUTOCAD,MS PROJECT,EXCEL</t>
  </si>
  <si>
    <t>P26700152</t>
  </si>
  <si>
    <t>Saish</t>
  </si>
  <si>
    <t>Pankaj</t>
  </si>
  <si>
    <t>Saish Pankaj Solanki</t>
  </si>
  <si>
    <t>saishpankajsolanki@gmail.com</t>
  </si>
  <si>
    <t>P26700152@student.nicmar.ac.in</t>
  </si>
  <si>
    <t>17-Jun-2002</t>
  </si>
  <si>
    <t>Reading,Sports,Travelling</t>
  </si>
  <si>
    <t>late Panjak Solanki</t>
  </si>
  <si>
    <t>0000000000</t>
  </si>
  <si>
    <t>none</t>
  </si>
  <si>
    <t>Sunita Pankaj Solanki</t>
  </si>
  <si>
    <t xml:space="preserve">School Principal </t>
  </si>
  <si>
    <t>A-001, Prajapati Vaibhav, sector-09, Khanda Colony,
Panvel [west]</t>
  </si>
  <si>
    <t>P26700153</t>
  </si>
  <si>
    <t>Azad</t>
  </si>
  <si>
    <t>Mhatre</t>
  </si>
  <si>
    <t>Ayush Azad Mhatre</t>
  </si>
  <si>
    <t>P26700153@student.nicmar.ac.in</t>
  </si>
  <si>
    <t>hindi,marathi,english</t>
  </si>
  <si>
    <t>Cricket,swimming,adventure,football</t>
  </si>
  <si>
    <t>agriculture, business</t>
  </si>
  <si>
    <t>Reshma</t>
  </si>
  <si>
    <t>72, uran panvel road, at-Dapoli, pargaon, raigad, panvel</t>
  </si>
  <si>
    <t>Mahatma School of Academics &amp; Sports</t>
  </si>
  <si>
    <t>Pillia HOC College of engineering &amp; Technology</t>
  </si>
  <si>
    <t>Datta Meghe College Of Enginerring Airoli</t>
  </si>
  <si>
    <t>AutoCAD,MSP,Excel,primavera</t>
  </si>
  <si>
    <t>Construxus Infra LLP | site Engineer | Plot No k1 &amp; K2, Sector-3, Pushpak Nagar, Dapoli | Dec 2024 | Jan 2025 | 4 Weeks | Campus Internship</t>
  </si>
  <si>
    <t>P26700154</t>
  </si>
  <si>
    <t>Vivek</t>
  </si>
  <si>
    <t>Yedage</t>
  </si>
  <si>
    <t>Vivek Rajaram Yedage</t>
  </si>
  <si>
    <t>P26700154@student.nicmar.ac.in</t>
  </si>
  <si>
    <t>20-May-2000</t>
  </si>
  <si>
    <t>Marathi,HINDI,English</t>
  </si>
  <si>
    <t>Reading Music</t>
  </si>
  <si>
    <t>Auto Driver</t>
  </si>
  <si>
    <t>Rohini</t>
  </si>
  <si>
    <t>Plot no 2 Sahydri Housing Society Kadamwadi Kolhapur</t>
  </si>
  <si>
    <t>S.K.Pant Walawalkar Highschool</t>
  </si>
  <si>
    <t xml:space="preserve">Maharashtra State Board </t>
  </si>
  <si>
    <t>Vivekanand College Kolhapur</t>
  </si>
  <si>
    <t>Annasaheb Dange College of Engineering And Technology , Ashta Sangali</t>
  </si>
  <si>
    <t>STAAD.Pro,AutoCAD ,MS Project,Primavera</t>
  </si>
  <si>
    <t>P26700155</t>
  </si>
  <si>
    <t>SRINIBASH</t>
  </si>
  <si>
    <t>SAHOO</t>
  </si>
  <si>
    <t>Srinibash Sahoo</t>
  </si>
  <si>
    <t>1234srinibash@gmail.com</t>
  </si>
  <si>
    <t>P26700155@student.nicmar.ac.in</t>
  </si>
  <si>
    <t>15-Nov-2003</t>
  </si>
  <si>
    <t>HINDI, ENGLISH, ODIA</t>
  </si>
  <si>
    <t xml:space="preserve">STRENGTH TRAINING,LISTENING MUSIC </t>
  </si>
  <si>
    <t>SANJEEB KUMAR SAHOO</t>
  </si>
  <si>
    <t>ASSISTANT MANAGER AT HINDALCO INDUSTRIES  SAMBALPUR</t>
  </si>
  <si>
    <t>SRILEKHA SAHOO</t>
  </si>
  <si>
    <t>AT URALI,
PO MANDASAHI
 DISTRICT : JAGATSINGHPUR, ODISHA
PIN:754114</t>
  </si>
  <si>
    <t>Jagatsinghpur</t>
  </si>
  <si>
    <t>R3\C31 ,JAGANNATH COLONY
PO: BUDHARAJA
DIST: SAMBALPUR,ODISHA
PIN 768004</t>
  </si>
  <si>
    <t>VIKASH THE CONCEPT SCHOOL</t>
  </si>
  <si>
    <t>CBSE/SAMBALPUR</t>
  </si>
  <si>
    <t>G.I.E.T UNIVERSITY</t>
  </si>
  <si>
    <t>G.I.E.T UNIVERSITY/ GUNUPUR</t>
  </si>
  <si>
    <t>AUTOCAD,MS PROJECT,ESTIMATION,BBS,MS EXCEL</t>
  </si>
  <si>
    <t>SUBHAM ALTERATIVE SOLUTIONS PVT.LTD | GRADUATE ENGINEER TRAINEE | HINDALCO INDUSTRIES , LAPANGA ODISHA | Nov 2024 | Feb 2026 | 1 Years, 3 Months, 3 Days | 4.30</t>
  </si>
  <si>
    <t>ADITYA ALUMINIUM,LAPANGA | INTERN | LAPANGA,SAMBALPUR | Jun 2023 | Jun 2023 | 4 Weeks | Campus Internship</t>
  </si>
  <si>
    <t>P26700156</t>
  </si>
  <si>
    <t>Devhuti</t>
  </si>
  <si>
    <t>Matte</t>
  </si>
  <si>
    <t>Devhuti Devendra Matte</t>
  </si>
  <si>
    <t>P26700156@student.nicmar.ac.in</t>
  </si>
  <si>
    <t>22-Oct-2004</t>
  </si>
  <si>
    <t>Hindi,Marathi,English,Sanskrit</t>
  </si>
  <si>
    <t>Table Tennis,Content creation,Yoga</t>
  </si>
  <si>
    <t>Devendra Matte</t>
  </si>
  <si>
    <t>Self employed</t>
  </si>
  <si>
    <t>Ratna Matte</t>
  </si>
  <si>
    <t>plot no.7 Maooli, Gazzetted Officors colony, W.H.C.  Road, Civil Lines, Nagpur, Maharastra-440001</t>
  </si>
  <si>
    <t>NEERI Modern School</t>
  </si>
  <si>
    <t>CBSE, Nagpur, Maharastra</t>
  </si>
  <si>
    <t>Sardar Patel College of Engineering, Mumbai, Maharastra</t>
  </si>
  <si>
    <t>Excel,MS Project,Primavera,Revit,Navisworks,AutoCAD</t>
  </si>
  <si>
    <t>NCC Ltd. | Intern (Contracts Department) | Chakala, Andheri, Mumbai | Jan 2026 | Apr 2026 | 16 Weeks
GEOTECH SERVICES PVT. LTD. | Intern (Material Testing and soil testing) | Bansi Nagar, Hingna, Mumbai | Jun 2025 | Jul 2025 | 5 Weeks
Patankar Consultants Pvt. Ltd. | Intern (Site Visits) | Nagpur | Jan 2024 | Feb 2024 | 4 Weeks</t>
  </si>
  <si>
    <t>Revit 2025</t>
  </si>
  <si>
    <t>P26700157</t>
  </si>
  <si>
    <t>Vivek Kumar Anand</t>
  </si>
  <si>
    <t>P26700157@student.nicmar.ac.in</t>
  </si>
  <si>
    <t>HINDI, ENGLISH,MARATHI,MAITHILI,BHOJPURI</t>
  </si>
  <si>
    <t>READING BOOKS, PLAYING ALL INDDOR AND OUTDOOR GAMES</t>
  </si>
  <si>
    <t>BHARAT BHUSHAN PRASAD</t>
  </si>
  <si>
    <t>SUSHMA DEVI</t>
  </si>
  <si>
    <t>AMARI, JAMUI , BIHAR</t>
  </si>
  <si>
    <t>Jamui</t>
  </si>
  <si>
    <t>B-703 Anand Green Chs  , Kalyan west , Maharashtra</t>
  </si>
  <si>
    <t>K N MEMO ACADEMY RAHMATPUR ASARGANJ MUNGER BIHAR</t>
  </si>
  <si>
    <t>BIHAR</t>
  </si>
  <si>
    <t>Diploma in civil Engineering</t>
  </si>
  <si>
    <t>RP SHARMA INSTITUTE OF TECHNOLOGY PATNA</t>
  </si>
  <si>
    <t>DY PATIL UNIVERSITY PUNE AMBI</t>
  </si>
  <si>
    <t>DY PATIL SCHOOL OF ENGINEERING PUNE AMBI</t>
  </si>
  <si>
    <t>AUTOCAD,MS PROJECT,PRIMAVERA,MS OFFICE,MS EXCEL</t>
  </si>
  <si>
    <t>ROSA GROUP- SAI UMA CONSTRUCTION PVT. LTD | Junior Engineer | Thane, Maharashtra | Sep 2024 | Jun 2026 | 1 Years, 9 Months, 2 Days</t>
  </si>
  <si>
    <t>NDA PLASTECH | TRANIEE ENGINEER | PUNE | Jan 2024 | Feb 2024 | 4 Weeks
ENDREES HAUSER | TRANIEE ENGINEER | THANE | Feb 2024 | Apr 2024 | 8 Weeks</t>
  </si>
  <si>
    <t xml:space="preserve">STRUCTURAL DRAFTING USING AUTOCAD
Primavera with PPM Concepts
project management certification
Apti tute &amp; soft skills certification </t>
  </si>
  <si>
    <t>P26700158</t>
  </si>
  <si>
    <t>Rishi</t>
  </si>
  <si>
    <t xml:space="preserve">Trivedi </t>
  </si>
  <si>
    <t xml:space="preserve">Rishi Trivedi </t>
  </si>
  <si>
    <t>rishitrivedi18@gmail.com</t>
  </si>
  <si>
    <t>P26700158@student.nicmar.ac.in</t>
  </si>
  <si>
    <t>Hindi , English,Gujarati</t>
  </si>
  <si>
    <t xml:space="preserve">Reading books , Tennis , Table tennis , Interacting with people,Music,Travelling </t>
  </si>
  <si>
    <t xml:space="preserve">Pradeep Kumar Trivedi </t>
  </si>
  <si>
    <t xml:space="preserve">Private Job </t>
  </si>
  <si>
    <t xml:space="preserve">Mayuri P Trivedi </t>
  </si>
  <si>
    <t>Opera Elegance , Flat No 301, Radhe Park-1 , Street No 2 , Behind Gokul Mathura Appartment , 150 ft Ring road , Ayodhya chowk .</t>
  </si>
  <si>
    <t xml:space="preserve">Saint Paul's School </t>
  </si>
  <si>
    <t xml:space="preserve">Rajkot, Gujarat </t>
  </si>
  <si>
    <t xml:space="preserve">Institute of Infrastructure Technology Research and Management </t>
  </si>
  <si>
    <t xml:space="preserve">Ahmedabad , Gujarat </t>
  </si>
  <si>
    <t>AUTOCAD , Microsoft Projects , ANSYS(FLUENT), CFD,MS Excel, MS Word</t>
  </si>
  <si>
    <t>RKC Infrabuilt PVT LTD | Engineer - Planning and Billing  | Ahmedabad , Gujarat  | Jun 2024 | Jun 2026 | 2 Years, 0 Months, 22 Days | 4</t>
  </si>
  <si>
    <t>Institute of Infrastructure Technology Research and Management  | Research Project  | IITRAM , Ahmedabad | Jul 2023 | May 2024 | 45 Weeks | Campus Internship</t>
  </si>
  <si>
    <t xml:space="preserve">Exploring  Renewables Energy Schemes 
A Project Management Course </t>
  </si>
  <si>
    <t>P26700159</t>
  </si>
  <si>
    <t>JANKIRAM</t>
  </si>
  <si>
    <t>Harshal Jankiram Patil</t>
  </si>
  <si>
    <t>P26700159@student.nicmar.ac.in</t>
  </si>
  <si>
    <t>03-Jul-2000</t>
  </si>
  <si>
    <t>HINDI , ENGLISH,MARATHI</t>
  </si>
  <si>
    <t>TRAVELLING ,LEASTINING MUSIC</t>
  </si>
  <si>
    <t>Patil Wada, Near Vitthal Mandir
At post Chikhali bk.</t>
  </si>
  <si>
    <t>R.C.PATEL MARATHI MADHYAMIK VIDYALAY, SHIRPUR</t>
  </si>
  <si>
    <t>MAHARSHTRA STATE BOARD OF SECONDRY AND HIGHER SECONDRY EDUCATON  , PUNE</t>
  </si>
  <si>
    <t>Kavayitri Bahinabai Chaudhari North Maharshtra University jalgaon, maharashtra</t>
  </si>
  <si>
    <t>G.H.Raisoni Institute Of Engineering And Management , Jalgaon</t>
  </si>
  <si>
    <t>MS Office , Autocad,MS project</t>
  </si>
  <si>
    <t>PACE DIGITEK LTD. | CIVIL ENGINEER  | JALGAON, NAHARASHTRA | Oct 2023 | Jul 2026 | 2 Years, 8 Months, 20 Days | 3</t>
  </si>
  <si>
    <t>P26700160</t>
  </si>
  <si>
    <t>ARNAY</t>
  </si>
  <si>
    <t>BISWAL</t>
  </si>
  <si>
    <t>Arnay Biswal</t>
  </si>
  <si>
    <t>P26700160@student.nicmar.ac.in</t>
  </si>
  <si>
    <t>04-Sep-2003</t>
  </si>
  <si>
    <t>CYCLING ,SWIMMING ,READING ,PLAYING GAMES</t>
  </si>
  <si>
    <t>Y.BISWAL</t>
  </si>
  <si>
    <t>MANAGING DIRECTOR</t>
  </si>
  <si>
    <t>N.PRADHAN</t>
  </si>
  <si>
    <t>N4/157
IRC VILLAGE NAYAPALLI</t>
  </si>
  <si>
    <t>INTERNSHIP</t>
  </si>
  <si>
    <t>P26700161</t>
  </si>
  <si>
    <t>G Akash</t>
  </si>
  <si>
    <t>P26700161@student.nicmar.ac.in</t>
  </si>
  <si>
    <t>10-Mar-2002</t>
  </si>
  <si>
    <t>ENGLISH,HINDI,KANNADA,TELUGU</t>
  </si>
  <si>
    <t>FOOTBALL,CRICKET</t>
  </si>
  <si>
    <t>Narasareddy</t>
  </si>
  <si>
    <t>Sharada</t>
  </si>
  <si>
    <t>1-11-53/98,sri ram nagar,Raichur-Karnataka</t>
  </si>
  <si>
    <t>12-1-125/6c2,opp sanjeevani dental hospital,near indira canteen GUNJ,Raichur</t>
  </si>
  <si>
    <t>VIDHYA BHARATI (E.M) HIGH SCHOOL</t>
  </si>
  <si>
    <t>Karnataka secondary education examination board</t>
  </si>
  <si>
    <t>JUSTICE SHIVARAJ PU COLLEGE</t>
  </si>
  <si>
    <t>DEPARTMENT  OF PRE UNIVERSITY EDUCATION.KARNATAKA</t>
  </si>
  <si>
    <t>VISVESVARAYA  TECHNOLOGICAL UNIVERSITRY</t>
  </si>
  <si>
    <t>NITTE MEENAKSHI INSTITUTE OF TECHNOLOGY.BENGALURU/KARNATAKA</t>
  </si>
  <si>
    <t>Auto cad</t>
  </si>
  <si>
    <t>KEMPER SYSTEM | SALES ENGINEER | HYDERABAD | Aug 2024 | Nov 2024 | 0 Years, 3 Months, 5 Days | 4.3</t>
  </si>
  <si>
    <t>P26700162</t>
  </si>
  <si>
    <t>Manasi</t>
  </si>
  <si>
    <t>Korni</t>
  </si>
  <si>
    <t>Manasi Korni</t>
  </si>
  <si>
    <t>P26700162@student.nicmar.ac.in</t>
  </si>
  <si>
    <t>English,Hindi,Kannada,Telugu</t>
  </si>
  <si>
    <t>Dance,Music,Theatre,Table Tennis,Badminton</t>
  </si>
  <si>
    <t>Raghavendra Sanjay Korni</t>
  </si>
  <si>
    <t>Software Consultant</t>
  </si>
  <si>
    <t>Nishadh Korni</t>
  </si>
  <si>
    <t>#314,Sobha Dewflower Apartments, 4th Cross, Sarakki Road , J.P Nagar 1st Phase ,Bangalore - 560078</t>
  </si>
  <si>
    <t xml:space="preserve">PSBB Learning Leadership Academy </t>
  </si>
  <si>
    <t>CBSE , Bangalore , Karnataka</t>
  </si>
  <si>
    <t>Visvesvaraya Technological University , Belagavi , Karnataka</t>
  </si>
  <si>
    <t>Dayananda Sagar College of Architecture , Bangalore , Karnataka</t>
  </si>
  <si>
    <t>MS excel,ms word,ms powerpoint,ms project,autoCAD,revit,sketchup,enscape,adobe photoshop,adobe indesign,graphic design</t>
  </si>
  <si>
    <t>Vanzscape Architects and Associates | Junior Architect | Hyderabad, Telangana | Jul 2024 | Dec 2024 | 0 Years, 4 Months, 20 Days | 2.65
aRKadesign Studio | Junior Architect | Hyderabad, Telangana | Dec 2024 | May 2026 | 1 Years, 5 Months, 10 Days | 3</t>
  </si>
  <si>
    <t>aRKadesign Studio | Architectural Intern | Hyderabad , Telangana | Jan 2024 | Apr 2024 | 16 Weeks</t>
  </si>
  <si>
    <t xml:space="preserve">Soft Skills and Communication
Software Courses
Architecture Heritage and Conservation
Theatre Workshop
ISOLA - Bamboo Construction 
State Level Junior Bharatanatyam Dance Examination 
State Level Junior Carnatic Vocal Music Examination </t>
  </si>
  <si>
    <t>P26700163</t>
  </si>
  <si>
    <t>Ganesh</t>
  </si>
  <si>
    <t>Narayankar</t>
  </si>
  <si>
    <t>Ganesh Raghunath Narayankar</t>
  </si>
  <si>
    <t>P26700163@student.nicmar.ac.in</t>
  </si>
  <si>
    <t>Reading,Trekking</t>
  </si>
  <si>
    <t>Ujwala</t>
  </si>
  <si>
    <t>S2 B wing, Girish Classic Appt, Yashwant Nagar, Wai</t>
  </si>
  <si>
    <t>Dravid High School</t>
  </si>
  <si>
    <t>Kisan Veer Mahavidyalaya</t>
  </si>
  <si>
    <t>Annasaheb Dange College of Engineering and Technology</t>
  </si>
  <si>
    <t>Constrotrait Material Testing and Services LLP | Test Engineer | Wai,Satara | Jan 2023 | Mar 2024 | 1 Years, 2 Months, 9 Days | 2.4
Centre for Youth Development and Activities | Civil Engineer | Pune | Apr 2024 | Nov 2025 | 1 Years, 7 Months, 4 Days | 4.8</t>
  </si>
  <si>
    <t>SO/IEC 17025:2017- General Requirements for the Competence of Testing &amp; Calibration Laboratories (Laboratory System &amp; Internal Audit)</t>
  </si>
  <si>
    <t>P26700164</t>
  </si>
  <si>
    <t xml:space="preserve">Rohan </t>
  </si>
  <si>
    <t>Ahire</t>
  </si>
  <si>
    <t>Rohan  Ahire Ahire</t>
  </si>
  <si>
    <t>P26700164@student.nicmar.ac.in</t>
  </si>
  <si>
    <t>Music and playing guitar</t>
  </si>
  <si>
    <t>Shashikant Mogal Ahire</t>
  </si>
  <si>
    <t xml:space="preserve">Service </t>
  </si>
  <si>
    <t xml:space="preserve">Sandhya Shashikant Ahire </t>
  </si>
  <si>
    <t>Plot no 85, Flat no 404, Diamond Building, Gorai -2, Borivali (W)</t>
  </si>
  <si>
    <t>Ahire Rohan shashikant</t>
  </si>
  <si>
    <t>Ahire Rohan Shashikant</t>
  </si>
  <si>
    <t>University of mumbai</t>
  </si>
  <si>
    <t>Vidyavardhini's College Of Engineering &amp; Technology</t>
  </si>
  <si>
    <t>Autocad,msoffice,MSproject</t>
  </si>
  <si>
    <t>Naman Infra | Junior Engineer | Mumbai | Jun 2024 | Jun 2025 | 1 Years, 0 Months, 28 Days | 2.4
SMD Intech | Junior Engineer | Mumbai | Aug 2025 | Jul 2026 | 0 Years, 10 Months, 29 Days | 3.36</t>
  </si>
  <si>
    <t>P26700165</t>
  </si>
  <si>
    <t xml:space="preserve">Aadil </t>
  </si>
  <si>
    <t>Mustafa</t>
  </si>
  <si>
    <t>Mujawar</t>
  </si>
  <si>
    <t>Aadil  Mustafa Mujawar</t>
  </si>
  <si>
    <t>P26700165@student.nicmar.ac.in</t>
  </si>
  <si>
    <t xml:space="preserve">Hindi , English , Marathi </t>
  </si>
  <si>
    <t xml:space="preserve">Football , Reading books , Dancing </t>
  </si>
  <si>
    <t>Mustafa Allabakash Mujawar</t>
  </si>
  <si>
    <t xml:space="preserve">Engineer </t>
  </si>
  <si>
    <t>Tabbasum</t>
  </si>
  <si>
    <t>Row House no -2, e Near shivaji School, gajanan vihar, Latur, Latur,
Maharashtra - 413512</t>
  </si>
  <si>
    <t>P26700166</t>
  </si>
  <si>
    <t>Gourav</t>
  </si>
  <si>
    <t>Moond</t>
  </si>
  <si>
    <t>Gourav Moond</t>
  </si>
  <si>
    <t>moondgourav@gmail.com</t>
  </si>
  <si>
    <t>P26700166@student.nicmar.ac.in</t>
  </si>
  <si>
    <t>Reading,Learning new skills,Music</t>
  </si>
  <si>
    <t>Ram Niwas</t>
  </si>
  <si>
    <t xml:space="preserve">Saroj </t>
  </si>
  <si>
    <t>Govt. Teacher</t>
  </si>
  <si>
    <t>V.P.O-Piprali, Palasiya, Sikar (Rajasthan)</t>
  </si>
  <si>
    <t>Sikar</t>
  </si>
  <si>
    <t>Bhartiya Public School ,Sanwali Road ,Sikar (Rajasthan)</t>
  </si>
  <si>
    <t>08.4</t>
  </si>
  <si>
    <t>SBS MEMO. S S SR SEC SCHOOL,SABALPURA(SIKAR)</t>
  </si>
  <si>
    <t>Board Of Secondary Education, Rajasthan</t>
  </si>
  <si>
    <t>P26700167</t>
  </si>
  <si>
    <t>Ashwin</t>
  </si>
  <si>
    <t>Rajesh</t>
  </si>
  <si>
    <t>Kallada</t>
  </si>
  <si>
    <t>Ashwin Rajesh Kallada</t>
  </si>
  <si>
    <t>P26700167@student.nicmar.ac.in</t>
  </si>
  <si>
    <t>Hindi,English,Malayalam</t>
  </si>
  <si>
    <t xml:space="preserve">Reading,Music </t>
  </si>
  <si>
    <t>Rajesh Kallada</t>
  </si>
  <si>
    <t>Private Sector</t>
  </si>
  <si>
    <t>Ambli Das N</t>
  </si>
  <si>
    <t>11/4,Aishwarya,Vikram Sarabhai Road, ERGO Consultancy, Maradu</t>
  </si>
  <si>
    <t>Bhavan's Munshi Vidyashram</t>
  </si>
  <si>
    <t>Rajagiri School of Engineering &amp; Technology (RSET)</t>
  </si>
  <si>
    <t>AutoCAD,Revit,BIM Basics,MS Project,Primavera</t>
  </si>
  <si>
    <t xml:space="preserve"> J&amp;J Associates | Intern | Kerala | Jul 2024 | Jul 2024 | 1 Weeks | Campus Internship</t>
  </si>
  <si>
    <t>Professional in Interior and Exterior Designing
Professional in 2D Drafting
Professional in Architectural BIM</t>
  </si>
  <si>
    <t>P26700168</t>
  </si>
  <si>
    <t>Aayush</t>
  </si>
  <si>
    <t>Kejriwal</t>
  </si>
  <si>
    <t>Aayush Kejriwal</t>
  </si>
  <si>
    <t>P26700168@student.nicmar.ac.in</t>
  </si>
  <si>
    <t>English,Hindhi,marwadi ,marathi</t>
  </si>
  <si>
    <t xml:space="preserve">Music, Technical,environment </t>
  </si>
  <si>
    <t>Shrikant Kejriwal</t>
  </si>
  <si>
    <t>Charted Accountant</t>
  </si>
  <si>
    <t>Ritu Kejriwal</t>
  </si>
  <si>
    <t>301-B Grace,
Vasant Marvel Complex,
Borivali East</t>
  </si>
  <si>
    <t>Thakur Public School (Mumbai)</t>
  </si>
  <si>
    <t>2007-Aug</t>
  </si>
  <si>
    <t>Sarala Birla Academy (Bangalore)</t>
  </si>
  <si>
    <t>Dr. Baliram Hiray College of Architecture (Mumbai)</t>
  </si>
  <si>
    <t>Autocad,Adobe Photoshop,Adobe Premier Pro,Sketchup,Lumion,MS Office,MS Project</t>
  </si>
  <si>
    <t>Sumedha Gore Architects  | Jr. Architect | Mumbai | Jul 2024 | May 2026 | 1 Years, 10 Months, 16 Days | 3.9</t>
  </si>
  <si>
    <t>G.M. Architects | Intern Architect  | Jaipur, Rajasthan | Dec 2022 | Jun 2023 | 27 Weeks
IIM Sirmaur | Architect Consultant | Ponta Sahib, Sirmaur, Himchal Pradesh | Dec 2023 | Jan 2024 | 1 Weeks</t>
  </si>
  <si>
    <t>P26700169</t>
  </si>
  <si>
    <t>HALEEMA</t>
  </si>
  <si>
    <t>NUSRIN</t>
  </si>
  <si>
    <t>O N</t>
  </si>
  <si>
    <t>Haleema Nusrin O N</t>
  </si>
  <si>
    <t>P26700169@student.nicmar.ac.in</t>
  </si>
  <si>
    <t>21-Nov-2000</t>
  </si>
  <si>
    <t>DANCING,SINGING,READING</t>
  </si>
  <si>
    <t>NAJEEB O H</t>
  </si>
  <si>
    <t>SALES MAN</t>
  </si>
  <si>
    <t>JASEEDHA NAJEEB</t>
  </si>
  <si>
    <t>OZHEEPARAMBIL (H), ASHOKA ROAD, OZEEL BABU LANE, KALOOR.</t>
  </si>
  <si>
    <t xml:space="preserve">OZHEEPARAMBIL (H), ASHOKA ROAD, OZEEL BABU LANE, KALOOR. </t>
  </si>
  <si>
    <t>A.C.S.E.M.H.S KALOOR</t>
  </si>
  <si>
    <t>Board of public examinations, Kerala</t>
  </si>
  <si>
    <t>Sacred Hearts H.S.S THEVARA</t>
  </si>
  <si>
    <t>Board of Higher Secondary Examination, Kerala</t>
  </si>
  <si>
    <t>Federal Institute Of Science and Technology (FISAT), ANGAMALY, KERALA</t>
  </si>
  <si>
    <t>AUTOCAD, REVIT Architecture,STAAD,MSP</t>
  </si>
  <si>
    <t>TATA CONSULTANCY SERVICES (TCS) | ASSISTANT SYSTEM ENGINEER | KOCHI | May 2024 | Jun 2026 | 2 Years, 1 Months, 7 Days | 3.37
STEEL INDUSTRIES KERALA LIMITED (SILK) | GRADUATE APPRENTICE - CIVIL | ATHANI, THRISSUR | Jan 2024 | May 2024 | 0 Years, 3 Months, 28 Days | 1.08</t>
  </si>
  <si>
    <t>P26700170</t>
  </si>
  <si>
    <t>Swaroop</t>
  </si>
  <si>
    <t>Kundur</t>
  </si>
  <si>
    <t>Swaroop Santosh Kundur</t>
  </si>
  <si>
    <t>P26700170@student.nicmar.ac.in</t>
  </si>
  <si>
    <t>Hindi,English,Marathi,Telugu</t>
  </si>
  <si>
    <t>Reading, Exploring Construction &amp; Infrastructure projects</t>
  </si>
  <si>
    <t>Vasudha</t>
  </si>
  <si>
    <t>557, Ghorpade Peth, Srinivas Apartment, Khadak Mal-Ali, Flat no-2, Ground Floor, Near Swargate, Pune-411042</t>
  </si>
  <si>
    <t xml:space="preserve">Muktangan English School &amp; Junior college </t>
  </si>
  <si>
    <t>Maharashtra State Board of Secondary and Higher Secondary Education,Pune</t>
  </si>
  <si>
    <t>Sou.Venutai Chavan Polytechnic, Pune city</t>
  </si>
  <si>
    <t>Savitribai Phule University,Pune</t>
  </si>
  <si>
    <t>Trinity College of Engineering and Research,Pune</t>
  </si>
  <si>
    <t>2025-Nov</t>
  </si>
  <si>
    <t>P26700171</t>
  </si>
  <si>
    <t>THENGARI</t>
  </si>
  <si>
    <t>Sachin Pandurang Thengari</t>
  </si>
  <si>
    <t>P26700171@student.nicmar.ac.in</t>
  </si>
  <si>
    <t>08-Mar-1999</t>
  </si>
  <si>
    <t>TRAVELLING ,READING</t>
  </si>
  <si>
    <t>ANJITAI</t>
  </si>
  <si>
    <t>AT PO BHANDARBODI , RAMTEK,NAGPUR,MAHARASTRA</t>
  </si>
  <si>
    <t>MAHATMA JYOTIBA FULE VIDHYALAY BHANDARBODI</t>
  </si>
  <si>
    <t xml:space="preserve">DNYADEEP JUNIOUR COLLEGE , RAMTEK </t>
  </si>
  <si>
    <t xml:space="preserve">GONDWANA UNIVERSITY </t>
  </si>
  <si>
    <t>GOVERMENT COLLEGE OF ENGINEERING CHANDRAPUR , MAHARASHTRA</t>
  </si>
  <si>
    <t>RTMNU</t>
  </si>
  <si>
    <t>Kavikulguru Institute of Technology and Science , RAMTEK ,MAHARASHTRA</t>
  </si>
  <si>
    <t>SACHIN CONSTRUCTION | CIVIL CONTRACTOR | RAMTEK | Jun 2025 | Jun 2026 | 1 Years, 0 Months, 24 Days</t>
  </si>
  <si>
    <t>PWD | TRAINEE | CHANDRAPUR | Dec 2019 | Dec 2019 | 2 Weeks | Campus Internship</t>
  </si>
  <si>
    <t>P26700172</t>
  </si>
  <si>
    <t>Mohammad Anas</t>
  </si>
  <si>
    <t>Khan</t>
  </si>
  <si>
    <t>Mohammad Anas Khan</t>
  </si>
  <si>
    <t>anas.io@outlook.com</t>
  </si>
  <si>
    <t>P26700172@student.nicmar.ac.in</t>
  </si>
  <si>
    <t>Badminton,Walking</t>
  </si>
  <si>
    <t>Abdul Wahab Khan</t>
  </si>
  <si>
    <t>Site Incharge</t>
  </si>
  <si>
    <t>Tabassum Khan</t>
  </si>
  <si>
    <t>B19, Mahakaushal Puram, Tilak College Road, Katni, MP</t>
  </si>
  <si>
    <t>Bardsley English Medium Senior Secondary School</t>
  </si>
  <si>
    <t>Rajiv Gandhi Prodyogiki Vishwavidyalaya</t>
  </si>
  <si>
    <t>Global nature care sangathan group of institution</t>
  </si>
  <si>
    <t>AutoCAD,MS Excel,MS Project,Staad Pro,AutoCAD Architecture</t>
  </si>
  <si>
    <t>RK Chavan Infrastructure Pvt Ltd | Engineer QS | Pune | Mar 2024 | Apr 2026 | 2 Years, 1 Months, 26 Days | 1.8</t>
  </si>
  <si>
    <t>AutoCAD
3DS MAx
Staad Pro
Building Estimator
AB Pass</t>
  </si>
  <si>
    <t>P26700173</t>
  </si>
  <si>
    <t>Parthiv</t>
  </si>
  <si>
    <t>PR</t>
  </si>
  <si>
    <t>Parthiv Pr</t>
  </si>
  <si>
    <t>P26700173@student.nicmar.ac.in</t>
  </si>
  <si>
    <t>English , Tamil ,Telugu,Kannada,Malayalam</t>
  </si>
  <si>
    <t>Pet Keeping , Aviculture,Drawing ,Football,Cricket,Marathons,Photography,Videography,Travel</t>
  </si>
  <si>
    <t xml:space="preserve">Ramesh P </t>
  </si>
  <si>
    <t>Employee in Ashok Leyland</t>
  </si>
  <si>
    <t xml:space="preserve">Sujatha P R </t>
  </si>
  <si>
    <t>3/796, 9th main  Street , Bharathi Nagar , Arasanatty , Mookandapalli , Hosur</t>
  </si>
  <si>
    <t>St Josephs Matriculation Higher Secondary School</t>
  </si>
  <si>
    <t>Hosur</t>
  </si>
  <si>
    <t xml:space="preserve">Sri Vijay Vidhyalaya </t>
  </si>
  <si>
    <t>Manipal University</t>
  </si>
  <si>
    <t>Manipal Institute Of Technology</t>
  </si>
  <si>
    <t>Autocad,Etabs,Design Builder,Staad Pro,MSP,Photoshop,MS Office,Lightroom</t>
  </si>
  <si>
    <t>Manipal Institute of Technology  | Final Year Project  | Manipal | Feb 2025 | Nov 2025 | 38 Weeks | Campus Internship
LnT | Intern | Bangalore | Jun 2024 | Jul 2024 | 5 Weeks
CBRE | Intern | Bangalore | Mar 2026 | Jun 2026 | 12 Weeks</t>
  </si>
  <si>
    <t>LnT Intern Certificate
CBRE Internship Certificate
ASCE Certificate
HILTI Workshop
BAI Certificate
Marketing In Digital World_Coursera Certificate
Digital Marketing: Customer Engagement Strategy_Coursera Certificate</t>
  </si>
  <si>
    <t>P26700174</t>
  </si>
  <si>
    <t>Swathy</t>
  </si>
  <si>
    <t>Nair</t>
  </si>
  <si>
    <t>Swathy B Nair</t>
  </si>
  <si>
    <t>P26700174@student.nicmar.ac.in</t>
  </si>
  <si>
    <t>27-Nov-2002</t>
  </si>
  <si>
    <t>Malayalam ,English</t>
  </si>
  <si>
    <t>Crafts And Arts</t>
  </si>
  <si>
    <t>B Biju</t>
  </si>
  <si>
    <t>R Jayalekshmi</t>
  </si>
  <si>
    <t>Kaleekkal Swaroop Bhavan Edavattom Vellimon PO Perinad Kollam Kerala 691511</t>
  </si>
  <si>
    <t>Vimala Hridaya H S S For Girls Pattathanam Kollam</t>
  </si>
  <si>
    <t>Government of Kerala General Educational Department, Kerala</t>
  </si>
  <si>
    <t xml:space="preserve">Government Higher Secondary School Perinad </t>
  </si>
  <si>
    <t>Government Of Kerala Board Of Higher Secondary Examinations, Kerala</t>
  </si>
  <si>
    <t xml:space="preserve">APJ Abdul Kalam Technological University </t>
  </si>
  <si>
    <t>TKM Institute Of Technology , Kerala</t>
  </si>
  <si>
    <t>AutoCAD,Revit,Primavera,StaadPRO,SketchUP,Lumion,Diploma for QA/QC ,Diploma in Measurement and Cost Engineering,Navisworks,BIM 360,Planswift,Revit Structural,Insight</t>
  </si>
  <si>
    <t>Arcite Educational Solutions PVT LTD | Industry Relations And Placement - Lead | Kollam, Kerala | Feb 2025 | Jun 2026 | 1 Years, 4 Months, 14 Days | 1.8</t>
  </si>
  <si>
    <t>Step Global Corporate Solutions LLC | Civil Engineer Trainee | KOLLAM | Jun 2024 | Jan 2025 | 32 Weeks | Campus Internship</t>
  </si>
  <si>
    <t>AutoCAD 
Revit
Primavera
Lumion
Measurement and Cost Engineering
QA/QC
SketchUP
Revit Structure
BIM 360
Naviswork
StaadPro</t>
  </si>
  <si>
    <t>P26700175</t>
  </si>
  <si>
    <t>Gouri Sannihith</t>
  </si>
  <si>
    <t>Patnam</t>
  </si>
  <si>
    <t>Gouri Sannihith Patnam</t>
  </si>
  <si>
    <t>P26700175@student.nicmar.ac.in</t>
  </si>
  <si>
    <t>English,Telugu,hindi</t>
  </si>
  <si>
    <t>sketching,video games,music,Puzzle solving,dancing,reading</t>
  </si>
  <si>
    <t>Siva Venkata Murali Krishna Reddy Patnam</t>
  </si>
  <si>
    <t>Bhudevi Patnam</t>
  </si>
  <si>
    <t>16/4/1723-1 Pinakini Avenue, opp Apollo hospital, Haranadhapuram, Nellore,
Andhrapradesh - 524003</t>
  </si>
  <si>
    <t>RAINBOW SCHOOL</t>
  </si>
  <si>
    <t>Viswasai Junior College</t>
  </si>
  <si>
    <t>Board of Intermediate Education Andhra Pradesh</t>
  </si>
  <si>
    <t>Dayananda Sagar College of Architecture, Bengaluru</t>
  </si>
  <si>
    <t>Auto CAD,MS office,sketchup,revit,enscape</t>
  </si>
  <si>
    <t>HIGHERARCHY  | Architect  | Chennai  | Jul 2025 | Jan 2026 | 0 Years, 6 Months, 1 Days | 3</t>
  </si>
  <si>
    <t>HIGHERARCHY | Architect trainee   | Chennai | Jan 2024 | Apr 2024 | 15 Weeks | Campus Internship</t>
  </si>
  <si>
    <t>GRE(Graduate Record Examinations)</t>
  </si>
  <si>
    <t>P26700176</t>
  </si>
  <si>
    <t>Jay</t>
  </si>
  <si>
    <t>Sonanis</t>
  </si>
  <si>
    <t>Jay Sunil Sonanis</t>
  </si>
  <si>
    <t>sonanisjay@gmail.com</t>
  </si>
  <si>
    <t>P26700176@student.nicmar.ac.in</t>
  </si>
  <si>
    <t>27-May-2003</t>
  </si>
  <si>
    <t>Cricket,Football,Dance</t>
  </si>
  <si>
    <t>Sunil Sonanis</t>
  </si>
  <si>
    <t xml:space="preserve">Government Servant </t>
  </si>
  <si>
    <t>Rani Sonanis</t>
  </si>
  <si>
    <t>Flat No 2202,03 Cornerstone Building Behind Phoenix Mall Palladium Gandhinagar Worli</t>
  </si>
  <si>
    <t xml:space="preserve">IES Modern English School </t>
  </si>
  <si>
    <t>SSC Mumbai/Maharashtra</t>
  </si>
  <si>
    <t xml:space="preserve">Ramnarain Ruia College </t>
  </si>
  <si>
    <t>HSC Mumbi/Maharashtra</t>
  </si>
  <si>
    <t xml:space="preserve">Mumbai University </t>
  </si>
  <si>
    <t>MH Saboo Siddik College Of Engineering Mumbai/Maharashtra</t>
  </si>
  <si>
    <t>AutoCad,Ms Office,Ms excel,Ms project ,Primavera</t>
  </si>
  <si>
    <t>Shubham EPC Pvt.Ltd | Site Intern | Mumbai | Jun 2025 | Sep 2025 | 13 Weeks</t>
  </si>
  <si>
    <t>P26700177</t>
  </si>
  <si>
    <t>MICHAEL</t>
  </si>
  <si>
    <t>P S</t>
  </si>
  <si>
    <t>Michael P S</t>
  </si>
  <si>
    <t>P26700177@student.nicmar.ac.in</t>
  </si>
  <si>
    <t>05-Oct-2001</t>
  </si>
  <si>
    <t>Malayalam,English</t>
  </si>
  <si>
    <t>Photography,Weightlifting,Badminton,Football,Cinematography</t>
  </si>
  <si>
    <t>P M SHAJI</t>
  </si>
  <si>
    <t>Private Firm Manager</t>
  </si>
  <si>
    <t>HELMA V J</t>
  </si>
  <si>
    <t>Government Employee</t>
  </si>
  <si>
    <t>Punnackal House, Poomkavu,Pathirappally PO, Alappuzha</t>
  </si>
  <si>
    <t>Mary Immaculate High School,Alappuzha</t>
  </si>
  <si>
    <t>Board of Public Examinations, Kerala</t>
  </si>
  <si>
    <t>Government Higher Secondary School, Kalavoor</t>
  </si>
  <si>
    <t>Board of Higher Secondary Examinations, Kerala</t>
  </si>
  <si>
    <t>Carmel College of Engineering and Technology,Alappuzha</t>
  </si>
  <si>
    <t>AutoCAD,Revit,STAAD.Pro,MS Office</t>
  </si>
  <si>
    <t>Kerala Land Development Corporation Limited | B.Tech Intern | Alappuzha,Kerala | Sep 2024 | Sep 2025 | 0 Years, 11 Months, 30 Days | 1.44</t>
  </si>
  <si>
    <t>2D Drafting and Plotting (AutoCAD)
Building Information and Modelling (Revit)
Autodesk Revit Structure
Structural Analysis and Design (STAAD.Pro)</t>
  </si>
  <si>
    <t>P26700178</t>
  </si>
  <si>
    <t>Chintan</t>
  </si>
  <si>
    <t>K B</t>
  </si>
  <si>
    <t>Chintan K B</t>
  </si>
  <si>
    <t>chintankb15@gmail.com</t>
  </si>
  <si>
    <t>P26700178@student.nicmar.ac.in</t>
  </si>
  <si>
    <t>15-Jun-2001</t>
  </si>
  <si>
    <t>English,Kannada,hindi</t>
  </si>
  <si>
    <t>Sketching,Photography and Videography,Travel and Riding</t>
  </si>
  <si>
    <t>K C Bheemaiah</t>
  </si>
  <si>
    <t>K B Hemalatha</t>
  </si>
  <si>
    <t>No.7, Sri Rajarajeshwari Nilaya, 8th Cross, KRHBCS, Chowdeshwari Nagar, Laggere, Bangalore North, Bangalore, Karnataka - 560058</t>
  </si>
  <si>
    <t>Holy Child English High School</t>
  </si>
  <si>
    <t>Bangalore</t>
  </si>
  <si>
    <t>SB Mahaveer Jain PU College</t>
  </si>
  <si>
    <t>SJB School of Architecture and Planning</t>
  </si>
  <si>
    <t>AutoCAD,MS Office,Photoshop,Sketchup,Enscape</t>
  </si>
  <si>
    <t>Sanctuary Architects and Designers | Project Architect | Bangalore | Jul 2024 | Jun 2026 | 1 Years, 10 Months, 28 Days | 3.02</t>
  </si>
  <si>
    <t>AVN Architects | Architectural Intern | Bangalore | Jan 2024 | Apr 2024 | 15 Weeks | Campus Internship</t>
  </si>
  <si>
    <t>P26700179</t>
  </si>
  <si>
    <t>SELVA MATHESH</t>
  </si>
  <si>
    <t>Selva Mathesh C</t>
  </si>
  <si>
    <t>P26700179@student.nicmar.ac.in</t>
  </si>
  <si>
    <t>27-Mar-2001</t>
  </si>
  <si>
    <t>TAMIL ,ENGLISH ,HINDI</t>
  </si>
  <si>
    <t>Photography,Music ,Football</t>
  </si>
  <si>
    <t>CHELLADURAI M</t>
  </si>
  <si>
    <t>TAMIL SELVI C</t>
  </si>
  <si>
    <t>7A/99, INDRA NAGAR, THALAMUTHU NAGAR</t>
  </si>
  <si>
    <t>Thoothukudi</t>
  </si>
  <si>
    <t>KAMAK MATRIC HIGHER SECONDARY SCHOOL</t>
  </si>
  <si>
    <t>ST. FRANCIS XAVIER'S HIGHER SECONDARY SCHOOL</t>
  </si>
  <si>
    <t>SRI KRISHNA COLLEGE OF TECHNOLOGY</t>
  </si>
  <si>
    <t>2018-Sep</t>
  </si>
  <si>
    <t>AutoCAD, Revit</t>
  </si>
  <si>
    <t>Kriti Homes Pvt Ltd  | Site Supervisor | CHENNAI | May 2024 | Jul 2024 | 0 Years, 2 Months, 24 Days | 1.8
DOYEN ENGINEERING SERVICES PRIVATE LIMITED | SUPERVISOR | CHENNAI | Oct 2024 | Apr 2026 | 1 Years, 6 Months, 1 Days | 3</t>
  </si>
  <si>
    <t>ARCHITECTURAL DESIGN</t>
  </si>
  <si>
    <t>P26700180</t>
  </si>
  <si>
    <t>RUNEET</t>
  </si>
  <si>
    <t>DHENGE</t>
  </si>
  <si>
    <t>Runeet Anil Dhenge</t>
  </si>
  <si>
    <t>P26700180@student.nicmar.ac.in</t>
  </si>
  <si>
    <t>24-Feb-2000</t>
  </si>
  <si>
    <t xml:space="preserve">Basketball,Music,Cooking </t>
  </si>
  <si>
    <t>Deceased</t>
  </si>
  <si>
    <t>GEETA</t>
  </si>
  <si>
    <t xml:space="preserve">102, Akshay Niwas, Pipla Road, Besa, Nagpur </t>
  </si>
  <si>
    <t>Vimaltai Tidke Convent</t>
  </si>
  <si>
    <t>CBSE, Nagpur, Maharashtra</t>
  </si>
  <si>
    <t>Major Hemant Jakate Institute Of Science and Commerce</t>
  </si>
  <si>
    <t>State Board, Nagpur, Maharashtra</t>
  </si>
  <si>
    <t>AutoCad,Sketchup,Adobe PhotoShop,Adobe Illustrator,Lumion,D5</t>
  </si>
  <si>
    <t>Himalaya Dwellers Pvt. Ltd. | Architectural Assistant | Nagpur, Maharashtra | Jun 2023 | Jun 2024 | 0 Years, 11 Months, 26 Days | 1.8
MU Design | Junior Architect | Pune, Maharashtra | Jun 2025 | May 2026 | 0 Years, 11 Months, 29 Days | 2.52</t>
  </si>
  <si>
    <t>A B Architects | Intern | Pune, Maharashtra | Jan 2023 | Jun 2023 | 19 Weeks
MU Design | Intern | Pune, Maharashtra | Jul 2024 | Oct 2024 | 16 Weeks</t>
  </si>
  <si>
    <t>GSD1x: The Architectural Imagination</t>
  </si>
  <si>
    <t>P26700181</t>
  </si>
  <si>
    <t>Ravindra</t>
  </si>
  <si>
    <t>Salgar</t>
  </si>
  <si>
    <t>Pratap Ravindra Salgar</t>
  </si>
  <si>
    <t>pratapsalgar28@gmail.com</t>
  </si>
  <si>
    <t>P26700181@student.nicmar.ac.in</t>
  </si>
  <si>
    <t>28-Oct-2001</t>
  </si>
  <si>
    <t xml:space="preserve">Marathi, Hindi, English </t>
  </si>
  <si>
    <t xml:space="preserve">Trekking,Listening Music </t>
  </si>
  <si>
    <t xml:space="preserve">Ravindra </t>
  </si>
  <si>
    <t xml:space="preserve">Revati </t>
  </si>
  <si>
    <t>Opp. Nupur Appt. Samata Nagar, Gopalwadi Road, Daund</t>
  </si>
  <si>
    <t>Sant Tukdoji Maharaj Madhyamik Vidyamandir, Daund</t>
  </si>
  <si>
    <t>SSC  Daund, Dist- Pune, Maharashtra</t>
  </si>
  <si>
    <t>Sheth Jyotiprasad Vidyalay and Junior College, Daund</t>
  </si>
  <si>
    <t>HSC Daund, Dist- Pune, Maharashtra</t>
  </si>
  <si>
    <t>D Y Patil College of Engineering, Akurdi, Pune</t>
  </si>
  <si>
    <t>AutoCAD,Revit Architecture ,Revit Structure,Navisworks,Civil 3D,MS Project</t>
  </si>
  <si>
    <t>Constrologix Engineering and Research Services Pvt. Lts | Intern | Chinchwad, Pune | Jan 2022 | Feb 2022 | 3 Weeks | Campus Internship
Maharashtra Metro Rail Corporation  | Intern | Pune | Jan 2023 | Feb 2023 | 4 Weeks | Campus Internship</t>
  </si>
  <si>
    <t>Building Information Modelling</t>
  </si>
  <si>
    <t>P26700182</t>
  </si>
  <si>
    <t xml:space="preserve">Chirag </t>
  </si>
  <si>
    <t>Bharat</t>
  </si>
  <si>
    <t>Pardhi</t>
  </si>
  <si>
    <t>Chirag  Bharat Pardhi</t>
  </si>
  <si>
    <t>Chirag2026ok@gmail.com</t>
  </si>
  <si>
    <t>P26700182@student.nicmar.ac.in</t>
  </si>
  <si>
    <t>06-Sep-2001</t>
  </si>
  <si>
    <t>Reading,Writing,Learning Languages ,Cooking,Music Listening</t>
  </si>
  <si>
    <t>Bharat Pardhi</t>
  </si>
  <si>
    <t>Senior Clerk</t>
  </si>
  <si>
    <t>Meena</t>
  </si>
  <si>
    <t>near sharda timber mart,singletoli ramnager gondia</t>
  </si>
  <si>
    <t>SK PG, Nivrutti Plaza, Near Midcon College,Balewadi</t>
  </si>
  <si>
    <t>Gujarati National High School</t>
  </si>
  <si>
    <t>Dhote Bandhu Science College Gondia</t>
  </si>
  <si>
    <t>Dr. D.Y. Patil College of Engineering Akurdi, Pune</t>
  </si>
  <si>
    <t>Primavera,MS Office, Autocad  2D,Autocad 3D,MS Project</t>
  </si>
  <si>
    <t>Kulkarni Buildcon | Jr. Billing Engineer | Jayanti Nagari Nagpur | Apr 2024 | Apr 2026 | 2 Years, 0 Months, 29 Days | 2.64</t>
  </si>
  <si>
    <t>Praful Association &amp; Construction Company | Site Engineer | Fulchur Tola Gondia | Feb 2022 | Mar 2022 | 4 Weeks | Campus Internship</t>
  </si>
  <si>
    <t>Primavera P6
Autocad Mastery Course</t>
  </si>
  <si>
    <t>P26700183</t>
  </si>
  <si>
    <t xml:space="preserve">MANDULA </t>
  </si>
  <si>
    <t>SYAM</t>
  </si>
  <si>
    <t>Mandula  Syam Sundar</t>
  </si>
  <si>
    <t>P26700183@student.nicmar.ac.in</t>
  </si>
  <si>
    <t>English,Hindi,Telugu</t>
  </si>
  <si>
    <t>Reading,Watching Movies,Dance</t>
  </si>
  <si>
    <t>MANDULA SANKARARAO</t>
  </si>
  <si>
    <t>MANDULA SRIDEVI</t>
  </si>
  <si>
    <t>D.No-2-43,
Sai Nagar Colony,
G.Sigadam(Vill&amp;Mandal)</t>
  </si>
  <si>
    <t>AP MODEL SCHOOL,G SIGADAM,SRIKAKULAM</t>
  </si>
  <si>
    <t>BOARD OF SECONDARY EDUCATION,G SIGADAM/ANDHRA PRADESH</t>
  </si>
  <si>
    <t>RGUKT</t>
  </si>
  <si>
    <t>RAJIV GANDHI UNIVERSITY OF KNOWLEDGE TECHNOLOGIES, SRIKAKULAM/ANDHRA PRADESH</t>
  </si>
  <si>
    <t>AutoCAD,MS PROJECT,Advance Excel,Ms Office</t>
  </si>
  <si>
    <t>GEOCLAD LLP | Drone Operation Executive | Tirupathi | May 2024 | Feb 2025 | 0 Years, 9 Months, 27 Days | 4.02
Ramky Infrastructure Limited | Graduate Engineering Trainee-Projects | Mumbai | Mar 2025 | Apr 2026 | 1 Years, 1 Months, 27 Days | 2.4</t>
  </si>
  <si>
    <t>Spatial Hawk | DGPS &amp; Drone Surveyor | Hyderabad | Jul 2023 | Feb 2024 | 30 Weeks | Campus Internship</t>
  </si>
  <si>
    <t>Drone Pilot Certificate</t>
  </si>
  <si>
    <t>P26700184</t>
  </si>
  <si>
    <t>Adarsh</t>
  </si>
  <si>
    <t>Raj</t>
  </si>
  <si>
    <t>Nonia</t>
  </si>
  <si>
    <t>Adarsh Raj Nonia</t>
  </si>
  <si>
    <t>P26700184@student.nicmar.ac.in</t>
  </si>
  <si>
    <t>02-Sep-2001</t>
  </si>
  <si>
    <t>Badminton,Cricket,Music</t>
  </si>
  <si>
    <t>Raj Kumar Nonia</t>
  </si>
  <si>
    <t>Service Job</t>
  </si>
  <si>
    <t>Late Indrani devi</t>
  </si>
  <si>
    <t>opposite honda showroom baliapur, dhanbad , jharkhand</t>
  </si>
  <si>
    <t>DAV Public School Sindri,Dhanbad</t>
  </si>
  <si>
    <t>DAV Public School Sindri,Dhanbad, Jharkhand</t>
  </si>
  <si>
    <t xml:space="preserve">DAV Public School </t>
  </si>
  <si>
    <t>Gandhi Institute of techynology and management</t>
  </si>
  <si>
    <t>Gandhi Institute of techynology and management Vishakhapatanam,Andhra Pradesh</t>
  </si>
  <si>
    <t>Autocad,MSP,stadd pro,ms office</t>
  </si>
  <si>
    <t>RDCPL Green Pvt Ltd | Intern Trainne | Motipur, muzaffarpur, Bihar | Jan 2025 | Mar 2025 | 0 Years, 2 Months, 30 Days | 1.45
Bharat Coking Coal Limited | Apprentice trainee | bastacolla , dhanbad, jharkhand | Apr 2025 | Apr 2026 | 0 Years, 11 Months, 30 Days | 1.08</t>
  </si>
  <si>
    <t>Chennai metro rail limited | Apprentice trainee | Nandanam, chennai,Tamilnadu | May 2023 | Jun 2023 | 4 Weeks | Campus Internship</t>
  </si>
  <si>
    <t>Civil Guruji
Biology Everyone Foundations
Autocad Civil</t>
  </si>
  <si>
    <t>P26700185</t>
  </si>
  <si>
    <t>DHANUSH</t>
  </si>
  <si>
    <t>Dhanush M</t>
  </si>
  <si>
    <t>P26700185@student.nicmar.ac.in</t>
  </si>
  <si>
    <t>17-Mar-2001</t>
  </si>
  <si>
    <t>ENGLISH,HINDI,KANNADA,TELUGU,BROKEN TAMIL AS WELL</t>
  </si>
  <si>
    <t>COOKING,SKETCHING,LANGUAGE LERNER ,INTO FITNESS ,TRAVEL ,READING  BOOK,HIKING,PHOTOGRAPHY ,ILLUSTRATION WORKS,PAINTING,PODCAST BROWSER</t>
  </si>
  <si>
    <t xml:space="preserve"> LATE MANJUNATHA V </t>
  </si>
  <si>
    <t>PADMA N</t>
  </si>
  <si>
    <t>SDA IN COURT</t>
  </si>
  <si>
    <t>WARD NO 15 2ND CROSS, VINAYAKA NAGAR, CHINTAMANI, CHIKKABALLAPUR KARNATAKA 563125</t>
  </si>
  <si>
    <t>P26700186</t>
  </si>
  <si>
    <t>Siddharth</t>
  </si>
  <si>
    <t>Ruhela</t>
  </si>
  <si>
    <t>Siddharth Ruhela</t>
  </si>
  <si>
    <t>P26700186@student.nicmar.ac.in</t>
  </si>
  <si>
    <t>09-Nov-1998</t>
  </si>
  <si>
    <t>Ravi Kumar</t>
  </si>
  <si>
    <t>273, Lumbini Apartments, Kaushambi</t>
  </si>
  <si>
    <t>A1- 506, Mahalunge Riviera, Mahalunge Nande Road</t>
  </si>
  <si>
    <t>Sun valley  internation School</t>
  </si>
  <si>
    <t>Jamia Millia Islamia</t>
  </si>
  <si>
    <t>Delhi Technological University</t>
  </si>
  <si>
    <t>AutoCAD, MS Office,MS Project,Primavera</t>
  </si>
  <si>
    <t>Fidesto Projects Pvt. Ltd. | Sr. Engineer-  Projects | Pune | Jul 2022 | May 2026 | 3 Years, 10 Months, 26 Days | 3.6</t>
  </si>
  <si>
    <t>Urvashi Engineering | Site Engineer | Gurugram | Nov 2017 | Mar 2020 | 122 Weeks</t>
  </si>
  <si>
    <t>P26700187</t>
  </si>
  <si>
    <t>PRAJOT</t>
  </si>
  <si>
    <t>DHARMARAJ</t>
  </si>
  <si>
    <t>Prajot Dharmaraj Jadhav</t>
  </si>
  <si>
    <t>P26700187@student.nicmar.ac.in</t>
  </si>
  <si>
    <t>24-Mar-1998</t>
  </si>
  <si>
    <t>HINDI,ENGLISH ,MARATHI</t>
  </si>
  <si>
    <t>FOOTBALL,SPORTS</t>
  </si>
  <si>
    <t>DHARMARAJ JADHAV</t>
  </si>
  <si>
    <t>ANITA JADHAV</t>
  </si>
  <si>
    <t>PLOT NO.106,N-4,F-1,GURUSAHANI NAGAR,CIDCO,CH.SAMBHAJINAGAR</t>
  </si>
  <si>
    <t>INDIAN CERTIFICATE OF SECONDARY EDUCATION - NEW DELHI</t>
  </si>
  <si>
    <t>DR.BABASAHEB AMBEDKAR TECHNOLOGICAL UNIVERSITY LONERE-RAIGAD,MAHARASHTRA</t>
  </si>
  <si>
    <t>DEOGIRI INSTITUTE OF ENGINEERING AND MANAGEMENT STUDIES-AURANGABAD,MAHARASHTRA</t>
  </si>
  <si>
    <t>AutoCAD,GOOGLE SKETCHUP,MS OFFICE,LUMION,MSPROJECT</t>
  </si>
  <si>
    <t>KALYAN TOLL INFRASTRUCTURE LTD. | STRUCTURE ENGINEER | KHED  | Jan 2025 | Feb 2026 | 1 Years, 0 Months, 30 Days | 3.25</t>
  </si>
  <si>
    <t>JB ASSOCIATE | TRAINEE ENGINEER | AURANGABAD | Mar 2022 | Jun 2022 | 13 Weeks | Campus Internship</t>
  </si>
  <si>
    <t>P26700188</t>
  </si>
  <si>
    <t>NARWA</t>
  </si>
  <si>
    <t>SREENIDHI</t>
  </si>
  <si>
    <t>Narwa Sreenidhi Reddy</t>
  </si>
  <si>
    <t>P26700188@student.nicmar.ac.in</t>
  </si>
  <si>
    <t>13-Dec-2003</t>
  </si>
  <si>
    <t>READING BOOKS,PAINITNG</t>
  </si>
  <si>
    <t>N.SREENIVAS REDDY</t>
  </si>
  <si>
    <t>M.GEETHA RANI</t>
  </si>
  <si>
    <t>MARINA SKIES TOWER 1, FLAT 2405. HITECH CITY,KUKATPALLY, HYDERABAD.</t>
  </si>
  <si>
    <t>URBAN INNOVATION CHALLENGE 2.0 - CEPT UNIVERSITY</t>
  </si>
  <si>
    <t>P26700189</t>
  </si>
  <si>
    <t xml:space="preserve">DIVYASHREE </t>
  </si>
  <si>
    <t>Divyashree  M</t>
  </si>
  <si>
    <t>divyadivya70455@gmail.com</t>
  </si>
  <si>
    <t>P26700189@student.nicmar.ac.in</t>
  </si>
  <si>
    <t>08-Apr-2004</t>
  </si>
  <si>
    <t>ENGLISH ,TAMIL</t>
  </si>
  <si>
    <t>DANCING,KARATE</t>
  </si>
  <si>
    <t>MAGUDAPATHY S</t>
  </si>
  <si>
    <t>AMUTHA S</t>
  </si>
  <si>
    <t>37, Semangi (post), semangi, Vettamangalam (west) ,Vettamangalam , pugalur taluk.</t>
  </si>
  <si>
    <t xml:space="preserve">SRI RAMAKRISHNA MATRIC HIGH SCHOOL </t>
  </si>
  <si>
    <t>State Board of TamilNadu</t>
  </si>
  <si>
    <t>MALAR MATRIC HR SEC SCHOOL</t>
  </si>
  <si>
    <t>KUMARAGURU COLLEGE OF TECHNOLOGY, COIMBATORE, TAMILNADU</t>
  </si>
  <si>
    <t>CAPSTONE PROJECT | PROJECT | COIMBATORE | Aug 2025 | Apr 2026 | 35 Weeks | Campus Internship
STATE GOVERNMENT OF TAMILNADU | INTERN | KARUR | Apr 2024 | Apr 2024 | 0 Weeks</t>
  </si>
  <si>
    <t>P26700190</t>
  </si>
  <si>
    <t>SANIKA</t>
  </si>
  <si>
    <t>RAJAN</t>
  </si>
  <si>
    <t>MORE</t>
  </si>
  <si>
    <t>Sanika Rajan More</t>
  </si>
  <si>
    <t>P26700190@student.nicmar.ac.in</t>
  </si>
  <si>
    <t>08-May-2003</t>
  </si>
  <si>
    <t>english,hindi,marathi</t>
  </si>
  <si>
    <t>travelling,sketching,designing,photography</t>
  </si>
  <si>
    <t>RAJAN LAXMAN MORE</t>
  </si>
  <si>
    <t>RACHANA RAJAN MORE</t>
  </si>
  <si>
    <t>B/201, Siddhi Building, Devyani no.02, near shakti nagar, dahisar east, mumbai 400068.</t>
  </si>
  <si>
    <t>Design Scale | Jr. Architect | Charni Road, Mumbai | Jul 2025 | Feb 2026 | 0 Years, 7 Months, 13 Days | 1.8</t>
  </si>
  <si>
    <t>P26700191</t>
  </si>
  <si>
    <t>DIBYENDU</t>
  </si>
  <si>
    <t>Dibyendu Rana</t>
  </si>
  <si>
    <t>P26700191@student.nicmar.ac.in</t>
  </si>
  <si>
    <t>BENGALI,HINDI,ENGLISH</t>
  </si>
  <si>
    <t>CRICKERT,TRAVELING,WATCHING MOVIES</t>
  </si>
  <si>
    <t>HARUPADA RANA</t>
  </si>
  <si>
    <t>NIRUPAMA RANA</t>
  </si>
  <si>
    <t>VILL.- KOTAI, P.O.- BOICHA, P.S.- DEBRA, DIST.- PASCHIM MEDINIPUR</t>
  </si>
  <si>
    <t>Paschim Medinipur</t>
  </si>
  <si>
    <t>CHANSERPUR HIGH SCHOOL</t>
  </si>
  <si>
    <t>West Bengal Board of Secondary Education</t>
  </si>
  <si>
    <t>2013-Jan</t>
  </si>
  <si>
    <t>West Bengal Council of Higher Secondary Education</t>
  </si>
  <si>
    <t>Iswar Chandra Vidyasagar Polytechnic, Jhargram</t>
  </si>
  <si>
    <t>Maulana Abul Kalam Azad University of Technology</t>
  </si>
  <si>
    <t>Ramkrishna Mahato Government Engineering College, Purulia</t>
  </si>
  <si>
    <t>AutoCad,MS Office,MS Project</t>
  </si>
  <si>
    <t>Megha Engineering and Infrastructures Limited (MEIL) | Engineer Cons Cord | Agra, Uttar Pradesh | Oct 2023 | Jul 2026 | 2 Years, 9 Months, 5 Days | 3.25320</t>
  </si>
  <si>
    <t>RASHMI ISPAT LIMITED | CIVIL ENGINEER | Jhargram, 721507 | Nov 2018 | Nov 2018 | 4 Weeks | Campus Internship
Directorate of Public Health Engineering (Civil) | CIVIL ENGINEER | Purulia, 723101 | Jul 2022 | Aug 2022 | 4 Weeks | Campus Internship</t>
  </si>
  <si>
    <t>Certificate in AutoCAD (3D)</t>
  </si>
  <si>
    <t>P26700192</t>
  </si>
  <si>
    <t xml:space="preserve">Biradar </t>
  </si>
  <si>
    <t>Akshay kumar</t>
  </si>
  <si>
    <t>Sidaray</t>
  </si>
  <si>
    <t>Biradar  Akshay Kumar Sidaray</t>
  </si>
  <si>
    <t>akkshaybiradar@gmail.com</t>
  </si>
  <si>
    <t>P26700192@student.nicmar.ac.in</t>
  </si>
  <si>
    <t>05-Jan-2004</t>
  </si>
  <si>
    <t>Hindi,English,Marathi ,Kannada</t>
  </si>
  <si>
    <t xml:space="preserve">Watching &amp; Playing cricket,Reading Fictional Book </t>
  </si>
  <si>
    <t>Sidaray Namdev Biradar</t>
  </si>
  <si>
    <t>Late. Neelam Biradar</t>
  </si>
  <si>
    <t>Hadapsar, Ramtekdi, Radiant terrace society 1st Floor, near SRPF road,</t>
  </si>
  <si>
    <t>Hadapsar, Ramtekdi, Radiant terrace society 1st Floor,near SRPF road.</t>
  </si>
  <si>
    <t>Rosary High school</t>
  </si>
  <si>
    <t>Pune,Maharashtra</t>
  </si>
  <si>
    <t>Civil Enginnering</t>
  </si>
  <si>
    <t>Jawantrao Sawant Polytechnic,Pune,Maharashtra.</t>
  </si>
  <si>
    <t>Mit Adt,Loni Kalbhor, Pune.</t>
  </si>
  <si>
    <t>Mit Adt,Pune,Maharashtra.</t>
  </si>
  <si>
    <t>Autocad,msp ,Qgis,Staad pro ,Etabs</t>
  </si>
  <si>
    <t>Afcons Infrastructure Ltd | Intern in Execution &amp; Planning Department | Navi Mumbai | Jan 2026 | May 2026 | 0 Years, 4 Months, 3 Days | 0</t>
  </si>
  <si>
    <t>P26700193</t>
  </si>
  <si>
    <t>Ishwar</t>
  </si>
  <si>
    <t>Gahiwad</t>
  </si>
  <si>
    <t>Vedant Ishwar Gahiwad</t>
  </si>
  <si>
    <t>P26700193@student.nicmar.ac.in</t>
  </si>
  <si>
    <t>14-Apr-2003</t>
  </si>
  <si>
    <t>Marathi , Hindi,English</t>
  </si>
  <si>
    <t>Football,trekking,Long Drive</t>
  </si>
  <si>
    <t>Neha</t>
  </si>
  <si>
    <t>BLDG NO. 4 , FLAT NO. 403 , ASHOK ASTORIA GANGAPUR ROAD , GOVARDHAN SHIVAR ,  NASHIK , 422222</t>
  </si>
  <si>
    <t>NANDAN BUILDCON PVT LTD | Trainee Engineer | Nashik, Maharashtra  | Sep 2025 | Feb 2026 | 0 Years, 5 Months, 19 Days | 2.16</t>
  </si>
  <si>
    <t>P26700194</t>
  </si>
  <si>
    <t>Saksham</t>
  </si>
  <si>
    <t>Dilip</t>
  </si>
  <si>
    <t>Pabrekar</t>
  </si>
  <si>
    <t>Saksham Dilip Pabrekar</t>
  </si>
  <si>
    <t>P26700194@student.nicmar.ac.in</t>
  </si>
  <si>
    <t>17-Nov-2002</t>
  </si>
  <si>
    <t>Fitness,Travelling,Graphic Designing</t>
  </si>
  <si>
    <t>Dilip Umaji Pabrekar</t>
  </si>
  <si>
    <t>Suvarna Dilip Pabrekar</t>
  </si>
  <si>
    <t>House No - 499 Swarnadeep, Roha Kolad Road, Near Sushil Niwas Building,
At. Ambewadi, Post-Kolad, Tal-Roha</t>
  </si>
  <si>
    <t>J M Rathi English Medium School, Roha</t>
  </si>
  <si>
    <t>Maharashtra State Board of Secondary and Higher Education</t>
  </si>
  <si>
    <t>Government Polytechnic, Pen</t>
  </si>
  <si>
    <t>Pillai HOC College of Engineering and Technology, (PHCET) Rasayani</t>
  </si>
  <si>
    <t>AutoCad,Revit,MS Project</t>
  </si>
  <si>
    <t>CLASSIC RMC AND INFRASTRUCTURE INDIA PVT LTD. | Graduate Engineer Trainee | Mumbai, Maharashtra | Jun 2024 | Jun 2025 | 1 Years, 0 Months, 18 Days | 3.0</t>
  </si>
  <si>
    <t>P26700195</t>
  </si>
  <si>
    <t>Shivakarthik</t>
  </si>
  <si>
    <t>KJ</t>
  </si>
  <si>
    <t>Shivakarthik Kj</t>
  </si>
  <si>
    <t>P26700195@student.nicmar.ac.in</t>
  </si>
  <si>
    <t>26-Nov-2004</t>
  </si>
  <si>
    <t>English,hindi,Malayalam</t>
  </si>
  <si>
    <t>Music,sports,Gaming,tech,Reading,Art</t>
  </si>
  <si>
    <t>Jenison K D</t>
  </si>
  <si>
    <t xml:space="preserve">P Neena </t>
  </si>
  <si>
    <t>PSU Employee</t>
  </si>
  <si>
    <t>Kannanganatt House, House no.59, Suvarna Nagar, Eroor West, Thripunithura</t>
  </si>
  <si>
    <t>Kendriya Vidyalaya Ernakulam</t>
  </si>
  <si>
    <t>CBSE / Ernakulam</t>
  </si>
  <si>
    <t>CBSE/ Ernakulam</t>
  </si>
  <si>
    <t xml:space="preserve">Vellore Institute Of Technology </t>
  </si>
  <si>
    <t xml:space="preserve">Vellore Institute of Technology </t>
  </si>
  <si>
    <t>AutoCAD,MS Project,Revit,Plaxis 3D,STAAD.Pro</t>
  </si>
  <si>
    <t>Hindustan Petroleum Corporation Limited  | Intern  | Kochi | Jun 2024 | Jul 2024 | 4 Weeks | Campus Internship
Vellore Institute Of Technology  | Mentee  | Vellore | Dec 2025 | Apr 2026 | 17 Weeks | Campus Internship</t>
  </si>
  <si>
    <t>SOLAR Decathlon India</t>
  </si>
  <si>
    <t>P26700196</t>
  </si>
  <si>
    <t>Abhinav</t>
  </si>
  <si>
    <t>Awasthi</t>
  </si>
  <si>
    <t>Abhinav Awasthi</t>
  </si>
  <si>
    <t>abhinavawasthi932@gmail.com</t>
  </si>
  <si>
    <t>P26700196@student.nicmar.ac.in</t>
  </si>
  <si>
    <t>16-Jun-2004</t>
  </si>
  <si>
    <t>Music,Travellin,Binge Watching</t>
  </si>
  <si>
    <t>Mr Dilip Kumar Awasthi</t>
  </si>
  <si>
    <t>Principal</t>
  </si>
  <si>
    <t>Mrs Shradha Awasthi</t>
  </si>
  <si>
    <t>Lecturer</t>
  </si>
  <si>
    <t>80A-101 New Colony Chaugurji</t>
  </si>
  <si>
    <t>Etawah</t>
  </si>
  <si>
    <t>Uttar Pradesh Power Co-operation Transmission Limited | Electrical Engineer | Kanpur, Uttar Pradesh | Aug 2023 | Sep 2023 | 4 Weeks
Mondelez International | Electrical Engineering Intern | Ludhiana, Punjab | Oct 2023 | Nov 2023 | 4 Weeks</t>
  </si>
  <si>
    <t>P26700197</t>
  </si>
  <si>
    <t>Juver</t>
  </si>
  <si>
    <t>Alam</t>
  </si>
  <si>
    <t>Juver Alam</t>
  </si>
  <si>
    <t>P26700197@student.nicmar.ac.in</t>
  </si>
  <si>
    <t>01-Jun-1996</t>
  </si>
  <si>
    <t>Fitness,Music,Reading</t>
  </si>
  <si>
    <t>Tahir Husain</t>
  </si>
  <si>
    <t>Firdos Jahan</t>
  </si>
  <si>
    <t>Sabalpur, Dulhapur, Tehsil Thakurdwara</t>
  </si>
  <si>
    <t>Moradabad</t>
  </si>
  <si>
    <t>R L S CHAUHAN S V M I C JASPUR U S N</t>
  </si>
  <si>
    <t>Bipin Tripathi Kumaon Institute of Technology, Dwarahat</t>
  </si>
  <si>
    <t>MS Office,MS Project,Primavera,Autocad,Ingenious,AdaptiveWork,Sharepoint,Smartsheet</t>
  </si>
  <si>
    <t>JLL | Project Co-ordinator | Gurugram | Aug 2025 | Mar 2026 | 0 Years, 6 Months, 11 Days | 7
Amazon (Millicon Consultant Engineers Pvt. Ltd.) | Site Engineer | Gurugram | Jul 2025 | Aug 2025 | 0 Years, 1 Months, 10 Days | 5.448
M.H. Construction Company Private Limited | Site Engineer | Moradabad | Apr 2022 | Sep 2024 | 2 Years, 5 Months, 15 Days | 3.6</t>
  </si>
  <si>
    <t>PWD | Site Engineer | Kashipur, Uttarakhand | Jun 2016 | Jul 2016 | 4 Weeks</t>
  </si>
  <si>
    <t>Microsoft Excel &amp; PowerPoint
Construction Site Supervisor</t>
  </si>
  <si>
    <t>P26700198</t>
  </si>
  <si>
    <t>Joel Britto</t>
  </si>
  <si>
    <t>J A</t>
  </si>
  <si>
    <t>Joel Britto J A</t>
  </si>
  <si>
    <t>joelbritto003@gmail.com</t>
  </si>
  <si>
    <t>P26700198@student.nicmar.ac.in</t>
  </si>
  <si>
    <t>Reading,Puzzle Solving,Geopolitics,Movies</t>
  </si>
  <si>
    <t>Angelo Irudayasamy J</t>
  </si>
  <si>
    <t>Nirmala S</t>
  </si>
  <si>
    <t>A2-1506, Doshi Risington, Rajiv Gandhi Salai- OMR,Karapakkam</t>
  </si>
  <si>
    <t>TVS MATRIC HR SEC SCHOOL TVS NAGAR MADURAI DISTRICT</t>
  </si>
  <si>
    <t>State Board Of School Examinations, Madurai/TamilNadu</t>
  </si>
  <si>
    <t>ZION MATRIC HR SEC SCHOOL SELAIYUR</t>
  </si>
  <si>
    <t>State Board Of School Examinations, Chennai/TamilNadu</t>
  </si>
  <si>
    <t>SRM Institute Of Science &amp; Technology, Chengalpattu/TamilNadu</t>
  </si>
  <si>
    <t>Autocad,Revit,Sketchup,Lumion,Microsoft Office,MS Project,Davinci Resolve</t>
  </si>
  <si>
    <t>Ministry Of Housing &amp; Urban Affairs(Govt of India)- Jal Dharohar Sanrakshan Internship | Intern | TamilNadu | Jul 2022 | Aug 2022 | 5 Weeks | Campus Internship
C. R. NARAYANA RAO (CONSULTANTS) PRIVATE LIMITED | Trainee | Chennai | Jun 2023 | Oct 2023 | 18 Weeks | Campus Internship</t>
  </si>
  <si>
    <t>Artificial Intelligence for Architecture and Interiors</t>
  </si>
  <si>
    <t>P26700199</t>
  </si>
  <si>
    <t>Abdul Hannan</t>
  </si>
  <si>
    <t>Sajid</t>
  </si>
  <si>
    <t>Shaikh</t>
  </si>
  <si>
    <t>Abdul Hannan Sajid Shaikh</t>
  </si>
  <si>
    <t>shaikhabdulhannan90@gmail.com</t>
  </si>
  <si>
    <t>P26700199@student.nicmar.ac.in</t>
  </si>
  <si>
    <t>08-Jul-2002</t>
  </si>
  <si>
    <t>English, Hindi, Marathi, Urdu</t>
  </si>
  <si>
    <t>Travelling, Out door Games, Reading</t>
  </si>
  <si>
    <t>6372 6572 5623</t>
  </si>
  <si>
    <t>Sajid Abdul Gaffar Shaikh</t>
  </si>
  <si>
    <t>Ruqqaiya Sajid Shaikh</t>
  </si>
  <si>
    <t>B.I.T. Chawl No. 18, Room No. 35, 1st Floor, Sofia Zubair Road, New Nagpada, Mumbai 400008</t>
  </si>
  <si>
    <t>905, 9th floor, Amaan Heights,
Swami Vivekananda Rd, opp. Dewan Center, Patilwadi, Jogeshwari West, Mumbai, Maharashtra 400102</t>
  </si>
  <si>
    <t>St. Mary's High School (S.S.C.)</t>
  </si>
  <si>
    <t>Maharashtra State Board of Secondary and Higher Secondary Education, Maharashtra.</t>
  </si>
  <si>
    <t>M.H. Saboo Siddik Polytechnic, Mumbai, Maharashtra</t>
  </si>
  <si>
    <t>M.H. Saboo Siddik college of engineering , Mumbai, Maharashtra</t>
  </si>
  <si>
    <t>AutoCAD, MS Office, MS Project, Staad Pro</t>
  </si>
  <si>
    <t>J KUMAR INFRA PROJECT LTD | JUNIOR SITE ENGINEER | Andheri (West), Mumbai, Maharashtra | May 2025 | Jul 2026 | 1 Years, 1 Months, 13 Days | 3.32
PLATINUM RESIDENCY | JUNIOR SITE ENGINEER | Vaishali Nagar, Jogeshwari (W). Mumbai, Maharashtra | Jun 2024 | May 2025 | 0 Years, 11 Months, 0 Days | 2.40</t>
  </si>
  <si>
    <t>P26700200</t>
  </si>
  <si>
    <t>Meeti</t>
  </si>
  <si>
    <t>Vishal</t>
  </si>
  <si>
    <t>Kothari</t>
  </si>
  <si>
    <t>Meeti Vishal Kothari</t>
  </si>
  <si>
    <t>P26700200@student.nicmar.ac.in</t>
  </si>
  <si>
    <t>09-Aug-2002</t>
  </si>
  <si>
    <t>HINDI, ENGLISH, GUJARATI</t>
  </si>
  <si>
    <t>DANCING, SPORTS, MUSIC,TRAVELLING</t>
  </si>
  <si>
    <t>9593 0243 7915</t>
  </si>
  <si>
    <t>Vishal Kothari</t>
  </si>
  <si>
    <t>Rakhi Kothari</t>
  </si>
  <si>
    <t>4/365, Mohanlal Motichand Kothari Jewellers, Mota Bazar, Sheth Faliya, Opp: Shrinathji Temple, Valsad- 396001</t>
  </si>
  <si>
    <t>V A MGM AMIN &amp; VN SAVANI SCH KILLA PARDI GUJ</t>
  </si>
  <si>
    <t>VALSAD, GUJARAT</t>
  </si>
  <si>
    <t>THAKUR SCHOOL OF ARCHITECTURE AND PLANNING</t>
  </si>
  <si>
    <t>MUMBAI, MAHARASHTRA</t>
  </si>
  <si>
    <t>AUTOCAD, SKETCHUP, REVIT, MS PROJECT, PRIMAVERA, MS OFFICE</t>
  </si>
  <si>
    <t>SAMRUDDHI ASSOCIATES | ARCHITECT | MUMBAI | Dec 2023 | Apr 2024 | 17 Weeks | Campus Internship</t>
  </si>
  <si>
    <t>THE REVIT ROOTS 3.0 BY XYLEM STUDIOS</t>
  </si>
  <si>
    <t>P26700201</t>
  </si>
  <si>
    <t>Banavathu Gopaiah Naik</t>
  </si>
  <si>
    <t>Banavathu Gopaiah Naik .</t>
  </si>
  <si>
    <t>banavathugopaiahnaik@gmail.com</t>
  </si>
  <si>
    <t>P26700201@student.nicmar.ac.in</t>
  </si>
  <si>
    <t>Hindi,English,Telugu</t>
  </si>
  <si>
    <t>Reading,Music,Dancing</t>
  </si>
  <si>
    <t>Kala Naik</t>
  </si>
  <si>
    <t>Lakshmi Bai</t>
  </si>
  <si>
    <t>Daily wages</t>
  </si>
  <si>
    <t>3-121/a Domalagundam, Gandiganumala, Bollapali(M), Palnadu(Dt)-522663</t>
  </si>
  <si>
    <t>Palnadu</t>
  </si>
  <si>
    <t>A P RESIDENTIAL (BOYS) SCHOOL,TADIKONDA, GUNTUR DISTRICT</t>
  </si>
  <si>
    <t>BOARD OF SECONDARY EDUCATION ANDHRA PRADESH,INDIA, GUNTUR, ANDHRA PRADESH</t>
  </si>
  <si>
    <t>XPERTS JUNIOR COLLEGE, GUNTUR</t>
  </si>
  <si>
    <t>BOARD OF INTERMEDIATE EDUCATION ANDHRA PRADESH,INDIA, GUNTUR, ANDHRA PRADESH</t>
  </si>
  <si>
    <t>JAWAHARLAL NEHRU TECHNOLOGICAL UNVIERSITY KAKINADA</t>
  </si>
  <si>
    <t>VELAGAPUDI RAMAKRISHNA SIDDHARTHA ENGINEERING COLLEGE, VIJAYAWADA- ANDHARA PRADESH,INDIA</t>
  </si>
  <si>
    <t>AutoCAD,MS project,Excel,PPT</t>
  </si>
  <si>
    <t>Youngone | Junior Officer Civil Engineer | Warangal,Telangana | Apr 2025 | Jun 2026 | 1 Years, 2 Months, 22 Days
Vnorth Constructions | GTE | Hyderabad | Feb 2024 | Mar 2025 | 1 Years, 1 Months, 14 Days</t>
  </si>
  <si>
    <t>Shri Vile Parle Kelavani Mandal NMIMS | Intern | Jadcherla, Hyderabad | May 2023 | Jun 2023 | 4 Weeks</t>
  </si>
  <si>
    <t>P26700202</t>
  </si>
  <si>
    <t>P26700202@student.nicmar.ac.in</t>
  </si>
  <si>
    <t>P26700203</t>
  </si>
  <si>
    <t>Gajanan</t>
  </si>
  <si>
    <t>Shivdas</t>
  </si>
  <si>
    <t>Lahane</t>
  </si>
  <si>
    <t>Gajanan Shivdas Lahane</t>
  </si>
  <si>
    <t>lahanegajanan2@gmail.com</t>
  </si>
  <si>
    <t>P26700203@student.nicmar.ac.in</t>
  </si>
  <si>
    <t>travelling,Swiming,Skateboarding</t>
  </si>
  <si>
    <t>Police</t>
  </si>
  <si>
    <t>At. Kangnewadi, Post ujani, Ambejogai, Beed</t>
  </si>
  <si>
    <t>lonikand</t>
  </si>
  <si>
    <t>Shri Keshavraj Vidyalaya, Latur</t>
  </si>
  <si>
    <t>Dayanand Science College Latur</t>
  </si>
  <si>
    <t>Swami Ramanand Teerth Marathwada University, Nanded</t>
  </si>
  <si>
    <t>AutoCAD, ArcGIS, Canva,STAAD CE,ETABS,MS Office,MS Project</t>
  </si>
  <si>
    <t>EMERGY Enviro Pvt Ltd | Environmental Engineer | Mumbai | Jun 2025 | Jun 2026 | 1 Years, 0 Months, 4 Days | 4.484</t>
  </si>
  <si>
    <t>Fortress Infracon Ltd | Structural Intern | Thane | Jan 2025 | Apr 2025 | 12 Weeks | Campus Internship</t>
  </si>
  <si>
    <t>AutoCAD
STAAD CE
ETABS</t>
  </si>
  <si>
    <t>P26700204</t>
  </si>
  <si>
    <t xml:space="preserve">Himanshu </t>
  </si>
  <si>
    <t>Ramesh</t>
  </si>
  <si>
    <t>Parate</t>
  </si>
  <si>
    <t>Himanshu  Ramesh Parate</t>
  </si>
  <si>
    <t>P26700204@student.nicmar.ac.in</t>
  </si>
  <si>
    <t>06-Nov-2003</t>
  </si>
  <si>
    <t>English , Hindi ,Marathi</t>
  </si>
  <si>
    <t>Sports,Music Movies</t>
  </si>
  <si>
    <t>Archana</t>
  </si>
  <si>
    <t>At Post. Pipari Tahsil Hinganghat District Wardha Maharashtra 442307</t>
  </si>
  <si>
    <t>Dnyandeep Vidya Niketan School ,Hinganghat</t>
  </si>
  <si>
    <t>Maharashtra State Board of Secondary &amp; Higher Secondary Education (MSBSHSE), Pune, Maharashtra</t>
  </si>
  <si>
    <t>G.b.m.m Jr. College. Hinganghat</t>
  </si>
  <si>
    <t>Kavikulguru Institute of Technology &amp; Science, Ramtek</t>
  </si>
  <si>
    <t>P26700205</t>
  </si>
  <si>
    <t>Pooja</t>
  </si>
  <si>
    <t>Shekhar</t>
  </si>
  <si>
    <t>Pooja Shekhar</t>
  </si>
  <si>
    <t>P26700205@student.nicmar.ac.in</t>
  </si>
  <si>
    <t>English,Hindi,Malayalamn</t>
  </si>
  <si>
    <t>Reading, Dance</t>
  </si>
  <si>
    <t>Rajashekhar P</t>
  </si>
  <si>
    <t>Jalaja (Late)</t>
  </si>
  <si>
    <t>'Sreenilayam', Kuttamath, P.O Cheruvathur</t>
  </si>
  <si>
    <t>Door No. 28/1765A , Krishnalayam, Methottuthazham</t>
  </si>
  <si>
    <t>Chinmaya Vidyalaya Nileshwar</t>
  </si>
  <si>
    <t>CBSE Kerala</t>
  </si>
  <si>
    <t>Vijayagiri Public School</t>
  </si>
  <si>
    <t xml:space="preserve">A P J Abdul Kalam Technological University </t>
  </si>
  <si>
    <t>Federal Institute of Science &amp; Technology, Angamaly , Kerala</t>
  </si>
  <si>
    <t>Autocad,MS Office,MS Project ,Quadra</t>
  </si>
  <si>
    <t>HiLITE Builders | Junior Engineer Civil | Kozhikode,Kerala | Dec 2022 | Mar 2024 | 1 Years, 3 Months, 16 Days | 3</t>
  </si>
  <si>
    <t>P26700206</t>
  </si>
  <si>
    <t>Aditi</t>
  </si>
  <si>
    <t>Nagesh</t>
  </si>
  <si>
    <t>Pawar</t>
  </si>
  <si>
    <t>Aditi Nagesh Pawar</t>
  </si>
  <si>
    <t>P26700206@student.nicmar.ac.in</t>
  </si>
  <si>
    <t>06-Dec-2004</t>
  </si>
  <si>
    <t>English,Marathi ,hindi</t>
  </si>
  <si>
    <t>Music,drawing</t>
  </si>
  <si>
    <t>Accounting &amp; taxation manager.</t>
  </si>
  <si>
    <t xml:space="preserve">Bharti </t>
  </si>
  <si>
    <t>Sr.no 88 near wadkar mala,Handewadi Road,Hadapsar,Pune 28.</t>
  </si>
  <si>
    <t>Cygnet Public School</t>
  </si>
  <si>
    <t>SSC</t>
  </si>
  <si>
    <t xml:space="preserve">Jayawantrao Sawant Polytechnic </t>
  </si>
  <si>
    <t>Savitribai Phule Pune University (SPPU)</t>
  </si>
  <si>
    <t xml:space="preserve">JSPM ,ICOER(Imperial college of engineering and research) Pune / Maharashtra </t>
  </si>
  <si>
    <t>P26700207</t>
  </si>
  <si>
    <t xml:space="preserve">Siddhant </t>
  </si>
  <si>
    <t xml:space="preserve">Kanchankumar </t>
  </si>
  <si>
    <t>Chate</t>
  </si>
  <si>
    <t>Siddhant  Kanchankumar  Chate</t>
  </si>
  <si>
    <t>P26700207@student.nicmar.ac.in</t>
  </si>
  <si>
    <t>25-Jul-2001</t>
  </si>
  <si>
    <t>English,  Hindi, Marathi</t>
  </si>
  <si>
    <t xml:space="preserve">Cricket , Bike Riding </t>
  </si>
  <si>
    <t xml:space="preserve">Kanchankumar Dashrathrao chate </t>
  </si>
  <si>
    <t xml:space="preserve">Retired DYSP </t>
  </si>
  <si>
    <t xml:space="preserve">Shivkanya kanchankumar Chate </t>
  </si>
  <si>
    <t>Plot no. 84 and 85 , S.no.68, Sant Tukoba Nagar N-2, Cidco</t>
  </si>
  <si>
    <t>B-804, Kool homes area , patil Nagar, Balewadi,  pune</t>
  </si>
  <si>
    <t xml:space="preserve">Aurangabad police public school </t>
  </si>
  <si>
    <t>Maharashtra state board of secondary and higher secondary education, pune</t>
  </si>
  <si>
    <t xml:space="preserve">Sant Bhagwan baba Madhyamik and ucha Madhyamik Vidyalya </t>
  </si>
  <si>
    <t xml:space="preserve">Dr.Babasaheb Ambedkar Technological University </t>
  </si>
  <si>
    <t xml:space="preserve">Jawaharlal Nehru engineering college, Aurangabad </t>
  </si>
  <si>
    <t>Autocad , MS Project</t>
  </si>
  <si>
    <t>P26700208</t>
  </si>
  <si>
    <t>Ramchandra</t>
  </si>
  <si>
    <t>Ankita Ramchandra Shinde</t>
  </si>
  <si>
    <t>ankitashinde191046@gmail.com</t>
  </si>
  <si>
    <t>P26700208@student.nicmar.ac.in</t>
  </si>
  <si>
    <t>Art,Playing badminton,Music,Travelling</t>
  </si>
  <si>
    <t>Ramchandra Sopan Shinde</t>
  </si>
  <si>
    <t>Shobhana Ramchandra Shinde</t>
  </si>
  <si>
    <t>'Muktai' Row House No.4, Vedant, SR.NO.61/1A, Kunjir Colony, Pimple Saudagar, Pune.</t>
  </si>
  <si>
    <t>Dr. Kalmadi Shamarao High School</t>
  </si>
  <si>
    <t>Maharashtra State Board of Secondary and Higher Secondary Education, Pune.</t>
  </si>
  <si>
    <t>Cusrow Wadia Institute of Technology, Pune</t>
  </si>
  <si>
    <t>Dr. D. Y. Patil School of Engineering and Technology</t>
  </si>
  <si>
    <t>AutoCAD,Revit Architechture,Revit MEP</t>
  </si>
  <si>
    <t>P26700209</t>
  </si>
  <si>
    <t>Akhil</t>
  </si>
  <si>
    <t>Akhil S</t>
  </si>
  <si>
    <t>P26700209@student.nicmar.ac.in</t>
  </si>
  <si>
    <t>24-Dec-2004</t>
  </si>
  <si>
    <t>GYM,BADMINTON ,TREKKING,CHESS,PHOTOGRAPHY,SUDOKU</t>
  </si>
  <si>
    <t>SARAVANAN A</t>
  </si>
  <si>
    <t>REAL ESTATE BUSSINESS</t>
  </si>
  <si>
    <t>GEETHA</t>
  </si>
  <si>
    <t>79 MAIN ROAD</t>
  </si>
  <si>
    <t>31-c , EB COLONY , SOLAR</t>
  </si>
  <si>
    <t>SJN INTERNATIONAL SCHOOL KALLAR</t>
  </si>
  <si>
    <t>SRI CHAITANYA TECHNO SCHOOL NEELAMBUR COIMBATORE</t>
  </si>
  <si>
    <t>NATIONAL INSTITUTE OF TECHNOLOGY TRICHY</t>
  </si>
  <si>
    <t>AUTOCAD,MS OFFICE,PTV VISSIM,STAAD PRO,SPSS,PYTHON,PLAXIS 3D,MS PROJECT,PRIMAVERA</t>
  </si>
  <si>
    <t>BLUELEAF PROJECT PRIVATE LIMITED | SITE ENGINEER | Chennai | May 2025 | Jul 2025 | 10 Weeks
NIT TRICHY | STUDENT | trichy | Jun 2025 | Nov 2025 | 21 Weeks
NIT TRICHY | STUDENT | TRICHY | Jan 2024 | May 2024 | 16 Weeks</t>
  </si>
  <si>
    <t>CBRE PROJECT MANAGEMENT JOB SIMULATION
BLCP REALESTATE JOB SIMULATION</t>
  </si>
  <si>
    <t>P26700210</t>
  </si>
  <si>
    <t>Nilesh</t>
  </si>
  <si>
    <t>Tayade</t>
  </si>
  <si>
    <t>Nilesh Kiran Tayade</t>
  </si>
  <si>
    <t>P26700210@student.nicmar.ac.in</t>
  </si>
  <si>
    <t>06-Mar-2002</t>
  </si>
  <si>
    <t>Reading,Fitness ,Sports</t>
  </si>
  <si>
    <t>Kiran Tayade</t>
  </si>
  <si>
    <t>Government Sector</t>
  </si>
  <si>
    <t>Rekha Tayade</t>
  </si>
  <si>
    <t>Plot.no.33, Gat.no.455/4, Raisoni Nagar, Jalgaon</t>
  </si>
  <si>
    <t>Vivekanand Pratishthan English Medium School</t>
  </si>
  <si>
    <t>Nashik Divisonal Board</t>
  </si>
  <si>
    <t>Government Polytechic, Jalgaon</t>
  </si>
  <si>
    <t>Ajeenkya DY Patil School of Engineering, Pune</t>
  </si>
  <si>
    <t>AutoCAD,Excel,Microsoft Project</t>
  </si>
  <si>
    <t>Sandesh D. Tekade | Site Engineer Intern. | Jalgaon | Aug 2024 | Mar 2025 | 31 Weeks</t>
  </si>
  <si>
    <t>P26700211</t>
  </si>
  <si>
    <t>Renuka</t>
  </si>
  <si>
    <t>Govindrao</t>
  </si>
  <si>
    <t>Chalikwar</t>
  </si>
  <si>
    <t>Renuka Govindrao Chalikwar</t>
  </si>
  <si>
    <t>P26700211@student.nicmar.ac.in</t>
  </si>
  <si>
    <t>Architectural and Urban Exploration,Photography,Reading and Continuous learning</t>
  </si>
  <si>
    <t>Govind</t>
  </si>
  <si>
    <t xml:space="preserve">Lab Technician </t>
  </si>
  <si>
    <t>Artist</t>
  </si>
  <si>
    <t xml:space="preserve">204 Dwarka Residency Vikas Nagar Kautha ,Nanded
</t>
  </si>
  <si>
    <t>GYAN MATA VIDYA VIHAR</t>
  </si>
  <si>
    <t>Nanded/Maharashtra</t>
  </si>
  <si>
    <t>NETAJI SUBHASH CHANDRA BOSE HIGHER SECONDARY SCHOOL</t>
  </si>
  <si>
    <t>VISVESVARAYA NATIONAL INSTITUTE OF TECHNOLOGY</t>
  </si>
  <si>
    <t>Nagpur/Maharashtra</t>
  </si>
  <si>
    <t>Autocad,Revit,Sketchup,MS Project,Microsoft excel,Microsoft Powerpoint,Adobe Photoshop</t>
  </si>
  <si>
    <t>Mitimitra Consultants and Vastukala Consultants  | Architectural intern  | Pune,nanded | Jun 2024 | Dec 2024 | 0 Years, 6 Months, 0 Days
 Artistic World | Project Executive | Nanded | Jun 2025 | Jun 2026 | 1 Years, 0 Months, 26 Days</t>
  </si>
  <si>
    <t>P26700212</t>
  </si>
  <si>
    <t>Sahil</t>
  </si>
  <si>
    <t>Bharti</t>
  </si>
  <si>
    <t>Sahil Sunil Bharti</t>
  </si>
  <si>
    <t>P26700212@student.nicmar.ac.in</t>
  </si>
  <si>
    <t>25-May-2003</t>
  </si>
  <si>
    <t>Fitness,Dance,Travelling,Sports</t>
  </si>
  <si>
    <t>Sunil Ram Bharti</t>
  </si>
  <si>
    <t>Harsha Sunil Bharti</t>
  </si>
  <si>
    <t>Gurukunja Vasahat Society Near N.T Jadhao Petrol Pump, Arni, Yavatmal, Maharashtra</t>
  </si>
  <si>
    <t>Gurukul English Medium School</t>
  </si>
  <si>
    <t>Tarkunde Dharampeth High School &amp; Junior College, Nagpur</t>
  </si>
  <si>
    <t>Maharashtra State Board Of Secondary &amp; Higher Secondary Education, Pune</t>
  </si>
  <si>
    <t>Pimpri Chinchwad College Of Engineering, Nigdi, Pune</t>
  </si>
  <si>
    <t>Urban Space Creators | Execution Intern | Ravet, Pune | Jun 2024 | Jul 2024 | 4 Weeks</t>
  </si>
  <si>
    <t>P26700213</t>
  </si>
  <si>
    <t>Rishav</t>
  </si>
  <si>
    <t>Sharma</t>
  </si>
  <si>
    <t>Rishav Kumar Sharma</t>
  </si>
  <si>
    <t>P26700213@student.nicmar.ac.in</t>
  </si>
  <si>
    <t>13-Oct-2002</t>
  </si>
  <si>
    <t>English,Hindi,Punjabi,Dogri</t>
  </si>
  <si>
    <t>Gym,Skating,Swimming,Reading</t>
  </si>
  <si>
    <t>3454 8821 8472</t>
  </si>
  <si>
    <t>Suresh Kumar</t>
  </si>
  <si>
    <t>Government Officer</t>
  </si>
  <si>
    <t>Rita Sharma</t>
  </si>
  <si>
    <t>Thanger Pallanwala Tehsil Khour Jammu</t>
  </si>
  <si>
    <t>KC International School</t>
  </si>
  <si>
    <t>CBSE Jammu/Jammu &amp; Kashmir</t>
  </si>
  <si>
    <t>Graphic Era Deemed To Be University</t>
  </si>
  <si>
    <t>Graphic Era Deemed to Be University</t>
  </si>
  <si>
    <t>AutoCAD, MS Project, MS Excel, MS Office,Revit,Primevera</t>
  </si>
  <si>
    <t>A.H Wani Infratech PVT LTD | Site Engineer | Jammu (J&amp;K) | Jul 2024 | Jun 2026 | 1 Years, 11 Months, 29 Days | 4</t>
  </si>
  <si>
    <t>NHIDCL | Site Engineer | Jammu (J&amp;K) | Jul 2023 | Sep 2023 | 7 Weeks | Campus Internship</t>
  </si>
  <si>
    <t>P26700214</t>
  </si>
  <si>
    <t>Amar Deep</t>
  </si>
  <si>
    <t>Amar Deep Singh</t>
  </si>
  <si>
    <t>P26700214@student.nicmar.ac.in</t>
  </si>
  <si>
    <t>29-Dec-2003</t>
  </si>
  <si>
    <t>Hindi, English,Bhojpuri,Marathi</t>
  </si>
  <si>
    <t>Cooking,Playing Cricket &amp; Badminton,Watching Movies &amp; Series</t>
  </si>
  <si>
    <t>Harinder Singh</t>
  </si>
  <si>
    <t>Rubi Singh</t>
  </si>
  <si>
    <t>Radhika Niwas, South Ekauna, Ps-Udwantnagar, Zero Mile, Ara</t>
  </si>
  <si>
    <t>Bhojpur</t>
  </si>
  <si>
    <t>F-506, Mahindra Royale, Nehru Nagar Road, Pimpri, Pimpri Chinchwad. Pune</t>
  </si>
  <si>
    <t>Kendriya Vidyalaya Ara</t>
  </si>
  <si>
    <t>AutoCAD,MS Office,MSP</t>
  </si>
  <si>
    <t>Maharashtra Metro Rail Cooperation Limited | Intern Trainne | pune | Dec 2024 | Jan 2025 | 0 Years, 0 Months, 30 Days | 0</t>
  </si>
  <si>
    <t>Maharashtra Metro Rail Cooperation Limited | Intern Trainne | Pune | Dec 2024 | Jan 2025 | 4 Weeks
Ishu Contructions | Intern Trainne | Lucknow | Jun 2025 | Jul 2025 | 4 Weeks</t>
  </si>
  <si>
    <t>Tech-Navinya 2026 Project Exhibition &amp; Competition
Autocad 
National  level Model Exhibition - RACHANA</t>
  </si>
  <si>
    <t>P26700215</t>
  </si>
  <si>
    <t>Vaibhav</t>
  </si>
  <si>
    <t>Sujit</t>
  </si>
  <si>
    <t xml:space="preserve">Ojha </t>
  </si>
  <si>
    <t xml:space="preserve">Vaibhav Sujit Ojha </t>
  </si>
  <si>
    <t>P26700215@student.nicmar.ac.in</t>
  </si>
  <si>
    <t>Sports,Gym</t>
  </si>
  <si>
    <t xml:space="preserve">Sujit Ojha </t>
  </si>
  <si>
    <t xml:space="preserve">Businessman </t>
  </si>
  <si>
    <t xml:space="preserve">Suman Ojha </t>
  </si>
  <si>
    <t xml:space="preserve">603/604, Shraddha Mistry Complex, J.B Nagar, Andheri East, Mumbai 400059 </t>
  </si>
  <si>
    <t>Ram Ratna Vidya Mandir</t>
  </si>
  <si>
    <t>CBSE Maharashtra</t>
  </si>
  <si>
    <t>Rajhans Vidyalaya</t>
  </si>
  <si>
    <t xml:space="preserve">CBSE Maharashtra </t>
  </si>
  <si>
    <t xml:space="preserve">NMIMS </t>
  </si>
  <si>
    <t>Mukesh Patel School of Technology Management &amp; Engineering</t>
  </si>
  <si>
    <t>AutoCAD,StadPro</t>
  </si>
  <si>
    <t>Inchmark Design  Studio by Piplewar Group | Site Supervisor  | Mumbai | Jan 2026 | Apr 2026 | 16 Weeks | Campus Internship
MIAL ADANI | Intern | Mumbai | Jun 2025 | Jul 2025 | 5 Weeks</t>
  </si>
  <si>
    <t>P26700216</t>
  </si>
  <si>
    <t>P26700216@student.nicmar.ac.in</t>
  </si>
  <si>
    <t>N. S. Structural Consultants | Civil Intern | Thane, Maharashtra | Dec 2025 | Jun 2026 | 0 Years, 6 Months, 0 Days | 6</t>
  </si>
  <si>
    <t>P26700217</t>
  </si>
  <si>
    <t>NARAYAN</t>
  </si>
  <si>
    <t>RUIKAR</t>
  </si>
  <si>
    <t>Varun Narayan Ruikar</t>
  </si>
  <si>
    <t>P26700217@student.nicmar.ac.in</t>
  </si>
  <si>
    <t>14-Apr-2004</t>
  </si>
  <si>
    <t xml:space="preserve">Travelling and Exploring new Places </t>
  </si>
  <si>
    <t>Narayan Vasantrao Ruikar</t>
  </si>
  <si>
    <t>Ashwini Ruikar</t>
  </si>
  <si>
    <t>Plot no 81 Ruikar Colony Kolhapur 416005</t>
  </si>
  <si>
    <t xml:space="preserve">Dr. D.Y.Patil  Shantiniketan </t>
  </si>
  <si>
    <t xml:space="preserve"> CBSE Kolhapur</t>
  </si>
  <si>
    <t>B.M ROTE JUNIOR COLLEGE,KOLHAPUR</t>
  </si>
  <si>
    <t>MAHARASHTRA STATE BOARD, KOLHAPUR</t>
  </si>
  <si>
    <t>PIMPRI CHINCHWAD COLLEGE OF ENGINEERING PUNE</t>
  </si>
  <si>
    <t>AUTCAD, MSPROJECT,MSOFFICE</t>
  </si>
  <si>
    <t>P26700218</t>
  </si>
  <si>
    <t>Surabhi</t>
  </si>
  <si>
    <t>Shreeram</t>
  </si>
  <si>
    <t>Soman</t>
  </si>
  <si>
    <t>Surabhi Shreeram Soman</t>
  </si>
  <si>
    <t>P26700218@student.nicmar.ac.in</t>
  </si>
  <si>
    <t>Marathi,English,Hindi</t>
  </si>
  <si>
    <t>Sports,Drama,Travelling,Music</t>
  </si>
  <si>
    <t>Vaibhavi</t>
  </si>
  <si>
    <t>C2/603, New Ashok Nagar, Vazira Naka, Borivali West, Mumbai - 400091</t>
  </si>
  <si>
    <t>Swami Vivekanad International School</t>
  </si>
  <si>
    <t>Mumbai / Maharashtra</t>
  </si>
  <si>
    <t xml:space="preserve">Prakash College </t>
  </si>
  <si>
    <t>Thakur School of Architecture and Planning</t>
  </si>
  <si>
    <t>AutoCAD,MS Office,MS Project,Primavera,Vectorworks,Rhino,Revit</t>
  </si>
  <si>
    <t>Space Moulders | Junior Architect | Mumbai | Jun 2025 | Jun 2026 | 1 Years, 0 Months, 3 Days | 3.25</t>
  </si>
  <si>
    <t>Architect Hafeez Contractor | Intern Architect | Mumbai | Nov 2023 | Apr 2024 | 23 Weeks</t>
  </si>
  <si>
    <t>Novatr BIM Course</t>
  </si>
  <si>
    <t>P26700219</t>
  </si>
  <si>
    <t>srihari</t>
  </si>
  <si>
    <t>v</t>
  </si>
  <si>
    <t>Srihari V</t>
  </si>
  <si>
    <t>P26700219@student.nicmar.ac.in</t>
  </si>
  <si>
    <t>19-May-2004</t>
  </si>
  <si>
    <t>HANDBALL</t>
  </si>
  <si>
    <t>VIJAYAKUMAR</t>
  </si>
  <si>
    <t>REVATHI</t>
  </si>
  <si>
    <t>2/48-A ,PAPPAYANAICKERPATTI ,APANAYAKKANPATTI ,VIRUDHUNAGAR ,TAMILLNADU,626141</t>
  </si>
  <si>
    <t>Velammal Bodhi Campus</t>
  </si>
  <si>
    <t>CBSE MADURAI TAMINADU</t>
  </si>
  <si>
    <t xml:space="preserve"> Coimbatore Institute of Technology</t>
  </si>
  <si>
    <t xml:space="preserve"> Anna University</t>
  </si>
  <si>
    <t>AUTOCAD,PRIMAVER P6,MS PROJECT,MS EXCEL,MS POWERPOINT</t>
  </si>
  <si>
    <t>ITD CEMENTATION INDIA LIMITED | INTERN | CHENNAI | Jul 2024 | Jul 2024 | 1 Weeks | Campus Internship</t>
  </si>
  <si>
    <t>P26700220</t>
  </si>
  <si>
    <t>Niranjan</t>
  </si>
  <si>
    <t>Avinash</t>
  </si>
  <si>
    <t>Thopte</t>
  </si>
  <si>
    <t>Niranjan Avinash Thopte</t>
  </si>
  <si>
    <t>ninjthopte@gmail.com</t>
  </si>
  <si>
    <t>P26700220@student.nicmar.ac.in</t>
  </si>
  <si>
    <t>11-Oct-2002</t>
  </si>
  <si>
    <t>Reading,Sports,Trekking,Drawing</t>
  </si>
  <si>
    <t>Late Avinash Shankar Thopte</t>
  </si>
  <si>
    <t>PRO</t>
  </si>
  <si>
    <t>Ashwini Avinash Thopte</t>
  </si>
  <si>
    <t>568/8Bibwewadi Kondhwa Road, Kanchanganga Society,Pune-411037</t>
  </si>
  <si>
    <t>Vidya Niketan School,Pune</t>
  </si>
  <si>
    <t>Maharashtra State Board of Secondary &amp; Higher Secondary Education Pune</t>
  </si>
  <si>
    <t>BRACT's, Vishwakarma Institute of Information Technology</t>
  </si>
  <si>
    <t>Power BI,MSExcel,MS Word,MS Powerpoint,Auto Cad,Revit,MS Project</t>
  </si>
  <si>
    <t>Unique Contracts Pvt. ltd,  Pune Maharashtra | Jr Site Engineer | 96/101 Ravet Village Road Shinde Vasti Ravet Pimpri-Chinchwad, Pune, Maharashtra 412101 | Jul 2024 | Dec 2025 | 1 Years, 5 Months, 29 Days | 2.4</t>
  </si>
  <si>
    <t>Directorate of Town Planning &amp; Valuation Dept. | Intern  | Ground Floor, Central Administrative Building, Agarkar Nagar, Pune, Maharashtra 411001 | Jul 2023 | Sep 2023 | 8 Weeks
Majestique Landmarks,Pune | Jr Engineer | Handewadi Rd, Survey Number 10/11, Part, Hadapsar, Pune, Maharashtra 412308 | Sep 2023 | Dec 2023 | 13 Weeks</t>
  </si>
  <si>
    <t>P26700221</t>
  </si>
  <si>
    <t>Potdar</t>
  </si>
  <si>
    <t>Parth</t>
  </si>
  <si>
    <t>Balasaheb</t>
  </si>
  <si>
    <t>Potdar Parth Balasaheb</t>
  </si>
  <si>
    <t>P26700221@student.nicmar.ac.in</t>
  </si>
  <si>
    <t>07-Feb-2005</t>
  </si>
  <si>
    <t>Marathi,Hindi ,English</t>
  </si>
  <si>
    <t>Reading,Listening to Music  ,Travelling,Exploring New Places,Learning New Technologies</t>
  </si>
  <si>
    <t>Balasaheb Digamber Potdar</t>
  </si>
  <si>
    <t>Yogita Balasaheb Potdar</t>
  </si>
  <si>
    <t>E - 108 Bhagyoday PWD Housing Society, Antrolikar Nagar - 1, Solapur</t>
  </si>
  <si>
    <t>Siddheshwar High School, Solapur</t>
  </si>
  <si>
    <t>Maharashtra State Board of Secondary and Higher Secondary Education, Pune, Maharashtra</t>
  </si>
  <si>
    <t>Solapur Education Society's Polytechnic, Solapur</t>
  </si>
  <si>
    <t>Punyashlok Ahilyadevi Holkar Solapur University, Solapur</t>
  </si>
  <si>
    <t>Walchand Institute of Technology, Solapur, Maharashtra</t>
  </si>
  <si>
    <t>AutoCAD,STAAD.Pro ,ETABS  ,RCDC ,MS Office</t>
  </si>
  <si>
    <t>Archit Developers, Solapur | INTERN | Solapur, Maharashtra | Feb 2026 | Apr 2026 | 8 Weeks
Yash Construction, Solapur | INTERN | Solapur, Maharashtra | Jun 2024 | Jun 2024 | 4 Weeks
Yash Construction, Solapur | INTERN | Solapur, Maharashtra | Dec 2023 | Jan 2024 | 2 Weeks
Amogh Constructions, Solapur | INTERN | Solapur, Maharashtra | Jul 2022 | Aug 2022 | 5 Weeks</t>
  </si>
  <si>
    <t>Project Management Professional
BIM Fundamentals for Engineers
Fundamentals of GIS
Introduction to Sustainability
NCET-DICE 2K26 Best Paper Award
IRJET Publication 1
IRJET Publication 2
Entrepreneurial skills through coursework
 STAAD.pro 
Introduction to AutoCAD
AutoCAD - Beginners
AutoCAD - Intermediate
AutoCAD - Advanced
AutoCAD - 2D Advanced Course
AutoCAD - 3D Modeling
Interior Modeling in 3D Max
Autodesk Revit in 4 Hours
Building a Road using Civil 3D</t>
  </si>
  <si>
    <t>P26700222</t>
  </si>
  <si>
    <t>Mohamed</t>
  </si>
  <si>
    <t>Aahil R</t>
  </si>
  <si>
    <t>Mohamed Aahil R</t>
  </si>
  <si>
    <t>P26700222@student.nicmar.ac.in</t>
  </si>
  <si>
    <t>24-Jun-2002</t>
  </si>
  <si>
    <t xml:space="preserve">English,Kannada,Tamil,Hindi,Urdu </t>
  </si>
  <si>
    <t xml:space="preserve">Travelling,Photography </t>
  </si>
  <si>
    <t>Rafi A</t>
  </si>
  <si>
    <t>Ayesha S</t>
  </si>
  <si>
    <t>122,A4,Krishna Block,National Games Village,Koramangala</t>
  </si>
  <si>
    <t>Bishop Cotton Boys' School , Bengaluru</t>
  </si>
  <si>
    <t>ICSE-Bengaluru,Karnataka</t>
  </si>
  <si>
    <t>Sri Chaitanya PU College</t>
  </si>
  <si>
    <t>Department of Pre-University Education (PUE),Karnataka State Board,Bengaluru,Karnataka</t>
  </si>
  <si>
    <t>New Horizon College of Engineering, Bengaluru,Karnataka</t>
  </si>
  <si>
    <t>AutoCAD,MS Project&lt;,Primavera,STAAD Pro,MS Excel</t>
  </si>
  <si>
    <t>P26700223</t>
  </si>
  <si>
    <t xml:space="preserve">Sheetal </t>
  </si>
  <si>
    <t>Ramdas</t>
  </si>
  <si>
    <t>Gadekar</t>
  </si>
  <si>
    <t>Sheetal  Ramdas Gadekar</t>
  </si>
  <si>
    <t>P26700223@student.nicmar.ac.in</t>
  </si>
  <si>
    <t>25-Feb-2004</t>
  </si>
  <si>
    <t>Reading,Dancing, Travelling</t>
  </si>
  <si>
    <t>Ramdas Eknathrao Gadekar</t>
  </si>
  <si>
    <t>Vaishali Ramdas Gadekar</t>
  </si>
  <si>
    <t>Plot No.5, Bhanudas Nagar, Near Bholeshwar Temple, Jowhar Colony, Aurangabad.</t>
  </si>
  <si>
    <t xml:space="preserve">Ryan International School, Aurangabad </t>
  </si>
  <si>
    <t>Council For The Indian School Certificate Examinations, New Delhi</t>
  </si>
  <si>
    <t>Deogiri College</t>
  </si>
  <si>
    <t>Dr. Babasaheb Ambedkar Marathwada University, Aurangabad</t>
  </si>
  <si>
    <t>Government College of Engineering, Aurangabad</t>
  </si>
  <si>
    <t>AutoCAD,Revit Achitechture,Revit MEP</t>
  </si>
  <si>
    <t>P26700224</t>
  </si>
  <si>
    <t xml:space="preserve">SAYANTAN </t>
  </si>
  <si>
    <t>NAYEK</t>
  </si>
  <si>
    <t>Sayantan  Nayek</t>
  </si>
  <si>
    <t>P26700224@student.nicmar.ac.in</t>
  </si>
  <si>
    <t>14-Nov-1998</t>
  </si>
  <si>
    <t>Bengali,Hindi,English</t>
  </si>
  <si>
    <t>Construction Project Management,Project Planning &amp; Scheduling,Quantity Surveying,Cost Control,Quality Management,Procurement &amp; Contract Management,Cost management,Infrastructure &amp; Industrial Projects</t>
  </si>
  <si>
    <t>RADHAKRISHNA NAYEK</t>
  </si>
  <si>
    <t>TAPATI NAYEK</t>
  </si>
  <si>
    <t xml:space="preserve">VILL+P.O - MUKTARPUR , DIST - HOOGHLY , P.S - TARAKESWAR </t>
  </si>
  <si>
    <t>MUKTARPUR HIGH SCHOOL</t>
  </si>
  <si>
    <t xml:space="preserve">WEST BENGAL BOARD OF SECONDARY EDUCATION </t>
  </si>
  <si>
    <t>2008-Jan</t>
  </si>
  <si>
    <t>TALPUR PATHSALA</t>
  </si>
  <si>
    <t xml:space="preserve">WEST BENGAL STATE COUNCIL OF TECHNICAL AND VOCATIONAL EDUCATION AND SKILL DEVELOPMENT </t>
  </si>
  <si>
    <t xml:space="preserve">CIVIL ENGINEERING </t>
  </si>
  <si>
    <t>JIS SCHOOL OF POLYTECHNIC</t>
  </si>
  <si>
    <t xml:space="preserve">JIS COLLEGE OF ENGINEERING </t>
  </si>
  <si>
    <t>JIS College of Engineering, Kalyani, West Bengal</t>
  </si>
  <si>
    <t>MS Project ,AUTOCAD,REVIT,POWER BI,MS EXCEL,QA/QC,WBS &amp; CPM,PLANNING &amp; SCHEDULING,ESTIMATION &amp; COST CONTROL,CONSTRUCTION PLANNING,PROGRESS MONITORING,BOQ</t>
  </si>
  <si>
    <t>PWD | Intern  | KALYANI, NADIA  | Jan 2019 | Feb 2019 | 4 Weeks | Campus Internship</t>
  </si>
  <si>
    <t>P26700225</t>
  </si>
  <si>
    <t>SHANTANU KHATI</t>
  </si>
  <si>
    <t xml:space="preserve">DILIP </t>
  </si>
  <si>
    <t>KHATI</t>
  </si>
  <si>
    <t>Shantanu Khati Dilip  Khati</t>
  </si>
  <si>
    <t>bakulkhati@gmail.com</t>
  </si>
  <si>
    <t>P26700225@student.nicmar.ac.in</t>
  </si>
  <si>
    <t>18-May-1996</t>
  </si>
  <si>
    <t xml:space="preserve">ENGLISH HINDI MARATHI </t>
  </si>
  <si>
    <t>SIGNING ,TRAVELING ,VIDEOGRAPGY</t>
  </si>
  <si>
    <t xml:space="preserve">DIED </t>
  </si>
  <si>
    <t>DIED</t>
  </si>
  <si>
    <t>BANGAR NAGARA, WAGHAPUR NAKA,YAVATMAL</t>
  </si>
  <si>
    <t>FLAT NO. 08,SHREE GANESHA RESIDENCY,NEAR SUTAR HOSPITAL,KOTHRUD, PUNE</t>
  </si>
  <si>
    <t>MAHARSHI VIDYA MANDIR</t>
  </si>
  <si>
    <t xml:space="preserve">DIPLOMA IN CIVIL ENGINEERING </t>
  </si>
  <si>
    <t>SHRI DATTA MEGHE POLYTECHNIC,NAGPUR</t>
  </si>
  <si>
    <t>JAWAHARLAL DARPAN INSTITUTE OF ENGINEERING AND TECHNOLOGY,YAVATMAL</t>
  </si>
  <si>
    <t>AUTOCAD,MS OFFICE,MSPROJECT PRIMAVERA,ADOBE SOFTWARE</t>
  </si>
  <si>
    <t>FIDESTO PMC | PROJECT ENGINEER | PUNE | Sep 2025 | Jan 2026 | 0 Years, 3 Months, 28 Days | 2.532
NATIONAL ENVIRONMENT ENGINEERING RESEARCH INSTITUTE  | PROJECT ASSISTANT  | NAGPUR | Jan 2020 | Dec 2021 | 1 Years, 11 Months, 17 Days | 2.64</t>
  </si>
  <si>
    <t>P26700226</t>
  </si>
  <si>
    <t>Siddharth Biju</t>
  </si>
  <si>
    <t>P26700226@student.nicmar.ac.in</t>
  </si>
  <si>
    <t>31-Aug-1999</t>
  </si>
  <si>
    <t>English,Hindi,Malayalam</t>
  </si>
  <si>
    <t>Badminton, Reading</t>
  </si>
  <si>
    <t>Biju P Nair</t>
  </si>
  <si>
    <t>Preetha Menon</t>
  </si>
  <si>
    <t>Sree Sailam,
Sringeri Madhom Road, Kalady</t>
  </si>
  <si>
    <t>Sree Sarada Vidyalaya</t>
  </si>
  <si>
    <t>Federal Institute of Science And Technology</t>
  </si>
  <si>
    <t>AutoCAD,STAAD.Pro,Revit,MS Office,MS Project</t>
  </si>
  <si>
    <t>Cubes &amp; Squares | AutoCAD Drafter | Kalady | Nov 2022 | Sep 2023 | 0 Years, 10 Months, 23 Days | 1.26
Tree Engineering Consultants Pvt. Ltd. | Site Engineer  | Malappuram | Oct 2023 | Jan 2024 | 0 Years, 3 Months, 11 Days | 1.44
BuildOwn Developers Pvt. Ltd. | Site Engineer  | Kakkanad | Jan 2024 | Sep 2025 | 1 Years, 8 Months, 6 Days | 2.4
Sobha Limited | Engineer  | Kochi | Oct 2025 | Jun 2026 | 0 Years, 7 Months, 30 Days | 3.3258</t>
  </si>
  <si>
    <t>P26700227</t>
  </si>
  <si>
    <t>Ajinkya</t>
  </si>
  <si>
    <t>Vilas</t>
  </si>
  <si>
    <t>Gawai</t>
  </si>
  <si>
    <t>Ajinkya Vilas Gawai</t>
  </si>
  <si>
    <t>P26700227@student.nicmar.ac.in</t>
  </si>
  <si>
    <t>08-Jun-2001</t>
  </si>
  <si>
    <t>hindi ,marathi,english</t>
  </si>
  <si>
    <t>music,trekking ,exploring new place,creative activity</t>
  </si>
  <si>
    <t>VILAS GAWAI</t>
  </si>
  <si>
    <t xml:space="preserve">KAVITA GAWAI </t>
  </si>
  <si>
    <t>15, Hari om colony ,behind kala maroti mandir, near swaraj Nagar, Nagpur</t>
  </si>
  <si>
    <t xml:space="preserve">Alliance Nisarg, Leela, Shankar Kalat Nagar, Thergaon, Pune, Maharashtra </t>
  </si>
  <si>
    <t>K2 Architects  | Junior Architect | Nagpur | Sep 2024 | Jun 2026 | 1 Years, 9 Months, 2 Days
shubham suratkar architects | Internship | Pune | Feb 2023 | Oct 2023 | 0 Years, 8 Months, 29 Days</t>
  </si>
  <si>
    <t>P26700228</t>
  </si>
  <si>
    <t>Mishita</t>
  </si>
  <si>
    <t>Chowdhury</t>
  </si>
  <si>
    <t>Mishita Chowdhury</t>
  </si>
  <si>
    <t>P26700228@student.nicmar.ac.in</t>
  </si>
  <si>
    <t>English,Hindi,Bengali,Assamese</t>
  </si>
  <si>
    <t>Painting, Classical Dance</t>
  </si>
  <si>
    <t>Mridul Chowdhury</t>
  </si>
  <si>
    <t>Govt. Service</t>
  </si>
  <si>
    <t>Sutapa Chowdhury</t>
  </si>
  <si>
    <t>West Maligaon, Rly. Qr. No. 60/A, Guwahati, Assam.</t>
  </si>
  <si>
    <t>301(A), Gajendra Apartment, Vijaya Complex, Survey, Beltola, Guwahati, Assam.</t>
  </si>
  <si>
    <t>K.V. Maligaon, Guwahati.</t>
  </si>
  <si>
    <t>CBSE ,Guwahati, Assam</t>
  </si>
  <si>
    <t>SBOA Public School</t>
  </si>
  <si>
    <t>CBSE, Guwahati, Assam</t>
  </si>
  <si>
    <t>Kalinga Institute of Industrial Technology</t>
  </si>
  <si>
    <t>Kalinga Institute of Industrial Technology, Bhubaneswar, Odisha.</t>
  </si>
  <si>
    <t>MS Excel, MS Office, Marshall mix design,Python</t>
  </si>
  <si>
    <t>Structurax Infra | Operations Executive  | Tezpur, Assam. | Jun 2025 | Jun 2026 | 1 Years, 0 Months, 26 Days | 2.4</t>
  </si>
  <si>
    <t>Central Road Research Institute (CRRI), New Delhi. | Research Scholar | New Delhi | Jul 2024 | Feb 2025 | 28 Weeks
Indian Railway, Govt. of India | Intern | Guwahati, Assam | Jun 2023 | Jul 2023 | 4 Weeks
Public Health Engineering Department, Govt. of Assam. | Intern | Guwahati, Assam | May 2023 | Jun 2023 | 4 Weeks</t>
  </si>
  <si>
    <t>Six sigma and the organisation (Advanced)
Excel skills for business : Essentials
Introduction to AI
Discover the art of Prompting
Programming for everybody (Getting strated with python)
Use AI responsibly
(BCG) Strategy consulting job simulation</t>
  </si>
  <si>
    <t>P26700229</t>
  </si>
  <si>
    <t>Gayathri</t>
  </si>
  <si>
    <t>Gayathri N</t>
  </si>
  <si>
    <t>P26700229@student.nicmar.ac.in</t>
  </si>
  <si>
    <t>07-Apr-2004</t>
  </si>
  <si>
    <t>Nandakumar P V</t>
  </si>
  <si>
    <t>Leeja A</t>
  </si>
  <si>
    <t>'Amayattu', Avitanallur PO Naduvannur, Balussery, Kozhikode</t>
  </si>
  <si>
    <t>Gate No.2, NICMAR University, Balewadi Road, Ram Nagar, Baner, Pune, Maharashtra</t>
  </si>
  <si>
    <t>Bharatiya Vidya Bhavan, Chevayur</t>
  </si>
  <si>
    <t>CBSE, Kozhikode</t>
  </si>
  <si>
    <t>Amrita University</t>
  </si>
  <si>
    <t>Amrita School of Engineering, Coimbatore</t>
  </si>
  <si>
    <t>AutoCAD,Python,MS Project,Primavera</t>
  </si>
  <si>
    <t>L&amp;T Edutech, Chennai | Summer Intern | India | Jun 2024 | Jul 2024 | 1 Weeks | Campus Internship
Uralungal Labour Contract Co-operative Society (ULCCS), Kozhikode | Summer Intern | India | Jun 2025 | Jun 2025 | 1 Weeks
Kerala Public Works Department, Special Buildings Subdivision, Kozhikode | Summer Intern | India | May 2025 | May 2025 | 1 Weeks</t>
  </si>
  <si>
    <t>Principles of Construction Management - NPTEL</t>
  </si>
  <si>
    <t>P26700230</t>
  </si>
  <si>
    <t>Manush Vishal</t>
  </si>
  <si>
    <t>Manush Vishal S</t>
  </si>
  <si>
    <t>P26700230@student.nicmar.ac.in</t>
  </si>
  <si>
    <t>Tamil, English, Hindi</t>
  </si>
  <si>
    <t>Basket ball, Cooking</t>
  </si>
  <si>
    <t>Senthil Kumar R</t>
  </si>
  <si>
    <t>Parameswari K</t>
  </si>
  <si>
    <t>Govt Job</t>
  </si>
  <si>
    <t>604/2, Pudur Naggamal Thottam, Salem 636007</t>
  </si>
  <si>
    <t>Emerald Valley Public School</t>
  </si>
  <si>
    <t>CBSE,Salem Tamil Nadu</t>
  </si>
  <si>
    <t xml:space="preserve">Anna University </t>
  </si>
  <si>
    <t>AutoCAD,BIM,MS Project,MS Office</t>
  </si>
  <si>
    <t>Central Public Works Department | Internship | Salem, Tamil Nadu | Jun 2025 | Jul 2025 | 4 Weeks
Vijaya Rasi Constructions | Internship | Salem, Tamil Nadu | Jun 2024 | Jul 2024 | 4 Weeks</t>
  </si>
  <si>
    <t>AutoCAD Essential
NPTEL - Municipal Solid Waste Management</t>
  </si>
  <si>
    <t>P26700231</t>
  </si>
  <si>
    <t>HARIKRISHNAN</t>
  </si>
  <si>
    <t>Harikrishnan R</t>
  </si>
  <si>
    <t>P26700231@student.nicmar.ac.in</t>
  </si>
  <si>
    <t>15-Dec-2003</t>
  </si>
  <si>
    <t>Reading Fictional Stories, listening songs, badminton, football, movies,GYM</t>
  </si>
  <si>
    <t>RAJAGOPAL B</t>
  </si>
  <si>
    <t>Senior Manager, Kerala Bank</t>
  </si>
  <si>
    <t>SAINU A L</t>
  </si>
  <si>
    <t>Assistant Manager, KSFE</t>
  </si>
  <si>
    <t>Sreehari, Kurumandal, Paravoor</t>
  </si>
  <si>
    <t>SREE NARAYANA PUBLIC SCHOOL</t>
  </si>
  <si>
    <t>AMRITA SCHOOL OF ENGINEERING, COIMBOTORE</t>
  </si>
  <si>
    <t>AutoCAD,MS Office,Sketchup</t>
  </si>
  <si>
    <t>L&amp;T Constructions | Internship trainee |  Larsen and Toubro Limited, Manapakkam, Chennai, Tamil Nadu 600089 | Jul 2023 | Aug 2023 | 1 Weeks
NHAI | Internship trainee |  Project-Six Laning of Thuravoor- Paravoor- Kottukutangara  section of NH-66 in the State of Kerata on EPC mode under Bharatmata Pariyojana under National Highway Authority of India | Jan 2024 | Jan 2024 | 0 Weeks
L&amp;T Constructions | Internship trainee |  Larsen and Toubro Limited, Manapakkam, Chennai, Tamil Nadu 600089 | Jun 2024 | Jul 2024 | 1 Weeks</t>
  </si>
  <si>
    <t>Safety for Professionals
Principles of Construction Management
INTRODUCTION TO GREEN ECONOMY</t>
  </si>
  <si>
    <t>P26700232</t>
  </si>
  <si>
    <t>Konduri</t>
  </si>
  <si>
    <t>Sathwik</t>
  </si>
  <si>
    <t>Konduri Sathwik</t>
  </si>
  <si>
    <t>P26700232@student.nicmar.ac.in</t>
  </si>
  <si>
    <t>English, Telugu,Hindi</t>
  </si>
  <si>
    <t>Music ,Batmenton,Urban exploration</t>
  </si>
  <si>
    <t>Sri ranganayakulu Konduri</t>
  </si>
  <si>
    <t>Accountant</t>
  </si>
  <si>
    <t>Padmalatha Konduri</t>
  </si>
  <si>
    <t>3-8-9/3, seshamahal road, subbarao peta, Tadepalligudem, West godavari, Andhra pradesh-534101</t>
  </si>
  <si>
    <t>Vasavi Ideal Public School</t>
  </si>
  <si>
    <t>Central Board of Secondary Education - Andhra Pradesh</t>
  </si>
  <si>
    <t>Sri Chaitanya Junior Collage</t>
  </si>
  <si>
    <t>Board of Intermediate Education - Andhra Pradesh</t>
  </si>
  <si>
    <t>Amrita Vishwa Vidyapeetham</t>
  </si>
  <si>
    <t>Amrita Vishwa Vidyapeetham - Tamil nadu</t>
  </si>
  <si>
    <t>MS Project,Auto cad,MS excel,sketch up,MS power point,MS word</t>
  </si>
  <si>
    <t>Finolex Industries Ltd | GET - Technical service | Baner pashan link road, Pune, Maharastra | Oct 2024 | Feb 2026 | 1 Years, 4 Months, 8 Days | 5</t>
  </si>
  <si>
    <t>L&amp;T Constructions | Graduate Commercial Trainee | Chennai | Jul 2023 | Aug 2023 | 1 Weeks | Campus Internship</t>
  </si>
  <si>
    <t>Building Information Modelling
Construction Equipment and Techniques
Design of Steel Structures</t>
  </si>
  <si>
    <t>P26700233</t>
  </si>
  <si>
    <t xml:space="preserve">Gaurav </t>
  </si>
  <si>
    <t>Dabas</t>
  </si>
  <si>
    <t>Gaurav  Dabas</t>
  </si>
  <si>
    <t>P26700233@student.nicmar.ac.in</t>
  </si>
  <si>
    <t>Travelling, Listinening Music</t>
  </si>
  <si>
    <t>Jagbir Singh</t>
  </si>
  <si>
    <t>Seema Dabas</t>
  </si>
  <si>
    <t xml:space="preserve">Home Maker </t>
  </si>
  <si>
    <t>A-001, Platinum Heights, Ramprastha Green, Vaishali Sec-9,</t>
  </si>
  <si>
    <t>A-001, Platinum Heights, Ramprastha Green, Vaishali Sec-9</t>
  </si>
  <si>
    <t xml:space="preserve">ST FRANCIS SCHOOL </t>
  </si>
  <si>
    <t xml:space="preserve">CBSE-GHAZIABAD, UTTAR PRADESH </t>
  </si>
  <si>
    <t xml:space="preserve">AMITY UNIVERSITY UTTAR PRADESH </t>
  </si>
  <si>
    <t xml:space="preserve">AMITY UNIVERSITY UTTAR PRADESH-NOIDA, UTTAR PRADESH </t>
  </si>
  <si>
    <t>MS OFFICE</t>
  </si>
  <si>
    <t>AIRPORTS AUTHORITY OF INDIA  | CIVIL ENGINEERING INTERN  | DELHI  | May 2025 | Jul 2025 | 8 Weeks | Campus Internship</t>
  </si>
  <si>
    <t>P26700234</t>
  </si>
  <si>
    <t>AADIT</t>
  </si>
  <si>
    <t>PANKAJ</t>
  </si>
  <si>
    <t>Aadit Pankaj Jain</t>
  </si>
  <si>
    <t>JAINAADIT17@GMAIL.COM</t>
  </si>
  <si>
    <t>P26700234@student.nicmar.ac.in</t>
  </si>
  <si>
    <t>30-Jul-2004</t>
  </si>
  <si>
    <t>Hindi,English,Gujarati</t>
  </si>
  <si>
    <t>Music ,Sports</t>
  </si>
  <si>
    <t>Pankaj Jain</t>
  </si>
  <si>
    <t>Bindu Jain</t>
  </si>
  <si>
    <t>A 50 SHUBH DUPLEX OPP NOVINO BATTERY MAKARPURA</t>
  </si>
  <si>
    <t>P26700235</t>
  </si>
  <si>
    <t>S SATISH</t>
  </si>
  <si>
    <t>S Satish Kumar</t>
  </si>
  <si>
    <t>P26700235@student.nicmar.ac.in</t>
  </si>
  <si>
    <t>Hindi,English,Tamil,Kannada</t>
  </si>
  <si>
    <t>Reading,Music,Learning,Fitness</t>
  </si>
  <si>
    <t>C Shankar</t>
  </si>
  <si>
    <t>civil supervisor</t>
  </si>
  <si>
    <t>Deepa Shankar</t>
  </si>
  <si>
    <t>1st main 2nd bcross anand nagar R.T. Nagar, Bangalore, Karnataka</t>
  </si>
  <si>
    <t>VIDYANJALI ACADEMY FOR LEARNING</t>
  </si>
  <si>
    <t>Bengaluru, Karnataka</t>
  </si>
  <si>
    <t>Ramaiah Composite Pre University College</t>
  </si>
  <si>
    <t>Karnataka Board of the Pre-University Education, Bengaluru</t>
  </si>
  <si>
    <t>REVA University</t>
  </si>
  <si>
    <t>REVA University, Bengaluru</t>
  </si>
  <si>
    <t>AutoCAD,MS Office,MS Project,Primevera,MS Excell,Power BI</t>
  </si>
  <si>
    <t>VB CONSTRUCTIONS | PROJECT ENGINEER | Bengaluru,Karnataka | Dec 2023 | May 2026 | 2 Years, 5 Months, 17 Days | 4.8
MS Builders | Site Engineer | Banglolre, Karnataka | Jun 2023 | Nov 2023 | 0 Years, 5 Months, 29 Days | 2.2</t>
  </si>
  <si>
    <t>P26700236</t>
  </si>
  <si>
    <t>Amita</t>
  </si>
  <si>
    <t>Patra</t>
  </si>
  <si>
    <t>Amita Patra</t>
  </si>
  <si>
    <t>P26700236@student.nicmar.ac.in</t>
  </si>
  <si>
    <t>09-Jul-2003</t>
  </si>
  <si>
    <t xml:space="preserve">Reading </t>
  </si>
  <si>
    <t xml:space="preserve">Rajib Patra </t>
  </si>
  <si>
    <t xml:space="preserve">Proprietor </t>
  </si>
  <si>
    <t xml:space="preserve">Manorama Patra </t>
  </si>
  <si>
    <t>Patra Jewellers, Naya Bazar, Bhadrak Odisha- 756100</t>
  </si>
  <si>
    <t>Carmel School, Bhadrak</t>
  </si>
  <si>
    <t>ICSE, Bhadrak/Odisha</t>
  </si>
  <si>
    <t>D.A.V. Public School</t>
  </si>
  <si>
    <t>CBSE, Bhubneshwar/Odisha</t>
  </si>
  <si>
    <t>Kalinga institute of Industrial Technology</t>
  </si>
  <si>
    <t>Kalinga Institute of Industrial Technology, Bhubaneshwar/Odisha</t>
  </si>
  <si>
    <t>Mix Design, MS Excel,Microsoft Office</t>
  </si>
  <si>
    <t>M/s Saransa Sahoo | Site Engineer | Bhadrak | May 2025 | Jun 2026 | 1 Years, 1 Months, 25 Days | 2.64</t>
  </si>
  <si>
    <t>CSIR-Central Road Research Institute (CRRI | Research intern | Delhi | Jul 2024 | Feb 2026 | 80 Weeks
Drainage Division- Government of Odisha | Summer Intern | Bhadrak | May 2024 | Jun 2026 | 108 Weeks</t>
  </si>
  <si>
    <t>P26700237</t>
  </si>
  <si>
    <t>Shaktheeswaran</t>
  </si>
  <si>
    <t>Shaktheeswaran R</t>
  </si>
  <si>
    <t>march16032004@gmail.com</t>
  </si>
  <si>
    <t>P26700237@student.nicmar.ac.in</t>
  </si>
  <si>
    <t>16-Mar-2004</t>
  </si>
  <si>
    <t>Music,Athletics</t>
  </si>
  <si>
    <t>S Raja Chidambaram</t>
  </si>
  <si>
    <t>Manager in Aqua Right drinking water company</t>
  </si>
  <si>
    <t>R Sathya Priya</t>
  </si>
  <si>
    <t>No.77, South car street, Near HDFC Bank, Thuraiyur</t>
  </si>
  <si>
    <t>Sowdambikaa Matric Boys Higher Secondary School</t>
  </si>
  <si>
    <t>Tamil Nadu State Board of secondary education</t>
  </si>
  <si>
    <t>Tamil Nadu State Board of higher secondary education</t>
  </si>
  <si>
    <t>Amrita School of Engineering, Tamil Nadu</t>
  </si>
  <si>
    <t>Autocad,Pyrosim,Visual inspection,Rebound hammer test,Thermography</t>
  </si>
  <si>
    <t>DLF | GET | Gurugram | Jul 2025 | Jun 2026 | 0 Years, 11 Months, 29 Days | 7.1</t>
  </si>
  <si>
    <t>NIT Trichy | Intern | Tiruchirappalli | Jun 2024 | Jul 2024 | 6 Weeks</t>
  </si>
  <si>
    <t>P26700238</t>
  </si>
  <si>
    <t>Siddhesh</t>
  </si>
  <si>
    <t>Shrikant</t>
  </si>
  <si>
    <t>Sonaje</t>
  </si>
  <si>
    <t>Siddhesh Shrikant Sonaje</t>
  </si>
  <si>
    <t>P26700238@student.nicmar.ac.in</t>
  </si>
  <si>
    <t>21-Oct-2004</t>
  </si>
  <si>
    <t xml:space="preserve">Marathi,Hindi,English </t>
  </si>
  <si>
    <t xml:space="preserve">Music ,badminton ,Basketball ,Drawing </t>
  </si>
  <si>
    <t xml:space="preserve">Plotting and Land developers </t>
  </si>
  <si>
    <t>Prajakta</t>
  </si>
  <si>
    <t xml:space="preserve">Monoday bunglow , Patil coloney 2b , College rd, Nashik </t>
  </si>
  <si>
    <t>Sonaje Siddhesh Shrikant</t>
  </si>
  <si>
    <t>Secondary School Certificate (SSC) Maharashtra/Nashik</t>
  </si>
  <si>
    <t>H.P.T. ARTS &amp; R.Y.K. SCIENCE COLLEGE</t>
  </si>
  <si>
    <t xml:space="preserve"> Higher Secondary Certificate (HSC) Maharashtra/Nashik</t>
  </si>
  <si>
    <t>AISSMS College of Engineering</t>
  </si>
  <si>
    <t>Autocad ,Revit ,Stadpro</t>
  </si>
  <si>
    <t>Elite Infrastructure Pvt . Ltd | Intern | Kothrud , Pune | Dec 2023 | Jan 2025 | 57 Weeks</t>
  </si>
  <si>
    <t>Autocad
Revit</t>
  </si>
  <si>
    <t>P26700239</t>
  </si>
  <si>
    <t>Shubham Choudhary</t>
  </si>
  <si>
    <t>choudharyshubham1999@gmail.com</t>
  </si>
  <si>
    <t>P26700239@student.nicmar.ac.in</t>
  </si>
  <si>
    <t>09-Nov-1999</t>
  </si>
  <si>
    <t>listening music,learning new skills,cricket</t>
  </si>
  <si>
    <t>Pooran Singh Choudhary</t>
  </si>
  <si>
    <t>Santra Devi</t>
  </si>
  <si>
    <t>Village and Post- Piprali, Sikar(Raj)</t>
  </si>
  <si>
    <t>Bhartiya Public School Sanwali Road Sikar Raj</t>
  </si>
  <si>
    <t>Central Board of Secondary Education,Delhi</t>
  </si>
  <si>
    <t>07.4</t>
  </si>
  <si>
    <t>SBS MEMO. S S SR SEC SCH, SABALPURA(SIKAR)</t>
  </si>
  <si>
    <t>Board of Secondary Education, Rajasthan</t>
  </si>
  <si>
    <t>AutoCAD,MS Office,Ms Project</t>
  </si>
  <si>
    <t>P26700240</t>
  </si>
  <si>
    <t>Harshith</t>
  </si>
  <si>
    <t>Harshith R</t>
  </si>
  <si>
    <t>P26700240@student.nicmar.ac.in</t>
  </si>
  <si>
    <t>30-Sep-2002</t>
  </si>
  <si>
    <t>English,Kannada,Telegu</t>
  </si>
  <si>
    <t>Playing Cricket,Travel,Listening to Music</t>
  </si>
  <si>
    <t>Ramesh PV</t>
  </si>
  <si>
    <t>Prathibha B</t>
  </si>
  <si>
    <t xml:space="preserve">Ulluru Pete Ward No. 11 Sidlaghatta </t>
  </si>
  <si>
    <t xml:space="preserve">Sri Ramakrishna English Medium Residential High School </t>
  </si>
  <si>
    <t>Karnataka Secondary Education Examination Board</t>
  </si>
  <si>
    <t>SBGNS Rural Composite PU College</t>
  </si>
  <si>
    <t>Department Of Pre-University Education</t>
  </si>
  <si>
    <t>Nitte Meenakshi Institute of Technology</t>
  </si>
  <si>
    <t>AutoCAD,MS Exel</t>
  </si>
  <si>
    <t>Transys Consulting Pvt. Ltd. | CAD ENGINEER (STRUCTURES) | Bangalore | Aug 2024 | Jun 2026 | 1 Years, 10 Months, 24 Days</t>
  </si>
  <si>
    <t>NPTEL Online Certification For Safety In Construction
Primavera P6 In Project Planning and Management
Certificate Of Best Project</t>
  </si>
  <si>
    <t>P26700241</t>
  </si>
  <si>
    <t>Chandru</t>
  </si>
  <si>
    <t>Murugan</t>
  </si>
  <si>
    <t>Chandru Murugan</t>
  </si>
  <si>
    <t>P26700241@student.nicmar.ac.in</t>
  </si>
  <si>
    <t>09-Oct-2001</t>
  </si>
  <si>
    <t>tamil,english</t>
  </si>
  <si>
    <t xml:space="preserve">playing cricket ,table tennis,chess,reading </t>
  </si>
  <si>
    <t>A-</t>
  </si>
  <si>
    <t>own buisness</t>
  </si>
  <si>
    <t>Shanthi</t>
  </si>
  <si>
    <t>goverment employee</t>
  </si>
  <si>
    <t>113,sundaram 1st street,thinamani nagar,kovilpapakudi.</t>
  </si>
  <si>
    <t>Madurai</t>
  </si>
  <si>
    <t>SDH Jain vidyalaya matric hr sec school.</t>
  </si>
  <si>
    <t>Tamil nadu</t>
  </si>
  <si>
    <t>TVS matric hr sec school.</t>
  </si>
  <si>
    <t>Anna University.</t>
  </si>
  <si>
    <t>Thiagarajar college of engineering,Madurai,Tamil Nadu.</t>
  </si>
  <si>
    <t>Autocad,MS excel,Ms Project</t>
  </si>
  <si>
    <t>Sobha Construction, Dubai. | GET-Quantity Surveyor | Dubai  | Sep 2024 | Mar 2025 | 0 Years, 6 Months, 9 Days | 11</t>
  </si>
  <si>
    <t>P26700242</t>
  </si>
  <si>
    <t>Riya</t>
  </si>
  <si>
    <t xml:space="preserve">Deepak </t>
  </si>
  <si>
    <t>Riya Deepak  Ahire</t>
  </si>
  <si>
    <t>riyaahire011@gmail.com</t>
  </si>
  <si>
    <t>P26700242@student.nicmar.ac.in</t>
  </si>
  <si>
    <t>03-May-2004</t>
  </si>
  <si>
    <t xml:space="preserve">English , Marathi , Hindi </t>
  </si>
  <si>
    <t xml:space="preserve">Dance, Arts , Swimming </t>
  </si>
  <si>
    <t>5606 8562 3269</t>
  </si>
  <si>
    <t xml:space="preserve">Deepak Ahire </t>
  </si>
  <si>
    <t xml:space="preserve">Civil Engineer </t>
  </si>
  <si>
    <t>Kalpana Ahire</t>
  </si>
  <si>
    <t>Home loan agent</t>
  </si>
  <si>
    <t>21, Kamal Shanti, Chhoriya nagar malegaon road dhule Maharashtra</t>
  </si>
  <si>
    <t>P26700243</t>
  </si>
  <si>
    <t>Akshara</t>
  </si>
  <si>
    <t>Akshara Sunil</t>
  </si>
  <si>
    <t>P26700243@student.nicmar.ac.in</t>
  </si>
  <si>
    <t>17-Mar-2003</t>
  </si>
  <si>
    <t xml:space="preserve">Playing Chess, Dancing </t>
  </si>
  <si>
    <t>K M Sunil</t>
  </si>
  <si>
    <t>Buyer – Procurement Department</t>
  </si>
  <si>
    <t>Priya Sunil</t>
  </si>
  <si>
    <t>Kattilaparambil House,Irinjalakuda, Thrissur
P.O 680701, Thanissery</t>
  </si>
  <si>
    <t>MES Indian School</t>
  </si>
  <si>
    <t>CBSE Doha Qatar</t>
  </si>
  <si>
    <t>Vellore Institute of Technology University</t>
  </si>
  <si>
    <t>AutoCad, MS Project,MS Excel,Primavera P6</t>
  </si>
  <si>
    <t>Qatar Steel | Summer Intern | Mesaieed, Qatar | Sep 2023 | Oct 2023 | 4 Weeks
Al Rayyan Fire Systems | Intern | Doha, Qatar | May 2025 | Jul 2025 | 7 Weeks</t>
  </si>
  <si>
    <t>Quantity Surveying and Estimation Mastery: AutoCAD, Excel, BBS
MS-Project for Construction Scheduling</t>
  </si>
  <si>
    <t>P26700244</t>
  </si>
  <si>
    <t xml:space="preserve">Sarwesh </t>
  </si>
  <si>
    <t xml:space="preserve"> Suman</t>
  </si>
  <si>
    <t>Sarwesh   Suman</t>
  </si>
  <si>
    <t>P26700244@student.nicmar.ac.in</t>
  </si>
  <si>
    <t>27-Feb-1998</t>
  </si>
  <si>
    <t>Cooking, Travelling</t>
  </si>
  <si>
    <t>Pankaj Singh</t>
  </si>
  <si>
    <t>Sanju Devi</t>
  </si>
  <si>
    <t>Gyanti Niwas, Sitakund Gaya</t>
  </si>
  <si>
    <t>Gaya</t>
  </si>
  <si>
    <t>Gyan Bharti Model Residential Complex</t>
  </si>
  <si>
    <t>Nawada, Bihar</t>
  </si>
  <si>
    <t>Inter School Narhat</t>
  </si>
  <si>
    <t>Rajasthan Technical University</t>
  </si>
  <si>
    <t>Jaipur, Rajasthan</t>
  </si>
  <si>
    <t>University Of Technology</t>
  </si>
  <si>
    <t>Transportation Engineering</t>
  </si>
  <si>
    <t>MS Project,MS Office</t>
  </si>
  <si>
    <t>L N Malviya Infra Pvt. Ltd | Assistant Highway  Engineer | Varanasi | Nov 2022 | Jul 2023 | 0 Years, 8 Months, 29 Days | 3.6
MAV Associates LLP | Assistant Highway  Engineer | Samastipur | Aug 2025 | Jul 2026 | 0 Years, 11 Months, 6 Days | 3.36</t>
  </si>
  <si>
    <t>P26700245</t>
  </si>
  <si>
    <t>VISHWAJEET</t>
  </si>
  <si>
    <t>BAND</t>
  </si>
  <si>
    <t>Vishwajeet Bhushan Band</t>
  </si>
  <si>
    <t>P26700245@student.nicmar.ac.in</t>
  </si>
  <si>
    <t>MARATHI,HINDI ,ENGLISH</t>
  </si>
  <si>
    <t>CANVAS PAINTING,HORSE RIDING,MUSIC,READING</t>
  </si>
  <si>
    <t>BHUSHAN R BAND</t>
  </si>
  <si>
    <t>MRUNALINI B BAND</t>
  </si>
  <si>
    <t>PLOT NO. 232 HANUMAN NAGAR , NAGPUR</t>
  </si>
  <si>
    <t xml:space="preserve">BHAVAN'S BP VIDYA MANDIR WATHODA NAGPUR </t>
  </si>
  <si>
    <t xml:space="preserve">NAGPUR, MAHARASHTRA </t>
  </si>
  <si>
    <t>YASHODHA HIGH SCHOOL AND JUNIOR COLLEGE ,NAGPUR</t>
  </si>
  <si>
    <t>DR. BABASAHEB AMBEDKAR MARATHWADA UNIVERSITY , CHHATRAPATI SAMBHAJINAGAR</t>
  </si>
  <si>
    <t>GOVERNMENT COLLEGE OF ENGINEERING AURANGABAD , MAHARASHTRA</t>
  </si>
  <si>
    <t>AutoCAD ,MSP,REVIT,EXCEL</t>
  </si>
  <si>
    <t>P26700246</t>
  </si>
  <si>
    <t>Rachit</t>
  </si>
  <si>
    <t>Baweja</t>
  </si>
  <si>
    <t>Rachit Baweja</t>
  </si>
  <si>
    <t>P26700246@student.nicmar.ac.in</t>
  </si>
  <si>
    <t>16-Nov-2001</t>
  </si>
  <si>
    <t>Playing Cricket,Watching sports,Doing adventure activities</t>
  </si>
  <si>
    <t>Rajesh Baweja</t>
  </si>
  <si>
    <t>Seema Baweja</t>
  </si>
  <si>
    <t>J-709 Vvip Addresses, Raj Nagar Extention</t>
  </si>
  <si>
    <t>St. Josephs Academy</t>
  </si>
  <si>
    <t>CBSE, Delhi</t>
  </si>
  <si>
    <t xml:space="preserve">Dr. Akhilesh Das Gupta Institute of Technology &amp; Management (Formerly NIEC) </t>
  </si>
  <si>
    <t>Revit,AutoCad,MS Project</t>
  </si>
  <si>
    <t>Jones Lang LaSalle (JLL) | Project Engineer | Gurugram | Dec 2025 | Apr 2026 | 0 Years, 4 Months, 28 Days | 3.8
Jones Lang LaSalle (JLL) | Apprentice | Gurugram | Oct 2024 | Oct 2025 | 1 Years, 0 Months, 0 Days | 2.40</t>
  </si>
  <si>
    <t>NCRTC | Civil Engineer Intern | Delhi | Aug 2023 | Sep 2023 | 4 Weeks</t>
  </si>
  <si>
    <t>BIM Certification</t>
  </si>
  <si>
    <t>P26700248</t>
  </si>
  <si>
    <t>Janak</t>
  </si>
  <si>
    <t>Goenka</t>
  </si>
  <si>
    <t>Janak Anil Goenka</t>
  </si>
  <si>
    <t>P26700248@student.nicmar.ac.in</t>
  </si>
  <si>
    <t>30-May-2002</t>
  </si>
  <si>
    <t>Anil Manaklal Goenka</t>
  </si>
  <si>
    <t>Sarita Anil Goenka</t>
  </si>
  <si>
    <t>101, Pratapgarh Apartment, Khaparde Bagicha, Near Dainik Hindustan</t>
  </si>
  <si>
    <t xml:space="preserve">Dnyanmata High school </t>
  </si>
  <si>
    <t>New High School (Main)</t>
  </si>
  <si>
    <t xml:space="preserve">Sant Gadge Baba Amravati University </t>
  </si>
  <si>
    <t>Prof.Ram Meghe Institute of Technology and Research, Badnera, Amravati</t>
  </si>
  <si>
    <t>K&amp;J Projects Private Limited | Site Engineer | Amravati | Apr 2025 | Jun 2026 | 1 Years, 2 Months, 22 Days | 1.92</t>
  </si>
  <si>
    <t>P26700249</t>
  </si>
  <si>
    <t>Jaisa</t>
  </si>
  <si>
    <t>Saju</t>
  </si>
  <si>
    <t>Jaisa Saju</t>
  </si>
  <si>
    <t>jaisasaju@gmail.com</t>
  </si>
  <si>
    <t>P26700249@student.nicmar.ac.in</t>
  </si>
  <si>
    <t>27-Feb-2002</t>
  </si>
  <si>
    <t>Malayalam,English,Hindi</t>
  </si>
  <si>
    <t>Drawing,Painting ,Dancing</t>
  </si>
  <si>
    <t>Saju Kuriakose</t>
  </si>
  <si>
    <t>Retired Lab Instructor</t>
  </si>
  <si>
    <t>Jini Jacob M</t>
  </si>
  <si>
    <t>Kandanatt House, Poovathussery PO</t>
  </si>
  <si>
    <t>Kandanatt House, Koovappady PO</t>
  </si>
  <si>
    <t>St. Joseph's High School, Poovathussery</t>
  </si>
  <si>
    <t>St. Antony's HSS, Mala</t>
  </si>
  <si>
    <t>Board of Higher Secondary Examinations. Kerala</t>
  </si>
  <si>
    <t>Federal Institute of Science And Technology (FISAT), Angamaly, Kerala</t>
  </si>
  <si>
    <t>AutoCAD,Tekla Structures,MS Project ,MS Excel ,MS PowerPoint ,MS Word</t>
  </si>
  <si>
    <t>Aarbee Structures Pvt. Ltd.  | Trainee Detailing Engineer | Cochin, Kerala | Jul 2024 | Mar 2025 | 0 Years, 8 Months, 23 Days | 2.28
Adlux Medicity and Convention centre Pvt. Ltd. | Junior Civil Engineer | Angamaly, Kerala | Aug 2025 | Jun 2026 | 0 Years, 10 Months, 29 Days | 2.18</t>
  </si>
  <si>
    <t>Skyline Builders | Site Engineer | Cochin, Kerala | May 2023 | May 2023 | 1 Weeks | Campus Internship</t>
  </si>
  <si>
    <t>P26700250</t>
  </si>
  <si>
    <t>Devkumar</t>
  </si>
  <si>
    <t>Bhimshibhai</t>
  </si>
  <si>
    <t>Madam</t>
  </si>
  <si>
    <t>Devkumar Bhimshibhai Madam</t>
  </si>
  <si>
    <t>P26700250@student.nicmar.ac.in</t>
  </si>
  <si>
    <t>Hindi,English,Gujarati ,Marathi</t>
  </si>
  <si>
    <t>Music,Travelling,Fitness,Gaming,Technology,Reading,Fashion,Photography and Videography,Astronomy,Stargazing,Learning</t>
  </si>
  <si>
    <t>Madam Bhimshi Nathubhai</t>
  </si>
  <si>
    <t>Self-Employed</t>
  </si>
  <si>
    <t>Jayaben Bhimasibhai Madam</t>
  </si>
  <si>
    <t xml:space="preserve">2201, Tower No 2, Godrej Emerald, Ghodbunder Road, Thane West </t>
  </si>
  <si>
    <t>St. Aloysius High School</t>
  </si>
  <si>
    <t xml:space="preserve">Maharashtra State Board of Secondary and Higher Secondary Education </t>
  </si>
  <si>
    <t xml:space="preserve">St. Stanislaus Junior College </t>
  </si>
  <si>
    <t>A.P. Shah Institute of Technology, Thane, Maharashtra</t>
  </si>
  <si>
    <t>AutoCAD, MS Project ,Primavera P6,MS Office</t>
  </si>
  <si>
    <t xml:space="preserve">Living With Climate Change and Water Management </t>
  </si>
  <si>
    <t>P26700251</t>
  </si>
  <si>
    <t>Shardul</t>
  </si>
  <si>
    <t>Ravindranath</t>
  </si>
  <si>
    <t>Mudkanna</t>
  </si>
  <si>
    <t>Shardul Ravindranath Mudkanna</t>
  </si>
  <si>
    <t>imshrdul777@gmail.com</t>
  </si>
  <si>
    <t>P26700251@student.nicmar.ac.in</t>
  </si>
  <si>
    <t>Travelling,treking,exporing new places</t>
  </si>
  <si>
    <t xml:space="preserve">Private Sector </t>
  </si>
  <si>
    <t>Sujata</t>
  </si>
  <si>
    <t>Row House No-05, Near Sara Gaurav Society, Tuljapur</t>
  </si>
  <si>
    <t>Vidyamata Convent School</t>
  </si>
  <si>
    <t>Maharashtra State Board Of Secondary And Higher Secondary Education, Pune</t>
  </si>
  <si>
    <t>Government Polytechnic Dharashiv</t>
  </si>
  <si>
    <t>Sinhgad College Of Engineering, Pune</t>
  </si>
  <si>
    <t>JS Construction And Consulting Engineer | Industrial Trainee | Dharashiv | Jul 2022 | Aug 2022 | 5 Weeks
Rau And Associate | Civil Engineering Intern | Tuljapur | Dec 2024 | Jan 2025 | 4 Weeks</t>
  </si>
  <si>
    <t>P26700252</t>
  </si>
  <si>
    <t>HIRALKAR</t>
  </si>
  <si>
    <t>Shreyas Hiralkar</t>
  </si>
  <si>
    <t>P26700252@student.nicmar.ac.in</t>
  </si>
  <si>
    <t xml:space="preserve">HINDI ,ENGLISH,MARATHI </t>
  </si>
  <si>
    <t>TO EXPLORE NEW PLACES ,BIKE RIDING ,PLAY CULTURAL INSTRUMENTS</t>
  </si>
  <si>
    <t>SHRIKANT HIRALKAR</t>
  </si>
  <si>
    <t>HEMLATA HIRALKAR</t>
  </si>
  <si>
    <t>MAKAWATI GALLI , ARYA CHOWK , TULJAPUR</t>
  </si>
  <si>
    <t>PURANIKS ALDEA PHASE 4 , BANER</t>
  </si>
  <si>
    <t>VIDYAMATA HIGH SCHOOL</t>
  </si>
  <si>
    <t>SHRIPATHRAO BHOSALE HIGH SCHOOL</t>
  </si>
  <si>
    <t>AUTOCAD ,MS EXCEL</t>
  </si>
  <si>
    <t>P26700253</t>
  </si>
  <si>
    <t>Prashant</t>
  </si>
  <si>
    <t>Rokdu</t>
  </si>
  <si>
    <t>Kadam</t>
  </si>
  <si>
    <t>Prashant Rokdu Kadam</t>
  </si>
  <si>
    <t>P26700253@student.nicmar.ac.in</t>
  </si>
  <si>
    <t>Hindi,English, Marathi</t>
  </si>
  <si>
    <t>Music,Drawing</t>
  </si>
  <si>
    <t>2972 6277 9680</t>
  </si>
  <si>
    <t>Rokdu Kadam</t>
  </si>
  <si>
    <t>Designer</t>
  </si>
  <si>
    <t>Kanhopatra Kadam</t>
  </si>
  <si>
    <t>B-501,Shree Ganesh Padma,Ganesh Nagar,Dombivli West-421202</t>
  </si>
  <si>
    <t>Omkar International School</t>
  </si>
  <si>
    <t>ICSE Board, Maharashtra</t>
  </si>
  <si>
    <t>S.H. Jondhale polytechnic Dombivli West, Maharashtra</t>
  </si>
  <si>
    <t>New Horizon Institute Of technology and Management Thane,Maharashtra</t>
  </si>
  <si>
    <t>AutoCAD,MS Excel,Navisworks,MS Office</t>
  </si>
  <si>
    <t>Toyo engineering India Pvt.Ltd | Junior Engineer | Mumbai | Aug 2024 | Jun 2026 | 1 Years, 9 Months, 30 Days | 4.2</t>
  </si>
  <si>
    <t>P26700254</t>
  </si>
  <si>
    <t xml:space="preserve">SUSHEEL </t>
  </si>
  <si>
    <t>PAMULA</t>
  </si>
  <si>
    <t>Susheel  Kumar Pamula</t>
  </si>
  <si>
    <t>P26700254@student.nicmar.ac.in</t>
  </si>
  <si>
    <t>Learning New Construction Technologies,Playing Badminton,Listening to Music,Travelling &amp; Exploring New Places,Swimming,Playing Cricket, Watching Movies</t>
  </si>
  <si>
    <t>P SRINIVASULU</t>
  </si>
  <si>
    <t>JR. Assistant in S.V UNIVERSITY, TIRUPATI ,517501.</t>
  </si>
  <si>
    <t>P LATHA</t>
  </si>
  <si>
    <t xml:space="preserve">6-4-381/A GALI STRRET, TIRUPATI,517501. </t>
  </si>
  <si>
    <t>CHAITANYA H S VARADARAJA NAGAR TIRUPATI, CHITTOOR DISTRICT</t>
  </si>
  <si>
    <t>TIRUPATI/ANDRAPRADESH</t>
  </si>
  <si>
    <t>SRI CHAITANYA JR. COLLEGE, KHAZANA CAMPUS</t>
  </si>
  <si>
    <t>SRI VENKATESHWARA COLLEGE OF ENGINEERING</t>
  </si>
  <si>
    <t>AutoCAD,PRIMAVERA,MS OFFICE,REVIT</t>
  </si>
  <si>
    <t>WASI CONSTRUCTION LLP | Site Engineer | TIRUPATI | Apr 2024 | Nov 2025 | 1 Years, 7 Months, 29 Days | 3.48
Sobha Limited | Planning Engineer | SOBHA Magnus, Bannerghatta Rd, Kothnur, Classic Orchards Layout, Kalena Agrahara, Bengaluru, Karnataka 560076 | Dec 2025 | Jun 2026 | 0 Years, 5 Months, 10 Days | 3.3</t>
  </si>
  <si>
    <t>P26700255</t>
  </si>
  <si>
    <t xml:space="preserve">Shrushti </t>
  </si>
  <si>
    <t>Jagannath</t>
  </si>
  <si>
    <t>Jangamashetty</t>
  </si>
  <si>
    <t>Shrushti  Jagannath Jangamashetty</t>
  </si>
  <si>
    <t>shrushtijj@gmail.com</t>
  </si>
  <si>
    <t>P26700255@student.nicmar.ac.in</t>
  </si>
  <si>
    <t>09-Apr-2003</t>
  </si>
  <si>
    <t>Hindi,English ,Kannada</t>
  </si>
  <si>
    <t>Travelling,Music</t>
  </si>
  <si>
    <t>Jagannath Jangamashetty</t>
  </si>
  <si>
    <t>Retired Executive Engineer</t>
  </si>
  <si>
    <t>Suma Jangamashetty</t>
  </si>
  <si>
    <t xml:space="preserve"> Dodkatti oni Babaleshwar near basava Bhavan primary school  Babaleshwar </t>
  </si>
  <si>
    <t xml:space="preserve">Vijayapura </t>
  </si>
  <si>
    <t>KUMADVATHI RES.CEN SCHOOL SHIMOGA KARNATAKA</t>
  </si>
  <si>
    <t>CENTRAL BOARD OF SECONDARY EDUCATION SHIKARIPURA SHIMOGA/ KARANATAKA</t>
  </si>
  <si>
    <t xml:space="preserve">SMT VP HANCHINMANI PU COLLEGE </t>
  </si>
  <si>
    <t>KARANATAKA SCHOOL EXAMINATION AND ASSESSMENT BOARD DHARWAD/KARNATAKA</t>
  </si>
  <si>
    <t>VISVESVARAYA TECHNOLOGICAL UNIVERSITY (VTU), BELAGAVI, KARNATAKA</t>
  </si>
  <si>
    <t>S G BALEKUNDRI INDTITUTE OF TECHNOLOGY, BELGAUM</t>
  </si>
  <si>
    <t>AutoCAD,Revit,MS project</t>
  </si>
  <si>
    <t>P26700256</t>
  </si>
  <si>
    <t>Rhushabh</t>
  </si>
  <si>
    <t>Savlaram</t>
  </si>
  <si>
    <t>Salokhe</t>
  </si>
  <si>
    <t>Rhushabh Savlaram Salokhe</t>
  </si>
  <si>
    <t>P26700256@student.nicmar.ac.in</t>
  </si>
  <si>
    <t>16-May-2003</t>
  </si>
  <si>
    <t>Marathi , english</t>
  </si>
  <si>
    <t>Playing Cricket</t>
  </si>
  <si>
    <t>Suvarna</t>
  </si>
  <si>
    <t>Sawarkar chowk , hari om prestige aprtment , room no 101, panvel</t>
  </si>
  <si>
    <t>VK high school , panvel</t>
  </si>
  <si>
    <t>SSC Board of maharashtra</t>
  </si>
  <si>
    <t>VK Jr college , Panvel</t>
  </si>
  <si>
    <t>HSC board of maharashtra</t>
  </si>
  <si>
    <t>Pillai HOC College of Engineering and Technology, Rasayani.</t>
  </si>
  <si>
    <t>Autocad,ms office</t>
  </si>
  <si>
    <t>Ss patil and sons  | Site Engineer ,  | Navi Mumbai | Jun 2024 | Jan 2026 | 1 Years, 7 Months, 26 Days | 1.8
PDIPL | Jr engineer | Navi Mumbai | Mar 2026 | Jun 2026 | 0 Years, 3 Months, 25 Days | 2.04</t>
  </si>
  <si>
    <t>P26700257</t>
  </si>
  <si>
    <t>Anushka</t>
  </si>
  <si>
    <t>Chandrashekhar</t>
  </si>
  <si>
    <t>Pimpale</t>
  </si>
  <si>
    <t>Anushka Chandrashekhar Pimpale</t>
  </si>
  <si>
    <t>P26700257@student.nicmar.ac.in</t>
  </si>
  <si>
    <t>16-Aug-2002</t>
  </si>
  <si>
    <t>marathi,hindi,english</t>
  </si>
  <si>
    <t>singing,music listning,sketching,art and craft,designing,cooking</t>
  </si>
  <si>
    <t>Chandrashekhar Pimpale</t>
  </si>
  <si>
    <t>Amala Pimpale</t>
  </si>
  <si>
    <t>Flat no.302, plot no. 11,Ishwar Apartment, near Khwajamiya Dargah&lt; behind Unity Chambers, Jalgaon</t>
  </si>
  <si>
    <t>P. N. Lunkad girls high school, Jalgaon, Maharashtra</t>
  </si>
  <si>
    <t>Secondary school certificate (SSC) Maharashtra</t>
  </si>
  <si>
    <t>K.C.E. Society' Swami Vivekanand Junior College, Jalgaon, Maharashtra</t>
  </si>
  <si>
    <t>Dr. Baliram Hiray College of Architecture</t>
  </si>
  <si>
    <t>Autocad,Sketchup,Lumion,Photoshop,MS Office</t>
  </si>
  <si>
    <t>ADND studio  | Jr. Architect | Mumbai | Jul 2025 | Apr 2026 | 0 Years, 9 Months, 16 Days</t>
  </si>
  <si>
    <t>RA+ID architecture studio, Mumbai | Intern Architrect | Mumbai  | Dec 2023 | Apr 2024 | 20 Weeks | Campus Internship</t>
  </si>
  <si>
    <t>P26700258</t>
  </si>
  <si>
    <t>Shruti</t>
  </si>
  <si>
    <t>Shruti Shrikant Kulkarni</t>
  </si>
  <si>
    <t>P26700258@student.nicmar.ac.in</t>
  </si>
  <si>
    <t>21-Jul-2002</t>
  </si>
  <si>
    <t>Designing,Sketching,Painting,Travlling</t>
  </si>
  <si>
    <t>Na</t>
  </si>
  <si>
    <t xml:space="preserve">Shraddha </t>
  </si>
  <si>
    <t>PLOT NO. 25 GANESH WADI, JALGAON</t>
  </si>
  <si>
    <t>B.G.S.V Jalgaon</t>
  </si>
  <si>
    <t>Jalgaon, Maharashtra</t>
  </si>
  <si>
    <t>Chhatrapati Shivaji Junior Science College, Jalgaon</t>
  </si>
  <si>
    <t xml:space="preserve">University of Mumbai </t>
  </si>
  <si>
    <t>Dr. Bliram Hiray College Of Architecture, Mumbai</t>
  </si>
  <si>
    <t>Autocad ,Skeptchup,Lumion,MSoffice,Enscape</t>
  </si>
  <si>
    <t>PRC Architects | Junior Architect | Mumbai | Aug 2025 | Apr 2026 | 0 Years, 8 Months, 7 Days</t>
  </si>
  <si>
    <t>rajadhyax Architects | intern architect | mumbai | Dec 2023 | Mar 2024 | 14 Weeks | Campus Internship</t>
  </si>
  <si>
    <t>P26700259</t>
  </si>
  <si>
    <t>Rai</t>
  </si>
  <si>
    <t>Harsh Rai</t>
  </si>
  <si>
    <t>P26700259@student.nicmar.ac.in</t>
  </si>
  <si>
    <t>27-May-2000</t>
  </si>
  <si>
    <t>Trekking,Photography,Sudoku Puzzles,Reading</t>
  </si>
  <si>
    <t>Chandrika Rai</t>
  </si>
  <si>
    <t>Retired(Govt.Employee)</t>
  </si>
  <si>
    <t>Saroj Rai</t>
  </si>
  <si>
    <t>B - 632 , Sector 12 , Nigahi Colony NCL</t>
  </si>
  <si>
    <t>Singrauli</t>
  </si>
  <si>
    <t>ST JOSEPH'S SCHOOL SHAKTINAGAR</t>
  </si>
  <si>
    <t>CBSE - SONEBHADRA UTTAR PRADESH</t>
  </si>
  <si>
    <t>DELHI PUBLIC SCHOOL NIGAHI</t>
  </si>
  <si>
    <t>CBSE - SINGRULI/MADHYA PRADESH</t>
  </si>
  <si>
    <t>UNIVERSITY INSTITUTE OF ENGINEERING GHARUAN , SAS NAGAR , PUNJAB</t>
  </si>
  <si>
    <t>AUTOCAD 2D , BIM REVIT ,ADVANCED EXCEL,MS PROJECT</t>
  </si>
  <si>
    <t>Tulasi Construction (JV) | SITE ENGINEER | Singrauli | Oct 2023 | Jan 2026 | 2 Years, 2 Months, 23 Days | 1.08</t>
  </si>
  <si>
    <t>P26700260</t>
  </si>
  <si>
    <t>Arjun</t>
  </si>
  <si>
    <t>Arvind</t>
  </si>
  <si>
    <t>Prasadsingh</t>
  </si>
  <si>
    <t>Arjun Arvind Prasadsingh</t>
  </si>
  <si>
    <t>P26700260@student.nicmar.ac.in</t>
  </si>
  <si>
    <t>26-Mar-2003</t>
  </si>
  <si>
    <t>English,Marathi,Hindi,Maithili</t>
  </si>
  <si>
    <t>Gym</t>
  </si>
  <si>
    <t>Arvind Prasadsingh</t>
  </si>
  <si>
    <t>Site Supervisor</t>
  </si>
  <si>
    <t>Sharmila Singh</t>
  </si>
  <si>
    <t>Houce No. 902, Alandi Markal Road, Alandi Rural, Fornt Of State Bank</t>
  </si>
  <si>
    <t>Pune/Maharashtra</t>
  </si>
  <si>
    <t>Dr. D. Y. Patil Institute of Technology</t>
  </si>
  <si>
    <t>MIT World Peace University</t>
  </si>
  <si>
    <t>MS Project,primavera p6,Etabs,Staad Pro,AutoCad,Excel</t>
  </si>
  <si>
    <t>Afcons Infrastructure Limited | Engineer | Jamnager | Jul 2024 | Jul 2026 | 2 Years, 0 Months, 12 Days | 5.10</t>
  </si>
  <si>
    <t>Intento associates | Trainee Engineer | Mumbai | Jan 2024 | Jun 2024 | 25 Weeks | Campus Internship</t>
  </si>
  <si>
    <t>AutoCAD
Etabs
Staad Pro
RACE
Arduino</t>
  </si>
  <si>
    <t>P26700261</t>
  </si>
  <si>
    <t>Shaik</t>
  </si>
  <si>
    <t>Shaheen</t>
  </si>
  <si>
    <t>Shaik Shaheen</t>
  </si>
  <si>
    <t>shaikshaheen741@gmail.com</t>
  </si>
  <si>
    <t>P26700261@student.nicmar.ac.in</t>
  </si>
  <si>
    <t>07-Jun-2002</t>
  </si>
  <si>
    <t>Urdu,Hindi,Telugu,English</t>
  </si>
  <si>
    <t>Badminton,Reflection Writing,Cooking</t>
  </si>
  <si>
    <t>Shaik Vali</t>
  </si>
  <si>
    <t>Shaik Tasleem</t>
  </si>
  <si>
    <t>1-3-120, Kisan Nagar, Lane opposite to Registration Office,Bhongir,Nalgonda,508116</t>
  </si>
  <si>
    <t>Yadadri Bhuvanagiri</t>
  </si>
  <si>
    <t>VAISHNAVI HIGH SCHOOL</t>
  </si>
  <si>
    <t>SECONDARY SCHOOL CERTIFICATE HYDERABAD/TELANGANA</t>
  </si>
  <si>
    <t>JAWAHARLAL NEHRU GOVERNMENT POLYTECHNIC HYDERABAD/TELANGANA</t>
  </si>
  <si>
    <t>JAWAHARLAL NEHRU TECHNOLOGICAL UNIVERSITY HYDERABAD /TELANGANA</t>
  </si>
  <si>
    <t>AUTOCAD,PRIMAVERA,QUANTITY ESTIMATION,MS PROJECT,BASICS OF STAADPRO</t>
  </si>
  <si>
    <t xml:space="preserve">ADITI SOLAR COMPANY | QS ENGINEER | HYDERABAD | Jan 2026 | Jun 2026 | 0 Years, 5 Months, 24 Days | 3 </t>
  </si>
  <si>
    <t>GREATER HYDERABAD MUNICIPAL CORPORATION (GHMC) | INTERN | HYDERABAD | Jun 2020 | Dec 2026 | 339 Weeks | Campus Internship
STANDARD INFRA TECH INDIA PRIVATE LIMITED | INTERN | HYDERABAD | Mar 2026 | May 2026 | 13 Weeks | Campus Internship</t>
  </si>
  <si>
    <t>P26700262</t>
  </si>
  <si>
    <t>Yathapu Prem Kumar</t>
  </si>
  <si>
    <t>Reddy</t>
  </si>
  <si>
    <t>Yathapu Prem Kumar Reddy</t>
  </si>
  <si>
    <t>P26700262@student.nicmar.ac.in</t>
  </si>
  <si>
    <t>27-Jun-2004</t>
  </si>
  <si>
    <t>Telugu,Hindi,English,Tamil</t>
  </si>
  <si>
    <t>Music,Travelling</t>
  </si>
  <si>
    <t>Yathapu Bala Praneswara Reddy</t>
  </si>
  <si>
    <t>Yathapu Bandhavi</t>
  </si>
  <si>
    <t>26-2-826,8th Street, Jyothi Nagar, Vedayapalem, Nellore</t>
  </si>
  <si>
    <t>DR. KISHORES RATNAM (EM) H S, DARGAMITTA NLR,NELLORE DISTRICT</t>
  </si>
  <si>
    <t>Board of Secondary Education Andhra Pradesh, India</t>
  </si>
  <si>
    <t>Sri Chaitanya Junior College</t>
  </si>
  <si>
    <t>Board of Intermediate Education Andhra Pradesh, India</t>
  </si>
  <si>
    <t>Autocad,SketchUp,Revit,C Language,ETabs</t>
  </si>
  <si>
    <t>Studio Opinions | Intern | Nellore | Nov 2025 | Jun 2026 | 33 Weeks
L &amp; T EduTech | Intern | Chennai | Jun 2024 | Jul 2024 | 1 Weeks</t>
  </si>
  <si>
    <t>Safety for Professionals
Precast Members - Systems and Construction
Concreting Techniques and Practices
Building Information Modeling
Bridge Engineering Design Practices
Design of Structural Steel Members</t>
  </si>
  <si>
    <t>P26700263</t>
  </si>
  <si>
    <t>Apoorva</t>
  </si>
  <si>
    <t>G M</t>
  </si>
  <si>
    <t>Apoorva G M</t>
  </si>
  <si>
    <t>P26700263@student.nicmar.ac.in</t>
  </si>
  <si>
    <t>28-Aug-2001</t>
  </si>
  <si>
    <t>English, Hindi,kannada</t>
  </si>
  <si>
    <t xml:space="preserve">Music,Reading, Trekking </t>
  </si>
  <si>
    <t xml:space="preserve">Manjunath G S </t>
  </si>
  <si>
    <t xml:space="preserve">Subhashini S </t>
  </si>
  <si>
    <t xml:space="preserve">71,SR street,Bazar post office, Gundlupete </t>
  </si>
  <si>
    <t>Chamarajanagar</t>
  </si>
  <si>
    <t>Sadvidya High School</t>
  </si>
  <si>
    <t>Sadvidya Composite PU College</t>
  </si>
  <si>
    <t>Maharaja Institute of Technology Mysore</t>
  </si>
  <si>
    <t>AutoCAD,Sketchup,Revit</t>
  </si>
  <si>
    <t>Ghavi projects private limited  | Junior engineer  | Mysuru | Aug 2023 | Feb 2025 | 1 Years, 6 Months, 3 Days | 1.2
Eco world  | Project Manager  | Bengaluru  | Feb 2025 | Nov 2025 | 0 Years, 8 Months, 22 Days | 3.6
SABARI GROUP  | Planning and QS | Bengaluru | Nov 2025 | Jun 2026 | 0 Years, 7 Months, 5 Days | 4.2</t>
  </si>
  <si>
    <t>P26700264</t>
  </si>
  <si>
    <t>P26700264@student.nicmar.ac.in</t>
  </si>
  <si>
    <t>P26700265</t>
  </si>
  <si>
    <t>Puneeth</t>
  </si>
  <si>
    <t>N S</t>
  </si>
  <si>
    <t>Puneeth N S</t>
  </si>
  <si>
    <t>P26700265@student.nicmar.ac.in</t>
  </si>
  <si>
    <t>26-Mar-2005</t>
  </si>
  <si>
    <t xml:space="preserve">Kannada,English,Hindi </t>
  </si>
  <si>
    <t>Cricket ,Photography,Videography,Video Editing,Travelling,Singing,Yoga,Video Games,Watching Movies</t>
  </si>
  <si>
    <t>Siddaraju N S</t>
  </si>
  <si>
    <t>Anasuya</t>
  </si>
  <si>
    <t>620/3, 3rd Cross, Vittal Block, Old Kesare</t>
  </si>
  <si>
    <t>Nicmar Hostel</t>
  </si>
  <si>
    <t>St. Joseph's High School, Rajivnagar</t>
  </si>
  <si>
    <t>KSEEB, Karnataka</t>
  </si>
  <si>
    <t>Sri Adichunchanagiri PU College</t>
  </si>
  <si>
    <t>DPUE, Karnataka</t>
  </si>
  <si>
    <t>National Institute of Engineering, Mysuru</t>
  </si>
  <si>
    <t>STAAD.Pro,Civil3D,Revit,Primavera,Sketch Up,MS Project,MS Office,AutoCAD</t>
  </si>
  <si>
    <t>Total Environment Building Systems Pvt Ltd | Intern | Bengaluru | Jan 2026 | Apr 2026 | 12 Weeks | Campus Internship</t>
  </si>
  <si>
    <t>Teamwork Skills: Communicating Effectively in Groups
Foundations of Project Management
Entrepreneurship Strategy: From Ideation to Exit
Construction Management Project Delivery Methods &amp; Contracts
Construction Cost Estimating and Cost Control</t>
  </si>
  <si>
    <t>P26700266</t>
  </si>
  <si>
    <t>DIGVIJAY</t>
  </si>
  <si>
    <t>SUBHEDAR</t>
  </si>
  <si>
    <t>Digvijay Dhanaji Subhedar</t>
  </si>
  <si>
    <t>P26700266@student.nicmar.ac.in</t>
  </si>
  <si>
    <t>28-Mar-2001</t>
  </si>
  <si>
    <t>Motocycling,Singing and Listening Music,Jungle safari</t>
  </si>
  <si>
    <t>DHANAJI VISHRAM SUBHEDAR</t>
  </si>
  <si>
    <t>Shopkeeper</t>
  </si>
  <si>
    <t>DHANASHREE DHANAJI SUBHEDAR</t>
  </si>
  <si>
    <t>At/Post :Kadgaon, Bardeskar Galli, Taluka: Bhudargad</t>
  </si>
  <si>
    <t>At/Post :Kadgaon, Bardeskar Galli</t>
  </si>
  <si>
    <t>ST FRANCIS DESALES HIGH SCHOOL, TIRWADE</t>
  </si>
  <si>
    <t>VIDHYAVARDINI INSTITUTE OF ENGINEERING AND TECHNOLOGY,PAL(GARGOTI),KOLHAPUR</t>
  </si>
  <si>
    <t>G H RAISONI INSTITUTE OF ENGINEERING AND TECHNOLOGY,WAGHOLI (PUNE)</t>
  </si>
  <si>
    <t>TEKLA STRUCTURES</t>
  </si>
  <si>
    <t>ULTRATECH CEMENT | TECHNICAL EXECUTIVE   | PUNE | Nov 2022 | Jul 2024 | 1 Years, 8 Months, 26 Days | 2.94
J K CEMENT  | SITE EXECUTIVE | PUNE | Aug 2024 | Dec 2025 | 1 Years, 4 Months, 3 Days | 5.25</t>
  </si>
  <si>
    <t>P26700267</t>
  </si>
  <si>
    <t>Abhijeet</t>
  </si>
  <si>
    <t>Athawale</t>
  </si>
  <si>
    <t>Abhijeet Gajanan Athawale</t>
  </si>
  <si>
    <t>P26700267@student.nicmar.ac.in</t>
  </si>
  <si>
    <t>18-Oct-2003</t>
  </si>
  <si>
    <t>Cooking,music</t>
  </si>
  <si>
    <t>Gajanan Athawale</t>
  </si>
  <si>
    <t>Retired Govt. Servent</t>
  </si>
  <si>
    <t>Archana Athawale</t>
  </si>
  <si>
    <t xml:space="preserve">Nirvaan, Meherbaba Colony </t>
  </si>
  <si>
    <t>Planet millenium Society, Pimple saudagar</t>
  </si>
  <si>
    <t>Golden Kids English High School Amravati</t>
  </si>
  <si>
    <t>Maharashtra state board, Amravati</t>
  </si>
  <si>
    <t>Vidhyabharathi Mahavidyalay Amravati</t>
  </si>
  <si>
    <t>Maharashtra State Board, Amaravati</t>
  </si>
  <si>
    <t>MIT Academy Of Engineering</t>
  </si>
  <si>
    <t>AUTOCAD,REVIT,MSOFFICE,ETABS,WATERGEMS,CANVA,POWERPOINT</t>
  </si>
  <si>
    <t>P26700269</t>
  </si>
  <si>
    <t>Joel</t>
  </si>
  <si>
    <t>Jose</t>
  </si>
  <si>
    <t>Joel Jose J S</t>
  </si>
  <si>
    <t>P26700269@student.nicmar.ac.in</t>
  </si>
  <si>
    <t>20-Oct-2004</t>
  </si>
  <si>
    <t>English,tamil,Malayalam</t>
  </si>
  <si>
    <t>Cricket,Driving,Cooking,Music</t>
  </si>
  <si>
    <t>Jose. P</t>
  </si>
  <si>
    <t>Sunitha. K</t>
  </si>
  <si>
    <t>No.38 binny nagar main road madhavaram chennai-51</t>
  </si>
  <si>
    <t>Everwin matriculation higher secondary school</t>
  </si>
  <si>
    <t>State Board Of School Examinations Tamilnadu</t>
  </si>
  <si>
    <t>R.M.K. ENGINEERING COLLEGE Chennai</t>
  </si>
  <si>
    <t>Revit Architecture</t>
  </si>
  <si>
    <t>P26700270</t>
  </si>
  <si>
    <t>Sundar</t>
  </si>
  <si>
    <t>NV</t>
  </si>
  <si>
    <t>Vishal Sundar Nv</t>
  </si>
  <si>
    <t>P26700270@student.nicmar.ac.in</t>
  </si>
  <si>
    <t>30-Jun-2004</t>
  </si>
  <si>
    <t>English Tamil Telugu hindi</t>
  </si>
  <si>
    <t>Sports and trekking</t>
  </si>
  <si>
    <t>CK natraj</t>
  </si>
  <si>
    <t xml:space="preserve">Buisness </t>
  </si>
  <si>
    <t xml:space="preserve">Vidhya </t>
  </si>
  <si>
    <t>3/88-8,kmg nagar Mohanur Road,Namakkal,Tamil Nadu,637001</t>
  </si>
  <si>
    <t>Dr Kkr Happy valley international school</t>
  </si>
  <si>
    <t>Andra Prades</t>
  </si>
  <si>
    <t>Dr kkr happy valley international school</t>
  </si>
  <si>
    <t xml:space="preserve">Andra Pradesh </t>
  </si>
  <si>
    <t xml:space="preserve">Vellore institute of technology </t>
  </si>
  <si>
    <t xml:space="preserve">Vellore institute of technology, vellore, Tamil Nadu </t>
  </si>
  <si>
    <t>Autocad,Revit,Etabs</t>
  </si>
  <si>
    <t>P26700271</t>
  </si>
  <si>
    <t>BIBIN</t>
  </si>
  <si>
    <t>Bibin Thomas</t>
  </si>
  <si>
    <t>P26700271@student.nicmar.ac.in</t>
  </si>
  <si>
    <t>29-Sep-2004</t>
  </si>
  <si>
    <t>Music,Offroading,Driving,Traveling</t>
  </si>
  <si>
    <t>PLANTER</t>
  </si>
  <si>
    <t>RANI THOMAS</t>
  </si>
  <si>
    <t>MANALIYIL(H),PULIYANMALA.P.O,
KATTAPPANA</t>
  </si>
  <si>
    <t>CARMEL CMI PUBLIC SCHOOL</t>
  </si>
  <si>
    <t>CBSE,IDUKKI,KERALA</t>
  </si>
  <si>
    <t xml:space="preserve">CARMEL CMI PUBLIC SCHOOL </t>
  </si>
  <si>
    <t>Thangal Kunju Musaliar College of Engineering,KOLLAM,KERALA</t>
  </si>
  <si>
    <t>AutoCAD,Revit,MS office,Staad pro</t>
  </si>
  <si>
    <t>LID AND EW SECTION | INTERN | THIRUVANANTHAPURAM | May 2023 | May 2023 | 0 Weeks | Campus Internship</t>
  </si>
  <si>
    <t>MIX DESIGN
WORKSHOP ON CRYPTOCURRENCY AND BLOCKCHAIN
NPTEL ON STRESS MANAGEMENT
WORKSOP ON WATERPROOFING AND TILING
WORKSHOP ON AUTOCAD
REVIT ARCHITECTURE</t>
  </si>
  <si>
    <t>P26700272</t>
  </si>
  <si>
    <t>Shlok</t>
  </si>
  <si>
    <t>Navinchandra</t>
  </si>
  <si>
    <t>Kotian</t>
  </si>
  <si>
    <t>Shlok Navinchandra Kotian</t>
  </si>
  <si>
    <t>P26700272@student.nicmar.ac.in</t>
  </si>
  <si>
    <t>26-Dec-2004</t>
  </si>
  <si>
    <t>Football,Running,Gym,Music</t>
  </si>
  <si>
    <t>Navinchandra Kotian</t>
  </si>
  <si>
    <t>Harsha Kotian</t>
  </si>
  <si>
    <t>IT Proffessional</t>
  </si>
  <si>
    <t>A/602 Brahma niwas
Mhada colony
Mulund East Mumbai</t>
  </si>
  <si>
    <t>New Horizon Public School</t>
  </si>
  <si>
    <t>KJ Somaiya Polytechnic, VidyaVihar</t>
  </si>
  <si>
    <t>Sardar Patel College Of Engineering</t>
  </si>
  <si>
    <t>Sardar Patel College Of Engineering, Andheri</t>
  </si>
  <si>
    <t>AutoCAD,MS Office,ms project,e tabs,rev</t>
  </si>
  <si>
    <t>P26700273</t>
  </si>
  <si>
    <t>Akshata</t>
  </si>
  <si>
    <t>Dipak</t>
  </si>
  <si>
    <t>Akshata Dipak Kadam</t>
  </si>
  <si>
    <t>akshatakadam547@gmail.com</t>
  </si>
  <si>
    <t>P26700273@student.nicmar.ac.in</t>
  </si>
  <si>
    <t>06-Mar-2001</t>
  </si>
  <si>
    <t>Reading about Astronomy,badminton,sketching</t>
  </si>
  <si>
    <t>Dipak Bhaguji Kadam</t>
  </si>
  <si>
    <t>Small scale business</t>
  </si>
  <si>
    <t>Kanchan Dipak Kadam</t>
  </si>
  <si>
    <t>Krushn Kunj, Yawat, Tal - Daund, Pune</t>
  </si>
  <si>
    <t>New English School, Khamgaon</t>
  </si>
  <si>
    <t>HHCP Huzurpaga, Pune</t>
  </si>
  <si>
    <t>Dr. Bhanuben Nanavati College of Architecture</t>
  </si>
  <si>
    <t>AutoCAD, Sketchup, Lumion, Photoshop,excel,Powerpoint</t>
  </si>
  <si>
    <t>Design by TA | Jr. Architect | Hirabaug chowk, Subhashnagar, Shukrawar Peth, Pune - 411002 | Nov 2023 | Oct 2024 | 0 Years, 11 Months, 30 Days
Associated Space Designers | Jr. Architect | Magarpatta, Hadapsar, Pune - 411013 | Feb 2025 | Jun 2026 | 1 Years, 4 Months, 5 Days</t>
  </si>
  <si>
    <t>P26700274</t>
  </si>
  <si>
    <t>Divyanshu</t>
  </si>
  <si>
    <t>Kamboj</t>
  </si>
  <si>
    <t>Divyanshu Kamboj</t>
  </si>
  <si>
    <t>P26700274@student.nicmar.ac.in</t>
  </si>
  <si>
    <t>06-Jan-2001</t>
  </si>
  <si>
    <t xml:space="preserve">hindi,English ,punjabi </t>
  </si>
  <si>
    <t xml:space="preserve">reading,music ,gardening </t>
  </si>
  <si>
    <t>Jagdeep Kumar</t>
  </si>
  <si>
    <t>Geetanjali</t>
  </si>
  <si>
    <t>darbi,Sirsa,Haryana</t>
  </si>
  <si>
    <t>Sirsa</t>
  </si>
  <si>
    <t>Sawan Public School , Sirsa</t>
  </si>
  <si>
    <t>sawan public school, sirsa</t>
  </si>
  <si>
    <t>chandigarh university</t>
  </si>
  <si>
    <t>university institute of engineering</t>
  </si>
  <si>
    <t>autocad,revit,stadpro</t>
  </si>
  <si>
    <t>P26700275</t>
  </si>
  <si>
    <t xml:space="preserve">Sakshi </t>
  </si>
  <si>
    <t>Wanjari</t>
  </si>
  <si>
    <t>Sakshi  Sunil Wanjari</t>
  </si>
  <si>
    <t>P26700275@student.nicmar.ac.in</t>
  </si>
  <si>
    <t xml:space="preserve">Marathi, Hindi  ,English </t>
  </si>
  <si>
    <t>Travelling,Art,Music</t>
  </si>
  <si>
    <t>Sunil Tulshiram Wanjari</t>
  </si>
  <si>
    <t xml:space="preserve">Retired Government Officer </t>
  </si>
  <si>
    <t>Archana Sunil Wanjari</t>
  </si>
  <si>
    <t>C/o Sunil T. Wanjari, Maloo-Talda Layout, Beside Govinda Sky, Near Mungsaji Mangalkaryalaya</t>
  </si>
  <si>
    <t xml:space="preserve">St. Francis High School </t>
  </si>
  <si>
    <t>Amravati, Maharashtra</t>
  </si>
  <si>
    <t xml:space="preserve">Vidya Bharti Mahavidyalaya, </t>
  </si>
  <si>
    <t>Prof.Ram Meghe Institute of Technology &amp; Research</t>
  </si>
  <si>
    <t>AutoCAD ,MS Office,MS Projects</t>
  </si>
  <si>
    <t>P26700276</t>
  </si>
  <si>
    <t>Kamtam</t>
  </si>
  <si>
    <t>Akshith</t>
  </si>
  <si>
    <t>Kamtam Akshith</t>
  </si>
  <si>
    <t>P26700276@student.nicmar.ac.in</t>
  </si>
  <si>
    <t>02-Feb-2004</t>
  </si>
  <si>
    <t>HINDI,ENGLISH,TELUGU</t>
  </si>
  <si>
    <t>Football,Anime,Photoshop,Music,Movies</t>
  </si>
  <si>
    <t>5069 1960 5270</t>
  </si>
  <si>
    <t>Kamtam Narender</t>
  </si>
  <si>
    <t>Kamtam Latha</t>
  </si>
  <si>
    <t>Keshav anagar, Champapet, Karmanghat, Vaishali nagar K.V. Rangareddy, Telangana .500079</t>
  </si>
  <si>
    <t>Telangana Board of Secondary Education</t>
  </si>
  <si>
    <t>Sri Chaitanya Junior Kalasala</t>
  </si>
  <si>
    <t>Jawaharlal Nehru Architecture and Fine Arts University</t>
  </si>
  <si>
    <t xml:space="preserve"> Sri Venkateswara College of Architecture</t>
  </si>
  <si>
    <t>AutoCAD ,Photoshop ,Sketch up ,Revit ,Rhino ,Grasshopper</t>
  </si>
  <si>
    <t>P26700277</t>
  </si>
  <si>
    <t>Bherde</t>
  </si>
  <si>
    <t>Mahendra</t>
  </si>
  <si>
    <t>Damodar</t>
  </si>
  <si>
    <t>Bherde Mahendra Damodar</t>
  </si>
  <si>
    <t>P26700277@student.nicmar.ac.in</t>
  </si>
  <si>
    <t>Marathi,hi,English</t>
  </si>
  <si>
    <t>Reading, Music ,Chess,Spitituality,Magic,planning</t>
  </si>
  <si>
    <t>Damodar Bherde</t>
  </si>
  <si>
    <t>Gurunauli,Madhuban Society Lane no.6,old sangvi ,Pune.</t>
  </si>
  <si>
    <t>Manibai Gujrati High School ,Amravati, Maharshtra</t>
  </si>
  <si>
    <t>Maharashtra Board</t>
  </si>
  <si>
    <t>Vidyabharati Mahavidyalaya ,amravati,Maharashtra</t>
  </si>
  <si>
    <t>College Of Engineering Pune</t>
  </si>
  <si>
    <t>AutoCAD,MS Excel,ms powerpoint</t>
  </si>
  <si>
    <t>P26700278</t>
  </si>
  <si>
    <t>Yash</t>
  </si>
  <si>
    <t>Yash Vilas Patil</t>
  </si>
  <si>
    <t>P26700278@student.nicmar.ac.in</t>
  </si>
  <si>
    <t>27-May-2002</t>
  </si>
  <si>
    <t>Trekking,cricket,traveling ,motorcycling</t>
  </si>
  <si>
    <t>Vilas Patil</t>
  </si>
  <si>
    <t>Manager at sugar factory</t>
  </si>
  <si>
    <t>Neeta Patil</t>
  </si>
  <si>
    <t xml:space="preserve">9/68/10,shikshak colony, amrai road, Ichalkaranji </t>
  </si>
  <si>
    <t>TATYASAHEB MUSALE HIGH SCHOOL AND JUNIOR COLLEGE,ICHALAKARANJI</t>
  </si>
  <si>
    <t>MAHARASTRA STATE OF SECONDARY AND HIGHER SECONDARY EDUCATION ,PUNE</t>
  </si>
  <si>
    <t>GOVINDRAO HIGH SCHOOL &amp; JUNIOR COLLEGE,ICHALKARANJI</t>
  </si>
  <si>
    <t>STAADPRO,AUTOCAD,NAVISWORK,MAT3D</t>
  </si>
  <si>
    <t>EVIGHET ENGINEERING LLP | JUNIOR STRUCTURAL ENGINEER | HINJAWADI PHASE 1, PUNE | Oct 2024 | May 2026 | 1 Years, 7 Months, 2 Days | 2.16</t>
  </si>
  <si>
    <t>P26700279</t>
  </si>
  <si>
    <t>KURUVA TUMBALAM</t>
  </si>
  <si>
    <t>RAGHAVENDRA</t>
  </si>
  <si>
    <t>Kuruva Tumbalam Raghavendra</t>
  </si>
  <si>
    <t>P26700279@student.nicmar.ac.in</t>
  </si>
  <si>
    <t>TELUGU,ENGLISH ,HINDI,KANNADA</t>
  </si>
  <si>
    <t>Chess, Cricket, Listening to music</t>
  </si>
  <si>
    <t>K T VENKATESWARULU</t>
  </si>
  <si>
    <t>K T PADMAVATHI</t>
  </si>
  <si>
    <t>2/229, K.THIMMAPURAM (V), YEMMIGANUR(M), KURNOOL (D), ANDHRA PRADESH -518360</t>
  </si>
  <si>
    <t>Kurnool</t>
  </si>
  <si>
    <t>EAST WEST INSTITUTE OF POLYTECHNIC</t>
  </si>
  <si>
    <t>JAWAHARALAL NEHRU TECHNOLOGICAL UNIVERSITY, KAKINADA</t>
  </si>
  <si>
    <t>VELAGAPUDI RAMAKRISHNA SIDDHARTHA ENGINEERING COLLEGE</t>
  </si>
  <si>
    <t>AutoCAD,MS Project,Excel,STAAD Pro</t>
  </si>
  <si>
    <t>KALAPATARU PROJECTS INTERNATIONAL LIMITED | ENGINEER | HYDERABAD | Jul 2024 | Jun 2026 | 1 Years, 11 Months, 22 Days | 5.02</t>
  </si>
  <si>
    <t>SLV BUILDERS AND DEVELOPERS PVT.LTD | INTERN | VIJAYAYAWADA | May 2023 | Jun 2023 | 3 Weeks | Campus Internship
GAMBREL ENGINEERS LLP | INTERN | VIJAYAWADA | Sep 2023 | Sep 2023 | 4 Weeks | Campus Internship
STRUCTREE ENGINEERING PVT LTD | TRAINEE | HYDERABAD | Dec 2023 | Apr 2024 | 16 Weeks | Campus Internship</t>
  </si>
  <si>
    <t>P26700280</t>
  </si>
  <si>
    <t>Aryan</t>
  </si>
  <si>
    <t>Dhananjay</t>
  </si>
  <si>
    <t>Chawada</t>
  </si>
  <si>
    <t>Aryan Dhananjay Chawada</t>
  </si>
  <si>
    <t>P26700280@student.nicmar.ac.in</t>
  </si>
  <si>
    <t>Reading,Writting,Listen to Music</t>
  </si>
  <si>
    <t>Dhananjay Chawada</t>
  </si>
  <si>
    <t>Asha Chawada</t>
  </si>
  <si>
    <t>Ghar N/m 2270 Sonar Galli near Merchant Bank Shirpur</t>
  </si>
  <si>
    <t>R.C.Patel English Med. Sec. School, Shirpur</t>
  </si>
  <si>
    <t>Fergusson College, Pune</t>
  </si>
  <si>
    <t>AISSMS College of Engineering, Pune</t>
  </si>
  <si>
    <t>MS Office, AutoCAD,MS Project</t>
  </si>
  <si>
    <t>Chalet-Tech Interior Design Solutions | Site Engineer | Keshavnagar, Mundhwa | Jun 2025 | Nov 2025 | 0 Years, 5 Months, 14 Days | 2.4
Shellspace Design Studio | Estimation Engineer | Baner, Pune | Dec 2025 | Jun 2026 | 0 Years, 6 Months, 21 Days | 2.4</t>
  </si>
  <si>
    <t>P26700281</t>
  </si>
  <si>
    <t>Anurag</t>
  </si>
  <si>
    <t>Dubey</t>
  </si>
  <si>
    <t>Anurag Dubey</t>
  </si>
  <si>
    <t>P26700281@student.nicmar.ac.in</t>
  </si>
  <si>
    <t>28-Jan-1999</t>
  </si>
  <si>
    <t>Playing cricket,Singing,Listening to music</t>
  </si>
  <si>
    <t>Santosh Kumar Dubey</t>
  </si>
  <si>
    <t>Chandra Kala</t>
  </si>
  <si>
    <t>Sansarapur  Chaksundarpur Gyanpur Bhadohi</t>
  </si>
  <si>
    <t>Bhadohi</t>
  </si>
  <si>
    <t>M S D D I C DAVANPUR JANGIGANJ BHADOHI</t>
  </si>
  <si>
    <t>Uttar Pradesh Madhyamik Shiksha Parishad (UPMSP), Prayagraj, Uttar Pradesh</t>
  </si>
  <si>
    <t>Dr. A.P.J. Abdul Kalam Technical University (AKTU), Lucknow, Uttar Pradesh</t>
  </si>
  <si>
    <t>Raj Kumar Goel Institute of Technology (RKGIT), Ghaziabad, Uttar Pradesh</t>
  </si>
  <si>
    <t>SAP,MS office,MS Project</t>
  </si>
  <si>
    <t>H. G. Infra Engineering ltd | Assistant Engineer - Planning &amp; QS | Head Office Jaipur | Nov 2021 | Dec 2023 | 2 Years, 1 Months, 7 Days | 3.87
National Blue Company Ltd.  | Project Controls Engineer | Jubail, Saudi Arabia | Jan 2024 | May 2026 | 2 Years, 4 Months, 7 Days | 20.85</t>
  </si>
  <si>
    <t>53 month(s)</t>
  </si>
  <si>
    <t>P26700282</t>
  </si>
  <si>
    <t xml:space="preserve">Manish </t>
  </si>
  <si>
    <t>Yelne</t>
  </si>
  <si>
    <t>Aditya Manish  Yelne</t>
  </si>
  <si>
    <t>adityayelne333@gmail.com</t>
  </si>
  <si>
    <t>P26700282@student.nicmar.ac.in</t>
  </si>
  <si>
    <t>23-Mar-2005</t>
  </si>
  <si>
    <t>English , Hindi,Marathi</t>
  </si>
  <si>
    <t>Travelling , Music ,Driving</t>
  </si>
  <si>
    <t>Manish M. Yelne</t>
  </si>
  <si>
    <t>Yogita M. Yelne</t>
  </si>
  <si>
    <t xml:space="preserve">House Wife </t>
  </si>
  <si>
    <t xml:space="preserve">Karla Road Pipri Meghe , Wardha </t>
  </si>
  <si>
    <t>School Of Brilliants</t>
  </si>
  <si>
    <t xml:space="preserve">Wardha , Maharashtra </t>
  </si>
  <si>
    <t>Aacharya Shrimannarayan Polytechnic , Wardha</t>
  </si>
  <si>
    <t>Dr Babasaheb Ambedkar Technological University lonere</t>
  </si>
  <si>
    <t>Bajaj Institute of Technology (BIT) ,Wardha</t>
  </si>
  <si>
    <t>AutoCAD,ETABS,RCDC,Sketchup,Revit</t>
  </si>
  <si>
    <t>Indo Rama Synthetics (India) Ltd. | Junior Design Engineer  | Butibori, Nagpur  | Jan 2026 | Jul 2026 | 25 Weeks</t>
  </si>
  <si>
    <t>P26700283</t>
  </si>
  <si>
    <t xml:space="preserve">ADITI </t>
  </si>
  <si>
    <t>AKARTE</t>
  </si>
  <si>
    <t>Aditi  Varsha Akarte</t>
  </si>
  <si>
    <t>P26700283@student.nicmar.ac.in</t>
  </si>
  <si>
    <t>30-Oct-2004</t>
  </si>
  <si>
    <t xml:space="preserve">Hindi,English, Marathi  </t>
  </si>
  <si>
    <t xml:space="preserve">Music,Dancing </t>
  </si>
  <si>
    <t xml:space="preserve">Varsha Sharadkumar Akarte </t>
  </si>
  <si>
    <t xml:space="preserve">Banking </t>
  </si>
  <si>
    <t>Tanaji nagar tower line 4 vmv road kathora naka, Amravati</t>
  </si>
  <si>
    <t xml:space="preserve">Gujarati National High School Gondia </t>
  </si>
  <si>
    <t xml:space="preserve">MSBSHSE Gondia, Maharashtra </t>
  </si>
  <si>
    <t xml:space="preserve">Government Polytechnic, Amravati, Maharashtra </t>
  </si>
  <si>
    <t xml:space="preserve">Swami Ramanand Teerth Marathwada University, Nanded </t>
  </si>
  <si>
    <t xml:space="preserve">Shri Guru Gobind Singhji Institute of Engineering and Technology, Nanded, Maharashtra </t>
  </si>
  <si>
    <t>AutoCAD (2D+3D),Microsoft Word ,Excel ,PowerPoint,HEC-HMS ,ArcGIS ,QGIS</t>
  </si>
  <si>
    <t>ENHANCEMENT OF WATER STORAGE FOR EXISTING LAKE IN BHULORI VILLAGE, CHIKHALDHARA, AMRAVATI “UNNAT BHARAT ABHIYAN” | Project | Amravati | Jul 2025 | Nov 2025 | 17 Weeks | Campus Internship
Shapoorji Pallonji And Company Private Limited  | Intern | Pune | Jan 2026 | Apr 2026 | 17 Weeks
WT Cost Management India Pvt, Ltd, Pune | Intern | Pune | May 2025 | Jul 2025 | 7 Weeks
Balaji Structural Consultancy Pvt, Ltd, Amravati | Intern | Amravati | Jun 2023 | Aug 2023 | 7 Weeks
Core Project Engineers and Consultant Pvt, Ltd, Amravati | Assistant | Amravati | Jul 2022 | Aug 2022 | 5 Weeks</t>
  </si>
  <si>
    <t>P26700284</t>
  </si>
  <si>
    <t>JAUHRI</t>
  </si>
  <si>
    <t>Ketan Jauhri</t>
  </si>
  <si>
    <t>kjauhri@gmail.com</t>
  </si>
  <si>
    <t>P26700284@student.nicmar.ac.in</t>
  </si>
  <si>
    <t>01-Apr-1994</t>
  </si>
  <si>
    <t>Adventure activities,travelling</t>
  </si>
  <si>
    <t>ANIL KUMAR JAUHRI</t>
  </si>
  <si>
    <t>Retired Indian Bank Employee</t>
  </si>
  <si>
    <t>NEELU JAUHRI</t>
  </si>
  <si>
    <t>Teacher in Government Junior High School</t>
  </si>
  <si>
    <t>231, Rama Enclave, Bhoor, Bulandshahr.</t>
  </si>
  <si>
    <t>Bulandshahr</t>
  </si>
  <si>
    <t>Nirmala Convent School</t>
  </si>
  <si>
    <t>Central Board of Secondary Education, Bulandshahr, Uttar Pradesh.</t>
  </si>
  <si>
    <t>1998-Apr</t>
  </si>
  <si>
    <t>Renaissance School</t>
  </si>
  <si>
    <t>G.L.A. University</t>
  </si>
  <si>
    <t>G.L.A. University, Mathura, Uttar Pradesh.</t>
  </si>
  <si>
    <t>2017-Nov</t>
  </si>
  <si>
    <t>UNIQUE HUME PIPE | Product manager + Quality Manager | Hapur | Dec 2022 | Mar 2025 | 2 Years, 3 Months, 30 Days | 2.16
Strucsure Consulting | Drafter | Prayagraj | Apr 2025 | Jun 2026 | 1 Years, 2 Months, 29 Days | 2.40</t>
  </si>
  <si>
    <t>Public Works Department, Mahoba, Uttar Pradesh. | Trainee | Mahoba, Uttar Pradesh | May 2016 | Jul 2016 | 6 Weeks</t>
  </si>
  <si>
    <t>Course on Computer Concepts</t>
  </si>
  <si>
    <t>P26700285</t>
  </si>
  <si>
    <t>Tandalekar</t>
  </si>
  <si>
    <t>Siddhi Sunil Tandalekar</t>
  </si>
  <si>
    <t>P26700285@student.nicmar.ac.in</t>
  </si>
  <si>
    <t>15-Dec-2001</t>
  </si>
  <si>
    <t>Reading, Painting</t>
  </si>
  <si>
    <t xml:space="preserve">Sunil </t>
  </si>
  <si>
    <t>Sayli</t>
  </si>
  <si>
    <t>B-401, Om Shree Datta Krupa Chs. Ltd., Kirtane Wada, Parnaka, Vasai West.</t>
  </si>
  <si>
    <t>New English School, Vasai West</t>
  </si>
  <si>
    <t>Government Polytechnic Mumbai, Bandra</t>
  </si>
  <si>
    <t>University of Mumbai, Maharashtra</t>
  </si>
  <si>
    <t>Saraswati College of Engineering Kharghar, Navi Mumbai</t>
  </si>
  <si>
    <t>AutoCAD, STAAD Pro,MS Office,APF Valuation Analysis,ETABS</t>
  </si>
  <si>
    <t>PropEdge Valuation Private Limited | Report Maker | Andheri, Mumbai | Jun 2024 | Jun 2026 | 2 Years, 0 Months, 4 Days | 2.7</t>
  </si>
  <si>
    <t>Kohinoor CTNL Infrastructure Pvt. Ltd. | Intern | Dadar, Mumbai | Dec 2019 | Mar 2020 | 14 Weeks | Campus Internship
Om E&amp;P Consultants | Intern | Kharghar, Navi Mumbai | Jun 2022 | Jul 2022 | 4 Weeks | Campus Internship</t>
  </si>
  <si>
    <t>AutoCAD 
ETABS
STAAD Pro</t>
  </si>
  <si>
    <t>P26700286</t>
  </si>
  <si>
    <t>M. Etienne</t>
  </si>
  <si>
    <t>M. Etienne Avinash</t>
  </si>
  <si>
    <t>etienneavinash@gmail.com</t>
  </si>
  <si>
    <t>P26700286@student.nicmar.ac.in</t>
  </si>
  <si>
    <t>16-Feb-2004</t>
  </si>
  <si>
    <t>tamil, english, hindi</t>
  </si>
  <si>
    <t>drums, basketball,travelling</t>
  </si>
  <si>
    <t>Marie Antoine Athisayam</t>
  </si>
  <si>
    <t>Manager</t>
  </si>
  <si>
    <t>Jayakumary Janci</t>
  </si>
  <si>
    <t>126, 3B, pedro canagaraya street, canteen street, 
pondicherry</t>
  </si>
  <si>
    <t>Kendriya Vidyalaya no. 2 pondicherry</t>
  </si>
  <si>
    <t>cbse- pondicherry</t>
  </si>
  <si>
    <t xml:space="preserve">Kendriya Vidyalaya no. 2 pondicherry </t>
  </si>
  <si>
    <t xml:space="preserve">puducherry technological university </t>
  </si>
  <si>
    <t>puducherry technological university, pondicherry</t>
  </si>
  <si>
    <t>Autocad, revit,staadpro,MS project</t>
  </si>
  <si>
    <t>NBCC | intern | pondicherry | Jul 2025 | Jul 2025 | 4 Weeks
jeno maran group | intern | pondicherry | Dec 2023 | Jan 2024 | 0 Weeks
puducherry technological university building division | intern | pondicherry | Jan 2026 | Jan 2026 | 1 Weeks</t>
  </si>
  <si>
    <t>autocad
revit
LnT- STAADpro</t>
  </si>
  <si>
    <t>P26700287</t>
  </si>
  <si>
    <t>P26700287@student.nicmar.ac.in</t>
  </si>
  <si>
    <t>P26700288</t>
  </si>
  <si>
    <t>Ram</t>
  </si>
  <si>
    <t>Saish Ram Mhatre</t>
  </si>
  <si>
    <t>P26700288@student.nicmar.ac.in</t>
  </si>
  <si>
    <t>29-Jul-2002</t>
  </si>
  <si>
    <t xml:space="preserve">Fitness &amp; Gym,Photography, Indoor &amp; Outdoor games </t>
  </si>
  <si>
    <t>Ram Ganpat Mhatre</t>
  </si>
  <si>
    <t>Retired Government Servant</t>
  </si>
  <si>
    <t>Dipa Ram Mhatre</t>
  </si>
  <si>
    <t>House no.265, Behind Godavari Nagar, Wadgaon, Pen, Raigad</t>
  </si>
  <si>
    <t xml:space="preserve">Private Highschool Pen </t>
  </si>
  <si>
    <t>Private Highschool &amp; Junior College Pen</t>
  </si>
  <si>
    <t>Pillai Hoc College of Engineering and Technology, Rasayani</t>
  </si>
  <si>
    <t>Amiand Consulting Pvt. Ltd. | Project Engineer | Thane | Dec 2024 | Dec 2025 | 1 Years, 0 Months, 23 Days | 2.93
SHREYAS PROJECTS | Senior Engineer | Pen | Jan 2026 | Jun 2026 | 0 Years, 5 Months, 29 Days | 3.6</t>
  </si>
  <si>
    <t>J.M. Mhatre Infra Pvt. Ltd. | Intern | Pen -  Khopoli Highway | Dec 2022 | Jan 2023 | 2 Weeks | Campus Internship</t>
  </si>
  <si>
    <t>P26700289</t>
  </si>
  <si>
    <t xml:space="preserve">Abhishek </t>
  </si>
  <si>
    <t>Abhishek  .</t>
  </si>
  <si>
    <t>abhireddy2055@gmail.com</t>
  </si>
  <si>
    <t>P26700289@student.nicmar.ac.in</t>
  </si>
  <si>
    <t>Hindi, English , Kannada , telugu</t>
  </si>
  <si>
    <t xml:space="preserve">Table tennis </t>
  </si>
  <si>
    <t>Mallikarjun</t>
  </si>
  <si>
    <t xml:space="preserve">Survey supervisor </t>
  </si>
  <si>
    <t>Sumanagala</t>
  </si>
  <si>
    <t>S/o Mallikarjun, basavanilya, Tq-Shahapur,dist-Yadgir,Gogi k</t>
  </si>
  <si>
    <t>Yadgir</t>
  </si>
  <si>
    <t>SRI GURU VIOYA PEETHA ENG MED H S</t>
  </si>
  <si>
    <t>Smt. Vidya P. Hanchinmani PU Science College</t>
  </si>
  <si>
    <t>The Department of Pre-University Education</t>
  </si>
  <si>
    <t>Reva University. Bangalore</t>
  </si>
  <si>
    <t>Reva University, Bangalore</t>
  </si>
  <si>
    <t>AutoCAD,Revit,Staad Pro</t>
  </si>
  <si>
    <t xml:space="preserve"> Bangalore Metro Rail Corporation Limited. | Intern | Bangalore | Jul 2024 | Aug 2024 | 4 Weeks | Campus Internship</t>
  </si>
  <si>
    <t>P26700290</t>
  </si>
  <si>
    <t>Gauri Nilesh Jaiswal</t>
  </si>
  <si>
    <t>P26700290@student.nicmar.ac.in</t>
  </si>
  <si>
    <t xml:space="preserve"> Watching Movies,Sketching,Travelling,Listening Music</t>
  </si>
  <si>
    <t xml:space="preserve">Nilesh </t>
  </si>
  <si>
    <t>Flat no.3 Kalpataru appartment,Moreshwar colony,Akola</t>
  </si>
  <si>
    <t xml:space="preserve">Prabhat Kids </t>
  </si>
  <si>
    <t>Akola/Maharashtra</t>
  </si>
  <si>
    <t>Shahbabu School</t>
  </si>
  <si>
    <t xml:space="preserve"> UNIVERSITY OF MUMBAI</t>
  </si>
  <si>
    <t>DR. Baliram Hiray College of Architecture,Mumbai</t>
  </si>
  <si>
    <t>Autocad,Sketchup,Lumion,Photoshop,MS office .</t>
  </si>
  <si>
    <t>PRC | INTERN | MUMBAI | Dec 2024 | Apr 2025 | 19 Weeks | Campus Internship</t>
  </si>
  <si>
    <t>P26700291</t>
  </si>
  <si>
    <t>Syam</t>
  </si>
  <si>
    <t>Mohan</t>
  </si>
  <si>
    <t>Syam Mohan</t>
  </si>
  <si>
    <t>P26700291@student.nicmar.ac.in</t>
  </si>
  <si>
    <t>13-Jul-1999</t>
  </si>
  <si>
    <t>Reading,Movies,Music</t>
  </si>
  <si>
    <t>Mohanan PK</t>
  </si>
  <si>
    <t>Sheeba MT</t>
  </si>
  <si>
    <t>Puthankudy (H) Nellikuzhi P.O kothamangalam, Ernakulam</t>
  </si>
  <si>
    <t>Green Valley Public School</t>
  </si>
  <si>
    <t>Central Board of Secondary Education/ Kerala</t>
  </si>
  <si>
    <t>Greenvalley Public school</t>
  </si>
  <si>
    <t>CBSE/ Kerala</t>
  </si>
  <si>
    <t>Bir Takendrajit University</t>
  </si>
  <si>
    <t>Bir takendrajit University, Imphal/ Manipur</t>
  </si>
  <si>
    <t>AutoCAD, Revit, sketchup,STAAD, Primavera,Lumion</t>
  </si>
  <si>
    <t>P26700292</t>
  </si>
  <si>
    <t>Krushang</t>
  </si>
  <si>
    <t>Jayeshbhai</t>
  </si>
  <si>
    <t>Patel</t>
  </si>
  <si>
    <t>Krushang Jayeshbhai Patel</t>
  </si>
  <si>
    <t>P26700292@student.nicmar.ac.in</t>
  </si>
  <si>
    <t>18-Apr-2002</t>
  </si>
  <si>
    <t>English, Hindi,Gujarati</t>
  </si>
  <si>
    <t>Fitness &amp; sports ,Travelling &amp; exploring new places</t>
  </si>
  <si>
    <t>Patel Jayeshbhai Bhanabhai</t>
  </si>
  <si>
    <t>Patel Jayshriben Jayeshbhai</t>
  </si>
  <si>
    <t>53-Shraddha Bhavan, Dhodiawad Road, Kachigam, Nani Daman-396210.</t>
  </si>
  <si>
    <t>Daman</t>
  </si>
  <si>
    <t>Dadra and Nagar Haveli and Daman and Diu</t>
  </si>
  <si>
    <t>Institute of Our Lady of Fatima</t>
  </si>
  <si>
    <t>Gujarat Secondary and Higher Secondary Education Board</t>
  </si>
  <si>
    <t>Sardar Vallabhbhai National Institute of Technology</t>
  </si>
  <si>
    <t>AutoCAD,STAAD Pro,MS Word,Advanced MS Excel,Canva,MS Powerpoint Presentation</t>
  </si>
  <si>
    <t>Cemindia Projects Limited | Planning Engineer | Dahej, Bharuch, Gujarat | Sep 2024 | Jun 2026 | 1 Years, 9 Months, 10 Days | 7.38</t>
  </si>
  <si>
    <t>J. Kumar Infraprojects Ltd. | Trainee | Surat | Jan 2024 | Apr 2024 | 16 Weeks</t>
  </si>
  <si>
    <t>Achieving Professional Excellence</t>
  </si>
  <si>
    <t>P26700293</t>
  </si>
  <si>
    <t>Aaushman</t>
  </si>
  <si>
    <t>Mohanty</t>
  </si>
  <si>
    <t>Aaushman Mohanty</t>
  </si>
  <si>
    <t>P26700293@student.nicmar.ac.in</t>
  </si>
  <si>
    <t>30-Jan-2003</t>
  </si>
  <si>
    <t>Hindi,English,Odia</t>
  </si>
  <si>
    <t>Music, sports</t>
  </si>
  <si>
    <t>Ashwini Kumar Mohanty</t>
  </si>
  <si>
    <t>Sarita Mohanty</t>
  </si>
  <si>
    <t>Self-employed</t>
  </si>
  <si>
    <t xml:space="preserve">F-309, Kanchanganga Estate, Narendra nagar, </t>
  </si>
  <si>
    <t>Centre Point School</t>
  </si>
  <si>
    <t>Jain International School</t>
  </si>
  <si>
    <t>Manipal Institute of Technology</t>
  </si>
  <si>
    <t>2026-Sep</t>
  </si>
  <si>
    <t>Excel</t>
  </si>
  <si>
    <t>P26700294</t>
  </si>
  <si>
    <t xml:space="preserve">Akshay </t>
  </si>
  <si>
    <t>Chokshi</t>
  </si>
  <si>
    <t>Dhruv Akshay  Chokshi</t>
  </si>
  <si>
    <t>dhruvchokshi91@gmail.com</t>
  </si>
  <si>
    <t>P26700294@student.nicmar.ac.in</t>
  </si>
  <si>
    <t>15-Jun-2003</t>
  </si>
  <si>
    <t>Hindi, English,Gujarati</t>
  </si>
  <si>
    <t>Travelling, Swimming ,Cycling</t>
  </si>
  <si>
    <t>Akshay Chokshi</t>
  </si>
  <si>
    <t>Deepa Chokshi</t>
  </si>
  <si>
    <t>A/72 Goyal Park Apartment, Opposite Lad Society, Vastrapur, Ahmedabad</t>
  </si>
  <si>
    <t>Nirman High School</t>
  </si>
  <si>
    <t xml:space="preserve">Central Board of Secondary Education - Ahmedabad, Gujarat </t>
  </si>
  <si>
    <t>Blue Bell School</t>
  </si>
  <si>
    <t>Gujarat Secondary and Higher Secondary Education Board - Ahmedabad, Gujarat</t>
  </si>
  <si>
    <t xml:space="preserve">Centre for Environmental Planning and Technology </t>
  </si>
  <si>
    <t>Centre for Environmental Planning and Technology - Ahmedabad, Gujarat</t>
  </si>
  <si>
    <t>Building &amp; Construction Technology</t>
  </si>
  <si>
    <t>Autodesk AutoCAD, STAAD.Pro, Adobe InDesign, Sketchup, MS Project, Enscape, QGIS, OpenRoads Conceptstation, WaterGEMS,MS Office</t>
  </si>
  <si>
    <t>Riviera Infraprojects | Student Intern | Surat, Gujarat | Jan 2026 | Apr 2026 | 16 Weeks | Campus Internship</t>
  </si>
  <si>
    <t>Indian Plumbing Association</t>
  </si>
  <si>
    <t>P26700295</t>
  </si>
  <si>
    <t xml:space="preserve">Vinny </t>
  </si>
  <si>
    <t xml:space="preserve">Negi </t>
  </si>
  <si>
    <t xml:space="preserve">Vinny  Negi </t>
  </si>
  <si>
    <t>P26700295@student.nicmar.ac.in</t>
  </si>
  <si>
    <t xml:space="preserve">English,Hindi  </t>
  </si>
  <si>
    <t>Travelling,Music ,Debating ,Gym</t>
  </si>
  <si>
    <t>4452 1783 1019</t>
  </si>
  <si>
    <t xml:space="preserve">Vinod Singh Negi </t>
  </si>
  <si>
    <t xml:space="preserve">Indian army </t>
  </si>
  <si>
    <t xml:space="preserve">Neeta Rawat </t>
  </si>
  <si>
    <t xml:space="preserve">Indian Army </t>
  </si>
  <si>
    <t xml:space="preserve">Alaknanda 09- house 102, Windlass River Valley, kuanwala, Harrawala, Dehradun-Haridwar road, Dehradun </t>
  </si>
  <si>
    <t>Dehradun</t>
  </si>
  <si>
    <t>Army Public School</t>
  </si>
  <si>
    <t>CBSE, PUNE</t>
  </si>
  <si>
    <t>CBSE,PUNE</t>
  </si>
  <si>
    <t>Dehradun Institute of Technology</t>
  </si>
  <si>
    <t>Dehradun, Uttrakhand</t>
  </si>
  <si>
    <t>autocad,sketchup,MSP,MSOFFICE,CHATGPT,PHOTOSHOP,LUMION,msoffice</t>
  </si>
  <si>
    <t>Alva Architects | Junior Architect | Delhi | Jul 2025 | Jan 2026 | 0 Years, 5 Months, 18 Days | 3.6</t>
  </si>
  <si>
    <t>P26700296</t>
  </si>
  <si>
    <t>HARISWAR</t>
  </si>
  <si>
    <t>KANDULA</t>
  </si>
  <si>
    <t>Hariswar Kandula</t>
  </si>
  <si>
    <t>P26700296@student.nicmar.ac.in</t>
  </si>
  <si>
    <t>TELUGU,ENGLISH</t>
  </si>
  <si>
    <t>READING,SWIMMING</t>
  </si>
  <si>
    <t>KANDULA BHOGA RAO</t>
  </si>
  <si>
    <t>KANDULA LAKSHMI</t>
  </si>
  <si>
    <t>301, DWARAKAMAI RESIDENCY, OPP. IBM POLICE STATION, IBRAHIMPATNAM, VIJAYAWADA, NTR DISTRICT</t>
  </si>
  <si>
    <t>BOARD OF SECUNDARY EDUCATION, ANDHRA PRADESH</t>
  </si>
  <si>
    <t>ACHARAYA NAGARJUNA UNIVERSITY</t>
  </si>
  <si>
    <t>ACHARAYA NAGARJUNA UNIVERSITY COLLEGE OF ARCHITECTURE AND PLANNING, ANDHRA PRADESH</t>
  </si>
  <si>
    <t>REVIT,AUTOCAD,SKETCHUP,MS OFFICE,NAVISWORKS</t>
  </si>
  <si>
    <t>Studio Chintala | PROJECT ARCHITECT | VIJAYAWADA | Jul 2024 | Jul 2026 | 1 Years, 11 Months, 1 Days | 4.87</t>
  </si>
  <si>
    <t>SHILPAKRUTI ARCHITECTS | INTERN ARCHITECT | VISAKHAPATNAM | Jul 2023 | Dec 2023 | 25 Weeks</t>
  </si>
  <si>
    <t>BIM Ready Complete</t>
  </si>
  <si>
    <t>P26700297</t>
  </si>
  <si>
    <t>Satyam</t>
  </si>
  <si>
    <t>Rameshchandra</t>
  </si>
  <si>
    <t>Gupta</t>
  </si>
  <si>
    <t>Satyam Rameshchandra Gupta</t>
  </si>
  <si>
    <t>P26700297@student.nicmar.ac.in</t>
  </si>
  <si>
    <t>22-Dec-1999</t>
  </si>
  <si>
    <t>HINDI,ENGLISH,MARATHI</t>
  </si>
  <si>
    <t>Rameshchandra Gupta</t>
  </si>
  <si>
    <t>Seemadevi Gupta</t>
  </si>
  <si>
    <t>498,Sagar Apartment,2nd Floor ,Room no 6,Kombadpada,Kasar alley ,Bhiwandi,Thane</t>
  </si>
  <si>
    <t>Dr Omprakash Agarwal English High School,Bhiwandi,Thane</t>
  </si>
  <si>
    <t>Bhiwandi,Maharashtra</t>
  </si>
  <si>
    <t>The Scholar's english school &amp; Junior college of commerce and science</t>
  </si>
  <si>
    <t>Datta Meghe College of Engineering,Airoli,Navi Mumbai</t>
  </si>
  <si>
    <t>Autocad,Revit,MS OFFICE,MS project</t>
  </si>
  <si>
    <t>Kaushal chouhan Architect &amp; Interior designer | BIM Modeler – Architecture &amp; Draftsman | Dadar,Mumbai | Apr 2024 | Jun 2026 | 2 Years, 2 Months, 29 Days | 2.76
Aahapura buildtech | Jr Site Engineer | Thane,Maharashtra | Feb 2022 | Aug 2023 | 1 Years, 6 Months, 6 Days | 2.16</t>
  </si>
  <si>
    <t>Unique Civil | BIM Intern | Bhiwandi | Sep 2023 | Mar 2024 | 25 Weeks</t>
  </si>
  <si>
    <t>BIM
AUTOCAD
Revit
Tekla Structure
Navisworks</t>
  </si>
  <si>
    <t>P26700298</t>
  </si>
  <si>
    <t>Aryan Raj</t>
  </si>
  <si>
    <t>P26700298@student.nicmar.ac.in</t>
  </si>
  <si>
    <t>18-Jan-2002</t>
  </si>
  <si>
    <t>READING,TRAVELLING</t>
  </si>
  <si>
    <t>NIRANJAN KUMAR</t>
  </si>
  <si>
    <t>SAVITA DEVI</t>
  </si>
  <si>
    <t>AT HARLA PO JAMUA PS JAMUA</t>
  </si>
  <si>
    <t>Giridih</t>
  </si>
  <si>
    <t>BN SAHA DAV PUBLIC SCHOOL</t>
  </si>
  <si>
    <t>CBSE, GIRIDIH, JHARKHAND</t>
  </si>
  <si>
    <t>NIOS, GIRIDIH, JHARKHAND</t>
  </si>
  <si>
    <t>TEZPUR UNIVERSITY</t>
  </si>
  <si>
    <t>TEZPUR UNIVERSITY,ASSAM</t>
  </si>
  <si>
    <t>AUTOCAD,STAAD PRO ,MS EXCEL ,QGIS,MS PROJECT</t>
  </si>
  <si>
    <t>Om sai interiors private limited | site supervisor | pune | Sep 2025 | Jun 2026 | 0 Years, 9 Months, 9 Days | 2.16</t>
  </si>
  <si>
    <t>PWD | INTERN | TEZPUR | Jun 2024 | Jul 2024 | 4 Weeks
BANARAS LOCOMOTIVE WORKS | INTERN | VARANASI | Jul 2024 | Jul 2024 | 3 Weeks</t>
  </si>
  <si>
    <t>STAAD Pro
GEOGRAPHIC INFORMATION SYSTEMS
MODERN CONSTRUCTION MATERIALS
BRIDGE ENGINEERING
RURAL WATER RESOURCES MANAGEMENT</t>
  </si>
  <si>
    <t>P26700299</t>
  </si>
  <si>
    <t>Arya</t>
  </si>
  <si>
    <t>Vijaysinh</t>
  </si>
  <si>
    <t>Arya Vijaysinh Chavan</t>
  </si>
  <si>
    <t>aryachavan126@gmail.com</t>
  </si>
  <si>
    <t>P26700299@student.nicmar.ac.in</t>
  </si>
  <si>
    <t>17-Aug-2004</t>
  </si>
  <si>
    <t>Exploring new places</t>
  </si>
  <si>
    <t>Vijaysinh Chavan</t>
  </si>
  <si>
    <t>Mrunali Chavan</t>
  </si>
  <si>
    <t>At- Asale, Post- Bhuinj, Tal- Wai, Dist- Satara, Maharashtra 415515</t>
  </si>
  <si>
    <t>Sanjeevan Public School, Panhala</t>
  </si>
  <si>
    <t>Podar International School, Satara</t>
  </si>
  <si>
    <t xml:space="preserve">Bharati Vidyapeeth Deemed University </t>
  </si>
  <si>
    <t>Bharati Vidyapeeth Deemed to be University College of Engineering, Pune</t>
  </si>
  <si>
    <t>Autocad,ms office,ms project,staadpro</t>
  </si>
  <si>
    <t>Ratnaprabha Construction | Traniee Engineer | Wai, Dist- Satara | Jun 2025 | Aug 2025 | 8 Weeks</t>
  </si>
  <si>
    <t>NPTEL- Introduction to Civil Engineering Profession
Synergising Survey Techniques: Total Station, DGPS and Drones  
Mastering Concrete And Quantity Calculations 
Site Engineer Masterclass- Construction Methodology</t>
  </si>
  <si>
    <t>P26700300</t>
  </si>
  <si>
    <t>Hariish</t>
  </si>
  <si>
    <t>Narayn M</t>
  </si>
  <si>
    <t>Hariish Narayn M</t>
  </si>
  <si>
    <t>P26700300@student.nicmar.ac.in</t>
  </si>
  <si>
    <t>11-Nov-2004</t>
  </si>
  <si>
    <t>tamil,english,hindi</t>
  </si>
  <si>
    <t>music,basketball</t>
  </si>
  <si>
    <t>Manickkam SPS</t>
  </si>
  <si>
    <t>Jaisree Manickkam</t>
  </si>
  <si>
    <t>St.Marys Road, Abhiramapuram
Shree flats</t>
  </si>
  <si>
    <t>Arsha Vidya Mandir</t>
  </si>
  <si>
    <t>Chennai,Tamilnadu</t>
  </si>
  <si>
    <t>Chettinad Vidyashram</t>
  </si>
  <si>
    <t>Chennai , Tamilnadu</t>
  </si>
  <si>
    <t>Chennai, Tamilnadu</t>
  </si>
  <si>
    <t>autocad,staadpro,revit,MS Project</t>
  </si>
  <si>
    <t>Greentech Structural Constructions  | Site engineer Intern | Chennai TAMIL NADU | Jun 2024 | Jun 2024 | 4 Weeks
Confederation of Real Estate Developers' Associations of India (CREDAI) | Intern | Chennai TAMIL NADU | Jun 2025 | Jun 2025 | 4 Weeks</t>
  </si>
  <si>
    <t>Investment risk management
Microsoft Excel</t>
  </si>
  <si>
    <t>P26700301</t>
  </si>
  <si>
    <t xml:space="preserve">Jayesh </t>
  </si>
  <si>
    <t xml:space="preserve">Rajesh </t>
  </si>
  <si>
    <t>Shete</t>
  </si>
  <si>
    <t>Jayesh  Rajesh  Shete</t>
  </si>
  <si>
    <t>jayeshshete1605@gmail.com</t>
  </si>
  <si>
    <t>P26700301@student.nicmar.ac.in</t>
  </si>
  <si>
    <t>16-May-2002</t>
  </si>
  <si>
    <t>Reading,Writing</t>
  </si>
  <si>
    <t>Anita</t>
  </si>
  <si>
    <t>Shetewadi, Deolali Pravara</t>
  </si>
  <si>
    <t>Amit Embrald Park, Flat no. A302, Patil Nagar, Balewadi</t>
  </si>
  <si>
    <t>New English School, Deolali Pravara</t>
  </si>
  <si>
    <t>Shree Chhatrapati Shivaji Junior College</t>
  </si>
  <si>
    <t>Government College Of Engineering and Research, Avasari Khurd, Pune</t>
  </si>
  <si>
    <t>AutoCAD,MS Office, MS Excel,MS Powerpoint,MS Projects</t>
  </si>
  <si>
    <t>Adani Infra (India) Ltd | Assistant Manager &gt; Civil  | Amravati | Jul 2024 | Jul 2026 | 2 Years, 0 Months, 0 Days | 8.16</t>
  </si>
  <si>
    <t>Shree Ganesh Developers | Intern &gt; Site Engineer | Pune | Feb 2023 | May 2023 | 12 Weeks | Campus Internship</t>
  </si>
  <si>
    <t>P26700302</t>
  </si>
  <si>
    <t xml:space="preserve">Sangram </t>
  </si>
  <si>
    <t xml:space="preserve">vijaysinh </t>
  </si>
  <si>
    <t>kshirsagar</t>
  </si>
  <si>
    <t>Sangram  Vijaysinh  Kshirsagar</t>
  </si>
  <si>
    <t>sangramkshirsagar0101@gmail.com</t>
  </si>
  <si>
    <t>P26700302@student.nicmar.ac.in</t>
  </si>
  <si>
    <t>01-Feb-2002</t>
  </si>
  <si>
    <t xml:space="preserve">Leasning music , watching movies ,sports </t>
  </si>
  <si>
    <t>Vijaysinh Kshirsagar</t>
  </si>
  <si>
    <t>Highschool Teacher</t>
  </si>
  <si>
    <t>Manjusha Kshirsagar</t>
  </si>
  <si>
    <t>35,Ramlal Nagar,Majrewadi,Hotagi Road,Solapur,413224</t>
  </si>
  <si>
    <t>Modern Highschool Solapur</t>
  </si>
  <si>
    <t xml:space="preserve">S.E.S. Polytechnic Solapur </t>
  </si>
  <si>
    <t xml:space="preserve">Dr. Babasaheb Ambedkar Technological University </t>
  </si>
  <si>
    <t xml:space="preserve">Nagesh Karajagi Orchid College Of Engineering &amp; Technology </t>
  </si>
  <si>
    <t>07.70</t>
  </si>
  <si>
    <t>AutoCAD,REVIT,msoffice</t>
  </si>
  <si>
    <t>P26700303</t>
  </si>
  <si>
    <t>Ishan</t>
  </si>
  <si>
    <t>Dabholkar</t>
  </si>
  <si>
    <t>Ishan Sandip Dabholkar</t>
  </si>
  <si>
    <t>ishan2722004@gmail.com</t>
  </si>
  <si>
    <t>P26700303@student.nicmar.ac.in</t>
  </si>
  <si>
    <t>27-Feb-2004</t>
  </si>
  <si>
    <t>Piano,Guitar,Music</t>
  </si>
  <si>
    <t>Sandip Dabholkar</t>
  </si>
  <si>
    <t>Stone Crusher Business</t>
  </si>
  <si>
    <t>Priti Dabholkar</t>
  </si>
  <si>
    <t xml:space="preserve">Dabholkar Empire Kherdi
</t>
  </si>
  <si>
    <t>SPM English Medium School</t>
  </si>
  <si>
    <t xml:space="preserve">SSC , Maharashtra </t>
  </si>
  <si>
    <t>DBJ College Chiplun</t>
  </si>
  <si>
    <t>HSC , Maharshtra</t>
  </si>
  <si>
    <t>MIT ADT University</t>
  </si>
  <si>
    <t xml:space="preserve">MIT Adt Soes , Maharashtra </t>
  </si>
  <si>
    <t>SCON Projects | Intern  | Chakan MIDC , Pune | Jan 2025 | May 2025 | 19 Weeks</t>
  </si>
  <si>
    <t>Construction Project Management
Budgeting and Scheduling Projects</t>
  </si>
  <si>
    <t>P26700304</t>
  </si>
  <si>
    <t>Uttam</t>
  </si>
  <si>
    <t>Phulaware</t>
  </si>
  <si>
    <t>Sujal Uttam Phulaware</t>
  </si>
  <si>
    <t>sujalphulaware.0045@gmail.com</t>
  </si>
  <si>
    <t>P26700304@student.nicmar.ac.in</t>
  </si>
  <si>
    <t>13-Jun-2004</t>
  </si>
  <si>
    <t>English ,Hindi ,Marathi</t>
  </si>
  <si>
    <t>Sports ,Music ,Reading</t>
  </si>
  <si>
    <t>Uttam Phulaware</t>
  </si>
  <si>
    <t>Gauri Phulaware</t>
  </si>
  <si>
    <t>Vrundavan Bungalow, Taluka - Haveli, Undri</t>
  </si>
  <si>
    <t xml:space="preserve">The Bishop's Co - Ed. School </t>
  </si>
  <si>
    <t>Council For The Indian School Certificate Examinations , New Delhi</t>
  </si>
  <si>
    <t xml:space="preserve">MES's Abasaheb Garware College </t>
  </si>
  <si>
    <t>Maharashtra State Board Of Secondary and Higher Secondary Education , Pune</t>
  </si>
  <si>
    <t>MS Excel,MS Project</t>
  </si>
  <si>
    <t>Marimagnum Constructions | Civil Engineering Intern | Pune | Dec 2024 | Jan 2025 | 4 Weeks</t>
  </si>
  <si>
    <t>P26700305</t>
  </si>
  <si>
    <t>NAVEENRAJ</t>
  </si>
  <si>
    <t>Naveenraj P</t>
  </si>
  <si>
    <t>naveenraj2823@gmail.com</t>
  </si>
  <si>
    <t>P26700305@student.nicmar.ac.in</t>
  </si>
  <si>
    <t>TAMIL, ENGLISH, HINDI</t>
  </si>
  <si>
    <t>Photography, Listening to music, Editing, Shuttlecock, Cricket</t>
  </si>
  <si>
    <t>PRABHAKARAN</t>
  </si>
  <si>
    <t>MERCHANT</t>
  </si>
  <si>
    <t>SUGUNADEVI</t>
  </si>
  <si>
    <t xml:space="preserve">HOUSE WIFE </t>
  </si>
  <si>
    <t>18/31
SIVA MURUGAN COLONY, DINDIGUL</t>
  </si>
  <si>
    <t>MSP SOLAINADAR MEMORIAL HIGHER SECONDARY SCHOOL</t>
  </si>
  <si>
    <t>STATE BOARD OF TAMILNADU</t>
  </si>
  <si>
    <t xml:space="preserve">ANNA UNIVERSITY </t>
  </si>
  <si>
    <t>SRI KRISHNA COLLEGE OF TECHNOLOGY, COIMBATORE</t>
  </si>
  <si>
    <t>PRIMAVERA,AUTOCADD,3DS MAX,STAAD PRO</t>
  </si>
  <si>
    <t>LARSEN &amp; TOUBRO | PLANNING | CHENNAI | Oct 2022 | Mar 2026 | 3 Years, 5 Months, 20 Days | 8.4</t>
  </si>
  <si>
    <t>41 month(s)</t>
  </si>
  <si>
    <t>AUTOCADD
PRIMAVERA
NPTEL</t>
  </si>
  <si>
    <t>P26700306</t>
  </si>
  <si>
    <t>MEGAVARSHENI</t>
  </si>
  <si>
    <t>Megavarsheni J</t>
  </si>
  <si>
    <t>megavarshenij@gmail.com</t>
  </si>
  <si>
    <t>P26700306@student.nicmar.ac.in</t>
  </si>
  <si>
    <t>English ,Hindi ,Tamil</t>
  </si>
  <si>
    <t>Dancing ,reading ,Badminton</t>
  </si>
  <si>
    <t>Jegannathan A</t>
  </si>
  <si>
    <t>machine operating executive in Ashok Leyland</t>
  </si>
  <si>
    <t>Bharathi K</t>
  </si>
  <si>
    <t xml:space="preserve">Assistant executive engineer in Tamil Nadu water supply and drainage board </t>
  </si>
  <si>
    <t>No.19, D9 Pragati Apartments, Lock Street, Kotturpuram ,
Chennai-600085</t>
  </si>
  <si>
    <t>St.Patrick's High School ICSE</t>
  </si>
  <si>
    <t>Indian Certificate of secondary Education</t>
  </si>
  <si>
    <t xml:space="preserve">St. Patrick's Anglo Indian Higher Secondary School </t>
  </si>
  <si>
    <t>State Board of School Examinations , Tamil Nadu</t>
  </si>
  <si>
    <t>Vellore Institute of Technology, Chennai</t>
  </si>
  <si>
    <t>AutoCAD ,Revit Architecture  ,BIM,CADSRC,Revit Structure,NavisWork</t>
  </si>
  <si>
    <t>CADS Software India Pvt ltd | Test Engineer | Chennai | Sep 2025 | Jul 2026 | 0 Years, 9 Months, 10 Days | 3.30</t>
  </si>
  <si>
    <t>LARSEN &amp; TOUBRO | Internship Trainee | Chennai | Sep 2023 | Oct 2023 | 5 Weeks</t>
  </si>
  <si>
    <t>AutoCAD
BIM (REVIT Structure, REVIT Architecture)
NavisWork</t>
  </si>
  <si>
    <t>P26700307</t>
  </si>
  <si>
    <t>Nikhil</t>
  </si>
  <si>
    <t xml:space="preserve">Prajapati </t>
  </si>
  <si>
    <t xml:space="preserve">Nikhil Prajapati </t>
  </si>
  <si>
    <t>nikhilp3415@gmail.com</t>
  </si>
  <si>
    <t>P26700307@student.nicmar.ac.in</t>
  </si>
  <si>
    <t>20-Oct-2002</t>
  </si>
  <si>
    <t xml:space="preserve">Hindi English </t>
  </si>
  <si>
    <t xml:space="preserve">Music travelling Exploring new places politics history </t>
  </si>
  <si>
    <t xml:space="preserve">Rajesh Prajapati </t>
  </si>
  <si>
    <t>Jyoti Prajapati</t>
  </si>
  <si>
    <t xml:space="preserve">Homemaker </t>
  </si>
  <si>
    <t>Gulab Ganj Khejra road Cantt Guna MP</t>
  </si>
  <si>
    <t>Guna</t>
  </si>
  <si>
    <t>P26700308</t>
  </si>
  <si>
    <t xml:space="preserve">Vedant </t>
  </si>
  <si>
    <t xml:space="preserve">Vedant Vedant </t>
  </si>
  <si>
    <t>vedantmalikofficial@gmail.com</t>
  </si>
  <si>
    <t>P26700308@student.nicmar.ac.in</t>
  </si>
  <si>
    <t>15-Oct-2004</t>
  </si>
  <si>
    <t xml:space="preserve">Hindi, English  </t>
  </si>
  <si>
    <t xml:space="preserve">Tennis,Movies </t>
  </si>
  <si>
    <t>Rakesh Kumar</t>
  </si>
  <si>
    <t xml:space="preserve">Anita Devi </t>
  </si>
  <si>
    <t>919 Sector 2 Rohtak  (124001) Haryana</t>
  </si>
  <si>
    <t>Rohtak</t>
  </si>
  <si>
    <t>The Little Shri</t>
  </si>
  <si>
    <t>CBSE  Haryana</t>
  </si>
  <si>
    <t xml:space="preserve">SKY HAWK INTERNATIONAL </t>
  </si>
  <si>
    <t>CBSE Delhi</t>
  </si>
  <si>
    <t xml:space="preserve">Manipal University Jaipur </t>
  </si>
  <si>
    <t>MS Office ,Cost X ,MS Project</t>
  </si>
  <si>
    <t>JRR Construction (P) Ltd. | Site Engineer  | Shyok valley, Ladakh | Jan 2026 | May 2026 | 20 Weeks | Campus Internship</t>
  </si>
  <si>
    <t>P26700309</t>
  </si>
  <si>
    <t>SHASHIKANT</t>
  </si>
  <si>
    <t>Shashikant Kumar</t>
  </si>
  <si>
    <t>shashikant923400@gmail.com</t>
  </si>
  <si>
    <t>P26700309@student.nicmar.ac.in</t>
  </si>
  <si>
    <t>05-Nov-2003</t>
  </si>
  <si>
    <t xml:space="preserve"> ENGLISH,HINDI,BHOJPURI</t>
  </si>
  <si>
    <t>GARDENNING , ONLINE GAMES ,READING,MUSIC,DANCE,CRICKET,COOKING</t>
  </si>
  <si>
    <t>JAYRAM THAKUR</t>
  </si>
  <si>
    <t>BARBER</t>
  </si>
  <si>
    <t>KANTI DEVI</t>
  </si>
  <si>
    <t>VILLAGE -SAKRAUDHA
POST OFFICE -SHAISTABAD , POLICE STATION - GHOSHI</t>
  </si>
  <si>
    <t>Jehanabad</t>
  </si>
  <si>
    <t>ANNIE BESANT INTERNATIONAL SCHOOL</t>
  </si>
  <si>
    <t>PATNA , BIHAR</t>
  </si>
  <si>
    <t>ORIENTAL COLLEGE , PANTNA CITY</t>
  </si>
  <si>
    <t>BIHAR ENGINEERING UNIVERSITY</t>
  </si>
  <si>
    <t>GOVERNMENT ENGINEERING COLLEGE , NAWADA , BIHAR</t>
  </si>
  <si>
    <t>AUTOCAD , STAADPRO,MS OFFICE,MS PROJECT,COSTX,Primavera</t>
  </si>
  <si>
    <t>Desiznideaz | STUDENT | GOVERNMENT ENGINEERING COLLEGE, NAWADA | Dec 2023 | Feb 2024 | 8 Weeks</t>
  </si>
  <si>
    <t>NPTEL SOFT SKILLS
NPTEL PLASTIC WASTE MANAGMENT
AUTOCAD</t>
  </si>
  <si>
    <t>P26700311</t>
  </si>
  <si>
    <t>Laxmikant</t>
  </si>
  <si>
    <t>Mishra</t>
  </si>
  <si>
    <t>Avinash Laxmikant Mishra</t>
  </si>
  <si>
    <t>avinamis54@gmail.com</t>
  </si>
  <si>
    <t>P26700311@student.nicmar.ac.in</t>
  </si>
  <si>
    <t>English,hindi,marathi,Maithli</t>
  </si>
  <si>
    <t xml:space="preserve">PLAYING CRICKET ,READING BOOKS </t>
  </si>
  <si>
    <t>LAXMIKANT MISHRA</t>
  </si>
  <si>
    <t>DRIVER</t>
  </si>
  <si>
    <t>NUTAN DEVI</t>
  </si>
  <si>
    <t xml:space="preserve">K-404 yashwant gaurav apple 2 Funfishta Nalasopara west </t>
  </si>
  <si>
    <t>St. Luke English High School</t>
  </si>
  <si>
    <t>Maharashtra state board of secondary and higher secondary education palghar maharashtra</t>
  </si>
  <si>
    <t>St. Luke's English High School &amp; Junior College of science and commerce</t>
  </si>
  <si>
    <t>viva college of diploma engineering and technology Palghar, Maharashtra</t>
  </si>
  <si>
    <t>Mumbai university</t>
  </si>
  <si>
    <t>Viva Institute of Technology palghar, Maharashtra</t>
  </si>
  <si>
    <t>Autocad ,Revit,Solidworks,Advance excel</t>
  </si>
  <si>
    <t>ICICI HFC stands for ICICI Home Finance Company. | TECHNICAL OFFICER | VIRAR | Jul 2025 | Jul 2026 | 0 Years, 11 Months, 15 Days | 3.84</t>
  </si>
  <si>
    <t>N A CONSTRUCTION PVT LTD | Junior Engineer intern | VIRAR | Jun 2021 | Jul 2021 | 3 Weeks | Campus Internship</t>
  </si>
  <si>
    <t>P26700312</t>
  </si>
  <si>
    <t>Chandana</t>
  </si>
  <si>
    <t>GD</t>
  </si>
  <si>
    <t>Chandana Gd</t>
  </si>
  <si>
    <t>chandugd8@gmail.com</t>
  </si>
  <si>
    <t>P26700312@student.nicmar.ac.in</t>
  </si>
  <si>
    <t>09-Aug-2001</t>
  </si>
  <si>
    <t>Kannada, english, hindi</t>
  </si>
  <si>
    <t>Dhananjaya GT</t>
  </si>
  <si>
    <t>Assistant Engineer IN BBMP</t>
  </si>
  <si>
    <t>Chaitra S</t>
  </si>
  <si>
    <t>#195 2nd main syndicate bank layout herohalli Bangalore 91</t>
  </si>
  <si>
    <t>The great eastern international public school</t>
  </si>
  <si>
    <t>CBSE Bangalore</t>
  </si>
  <si>
    <t>Vidyaniketan PU College</t>
  </si>
  <si>
    <t>State Board Bangalore</t>
  </si>
  <si>
    <t>Vishvesvaraya technological university</t>
  </si>
  <si>
    <t>Dr Ambedkar Institute of Technology, Bangalore</t>
  </si>
  <si>
    <t>Auto CAD,MS Office, 3DS MAX,REVIT ARCHITECTURE,MS PROJECT</t>
  </si>
  <si>
    <t>Mecadez  Core Technologies Private Limited | project co-ordinator | Bangalore | Sep 2023 | Apr 2025 | 1 Years, 7 Months, 19 Days | 3
Team for you | quality engineer | Bangalore | May 2025 | May 2026 | 1 Years, 0 Months, 28 Days | 3.96</t>
  </si>
  <si>
    <t>Mecadez core technologies private limited | intern | Bengaluru | Sep 2022 | Sep 2022 | 4 Weeks</t>
  </si>
  <si>
    <t>Auto Cad ,Revit Architecture,  3DS Max</t>
  </si>
  <si>
    <t>P26700313</t>
  </si>
  <si>
    <t>Sangeeta</t>
  </si>
  <si>
    <t>Sethy</t>
  </si>
  <si>
    <t>Sangeeta Sethy</t>
  </si>
  <si>
    <t>sangeeta.sethy00@gmail.com</t>
  </si>
  <si>
    <t>P26700313@student.nicmar.ac.in</t>
  </si>
  <si>
    <t>Crafting,Chess</t>
  </si>
  <si>
    <t>Late Laxmidhar Sethy</t>
  </si>
  <si>
    <t>Leena Sethy</t>
  </si>
  <si>
    <t>clerk</t>
  </si>
  <si>
    <t>Mirigimundi, Khaliamenta</t>
  </si>
  <si>
    <t>Saraswati Bidya Mandir, Keonjhargarh</t>
  </si>
  <si>
    <t>Institute Of Higher Secondary Education, ITER, BBSR</t>
  </si>
  <si>
    <t>Biju Patnaik University of Technology, Rourkela</t>
  </si>
  <si>
    <t>Indira Gandhi Institute of Technology (Autonomous), Dhenkanal</t>
  </si>
  <si>
    <t>AUTOCAD,STAADPro,3DS MAX,MS Office</t>
  </si>
  <si>
    <t>Government of Odisha Works Department | Graduate Apprentice Trainee | BBSR, Odisha | Aug 2023 | Aug 2024 | 52 Weeks</t>
  </si>
  <si>
    <t>AutoCAD
STAADPro
3DS MAX</t>
  </si>
  <si>
    <t>P26700314</t>
  </si>
  <si>
    <t xml:space="preserve">Nandini </t>
  </si>
  <si>
    <t xml:space="preserve">Chandekar </t>
  </si>
  <si>
    <t xml:space="preserve">Nandini  Chandekar </t>
  </si>
  <si>
    <t>nandinichandekar216@gmail.com</t>
  </si>
  <si>
    <t>P26700314@student.nicmar.ac.in</t>
  </si>
  <si>
    <t xml:space="preserve">Painting ,Exploring places ,Listening music </t>
  </si>
  <si>
    <t xml:space="preserve">Rakesh </t>
  </si>
  <si>
    <t>Kalpana</t>
  </si>
  <si>
    <t>185/A, Near Nuri Majid, Azad Bunkar Colony Ashok Nagar Nagpur</t>
  </si>
  <si>
    <t>Mahatma Gandhi Centennial Sindhu High School &amp; Junior College</t>
  </si>
  <si>
    <t>Secondary and higher secondary education, pune</t>
  </si>
  <si>
    <t>G. H. Raisoni College of Engineering</t>
  </si>
  <si>
    <t xml:space="preserve">Government polytechnic, Nagpur </t>
  </si>
  <si>
    <t xml:space="preserve">Jspm’ rajarshi shahu college of engineering </t>
  </si>
  <si>
    <t>Autocad,MSP</t>
  </si>
  <si>
    <t xml:space="preserve">Know how on site learning </t>
  </si>
  <si>
    <t>P26700315</t>
  </si>
  <si>
    <t>Mohin</t>
  </si>
  <si>
    <t>Nagendra</t>
  </si>
  <si>
    <t>Parab</t>
  </si>
  <si>
    <t>Mohin Nagendra Parab</t>
  </si>
  <si>
    <t>mohinparab@gmail.com</t>
  </si>
  <si>
    <t>P26700315@student.nicmar.ac.in</t>
  </si>
  <si>
    <t>Tavelling,Roadtrips,Driving</t>
  </si>
  <si>
    <t>Nagendra Shamsundar Parab</t>
  </si>
  <si>
    <t>Sukhada Nagendra Parab</t>
  </si>
  <si>
    <t>332, Shyamsundar, Mayekarwadi, At post Pandur, Tal Kudal, Dist Sindhudurg</t>
  </si>
  <si>
    <t>Shivaji English School Pandur titha</t>
  </si>
  <si>
    <t>Dadasaheb Tirodkar Junior College, Pandur</t>
  </si>
  <si>
    <t>Pimpri Chinchwad College of Engineering, Pune</t>
  </si>
  <si>
    <t>MS Office,AutoCAD,MS Project</t>
  </si>
  <si>
    <t>Mangalmurti Sthapatya | Site Supervisor | Sindhudurg, Maharashtra | Jun 2024 | Jul 2024 | 4 Weeks</t>
  </si>
  <si>
    <t>P26700316</t>
  </si>
  <si>
    <t>V S Shreyas</t>
  </si>
  <si>
    <t>vsshreyas047@gmail.com</t>
  </si>
  <si>
    <t>P26700316@student.nicmar.ac.in</t>
  </si>
  <si>
    <t>cricket,badminton,music,trekking,travelling,geopolitics</t>
  </si>
  <si>
    <t>V M SRINIVASA REDDY</t>
  </si>
  <si>
    <t>SUJATHA R</t>
  </si>
  <si>
    <t>#392, 28th cross, 21st main, Judicial Layout Yelahanka, Bengaluru</t>
  </si>
  <si>
    <t>Sarvodaya National Public School</t>
  </si>
  <si>
    <t>Indian Certificate of Secondary Education , Bengaluru</t>
  </si>
  <si>
    <t xml:space="preserve">Sri Chaitanya Techno School </t>
  </si>
  <si>
    <t>Central Board of Secondary Education, Bengaluru</t>
  </si>
  <si>
    <t>visvesvaraya technological university</t>
  </si>
  <si>
    <t>Sir M. Visvesvaraya Institute of Technology</t>
  </si>
  <si>
    <t>Autocad,sketchup,vray,microsoft office,QGIS,ms project</t>
  </si>
  <si>
    <t>Bangalore Water Supply and Sewerage Board | Student intern | Sewage treatment plant, Yelahanka | Jan 2026 | May 2026 | 13 Weeks | Campus Internship</t>
  </si>
  <si>
    <t>P26700317</t>
  </si>
  <si>
    <t>Sudam</t>
  </si>
  <si>
    <t>Gunjal</t>
  </si>
  <si>
    <t>Yash Sudam Gunjal</t>
  </si>
  <si>
    <t>gunjaly837@gmail.com</t>
  </si>
  <si>
    <t>P26700317@student.nicmar.ac.in</t>
  </si>
  <si>
    <t>Reading, Music, Travelling</t>
  </si>
  <si>
    <t>Sudam Dhondiram Gunjal</t>
  </si>
  <si>
    <t>Ashwini Sudam Gunjal</t>
  </si>
  <si>
    <t xml:space="preserve"> Phathardi Phata Wasan Nagar Oscar Plaza Falt No 104 Nashik</t>
  </si>
  <si>
    <t>ST. Francis High School</t>
  </si>
  <si>
    <t xml:space="preserve">Maharashtra State Board Of Secondary And Higher Secondary Education, Pune </t>
  </si>
  <si>
    <t>Guru Gobind Singh Polytechnic Collage Of Engineering</t>
  </si>
  <si>
    <t xml:space="preserve">Gokhale Education Society R. H Sapat Collage Of Engineering </t>
  </si>
  <si>
    <t>AutoCad, MS Project,Excel</t>
  </si>
  <si>
    <t>P26700318</t>
  </si>
  <si>
    <t>MARISARLA</t>
  </si>
  <si>
    <t>MOHITH</t>
  </si>
  <si>
    <t>NAIDU</t>
  </si>
  <si>
    <t>Marisarla Mohith Naidu</t>
  </si>
  <si>
    <t>mohithmarisarla@gmail.com</t>
  </si>
  <si>
    <t>P26700318@student.nicmar.ac.in</t>
  </si>
  <si>
    <t>07-Jun-2003</t>
  </si>
  <si>
    <t>PLAYING GAMES,MOVIES,READING STORIES</t>
  </si>
  <si>
    <t>MARISARLA RAVI KUMAR</t>
  </si>
  <si>
    <t xml:space="preserve">MARISARLA LALITA KUMARI </t>
  </si>
  <si>
    <t>House No: 1-30 Main Road, Near Ramalayam, Chittapudivalasa.</t>
  </si>
  <si>
    <t>Manyam</t>
  </si>
  <si>
    <t>FLAT NO 115 SVS ROYAL PARADISE, MADHURAWADA</t>
  </si>
  <si>
    <t>Sri Chaitanya School</t>
  </si>
  <si>
    <t>Andhra pradesh</t>
  </si>
  <si>
    <t>Jawaharlal Nehru Technological University - Gurajada Vizianagaram</t>
  </si>
  <si>
    <t>Raghu Engineering College</t>
  </si>
  <si>
    <t>AutoCad,Revit,Etabs</t>
  </si>
  <si>
    <t>D.E.C Infrastructure &amp; Projects (India) Private Limited | Graduate Engineer Trainee | Chennai | Jun 2025 | May 2026 | 0 Years, 11 Months, 30 Days | 2.4</t>
  </si>
  <si>
    <t>RAJANA INFRA LLP | Intern | VISAKHAPATNAM | Dec 2024 | Mar 2025 | 12 Weeks
Navayuga Engineering Company Ltd. | Intern | Kalyan | Jun 2024 | Jul 2024 | 6 Weeks</t>
  </si>
  <si>
    <t>P26700319</t>
  </si>
  <si>
    <t>Ved</t>
  </si>
  <si>
    <t>Umredkar</t>
  </si>
  <si>
    <t>Ved Purushottam Umredkar</t>
  </si>
  <si>
    <t>vedumredkar@gmail.com</t>
  </si>
  <si>
    <t>P26700319@student.nicmar.ac.in</t>
  </si>
  <si>
    <t>25-Dec-2004</t>
  </si>
  <si>
    <t>Gym Workout,Swimming</t>
  </si>
  <si>
    <t>Purushottam Umredkar</t>
  </si>
  <si>
    <t>Private Worker</t>
  </si>
  <si>
    <t>Sonali Umredkar</t>
  </si>
  <si>
    <t>57,Gorle Layout,Jaitala Road,Nagpur</t>
  </si>
  <si>
    <t>Saraswati Vidyalaya School</t>
  </si>
  <si>
    <t>Maharashtra State Board Of Secondary &amp; Higher Secondary Education,Pune</t>
  </si>
  <si>
    <t xml:space="preserve">Hadas High School &amp; Junior College </t>
  </si>
  <si>
    <t>G H Raisoni University</t>
  </si>
  <si>
    <t>G H Raisoni College Of Engineering &amp; Management Nagpur</t>
  </si>
  <si>
    <t>AutoCAD,Revit,Staad Pro,Tekla Tedds,Forte Web</t>
  </si>
  <si>
    <t>FAECOM Engineering Pvt.Ltd | Building  Designer | Nagpur | Dec 2025 | Jun 2026 | 25 Weeks
Public Work Department (PWD) | Intern | Saoner | Jun 2025 | Jul 2025 | 4 Weeks</t>
  </si>
  <si>
    <t>Auto CAD
REVIT</t>
  </si>
  <si>
    <t>P26700320</t>
  </si>
  <si>
    <t>Rutik</t>
  </si>
  <si>
    <t>Banubakode</t>
  </si>
  <si>
    <t>Rutik Ramesh Banubakode</t>
  </si>
  <si>
    <t>rutikbakode6287@gmail.com</t>
  </si>
  <si>
    <t>P26700320@student.nicmar.ac.in</t>
  </si>
  <si>
    <t>Marathi, Hindi,english</t>
  </si>
  <si>
    <t>Fitness,Birding,Sketching</t>
  </si>
  <si>
    <t>Labour</t>
  </si>
  <si>
    <t>Sangita</t>
  </si>
  <si>
    <t>Parvati Nagar No.1 Akoli Road</t>
  </si>
  <si>
    <t>Takhatmal English High School and Junior College</t>
  </si>
  <si>
    <t>MSBSHSE, Pune, Maharashtra</t>
  </si>
  <si>
    <t>VYWS Polytechnic, Badnera, Amravati, Maharashtra</t>
  </si>
  <si>
    <t>Sant Gadge Baba Amravati University</t>
  </si>
  <si>
    <t>Prof Ram Meghe College of Engineering &amp; Management, Badnera, Amravati</t>
  </si>
  <si>
    <t>Autocad,Bim,Sketchup</t>
  </si>
  <si>
    <t>SHREE BALAJI ARCHI.CO.IFRA | Site Execution Engineer | Amravati | May 2024 | Nov 2024 | 0 Years, 6 Months, 0 Days</t>
  </si>
  <si>
    <t>P26700321</t>
  </si>
  <si>
    <t>Sushilkumar</t>
  </si>
  <si>
    <t>Sushilkumar Babasaheb Jadhav</t>
  </si>
  <si>
    <t>sushilkumarjadhav2001@gmail.com</t>
  </si>
  <si>
    <t>P26700321@student.nicmar.ac.in</t>
  </si>
  <si>
    <t>27-Oct-2001</t>
  </si>
  <si>
    <t>Kannada, English, Hindi</t>
  </si>
  <si>
    <t>playing football, cricket, carrom , reading books ,learn new skills</t>
  </si>
  <si>
    <t>Babasaheb Ganapati Jadhav</t>
  </si>
  <si>
    <t>Vijayalaxmi Bababsaheb Jadhav</t>
  </si>
  <si>
    <t>Kakhanadaki , Tq: Babaleswar, Dist</t>
  </si>
  <si>
    <t>ACT Sharada Public School</t>
  </si>
  <si>
    <t>CBSE, Vijayapura</t>
  </si>
  <si>
    <t>RKM PU College</t>
  </si>
  <si>
    <t>State Syllabus, Vijayapura</t>
  </si>
  <si>
    <t>KLE Dr. MSSCET, BELAGAVI</t>
  </si>
  <si>
    <t>AutoCAD,MS PROJECTS ,REVIT ARCHITECTURE-LOD 300,REVIT STRUCTURE-LOD 300, CIVIL 3D- LOD 300,REVIT MEP-LOD 300,NAVISWORKS - BIM COORDINATION - LOD 350,SKETCHUP,MS OFFICE,LUMION</t>
  </si>
  <si>
    <t>CADD Center | BIM Intern / BIM Trainee` | Bangalore | Sep 2025 | Jun 2026 | 40 Weeks | Campus Internship
BMRCL &amp; PMPL | Student Inten | Bangalore | Feb 2025 | Apr 2025 | 8 Weeks | Campus Internship
root.inc | Student Inten | Belagavi | May 2024 | Jul 2024 | 10 Weeks | Campus Internship
Academor | Student Inten | Belagavi | Apr 2023 | May 2023 | 8 Weeks | Campus Internship</t>
  </si>
  <si>
    <t>CADD Clash, Model Making</t>
  </si>
  <si>
    <t>P26700322</t>
  </si>
  <si>
    <t>Nevin</t>
  </si>
  <si>
    <t>Nevin Reji</t>
  </si>
  <si>
    <t>nevinreji26@gmail.com</t>
  </si>
  <si>
    <t>P26700322@student.nicmar.ac.in</t>
  </si>
  <si>
    <t xml:space="preserve">English,Hindi,malayalam </t>
  </si>
  <si>
    <t xml:space="preserve">Reading,Travelling ,Photography </t>
  </si>
  <si>
    <t xml:space="preserve">School Teacher </t>
  </si>
  <si>
    <t>Annakutty PJ</t>
  </si>
  <si>
    <t>School Teacher</t>
  </si>
  <si>
    <t>Elanjimattathil, Koilery, Payyampally P.O</t>
  </si>
  <si>
    <t>Wayanad</t>
  </si>
  <si>
    <t>Elanjimattathil, Koilery, Payyampally P.O, Wayanad, Kerala</t>
  </si>
  <si>
    <t>SCHSS Payyampally</t>
  </si>
  <si>
    <t>SHHSS Dwaraka</t>
  </si>
  <si>
    <t>Rajiv Gandhi Institute of Technology, Kottayam</t>
  </si>
  <si>
    <t>Kerakoll India Pvt. Ltd. | Engineer - Technical Services, Kerala &amp; Tamil Nadu | Kerala &amp; Tamil Nadu | Aug 2023 | Jun 2026 | 2 Years, 10 Months, 23 Days | 7.43</t>
  </si>
  <si>
    <t>P26700323</t>
  </si>
  <si>
    <t>Vaibhav Rajendra Rajput</t>
  </si>
  <si>
    <t>vaibhavr257@gmail.com</t>
  </si>
  <si>
    <t>P26700323@student.nicmar.ac.in</t>
  </si>
  <si>
    <t>28-Apr-2004</t>
  </si>
  <si>
    <t>HINDI,MARATHI,ENGLISH</t>
  </si>
  <si>
    <t xml:space="preserve">Fitness and gym training traveling play cricket chess ,music </t>
  </si>
  <si>
    <t>YOGITA</t>
  </si>
  <si>
    <t>Alankar housing society
plot no 30</t>
  </si>
  <si>
    <t>alankar housing society
plot no 30</t>
  </si>
  <si>
    <t>WONDER GARTEN SCHOOL</t>
  </si>
  <si>
    <t>G.P. Patil College, Kolgaon, Dist. Jalgaon 2021 – 2022</t>
  </si>
  <si>
    <t>Dr. Babasaheb Ambedkar Marathwada University</t>
  </si>
  <si>
    <t>GOVERNMENT COLLEGE OF ENGINEERING, Aurangabad</t>
  </si>
  <si>
    <t>AUTOCAD,MSP,STAAD PRO,MS OFFICE</t>
  </si>
  <si>
    <t>Public work department  | Site Engineering Intern – PWD | Chatrapati Sambhaji nagar pwd department  | Jun 2026 | Jul 2026 | 4 Weeks</t>
  </si>
  <si>
    <t>P26700324</t>
  </si>
  <si>
    <t>MAURYA</t>
  </si>
  <si>
    <t>POCHIMIREDDY</t>
  </si>
  <si>
    <t>Vivek Maurya Pochimireddy</t>
  </si>
  <si>
    <t>vivekmaurya.p@gmail.com</t>
  </si>
  <si>
    <t>P26700324@student.nicmar.ac.in</t>
  </si>
  <si>
    <t>15-Oct-2003</t>
  </si>
  <si>
    <t>RUNNING</t>
  </si>
  <si>
    <t>POCHIMIREDDY CHAKRADHARA REDDY</t>
  </si>
  <si>
    <t>POCHIMIREDDY SOWJANYA</t>
  </si>
  <si>
    <t>11-1-102, 2ndd cross, Aravindha Nagar, Near Paritala Ravi House, Anantapur, Andhra Pradesh</t>
  </si>
  <si>
    <t>AFFLATUS EM SCHOOL</t>
  </si>
  <si>
    <t>Board of Secondary Education ANDHRA PRADESH, INDIA</t>
  </si>
  <si>
    <t>NARAYANA JUNIOR COLLEGE Khaja Nagar, ANANTAPUR</t>
  </si>
  <si>
    <t>Board of Intermediate Education ANDHRA PRADESH, INDIA</t>
  </si>
  <si>
    <t>JAWAHARLAL NEHRU TECHNOLOGICAL UNIVERSITY ANANTAPUR COLLEGE OF ENGINEERING (AUTONOMOUS)</t>
  </si>
  <si>
    <t>AutoCAD,Revit,StaadPro</t>
  </si>
  <si>
    <t>BDR Constructions | Site Engineer | Anantapur | Dec 2025 | Mar 2026 | 16 Weeks</t>
  </si>
  <si>
    <t>Revit
Staadpro</t>
  </si>
  <si>
    <t>P26700325</t>
  </si>
  <si>
    <t>Sanika</t>
  </si>
  <si>
    <t>Abhijit</t>
  </si>
  <si>
    <t>Kanhere</t>
  </si>
  <si>
    <t>Sanika Abhijit Kanhere</t>
  </si>
  <si>
    <t>sanikakanhere01@gmail.com</t>
  </si>
  <si>
    <t>P26700325@student.nicmar.ac.in</t>
  </si>
  <si>
    <t xml:space="preserve">English,Hindi ,Marathi </t>
  </si>
  <si>
    <t>Painting, Sketching, Music, Photography</t>
  </si>
  <si>
    <t>Abhijit Vasudeo Kanhere</t>
  </si>
  <si>
    <t>Dipti Abhijit Kanhere</t>
  </si>
  <si>
    <t>95, Shaniwar Peth, Satara</t>
  </si>
  <si>
    <t xml:space="preserve">Gurukul Secondary School, Satara </t>
  </si>
  <si>
    <t>Yashwantrao Chavan Institute of Science, Satara</t>
  </si>
  <si>
    <t>Marathwada Mitra Mandal's College Of Architecture, Pune</t>
  </si>
  <si>
    <t>AutoCad, SketchUp, Lumion,Revit,D5,Enscape,Ms Office</t>
  </si>
  <si>
    <t>Naav Studio | Junior Architect | Hyderabad | Jul 2025 | Jun 2026 | 0 Years, 11 Months, 2 Days | 2.64</t>
  </si>
  <si>
    <t>Environ Planners | Architectural Intern | Nashik | Jun 2024 | Oct 2024 | 17 Weeks</t>
  </si>
  <si>
    <t>P26700326</t>
  </si>
  <si>
    <t>krakshay99@gmail.com</t>
  </si>
  <si>
    <t>P26700326@student.nicmar.ac.in</t>
  </si>
  <si>
    <t>25-Feb-1999</t>
  </si>
  <si>
    <t>Travelling,Physical Training,Cooking</t>
  </si>
  <si>
    <t>Kanhaiya Prasad Diwakar</t>
  </si>
  <si>
    <t>Anita Kumari</t>
  </si>
  <si>
    <t>Sahu Pokhar Lane, Kedar Nath Road, Near Radha Krishna Mandir, Mahammadpur Kazi</t>
  </si>
  <si>
    <t>Muzaffarpur</t>
  </si>
  <si>
    <t>St. Xavier's Jr/Sr School Ramna Muzaffarpur Bihar</t>
  </si>
  <si>
    <t>C.B.S.E</t>
  </si>
  <si>
    <t>RPS Public School Jhapha Muzaffarpur Bihar</t>
  </si>
  <si>
    <t>Biju Patnaik University Of Technology, Odisha</t>
  </si>
  <si>
    <t>Orissa Engineering College</t>
  </si>
  <si>
    <t>MS Office, MS Projects,Primavera</t>
  </si>
  <si>
    <t>J Kumar | Engineer (Operation) | Mumbai | May 2025 | Jul 2026 | 1 Years, 2 Months, 2 Days | 4.73
Imperial Technical Services | Sr. Engineer | Mumbai | Apr 2023 | Feb 2025 | 1 Years, 9 Months, 20 Days | 3.6</t>
  </si>
  <si>
    <t>Advanced Diploma in Structural Design &amp; Analysis</t>
  </si>
  <si>
    <t>P26700327</t>
  </si>
  <si>
    <t>Gazal</t>
  </si>
  <si>
    <t>Gazal Gupta</t>
  </si>
  <si>
    <t>gazal6122@gmail.com</t>
  </si>
  <si>
    <t>P26700327@student.nicmar.ac.in</t>
  </si>
  <si>
    <t>06-Dec-2002</t>
  </si>
  <si>
    <t>Travelling,Art, Dancing</t>
  </si>
  <si>
    <t>Girdhari Lal Gupta</t>
  </si>
  <si>
    <t>Electrical Consultant - NWR Railway</t>
  </si>
  <si>
    <t>Sarika Singhal</t>
  </si>
  <si>
    <t>Principal - Govt. School, Jaipur</t>
  </si>
  <si>
    <t>B-106, Anukampa Residency, Shanti Nagar, Durgapura, Jaipur, Rajasthan, 302018</t>
  </si>
  <si>
    <t>Rukmani Birla Modern High School</t>
  </si>
  <si>
    <t>CBSE, Jaipur</t>
  </si>
  <si>
    <t>Visveswaraiah Technological University</t>
  </si>
  <si>
    <t>RV College of Architecture, Karnataka</t>
  </si>
  <si>
    <t>Adobe Suite, AutoCad, Revit,Sketchup, D5, Lumion,MS Office</t>
  </si>
  <si>
    <t>MAITHEL &amp; ASSOCIATES ARCHITECTS | Intern Architect | Jaipur | Dec 2024 | Apr 2025 | 19 Weeks</t>
  </si>
  <si>
    <t>P26700328</t>
  </si>
  <si>
    <t>Manjiri</t>
  </si>
  <si>
    <t>Haridas</t>
  </si>
  <si>
    <t>Khule</t>
  </si>
  <si>
    <t>Manjiri Haridas Khule</t>
  </si>
  <si>
    <t>khulemanjiri1@gmail.com</t>
  </si>
  <si>
    <t>P26700328@student.nicmar.ac.in</t>
  </si>
  <si>
    <t>30-Jun-2003</t>
  </si>
  <si>
    <t>MARATHI, HINDI,ENGLISH</t>
  </si>
  <si>
    <t>Singing,Drawing</t>
  </si>
  <si>
    <t>Pt-33 Yadav Layout Kranti Colony Saturna Amravati - 444607</t>
  </si>
  <si>
    <t>Ranpise Apartment Mhalunge Pune</t>
  </si>
  <si>
    <t>School Of Scholars Amravati</t>
  </si>
  <si>
    <t>Central Board Of Secondary Education Maharashtra</t>
  </si>
  <si>
    <t>Government Polytechnic Amravati</t>
  </si>
  <si>
    <t>World Peace University</t>
  </si>
  <si>
    <t>MIT World Peace University Pune</t>
  </si>
  <si>
    <t>AutoCAD,MS Office, MS Project,STAAD.Pro,ETABS</t>
  </si>
  <si>
    <t>Megha Engineering and Infrastructures Limited | Graduate Engineer Trainee | Mumbai | Jan 2026 | Jun 2026 | 0 Years, 5 Months, 5 Days | 5.25</t>
  </si>
  <si>
    <t xml:space="preserve"> Abitkar Consulting Engineers Pvt Ltd | Trainee | Pune | Jan 2025 | Apr 2025 | 12 Weeks</t>
  </si>
  <si>
    <t>P26700329</t>
  </si>
  <si>
    <t>BAIRI</t>
  </si>
  <si>
    <t>Bairi Uday Kiran</t>
  </si>
  <si>
    <t>P26700329@student.nicmar.ac.in</t>
  </si>
  <si>
    <t>23-Jan-2002</t>
  </si>
  <si>
    <t>Reading news,Playing cricket</t>
  </si>
  <si>
    <t>BAIRI APPANNA</t>
  </si>
  <si>
    <t>C.R.P.F</t>
  </si>
  <si>
    <t>BAIRI SRIDEVI</t>
  </si>
  <si>
    <t>KOTTAPETA VEEDHI,SARAVAKOTA,PO:SARAVAKOTA</t>
  </si>
  <si>
    <t>RAVINDRA BHARATHI SCHOOL</t>
  </si>
  <si>
    <t>BOARD OF INTERMEDIATE EDUCATION</t>
  </si>
  <si>
    <t>ANIL NEERUKONDA INSTITUTE OF TECHNOLOGY AND SCIENCES</t>
  </si>
  <si>
    <t>AutoCAD,REVIT,STAAD PRO</t>
  </si>
  <si>
    <t>Sri.Pasunuri Venkat Reddy | Junior Site Engineer | Hyderabad | May 2023 | May 2023 | 2 Weeks</t>
  </si>
  <si>
    <t>Introduction to Civil Engineering
 International English Language Testing System
German language
AutoCAD
Introduction to MS Excel</t>
  </si>
  <si>
    <t>P26700330</t>
  </si>
  <si>
    <t>Kawade</t>
  </si>
  <si>
    <t>Mansi</t>
  </si>
  <si>
    <t>Kawade Mansi Rajendra</t>
  </si>
  <si>
    <t>P26700330@student.nicmar.ac.in</t>
  </si>
  <si>
    <t>15-Jan-2004</t>
  </si>
  <si>
    <t>Marathi,hindi,English,French</t>
  </si>
  <si>
    <t>non fiction book,Football</t>
  </si>
  <si>
    <t>Real estate</t>
  </si>
  <si>
    <t>Chhaya</t>
  </si>
  <si>
    <t>104, first floor, Mauli apt, Plot: 122, Sec 25, Ulwe, Navi mumbai, Raigad.</t>
  </si>
  <si>
    <t>P26700331</t>
  </si>
  <si>
    <t>ANDE</t>
  </si>
  <si>
    <t>Ande Tanmay Damodar</t>
  </si>
  <si>
    <t>tanmayande002@gmail.com</t>
  </si>
  <si>
    <t>P26700331@student.nicmar.ac.in</t>
  </si>
  <si>
    <t>22-Jun-2001</t>
  </si>
  <si>
    <t>TRAVELLING AND EXPLORING NEW PLACES ,PHOTOGRAPHY,READING ,FITNESSS AND GYM,SPORTS AND OUTDOORS ACTIVITY,VOLUNTEERING AND COMMUNITY ACTIVITIES</t>
  </si>
  <si>
    <t>DAMODAR ANDE</t>
  </si>
  <si>
    <t>RANJANA ANDE</t>
  </si>
  <si>
    <t>VIJAYNAGAR TEMBURKHEDA ROAD ,WARUD</t>
  </si>
  <si>
    <t xml:space="preserve">NEW ORABGE CITY CONVENT </t>
  </si>
  <si>
    <t>CBSE BOARD , WARUD , MAHARASHTRA</t>
  </si>
  <si>
    <t xml:space="preserve">TAYWADE JUNIOR COLLEGE </t>
  </si>
  <si>
    <t xml:space="preserve">MAHARASHTRA STATE BOARD OF SECONDAR AND HIGHER SECONDARY EDUCATION, KORADI, MAHARASHTRA  </t>
  </si>
  <si>
    <t>SINHGAD COLLEGE OF ENGINEERING, PUNE, MAHARASHTRA</t>
  </si>
  <si>
    <t>MS OFFICE,MS PROJECT</t>
  </si>
  <si>
    <t>P26700332</t>
  </si>
  <si>
    <t>Chaitrashree</t>
  </si>
  <si>
    <t>Chaitrashree R</t>
  </si>
  <si>
    <t>chaitrashree.raghu@gmail.com</t>
  </si>
  <si>
    <t>P26700332@student.nicmar.ac.in</t>
  </si>
  <si>
    <t>10-Aug-2001</t>
  </si>
  <si>
    <t>Music,Photography,Reading,Badmition</t>
  </si>
  <si>
    <t>L G Raghu</t>
  </si>
  <si>
    <t xml:space="preserve">Own Business </t>
  </si>
  <si>
    <t xml:space="preserve">Manjula Raghu </t>
  </si>
  <si>
    <t>40/1 MIG, 6th main, 1st stage, KHB Colony, Basaveshwaranagar, Bengaluru - 560079</t>
  </si>
  <si>
    <t>National Public School, Yeshwanthpur</t>
  </si>
  <si>
    <t xml:space="preserve">Deeksha Center for Learning PU College, Kanakpura road </t>
  </si>
  <si>
    <t>Department of Pre-University Education, Bengaluru, Karnataka</t>
  </si>
  <si>
    <t>Visvesvaraya Technological University, Belagavi (VTU)</t>
  </si>
  <si>
    <t>M. S. Ramaiah Institute of Technology, School of Architecture, Bengaluru, Karnataka</t>
  </si>
  <si>
    <t>AutoCAD,Sketchup,Revit,Enscape,Adobe Photoshop</t>
  </si>
  <si>
    <t>Studio GSA | Architect | Bengaluru | Sep 2024 | Sep 2025 | 1 Years, 0 Months, 13 Days | 3</t>
  </si>
  <si>
    <t>Open to Sky Architects | Architectural Intern  | Bengaluru | Jan 2024 | May 2024 | 18 Weeks</t>
  </si>
  <si>
    <t>3D Interior and Exterior design</t>
  </si>
  <si>
    <t>P26700333</t>
  </si>
  <si>
    <t>Janardhan</t>
  </si>
  <si>
    <t>Rasal</t>
  </si>
  <si>
    <t>Yash Janardhan Rasal</t>
  </si>
  <si>
    <t>yashrasal688@gmail.com</t>
  </si>
  <si>
    <t>P26700333@student.nicmar.ac.in</t>
  </si>
  <si>
    <t>09-Feb-2002</t>
  </si>
  <si>
    <t>Janardhan Gangaram Rasal</t>
  </si>
  <si>
    <t>Nalini Janardhan Rasal</t>
  </si>
  <si>
    <t>At: Anjrun; Dist: Raigad: Tal: Khalapur</t>
  </si>
  <si>
    <t>Shishu Mandir Khopoli</t>
  </si>
  <si>
    <t>Maharashtra State Board of Secondary and higher secondary education</t>
  </si>
  <si>
    <t>Janata Vidyalaya khopoli</t>
  </si>
  <si>
    <t xml:space="preserve">Maharashtra State board of secondary and higher secondary Education </t>
  </si>
  <si>
    <t>MSBTE</t>
  </si>
  <si>
    <t>Pillai HOC College of Engineering and Technology</t>
  </si>
  <si>
    <t>UTPNN GREENTECH PVT LTD | Graduate Engineer Trainee | Kamothe, Navi Mumbai | Sep 2024 | Jun 2025 | 0 Years, 9 Months, 19 Days | 4.75
Mauna Kea Pvt Ltd (Muscovite Group) | Planning Engineer | Kalyan, Maharashtra | Sep 2025 | May 2026 | 0 Years, 7 Months, 15 Days | 3.24</t>
  </si>
  <si>
    <t>P26700334</t>
  </si>
  <si>
    <t>Karan</t>
  </si>
  <si>
    <t>Karan Ravindra Sonawane</t>
  </si>
  <si>
    <t>kksnwn39@gmail.com</t>
  </si>
  <si>
    <t>P26700334@student.nicmar.ac.in</t>
  </si>
  <si>
    <t>10-Jul-2002</t>
  </si>
  <si>
    <t>travelling,chess,movies&amp;series,Reading</t>
  </si>
  <si>
    <t>Bebi</t>
  </si>
  <si>
    <t>Shivdham apartment,Nimkhedi Shiwar, Jalgaon,</t>
  </si>
  <si>
    <t>SHivdham apartment,Nimkhedi Shiwar, Jalgaon,</t>
  </si>
  <si>
    <t>Raosaheb Rupchand vidyalaya</t>
  </si>
  <si>
    <t>Maharashtra State Board, Jalgaon</t>
  </si>
  <si>
    <t>Sinhgad College of Engineering Pune</t>
  </si>
  <si>
    <t>Autocad,MS project,Excel</t>
  </si>
  <si>
    <t>Shree balaji Infrastructure | Site Engineer Intern | Jalgaon | Aug 2024 | Jan 2025 | 26 Weeks</t>
  </si>
  <si>
    <t>P26700335</t>
  </si>
  <si>
    <t>Deshmukh</t>
  </si>
  <si>
    <t>Sarth</t>
  </si>
  <si>
    <t>Vijayrao</t>
  </si>
  <si>
    <t>Deshmukh Sarth Vijayrao</t>
  </si>
  <si>
    <t>sarthdeshmukh1846@gmail.com</t>
  </si>
  <si>
    <t>P26700335@student.nicmar.ac.in</t>
  </si>
  <si>
    <t>26-Feb-2000</t>
  </si>
  <si>
    <t>Reading, Planting Trees, Sports</t>
  </si>
  <si>
    <t>Vijay Deshmukh</t>
  </si>
  <si>
    <t>Pradnya Deshmukh</t>
  </si>
  <si>
    <t>Plot no. 15, Pradeep dada Nagar, Besides Kadi Karkhana, Chalisgaon</t>
  </si>
  <si>
    <t>Grace Academy</t>
  </si>
  <si>
    <t>Sau. Jayashree Ganesh Purnapatre JR. College</t>
  </si>
  <si>
    <t xml:space="preserve">AISSMS COE PUNE. ( MAHARASHTRA) </t>
  </si>
  <si>
    <t>AutoCad, MS Project</t>
  </si>
  <si>
    <t>P26700336</t>
  </si>
  <si>
    <t>Kodam</t>
  </si>
  <si>
    <t>Kodam Nikhil</t>
  </si>
  <si>
    <t>nikhilkodam2002@gmail.com</t>
  </si>
  <si>
    <t>P26700336@student.nicmar.ac.in</t>
  </si>
  <si>
    <t>English,Hindi ,Telugu</t>
  </si>
  <si>
    <t>Travelling,Photography,New Technologies</t>
  </si>
  <si>
    <t>Kodam Rajesham</t>
  </si>
  <si>
    <t>Kodam Roja</t>
  </si>
  <si>
    <t>5-10, Chandrampeta, Sircilla</t>
  </si>
  <si>
    <t>Rajanna Sircilla</t>
  </si>
  <si>
    <t>Celestial High School</t>
  </si>
  <si>
    <t>SRRS Govt Polytechnic, Telangana</t>
  </si>
  <si>
    <t>Jawaharlal Nehru Technological University Hyderabad</t>
  </si>
  <si>
    <t>Geethanjali College of Engineering and Technology, Telangana</t>
  </si>
  <si>
    <t>AutoCAD,Revit,STAAD.Pro,SketchUp,Ms office,Ms Project</t>
  </si>
  <si>
    <t>Kalpataru Projects International Limited | Graduate Engineer Trainee | Hyderabad | Jul 2025 | Jun 2026 | 0 Years, 11 Months, 9 Days | 4.5</t>
  </si>
  <si>
    <t>VKK Constructions | Intern | Hyderabad | May 2024 | May 2024 | 3 Weeks
HV Constructions | Intern | Hyderabad | May 2023 | Jun 2023 | 4 Weeks
Town Planning Department, Municipal Corporation  | Trainee | Rajanna Sircilla | Aug 2021 | Jan 2022 | 23 Weeks</t>
  </si>
  <si>
    <t>Sketch Up
Building Design Modelling and Analysis
AutoCAD</t>
  </si>
  <si>
    <t>P26700337</t>
  </si>
  <si>
    <t>ASMITA</t>
  </si>
  <si>
    <t>TALUKDAR</t>
  </si>
  <si>
    <t>Asmita Talukdar</t>
  </si>
  <si>
    <t>talukdarasmita@gmail.com</t>
  </si>
  <si>
    <t>P26700337@student.nicmar.ac.in</t>
  </si>
  <si>
    <t>10-Jun-1998</t>
  </si>
  <si>
    <t>English, Hindi, Bengali, Marathi</t>
  </si>
  <si>
    <t>Singing, Dancing, Photography,Dramatics</t>
  </si>
  <si>
    <t>ARNAB KUMAR TALUKDAR</t>
  </si>
  <si>
    <t>CHIRASREE TALUKDAR</t>
  </si>
  <si>
    <t>D/901, Joy Homes, L.B.S. Marg, Bhandup West</t>
  </si>
  <si>
    <t xml:space="preserve">D/3801, Ciana Tower, Atmosphere O2, GMLR, Mulund West </t>
  </si>
  <si>
    <t>K.V.I.I.T Powai</t>
  </si>
  <si>
    <t>CBSE, Mumbai, Maharashtra</t>
  </si>
  <si>
    <t>Sir J.J. College Of Architecture</t>
  </si>
  <si>
    <t>Autocad,MS Office,MS Project,Sketchup,Revit,Rhino,Adobe Photoshop,D5, Lumion</t>
  </si>
  <si>
    <t>JP Infra | Executive Architect | Mumbai | Sep 2025 | Jul 2026 | 0 Years, 9 Months, 24 Days | 7.31
Studio Momentum x JSW  | Assistant Manager - Design | Mumbai | Jan 2024 | Sep 2025 | 1 Years, 8 Months, 6 Days | 5.62
Maheshwari and Associates | Architect | Mumbai | Aug 2022 | Dec 2023 | 1 Years, 4 Months, 14 Days | 4.20
Abhikalpan Architects &amp; Planners | Junior Consultant Architect | Mumbai | Oct 2021 | Aug 2022 | 0 Years, 9 Months, 21 Days | 2.4</t>
  </si>
  <si>
    <t>56 month(s)</t>
  </si>
  <si>
    <t>SAS Design | Intern | Mumbai | Jun 2021 | Sep 2021 | 12 Weeks
Abin Design Studio | Trainee Architect | Kolkata | Dec 2019 | Apr 2020 | 21 Weeks
Abin Design Studio | Trainee Architect | Kolkata | May 2019 | May 2019 | 3 Weeks</t>
  </si>
  <si>
    <t>Google Project Management Course Series
Coursera Sustainable cities Series 
Building Smarter -BIM in Practice Course Series</t>
  </si>
  <si>
    <t>P26700338</t>
  </si>
  <si>
    <t>Mandar</t>
  </si>
  <si>
    <t>Mandar Ramesh Bhosale</t>
  </si>
  <si>
    <t>bhosalemandar.bcl@gmail.com</t>
  </si>
  <si>
    <t>P26700338@student.nicmar.ac.in</t>
  </si>
  <si>
    <t>09-Jan-2004</t>
  </si>
  <si>
    <t>Reading,Chess,Swimming,Working out,Study Human Behaviour</t>
  </si>
  <si>
    <t>Mangal</t>
  </si>
  <si>
    <t>Maharashtra Pune 411014 , Ganpati Housing Society Lane No 1 House no 14</t>
  </si>
  <si>
    <t>Stella Maris High School  [Convent]</t>
  </si>
  <si>
    <t>Kolhapur Warnanagar</t>
  </si>
  <si>
    <t>Savitribai Phule University (Pune University)</t>
  </si>
  <si>
    <t>All India Shri Shivaji Memorial Society Institute of engineering and Technology (A.I.S.S.M.S)</t>
  </si>
  <si>
    <t>Auto Cad,Newton Software,MS Office,Power BI,MSP,Highrise  ERP Software</t>
  </si>
  <si>
    <t>Bramha Corp Ltd | Trainee Estimator | Pune 01 | Jul 2025 | Jun 2026 | 0 Years, 11 Months, 28 Days | 1.8</t>
  </si>
  <si>
    <t>Aashi Solutions  | Trainee Engineer | Pune Hadapsar | Dec 2023 | Jan 2024 | 4 Weeks | Campus Internship</t>
  </si>
  <si>
    <t>P26700339</t>
  </si>
  <si>
    <t>Sahuji</t>
  </si>
  <si>
    <t>Mayank</t>
  </si>
  <si>
    <t>Kailas</t>
  </si>
  <si>
    <t>Sahuji Mayank Kailas</t>
  </si>
  <si>
    <t>sahujimayank1@gmail.com</t>
  </si>
  <si>
    <t>P26700339@student.nicmar.ac.in</t>
  </si>
  <si>
    <t>30-Jan-2002</t>
  </si>
  <si>
    <t>English,Hindi ,Marathi,Marwadi</t>
  </si>
  <si>
    <t>Traveling,Listning music</t>
  </si>
  <si>
    <t>Kailas Sahuji</t>
  </si>
  <si>
    <t>Sheela Sahuji</t>
  </si>
  <si>
    <t xml:space="preserve">Plot No 98 N-2 CIDCO, Mayanagar Colony . </t>
  </si>
  <si>
    <t>St. Lawrence High School</t>
  </si>
  <si>
    <t>Maharashtra state board of secondary and higher secondary education Pune Maharashtra</t>
  </si>
  <si>
    <t xml:space="preserve">Diploma Civil engineering </t>
  </si>
  <si>
    <t>MGM College Of Polytechnic, Aurangabad Maharashtra</t>
  </si>
  <si>
    <t>MGM UNIVERSITY</t>
  </si>
  <si>
    <t>JAWHARLAL NEHRU COLLEGE OF ENGINEERING, AURANGABAD MAHARASHTRA.</t>
  </si>
  <si>
    <t>AutoCAD MS Project , MS Office</t>
  </si>
  <si>
    <t>MGM CONSTRUCTIONS  | Site JR engineer  | Aurangabad  | Dec 2024 | Apr 2025 | 16 Weeks</t>
  </si>
  <si>
    <t>P26700340</t>
  </si>
  <si>
    <t>P26700340@student.nicmar.ac.in</t>
  </si>
  <si>
    <t>P26700341</t>
  </si>
  <si>
    <t>Pandey</t>
  </si>
  <si>
    <t>Adarsh Kumar Pandey</t>
  </si>
  <si>
    <t>aniketp9919@gmail.com</t>
  </si>
  <si>
    <t>P26700341@student.nicmar.ac.in</t>
  </si>
  <si>
    <t>05-Jul-2001</t>
  </si>
  <si>
    <t>Playing cricket,Music</t>
  </si>
  <si>
    <t>Ashok Kumar Pandey</t>
  </si>
  <si>
    <t>Security Branch Manager</t>
  </si>
  <si>
    <t>Indu Pandey</t>
  </si>
  <si>
    <t>Barahupur maharajganj jaunpur</t>
  </si>
  <si>
    <t>Jaunpur</t>
  </si>
  <si>
    <t>4/204 Rashmi Complex</t>
  </si>
  <si>
    <t>Bal Bharti Public School</t>
  </si>
  <si>
    <t>Indian Certificate of Secondary Education, Varanasi/Uttar Pradesh</t>
  </si>
  <si>
    <t>Bal Bharti School</t>
  </si>
  <si>
    <t>Central Board of Secondary Education, Prayagraj/Uttar Pradesh</t>
  </si>
  <si>
    <t>University of Mumbai (MU)</t>
  </si>
  <si>
    <t>L. R. Tiwari College of Engineering Thane/Maharashtra</t>
  </si>
  <si>
    <t>AutoCad MS Office,Ms office,Ms project</t>
  </si>
  <si>
    <t>Rathore Developers | Site Engineering Intern | Mumbai | May 2023 | Nov 2023 | 27 Weeks</t>
  </si>
  <si>
    <t>P26700342</t>
  </si>
  <si>
    <t>Jabez</t>
  </si>
  <si>
    <t>George</t>
  </si>
  <si>
    <t>Jabez George</t>
  </si>
  <si>
    <t>jabezgeo357@gmail.com</t>
  </si>
  <si>
    <t>P26700342@student.nicmar.ac.in</t>
  </si>
  <si>
    <t xml:space="preserve">Sports,Cooking,Driving,Upskilling construction softwares </t>
  </si>
  <si>
    <t>George Thomas</t>
  </si>
  <si>
    <t>Catering</t>
  </si>
  <si>
    <t>Tiny George</t>
  </si>
  <si>
    <t>Nil</t>
  </si>
  <si>
    <t>Madappallil Patteril (H) Chengaroor PO Mallappally</t>
  </si>
  <si>
    <t>Pathanamthitta</t>
  </si>
  <si>
    <t>ST.MARY'S H S ANIKAD</t>
  </si>
  <si>
    <t>THSS-IHRD MALLAPALLY</t>
  </si>
  <si>
    <t>Board of Higher Secondary Examinations</t>
  </si>
  <si>
    <t>SJCET Palai</t>
  </si>
  <si>
    <t>AutoCAD,Revit,MS Project,Primavera,PlanSwift,SketchUp</t>
  </si>
  <si>
    <t>NPTEL-Air Pollution &amp; Control
NCETSE 2025 (Soil Stabilization Using Geopolymer)</t>
  </si>
  <si>
    <t>P26700343</t>
  </si>
  <si>
    <t>Prabhakar</t>
  </si>
  <si>
    <t>Kotkar</t>
  </si>
  <si>
    <t>Tanmay Prabhakar Kotkar</t>
  </si>
  <si>
    <t>artanmayk@gmail.com</t>
  </si>
  <si>
    <t>P26700343@student.nicmar.ac.in</t>
  </si>
  <si>
    <t>09-Dec-1999</t>
  </si>
  <si>
    <t>Endurance Activities,Community Involvement</t>
  </si>
  <si>
    <t>Prabhakar Kotkar</t>
  </si>
  <si>
    <t>Retired Government Officer (B.E.S.T)</t>
  </si>
  <si>
    <t>Pratima Kotkar</t>
  </si>
  <si>
    <t>B3/404, Swastik Park, Brahmand, Ghodbunder Road, Thane West, 400607</t>
  </si>
  <si>
    <t>Sri Ma Vidyalaya</t>
  </si>
  <si>
    <t>Maharashtra Sate Board Of Secondary And Higher Secondary Education, Pune</t>
  </si>
  <si>
    <t>M.H. Junior College Classes, Thane</t>
  </si>
  <si>
    <t>Rachana Sansad's Academy Of Architecture, Mumbai, Maharashtra</t>
  </si>
  <si>
    <t>AutoCad,Revit,Sketchup,MS Project,Vray,Lumion,Abode Photoshop,Adobe Indesign,MS Excel,MS Powerpoint</t>
  </si>
  <si>
    <t>Archgroup International Private Limited | Junior Architect | Mumbai, Maharashtra | Oct 2022 | Apr 2023 | 0 Years, 5 Months, 25 Days | 3
JP Parekh &amp; Son Architects | Junior Architect | Mumbai, Maharashtra | May 2023 | Nov 2023 | 0 Years, 5 Months, 20 Days | 3.0
Collage Design Private Limited | Junior Architect | Mumbai, Maharashtra | Oct 2024 | Jul 2026 | 1 Years, 8 Months, 17 Days | 5.28</t>
  </si>
  <si>
    <t>Daisaria Associates  | Architecture Intern | Mumbai, Maharashtra | Dec 2020 | Apr 2021 | 17 Weeks</t>
  </si>
  <si>
    <t>P26700344</t>
  </si>
  <si>
    <t>Kirtankumar</t>
  </si>
  <si>
    <t>Mineshkumar</t>
  </si>
  <si>
    <t>Kirtankumar Mineshkumar Patel</t>
  </si>
  <si>
    <t>P26700344@student.nicmar.ac.in</t>
  </si>
  <si>
    <t>01-Jul-2003</t>
  </si>
  <si>
    <t xml:space="preserve">Gujarati, Hindi, english </t>
  </si>
  <si>
    <t>movies and travel</t>
  </si>
  <si>
    <t>9928 2484 7299</t>
  </si>
  <si>
    <t>Mineshkumar Kirtibhai Patel</t>
  </si>
  <si>
    <t>Business man</t>
  </si>
  <si>
    <t>Falguniben Mineshkumar Patel</t>
  </si>
  <si>
    <t>3,umiya 
Bunglows,, opp,divya jyot Tenament., Nikol 
i 
~ Naroda Road, Ahmadabad, Gujarat. 382350</t>
  </si>
  <si>
    <t xml:space="preserve"> Kaavyaratna Infra LLP | intern | Gift city Gandhinagar | Jun 2025 | Jul 2025 | 0 Years, 1 Months, 4 Days
PSP Projects Ltd | intern ( junior engineer) | Sarkhej Okaf, Ahmedabad, Gujarat  | Jan 2025 | Apr 2025 | 0 Years, 3 Months, 1 Days</t>
  </si>
  <si>
    <t>P26700345</t>
  </si>
  <si>
    <t xml:space="preserve">Karthik </t>
  </si>
  <si>
    <t>Karthik  R</t>
  </si>
  <si>
    <t>Karthikratheesh33@gmail.com</t>
  </si>
  <si>
    <t>P26700345@student.nicmar.ac.in</t>
  </si>
  <si>
    <t>13-Jun-2002</t>
  </si>
  <si>
    <t>Sports</t>
  </si>
  <si>
    <t>Ratheesh Kumar R</t>
  </si>
  <si>
    <t>Nisha Gopinath</t>
  </si>
  <si>
    <t>SANTHAM;RVRA-21;RIVER VALLEY RESIDENTS ASSOCIATION;KANJIRAMPARA P.O; THIRUVANANTHAPURAM-695030</t>
  </si>
  <si>
    <t>Sri Ravishankar Vidya Mandir Trust , Attingal</t>
  </si>
  <si>
    <t>CBSE, Trivandrum, Kerala</t>
  </si>
  <si>
    <t>Sarvodaya Central Vidyalaya</t>
  </si>
  <si>
    <t>Kerala Technical University(KTU)</t>
  </si>
  <si>
    <t>Mar Baselios College of Engineering and Technology</t>
  </si>
  <si>
    <t>Primavera P6,  MS office</t>
  </si>
  <si>
    <t>Gulf Asia Contracting Company LLC | Junior Engineer Civil/Project Controls | Saudi Arabia | Mar 2025 | Jun 2026 | 1 Years, 3 Months, 10 Days | 6
Beacon Projects Private Ltd | Site Engineer | Kerala, India | Jun 2024 | Feb 2025 | 0 Years, 8 Months, 25 Days | 1.80</t>
  </si>
  <si>
    <t>Nirmithi Kendra | Site Intern | Alappuzha | Oct 2022 | Oct 2022 | 0 Weeks | Campus Internship
Public works department, Thiruvananthapuram | Site Intern | Thiruvananthapuram | Sep 2023 | Sep 2023 | 1 Weeks | Campus Internship</t>
  </si>
  <si>
    <t>Primavera P6 - Kerala state Rutronix
Basics of construction project planning- Alison</t>
  </si>
  <si>
    <t>P26700346</t>
  </si>
  <si>
    <t xml:space="preserve">Dherange </t>
  </si>
  <si>
    <t xml:space="preserve">Sujal Mohan Dherange </t>
  </si>
  <si>
    <t>dherangesujal02@gmail.com</t>
  </si>
  <si>
    <t>P26700346@student.nicmar.ac.in</t>
  </si>
  <si>
    <t>02-Nov-2003</t>
  </si>
  <si>
    <t>Hindi,English,marathi</t>
  </si>
  <si>
    <t>Fitness,travelling,networking,running</t>
  </si>
  <si>
    <t>Mohan Devram Dherange</t>
  </si>
  <si>
    <t>Government service</t>
  </si>
  <si>
    <t>Nilima Mohan Dherange</t>
  </si>
  <si>
    <t>Tulip-1904 Regency Garden, sec -6, kharghar , navi mumbai 410210</t>
  </si>
  <si>
    <t>402 Woods Regency,beside Amar tech park , Balewadi 411045</t>
  </si>
  <si>
    <t>Ryan International school</t>
  </si>
  <si>
    <t>ICSE-Navi mumbai-Maharashtra</t>
  </si>
  <si>
    <t>2007-Jul</t>
  </si>
  <si>
    <t>Bharti Viyapeeth Institute of Technology</t>
  </si>
  <si>
    <t>Saraswati College Of Engineering-Navi Mumbai-Maharashtra</t>
  </si>
  <si>
    <t>Autocad,Excel</t>
  </si>
  <si>
    <t>P26700347</t>
  </si>
  <si>
    <t xml:space="preserve">Swagata </t>
  </si>
  <si>
    <t>Hazra</t>
  </si>
  <si>
    <t>Swagata  Hazra</t>
  </si>
  <si>
    <t>hazraswagata1997@gmail.com</t>
  </si>
  <si>
    <t>P26700347@student.nicmar.ac.in</t>
  </si>
  <si>
    <t xml:space="preserve">Hindi ,English ,Bengali </t>
  </si>
  <si>
    <t>Indoor gardening , Travelling , Trekking</t>
  </si>
  <si>
    <t>Amal Kanti Hazra</t>
  </si>
  <si>
    <t>Bratati Hazra</t>
  </si>
  <si>
    <t>Goverment Job</t>
  </si>
  <si>
    <t>Vill -Nuniagoda , Po + Ps - Daspur , Dist -West Midnapur</t>
  </si>
  <si>
    <t>Daspur Vivekananda High School</t>
  </si>
  <si>
    <t>Diploma Civil Engineering</t>
  </si>
  <si>
    <t xml:space="preserve">Maulana Abul kalam Azad University Of Technology </t>
  </si>
  <si>
    <t>Future Institute Of Technology</t>
  </si>
  <si>
    <t xml:space="preserve">AUTOCAD </t>
  </si>
  <si>
    <t>P26700348</t>
  </si>
  <si>
    <t>Jaiwant</t>
  </si>
  <si>
    <t>Tejas Jaiwant</t>
  </si>
  <si>
    <t>tejasjaiwant@gmail.com</t>
  </si>
  <si>
    <t>P26700348@student.nicmar.ac.in</t>
  </si>
  <si>
    <t>English,Hindi,Malyalam</t>
  </si>
  <si>
    <t>Art and Animation</t>
  </si>
  <si>
    <t>Kunnanath Mooliyil Jaiwant</t>
  </si>
  <si>
    <t>Bindu Jaiwant</t>
  </si>
  <si>
    <t>Plot No. 154, 1st stage, Rani Chennamma Nagar, Belagavi, Karnataka - 590006</t>
  </si>
  <si>
    <t>Silver Jubliee Hostel, NICMAR University, Balewadi, Pune, Maharashtra - 411045</t>
  </si>
  <si>
    <t>St. Paul's High School</t>
  </si>
  <si>
    <t>K.L.E. Society’s Raja Lakhamagouda Science Institute</t>
  </si>
  <si>
    <t>Government of Karnataka - Department of Pre-University Education</t>
  </si>
  <si>
    <t>KLE DR M.S. Sheshgiri College of Engineering and Technology</t>
  </si>
  <si>
    <t>AutoCAD,Staad Pro,MS Excel, MS Project</t>
  </si>
  <si>
    <t>MyMane (Zameendeko Tech Ventures) | Production &amp; Marketing Associate | Belagavi | May 2025 | Jul 2026 | 1 Years, 2 Months, 0 Days | 3.6</t>
  </si>
  <si>
    <t>P26700349</t>
  </si>
  <si>
    <t xml:space="preserve">Yogesh </t>
  </si>
  <si>
    <t>Yogesh  R</t>
  </si>
  <si>
    <t>brijesh20871@gmail.com</t>
  </si>
  <si>
    <t>P26700349@student.nicmar.ac.in</t>
  </si>
  <si>
    <t>05/09/2003</t>
  </si>
  <si>
    <t xml:space="preserve">English,Tamil,Telugu </t>
  </si>
  <si>
    <t>Cricket,badminton,chess</t>
  </si>
  <si>
    <t>RAMESH B</t>
  </si>
  <si>
    <t>LOGAMBAL. R</t>
  </si>
  <si>
    <t xml:space="preserve">NO.6 ENGINEERS AVENUE RAGHAVA NAGAR 5TH CROSS STREET MADIPAKKAM,CHENNAI </t>
  </si>
  <si>
    <t>NICMAR Hostel</t>
  </si>
  <si>
    <t>Zion Matriculation Higher Secondary School Sembakkam</t>
  </si>
  <si>
    <t>State Board of Secondary Education, Chennai, Tamil Nadu</t>
  </si>
  <si>
    <t>st joseph college of engineering ,chennai</t>
  </si>
  <si>
    <t xml:space="preserve">st joseph college of engineering ,chennai,Tamilnadu </t>
  </si>
  <si>
    <t>Autocad ,3DS MAX,SKETCHUP</t>
  </si>
  <si>
    <t>R2S TECH SOLUTIONS  | Designer  | Chennai  | Jun 2025 | Apr 2026 | 0 Years, 10 Months, 21 Days | 2.6</t>
  </si>
  <si>
    <t>P26700350</t>
  </si>
  <si>
    <t>ATHITHA</t>
  </si>
  <si>
    <t>Athitha A</t>
  </si>
  <si>
    <t>athitharanoop004@gmail.com</t>
  </si>
  <si>
    <t>P26700350@student.nicmar.ac.in</t>
  </si>
  <si>
    <t>27-Mar-2004</t>
  </si>
  <si>
    <t>Malayalam, English, Hindi,tamil</t>
  </si>
  <si>
    <t>Reading, Craft Works, Music,Dance</t>
  </si>
  <si>
    <t>Anoop M P</t>
  </si>
  <si>
    <t xml:space="preserve">Area Branch Manager in a Private Company </t>
  </si>
  <si>
    <t>Riji G</t>
  </si>
  <si>
    <t xml:space="preserve">Structural Engineer in a Private Company </t>
  </si>
  <si>
    <t>ANJITHAM PAAREPARAMBIL SNEHA NAGAR - 96 WEST KADUNGALLOOR PO ALUVA ERNAKULAM</t>
  </si>
  <si>
    <t>NAVA NIRMAN PUBLIC SCHOOL</t>
  </si>
  <si>
    <t>NAVA NIRMAN PUBLIC SCHOOL CBSE</t>
  </si>
  <si>
    <t>ST. ANNS HSS</t>
  </si>
  <si>
    <t>ST. ANNS HSS KERALA</t>
  </si>
  <si>
    <t>AutoCAD, STAAD Pro, MS Excel, ETABS, Surveying, Quantity Estimation</t>
  </si>
  <si>
    <t>ASSOCIATED STRUCTURAL CONSULTANTS | STRUCTURAL MODELING INTERN | Kathrikadavu, Kerala | Jun 2025 | Jun 2025 | 1 Weeks
NICMAR UNIVERSITY OF CONSTRUCTION STUDIES, HYDERABAD | SUMMER SCHOOL PROGRAMME PARTICIPANTS | HYDERABAD, TELENGANA | Jun 2026 | Jun 2026 | 2 Weeks</t>
  </si>
  <si>
    <t>BEST PAPER
ICEC
AI BASED INTERIOR DESIGN
SURVEYING TECHNIQUES
REVIT
NEW IS  
PERSONALITY DEVELOPMENT
DRONE</t>
  </si>
  <si>
    <t>P26700351</t>
  </si>
  <si>
    <t>Gade</t>
  </si>
  <si>
    <t>Omkar Avinash Gade</t>
  </si>
  <si>
    <t>omkargade28@gmail.com</t>
  </si>
  <si>
    <t>P26700351@student.nicmar.ac.in</t>
  </si>
  <si>
    <t>Outing ,Working out ,travelling</t>
  </si>
  <si>
    <t>Avinash V.  Gade</t>
  </si>
  <si>
    <t>Retired.</t>
  </si>
  <si>
    <t>3,Arya -jay apt. ,Jadhav col. Badlapur(W)</t>
  </si>
  <si>
    <t>I.E.S Katrap Vidyalaya</t>
  </si>
  <si>
    <t>Maharashtra State Board of Secondary and Higher Secondary Education, Mumbai Divisional Board</t>
  </si>
  <si>
    <t>New English junior college,Ulhasnagar</t>
  </si>
  <si>
    <t>TSSM'S PADMABHUSHAN VASANTDADA PATIL institute of technology, Bavdhan ,PUNE.</t>
  </si>
  <si>
    <t>• Technical &amp; Software: AutoCAD (3D, 2D &amp; Isometric), MS Project, SketchUp, MS Office (Excel, Word, PowerPoint) • Certifications: P.W.D. Licensed Engineer • Core Competencies: Project Management,Autocad</t>
  </si>
  <si>
    <t>H.S enterprises | Planning &amp; Execution Engineer | Barvi dam Badlapur. Bargi dam, Jabalpur. Savitri dam , mahad. | Apr 2025 | Jul 2026 | 1 Years, 3 Months, 10 Days | 4.20
Kharche Gandhi constuctions. Pvt.Ltd | Civil site engineer | Karjat | Jun 2024 | Apr 2025 | 0 Years, 9 Months, 7 Days | 3</t>
  </si>
  <si>
    <t>SUYOG DEVELOPMENT CORPORATION LTD. | Intern Civil | Swargate,Pune | Jan 2023 | Feb 2023 | 4 Weeks | Campus Internship</t>
  </si>
  <si>
    <t>P.W.D License
autocad certficate</t>
  </si>
  <si>
    <t>P26700352</t>
  </si>
  <si>
    <t>ABISHEK</t>
  </si>
  <si>
    <t>VANNAN M</t>
  </si>
  <si>
    <t>Abishek Vannan M</t>
  </si>
  <si>
    <t>abishekvannanpersonal@gmail.com</t>
  </si>
  <si>
    <t>P26700352@student.nicmar.ac.in</t>
  </si>
  <si>
    <t>13-Jul-2004</t>
  </si>
  <si>
    <t>Dance,Editing,Movies</t>
  </si>
  <si>
    <t>MANIVANNAN K</t>
  </si>
  <si>
    <t>Regional Transport Officer</t>
  </si>
  <si>
    <t>LATHA M</t>
  </si>
  <si>
    <t>Plot No A44, TWAD Colony,
Marthangulam, Alagar Kovil Main Road, Madurai - 625014</t>
  </si>
  <si>
    <t>MAHATMA MONTESSORI CBSE SCHOOL</t>
  </si>
  <si>
    <t>CBSE , Madurai</t>
  </si>
  <si>
    <t>KUMARAGURU COLLEGE OF TECHNOLOGY , Coimbatore</t>
  </si>
  <si>
    <t>AutoCAD,MS Office,MS Excel,Primavera P6,STAAD Pro</t>
  </si>
  <si>
    <t>Sai Constructions | Site Engineer at G+2 Residential Building | Madurai | Nov 2024 | Dec 2024 | 2 Weeks</t>
  </si>
  <si>
    <t>AutoCAD
Project Management
Generative AI for Everyone</t>
  </si>
  <si>
    <t>P26700353</t>
  </si>
  <si>
    <t>P26700353@student.nicmar.ac.in</t>
  </si>
  <si>
    <t>P26700354</t>
  </si>
  <si>
    <t>Anna</t>
  </si>
  <si>
    <t>Abraham</t>
  </si>
  <si>
    <t>Anna Abraham</t>
  </si>
  <si>
    <t>annaabraham0403@gmail.com</t>
  </si>
  <si>
    <t>P26700354@student.nicmar.ac.in</t>
  </si>
  <si>
    <t>Dancing,Badminton</t>
  </si>
  <si>
    <t>Abraham C P</t>
  </si>
  <si>
    <t>Preethy Abraham</t>
  </si>
  <si>
    <t>Cheerakathil House Kurumassery P.O. Aluva
Kurumassery</t>
  </si>
  <si>
    <t xml:space="preserve">VISWAJYOTHI PUBLIC SCHOOL ANGAMALY ERNAKULAM KERALA </t>
  </si>
  <si>
    <t>ERNAKULAM ,KERALA (06615)</t>
  </si>
  <si>
    <t>Rajagiri Higher Secondary School</t>
  </si>
  <si>
    <t>Ernakulam,Kerala</t>
  </si>
  <si>
    <t>Rajagiri School of Engineering &amp; Technology , Kochi, Kerala, India</t>
  </si>
  <si>
    <t>AutoCAD,Sketchup,Vray</t>
  </si>
  <si>
    <t>Pee Jay And Sons Constructions | Trainee Site Engineer | Ernakulam,Kerala | May 2025 | Jun 2026 | 1 Years, 0 Months, 18 Days | 1.44</t>
  </si>
  <si>
    <t>P26700355</t>
  </si>
  <si>
    <t xml:space="preserve">Sujal </t>
  </si>
  <si>
    <t>Deshmukh Sujal  Mahendra</t>
  </si>
  <si>
    <t>sujaldeshmukh39@gmail.com</t>
  </si>
  <si>
    <t>P26700355@student.nicmar.ac.in</t>
  </si>
  <si>
    <t>27-Apr-2004</t>
  </si>
  <si>
    <t>Hindi,Marathi,English</t>
  </si>
  <si>
    <t>Reading,Swimming,Travelling,Gardening</t>
  </si>
  <si>
    <t>Mahendra.D.Deshmukh</t>
  </si>
  <si>
    <t>Retired-Service</t>
  </si>
  <si>
    <t>Vidya.M.Deshmukh</t>
  </si>
  <si>
    <t>Manas Mandir Near Paras Ice Factory Maa Vaishnavi No-8 Bachelor Road,Wardha 442001</t>
  </si>
  <si>
    <t>Bharat Dnyan Mandiram</t>
  </si>
  <si>
    <t>Maharashtra State Board Of Secondary and Higher Secondary  Education, Pune</t>
  </si>
  <si>
    <t>Civil &amp; Rural Engineering</t>
  </si>
  <si>
    <t>Acharya Shrimannarayan Polytechnic,Wardha</t>
  </si>
  <si>
    <t>Sinhgad College Of Engineering ,Pune</t>
  </si>
  <si>
    <t>AutoCAD,Revit,Etabs</t>
  </si>
  <si>
    <t>Maa Vaishnavi Builders and Developers Pvt. | Jr Site Engineer | Wardha | Dec 2022 | Feb 2023 | 8 Weeks
RCC (INFRASTRUCTURE) CONSULTANTS PVT.LTD | CAD Draftsman | Nagpur | Jul 2022 | Aug 2022 | 6 Weeks
SHRI SWAMI SAMARTH ENGINEERS LIMITED-JANDU CONSTRUCTION INDIA PRIVATE LIMITED (JV) | Site Engineer | Wardha | Jan 2025 | Feb 2025 | 4 Weeks</t>
  </si>
  <si>
    <t xml:space="preserve">   AutoCAD
Revit
Etabs</t>
  </si>
  <si>
    <t>P26700356</t>
  </si>
  <si>
    <t>Kurupudi</t>
  </si>
  <si>
    <t>Kurupudi Dinesh</t>
  </si>
  <si>
    <t>P26700356@student.nicmar.ac.in</t>
  </si>
  <si>
    <t>15-May-2004</t>
  </si>
  <si>
    <t>English,Telugu ,Hindi</t>
  </si>
  <si>
    <t>Playing Cricket,movies</t>
  </si>
  <si>
    <t>Kurupudi Raju Babu</t>
  </si>
  <si>
    <t>Daily Wages Worker</t>
  </si>
  <si>
    <t>Kurupudi Ganga Bhavani</t>
  </si>
  <si>
    <t>4-93, Pothuraju peta, Pedapudi Mandalam, Gandredu Village, 533344</t>
  </si>
  <si>
    <t xml:space="preserve">Kakinada </t>
  </si>
  <si>
    <t>Aditya(EM) HS, G. Mamidada, East Godavari District</t>
  </si>
  <si>
    <t>Board of Secondary Education, Andhra Pradesh, Amaravati</t>
  </si>
  <si>
    <t>Sri Gayatri Womens Degree College, Chandramampalli (V), Peddapuram (M), Kakinada District</t>
  </si>
  <si>
    <t>Andhra Pradesh Open School Society, Amaravati</t>
  </si>
  <si>
    <t>Govt. Polytechnic, Vijayawada, Andhra Pradesh</t>
  </si>
  <si>
    <t>Jawaharlal Nehru Technological University, Kakinada</t>
  </si>
  <si>
    <t>Prasad V. Potluri Siddhartha Institute of Technology, Vijayawada</t>
  </si>
  <si>
    <t>AutoCAD,REVIT,STAADPRO,ETABS,PRIMAVERA,Concrete Mix Design,Msp</t>
  </si>
  <si>
    <t>SRM University | Research Intern | Amaravati, Andhra Pradesh | Nov 2025 | Jun 2026 | 30 Weeks
D.C.S PROJECTS | Civil Engineering Intern | vijayawada | May 2024 | Jun 2024 | 3 Weeks
D.C.S PROJECTS | Civil Engineering Trainee | vijayawada | Dec 2022 | May 2023 | 25 Weeks</t>
  </si>
  <si>
    <t xml:space="preserve">Sustainable Engineering Concepts and life Cycle Analysis
Green Building &amp; Sustainable Construction
Revit Architecture
Dipolma in civil CADD
STAAD PRO AND ETABS </t>
  </si>
  <si>
    <t>P26700357</t>
  </si>
  <si>
    <t>Pareshbhai</t>
  </si>
  <si>
    <t>Bhatt</t>
  </si>
  <si>
    <t>Ved Pareshbhai Bhatt</t>
  </si>
  <si>
    <t>bhattved1027@gmail.com</t>
  </si>
  <si>
    <t>P26700357@student.nicmar.ac.in</t>
  </si>
  <si>
    <t>English,Hindi,Gujarati</t>
  </si>
  <si>
    <t xml:space="preserve">Travelling,Vollyball,Karate,Running ,Listening Poetry </t>
  </si>
  <si>
    <t>Pareshbhai Dilipbhai Bhatt</t>
  </si>
  <si>
    <t>Yoga Instructor</t>
  </si>
  <si>
    <t>Manishaben Pareshbhai Bhatt</t>
  </si>
  <si>
    <t>33,Ashoutosh Nagari, opp Testy Restaurant ,Jahangirpura , Surat, Gujarat, 395005</t>
  </si>
  <si>
    <t>Smt. I. N. Tekrawala High School</t>
  </si>
  <si>
    <t>Gujarat Secondary and Higher Secondary Education Board ,Surat, Gujarat</t>
  </si>
  <si>
    <t>Birla Vishvakarma Mahavidyalaya (BVM)</t>
  </si>
  <si>
    <t>STAAD.Pro ,MS Project,MS office,AutoCAD</t>
  </si>
  <si>
    <t>Jayesh A Dalal Planning &amp; Engineering Services Pvt Ltd | Site Engineer | Surat | Jun 2024 | Jun 2024 | 3 Weeks</t>
  </si>
  <si>
    <t>Structural engineering Software &amp; Field Practices</t>
  </si>
  <si>
    <t>P26700358</t>
  </si>
  <si>
    <t>Mohd Awaish</t>
  </si>
  <si>
    <t>Roshan Zamir</t>
  </si>
  <si>
    <t>Ansari</t>
  </si>
  <si>
    <t>Mohd Awaish Roshan Zamir Ansari</t>
  </si>
  <si>
    <t>P26700358@student.nicmar.ac.in</t>
  </si>
  <si>
    <t>08-Feb-2004</t>
  </si>
  <si>
    <t>English, Hindi, Marathi,Urdu</t>
  </si>
  <si>
    <t xml:space="preserve">Reading,Exploring,Cooking,Travelling </t>
  </si>
  <si>
    <t>Ansari Roshan Zamir</t>
  </si>
  <si>
    <t>Ansari Firoza Bano</t>
  </si>
  <si>
    <t>Roon No 11, Azad Nagar, Jasmine Mill Road, Mahim East</t>
  </si>
  <si>
    <t>St. Michael's High School</t>
  </si>
  <si>
    <t xml:space="preserve">Mumbai, Maharashtra State Board of Secondary and Higher Secondary Education </t>
  </si>
  <si>
    <t>M. H. Saboo Siddik Polytechnic, Mumbai, Maharashtra</t>
  </si>
  <si>
    <t>M. H. Saboo Siddik College of Engineering, Mumbai, Maharashtra</t>
  </si>
  <si>
    <t>AutoCAD,Rate Analysis,Word,Excel,PPT,Site Execution,MS Project</t>
  </si>
  <si>
    <t>LYD Engineers | Junior Engineer  | Mumbai  | Jul 2025 | Jun 2026 | 0 Years, 11 Months, 6 Days | 2.16</t>
  </si>
  <si>
    <t>L &amp; T Construction  | Intern | Mumbai | Jun 2023 | Jul 2023 | 3 Weeks</t>
  </si>
  <si>
    <t>P26700359</t>
  </si>
  <si>
    <t>C S VYSAKH</t>
  </si>
  <si>
    <t>CS</t>
  </si>
  <si>
    <t>C S Vysakh Cs</t>
  </si>
  <si>
    <t>vysakhcs5809@gmail.com</t>
  </si>
  <si>
    <t>P26700359@student.nicmar.ac.in</t>
  </si>
  <si>
    <t>PHOTOGRAPHY,TRAVEL,RIDING,MUSIC,PERCUSSION,CREATIVE ART</t>
  </si>
  <si>
    <t>SALIM KUMAR C V</t>
  </si>
  <si>
    <t>C P JYOTHI LEKSHMI</t>
  </si>
  <si>
    <t>DESATH HOUSE,TC 14/1303,RNRA A-61,
RAJIV NAGAR,VAZHUTHACAUD,THYCAUD PO,TVM</t>
  </si>
  <si>
    <t>ST.THOMAS CENTRAL SCHOOL,MUKKOLAKKAL,THIRUVANANTHAPURAM</t>
  </si>
  <si>
    <t>MAHATMA GANDHI UNIVERSITY</t>
  </si>
  <si>
    <t>KMEA COLLEGE OF ARCHITECTURE,KOCHI,KERALA</t>
  </si>
  <si>
    <t>AUTOCAD,SKETCHUP,ENSCAPE,PHOTOSHOP,MSP,MICROSOFT POWERPOINT,MICROSOFT EXCEL,MICROSOFT WORD,QGIS</t>
  </si>
  <si>
    <t>PROARCH DESIGN BUILD | JUNIOR ARCHITECT | THIRUVANANTHAPURAM,KERALA | Feb 2025 | Jun 2025 | 0 Years, 4 Months, 7 Days</t>
  </si>
  <si>
    <t>P26700360</t>
  </si>
  <si>
    <t>Uddhav</t>
  </si>
  <si>
    <t>Ambadas</t>
  </si>
  <si>
    <t>Takate</t>
  </si>
  <si>
    <t>Uddhav Ambadas Takate</t>
  </si>
  <si>
    <t>uddhavtaakate30@gmail.com</t>
  </si>
  <si>
    <t>P26700360@student.nicmar.ac.in</t>
  </si>
  <si>
    <t>24-Dec-2002</t>
  </si>
  <si>
    <t>trekking,acting,drama,dancing,Music</t>
  </si>
  <si>
    <t>Ambadas krushna Takate</t>
  </si>
  <si>
    <t>Self Employee</t>
  </si>
  <si>
    <t>Sunanda</t>
  </si>
  <si>
    <t>R/H No 71 Ayodya Nagri-3 Rasbhihari Meri Link Road panchvati Nashik</t>
  </si>
  <si>
    <t xml:space="preserve">Tarai building Infront of Nawale Hospital Nrhe </t>
  </si>
  <si>
    <t>C.D.O Meri High School Nashik</t>
  </si>
  <si>
    <t>Mahavir Polytecnic Nashik</t>
  </si>
  <si>
    <t>Savitribai phule pune university</t>
  </si>
  <si>
    <t>MIT Academy of engineering Alandi</t>
  </si>
  <si>
    <t>Autocad, revit, etab, watergems</t>
  </si>
  <si>
    <t>Durocrete Engineering Services pvt.ltd | Junior Engineer | Pune | Jul 2025 | Jun 2026 | 0 Years, 11 Months, 6 Days | 3.5</t>
  </si>
  <si>
    <t>P26700361</t>
  </si>
  <si>
    <t>Shreya</t>
  </si>
  <si>
    <t>Deb</t>
  </si>
  <si>
    <t>Shreya Deb Roy</t>
  </si>
  <si>
    <t>debroyshreya21@gmail.com</t>
  </si>
  <si>
    <t>P26700361@student.nicmar.ac.in</t>
  </si>
  <si>
    <t>30-Apr-2001</t>
  </si>
  <si>
    <t>English, Hindi,Bengali</t>
  </si>
  <si>
    <t>Reading,Painting,Basketball,Swimming</t>
  </si>
  <si>
    <t>Indranil Deb Roy</t>
  </si>
  <si>
    <t>Indian Armed Forces</t>
  </si>
  <si>
    <t>Indrani Deb Roy</t>
  </si>
  <si>
    <t>Flat E-2, NSC Bose Road, Akashmani Housing Society, Regent Park, Tollygunge, Kolkata, West Bengal - 700040</t>
  </si>
  <si>
    <t xml:space="preserve">507, Union Living, House of Balewadi, Ashtavinayak Road, Balewadi, Pune </t>
  </si>
  <si>
    <t>Army Public School Pune</t>
  </si>
  <si>
    <t>Pune, Maharashtra</t>
  </si>
  <si>
    <t xml:space="preserve">Sir J.J. College of Architecture </t>
  </si>
  <si>
    <t xml:space="preserve">Mumbai, Maharashtra </t>
  </si>
  <si>
    <t>AutoCAD, MS Project, Sketchup, Adobe suite,microsoft office, archicad, Revit</t>
  </si>
  <si>
    <t>Morphogensis | Project Architect | Pune | Oct 2024 | Jul 2026 | 1 Years, 8 Months, 19 Days | 5.32</t>
  </si>
  <si>
    <t>Vastushilpa Sangath LLP | Intern | Ahmedabad | Nov 2022 | May 2023 | 25 Weeks
Archslate | Intern | Remote | Nov 2022 | May 2023 | 26 Weeks
Sumita Mehra Reflections Pvt. Ltd. | Intern | Remote | Jun 2020 | Sep 2020 | 13 Weeks
La Luna Design House | Intern | Remote | Jun 2020 | Aug 2020 | 8 Weeks</t>
  </si>
  <si>
    <t>Circular Economy for a Sustainable Built Environment
Sustainable Cities
Building Information Modeling For Construction Management
Green Building Rating Systems
Building Energy Simulation: Showcase with Ladybug &amp; Honeybee</t>
  </si>
  <si>
    <t>P26700362</t>
  </si>
  <si>
    <t xml:space="preserve">LAXMIKANT </t>
  </si>
  <si>
    <t xml:space="preserve">PATIL </t>
  </si>
  <si>
    <t xml:space="preserve">Sahil Laxmikant  Patil </t>
  </si>
  <si>
    <t>patilsahil868@gmail.com</t>
  </si>
  <si>
    <t>P26700362@student.nicmar.ac.in</t>
  </si>
  <si>
    <t>06-Dec-2001</t>
  </si>
  <si>
    <t>Drawing,Playing Cricket,Reading Books</t>
  </si>
  <si>
    <t xml:space="preserve">LAXMIKANT PATIL </t>
  </si>
  <si>
    <t xml:space="preserve">Delivery </t>
  </si>
  <si>
    <t xml:space="preserve">SUNITA PATIL </t>
  </si>
  <si>
    <t>120, Sakhare Chawl, Azad Road, Vile Parle (East).</t>
  </si>
  <si>
    <t xml:space="preserve">St. Xavier's High School </t>
  </si>
  <si>
    <t xml:space="preserve">Government Polytechnic Mumbai </t>
  </si>
  <si>
    <t xml:space="preserve">Saraswati College of Engineering </t>
  </si>
  <si>
    <t>AutoCAD, Revit, Tekla</t>
  </si>
  <si>
    <t>Dr. Kelkar Design Engineers Pvt. Ltd. | BIM Structural Modeler  | Mumbai Suburban | Jun 2024 | Jun 2026 | 2 Years, 0 Months, 6 Days | 5.8</t>
  </si>
  <si>
    <t>P26700363</t>
  </si>
  <si>
    <t>Divya</t>
  </si>
  <si>
    <t xml:space="preserve">Vasant </t>
  </si>
  <si>
    <t>Dound</t>
  </si>
  <si>
    <t>Divya Vasant  Dound</t>
  </si>
  <si>
    <t>divyadound582@gmail.com</t>
  </si>
  <si>
    <t>P26700363@student.nicmar.ac.in</t>
  </si>
  <si>
    <t>25-Sep-2002</t>
  </si>
  <si>
    <t xml:space="preserve">Marathi, Hindi English </t>
  </si>
  <si>
    <t xml:space="preserve">Traveling, cooking,listening music, reading </t>
  </si>
  <si>
    <t xml:space="preserve">Shobha </t>
  </si>
  <si>
    <t xml:space="preserve">At post. Ghatnandur taluka. Ambajogai dist. Beed </t>
  </si>
  <si>
    <t xml:space="preserve">Shri Shankar vidyalaya Ghatnandur </t>
  </si>
  <si>
    <t>Maharashtra State Board of Secondary and Higher Secondary Education (MSBSHSE)</t>
  </si>
  <si>
    <t>Government Residential Women's Polytechnic Latur</t>
  </si>
  <si>
    <t xml:space="preserve">SPPU </t>
  </si>
  <si>
    <t>G.H. Raisoni College OF Engineering &amp; Management, PUNE</t>
  </si>
  <si>
    <t>AutoCAD,Autodesk REVIT,  Power point,  Word,  Excel</t>
  </si>
  <si>
    <t>S. J. Construction  | Trainee engineer  | Wagoli, pune  | Dec 2023 | Jun 2024 | 26 Weeks</t>
  </si>
  <si>
    <t>P26700364</t>
  </si>
  <si>
    <t>PANDEY</t>
  </si>
  <si>
    <t>Prashant Kumar Pandey</t>
  </si>
  <si>
    <t>prashantpandey038@gmail.com</t>
  </si>
  <si>
    <t>P26700364@student.nicmar.ac.in</t>
  </si>
  <si>
    <t>26-Aug-1998</t>
  </si>
  <si>
    <t xml:space="preserve">HINDI, ENGLISH </t>
  </si>
  <si>
    <t xml:space="preserve">SITCOMS,CRICKET </t>
  </si>
  <si>
    <t>TRILOKINATH PANDEY</t>
  </si>
  <si>
    <t>RASHMI PANDEY</t>
  </si>
  <si>
    <t>E1/373 SHIV VIHAR COLONY KRALA DELHI</t>
  </si>
  <si>
    <t>RAJKIYA PRATIBHA VIKAS VIDYALAYA SHALIMAR BAGH</t>
  </si>
  <si>
    <t>CBSE/ DELHI</t>
  </si>
  <si>
    <t>CBSE/DELHI</t>
  </si>
  <si>
    <t>CIVL ENGINEERNG</t>
  </si>
  <si>
    <t xml:space="preserve">CHHOTU RAM RURAL INSTIUTE OF TEHNOLOGY </t>
  </si>
  <si>
    <t>DELHI TCHNOLOGICAL UNIVERSITY</t>
  </si>
  <si>
    <t>AUTO CAD , MS OFFICE , MS PROJECT, PRIMAVERA</t>
  </si>
  <si>
    <t>RAVI INFRA PROJECTS LTD. | JUNIOR ENGINEER  | RATNAGIRI MAHARASHTRA | Jun 2023 | Jan 2025 | 1 Years, 6 Months, 19 Days | 4.5
DRN INFRASTRUCTURE PVT. LTD | ASSISTANT ENGINEER SITE STRUCTURE | KARNATAKA | Jan 2025 | Jun 2026 | 1 Years, 5 Months, 4 Days | 5</t>
  </si>
  <si>
    <t>SADBHAV ENGINEERING LIMITED | INTERN | UDAIPUR RAJASTHAN | Jun 2018 | Jul 2018 | 6 Weeks</t>
  </si>
  <si>
    <t>P26700365</t>
  </si>
  <si>
    <t>SHAIK ABDUL</t>
  </si>
  <si>
    <t>JUNAID</t>
  </si>
  <si>
    <t>Shaik Abdul Junaid</t>
  </si>
  <si>
    <t>shaikabduljunaid09@gmail.com</t>
  </si>
  <si>
    <t>P26700365@student.nicmar.ac.in</t>
  </si>
  <si>
    <t>29-May-2001</t>
  </si>
  <si>
    <t>URDU,HINDI,TELUGU,ENGLIDH,ARABIC</t>
  </si>
  <si>
    <t>Reading rom -com stories/novels,listening music,playing sports,TRAVELLING</t>
  </si>
  <si>
    <t>SHAIK ABDUL HABEEB</t>
  </si>
  <si>
    <t>Civil worker</t>
  </si>
  <si>
    <t>SOFIA IRFANA</t>
  </si>
  <si>
    <t>D/NO 27-20-7 GAJULAVEEDHI,PURNA MARKET VISKHAPATNAM</t>
  </si>
  <si>
    <t>Kristu Jayanthi English Medium School</t>
  </si>
  <si>
    <t xml:space="preserve"> BOARD OF SECONDARY EDUCTION-ANDHRA PRADESH</t>
  </si>
  <si>
    <t>GOVERNMENT POLYTECHNIC-VISAKHAPATNAM/ANDHRA PRADESH</t>
  </si>
  <si>
    <t>JAWAHARLAL NEHRU TECHNOLOGICAL UNIVERSITY-GURAJADA VIZIANAGARAM</t>
  </si>
  <si>
    <t>GMR INSTITUTE OF TECHNOLOGY-RAJAM/ANDHRA PRADESH</t>
  </si>
  <si>
    <t>AutoCAD, MS Office, MS Project.</t>
  </si>
  <si>
    <t>GMR AIRPORTS | Senior Engineer -Civil and finishes | HYDERABAD | Aug 2023 | May 2026 | 2 Years, 9 Months, 3 Days | 5.3</t>
  </si>
  <si>
    <t>VMRDA | SITE ENGINEER CIVIL | visakhapatnam | Nov 2020 | May 2021 | 30 Weeks | Campus Internship
GPUIL | Trainee | Uttar Pradesh | Jul 2022 | Oct 2022 | 17 Weeks | Campus Internship</t>
  </si>
  <si>
    <t>P26700366</t>
  </si>
  <si>
    <t xml:space="preserve">Saurabh </t>
  </si>
  <si>
    <t xml:space="preserve">Kumar </t>
  </si>
  <si>
    <t xml:space="preserve">Singh </t>
  </si>
  <si>
    <t xml:space="preserve">Saurabh  Kumar  Singh </t>
  </si>
  <si>
    <t>saurabh.kr1819@gmail.com</t>
  </si>
  <si>
    <t>P26700366@student.nicmar.ac.in</t>
  </si>
  <si>
    <t xml:space="preserve">English,  Hindi </t>
  </si>
  <si>
    <t xml:space="preserve">Reading, Singing , Watching  </t>
  </si>
  <si>
    <t xml:space="preserve">Randhir Kumar Singh </t>
  </si>
  <si>
    <t xml:space="preserve">Seema Singh </t>
  </si>
  <si>
    <t>NAYA TOLI AAMBAGICHA, PANDRA, HEHAL, RANCHI</t>
  </si>
  <si>
    <t xml:space="preserve">CBSE, Ranchi/ Ranchi </t>
  </si>
  <si>
    <t xml:space="preserve">SB High School ARA </t>
  </si>
  <si>
    <t xml:space="preserve">BBOSE, Bihar </t>
  </si>
  <si>
    <t xml:space="preserve">KIIT UNIVERSITY </t>
  </si>
  <si>
    <t xml:space="preserve">KIIT School Of Civil Engineering, Bhubaneswar/ Odisha </t>
  </si>
  <si>
    <t>AutoCAD, MS project, MS exel,Revit</t>
  </si>
  <si>
    <t>NBCC  | Apperenticeship  | Odisha  | Mar 2025 | Mar 2026 | 0 Years, 11 Months, 27 Days | 2.16</t>
  </si>
  <si>
    <t>National Council for Cement and Building Materials | Internship | Odisha | Jun 2022 | Jul 2022 | 4 Weeks
NBCC  | Internship | Bihta, Bihar | May 2023 | Jul 2023 | 8 Weeks</t>
  </si>
  <si>
    <t>P26700367</t>
  </si>
  <si>
    <t>Pradip</t>
  </si>
  <si>
    <t>Khanvilkar</t>
  </si>
  <si>
    <t>Omkar Pradip Khanvilkar</t>
  </si>
  <si>
    <t>omkarkhanvilkar08@gmail.com</t>
  </si>
  <si>
    <t>P26700367@student.nicmar.ac.in</t>
  </si>
  <si>
    <t>Playing Games,Cricket</t>
  </si>
  <si>
    <t>Pradip Yashwant Khanvilkar</t>
  </si>
  <si>
    <t xml:space="preserve">Pranavi Pradip Khanvilkar </t>
  </si>
  <si>
    <t>Jaikar wadi, FN G38, S.M. road, Opp. Wadala bridge, Wadala East</t>
  </si>
  <si>
    <t>I.E.S. V.N.Sule Guruji English Medium school</t>
  </si>
  <si>
    <t>Maharashtra State board of secondary and hinger secondary education</t>
  </si>
  <si>
    <t>Government Polytechnic Mumbai, Maharashtra</t>
  </si>
  <si>
    <t>Saraswati College of Engineering</t>
  </si>
  <si>
    <t>AutoCAD, MS Office,ETABS,STAADPRO,SAFE,RCDC,REVIT,TEKLA STRUCTURES</t>
  </si>
  <si>
    <t>Dr. Kelkar Designs Pvt. Ltd | Structural Design Engineer | Mumbai | Feb 2024 | Jul 2026 | 2 Years, 5 Months, 5 Days | 6.6</t>
  </si>
  <si>
    <t>P26700368</t>
  </si>
  <si>
    <t>Dnyaneshwar</t>
  </si>
  <si>
    <t>Sapate</t>
  </si>
  <si>
    <t>Dhairyashil Dnyaneshwar Sapate</t>
  </si>
  <si>
    <t>P26700368@student.nicmar.ac.in</t>
  </si>
  <si>
    <t>09-Mar-2004</t>
  </si>
  <si>
    <t>Playing cricket, reading,watching historical movies,wrestling</t>
  </si>
  <si>
    <t>Politician,Business,farming</t>
  </si>
  <si>
    <t>Manorama</t>
  </si>
  <si>
    <t>Muncipal Corporator</t>
  </si>
  <si>
    <t>Ganga Niwas, behind city park hotel, park chowk, Solapur</t>
  </si>
  <si>
    <t>Indian Model School</t>
  </si>
  <si>
    <t>Maharastra state board of secondary and higher secondary education,Pune</t>
  </si>
  <si>
    <t>Global Village Secondary and Higher Secondary  Highschool</t>
  </si>
  <si>
    <t>N.K Orchid college of Engineering amd Technology</t>
  </si>
  <si>
    <t>Kaplesh Jhaveri Consultant and Contractor | Site Engineer | Solapur | Feb 2026 | Jun 2026 | 0 Years, 4 Months, 0 Days</t>
  </si>
  <si>
    <t>P26700369</t>
  </si>
  <si>
    <t>PYLA DHANUSH</t>
  </si>
  <si>
    <t>Pyla Dhanush Kumar</t>
  </si>
  <si>
    <t>dhanushkumarpyla@gmail.com</t>
  </si>
  <si>
    <t>P26700369@student.nicmar.ac.in</t>
  </si>
  <si>
    <t>27-Feb-2003</t>
  </si>
  <si>
    <t>Listening to music,Cooking</t>
  </si>
  <si>
    <t>Pyla Satyanarayana Naidu</t>
  </si>
  <si>
    <t>Private employee</t>
  </si>
  <si>
    <t>Pyla Suguna</t>
  </si>
  <si>
    <t>Naidu veedhi, Antipeta, seethanagaram Mandalam,Vizianagaram</t>
  </si>
  <si>
    <t>Flat No.201, SVS Royal Paradise, Bakkannapalem Road, Madhurawada</t>
  </si>
  <si>
    <t>Sri Chaitanya EM School</t>
  </si>
  <si>
    <t>Board of secondary education, Andhra Pradesh</t>
  </si>
  <si>
    <t>Tirumala Junior College</t>
  </si>
  <si>
    <t>Board of intermediate education, Andhra Pradesh</t>
  </si>
  <si>
    <t>Jawahar Nehru Technological University - Gurajada Vizianagaram</t>
  </si>
  <si>
    <t>Nadimpalli Satyanarayana Raju Institute Of Technology,Visakhapatnam</t>
  </si>
  <si>
    <t>MS Project,Primavera,Autocad,MS Excel,MS Power Point,MS Word</t>
  </si>
  <si>
    <t>KARLAN RNC INFRA PROJECTS LLP  |   GET-QS | Visakhapatnam | May 2025 | May 2026 | 1 Years, 0 Months, 13 Days | 1.80</t>
  </si>
  <si>
    <t>Desire 2 Design Engineers | Civil Engineering Intern | Visakhapatnam | Jul 2023 | Dec 2023 | 23 Weeks
Desire 2 Design Engineers | Summer Intern | Visakhapatnam | May 2023 | Jul 2023 | 9 Weeks
Sree Avenues | Summer Intern | Rajam | Jun 2022 | Jul 2022 | 4 Weeks</t>
  </si>
  <si>
    <t>P26700370</t>
  </si>
  <si>
    <t xml:space="preserve">Gandham Jai Sri Krishna </t>
  </si>
  <si>
    <t>Gandham Jai Sri Krishna  Vivek</t>
  </si>
  <si>
    <t>krishnavivekgandham9@gmail.com</t>
  </si>
  <si>
    <t>P26700370@student.nicmar.ac.in</t>
  </si>
  <si>
    <t>18-Nov-2004</t>
  </si>
  <si>
    <t>Playing Badminton,Watching Movies,Playing Carroms</t>
  </si>
  <si>
    <t>Gandham Satish</t>
  </si>
  <si>
    <t>Gandham Venkata Lakshmi Durga Bhavani</t>
  </si>
  <si>
    <t>10-501/77,
FLAT NO 417,
VGR BRUNDHAVANAM APARTMENT,
INDUSTRIAL AREA, RAMANAYYAPETA,
Kakinada,Kakinada District</t>
  </si>
  <si>
    <t>Suresh High School</t>
  </si>
  <si>
    <t>Board of Secondary Education/Kakinada</t>
  </si>
  <si>
    <t>Andhra Polytechnic Kakinada</t>
  </si>
  <si>
    <t>Acharya Nagarjuna University</t>
  </si>
  <si>
    <t>University college of Engineering and Technology</t>
  </si>
  <si>
    <t>Autocad,Primavera,Revit Architecture,Staad Pro</t>
  </si>
  <si>
    <t>Simfy Infracon Pvt ltd | QS Engineer | Hyderabad | Jan 2026 | Apr 2026 | 15 Weeks
RN Constructions  | Intern | Hyderabad | Jul 2022 | Jan 2023 | 25 Weeks</t>
  </si>
  <si>
    <t>P26700371</t>
  </si>
  <si>
    <t>Shrawani</t>
  </si>
  <si>
    <t>Shrawani Bharat Bhosale</t>
  </si>
  <si>
    <t>bhosaleshrawani99@gmail.com</t>
  </si>
  <si>
    <t>P26700371@student.nicmar.ac.in</t>
  </si>
  <si>
    <t>Drawing, Dancing,Travelling</t>
  </si>
  <si>
    <t>Lt. Bharat Ganpat Bhosale</t>
  </si>
  <si>
    <t>Shilpa Bharat Bhosale</t>
  </si>
  <si>
    <t>Pimpalwadi, Tal- Phaltan, Dist- Satara</t>
  </si>
  <si>
    <t>Mahalunge, Pune</t>
  </si>
  <si>
    <t>B.J. English Medium School, Phaltan</t>
  </si>
  <si>
    <t>Maharashtra State Board of Secondary and Higher Secondary Education (MSBSHSE), Satara</t>
  </si>
  <si>
    <t>Government Polytechnic Karad, Karad</t>
  </si>
  <si>
    <t>AutoCAD, MS Office,Edificius-CAD, Edificius-BIM</t>
  </si>
  <si>
    <t>S. N. Joshi Consultants Pvt. Ltd. | Design Engineer - Plumbing and Fire Fighting | Pune | Jun 2024 | Jul 2026 | 2 Years, 0 Months, 24 Days | 4.25</t>
  </si>
  <si>
    <t>Modak Construction | Intern Trainee | Pune | Dec 2022 | Jan 2023 | 4 Weeks</t>
  </si>
  <si>
    <t>SAP01 Training Program 
Revit
Placement Coordinator</t>
  </si>
  <si>
    <t>P26700372</t>
  </si>
  <si>
    <t>Daf</t>
  </si>
  <si>
    <t>Vedant Sandip Daf</t>
  </si>
  <si>
    <t>dafvedant22@gmail.com</t>
  </si>
  <si>
    <t>P26700372@student.nicmar.ac.in</t>
  </si>
  <si>
    <t>02-Oct-2002</t>
  </si>
  <si>
    <t>Bike Riding,guitarist</t>
  </si>
  <si>
    <t>Sandip Daf</t>
  </si>
  <si>
    <t>Goverment Servent</t>
  </si>
  <si>
    <t>Deoyani Daf</t>
  </si>
  <si>
    <t>C-wing,shankarrao padhay sahaniwas society,near professional courriers,somalwada,nagpur</t>
  </si>
  <si>
    <t>Golden Kids English High School</t>
  </si>
  <si>
    <t>J.K. college</t>
  </si>
  <si>
    <t>Rashtrasant Tukadoji Maharaj Nagpur University (RTMNU)</t>
  </si>
  <si>
    <t>Yeshwantrao chavan college of engineering</t>
  </si>
  <si>
    <t>Autocad, MS office, MS project</t>
  </si>
  <si>
    <t>PWD | Intern | Nagpur | Jan 2026 | Apr 2026 | 15 Weeks</t>
  </si>
  <si>
    <t>P26700373</t>
  </si>
  <si>
    <t>Swastika</t>
  </si>
  <si>
    <t>Kumari</t>
  </si>
  <si>
    <t>Swastika Kumari</t>
  </si>
  <si>
    <t>swastikakumari7901@gmail.com</t>
  </si>
  <si>
    <t>P26700373@student.nicmar.ac.in</t>
  </si>
  <si>
    <t xml:space="preserve">English, Hindi </t>
  </si>
  <si>
    <t xml:space="preserve">Singing, Yoga </t>
  </si>
  <si>
    <t>Ajay Kumar Singh</t>
  </si>
  <si>
    <t>Railway Officer</t>
  </si>
  <si>
    <t>Anima Rani</t>
  </si>
  <si>
    <t>Plot No.156, 3rd floor, Baji Prabhu Nagar, Ramnagar</t>
  </si>
  <si>
    <t>Gondia Public School</t>
  </si>
  <si>
    <t>Government College of Engineering Nagpur</t>
  </si>
  <si>
    <t>AutoCAD, STAAD Pro, REVIT, MS Project</t>
  </si>
  <si>
    <t>Larsen &amp; Toubro Ltd. | GET | Patna | Jul 2023 | Dec 2023 | 0 Years, 5 Months, 25 Days | 6</t>
  </si>
  <si>
    <t>Rajkala Developers | Intern | Nagpur | Jul 2022 | Jul 2022 | 2 Weeks
National Highways Authority of India | Intern | Nagpur | Dec 2021 | Jan 2022 | 4 Weeks</t>
  </si>
  <si>
    <t>AutoCAD
STAAD Pro
Revit</t>
  </si>
  <si>
    <t>P26700374</t>
  </si>
  <si>
    <t>Roshni</t>
  </si>
  <si>
    <t>Roshni Sahoo</t>
  </si>
  <si>
    <t>sahooroshni231@gmail.com</t>
  </si>
  <si>
    <t>P26700374@student.nicmar.ac.in</t>
  </si>
  <si>
    <t>28-Sep-2003</t>
  </si>
  <si>
    <t>Hindi,english,odia</t>
  </si>
  <si>
    <t>Dancing,singing</t>
  </si>
  <si>
    <t>Binod Bihari Sahoo</t>
  </si>
  <si>
    <t>Retired Reader</t>
  </si>
  <si>
    <t>Smitarani Sahoo</t>
  </si>
  <si>
    <t>Plot no. 567, Jharpada Bhubaneshwar</t>
  </si>
  <si>
    <t>ST. JOSEPH'S HIGH SCHOOL,BHUBANESWAR</t>
  </si>
  <si>
    <t>CISCE IN BHUBANESWAR,ODISHA</t>
  </si>
  <si>
    <t>BIJU PATTNAIK UNIVERSITY OF TECHNOLOGY,ODISHA</t>
  </si>
  <si>
    <t>PARALA MAHARAJA ENGINEERING COLLEGE,BERHAMPUR,ODISHA</t>
  </si>
  <si>
    <t>AUTOCAD,MS OFFICE,REVIT,STAADPRO,3DSMAX,SKETCHUP</t>
  </si>
  <si>
    <t>RAJ TECHNICAL SERVICES | TRAINER &amp; CAD DESIGNER | BHUBANESWAR,ODISHA | Jan 2026 | Jun 2026 | 0 Years, 5 Months, 4 Days | 1.4
BIRAJA CONSTRUCTION | SITE ENGINEER | BHUBANESWAR,ODISHA | Mar 2025 | Jun 2025 | 0 Years, 2 Months, 25 Days | 1.9</t>
  </si>
  <si>
    <t>FRONT LINE JUNIOR SUPERVISOR IN CONSTRUCTION</t>
  </si>
  <si>
    <t>P26700375</t>
  </si>
  <si>
    <t>Dattatraya</t>
  </si>
  <si>
    <t>Gadakh</t>
  </si>
  <si>
    <t>Rushikesh Dattatraya Gadakh</t>
  </si>
  <si>
    <t>rushigadakh14@gmail.com</t>
  </si>
  <si>
    <t>P26700375@student.nicmar.ac.in</t>
  </si>
  <si>
    <t>02-Jun-2004</t>
  </si>
  <si>
    <t xml:space="preserve">English,Hindi,Marathi,French </t>
  </si>
  <si>
    <t xml:space="preserve">Basketball,Reading </t>
  </si>
  <si>
    <t>Dattatraya Nivrutti Gadakh</t>
  </si>
  <si>
    <t>Yogita Dattatraya Gadakh</t>
  </si>
  <si>
    <t>Post Lane,Chandori</t>
  </si>
  <si>
    <t xml:space="preserve">Horizon Academy </t>
  </si>
  <si>
    <t>HPT Arts &amp; RYK Science College</t>
  </si>
  <si>
    <t>AISSMS COLLEGE OF ENGINEERING, PUNE,MAHARASHTRA</t>
  </si>
  <si>
    <t>Sai Construction  | Intern | Nashik | Dec 2024 | Jan 2025 | 4 Weeks</t>
  </si>
  <si>
    <t>P26700376</t>
  </si>
  <si>
    <t>BHOOMA</t>
  </si>
  <si>
    <t>SIDDARTHA</t>
  </si>
  <si>
    <t>Bhooma Siddartha</t>
  </si>
  <si>
    <t>P26700376@student.nicmar.ac.in</t>
  </si>
  <si>
    <t>Telugu,English,Hindi,Kannada</t>
  </si>
  <si>
    <t>Sports,Home Tutor</t>
  </si>
  <si>
    <t>Bhooma Narsimulu</t>
  </si>
  <si>
    <t>Bhooma Sangamani</t>
  </si>
  <si>
    <t>Agriculture Worker</t>
  </si>
  <si>
    <t>Village: Tekur Mandal: Nyalkal District: Sangareddy</t>
  </si>
  <si>
    <t>Z P High School, Nyalkal</t>
  </si>
  <si>
    <t>Board Of Secondary Education, Telangana</t>
  </si>
  <si>
    <t>K B R Engineering College, Telangana</t>
  </si>
  <si>
    <t>Jawaharlal Nehru Technological University Hyderabad, Telangana</t>
  </si>
  <si>
    <t>B V Raju Institute of Technology, Telangana</t>
  </si>
  <si>
    <t>MS Excel,Auto cad,QGIS Basics,PTV VISSIM,Staad.pro,Revit,Primavera P6,Open Roads,Kane pave</t>
  </si>
  <si>
    <t>Sattva Group | Engineer | Hyderabad | May 2025 | Jun 2026 | 1 Years, 0 Months, 22 Days | 3.7</t>
  </si>
  <si>
    <t>Membership Certificate – Indian Concrete Institute (ICI).
Building Information Modeling (BIM) Using Revit – Training Certification – Eduplus.
Event Coordinator Certification – Department of Civil Engineering, B V Raju Institute of Technology (BVRIT).
Total Station Survey Training Certification – Department of Civil Engineering, B V Raju Institute of Technology (BVRIT).
Computer-Aided Building Drawing Using AutoCAD – Training Certification.
Hands-on Training in Transportation Software – Department of Civil Engineering, Mahindra University.
Primavera P6 Training Certification – Department of Civil Engineering, in association with EduCADD Training Institute.</t>
  </si>
  <si>
    <t>P26700377</t>
  </si>
  <si>
    <t>P26700377@student.nicmar.ac.in</t>
  </si>
  <si>
    <t>P26700378</t>
  </si>
  <si>
    <t>Chinmayi</t>
  </si>
  <si>
    <t>Vibhute</t>
  </si>
  <si>
    <t>Chinmayi Subhash Vibhute</t>
  </si>
  <si>
    <t>chinmayivibhute@gmail.com</t>
  </si>
  <si>
    <t>P26700378@student.nicmar.ac.in</t>
  </si>
  <si>
    <t>08-Mar-2004</t>
  </si>
  <si>
    <t xml:space="preserve">Travelling,Crochet,Reading,Swimming </t>
  </si>
  <si>
    <t>Ragini</t>
  </si>
  <si>
    <t>Ravalnath Colony Ajara, Tal.- Ajara Dist.-Kolhapur,416505</t>
  </si>
  <si>
    <t>NICMAR University, MGH Girls Hostel, Near Ramnagar Balewadi 411045</t>
  </si>
  <si>
    <t>Ajara Highschool Ajara</t>
  </si>
  <si>
    <t>SSC Maharashtra , Kolhapur , Ajara</t>
  </si>
  <si>
    <t>Ajara Mahavidyalaya Ajara</t>
  </si>
  <si>
    <t>HSC Maharashtra, Kolhapur, Ajara</t>
  </si>
  <si>
    <t>Rajarambapu Institute of Technology</t>
  </si>
  <si>
    <t>Rajaramnagar, Sakharale, Islampur, Taluka Walwa, District Sangli, Maharashtra, India</t>
  </si>
  <si>
    <t>STAAD pro,ETABS,AutoCad</t>
  </si>
  <si>
    <t>Gatade And Pawar Associates | Site Engineering Intern | Kolhapur | Jun 2024 | Aug 2026 | 116 Weeks
Vilas .B. Bhadavankar Civil Engneer and Govt. Contractor | Site Engineering Intern | AJARA,GOA | Jan 2026 | May 2026 | 19 Weeks</t>
  </si>
  <si>
    <t>P26700379</t>
  </si>
  <si>
    <t>Jolly</t>
  </si>
  <si>
    <t>Jose Jolly</t>
  </si>
  <si>
    <t>P26700379@student.nicmar.ac.in</t>
  </si>
  <si>
    <t>English,Hindi,Malayalam,Tamil</t>
  </si>
  <si>
    <t>Reading,music,sports</t>
  </si>
  <si>
    <t>Jolly Jose</t>
  </si>
  <si>
    <t>Rose Maria Jolly</t>
  </si>
  <si>
    <t>Vellankal house,Karimattam,Ayavana P O,Muvattupuzha</t>
  </si>
  <si>
    <t>Nirmala Public School</t>
  </si>
  <si>
    <t>Mar Athanasius College of Engineering</t>
  </si>
  <si>
    <t>AutoCAD,MS Project,Staad Pro</t>
  </si>
  <si>
    <t>P26700380</t>
  </si>
  <si>
    <t>Sarthak Hemant Mahajan</t>
  </si>
  <si>
    <t>P26700380@student.nicmar.ac.in</t>
  </si>
  <si>
    <t>06-Feb-2004</t>
  </si>
  <si>
    <t>TRAVELLING,PLAYING SPORTS</t>
  </si>
  <si>
    <t>HEMANT M MAHAJAN</t>
  </si>
  <si>
    <t>GOV SERVICE</t>
  </si>
  <si>
    <t>KAVITA H MAHAJAN</t>
  </si>
  <si>
    <t>S/O SAAILIYA APPARTMENT RAVIKIRAN COLONY NAER AYODHYA VIHAR AKOLI ROAD SAI NAGAR AMRAVATI  MAHARASHTRA - 444607</t>
  </si>
  <si>
    <t>SCHOOL OF SCHOLARS AMRAVATI</t>
  </si>
  <si>
    <t>CBSE AMRAVATI/ MAHARASHTRA</t>
  </si>
  <si>
    <t>DR PANJABRAO DESHMUKH POLYTECHNIC AMRAVATI MAHARASHTRA</t>
  </si>
  <si>
    <t>PROF RAM MEGHE INSTUTE OF TECHONOLOGY AND REASERCH AMRAVATI MAHARASHTRA</t>
  </si>
  <si>
    <t>AUTOCAD , STADPRO V8 ,REVIT, MS EXCEL,MS OFFICE</t>
  </si>
  <si>
    <t>JOG MAHAJAN INFRA PVT LTD | SITE ENGINEER | AMRAVATI | Jun 2025 | Jul 2025 | 4 Weeks
BALAJI STRUCTURAL CONSULTANCY | INTERN  | AMRAVATI | Jun 2025 | Jul 2025 | 6 Weeks
BALAJI STRUCTURAL CONSULTANCY | INTERN  | AMRAVATI | Jul 2022 | Aug 2022 | 7 Weeks</t>
  </si>
  <si>
    <t>STADPRO V8
AUTOCAD
IIT BOMBAY E CELL
REVIT 
MS EXCEL CERTIFICATE
MSCIT</t>
  </si>
  <si>
    <t>P26700381</t>
  </si>
  <si>
    <t>VISALI</t>
  </si>
  <si>
    <t>Visali V</t>
  </si>
  <si>
    <t>P26700381@student.nicmar.ac.in</t>
  </si>
  <si>
    <t xml:space="preserve">ENGLISH,TAMIL </t>
  </si>
  <si>
    <t>READING AND WRITING,SINGING,BADMINTON</t>
  </si>
  <si>
    <t>5500 8664 4044</t>
  </si>
  <si>
    <t>VELMURUGAN P</t>
  </si>
  <si>
    <t xml:space="preserve">SUSEELA S </t>
  </si>
  <si>
    <t>C-19, PANRUTI STREET
BLOCK-9
NEYVELI TOWNSHIP</t>
  </si>
  <si>
    <t>Cuddalore</t>
  </si>
  <si>
    <t xml:space="preserve">JAWAHAR HR SEC SCHOOL </t>
  </si>
  <si>
    <t>CENTRAL BOARD OF SECONDARY EDUCATION(CBSE) NEYVELI SOUTH ARCOT TN</t>
  </si>
  <si>
    <t>PSG INSTITUTE OF TECHNOLOGY AND APPLIED RESEARCH COIMBATORE TN</t>
  </si>
  <si>
    <t>AUTOCAD,MS OFFICE</t>
  </si>
  <si>
    <t>NEYVELI LIGNITE CORPORATION INDIA LIMITED | INTERN | TAMIL NADU | Jul 2023 | Jul 2023 | 3 Weeks</t>
  </si>
  <si>
    <t>P26700382</t>
  </si>
  <si>
    <t>GEORGE</t>
  </si>
  <si>
    <t>ABRAHAM</t>
  </si>
  <si>
    <t>MAMPILLY</t>
  </si>
  <si>
    <t>George Abraham Mampilly</t>
  </si>
  <si>
    <t>P26700382@student.nicmar.ac.in</t>
  </si>
  <si>
    <t>05-May-2000</t>
  </si>
  <si>
    <t>badminton,driving ,music,movies</t>
  </si>
  <si>
    <t>ABRAHAM GEORGE MAMPILLY</t>
  </si>
  <si>
    <t>REENU ABRAHAM</t>
  </si>
  <si>
    <t>7C RDS FLAIR NEAR PUNNAKAL TEMPLE ELAMAKARA</t>
  </si>
  <si>
    <t>Rajagiri public school</t>
  </si>
  <si>
    <t>CBSE,kerala</t>
  </si>
  <si>
    <t>SNV Skt Hss</t>
  </si>
  <si>
    <t>Kerala state,kerala</t>
  </si>
  <si>
    <t>Karunya university</t>
  </si>
  <si>
    <t>Karunya institute of technology and science coimbatore Tamilnadu</t>
  </si>
  <si>
    <t>Audo cad,msproject,mS Excel ,ms office</t>
  </si>
  <si>
    <t>RDS REALTIES | Site engineer/QS | ernakulam,kerala | Jul 2022 | Sep 2023 | 1 Years, 2 Months, 24 Days | 2.52
Winner holistic consultants llc | Civil engineer | Abudhabi,Uae | Oct 2023 | Jul 2024 | 0 Years, 9 Months, 23 Days | 12.48
RDS REALTIES | Structural engineer cum site QS | Ernakulam kerala | Aug 2024 | Sep 2025 | 1 Years, 1 Months, 9 Days | 3.00
Securetech LLC | Civil engineer | Abudhabi uae | Oct 2025 | Apr 2026 | 0 Years, 6 Months, 20 Days | 12.79</t>
  </si>
  <si>
    <t>Rds realties | intern | Ernakulam,Kerala | Jan 2022 | May 2022 | 17 Weeks</t>
  </si>
  <si>
    <t>Coursera Smart Cities – Management of Smart Urban Infrastructures
 Application of Building Information Modeling
Preparation of Bar Bending Schedule
Coursera-Introduction to Sustainability</t>
  </si>
  <si>
    <t>P26700383</t>
  </si>
  <si>
    <t>Chikhalkar</t>
  </si>
  <si>
    <t>Shrirang</t>
  </si>
  <si>
    <t>Chikhalkar Shrirang Milind</t>
  </si>
  <si>
    <t>shrirang829@gmail.com</t>
  </si>
  <si>
    <t>P26700383@student.nicmar.ac.in</t>
  </si>
  <si>
    <t>18-Nov-2003</t>
  </si>
  <si>
    <t>Gaming,Music</t>
  </si>
  <si>
    <t>Milind Chikhalkar</t>
  </si>
  <si>
    <t>Shilpa Chikhalkar</t>
  </si>
  <si>
    <t>Opp. of samartha high school, devrankar nagar,badnera road, Amravati</t>
  </si>
  <si>
    <t>A-1101 Phase 1 Palm Avenue, Wakad, Pune</t>
  </si>
  <si>
    <t xml:space="preserve">Manibai Gujrathi English High School </t>
  </si>
  <si>
    <t>Secondary School Certificate - Maharashtra</t>
  </si>
  <si>
    <t>Bhartiya Mahavidhaylaya, Amravati</t>
  </si>
  <si>
    <t>Higher Secondary Certificate - Maharashtra</t>
  </si>
  <si>
    <t>Dr. D. Y. Patil Institute of Technology, Pimpri, Pune</t>
  </si>
  <si>
    <t>B.G. SHIRKE CONSTRUCTION TECHNOLOGY PVT. LTD. | Site Intern | CIDCO Taloja Project, Navi Mumbai | Dec 2023 | Jan 2024 | 4 Weeks | Campus Internship</t>
  </si>
  <si>
    <t>P26700384</t>
  </si>
  <si>
    <t xml:space="preserve">Ayush </t>
  </si>
  <si>
    <t>Pravin</t>
  </si>
  <si>
    <t>Ayush  Pravin Patil</t>
  </si>
  <si>
    <t>P26700384@student.nicmar.ac.in</t>
  </si>
  <si>
    <t>24-Mar-2004</t>
  </si>
  <si>
    <t xml:space="preserve">Football </t>
  </si>
  <si>
    <t xml:space="preserve">Pravin Patil </t>
  </si>
  <si>
    <t>Buisnessman</t>
  </si>
  <si>
    <t>Swati Patil</t>
  </si>
  <si>
    <t>Dwarka Nivas, Bisur Road, Budhgaon, Sangli 416304</t>
  </si>
  <si>
    <t>Sanjay Ghodawat International School</t>
  </si>
  <si>
    <t>CBSE Kolhapur Maharashtra</t>
  </si>
  <si>
    <t>Chatrapati Shahu Vidyalaya Junior College</t>
  </si>
  <si>
    <t>HSC Kolhapur Maharashtra</t>
  </si>
  <si>
    <t xml:space="preserve">Pimpri Chinchwad College of Engineering </t>
  </si>
  <si>
    <t>P26700385</t>
  </si>
  <si>
    <t xml:space="preserve">Omprakash </t>
  </si>
  <si>
    <t>Dawar</t>
  </si>
  <si>
    <t>Yash Omprakash  Dawar</t>
  </si>
  <si>
    <t>P26700385@student.nicmar.ac.in</t>
  </si>
  <si>
    <t>13-Nov-1999</t>
  </si>
  <si>
    <t>Omprakash</t>
  </si>
  <si>
    <t>Sr. Techenician</t>
  </si>
  <si>
    <t>208, Prabhu Nagar new Manish Nagar Nagpur 440005</t>
  </si>
  <si>
    <t>NEERI MODERN SCHOOL</t>
  </si>
  <si>
    <t>CBSE NAGPUR/MAHARASHTRA</t>
  </si>
  <si>
    <t>SANTAJI MAHAVIDIVIYALA</t>
  </si>
  <si>
    <t xml:space="preserve">HIGHER SECONDARY CERTIFICATE EXAMINATION </t>
  </si>
  <si>
    <t>SHRI RAMDEOBABA COLLEGE OF ENGINEERING AND MANAGEMENT</t>
  </si>
  <si>
    <t>AutoCAD,MS Office,MS project,Primavera,BIM</t>
  </si>
  <si>
    <t>INDIAN HUME PIPE CO. LTD. | ENGINEER SITE | BHOPAL | Aug 2022 | Jun 2026 | 3 Years, 10 Months, 10 Days | 4.2</t>
  </si>
  <si>
    <t>P26700386</t>
  </si>
  <si>
    <t xml:space="preserve">Hritavrata </t>
  </si>
  <si>
    <t xml:space="preserve">Hritavrata  Singh </t>
  </si>
  <si>
    <t>P26700386@student.nicmar.ac.in</t>
  </si>
  <si>
    <t>13-Jun-2005</t>
  </si>
  <si>
    <t xml:space="preserve">Hindi,English,Marathi </t>
  </si>
  <si>
    <t xml:space="preserve">Traveling, Music,Journaling ,Hiking </t>
  </si>
  <si>
    <t xml:space="preserve">Sanjeev singh </t>
  </si>
  <si>
    <t xml:space="preserve">Rupam Singh </t>
  </si>
  <si>
    <t xml:space="preserve">Plot No 14, sahapuri colony, Yamuna society,Latur </t>
  </si>
  <si>
    <t>Balewadi, Pune</t>
  </si>
  <si>
    <t xml:space="preserve">Podar International School </t>
  </si>
  <si>
    <t xml:space="preserve">CBSE, Latur, Maharashtra </t>
  </si>
  <si>
    <t>Civil</t>
  </si>
  <si>
    <t xml:space="preserve">Vishveshwarayya Abhiyantriki Padvika Mahavidyalay,Almala ,Latur,Maharashtra </t>
  </si>
  <si>
    <t xml:space="preserve">All India shri shivaji Memorial society COE , Pune,Maharashtra </t>
  </si>
  <si>
    <t>Auticad,MSP,MS excel</t>
  </si>
  <si>
    <t>P26700387</t>
  </si>
  <si>
    <t>Vihaan</t>
  </si>
  <si>
    <t>Abhas</t>
  </si>
  <si>
    <t>Vihaan Abhas Desai</t>
  </si>
  <si>
    <t>vihaaandesai28@gmail.com</t>
  </si>
  <si>
    <t>P26700387@student.nicmar.ac.in</t>
  </si>
  <si>
    <t>28-Mar-2004</t>
  </si>
  <si>
    <t>Hindi, english,marathi</t>
  </si>
  <si>
    <t>Abhas Desai</t>
  </si>
  <si>
    <t>Government officer</t>
  </si>
  <si>
    <t>Priya Desai</t>
  </si>
  <si>
    <t>301, Prithvi Grandeur, Ram Nagar, Jehan Circle, Gangapur Road, Nashik - 422013</t>
  </si>
  <si>
    <t>Wisdom High International School</t>
  </si>
  <si>
    <t>KVN Naik College</t>
  </si>
  <si>
    <t xml:space="preserve">SVKM’S NMIMS </t>
  </si>
  <si>
    <t xml:space="preserve">Mukesh Patel School of Technology Management and Engineering </t>
  </si>
  <si>
    <t>AutoCAD, MS Excel, MS project, Staadpro,revit,Watergems</t>
  </si>
  <si>
    <t>Kranti Constructions  | Site Intern | Nashik, Maharashtra | Jan 2026 | Apr 2026 | 15 Weeks</t>
  </si>
  <si>
    <t>P26700388</t>
  </si>
  <si>
    <t>Namdeo</t>
  </si>
  <si>
    <t>Nikita Namdeo Bhosale</t>
  </si>
  <si>
    <t>bhosalenikita13@gmail.com</t>
  </si>
  <si>
    <t>P26700388@student.nicmar.ac.in</t>
  </si>
  <si>
    <t xml:space="preserve">Baking,Fitness,music </t>
  </si>
  <si>
    <t>Harsha</t>
  </si>
  <si>
    <t>B2/206 Shanti Residency
Near Abne Hospital,Gadital,Hadapsar</t>
  </si>
  <si>
    <t>Rosary High School</t>
  </si>
  <si>
    <t xml:space="preserve">Arihant College of Arts, Commerce and Science </t>
  </si>
  <si>
    <t>MS Project,Primavera,Excel</t>
  </si>
  <si>
    <t>Jhala Group | Site Engineering Intern | Pune | Dec 2022 | Jun 2023 | 26 Weeks | Campus Internship</t>
  </si>
  <si>
    <t>P26700389</t>
  </si>
  <si>
    <t>VANSHIKA</t>
  </si>
  <si>
    <t>NIMJE</t>
  </si>
  <si>
    <t>Vanshika Harshal Nimje</t>
  </si>
  <si>
    <t>P26700389@student.nicmar.ac.in</t>
  </si>
  <si>
    <t>DANCING</t>
  </si>
  <si>
    <t>HARSHAL NIMJE</t>
  </si>
  <si>
    <t>APARNA NIMJE</t>
  </si>
  <si>
    <t>PLOT NO 6, NARENDRA NAGAR , RATAN NAGAR NAGPUR MAHARASHTRA 440027</t>
  </si>
  <si>
    <t>MAHARSHTRA STATE BOARD OF HIGHER EDUCATION</t>
  </si>
  <si>
    <t>RAO JUNIOR COLLEGE OF SCIENCE MAHARASHTRA</t>
  </si>
  <si>
    <t>MAHARASHTRA BOARD OF HIGHER DUCATION</t>
  </si>
  <si>
    <t>SANT GADGE BABA UNIVERSITY</t>
  </si>
  <si>
    <t>GOVERNTMENT COLLEGE OF ENGINEERING AMRAVATI MAHARASHTRA</t>
  </si>
  <si>
    <t>HELLA INFRA MARKET PVT LMT | GET SALES  | NAGPUR MAHARASHTRA  | Jul 2025 | Mar 2026 | 0 Years, 8 Months, 3 Days | 4</t>
  </si>
  <si>
    <t>CASE STUDY OF GRADE SEPERATOR | MAJOR PROJECT: B.TECH | AMRAVATI MAHARASTHRA | Jun 2024 | May 2025 | 46 Weeks | Campus Internship
SOIL STABILIZATION BY LIME AND CMENET | MINOR PROJECT: B.TECH | AMRAVATI, MAHARASTHRA | Jan 2024 | Jul 2024 | 26 Weeks | Campus Internship</t>
  </si>
  <si>
    <t>P26700390</t>
  </si>
  <si>
    <t>Ranveer</t>
  </si>
  <si>
    <t>Jadhav Ranveer Uday</t>
  </si>
  <si>
    <t>P26700390@student.nicmar.ac.in</t>
  </si>
  <si>
    <t>18-Aug-2004</t>
  </si>
  <si>
    <t>Playing cricket ,Palying Football ,Listening to music,Playing Video games</t>
  </si>
  <si>
    <t>Uday Dhanajirao Jadhav</t>
  </si>
  <si>
    <t>Suchita Uday Jadhav</t>
  </si>
  <si>
    <t>Near Nikam Plaza Behind HP Gas Agency Vidyanagar Saidapur Karad District Satara State Maharashtra 415110</t>
  </si>
  <si>
    <t>P26700391</t>
  </si>
  <si>
    <t>Hritik</t>
  </si>
  <si>
    <t>BR</t>
  </si>
  <si>
    <t>Hritik Raj Br</t>
  </si>
  <si>
    <t>hritkrajbr@gmail.com</t>
  </si>
  <si>
    <t>P26700391@student.nicmar.ac.in</t>
  </si>
  <si>
    <t>16-Nov-2000</t>
  </si>
  <si>
    <t>English ,Hindi,Telugu,Kannada,Sanskrit</t>
  </si>
  <si>
    <t>Debating &amp; Public Speaking,Architecture &amp; Design,Reading,sketching,Traveling &amp; Cultural Exploration</t>
  </si>
  <si>
    <t>Ramesh Babu BS</t>
  </si>
  <si>
    <t>Sridevi GR</t>
  </si>
  <si>
    <t>#35 kumara Nilaya apartments 3rd floor, Pampa maha Kavi road, Bangalore city institute club, Chamarajpet, Bangalore South.</t>
  </si>
  <si>
    <t>#35 kumar nilaya apartments 3rd floor, Pampa maha kavi road, Bangalore city institute club, chamarajpet, Bangalore South.</t>
  </si>
  <si>
    <t>Sri Sathya Sai vidya Kendra</t>
  </si>
  <si>
    <t xml:space="preserve">Sri Sathya Sai Loka seva PU collage </t>
  </si>
  <si>
    <t>Department of pre-University Education</t>
  </si>
  <si>
    <t xml:space="preserve">Visveswaraya Technological University </t>
  </si>
  <si>
    <t>DAYANANDA SAGAR COLLEGE OF ARCHITECTURE, BENGALURU</t>
  </si>
  <si>
    <t>Auto CAD,MS Office ,MS Project,Excel,TWINMOTION,RHINO,REVIT,PHOTOSHOP,SKETCHUP,GRASSHOPPER,POWERPOINT</t>
  </si>
  <si>
    <t>utthan design | architect | banglore | Jul 2024 | May 2026 | 1 Years, 10 Months, 30 Days | 3.6</t>
  </si>
  <si>
    <t>GAYATRI AND NAMITH ARCHITECTS | INTERN | ARCHITECTURAL INTERN | Jan 2024 | Jun 2024 | 24 Weeks | Campus Internship</t>
  </si>
  <si>
    <t>P26700392</t>
  </si>
  <si>
    <t>M. S.</t>
  </si>
  <si>
    <t>M. S. Manas</t>
  </si>
  <si>
    <t>msmanas718@gmail.com</t>
  </si>
  <si>
    <t>P26700392@student.nicmar.ac.in</t>
  </si>
  <si>
    <t>ENGLISH,MALAYALAM,TAMIL,HINDI</t>
  </si>
  <si>
    <t>Music,Cricket,Badminton,Movies</t>
  </si>
  <si>
    <t>N. VIJAYAMOHAN</t>
  </si>
  <si>
    <t>SUNEETHI.B</t>
  </si>
  <si>
    <t>Pensioner</t>
  </si>
  <si>
    <t>Jamuna Vilasom Anakottoor Po</t>
  </si>
  <si>
    <t>Government Higher Secondary School Kottarakara</t>
  </si>
  <si>
    <t>Kerala Board of Public Examinations (KBPE), Kottarakara</t>
  </si>
  <si>
    <t>Kerala Board of Higher Secondary Examinations (KBHSE), Kottarakara</t>
  </si>
  <si>
    <t>NSS College of Engineering, Palakkad</t>
  </si>
  <si>
    <t>Hitech Construction | Site Engineer | Palakkad | Jul 2025 | Jun 2026 | 0 Years, 11 Months, 29 Days | 1.8</t>
  </si>
  <si>
    <t>Uralungal Labour Contract Co-operative Society Ltd. (ULCCS)   | Civil Engineering Intern | Kozhikode, Kerala | Oct 2023 | Oct 2023 | 0 Weeks</t>
  </si>
  <si>
    <t>Budget Autodesk Construction doud Learning Center
Electric and Future Mobility organised by Techmaghi
NPTEL in Municipal Solid Waste Management
NIT Ragam Workshop
Engineering Project Management on Alison.</t>
  </si>
  <si>
    <t>P26700393</t>
  </si>
  <si>
    <t>EEPURI</t>
  </si>
  <si>
    <t>Balaji Eepuri</t>
  </si>
  <si>
    <t>P26700393@student.nicmar.ac.in</t>
  </si>
  <si>
    <t>Exploring New Places,Road trips</t>
  </si>
  <si>
    <t>E Venkateswarlu</t>
  </si>
  <si>
    <t>E Pavani</t>
  </si>
  <si>
    <t>1-1-10, Sri Hari Kirana, Hanuman temple lane, Hyder Nagar, Kukatpally.</t>
  </si>
  <si>
    <t>1-1-30, Beside Balaji Steel Palace, Hanuman temple lane, Hyder Nagar, Kukatpally.</t>
  </si>
  <si>
    <t xml:space="preserve">Sri Chaitanya Techno school </t>
  </si>
  <si>
    <t xml:space="preserve">Board of secondary education Telangana </t>
  </si>
  <si>
    <t>Sri Chaitanya junior kalasala</t>
  </si>
  <si>
    <t xml:space="preserve">Telangana state board of intermediate education </t>
  </si>
  <si>
    <t xml:space="preserve">Jawaharlal Nehru Architecture and Fine Arts University </t>
  </si>
  <si>
    <t xml:space="preserve">Auroras Design Institute, Hyderabad </t>
  </si>
  <si>
    <t>Autocad, Ms Excel, Sketchup, Ms project</t>
  </si>
  <si>
    <t>ESSENCE ARCHITECTS | ASSISTANT ARCHITECT | HYDERABAD | Sep 2025 | Feb 2026 | 0 Years, 5 Months, 9 Days | 2.16</t>
  </si>
  <si>
    <t>ESSENCE ARCHITECT | TRAINEE ARCHITECT | Hyderabad | Sep 2024 | Jan 2025 | 21 Weeks | Campus Internship</t>
  </si>
  <si>
    <t>P26700394</t>
  </si>
  <si>
    <t xml:space="preserve">Debanshu </t>
  </si>
  <si>
    <t>Debanshu  Nayak</t>
  </si>
  <si>
    <t>nayak.nayakdebanshus7@gmail.com</t>
  </si>
  <si>
    <t>P26700394@student.nicmar.ac.in</t>
  </si>
  <si>
    <t>06-Apr-2004</t>
  </si>
  <si>
    <t>Hindi,English,Odia,Gujrati</t>
  </si>
  <si>
    <t>Reading,Music,Writing,Football,Gym</t>
  </si>
  <si>
    <t>Damodar Nayak</t>
  </si>
  <si>
    <t>Ranjita Nayak</t>
  </si>
  <si>
    <t>C-55, CDA sector 9, Cuttack</t>
  </si>
  <si>
    <t>Cuttack</t>
  </si>
  <si>
    <t xml:space="preserve">Vikash The Concept School </t>
  </si>
  <si>
    <t>CBSE Sambalpur/Odisha</t>
  </si>
  <si>
    <t>Sai International School</t>
  </si>
  <si>
    <t>CBSE Bhubaneshwar/Odisha</t>
  </si>
  <si>
    <t>KIIT School Of Engineering BBSR</t>
  </si>
  <si>
    <t>Sarjan Infracon PVT LTD | Engineer | Ahmedabad | Apr 2025 | May 2026 | 1 Years, 0 Months, 14 Days | 3.53</t>
  </si>
  <si>
    <t>Jindal | Engineer Trainee | Angul, Odisha | Jun 2024 | Jul 2024 | 4 Weeks | Campus Internship</t>
  </si>
  <si>
    <t>P26700395</t>
  </si>
  <si>
    <t>Aakanksha</t>
  </si>
  <si>
    <t>Suryakant</t>
  </si>
  <si>
    <t>Harkal</t>
  </si>
  <si>
    <t>Aakanksha Suryakant Harkal</t>
  </si>
  <si>
    <t>P26700395@student.nicmar.ac.in</t>
  </si>
  <si>
    <t>22-Jun-2003</t>
  </si>
  <si>
    <t>Badminton,Street Photography,Reading,Listening Music</t>
  </si>
  <si>
    <t>At. Post. Shree Datta Residency, B-wing, 211, Chinchawali-Goregaon, Tal. Mangaon , Dist. Raigad.</t>
  </si>
  <si>
    <t>Primus Infrastructure Consultants Pvt. Ltd.  | Structural Design Engineer | Vashi, Navi Mumbai | Oct 2024 | Mar 2026 | 1 Years, 5 Months, 12 Days | 2.4
Qpro Design Consultants | Sustainable Engineer Trainee | Kharghar, Navi Mumbai | Jul 2024 | Oct 2024 | 0 Years, 3 Months, 1 Days | 2.64</t>
  </si>
  <si>
    <t>P26700396</t>
  </si>
  <si>
    <t>Sanjay</t>
  </si>
  <si>
    <t>Vispute</t>
  </si>
  <si>
    <t>Vedant Sanjay Vispute</t>
  </si>
  <si>
    <t>P26700396@student.nicmar.ac.in</t>
  </si>
  <si>
    <t>25-Jul-2003</t>
  </si>
  <si>
    <t>Sports,music</t>
  </si>
  <si>
    <t>Manisha</t>
  </si>
  <si>
    <t>Om Sai,Plot No.65,Gayatri Nagar,
Near Rajmata mangal karyalay,Dindori road,Nashik</t>
  </si>
  <si>
    <t>Maratha High School</t>
  </si>
  <si>
    <t>Maharastra State Board of Secondary and Higher Secondary Education,Pune</t>
  </si>
  <si>
    <t>K.T.H.M College,Nashik</t>
  </si>
  <si>
    <t>K.K. Wagh Institute of Engineering Education &amp; Research</t>
  </si>
  <si>
    <t>Autocad,ms office,ansys</t>
  </si>
  <si>
    <t>Viraj Estates Pvt Ltd | Civil engineering Intern | Nashik, Maharastra | Jan 2023 | Feb 2023 | 4 Weeks | Campus Internship
Sarvashree Technogreen Pvt Ltd | Intern | Nashik, Maharastra | Nov 2023 | Apr 2024 | 22 Weeks | Campus Internship</t>
  </si>
  <si>
    <t>Institute of Engineers,India Student Chapter
Institution of Engineers (India) Project Exhibition
Revit Architecture Certification
Remote Sensing and GIS Workshop</t>
  </si>
  <si>
    <t>P26700397</t>
  </si>
  <si>
    <t>Ashish</t>
  </si>
  <si>
    <t>Tyagi</t>
  </si>
  <si>
    <t>Ashish Tyagi</t>
  </si>
  <si>
    <t>P26700397@student.nicmar.ac.in</t>
  </si>
  <si>
    <t>02-Apr-2004</t>
  </si>
  <si>
    <t>Playing Cricket,Listening music</t>
  </si>
  <si>
    <t>Shrinivas Tyagi</t>
  </si>
  <si>
    <t>Suneeta Tyagi</t>
  </si>
  <si>
    <t>Village-jaitpur, Tehsil-Joura , District-Morena,[[Madhya Pradesh]</t>
  </si>
  <si>
    <t>Morena</t>
  </si>
  <si>
    <t xml:space="preserve">OX FORD PUBLIC HIGH SCHOOL, JOURA , MORENA </t>
  </si>
  <si>
    <t>SHRI GOVARDHAN HIGH SCHOOL, JOURA, MORENA</t>
  </si>
  <si>
    <t>MADHAV INSTITUTE OF TECHNOLOGY AND SCIENCE</t>
  </si>
  <si>
    <t>MS PROJECT, AUTOCAD</t>
  </si>
  <si>
    <t>PUBLIC HEALTH ENGINEERING DEPARTMENT DIVISION -GWALIOR , MADHYA PRADESH | CIVIL ENGINEERING INTERN - PUBLIC HEALTH ENGINEERING DEPARTMENT (PHED},GWALIOR | Jal Jeevan Mission &amp; Water Infrastructure Development | GWALIOR , MADHYA PRADESH | Jan 2025 | May 2025 | 19 Weeks | Campus Internship
L&amp;T GEOSTRUCTURE PRIVATE LIMITED | CIVIL ENGINEERING INTERN | KATNI , MADHYA PRADESH | Jun 2024 | Jul 2024 | 4 Weeks</t>
  </si>
  <si>
    <t>Product Design and Manufacturing
Air Pollution and Control
Indoor Air Pollution Sources, Effects, Monitoring,  Control and Modeling
AutoCAD : 2D&amp;3D</t>
  </si>
  <si>
    <t>P26700398</t>
  </si>
  <si>
    <t xml:space="preserve">Sumit </t>
  </si>
  <si>
    <t xml:space="preserve">Kanvarlal </t>
  </si>
  <si>
    <t>Manmode</t>
  </si>
  <si>
    <t>Sumit  Kanvarlal  Manmode</t>
  </si>
  <si>
    <t>P26700398@student.nicmar.ac.in</t>
  </si>
  <si>
    <t>Cricket ,table tennis,watching movies ,music</t>
  </si>
  <si>
    <t>Kanvarlal Manmode</t>
  </si>
  <si>
    <t>self employed</t>
  </si>
  <si>
    <t>Urmila Manmode</t>
  </si>
  <si>
    <t>Plot no. 2 prabhag 4. shubham nagar hingna road wanadhongri</t>
  </si>
  <si>
    <t xml:space="preserve">Shantiniketan madhyamik vidhyalaya </t>
  </si>
  <si>
    <t xml:space="preserve">SSC NAGPUR MAHARASHTRA </t>
  </si>
  <si>
    <t xml:space="preserve">Mahatma gandhi junior college nagpur </t>
  </si>
  <si>
    <t xml:space="preserve">HSC NAGPUR MAHARASHTRA </t>
  </si>
  <si>
    <t xml:space="preserve">CONSTRUCTION TECHNOLOGY </t>
  </si>
  <si>
    <t xml:space="preserve">DHARAMPETH POLYTECHNIC COLLEGE </t>
  </si>
  <si>
    <t xml:space="preserve">GH. RAISONI COLLAGE OF ENGINEERING </t>
  </si>
  <si>
    <t>Autocad,ms office,MS Project,revit architecture ,project execution ,project planning</t>
  </si>
  <si>
    <t>Om Shivam Buildcon Pvt. Ltd | Junior Engineer  | Nagpur  | Dec 2025 | May 2026 | 21 Weeks | Campus Internship</t>
  </si>
  <si>
    <t>P26700399</t>
  </si>
  <si>
    <t>Prakhar</t>
  </si>
  <si>
    <t>Srivastava</t>
  </si>
  <si>
    <t>Prakhar Srivastava</t>
  </si>
  <si>
    <t>P26700399@student.nicmar.ac.in</t>
  </si>
  <si>
    <t>25-Dec-2001</t>
  </si>
  <si>
    <t xml:space="preserve">English,Hindi </t>
  </si>
  <si>
    <t>Book Reading,Listening Music,Playing Cricket</t>
  </si>
  <si>
    <t>Late Alok Sanjai Srivastava</t>
  </si>
  <si>
    <t>Poonam Srivastav</t>
  </si>
  <si>
    <t>30(1), Chhoti Takiya Road, Chikkipura, Bahraich, U.P. 271801</t>
  </si>
  <si>
    <t>Bahraich</t>
  </si>
  <si>
    <t>Buddha Public School</t>
  </si>
  <si>
    <t>Central Board of Secondary Education, Bahraich/U.P.</t>
  </si>
  <si>
    <t>Dr. A.P.J. Abdul Kalam Technical University, U.P.</t>
  </si>
  <si>
    <t>ABES Engineering College, Ghaziabad, U.P.</t>
  </si>
  <si>
    <t>AutoCAD (Building Planning &amp; Drafting), MS Excel (Data Modeling &amp; Analysis), MS Word, Land Measurement</t>
  </si>
  <si>
    <t>Srivastava and Gaur Associates | Junior Engineer | Bahraich, U.P. | Oct 2022 | Jun 2026 | 3 Years, 8 Months, 7 Days | 4.8
Srivastava and Gaur Associates | Graduate Engineer Trainee (Site Engineer / Drafter) | Bahraich, U.P. | Oct 2021 | Oct 2022 | 1 Years, 0 Months, 6 Days | 1.8</t>
  </si>
  <si>
    <t>John Holland | Virtual Internship | Online | Jul 2021 | Jul 2021 | 2 Weeks | Campus Internship
Junior Engineer, Prescribed Authority / Regulated Area, Bahraich, U.P. | Civil Engineering Apprentice | Bahraich, U.P. | Aug 2021 | Sep 2021 | 4 Weeks</t>
  </si>
  <si>
    <t>Autocad
IEI
AIVA
NIELIT CCC</t>
  </si>
  <si>
    <t>P26700400</t>
  </si>
  <si>
    <t>Anoosha</t>
  </si>
  <si>
    <t>Basavanthgouda</t>
  </si>
  <si>
    <t>Ramanagoudar</t>
  </si>
  <si>
    <t>Anoosha Basavanthgouda Ramanagoudar</t>
  </si>
  <si>
    <t>P26700400@student.nicmar.ac.in</t>
  </si>
  <si>
    <t>08-Feb-2001</t>
  </si>
  <si>
    <t>Kannada,English,Hindi</t>
  </si>
  <si>
    <t>Reading,Listening to music,Art and craft,Cooking</t>
  </si>
  <si>
    <t>Basavanthgouda Ramanagoudar</t>
  </si>
  <si>
    <t>Prerana Basavanthgouda</t>
  </si>
  <si>
    <t>B S Ramanagoudar
Advocate
H No. 2-12-3/5&amp;10
Veerendra Kumar layout, 
Near State Bank of India,
Bypass road
Lingasugur - 584122</t>
  </si>
  <si>
    <t>Little Flower High School, Huligudda</t>
  </si>
  <si>
    <t>Karnataka Secondary education Examination Board</t>
  </si>
  <si>
    <t>K.L.E. Society's Prerana P.U. College</t>
  </si>
  <si>
    <t>Department of Pre-University Education, Hubballi, Karnataka</t>
  </si>
  <si>
    <t xml:space="preserve">KLS Gogte Institute of Technology </t>
  </si>
  <si>
    <t>Dezine Atelier Pvt.Ltd | Junior Architect | Bangalore | Jan 2025 | Jun 2026 | 1 Years, 4 Months, 11 Days | 2.64</t>
  </si>
  <si>
    <t>Khuba Architect's | Intern | Bangalore | Feb 2023 | Jun 2023 | 17 Weeks</t>
  </si>
  <si>
    <t>Catalan Vault
Technical festival
NPTEL-Sustainable Architecture</t>
  </si>
  <si>
    <t>P26700401</t>
  </si>
  <si>
    <t xml:space="preserve">SAYYAM </t>
  </si>
  <si>
    <t xml:space="preserve">PREMACHAND </t>
  </si>
  <si>
    <t>HUKKERI</t>
  </si>
  <si>
    <t>Sayyam  Premachand  Hukkeri</t>
  </si>
  <si>
    <t>P26700401@student.nicmar.ac.in</t>
  </si>
  <si>
    <t>Hindi ,English,Kannada,Marati</t>
  </si>
  <si>
    <t>Football , Movies ,Reading</t>
  </si>
  <si>
    <t xml:space="preserve">CHANDANA </t>
  </si>
  <si>
    <t>Near Margubai Temple  A/P Chinchali Tq Raibag Dist Belagavi</t>
  </si>
  <si>
    <t>DR GANGADHAR ENG MED RESI HS SHIRDHAN ,HUKKERI TALUK ,BELAGAVI DISTRICT 591306</t>
  </si>
  <si>
    <t xml:space="preserve">HUKKERI TQLUK ,BELAGAVI KARANATAKA </t>
  </si>
  <si>
    <t>PRERANA PU COLLEGE ,KUNDAGOL CROSS KG HUNASHI HUBALI TQ DHARWAD DT</t>
  </si>
  <si>
    <t>HUBALI  TQ DHARWAD DIST KARANATAKA</t>
  </si>
  <si>
    <t>KLS GOGTE INSTITUTE OF TECHNOLOGY</t>
  </si>
  <si>
    <t>BELAGAVI KARNATAKA</t>
  </si>
  <si>
    <t>AUTO CAD REVIT ,MS PROJECT</t>
  </si>
  <si>
    <t>AIRPORT AUTHORITY OF INDIA  | INTERN | SAMBRA, BELAGAVI | Jan 2026 | Apr 2026 | 16 Weeks | Campus Internship</t>
  </si>
  <si>
    <t>P26700402</t>
  </si>
  <si>
    <t>Pranjal</t>
  </si>
  <si>
    <t>Pranjal Prakash</t>
  </si>
  <si>
    <t>P26700402@student.nicmar.ac.in</t>
  </si>
  <si>
    <t>17-Feb-2001</t>
  </si>
  <si>
    <t>Music, Gardening,Cricket</t>
  </si>
  <si>
    <t>Govind Madhav Shrivastava</t>
  </si>
  <si>
    <t>Serviceman</t>
  </si>
  <si>
    <t>Sadhana Srivastava</t>
  </si>
  <si>
    <t>Plot No. 17 Chak Harihar Van Nyay Nagar Jhunsi Prayagraj</t>
  </si>
  <si>
    <t>Bishop Johnson School and College</t>
  </si>
  <si>
    <t>ICSE Board</t>
  </si>
  <si>
    <t xml:space="preserve">ICSE Board </t>
  </si>
  <si>
    <t>SAP MM,MS Office,AutoCAD,MS Project,Assemble,Autodesk Construction Cloud</t>
  </si>
  <si>
    <t>Shapoorji Pallonji And Company Pvt. Ltd | Planning Engineer | Hyderabad | Aug 2023 | Jun 2025 | 1 Years, 10 Months, 3 Days | 4.25</t>
  </si>
  <si>
    <t>Public Works Department | Trainee | Prayagraj | Jun 2022 | Jul 2022 | 4 Weeks</t>
  </si>
  <si>
    <t>P26700403</t>
  </si>
  <si>
    <t>BHUPESH</t>
  </si>
  <si>
    <t>Bhupesh R</t>
  </si>
  <si>
    <t>P26700403@student.nicmar.ac.in</t>
  </si>
  <si>
    <t>Tamil, English ,Hindi</t>
  </si>
  <si>
    <t>Driving,Cricket,Cooking,Music</t>
  </si>
  <si>
    <t>Ramakrishnan M</t>
  </si>
  <si>
    <t>Meena R</t>
  </si>
  <si>
    <t>2/709 Vivekanathar 10th Street, S.R.Nagar South, Andipalayam, Tiruppur</t>
  </si>
  <si>
    <t>KIDS CLUB MATRIC HR SEC SCHOOL TIRUPPUR</t>
  </si>
  <si>
    <t xml:space="preserve">KPR Institute of Engineering and Technology, Coimbatore, Tamil Nadu </t>
  </si>
  <si>
    <t>AutoCAD,MS Office,MS Project,Etabs,SketchUp</t>
  </si>
  <si>
    <t>MILLENIUM DEVELOPER | Civil Engineering Intern | Tiruppur, Tamil Nadu | Jan 2024 | Feb 2024 | 2 Weeks
Municipal Administration And Water Supply Department - Tiruppur City | Civil Engineering Intern | Tiruppur, Tamil Nadu | Jul 2024 | Jul 2024 | 2 Weeks
CASTLE DESIGNS &amp; CONSTRUCTIONS | Civil Engineering Intern | Tiruppur, Tamil Nadu | Mar 2026 | May 2026 | 6 Weeks</t>
  </si>
  <si>
    <t>Integrated Approach to Building Services - L&amp;T EduTech 
A Professional’s Approach to Law and Ethics - L&amp;T EduTech
Engineering Graphics and Design - L&amp;T EduTech
IT Primer - L&amp;T EduTech
Engineering Geology - NPTEL
Air Pollution and Control - NPTEL
Introduction to Cybersecurity - Cisco Networking Academy</t>
  </si>
  <si>
    <t>P26700404</t>
  </si>
  <si>
    <t>PRAHAST</t>
  </si>
  <si>
    <t>TRPATHI</t>
  </si>
  <si>
    <t>Prahast Trpathi</t>
  </si>
  <si>
    <t>P26700404@student.nicmar.ac.in</t>
  </si>
  <si>
    <t>30-Mar-1999</t>
  </si>
  <si>
    <t>Playing Cricket,Movies</t>
  </si>
  <si>
    <t>PIYUSH KANT TRIPATHI</t>
  </si>
  <si>
    <t>KAVITA TRIPATHI</t>
  </si>
  <si>
    <t>VILL-POST, PANDEYPUR RADHEY</t>
  </si>
  <si>
    <t xml:space="preserve">Kendriya Vidyalaya </t>
  </si>
  <si>
    <t>CBSE MAU/Uttar Pradesh</t>
  </si>
  <si>
    <t>Kendriya Vidyalaya</t>
  </si>
  <si>
    <t>KIIT University</t>
  </si>
  <si>
    <t>Global Archer Construction &amp; Engineering | Project Engineer | Republic of Guinea | Sep 2020 | Feb 2022 | 1 Years, 5 Months, 7 Days | 8.40
Rudra Real Estate Pvt. Ltd. | Site Engineer Civil | Kanpur, Uttar pradesh, India | Apr 2022 | Jun 2023 | 1 Years, 2 Months, 9 Days | 3.60
Batipro SA | Project Manager | Republic of Guinea | Jun 2023 | Jun 2024 | 1 Years, 0 Months, 0 Days | 24
Larsen &amp; Toubro | SR. ENGINEER - CIVIL | Khavda, Kutch, Gujrat | Sep 2025 | May 2026 | 0 Years, 8 Months, 3 Days | 8.02</t>
  </si>
  <si>
    <t>51 month(s)</t>
  </si>
  <si>
    <t>MSV International | Intern | Ranchi, Jharkhand | May 2019 | Jun 2019 | 4 Weeks | Campus Internship</t>
  </si>
  <si>
    <t>P26700405</t>
  </si>
  <si>
    <t>Akshada</t>
  </si>
  <si>
    <t>Shashikant</t>
  </si>
  <si>
    <t>Akshada Shashikant Kulkarni</t>
  </si>
  <si>
    <t>P26700405@student.nicmar.ac.in</t>
  </si>
  <si>
    <t>Reading,Painting,Dancing,writing</t>
  </si>
  <si>
    <t>Construction Bussiness</t>
  </si>
  <si>
    <t>Rucha</t>
  </si>
  <si>
    <t xml:space="preserve">Flat no 205,Bageshree appt, Markandi, Chiplun </t>
  </si>
  <si>
    <t>Suresh Damodar Gadre English Medium School, Chiplun</t>
  </si>
  <si>
    <t>SSC Chiplun/Maharashtra</t>
  </si>
  <si>
    <t>D.B.J College, Chiplun</t>
  </si>
  <si>
    <t>HSC Chiplun/Maharashtra</t>
  </si>
  <si>
    <t>Appasaheb Birnale College of Architecture, Sangli, Maharashtra</t>
  </si>
  <si>
    <t>Autocad,MS Word,MS Powerpoint,Sketchup,Revit,MS Project,MS Excel,Photoshop</t>
  </si>
  <si>
    <t>CK Associates | Intern as Architecture Student | Sangli | Jan 2024 | Apr 2024 | 15 Weeks | Campus Internship</t>
  </si>
  <si>
    <t>Karwaan  Professional Revit and BIM Certification Program</t>
  </si>
  <si>
    <t>P26700406</t>
  </si>
  <si>
    <t>Ibad</t>
  </si>
  <si>
    <t xml:space="preserve">Ariz </t>
  </si>
  <si>
    <t>Farid</t>
  </si>
  <si>
    <t>Ibad Ariz  Farid</t>
  </si>
  <si>
    <t>P26700406@student.nicmar.ac.in</t>
  </si>
  <si>
    <t>English,hindi ,Marathi</t>
  </si>
  <si>
    <t>Batminton ,football,swimming</t>
  </si>
  <si>
    <t>Ariz Arif Farid</t>
  </si>
  <si>
    <t>Developer</t>
  </si>
  <si>
    <t>Shazmin Ariz Farid</t>
  </si>
  <si>
    <t>6/46 Farid building, Behind Jama Masjid, near Dudh Naka, Bunder Road, Chaudhary Mohalla, Kalyan west</t>
  </si>
  <si>
    <t>Lourdes High School</t>
  </si>
  <si>
    <t xml:space="preserve">Maharashtra State Board of Secondary and Higher Secondary Education Pune </t>
  </si>
  <si>
    <t>Agnel Polytechnic Vashi</t>
  </si>
  <si>
    <t xml:space="preserve">M H Saboo Siddik College of Engineering </t>
  </si>
  <si>
    <t>Auto Cad ,sketchup</t>
  </si>
  <si>
    <t>Texas A &amp; M University , Texarkana | summer intern | Texarkana, Texas | Jun 2024 | Jul 2024 | 3 Weeks
Bombay Building Company | Intern | Mumbai Central  | Dec 2024 | Jan 2025 | 4 Weeks</t>
  </si>
  <si>
    <t>certificate of participation in research program in US
Membership of ISSE
Certificate of participation in stapatya 2022 {M^3}
Certificate of Winner in Technical paper presentation in MHSSCE
Staad Pro coarse completion
Certificate of  Appreciation
Certificate of Appreciation
Certificate of Merit 
certificate of participation 
Certificate of Merit (badminton)</t>
  </si>
  <si>
    <t>P26700407</t>
  </si>
  <si>
    <t xml:space="preserve">Subhash </t>
  </si>
  <si>
    <t>Sawant</t>
  </si>
  <si>
    <t>Shravani Subhash  Sawant</t>
  </si>
  <si>
    <t>P26700407@student.nicmar.ac.in</t>
  </si>
  <si>
    <t>01-Dec-1998</t>
  </si>
  <si>
    <t>Sketching,Collecting Souvenir,Art and Music Appreciation</t>
  </si>
  <si>
    <t>4992 2274 0043</t>
  </si>
  <si>
    <t>Subhash Indrakumar Sawant</t>
  </si>
  <si>
    <t>Suhaseeni Subhash Sawant</t>
  </si>
  <si>
    <t>Vitthal Bhuvan, Kankavli, Sindhudurg, Maharashtra</t>
  </si>
  <si>
    <t>St. Ursula School</t>
  </si>
  <si>
    <t>Kankavli College</t>
  </si>
  <si>
    <t>Pillai HOC College of Architecture, Panvel</t>
  </si>
  <si>
    <t>AutoCAD,MS Office,MS project ,Sketchup</t>
  </si>
  <si>
    <t>Taksheel Reaalty LLP | Project Architect | Tardeo, Mumbai | Jan 2024 | Jan 2026 | 2 Years, 0 Months, 16 Days | 2.64
Spaceffect Consultants | Jr. Architect | Thane, mumbai | Sep 2022 | Oct 2023 | 1 Years, 1 Months, 16 Days | 1.98</t>
  </si>
  <si>
    <t>GM associates | Jr. Architect | Kankavli,Sindhudurg | Jan 2021 | Jun 2021 | 22 Weeks | Campus Internship</t>
  </si>
  <si>
    <t>P26700408</t>
  </si>
  <si>
    <t>Sumanth M B</t>
  </si>
  <si>
    <t>P26700408@student.nicmar.ac.in</t>
  </si>
  <si>
    <t>CRICKET,TRAVELLING,MUSIC</t>
  </si>
  <si>
    <t>MAHESHWARA B</t>
  </si>
  <si>
    <t>NIRMALA M B</t>
  </si>
  <si>
    <t>HAGARANUR, HADAGALLI, BALLARI, KARNATAKA, 583216</t>
  </si>
  <si>
    <t>Vijayanagara</t>
  </si>
  <si>
    <t>TREE FOUNDATION, SANGAMA, DEVALINGIKOPPA, KALAGHATAGI, DHARWAD, 580114</t>
  </si>
  <si>
    <t xml:space="preserve">K.E. BOARD's HIGH SCHOOL MALAMADDI DHARWAD </t>
  </si>
  <si>
    <t>DHARWAD, KARNATAKA</t>
  </si>
  <si>
    <t>JSS RSH PU COLLEGE VIDYAGIRI DHARWAD</t>
  </si>
  <si>
    <t>KLE TECHNOLOGICAL UNIVERSITY, VIDYANAGAR, HUBLI, DHARWAD</t>
  </si>
  <si>
    <t>AutoCAD, MS Project, Primavera,Excel,ArcGIS</t>
  </si>
  <si>
    <t>NATIONAL HIGHWAYS AUTHORITY OF INDIA | INTERN | DHARWAD | Mar 2025 | Apr 2025 | 8 Weeks | Campus Internship</t>
  </si>
  <si>
    <t>P26700409</t>
  </si>
  <si>
    <t xml:space="preserve">Aniket </t>
  </si>
  <si>
    <t>Aniket  Yadav</t>
  </si>
  <si>
    <t>aniket211yadav@gmail.com</t>
  </si>
  <si>
    <t>P26700409@student.nicmar.ac.in</t>
  </si>
  <si>
    <t>02-Nov-2001</t>
  </si>
  <si>
    <t>Cooking,Movies</t>
  </si>
  <si>
    <t>Vinay Kumar Yadav</t>
  </si>
  <si>
    <t>Lalita Yadav</t>
  </si>
  <si>
    <t>18/02 Type IV, Hanburry Road, Ordnance Estate, Khadki</t>
  </si>
  <si>
    <t xml:space="preserve">Kendriya Vidyalaya Rangehills Khadki </t>
  </si>
  <si>
    <t>Central Board of Secondary Education (CBSE)</t>
  </si>
  <si>
    <t>Savitribai Phule Pune University(SPPU)</t>
  </si>
  <si>
    <t>Government College of Engineering and Research, Avasari</t>
  </si>
  <si>
    <t>Autocad,MS Project,MS Office,Digitalization,Quantity Estimation,MIS Reporting</t>
  </si>
  <si>
    <t>L&amp;T Construction | Project Planning Engineer | Ballari, Karnatka | Oct 2021 | Jul 2023 | 1 Years, 9 Months, 27 Days | 4.05</t>
  </si>
  <si>
    <t>PS Developers | Intern | Pune | Jan 2025 | Jan 2025 | 4 Weeks
Government College of Engineering and Research, Avasari | Final Year Project | Pune | Aug 2025 | May 2026 | 43 Weeks</t>
  </si>
  <si>
    <t>P26700410</t>
  </si>
  <si>
    <t>NITANT</t>
  </si>
  <si>
    <t>Nitant Kumar</t>
  </si>
  <si>
    <t>kumarnitant7@gmail.com</t>
  </si>
  <si>
    <t>P26700410@student.nicmar.ac.in</t>
  </si>
  <si>
    <t>07-Dec-2002</t>
  </si>
  <si>
    <t>Playing basketball</t>
  </si>
  <si>
    <t>Naresh prasad</t>
  </si>
  <si>
    <t xml:space="preserve">Anita devi </t>
  </si>
  <si>
    <t>homemaker</t>
  </si>
  <si>
    <t xml:space="preserve">vill manjhi dakhin tola majhi chapra saran bihar </t>
  </si>
  <si>
    <t>Saran</t>
  </si>
  <si>
    <t xml:space="preserve">Vainkteshrwa pg Sambhaji Nagar Mhalunge </t>
  </si>
  <si>
    <t>nitant kumar</t>
  </si>
  <si>
    <t>CBSE Ranchi/Jharkhand</t>
  </si>
  <si>
    <t xml:space="preserve">CBSE Ranchi Jharkhand </t>
  </si>
  <si>
    <t xml:space="preserve">Rajiv Gandhi Proudyogiki Vishwavidyalaya </t>
  </si>
  <si>
    <t>Sagar Institute of research and technology Bhopal/Madhya Pradesh</t>
  </si>
  <si>
    <t>AutoCAD , Revit ,msoffice,msproject</t>
  </si>
  <si>
    <t>swastik enterprises | site engineer  | PATNA | Aug 2024 | Sep 2025 | 1 Years, 1 Months, 3 Days | 2.5</t>
  </si>
  <si>
    <t>SIRT  | student | bhopal | Jan 2023 | Jun 2023 | 21 Weeks | Campus Internship
elite arch  |  internship | bhopal | Mar 2023 | Apr 2023 | 4 Weeks
john holland | intern  | bhopal | Jun 2023 | Jul 2023 | 4 Weeks</t>
  </si>
  <si>
    <t>AutoCAD , Lumion ,Revit , StadPro,</t>
  </si>
  <si>
    <t>P26700411</t>
  </si>
  <si>
    <t>NITHIN</t>
  </si>
  <si>
    <t>Nithin J A</t>
  </si>
  <si>
    <t>P26700411@student.nicmar.ac.in</t>
  </si>
  <si>
    <t>16-Aug-2004</t>
  </si>
  <si>
    <t>GYM,CYCLING,TREKKING,MUSIC</t>
  </si>
  <si>
    <t>JAYACHANDRAN N</t>
  </si>
  <si>
    <t xml:space="preserve">Farming </t>
  </si>
  <si>
    <t>ABIRAMI J</t>
  </si>
  <si>
    <t>117, Chinniyamapalayam , 
Moodakurichi Vali ,
Nanjaiuthukuli</t>
  </si>
  <si>
    <t>ANNA UNIVERSITY, CHENNAI</t>
  </si>
  <si>
    <t>KUMARAGURU COLLEGE OF TECHNOLOGY COIMBATORE</t>
  </si>
  <si>
    <t>AUTOCAD,MS OFFICE,MS PROJECT,STAAD PRO,PYTHON,PRIMAVERA,GIS</t>
  </si>
  <si>
    <t>Visaka Infra Developers | Site Supervision | Coimbatore | Dec 2024 | Jan 2025 | 4 Weeks</t>
  </si>
  <si>
    <t>P26700412</t>
  </si>
  <si>
    <t>Mallinath</t>
  </si>
  <si>
    <t>Katap</t>
  </si>
  <si>
    <t>Aishwarya Mallinath Katap</t>
  </si>
  <si>
    <t>P26700412@student.nicmar.ac.in</t>
  </si>
  <si>
    <t>30-Aug-1997</t>
  </si>
  <si>
    <t>Mallinath Katap</t>
  </si>
  <si>
    <t>Rajashri</t>
  </si>
  <si>
    <t xml:space="preserve">A 803 Madhupushpa phase 1, shankar kalat nagar, datt mandir road, Wakad </t>
  </si>
  <si>
    <t>Siddheshwar Girls High School, Solapur</t>
  </si>
  <si>
    <t>Maharashtra State Board Of Secondary and Higher Secondary Edncation, Pune</t>
  </si>
  <si>
    <t>Siddheshwar Womens Polytechnic,Solapur</t>
  </si>
  <si>
    <t>Dr. Daulatrao Aher College of Engineering, Karad</t>
  </si>
  <si>
    <t>VDC Tech | BIM Engineer- MEP | Baner, pune | Oct 2024 | Jun 2026 | 1 Years, 7 Months, 25 Days | 3.3
Prima Verse IDC LLP | Civil Engineer | Senior Civil Engineer | Jul 2022 | Oct 2024 | 2 Years, 2 Months, 22 Days | 2.8
G Source Technologies | Junior Quality engineer | Pune | Mar 2021 | Jul 2022 | 1 Years, 4 Months, 10 Days</t>
  </si>
  <si>
    <t>62 month(s)</t>
  </si>
  <si>
    <t>P26700413</t>
  </si>
  <si>
    <t>SINGI</t>
  </si>
  <si>
    <t>Kushal N Singi</t>
  </si>
  <si>
    <t>kushalnsingi002@gmail.com</t>
  </si>
  <si>
    <t>P26700413@student.nicmar.ac.in</t>
  </si>
  <si>
    <t>Travelling,Treakking,Music,Cricket,Events</t>
  </si>
  <si>
    <t>Narasingh</t>
  </si>
  <si>
    <t>Lalitha N Singi</t>
  </si>
  <si>
    <t>D.No : 108/109, Kambli Bazar, Main Road</t>
  </si>
  <si>
    <t xml:space="preserve">Ashirvad English Medium High School </t>
  </si>
  <si>
    <t>Karnataka Secondary Education Examination Board, Bengaluru, Karnataka</t>
  </si>
  <si>
    <t>Bellary Independent Pre University College</t>
  </si>
  <si>
    <t>KLE Technological University</t>
  </si>
  <si>
    <t>BVB College of Engineering and Technology, Hubballi</t>
  </si>
  <si>
    <t>AutoCAD, Revit,MS Project,Primavera P6</t>
  </si>
  <si>
    <t>Total Environment  | Senior Executive | Planning | Bengaluru | Jun 2023 | Feb 2026 | 2 Years, 8 Months, 1 Days | 4.86
Sumadhura Infracon Private Limited | Engineer - Planning | Bengaluru | Mar 2026 | Jun 2026 | 0 Years, 3 Months, 15 Days | 5.60</t>
  </si>
  <si>
    <t>VN Constructions | Trainee Engineer | Bellary | Jan 2023 | May 2023 | 17 Weeks</t>
  </si>
  <si>
    <t>P26700414</t>
  </si>
  <si>
    <t>Aish</t>
  </si>
  <si>
    <t>Kushwaha</t>
  </si>
  <si>
    <t>Aish Kushwaha</t>
  </si>
  <si>
    <t>aishkushwahakota@gmail.com</t>
  </si>
  <si>
    <t>P26700414@student.nicmar.ac.in</t>
  </si>
  <si>
    <t>05-Nov-1999</t>
  </si>
  <si>
    <t xml:space="preserve"> Hindi,English</t>
  </si>
  <si>
    <t>Music,Dancing,Cooking,Travelling</t>
  </si>
  <si>
    <t>Purshottam Kushwaha</t>
  </si>
  <si>
    <t>Bhawna Kushwaha</t>
  </si>
  <si>
    <t>H.No: 17, Durga Nagar, Swaraj Enclave, Borkheda</t>
  </si>
  <si>
    <t>Kota</t>
  </si>
  <si>
    <t>Pragati Public SR Secondary School, Kota</t>
  </si>
  <si>
    <t>HMS SR Secondary School, Kota</t>
  </si>
  <si>
    <t xml:space="preserve">Board of Secondary Education, Rajasthan </t>
  </si>
  <si>
    <t>Maharishi Arvind International Institute of Technology, Kota</t>
  </si>
  <si>
    <t>AutoCAD,Revit,MS office,MS project,ERP software</t>
  </si>
  <si>
    <t>DND Constructions Pvt Limited | Junior Site Engineer | Pune | Jan 2021 | Jan 2024 | 3 Years, 0 Months, 11 Days | 3
Planedge Consultants Pvt Limited | Field Engineer  | Pune | Feb 2024 | Jul 2026 | 2 Years, 4 Months, 28 Days | 4.05</t>
  </si>
  <si>
    <t>65 month(s)</t>
  </si>
  <si>
    <t>Prime Art Architects (P) LTD | Trainee (Civil Engineer) | Kota | May 2019 | Jul 2019 | 6 Weeks</t>
  </si>
  <si>
    <t>P26700415</t>
  </si>
  <si>
    <t>Minhaj</t>
  </si>
  <si>
    <t>Yakub</t>
  </si>
  <si>
    <t>Minhaj Yakub Shaikh</t>
  </si>
  <si>
    <t>minhajysk@gmail.com</t>
  </si>
  <si>
    <t>P26700415@student.nicmar.ac.in</t>
  </si>
  <si>
    <t>01-Aug-2003</t>
  </si>
  <si>
    <t>Technology,Travelling and Exploring,Music</t>
  </si>
  <si>
    <t>Yakub Shaikh</t>
  </si>
  <si>
    <t>Maherunissa Shaikh</t>
  </si>
  <si>
    <t>M-Square Pearls Apartment, Plot Number 5 and 6, Gut Number 13, Behind Bajaj Hospital, Beed By Pass Road, Satara Parisar, Chattrapati SambhajiNagar (Aurangabad)</t>
  </si>
  <si>
    <t>Riverdale High School</t>
  </si>
  <si>
    <t>Malick Junior College</t>
  </si>
  <si>
    <t>Bharati Vidyapeeth Deemed to Be University</t>
  </si>
  <si>
    <t>Bharati Vidyapeeth College of Engineering</t>
  </si>
  <si>
    <t>Bharati Vidyapeeth College of Engineering Pune | Final Year Project | Pune | Jul 2024 | Jun 2025 | 47 Weeks
M-Square Buildcon | Intern | Aurangabad | Jun 2024 | Aug 2026 | 113 Weeks</t>
  </si>
  <si>
    <t>P26700416</t>
  </si>
  <si>
    <t>P26700416@student.nicmar.ac.in</t>
  </si>
  <si>
    <t>P26700417</t>
  </si>
  <si>
    <t xml:space="preserve">SAKTHI </t>
  </si>
  <si>
    <t>Sakthi  S S</t>
  </si>
  <si>
    <t>P26700417@student.nicmar.ac.in</t>
  </si>
  <si>
    <t xml:space="preserve">English, Tamil </t>
  </si>
  <si>
    <t xml:space="preserve">Music , Photography, Badminton ,Singing </t>
  </si>
  <si>
    <t>9471 5936 5644</t>
  </si>
  <si>
    <t xml:space="preserve">S A Srinivasan </t>
  </si>
  <si>
    <t xml:space="preserve">Government Contractor </t>
  </si>
  <si>
    <t xml:space="preserve">S Sridevi </t>
  </si>
  <si>
    <t>2/25-284, Pillaiyar Kovil Street, Seduvalai, Vellore</t>
  </si>
  <si>
    <t>SHRI VARDHAMAN JAIN MATRIC HR SEC SCHOOL,VIRINCHIPURAM,VELLORE</t>
  </si>
  <si>
    <t xml:space="preserve">TAMILNADU STATE BOARD </t>
  </si>
  <si>
    <t>Thanthai Periyar Government Institute of Technology, Vellore,Tamilnadu</t>
  </si>
  <si>
    <t>AutoCAD , MS Office, MS Project, Primavera, Python, Digital Marketing ,Entrepreneurship and innovation,Human Resources Management</t>
  </si>
  <si>
    <t>Govt PWD C&amp;M division  | Internship Trainee  | Vellore  | Jul 2024 | Aug 2024 | 4 Weeks</t>
  </si>
  <si>
    <t>Digital Marketing
Entrepreneurship &amp; Innovation (Ignite)
Employability Skills</t>
  </si>
  <si>
    <t>P26700418</t>
  </si>
  <si>
    <t>Poojan</t>
  </si>
  <si>
    <t xml:space="preserve">Mahesh </t>
  </si>
  <si>
    <t>Rane</t>
  </si>
  <si>
    <t>Poojan Mahesh  Rane</t>
  </si>
  <si>
    <t>poojanrane@gmail.com</t>
  </si>
  <si>
    <t>P26700418@student.nicmar.ac.in</t>
  </si>
  <si>
    <t>27-Dec-2004</t>
  </si>
  <si>
    <t>Mahesh Ankush Rane</t>
  </si>
  <si>
    <t>Neha Mahesh Rane</t>
  </si>
  <si>
    <t>At.Post Redi, Mahartalewadi, Tal-Vengurla, Dist-Sindhudurg.</t>
  </si>
  <si>
    <t>St.Francis Xavier's English Medium High School, Ajgaon, Sindhudurg.</t>
  </si>
  <si>
    <t>Secondary School Certificate (SSC), Pune, Maharashtra.</t>
  </si>
  <si>
    <t>B.M Gogate Junior College, Shiroda, Sindhudurg.</t>
  </si>
  <si>
    <t>Higher Secondary Certificate (HSC), Pune, Maharashtra.</t>
  </si>
  <si>
    <t>University of Mumbai.</t>
  </si>
  <si>
    <t>Sardar Patel College of Engineering, Mumbai, Maharashtra.</t>
  </si>
  <si>
    <t>Runwal Real Estate Private Limited  | Intern  | Chinchpokali, Mumbai  | Jan 2026 | Apr 2026 | 15 Weeks | Campus Internship</t>
  </si>
  <si>
    <t>P26700419</t>
  </si>
  <si>
    <t>Rawat</t>
  </si>
  <si>
    <t>Manas Singh  Rawat</t>
  </si>
  <si>
    <t>manasrawat8979@gmail.com</t>
  </si>
  <si>
    <t>P26700419@student.nicmar.ac.in</t>
  </si>
  <si>
    <t>Sketching,Trekking</t>
  </si>
  <si>
    <t>Rakesh Singh Rawat</t>
  </si>
  <si>
    <t>Account Officer</t>
  </si>
  <si>
    <t>Kavita Rawat</t>
  </si>
  <si>
    <t>House no.17, M.K House , Vishnu Vihar, Ajabpur kalan</t>
  </si>
  <si>
    <t>St. Thomas School</t>
  </si>
  <si>
    <t>ICSE, Pauri Garhwal</t>
  </si>
  <si>
    <t>Baluni Public School</t>
  </si>
  <si>
    <t>CBSE, Dehradun</t>
  </si>
  <si>
    <t>Veer Madho Singh Bhandari Uttarakhand Technical University</t>
  </si>
  <si>
    <t>THDC Institute of Hydropower Engineering and Technology</t>
  </si>
  <si>
    <t>P26700420</t>
  </si>
  <si>
    <t>Rohan</t>
  </si>
  <si>
    <t>Mahajan</t>
  </si>
  <si>
    <t>Rohan Raghunath Mahajan</t>
  </si>
  <si>
    <t>rohanmahajan040@gmail.com</t>
  </si>
  <si>
    <t>P26700420@student.nicmar.ac.in</t>
  </si>
  <si>
    <t>17-Apr-2001</t>
  </si>
  <si>
    <t>Pencile Skeching,Playing Badminton,Reading</t>
  </si>
  <si>
    <t>Raghunath Mahajan</t>
  </si>
  <si>
    <t>Prabha Mahajan</t>
  </si>
  <si>
    <t>Peth Bhag, Chinchani, Tal:- Tasgaon, Dist:- Sangli</t>
  </si>
  <si>
    <t>Vitthalrao Page Vidyamandir, Chinchani</t>
  </si>
  <si>
    <t>Padmabhooshan Vasantraodada Patil Institute Of Technology, Budhgaon, Sangli</t>
  </si>
  <si>
    <t>Dr.Babasaheb Ambedkar Technological University, Lonere</t>
  </si>
  <si>
    <t>MS Project, Autocad,MS Office</t>
  </si>
  <si>
    <t>Remap Reality | Junior Site Engineer | Pune | Apr 2024 | Jul 2026 | 2 Years, 3 Months, 2 Days | 3.12</t>
  </si>
  <si>
    <t>BIM Professional Course for Civil Engineers</t>
  </si>
  <si>
    <t>P26700421</t>
  </si>
  <si>
    <t>Harshal</t>
  </si>
  <si>
    <t>Shyamkumar</t>
  </si>
  <si>
    <t>Raut</t>
  </si>
  <si>
    <t>Harshal Shyamkumar Raut</t>
  </si>
  <si>
    <t>harshalraut251102@gmail.com</t>
  </si>
  <si>
    <t>P26700421@student.nicmar.ac.in</t>
  </si>
  <si>
    <t>25-Nov-2002</t>
  </si>
  <si>
    <t>Music,Sports,Travelling</t>
  </si>
  <si>
    <t>Shyamkumar Raut</t>
  </si>
  <si>
    <t>Ex-Servicemen, Banking Professional</t>
  </si>
  <si>
    <t>Sarika Raut</t>
  </si>
  <si>
    <t>29-Prayag, Neelkamal Housing Society, Backside Besa Petrol Pump, Besa, Nagpur - 440037</t>
  </si>
  <si>
    <t>School Of Scholars, Akola</t>
  </si>
  <si>
    <t>Central Board of Secondary Eduction</t>
  </si>
  <si>
    <t>Pimpri Chinchwad College of Engineering, Nigdi, Pune, Maharashtra</t>
  </si>
  <si>
    <t>Urban Space Creators | Execution Intern | Pune | Jun 2024 | Jul 2024 | 4 Weeks</t>
  </si>
  <si>
    <t>P26700422</t>
  </si>
  <si>
    <t>Barath</t>
  </si>
  <si>
    <t>Barath M</t>
  </si>
  <si>
    <t>P26700422@student.nicmar.ac.in</t>
  </si>
  <si>
    <t>English,Hindi,Malayalam,Tamil,Kannmada</t>
  </si>
  <si>
    <t>Basketball,Movie,Anime</t>
  </si>
  <si>
    <t>K G Maheswaran</t>
  </si>
  <si>
    <t>Civil Servant</t>
  </si>
  <si>
    <t>Jayasree R</t>
  </si>
  <si>
    <t>Sree, 17, 3rd Cross, Vekateshwara Layout, Munnekolala, Marathahalli, Bagalore-560037</t>
  </si>
  <si>
    <t>KV ASC Centre, Bangalore</t>
  </si>
  <si>
    <t>CBSE, Bangalore</t>
  </si>
  <si>
    <t>BMS College of Engineering, Bangalore</t>
  </si>
  <si>
    <t>AutoCAD, Revit,StaadPro,Etabs</t>
  </si>
  <si>
    <t>Synergasia BE-Nex Pvt Ltd, InCoBAN | Intern | Bangalore | Jan 2026 | Apr 2026 | 14 Weeks | Campus Internship
BIAL | Intern | Bangalore | Jul 2025 | Aug 2025 | 4 Weeks</t>
  </si>
  <si>
    <t>P26700423</t>
  </si>
  <si>
    <t>Urmila</t>
  </si>
  <si>
    <t>Khodke</t>
  </si>
  <si>
    <t>Urmila Rajesh Khodke</t>
  </si>
  <si>
    <t>P26700423@student.nicmar.ac.in</t>
  </si>
  <si>
    <t>18-Jan-1997</t>
  </si>
  <si>
    <t>Dancing , Cooking ,Music</t>
  </si>
  <si>
    <t>Rajesh Khodke</t>
  </si>
  <si>
    <t>Varsha Khodke</t>
  </si>
  <si>
    <t>B14 flat no 1003 nyati elan west 3 wagholi pune 412207</t>
  </si>
  <si>
    <t xml:space="preserve">Shri Shivaji High School and Junior College </t>
  </si>
  <si>
    <t>Maharashtra state board of secondary and higher secondary education, Maharashtra</t>
  </si>
  <si>
    <t>Shri Shivaji Science and Arts College</t>
  </si>
  <si>
    <t>Pankaj laddhad institute of technology and management studies, Chikhali, Maharashtra</t>
  </si>
  <si>
    <t>AutoCAD,3D CIVIL,MS Office,MS Project</t>
  </si>
  <si>
    <t>TheDraftRack | Associate Engineer | Pune | Aug 2022 | Jul 2023 | 0 Years, 11 Months, 7 Days | 1.53</t>
  </si>
  <si>
    <t>Advance Diploma in Structural Design &amp; Analysis from (IGTR Aurangabad)</t>
  </si>
  <si>
    <t>P26700424</t>
  </si>
  <si>
    <t>Rashida</t>
  </si>
  <si>
    <t>Noori</t>
  </si>
  <si>
    <t>Rashida Noori</t>
  </si>
  <si>
    <t>P26700424@student.nicmar.ac.in</t>
  </si>
  <si>
    <t>13-Aug-2004</t>
  </si>
  <si>
    <t>Hindi,English,Marathi,Bengali</t>
  </si>
  <si>
    <t>Volunteering,Listening music,Drawing</t>
  </si>
  <si>
    <t>Mohammed Rashed Ali</t>
  </si>
  <si>
    <t>Jaynab Begum</t>
  </si>
  <si>
    <t>Gat no-778, Serene Spaces, Flat No B-302, Gade Wasti, Bakori road, Wagholi</t>
  </si>
  <si>
    <t>Prodigy Public School</t>
  </si>
  <si>
    <t>CBSE, Maharashtra</t>
  </si>
  <si>
    <t>Bhivrabai Sawant Polytechnic, Pune, Maharashtra</t>
  </si>
  <si>
    <t>Imperial College of Engineering &amp; Research, Pune, Maharashtra</t>
  </si>
  <si>
    <t>Indo Global Precast System LLP | Trainee Engineer | Pune  | Dec 2024 | Jan 2025 | 4 Weeks</t>
  </si>
  <si>
    <t>P26700425</t>
  </si>
  <si>
    <t>Aditya Vijay  Gawai</t>
  </si>
  <si>
    <t>P26700425@student.nicmar.ac.in</t>
  </si>
  <si>
    <t>Listening Music, badminton</t>
  </si>
  <si>
    <t>Vijay Balikram Gawai</t>
  </si>
  <si>
    <t>EX-SERVICEMAN</t>
  </si>
  <si>
    <t>Jyoti Vijay Gawai</t>
  </si>
  <si>
    <t>Sainik Colony, Mothi Umbri, Near Engineering Colony, Akola</t>
  </si>
  <si>
    <t>Planet Millineum Society, A9-104, Pimple Saudagar, Pune.</t>
  </si>
  <si>
    <t>Mount Carmel Secondary and Higher Secondary school</t>
  </si>
  <si>
    <t>Maharashtra state board of Seconday &amp; Higher Secondary education Pune</t>
  </si>
  <si>
    <t>Civil &amp; Rural Enigineering</t>
  </si>
  <si>
    <t>Acharaya Shrimannaryan Polytechnic, Pimpri, Wardha, Maharashtra</t>
  </si>
  <si>
    <t>MIT Academy of Engineering, Alandi, Pune, Maharashtra</t>
  </si>
  <si>
    <t>AutoCAD,MS OFFICE, MS PROJECT, ARCGIS, QGIS, PIX4D, ETABS, STAAD PRO, ADVANCED EXCEL, REVIT</t>
  </si>
  <si>
    <t>Winntus Aluform Pvt Ltd | Design Engineer | Pune | Jan 2025 | Apr 2026 | 1 Years, 3 Months, 19 Days | 2.75</t>
  </si>
  <si>
    <t>Survey of India | GIS Intern | Pune | Jun 2024 | Jul 2024 | 5 Weeks | Campus Internship</t>
  </si>
  <si>
    <t>P26700426</t>
  </si>
  <si>
    <t>Joshi</t>
  </si>
  <si>
    <t>Joshi Shrirang Prashant</t>
  </si>
  <si>
    <t>shrirangjoshi73@gmail.com</t>
  </si>
  <si>
    <t>P26700426@student.nicmar.ac.in</t>
  </si>
  <si>
    <t>Playing Tabla,Travelling</t>
  </si>
  <si>
    <t>Prashant Joshi</t>
  </si>
  <si>
    <t>Renuka Joshi</t>
  </si>
  <si>
    <t>Ram nagar wardha-442001</t>
  </si>
  <si>
    <t>Sarthi SkyBay D, Mahalunge,</t>
  </si>
  <si>
    <t>Bharat Dnyan Mandiram Convent</t>
  </si>
  <si>
    <t>SSC Wardha/ Maharashtra</t>
  </si>
  <si>
    <t>Civil and Rural Engineering</t>
  </si>
  <si>
    <t>Acharya Shrimannarayan Pollytechnic- Wardha, Mharashtra</t>
  </si>
  <si>
    <t>AutoCad,Ms office, Revit,Etabs</t>
  </si>
  <si>
    <t>RCC INFRASTRUCTURE CONSULTANTS PVT.LTD | SITE ENGINNER TRANIEE | Nagpur | Jul 2022 | Aug 2022 | 5 Weeks
JANDU CONSTRUCTION INDIA PRIVATE LIMITED | ENGINEER TRANIEE | Wardha | Jan 2025 | Feb 2025 | 4 Weeks</t>
  </si>
  <si>
    <t>P26700427</t>
  </si>
  <si>
    <t>G V</t>
  </si>
  <si>
    <t>Rahul G V</t>
  </si>
  <si>
    <t>gvrahul20@gmail.com</t>
  </si>
  <si>
    <t>P26700427@student.nicmar.ac.in</t>
  </si>
  <si>
    <t>20-Sep-2004</t>
  </si>
  <si>
    <t>Badminton,Photography,Travelling</t>
  </si>
  <si>
    <t>Vasudevan G</t>
  </si>
  <si>
    <t>Prabha V</t>
  </si>
  <si>
    <t>300, Annasalai, Thavittupalayam, Anthiyur, Erode(Dt)-638501, Tamilnadu.</t>
  </si>
  <si>
    <t>Adharsh Vidhyalaya Public School</t>
  </si>
  <si>
    <t>PSG College of Technology, Coimbatore, Tamilnadu</t>
  </si>
  <si>
    <t>MS Office,AutoCAD,STAAD.Pro,QGIS,MS Project</t>
  </si>
  <si>
    <t>Anusamm Infra LLP | Civil Engineering Intern | Coimbatore, Tamilnadu | Dec 2025 | Apr 2026 | 17 Weeks</t>
  </si>
  <si>
    <t>P26700428</t>
  </si>
  <si>
    <t xml:space="preserve">Vatsal </t>
  </si>
  <si>
    <t>Pravinbhai</t>
  </si>
  <si>
    <t>Lakhani</t>
  </si>
  <si>
    <t>Vatsal  Pravinbhai Lakhani</t>
  </si>
  <si>
    <t>P26700428@student.nicmar.ac.in</t>
  </si>
  <si>
    <t>10-Mar-2003</t>
  </si>
  <si>
    <t>Travelling,Swimming,hiking</t>
  </si>
  <si>
    <t>Pravinbhai Madhubhai Lakhani</t>
  </si>
  <si>
    <t>Gulabben Pravinbhai Lakhani</t>
  </si>
  <si>
    <t xml:space="preserve">12A, Gokuldham Bungalows Nr. Malabar Royal Society, Bhakti Cricle Road, Nikol </t>
  </si>
  <si>
    <t xml:space="preserve">Sankalp International School </t>
  </si>
  <si>
    <t xml:space="preserve">V.I.Patel English School </t>
  </si>
  <si>
    <t xml:space="preserve">CEPT University </t>
  </si>
  <si>
    <t>AutoCAD,Sketchup  ,MS Project,Enscape,WaterGEMS,IESVE,Microsoft Office</t>
  </si>
  <si>
    <t>PSP PROJECTS LIMITED | Intern | Ahmedabad | Jan 2026 | May 2026 | 15 Weeks | Campus Internship</t>
  </si>
  <si>
    <t xml:space="preserve">Membership of Indian Plumbing Association </t>
  </si>
  <si>
    <t>P26700429</t>
  </si>
  <si>
    <t>Varad</t>
  </si>
  <si>
    <t>Ajit</t>
  </si>
  <si>
    <t>Varad Ajit Pawar</t>
  </si>
  <si>
    <t>P26700429@student.nicmar.ac.in</t>
  </si>
  <si>
    <t>14-Dec-2004</t>
  </si>
  <si>
    <t>Swimming,Travelling,Photography</t>
  </si>
  <si>
    <t>Ajit Sadashiv Pawar</t>
  </si>
  <si>
    <t>Pratima Ajit Pawar</t>
  </si>
  <si>
    <t>Worli Police Camp, sir pochkhanawala road, Building no - 1 / room no 2</t>
  </si>
  <si>
    <t>our lady of salvation high school</t>
  </si>
  <si>
    <t>mumbai,maharashtra</t>
  </si>
  <si>
    <t>dr antonio da silva technical high school and jr college of science</t>
  </si>
  <si>
    <t>university of mumbai</t>
  </si>
  <si>
    <t>rizvi college of engineering</t>
  </si>
  <si>
    <t>AutoCAD,MS OFFICE,MS PROJECT,CANVA,GOOGLE SKETCHUP</t>
  </si>
  <si>
    <t>P26700430</t>
  </si>
  <si>
    <t>LAKSHMI PRASAD</t>
  </si>
  <si>
    <t>Lakshmi Prasad B</t>
  </si>
  <si>
    <t>prasadbolli650@gmail.com</t>
  </si>
  <si>
    <t>P26700430@student.nicmar.ac.in</t>
  </si>
  <si>
    <t>17-Mar-2002</t>
  </si>
  <si>
    <t>TELUGU, ENGLISH,TAMIL,HINDI</t>
  </si>
  <si>
    <t>PHOTOGRAPHY</t>
  </si>
  <si>
    <t>VENKATESULU B</t>
  </si>
  <si>
    <t>YASODHA M</t>
  </si>
  <si>
    <t>1-21 , Gopalapuram, Narigapalli Post, Chittoor.</t>
  </si>
  <si>
    <t>3-583/B, Gandla street Ext, Greamspet, Chittoor.</t>
  </si>
  <si>
    <t>VIGNANA DEEPTHI (EM) HS</t>
  </si>
  <si>
    <t>ANDHRA PRADESH BOARD OF SECONDARY EDUCATION</t>
  </si>
  <si>
    <t>SCHOOL OF ARCHITECTURE AND PLANNING, ANNA UNIVERSITY, CHENNAI</t>
  </si>
  <si>
    <t>AUTOCAD,MS PROJECT,SKETCHUP,REVIT,PHOTOSHOP</t>
  </si>
  <si>
    <t>KRANTHI ARCHITECTS | JUNIOR ARCHITECT | TIRUPATI | Jun 2025 | Jun 2026 | 1 Years, 0 Months, 16 Days | 3.24</t>
  </si>
  <si>
    <t>SPACEXTENDED | INTERN ARCHITECT | CALICUT | Jan 2024 | May 2024 | 15 Weeks</t>
  </si>
  <si>
    <t>INTERIOR DESIGN
Introduction To Cognitive Psychology</t>
  </si>
  <si>
    <t>P26700431</t>
  </si>
  <si>
    <t>NANDANA HARI</t>
  </si>
  <si>
    <t>E K</t>
  </si>
  <si>
    <t>Nandana Hari E K</t>
  </si>
  <si>
    <t>P26700431@student.nicmar.ac.in</t>
  </si>
  <si>
    <t>English,Hindi,malayalam,tamil</t>
  </si>
  <si>
    <t>Dancing,Reading,Music</t>
  </si>
  <si>
    <t>Haridasan T O</t>
  </si>
  <si>
    <t>Private sector</t>
  </si>
  <si>
    <t>Niranjana K K</t>
  </si>
  <si>
    <t>Govt. Africulture department</t>
  </si>
  <si>
    <t>KOROTH HOUSE
Pollayad
P O chuzhali</t>
  </si>
  <si>
    <t>Chinmaya Vidyalaya Kannur</t>
  </si>
  <si>
    <t>Chinmaya Vidyalaya Taliparamba</t>
  </si>
  <si>
    <t>Central board of Secondary Education</t>
  </si>
  <si>
    <t>A P J Abdul Kalam Technical University</t>
  </si>
  <si>
    <t>College of Engineering Trivandrum</t>
  </si>
  <si>
    <t>Kerala Govt Harbour Department | Student Intern | Vizhinjam | Jun 2024 | Jul 2024 | 1 Weeks</t>
  </si>
  <si>
    <t>P26700432</t>
  </si>
  <si>
    <t xml:space="preserve">Nilay </t>
  </si>
  <si>
    <t>Lokhande</t>
  </si>
  <si>
    <t>Nilay  Nandkishor Lokhande</t>
  </si>
  <si>
    <t>P26700432@student.nicmar.ac.in</t>
  </si>
  <si>
    <t>14-Feb-2004</t>
  </si>
  <si>
    <t>Marathi , English ,Hindi</t>
  </si>
  <si>
    <t xml:space="preserve">Music, Cricket , Travelling </t>
  </si>
  <si>
    <t>Nandkishor Bhimraoji Lokhande</t>
  </si>
  <si>
    <t>Government Servent</t>
  </si>
  <si>
    <t>Madhavi Nandkishor Lokhande</t>
  </si>
  <si>
    <t>Pravin Nagar, V.M.V College Behind , Amravati</t>
  </si>
  <si>
    <t>Shri Ganesh Das Rathi Vidyalaya</t>
  </si>
  <si>
    <t>Amravati , Maharashtra</t>
  </si>
  <si>
    <t>Independent Junior College Rural Institute</t>
  </si>
  <si>
    <t xml:space="preserve">P.R.Pote Patil College of Engineering &amp; Management </t>
  </si>
  <si>
    <t>AutoCAD , MS Project , Sketchup + Vray, MS Office</t>
  </si>
  <si>
    <t>Millennium Engineers &amp;  Contractors Pvt Ltd. | Trainee Engineer | Pune | Jan 2026 | May 2026 | 0 Years, 4 Months, 12 Days | 1.92</t>
  </si>
  <si>
    <t>Public Works Divison , Amravati  | Trainee Engineer | Amravati | Jun 2024 | Jun 2024 | 3 Weeks | Campus Internship</t>
  </si>
  <si>
    <t>AutoCAD 
Sketchup+Vray</t>
  </si>
  <si>
    <t>P26700433</t>
  </si>
  <si>
    <t>Ugale</t>
  </si>
  <si>
    <t xml:space="preserve">Prathana </t>
  </si>
  <si>
    <t>Ugale Prathana  Ganesh</t>
  </si>
  <si>
    <t>P26700433@student.nicmar.ac.in</t>
  </si>
  <si>
    <t>30-Dec-2004</t>
  </si>
  <si>
    <t>Reading, Playing Cricket,Music, Drawing</t>
  </si>
  <si>
    <t>Ganesh Ugale</t>
  </si>
  <si>
    <t>Sarika Ugale</t>
  </si>
  <si>
    <t>A-104, Sairam Apartment, Kalher, Thane (W)</t>
  </si>
  <si>
    <t>Kendriya Vidyalaya AFS Kolshet Road Thane</t>
  </si>
  <si>
    <t>Central Board of Secondary Education, Thane, Maharashtra</t>
  </si>
  <si>
    <t>Veermata Jijabai Technological Institute, Matunga, Mumbai, Maharashtra</t>
  </si>
  <si>
    <t>Datta Meghe College of Engineering, Navi Mumbai, Maharashtra</t>
  </si>
  <si>
    <t>AutoCAD, Excel,MS Office</t>
  </si>
  <si>
    <t>Indian Rubber Manufacturers Research Association | Intern | Thane | Jun 2022 | Jul 2022 | 5 Weeks
Vikas Developer | Intern | Kalyan | Dec 2024 | Jan 2025 | 4 Weeks</t>
  </si>
  <si>
    <t>P26700434</t>
  </si>
  <si>
    <t>Vishwajith</t>
  </si>
  <si>
    <t>KalaiSelvan</t>
  </si>
  <si>
    <t>Vishwajith Kalaiselvan</t>
  </si>
  <si>
    <t>P26700434@student.nicmar.ac.in</t>
  </si>
  <si>
    <t>29-May-2003</t>
  </si>
  <si>
    <t>Tamil, English, Hindi, Malayalam</t>
  </si>
  <si>
    <t xml:space="preserve">Music, Football </t>
  </si>
  <si>
    <t>Kalai Selvan</t>
  </si>
  <si>
    <t>3/222A, Vaikundapuram, Mulagumoodu Post, Kalkulam</t>
  </si>
  <si>
    <t>Kanyakumari</t>
  </si>
  <si>
    <t>The Indian School</t>
  </si>
  <si>
    <t>CBSE, Bahrain</t>
  </si>
  <si>
    <t>PSG Institute of Technology and Applied Research, Tamil Nadu</t>
  </si>
  <si>
    <t>PKM Infrastructure | Site Engineer | Tirunelveli and Thoothukudi | Jul 2024 | May 2026 | 1 Years, 10 Months, 15 Days | 3.5</t>
  </si>
  <si>
    <t>Veda Pile Foundation | Intern | Chennai | Jul 2023 | Aug 2023 | 4 Weeks | Campus Internship</t>
  </si>
  <si>
    <t>P26700435</t>
  </si>
  <si>
    <t>Mangeshrao</t>
  </si>
  <si>
    <t>Mamidwar</t>
  </si>
  <si>
    <t>Shravani Mangeshrao Mamidwar</t>
  </si>
  <si>
    <t>shravanimamidwar5@gmail.com</t>
  </si>
  <si>
    <t>P26700435@student.nicmar.ac.in</t>
  </si>
  <si>
    <t>Singing,Cooking,Dancing</t>
  </si>
  <si>
    <t>Mangeshrao Krishnarao Mamidwar</t>
  </si>
  <si>
    <t>Sandhya Mangeshrao Mamidwar</t>
  </si>
  <si>
    <t xml:space="preserve">Baba Nagar Nanded </t>
  </si>
  <si>
    <t>Rohan Heights Sant Tukaram Nagar Pimpri Pune</t>
  </si>
  <si>
    <t>Gujrati High School</t>
  </si>
  <si>
    <t>Autocad,Revit,MS Projecct,MS Office,Excel,Primavera</t>
  </si>
  <si>
    <t>KSB Limited | Graduate Engineer Trainee | Pune | Jul 2025 | Jul 2026 | 1 Years, 0 Months, 0 Days | 3.6
Bhate &amp; Raje Constructions | Site Engineer | Pune | Dec 2023 | Jan 2024 | 0 Years, 0 Months, 30 Days | 0</t>
  </si>
  <si>
    <t>P26700436</t>
  </si>
  <si>
    <t>Bhavya</t>
  </si>
  <si>
    <t>Naresh</t>
  </si>
  <si>
    <t>Bhavya Naresh</t>
  </si>
  <si>
    <t>nareshbhavya2002@gmail.com</t>
  </si>
  <si>
    <t>P26700436@student.nicmar.ac.in</t>
  </si>
  <si>
    <t>07-Nov-2002</t>
  </si>
  <si>
    <t>Gujarati,Hindi,English,Marathi</t>
  </si>
  <si>
    <t>Playing Sports,Gardening,Drawing</t>
  </si>
  <si>
    <t>Naresh Revia</t>
  </si>
  <si>
    <t>Fisherman</t>
  </si>
  <si>
    <t>Kapila Harishbhai Tandel</t>
  </si>
  <si>
    <t>11/286, Chinia Sheri, Nani Daman</t>
  </si>
  <si>
    <t xml:space="preserve">Institute of Our Lady of Fatima, Moti Daman </t>
  </si>
  <si>
    <t>Gujarat Secondary and Higher Secondary Education Board, Gandhinagar, Gujarat</t>
  </si>
  <si>
    <t>Padmashri Dr. D.Y. Patil College of Architecture, Akurdi, Pune</t>
  </si>
  <si>
    <t>AutoCAD,MS Office,MS Project,Sketchup,Photoshop,D5</t>
  </si>
  <si>
    <t>Design Kacheri | Intern | Bangalore | Jun 2025 | Dec 2025 | 24 Weeks</t>
  </si>
  <si>
    <t>Know How
Course on AutoCAD Essential
Complete BIM Course with Revit, Dynamo, Navisworks, BIM 360
Financial Literacy</t>
  </si>
  <si>
    <t>P26700437</t>
  </si>
  <si>
    <t>THANUSH</t>
  </si>
  <si>
    <t>KUMAR M V</t>
  </si>
  <si>
    <t>Thanush Kumar M V</t>
  </si>
  <si>
    <t>thanushkumar2122003@gmail.com</t>
  </si>
  <si>
    <t>P26700437@student.nicmar.ac.in</t>
  </si>
  <si>
    <t>02-Dec-2003</t>
  </si>
  <si>
    <t>English,Hindi,Tamil</t>
  </si>
  <si>
    <t>Cricket,Music,Photography,Travelling</t>
  </si>
  <si>
    <t>VIJAYAKUMAR V M</t>
  </si>
  <si>
    <t>Proprietor</t>
  </si>
  <si>
    <t>K GOWRI</t>
  </si>
  <si>
    <t>Plot 2/9 Flat 2A , G S Nagar , Nakerrar Street, Ramapuram, Chennai 89</t>
  </si>
  <si>
    <t>Vani Vidyalaya Senior Secondary School</t>
  </si>
  <si>
    <t>CBSE , Chennai</t>
  </si>
  <si>
    <t>Sri Sivasubramaniya Nadar College of Engineering (SSN), Chennai</t>
  </si>
  <si>
    <t>Autocad, Staad pro,Q-Gis</t>
  </si>
  <si>
    <t>Sameera Dexor | Junior Site Engineer | Chennai | May 2025 | Oct 2025 | 0 Years, 5 Months, 20 Days | 2.64
Olympia Tech park Private limited | Assistant Engineer | Chennai | Nov 2025 | Jun 2026 | 0 Years, 7 Months, 2 Days | 3</t>
  </si>
  <si>
    <t>SSN College of Engineering | Simulation of Flood Hazard Prioritizing Critical Sub-Catchment Area – A Study on Thamirabarani River Basin, Tirunelveli | Chennai | Apr 2024 | Mar 2025 | 50 Weeks | Campus Internship
Larsen and Toubro | Intern | Chennai | Jul 2023 | Aug 2023 | 1 Weeks
Larsen and Toubro | Intern | Chennai | Jun 2024 | Jul 2024 | 4 Weeks</t>
  </si>
  <si>
    <t>P26700438</t>
  </si>
  <si>
    <t>Gaurav</t>
  </si>
  <si>
    <t>Bhaskar</t>
  </si>
  <si>
    <t>Gaurav Bhaskar Patil</t>
  </si>
  <si>
    <t>patil.gaurav85856@gmail.com</t>
  </si>
  <si>
    <t>P26700438@student.nicmar.ac.in</t>
  </si>
  <si>
    <t>20-Feb-2001</t>
  </si>
  <si>
    <t xml:space="preserve">Music,Reading,Travelling,Movies </t>
  </si>
  <si>
    <t>Bhaskar Patil</t>
  </si>
  <si>
    <t>Manisha Patil</t>
  </si>
  <si>
    <t>3rd Floor, Room No.110, Byculla Old Police Line, Hansraj Lane,Byculla East</t>
  </si>
  <si>
    <t>Antonio De Souza High School</t>
  </si>
  <si>
    <t>Guru Nanak Khalsa College of Arts, Commerce and Science</t>
  </si>
  <si>
    <t>M.H. Saboo SIddik College of Engineering, Mumbai</t>
  </si>
  <si>
    <t>MS Office,Autocad 2D,Revit-Architecture,Etabs,Bluebeam Revu,Safe</t>
  </si>
  <si>
    <t>KPM Engineering | Junior Structural Design Engineer | Mumbai | Dec 2022 | Jun 2026 | 3 Years, 6 Months, 4 Days | 7</t>
  </si>
  <si>
    <t xml:space="preserve">Revit Architecture,Autocad 2D,Civil 3D 
Staad Pro </t>
  </si>
  <si>
    <t>P26700439</t>
  </si>
  <si>
    <t>Chetankumar</t>
  </si>
  <si>
    <t>Kapadia</t>
  </si>
  <si>
    <t>Raj Chetankumar Kapadia</t>
  </si>
  <si>
    <t>P26700439@student.nicmar.ac.in</t>
  </si>
  <si>
    <t>Hindi,English ,Gujarati</t>
  </si>
  <si>
    <t>Sports,Puzzels,Photography,Graphics Designing</t>
  </si>
  <si>
    <t>Chetankumar Jashvantlal Kapadia</t>
  </si>
  <si>
    <t>Nita Chetankumar Kapadia</t>
  </si>
  <si>
    <t>Nadi Mahollo, Chikhli</t>
  </si>
  <si>
    <t>Navsari</t>
  </si>
  <si>
    <t>ST JOSEPH ENGLISH TEACHING HIGH SCHOOL</t>
  </si>
  <si>
    <t>Bilimora, Gujarat</t>
  </si>
  <si>
    <t>Government Polytechnic, Valsad, Gujarat</t>
  </si>
  <si>
    <t>Birla Vishvakarma Mahavidyalaya Engineering College, Vallabh Vidyanagar, Gujarat</t>
  </si>
  <si>
    <t>AutoCAD,MS Office,MS Project,Primavera,STADD Pro,Project Planning and Scheduling,Progress Monitoring,SAP</t>
  </si>
  <si>
    <t>ArcelorMittal Nippon Steel India Private Limited | Assistant Manager (Section Engineer) | Hazira, Surat | Sep 2024 | Jun 2026 | 1 Years, 9 Months, 14 Days | 7.19</t>
  </si>
  <si>
    <t>Vinit P. Thakor (Govt. Approved Contractor) | Execution | Rankuva, Navsari, Gujarat | May 2022 | Jun 2022 | 2 Weeks | Campus Internship
Devji Construction | Quality Control Intern | Navsari, Gujarat | Jun 2023 | Jun 2023 | 4 Weeks | Campus Internship</t>
  </si>
  <si>
    <t>Certificate of Appreciation - AMNS India, For contribution and dedication towards driving excellence.
Certificate of Participation, Student Start-up and Innovation Policy (SSIP): Awarded for representing the college with our final-year project presentation on "Fiber-Reinforced Concrete."</t>
  </si>
  <si>
    <t>P26700440</t>
  </si>
  <si>
    <t xml:space="preserve">Mannan </t>
  </si>
  <si>
    <t>Amit</t>
  </si>
  <si>
    <t>Pashine</t>
  </si>
  <si>
    <t>Mannan  Amit Pashine</t>
  </si>
  <si>
    <t>P26700440@student.nicmar.ac.in</t>
  </si>
  <si>
    <t>29-Apr-2004</t>
  </si>
  <si>
    <t xml:space="preserve">Travelling, cricket ,Sketching </t>
  </si>
  <si>
    <t>Amit Pashine</t>
  </si>
  <si>
    <t>Rakhi Pashine</t>
  </si>
  <si>
    <t>109 Government press society, Dabha, Nagpur-440023</t>
  </si>
  <si>
    <t>Sandipani School Nagpur</t>
  </si>
  <si>
    <t>Government Polytechnic Nagpur</t>
  </si>
  <si>
    <t xml:space="preserve">RTMNU </t>
  </si>
  <si>
    <t>G H Raisoni College of Engineering, Nagpur</t>
  </si>
  <si>
    <t>Ecologique Science Technik Pvt. Ltd. (ESTPL) | Civil Engineering Intern | Nagpur | Dec 2025 | May 2026 | 20 Weeks | Campus Internship</t>
  </si>
  <si>
    <t xml:space="preserve">Autocad </t>
  </si>
  <si>
    <t>P26700441</t>
  </si>
  <si>
    <t>Tawari</t>
  </si>
  <si>
    <t>Yash Tawari</t>
  </si>
  <si>
    <t>P26700441@student.nicmar.ac.in</t>
  </si>
  <si>
    <t>25-Aug-2004</t>
  </si>
  <si>
    <t>Cricket</t>
  </si>
  <si>
    <t>Manoj Tawari</t>
  </si>
  <si>
    <t>Madhu Tawari</t>
  </si>
  <si>
    <t>A4 Mahesh Colony, Pulgaon Road, Durg, 491001</t>
  </si>
  <si>
    <t>Delhi Public School, Durg</t>
  </si>
  <si>
    <t>Chattishgarh</t>
  </si>
  <si>
    <t>Delhi Public school Durg</t>
  </si>
  <si>
    <t>Bhilai</t>
  </si>
  <si>
    <t xml:space="preserve">Manipal University </t>
  </si>
  <si>
    <t>Manipal University, Manipal</t>
  </si>
  <si>
    <t>P26700442</t>
  </si>
  <si>
    <t>Melvin</t>
  </si>
  <si>
    <t>Melvin Thomas</t>
  </si>
  <si>
    <t>melvin3448@gmail.com</t>
  </si>
  <si>
    <t>P26700442@student.nicmar.ac.in</t>
  </si>
  <si>
    <t>26-Aug-2003</t>
  </si>
  <si>
    <t>Movies,Music,Badminton,Travelling,Driving &amp; Road Trips</t>
  </si>
  <si>
    <t>Thomas Mathew</t>
  </si>
  <si>
    <t>Shibi Thomas</t>
  </si>
  <si>
    <t>Pathalil House, Kannivayal Post, Nallompuzha, Cherupuzha via, Kasaragod District, Kerala</t>
  </si>
  <si>
    <t>St. Mary's EMHS, Chittarikkal, Kasaragod, Kerala</t>
  </si>
  <si>
    <t>Vijayagiri Public School, Chalakudy, Thrissur, Kerala</t>
  </si>
  <si>
    <t>Christ (Deemed to be University)</t>
  </si>
  <si>
    <t>Christ University, Bangalore</t>
  </si>
  <si>
    <t>AUTOCAD,MS OFFICE,Site Execution &amp; Supervision,Drawing Reading &amp; Interpretation,Surveying Techniques</t>
  </si>
  <si>
    <t>Carbon Constructions India Pvt.Ltd | Civil Engineer | Bangalore | May 2025 | May 2026 | 1 Years, 0 Months, 7 Days | 3.816</t>
  </si>
  <si>
    <t>Carbon Constructions India Pvt.Ltd | Internship Trainee Engineer | Bangalore | Dec 2024 | Mar 2025 | 14 Weeks | Campus Internship</t>
  </si>
  <si>
    <t>Group Dynamics</t>
  </si>
  <si>
    <t>P26700443</t>
  </si>
  <si>
    <t>Chata</t>
  </si>
  <si>
    <t>Ch</t>
  </si>
  <si>
    <t>Geethika</t>
  </si>
  <si>
    <t>Chata Ch Geethika</t>
  </si>
  <si>
    <t>geethikamay31@gmail.com</t>
  </si>
  <si>
    <t>P26700443@student.nicmar.ac.in</t>
  </si>
  <si>
    <t>Crocheting</t>
  </si>
  <si>
    <t>Chata Haranadh</t>
  </si>
  <si>
    <t>Chata Uma Maheswari</t>
  </si>
  <si>
    <t>1-76,THEERTHAMPADU, VENKATAGIRI, TIRUPATI</t>
  </si>
  <si>
    <t xml:space="preserve">Chinmaya Hari Hara Vidyalaya </t>
  </si>
  <si>
    <t>Board of Secondary Education, Ellayapalli, Andhra Pradesh</t>
  </si>
  <si>
    <t>S.V.Govt.Polytechnical, Tirupathi, Andhra Pradesh</t>
  </si>
  <si>
    <t>Sri Venkateswara University College of Engineering</t>
  </si>
  <si>
    <t>AutoCAD,MS Office,Rapida software</t>
  </si>
  <si>
    <t>Cube Highways and Technology Private Limited | Engineer | Hyderabad | Sep 2024 | Jul 2026 | 1 Years, 9 Months, 9 Days | 4.19</t>
  </si>
  <si>
    <t>Tirupati Urban Development Authority (TUDA) | Intern | Tirupati | Jan 2024 | Apr 2024 | 13 Weeks
Cube Highways Technologies Private Limited | Intern | Hyderabad | Jul 2024 | Sep 2024 | 11 Weeks</t>
  </si>
  <si>
    <t>NPTEL - Soft Skills
NPTEL - Leadership and Team Effectiveness
NPTEL - Integrated Marketing Communication
NPTEL - Urban Governance and Development Management
NPTEL - Interior Design</t>
  </si>
  <si>
    <t>P26700444</t>
  </si>
  <si>
    <t xml:space="preserve">G R </t>
  </si>
  <si>
    <t xml:space="preserve">Dhanush G R </t>
  </si>
  <si>
    <t>P26700444@student.nicmar.ac.in</t>
  </si>
  <si>
    <t>10-Oct-2005</t>
  </si>
  <si>
    <t>English,Tamil,hindi</t>
  </si>
  <si>
    <t>Badminton,Driving,Music</t>
  </si>
  <si>
    <t>RAJENDRAN G</t>
  </si>
  <si>
    <t>ANURADHA R</t>
  </si>
  <si>
    <t>8B,NESAVALAR COLONY EXTENSION,AVINASI,
NEAR ANBU ILLAM,THIRUMURGANPOONDI,TIRUPPUR-641652</t>
  </si>
  <si>
    <t xml:space="preserve"> Sri Nachammal Vidyavani Senior Secondary School</t>
  </si>
  <si>
    <t>KPR Institute of Engineering and Technology,Coimbatore</t>
  </si>
  <si>
    <t>AutoCAD,MS Office,MS project,Primavera,STAAD Pro,SketchUP,ENSCAPE,REVIT,COSTX</t>
  </si>
  <si>
    <t>S KUMAR AND ASSOCIATES | CIVIL ENGINEERING INTERN | TIRUPUR | Jan 2024 | Feb 2024 | 2 Weeks
KRM CONSTRUCTIONS | CIVIL ENGINEERING INTERN | TIRUPUR | Jul 2024 | Jul 2024 | 2 Weeks
THINK BRICK | Draftsman  | COIMBATORE | Feb 2026 | Jun 2026 | 17 Weeks</t>
  </si>
  <si>
    <t>Professional's Approach to Law and Ethics
Engineering Graphics and Design
Integrated approach to building services
IT Primer
Engineering geology NPTEL
cisco</t>
  </si>
  <si>
    <t>P26700445</t>
  </si>
  <si>
    <t>Kavin</t>
  </si>
  <si>
    <t>Manickam</t>
  </si>
  <si>
    <t>Kavin Manickam</t>
  </si>
  <si>
    <t>P26700445@student.nicmar.ac.in</t>
  </si>
  <si>
    <t>Movies ,music,cricket,football</t>
  </si>
  <si>
    <t>Veerabathran</t>
  </si>
  <si>
    <t>Sivasankari</t>
  </si>
  <si>
    <t>Self Empolyed</t>
  </si>
  <si>
    <t>No 1/242 Jai Homes Sachithanathapuram 5th cross street thazhambur kancheepuram ,TN 600130</t>
  </si>
  <si>
    <t>Chennai Metro Rail Limited | internship | Chennai | Jan 2025 | Feb 2025 | 0 Years, 1 Months, 0 Days | 0</t>
  </si>
  <si>
    <t>P26700446</t>
  </si>
  <si>
    <t>Ashay</t>
  </si>
  <si>
    <t>Vinay</t>
  </si>
  <si>
    <t>Ashay Vinay Mahajan</t>
  </si>
  <si>
    <t>P26700446@student.nicmar.ac.in</t>
  </si>
  <si>
    <t>01-Aug-2001</t>
  </si>
  <si>
    <t>Playing Sports</t>
  </si>
  <si>
    <t>Vinay Laxmanrao Mahajan</t>
  </si>
  <si>
    <t>Kirti Vinay Mahajan</t>
  </si>
  <si>
    <t>Ward No 2, Main Road, Khaparkheda, Nagpur</t>
  </si>
  <si>
    <t>131,Baji Prabhu Nagar, Nagpur</t>
  </si>
  <si>
    <t>Modern School</t>
  </si>
  <si>
    <t>CBSE - Nagpur, Maharashtra</t>
  </si>
  <si>
    <t>Dinanath Jr College</t>
  </si>
  <si>
    <t>Maharashtra State Board Higher Secondary and Higher Secondary Education- Nagpur</t>
  </si>
  <si>
    <t>Dharampeth Polytechnic</t>
  </si>
  <si>
    <t>MSBTE- Nagpur</t>
  </si>
  <si>
    <t>Dr. D.Y. Patil Institute Of Technology - Pune</t>
  </si>
  <si>
    <t>Staad Pro ,AutoCAD,Excel</t>
  </si>
  <si>
    <t>Bentley Staad PRO</t>
  </si>
  <si>
    <t>P26700447</t>
  </si>
  <si>
    <t>Niranjana</t>
  </si>
  <si>
    <t>Nirmal</t>
  </si>
  <si>
    <t>Niranjana Nirmal</t>
  </si>
  <si>
    <t>P26700447@student.nicmar.ac.in</t>
  </si>
  <si>
    <t xml:space="preserve">Dancing,Reading,Sketching </t>
  </si>
  <si>
    <t>Nirmal Kumar G</t>
  </si>
  <si>
    <t>Bini S</t>
  </si>
  <si>
    <t>Government Higher Secondary School Teacher</t>
  </si>
  <si>
    <t>Vilayil Puthen Veedu, Kummalloor P.O. Adichannalloor</t>
  </si>
  <si>
    <t>Sree Narayana Public School</t>
  </si>
  <si>
    <t>CBSE- Kollam,Kerala</t>
  </si>
  <si>
    <t>NSS HSS Chathannoor</t>
  </si>
  <si>
    <t>AutoCAD, STAAD.Pro,MS Office,MS Project</t>
  </si>
  <si>
    <t>LID &amp; EW Division | Civil Engineering intern | Kollam | May 2023 | May 2023 | 2 Weeks | Campus Internship
Smart City Thiruvanathapuram Limited | Civil Engineering Intern- Site Engineering | Thiruvananthapuram | Jul 2024 | Jul 2024 | 1 Weeks</t>
  </si>
  <si>
    <t>NPTEL Certification- Introduction to Civil Engineering Profession</t>
  </si>
  <si>
    <t>P26700448</t>
  </si>
  <si>
    <t xml:space="preserve">SINGIREDDY </t>
  </si>
  <si>
    <t>KALYAN SHANKER NARAYAN</t>
  </si>
  <si>
    <t>Singireddy  Kalyan Shanker Narayan Reddy</t>
  </si>
  <si>
    <t>kalyanreddy117132@gmail.com</t>
  </si>
  <si>
    <t>P26700448@student.nicmar.ac.in</t>
  </si>
  <si>
    <t>Telugu, Hindi,english</t>
  </si>
  <si>
    <t>Boxing, karatae, Skateboarding ,Reading Books</t>
  </si>
  <si>
    <t>SINGIREDDY INDRASENA REDDY</t>
  </si>
  <si>
    <t>SINGIREDDY SRIDEVI</t>
  </si>
  <si>
    <t>prabhathnagar chatnyapuri hyderabad</t>
  </si>
  <si>
    <t>NARAYANA CONCEPT SCHOOL.</t>
  </si>
  <si>
    <t>Board of secondary education, Telangana, Hyderabad</t>
  </si>
  <si>
    <t>Telangana state board of Intermediate education</t>
  </si>
  <si>
    <t>MATURI VENKATA SUBBARAO ENGINEERING COLLEGE, TELANGANA</t>
  </si>
  <si>
    <t>Ms Office, AutoCAD, Excel.</t>
  </si>
  <si>
    <t xml:space="preserve">VISHSWAS CONSTRUCTIONS | GET | Hyderabad | Oct 2024 | Oct 2025 | 1 Years, 0 Months, 4 Days | 2.4
CYOND | Site Engineer | Hyderabd | Feb 2026 | Jul 2026 | 0 Years, 5 Months, 0 Days | 3 </t>
  </si>
  <si>
    <t>P26700449</t>
  </si>
  <si>
    <t>Somenath</t>
  </si>
  <si>
    <t>Chatterjee</t>
  </si>
  <si>
    <t>Somenath Chatterjee</t>
  </si>
  <si>
    <t>somenathcregister@gmail.com</t>
  </si>
  <si>
    <t>P26700449@student.nicmar.ac.in</t>
  </si>
  <si>
    <t>21-Aug-2000</t>
  </si>
  <si>
    <t>Hindi, English, Bengali</t>
  </si>
  <si>
    <t>Writing Poems, Playing Games, Reading Books</t>
  </si>
  <si>
    <t>Tamal Chatterjee</t>
  </si>
  <si>
    <t>JhumJhum Chatterjee</t>
  </si>
  <si>
    <t>Shyam Sakhi Bhavan, Near Radha Govinda Mandir, Manohartala, Bankura, West Bengal</t>
  </si>
  <si>
    <t>Bankura Christian Collegiate School</t>
  </si>
  <si>
    <t xml:space="preserve">West Bengal Council of Higher Secondary Education </t>
  </si>
  <si>
    <t>Dr. B. C. Roy Engineering College, Durgapur</t>
  </si>
  <si>
    <t>Autocad, Revit, MS Office, MS Project</t>
  </si>
  <si>
    <t>P26700450</t>
  </si>
  <si>
    <t>Sravan</t>
  </si>
  <si>
    <t>Kandipalli</t>
  </si>
  <si>
    <t>Sravan Kumar Kandipalli</t>
  </si>
  <si>
    <t>P26700450@student.nicmar.ac.in</t>
  </si>
  <si>
    <t>Telugu ,english,hindi</t>
  </si>
  <si>
    <t>Sports,Gym,Exploring</t>
  </si>
  <si>
    <t>Kandipalli Satyanarayana</t>
  </si>
  <si>
    <t>daily laboour</t>
  </si>
  <si>
    <t>Knadipalli Varalakshmi</t>
  </si>
  <si>
    <t>Bartavanipalem, Vepada  Mandalam,V izianagaram</t>
  </si>
  <si>
    <t>kasturinagar, kailasapuram, viskhapatnam</t>
  </si>
  <si>
    <t>Bhashyam public school</t>
  </si>
  <si>
    <t>Board of secondary education Andhra pradesh</t>
  </si>
  <si>
    <t>M.R.A.G.R GOVT POLYTECHNIC -VIZIANAGARAM</t>
  </si>
  <si>
    <t>ANIL NEERUKONDA INSTITUTE OF TECHNOLOGY AND SCIENCES,VISAKHAPATNAM,ANDHRA PRADESH</t>
  </si>
  <si>
    <t>AutoCAD,MS Project,Primavera,MS excel,Planswift</t>
  </si>
  <si>
    <t>Energetic People Private Limited subsidary of MEIL Ltd | GET-Execution and Planning | Karnataka,Yadgir District | Jul 2024 | Sep 2025 | 1 Years, 1 Months, 8 Days | 2.399</t>
  </si>
  <si>
    <t>Quantity Surveying
Advanced Excel</t>
  </si>
  <si>
    <t>P26700451</t>
  </si>
  <si>
    <t>KOYA</t>
  </si>
  <si>
    <t>ACHYUTHA</t>
  </si>
  <si>
    <t>NAGA SAI MANIKANTA</t>
  </si>
  <si>
    <t>Koya Achyutha Naga Sai Manikanta</t>
  </si>
  <si>
    <t>P26700451@student.nicmar.ac.in</t>
  </si>
  <si>
    <t>18-Aug-2001</t>
  </si>
  <si>
    <t>ENGLISH ,HINDHI,TELUGU</t>
  </si>
  <si>
    <t>SINGING,PLAYING BADMINTON,LISTENING MUSIC</t>
  </si>
  <si>
    <t>KOYA RATTAYYA</t>
  </si>
  <si>
    <t>DAILY WAGE LABOUR</t>
  </si>
  <si>
    <t>KOYA KRISHNA KUMARI</t>
  </si>
  <si>
    <t>14-21 KALVA KRINDA BHIMADOLE, ELURU   DISTRICT,  ANDHRA PRADESH</t>
  </si>
  <si>
    <t>MANASA ENGLISH MEDIUM HIGH SCHOOL</t>
  </si>
  <si>
    <t>BOARD OF SECONDARY EDUCATION , ANDHRA PRADESH.</t>
  </si>
  <si>
    <t>AKRG JUNIOR COLLEGE</t>
  </si>
  <si>
    <t>BOARD OF INTERMEDIATE EDUCATION ,ANDHRA PRADESH.</t>
  </si>
  <si>
    <t>AutoCad,MS Office,MS Project,Primavera</t>
  </si>
  <si>
    <t>INDUS TOWERS LIMITED | QUALITY ENGINEER | HYDERABAD | May 2024 | Jun 2026 | 2 Years, 1 Months, 9 Days | 5.1</t>
  </si>
  <si>
    <t>P26700452</t>
  </si>
  <si>
    <t>P26700452@student.nicmar.ac.in</t>
  </si>
  <si>
    <t>Vedant Developers &amp; Builders  | Site Engineer | Belgaum | Jan 2026 | May 2026 | 15 Weeks</t>
  </si>
  <si>
    <t>P26700453</t>
  </si>
  <si>
    <t xml:space="preserve">Anant </t>
  </si>
  <si>
    <t>Murgude</t>
  </si>
  <si>
    <t>Ankita Anant  Murgude</t>
  </si>
  <si>
    <t>P26700453@student.nicmar.ac.in</t>
  </si>
  <si>
    <t xml:space="preserve">Hindi,English, Marathi </t>
  </si>
  <si>
    <t xml:space="preserve">Badminton ,Bike Riding </t>
  </si>
  <si>
    <t xml:space="preserve">Priti </t>
  </si>
  <si>
    <t>33, Vijvials Banglow, Rajopadhye nagar, Saneguruji vasahat, Kolhapur</t>
  </si>
  <si>
    <t xml:space="preserve">Chatrapati shahu Vidylaya, Kolhapur </t>
  </si>
  <si>
    <t xml:space="preserve">Secondary and Higher Secondary Education Pune SSC, Kolhapur, Maharashtra  </t>
  </si>
  <si>
    <t xml:space="preserve">Mahaveer College, Kolhapur </t>
  </si>
  <si>
    <t xml:space="preserve">Secondary and Higher Secondary Education Pune HSC, Kolhapur, Maharashtra  </t>
  </si>
  <si>
    <t xml:space="preserve">Shivaji University  </t>
  </si>
  <si>
    <t xml:space="preserve">D.Y. Patil College of Engineering and Technology, Kolhapur  </t>
  </si>
  <si>
    <t>AutoCAD, Sketchup, Lumion, D5</t>
  </si>
  <si>
    <t>GAP Associates, Kolhapur  | Intern | Kolhapur, Maharashtra  | Jan 2025 | May 2025 | 19 Weeks | Campus Internship</t>
  </si>
  <si>
    <t>NPTEL Interior Design
State Inter University , Badminton Competition
NCC, B Certificate</t>
  </si>
  <si>
    <t>P26700454</t>
  </si>
  <si>
    <t>Shraddha</t>
  </si>
  <si>
    <t>Sidram</t>
  </si>
  <si>
    <t>Patrot</t>
  </si>
  <si>
    <t>Shraddha Sidram Patrot</t>
  </si>
  <si>
    <t>shraddhapatrot2@gmail.com</t>
  </si>
  <si>
    <t>P26700454@student.nicmar.ac.in</t>
  </si>
  <si>
    <t>Hindi,English,Kannada</t>
  </si>
  <si>
    <t>Travelling,Music,Sports</t>
  </si>
  <si>
    <t>Sidram Patrot</t>
  </si>
  <si>
    <t>Shobha Patrot</t>
  </si>
  <si>
    <t>Mrityunjay plaza apartment Mantesh Nagar, Sidnal Cross, Belgaum</t>
  </si>
  <si>
    <t xml:space="preserve">K H E P HIGH SCHOOL Ganeshgudi </t>
  </si>
  <si>
    <t xml:space="preserve">Karnataka Secondary Education Examination Board ,Ganeshgudi / Karnataka </t>
  </si>
  <si>
    <t>SGVS MAHESH PU COLLEGE BELGAUM</t>
  </si>
  <si>
    <t>Karnataka School Examination and Assessment Board, Belgaum, Karnataka</t>
  </si>
  <si>
    <t>Visvesvaraya Technological University (VTU), Belagavi, Karnataka</t>
  </si>
  <si>
    <t>SG Balekundri Institute Of Techonology , Belagavi ,Karnataka</t>
  </si>
  <si>
    <t>AutoCAD ,Revit,MS Project</t>
  </si>
  <si>
    <t>P26700455</t>
  </si>
  <si>
    <t>Ashray</t>
  </si>
  <si>
    <t>Krushnkant</t>
  </si>
  <si>
    <t>Pandav</t>
  </si>
  <si>
    <t>Ashray Krushnkant Pandav</t>
  </si>
  <si>
    <t>P26700455@student.nicmar.ac.in</t>
  </si>
  <si>
    <t>16-May-1996</t>
  </si>
  <si>
    <t>Arti</t>
  </si>
  <si>
    <t>Behind Bank of Baroda Nagpur road saoner</t>
  </si>
  <si>
    <t>Jawaharlal Nehru High School Saoner</t>
  </si>
  <si>
    <t>Bhalerao Junior college Saoner</t>
  </si>
  <si>
    <t>RTMNU Nagpur</t>
  </si>
  <si>
    <t>Bapurao Deshmukh College of Engineering Sevagram Wardha</t>
  </si>
  <si>
    <t>Jeevan Vikas Mahavidyalaya, Devgram</t>
  </si>
  <si>
    <t>Master of Arts (M.A.)</t>
  </si>
  <si>
    <t>AutoCAD,MS Project,MS Office</t>
  </si>
  <si>
    <t>P26700456</t>
  </si>
  <si>
    <t xml:space="preserve">Dhanashree </t>
  </si>
  <si>
    <t>Popat</t>
  </si>
  <si>
    <t>Nikam</t>
  </si>
  <si>
    <t>Dhanashree  Popat Nikam</t>
  </si>
  <si>
    <t>dhanashreen23899@gmail.com</t>
  </si>
  <si>
    <t>P26700456@student.nicmar.ac.in</t>
  </si>
  <si>
    <t>23-Aug-1999</t>
  </si>
  <si>
    <t>Marathi ,Hindi,English</t>
  </si>
  <si>
    <t>Reading Books ,Cooking,singing</t>
  </si>
  <si>
    <t>Popat Santosh Nikam</t>
  </si>
  <si>
    <t>At Post Dhwleshwar Taluka -Malegaon District -Nashik</t>
  </si>
  <si>
    <t>Janta Vidhyalay Senior And Junior School and College Asghar Nashik</t>
  </si>
  <si>
    <t xml:space="preserve">Maharashtra </t>
  </si>
  <si>
    <t xml:space="preserve">K.B.H School  And Junior College Malegaon </t>
  </si>
  <si>
    <t>K.k.Wagh Institute Of Engineering Education And Research Nashik</t>
  </si>
  <si>
    <t>Master's Degree</t>
  </si>
  <si>
    <t>AutoCAD ,Excel,Msp,MS Office,microsoft word</t>
  </si>
  <si>
    <t>P26700457</t>
  </si>
  <si>
    <t>P26700457@student.nicmar.ac.in</t>
  </si>
  <si>
    <t>Twenty Twenty Interior Design Software (India) Pt Ltd. | Trainee Content Engineer | Twenty Twenty Interior Design Software (India) Pt Ltd. 801, Amar Madhuban Tech Park, S. No. 43/1 &amp; 44/1/1, Opp. Audi Showroom, Baner, Pune 411045. | Jan 2026 | Jun 2026 | 0 Years, 5 Months, 25 Days | 5.05</t>
  </si>
  <si>
    <t>Lodha | Intern | PALAVA City , Kalyan , Maharashtra | Jun 2025 | Jul 2025 | 4 Weeks</t>
  </si>
  <si>
    <t>P26700458</t>
  </si>
  <si>
    <t>P26700458@student.nicmar.ac.in</t>
  </si>
  <si>
    <t>P26700459</t>
  </si>
  <si>
    <t>Malliswari</t>
  </si>
  <si>
    <t>Pappala</t>
  </si>
  <si>
    <t>Malliswari Pappala</t>
  </si>
  <si>
    <t>P26700459@student.nicmar.ac.in</t>
  </si>
  <si>
    <t>Learning software MSP,autocad,reading ,music,gardening,Public speaking/Debate club,meditate/yoga</t>
  </si>
  <si>
    <t>Pappala Adinarayana</t>
  </si>
  <si>
    <t>cabbie</t>
  </si>
  <si>
    <t>Pappala Umamaheswari</t>
  </si>
  <si>
    <t>Stbl Lakshmi narasimha gardens,D/no:48,duvvada</t>
  </si>
  <si>
    <t>Priyanka's Vidyodaya High School</t>
  </si>
  <si>
    <t>Board of Secondary Education,Andhra Pradesh</t>
  </si>
  <si>
    <t>Board of Intermediate Education ,Andhra Pradesh</t>
  </si>
  <si>
    <t>Vignan's Institute of Information Technology</t>
  </si>
  <si>
    <t>Jawaharlal Nehru Technological University-Gurajada,Vizianagaram</t>
  </si>
  <si>
    <t>Autocad,MSP,MS OFFICE,Power point</t>
  </si>
  <si>
    <t>Pennar Industries | PEB Steel structure Detailing Engineer | hyderabad | Dec 2023 | Mar 2026 | 2 Years, 2 Months, 14 Days | 2.88
Navya Construction Company | site engineer | visakhapatnam | Feb 2023 | May 2023 | 0 Years, 3 Months, 0 Days | 1.2
NIT(Tiruchirapalli) | internship on additive manufacturing | Tiruchirapalli | Jun 2023 | Jun 2023 | 0 Years, 0 Months, 27 Days | 0
Milekal Engineering pvt ltd | Junior associate | hyderabad | Dec 2022 | Feb 2023 | 0 Years, 1 Months, 22 Days | 2.4</t>
  </si>
  <si>
    <t>P26700460</t>
  </si>
  <si>
    <t>Gagan</t>
  </si>
  <si>
    <t>Palasram</t>
  </si>
  <si>
    <t>Khambalkar</t>
  </si>
  <si>
    <t>Gagan Palasram Khambalkar</t>
  </si>
  <si>
    <t>P26700460@student.nicmar.ac.in</t>
  </si>
  <si>
    <t>28-Sep-2001</t>
  </si>
  <si>
    <t>Hindi ,English,Marathi</t>
  </si>
  <si>
    <t>Art and Sketching</t>
  </si>
  <si>
    <t>Palasram Khambalkar</t>
  </si>
  <si>
    <t>Private job</t>
  </si>
  <si>
    <t>Laxmi khambalkar</t>
  </si>
  <si>
    <t>Pl no. 82 Raghupati nagar Wadi,Amravati Highway,Nagpur</t>
  </si>
  <si>
    <t>Khambalkar Gagan Palasram</t>
  </si>
  <si>
    <t>Rashtrasant tukadoji maharaj nagpur University,Nagpur</t>
  </si>
  <si>
    <t>G H Raisoni Institute of Engineering and Technology Nagpur</t>
  </si>
  <si>
    <t>no</t>
  </si>
  <si>
    <t>D P Jain &amp; Co. Infrastructure Pvt. Ltd. | Engineer -Planning and Coordination | Nagpur | Dec 2025 | Jun 2026 | 0 Years, 6 Months, 22 Days | 2.784
SHAHIN CONSTRUCTION | Site Engineer | Mumbai | Jun 2024 | Nov 2025 | 1 Years, 5 Months, 29 Days | 4.2</t>
  </si>
  <si>
    <t>P26700461</t>
  </si>
  <si>
    <t xml:space="preserve"> S</t>
  </si>
  <si>
    <t>Panicker</t>
  </si>
  <si>
    <t>Nikhil  S Panicker</t>
  </si>
  <si>
    <t>P26700461@student.nicmar.ac.in</t>
  </si>
  <si>
    <t>16-Aug-2000</t>
  </si>
  <si>
    <t>English, Malayalam ,Hindi</t>
  </si>
  <si>
    <t>Badminton,basketball ,Listening to music,Reading</t>
  </si>
  <si>
    <t>Santhoshkumar S.</t>
  </si>
  <si>
    <t>Retired Government official</t>
  </si>
  <si>
    <t>Sindhu K.R.</t>
  </si>
  <si>
    <t>2 B2, Muthoot Presidency, NCC Nagar, Peroorkada, Thiruvananthapuram</t>
  </si>
  <si>
    <t>CBSE,Thiruvananthapuram, Kerala</t>
  </si>
  <si>
    <t>Christ Nagar English Higher Secondary School</t>
  </si>
  <si>
    <t>Government of Kerala Board of Higher Secondary  Examination, Thiruvananthapuram, Kerala</t>
  </si>
  <si>
    <t>Cochin University of Science and Technology</t>
  </si>
  <si>
    <t>Marian College of Architecture and Planning ,Thiruvananthapuram, Kerala</t>
  </si>
  <si>
    <t>Autocad,Sketchup,Lumion,Enscape,D5,Adobe Photoshop,Adobe Illustrator</t>
  </si>
  <si>
    <t>Magic Hammers, Builders and Consultants | Junior Architect | Thiruvananthapuram | Oct 2023 | Apr 2024 | 0 Years, 6 Months, 17 Days | 1.44
JCJR Partnership | Junior Architect | Thiruvananthapuram | Jun 2024 | Jun 2026 | 2 Years, 0 Months, 2 Days | 2.34</t>
  </si>
  <si>
    <t>P26700462</t>
  </si>
  <si>
    <t xml:space="preserve">Pranjali </t>
  </si>
  <si>
    <t>Pranjali  Patil</t>
  </si>
  <si>
    <t>P26700462@student.nicmar.ac.in</t>
  </si>
  <si>
    <t>13-Mar-2003</t>
  </si>
  <si>
    <t xml:space="preserve">English, Hindi, Marathi,Korean  </t>
  </si>
  <si>
    <t xml:space="preserve">Swimming,Painting ,Fitness &amp; Physical Activities ,Photography </t>
  </si>
  <si>
    <t xml:space="preserve">Dattatray </t>
  </si>
  <si>
    <t>Deepali</t>
  </si>
  <si>
    <t>Patil Galli-1, Deulwadi, Kadgaon, Bhudargad,Kolhapur</t>
  </si>
  <si>
    <t>St. Anthony's Convent Higher Secondary School, Badlapur</t>
  </si>
  <si>
    <t xml:space="preserve">Diploma in Civil and Rural Engineering </t>
  </si>
  <si>
    <t>Institute of Civil and Rural Engineering College, Kolhapur</t>
  </si>
  <si>
    <t xml:space="preserve">Government College of Engineering Ratnagiri </t>
  </si>
  <si>
    <t>Government College of Engineering Ratnagiri</t>
  </si>
  <si>
    <t>AutoCAD Civil, MS Project, BIM (Autodesk), MS Office, AI/ML,Agentic AI</t>
  </si>
  <si>
    <t>Hella Infra Market Retail Private Limited (Infra.Market) | Executive Sales | Thane | Jul 2023 | Sep 2023 | 0 Years, 2 Months, 20 Days | 3.5</t>
  </si>
  <si>
    <t>Green Tech RMC | Engineering Intern | Kolhapur  | May 2022 | Aug 2022 | 17 Weeks | Campus Internship
L&amp;T Construction | Engineering Intern | Mulund West | May 2022 | Aug 2022 | 17 Weeks
PRASAD CIVIL CONSTRUCTION | Engineering Intern | Devgad | Jul 2025 | Aug 2025 | 8 Weeks</t>
  </si>
  <si>
    <t>NPTEL – Maintenance and Repair of Construction Structures
NPTEL – Urban Transportation Systems Planning
An Overview of Water Treatment Plant — L&amp;T EduTech
Wastewater Overview &amp; Next Stages: Part 1 — L&amp;T EduTech
Introduction to BIM for the AECO Industry — Autodesk
Existing Conditions Modeling for Civil Projects — Autodesk
Certificate Program in Contract Management — World Bank Group</t>
  </si>
  <si>
    <t>P26700463</t>
  </si>
  <si>
    <t>Amala</t>
  </si>
  <si>
    <t>Polly</t>
  </si>
  <si>
    <t>Amala Polly</t>
  </si>
  <si>
    <t>P26700463@student.nicmar.ac.in</t>
  </si>
  <si>
    <t>28-May-2004</t>
  </si>
  <si>
    <t xml:space="preserve">English,Hindi ,Malayalam ,Tamil </t>
  </si>
  <si>
    <t>E V Polly</t>
  </si>
  <si>
    <t>PWD Contractor</t>
  </si>
  <si>
    <t>Bency Poul</t>
  </si>
  <si>
    <t>Erally house thuravoor p.o vathakkad</t>
  </si>
  <si>
    <t xml:space="preserve">St Annes Public School Vathakkad </t>
  </si>
  <si>
    <t>Central Board of Secondary Education Angamaly,Kerala</t>
  </si>
  <si>
    <t xml:space="preserve">Mar Augustines Higher secondary school </t>
  </si>
  <si>
    <t>Board of Higher Secondary Examination,Angamaly Kerala</t>
  </si>
  <si>
    <t>Federal Institute of Science and Technology Angamaly, kerala</t>
  </si>
  <si>
    <t>Associated Structural Consultants | Structural modeling intern | Kochi | Feb 2024 | Feb 2024 | 0 Weeks
Archon Engineers  | Intern  | Kochi | Jun 2025 | Jun 2025 | 1 Weeks</t>
  </si>
  <si>
    <t xml:space="preserve">NPTEL ,Advanced Geomatics  Engineering 
Q-GIS Training-Introductory programme </t>
  </si>
  <si>
    <t>P26700464</t>
  </si>
  <si>
    <t>AAYUSH</t>
  </si>
  <si>
    <t>RANJIT</t>
  </si>
  <si>
    <t>UMALE</t>
  </si>
  <si>
    <t>Aayush Ranjit Umale</t>
  </si>
  <si>
    <t>aayushumale12@gmail.com</t>
  </si>
  <si>
    <t>P26700464@student.nicmar.ac.in</t>
  </si>
  <si>
    <t xml:space="preserve">FOOTBALL TREKKING CYCLING BADMINTON GYM CALESHTHENICS </t>
  </si>
  <si>
    <t>SHEETAL</t>
  </si>
  <si>
    <t>SALES/ACCCOUNTANT</t>
  </si>
  <si>
    <t>Geetanjali residency FLAT 501
Sec-10 plot-175 kharghar
Navi Mumbai 410210</t>
  </si>
  <si>
    <t>BHARATI VIDYAPEETH INSTITUTE OF TECHNOLOGY</t>
  </si>
  <si>
    <t xml:space="preserve"> MUMBAI UNIVERSITY</t>
  </si>
  <si>
    <t xml:space="preserve">MGM CET </t>
  </si>
  <si>
    <t>AUTOCAD,MSEXCEL,BLUEBEAM</t>
  </si>
  <si>
    <t>nmmc navi mumbai | intern | nerul navi mumbai | Jun 2024 | Jul 2024 | 4 Weeks</t>
  </si>
  <si>
    <t>AUTOCAD AUTODESK CERTIFICATION</t>
  </si>
  <si>
    <t>P26700465</t>
  </si>
  <si>
    <t xml:space="preserve">KURAL OVIYA </t>
  </si>
  <si>
    <t xml:space="preserve">K S </t>
  </si>
  <si>
    <t xml:space="preserve">Kural Oviya  K S </t>
  </si>
  <si>
    <t>kuraloviya6246@gmail.com</t>
  </si>
  <si>
    <t>P26700465@student.nicmar.ac.in</t>
  </si>
  <si>
    <t>11-Aug-2004</t>
  </si>
  <si>
    <t>TAMIL,ENGLISH,HINDI</t>
  </si>
  <si>
    <t>DANCE,MUSIC,MARTIAL ART,COOKING</t>
  </si>
  <si>
    <t xml:space="preserve">KURAL AMUTHAN E </t>
  </si>
  <si>
    <t>SHANTHI V</t>
  </si>
  <si>
    <t>NO:55; KURAL KUDIL, PRASANTH MAIN ROAD, ANNA GRAMMAM, GANDHI NAGAR POST, VADAKUTHU, KURINJIPADI TALUK, NEYVELI.</t>
  </si>
  <si>
    <t xml:space="preserve">ST. JOSEPH OF CLUNY MATRICULATION AND HIGHER SECONDARY SCHOOL </t>
  </si>
  <si>
    <t xml:space="preserve">STATE BOARD OF EDUCATION IN TAMILNADU </t>
  </si>
  <si>
    <t xml:space="preserve">KUMARAGURU COLLEGE OF TECHNOLOGY, COIMBATORE, TAMILNADU </t>
  </si>
  <si>
    <t>MS PROJECT ,AUTOCAD,PRIMEVERA,CPM</t>
  </si>
  <si>
    <t>CAPSTONE PROJECT-KUMARAGURU COLLEGE OF TECHNOLOGY | PROJ NAME-DEVELOPMENT OF MYCELIUM BASED BIO BRICKS | COIMBATORE | Jan 2026 | Apr 2026 | 16 Weeks | Campus Internship
HIGHWAY DEPARTMENT, GOVERNMENT OF TAMIL NADU  | SITE INTERN | KARUR | Apr 2024 | Apr 2024 | 1 Weeks
NLC INDIA LIMITED | SITE INTERN | NEYVELI  | Dec 2024 | Dec 2024 | 2 Weeks</t>
  </si>
  <si>
    <t xml:space="preserve">COMFORT IN BUILDINGS 
PAPER PUBLICATION </t>
  </si>
  <si>
    <t>P26700466</t>
  </si>
  <si>
    <t>SKAND</t>
  </si>
  <si>
    <t>Skand Singh</t>
  </si>
  <si>
    <t>P26700466@student.nicmar.ac.in</t>
  </si>
  <si>
    <t>03-Apr-2004</t>
  </si>
  <si>
    <t>Football,cricket,badminton,table tennis,singing,dancing,sketch</t>
  </si>
  <si>
    <t>Rajiv Kumar Singh</t>
  </si>
  <si>
    <t>Marketing Manager</t>
  </si>
  <si>
    <t>Rashmi Singh</t>
  </si>
  <si>
    <t>Teaching</t>
  </si>
  <si>
    <t>N9/87D- 100 JANKI NAGAR COLONY, BAZARDIHA, VARANASI</t>
  </si>
  <si>
    <t>Varanasi</t>
  </si>
  <si>
    <t xml:space="preserve">Varanasi Public School </t>
  </si>
  <si>
    <t>Varanasi/Uttar Pradesh</t>
  </si>
  <si>
    <t>Lord Buddha Public School, Kota, Rajasthan</t>
  </si>
  <si>
    <t>Kota/Rajasthan</t>
  </si>
  <si>
    <t>Madan Mohan Malaviya University Of Technology Gorakhpur, Uttar Pradesh</t>
  </si>
  <si>
    <t>Gorakhpur/Uttar Pradesh</t>
  </si>
  <si>
    <t>Innovation in Infrastructural Materials &amp; Sustainability(IIMS-2025)/Civil Engineering
Summer Internship at Banaras Locomotive Works/ Civil Engineering
NPTEL/Remote Sensing Essentials
NPTEL/Municipal Solid Waste Management</t>
  </si>
  <si>
    <t>P26700467</t>
  </si>
  <si>
    <t>Rushikesh Vijay Desai</t>
  </si>
  <si>
    <t>rushidesai122@gmail.com</t>
  </si>
  <si>
    <t>P26700467@student.nicmar.ac.in</t>
  </si>
  <si>
    <t>English, marathi,hindi</t>
  </si>
  <si>
    <t>Bike Riding</t>
  </si>
  <si>
    <t>Vijay Annaso Desai</t>
  </si>
  <si>
    <t>Shashikala Vijay Desai</t>
  </si>
  <si>
    <t>At/Post- Kavathe Piran, Tal - Miraj, Dist.- Sangli</t>
  </si>
  <si>
    <t>Sangli Highschool Sangli</t>
  </si>
  <si>
    <t>Walchand College of Engineering, sangli</t>
  </si>
  <si>
    <t>Shivaji University Kolhapur</t>
  </si>
  <si>
    <t>Appasaheb Birnale College of Architecture, Sangli</t>
  </si>
  <si>
    <t>Autocad, Sketchup, ms office,ms project,Photoshop</t>
  </si>
  <si>
    <t>P26700468</t>
  </si>
  <si>
    <t>Haripriya</t>
  </si>
  <si>
    <t>M V</t>
  </si>
  <si>
    <t>Haripriya M V</t>
  </si>
  <si>
    <t>P26700468@student.nicmar.ac.in</t>
  </si>
  <si>
    <t>16-Feb-2003</t>
  </si>
  <si>
    <t xml:space="preserve"> English,Malayalam , Hindi </t>
  </si>
  <si>
    <t>Dance,Reading books,listening music</t>
  </si>
  <si>
    <t>K Velappan Nair</t>
  </si>
  <si>
    <t>Document Writer</t>
  </si>
  <si>
    <t>Mini C</t>
  </si>
  <si>
    <t>Private Bank Employee</t>
  </si>
  <si>
    <t>Sivanandanam Plavila Marayamuttom
Neyyattinkara</t>
  </si>
  <si>
    <t>Govt HSS Marayamuttom</t>
  </si>
  <si>
    <t>Kerala Board OF Public examination, Thiruvananthapuram, Kerala</t>
  </si>
  <si>
    <t>Directorate of Higher Secondary Education (DHSE), Thiruvananthapuram, Kerala</t>
  </si>
  <si>
    <t>LBS Institute of Technology for Women, Thiruvananthapuram, Kerala</t>
  </si>
  <si>
    <t>AutoCAD ,Revit ,Ariba sourcing ,3DS max,MS Project</t>
  </si>
  <si>
    <t>TRV(Kerala) International Airport Limited (Formerly Adani Trivandrum International Airport Limited) | Graduate Apprentice Trainee | Thiruvananthapuram | Oct 2025 | Jun 2026 | 37 Weeks</t>
  </si>
  <si>
    <t>BIM Architecture</t>
  </si>
  <si>
    <t>P26700469</t>
  </si>
  <si>
    <t>Pratham</t>
  </si>
  <si>
    <t xml:space="preserve">Chandrakant </t>
  </si>
  <si>
    <t xml:space="preserve">Kataria </t>
  </si>
  <si>
    <t xml:space="preserve">Pratham Chandrakant  Kataria </t>
  </si>
  <si>
    <t>prathamckataria01@gmail.com</t>
  </si>
  <si>
    <t>P26700469@student.nicmar.ac.in</t>
  </si>
  <si>
    <t>01-Jan-2003</t>
  </si>
  <si>
    <t>English ,hindi ,marathi,marwadi</t>
  </si>
  <si>
    <t>chess,sudoku,kakuro</t>
  </si>
  <si>
    <t>Chandrakant Subhash Kataria</t>
  </si>
  <si>
    <t xml:space="preserve">Preeti Chandrakant Kataria </t>
  </si>
  <si>
    <t xml:space="preserve">Businesswoman </t>
  </si>
  <si>
    <t>305 ,Ashok Society, Sahakar Nagar 2 , Pune , Maharashtra 411009</t>
  </si>
  <si>
    <t xml:space="preserve">Rosary School , Pune </t>
  </si>
  <si>
    <t xml:space="preserve">Indian Certificate of Secondary Education , Pune, Maharashtra </t>
  </si>
  <si>
    <t xml:space="preserve">MIT Polytechnic, Pune Maharashtra </t>
  </si>
  <si>
    <t xml:space="preserve">Sinhgad College of Engineering </t>
  </si>
  <si>
    <t>MS office,MS Project,AutoCAD</t>
  </si>
  <si>
    <t>Parth Constructions  | Site Engineer  | Sahakarnagar , Pune  | Jul 2025 | May 2026 | 47 Weeks</t>
  </si>
  <si>
    <t>P26700470</t>
  </si>
  <si>
    <t>Aniket</t>
  </si>
  <si>
    <t>kalia</t>
  </si>
  <si>
    <t>Aniket Kalia</t>
  </si>
  <si>
    <t>P26700470@student.nicmar.ac.in</t>
  </si>
  <si>
    <t>powerlifting,gym,reading</t>
  </si>
  <si>
    <t>Sanjeev kumar kalia</t>
  </si>
  <si>
    <t>contractor</t>
  </si>
  <si>
    <t>suman lata sharma</t>
  </si>
  <si>
    <t>teacher</t>
  </si>
  <si>
    <t>village hara, tehsil fatehpur, dist. kangra, himachal pradesh</t>
  </si>
  <si>
    <t>Kangra</t>
  </si>
  <si>
    <t>Comet Mansa Senior Secondary School</t>
  </si>
  <si>
    <t>Central board of secondary education / dehli</t>
  </si>
  <si>
    <t>gurukul model sr sec school</t>
  </si>
  <si>
    <t>HP board of school education</t>
  </si>
  <si>
    <t>punjab engineering college, chandigarh</t>
  </si>
  <si>
    <t>punjab engineering college, sector 12, chandigarh</t>
  </si>
  <si>
    <t>AutoCAD, excel,ms project,primavera</t>
  </si>
  <si>
    <t>PozitiveElectricity &amp; gas private limated | IT intern | Mohali | Jan 2024 | Jun 2024 | 23 Weeks | Campus Internship
gradeffects | video editor | chandigarh | Jan 2023 | Mar 2023 | 12 Weeks | Campus Internship</t>
  </si>
  <si>
    <t>P26700471</t>
  </si>
  <si>
    <t xml:space="preserve">KISHAN </t>
  </si>
  <si>
    <t xml:space="preserve">KUMAR </t>
  </si>
  <si>
    <t>PANDA</t>
  </si>
  <si>
    <t>Kishan  Kumar  Panda</t>
  </si>
  <si>
    <t>kishan.panda0803@gmail.com</t>
  </si>
  <si>
    <t>P26700471@student.nicmar.ac.in</t>
  </si>
  <si>
    <t xml:space="preserve">ODIA, HINDI, ENGLISH </t>
  </si>
  <si>
    <t>MUSIC</t>
  </si>
  <si>
    <t xml:space="preserve">MITU KUMAR PANDA </t>
  </si>
  <si>
    <t xml:space="preserve">CIVIL CONTRACTOR </t>
  </si>
  <si>
    <t xml:space="preserve">RANJITA PANDA </t>
  </si>
  <si>
    <t xml:space="preserve">BILLO STREET, GOSAINUAGAON, BERHAMPUR </t>
  </si>
  <si>
    <t xml:space="preserve">KAUTIKI NAGAR 6TH LANE , GOSAINUAGAON , BERHAMPUR </t>
  </si>
  <si>
    <t xml:space="preserve">SARASWATI VIDYA MANDIR </t>
  </si>
  <si>
    <t>BOARD OF SECONDRY EDUCATION, ODISHA</t>
  </si>
  <si>
    <t xml:space="preserve">GOVT. POLYTECHNIC, BERHAMPUR </t>
  </si>
  <si>
    <t xml:space="preserve">NIST UNIVERSITY </t>
  </si>
  <si>
    <t xml:space="preserve">NIST UNIVERSITY, BERHAMPUR </t>
  </si>
  <si>
    <t>AutoCAD,Staad.pro,3dsmax,REVIT architecture ,ETABS,MS OFFICE</t>
  </si>
  <si>
    <t>NATIONAL HIGHWAY AUTHORITY OF INDIA  | CIVIL ENGINEERING INTERN  | BHUBANESHWAR  | May 2025 | Jun 2025 | 4 Weeks | Campus Internship
KBM STRUCTURES  | Draughtsman | BERHAMPUR | Mar 2022 | Nov 2022 | 31 Weeks
KBM STRUCTURES  | JUNIOR STRUCTURAL ENGINEER  | BERHAMPUR  | May 2023 | Feb 2026 | 143 Weeks</t>
  </si>
  <si>
    <t xml:space="preserve">ADVANCED DIPLOMA STRUCTURAL DESIGNING &amp; APPLICATION 
NATIONAL HIGHWAY AUTHORITY OF INDIA </t>
  </si>
  <si>
    <t>P26700472</t>
  </si>
  <si>
    <t>P26700472@student.nicmar.ac.in</t>
  </si>
  <si>
    <t>P26700473</t>
  </si>
  <si>
    <t>Tribhuvannath</t>
  </si>
  <si>
    <t>Pathak</t>
  </si>
  <si>
    <t>Suraj Tribhuvannath Pathak</t>
  </si>
  <si>
    <t>P26700473@student.nicmar.ac.in</t>
  </si>
  <si>
    <t xml:space="preserve">Hindi, English,Marathi </t>
  </si>
  <si>
    <t>Reading,Music,Running,Workout,Trekking,Travelling</t>
  </si>
  <si>
    <t>Kusum</t>
  </si>
  <si>
    <t>D-115 Arihant Akriti, Tata Colony Road, Rameshwadi , Badlapur (West)</t>
  </si>
  <si>
    <t>Panna English School</t>
  </si>
  <si>
    <t>Panna Junior College Of Science</t>
  </si>
  <si>
    <t xml:space="preserve"> Dilkap Research Institute of Engineering and Management Studies, Post Neral, Taluka Karjat-410101, Maharashtra</t>
  </si>
  <si>
    <t>AutoCAD,Revit,Autodesk Construction Cloud,MSP,Bluebeam,Navisworks,MS Office</t>
  </si>
  <si>
    <t>Trisita Engineering LLP | Technical Solutions Specialist  | Mumbai | Dec 2022 | Jun 2026 | 3 Years, 6 Months, 11 Days | 3.6
Jaatvedas Construction Company | Junior Civil Engineer | Thane | Aug 2021 | Dec 2022 | 1 Years, 4 Months, 15 Days | 1.8
Jewel Builders | Intern | Thane | May 2019 | Oct 2019 | 0 Years, 4 Months, 10 Days | 0</t>
  </si>
  <si>
    <t>63 month(s)</t>
  </si>
  <si>
    <t>Revu Essentials
Getting Started in Autodesk Docs
Proficient in AutoCAD for Civil Engineers &amp; Architects
Advanced 3D Modeling for Architectural Design
Principles of Construction Management – NPTEL, IIT Kanpur | 2026
Advanced Contracts, Tendering and Public Procurement – NPTEL, IIT Madras | 2022
Maintenance and Repair of Concrete Structures – NPTEL, IIT Madras | 2022</t>
  </si>
  <si>
    <t>P26700474</t>
  </si>
  <si>
    <t>Aatib</t>
  </si>
  <si>
    <t>Ibrahim</t>
  </si>
  <si>
    <t>Aatib Ibrahim Shaikh</t>
  </si>
  <si>
    <t>aatibshaikh111@gmail.com</t>
  </si>
  <si>
    <t>P26700474@student.nicmar.ac.in</t>
  </si>
  <si>
    <t>11-Jun-2004</t>
  </si>
  <si>
    <t>Playing Cricket,Music</t>
  </si>
  <si>
    <t>Shabana</t>
  </si>
  <si>
    <t>Palla Galli, At po. Paranda Dist. Osmanabad</t>
  </si>
  <si>
    <t>Kalyansagar Madhyamik Vidyalaya,Paranda</t>
  </si>
  <si>
    <t>Latur Divisional Board</t>
  </si>
  <si>
    <t>Sinhgad College Of Engineering , Vadgaon Bk, Pune</t>
  </si>
  <si>
    <t>AutoCAD,Staad pro,SketchUP,Lumion,V-Ray,Revit(Architectural)</t>
  </si>
  <si>
    <t>AutoCAD
SketchUP
STAAD.Pro
V-Ray
Lumion
Revit</t>
  </si>
  <si>
    <t>P26700475</t>
  </si>
  <si>
    <t>BARDE</t>
  </si>
  <si>
    <t>Harshal Vitthal Barde</t>
  </si>
  <si>
    <t>P26700475@student.nicmar.ac.in</t>
  </si>
  <si>
    <t>Travel,Photography,Running</t>
  </si>
  <si>
    <t>SOLDIER (INDIAN ARMY)</t>
  </si>
  <si>
    <t>CHAYA</t>
  </si>
  <si>
    <t>HANUMAN TAKALI, PO:KASAR PIMPALGAON,DIST:AHMEDNAGAR ,MAHARASHTRA-414505</t>
  </si>
  <si>
    <t>AMIT EMBRALD PARL ,FLAT NO. A 302 ,PATIL NAGAR,BALEWADI,PUNE,MAHARASHTRA 411045</t>
  </si>
  <si>
    <t>ST. MARY'S SCHOOL,NEWASA</t>
  </si>
  <si>
    <t>TRIMURTI PUBLIC SCHOOL AND JR. COLLAGE,TRIMURTINAGAR</t>
  </si>
  <si>
    <t>GOVERNMENT COLLAGE OF ENGINEERING AND RESEARCH ,AWASARI</t>
  </si>
  <si>
    <t>AutoCAD,ETABS,MS PROJECT</t>
  </si>
  <si>
    <t>SHREE. VILAS BABAN MANJARE DEVELOPERS | SITE ENGINEER- INTERN | PUNE | Jan 2024 | Apr 2024 | 11 Weeks</t>
  </si>
  <si>
    <t>SUPRA SAEINDIA
STATE LEVEL ADVENTURE CAMP 
NSS 2 YEAR</t>
  </si>
  <si>
    <t>P26700476</t>
  </si>
  <si>
    <t xml:space="preserve">Dhruv </t>
  </si>
  <si>
    <t>Babar</t>
  </si>
  <si>
    <t>Dhruv  Ramesh Babar</t>
  </si>
  <si>
    <t>dhruvbabar3000@gmail.com</t>
  </si>
  <si>
    <t>P26700476@student.nicmar.ac.in</t>
  </si>
  <si>
    <t xml:space="preserve">Fitness &amp; Gym , Exploring New Places </t>
  </si>
  <si>
    <t>3263 4393 0354</t>
  </si>
  <si>
    <t>Ramesh Ashok Babar</t>
  </si>
  <si>
    <t>Anuradha Ramesh Babar</t>
  </si>
  <si>
    <t>Babar mala burudgaon Road ahmednagar (Ahilayanagar)</t>
  </si>
  <si>
    <t>302 super collection of balewadi formarly woods regency, beside amar tech park, Balewadi, Pune</t>
  </si>
  <si>
    <t>AES Ashok Bhau Feriofia English Medium School</t>
  </si>
  <si>
    <t>Ahmednagar Maharashtra</t>
  </si>
  <si>
    <t>Mohanlal Ramautar Mandhana arts commerce and science collage ahmednagar</t>
  </si>
  <si>
    <t>ahmednagar maharashtra</t>
  </si>
  <si>
    <t xml:space="preserve"> [CEGP010530] - D.Y.PATIL COLLEGE OF ENGINEERING AKURDI PUNE</t>
  </si>
  <si>
    <t>Akurdi Pune maharashtra</t>
  </si>
  <si>
    <t>Auto Cad,MS projects,excel</t>
  </si>
  <si>
    <t xml:space="preserve">Auto Cad Certificate </t>
  </si>
  <si>
    <t>P26700477</t>
  </si>
  <si>
    <t>Gendepujari</t>
  </si>
  <si>
    <t>Chaitanya Vinayak Gendepujari</t>
  </si>
  <si>
    <t>pujarichaitanya99@gmail.com</t>
  </si>
  <si>
    <t>P26700477@student.nicmar.ac.in</t>
  </si>
  <si>
    <t>07-Nov-2004</t>
  </si>
  <si>
    <t>Cricket,travelling,swimming</t>
  </si>
  <si>
    <t>Vinayak Jagdish Gendepujari</t>
  </si>
  <si>
    <t>Pourohitya</t>
  </si>
  <si>
    <t>Sneha Vinayak Gendepujari</t>
  </si>
  <si>
    <t>56,near the Post office, middle lane, Nrusinhwadi, Tal-Shirol, Dist-Kolhapur, 416104</t>
  </si>
  <si>
    <t>Seetabai Patwardhan highschool, Kurundwad</t>
  </si>
  <si>
    <t>Maharashtra State Board of Secondary and Higher Secondary Education, Maharashtra</t>
  </si>
  <si>
    <t>Ichalkaranji Highschool and Junior College, Ichalkaranji</t>
  </si>
  <si>
    <t>Maharashtra State Board of Secondary and Higher Secondary Education, Maharshtra</t>
  </si>
  <si>
    <t>Kolhapur Institute of Technology's College of Engineering,  Kolhapur</t>
  </si>
  <si>
    <t>Harsh Construction Pvt. Ltd. | Graduate Engineer Trainee | Near Rajaram Lake, kolhapur | Jan 2026 | Mar 2026 | 8 Weeks | Campus Internship</t>
  </si>
  <si>
    <t>P26700478</t>
  </si>
  <si>
    <t xml:space="preserve">RAHUL </t>
  </si>
  <si>
    <t>KUWAR</t>
  </si>
  <si>
    <t>Rahul  Dinesh Kuwar</t>
  </si>
  <si>
    <t>P26700478@student.nicmar.ac.in</t>
  </si>
  <si>
    <t>07-Dec-2000</t>
  </si>
  <si>
    <t xml:space="preserve">HINDI,ENGLISH ,MARATHI </t>
  </si>
  <si>
    <t>SONG WRITER,FOOTBALL</t>
  </si>
  <si>
    <t>A-12/403,RUTU ENCLAVE,GHODBUNDER ROAD, THANE WEST, 400615</t>
  </si>
  <si>
    <t>St. Xaviers English high school, Thane west</t>
  </si>
  <si>
    <t>SSC/MAHARASHTRA</t>
  </si>
  <si>
    <t xml:space="preserve">Stan knowledge campus </t>
  </si>
  <si>
    <t>HSC/Maharashtra</t>
  </si>
  <si>
    <t xml:space="preserve">MUMBAI UNIVERSITY </t>
  </si>
  <si>
    <t xml:space="preserve">New Horizon Institution Of Technology &amp; Management </t>
  </si>
  <si>
    <t>AutoCAD ,ms office ,MSP,primavera</t>
  </si>
  <si>
    <t>SIMANJAY ENTERPRISES  | ENGINEER | KHOLSHET THANE | Feb 2024 | Apr 2025 | 1 Years, 2 Months, 4 Days | 3
VASCON ENGINEERS | JUNIOR ENGINEER | MULUND | Apr 2025 | Jun 2026 | 1 Years, 1 Months, 18 Days | 3</t>
  </si>
  <si>
    <t>P26700479</t>
  </si>
  <si>
    <t xml:space="preserve">Shashwat </t>
  </si>
  <si>
    <t>Shashwat  Kumar</t>
  </si>
  <si>
    <t>P26700479@student.nicmar.ac.in</t>
  </si>
  <si>
    <t>17-Jul-2001</t>
  </si>
  <si>
    <t>Hindi , English</t>
  </si>
  <si>
    <t>Manish Kumar</t>
  </si>
  <si>
    <t>Government Contractor</t>
  </si>
  <si>
    <t>Seema Devi</t>
  </si>
  <si>
    <t>Government Teacher</t>
  </si>
  <si>
    <t>S/o manish kumar singh, near thakurbaadi, ward no 08, at + po ghataro, p/s kartahan , dist- vaishali -844119</t>
  </si>
  <si>
    <t xml:space="preserve">Vijayam Techno School </t>
  </si>
  <si>
    <t xml:space="preserve">CBSE, VISHAKHAPATNAM - ANDHRA PRADESH </t>
  </si>
  <si>
    <t xml:space="preserve">St. Michael's High School </t>
  </si>
  <si>
    <t>CBSE, PATNA - BIHAR</t>
  </si>
  <si>
    <t xml:space="preserve">Siddaganga Institute of Technology, Tumkur -Karnataka </t>
  </si>
  <si>
    <t>AutoCAD,MS Project ,Primavera</t>
  </si>
  <si>
    <t>Public Works Department (PwD) | Intern | Hanagal, Molkalmuru Taluk, Chitradurga | Aug 2021 | Sep 2021 | 6 Weeks | Campus Internship</t>
  </si>
  <si>
    <t>P26700480</t>
  </si>
  <si>
    <t>Meghasyam</t>
  </si>
  <si>
    <t>Yarlagadda</t>
  </si>
  <si>
    <t>Meghasyam Yarlagadda</t>
  </si>
  <si>
    <t>P26700480@student.nicmar.ac.in</t>
  </si>
  <si>
    <t>English, Telugu, Hindi</t>
  </si>
  <si>
    <t>Playing badminton,Architectural design &amp; sketching,Photography ,Videography</t>
  </si>
  <si>
    <t>6400 86956922</t>
  </si>
  <si>
    <t>Y.V.Kishore</t>
  </si>
  <si>
    <t>Y. Lakshmi</t>
  </si>
  <si>
    <t>Srinivasa Nagar Colony, Panchavati Complex, Nizampet</t>
  </si>
  <si>
    <t>KENNEDY HIGH-THE GLOBAL SCHOOL</t>
  </si>
  <si>
    <t>DEEKSHA JUNIOR COLLEGE</t>
  </si>
  <si>
    <t>telangana State Board of Intermediate Education</t>
  </si>
  <si>
    <t>Vaishnavi School of Architechture and Planning</t>
  </si>
  <si>
    <t>AutoCAD,Revit,sketch up,en scape,vray,D5,MS Office,Photoshop</t>
  </si>
  <si>
    <t>finger 6 architects | Architecture Intern | HYDERABAD | Sep 2025 | Feb 2026 | 20 Weeks | Campus Internship</t>
  </si>
  <si>
    <t>P26700481</t>
  </si>
  <si>
    <t>Subramanya</t>
  </si>
  <si>
    <t>Gowda</t>
  </si>
  <si>
    <t>C N</t>
  </si>
  <si>
    <t>Subramanya Gowda C N</t>
  </si>
  <si>
    <t>P26700481@student.nicmar.ac.in</t>
  </si>
  <si>
    <t>01-Jun-2004</t>
  </si>
  <si>
    <t>Hindi, English,Kannnada</t>
  </si>
  <si>
    <t>Cooking, riding bike,Music</t>
  </si>
  <si>
    <t>NAGE GOWDA C</t>
  </si>
  <si>
    <t>SIDDAGANGAMMA R</t>
  </si>
  <si>
    <t>#255, 9th cross, Parasana Layout, Madeshwara Nagara, Herohalli, Bengaluru-560091</t>
  </si>
  <si>
    <t>APOLLO PUBLIC SCHOOL</t>
  </si>
  <si>
    <t>VIDYASANSKAAR PU COLLEGE</t>
  </si>
  <si>
    <t>BANGALORE INSTUTION OF TECHNOLOGY</t>
  </si>
  <si>
    <t>AutoCAD, MS Project, Primavera,Revit Architecture,Revit Structure,Naviswork,Sketchup,MS Excel</t>
  </si>
  <si>
    <t>MEDINI TECHNOLOGIES | INTERN | Bengaluru | Feb 2026 | May 2026 | 14 Weeks</t>
  </si>
  <si>
    <t>AutoCAD
Revit Architecture
Revit Structure
Navisworks
Sketchup</t>
  </si>
  <si>
    <t>P26700482</t>
  </si>
  <si>
    <t>Patil Prashant Patil</t>
  </si>
  <si>
    <t>P26700482@student.nicmar.ac.in</t>
  </si>
  <si>
    <t>01-Jan-1999</t>
  </si>
  <si>
    <t>Old and Unique Coin Collection</t>
  </si>
  <si>
    <t>Kishor</t>
  </si>
  <si>
    <t>Latabai</t>
  </si>
  <si>
    <t>20A, Sector 2, Ganpati Nagar, Jalgaon Road, Jamner</t>
  </si>
  <si>
    <t>New English School, Jamner</t>
  </si>
  <si>
    <t>Nashik Divisional Board, Maharashtra</t>
  </si>
  <si>
    <t>New English School Jr. College, Jamner</t>
  </si>
  <si>
    <t>Sanjivani College of Engineering Kopargaon</t>
  </si>
  <si>
    <t>SGM INFRASTRUCTURE | Site Engineer | Jamner | Oct 2022 | Mar 2026 | 3 Years, 5 Months, 7 Days | 3.72</t>
  </si>
  <si>
    <t>P26700483</t>
  </si>
  <si>
    <t>Kunal</t>
  </si>
  <si>
    <t>Thorat</t>
  </si>
  <si>
    <t>Kunal Satish Thorat</t>
  </si>
  <si>
    <t>P26700483@student.nicmar.ac.in</t>
  </si>
  <si>
    <t>22-Feb-2002</t>
  </si>
  <si>
    <t xml:space="preserve">English, Hindi,Marathi </t>
  </si>
  <si>
    <t xml:space="preserve">Singing, Reading, Cricket </t>
  </si>
  <si>
    <t>Satish Jarasandh Thorat</t>
  </si>
  <si>
    <t>Manisha Satish Thorat</t>
  </si>
  <si>
    <t>A-904, Odela Lohia Jain, Near LMD Chowk, Bavdhan Pune -411021</t>
  </si>
  <si>
    <t>National Public School, Panchgani</t>
  </si>
  <si>
    <t>Arihant Arts, Commerce &amp; Science Junior College, Bavdhan, Pune-411021</t>
  </si>
  <si>
    <t>A.I.S.S.M.S. College of Engineering, Pune</t>
  </si>
  <si>
    <t>MS Office, MS Project, Tally, Primavera,AutoCad,corel draw,photoshop</t>
  </si>
  <si>
    <t>AdvetKunal Enterperises Private Limited | Construction Operations Manager | Pune | Sep 2024 | May 2026 | 1 Years, 8 Months, 5 Days</t>
  </si>
  <si>
    <t>AdvetKunal Enterprises Private Limited | Site Engineer | Satara City | Dec 2022 | Jan 2023 | 8 Weeks</t>
  </si>
  <si>
    <t>Autocad
Dimploma Course in Graphics and Automation</t>
  </si>
  <si>
    <t>P26700484</t>
  </si>
  <si>
    <t>Swaraj</t>
  </si>
  <si>
    <t>Kedar</t>
  </si>
  <si>
    <t>Barbade</t>
  </si>
  <si>
    <t>Swaraj Kedar Barbade</t>
  </si>
  <si>
    <t>P26700484@student.nicmar.ac.in</t>
  </si>
  <si>
    <t>English,Hindi, Marathi,kannada</t>
  </si>
  <si>
    <t>Dance, Football, Guitar playing,Painting</t>
  </si>
  <si>
    <t>Kedar Nagappa Barbade</t>
  </si>
  <si>
    <t>Real Estate Agent</t>
  </si>
  <si>
    <t>Suma</t>
  </si>
  <si>
    <t>A-2/113 Mantri Chandak Nagar, Rupa Bhavani Road, Bhavani Peth, Solapur</t>
  </si>
  <si>
    <t>S.R Chandak English High School</t>
  </si>
  <si>
    <t>Solapur Education Society's Polytechnic, Solapur, Maharashtra</t>
  </si>
  <si>
    <t xml:space="preserve"> Dr. Babasaheb Ambedkar Technological University</t>
  </si>
  <si>
    <t>Nagesh Karajagi Orchid College of Engineering &amp; Technology, Solapur, Maharashtra</t>
  </si>
  <si>
    <t>AutoCAD, MS Office, MS Project,Civil 3d</t>
  </si>
  <si>
    <t>K Raheja Corp | Trainee Engineer | Pune | Jul 2024 | Jul 2025 | 1 Years, 0 Months, 3 Days | 2.40000
SANKALP CONTRACTS PRIVATE LIMITED | Jr. Engg. - Contracts | Pune | Apr 2026 | Jun 2026 | 0 Years, 2 Months, 17 Days | 4.15759</t>
  </si>
  <si>
    <t>P26700485</t>
  </si>
  <si>
    <t>Hanchate</t>
  </si>
  <si>
    <t>Sneha Hanchate</t>
  </si>
  <si>
    <t>snehahanchate03283@gmail.com</t>
  </si>
  <si>
    <t>P26700485@student.nicmar.ac.in</t>
  </si>
  <si>
    <t>20-Aug-2004</t>
  </si>
  <si>
    <t>English,Marathi,Hindi,Kannada,Telugu</t>
  </si>
  <si>
    <t>Playing Badminton,Reading,Dancing,Travelling</t>
  </si>
  <si>
    <t>Shantha Ram H V</t>
  </si>
  <si>
    <t>Life Insurance Advisor</t>
  </si>
  <si>
    <t xml:space="preserve">Swathi </t>
  </si>
  <si>
    <t>Plot No. C-75, 1st Main, 2nd Cross, Kuvempu Nagar, Cantonment, Ballari-583104</t>
  </si>
  <si>
    <t>Nandi High School</t>
  </si>
  <si>
    <t>KSEEB Karnataka</t>
  </si>
  <si>
    <t>Bellary Independent PU college</t>
  </si>
  <si>
    <t xml:space="preserve">Ballari Institute of Technology and Management </t>
  </si>
  <si>
    <t>AutoCAD, MS Office, MS Project, STAAD Pro., Primavera, Revit, Sketch UP</t>
  </si>
  <si>
    <t>Internship / Training on 3D modelling and Design</t>
  </si>
  <si>
    <t>P26700486</t>
  </si>
  <si>
    <t>Animesh</t>
  </si>
  <si>
    <t>Animesh Singh</t>
  </si>
  <si>
    <t>P26700486@student.nicmar.ac.in</t>
  </si>
  <si>
    <t xml:space="preserve">Hindi ,  English </t>
  </si>
  <si>
    <t xml:space="preserve"> exploring new places , camping ,gym ,Riding bike ,Exploring new adventures</t>
  </si>
  <si>
    <t>5746 2085 8781</t>
  </si>
  <si>
    <t>Kiran Singh</t>
  </si>
  <si>
    <t>16 , village- Chhabaila, post- bahadurpur, Basti, Uttar Pradesh-272302</t>
  </si>
  <si>
    <t>Basti</t>
  </si>
  <si>
    <t xml:space="preserve">408A, the house of Balewadi by union living,
Balewadi </t>
  </si>
  <si>
    <t>ST. Basil’s school</t>
  </si>
  <si>
    <t>Basti/Uttar pradesh</t>
  </si>
  <si>
    <t>MG Convent school</t>
  </si>
  <si>
    <t>Lucknow / uttar pradesh</t>
  </si>
  <si>
    <t>Vellore institution of technology- vellore</t>
  </si>
  <si>
    <t>VIT Vellore/ Tamil Nadu</t>
  </si>
  <si>
    <t>AutoCAD,Midas  ,MS office,Ms project</t>
  </si>
  <si>
    <t>Uttar Pradesh Irrigation Department | Site Engineer | Sitapur, Uttar Pradesh, India | Jun 2025 | Jun 2025 | 3 Weeks</t>
  </si>
  <si>
    <t>Summer internship in irrigation department uttar pradesh
Midas GTS NX
Midas GTS NX
Capstron project</t>
  </si>
  <si>
    <t>P26700487</t>
  </si>
  <si>
    <t>SUYOG</t>
  </si>
  <si>
    <t>MURDIO</t>
  </si>
  <si>
    <t>Suyog Murdio</t>
  </si>
  <si>
    <t>P26700487@student.nicmar.ac.in</t>
  </si>
  <si>
    <t>11-Nov-2000</t>
  </si>
  <si>
    <t>SINGING,LISTENIING,MUSIC</t>
  </si>
  <si>
    <t>CASHIER</t>
  </si>
  <si>
    <t>RASHTRABHASHA ROAD NEAR GANESH TEMPLE, RAMNAGAR, WARDHA - 442001</t>
  </si>
  <si>
    <t>GANDHI CITY PUBLIC SCHOOL, WARDHA</t>
  </si>
  <si>
    <t>CBSE: Central Board of Secondary Education (New Delhi).</t>
  </si>
  <si>
    <t>Acharya Shrimannarayan Polytechnic, Wardha</t>
  </si>
  <si>
    <t>SHRI SHANKARPRASAD AGNIHOTRI COLLEGE OF ENGINEERING, WARDHA</t>
  </si>
  <si>
    <t>AUTOCAD,MS OFFICE,REVIT</t>
  </si>
  <si>
    <t>AVS CORE ESTIMATION SERVICES PVT. LTD. | JR. ESTIMATOR | NAGPUR | Jan 2026 | Jul 2026 | 0 Years, 5 Months, 13 Days | 1.8</t>
  </si>
  <si>
    <t>J.P. ENTERPRISES &amp; CONSTRUCTIONS | ASSISTANT SUPERVISOR | WARDHA | Apr 2019 | Jun 2019 | 8 Weeks | Campus Internship</t>
  </si>
  <si>
    <t>P26700488</t>
  </si>
  <si>
    <t>Shriraj</t>
  </si>
  <si>
    <t>Sangram</t>
  </si>
  <si>
    <t>Dangat</t>
  </si>
  <si>
    <t>Shriraj Sangram Dangat</t>
  </si>
  <si>
    <t>shrirajdangat60@gmail.com</t>
  </si>
  <si>
    <t>P26700488@student.nicmar.ac.in</t>
  </si>
  <si>
    <t>02-Feb-2001</t>
  </si>
  <si>
    <t>Music,Fitness,Travel</t>
  </si>
  <si>
    <t>Sangram Tukaram Dangat</t>
  </si>
  <si>
    <t>Gauri Sangram Dangat</t>
  </si>
  <si>
    <t>S/50 Renuka Nagari, Shankar Smruti, 3rd Floor, Near kirti Nagar, Wadgaon Budruk, Sinhgad road, Pune</t>
  </si>
  <si>
    <t>Kendriya Vidhyalaya Sangathan</t>
  </si>
  <si>
    <t>Central board of secondary education Maharashtra, Pune</t>
  </si>
  <si>
    <t xml:space="preserve">Dnyanganga Junior College </t>
  </si>
  <si>
    <t xml:space="preserve">Secondary and Higher secondary education Pune, Maharashtra </t>
  </si>
  <si>
    <t xml:space="preserve">Smt. Kashibai Navale College of Architecture, Pune, Maharashtra </t>
  </si>
  <si>
    <t>Autocad,Sketchup,Lumion,MS projects,MS Excel</t>
  </si>
  <si>
    <t>JK Design Studio Pvt. Ltd | Junior Architect | Pune | Aug 2024 | Jul 2026 | 1 Years, 10 Months, 13 Days | 2.32</t>
  </si>
  <si>
    <t>Swanand Zankar Associates | Intern | Pune | Jun 2023 | Dec 2023 | 23 Weeks | Campus Internship</t>
  </si>
  <si>
    <t>P26700489</t>
  </si>
  <si>
    <t>P26700489@student.nicmar.ac.in</t>
  </si>
  <si>
    <t>P26700490</t>
  </si>
  <si>
    <t>sushant</t>
  </si>
  <si>
    <t>sisodiya</t>
  </si>
  <si>
    <t>Sushant Sisodiya</t>
  </si>
  <si>
    <t>sushant00iim@gmail.com</t>
  </si>
  <si>
    <t>P26700490@student.nicmar.ac.in</t>
  </si>
  <si>
    <t>06-Mar-1998</t>
  </si>
  <si>
    <t>hindi ,english</t>
  </si>
  <si>
    <t>exploring new places,  reading,learning new things,playing badminton</t>
  </si>
  <si>
    <t>mahendra pal singh</t>
  </si>
  <si>
    <t>doctor</t>
  </si>
  <si>
    <t>suman devi</t>
  </si>
  <si>
    <t>Mouhari Hajaratapur Majhra Khuntkhera ,chhajlet,PO: Chhajlet,Distt: Moradabad, Uttar Pradesh.</t>
  </si>
  <si>
    <t>BEERSHEBA SCHOOL BD PARISHAR ALMORA UTTRAKHAND</t>
  </si>
  <si>
    <t>GURUKUL INTERNATIONAL SCHOOL HALDWANI</t>
  </si>
  <si>
    <t>DR. SHAKUNTALA MISRA NATIONAL REHEBLITATION UNIVERSITY LUCKNOW</t>
  </si>
  <si>
    <t>DSMNRU LUCKNOW</t>
  </si>
  <si>
    <t>AUTOCAD, MSP</t>
  </si>
  <si>
    <t>ASTHA CONSTRUCTION AND HANDSOME INDIA PRIVATE LIMITED | FORMATION ENGINEER | SURAT | Dec 2020 | Sep 2024 | 3 Years, 9 Months, 5 Days | 6.84</t>
  </si>
  <si>
    <t>WATER RESOURCE DEPARTMENT (MP) | INTERN | NARWAR DISTRICT- SHIVPURI MADHYA PRADESH | May 2019 | Jun 2019 | 4 Weeks | Campus Internship</t>
  </si>
  <si>
    <t>P26700491</t>
  </si>
  <si>
    <t>More</t>
  </si>
  <si>
    <t>Sahil Milind More</t>
  </si>
  <si>
    <t>P26700491@student.nicmar.ac.in</t>
  </si>
  <si>
    <t>Hindi English,Marathi</t>
  </si>
  <si>
    <t>Music,Guitar</t>
  </si>
  <si>
    <t>Milind Rohidas More</t>
  </si>
  <si>
    <t>Swati Milind More</t>
  </si>
  <si>
    <t>Vaibhav Nagar, Nakshatra  Plot No 55.
golibar tekdi jamnagiri road dhule</t>
  </si>
  <si>
    <t>Nicmar University Balewadi Baner Pune</t>
  </si>
  <si>
    <t>Canossa Convent High School</t>
  </si>
  <si>
    <t>Nashik Divisional Board</t>
  </si>
  <si>
    <t>SSVPS'S Bapusaheb Shivajirao Deore College of Engineering, Dhule</t>
  </si>
  <si>
    <t xml:space="preserve">Sinhgad College of Engineering Vadgaon Pune </t>
  </si>
  <si>
    <t>Autocad, Ms office,Ms Project,Primavera,Billing,Contracts and Management,Quantity Surverying ,Revit</t>
  </si>
  <si>
    <t>Er. Jayprakash. I .Mahale | Junior Engineer Civil | Dhule | Oct 2023 | Oct 2025 | 2 Years, 0 Months, 0 Days | 6 
Licensed Contractor | Government Contractor | Dhule | Jan 2022 | Jan 2025 | 2 Years, 11 Months, 29 Days | 12</t>
  </si>
  <si>
    <t>59 month(s)</t>
  </si>
  <si>
    <t>Ms Shitalkumar Mohan Nawale | Engineer Trainee | Dhule | May 2019 | Jun 2019 | 5 Weeks | Campus Internship
Know how Online Learning | Fresher Trainee | Pune | Jan 2022 | Feb 2022 | 5 Weeks | Campus Internship</t>
  </si>
  <si>
    <t>P26700492</t>
  </si>
  <si>
    <t>Prayag</t>
  </si>
  <si>
    <t>Prayag Yogesh Deshmukh</t>
  </si>
  <si>
    <t>P26700492@student.nicmar.ac.in</t>
  </si>
  <si>
    <t xml:space="preserve">Traveling </t>
  </si>
  <si>
    <t>Doctor</t>
  </si>
  <si>
    <t>Anjali</t>
  </si>
  <si>
    <t>48 Hill Road Shivaji Nagar Nagpur</t>
  </si>
  <si>
    <t>B.R.A's Mundle English Medium School</t>
  </si>
  <si>
    <t>Dr. Ambedkar College</t>
  </si>
  <si>
    <t xml:space="preserve">Anjuman Polytechnic </t>
  </si>
  <si>
    <t>Rashtrasant Tukdoji Maharaj Nagpur University</t>
  </si>
  <si>
    <t>AutoCAD,MS office,MS Project,VISSIM</t>
  </si>
  <si>
    <t>Priyadarshini college of engineering | Assistant Professor | Nagpur | Sep 2025 | Jan 2026 | 0 Years, 4 Months, 23 Days | 4.08</t>
  </si>
  <si>
    <t>Nagpur Metropolitan Region Development Authority | Intern | Nagpur | Aug 2023 | Nov 2023 | 12 Weeks
K &amp; J Projects Private Limited  | Intern | Nagpur | Dec 2023 | May 2024 | 24 Weeks</t>
  </si>
  <si>
    <t>P26700493</t>
  </si>
  <si>
    <t>Sujan</t>
  </si>
  <si>
    <t>Sujan S</t>
  </si>
  <si>
    <t>vinayakasujan2004@gmail.com</t>
  </si>
  <si>
    <t>P26700493@student.nicmar.ac.in</t>
  </si>
  <si>
    <t>13-Sep-2004</t>
  </si>
  <si>
    <t>Driving ,Cycling,Sudoko,Cooking,Swimming,Movies,Music</t>
  </si>
  <si>
    <t>4820 7410 8913</t>
  </si>
  <si>
    <t xml:space="preserve">Sathish Kumar </t>
  </si>
  <si>
    <t>Kalaimani</t>
  </si>
  <si>
    <t xml:space="preserve">55A, Pungampadi&amp;(PO),
V.Vellode (VIA)
</t>
  </si>
  <si>
    <t>The Indian Public School</t>
  </si>
  <si>
    <t>Kongu Polytechnic College</t>
  </si>
  <si>
    <t>Coimbatore Institute of Technology (CIT), Coimbatore, Tamil Nadu</t>
  </si>
  <si>
    <t>MS Office,AutoCAD,STAAD.Pro,MS Project,Primavera</t>
  </si>
  <si>
    <t>Sri Surya Construction | Intern | Erode | Jul 2022 | Jul 2022 | 2 Weeks
Planning, Analyzing, Designing, Estimating Of Guest House Building  | Diploma Project | Erode | Jan 2023 | Apr 2023 | 16 Weeks
Public Works Department | Intern | Erode | Jul 2024 | Jul 2024 | 1 Weeks
Sri Angalamman Constructions | Intern | Erode | Jan 2025 | Jan 2025 | 2 Weeks
Planning, Designing &amp; Estimation of Residential Load Bearing Structure | UG Mini Project | Coimbatore | Mar 2025 | May 2025 | 13 Weeks
Experimental Study On Bricks With Partial Replacement Of Steel Slag, Sugarcane Bagasse Ash, Quarry Dust And Titanium Dioxide | BE Project | Coimbatore | Jul 2025 | Nov 2025 | 21 Weeks
Design Of Flexible Pavement Using Modified Bitumen | UG Project  | Coimbatore | Jan 2026 | Apr 2026 | 17 Weeks</t>
  </si>
  <si>
    <t>AutoCAD
STADD.Pro
Revit Architecture</t>
  </si>
  <si>
    <t>P26700494</t>
  </si>
  <si>
    <t xml:space="preserve">Yellareddy Gari Vinay </t>
  </si>
  <si>
    <t xml:space="preserve">Goutham </t>
  </si>
  <si>
    <t>Yellareddy Gari Vinay  Goutham  Reddy</t>
  </si>
  <si>
    <t>P26700494@student.nicmar.ac.in</t>
  </si>
  <si>
    <t>08-Jun-2004</t>
  </si>
  <si>
    <t xml:space="preserve">Telugu, Hindi, Kannada, English </t>
  </si>
  <si>
    <t xml:space="preserve">Traveling, Sports ,Movie and webseries ,Anime </t>
  </si>
  <si>
    <t xml:space="preserve">Yellareddy Gari Vijay </t>
  </si>
  <si>
    <t xml:space="preserve">Yellareddy Gari Sujatha </t>
  </si>
  <si>
    <t xml:space="preserve">2/254-5, First floor, Opposite to Deepthi junior college </t>
  </si>
  <si>
    <t xml:space="preserve">Keshava Reddy English Medium School </t>
  </si>
  <si>
    <t xml:space="preserve">Secondary Board of Andhra Pradesh </t>
  </si>
  <si>
    <t xml:space="preserve">Sri Chaitanya Junior college </t>
  </si>
  <si>
    <t xml:space="preserve">Board of Intermediate Education Andhra Pradesh </t>
  </si>
  <si>
    <t xml:space="preserve">Visvesvaraya Technological University,Belagavi , Karnataka </t>
  </si>
  <si>
    <t xml:space="preserve">RV College of Engineering Banglore/karnataka </t>
  </si>
  <si>
    <t>AutoCAD, Staad Pro basic level , Excel basic level</t>
  </si>
  <si>
    <t xml:space="preserve">Staad Pro </t>
  </si>
  <si>
    <t>P26700495</t>
  </si>
  <si>
    <t>Pragadeeswar</t>
  </si>
  <si>
    <t>S K</t>
  </si>
  <si>
    <t>Pragadeeswar S K</t>
  </si>
  <si>
    <t>P26700495@student.nicmar.ac.in</t>
  </si>
  <si>
    <t>02-Sep-2003</t>
  </si>
  <si>
    <t>Hindi,English,Tamil</t>
  </si>
  <si>
    <t>Tennis,Chess</t>
  </si>
  <si>
    <t>S Kulandaivelu</t>
  </si>
  <si>
    <t>PA to Joint Director</t>
  </si>
  <si>
    <t>K Mathavi</t>
  </si>
  <si>
    <t>14F, KM Illam, Rajiv Gandhi Street, Bharathipuram</t>
  </si>
  <si>
    <t>Senthil Public School</t>
  </si>
  <si>
    <t>Central Board of Secondary Education (CBSE), Dharmapuri, Tamil Nadu</t>
  </si>
  <si>
    <t>Devi Academy</t>
  </si>
  <si>
    <t>Central Board of Secondary Education (CBSE), Chennai, Tamil Nadu</t>
  </si>
  <si>
    <t>Sri Sivasubramaniya Nadar College of Engineering, Chennai, Tamil Nadu</t>
  </si>
  <si>
    <t>AutoCad,MS Project,MS Office</t>
  </si>
  <si>
    <t>Senara Industrial Parks | Junior Project Coordinator - Projects &amp; Development | Chennai | Dec 2025 | Jul 2026 | 0 Years, 7 Months, 2 Days | 4.47
URC Constructions Pvt. Ltd. | Graduate Engineer Trainee (GET) - Planning  | Ranipet | Jun 2025 | Nov 2025 | 0 Years, 5 Months, 13 Days | 2.40</t>
  </si>
  <si>
    <t>DLF Home Developers Limited | Intern | Chennai | Jun 2024 | Jul 2024 | 4 Weeks</t>
  </si>
  <si>
    <t>IGBC Accredited Professional - Associate</t>
  </si>
  <si>
    <t>P26700496</t>
  </si>
  <si>
    <t>Shivaji</t>
  </si>
  <si>
    <t>Chopade</t>
  </si>
  <si>
    <t>Sanket Shivaji Chopade</t>
  </si>
  <si>
    <t>P26700496@student.nicmar.ac.in</t>
  </si>
  <si>
    <t>Swimming,Solo riding,Trekking</t>
  </si>
  <si>
    <t>Shivaji Chopade</t>
  </si>
  <si>
    <t>Anjani Chopade</t>
  </si>
  <si>
    <t>Shivaji Chouk, Hatkangale, Hatkalangada, Kolhapur, Maharashtra-416109</t>
  </si>
  <si>
    <t>TATYASAHEB MUSALE VIDYALAYA ,ICHALKARANJI</t>
  </si>
  <si>
    <t>KOLHAPUR, MAHARASHTRA</t>
  </si>
  <si>
    <t>SHREE BALAJI JUNIOR COLLEGE, ICHALKARANJI</t>
  </si>
  <si>
    <t>PIMPRI CHINCHWAD COLLEGE OF ENGINEERING AND RESEARCH, PUNE</t>
  </si>
  <si>
    <t>AutoCAD ,MS Project,STAAD.pro V8i</t>
  </si>
  <si>
    <t>MILLENNIUM ENGINEERS AND CONTRACTORS PVT LTD | JR ENGINEER- Q.A. | KHARADI, PUNE | Jan 2025 | Dec 2025 | 0 Years, 11 Months, 11 Days | 3.5</t>
  </si>
  <si>
    <t>ROYAL DEVELOPERS | SITE EXECUTION | RAVET, PUNE | Feb 2023 | Feb 2023 | 3 Weeks</t>
  </si>
  <si>
    <t>STAAD.pro V8i</t>
  </si>
  <si>
    <t>P26700497</t>
  </si>
  <si>
    <t>Adersh</t>
  </si>
  <si>
    <t>Adersh Venugopal</t>
  </si>
  <si>
    <t>P26700497@student.nicmar.ac.in</t>
  </si>
  <si>
    <t>26-Jun-2000</t>
  </si>
  <si>
    <t>Malayalam English Hindi</t>
  </si>
  <si>
    <t>Reading Music Gym Badminton</t>
  </si>
  <si>
    <t>C Venugopal</t>
  </si>
  <si>
    <t xml:space="preserve">Retired Overseer In Kerala Irrigation Department </t>
  </si>
  <si>
    <t>Jyothirmayi Devi KP</t>
  </si>
  <si>
    <t>Retired High School Teacher</t>
  </si>
  <si>
    <t xml:space="preserve">Nila(H) Thottakkadu PO Kottayam Kerala </t>
  </si>
  <si>
    <t>CHERURAL HS KURUMBATHUR</t>
  </si>
  <si>
    <t>KERALA BOARD OF PUBLIC EXAMINATIONS</t>
  </si>
  <si>
    <t>SEETHI SAHIB MEMORIAL POLYTECHNIC COLLEGE</t>
  </si>
  <si>
    <t>MES COLLEGE OF ENGINEERING ,KUTTIPPURAM</t>
  </si>
  <si>
    <t>AUTOCAD MS OFFICE</t>
  </si>
  <si>
    <t>Adersh Venugopal | civil works contractor | Karukachal,Kottayam,Kerala | Mar 2021 | Mar 2022 | 1 Years, 0 Months, 0 Days | 14</t>
  </si>
  <si>
    <t>Greening the Economy: Sustainable Cities</t>
  </si>
  <si>
    <t>P26700498</t>
  </si>
  <si>
    <t>Bilapatte</t>
  </si>
  <si>
    <t>Krishna Sunil Bilapatte</t>
  </si>
  <si>
    <t>P26700498@student.nicmar.ac.in</t>
  </si>
  <si>
    <t>16-Apr-2001</t>
  </si>
  <si>
    <t xml:space="preserve">Sports, E-sports </t>
  </si>
  <si>
    <t>Sunil Gyanobarao Bilapatte</t>
  </si>
  <si>
    <t>Business man(construction)</t>
  </si>
  <si>
    <t>Geetanjali Sunil Bilapatte</t>
  </si>
  <si>
    <t>Bldg. A-4,2nd floor, flat no-201, Disha Sanskruti Silk City, Itkheda,  Aurangabad</t>
  </si>
  <si>
    <t xml:space="preserve">Nalanda Academy </t>
  </si>
  <si>
    <t>CBSE, Kote, Rajasthan</t>
  </si>
  <si>
    <t>Aklank Public School, Kota, Rajasthan</t>
  </si>
  <si>
    <t>All India Shri Shivaji Memorial College of Engineering, Pune, Maharashtra</t>
  </si>
  <si>
    <t>Ms Project, Primavera ,ms excel</t>
  </si>
  <si>
    <t>P26700499</t>
  </si>
  <si>
    <t xml:space="preserve">HIREN </t>
  </si>
  <si>
    <t xml:space="preserve">ENGINEER </t>
  </si>
  <si>
    <t xml:space="preserve">Arya Hiren  Engineer </t>
  </si>
  <si>
    <t>P26700499@student.nicmar.ac.in</t>
  </si>
  <si>
    <t>01-Oct-2004</t>
  </si>
  <si>
    <t>GUJARATI,HINDI,ENGLISH</t>
  </si>
  <si>
    <t xml:space="preserve">Music,Travelling,Trekking,Gaming </t>
  </si>
  <si>
    <t xml:space="preserve">HIREN BIPINCHANDRA ENGINEER </t>
  </si>
  <si>
    <t>CIVIL ENGINEERING CONSULTANT</t>
  </si>
  <si>
    <t>EKTA HIREN ENGINEER</t>
  </si>
  <si>
    <t>100, MAHENDRA PARK SOCIETY, AIE MATA CHOCK, PUNA KUMBHARIYA ROAD, PARVAT PATIYA, SURAT, GUJARAT, INDIA. 395010</t>
  </si>
  <si>
    <t xml:space="preserve">R S M POONAWALA SARVAJANIK EXPERIMENTAL SCHOOL </t>
  </si>
  <si>
    <t xml:space="preserve">GUJARAT SECONDARY &amp; HIGHER SECONDARY EDUCATION BOARD, GANDHINAGAR GUJARAT </t>
  </si>
  <si>
    <t xml:space="preserve">DR. S AND S. S. GHANDHY COLLEGE OF ENGINEERING AND TECHNOLOGY, SURAT </t>
  </si>
  <si>
    <t xml:space="preserve">GUJARAT TECHNOLOGICAL UNIVERSITY, AHMEDABAD </t>
  </si>
  <si>
    <t xml:space="preserve">DR. S.&amp; S.S. GHANDHY GOVERMENT ENGINEERING COLLEGE  </t>
  </si>
  <si>
    <t>AUTOCAD,MS Office,MS Project,Primevera,Managerial Skill,Communication Skill</t>
  </si>
  <si>
    <t>SURAT INTEGRATED TRANSPORATATION DEVELOPMENT CORPORATION LIMITED (SITCO) SURAT  | PROJECT INTERN  | CONSTRUCTION AND DEVELOPMENT OF ELEVATED ROAD AT MULTIMODAL TRANSPORTATION HUB IN SURAT  | Jul 2025 | Jul 2025 | 2 Weeks
UNIQUE CONSTRUCTION  | PROJECT INTERN  | CONSTRUCTION OF MAJOR BRIDGE ACROSS RIVER MINDHOLA CONNECTING SURAT DISTRICT ABHVA &amp; NAVSARI DISTRICT UBHRAT  | Jan 2026 | Mar 2026 | 11 Weeks</t>
  </si>
  <si>
    <t>P26700500</t>
  </si>
  <si>
    <t>Sakshi</t>
  </si>
  <si>
    <t>Balaji</t>
  </si>
  <si>
    <t>Holambe</t>
  </si>
  <si>
    <t>Sakshi Balaji Holambe</t>
  </si>
  <si>
    <t>P26700500@student.nicmar.ac.in</t>
  </si>
  <si>
    <t>24-Apr-2003</t>
  </si>
  <si>
    <t>Travelling,Cooking,playing sports,gardening</t>
  </si>
  <si>
    <t>Shivkanta</t>
  </si>
  <si>
    <t>Savta mali chowk, At post Ambajogai,Dist Beed 431517</t>
  </si>
  <si>
    <t>At Post Helamb, Parli Vaijinath 431515</t>
  </si>
  <si>
    <t>Shri Kholeshwar Madhyamik Vidyalaya Ambajogai</t>
  </si>
  <si>
    <t>Maharashtra State board of secondary and higher secondary education,pune</t>
  </si>
  <si>
    <t>Yogeshwari Polytechnic College Ambajogai</t>
  </si>
  <si>
    <t>G H Raisoni College of Engineering and Management, Pune</t>
  </si>
  <si>
    <t>Autocad,Revit,MS Office,Word,Excel</t>
  </si>
  <si>
    <t>SJ Construction | Trainee Engineer | Pune | Dec 2023 | Jun 2024 | 26 Weeks | Campus Internship</t>
  </si>
  <si>
    <t>P26700501</t>
  </si>
  <si>
    <t>Dhanush V</t>
  </si>
  <si>
    <t>P26700501@student.nicmar.ac.in</t>
  </si>
  <si>
    <t>08-Aug-2001</t>
  </si>
  <si>
    <t xml:space="preserve">English, hindi, kannada, telugu, tamil, Urdu </t>
  </si>
  <si>
    <t>Gym, marathon</t>
  </si>
  <si>
    <t xml:space="preserve">G Venkatraj </t>
  </si>
  <si>
    <t xml:space="preserve">IT adminstration </t>
  </si>
  <si>
    <t>Rekha V</t>
  </si>
  <si>
    <t>22, sapthagiri nilaya near Muthyalamma temple H street Seppings Road cross</t>
  </si>
  <si>
    <t xml:space="preserve">St. John's high school </t>
  </si>
  <si>
    <t xml:space="preserve">Bangalore karnataka </t>
  </si>
  <si>
    <t xml:space="preserve">Shri Bhagwan Mahaveer Jain college </t>
  </si>
  <si>
    <t xml:space="preserve">New horizon college of engineering </t>
  </si>
  <si>
    <t>Certification in AutoCAD, basics of Revit 3D, 3DSMAX and staad pro</t>
  </si>
  <si>
    <t>Building Ghar  | Site Engineer  | Bangalore, karnataka  | Jul 2024 | Jan 2025 | 0 Years, 6 Months, 0 Days
Build a Home | Junior Site engineer  | Bangalore  | Jan 2025 | May 2025 | 0 Years, 3 Months, 20 Days | 3.00
Zyra traders  | Site engineer  | Bangalore  | Jun 2025 | Jun 2026 | 1 Years, 0 Months, 24 Days | 3.60</t>
  </si>
  <si>
    <t>P26700502</t>
  </si>
  <si>
    <t>dharmendra</t>
  </si>
  <si>
    <t>Bhaiya</t>
  </si>
  <si>
    <t>Tanmay Dharmendra Bhaiya</t>
  </si>
  <si>
    <t>P26700502@student.nicmar.ac.in</t>
  </si>
  <si>
    <t>02-Jan-2005</t>
  </si>
  <si>
    <t>Chess,cricket,travelling</t>
  </si>
  <si>
    <t xml:space="preserve">Dharmendra Bhaiya </t>
  </si>
  <si>
    <t>civil engineer</t>
  </si>
  <si>
    <t xml:space="preserve">Dhanshree Bhaiya </t>
  </si>
  <si>
    <t xml:space="preserve">plot no 6 nutan varsha coloney ,jalgaon </t>
  </si>
  <si>
    <t>Kashinath Palod Public School</t>
  </si>
  <si>
    <t xml:space="preserve">Central Board Of Secondary Education </t>
  </si>
  <si>
    <t>Chhatrapati Shivaji Junior College</t>
  </si>
  <si>
    <t xml:space="preserve">Maharastra State Board </t>
  </si>
  <si>
    <t xml:space="preserve">Sardar Patel College Of Engineering </t>
  </si>
  <si>
    <t>Autocad,Ms excel,Ms project ,primavera</t>
  </si>
  <si>
    <t>BLACKSTONE Engineering Contracts LPP | Intern  | Thane  | Mar 2025 | Apr 2025 | 4 Weeks | Campus Internship
Larsen and Toubro  | intern  | Navi mumbai | Jan 2026 | Apr 2026 | 13 Weeks | Campus Internship</t>
  </si>
  <si>
    <t>P26700503</t>
  </si>
  <si>
    <t>Sarvesh</t>
  </si>
  <si>
    <t xml:space="preserve">Vijaykumar </t>
  </si>
  <si>
    <t xml:space="preserve">Bhike </t>
  </si>
  <si>
    <t xml:space="preserve">Sarvesh Vijaykumar  Bhike </t>
  </si>
  <si>
    <t>P26700503@student.nicmar.ac.in</t>
  </si>
  <si>
    <t>20-Feb-2004</t>
  </si>
  <si>
    <t xml:space="preserve">Sports,Nature &amp; wildlife,Travel &amp; exploration </t>
  </si>
  <si>
    <t xml:space="preserve">Vijaykumar Bhike </t>
  </si>
  <si>
    <t xml:space="preserve">Smita Bhike </t>
  </si>
  <si>
    <t>Vismit Appartment , Near Vivekanand College ,
Tarabai Park , Kolhapur 416003</t>
  </si>
  <si>
    <t xml:space="preserve">Chhatrapati Shahu Vidyalaya Kolhapur Maharashtra </t>
  </si>
  <si>
    <t xml:space="preserve">Central Board Of Secondary Education CBSE, Kolhapur Maharashtra </t>
  </si>
  <si>
    <t xml:space="preserve">Chhatrapati Shahu Vidyalaya and Jr. College Kolhapur Maharashtra </t>
  </si>
  <si>
    <t xml:space="preserve">Secondary and Higher Secondary Education HSC, Kolhapur Maharashtra </t>
  </si>
  <si>
    <t xml:space="preserve">Shivaji University, Kolhapur  </t>
  </si>
  <si>
    <t>Kolhapur Institute Of Technology College of Engineering Kolhapur</t>
  </si>
  <si>
    <t>AutoCAD ,MS office suite,STAAD.Pro ,WaterGEMS ,SewerGEMS</t>
  </si>
  <si>
    <t>Yash Engineering Consultancy, Mumbai | Intern  | Navi Mumbai  | Jun 2024 | Jul 2024 | 4 Weeks | Campus Internship
Contractor Vijay Jadhav, Kolhapur | Trainee Engineer – Site Execution  | Kolhapur  | Jul 2025 | Sep 2025 | 10 Weeks | Campus Internship
Blackstone Engineering Contract LLP, Mumbai  | Trainee Engineer – Construction Operations  | Thane  | Jan 2026 | Apr 2026 | 13 Weeks | Campus Internship</t>
  </si>
  <si>
    <t>NPTEL Introduction to Lean Construction (Module 1- Lean Basics) 
NPTEL Introduction to Accounting and Finance for Civil Engineers 
NPTEL Principle of Construction Management 
NPTEL Urban Utilities Planning: Water Supply, Sanitation and Drainage 
Youth Leadership for Climate Action Certification 
Bentley Modeling Structural Members in STAAD.Pro 
Youth Engagement and Water Stewardship (YEWS)</t>
  </si>
  <si>
    <t>P26700504</t>
  </si>
  <si>
    <t xml:space="preserve">Sushant </t>
  </si>
  <si>
    <t>Sushant  Kumar</t>
  </si>
  <si>
    <t>P26700504@student.nicmar.ac.in</t>
  </si>
  <si>
    <t>Basketball,Cycling ,Reading Infra News</t>
  </si>
  <si>
    <t>Suraj Kumar</t>
  </si>
  <si>
    <t>X Serviceman, Working in Relience Industry</t>
  </si>
  <si>
    <t>Geeta Devi</t>
  </si>
  <si>
    <t>H.no-266/1, Aman Vihar, Lane No-12, Turner road Dehradun</t>
  </si>
  <si>
    <t>Universal Academy</t>
  </si>
  <si>
    <t>CBSE, Dehradun, Uttarakhand</t>
  </si>
  <si>
    <t>GRD Academy</t>
  </si>
  <si>
    <t>Dev Bhoomi Instiute of Technology, Dehradun, Uttarakhand</t>
  </si>
  <si>
    <t xml:space="preserve">Graphic Era University </t>
  </si>
  <si>
    <t>Graphic Era University, Dehradun, Uttarakhand</t>
  </si>
  <si>
    <t>Autocad,Revit,Navisworks,BIM 360,Bluebeam Revo,MSP,Dynomo,BIM Track,DIROOTS</t>
  </si>
  <si>
    <t>V Construction &amp; Enterprises | Jr BIM Engineer | Remote | Jul 2022 | Jun 2023 | 0 Years, 11 Months, 9 Days | 1.80
Studio Sustain  | BIM Engineer | Gurugram, India | Jun 2023 | Feb 2024 | 0 Years, 8 Months, 13 Days | 3
BL Harbert International LLC | BIM Modeler | Delhi, India | Apr 2024 | May 2026 | 2 Years, 1 Months, 21 Days | 7.24</t>
  </si>
  <si>
    <t>Technostruct Academy  | Intern | Remote | Jun 2023 | Jul 2023 | 4 Weeks</t>
  </si>
  <si>
    <t xml:space="preserve">BIM Certification- Technostruct Academy
Construction Project Management_Coursera
Construction Management Foundation
MSP Certification
P6 Primavera
Creating Concrete Buildings with Revit Structure
Excel Skills for Business- Essentials
Dynomo Certification
STAAD Pro Training </t>
  </si>
  <si>
    <t>P26700505</t>
  </si>
  <si>
    <t>Chinmay</t>
  </si>
  <si>
    <t>Chitte</t>
  </si>
  <si>
    <t>Chinmay Rajesh Chitte</t>
  </si>
  <si>
    <t>P26700505@student.nicmar.ac.in</t>
  </si>
  <si>
    <t>05-May-2001</t>
  </si>
  <si>
    <t>Trekking,Travelling</t>
  </si>
  <si>
    <t>Rajesh Chitte</t>
  </si>
  <si>
    <t>Sujata Chitte</t>
  </si>
  <si>
    <t>Shivshankar Nagar, Chikhli Road, Buldhana</t>
  </si>
  <si>
    <t>2, Sai Shree PG Balewadi gaon, Balewadi</t>
  </si>
  <si>
    <t>Sahakar Vidya Mandir</t>
  </si>
  <si>
    <t>Jankidevi Secondary &amp; Higher Secondary School</t>
  </si>
  <si>
    <t>HSC</t>
  </si>
  <si>
    <t>Savitribai Phule Pune University (SPPU), Pune</t>
  </si>
  <si>
    <t>All India Shri Shivaji Memorial Society's College of Engineering (AISSMS-COE)</t>
  </si>
  <si>
    <t>AutoCAD,MS Project,Primavera,MS Office,Edificius</t>
  </si>
  <si>
    <t>S N Joshi Consultants Pvt Ltd. | Trainee Design Engineer | Pune | Jun 2024 | Oct 2025 | 1 Years, 4 Months, 12 Days | 3.60
Millennnium Engineers &amp; Contractors Pvt. Ltd | Planning Engineer (Trainee) | Pune | Nov 2025 | Jul 2026 | 0 Years, 8 Months, 1 Days | 2.4</t>
  </si>
  <si>
    <t>P26700506</t>
  </si>
  <si>
    <t>Pradhnesh</t>
  </si>
  <si>
    <t>Arun</t>
  </si>
  <si>
    <t>Waghmare</t>
  </si>
  <si>
    <t>Pradhnesh Arun Waghmare</t>
  </si>
  <si>
    <t>P26700506@student.nicmar.ac.in</t>
  </si>
  <si>
    <t>27-Apr-2005</t>
  </si>
  <si>
    <t>Sports,Music</t>
  </si>
  <si>
    <t>Arun Manikrao Waghmare</t>
  </si>
  <si>
    <t xml:space="preserve">Medical Representative </t>
  </si>
  <si>
    <t>Sharmila Arun Waghmare</t>
  </si>
  <si>
    <t>156,N-1, KISAN SANKUL, BEHIND SUT MILL, AKKALKOT ROAD, SOLAPUR</t>
  </si>
  <si>
    <t>Siddheshwar High School, Solapur.</t>
  </si>
  <si>
    <t>Walchand College of Arts &amp; Science, Solapur.</t>
  </si>
  <si>
    <t>Orchid College of Engineering &amp; Tachnology, Solapur</t>
  </si>
  <si>
    <t>AutoCAD,Revit,Staadpro,MS Project,QGIS</t>
  </si>
  <si>
    <t>Virtual Building Studio | BIM Modeler | SOLAPUR | Feb 2026 | Jun 2026 | 16 Weeks | Campus Internship</t>
  </si>
  <si>
    <t>NPTEL IES
NPTEL PM
NPTEL MCM
NPTEL RSE
MS Project
ISRO QGIS
ISRO IIRS
MSP</t>
  </si>
  <si>
    <t>P26700507</t>
  </si>
  <si>
    <t>Swarali</t>
  </si>
  <si>
    <t>Swarali Santosh Sonawane</t>
  </si>
  <si>
    <t>P26700507@student.nicmar.ac.in</t>
  </si>
  <si>
    <t xml:space="preserve">Hindi,Marathi,English </t>
  </si>
  <si>
    <t xml:space="preserve">Cooking, Painting, Music </t>
  </si>
  <si>
    <t>Santosh Laxman Sonawane</t>
  </si>
  <si>
    <t>Army Retired</t>
  </si>
  <si>
    <t>Vanita Santosh Sonawane</t>
  </si>
  <si>
    <t xml:space="preserve"> M13, SHAH'S GARDEN RESIDENCY, VIJAY NAGAR,  DEVLALI CAMP, NASHIK</t>
  </si>
  <si>
    <t>KENDRIYA VIDYALAYA NO.1 DEVLALI</t>
  </si>
  <si>
    <t xml:space="preserve"> SAVITRIBAI PHULE PUNE UNIVERSITY, MAHARASHTRA</t>
  </si>
  <si>
    <t>K.K WAGH INSTITUTE OF ENGINEERING EDUCATION AND RESEARCH, NASHIK</t>
  </si>
  <si>
    <t>AutoCAD, MS Office, MS Project,Skecthup,Ansys</t>
  </si>
  <si>
    <t>Mihir Ceramics, Nashik | Business Development and Marketing Associate | Nashik | Jul 2025 | Jun 2026 | 0 Years, 11 Months, 29 Days | 1.80</t>
  </si>
  <si>
    <t>Shah Builders and Developers | Intern | Nashik | Dec 2023 | Jan 2024 | 4 Weeks</t>
  </si>
  <si>
    <t>SketchUp
SketchUp
SketchUp
SketchUp
AutoCAD</t>
  </si>
  <si>
    <t>P26700508</t>
  </si>
  <si>
    <t>Haripritam</t>
  </si>
  <si>
    <t>Rout</t>
  </si>
  <si>
    <t>Haripritam Rout</t>
  </si>
  <si>
    <t>P26700508@student.nicmar.ac.in</t>
  </si>
  <si>
    <t>20-Jun-2003</t>
  </si>
  <si>
    <t>Odia, HINDI,english</t>
  </si>
  <si>
    <t>website making,entertaining</t>
  </si>
  <si>
    <t>Parsuram Rout</t>
  </si>
  <si>
    <t>Cash Overseer</t>
  </si>
  <si>
    <t>Geetanjali Rout</t>
  </si>
  <si>
    <t>At/po-Tara, Ps- Ghatagaon, Pin-758027</t>
  </si>
  <si>
    <t>Kshetra Mohan Bidya Pitha</t>
  </si>
  <si>
    <t>Salapada /odisha</t>
  </si>
  <si>
    <t>Excelsior Science Residential H S School</t>
  </si>
  <si>
    <t>Jajpur</t>
  </si>
  <si>
    <t>Biju Patnaik University of Technology Rourkela Odisha</t>
  </si>
  <si>
    <t>Indira Gandhi Institute of Technology Sarang</t>
  </si>
  <si>
    <t>Ms office,Autocad,Revit,Wordpress,cost estimation</t>
  </si>
  <si>
    <t>RAJ TECHNICAL SERVICE | Contracts/Tendering Trainee | Bhubaneswar | Jun 2025 | Jul 2026 | 1 Years, 1 Months, 4 Days | 2.4</t>
  </si>
  <si>
    <t>Angul Irrigation Division | Civil Engineering Intern | Angul | May 2023 | Jun 2023 | 4 Weeks | Campus Internship</t>
  </si>
  <si>
    <t>P26700509</t>
  </si>
  <si>
    <t>Sai</t>
  </si>
  <si>
    <t>Nanda</t>
  </si>
  <si>
    <t>Om Sai Nanda</t>
  </si>
  <si>
    <t>P26700509@student.nicmar.ac.in</t>
  </si>
  <si>
    <t>05-Jan-2005</t>
  </si>
  <si>
    <t>BADMINTON, CRICKET,BOOKS</t>
  </si>
  <si>
    <t>DILIP KUMAR NANDA</t>
  </si>
  <si>
    <t>SANDHYARANI NANDA</t>
  </si>
  <si>
    <t>PLOT NO. 107, PRACHI ENCLAVE, CS PUR BHUBANESWAR</t>
  </si>
  <si>
    <t>SAI INTERNATIONAL SCHOOL</t>
  </si>
  <si>
    <t>CBSE/BHUBANESWAR</t>
  </si>
  <si>
    <t>MANIPAL INSTITUTE OF TECHNOLOGY</t>
  </si>
  <si>
    <t>MANIPAL INSTITUTE OF TECHNOLOGY/KARNATAKA</t>
  </si>
  <si>
    <t>2027-Sep</t>
  </si>
  <si>
    <t>AUTO CAD, MS PROJECT,STAAD PRO</t>
  </si>
  <si>
    <t>NAWAH CONSTRUCTION PVT LTD | SITE ENGINEER INTERN | BHUBANESWAR | Jan 2026 | Apr 2026 | 12 Weeks</t>
  </si>
  <si>
    <t>P26700510</t>
  </si>
  <si>
    <t>Aiswarya</t>
  </si>
  <si>
    <t>Ajith</t>
  </si>
  <si>
    <t>Aiswarya Ajith</t>
  </si>
  <si>
    <t>P26700510@student.nicmar.ac.in</t>
  </si>
  <si>
    <t>Malayalam,hindi,english,tamil</t>
  </si>
  <si>
    <t>Vlogging,Singing,Content Creation,Baking</t>
  </si>
  <si>
    <t>Ajith SL</t>
  </si>
  <si>
    <t>Bank Employee</t>
  </si>
  <si>
    <t>Priya K Nair</t>
  </si>
  <si>
    <t xml:space="preserve">Priyadham NRWA A6/2 , Sastha Nagar, Kunnapuzha , Opposite sreekanta Sastha Temple , Aramada PO , Thiruvananthapuram , Kerala </t>
  </si>
  <si>
    <t>Kendriya Vidyalaya Pangode</t>
  </si>
  <si>
    <t>LBS INSTITUTE OF TECHNOLOGY FOR WOMEN</t>
  </si>
  <si>
    <t>AutoCAD,ETABS,STAAD.Pro,MS Office</t>
  </si>
  <si>
    <t>Public Works Department Kerala | Site Supervision Trainee | Thiruvananthapuram | Jun 2025 | Jun 2025 | 2 Weeks | Campus Internship</t>
  </si>
  <si>
    <t>P26700511</t>
  </si>
  <si>
    <t xml:space="preserve">SHREYAS </t>
  </si>
  <si>
    <t>BV</t>
  </si>
  <si>
    <t>Shreyas  Bv</t>
  </si>
  <si>
    <t>P26700511@student.nicmar.ac.in</t>
  </si>
  <si>
    <t>27-Sep-2002</t>
  </si>
  <si>
    <t>Hindi,English,kannada,tamil,Telugu</t>
  </si>
  <si>
    <t>cricket,gymming,biking,singing</t>
  </si>
  <si>
    <t>3114 0213 6587</t>
  </si>
  <si>
    <t>Vasudeva murthy bv</t>
  </si>
  <si>
    <t>Mechanical engineer</t>
  </si>
  <si>
    <t>Savitha TR</t>
  </si>
  <si>
    <t>House maid</t>
  </si>
  <si>
    <t>Aateya, #10, 9th block, Sir M Vishweswaraiah layout, Mallathahalli, Bangalore 
560056</t>
  </si>
  <si>
    <t xml:space="preserve">INNOVARCH ARCHITECTS INDIA PRIVATE LIMITED | Junior Architect | Bangalore, Karnataka | Jul 2025 | Jun 2026 | 0 Years, 11 Months, 15 Days | 2.4 </t>
  </si>
  <si>
    <t>P26700512</t>
  </si>
  <si>
    <t>Swapnil</t>
  </si>
  <si>
    <t>Birbalsing</t>
  </si>
  <si>
    <t>Swapnil Birbalsing Rajput</t>
  </si>
  <si>
    <t>P26700512@student.nicmar.ac.in</t>
  </si>
  <si>
    <t>24-Jun-2000</t>
  </si>
  <si>
    <t>Marathi,English,hindi</t>
  </si>
  <si>
    <t>Music Listening,Reading Novels,Playing cricket,Playing Badminton</t>
  </si>
  <si>
    <t>Birbalsing Julalsing Rajput</t>
  </si>
  <si>
    <t>Ranjanabai</t>
  </si>
  <si>
    <t>Hausewife</t>
  </si>
  <si>
    <t>At. Tembhi Post. Makodi Tq. Motala Dist. Buldhana</t>
  </si>
  <si>
    <t xml:space="preserve">D. E. S Highschool Datala </t>
  </si>
  <si>
    <t>Maharashtra State Board Of secondary And Higher Secondary Education Pune</t>
  </si>
  <si>
    <t>Kavayitri Bahinabai Chaudhari North Maharashtra University Jalgaon, Maharashtra, India</t>
  </si>
  <si>
    <t>G. H. Raisoni College of Engineering And Management Jalgaon</t>
  </si>
  <si>
    <t>Auto Cad, Staad pro</t>
  </si>
  <si>
    <t>P26700513</t>
  </si>
  <si>
    <t>Atharva</t>
  </si>
  <si>
    <t>Atharva Ashish Parab</t>
  </si>
  <si>
    <t>P26700513@student.nicmar.ac.in</t>
  </si>
  <si>
    <t>09-Jun-2004</t>
  </si>
  <si>
    <t xml:space="preserve">Gaming ,Cycling </t>
  </si>
  <si>
    <t>188A,Madhaliwadi,Khotale,Malvan</t>
  </si>
  <si>
    <t>Shivaji English School, Pandur</t>
  </si>
  <si>
    <t xml:space="preserve"> Savitribai Phule Pune University</t>
  </si>
  <si>
    <t>MIT Academy of Engineering, Alandi, Pune</t>
  </si>
  <si>
    <t>AutoCAD,Revit,Etabs,VISSIM</t>
  </si>
  <si>
    <t>Vascon Engineers Limited | Trainee Engineer | Sindhudurg | Mar 2026 | Jul 2026 | 16 Weeks | Campus Internship</t>
  </si>
  <si>
    <t>PMI Project Management Ready Certificate 
Revit Global Certification</t>
  </si>
  <si>
    <t>P26700514</t>
  </si>
  <si>
    <t>Krunal</t>
  </si>
  <si>
    <t>Krushna</t>
  </si>
  <si>
    <t>Bobde</t>
  </si>
  <si>
    <t>Krunal Krushna Bobde</t>
  </si>
  <si>
    <t>P26700514@student.nicmar.ac.in</t>
  </si>
  <si>
    <t>18-May-1999</t>
  </si>
  <si>
    <t>BBS making ,Quantity surveying,Auto Level ,Cricket</t>
  </si>
  <si>
    <t>Mamta</t>
  </si>
  <si>
    <t xml:space="preserve">A-42 Uday Nagar, </t>
  </si>
  <si>
    <t>Gomukh Vidyalaya NandaGomukh</t>
  </si>
  <si>
    <t xml:space="preserve">Maharashtra State Borad of Secondary and Higher Secondary Education Pune </t>
  </si>
  <si>
    <t>Major Hemant jakate collage Nagpur</t>
  </si>
  <si>
    <t xml:space="preserve"> Rashtrasant Tukadoji Maharaj Nagpur University</t>
  </si>
  <si>
    <t>Rajiv Gandhi College of Engineering and Research Nagpur</t>
  </si>
  <si>
    <t>AutoCad, Ms excel, MsProject ,Quantity surveying ,BBs on Excel</t>
  </si>
  <si>
    <t>Post Graduation Program in Construction Project Management</t>
  </si>
  <si>
    <t>P26700515</t>
  </si>
  <si>
    <t>P26700515@student.nicmar.ac.in</t>
  </si>
  <si>
    <t>P26700516</t>
  </si>
  <si>
    <t>Samarth</t>
  </si>
  <si>
    <t xml:space="preserve">Suresh </t>
  </si>
  <si>
    <t>Gote</t>
  </si>
  <si>
    <t>Samarth Suresh  Gote</t>
  </si>
  <si>
    <t>P26700516@student.nicmar.ac.in</t>
  </si>
  <si>
    <t xml:space="preserve">Hindi , English ,Marathi ,Kanada </t>
  </si>
  <si>
    <t xml:space="preserve">Explore place </t>
  </si>
  <si>
    <t xml:space="preserve">Suresh Kashinath Gote </t>
  </si>
  <si>
    <t xml:space="preserve">Sheetal Suresh Gote </t>
  </si>
  <si>
    <t>Golden dreams society flat no 206 
Ghondhalenagar Hadapsar Pune -411028</t>
  </si>
  <si>
    <t xml:space="preserve">Cygnet public school </t>
  </si>
  <si>
    <t xml:space="preserve">Maharashtra state board of secondary and higher education , Pune </t>
  </si>
  <si>
    <t xml:space="preserve">Diploma in  Civil </t>
  </si>
  <si>
    <t xml:space="preserve">Pune / Maharashtra </t>
  </si>
  <si>
    <t xml:space="preserve">SPPU Pune / Maharashtra </t>
  </si>
  <si>
    <t>Auto CAD , MS office , MS project</t>
  </si>
  <si>
    <t>P26700517</t>
  </si>
  <si>
    <t>AROMAL</t>
  </si>
  <si>
    <t>Aromal P</t>
  </si>
  <si>
    <t>P26700517@student.nicmar.ac.in</t>
  </si>
  <si>
    <t>ENGLISH,MALAYALAM ,TAMIL</t>
  </si>
  <si>
    <t>Reading,Music,Playing Games,Cycling</t>
  </si>
  <si>
    <t>PREMAN</t>
  </si>
  <si>
    <t>DEEPA PREMAN</t>
  </si>
  <si>
    <t>NANDANAM,
LEKSHMIPURAM,
SANTHIGIRI P O, POTHENCODE,
THIRUVANANTHAPURAM</t>
  </si>
  <si>
    <t>NANDANAM,LEKSHMIPURAM,SANTHIGIRI P O, POTHENCODE,THIRUVANANTHAPURAM,KERALA</t>
  </si>
  <si>
    <t xml:space="preserve">S N PUBLIC SCHOOL CHENKOTTUKONAM </t>
  </si>
  <si>
    <t>TRIVANDRUM ,KERALA</t>
  </si>
  <si>
    <t>SARVODAYA CENTRAL VIDYALAYA NALANCHIRA</t>
  </si>
  <si>
    <t>MAR BASELIOS COLLEGE OF ENGINEERING AND TECHNOLOGY</t>
  </si>
  <si>
    <t>AutoCAD,MS Excel,MS Word,STAAD.Pro</t>
  </si>
  <si>
    <t>WOODSTONE DESIGNERS AND BUILDERS PVT.LTD | Site Engineer Trainee | THIRUVANANTHAPURAM | Jan 2025 | Nov 2025 | 43 Weeks</t>
  </si>
  <si>
    <t>P26700518</t>
  </si>
  <si>
    <t>Dhroov</t>
  </si>
  <si>
    <t>Dhroov .</t>
  </si>
  <si>
    <t>P26700518@student.nicmar.ac.in</t>
  </si>
  <si>
    <t>09-Sep-2002</t>
  </si>
  <si>
    <t>Music,Movies</t>
  </si>
  <si>
    <t>Rajnish Kumar Sharma</t>
  </si>
  <si>
    <t>Government servant</t>
  </si>
  <si>
    <t>Madhu Sharma</t>
  </si>
  <si>
    <t>B-605 MIG Flats east of loni road</t>
  </si>
  <si>
    <t>North East Delhi</t>
  </si>
  <si>
    <t>St. John's Academy</t>
  </si>
  <si>
    <t>Dr. Akhilesh Das Gupta Institute of Professional Studies, Delhi</t>
  </si>
  <si>
    <t>AutoCAD, Revit architecture,MS Excel</t>
  </si>
  <si>
    <t>Jones Lang LaSalle (JLL) | Project Engineer | Gurugram | Jan 2026 | Apr 2026 | 0 Years, 3 Months, 7 Days | 3.8
Jones Lang LaSalle (JLL) |  Apprentice | Greater Noida | Dec 2024 | Dec 2025 | 1 Years, 0 Months, 0 Days | 2.4</t>
  </si>
  <si>
    <t>LARSEN &amp; TOUBRO | Intern | Delhi Aerocity | Aug 2022 | Sep 2022 | 4 Weeks</t>
  </si>
  <si>
    <t>Revit Architecture Certification
AutoCAD Certification</t>
  </si>
  <si>
    <t>P26700519</t>
  </si>
  <si>
    <t>Mahima</t>
  </si>
  <si>
    <t>Balagopal</t>
  </si>
  <si>
    <t>Mahima Balagopal</t>
  </si>
  <si>
    <t>P26700519@student.nicmar.ac.in</t>
  </si>
  <si>
    <t>01-May-2001</t>
  </si>
  <si>
    <t>ENGLISH , MALAYALAM,HINDI,TAMIL</t>
  </si>
  <si>
    <t>MOVIES , CHESS ,BADMINTON,MUSIC,PHOTOGRAPHY</t>
  </si>
  <si>
    <t>N BALAGOPAL</t>
  </si>
  <si>
    <t>UN EMPLOYED</t>
  </si>
  <si>
    <t>VEENA M S</t>
  </si>
  <si>
    <t>LIFE INSURANCE ADVISOR</t>
  </si>
  <si>
    <t xml:space="preserve">Balu House, KP 2/64 ,SRA-119 Muttada TVM-25
</t>
  </si>
  <si>
    <t>NAVAJEEVAN BETHANY VIDYALAYA , NALANCHIRA , THIRUVANANTHAPURAM , KERALA</t>
  </si>
  <si>
    <t>St JOHNS MODEL HSS , NALANCHIRA, THIRUVANANTHAPURAM, KERALA</t>
  </si>
  <si>
    <t>HIGHER SECONDARY EDUCATION , KERALA</t>
  </si>
  <si>
    <t>LBS INSTITUTE OF TECHNICAL FOR WOMEN , POOJAPPURA, TRIVANDRUM</t>
  </si>
  <si>
    <t>AUTOCAD, SKETCHUP,REVIT,STAAD,PRIMAVERA,LUMION,D5 RENDER,NAVISWORKS.</t>
  </si>
  <si>
    <t>BRIHAD BUILDERS | CIVIL ENGINEER , OPERATING MANAGER | TRIVANDRUM | Jan 2025 | Oct 2025 | 0 Years, 9 Months, 30 Days | 1.8
STEP GLOBAL CORPORATE SOLUTIONS LLC | JUNIOR ENGINEER | KOLLAM | Apr 2024 | Dec 2024 | 0 Years, 8 Months, 17 Days | 1.44</t>
  </si>
  <si>
    <t>ARCITE BUILDERS AND INNOVATORS | SITE ENGINEER TRAINEE | KOLLAM, KERALA | Aug 2023 | Feb 2024 | 27 Weeks</t>
  </si>
  <si>
    <t>REVIT ARCHITECTURE
AUTOCAD
AUTOCAD USER CERTIFICATE
BIM 360
REVIT STRUCTURE
NAVISWORKS
REVIT FOR ARCHITECTURE
PRIMAVERA
CERTIFIED CINSTRUCTION SITE ENGINEER
DIPLOMA FOR QA/QC IN CIVIL ENGINEERING
DIPLOMA IN MEASUREMENT AND COST ESTIMATION
SKETCHUP</t>
  </si>
  <si>
    <t>P26700520</t>
  </si>
  <si>
    <t>Rajurkar</t>
  </si>
  <si>
    <t>Abhijeet Pravin Rajurkar</t>
  </si>
  <si>
    <t>abhijeetrajurkar2004@gmail.com</t>
  </si>
  <si>
    <t>P26700520@student.nicmar.ac.in</t>
  </si>
  <si>
    <t>Music , Roleplay,Acting,sports</t>
  </si>
  <si>
    <t>Pravin Mahadeo Rajurkar</t>
  </si>
  <si>
    <t>Government Employe</t>
  </si>
  <si>
    <t>Vandana Pravin Rajurkar</t>
  </si>
  <si>
    <t>Patwari Colony Near Telephone Office Beside Church Wani</t>
  </si>
  <si>
    <t>Lions English Medium School Wani</t>
  </si>
  <si>
    <t>Wani Public School</t>
  </si>
  <si>
    <t xml:space="preserve">DR Babasaheb Ambedkar Marathwada University, Chhatrapati SambhajiNagar </t>
  </si>
  <si>
    <t>Government College Of Engineering Chhatrapati SambhajiNagar</t>
  </si>
  <si>
    <t>Land Surevy ,Scheduling, MS Project,Autocad,MS Office,Excel</t>
  </si>
  <si>
    <t>P26700521</t>
  </si>
  <si>
    <t>Rao</t>
  </si>
  <si>
    <t>Bhandulkar</t>
  </si>
  <si>
    <t>Tushar Rao Bhandulkar</t>
  </si>
  <si>
    <t>P26700521@student.nicmar.ac.in</t>
  </si>
  <si>
    <t>05-May-1998</t>
  </si>
  <si>
    <t xml:space="preserve">Badminton,Running </t>
  </si>
  <si>
    <t>Ajay Bhandulkar</t>
  </si>
  <si>
    <t xml:space="preserve">Rice Industry Manager </t>
  </si>
  <si>
    <t>Namrata Bhandulkar</t>
  </si>
  <si>
    <t>Banspara ward no.25 near maratha mangal bhawan</t>
  </si>
  <si>
    <t>Dhamtari</t>
  </si>
  <si>
    <t>Kendriya Vidyalaya Dhamtari</t>
  </si>
  <si>
    <t>CBSE, Dhamtari Chhattisgarh</t>
  </si>
  <si>
    <t xml:space="preserve">Mennonite English Senior Secondary School Dhamtari </t>
  </si>
  <si>
    <t>Chhattisgarh Swami Vivekanand Technical University, Bhilai</t>
  </si>
  <si>
    <t xml:space="preserve">Rungta College of Engineering &amp; Technology, Raipur </t>
  </si>
  <si>
    <t>Autocad,Ms project,Ms excel,Ms word,Ms PowerPoint Presentation</t>
  </si>
  <si>
    <t>Roy Construction | Architectural planner, government liaison coordinator and assistant project manager on PMAY project  | Dhamtari | Jun 2020 | Feb 2026 | 5 Years, 7 Months, 30 Days | 4.2</t>
  </si>
  <si>
    <t>Public Work Department Dhamtari Division | Site Engineer  | Dhamtari | Jun 2019 | Jul 2019 | 4 Weeks
AVB Construction Company | Site Engineer  | Dhamtari | Jun 2018 | Jul 2018 | 4 Weeks</t>
  </si>
  <si>
    <t>AutoCAD / Tushar Bhandulkar</t>
  </si>
  <si>
    <t>P26700522</t>
  </si>
  <si>
    <t>IRUDAYA DIVINEY</t>
  </si>
  <si>
    <t>Irudaya Diviney M</t>
  </si>
  <si>
    <t>P26700522@student.nicmar.ac.in</t>
  </si>
  <si>
    <t>03-Jun-2005</t>
  </si>
  <si>
    <t>Physical enthusiast,Gardening,Drawing</t>
  </si>
  <si>
    <t>2876 8722 2177</t>
  </si>
  <si>
    <t xml:space="preserve">MADHURENDRAN I J </t>
  </si>
  <si>
    <t>LIC Development officer</t>
  </si>
  <si>
    <t>MARY HILDA S</t>
  </si>
  <si>
    <t>3/305B, B-Block,
Town Railway Nagar, Nagercoil,
Kanyakumari, Tamil Nadu- 629001</t>
  </si>
  <si>
    <t>Alphonsa Matriculation Higher Secondary School</t>
  </si>
  <si>
    <t>Tamil Nadu State Board</t>
  </si>
  <si>
    <t>Thiagarajar College of Engineering</t>
  </si>
  <si>
    <t>AutoCAD,3Ds MAX,MS Word,MS Excel,Primavera</t>
  </si>
  <si>
    <t>P26700523</t>
  </si>
  <si>
    <t>NEYYILA</t>
  </si>
  <si>
    <t>Harshavardhan Neyyila</t>
  </si>
  <si>
    <t>harshaneyyila5@gmail.com</t>
  </si>
  <si>
    <t>P26700523@student.nicmar.ac.in</t>
  </si>
  <si>
    <t>15-Jul-2001</t>
  </si>
  <si>
    <t>Telugu,HINDI,ENGLISH</t>
  </si>
  <si>
    <t>PLAYING BADMINTON,MUSIC,ACTING</t>
  </si>
  <si>
    <t>SURYA RAO</t>
  </si>
  <si>
    <t>PALLI STREET KAVITI VILLAGE</t>
  </si>
  <si>
    <t>06142 J NAVODAYA VIDYALAYA VENNELAVALASA SRIKAKULAM AP</t>
  </si>
  <si>
    <t>SRIKAKULAM/ANDHRAPRADESH</t>
  </si>
  <si>
    <t>JNTUK University college of engineering Vizianagaram</t>
  </si>
  <si>
    <t>Auto CAD,MSOFFICE,SAP,BEXEL,NAVIS WORKS MANAGE,REVIT,BIM,EXCEL,QGIS,CIVIL3D</t>
  </si>
  <si>
    <t>Megha engineering infrastructure limited | Engineer CE Billing | Pachpadra, Balotra,Rajasthan | Feb 2024 | Jun 2026 | 2 Years, 4 Months, 3 Days | 3.48</t>
  </si>
  <si>
    <t>SPECIAL CONSTRUCTION DIVISION SRIKAKULAM | INTERN | SRIKAKULAM | Sep 2021 | Sep 2021 | 2 Weeks</t>
  </si>
  <si>
    <t>BEXEL MANAGER TRAINING PROGRAMME
AUTO CAD 2D
PGP IN DIGITAL CONSTRUCTION: MASTERING BIM</t>
  </si>
  <si>
    <t>P26700524</t>
  </si>
  <si>
    <t>Apurva</t>
  </si>
  <si>
    <t>Deshbhratar</t>
  </si>
  <si>
    <t>Apurva Sunil Deshbhratar</t>
  </si>
  <si>
    <t>P26700524@student.nicmar.ac.in</t>
  </si>
  <si>
    <t>31-May-1999</t>
  </si>
  <si>
    <t>POETRY,MUSIC,ART,FICTIONS,CINEMA</t>
  </si>
  <si>
    <t>Sunil Deshbhratar</t>
  </si>
  <si>
    <t>..........</t>
  </si>
  <si>
    <t>Mamta Deshbhratar</t>
  </si>
  <si>
    <t>580/A/59 Waghoba nagar, Godhani Road, Zingabai Takli, Mankapur, Nagpur</t>
  </si>
  <si>
    <t>vrindavan elite pg services 2, balewadi, mahalunge, Pune-411045</t>
  </si>
  <si>
    <t>Kendriya Vidyalaya no 1 Ahmednagar</t>
  </si>
  <si>
    <t>Taywade Junior College</t>
  </si>
  <si>
    <t>STATE BOARD Maharashtra</t>
  </si>
  <si>
    <t>Priyadarshini College of Engineering nagpur, maharashtra</t>
  </si>
  <si>
    <t>AutoCAD, Primavera P6,MS Project,MS office,MS excel,ERP highrise,Revit</t>
  </si>
  <si>
    <t>Krisala Developers | Management Trainee | Tathawade, Pune | May 2025 | Aug 2025 | 0 Years, 2 Months, 17 Days | 1.80</t>
  </si>
  <si>
    <t>PGP in Construction Project Management</t>
  </si>
  <si>
    <t>P26700525</t>
  </si>
  <si>
    <t xml:space="preserve">Puneeth </t>
  </si>
  <si>
    <t>L</t>
  </si>
  <si>
    <t>Puneeth  L</t>
  </si>
  <si>
    <t>P26700525@student.nicmar.ac.in</t>
  </si>
  <si>
    <t>15-Dec-2000</t>
  </si>
  <si>
    <t>English,kannada,Hindi,Telugu</t>
  </si>
  <si>
    <t>Music,Dance,Poetry,READING NOVELS,SINGING</t>
  </si>
  <si>
    <t>LAKSHMAN</t>
  </si>
  <si>
    <t>LATE SHANTHAVVA</t>
  </si>
  <si>
    <t>NIL</t>
  </si>
  <si>
    <t xml:space="preserve">NO 37/2 BWSSB QUATRESS 1ST A MAIN 3RD D CROSS KASTURI NAGAR </t>
  </si>
  <si>
    <t>SRI KUMARANS ENGLISH HIGH SCHOOL</t>
  </si>
  <si>
    <t>Karnataka Secondary education examination board , Bengalore, karnataka</t>
  </si>
  <si>
    <t>INDIAN ACADEMY PRE UNIVERSITY COLLEGE</t>
  </si>
  <si>
    <t>DEPARTMENT OF PRE UNIVERSITY EDUCATION, BANGALORE,KARNATAKA</t>
  </si>
  <si>
    <t>VISVESWARAIAH TECHNOLOGICAL UNIVERSITY</t>
  </si>
  <si>
    <t>CMR INSTITUTE OF TECHNOLOGY , BANGALORE , KARNATAKA</t>
  </si>
  <si>
    <t>AutoCAD 2D ,autocad3d,MS Office,3DSMAX,RevitArchitecture,Qgis</t>
  </si>
  <si>
    <t>Home root constructions and interiors | Site Engineer | Bengaluru | May 2023 | Oct 2023 | 0 Years, 5 Months, 6 Days | 2.3
Good Interior Designs | Site Supervisor | Bengaluru | Dec 2023 | Jul 2024 | 0 Years, 7 Months, 30 Days | 2.4
Pioneer Constructions | Site Engineer  | Konanakunte, Bengaluru | Nov 2024 | Mar 2026 | 1 Years, 4 Months, 13 Days | 3.5</t>
  </si>
  <si>
    <t>Padma Constructions  | Site Engineer | AECS LAYOUT, BANGALORE  | Feb 2023 | Mar 2023 | 8 Weeks | Campus Internship</t>
  </si>
  <si>
    <t>Masters in Civil Cad</t>
  </si>
  <si>
    <t>P26700526</t>
  </si>
  <si>
    <t>SAMATHA</t>
  </si>
  <si>
    <t>CHADA</t>
  </si>
  <si>
    <t>Samatha Chada</t>
  </si>
  <si>
    <t>samathachada11@gmail.com</t>
  </si>
  <si>
    <t>P26700526@student.nicmar.ac.in</t>
  </si>
  <si>
    <t>11-Feb-2002</t>
  </si>
  <si>
    <t>Telugu, English</t>
  </si>
  <si>
    <t>painting, badminton, cooking,doodling</t>
  </si>
  <si>
    <t>CHADA CHOKKA REDDY</t>
  </si>
  <si>
    <t xml:space="preserve">BUSINESS </t>
  </si>
  <si>
    <t>CHADA VARA LAKSHMI</t>
  </si>
  <si>
    <t>plot no 05, jayanagar, kukatpally</t>
  </si>
  <si>
    <t>CENTRAL BOARD OF SCONDARY EDUCATION</t>
  </si>
  <si>
    <t xml:space="preserve">STATE </t>
  </si>
  <si>
    <t>Vallurupalli Nageswara Rao Vignana Jyothi Institute of Engineering &amp;Technology</t>
  </si>
  <si>
    <t>Affiliated with [Jawaharlal Nehru Technological University, Hyderabad (JNTUH)]</t>
  </si>
  <si>
    <t>Auto Cad,Excel, staadpro,BIM,MSoffice,MSproject, Autocad plant 3D, Revit</t>
  </si>
  <si>
    <t>MODEL5D | Trainee BIM modeler | hyderabad | Oct 2025 | Mar 2026 | 0 Years, 5 Months, 0 Days | 1.8 
Globallogic  | Associate analyst, content engineer  | hyderabad | Mar 2026 | May 2026 | 0 Years, 2 Months, 6 Days | 2.16</t>
  </si>
  <si>
    <t xml:space="preserve">M.E.P
AUTOCAD
AUTOCAD
AUTOCAD
3D printing </t>
  </si>
  <si>
    <t>P26700527</t>
  </si>
  <si>
    <t>Sophia</t>
  </si>
  <si>
    <t>Paul</t>
  </si>
  <si>
    <t>Sophia Paul</t>
  </si>
  <si>
    <t>P26700527@student.nicmar.ac.in</t>
  </si>
  <si>
    <t>17-Jan-2003</t>
  </si>
  <si>
    <t xml:space="preserve">English, Telugu,Hindi </t>
  </si>
  <si>
    <t xml:space="preserve">Badminton,Landscape painting and sketching </t>
  </si>
  <si>
    <t>Vijayachandra Paul</t>
  </si>
  <si>
    <t>NFCL-Electrical department</t>
  </si>
  <si>
    <t>Manjula Paul</t>
  </si>
  <si>
    <t>Government secondary grade teacher</t>
  </si>
  <si>
    <t>15-11-11/A, Satyaprasanna Nagar, Kakinada</t>
  </si>
  <si>
    <t>15-11-11/A, Satyaprasanna Nagar</t>
  </si>
  <si>
    <t>Akshara School</t>
  </si>
  <si>
    <t>Aditya junior college</t>
  </si>
  <si>
    <t>Board of intermediate</t>
  </si>
  <si>
    <t>Vishnu Institute of Technology</t>
  </si>
  <si>
    <t>AutoCAD,ArcGIS,MS Project,Revit,MS office,ETABS</t>
  </si>
  <si>
    <t>APEWIDC | Project Planning Intern | Kakinada | Jun 2023 | Jul 2023 | 4 Weeks | Campus Internship
829 civil engineering services | Civil engineering Intern | Bhimavaram | Aug 2024 | Dec 2024 | 20 Weeks
INTILT | Project Planning Intern | Hyderabad | Mar 2025 | Sep 2025 | 26 Weeks</t>
  </si>
  <si>
    <t>MS Project
AutoCAD
ETABS
Revit Architecture
Construction Planning</t>
  </si>
  <si>
    <t>P26700528</t>
  </si>
  <si>
    <t xml:space="preserve">Chinmay </t>
  </si>
  <si>
    <t xml:space="preserve">Taral </t>
  </si>
  <si>
    <t xml:space="preserve">Chinmay  Vijay  Taral </t>
  </si>
  <si>
    <t>P26700528@student.nicmar.ac.in</t>
  </si>
  <si>
    <t>17-Dec-2002</t>
  </si>
  <si>
    <t xml:space="preserve">Marathi Hindi English </t>
  </si>
  <si>
    <t xml:space="preserve">Reading Dance Drawing Sketching Painting Playing Badminton </t>
  </si>
  <si>
    <t>7339 4276 1889</t>
  </si>
  <si>
    <t xml:space="preserve">Vibhavari </t>
  </si>
  <si>
    <t>House No, 944 Ozare Khurd Tal, Sangmeshwar District, Ratnagiri</t>
  </si>
  <si>
    <t xml:space="preserve">New English School Devrukh </t>
  </si>
  <si>
    <t>Mahatma Phule Science junior college Pune</t>
  </si>
  <si>
    <t xml:space="preserve">National Institute of Technology Hamirpur, Himachal Pradesh </t>
  </si>
  <si>
    <t xml:space="preserve">Hamirpur </t>
  </si>
  <si>
    <t>AutoCAD Photoshop Sketchup Revit D5 render  MS Project ,Canva</t>
  </si>
  <si>
    <t>Landmark Design Group, Pune | Architecture Intern  | Ravet, Pimpri-Chinchwad, Pune | Dec 2024 | Apr 2025 | 19 Weeks</t>
  </si>
  <si>
    <t>GRIHA Training Program</t>
  </si>
  <si>
    <t>P26700529</t>
  </si>
  <si>
    <t>Pratiksha</t>
  </si>
  <si>
    <t>Pratiksha Mahendra Pawar</t>
  </si>
  <si>
    <t>pratikshapawar999@gmail.com</t>
  </si>
  <si>
    <t>P26700529@student.nicmar.ac.in</t>
  </si>
  <si>
    <t>Sports, Music, Reading</t>
  </si>
  <si>
    <t>Mahendra Manohar Pawar</t>
  </si>
  <si>
    <t>Private Employee</t>
  </si>
  <si>
    <t>Madhura Mahendra Pawar</t>
  </si>
  <si>
    <t>A-6, Mumbai Seema Society, Chikhaladevi Path, Near Jeevan Jyoti School, Mulund East</t>
  </si>
  <si>
    <t>Saraswati Secondary School, Thane (W.)</t>
  </si>
  <si>
    <t>Maharashtra State Board Of Secondary Education</t>
  </si>
  <si>
    <t>P.E. Society's High School &amp; Jr. College, Thane</t>
  </si>
  <si>
    <t>University Of Mumbai</t>
  </si>
  <si>
    <t>Mahatma Gandhi Mission's College Of Engineering &amp; Technology, Kamothe, Navi Mumbai</t>
  </si>
  <si>
    <t>SKAF Construction Pvt. Ltd. | Planning &amp; Billing Engineer | Mumbai, Maharashtra | Oct 2023 | Jun 2026 | 2 Years, 8 Months, 29 Days | 5.40
SKAF Construction Pvt. Ltd. | Jr. Site Engineer | Thane, Maharashtra | Feb 2022 | Nov 2022 | 0 Years, 9 Months, 1 Days | 1.80</t>
  </si>
  <si>
    <t>P26700530</t>
  </si>
  <si>
    <t>Saras</t>
  </si>
  <si>
    <t>Bhakare</t>
  </si>
  <si>
    <t>Saras Dilip Bhakare</t>
  </si>
  <si>
    <t>P26700530@student.nicmar.ac.in</t>
  </si>
  <si>
    <t>31-Jan-2002</t>
  </si>
  <si>
    <t>Swimming,Gaming ,Music</t>
  </si>
  <si>
    <t>9847 2643 4579</t>
  </si>
  <si>
    <t>Dilip Bhakare</t>
  </si>
  <si>
    <t xml:space="preserve">Retired Police Officer </t>
  </si>
  <si>
    <t>Sunita Bhakare</t>
  </si>
  <si>
    <t>Sr no 9/1, lane no 01, Samarth Colony, Yashwant nagar, Kharadi Road, Pune 14</t>
  </si>
  <si>
    <t xml:space="preserve">St. Francis de sales school </t>
  </si>
  <si>
    <t xml:space="preserve">Maharashtra State Board of Secondary Education </t>
  </si>
  <si>
    <t xml:space="preserve">Chate junior College </t>
  </si>
  <si>
    <t>Savitribai Phule Pune University  (SPPU)</t>
  </si>
  <si>
    <t xml:space="preserve">Sinagad college of Architecture, Pune, Maharashtra </t>
  </si>
  <si>
    <t>Autocad ,Sketchup,Photoshop ,Ms office,Lumion</t>
  </si>
  <si>
    <t>Craft Narrative  | Architect | Pune  | Jul 2025 | Jul 2026 | 1 Years, 0 Months, 1 Days</t>
  </si>
  <si>
    <t>Karan Darda Architects  | Trainee Architect | Pune | Jun 2024 | Oct 2024 | 17 Weeks</t>
  </si>
  <si>
    <t xml:space="preserve">NASA’s Ferro-cement Workshop 
NASA’s Tensile Structure Workshop
Council of Architecture - Certification of Licensed Architect </t>
  </si>
  <si>
    <t>P26700531</t>
  </si>
  <si>
    <t>Chinmay Devendra Pawar</t>
  </si>
  <si>
    <t>P26700531@student.nicmar.ac.in</t>
  </si>
  <si>
    <t>PLAYING CRICKET,GYM AND FITNESS, TRAVELLING, LISTENING TO MUSIC, PHOTOGRAPHY</t>
  </si>
  <si>
    <t>DEVENDRA RAJARAM PAWAR</t>
  </si>
  <si>
    <t>SMITA DEVENDRA PAWAR</t>
  </si>
  <si>
    <t>PARDESHI PURA NEAR  NAGAR PARISHAD NANDURBAR</t>
  </si>
  <si>
    <t>AR ATLAS SANTOSH NAGAR WAKAD</t>
  </si>
  <si>
    <t>SHROFF HIGHSCHOOL</t>
  </si>
  <si>
    <t>MAHARASHTRA STATE BOARD OF SECONDARY SCHOOL AND HIGHER SECONDARY EDUCATION,PUNE</t>
  </si>
  <si>
    <t>R.C PATEL COLLEGE OF ENGINEERING AND POLYTECHNIC,SHIRPUR</t>
  </si>
  <si>
    <t>VISHWAKARMA INSTITUTE OF INFORMATION TECHNOLOGY ,PUNE, MAHARASHTRA</t>
  </si>
  <si>
    <t>AUTO CAD , MS OFFICE, MS PROJECT , REVIT, STADPRO,3DS MAX</t>
  </si>
  <si>
    <t xml:space="preserve">DAMAC SHARED SERVICES INDIA LLP | JR. QUANTITY SURVEYOR | PUNE | Mar 2025 | Jun 2026 | 1 Years, 3 Months, 13 Days | 5 </t>
  </si>
  <si>
    <t>P26700532</t>
  </si>
  <si>
    <t>Chetan</t>
  </si>
  <si>
    <t>Arunji</t>
  </si>
  <si>
    <t>Nagpure</t>
  </si>
  <si>
    <t>Chetan Arunji Nagpure</t>
  </si>
  <si>
    <t>P26700532@student.nicmar.ac.in</t>
  </si>
  <si>
    <t>21-Nov-1999</t>
  </si>
  <si>
    <t xml:space="preserve"> Playing Chess,Traveling,Reading</t>
  </si>
  <si>
    <t>Arun Nagpure , At post Ambedkarward Madagi</t>
  </si>
  <si>
    <t>Abhishek Kiran Gunthewar Civil Engineers and Contractor | Assistant Engineer | Nagpur | Jun 2023 | Sep 2024 | 1 Years, 3 Months, 29 Days | 3</t>
  </si>
  <si>
    <t>Bhupendra Karemore Construction | Intern | Bhandara | Jun 2022 | Nov 2022 | 26 Weeks</t>
  </si>
  <si>
    <t>AutoCad
Microsoft Project</t>
  </si>
  <si>
    <t>P26700533</t>
  </si>
  <si>
    <t>Yuvansankar</t>
  </si>
  <si>
    <t>Yuvansankar Prakash</t>
  </si>
  <si>
    <t>P26700533@student.nicmar.ac.in</t>
  </si>
  <si>
    <t>Gym ,Football,Sports,Music,Art ,Reading</t>
  </si>
  <si>
    <t xml:space="preserve">Prakash </t>
  </si>
  <si>
    <t>Senior Structural Engineer</t>
  </si>
  <si>
    <t xml:space="preserve">Sumathi </t>
  </si>
  <si>
    <t>Executive Engineer</t>
  </si>
  <si>
    <t>C24, Hallmark Row Houses, Parsn Sesh Nestle, Nanjundapuram Road</t>
  </si>
  <si>
    <t>Gedee Public School</t>
  </si>
  <si>
    <t xml:space="preserve">Central Board of Secondary Education , Coimbatore , TamilNadu </t>
  </si>
  <si>
    <t xml:space="preserve">Vellore Institute of Technology  </t>
  </si>
  <si>
    <t xml:space="preserve">Vellore Institute of Technology , Vellore , TamilNadu </t>
  </si>
  <si>
    <t>AutoCAD ,MS Project,Primavera P6,Excel,MS Office,Plaxis 3D,STAAD Pro</t>
  </si>
  <si>
    <t>Facilities &amp; Building Solutions Pvt. Ltd. | Intern | Bengaluru , Karnataka | Jun 2025 | Jul 2025 | 4 Weeks | Campus Internship
MFAR Constructions | Intern | Bengaluru , Karnataka | Jan 2026 | May 2026 | 17 Weeks | Campus Internship</t>
  </si>
  <si>
    <t>Proficiency in AutoCAD</t>
  </si>
  <si>
    <t>P26700534</t>
  </si>
  <si>
    <t>Gantyada</t>
  </si>
  <si>
    <t>Yohitha</t>
  </si>
  <si>
    <t>Gantyada Yohitha</t>
  </si>
  <si>
    <t>P26700534@student.nicmar.ac.in</t>
  </si>
  <si>
    <t>Drawing, Reading,Playing,Music,cooking</t>
  </si>
  <si>
    <t>Gantyada Rama Krishna</t>
  </si>
  <si>
    <t>Gantyada Santhoshi</t>
  </si>
  <si>
    <t>Flat no:202, Nandan Park View, Sugar layout, SBI Colony, PM palem</t>
  </si>
  <si>
    <t>Siva Sivani School</t>
  </si>
  <si>
    <t>Board of Secondary Education</t>
  </si>
  <si>
    <t>Board of Intermediate Education</t>
  </si>
  <si>
    <t>Andhra University College of Engineering For Women</t>
  </si>
  <si>
    <t>Mechanical Engineering</t>
  </si>
  <si>
    <t>MS office,Autocad,catia,Solidworks,MS project,Abaqus,PowerBI</t>
  </si>
  <si>
    <t>Larsen and Toubro Construction | Senior Engineer | Belagavi | Oct 2022 | Nov 2024 | 2 Years, 0 Months, 30 Days | 7.3</t>
  </si>
  <si>
    <t>Galexon Engineering Industries | Design Intern | Chennai (Hybrid) | Jul 2020 | Aug 2020 | 2 Weeks</t>
  </si>
  <si>
    <t>Geospatial Inputs for Enabling Master Plan Formulation
Mechanical Components drafting by Autocad
MS office
Autodesk Fusion 360</t>
  </si>
  <si>
    <t>P26700535</t>
  </si>
  <si>
    <t>KAMESH</t>
  </si>
  <si>
    <t>KANNAN P</t>
  </si>
  <si>
    <t>Kamesh Kannan P</t>
  </si>
  <si>
    <t>P26700535@student.nicmar.ac.in</t>
  </si>
  <si>
    <t>13-Mar-2002</t>
  </si>
  <si>
    <t>Reading about Business &amp; Technology,Fitness &amp; Outdoor Activities,Travelling &amp; Exploring New Places,Learning New Skills</t>
  </si>
  <si>
    <t>PERUMAL RAJ K</t>
  </si>
  <si>
    <t xml:space="preserve">SELF EMPLOYED </t>
  </si>
  <si>
    <t>KRISHNA VENI P</t>
  </si>
  <si>
    <t>4/104 JAWAHAR STREET, E.S COMPOUND, SHENCOTTAI, TENKASI DISTRICT - 627809</t>
  </si>
  <si>
    <t>Aarvee Associates Architects Engineers &amp; Consultants Private Limited (Aarvee Associates) |  Engineer | Chennai - Tamil Nadu - India   | Jul 2024 | May 2026 | 1 Years, 10 Months, 4 Days | 3.2</t>
  </si>
  <si>
    <t>Introduction	to	LEED	v5	for	Design and	Construction
USGBC+	-	Operating	green buildings</t>
  </si>
  <si>
    <t>P26700536</t>
  </si>
  <si>
    <t>Tarannum</t>
  </si>
  <si>
    <t>Shazia</t>
  </si>
  <si>
    <t>Tarannum Shazia Shaik</t>
  </si>
  <si>
    <t>P26700536@student.nicmar.ac.in</t>
  </si>
  <si>
    <t>03-Sep-2002</t>
  </si>
  <si>
    <t>English, Hindi , urdu,Telugu,French</t>
  </si>
  <si>
    <t>Sports,Dancing,Gaming</t>
  </si>
  <si>
    <t xml:space="preserve">Shaik Mohammed Shafiullah </t>
  </si>
  <si>
    <t>Attar Fouzia Tabassum</t>
  </si>
  <si>
    <t>Flat No.201, 2nd Floor, Elprimero Apartment, Veerabhadra Nagar, Baner, 411069, Pune, Maharashtra</t>
  </si>
  <si>
    <t>Gopi Krishna International School</t>
  </si>
  <si>
    <t>Andra Pradesh</t>
  </si>
  <si>
    <t xml:space="preserve">Excellencia Junior College </t>
  </si>
  <si>
    <t xml:space="preserve">Telangana </t>
  </si>
  <si>
    <t xml:space="preserve">Gitam University </t>
  </si>
  <si>
    <t>Autocad,Photoshop,MS Office</t>
  </si>
  <si>
    <t>Sahvia Facades | Jr.Architect | Hyderabad  | Jun 2025 | May 2026 | 0 Years, 11 Months, 3 Days | 2.4</t>
  </si>
  <si>
    <t>P26700537</t>
  </si>
  <si>
    <t>Thormise</t>
  </si>
  <si>
    <t>Soham Kiran Thormise</t>
  </si>
  <si>
    <t>P26700537@student.nicmar.ac.in</t>
  </si>
  <si>
    <t>11-Mar-2004</t>
  </si>
  <si>
    <t xml:space="preserve">Learning about new things, Reading comics </t>
  </si>
  <si>
    <t>Kiran Pundlik Thormise</t>
  </si>
  <si>
    <t>Builder</t>
  </si>
  <si>
    <t>At post Vadner Bhairav Tal. Chandwad Dist. Nashik 423111</t>
  </si>
  <si>
    <t>MVP Janta Vidyalaya Vadner Bhairav</t>
  </si>
  <si>
    <t>Maharashtra State Board Of Secondary And Higher Secondary Education</t>
  </si>
  <si>
    <t>Shri Hiralal Hastimal (Jain Brothers) Polytechnic Chandwad, Nashik Maharashtra.</t>
  </si>
  <si>
    <t>Late Sau KBJ Collage Of Engineering</t>
  </si>
  <si>
    <t>AutoCAD,MS office,Etab,MS Word</t>
  </si>
  <si>
    <t>SNV Pvt.Ltd. | Civil Engineering Intern | Chandwad, Nashik | Jan 2022 | Apr 2025 | 172 Weeks</t>
  </si>
  <si>
    <t>P26700538</t>
  </si>
  <si>
    <t>Krutika</t>
  </si>
  <si>
    <t>Shedge</t>
  </si>
  <si>
    <t>Krutika Chandrashekhar Shedge</t>
  </si>
  <si>
    <t>P26700538@student.nicmar.ac.in</t>
  </si>
  <si>
    <t>English,Marathi ,Hindi</t>
  </si>
  <si>
    <t>Travelling,Playing Basketball</t>
  </si>
  <si>
    <t>Chandrashekhar Shedge</t>
  </si>
  <si>
    <t>Kavita shedge</t>
  </si>
  <si>
    <t>201/5 A GANESH NAGAR ERANDAWANE</t>
  </si>
  <si>
    <t>Dr. Kalmadi Shamrao High School</t>
  </si>
  <si>
    <t>Maharashtra State Board Of Secoundary Education Pune</t>
  </si>
  <si>
    <t>AISSMS</t>
  </si>
  <si>
    <t>REVIT,Auto cad,MS Office,3d MAX,STAAD PRO</t>
  </si>
  <si>
    <t>Godrej Properties | Sr. Civil Officer Civil | Pune | Jul 2024 | Oct 2025 | 1 Years, 2 Months, 9 Days | 2.69</t>
  </si>
  <si>
    <t>bim</t>
  </si>
  <si>
    <t>P26700539</t>
  </si>
  <si>
    <t>Vishakha</t>
  </si>
  <si>
    <t>Dattatray</t>
  </si>
  <si>
    <t>Kshirsagar</t>
  </si>
  <si>
    <t>Vishakha Dattatray Kshirsagar</t>
  </si>
  <si>
    <t>P26700539@student.nicmar.ac.in</t>
  </si>
  <si>
    <t>28-Apr-2001</t>
  </si>
  <si>
    <t>Hindi,English ,marathi</t>
  </si>
  <si>
    <t>Music,Reading</t>
  </si>
  <si>
    <t>Dattatray Kshirsagar</t>
  </si>
  <si>
    <t>Proffessor</t>
  </si>
  <si>
    <t>Geeta Kshirsagar</t>
  </si>
  <si>
    <t>Vasant 31,Vasanr Grihnirman colony,Vijaynagar east,Sangli</t>
  </si>
  <si>
    <t>Shree.Kantilal Purushottamdas Shah Prashala</t>
  </si>
  <si>
    <t>Sangli,Maharashtra</t>
  </si>
  <si>
    <t>Willingdon College</t>
  </si>
  <si>
    <t>Sangli,Mharashtra</t>
  </si>
  <si>
    <t>Sanjay Ghodawat University</t>
  </si>
  <si>
    <t>School of Architecture</t>
  </si>
  <si>
    <t>Autocad,MS PROJECT,Lumion,Enscape,Revit,MS Office</t>
  </si>
  <si>
    <t>RSP Design Consultants | Design Manager | Pune | Dec 2024 | Jun 2026 | 1 Years, 6 Months, 24 Days | 3.6</t>
  </si>
  <si>
    <t>SRK Consultants | Architect | Pune | Oct 2023 | Nov 2024 | 54 Weeks | Campus Internship
Landmarkz | Architect Intern | Pune | Jun 2022 | Nov 2022 | 24 Weeks | Campus Internship</t>
  </si>
  <si>
    <t>Autodesk Certified Professional – Revit for Architectural Design
BIM Coordination certification
IGBC Green Building certification[GRIHA and LEED]
MSP
Enscape
Lumion</t>
  </si>
  <si>
    <t>P26700540</t>
  </si>
  <si>
    <t>Agrawal</t>
  </si>
  <si>
    <t>Rohan Sudhir Agrawal</t>
  </si>
  <si>
    <t>P26700540@student.nicmar.ac.in</t>
  </si>
  <si>
    <t>03-Dec-2003</t>
  </si>
  <si>
    <t>Movies, Music</t>
  </si>
  <si>
    <t>Sudhir Agrawal</t>
  </si>
  <si>
    <t>Sangeeta Agrawal</t>
  </si>
  <si>
    <t>Flat No. 6, Vijayshree Park, Left Bhusari Colony, Paud Road, Kothrud, Pune, Maharashtra - 411038</t>
  </si>
  <si>
    <t>P26700541</t>
  </si>
  <si>
    <t xml:space="preserve">Ramanathan </t>
  </si>
  <si>
    <t xml:space="preserve">S Ramanathan </t>
  </si>
  <si>
    <t>P26700541@student.nicmar.ac.in</t>
  </si>
  <si>
    <t>English,Tamil,Kannada,Hindi</t>
  </si>
  <si>
    <t>Geopolitics &amp; Stock Marketing</t>
  </si>
  <si>
    <t>Sathappan.R.M</t>
  </si>
  <si>
    <t>Priya S</t>
  </si>
  <si>
    <t>#15\1,1 st Main Road, Near S.H.K Kalyana Mantapa, Pattegarapalaya, Bangalore-560079</t>
  </si>
  <si>
    <t>New Public English School</t>
  </si>
  <si>
    <t>K.L.E Indepent PU college</t>
  </si>
  <si>
    <t>2025-Sep</t>
  </si>
  <si>
    <t>AutoCAD,MS Office,MS Project,BIM</t>
  </si>
  <si>
    <t>Interior Design</t>
  </si>
  <si>
    <t>P26700542</t>
  </si>
  <si>
    <t xml:space="preserve">Nargiz </t>
  </si>
  <si>
    <t>Nargiz  N</t>
  </si>
  <si>
    <t>P26700542@student.nicmar.ac.in</t>
  </si>
  <si>
    <t>10-Sep-2003</t>
  </si>
  <si>
    <t>Music,Journalling</t>
  </si>
  <si>
    <t>Naushad A</t>
  </si>
  <si>
    <t>Reena Manaf Naushad</t>
  </si>
  <si>
    <t>TC 7/1521-8, "Gulzar", KRWA 63-C,Kattachal road, Vettamukku ,Thirumala PO, Trivandrum,Kerala</t>
  </si>
  <si>
    <t>Holy Angels' ISC School</t>
  </si>
  <si>
    <t>ICSE Trivandrum/Kerala</t>
  </si>
  <si>
    <t>ISC Trivandrum/Kerala</t>
  </si>
  <si>
    <t>TKM College of Engineering, Kollam/Kerala</t>
  </si>
  <si>
    <t>AutoCAD,primavera,Staadpro</t>
  </si>
  <si>
    <t>KERALA WATER AUTHORITY | Student Intern | Trivandrum,Kerala | May 2025 | May 2025 | 0 Weeks | Campus Internship
KERALA STATE HOUSING BOARD | Student Intern | Trivandrum,Kerala | Jun 2025 | Jun 2025 | 0 Weeks | Campus Internship</t>
  </si>
  <si>
    <t>NPTEL Online Certification
TATHVA NIT CALICUT
PRIMAVERA P6
ETHICAL HACKING NIT CALICUT</t>
  </si>
  <si>
    <t>P26700543</t>
  </si>
  <si>
    <t>Vaibhav Sharma</t>
  </si>
  <si>
    <t>P26700543@student.nicmar.ac.in</t>
  </si>
  <si>
    <t>Travelling,Listening music</t>
  </si>
  <si>
    <t>Sanjeev Kumar Sharma</t>
  </si>
  <si>
    <t>Vijata Sharma</t>
  </si>
  <si>
    <t>Phool Bagh Colony, meerut</t>
  </si>
  <si>
    <t xml:space="preserve">Meerut Public School </t>
  </si>
  <si>
    <t>Meerut Public School</t>
  </si>
  <si>
    <t>Meerut Institute Of Engineering And Technology, Uttar Pradesh</t>
  </si>
  <si>
    <t>AutoCAD,MS Office,MS Project,MS Excel</t>
  </si>
  <si>
    <t>EFFECT OF COAL BOTTOM ASH AS A PARTIAL REPLACEMENT OF CEMENT AND FINE AGGREGATE ON PROPERTIES OF SELF COMPACTING CONCRETE | MAJOR PROJECT:  B.TECH | MEERUT INSTITUTE OF ENGINEERING AND TECHNOLOGY, MEERUT, UP | Jan 2025 | Jun 2025 | 25 Weeks | Campus Internship</t>
  </si>
  <si>
    <t>P26700544</t>
  </si>
  <si>
    <t>Anushka Sinha</t>
  </si>
  <si>
    <t>P26700544@student.nicmar.ac.in</t>
  </si>
  <si>
    <t>20-Dec-2000</t>
  </si>
  <si>
    <t>Bengali,engligh,hindi</t>
  </si>
  <si>
    <t>Writing, Sports,Music,Reading</t>
  </si>
  <si>
    <t>Amitava Sinha</t>
  </si>
  <si>
    <t>Sarmistha Sinha</t>
  </si>
  <si>
    <t>Purbapara, South Laskarpur, Rajpur Sonarpur (M), Kolkata-700153</t>
  </si>
  <si>
    <t>25/1, N.I.A. Post Office,
Balewadi, Pune – 411 045,
Maharashtra, India</t>
  </si>
  <si>
    <t>The BSS School</t>
  </si>
  <si>
    <t>2004-Apr</t>
  </si>
  <si>
    <t>Delhi Public School, Kolkata</t>
  </si>
  <si>
    <t>Techno India University</t>
  </si>
  <si>
    <t>Autocad, Sketchup,Twinmotion,Lumion,Archicad,Photoshop,Illustrator,MS Office,MS Project, Enscape</t>
  </si>
  <si>
    <t>Living Spaces Kolkata | Junior Architect |  F-39, Ground Floor, Baishnabghata Patuli Twp, Kolkata, West Bengal 700084 | Nov 2024 | Jan 2026 | 1 Years, 2 Months, 25 Days | 2.16</t>
  </si>
  <si>
    <t>Dulal Mukherjee and Associates | Intern Architect | 601, Jodhpur Gardens, Lake Gardens, Kolkata, West Bengal 700045 | Jul 2023 | Dec 2023 | 25 Weeks | Campus Internship</t>
  </si>
  <si>
    <t>Ielts</t>
  </si>
  <si>
    <t>P26700545</t>
  </si>
  <si>
    <t>Ishika</t>
  </si>
  <si>
    <t>Hedau</t>
  </si>
  <si>
    <t>Ishika Rajesh Hedau</t>
  </si>
  <si>
    <t>P26700545@student.nicmar.ac.in</t>
  </si>
  <si>
    <t xml:space="preserve">English ,Hindi ,Marathi </t>
  </si>
  <si>
    <t>Travelling ,Badminton ,Dancing</t>
  </si>
  <si>
    <t>Rajesh Hedau</t>
  </si>
  <si>
    <t xml:space="preserve">Retired Deputy Engineer </t>
  </si>
  <si>
    <t>Ranjana Hedau</t>
  </si>
  <si>
    <t xml:space="preserve">PNB - Special Assistant </t>
  </si>
  <si>
    <t>Flat no 305, Janai Balaji Apartment, Chhatrapati nagar, Nagpur.</t>
  </si>
  <si>
    <t xml:space="preserve">Mount Carmel Girls High School </t>
  </si>
  <si>
    <t xml:space="preserve">Jupiter Science Junior College </t>
  </si>
  <si>
    <t xml:space="preserve">Rashtrasant Tukdoji Maharaj Nagpur University </t>
  </si>
  <si>
    <t>Priyadarshini Institute of Architecture and Design Studies</t>
  </si>
  <si>
    <t>Autocad,Revit,Photoshop ,Sketchup,Lumion</t>
  </si>
  <si>
    <t>Primeray Interiors | Architect  | Nagpur, MH | Jul 2025 | Jun 2026 | 0 Years, 11 Months, 13 Days | 4
Neilsoft.pvt.ltd | Junior Architect | Pune, MH | Jul 2023 | Mar 2025 | 1 Years, 8 Months, 24 Days | 3.75</t>
  </si>
  <si>
    <t>Environs Architects | Architect Intern | Pune, MH | Jun 2022 | Oct 2022 | 17 Weeks
Design Edge Architects | Architect Intern | Nagpur, MH | Feb 2022 | Jun 2022 | 17 Weeks</t>
  </si>
  <si>
    <t>Edge Certification 
Master Diploma in Architectural Design
Course on Sketchup Essential</t>
  </si>
  <si>
    <t>P26700546</t>
  </si>
  <si>
    <t>Santhra</t>
  </si>
  <si>
    <t>Kattikoloth</t>
  </si>
  <si>
    <t>Dineshkumar</t>
  </si>
  <si>
    <t>Santhra Kattikoloth Dineshkumar</t>
  </si>
  <si>
    <t>arsanthrakd@gmail.com</t>
  </si>
  <si>
    <t>P26700546@student.nicmar.ac.in</t>
  </si>
  <si>
    <t>English, Hindi,Malayalam</t>
  </si>
  <si>
    <t>Painting, Reading,Music</t>
  </si>
  <si>
    <t>Dineshkumar Kattikoloth</t>
  </si>
  <si>
    <t>Beena Dineshkumar</t>
  </si>
  <si>
    <t>Vaderi Kattikoloth House, Keezhchira Road, Chettipadi P.O, Malappuram, Kerala, India</t>
  </si>
  <si>
    <t>Vaderi, Kattikoloth House, Chettipadi P.O, Malappuram, Kerala</t>
  </si>
  <si>
    <t>Gulf Indian School</t>
  </si>
  <si>
    <t>MG University</t>
  </si>
  <si>
    <t>SCMS School of Architecture</t>
  </si>
  <si>
    <t>AutoCAD, MS Office, MS Project, Revit, QGIS,Sketchup, Photoshop,Procreate,Indesign</t>
  </si>
  <si>
    <t>Stapati  | Intern Architect | Kochi, Ernakulam, Kerala | Feb 2025 | Jul 2025 | 20 Weeks | Campus Internship</t>
  </si>
  <si>
    <t>Hands on Workshop- BIM Workshop</t>
  </si>
  <si>
    <t>P26700547</t>
  </si>
  <si>
    <t>VAIBHAVA</t>
  </si>
  <si>
    <t>DATTATRAYA</t>
  </si>
  <si>
    <t>WAGHMODE</t>
  </si>
  <si>
    <t>Vaibhava Dattatraya Waghmode</t>
  </si>
  <si>
    <t>P26700547@student.nicmar.ac.in</t>
  </si>
  <si>
    <t>16-Nov-2003</t>
  </si>
  <si>
    <t>English, Marathi ,Hindi</t>
  </si>
  <si>
    <t>Reading, Painting ,international cinema, cultural exploration,Fitness &amp; Wellness,Human Behaviour &amp; Psychology</t>
  </si>
  <si>
    <t>DATTATRAYA PANDURANG WAGHMODE</t>
  </si>
  <si>
    <t>SANJEEVANI DATTATRAYA WAGHMODE</t>
  </si>
  <si>
    <t>Government Healthcare Administrative Staff</t>
  </si>
  <si>
    <t>Flat no. 403. 'A' wing, Karan  Paradise, Sahakarnagar, Behind the Bank of Maharashtra, Pimple Gurav, Pune 411061</t>
  </si>
  <si>
    <t xml:space="preserve"> Dr Kalmadi Shamarao High School</t>
  </si>
  <si>
    <t>Board: Maharashtra State Board of Secondary and Higher Secondary Education (MSBSHSE) ,City/State: Pune, Maharashtra</t>
  </si>
  <si>
    <t>Nutan Marathi Vidyalaya ( NMV College)</t>
  </si>
  <si>
    <t>S. B. Patil College of Architecture &amp; Design, Nigdi</t>
  </si>
  <si>
    <t>AutoCAD,SketchUp,Revit,Rhino,Grasshopper,Enscape,V-Ray,Lumion,D5 Render,Adobe Photoshop,Adobe Illustrator,Adobe InDesign,Microsoft Excel</t>
  </si>
  <si>
    <t>A+G Architecture and Project Management | Junior Architect | Thane, Mumbai | Jun 2025 | Sep 2025 | 17 Weeks | Campus Internship</t>
  </si>
  <si>
    <t>P26700548</t>
  </si>
  <si>
    <t>Zaman</t>
  </si>
  <si>
    <t>Siddiqui</t>
  </si>
  <si>
    <t>Zaman Siddiqui</t>
  </si>
  <si>
    <t>P26700548@student.nicmar.ac.in</t>
  </si>
  <si>
    <t>Writing, poetries, music</t>
  </si>
  <si>
    <t>Moinur Rahman Siddiqui</t>
  </si>
  <si>
    <t xml:space="preserve">Ruhi Fatima </t>
  </si>
  <si>
    <t>B 43 GTB Nagar Kareli</t>
  </si>
  <si>
    <t>Boys High School &amp; College</t>
  </si>
  <si>
    <t>ICSE (Boys High School &amp; College Prayagraj)</t>
  </si>
  <si>
    <t>2010-Apr</t>
  </si>
  <si>
    <t>ISC (Boys High School &amp; College Prayagraj)</t>
  </si>
  <si>
    <t>Vellore Institute of Technology (Vellore, Tamil Nadu)</t>
  </si>
  <si>
    <t>AutoCAD, MS Office,MS Project,revit,staad.pro,Plaxis 3D</t>
  </si>
  <si>
    <t>Elegant Infra Developers | Site Intern | Ghaziabad | Dec 2025 | Apr 2026 | 17 Weeks</t>
  </si>
  <si>
    <t>P26700549</t>
  </si>
  <si>
    <t>Kj</t>
  </si>
  <si>
    <t>Abhinandan</t>
  </si>
  <si>
    <t>Kj Abhinandan</t>
  </si>
  <si>
    <t>kjabhinandan12@gmail.com</t>
  </si>
  <si>
    <t>P26700549@student.nicmar.ac.in</t>
  </si>
  <si>
    <t>English,Hindi,kannada</t>
  </si>
  <si>
    <t>photography,hiking,travel,film and cinema,cricket</t>
  </si>
  <si>
    <t>JAGADEESHA K.S</t>
  </si>
  <si>
    <t>RETIRED BANKER</t>
  </si>
  <si>
    <t>MANJULA JAGADEESH</t>
  </si>
  <si>
    <t>#1104,Tower-4,Sattva Misty Charm,Holiday Village Road,Thalaghattapura,Bengalore-560109</t>
  </si>
  <si>
    <t>MANDARA JNANADAYINI SCHOOL</t>
  </si>
  <si>
    <t>CBSE,SHIMOGA,KARNATAKA</t>
  </si>
  <si>
    <t>EXPERT PU COLLEGE</t>
  </si>
  <si>
    <t>Pre university education govt of karnataka,Mangalore,Karnataka</t>
  </si>
  <si>
    <t>SJB school of Architecture and planning, Bengaluru,Karnataka</t>
  </si>
  <si>
    <t>AutoCad,MS Office,sketch-up,revit,photoshop</t>
  </si>
  <si>
    <t>DESIGN INSTINCT | JUNIOR ARCHITECT | Ullal,Bengaluru | Jan 2024 | Apr 2024 | 15 Weeks | Campus Internship</t>
  </si>
  <si>
    <t>P26700550</t>
  </si>
  <si>
    <t xml:space="preserve">Rahul </t>
  </si>
  <si>
    <t>Aher</t>
  </si>
  <si>
    <t>Rohan Rahul  Aher</t>
  </si>
  <si>
    <t>P26700550@student.nicmar.ac.in</t>
  </si>
  <si>
    <t>29-Dec-2002</t>
  </si>
  <si>
    <t xml:space="preserve">Listening Music,Watching Anime ,Video Editing </t>
  </si>
  <si>
    <t>Rahul Aher</t>
  </si>
  <si>
    <t>Pooja Aher</t>
  </si>
  <si>
    <t>N-34/S1/16/2/2 Kalpatru Appartment Rane Nagar Nashik</t>
  </si>
  <si>
    <t>Adarsh Secondary English Medium School</t>
  </si>
  <si>
    <t xml:space="preserve">Nashik, Maharashtra </t>
  </si>
  <si>
    <t xml:space="preserve">HPT &amp; RYK College of Arts, Science </t>
  </si>
  <si>
    <t xml:space="preserve">Nashik, Maharshtra </t>
  </si>
  <si>
    <t xml:space="preserve">KK Wagh Institute of Engineering, Education and Research </t>
  </si>
  <si>
    <t>MS Office,AutoCAD ,Revit</t>
  </si>
  <si>
    <t>Anshita Enterprises  | Jr. Civil Engineer  | Nashik | Jun 2024 | Jun 2026 | 2 Years, 0 Months, 29 Days | 2.4</t>
  </si>
  <si>
    <t>P26700551</t>
  </si>
  <si>
    <t>PAWAN</t>
  </si>
  <si>
    <t>SEN</t>
  </si>
  <si>
    <t>Pawan Sen</t>
  </si>
  <si>
    <t>P26700551@student.nicmar.ac.in</t>
  </si>
  <si>
    <t>Hindi ,english</t>
  </si>
  <si>
    <t>Sports and athletics,travelling for cultural exploration</t>
  </si>
  <si>
    <t>Sanjay Sen</t>
  </si>
  <si>
    <t>Komal Sen</t>
  </si>
  <si>
    <t>D-145, Sabri Marg, Hanuman Nagar, Vaishali Nagar, Jaipur</t>
  </si>
  <si>
    <t xml:space="preserve">TAGORE PUBLIC SCHOOL </t>
  </si>
  <si>
    <t>CENTRAL BOARD OF SECONDARY EDUCATION JAIPUR/RAJASTHAN</t>
  </si>
  <si>
    <t>AMITY UNIVERSITY UTTAR PRADESH</t>
  </si>
  <si>
    <t>AMITY SCHOOL OF ENGINEERING AND TECHNOLOGY</t>
  </si>
  <si>
    <t>AIRPORTS AUTHORITY OF INDIA | TRAINEE ENGINEER | Airports Authority of India, Northern Regional Headquarters, New Delhi | May 2025 | Jul 2025 | 8 Weeks</t>
  </si>
  <si>
    <t>Introduction to Civil Engineering Management
Municipal Solid Waste Management</t>
  </si>
  <si>
    <t>P26700552</t>
  </si>
  <si>
    <t>Radhesham</t>
  </si>
  <si>
    <t>Rajkumar</t>
  </si>
  <si>
    <t>Ghatule</t>
  </si>
  <si>
    <t>Radhesham Rajkumar Ghatule</t>
  </si>
  <si>
    <t>P26700552@student.nicmar.ac.in</t>
  </si>
  <si>
    <t>11-Sep-1999</t>
  </si>
  <si>
    <t>Music,swimming,Playing Khokho</t>
  </si>
  <si>
    <t>Rajkumar Jagannath Ghatule</t>
  </si>
  <si>
    <t>Kartiki Rajkumar Ghatule</t>
  </si>
  <si>
    <t>At Post Angar, Tal. Mohol, Dist. Solapur,  Pin. 413214</t>
  </si>
  <si>
    <t>K S B Patil Vidyalaya Angar</t>
  </si>
  <si>
    <t>Maharashtra State Board of Secondary And Higher Secondary Education, Pune</t>
  </si>
  <si>
    <t>Walchand College of Arts and Science, Solapur</t>
  </si>
  <si>
    <t>Maharashtra State Board Of Technical Education</t>
  </si>
  <si>
    <t>Dr. Babasaheb Ambedkar Technical University Loner</t>
  </si>
  <si>
    <t>N K Orchid College, Solapur</t>
  </si>
  <si>
    <t>2012-Dec</t>
  </si>
  <si>
    <t>AutoCAD ,Revit Software,MS Office,MS Excel</t>
  </si>
  <si>
    <t>RJG Construction | Site Supervisor | Angar | Apr 2024 | Jun 2026 | 2 Years, 2 Months, 29 Days | 2</t>
  </si>
  <si>
    <t>P26700553</t>
  </si>
  <si>
    <t>Kristilina</t>
  </si>
  <si>
    <t>Dutta</t>
  </si>
  <si>
    <t>Kristilina Dutta</t>
  </si>
  <si>
    <t>P26700553@student.nicmar.ac.in</t>
  </si>
  <si>
    <t>English , Hindi, Assamese</t>
  </si>
  <si>
    <t xml:space="preserve">Painting ,Travelling ,Listening to Music, Classical Dance ,Reading Novels </t>
  </si>
  <si>
    <t>Narayan Chandra Dutta</t>
  </si>
  <si>
    <t>Retired Election Commission Dept. Employee</t>
  </si>
  <si>
    <t>Rekhamoni Dutta</t>
  </si>
  <si>
    <t xml:space="preserve">GNM Staff Nurse </t>
  </si>
  <si>
    <t>D/o Narayan Chandra Dutta, Singha Doullah Road, Near Namghar, Gayan Gaon , Ward no. - 5, Sibsagar, PO:
Sivasagar, DIST: Sibsagar,
Assam - 785640</t>
  </si>
  <si>
    <t>Sivasagar</t>
  </si>
  <si>
    <t>Kendriya Vidyalaya ONGC Sivasagar</t>
  </si>
  <si>
    <t xml:space="preserve">Central Board of Secondary Education </t>
  </si>
  <si>
    <t xml:space="preserve">Assam Science and Technology University </t>
  </si>
  <si>
    <t xml:space="preserve">Jorhat Engineering College, Jorhat , Assam </t>
  </si>
  <si>
    <t>AutoCAD, MS OFFICE  ,MS Excel , MS Project</t>
  </si>
  <si>
    <t>KEC INTERNATIONAL LTD. | ENGINEER  | Bangalore &amp; Goa | Aug 2024 | Jul 2026 | 1 Years, 10 Months, 29 Days | 4</t>
  </si>
  <si>
    <t>P.W.(B&amp;NH) Department , Jorhat - Assam  | Summer Internship Trainee | Jorhat , Assam | Jul 2023 | Jul 2023 | 4 Weeks
Assam Engineering College , Guwahati - Assam  | Academic Internship Trainee | Guwahati, Assam | Aug 2022 | Sep 2022 | 3 Weeks
Silver Lining (A Socio-Economic NGO) | Social Internship Trainee | Sibsagar, Assam | Aug 2021 | Aug 2021 | 4 Weeks</t>
  </si>
  <si>
    <t>P26700554</t>
  </si>
  <si>
    <t xml:space="preserve">Aditya </t>
  </si>
  <si>
    <t>Shettar</t>
  </si>
  <si>
    <t>Aditya  Shettar</t>
  </si>
  <si>
    <t>adityashettar21@gmail.com</t>
  </si>
  <si>
    <t>P26700554@student.nicmar.ac.in</t>
  </si>
  <si>
    <t xml:space="preserve">Hindi,english,kannada </t>
  </si>
  <si>
    <t xml:space="preserve">Reading ,Video games,Music ,volunteering,Team sports </t>
  </si>
  <si>
    <t>Prakash Shettar</t>
  </si>
  <si>
    <t>Nisha Prakash Shettar</t>
  </si>
  <si>
    <t>1/3/174/50, Ward 3, Near new anjanneya Temple, Kuvempu Badavane, Jayanagar, Gangavathi</t>
  </si>
  <si>
    <t xml:space="preserve">Sri Siddhi Vinayaka Residential School   </t>
  </si>
  <si>
    <t xml:space="preserve">Council for the Indian School Certificate Examinations, Kundapura </t>
  </si>
  <si>
    <t xml:space="preserve">MAHESH PU COLLEGE </t>
  </si>
  <si>
    <t xml:space="preserve">Karnataka Board Of The Pre-University Education </t>
  </si>
  <si>
    <t xml:space="preserve">Visveswaraiah Technological University </t>
  </si>
  <si>
    <t xml:space="preserve">R.V. College Of Engineering </t>
  </si>
  <si>
    <t>AutoCAD,Revit,Quantum Geographic Information System</t>
  </si>
  <si>
    <t>Sycone | Planning &amp; Project Controls Trainee | Bangalore  | Aug 2025 | Sep 2025 | 5 Weeks</t>
  </si>
  <si>
    <t>Sustainable Engineering Concepts and Life Cycle Analysis
Basic Fabrication and Service
lndusry based special skill lab-Building Information Modelling(BIM),Revit &amp; Masonry
Bl M and Revit
Plastic Waste Management</t>
  </si>
  <si>
    <t>P26700555</t>
  </si>
  <si>
    <t>Karnawat</t>
  </si>
  <si>
    <t>Devang Sandip Karnawat</t>
  </si>
  <si>
    <t>P26700555@student.nicmar.ac.in</t>
  </si>
  <si>
    <t>Hindi, English, Marathi, Marwadi</t>
  </si>
  <si>
    <t>Music playing sports</t>
  </si>
  <si>
    <t>Sandeep Bhojraj Karnavat</t>
  </si>
  <si>
    <t>Neena Sandeep Karnavat</t>
  </si>
  <si>
    <t xml:space="preserve">3rd floor, flat 9/10, Anand rushi appt opp jain bhavan nashik road nashik -422101 </t>
  </si>
  <si>
    <t>Youthville 2 near Amar Tech Park behind MIS school, Baner, Balewadi Pune</t>
  </si>
  <si>
    <t>Wisdom high International School</t>
  </si>
  <si>
    <t>Nashik Maharashtra</t>
  </si>
  <si>
    <t xml:space="preserve">Diploma in civil engineering </t>
  </si>
  <si>
    <t>Shri bhagubhai mafatlal Polytechnic Mumbai, Maharashtra</t>
  </si>
  <si>
    <t xml:space="preserve">SVKM NMIMS </t>
  </si>
  <si>
    <t>Mukesh Patel School of technology management and engineering, Mumbai</t>
  </si>
  <si>
    <t>AutoCAD,MS office, StaadPro,watergems,Revit</t>
  </si>
  <si>
    <t>Struct-care consultants | Intern | Mumbai | Jan 2026 | Apr 2026 | 15 Weeks
Dosti Group | Intern |  mumbai | Jul 2022 | Nov 2022 | 18 Weeks</t>
  </si>
  <si>
    <t>P26700556</t>
  </si>
  <si>
    <t>Anup</t>
  </si>
  <si>
    <t xml:space="preserve">Ajay </t>
  </si>
  <si>
    <t>Bhaik</t>
  </si>
  <si>
    <t>Anup Ajay  Bhaik</t>
  </si>
  <si>
    <t>P26700556@student.nicmar.ac.in</t>
  </si>
  <si>
    <t>07-Sep-2004</t>
  </si>
  <si>
    <t xml:space="preserve">Hindi,English , marathi </t>
  </si>
  <si>
    <t xml:space="preserve">Writing poetry , singing , travelling ,adventure activities </t>
  </si>
  <si>
    <t xml:space="preserve">Ajay Bhaik </t>
  </si>
  <si>
    <t xml:space="preserve">Nutan Bhaik </t>
  </si>
  <si>
    <t xml:space="preserve">Job at MEDA </t>
  </si>
  <si>
    <t xml:space="preserve">Plot no.46 Mahavishnu nagar narsala , Nagpur </t>
  </si>
  <si>
    <t xml:space="preserve">Shivgouri high school </t>
  </si>
  <si>
    <t xml:space="preserve">Maharashtra state board secondary and higher secondary education </t>
  </si>
  <si>
    <t>Suryodaya College of Engineering and Technology , nagpur</t>
  </si>
  <si>
    <t xml:space="preserve">G.H Raisoni College of engineering, Nagpur </t>
  </si>
  <si>
    <t>Autocad , Revit</t>
  </si>
  <si>
    <t>Om Shivam buildcon pvt Ltd | Intern civil engineer  | Nagpur  | Dec 2025 | May 2026 | 22 Weeks | Campus Internship</t>
  </si>
  <si>
    <t>REVIT ARCHITECTURE 
AUTOCAD CIVIL</t>
  </si>
  <si>
    <t>P26700557</t>
  </si>
  <si>
    <t>Nirdesh</t>
  </si>
  <si>
    <t xml:space="preserve">Rajubhai </t>
  </si>
  <si>
    <t>Rathod</t>
  </si>
  <si>
    <t>Nirdesh Rajubhai  Rathod</t>
  </si>
  <si>
    <t>P26700557@student.nicmar.ac.in</t>
  </si>
  <si>
    <t>ENGLISH,GUJARATI, HINDI</t>
  </si>
  <si>
    <t xml:space="preserve">READING , MUSIC,PLAYING SPORTS,watching anime </t>
  </si>
  <si>
    <t>Rajubhai Rathod</t>
  </si>
  <si>
    <t xml:space="preserve">BUSINESSMAN </t>
  </si>
  <si>
    <t>Dayaben Rathod</t>
  </si>
  <si>
    <t>1709 rehab building no 4 opp laxmi narayan temple malad east
R .s marg malad east mumbai 400097</t>
  </si>
  <si>
    <t xml:space="preserve">NAVJIVAN VIDHYALAYA HIGH SCHOOL </t>
  </si>
  <si>
    <t xml:space="preserve"> MUMBAI ,MAHARASHTA </t>
  </si>
  <si>
    <t xml:space="preserve">The Bombay surburban grain dealer's junior college of commerce &amp; arts &amp; science </t>
  </si>
  <si>
    <t xml:space="preserve">MUMBAI, MAHARASHTA </t>
  </si>
  <si>
    <t xml:space="preserve">UNIVERSITY OF MUMBAI </t>
  </si>
  <si>
    <t xml:space="preserve">MUMBAI ,MAHARASHTA </t>
  </si>
  <si>
    <t>AUTO CAD, PRIMAVERA,MS OFFICE ,MS PROJECT</t>
  </si>
  <si>
    <t>RUSHI REALTY PVT LTD | JUNIOR ENGINEER  | BORIVALI MUMBAI | Jan 2023 | Aug 2024 | 1 Years, 7 Months, 20 Days | 1.2</t>
  </si>
  <si>
    <t>P26700558</t>
  </si>
  <si>
    <t>Jogi</t>
  </si>
  <si>
    <t>Atharva Arun Jogi</t>
  </si>
  <si>
    <t>atharvajogi06@gmail.com</t>
  </si>
  <si>
    <t>P26700558@student.nicmar.ac.in</t>
  </si>
  <si>
    <t>English,Marathi,HIndi</t>
  </si>
  <si>
    <t>Workout,Run</t>
  </si>
  <si>
    <t>Arun Jogi</t>
  </si>
  <si>
    <t>Engg. Drawing &amp; Maths Instructor</t>
  </si>
  <si>
    <t>Kalpana Jogi</t>
  </si>
  <si>
    <t>Maruti Rachana CHS C-210 ,Sector-7, Plot No. C/7, New Panvel East 410206</t>
  </si>
  <si>
    <t>St Josephs High School</t>
  </si>
  <si>
    <t xml:space="preserve">Bharti Vidyapeeth Institute of Technology </t>
  </si>
  <si>
    <t xml:space="preserve">Datta Meghe of Engineering, Navi Mumbai </t>
  </si>
  <si>
    <t>AutoCAD,MS project,MS word,MS Excel,MS Powerpoint</t>
  </si>
  <si>
    <t>CIDCO | Intern | Navi Mumbai  | Dec 2023 | Jan 2024 | 4 Weeks | Campus Internship</t>
  </si>
  <si>
    <t>AutoCAD
MSCIT</t>
  </si>
  <si>
    <t>P26700559</t>
  </si>
  <si>
    <t>Rohit Kumar</t>
  </si>
  <si>
    <t>P26700559@student.nicmar.ac.in</t>
  </si>
  <si>
    <t>21-Dec-2002</t>
  </si>
  <si>
    <t xml:space="preserve">MUSICS,TRAVELING,PLAYING CRICKET </t>
  </si>
  <si>
    <t>SURESH KUMAR</t>
  </si>
  <si>
    <t>RENUKA SINHA</t>
  </si>
  <si>
    <t>KATHAL TOLA, SOHSARAI, NALANDA, BIHAR</t>
  </si>
  <si>
    <t>Nalanda</t>
  </si>
  <si>
    <t>SR ENCLAVE , BADA GHAGRA, RANCHI, JHARKHAND</t>
  </si>
  <si>
    <t xml:space="preserve">Manan vidya </t>
  </si>
  <si>
    <t>CBSE , RANCHI (JHARKHAND)</t>
  </si>
  <si>
    <t>MANAN VIDYA</t>
  </si>
  <si>
    <t>CBSE, RANCHI (JHARKHAND)</t>
  </si>
  <si>
    <t>KIIT , BHUBANESWAR (ODISHA)</t>
  </si>
  <si>
    <t>AUTOCAD,REVIT,BIM,SCAN TO BIM ,AUTODESK RECAP PRO,NAVISWORK,MS EXCEL,MS PROJECT,ESTIMATION AND COSTING,PRIMEVERA</t>
  </si>
  <si>
    <t>NBCC | CIVIL ENGINEER APPRENTICE | BHUBANESWAR, ODISHA | Mar 2025 | Mar 2026 | 0 Years, 11 Months, 27 Days | 2.16</t>
  </si>
  <si>
    <t>ENGINEERING PROJECT (INDIA) LIMITED | INTERN | ODISHA | Jun 2022 | Jul 2022 | 4 Weeks | Campus Internship
NATIONAL HIGHWAYS AUTHORITY OF INDIA | INTERN | Ranchi, Jharkhand | Oct 2023 | Nov 2023 | 4 Weeks | Campus Internship</t>
  </si>
  <si>
    <t>P26700560</t>
  </si>
  <si>
    <t>Kashyap</t>
  </si>
  <si>
    <t>Jay Jay Kashyap</t>
  </si>
  <si>
    <t>P26700560@student.nicmar.ac.in</t>
  </si>
  <si>
    <t>Swimming,Reading,Cycling,Photography,Gamming</t>
  </si>
  <si>
    <t>Jay Chandramohan Kashyap</t>
  </si>
  <si>
    <t>Pooja Jay Kashyap</t>
  </si>
  <si>
    <t>Plot No.58,59,  Geeta Nagar, Behind Arya Medical, Zingabai Takli Road, Nagpur</t>
  </si>
  <si>
    <t>Sunrise Convent</t>
  </si>
  <si>
    <t>State Board with Nagpur/Maharashtra</t>
  </si>
  <si>
    <t>Shri Ramdeobaba College of Engineering and Management</t>
  </si>
  <si>
    <t>AutoCAD,Revit,MS Office,Canva</t>
  </si>
  <si>
    <t>Parmanand &amp; Sons | Accounts &amp; Admin Executive | Nagpur | Jun 2025 | Jun 2026 | 1 Years, 0 Months, 3 Days | 3</t>
  </si>
  <si>
    <t>P26700561</t>
  </si>
  <si>
    <t>Ketan</t>
  </si>
  <si>
    <t>Borse</t>
  </si>
  <si>
    <t>Ketan Rajendra Borse</t>
  </si>
  <si>
    <t>P26700561@student.nicmar.ac.in</t>
  </si>
  <si>
    <t>Badminton,Chess,Trading,Investing,Travelling</t>
  </si>
  <si>
    <t>Rajendra Ramkrishna Borse</t>
  </si>
  <si>
    <t>Leena Rajendra Borse</t>
  </si>
  <si>
    <t>B2-203,Sukruti Pinnacle,Nivrutti Nagar,Jalgaon</t>
  </si>
  <si>
    <t>United English School, Chiplun.</t>
  </si>
  <si>
    <t>S.P. College, Pune</t>
  </si>
  <si>
    <t>Diploma in Civil Engineering.</t>
  </si>
  <si>
    <t>G.H.R.I.E.M. 2nd shift Polytechnic, Jalgaon</t>
  </si>
  <si>
    <t>K.B.C. North Maharashtra University, Jalgaon.</t>
  </si>
  <si>
    <t>G.H.Raisoni Institute of Engineering &amp; Management, Jalgaon</t>
  </si>
  <si>
    <t xml:space="preserve">G.H.Raisoni College of Engineering &amp; Management, Jalgaon </t>
  </si>
  <si>
    <t>Master of Business Administration (MBA)</t>
  </si>
  <si>
    <t>Business Analytics</t>
  </si>
  <si>
    <t>MS Project,MS Office,Autocad</t>
  </si>
  <si>
    <t>Simplesphere Technologies | Business Analytics Intern | Online Mode | Feb 2025 | Mar 2025 | 8 Weeks</t>
  </si>
  <si>
    <t>PG Diploma in Advanced Computing [CDAC]</t>
  </si>
  <si>
    <t>P26700562</t>
  </si>
  <si>
    <t>Nakul</t>
  </si>
  <si>
    <t>Nakul Kishor Wanjari</t>
  </si>
  <si>
    <t>nakulwanjari@gmail.com</t>
  </si>
  <si>
    <t>P26700562@student.nicmar.ac.in</t>
  </si>
  <si>
    <t>English,Hindi ,Marathi</t>
  </si>
  <si>
    <t>Music,Cooking,Travelling</t>
  </si>
  <si>
    <t>Kishor Wanjari</t>
  </si>
  <si>
    <t>Retired Government Servent</t>
  </si>
  <si>
    <t>Anita Wanjari</t>
  </si>
  <si>
    <t xml:space="preserve">Plot No. 34, Dhawad Layout, IUDP Road, Katol </t>
  </si>
  <si>
    <t>Mount Carmel Convent School, Katol</t>
  </si>
  <si>
    <t>G H Raisoni College of Engineering and Management, Nagpur</t>
  </si>
  <si>
    <t>AutoCAD,MS Office,MS Project,Excel</t>
  </si>
  <si>
    <t>PWD Sub-division Saoner, Nagpur | Civil Engineering Intern | Saoner, Nagpur | Jun 2025 | Jul 2025 | 4 Weeks
Samadhan Homes Buildcon Pvt.Ltd. | Site Supervisor | Nagpur | Jul 2022 | Aug 2022 | 4 Weeks
Deepshika Consulting Engineers | PMC Intern | Nagpur | Dec 2025 | May 2026 | 21 Weeks</t>
  </si>
  <si>
    <t>P26700564</t>
  </si>
  <si>
    <t>Shayaan</t>
  </si>
  <si>
    <t>Najmuddin</t>
  </si>
  <si>
    <t>Kazi</t>
  </si>
  <si>
    <t>Shayaan Najmuddin Kazi</t>
  </si>
  <si>
    <t>kazishayaan99@gmail.com</t>
  </si>
  <si>
    <t>P26700564@student.nicmar.ac.in</t>
  </si>
  <si>
    <t xml:space="preserve">English,Hindi, Marathi </t>
  </si>
  <si>
    <t>6979 6575 4677</t>
  </si>
  <si>
    <t>Najmuddin Bashiruddin Kazi</t>
  </si>
  <si>
    <t>Government employee</t>
  </si>
  <si>
    <t>Mehjabeen Najmuddin Kazi</t>
  </si>
  <si>
    <t>BIT block No4, room No 1, Ground floor, Sydhnam compound, ER road</t>
  </si>
  <si>
    <t>Maharashtra State Board of Secondary and Higher Secondary Education, Mumbai, Maharashtra</t>
  </si>
  <si>
    <t xml:space="preserve"> University of Mumbai</t>
  </si>
  <si>
    <t>AutoCAD,MS Office, MS Project, Staad Pro, Sketchup</t>
  </si>
  <si>
    <t>Larsen &amp; Toubro | Intern |  Girgaon Chowpatty, Mumbai  | Jun 2023 | Jun 2023 | 4 Weeks
Saifee Burhani Upliftment Trust(SBUT) | Intern | Bhendi Bazaar, Mumbai, Maharashtra 400003. | Jun 2024 | Jul 2024 | 4 Weeks
shapoorji pallonji engineering &amp; construction | Graduate engineer trainee | Lower Parel, Mumbai Mharsashtra | Jul 2025 | Dec 2025 | 24 Weeks</t>
  </si>
  <si>
    <t>P26700565</t>
  </si>
  <si>
    <t>Swapnil Kumar Singh</t>
  </si>
  <si>
    <t>SWAPNILWORK2000@GMAIL.COM</t>
  </si>
  <si>
    <t>P26700565@student.nicmar.ac.in</t>
  </si>
  <si>
    <t>29-Dec-2000</t>
  </si>
  <si>
    <t>FOOTBALL, BOXING, SKETCHING</t>
  </si>
  <si>
    <t>SANJEEV KUMAR SINGH</t>
  </si>
  <si>
    <t>NANDITA SINGH</t>
  </si>
  <si>
    <t>B-12 ABHILASHA COLONY, PWD,NADESAR, VARANASI,221002</t>
  </si>
  <si>
    <t>Delhi Public School Varanasi</t>
  </si>
  <si>
    <t>CBSE Board, VARANASI</t>
  </si>
  <si>
    <t>Manipal Institute of Technology, Manipal</t>
  </si>
  <si>
    <t>BHANZU | BDA | Bangalore | Aug 2023 | Dec 2023 | 0 Years, 4 Months, 25 Days | 3.6
Tech Mahindra | Technical associate | NOIDA | Aug 2024 | Oct 2025 | 1 Years, 2 Months, 11 Days | 3.9</t>
  </si>
  <si>
    <t>P26700566</t>
  </si>
  <si>
    <t>Abruk</t>
  </si>
  <si>
    <t>Gauri Rajesh Abruk</t>
  </si>
  <si>
    <t>P26700566@student.nicmar.ac.in</t>
  </si>
  <si>
    <t>Hindi,English, marathi</t>
  </si>
  <si>
    <t>painting, sketching,Travelling</t>
  </si>
  <si>
    <t>bussinessman</t>
  </si>
  <si>
    <t>Telecom colony, Akoli road, Amravati</t>
  </si>
  <si>
    <t>Ranpise apartment, mahalunge</t>
  </si>
  <si>
    <t>School of Scholars, Amravati</t>
  </si>
  <si>
    <t>central board of secondary education, Maharashtra</t>
  </si>
  <si>
    <t>Vinayak Vidyamandir, Amravati</t>
  </si>
  <si>
    <t>Smt. Manoramabai Mundle College Of Architecture, Nagpur, Maharashtra</t>
  </si>
  <si>
    <t>Autocad,sketchup,MS project,revit,excel</t>
  </si>
  <si>
    <t>Environs Architects,Pune | Architectural Intern | Pune | Jan 2025 | Apr 2025 | 16 Weeks | Campus Internship</t>
  </si>
  <si>
    <t>P26700567</t>
  </si>
  <si>
    <t>Ansuman</t>
  </si>
  <si>
    <t>Behera</t>
  </si>
  <si>
    <t>Ansuman Behera</t>
  </si>
  <si>
    <t>P26700567@student.nicmar.ac.in</t>
  </si>
  <si>
    <t>28-Nov-2004</t>
  </si>
  <si>
    <t>Playing team sports like football or cricket,Volunteering or community service,Playing chess or strategic board games,Student Politics</t>
  </si>
  <si>
    <t>Nirakar Behera</t>
  </si>
  <si>
    <t>Anima Behera</t>
  </si>
  <si>
    <t>QTR N0-E-8, WBP COLONY,PLOT NO-184 BARAMUNDA
Baramunda</t>
  </si>
  <si>
    <t>D.A.V Public School CSPUR</t>
  </si>
  <si>
    <t>CBSE, BHUBANESWAR</t>
  </si>
  <si>
    <t>D.A.V PUBLIC SCHOOL CSSPUR</t>
  </si>
  <si>
    <t>Kalinga Institute of Industrial Technology BHUBANESWAR</t>
  </si>
  <si>
    <t>AutoCAD, MS OFFICE, MS PROJECT,MS EXCEL,BIM</t>
  </si>
  <si>
    <t>M S Infraengineers Private Limited | Vocational Intern | Khordha | May 2024 | Jun 2024 | 4 Weeks
NATIONAL HIGHWAY DIVISION , BHUBANESWAR | Practical Trainee | Bhubaneswar | May 2025 | Jun 2025 | 4 Weeks</t>
  </si>
  <si>
    <t>Deep Excavations, Foundations and Tunnels
Construction Equipment And Techniques
Building Infromation Modeling</t>
  </si>
  <si>
    <t>P26700568</t>
  </si>
  <si>
    <t>AYAN</t>
  </si>
  <si>
    <t>RANASINGHA</t>
  </si>
  <si>
    <t>Ayan Ranasingha</t>
  </si>
  <si>
    <t>P26700568@student.nicmar.ac.in</t>
  </si>
  <si>
    <t>Reading, Music,Travelling,Fitness</t>
  </si>
  <si>
    <t>BASUDEB RANASINGHA</t>
  </si>
  <si>
    <t>MATHEMATICS HOME TUTOR</t>
  </si>
  <si>
    <t>SMRITIKANA RANASINGHA</t>
  </si>
  <si>
    <t xml:space="preserve">HOMEMAKER </t>
  </si>
  <si>
    <t>BARISHAL KOLONY PRIMARY SCHOOOL, PASCHIM MIDNAPORE</t>
  </si>
  <si>
    <t xml:space="preserve">MIDNAPORE COLLEGIATE SCHOOL </t>
  </si>
  <si>
    <t>WEST BENGAL  BOARD OF SECONDARY EDUCATION</t>
  </si>
  <si>
    <t xml:space="preserve">MAULANA ABUL KALAM AZAD UNIVERSITY OF TECHNOLOGY </t>
  </si>
  <si>
    <t xml:space="preserve">MEGHNAD SAHA INSTITUTE OF TECHNOLOGY , KOLKATA , WEST BENGAL </t>
  </si>
  <si>
    <t>AUTOCAD, MS EXCEL, MS PROJECT , PRIMAVERA P6 , BIM ,QUANTITY SURVEYING, ESTIMATION &amp; COST CONTROL, PROJECT PLANNING AND SCHEDULING,QUALITY CONTROL,TENDERING &amp; CONTRACTS ,SITE ADMINISTRATION</t>
  </si>
  <si>
    <t>NCC LTD | GRADUATE ENGINEER TRAINEE ( WATER AND ENVIRONMENT DIVISION) | BHUBENESWAR, ODISHA  | Nov 2024 | Jan 2026 | 1 Years, 1 Months, 9 Days | 2.76
AQUA ENGINEERING SERVICES  | SITE ENGINEER  | RTPS  DVC RAGHUNATHPUR, WEST BENGAL | Jan 2026 | Mar 2026 | 0 Years, 2 Months, 22 Days | 3.4</t>
  </si>
  <si>
    <t>PUBLIC WORKS DEPARTMENT ( P.W ROADS) | TRAINEE ENGINEER  | WEST BENGAL | Jul 2022 | Aug 2022 | 4 Weeks | Campus Internship</t>
  </si>
  <si>
    <t>AUTOCAD
GIS AND REMOTE SENSING 
ENGINEERING WORKSHOP
ROAD SAFETY AWARENESS</t>
  </si>
  <si>
    <t>P26700569</t>
  </si>
  <si>
    <t>Harshada Nandkishor Patil</t>
  </si>
  <si>
    <t>P26700569@student.nicmar.ac.in</t>
  </si>
  <si>
    <t xml:space="preserve">Art , Craft ,Travelling,Dancing,Designing ,Cooking  </t>
  </si>
  <si>
    <t>Nandkishor Patil</t>
  </si>
  <si>
    <t>Kalyani Patil</t>
  </si>
  <si>
    <t>Shri Govind Sahanivas , Prasad Colony , Jatharpeth , Akola</t>
  </si>
  <si>
    <t>Bal Shivaji High School</t>
  </si>
  <si>
    <t>Akola, Maharashtra</t>
  </si>
  <si>
    <t xml:space="preserve">Agarkar Junior College </t>
  </si>
  <si>
    <t>Akola , Maharashtra</t>
  </si>
  <si>
    <t>Dr, Baliram Hiray College Of Architecture , Mumbai</t>
  </si>
  <si>
    <t>Autocad, sketchup,photoshop,lumion,enscape,ms project</t>
  </si>
  <si>
    <t>AVVO Architects | Junior Architect | Andheri West , Mumbai | Apr 2025 | Oct 2025 | 0 Years, 6 Months, 21 Days</t>
  </si>
  <si>
    <t>AVVO Architects | Intern  | Andheri West , Mumbai | Nov 2024 | Apr 2025 | 22 Weeks | Campus Internship</t>
  </si>
  <si>
    <t>P26700570</t>
  </si>
  <si>
    <t xml:space="preserve">Vishnu </t>
  </si>
  <si>
    <t>Tonde</t>
  </si>
  <si>
    <t>Vishal Vishnu  Tonde</t>
  </si>
  <si>
    <t>tondevishal9@gmail.com</t>
  </si>
  <si>
    <t>P26700570@student.nicmar.ac.in</t>
  </si>
  <si>
    <t>11-Oct-2003</t>
  </si>
  <si>
    <t xml:space="preserve">trekking,athlete, reading, music </t>
  </si>
  <si>
    <t>Vishnu B. Tonde</t>
  </si>
  <si>
    <t>Ratnamala V. Tonde</t>
  </si>
  <si>
    <t>Sonimaha, Chondi Dharur , Beed, Maharashtra 431124</t>
  </si>
  <si>
    <t>Amit Construction | site engineer | Ambajogai | Aug 2025 | Feb 2026 | 0 Years, 5 Months, 21 Days | 1.8</t>
  </si>
  <si>
    <t>NCC &amp; JETPL Joint ventures | Intern - Civil | Bajaj Nagar, Chhatrapati sambhaji nagar | Jun 2024 | Jul 2024 | 4 Weeks | Campus Internship</t>
  </si>
  <si>
    <t>Udemy- civil course</t>
  </si>
  <si>
    <t>P26700571</t>
  </si>
  <si>
    <t>yadlapalli</t>
  </si>
  <si>
    <t>varshitha</t>
  </si>
  <si>
    <t>Yadlapalli Varshitha</t>
  </si>
  <si>
    <t>P26700571@student.nicmar.ac.in</t>
  </si>
  <si>
    <t>english,telugu,tamil,malayalam,hindi</t>
  </si>
  <si>
    <t xml:space="preserve">watching movies, reading </t>
  </si>
  <si>
    <t>yadlapalli nageswara rao</t>
  </si>
  <si>
    <t>yadlapalli madhuri devi</t>
  </si>
  <si>
    <t>2-189-1
main bazar dronadula</t>
  </si>
  <si>
    <t>2d-1-16 , gowthami nagar 1st lane , koretipadu</t>
  </si>
  <si>
    <t>bhashyam high school</t>
  </si>
  <si>
    <t>board of secondary education,andhra pradesh</t>
  </si>
  <si>
    <t>bhashyam junior college</t>
  </si>
  <si>
    <t>board of intermediate education, andhra pradesh</t>
  </si>
  <si>
    <t xml:space="preserve">amrita vishwa vidyapeetham </t>
  </si>
  <si>
    <t>amrita school of engineering, coimbatore</t>
  </si>
  <si>
    <t>ms project, ms office ,autocad,bim,staad pro</t>
  </si>
  <si>
    <t>P26700572</t>
  </si>
  <si>
    <t>Anand</t>
  </si>
  <si>
    <t>Akshata Anand Kulkarni</t>
  </si>
  <si>
    <t>P26700572@student.nicmar.ac.in</t>
  </si>
  <si>
    <t>24-Oct-2003</t>
  </si>
  <si>
    <t>dancing, travelling, Sports ,Music</t>
  </si>
  <si>
    <t>Anand Rajakant Kulkarni</t>
  </si>
  <si>
    <t>Anagha Anand Kulkarni</t>
  </si>
  <si>
    <t>School teacher</t>
  </si>
  <si>
    <t>Sawali, plot no 20 A, gut no 144, beed bypass road, Chhtrapati sambhajinagar
Sawali, plot no 20 A, gut no 144, beed bypass road, Chhtrapati sambhajinagar</t>
  </si>
  <si>
    <t>Millenium Girls hostel, NICMAR University, Balewadi, Pune</t>
  </si>
  <si>
    <t>Public Works Bridge Design Division, Chhatrapati Sambhajinagar | Intern | Chhatrapati Sambhajinagar (Aurangabad) | Feb 2026 | May 2026 | 14 Weeks | Campus Internship
The Swan PMS Engineers | Intern | Chhatrapati Sambhajinagar (Aurangabad) | Jul 2025 | Aug 2025 | 5 Weeks</t>
  </si>
  <si>
    <t>Introduction to Civil Engineering Profession(NPTEl)
Expansive Soil (NPTEL)</t>
  </si>
  <si>
    <t>P26700573</t>
  </si>
  <si>
    <t>Duggisetty Gowtham Anil</t>
  </si>
  <si>
    <t>Duggisetty Gowtham Anil Kumar</t>
  </si>
  <si>
    <t>P26700573@student.nicmar.ac.in</t>
  </si>
  <si>
    <t>08-Oct-2000</t>
  </si>
  <si>
    <t>Reading,Music,Movies</t>
  </si>
  <si>
    <t>Duggisetty Ramesh Babu</t>
  </si>
  <si>
    <t>Duggisetty Lakshmi</t>
  </si>
  <si>
    <t>4-2-101, usmanshaheb pet</t>
  </si>
  <si>
    <t>MODERN ENG MEDIUM H S NELLORE</t>
  </si>
  <si>
    <t>Board of Secondary Education Andhra Pradesh</t>
  </si>
  <si>
    <t>Board of Intermediate Eductaion Andhra Pradesh</t>
  </si>
  <si>
    <t>Jawaharlal Nehru Technological University Anantapur</t>
  </si>
  <si>
    <t>Narayana Engineering College, Nellore</t>
  </si>
  <si>
    <t>Ms Office,Autocad,Revit,Sketchup,Python</t>
  </si>
  <si>
    <t>P26700574</t>
  </si>
  <si>
    <t xml:space="preserve">Anushka </t>
  </si>
  <si>
    <t xml:space="preserve">Rajendra </t>
  </si>
  <si>
    <t xml:space="preserve">Pelagade </t>
  </si>
  <si>
    <t xml:space="preserve">Anushka  Rajendra  Pelagade </t>
  </si>
  <si>
    <t>P26700574@student.nicmar.ac.in</t>
  </si>
  <si>
    <t xml:space="preserve">Dancing ,Travelling ,Listening to Music </t>
  </si>
  <si>
    <t xml:space="preserve">Seema </t>
  </si>
  <si>
    <t xml:space="preserve">56,New Ganesh Colony Amravati </t>
  </si>
  <si>
    <t xml:space="preserve">Honeywell ladies pg service ,Lane5, Balewadi High St,  </t>
  </si>
  <si>
    <t xml:space="preserve">Shri Samarth High School </t>
  </si>
  <si>
    <t>Amravati/Maharashtra</t>
  </si>
  <si>
    <t xml:space="preserve">Government Polytechnic Amravati </t>
  </si>
  <si>
    <t xml:space="preserve">SGBAU University </t>
  </si>
  <si>
    <t xml:space="preserve">Prof.Ram Meghe College of Engineering &amp; Management Badnera , Amravati /Maharashtra </t>
  </si>
  <si>
    <t>AutoCAD,Revit,Twinmotion,Navisworks ,BIM 360,ACC</t>
  </si>
  <si>
    <t xml:space="preserve">Design Genesis  | BIM Modeler | Pune  | Feb 2025 | Mar 2026 | 1 Years, 1 Months, 7 Days | 2.04 </t>
  </si>
  <si>
    <t>MUNICIPAL CORPORATION AMRAVATI | Geotag Surveyor and Trainee Engineer | Amravati  | Jul 2022 | Aug 2022 | 4 Weeks
 Balaji Structural Consultancy | AutoCAD Drafter(Intern) | Amravati  | Aug 2021 | Sep 2021 | 6 Weeks</t>
  </si>
  <si>
    <t xml:space="preserve">AutoCAD (2D+3D)
Master Diploma Course in BIM Techniques using Revit Plateform </t>
  </si>
  <si>
    <t>P26700575</t>
  </si>
  <si>
    <t xml:space="preserve">Prajwal </t>
  </si>
  <si>
    <t xml:space="preserve">Balaso </t>
  </si>
  <si>
    <t>Vhanabatte</t>
  </si>
  <si>
    <t>Prajwal  Balaso  Vhanabatte</t>
  </si>
  <si>
    <t>P26700575@student.nicmar.ac.in</t>
  </si>
  <si>
    <t>14-Feb-2002</t>
  </si>
  <si>
    <t>Reading,singing,plying cricket ,Playing football,Tracking,Bike riding,farming</t>
  </si>
  <si>
    <t>Balaso</t>
  </si>
  <si>
    <t>Atp. Kapashi , TAl - Kagal , Dist- Kolhapur 416 218</t>
  </si>
  <si>
    <t>Nyaymurti Ranade Vidyalay, Kapashi Senapati</t>
  </si>
  <si>
    <t>Ichalkaranji high school and Jr collage DKTE</t>
  </si>
  <si>
    <t>Vishwakarma Institute of information technology , Pune</t>
  </si>
  <si>
    <t>AutoCAD, MS Office, MS Project, Primavera,Quantity surveying</t>
  </si>
  <si>
    <t>Ctrls Data Center Ltd. (Schnabel dc consultants) | Project Engineer | Navi Mumbai | Jul 2024 | Jun 2026 | 1 Years, 11 Months, 19 Days | 5.76</t>
  </si>
  <si>
    <t>P26700576</t>
  </si>
  <si>
    <t xml:space="preserve">Suyog </t>
  </si>
  <si>
    <t xml:space="preserve">Lawhale </t>
  </si>
  <si>
    <t xml:space="preserve">Suyog  Sunil  Lawhale </t>
  </si>
  <si>
    <t>P26700576@student.nicmar.ac.in</t>
  </si>
  <si>
    <t>10-May-2004</t>
  </si>
  <si>
    <t>Sunil Lawhale</t>
  </si>
  <si>
    <t>M.Com</t>
  </si>
  <si>
    <t xml:space="preserve">Nanda Lawhale </t>
  </si>
  <si>
    <t>MA B.ed</t>
  </si>
  <si>
    <t xml:space="preserve">Abhinav Adarsh Marathi HighSchool </t>
  </si>
  <si>
    <t>Bitcoin College</t>
  </si>
  <si>
    <t xml:space="preserve">K.K. Wagh Polytechnic College </t>
  </si>
  <si>
    <t xml:space="preserve">K.K. Wagh Institute of Engineering Education and Research,Nashik </t>
  </si>
  <si>
    <t>AutoCAD, MS Office, Staad Pro</t>
  </si>
  <si>
    <t>P26700577</t>
  </si>
  <si>
    <t>P26700577@student.nicmar.ac.in</t>
  </si>
  <si>
    <t>P26700578</t>
  </si>
  <si>
    <t>HITENKUMAR</t>
  </si>
  <si>
    <t>ROHITKUMAR</t>
  </si>
  <si>
    <t>MANGELA</t>
  </si>
  <si>
    <t>Hitenkumar Rohitkumar Mangela</t>
  </si>
  <si>
    <t>P26700578@student.nicmar.ac.in</t>
  </si>
  <si>
    <t>27-Aug-2000</t>
  </si>
  <si>
    <t>Hindi, English,Gujarati,Mangeli</t>
  </si>
  <si>
    <t>Playing Football and Cricket</t>
  </si>
  <si>
    <t>ROHITKUMAR NARANBHAI MANGELA</t>
  </si>
  <si>
    <t xml:space="preserve">PUSHPABEN </t>
  </si>
  <si>
    <t>A/542 Rohit Colony, Udwadagam, TAL- Pardi Dist- Valsad 396180 Gujarat</t>
  </si>
  <si>
    <t>COAST GUARD PUBLIC SCHOOL DAMAN</t>
  </si>
  <si>
    <t>DAMAN</t>
  </si>
  <si>
    <t>SARDAR VALLABHBHAI NATIONAL INSTITUTE OF TECHNOLOGY SURAT</t>
  </si>
  <si>
    <t>AutoCAD,MS Office,MS Project,primavera,SAP,mysql,Java,DevC++</t>
  </si>
  <si>
    <t>KEC INTERNATIONAL LTD | Senior Engineer | Bargarh Odisha | Aug 2023 | May 2026 | 2 Years, 9 Months, 13 Days | 7.52</t>
  </si>
  <si>
    <t>P26700579</t>
  </si>
  <si>
    <t>SIVABALAN</t>
  </si>
  <si>
    <t>Sivabalan S</t>
  </si>
  <si>
    <t>P26700579@student.nicmar.ac.in</t>
  </si>
  <si>
    <t>18-Jul-2005</t>
  </si>
  <si>
    <t>Travelling,Video Editing ,Listen to Music</t>
  </si>
  <si>
    <t>SENTHILKUMAR</t>
  </si>
  <si>
    <t>VANITHA</t>
  </si>
  <si>
    <t>3/137,south car street,
Thiruvadanai,Ramanathapuram,Tamil Nadu,623407</t>
  </si>
  <si>
    <t>Ramanathapuram</t>
  </si>
  <si>
    <t>RAJAN MATRICULATION SCHOOL</t>
  </si>
  <si>
    <t>STATE BOARD OF SCHOOL EXAMINATION,TAMILNADU</t>
  </si>
  <si>
    <t>INFANT JESUS MATRICULATION SCHOOL</t>
  </si>
  <si>
    <t>STATE BOARD OF EXAMINATION,TAMILNADU</t>
  </si>
  <si>
    <t>THIAGARAJAR COLLEGE OF ENGINEERING,MADURAI</t>
  </si>
  <si>
    <t>AutoCAD,MS office,MS Project,Primavera,STAAD Pro</t>
  </si>
  <si>
    <t>P26700580</t>
  </si>
  <si>
    <t>Adil Baig</t>
  </si>
  <si>
    <t>Anis Baig</t>
  </si>
  <si>
    <t>Mirza</t>
  </si>
  <si>
    <t>Adil Baig Anis Baig Mirza</t>
  </si>
  <si>
    <t>P26700580@student.nicmar.ac.in</t>
  </si>
  <si>
    <t>English,Urdu,Hindi,Marathi</t>
  </si>
  <si>
    <t>Travelling,Volunteering,Gaming,Photography</t>
  </si>
  <si>
    <t>Mirza Anis Baig</t>
  </si>
  <si>
    <t>Mirza Shabnoor Begum</t>
  </si>
  <si>
    <t>Plot No.07,Bhagat Sing Nagar, Garkheda Parisar, Aurangabad.</t>
  </si>
  <si>
    <t>Dr. Desarda Public School</t>
  </si>
  <si>
    <t>Maharashtra State Board Of Secondary and Higher Secondary Education, Aurangabad</t>
  </si>
  <si>
    <t>Sir Sayyed Junior College</t>
  </si>
  <si>
    <t>Shri Guru Gobind Singhji Institute of Engineering and Technology, Nanded</t>
  </si>
  <si>
    <t>AutoCAD,MS Office,STAAD CE,ETABS,Canva,MS Project,ArcGIS</t>
  </si>
  <si>
    <t>Fortress Infracon Limited | Building Project Intern | Thane, Mumbai | Jan 2025 | Apr 2025 | 12 Weeks | Campus Internship</t>
  </si>
  <si>
    <t>Training Programme on AutoCAD
Short Term Training Programme on STAAD CE
Short Term Training Programme on ETABS
CESA President Certificate</t>
  </si>
  <si>
    <t>P26700581</t>
  </si>
  <si>
    <t>Vaishnavi</t>
  </si>
  <si>
    <t>Ananta</t>
  </si>
  <si>
    <t>Vaishnavi Ananta Gaikwad</t>
  </si>
  <si>
    <t>P26700581@student.nicmar.ac.in</t>
  </si>
  <si>
    <t xml:space="preserve">Ananta </t>
  </si>
  <si>
    <t>Dhanashri</t>
  </si>
  <si>
    <t>Ukkadgaon Jagir TQ Palam Dic Parbhani</t>
  </si>
  <si>
    <t>Vimlabai Deshmukh Girls School</t>
  </si>
  <si>
    <t>Ahmadpur Dis Latur Maharastra</t>
  </si>
  <si>
    <t>Mahatma Gandhi Mahavidyalaya Ahmadpur</t>
  </si>
  <si>
    <t>Savitribai Phule Pune university</t>
  </si>
  <si>
    <t>D.Y. Patil College of Engineering</t>
  </si>
  <si>
    <t>AutoCAD MS Office</t>
  </si>
  <si>
    <t>Anante Designs | Purchase Manager | Viman Nagar Pune | May 2024 | Dec 2024 | 0 Years, 7 Months, 0 Days | 3.4
VIKAS BHATEWARA VENTURE | PURCHASE EXCUTIVE | Deccan Pune | Dec 2024 | Jul 2026 | 1 Years, 6 Months, 14 Days | 2.4</t>
  </si>
  <si>
    <t>Shrin construction | site intern | parbhani | Feb 2023 | Mar 2023 | 4 Weeks | Campus Internship</t>
  </si>
  <si>
    <t>Autocad
Excel
Volunteer
Programming Language</t>
  </si>
  <si>
    <t>P26700582</t>
  </si>
  <si>
    <t>Devraj</t>
  </si>
  <si>
    <t xml:space="preserve">Sanjay </t>
  </si>
  <si>
    <t>Navale</t>
  </si>
  <si>
    <t>Devraj Sanjay  Navale</t>
  </si>
  <si>
    <t>P26700582@student.nicmar.ac.in</t>
  </si>
  <si>
    <t>Cricket, swimming, music</t>
  </si>
  <si>
    <t>Sanjay Bhaskar Navale</t>
  </si>
  <si>
    <t xml:space="preserve">Jyoti Sanjay Navale </t>
  </si>
  <si>
    <t>Matoshree bungalow, Vithal nagar, behind shramik mangal karalay, akole bypass, Sangamner-422605</t>
  </si>
  <si>
    <t>Council for the Indian School Certificate Examinations (CISCE), Nashik</t>
  </si>
  <si>
    <t xml:space="preserve">Shramik Junior College </t>
  </si>
  <si>
    <t>maharashtra state board of secondary and higher secondary education, pune</t>
  </si>
  <si>
    <t>PCET'S PCCOE, pune</t>
  </si>
  <si>
    <t>Basics of AutoCAD, MS Office , MS project</t>
  </si>
  <si>
    <t>P26700583</t>
  </si>
  <si>
    <t xml:space="preserve">Mayur </t>
  </si>
  <si>
    <t>Khode</t>
  </si>
  <si>
    <t>Mayur  Khode Khode</t>
  </si>
  <si>
    <t>P26700583@student.nicmar.ac.in</t>
  </si>
  <si>
    <t>marathi,English,hindi</t>
  </si>
  <si>
    <t>sketching,drawing</t>
  </si>
  <si>
    <t>Vishnukant</t>
  </si>
  <si>
    <t>Sarika</t>
  </si>
  <si>
    <t>Sant tukdiji ward, hinganghat wardha-442301</t>
  </si>
  <si>
    <t>Core Project Engineers and Consultant Pvt. ltd. | Surveyor | Pan Maharashtra | Jun 2024 | Jan 2025 | 0 Years, 7 Months, 0 Days | 2.75
New Consolidated Construction Co. Ltd. | Trainee Engineer Execution  | mumbai | Feb 2025 | May 2026 | 1 Years, 3 Months, 16 Days | 3.48</t>
  </si>
  <si>
    <t>P26700584</t>
  </si>
  <si>
    <t>Hana</t>
  </si>
  <si>
    <t>Hana P S</t>
  </si>
  <si>
    <t>P26700584@student.nicmar.ac.in</t>
  </si>
  <si>
    <t>Painting,Reading,Gardening</t>
  </si>
  <si>
    <t>Sabu P M</t>
  </si>
  <si>
    <t>Dr Hazeena K A</t>
  </si>
  <si>
    <t>Padayathukudiyil House South Vellarapilly P O</t>
  </si>
  <si>
    <t>AL AMEEN PUBLIC SCHOOL SREEMOOLANAGARAM</t>
  </si>
  <si>
    <t>Central Board of Secondary Education Kerala</t>
  </si>
  <si>
    <t xml:space="preserve"> APJ Abdul Kalam Technological University</t>
  </si>
  <si>
    <t>FEDERAL INSTITUTE OF SCIENCE AND TECHNOLOGY MOOKKANNOOR KERELA</t>
  </si>
  <si>
    <t>Autocad,ETABS,STAAD,SAFE,PRIMAVERA,MSPROJECT,MS EXCEL,MSPOWERPOINT,REVIT,SKETCHUP</t>
  </si>
  <si>
    <t>Triangle Design &amp; Build | Jr.Structural Engineer | Edapilly Kerala | Jan 2025 | Jul 2025 | 0 Years, 6 Months, 11 Days | 1.2
Crystal Hypermarket Kalady | Inventory controller | Kalady Kerala  | Aug 2025 | Jun 2026 | 0 Years, 10 Months, 18 Days | 1.44</t>
  </si>
  <si>
    <t>Techmaghi | Jr.Structural Engineer | Kalamassery | Aug 2024 | Dec 2024 | 21 Weeks | Campus Internship
Skyline builders | Site engineer | Kakkanad | May 2023 | May 2023 | 1 Weeks | Campus Internship</t>
  </si>
  <si>
    <t>Waterproofing and Insulation
Eco Friendly Home Construction Technology
Powerful Communication</t>
  </si>
  <si>
    <t>P26700585</t>
  </si>
  <si>
    <t>Ishaan</t>
  </si>
  <si>
    <t>Ishaan Mohamed</t>
  </si>
  <si>
    <t>P26700585@student.nicmar.ac.in</t>
  </si>
  <si>
    <t>23-Jul-2004</t>
  </si>
  <si>
    <t>English, malayalam,hindi</t>
  </si>
  <si>
    <t>Football,music</t>
  </si>
  <si>
    <t>RIJU JALAL</t>
  </si>
  <si>
    <t>Software Developer</t>
  </si>
  <si>
    <t xml:space="preserve">RAMLA RIJU </t>
  </si>
  <si>
    <t>Aykkara House, Cheruvaloor, Thrissur, Kerala, 680308</t>
  </si>
  <si>
    <t>INDIAN SCHOOL AL GHUBRA</t>
  </si>
  <si>
    <t>CENTRAL BOARD OF SECONDARY EDUCATION, MUSCAT</t>
  </si>
  <si>
    <t>AutoCAD, MS project, Primavera,Microsoft Excel,Revit,StaadPro</t>
  </si>
  <si>
    <t>MFAR Constructions Private Limited | Quantity Surveying &amp; Contract Management Intern | Bangalore | Jan 2026 | May 2026 | 20 Weeks | Campus Internship
Engineering Innovation Design &amp; Consulting L.L.C. (EIDC) | Civil Engineering Intern | Muscat, Oman | May 2025 | Jun 2025 | 4 Weeks | Campus Internship</t>
  </si>
  <si>
    <t>PROMPT ENGINEERING
STAADPro</t>
  </si>
  <si>
    <t>P26700586</t>
  </si>
  <si>
    <t>Sharad</t>
  </si>
  <si>
    <t>Choudhari</t>
  </si>
  <si>
    <t>Sharad Prakash Choudhari</t>
  </si>
  <si>
    <t>choudharisharadpc@gmail.com</t>
  </si>
  <si>
    <t>P26700586@student.nicmar.ac.in</t>
  </si>
  <si>
    <t>Singing,football,badminton</t>
  </si>
  <si>
    <t>Prakash N Choudhari</t>
  </si>
  <si>
    <t>Annapurna P Choudhari</t>
  </si>
  <si>
    <t>Station back road, shikarkhane area, behind BKT trabsport, Choudhari Nivas, Vijayapura, 586104.</t>
  </si>
  <si>
    <t>ACT- Sharada Public School Vijayapura</t>
  </si>
  <si>
    <t>CBSE Karnataka</t>
  </si>
  <si>
    <t>Sri Kumars Mahesh PU College, Vijayapura</t>
  </si>
  <si>
    <t>Visvesvaraya Technological University (VTU),Belgavi</t>
  </si>
  <si>
    <t>BLDEA's V P Dr PG Halakatti College of Engineering &amp; Technology,Vijaypura</t>
  </si>
  <si>
    <t>AutoCAD,MS project</t>
  </si>
  <si>
    <t>P26700587</t>
  </si>
  <si>
    <t>sanjay</t>
  </si>
  <si>
    <t>gupta</t>
  </si>
  <si>
    <t>Sanjay Kumar Gupta</t>
  </si>
  <si>
    <t>sanjukg123@gmail.com</t>
  </si>
  <si>
    <t>P26700587@student.nicmar.ac.in</t>
  </si>
  <si>
    <t>05-Oct-1999</t>
  </si>
  <si>
    <t>music,badminton,origami</t>
  </si>
  <si>
    <t>kailash nath gupta</t>
  </si>
  <si>
    <t>mainawati</t>
  </si>
  <si>
    <t>D-62 , parsvnath city, faizabad road</t>
  </si>
  <si>
    <t xml:space="preserve">    St. Joseph School, Shaktinagar(U.P.)</t>
  </si>
  <si>
    <t>CBSE,Delhi</t>
  </si>
  <si>
    <t xml:space="preserve"> Dr. A.P.J. Abdul Kalam Technical University</t>
  </si>
  <si>
    <t xml:space="preserve"> Shri Ramswaroop Memorial Group of  Professional Colleges,Lucknow </t>
  </si>
  <si>
    <t>CHRYSO SAINT-GOBAIN |  Senior Officer Technical Services   | Surat | Oct 2021 | Jun 2023 | 1 Years, 8 Months, 12 Days | 3.64
 Prism Johnson Limited | Senior Executive - Technical Service  | Lucknow | Aug 2023 | Jun 2026 | 2 Years, 10 Months, 29 Days | 7.17</t>
  </si>
  <si>
    <t>P26700588</t>
  </si>
  <si>
    <t>Vishwa</t>
  </si>
  <si>
    <t>Vishwa Vijay Nikam</t>
  </si>
  <si>
    <t>P26700588@student.nicmar.ac.in</t>
  </si>
  <si>
    <t>28-Jan-2001</t>
  </si>
  <si>
    <t xml:space="preserve">Cooking,Music,Trying new food spots </t>
  </si>
  <si>
    <t>Vijay Tukaram Nikam</t>
  </si>
  <si>
    <t>Dharati Vijay Nikam</t>
  </si>
  <si>
    <t>E4/3 Prem Park Masulkar Colony, Pimpri, Pune-18</t>
  </si>
  <si>
    <t>ICSE-Pune, Maharashtra</t>
  </si>
  <si>
    <t>MIT Polytechnic Kothrud, Pune, Maharashtra</t>
  </si>
  <si>
    <t>D.Y. Patil College of Engineering, Pune, Maharashtra</t>
  </si>
  <si>
    <t>Shree Ganesh Construction-Vishwa Vijay Nikam | Subcontractor | Pune | Jun 2023 | Nov 2024 | 1 Years, 4 Months, 15 Days | 4
Pave-Tech Consulting Engineering Services Pvt. Ltd | Junior Engineer | Pimpri Chinchwad | Feb 2025 | Jun 2026 | 1 Years, 4 Months, 12 Days | 3</t>
  </si>
  <si>
    <t>Maharashtra Metro Rail Corporation Limited | Intern | Pune | Feb 2023 | Feb 2023 | 3 Weeks</t>
  </si>
  <si>
    <t>Basic Typing Certificate
MS-CIT</t>
  </si>
  <si>
    <t>P26700589</t>
  </si>
  <si>
    <t>Amal</t>
  </si>
  <si>
    <t>Kabiraj</t>
  </si>
  <si>
    <t>Suraj Amal Kabiraj</t>
  </si>
  <si>
    <t>P26700589@student.nicmar.ac.in</t>
  </si>
  <si>
    <t>18-Mar-2003</t>
  </si>
  <si>
    <t>English,Hindi,Marathi,Bengali</t>
  </si>
  <si>
    <t>Playing Cricket, Exercise &amp; Fitness,Documentaries</t>
  </si>
  <si>
    <t>Amal Kabiraj</t>
  </si>
  <si>
    <t>Sunita Kabiraj</t>
  </si>
  <si>
    <t>Azad Nagar, Manpada</t>
  </si>
  <si>
    <t>Shrimati Gujana English high School</t>
  </si>
  <si>
    <t>Rao Junior College of science</t>
  </si>
  <si>
    <t>Sardar Patel College of Engineering , Mumbai</t>
  </si>
  <si>
    <t>ETABS</t>
  </si>
  <si>
    <t>Talib And Shamsi Construction Pvt Ltd  | Junior Engineer | Thane | Jan 2026 | Apr 2026 | 16 Weeks | Campus Internship
Rithwik Construction | Junior Engineer | Thane | Jun 2025 | Jul 2025 | 4 Weeks | Campus Internship</t>
  </si>
  <si>
    <t>Procore Certification: Project Manager (Project Management)
Principles of construction management</t>
  </si>
  <si>
    <t>P26700590</t>
  </si>
  <si>
    <t>Ahamed</t>
  </si>
  <si>
    <t>Sahil Ahamed</t>
  </si>
  <si>
    <t>P26700590@student.nicmar.ac.in</t>
  </si>
  <si>
    <t xml:space="preserve"> Football, Music, Reading,Dance</t>
  </si>
  <si>
    <t>Sajid Ahamed</t>
  </si>
  <si>
    <t>Vaseena A</t>
  </si>
  <si>
    <t>MINAH, TC.30/1297, Naalumukku-Vanchiyoor Road, GGRA HS-12, Pettah, Trivandrum.</t>
  </si>
  <si>
    <t>Christ Nagar Higher Secondary School, Thiruvananthapuram, Kerala</t>
  </si>
  <si>
    <t>Indian Certificate of Secondary Education (ICSE)</t>
  </si>
  <si>
    <t xml:space="preserve">Indian School Certificate (ISC) </t>
  </si>
  <si>
    <t>College of Engineering Trivandrum (CET)</t>
  </si>
  <si>
    <t>Autocad, MS Office</t>
  </si>
  <si>
    <t>Aroma International Building Contracting India PVT LTD | Site Engineer | Thiruvananthapuram | Apr 2024 | Jun 2026 | 2 Years, 2 Months, 19 Days | 1.8</t>
  </si>
  <si>
    <t>Gods Own Dance Summit | Founding Member and Production Manager | Thiruvananthapuram | Mar 2025 | Aug 2026 | 78 Weeks</t>
  </si>
  <si>
    <t>P26700591</t>
  </si>
  <si>
    <t>P26700591@student.nicmar.ac.in</t>
  </si>
  <si>
    <t>Milan Road Buildtech Llp | Billing Engineer - Asst | Mumbai | Dec 2024 | Jun 2026 | 1 Years, 6 Months, 28 Days | 3.90</t>
  </si>
  <si>
    <t>P26700592</t>
  </si>
  <si>
    <t>Ambika</t>
  </si>
  <si>
    <t>Jamadar</t>
  </si>
  <si>
    <t>Ambika Jamadar</t>
  </si>
  <si>
    <t>P26700592@student.nicmar.ac.in</t>
  </si>
  <si>
    <t xml:space="preserve">HINDI,ENGLISH,KANNADA </t>
  </si>
  <si>
    <t>Travel,PLAYING</t>
  </si>
  <si>
    <t>Srimanth jamadar</t>
  </si>
  <si>
    <t>government servant ( K.S.R.T.C Bus Driver)</t>
  </si>
  <si>
    <t>vijaylaxmi jamadar</t>
  </si>
  <si>
    <t xml:space="preserve">house wife </t>
  </si>
  <si>
    <t>plot no -189 near deva nagar opposite omkar residency Gulbarga Karnataka 585102</t>
  </si>
  <si>
    <t>IWPS GLOBAL - integrated workplace solution | Jr.Architect  | Bangalore | Jul 2025 | Jun 2026 | 0 Years, 11 Months, 29 Days | 2.88</t>
  </si>
  <si>
    <t>P26700593</t>
  </si>
  <si>
    <t>TULSHIGIRIWAR</t>
  </si>
  <si>
    <t>Tushar Ramesh Tulshigiriwar</t>
  </si>
  <si>
    <t>P26700593@student.nicmar.ac.in</t>
  </si>
  <si>
    <t>GAMEING ,Videography and Editography</t>
  </si>
  <si>
    <t>6382 7311 9986</t>
  </si>
  <si>
    <t>INDIRA NAGAR WARD NO.4,AHERI BYEPASS ROAD AHERI.</t>
  </si>
  <si>
    <t>REPUBLIC ENGLISH MEDIUM SCHOOL,AHERI</t>
  </si>
  <si>
    <t>GOVERNMENT POLYTECHNIC GADCHIROLI</t>
  </si>
  <si>
    <t>GH RAISONI COLLEGE OF ENGINEERING AND MANAGEMENT,NAGPUR</t>
  </si>
  <si>
    <t>AUTOCAD,REVIT,STAAD PRO</t>
  </si>
  <si>
    <t>AJAY DEEP CONSTRUCTION PVT.LTD. | Civil Engineering Intern | GADCHIROLI | May 2022 | Jul 2022 | 6 Weeks
Maharashtra Government, Public Works Department (PWD), Division No. 2, Nagpur, under PWD Sub-Division, Savner.r. | Civil Engineering Intern | SAVNER | Jun 2025 | Jul 2025 | 4 Weeks
Deepshika Consulting Engineers (DCE) | Civil Engineering Intern | NAGPUR | Dec 2025 | May 2026 | 21 Weeks</t>
  </si>
  <si>
    <t>ENGINEERING DRAWINGS USINGS AUTOCAD</t>
  </si>
  <si>
    <t>P26700594</t>
  </si>
  <si>
    <t>Paladugu</t>
  </si>
  <si>
    <t>Paladugu Avinash</t>
  </si>
  <si>
    <t>P26700594@student.nicmar.ac.in</t>
  </si>
  <si>
    <t>23-Jul-2003</t>
  </si>
  <si>
    <t>Telugu, English,Hindi.</t>
  </si>
  <si>
    <t>Listening Music,Treking</t>
  </si>
  <si>
    <t>Paladugu Sambasiva Rao (Late)</t>
  </si>
  <si>
    <t>Paladugu Lakshmi</t>
  </si>
  <si>
    <t>Dr.No: 2-110
Pedavadlapudi,
Mangalagiri Mandal,
Guntur District.</t>
  </si>
  <si>
    <t>ULTIMA HOSTEL , NICMAR UNIVERSITY ,
BALEWADI - 411045,
PUNE ,
MAHARASTRA.</t>
  </si>
  <si>
    <t>Nagarjuna High School</t>
  </si>
  <si>
    <t>A.A.N.M &amp; V.V.R.S.R Polytechnic College</t>
  </si>
  <si>
    <t>SAAGI RAMA KRISHNAM RAJU ENGINEERING COLLEGE</t>
  </si>
  <si>
    <t>BHIMAVARAM</t>
  </si>
  <si>
    <t>AUTO CAD , MS OFFICE,MS PROJECT, RIVET</t>
  </si>
  <si>
    <t>KMV PROJECTS LIMITED | GRADUATE TRAINEE ENGINEER | AMARAVATHI , ANDHRA PRADESH | May 2025 | Jun 2026 | 1 Years, 1 Months, 11 Days | 2.76</t>
  </si>
  <si>
    <t>P26700595</t>
  </si>
  <si>
    <t>ARAVINDA</t>
  </si>
  <si>
    <t>Aravinda K S</t>
  </si>
  <si>
    <t>P26700595@student.nicmar.ac.in</t>
  </si>
  <si>
    <t xml:space="preserve">ENGLISH,KANNADA,HINDI </t>
  </si>
  <si>
    <t>CRICKET,TRAVELLING,TRAVELLING ,LEARNING NEW SKILLS, MEMES CREATING AND MOVIE REVIEW</t>
  </si>
  <si>
    <t>SIDDESH K</t>
  </si>
  <si>
    <t>GOVERNMENT EMPLOYEE (PRINCIPAL)</t>
  </si>
  <si>
    <t>UMA K</t>
  </si>
  <si>
    <t>S/O SIDDESH K, HOUSE NO. 396, 6TH WARD, SRI MARULASIDDESHWARA NILAYA, MARI KOTTURESHWARA BADAVANE, NEAR WATER FILTER UNIT, BEHIND I.B, KOTTURU 583134, KOTTURU TQ, MOB 9481175850</t>
  </si>
  <si>
    <t>SRI MAHADEVA E M HIGH SCHOOL KOTTURU TQ VIJAYANAGAR DIST</t>
  </si>
  <si>
    <t>SIR MV PU COLLEGE, 1 MAIN HADADI ROAD SS NAGAR, DAVANGERE</t>
  </si>
  <si>
    <t xml:space="preserve"> VISVESVARAYA TECHNOLOGICAL UNIVERSITY, BELAGAVI</t>
  </si>
  <si>
    <t>PUBLIC WORKS DEPARTMENT (PWD), BANGALORE DIVISION, GOVERNMENT OF KARNATAKA | CIVIL ENGINEERING INTERN | BANGALORE | Aug 2022 | Sep 2022 | 4 Weeks</t>
  </si>
  <si>
    <t>P26700596</t>
  </si>
  <si>
    <t>IRUDAYA SAHAANI</t>
  </si>
  <si>
    <t>Irudaya Sahaani M</t>
  </si>
  <si>
    <t>irudayasahaani2002@gmail.com</t>
  </si>
  <si>
    <t>P26700596@student.nicmar.ac.in</t>
  </si>
  <si>
    <t>Maintain physical fitness,Gaining information related to nutrition</t>
  </si>
  <si>
    <t>I J MADHURENDRAN</t>
  </si>
  <si>
    <t>LIC DEVELOPMENT OFFICER</t>
  </si>
  <si>
    <t>IRUDAYA 3 305 B
TOWN RAILWAY NAGAR B BLOCK
KRISHNANKOIL  NAGERCOIL</t>
  </si>
  <si>
    <t>ST.JOSEPH'S.MAT.HR.SEC.SCHOOL</t>
  </si>
  <si>
    <t>NAGERCOIL, KANYAKUMARI DISTRICT, TAMILNADU</t>
  </si>
  <si>
    <t>ALPHONSA.MAT.HR.SEC.SCHOOL</t>
  </si>
  <si>
    <t xml:space="preserve"> ANNA UNIVERSITY </t>
  </si>
  <si>
    <t>THIAGARAJAR COLLEGE OF ENGINEERING, MADURAI, TAMILNADU</t>
  </si>
  <si>
    <t>AUTO CAD</t>
  </si>
  <si>
    <t>P26700597</t>
  </si>
  <si>
    <t>AKANKSH</t>
  </si>
  <si>
    <t>Akanksh Pandey</t>
  </si>
  <si>
    <t>theakankshpandey@gmail.com</t>
  </si>
  <si>
    <t>P26700597@student.nicmar.ac.in</t>
  </si>
  <si>
    <t>30-Jan-2004</t>
  </si>
  <si>
    <t>WORKOUT ,TRAVEL ,EXPLORING NEW TECHNIQUES,GAMES,BOOK READING</t>
  </si>
  <si>
    <t>MANOJ KUMAR PANDEY</t>
  </si>
  <si>
    <t>CONSTRUCTION PROJECT MANAGER</t>
  </si>
  <si>
    <t>RINKI DEVI</t>
  </si>
  <si>
    <t xml:space="preserve">Maruti nagar ara, </t>
  </si>
  <si>
    <t>Mount litera zee school</t>
  </si>
  <si>
    <t>BIHAR,ARA,802301</t>
  </si>
  <si>
    <t>DIPLOMA IN CIVIL ENGINEERNG</t>
  </si>
  <si>
    <t>AMBITION INSTITUTE OF TECHNOLOGY , GT ROAD PADAO, VARANASI, UTTAR PRADESH</t>
  </si>
  <si>
    <t>JS UNIVERSITY</t>
  </si>
  <si>
    <t xml:space="preserve"> J.S. University (JSU) ,Shikohabad, Firozabad, Uttar Pradesh,</t>
  </si>
  <si>
    <t>AutoCAD, MS Office, MS Project,Basic knowledge of revit,Building Materials &amp; Construction Technology</t>
  </si>
  <si>
    <t>Corporate Training Course Certificate in Civil Engineering (Issued by Civil Guruji)  
CPL 8.0 Package (Construction Projects Level Training)</t>
  </si>
  <si>
    <t>P26700598</t>
  </si>
  <si>
    <t>Bisan</t>
  </si>
  <si>
    <t>Sujal  Pravin Bisan</t>
  </si>
  <si>
    <t>P26700598@student.nicmar.ac.in</t>
  </si>
  <si>
    <t>24-Jun-2004</t>
  </si>
  <si>
    <t xml:space="preserve">Music </t>
  </si>
  <si>
    <t>Pravin Wamanrao Bisan</t>
  </si>
  <si>
    <t>Kavita Pravin Bisan</t>
  </si>
  <si>
    <t>Bhagatsingh ward , Near Sai Mandir</t>
  </si>
  <si>
    <t>Shriram Vidyalaya Ramtek</t>
  </si>
  <si>
    <t>Maharashtra State Board of Secondary and Higher Secondary Education Pune</t>
  </si>
  <si>
    <t>Shriram Junior College Ramtek</t>
  </si>
  <si>
    <t>Kavikulguru Institute of Technology and Science Ramtek Maharashtra</t>
  </si>
  <si>
    <t>P26700599</t>
  </si>
  <si>
    <t>Aditya Anil Choudhari</t>
  </si>
  <si>
    <t>P26700599@student.nicmar.ac.in</t>
  </si>
  <si>
    <t>Reading,volleyball,Travel,cricket,exploring unknown,Treaking</t>
  </si>
  <si>
    <t>ANIL VITTHAL CHOUDHARI</t>
  </si>
  <si>
    <t>LALITA ANIL CHOUDHARI</t>
  </si>
  <si>
    <t>Krish ambience building, Preet Nagar housing soc, Sangharsh chowk, Pune</t>
  </si>
  <si>
    <t>PRODIGY PUBLIC SCHOOL WAGHOLI PUNE MAHARASHTRA</t>
  </si>
  <si>
    <t>CENTRAL BOARD OF SECONDARY EDUCATION PUNE MAHARASHTRA</t>
  </si>
  <si>
    <t>DHOLE PATIL JUNIOR COLLEGE OF ARTS, COMMERCE &amp; SCIENCE</t>
  </si>
  <si>
    <t>MAHARASHTRA STATE BOARD OF HIGHER SECONDARY EDUCATION PUNE MAHARASHTRA</t>
  </si>
  <si>
    <t>AISSMS COLLEGE OF ENGINEERING</t>
  </si>
  <si>
    <t>MS Office, basic of autocad</t>
  </si>
  <si>
    <t>P26700600</t>
  </si>
  <si>
    <t>Vishal J S</t>
  </si>
  <si>
    <t>P26700600@student.nicmar.ac.in</t>
  </si>
  <si>
    <t>06-Sep-2004</t>
  </si>
  <si>
    <t xml:space="preserve">Reading ,Music </t>
  </si>
  <si>
    <t>Jeysurya S</t>
  </si>
  <si>
    <t>Sivagami P</t>
  </si>
  <si>
    <t>3/717, Rethvi illam, Kalki Garden, Dhundan Salai, Ikkarai Thathapalli, Erode, Tamilnadu- 638451</t>
  </si>
  <si>
    <t>SRT Universal Matric Hr Sec School</t>
  </si>
  <si>
    <t>Tamil Nadu State Board , Erode</t>
  </si>
  <si>
    <t>Amrita Vishwa Vidyapeetham , Coimbtore</t>
  </si>
  <si>
    <t>L&amp;T  | Internship Trainee | Chennai | May 2025 | May 2025 | 1 Weeks | Campus Internship</t>
  </si>
  <si>
    <t>GeoSpatial Practices for Engineers
Design of Structural Steel Members
Design of Pre-Engineered Buildings
Precast Construction - Members and Systems</t>
  </si>
  <si>
    <t>P26700601</t>
  </si>
  <si>
    <t>Manda</t>
  </si>
  <si>
    <t>Rajesh Manda</t>
  </si>
  <si>
    <t>P26700601@student.nicmar.ac.in</t>
  </si>
  <si>
    <t>Telugu,hindi,english</t>
  </si>
  <si>
    <t>cooking,travelling ,music</t>
  </si>
  <si>
    <t>Dhanunjay manda</t>
  </si>
  <si>
    <t>Madhavi manda</t>
  </si>
  <si>
    <t>2-41, Kantathmakur, Nadikuda, Hanumankonda. Pin-506391</t>
  </si>
  <si>
    <t>Vignan High school</t>
  </si>
  <si>
    <t>Secondary School Certificate, Telangana</t>
  </si>
  <si>
    <t>Diploma in Civil Engineerting</t>
  </si>
  <si>
    <t>VMR polytechnic college, Rampur</t>
  </si>
  <si>
    <t>Anurag University</t>
  </si>
  <si>
    <t>Anurag University, Hyderabad</t>
  </si>
  <si>
    <t>AutoCAD,microsoftproject,matlab,staad pro</t>
  </si>
  <si>
    <t xml:space="preserve">Kalpataru Projects International Limited  | Graduate engineer trainee | Hyderabad | Jul 2025 | Jun 2026 | 0 Years, 11 Months, 9 Days | 4.5 </t>
  </si>
  <si>
    <t>Mission Bhagiratha, Government of Telangana | Civil engineering intern | Karimnagar | Apr 2024 | May 2024 | 4 Weeks | Campus Internship</t>
  </si>
  <si>
    <t>P26700602</t>
  </si>
  <si>
    <t>AADHI</t>
  </si>
  <si>
    <t>SUBRAMANIYAM S</t>
  </si>
  <si>
    <t>Aadhi Subramaniyam S</t>
  </si>
  <si>
    <t>P26700602@student.nicmar.ac.in</t>
  </si>
  <si>
    <t>12-May-2002</t>
  </si>
  <si>
    <t>Gardening, Hiking,Exploring Routes,Listening music,Games</t>
  </si>
  <si>
    <t>K SAMIDURAI</t>
  </si>
  <si>
    <t>S UMAMAHESWARI</t>
  </si>
  <si>
    <t>5/202 - 38, Santhosh Garden, Madathur Pirivu, Udumalpet</t>
  </si>
  <si>
    <t>LOURDE MATHA CONVENT MATRIC. HR. SEC. SCHOOL, TAMILNADU</t>
  </si>
  <si>
    <t>TAMILNADU STATE BOARD</t>
  </si>
  <si>
    <t>GREEN PARK MATRIC. HR. SEC. SCHOOL, TAMILNADU</t>
  </si>
  <si>
    <t>KUMARAGURU COLLEGE OF TECHNOLOGY</t>
  </si>
  <si>
    <t>AutoCAD,MS OFFICE,STAAD Pro,Primevera,MSP</t>
  </si>
  <si>
    <t>CAP PROJECT X (NESTIFY) | JUNIOR SITE ENGINEER | BENGALURU | Mar 2024 | Oct 2024 | 0 Years, 6 Months, 24 Days | 2.4</t>
  </si>
  <si>
    <t>P26700603</t>
  </si>
  <si>
    <t>Vaibhav Vivek</t>
  </si>
  <si>
    <t>P26700603@student.nicmar.ac.in</t>
  </si>
  <si>
    <t>Sports,Reading</t>
  </si>
  <si>
    <t>Amboj Kumar Verma</t>
  </si>
  <si>
    <t>Chanda Verma</t>
  </si>
  <si>
    <t>Murkimaa Talla Near Girls High School</t>
  </si>
  <si>
    <t>Pakur</t>
  </si>
  <si>
    <t>NICMAR University, Balewadi, N.I.A. Post Office</t>
  </si>
  <si>
    <t>CBSE, Pakur</t>
  </si>
  <si>
    <t>CBSE, Visakhapatnam</t>
  </si>
  <si>
    <t>M.S. Ramaiah Institute of Technology, Bengaluru</t>
  </si>
  <si>
    <t>NPTEL Hydration, porosity and cementitious materials</t>
  </si>
  <si>
    <t>P26700604</t>
  </si>
  <si>
    <t>Archit</t>
  </si>
  <si>
    <t>Sai Archit Das</t>
  </si>
  <si>
    <t>P26700604@student.nicmar.ac.in</t>
  </si>
  <si>
    <t>Hindi,Odia,English</t>
  </si>
  <si>
    <t>Playing badminton</t>
  </si>
  <si>
    <t>Ashok Kumar Das</t>
  </si>
  <si>
    <t>Surveyor</t>
  </si>
  <si>
    <t>Sajita Ray</t>
  </si>
  <si>
    <t>Plot No. 3D/1081, Sector 10, CDA, Cuttack</t>
  </si>
  <si>
    <t>DAV PUBLIC SCHOOL</t>
  </si>
  <si>
    <t>CENTRAL BOARD OF SECONDARY EDUCATION, ODISHA</t>
  </si>
  <si>
    <t>VEER SURENDRA SAI UNIVERSITY OF TECHNOLOGY , SAMBALPUR, ODISHA</t>
  </si>
  <si>
    <t>Autocad,MS Project,MS Excel</t>
  </si>
  <si>
    <t>P26700605</t>
  </si>
  <si>
    <t xml:space="preserve">Apoorva </t>
  </si>
  <si>
    <t>Ashok</t>
  </si>
  <si>
    <t>Apoorva  Ashok Patil</t>
  </si>
  <si>
    <t>P26700605@student.nicmar.ac.in</t>
  </si>
  <si>
    <t>Singing,Exploring ,Travelling,Photography,Sketching</t>
  </si>
  <si>
    <t>Ashok Sankanagouda Patil</t>
  </si>
  <si>
    <t>None</t>
  </si>
  <si>
    <t>Padmavati</t>
  </si>
  <si>
    <t>Principle of Government P U College, Byahatti, Hubli, Dharwad District, Karnataka</t>
  </si>
  <si>
    <t>#108, Laxmi Layout, Gokul Road, Hubli, Dharwad District, Karnataka - 580030</t>
  </si>
  <si>
    <t>#108, Laxmi Layout, Gokul Road, Hubli, Dharwad, Karnataka - 580030</t>
  </si>
  <si>
    <t>Chetan Public School</t>
  </si>
  <si>
    <t>Karnataka Secondary Education Examination Board, Hubballi, Dharwad District, Karnataka</t>
  </si>
  <si>
    <t>Dr. R. B. Patil Mahesh P U College</t>
  </si>
  <si>
    <t>Department of Pre-University Education, Hubballi, Dharwad District, Karnataka</t>
  </si>
  <si>
    <t>KLS Gogte Institute of Technology, Belagavi, Karnataka</t>
  </si>
  <si>
    <t>AutoCAD,Lumion,Revit,Sketchup,Enscape,Adobe Primier Pro,Adobe Photoshop,Microsoft Office,Figma,Da Vinci Resolve</t>
  </si>
  <si>
    <t>AMBAL DESIGN SERVICES  | Junior Architect | Bangalore | May 2025 | Jun 2026 | 1 Years, 1 Months, 10 Days | 4.8</t>
  </si>
  <si>
    <t>Billimoria &amp; Associates | Architecture Intern | Bangalore | Feb 2023 | Aug 2023 | 25 Weeks</t>
  </si>
  <si>
    <t>Architecture Photography
Hands-on workshop of Catalan Vault
NPTEL Certification in Sustainable Architecture
REVIT Certification
Advanced Certification in UI UX Design (IIITB)</t>
  </si>
  <si>
    <t>P26700606</t>
  </si>
  <si>
    <t>Verma</t>
  </si>
  <si>
    <t>Manish Kumar Verma</t>
  </si>
  <si>
    <t>manishkumarverma535@gmail.com</t>
  </si>
  <si>
    <t>P26700606@student.nicmar.ac.in</t>
  </si>
  <si>
    <t>05-Oct-1992</t>
  </si>
  <si>
    <t>Reading ,CHESS,yoga,reading industry journals</t>
  </si>
  <si>
    <t>shiv kumar verma</t>
  </si>
  <si>
    <t>retired goverment servent</t>
  </si>
  <si>
    <t>santosh verma</t>
  </si>
  <si>
    <t>122, Bhoovi palace shivdham colony , Rajgarh, M.P</t>
  </si>
  <si>
    <t>Rajgarh</t>
  </si>
  <si>
    <t>Board of secondary Education,Rajgarh,Madhya Pradesh</t>
  </si>
  <si>
    <t>07.02</t>
  </si>
  <si>
    <t>Rajiv Gandhi Proudyogiki Vishwavidhyalaya,Bhopal</t>
  </si>
  <si>
    <t>Truba Institute Of Engineering And Information Technology,Bhopal,Madhya Pradesh</t>
  </si>
  <si>
    <t>2010-Jan</t>
  </si>
  <si>
    <t>AUTOCAD,MS OFFICE,MS PROJECT,PRIMAVERA,MBS SOFTWARE,MS EXCEL,POWER BI,MS WORD,MS PRESENTATION,ADVANCE EXCEL,BIM</t>
  </si>
  <si>
    <t>satyan consulting engineers LLP | Senior Manager-Civil | THERUBALI, ODISHA | Aug 2025 | Jun 2026 | 0 Years, 10 Months, 12 Days | 10.17600
Hydrise Industries PVT LTD | Project Engineer - Civil | Seoni,Madhya Pradesh | Jun 2023 | Aug 2025 | 2 Years, 2 Months, 8 Days | 7.17600
 Sanjay Vyas  contractor &amp; Building materiel supplier  (Govt contractor) | Civil Engineer | Rajgarh, Madhya Pradesh | Apr 2016 | Aug 2017 | 1 Years, 4 Months, 30 Days | 3.60
Phojdar construction (Govt contractor &amp; Building materiel supplier)  | Civil Engineer | Madhya Pradesh | Sep 2017 | Nov 2023 | 6 Years, 2 Months, 29 Days | 4.20
L.N. MALVIYA INFRA | Field Engineer | Tikamgarh,Madhya Pradesh | Sep 2014 | Mar 2016 | 1 Years, 6 Months, 15 Days | 3.00</t>
  </si>
  <si>
    <t>147 month(s)</t>
  </si>
  <si>
    <t>PWD RAJGARH | TRAINEE | Rajgarh | Feb 2014 | Feb 2014 | 3 Weeks</t>
  </si>
  <si>
    <t xml:space="preserve">ADVANCE PROJECT MANAGEMENT- IIM KASHIPUR </t>
  </si>
  <si>
    <t>P26700607</t>
  </si>
  <si>
    <t xml:space="preserve">Leena </t>
  </si>
  <si>
    <t>Leena  Ravindra Patil</t>
  </si>
  <si>
    <t>P26700607@student.nicmar.ac.in</t>
  </si>
  <si>
    <t>14-Apr-2002</t>
  </si>
  <si>
    <t>Hindi,ENGLISH,MARATHI</t>
  </si>
  <si>
    <t>Dancing,cooking ,Basketball</t>
  </si>
  <si>
    <t>Varsha</t>
  </si>
  <si>
    <t>savarkar phutla near bhide bag deopur dhule</t>
  </si>
  <si>
    <t xml:space="preserve">CHAVARA ENGLISH MEDIUM SCHOOL </t>
  </si>
  <si>
    <t>DHULE ,MAHARASHTRA</t>
  </si>
  <si>
    <t xml:space="preserve">JAY HIND JUNIOR COLLEGE </t>
  </si>
  <si>
    <t>DHULE, MAHARASHTRA</t>
  </si>
  <si>
    <t>DY PATIL SCHOOL OF ARCHITECTURE,PUNE</t>
  </si>
  <si>
    <t>PUNE,MAHARASHTRA</t>
  </si>
  <si>
    <t>AUTOCAD ,SKETCHUP,LUMION,ENSCAPE,EXCEL,CANVA,VRAY,MSP</t>
  </si>
  <si>
    <t xml:space="preserve">VASTU ARCHITECTS | JUNIOR ARCHITECTS  | PUNE | Dec 2025 | May 2026 | 0 Years, 5 Months, 5 Days | 2.16 </t>
  </si>
  <si>
    <t>COMBINASHIONS | INTERN | PUNE  | Jan 2024 | Jun 2024 | 21 Weeks | Campus Internship</t>
  </si>
  <si>
    <t>Extra-Curricular Activities</t>
  </si>
  <si>
    <t>P26700608</t>
  </si>
  <si>
    <t>Wankhade</t>
  </si>
  <si>
    <t>Sejal</t>
  </si>
  <si>
    <t>Wankhade Sejal Sunil</t>
  </si>
  <si>
    <t>P26700608@student.nicmar.ac.in</t>
  </si>
  <si>
    <t>25-Jan-2003</t>
  </si>
  <si>
    <t>Travelling,Readiing,Sports</t>
  </si>
  <si>
    <t>Sunil Ramkrishna Wankhade</t>
  </si>
  <si>
    <t>Government Job</t>
  </si>
  <si>
    <t>Usha Sunil Wankhade</t>
  </si>
  <si>
    <t>"US Villa", Kishor Nagar Near Dhiraj General Store, Amravati</t>
  </si>
  <si>
    <t>1701, D wing, Sarthi Skybay, Mahalunge</t>
  </si>
  <si>
    <t>INDU CONSTRUCTION | Civil Engineer | Amravati | Jun 2024 | Dec 2024 | 0 Years, 6 Months, 30 Days | 0</t>
  </si>
  <si>
    <t>P26700609</t>
  </si>
  <si>
    <t>Shyamprasad</t>
  </si>
  <si>
    <t>Aarti Shyamprasad Dangat</t>
  </si>
  <si>
    <t>P26700609@student.nicmar.ac.in</t>
  </si>
  <si>
    <t>28-Sep-1998</t>
  </si>
  <si>
    <t>Sketching and visual design,readinng,fitness</t>
  </si>
  <si>
    <t>B2-403 SP residency
Pune saswad road</t>
  </si>
  <si>
    <t>ST. HELENA'S SCHOOL AND JUNIOR COLLEGE</t>
  </si>
  <si>
    <t>THE BISHOP'S SCHOOL</t>
  </si>
  <si>
    <t>DR BANUBEN NANAVATI COLLEGE OF ARCHITECTURE</t>
  </si>
  <si>
    <t>AutoCAD,BIM,SKETCHUP,LUMION,TWINMOTION</t>
  </si>
  <si>
    <t>Swanand Zankar Associates | Junior architect and project manager | Pune | Oct 2022 | May 2024 | 1 Years, 7 Months, 2 Days | 2.4
Associated Space Designers | Junior architect and project manager | Pune | Jun 2024 | Jun 2026 | 2 Years, 0 Months, 29 Days | 4.75</t>
  </si>
  <si>
    <t>P26700610</t>
  </si>
  <si>
    <t>ROUTHU</t>
  </si>
  <si>
    <t>JAGADEESH</t>
  </si>
  <si>
    <t>Routhu Jagadeesh</t>
  </si>
  <si>
    <t>P26700610@student.nicmar.ac.in</t>
  </si>
  <si>
    <t>26-Dec-2003</t>
  </si>
  <si>
    <t>Reading,Games,Music,Travelling</t>
  </si>
  <si>
    <t>ROUTHU LOKESH LATE</t>
  </si>
  <si>
    <t>ROUTHU SANTHI</t>
  </si>
  <si>
    <t>2-54 Pedda Veedhi, Saradhi Village, Rajam Mandal, Vizianagaram District-532127</t>
  </si>
  <si>
    <t>VARALAKSHMI ST.ANN'S HIGH SCHOOL</t>
  </si>
  <si>
    <t xml:space="preserve">Rajam/Andhra Pradesh </t>
  </si>
  <si>
    <t>SRI GCSR JUNIOR COLLEGE</t>
  </si>
  <si>
    <t>Rajam/Andhra Pradesh</t>
  </si>
  <si>
    <t>Andhra University College Of Engineering, Visakhapatnam/Andhra Pradesh</t>
  </si>
  <si>
    <t>MS Project,MS Office,Auto CAD,Revit,STAAD Pro</t>
  </si>
  <si>
    <t>SRINIVASA INFRA PROJECTS | Civil Engineer Intern | Rajam | May 2024 | Jun 2024 | 4 Weeks</t>
  </si>
  <si>
    <t xml:space="preserve"> TCS iON Career Edge - Young Professional</t>
  </si>
  <si>
    <t>P26700611</t>
  </si>
  <si>
    <t>Shivraj</t>
  </si>
  <si>
    <t>Shivraj Mahesh  Patil</t>
  </si>
  <si>
    <t>P26700611@student.nicmar.ac.in</t>
  </si>
  <si>
    <t>24-Jun-2005</t>
  </si>
  <si>
    <t xml:space="preserve">swimming,music,playing cricket </t>
  </si>
  <si>
    <t>10th</t>
  </si>
  <si>
    <t>Aruna</t>
  </si>
  <si>
    <t>Vrundavan Nivas purve patil galli Kumathe tal-Tasgaon Dist-Sangli</t>
  </si>
  <si>
    <t xml:space="preserve">LDPV Kumathe </t>
  </si>
  <si>
    <t>GA High School Sangli</t>
  </si>
  <si>
    <t xml:space="preserve">Walchand College of Engineering Sangli </t>
  </si>
  <si>
    <t>Basics of Auto Cad,MS Office ,MS Project</t>
  </si>
  <si>
    <t>P26700612</t>
  </si>
  <si>
    <t>Adarsh .</t>
  </si>
  <si>
    <t>tambakeadarsh45@gmail.com</t>
  </si>
  <si>
    <t>P26700612@student.nicmar.ac.in</t>
  </si>
  <si>
    <t>English,Hindi,Kannada,Marathi</t>
  </si>
  <si>
    <t>Watching Cricket,Formula 1,Designing,Clicking Pictures</t>
  </si>
  <si>
    <t>Lab Attendar</t>
  </si>
  <si>
    <t>Anjemma</t>
  </si>
  <si>
    <t>1-3-27, Chonde Galli, Near Siddiqui Shah team, Bidar</t>
  </si>
  <si>
    <t>1-3-27, Chonde Galli, Near Siddiqui Shah team, Bidar, Karnataka</t>
  </si>
  <si>
    <t>Govt. Adarsh Vidyalaya (RMSA)</t>
  </si>
  <si>
    <t>Karnataka School Examination and Assessment Board</t>
  </si>
  <si>
    <t>Maulana Azad Independent P U College</t>
  </si>
  <si>
    <t>Department of Pre-University Education</t>
  </si>
  <si>
    <t>Bangalore University</t>
  </si>
  <si>
    <t>University Visvesvaraya College of Engineering</t>
  </si>
  <si>
    <t>M S Project,MS Office,AutoCAD,Adobe Illustrator</t>
  </si>
  <si>
    <t>Arvind Smartsapces Limited | Senior Engineer | Bengaluru | Sep 2024 | Jul 2026 | 1 Years, 10 Months, 1 Days | 5.85</t>
  </si>
  <si>
    <t>Nishicon Infrastructures | Intern | Bengaluru | Feb 2024 | Mar 2024 | 4 Weeks</t>
  </si>
  <si>
    <t>P26700613</t>
  </si>
  <si>
    <t>CHARPE</t>
  </si>
  <si>
    <t>SHYAMPANT</t>
  </si>
  <si>
    <t>Charpe Rohit Shyampant</t>
  </si>
  <si>
    <t>rohitcharpe55@gmail.com</t>
  </si>
  <si>
    <t>P26700613@student.nicmar.ac.in</t>
  </si>
  <si>
    <t>07-May-2001</t>
  </si>
  <si>
    <t>PLAYING TABLA , PLAYING CRICKET</t>
  </si>
  <si>
    <t>SHYAMPANT CHARPE</t>
  </si>
  <si>
    <t>ARCHANA CHARPE</t>
  </si>
  <si>
    <t xml:space="preserve">AT WANDLI POST GADEGAON </t>
  </si>
  <si>
    <t>DECORPOT | PROJECT MANAGER | PUNE | Dec 2024 | Feb 2026 | 1 Years, 2 Months, 2 Days | 3.8</t>
  </si>
  <si>
    <t>P26700615</t>
  </si>
  <si>
    <t>Moon</t>
  </si>
  <si>
    <t>Anushka Pravin Moon</t>
  </si>
  <si>
    <t>P26700615@student.nicmar.ac.in</t>
  </si>
  <si>
    <t>Listening to Music,Cooking,photography,Walking</t>
  </si>
  <si>
    <t>Pravin Ramkrishna Moon</t>
  </si>
  <si>
    <t>Alka Pravin Moon</t>
  </si>
  <si>
    <t>Plot No. 80/7, Subhadra Appatment, Opposite of Hotel Center Point, Ujjwal Nagar, Wardha Road</t>
  </si>
  <si>
    <t>Plot No. 14, Behind Londe Jwellers, Besa-Beltarodi Road, Nagpur, 440037</t>
  </si>
  <si>
    <t>International Indian School</t>
  </si>
  <si>
    <t>Central Board of Secondary Education (CBSE), New Delhi, Delhi</t>
  </si>
  <si>
    <t>St. Xavier's High School</t>
  </si>
  <si>
    <t>Priyadarshini College of Engineering, Nagpur, Maharashtra</t>
  </si>
  <si>
    <t>AutoCAD with Structural Drafting</t>
  </si>
  <si>
    <t>P26700616</t>
  </si>
  <si>
    <t>Azeen</t>
  </si>
  <si>
    <t>Abdullah</t>
  </si>
  <si>
    <t>Athikkal</t>
  </si>
  <si>
    <t>Azeen Abdullah Athikkal</t>
  </si>
  <si>
    <t>P26700616@student.nicmar.ac.in</t>
  </si>
  <si>
    <t>08-May-2004</t>
  </si>
  <si>
    <t xml:space="preserve">Malyalam,English </t>
  </si>
  <si>
    <t>Music,sports</t>
  </si>
  <si>
    <t xml:space="preserve">Ahammed Muneer </t>
  </si>
  <si>
    <t>Ayisha Kp</t>
  </si>
  <si>
    <t>Muneer Manzil,edavanna PO</t>
  </si>
  <si>
    <t>Peevees Public School</t>
  </si>
  <si>
    <t>Central Board of Secondary Education/Kerala</t>
  </si>
  <si>
    <t xml:space="preserve">MES HSS MAMPAD </t>
  </si>
  <si>
    <t>KERALA BOARD OF HIGHER SECONDARY EDUCATION/KERALA</t>
  </si>
  <si>
    <t>COLLEGE OF ENGINEERING TRIVANDRUM/KERALA</t>
  </si>
  <si>
    <t>AUTOCAD,MS OFFICE,MS PROJECT</t>
  </si>
  <si>
    <t>P26700617</t>
  </si>
  <si>
    <t>Sarthak</t>
  </si>
  <si>
    <t xml:space="preserve">Digambar </t>
  </si>
  <si>
    <t>Chintaman</t>
  </si>
  <si>
    <t>Sarthak Digambar  Chintaman</t>
  </si>
  <si>
    <t>P26700617@student.nicmar.ac.in</t>
  </si>
  <si>
    <t>10-Dec-2003</t>
  </si>
  <si>
    <t>hindi,english,marathi</t>
  </si>
  <si>
    <t>Swiming,Sports</t>
  </si>
  <si>
    <t>Digambar Chintaman</t>
  </si>
  <si>
    <t>Swati Chintaman</t>
  </si>
  <si>
    <t xml:space="preserve">24,shraddha nivas,uplai road,deshmukh plot,shrikrishna colony,Barshi </t>
  </si>
  <si>
    <t>Chintaman Sarthak Digambar</t>
  </si>
  <si>
    <t>Kolhapur/Maharastra</t>
  </si>
  <si>
    <t xml:space="preserve">Sanjay Ghodawat Polytechnic,Kolhapur </t>
  </si>
  <si>
    <t>Sanjay Ghodawat University, Kolhapur</t>
  </si>
  <si>
    <t xml:space="preserve">Sanjay Ghodawat University, Kolhapur </t>
  </si>
  <si>
    <t>AutoCAD,MSProject</t>
  </si>
  <si>
    <t>P26700618</t>
  </si>
  <si>
    <t>ANGDRAO</t>
  </si>
  <si>
    <t>MAILARE</t>
  </si>
  <si>
    <t>Amey Angdrao Mailare</t>
  </si>
  <si>
    <t>P26700618@student.nicmar.ac.in</t>
  </si>
  <si>
    <t xml:space="preserve">TRAVELLING,Treking ,REEL MAKER </t>
  </si>
  <si>
    <t>ANGAD UDHAVRAO MAILARE</t>
  </si>
  <si>
    <t>JAYSHREE ANGADRAO MAILARE</t>
  </si>
  <si>
    <t>Gurukrupa Niwas Tilak Nagar Narsi Road Mukhed, Tq Mukhed Dist Nanded-431715</t>
  </si>
  <si>
    <t>CAMBRIDGE VIDYALAYA AND JR COLLEGE</t>
  </si>
  <si>
    <t>STATE BOARD OF MAHARASHTRA NANDED</t>
  </si>
  <si>
    <t>SHIVSHAKTI SECONDARY &amp; HIGHER SECONDARY SCHOOL KAKANDI NANDED</t>
  </si>
  <si>
    <t>PIMPRI CHINCHWAD COLLEGE OF ENGINERRING</t>
  </si>
  <si>
    <t>P26700619</t>
  </si>
  <si>
    <t>P.V.D.K.B</t>
  </si>
  <si>
    <t>SUBBAIAH</t>
  </si>
  <si>
    <t>P.v.d.k.b Manikanta Subbaiah</t>
  </si>
  <si>
    <t>P26700619@student.nicmar.ac.in</t>
  </si>
  <si>
    <t>26-Feb-2003</t>
  </si>
  <si>
    <t>Telugu, English ,Hindi</t>
  </si>
  <si>
    <t xml:space="preserve">Dancing , kabbadhi ,cinematograpy </t>
  </si>
  <si>
    <t xml:space="preserve">P.V.S.V.PRASAD RAO </t>
  </si>
  <si>
    <t>P.V.L.P.NAGESWARI</t>
  </si>
  <si>
    <t>27-16/18/6/1A 
SKN- 172
SRI KRISHNA NAGAR COLONY NEREDMET</t>
  </si>
  <si>
    <t>27-16/18/6/1A 
SRI KRISHNA NAGAR COLONY NEREDMET</t>
  </si>
  <si>
    <t>P26700620</t>
  </si>
  <si>
    <t>Surwade</t>
  </si>
  <si>
    <t>Anjali Surwade</t>
  </si>
  <si>
    <t>P26700620@student.nicmar.ac.in</t>
  </si>
  <si>
    <t>04-Oct-2004</t>
  </si>
  <si>
    <t xml:space="preserve">Marathi, Hindi, english </t>
  </si>
  <si>
    <t xml:space="preserve">Reading, music </t>
  </si>
  <si>
    <t>Sujit Surwade</t>
  </si>
  <si>
    <t>Aarti Surwade</t>
  </si>
  <si>
    <t>1502, Dhruv Heights, Sector 10, Kharghar, 410210</t>
  </si>
  <si>
    <t>Radcliffe School</t>
  </si>
  <si>
    <t xml:space="preserve">Maharashtra State Board Of Technical Education, Maharashtra </t>
  </si>
  <si>
    <t xml:space="preserve">JSPM Rajarshi Shahu College Of Engineering, Pune </t>
  </si>
  <si>
    <t>Autocad, Staadpro, Etabs,MS word ,Ms Excel</t>
  </si>
  <si>
    <t>Steelsoft Consulting Services | Design Intern  | Pune | Jun 2025 | Jan 2026 | 30 Weeks | Campus Internship</t>
  </si>
  <si>
    <t>P26700621</t>
  </si>
  <si>
    <t xml:space="preserve">KULDEEP </t>
  </si>
  <si>
    <t>Kuldeep  .</t>
  </si>
  <si>
    <t>P26700621@student.nicmar.ac.in</t>
  </si>
  <si>
    <t>26-Feb-1996</t>
  </si>
  <si>
    <t xml:space="preserve">Reading, Travelling, Music </t>
  </si>
  <si>
    <t xml:space="preserve">Rajbir Singh </t>
  </si>
  <si>
    <t>Sunita Devi</t>
  </si>
  <si>
    <t xml:space="preserve">WARD no 3 infront of fire brigade jind road narnaund dist hisar </t>
  </si>
  <si>
    <t>Hisar</t>
  </si>
  <si>
    <t xml:space="preserve">Holy Field Model Sr Sec School </t>
  </si>
  <si>
    <t xml:space="preserve">Board of School Education Haryana/ Haryana </t>
  </si>
  <si>
    <t xml:space="preserve">Upasana Sr Sec School Narnaund </t>
  </si>
  <si>
    <t xml:space="preserve">Board of School Education Haryana/Haryana </t>
  </si>
  <si>
    <t xml:space="preserve">Electrical Engineering </t>
  </si>
  <si>
    <t xml:space="preserve">PDM Polytechnic,Sarai Aurangabad, Bahadurgarh </t>
  </si>
  <si>
    <t xml:space="preserve">Kurukshetra University </t>
  </si>
  <si>
    <t xml:space="preserve">Indus Institute of Engineering and Technology,Jind/ Haryana </t>
  </si>
  <si>
    <t>AutoCAD, MS Office,MS Project</t>
  </si>
  <si>
    <t>Unity Group  | Assistant Manager  | Delhi  | May 2023 | Jul 2026 | 3 Years, 2 Months, 14 Days | 5</t>
  </si>
  <si>
    <t>P26700622</t>
  </si>
  <si>
    <t>P26700622@student.nicmar.ac.in</t>
  </si>
  <si>
    <t>Pravara Public School,Pravaranagar</t>
  </si>
  <si>
    <t>Sanjay Ghodawat Polytechnic/Maharashtra</t>
  </si>
  <si>
    <t>Bharati Vidyapeeth (Deemed to be University)</t>
  </si>
  <si>
    <t>Bharati Vidyapeeth (Deemed to be University) College of Architecture / Maharashtra</t>
  </si>
  <si>
    <t>Autocad,photoshop,MS office,MS project,lumion,sketchup,Enscape,Revit</t>
  </si>
  <si>
    <t>P26700623</t>
  </si>
  <si>
    <t>Meenal</t>
  </si>
  <si>
    <t>Sanjaykumar</t>
  </si>
  <si>
    <t>chougule</t>
  </si>
  <si>
    <t>Meenal Sanjaykumar Chougule</t>
  </si>
  <si>
    <t>P26700623@student.nicmar.ac.in</t>
  </si>
  <si>
    <t>11-Oct-1999</t>
  </si>
  <si>
    <t xml:space="preserve">Marathi , Hindi , English </t>
  </si>
  <si>
    <t xml:space="preserve">Travelling , Reading books , Playing vallyball ,editing in photoshop </t>
  </si>
  <si>
    <t xml:space="preserve">Sanjaykumar </t>
  </si>
  <si>
    <t>Retired Clerk</t>
  </si>
  <si>
    <t xml:space="preserve">Sharmila </t>
  </si>
  <si>
    <t xml:space="preserve">homemaker </t>
  </si>
  <si>
    <t>MAHAVIR CHOWK SHAHUNAGAR PLOT NM 450, JAIN MANDIR NEAR,  JAYSINGPUR</t>
  </si>
  <si>
    <t xml:space="preserve">Jantara Kalpvruksha Vidyamandir , Jaysingpur. Tal. shirol , Dist. Kolhapur. </t>
  </si>
  <si>
    <t>Maharashtra State Board of Secondary and Higher Secondary Education, Pune – Kolhapur</t>
  </si>
  <si>
    <t xml:space="preserve">J.J.Magdum , polytechnic college, Jaysingpur. </t>
  </si>
  <si>
    <t xml:space="preserve">Appasaheb Birnale college of Architecture, Sangli. </t>
  </si>
  <si>
    <t>Bim ,Autocad   ,Revit  ,ms office ,ms project,photoshop ,enscape ,sketchup ,execel</t>
  </si>
  <si>
    <t>Abhikalpan Architects &amp; Planners | Junior Architect | Pune, Maharashtra | Jan 2025 | Oct 2025 | 0 Years, 8 Months, 24 Days | 2.40</t>
  </si>
  <si>
    <t>MS DESIGNS Architects &amp; Interior Designers  | Intern Architect | Sangli, Maharashtra | Feb 2023 | May 2023 | 13 Weeks</t>
  </si>
  <si>
    <t xml:space="preserve">BIM ( BUILDING INFORMATION MODELING </t>
  </si>
  <si>
    <t>P26700624</t>
  </si>
  <si>
    <t>Raju</t>
  </si>
  <si>
    <t>Sabale</t>
  </si>
  <si>
    <t>Satyam Raju Sabale</t>
  </si>
  <si>
    <t>P26700624@student.nicmar.ac.in</t>
  </si>
  <si>
    <t xml:space="preserve">Music,Reading,Journaling </t>
  </si>
  <si>
    <t>Raju R. Sabale</t>
  </si>
  <si>
    <t>Sunita R. Sabale</t>
  </si>
  <si>
    <t>C,301, Audumber Nest, Morwadi, Pimpri-Chinchwad, Pune 411018</t>
  </si>
  <si>
    <t>Shree Shiv Chhtrapati Shivaji Raje High School, Chinchwad, Pune</t>
  </si>
  <si>
    <t>Maharashtra state board of secondary and Higher secondary education, Pune</t>
  </si>
  <si>
    <t xml:space="preserve">Government Polytechnic, Pune, Maharashtra </t>
  </si>
  <si>
    <t xml:space="preserve">Sinhgad Institute of Technology and Science, Narhe, Pune, Maharashtra </t>
  </si>
  <si>
    <t>AutoCAD,Ms office,MS Project,Project Coordination</t>
  </si>
  <si>
    <t>Darrvesh Construction  | Junior Engineer | Pune | Mar 2025 | Apr 2026 | 1 Years, 1 Months, 21 Days | 2.88</t>
  </si>
  <si>
    <t>Samruddhi Promotors | Site Engineer  | Pimpri- Chinchwad | Jan 2023 | Feb 2023 | 2 Weeks | Campus Internship</t>
  </si>
  <si>
    <t>P26700626</t>
  </si>
  <si>
    <t>SAMRUDDHI</t>
  </si>
  <si>
    <t>KAPOTE</t>
  </si>
  <si>
    <t>Samruddhi Vivek Kapote</t>
  </si>
  <si>
    <t>P26700626@student.nicmar.ac.in</t>
  </si>
  <si>
    <t>28-Dec-2002</t>
  </si>
  <si>
    <t>painting,music,travel</t>
  </si>
  <si>
    <t>Snehal</t>
  </si>
  <si>
    <t>Flat no.1, Kamla Park Appt., Govind Nagar, Nashik.</t>
  </si>
  <si>
    <t>Kilbil st. Joseph's High School</t>
  </si>
  <si>
    <t>Maharashtra State Board Of Secondary and Higher Secondary Education, Pune.</t>
  </si>
  <si>
    <t>Shri Pramod Patil (SPPAC) Jr. College, Nashik</t>
  </si>
  <si>
    <t>AutoCAD, SketchUp,d5,Lumion,revit,Photoshop,MS Office,MS Project</t>
  </si>
  <si>
    <t>PRC Architects  | Intern | Khar, Mumbai | Dec 2024 | Apr 2025 | 17 Weeks</t>
  </si>
  <si>
    <t>P26700627</t>
  </si>
  <si>
    <t>Saurabh</t>
  </si>
  <si>
    <t>Saurabh Krishna Patil</t>
  </si>
  <si>
    <t>P26700627@student.nicmar.ac.in</t>
  </si>
  <si>
    <t>09-May-2000</t>
  </si>
  <si>
    <t>Coding,Data Wrangling,Reading</t>
  </si>
  <si>
    <t>Krishna Patil</t>
  </si>
  <si>
    <t>Suvarna Patil</t>
  </si>
  <si>
    <t>PLOT 228/C-20, PRASAD CHS, GORAI2 , BORIVALI WEST
BORIVALI WEST</t>
  </si>
  <si>
    <t>St Rock's high School</t>
  </si>
  <si>
    <t>Swami Vivekanand Jr College Of Science</t>
  </si>
  <si>
    <t>Maharashtra state Board of higher Secondary Education</t>
  </si>
  <si>
    <t>Dr Dy Patil Institute Of Engineering And Technology</t>
  </si>
  <si>
    <t>Autocad , Ms office,Ms project,Python,SQL,Power BI,Tableau,Excel</t>
  </si>
  <si>
    <t xml:space="preserve">Ansh Infratech Private Limited  | Jr Engineer  | STP Malwani Malad West Mumbai  | Jun 2022 | Jul 2024 | 2 Years, 1 Months, 11 Days | 2.5 </t>
  </si>
  <si>
    <t>Bajaj Life Insurance  | Data Engineer  | Viman Nagar, Pune | Sep 2025 | Mar 2026 | 26 Weeks</t>
  </si>
  <si>
    <t>AutoCAD For Civil Engineers And Architects
Post Graduate Diploma In Big Data Analytics
Tata Group: Data Visualisation : Empowering Business with Effective Insights and Job Simulation
Post Graduate Diploma in Project Planning</t>
  </si>
  <si>
    <t>P26700628</t>
  </si>
  <si>
    <t>VIGNESHWAR</t>
  </si>
  <si>
    <t>N S A</t>
  </si>
  <si>
    <t>Vigneshwar N S A</t>
  </si>
  <si>
    <t>P26700628@student.nicmar.ac.in</t>
  </si>
  <si>
    <t>03-Sep-1998</t>
  </si>
  <si>
    <t xml:space="preserve">MUSIC MOVIES COOKING </t>
  </si>
  <si>
    <t>SREE ANBASARU N K S</t>
  </si>
  <si>
    <t>DIVISIONAL ENGINEER</t>
  </si>
  <si>
    <t>VANITHA A</t>
  </si>
  <si>
    <t>ASSOCIATE PROFFESOR</t>
  </si>
  <si>
    <t xml:space="preserve">3B3 GANAPATHY LAYOUT, 3RD CROSS, KK PUDUR, COIMBATORE </t>
  </si>
  <si>
    <t>The Camford International School</t>
  </si>
  <si>
    <t>AVB matriculation higher secondary school</t>
  </si>
  <si>
    <t>State Board of School Examinations, Tamilnadu</t>
  </si>
  <si>
    <t>MAASS FOUNDATION IND(P) LTD | Site Engioneer, Site coordinator | COIMBATORE | Jan 2024 | Jun 2026 | 2 Years, 5 Months, 8 Days | 3</t>
  </si>
  <si>
    <t>P26700629</t>
  </si>
  <si>
    <t xml:space="preserve">Gautam </t>
  </si>
  <si>
    <t>Hooda</t>
  </si>
  <si>
    <t>Gautam  Hooda</t>
  </si>
  <si>
    <t>P26700629@student.nicmar.ac.in</t>
  </si>
  <si>
    <t>07-Dec-2001</t>
  </si>
  <si>
    <t xml:space="preserve">Sports, Music </t>
  </si>
  <si>
    <t xml:space="preserve">Mr. Surender kumar </t>
  </si>
  <si>
    <t xml:space="preserve">Self-employed </t>
  </si>
  <si>
    <t xml:space="preserve">Mrs. Pramila hooda </t>
  </si>
  <si>
    <t xml:space="preserve">VPO.barota tehsil Gohana district sonipat </t>
  </si>
  <si>
    <t>Sonipat</t>
  </si>
  <si>
    <t xml:space="preserve">Holy family convert school gohana </t>
  </si>
  <si>
    <t xml:space="preserve">Ishwar international School gohana </t>
  </si>
  <si>
    <t xml:space="preserve">Deen Bandhu chhotu Ram university of science and technology </t>
  </si>
  <si>
    <t>MS projects , MS excel</t>
  </si>
  <si>
    <t>Adani realty  | Assistant manager- projects | Gurgaon  | Jul 2024 | Jul 2026 | 2 Years, 0 Months, 0 Days | 8.26</t>
  </si>
  <si>
    <t>M/s URS Scott Wilson India Pvt. Ltd. | Execution consultant Intern | Delhi | Jul 2023 | Dec 2023 | 22 Weeks</t>
  </si>
  <si>
    <t>P26700630</t>
  </si>
  <si>
    <t>Anjali Ashok Jadhav</t>
  </si>
  <si>
    <t>P26700630@student.nicmar.ac.in</t>
  </si>
  <si>
    <t>06-Nov-1999</t>
  </si>
  <si>
    <t>Marathi,English, Hindi</t>
  </si>
  <si>
    <t xml:space="preserve">Music, drawing </t>
  </si>
  <si>
    <t>Ashok Dattatray Jadhav</t>
  </si>
  <si>
    <t>Shesha Ashok Jadhav</t>
  </si>
  <si>
    <t>At post Salgar Bk, Salgar vasti, Taluka Mangalwedha, District Solapur.</t>
  </si>
  <si>
    <t>B/13, 4th floor, Sharada Heritage, Hingne Chowk, Sinhagad Road, Hingne Khurd</t>
  </si>
  <si>
    <t>Vidyamandir High School and Junior College, Salgar bk</t>
  </si>
  <si>
    <t>Maharashtra State Board of Secondary and Higher Secondary, Pune</t>
  </si>
  <si>
    <t>Diploma in Civil</t>
  </si>
  <si>
    <t>S.H.Jondhale Polytechnic, Dombivili West</t>
  </si>
  <si>
    <t>JSPM's Imperial College of Engineering and Research, Wagholi Pune</t>
  </si>
  <si>
    <t>AutoCAD,Revit, MS Office,MS Project,STAAD.Pro</t>
  </si>
  <si>
    <t>J.Kumar Infrastructure Pvt. Ltd. | Intern | Pune | Jul 2021 | Nov 2021 | 17 Weeks | Campus Internship
Maharashtra Metro Rail Corporation Ltd. | Intern | Pune | Aug 2021 | Oct 2021 | 6 Weeks</t>
  </si>
  <si>
    <t>P26700631</t>
  </si>
  <si>
    <t>Tejas Satish Gaikwad</t>
  </si>
  <si>
    <t>tejasg978@gmail.com</t>
  </si>
  <si>
    <t>P26700631@student.nicmar.ac.in</t>
  </si>
  <si>
    <t>06-Jan-2002</t>
  </si>
  <si>
    <t>Scuba Diving,Sky Diving ,Music,Fitness,Driving</t>
  </si>
  <si>
    <t>Ashwini</t>
  </si>
  <si>
    <t>Rushiraj Hi-Rise, Gangapur Road, Nashik, Maharashtra- 422013.</t>
  </si>
  <si>
    <t>Horizon Academy</t>
  </si>
  <si>
    <t>Indian Certificate of Secondary Education (ICSE), Nashik, Maharashtra</t>
  </si>
  <si>
    <t>Commerce, Management &amp; Computer Science (C.M.C.S.) College</t>
  </si>
  <si>
    <t>State Board, Nashik, Maharashtra</t>
  </si>
  <si>
    <t>Ajeenkya D.Y. Patil University</t>
  </si>
  <si>
    <t>Ajeenkya D.Y. Patil School of Architecture, Lohegaon, Pune</t>
  </si>
  <si>
    <t>Autocad,Sketchup,Enscape,Lumion,Microsoft Projects,Microsoft Suite,Technical Skills,Communication Skills,Revit,Presentation Skills</t>
  </si>
  <si>
    <t>Insignis Theorem | Junior Architect | Ahmedabad, Gujarat | Sep 2025 | Jun 2026 | 0 Years, 9 Months, 29 Days</t>
  </si>
  <si>
    <t>EssTeam Architects | Intern Architect | Surat, Gujarat, India | Jun 2024 | Dec 2024 | 29 Weeks</t>
  </si>
  <si>
    <t>Mud Workshop
Human Rights</t>
  </si>
  <si>
    <t>P26700632</t>
  </si>
  <si>
    <t>Shreyasi</t>
  </si>
  <si>
    <t>Prakashrao</t>
  </si>
  <si>
    <t>Shreyasi Prakashrao Modak</t>
  </si>
  <si>
    <t>modakshreyasi03@gmail.com</t>
  </si>
  <si>
    <t>P26700632@student.nicmar.ac.in</t>
  </si>
  <si>
    <t>19-Mar-2000</t>
  </si>
  <si>
    <t>Singing, Reading,Film and Art Analysis</t>
  </si>
  <si>
    <t>35, Aradhana Nagar, Kharbi Ring Road</t>
  </si>
  <si>
    <t>Zolo Townhouse, Balewadi</t>
  </si>
  <si>
    <t>Sanjuba High School</t>
  </si>
  <si>
    <t>Central Board of Secondary Education, Nagpur, Maharashtra</t>
  </si>
  <si>
    <t>Kamla Nehru Mahavidyalaya</t>
  </si>
  <si>
    <t>Maharashtra State Board of secondary and Higher Education</t>
  </si>
  <si>
    <t>Rashtrasanta Tukdoji Maharaj Nagpur University</t>
  </si>
  <si>
    <t>MS Office,AutoCAD,Staad Pro,Etabs,Construction Planning and Scheduling,Navisworks,Data Driven decision making,Technical Documentation,Cross functional Coordination</t>
  </si>
  <si>
    <t>M2K Creations | Junior Designer | Nagpur | Apr 2023 | Oct 2023 | 0 Years, 6 Months, 29 Days | 1.8
Vijay Vishwakarma Structural Consultancy | Structural Design Engineer | Nagpur | Nov 2023 | Nov 2025 | 2 Years, 0 Months, 0 Days | 4.2</t>
  </si>
  <si>
    <t>Lexie Healthcare Pvt. Ltd. | Marketing Intern | Nagpur | Dec 2021 | Mar 2022 | 14 Weeks</t>
  </si>
  <si>
    <t>P26700633</t>
  </si>
  <si>
    <t xml:space="preserve">Pratik </t>
  </si>
  <si>
    <t>Jaiprakash</t>
  </si>
  <si>
    <t>Baldawa</t>
  </si>
  <si>
    <t>Pratik  Jaiprakash Baldawa</t>
  </si>
  <si>
    <t>baldawapratik1108@gmail.com</t>
  </si>
  <si>
    <t>P26700633@student.nicmar.ac.in</t>
  </si>
  <si>
    <t>11-Aug-2003</t>
  </si>
  <si>
    <t>Sketching,Painting,Sports,Music,Photography</t>
  </si>
  <si>
    <t xml:space="preserve">Shiri Krishna Mandir Road, Bodha Nagar Hadgaon, dist. Nanded </t>
  </si>
  <si>
    <t>Shree Swaminarayan Gurukul INTL. School Solapur</t>
  </si>
  <si>
    <t xml:space="preserve">Solapur, Maharashtra </t>
  </si>
  <si>
    <t>Shri Datt Kalavani College Hadgaon, Nanded</t>
  </si>
  <si>
    <t>Hadgaon, DIST. Nanded</t>
  </si>
  <si>
    <t>Savitribai Phule Pune University.</t>
  </si>
  <si>
    <t>Autocad,MS office,MS project,Photoshop,Sketchup,Lumion,D-5 renders,Adobe Premier Pro,After Effects</t>
  </si>
  <si>
    <t>The Grid Architects  | Intern Architect | Ahmedabad | Jun 2025 | Dec 2025 | 26 Weeks</t>
  </si>
  <si>
    <t>P26700634</t>
  </si>
  <si>
    <t>Mayuri</t>
  </si>
  <si>
    <t>Latpate</t>
  </si>
  <si>
    <t>Mayuri Dattatray Latpate</t>
  </si>
  <si>
    <t>mayurilatpate867@gmail.com</t>
  </si>
  <si>
    <t>P26700634@student.nicmar.ac.in</t>
  </si>
  <si>
    <t>15-Feb-2002</t>
  </si>
  <si>
    <t>Classical dance</t>
  </si>
  <si>
    <t>Dattatray Kundlikrao Latpate</t>
  </si>
  <si>
    <t>Rekha Dattatray Latpate</t>
  </si>
  <si>
    <t>Dhanlaxmi apartment, dhanlaxmi nagar
jintur road</t>
  </si>
  <si>
    <t>Aurbindo Aksharjyoti School</t>
  </si>
  <si>
    <t>Maharashtra State Board, Parbhani, Maharashtra</t>
  </si>
  <si>
    <t xml:space="preserve">Mahatma Phule Junior college </t>
  </si>
  <si>
    <t>COEP Technological University, Pune, Maharashtra</t>
  </si>
  <si>
    <t>Bachelor of Planning</t>
  </si>
  <si>
    <t>AutoCAD,GIS</t>
  </si>
  <si>
    <t>Vikram Infra | Intern | Pune | Jun 2023 | Jun 2024 | 52 Weeks</t>
  </si>
  <si>
    <t>P26700635</t>
  </si>
  <si>
    <t xml:space="preserve">Deshmukh </t>
  </si>
  <si>
    <t xml:space="preserve">Deshmukh  Yash Rajesh </t>
  </si>
  <si>
    <t>P26700635@student.nicmar.ac.in</t>
  </si>
  <si>
    <t>02-Dec-2000</t>
  </si>
  <si>
    <t xml:space="preserve">Hindi, English, Marathi </t>
  </si>
  <si>
    <t>Playing cricket,Learning Technological Advancements in Construction</t>
  </si>
  <si>
    <t xml:space="preserve">Rajesh Deshmukh </t>
  </si>
  <si>
    <t xml:space="preserve">Archana Deshmukh </t>
  </si>
  <si>
    <t xml:space="preserve">27,Shree Path Nagar,Bhadgaon Road Chalisgaon </t>
  </si>
  <si>
    <t>51,Kabir Baug Matha Sanstha Narayan peth pune</t>
  </si>
  <si>
    <t xml:space="preserve">Good Shepherd Academy, Chalisgaon </t>
  </si>
  <si>
    <t xml:space="preserve">Maharashtra State Board of Secondary and Higher secondary education,Pune Maharashtra </t>
  </si>
  <si>
    <t>Maharashtra State Board of Technical Education</t>
  </si>
  <si>
    <t>AISSMS,COE,Pune</t>
  </si>
  <si>
    <t>AISSMS,COE,PUNE</t>
  </si>
  <si>
    <t>Master of Engineering (M.E.)</t>
  </si>
  <si>
    <t>AutoCad,E-Tabs,Staadpro,MS Office,MS Project,Primavera</t>
  </si>
  <si>
    <t>Z.P Work Department, Sub-division Haveli,Pune | Sub-supervsior | Khanapur Haveli Taluka,pune | May 2019 | Jun 2019 | 6 Weeks
MAHA Metro Rail Corporation Ltd., Pune Metro Project (Reach 2) | Construction Site Supervision | Pune Metro Office, Near Lagu Bandhu shop, Nalstop, Pune | May 2023 | Jun 2023 | 4 Weeks</t>
  </si>
  <si>
    <t>P26700636</t>
  </si>
  <si>
    <t>Bandoba</t>
  </si>
  <si>
    <t>Ghadage</t>
  </si>
  <si>
    <t>Priya Bandoba Ghadage</t>
  </si>
  <si>
    <t>P26700636@student.nicmar.ac.in</t>
  </si>
  <si>
    <t>Book Reading, Wild life photography</t>
  </si>
  <si>
    <t>Bandoba Vasudev Ghadage</t>
  </si>
  <si>
    <t>Sneha Bandoba Ghadage</t>
  </si>
  <si>
    <t>Banawadi, Karad</t>
  </si>
  <si>
    <t>A 302, Olympia Sociaty,
Bhumker chauk, Wakad, Pune.</t>
  </si>
  <si>
    <t>Jagruti Vidyamandir, Banawadi</t>
  </si>
  <si>
    <t xml:space="preserve">SSc board, Maharashtra </t>
  </si>
  <si>
    <t>Sadguru Gadage Maharaj collage, karad</t>
  </si>
  <si>
    <t>HSC board, Maharashtra</t>
  </si>
  <si>
    <t>Shivaji University Karad</t>
  </si>
  <si>
    <t>Rajarambapu Institute Of Technology, Sangli</t>
  </si>
  <si>
    <t>Auto CAD,MS Project,primavera,Staadpro,Etabs</t>
  </si>
  <si>
    <t>B. U. Bandary Energy Pvt. Ltd. | Quality Control Intern | Wakad, Pune. | Dec 2025 | Jun 2026 | 26 Weeks | Campus Internship</t>
  </si>
  <si>
    <t>P26700637</t>
  </si>
  <si>
    <t>ANISH REDDY</t>
  </si>
  <si>
    <t>MADI REDDY</t>
  </si>
  <si>
    <t>Anish Reddy Madi Reddy</t>
  </si>
  <si>
    <t>P26700637@student.nicmar.ac.in</t>
  </si>
  <si>
    <t>Telugu,English,hindi</t>
  </si>
  <si>
    <t>Drawing,badminton,music,reading</t>
  </si>
  <si>
    <t>M. Venkat Ram Reddy</t>
  </si>
  <si>
    <t>M. Swathi</t>
  </si>
  <si>
    <t>22-57/2/558/A/1</t>
  </si>
  <si>
    <t>GMR Chinmaya Vidyalaya</t>
  </si>
  <si>
    <t>CBSE, Hyderabad</t>
  </si>
  <si>
    <t xml:space="preserve">Geetanjali High School </t>
  </si>
  <si>
    <t>Vardhaman College Of Engineering</t>
  </si>
  <si>
    <t>Vardhaman College Of Engineering, Hyderabad</t>
  </si>
  <si>
    <t>P26700638</t>
  </si>
  <si>
    <t>P26700638@student.nicmar.ac.in</t>
  </si>
  <si>
    <t>P26700639</t>
  </si>
  <si>
    <t>P26700639@student.nicmar.ac.in</t>
  </si>
  <si>
    <t>P26700640</t>
  </si>
  <si>
    <t>P26700640@student.nicmar.ac.in</t>
  </si>
  <si>
    <t>P26700641</t>
  </si>
  <si>
    <t>Aditya  Sanjay Jadhav</t>
  </si>
  <si>
    <t>P26700641@student.nicmar.ac.in</t>
  </si>
  <si>
    <t>31-Oct-2002</t>
  </si>
  <si>
    <t>Reading,Fitness Training,cooking</t>
  </si>
  <si>
    <t>Shrihari complex ,shikrapur road ,chakan ,Pune</t>
  </si>
  <si>
    <t>Pius Memorial High School</t>
  </si>
  <si>
    <t>Government Polytechnic,Pune</t>
  </si>
  <si>
    <t>AutoCAD,MS Project,Sketchup</t>
  </si>
  <si>
    <t>Generic Engineering Construction And Projects Ltd. | Junior Site Engineer | Pune | Dec 2023 | Jan 2024 | 4 Weeks | Campus Internship</t>
  </si>
  <si>
    <t>P26700642</t>
  </si>
  <si>
    <t xml:space="preserve">Bhausaheb </t>
  </si>
  <si>
    <t>Mate</t>
  </si>
  <si>
    <t>Rutik Bhausaheb  Mate</t>
  </si>
  <si>
    <t>P26700642@student.nicmar.ac.in</t>
  </si>
  <si>
    <t>21-Feb-2002</t>
  </si>
  <si>
    <t>Travelling, fitness, etc</t>
  </si>
  <si>
    <t>D.I.A.T Road Khadakwasla, Pune-411024</t>
  </si>
  <si>
    <t>P26700643</t>
  </si>
  <si>
    <t>Shreyash</t>
  </si>
  <si>
    <t>Aher Shreyash Mahesh</t>
  </si>
  <si>
    <t>P26700643@student.nicmar.ac.in</t>
  </si>
  <si>
    <t>19-Apr-2004</t>
  </si>
  <si>
    <t>Music,Reading,Playing Cricket</t>
  </si>
  <si>
    <t>Mahesh Kacharu Aher</t>
  </si>
  <si>
    <t>Shalini Mahesh Aher</t>
  </si>
  <si>
    <t>A/p Loni kh Tal-rahata Nirmal Primpri Road near church</t>
  </si>
  <si>
    <t>Pravara Public School Pravaranagar</t>
  </si>
  <si>
    <t>Maharastra State Board Of Secondary and Higher Secondary Education ,Pune, Maharastra</t>
  </si>
  <si>
    <t>Maharastra State Board Of Secondary and Higher Secondary Education,Pune,Maharastra</t>
  </si>
  <si>
    <t>Amrutvahini College Of Engineering (AVCOE) ,Sangamner,Maharashtra</t>
  </si>
  <si>
    <t>Microsoft Excel ,MS office,MS Project  ,Autocad</t>
  </si>
  <si>
    <t>Grow High Engineers | Junior Engineer | Nashik | Dec 2024 | Jan 2025 | 4 Weeks</t>
  </si>
  <si>
    <t>P26700644</t>
  </si>
  <si>
    <t>Ujwal</t>
  </si>
  <si>
    <t>Ujwal Dubey</t>
  </si>
  <si>
    <t>P26700644@student.nicmar.ac.in</t>
  </si>
  <si>
    <t>27-Jan-2001</t>
  </si>
  <si>
    <t>Reading,Dancing,Music,Volleyball</t>
  </si>
  <si>
    <t>Sanjeev Kumar</t>
  </si>
  <si>
    <t>Renu Bala</t>
  </si>
  <si>
    <t>H No. 94, Mangal Nagar, Patta Paloura, Talab Tillo, Jammu</t>
  </si>
  <si>
    <t>G D Goenka Public School</t>
  </si>
  <si>
    <t>Central Board of Secondary Education , Jammu</t>
  </si>
  <si>
    <t>Shri Mata Vaishno Devi University</t>
  </si>
  <si>
    <t>AutoCAD, MS Project</t>
  </si>
  <si>
    <t>MCCS Infra PVT. LTD. | Site Engineer | Vijaypur, Jammu | Apr 2024 | Nov 2025 | 1 Years, 7 Months, 11 Days | 3.36
M/S Ankit Gupta | Site Engineer | Nagrota, Jammu | Jan 2025 | Mar 2026 | 1 Years, 2 Months, 9 Days | 4</t>
  </si>
  <si>
    <t>Vikas &amp; Associates | Intern | Jammu | Apr 2021 | Sep 2021 | 26 Weeks | Campus Internship</t>
  </si>
  <si>
    <t>P26700645</t>
  </si>
  <si>
    <t>Ghumatkar.</t>
  </si>
  <si>
    <t>Tejas Ganesh Ghumatkar.</t>
  </si>
  <si>
    <t>P26700645@student.nicmar.ac.in</t>
  </si>
  <si>
    <t>hindi english</t>
  </si>
  <si>
    <t>playing football</t>
  </si>
  <si>
    <t>Ganesh Shantaram Ghumatkar</t>
  </si>
  <si>
    <t>Sarika Ganesh Ghumatkar</t>
  </si>
  <si>
    <t>Politician</t>
  </si>
  <si>
    <t>Sobhagyaaishwerya bunglo wada road Rajgurunagar t khed d pune</t>
  </si>
  <si>
    <t>Pius ,Memorial High School</t>
  </si>
  <si>
    <t>Maharashtra State Board Of Secondary And Higher Pune</t>
  </si>
  <si>
    <t>Mahatma Gandhi Vidhalay Rajgurunagar</t>
  </si>
  <si>
    <t>Maharashtra State Board of Higher And Secondary Education Pune</t>
  </si>
  <si>
    <t>Savitribai Phule Pune Univercity Pune</t>
  </si>
  <si>
    <t>Marathwada Mitra Mandals Collage Of Architecturer</t>
  </si>
  <si>
    <t>AutoCad , Sketchup , Vray . 3D Max</t>
  </si>
  <si>
    <t>Prashant Deshmukh And Associates | Intern | Swargate near Green Park PUNE | Jun 2025 | Dec 2025 | 30 Weeks</t>
  </si>
  <si>
    <t>P26700646</t>
  </si>
  <si>
    <t>Subodh</t>
  </si>
  <si>
    <t>Shravani Subodh Bhosale</t>
  </si>
  <si>
    <t>P26700646@student.nicmar.ac.in</t>
  </si>
  <si>
    <t>dancing,trekking,travelling and exploring ne places,volunteering and community activities</t>
  </si>
  <si>
    <t>Shaila</t>
  </si>
  <si>
    <t>4,Sai Nakshatra Apt behind Signus hospital eco-city Pathardi Phata ,Nashik</t>
  </si>
  <si>
    <t>St.Francis High School</t>
  </si>
  <si>
    <t xml:space="preserve">Maharashtra State Board of Secondary and Higher Secondary Education,Pune/Maharashtra   </t>
  </si>
  <si>
    <t xml:space="preserve">Guru Gobind Singh Jr College </t>
  </si>
  <si>
    <t>Pune University</t>
  </si>
  <si>
    <t>Maratha Vidya Prasarak Samaj's Sharadchandraji Pawar College of Architecture,Nashik</t>
  </si>
  <si>
    <t>AutoCad,Sketchup ,Revit , Photoshop</t>
  </si>
  <si>
    <t>KAF Architects | Intern | Bangalore | Jun 2025 | Nov 2025 | 23 Weeks | Campus Internship</t>
  </si>
  <si>
    <t>P26700647</t>
  </si>
  <si>
    <t>Anmol</t>
  </si>
  <si>
    <t>Gondchar</t>
  </si>
  <si>
    <t>Anmol Kailas Gondchar</t>
  </si>
  <si>
    <t>akgondchar@gmail.com</t>
  </si>
  <si>
    <t>P26700647@student.nicmar.ac.in</t>
  </si>
  <si>
    <t>25-Sep-2003</t>
  </si>
  <si>
    <t>Reading books,Exploring,Riding car</t>
  </si>
  <si>
    <t>Kailas Gondchar</t>
  </si>
  <si>
    <t>Vaishali Kailas Gondchar</t>
  </si>
  <si>
    <t>Akola road, kisan mechanical centre, Akot, Akola</t>
  </si>
  <si>
    <t>Saint Paul's Academy Akot</t>
  </si>
  <si>
    <t>Maharashtra state board of secondary and higher secondary education, Pune</t>
  </si>
  <si>
    <t>Vidya Pratishthan's Kamalnayan Bajaj Institute of Engineering &amp; Technology, Baramati, Maharashtra</t>
  </si>
  <si>
    <t>Autocad,MS office,MS Project</t>
  </si>
  <si>
    <t>P26700648</t>
  </si>
  <si>
    <t>Ramakant</t>
  </si>
  <si>
    <t>Korde</t>
  </si>
  <si>
    <t>Harshal Ramakant Korde</t>
  </si>
  <si>
    <t>P26700648@student.nicmar.ac.in</t>
  </si>
  <si>
    <t xml:space="preserve"> English,Hindi,marathi</t>
  </si>
  <si>
    <t>Gym,cricket ,drama ,football, music, travelling, photography</t>
  </si>
  <si>
    <t xml:space="preserve">Ramakant </t>
  </si>
  <si>
    <t>Vivanta Life Vishaka,D-404,near Kamal Park,Dhanori</t>
  </si>
  <si>
    <t xml:space="preserve">St.Patrick Convent High School </t>
  </si>
  <si>
    <t>MSBSHSE,Nashik,Maharashtra</t>
  </si>
  <si>
    <t>Fergusson College</t>
  </si>
  <si>
    <t>MSBSHSE,Pune,Maharashta</t>
  </si>
  <si>
    <t>Savitribai Phule University of Pune</t>
  </si>
  <si>
    <t>D.Y.Patil College of Engineering,Lohegaon</t>
  </si>
  <si>
    <t>MS Office,MS Project ,ms excel, autocad, ms powerpoint</t>
  </si>
  <si>
    <t>Ammunition Factory Khadki (Ministry of Defence) | Engineering Graduate Apprentice | pune | May 2025 | May 2026 | 0 Years, 11 Months, 29 Days | 0</t>
  </si>
  <si>
    <t>Pride Purple Group | Engineer Trainee | pune | Mar 2023 | Mar 2023 | 4 Weeks | Campus Internship</t>
  </si>
  <si>
    <t>P26700649</t>
  </si>
  <si>
    <t>Yash Vijay Patil</t>
  </si>
  <si>
    <t>P26700649@student.nicmar.ac.in</t>
  </si>
  <si>
    <t>Savita</t>
  </si>
  <si>
    <t>Patil Wasti , Chandapuri Taluka: Malshiras , District:Solapur</t>
  </si>
  <si>
    <t>SMP English School Akluj</t>
  </si>
  <si>
    <t>Maharashtra State board of secondary and higher secondary education pune</t>
  </si>
  <si>
    <t>Savitribai Phule Pune University Pune</t>
  </si>
  <si>
    <t>D Y Patil College of Engineering Akurdi, Pune</t>
  </si>
  <si>
    <t>Autocad,MS Office ,MS Project,MS Excel</t>
  </si>
  <si>
    <t>P26700650</t>
  </si>
  <si>
    <t>Rushikesh Pawar</t>
  </si>
  <si>
    <t>P26700650@student.nicmar.ac.in</t>
  </si>
  <si>
    <t>02-Sep-2000</t>
  </si>
  <si>
    <t>Hindi, English,Marathi</t>
  </si>
  <si>
    <t>Uday Pawar</t>
  </si>
  <si>
    <t>Sonali Pawar</t>
  </si>
  <si>
    <t>House no 642 ward no 14 chapora district burhanpur  
(Madhya Pradesh)</t>
  </si>
  <si>
    <t>Burhanpur</t>
  </si>
  <si>
    <t>Seva Sadan higher Secondary School</t>
  </si>
  <si>
    <t>Madhya Pradesh state board Bhopal</t>
  </si>
  <si>
    <t>GH Raisoni college of Polytechnic</t>
  </si>
  <si>
    <t>Rajiv Gandhi Proudyogiki Vishwavidyalaya</t>
  </si>
  <si>
    <t>Chameli Devi Group of Institute</t>
  </si>
  <si>
    <t>MS OFFICE,MS PROJECT,ERP. SAP</t>
  </si>
  <si>
    <t>UST | Enterprise Structure developer I | Thiruvananthapuram | May 2024 | Jul 2026 | 2 Years, 1 Months, 27 Days | 6</t>
  </si>
  <si>
    <t>P26700651</t>
  </si>
  <si>
    <t>Machindra</t>
  </si>
  <si>
    <t>Tanmay Machindra Deshmukh</t>
  </si>
  <si>
    <t>P26700651@student.nicmar.ac.in</t>
  </si>
  <si>
    <t xml:space="preserve">English , Hindi , Marathi </t>
  </si>
  <si>
    <t xml:space="preserve">Reading ,travelling </t>
  </si>
  <si>
    <t>Shubhangi</t>
  </si>
  <si>
    <t>Atpost-jaigaon, tal-khatav, dist-Satara</t>
  </si>
  <si>
    <t>SUNSHINE ENGLISH MEDIUM SCHOOL KHATAV</t>
  </si>
  <si>
    <t>RAMCHANDRA MASU MAHADIK Jr. COLLEGE , PETH</t>
  </si>
  <si>
    <t>DR D Y PATIL COLLEGE OF ARCHITECTURE , AKURDI ,PUNE</t>
  </si>
  <si>
    <t>AUTOCAD,MS OFFICE ,SKETCHUP ,LUMION ,MS PROJECT ,PROJECT COORDINATION ,POWER BI (BASIC)</t>
  </si>
  <si>
    <t>Advantage Archirecture | Architectural Intern | PUNE | May 2023 | Sep 2023 | 0 Years, 4 Months, 29 Days
PIANKH DESIGN SPACES | JR ARCHITECT | PUNE | Jun 2024 | Dec 2025 | 1 Years, 6 Months, 30 Days | 3.3
MENLO REALTY | ARCHITECT - PROJET COORDINATOR | SHIVAJINAGAR , PUNE | Jan 2026 | Jun 2026 | 0 Years, 5 Months, 29 Days | 4.20</t>
  </si>
  <si>
    <t>P26700652</t>
  </si>
  <si>
    <t>Ramrao</t>
  </si>
  <si>
    <t>Swapnil Ramrao Rathod</t>
  </si>
  <si>
    <t>P26700652@student.nicmar.ac.in</t>
  </si>
  <si>
    <t>14-Mar-2001</t>
  </si>
  <si>
    <t>Travelling ,Playing Cricket</t>
  </si>
  <si>
    <t>Ramrao Khiru Rathod</t>
  </si>
  <si>
    <t>Laxmi</t>
  </si>
  <si>
    <t>Om Sai Apartment, Flat no- 103, Airoli Navi Mumbai, Sector 9, Diva Gaon</t>
  </si>
  <si>
    <t>ACE Realty | Jr.Site Engineer | Thane | Jan 2024 | Jul 2026 | 2 Years, 6 Months, 2 Days | 2.4</t>
  </si>
  <si>
    <t>P26700654</t>
  </si>
  <si>
    <t>kUMAR</t>
  </si>
  <si>
    <t>Divyanshu Kumar</t>
  </si>
  <si>
    <t>P26700654@student.nicmar.ac.in</t>
  </si>
  <si>
    <t>24-Jan-2003</t>
  </si>
  <si>
    <t xml:space="preserve">HINDI ENGLISH </t>
  </si>
  <si>
    <t>PLAYING CRICKET , READING BOOKS</t>
  </si>
  <si>
    <t xml:space="preserve">KRISHNA KUMAR SINGH </t>
  </si>
  <si>
    <t>PUJA KUMARI</t>
  </si>
  <si>
    <t>Mehdasahpur begusarai bihar
851132</t>
  </si>
  <si>
    <t xml:space="preserve">MARWARI HIGH SCHOOL </t>
  </si>
  <si>
    <t>JHARKHAND UNIVERSITY OF TECHNOLOGY / RANCHI JHARKHAND</t>
  </si>
  <si>
    <t xml:space="preserve">marwari high school </t>
  </si>
  <si>
    <t>MARWARI HIGH SCHOOL / RANCHI / JHARKHAND</t>
  </si>
  <si>
    <t xml:space="preserve">cambridge institute of technology </t>
  </si>
  <si>
    <t xml:space="preserve">cambridge institute of technology  / RANCHI / JHARKHAND </t>
  </si>
  <si>
    <t>ms office ms project</t>
  </si>
  <si>
    <t>P26700655</t>
  </si>
  <si>
    <t>Kaushik</t>
  </si>
  <si>
    <t>Sejal Kaushik</t>
  </si>
  <si>
    <t>sejalkaushik.work@gmail.com</t>
  </si>
  <si>
    <t>P26700655@student.nicmar.ac.in</t>
  </si>
  <si>
    <t>28-Oct-2000</t>
  </si>
  <si>
    <t>Reading,Dancing,Yoga,Photography,Driving</t>
  </si>
  <si>
    <t>Rajesh Kumar Kaushik</t>
  </si>
  <si>
    <t>Meenu Kaushik</t>
  </si>
  <si>
    <t>G-5/ 24-25, Sector-11, Rohini, Delhi-110085</t>
  </si>
  <si>
    <t>Titiksha Public School</t>
  </si>
  <si>
    <t>MBS School of Planning and Architecture, Delhi</t>
  </si>
  <si>
    <t>School of Planning and Architecture, New Delhi</t>
  </si>
  <si>
    <t>School of Planning and Architecture, Delhi</t>
  </si>
  <si>
    <t>Master of Planning (M.Plan)</t>
  </si>
  <si>
    <t>Urban Planning</t>
  </si>
  <si>
    <t>AutoCAD,Revit,MS Project,Photoshop,QGIS,ArcGIS,Sketchup,MS Powerpoint,MS Excel,MS Word,Lumion</t>
  </si>
  <si>
    <t>Institute of Urban Transport (India), Ministry of Housing and Urban Affairs | Urban Transport Intern | New Delhi | Jun 2025 | Jul 2025 | 8 Weeks
JB Design Consultants | Architectural Intern | New Delhi | Jul 2023 | Nov 2023 | 17 Weeks</t>
  </si>
  <si>
    <t>4-week Advance Revit and BIM training by Karwaan
4-week Training program by ecospatial lab on Basics and Advance ArcGIS.</t>
  </si>
  <si>
    <t>P26700656</t>
  </si>
  <si>
    <t>Vinit</t>
  </si>
  <si>
    <t>Humane</t>
  </si>
  <si>
    <t>Vinit Prakash Humane</t>
  </si>
  <si>
    <t>P26700656@student.nicmar.ac.in</t>
  </si>
  <si>
    <t>photography</t>
  </si>
  <si>
    <t>Prakash Janardhan Humane</t>
  </si>
  <si>
    <t>Clerk</t>
  </si>
  <si>
    <t>Pradnya Prakash Humane</t>
  </si>
  <si>
    <t>Room No. 4, R. C. Marg, Near Shankar Temple, Anik Village, Chembur, Mumbai - 400074</t>
  </si>
  <si>
    <t>P26700657</t>
  </si>
  <si>
    <t>Kashid</t>
  </si>
  <si>
    <t>Atharva Sanjay Kashid</t>
  </si>
  <si>
    <t>P26700657@student.nicmar.ac.in</t>
  </si>
  <si>
    <t>03-Aug-2004</t>
  </si>
  <si>
    <t>Sanjay Kashid</t>
  </si>
  <si>
    <t>Dipali Kashid</t>
  </si>
  <si>
    <t>srno.103, Gandhinagar, Yerwada, Pune 411006</t>
  </si>
  <si>
    <t>Shivneri co-op society, PMAY, Tuljabhawani nagar, kharadi ,pune</t>
  </si>
  <si>
    <t>Agrasen High School</t>
  </si>
  <si>
    <t>Cusrow Wadia Institute of Technology, Pune, Maharashtra</t>
  </si>
  <si>
    <t>Ajeenkya D.Y Patil school of engineering</t>
  </si>
  <si>
    <t>Auto Cad,excel,revit,MS project</t>
  </si>
  <si>
    <t>CADD CENTRE  | Trainee | Pune | Dec 2024 | Jan 2025 | 4 Weeks | Campus Internship</t>
  </si>
  <si>
    <t>P26700658</t>
  </si>
  <si>
    <t xml:space="preserve">Khanapure </t>
  </si>
  <si>
    <t xml:space="preserve">Tejas Kailas Khanapure </t>
  </si>
  <si>
    <t>P26700658@student.nicmar.ac.in</t>
  </si>
  <si>
    <t>24-May-2004</t>
  </si>
  <si>
    <t xml:space="preserve">Marathi ,  hindi , english </t>
  </si>
  <si>
    <t xml:space="preserve">Travelling , exploring new places ,Music,Learning Forex and crypto </t>
  </si>
  <si>
    <t xml:space="preserve">Kailas khanapure </t>
  </si>
  <si>
    <t>Secretary In DCC Bank latur</t>
  </si>
  <si>
    <t xml:space="preserve">Smita khanapure </t>
  </si>
  <si>
    <t>Guruganga niwas sutmil road latur</t>
  </si>
  <si>
    <t xml:space="preserve">Yes R living pg 1 wakad , pune </t>
  </si>
  <si>
    <t xml:space="preserve">Raja narayanlal lahoti english school latur </t>
  </si>
  <si>
    <t xml:space="preserve">CBSE board Latur , Maharashtra </t>
  </si>
  <si>
    <t xml:space="preserve">Vishveshwarayya  Abhiyantriki Padvika  Mahavidyalay, Almala,  Ausa , Maharashtra </t>
  </si>
  <si>
    <t xml:space="preserve">Savitribai phule pune University </t>
  </si>
  <si>
    <t xml:space="preserve">AISSMS College of Engineering pune , Maharashtra </t>
  </si>
  <si>
    <t>Ms Office,  sketchup</t>
  </si>
  <si>
    <t>P26700659</t>
  </si>
  <si>
    <t xml:space="preserve">PATIYAL </t>
  </si>
  <si>
    <t xml:space="preserve">Aryan Patiyal </t>
  </si>
  <si>
    <t>aryanpatiyal74@gmail.com</t>
  </si>
  <si>
    <t>P26700659@student.nicmar.ac.in</t>
  </si>
  <si>
    <t>15-Sep-2000</t>
  </si>
  <si>
    <t xml:space="preserve">Hindi , English </t>
  </si>
  <si>
    <t>Trekking and sports</t>
  </si>
  <si>
    <t>Sushil kumar</t>
  </si>
  <si>
    <t xml:space="preserve">Govt Employee </t>
  </si>
  <si>
    <t>Asha kumari</t>
  </si>
  <si>
    <t xml:space="preserve">Village bassi P.O bhoranj Tehsil bhoranj Distt Hamirpur </t>
  </si>
  <si>
    <t>Hamirpur</t>
  </si>
  <si>
    <t>DAV SR SEC PUB SCHOOL LAKKAR BAZAR SHIMLA HP</t>
  </si>
  <si>
    <t xml:space="preserve">Government Polytechnic,Hamirpur HP </t>
  </si>
  <si>
    <t xml:space="preserve">Alakh Prakash Goyal Shimla University </t>
  </si>
  <si>
    <t>MS PROJECT , MS OFFICE</t>
  </si>
  <si>
    <t>Patel Engineering Ltd. | Engineer Civil | Shongtong Karcham HEP,Himachal Pradesh  | Jan 2025 | Jun 2026 | 1 Years, 5 Months, 3 Days | 5
Rithwik Projects Private Limited  | Assistant Engineer  | Sunni Dam Hydro Electric Project,Distt.Shimla ,Himachal Pradesh  | Sep 2023 | Jan 2025 | 1 Years, 4 Months, 6 Days | 3
Dogra Construction Co.Pvt.Ltd | Site Engineer  | Hamirpur and kangra  | Aug 2022 | Aug 2023 | 1 Years, 0 Months, 0 Days | 2.0</t>
  </si>
  <si>
    <t>HPPWD Sub Division Chhotta Shimla  | Site Engineer  | Fagu | Aug 2020 | Sep 2020 | 5 Weeks | Campus Internship</t>
  </si>
  <si>
    <t>P26700660</t>
  </si>
  <si>
    <t>Bibhishan</t>
  </si>
  <si>
    <t>Kale</t>
  </si>
  <si>
    <t>Govind Bibhishan Kale</t>
  </si>
  <si>
    <t>P26700660@student.nicmar.ac.in</t>
  </si>
  <si>
    <t>Music,Sports,Journling</t>
  </si>
  <si>
    <t>M-2,20/6,Tanajinagar,N-2,Cidco</t>
  </si>
  <si>
    <t>Ujjwalatai Pawar English High School</t>
  </si>
  <si>
    <t>Kulbhushan Junior College</t>
  </si>
  <si>
    <t>Government College of Engineering and Research, Awsari Kh, Pune</t>
  </si>
  <si>
    <t>P26700661</t>
  </si>
  <si>
    <t xml:space="preserve">balaji </t>
  </si>
  <si>
    <t>Dhotre</t>
  </si>
  <si>
    <t>Aryan Balaji  Dhotre</t>
  </si>
  <si>
    <t>P26700661@student.nicmar.ac.in</t>
  </si>
  <si>
    <t xml:space="preserve">hindi,marathi ,english ,marwadi </t>
  </si>
  <si>
    <t xml:space="preserve">music, movies, snooker ,communication </t>
  </si>
  <si>
    <t>balaji dhotre</t>
  </si>
  <si>
    <t xml:space="preserve">optometrist </t>
  </si>
  <si>
    <t>jyoti dhotrer</t>
  </si>
  <si>
    <t>row house no-=8 sachin appt , gopikishan nagar ,jalna</t>
  </si>
  <si>
    <t xml:space="preserve">St marys high school , jalna </t>
  </si>
  <si>
    <t xml:space="preserve">maharashtra state board of secondary and higher secondary education ,pune </t>
  </si>
  <si>
    <t xml:space="preserve">diploma in civil engineering </t>
  </si>
  <si>
    <t xml:space="preserve">government polytechnic, jalna </t>
  </si>
  <si>
    <t xml:space="preserve">savitribai phule pune university </t>
  </si>
  <si>
    <t xml:space="preserve">All India Shri Shivaji Memorial Society's College of Engineering,pune </t>
  </si>
  <si>
    <t>autocad ,etabs ,communication,entrepreneurship,leadership</t>
  </si>
  <si>
    <t>SMU CONSTRUCTION  | SITE MANAGER | PLOT NO 110 , NEAR KAMLA NEHRU PARK PUNE  | Dec 2024 | Jan 2025 | 4 Weeks | Campus Internship</t>
  </si>
  <si>
    <t>P26700662</t>
  </si>
  <si>
    <t>Ramya</t>
  </si>
  <si>
    <t>Pothuraju</t>
  </si>
  <si>
    <t>Ramya Pothuraju</t>
  </si>
  <si>
    <t>P26700662@student.nicmar.ac.in</t>
  </si>
  <si>
    <t>10-Jun-2000</t>
  </si>
  <si>
    <t>Telugu,english,hindi</t>
  </si>
  <si>
    <t xml:space="preserve">COOKING </t>
  </si>
  <si>
    <t>Pothuraju Ravinder</t>
  </si>
  <si>
    <t xml:space="preserve">Pothuraju Radhamma </t>
  </si>
  <si>
    <t xml:space="preserve">2-90 yenkepally (village) , moinabad (mondal), Rangareddy (district), Telangana ( State) </t>
  </si>
  <si>
    <t>ZPHS Yenkepally</t>
  </si>
  <si>
    <t>Telangana State Board of Secondary Education</t>
  </si>
  <si>
    <t xml:space="preserve">Abhinav Hi tech College of Engineering </t>
  </si>
  <si>
    <t>JNTU Hyderabad</t>
  </si>
  <si>
    <t>Vidya Jyothi Institute of Technology</t>
  </si>
  <si>
    <t>MS OFfice,AutoCad,Assemble,Autodesk Construction Cloud,MS Project</t>
  </si>
  <si>
    <t>SATTVA DEVOLOPERS PRIVATE LIMITED  | Planning and QS Engineer | Nanakramguda , hyderabad ,500032 | Sep 2023 | Jul 2026 | 2 Years, 9 Months, 28 Days | 4.03</t>
  </si>
  <si>
    <t>AGA INFRA PROJECTS PRIVATE LIMITED | Trainee engineer | My Home Ankura villas , Tellapur , Hyderabad | Nov 2018 | Mar 2019 | 21 Weeks</t>
  </si>
  <si>
    <t xml:space="preserve">Adoption of Generative AI in Real Estate Construction Sites
Design Integration and Project Management
Construction Finishes
GET Young Engineers Training Program
Certificate for Best Intern Award </t>
  </si>
  <si>
    <t>P26700663</t>
  </si>
  <si>
    <t>Mali</t>
  </si>
  <si>
    <t>Shraddha Avinash Mali</t>
  </si>
  <si>
    <t>P26700663@student.nicmar.ac.in</t>
  </si>
  <si>
    <t>Traveling, Playing Sports ,Event Management</t>
  </si>
  <si>
    <t>Avinash Mahadev Mali</t>
  </si>
  <si>
    <t>Head Surveyor in MIDC</t>
  </si>
  <si>
    <t>Savita Avinash Mali</t>
  </si>
  <si>
    <t>D 501 Shree Sai Datta Co Housing Society MIDC, Premlok Park Road, Bijlinagar, Chinchwad Pune</t>
  </si>
  <si>
    <t>Modern High School Nigdi</t>
  </si>
  <si>
    <t>Sant Tukaran English Medium School and Jr College</t>
  </si>
  <si>
    <t>Savitribai Phule University</t>
  </si>
  <si>
    <t xml:space="preserve"> Dr. D. Y. Patil Institute of Engineering, Management, and Research Akurdi Pune</t>
  </si>
  <si>
    <t>Rajmane Earthmovers | Junior Engineer | Pune | May 2025 | May 2026 | 1 Years, 0 Months, 29 Days | 3</t>
  </si>
  <si>
    <t>P26700664</t>
  </si>
  <si>
    <t>Prasad</t>
  </si>
  <si>
    <t xml:space="preserve">Pandit </t>
  </si>
  <si>
    <t>Doke</t>
  </si>
  <si>
    <t>Prasad Pandit  Doke</t>
  </si>
  <si>
    <t>P26700664@student.nicmar.ac.in</t>
  </si>
  <si>
    <t xml:space="preserve">Travelling , Reading  </t>
  </si>
  <si>
    <t xml:space="preserve">Pandit Narayan Doke </t>
  </si>
  <si>
    <t xml:space="preserve">Lawyer </t>
  </si>
  <si>
    <t xml:space="preserve">Ranjana Pandit Doke </t>
  </si>
  <si>
    <t xml:space="preserve">Flat no 304 wong A RaghuPushpa Nagari Samata Nagar Link Road Pandhapur </t>
  </si>
  <si>
    <t>Link Road</t>
  </si>
  <si>
    <t xml:space="preserve">DHK PRASHALA PANDHAPUR </t>
  </si>
  <si>
    <t xml:space="preserve">Maharashtra State board of secondary and higher secondary education Pune </t>
  </si>
  <si>
    <t xml:space="preserve">KBP Mahavidyalaya Pandhapur </t>
  </si>
  <si>
    <t>PAHSUS</t>
  </si>
  <si>
    <t xml:space="preserve">SKN SINHGAD COLLAGE OF ENGINEERING KORTI PANDHAPUR </t>
  </si>
  <si>
    <t>AutoCAD , revit, MS office</t>
  </si>
  <si>
    <t>IKA CHEMICALS PVT LTD  | Technosales Engineer  | Nashik  | Sep 2025 | Mar 2026 | 0 Years, 6 Months, 30 Days | 4</t>
  </si>
  <si>
    <t>P26700665</t>
  </si>
  <si>
    <t>P26700665@student.nicmar.ac.in</t>
  </si>
  <si>
    <t>P26700666</t>
  </si>
  <si>
    <t>P26700666@student.nicmar.ac.in</t>
  </si>
  <si>
    <t>P26700667</t>
  </si>
  <si>
    <t>Kush</t>
  </si>
  <si>
    <t>Dipesh</t>
  </si>
  <si>
    <t>Sinroja</t>
  </si>
  <si>
    <t>Kush Dipesh Sinroja</t>
  </si>
  <si>
    <t>kdsinroja12@gmail.com</t>
  </si>
  <si>
    <t>P26700667@student.nicmar.ac.in</t>
  </si>
  <si>
    <t>Gujarati,Marathi,Hindi,English</t>
  </si>
  <si>
    <t xml:space="preserve">Music,Cycling </t>
  </si>
  <si>
    <t xml:space="preserve">B-205 , Second Floor , Param Residency, Near Kachigam Checkpost , Daman </t>
  </si>
  <si>
    <t>Little Angle's English Medium School</t>
  </si>
  <si>
    <t>Maharashtra State Board, Maharashtra</t>
  </si>
  <si>
    <t>Anand Laxman Chandawarkar Junior College of Science, Arts and Commerce</t>
  </si>
  <si>
    <t>Maharashtra State Board , Maharashtra</t>
  </si>
  <si>
    <t>Parul University</t>
  </si>
  <si>
    <t>Parul University , Vadodara</t>
  </si>
  <si>
    <t>AutoCAD, MS Excel.</t>
  </si>
  <si>
    <t>L&amp;T Realty | Executive Engineer Intern | Powai, Mumbai | Oct 2025 | Jun 2026 | 34 Weeks
Siddhi Consultant | Project Engineer | Umargam, Gujarat | Jul 2025 | Sep 2025 | 11 Weeks</t>
  </si>
  <si>
    <t>Excel and Copilot Fundamentals 
Introduction to IoT 
AutoCAD Certificate</t>
  </si>
  <si>
    <t>P26700668</t>
  </si>
  <si>
    <t xml:space="preserve">Birajdar </t>
  </si>
  <si>
    <t xml:space="preserve">Basavaraj </t>
  </si>
  <si>
    <t xml:space="preserve">Birajdar  Ankit Basavaraj </t>
  </si>
  <si>
    <t>ankitbirajdar2300@email.com</t>
  </si>
  <si>
    <t>P26700668@student.nicmar.ac.in</t>
  </si>
  <si>
    <t>19-Mar-2002</t>
  </si>
  <si>
    <t>English,marathi,kannada,hindi</t>
  </si>
  <si>
    <t>exploring,travelling</t>
  </si>
  <si>
    <t>Vijayalaxmi</t>
  </si>
  <si>
    <t>01,vrundavan park,jyoti society,near bombay park,jule solapur</t>
  </si>
  <si>
    <t>Mahavir highschool</t>
  </si>
  <si>
    <t>Maharashtra state board of secondary and higher education ,pune</t>
  </si>
  <si>
    <t>Maharashtra state board of technical education</t>
  </si>
  <si>
    <t>dr.babasaheb ambedkar technological university</t>
  </si>
  <si>
    <t>N.K.Orchid Collage of Engineering and Technology</t>
  </si>
  <si>
    <t>Autocad,MS office</t>
  </si>
  <si>
    <t xml:space="preserve">AGS construction | Site Engineer | Solapur | Oct 2023 | Jun 2026 | 2 Years, 7 Months, 30 Days | 4.5 </t>
  </si>
  <si>
    <t>P26700669</t>
  </si>
  <si>
    <t>Mudassar</t>
  </si>
  <si>
    <t>Abdullah Mudassar Patel</t>
  </si>
  <si>
    <t>abdpatel24@gmail.com</t>
  </si>
  <si>
    <t>P26700669@student.nicmar.ac.in</t>
  </si>
  <si>
    <t>24-Sep-2004</t>
  </si>
  <si>
    <t>Hindi, English, Memoni,Marathi, Arabic</t>
  </si>
  <si>
    <t>Reading, Singing</t>
  </si>
  <si>
    <t>Mudassar Patel</t>
  </si>
  <si>
    <t>Humaira Mudassar Patel</t>
  </si>
  <si>
    <t xml:space="preserve">132/D, Makhdoom Sea Palace, A wing, 3rd floor, 301, Cadel Road, Mahim, Mumbai-400016 </t>
  </si>
  <si>
    <t>Bombay Scottish School, Mahim</t>
  </si>
  <si>
    <t>Veermata Jijabai Technological Institute, Mumbai</t>
  </si>
  <si>
    <t>M.H. Saboo Sidik College of Engineering, Mumbai</t>
  </si>
  <si>
    <t>AutoCAD 2D,ETABS,Microsoft projects</t>
  </si>
  <si>
    <t>Prestige Group | Site Intern | Mumbai | Dec 2025 | Dec 2025 | 4 Weeks
Mahimtura Consultants Pvt Ltd | Office Intern | Mumbai | Jun 2025 | Jul 2025 | 2 Weeks
Texas A&amp;M University, Texarkana, Texas, USA | Summer Intern | Texarkana, Texas, USA | Jun 2024 | Jul 2024 | 3 Weeks
CBRE | Intern at PJM advisory | Mumbai | Jun 2022 | Aug 2022 | 6 Weeks</t>
  </si>
  <si>
    <t xml:space="preserve">2D AutoCAD : Drafting &amp; Plotting </t>
  </si>
  <si>
    <t>P26700670</t>
  </si>
  <si>
    <t>MADANKUMAR</t>
  </si>
  <si>
    <t>RAJENDRAN</t>
  </si>
  <si>
    <t>Madankumar Rajendran Reddy</t>
  </si>
  <si>
    <t>P26700670@student.nicmar.ac.in</t>
  </si>
  <si>
    <t>English,Tamil,Hindi,Marathi</t>
  </si>
  <si>
    <t>Football,Self introspection</t>
  </si>
  <si>
    <t>Rajendran Reddy</t>
  </si>
  <si>
    <t>Vijaya Reddy</t>
  </si>
  <si>
    <t>B-103,Utsav CHS, Plot no-21, Sector-34B, Kharghar, Navi Mumbai, Maharashtra, 410210</t>
  </si>
  <si>
    <t>RAMSHETH THAKUR PUBLIC SCHOOL</t>
  </si>
  <si>
    <t>Autocad,Revit,Excel for Estimation,Microsoft Projects</t>
  </si>
  <si>
    <t>P26700671</t>
  </si>
  <si>
    <t>Vishwakarma</t>
  </si>
  <si>
    <t>Rahul Manoj Vishwakarma</t>
  </si>
  <si>
    <t>P26700671@student.nicmar.ac.in</t>
  </si>
  <si>
    <t>20-Jun-1998</t>
  </si>
  <si>
    <t>Manoj Vishwakarma</t>
  </si>
  <si>
    <t>Carpenter</t>
  </si>
  <si>
    <t>Rekha Vishwakarma</t>
  </si>
  <si>
    <t>Room No. 12, Om Chawl, Nr Rajiv Gandhi School, Moregaon, Nallasopara East</t>
  </si>
  <si>
    <t>P26700672</t>
  </si>
  <si>
    <t>Bedarakar</t>
  </si>
  <si>
    <t>Omnath</t>
  </si>
  <si>
    <t>Bedarakar Omnath Shashikant</t>
  </si>
  <si>
    <t>bedarkaromnath@gmail.com</t>
  </si>
  <si>
    <t>P26700672@student.nicmar.ac.in</t>
  </si>
  <si>
    <t>Shridevi</t>
  </si>
  <si>
    <t>151, Shivratna Nagar, Near Vasundhara College, Jule Solapur, Solapur</t>
  </si>
  <si>
    <t>Unique English Medium School, Solapur</t>
  </si>
  <si>
    <t>A.G. Patil Polytechnic Institute, Solapur</t>
  </si>
  <si>
    <t>Dr. Babasaheb Ambedkar Technological University Lonere, Raigad, Maharashtra</t>
  </si>
  <si>
    <t>Nagesh Karajagi Orchid College of Engineering And Technology, Solapur</t>
  </si>
  <si>
    <t>P26700673</t>
  </si>
  <si>
    <t>REDDY V</t>
  </si>
  <si>
    <t>Dilip Prasad Reddy V</t>
  </si>
  <si>
    <t>P26700673@student.nicmar.ac.in</t>
  </si>
  <si>
    <t>06-Jun-2000</t>
  </si>
  <si>
    <t>kannada, telugu,english,hindi</t>
  </si>
  <si>
    <t xml:space="preserve">Listening podcasts,spatial planning,Hosting dinner,Travelling </t>
  </si>
  <si>
    <t>VENKATESH REDDY M</t>
  </si>
  <si>
    <t>PUSHPAVATHI S</t>
  </si>
  <si>
    <t>37/1 4TH CROSS ADHARSH NAGAR NAGARABHAVI MAIN ROAD</t>
  </si>
  <si>
    <t>PINE WOODS ENGLISH HIGH SCHOOL</t>
  </si>
  <si>
    <t xml:space="preserve">KARNATAKA SECONDARY EDUCATION EXAMINATION BOARD </t>
  </si>
  <si>
    <t>ASC PU COLLEGE</t>
  </si>
  <si>
    <t>SJB INSTITUTE OF TECHNOLOGY</t>
  </si>
  <si>
    <t>MS PROJECT,REVIT,MS EXCEL,AUTOCAD,NAVISWORK,TWINMOTION,ENSCAPE</t>
  </si>
  <si>
    <t>E-BENUS | ASSOCIATE DESIGN ENGINEER | BANGALURU | Sep 2022 | Dec 2023 | 1 Years, 3 Months, 11 Days | 3
INTRODOS | Project Engineer | BANGALURU | Jan 2024 | Jul 2026 | 2 Years, 6 Months, 7 Days | 3</t>
  </si>
  <si>
    <t>P26700674</t>
  </si>
  <si>
    <t>P26700674@student.nicmar.ac.in</t>
  </si>
  <si>
    <t>P26700675</t>
  </si>
  <si>
    <t>Amol</t>
  </si>
  <si>
    <t>Bhajipale</t>
  </si>
  <si>
    <t>Amol Prashant Bhajipale</t>
  </si>
  <si>
    <t>amolbhajipale123@gmail.com</t>
  </si>
  <si>
    <t>P26700675@student.nicmar.ac.in</t>
  </si>
  <si>
    <t xml:space="preserve">Traveling,Photography,Painting ,Climbing ,Reading </t>
  </si>
  <si>
    <t>Prashant Bhajipale</t>
  </si>
  <si>
    <t>Farmar</t>
  </si>
  <si>
    <t>Vishakha Bhajipale</t>
  </si>
  <si>
    <t>Bhamtipura ward no. 24 Near Shree ram bakery, Wardha.</t>
  </si>
  <si>
    <t>New English Convent, Wardha</t>
  </si>
  <si>
    <t>Maharashtra State board Of secondary and higher Secondary Education, Pune</t>
  </si>
  <si>
    <t>School of Excellent &amp; jr College, wardha</t>
  </si>
  <si>
    <t>Maharashtra State board Of secondary and higher Secondary Education,pune</t>
  </si>
  <si>
    <t>Sipna School Of Planning Architecture, Amaravti</t>
  </si>
  <si>
    <t>AutoCAD,Revit Architecture.  ,3D modelling ,Technical Drawing   ,MS office  ,MS project ,Building information modelling (BIM),Sketch up ,Lumion</t>
  </si>
  <si>
    <t>DESIGN GROUP (India) | JUNIOR ARCHITECT | Mumbai | Jul 2025 | Jul 2026 | 1 Years, 0 Months, 1 Days | 3.00</t>
  </si>
  <si>
    <t>Pinnacle IIT Certificate (BIM)
Be10x of AI TOOL WORKSHOP</t>
  </si>
  <si>
    <t>P26700676</t>
  </si>
  <si>
    <t>Smrithy</t>
  </si>
  <si>
    <t>Elsa</t>
  </si>
  <si>
    <t>Cherian</t>
  </si>
  <si>
    <t>Smrithy Elsa Cherian</t>
  </si>
  <si>
    <t>P26700676@student.nicmar.ac.in</t>
  </si>
  <si>
    <t xml:space="preserve">English, Malayalam,Hindi, Tamil </t>
  </si>
  <si>
    <t>Cherian Varghese</t>
  </si>
  <si>
    <t xml:space="preserve">Smitha Cherian </t>
  </si>
  <si>
    <t xml:space="preserve"> Venmalil Valliaparampu, Manimala PO, Vellavoor,
PO:Manimala, DIST:Kottayam, Kerala,
686543</t>
  </si>
  <si>
    <t xml:space="preserve"> Venmalil
Valliaparampu, Manimala PO, Veilavoor,
PO:Manimala, DIST:Koltayam, Kerala,
686543
1947</t>
  </si>
  <si>
    <t xml:space="preserve">THE VILLAGE INTERNATIONAL SCHOOL </t>
  </si>
  <si>
    <t>THODUPUZHA, IDUKKI/ KERALA</t>
  </si>
  <si>
    <t>Cochin University of Science and Technology (CUSAT)</t>
  </si>
  <si>
    <t>TKM School of Architecture, Kollam/Kerala</t>
  </si>
  <si>
    <t>AutoCAD,REVIT,SKETCHUP,PHOTOSHOP,ILLUSTRATER,TWINMOTION</t>
  </si>
  <si>
    <t>2022-2024</t>
  </si>
  <si>
    <t>p2270001</t>
  </si>
  <si>
    <t>ATHUL</t>
  </si>
  <si>
    <t>M K</t>
  </si>
  <si>
    <t>Athul M K</t>
  </si>
  <si>
    <t>athulmohankumar@gmail.com</t>
  </si>
  <si>
    <t>p2270001@student.nicmar.ac.in</t>
  </si>
  <si>
    <t>15-Apr-1996</t>
  </si>
  <si>
    <t>ENGLISH,MALAYALAM, TAMIL,HINDI</t>
  </si>
  <si>
    <t>TRAVELING,LISTENING TO MUSIC,COOKING</t>
  </si>
  <si>
    <t>7508 2402 5866</t>
  </si>
  <si>
    <t>MK MOHAN KUMAR</t>
  </si>
  <si>
    <t>MEERA B</t>
  </si>
  <si>
    <t>MOHAN NIVAS , VADATHODE, CHITTUR (PO) , PALAKKAD (DIST) , KERALA</t>
  </si>
  <si>
    <t>CHINMAYA VIDYALAYA TATTAMANGALAM PALAKKAD KL</t>
  </si>
  <si>
    <t>MS Project,Primavera,REVIT,NAVIS WORKS,CANDY</t>
  </si>
  <si>
    <t>PG CONSTRUCTIONS | SITE EXECUTION | ALATHUR, PALAKKAD (DIST) KERALA | Jan 2021 | Jun 2022 | 1 Years, 5 Months, 29 Days | 3.78</t>
  </si>
  <si>
    <t>ASSET HOMES | PROJECT PLANNING | KOCHI | May 2023 | Jul 2023 | 7 Weeks | Campus Internship
PG CONSTRUCTIONS | SITE ENGINEER | PATHANAMTHITTA | Nov 2019 | Dec 2020 | 60 Weeks</t>
  </si>
  <si>
    <t>p2270002</t>
  </si>
  <si>
    <t>Manav V Shah</t>
  </si>
  <si>
    <t>mvshah26920@gmail.com</t>
  </si>
  <si>
    <t>p2270002@student.nicmar.ac.in</t>
  </si>
  <si>
    <t>26-Sep-2000</t>
  </si>
  <si>
    <t>2788 6495 7569</t>
  </si>
  <si>
    <t>VIPAL SHAH</t>
  </si>
  <si>
    <t>JOB AT AM/NS INDIA</t>
  </si>
  <si>
    <t>DIMPLE SHAH</t>
  </si>
  <si>
    <t>D-301, Surya Darshan Apartment, Anand Mahal Road, Adajan, Surat</t>
  </si>
  <si>
    <t>SMT. I. N. TEKRAWALA HIGH SCHOOL</t>
  </si>
  <si>
    <t>GUJARAT SECONDARY AND HIGHER SECONDARY EDUCATION BOARD, GANDHINAGAR, GUJARAT</t>
  </si>
  <si>
    <t>GUJARAT TECHNOLOGICAL UNIVERSITY, AHMEDABAD, GUJARAT</t>
  </si>
  <si>
    <t>SARVAJANIK COLLEGE OF ENGINEERING &amp; TECHNOLOGY, SURAT, GUJARAT</t>
  </si>
  <si>
    <t>BECHTEL INDIA PVT LTD | PROJECT CONTROLS | GURUGRAM | May 2023 | Jul 2023 | 7 Weeks | Campus Internship
LARSEN AND TOUBRO CONSTRUCTION HEAVY CIVIL INFRASTRUCTURE | SUMMER INTERN | SURAT, GUJARAT | May 2021 | Jun 2021 | 3 Weeks
AIRPORTS AUTHORITY OF INDIA | CIVIL ENGINEERING INTERN | SURAT, GUJARAT | Sep 2021 | Oct 2021 | 4 Weeks
DEDICATED FREIGHT CORRIDOR CORPORATION OF INDIA | ENGINEERING INTERN | SURAT, GUJARAT | Jan 2022 | Apr 2022 | 12 Weeks</t>
  </si>
  <si>
    <t>p2270003</t>
  </si>
  <si>
    <t>GAURAV</t>
  </si>
  <si>
    <t>Gaurav Gautam Saha</t>
  </si>
  <si>
    <t>gauravshaha2@gmail.com</t>
  </si>
  <si>
    <t>p2270003@student.nicmar.ac.in</t>
  </si>
  <si>
    <t>19-Aug-1999</t>
  </si>
  <si>
    <t>English, Hindi, Marathi and Bengali</t>
  </si>
  <si>
    <t>7099 7718 2726</t>
  </si>
  <si>
    <t>GAUTAM SHANTIRAM SAHA</t>
  </si>
  <si>
    <t>TANUSHREE GAUTAM SAHA</t>
  </si>
  <si>
    <t>MACCHI NALA MUKTI COLONY_x000D_
NEAR MAYUR HOTEL BENGALI CAMP_x000D_
Industrial Estate Ward No. 8</t>
  </si>
  <si>
    <t>MONTFORT HR. SEC. SCHOOL</t>
  </si>
  <si>
    <t>CENTRAL BOARD OF SECONDARY EDUCATION, MAHARASTRA</t>
  </si>
  <si>
    <t>D Y PATIL COLLEGE OF ENGINEERING, AKURDI</t>
  </si>
  <si>
    <t>NSU Infra Pvt. Ltd. | Project Planning | Mumbai | Jun 2023 | Jul 2023 | 4 Weeks | Campus Internship
BELGAONKAR ASSOCIATES &amp; CONSULTANTS | Design Engineer | Pune | Nov 2021 | Apr 2022 | 25 Weeks</t>
  </si>
  <si>
    <t>p2270004</t>
  </si>
  <si>
    <t>CLOVIS</t>
  </si>
  <si>
    <t>VAYLON</t>
  </si>
  <si>
    <t>MATHIAS</t>
  </si>
  <si>
    <t>Clovis Vaylon Mathias</t>
  </si>
  <si>
    <t>mathiasclovis@yahoo.in</t>
  </si>
  <si>
    <t>p2270004@student.nicmar.ac.in</t>
  </si>
  <si>
    <t>07-Apr-1998</t>
  </si>
  <si>
    <t>English, Konkani, Hindi, Kannada</t>
  </si>
  <si>
    <t>Sports,Outdoor Activities,Videography</t>
  </si>
  <si>
    <t>9890 6628 2229</t>
  </si>
  <si>
    <t>THOMAS AQUIN MATHIAS</t>
  </si>
  <si>
    <t>RETIRED ENGINEER</t>
  </si>
  <si>
    <t>MERCY NINA ANITA MATHIAS</t>
  </si>
  <si>
    <t>201, Ace Destiny, Hat Hill Road, Opp. Medistar Diagnostic Centre, Lalbagh</t>
  </si>
  <si>
    <t>ST. ALOYSIUS HIGH SCHOOL</t>
  </si>
  <si>
    <t>KARNATAKA SECONDARY EDUCATION EXAMINATION BOARD/KARNATAKA</t>
  </si>
  <si>
    <t>DEPARTMENT OF PRE UNIVERSITY EDUCATION/KARNATAKA</t>
  </si>
  <si>
    <t>VISVESVARAYA TECHNOLOGICAL UNIVERSITY (VTU)</t>
  </si>
  <si>
    <t>BMS SCHOOL OF ARCHITECTURE/KARNATAKA</t>
  </si>
  <si>
    <t>PIDILITE INDUSTRIES | Buisness Development Intern | Delhi | May 2023 | Jul 2023 | 7 Weeks | Campus Internship
STUDIO DECODE | Intern | BANGALORE, KARNATAKA | Feb 2021 | May 2021 | 16 Weeks</t>
  </si>
  <si>
    <t>p2270005</t>
  </si>
  <si>
    <t>SHUBHADA</t>
  </si>
  <si>
    <t>Shubhada Santosh Jadhav</t>
  </si>
  <si>
    <t>jadhavshubhada2@gmail.com</t>
  </si>
  <si>
    <t>p2270005@student.nicmar.ac.in</t>
  </si>
  <si>
    <t>29-Aug-1996</t>
  </si>
  <si>
    <t>English. Hindi, Marathi</t>
  </si>
  <si>
    <t>Dancing,Reading,Travelling,Cooking,Networking</t>
  </si>
  <si>
    <t>2127 4308 7520</t>
  </si>
  <si>
    <t>SANTOSH NAMDEO  JADHAV</t>
  </si>
  <si>
    <t>CIVIL ENGINEER (MCGM)</t>
  </si>
  <si>
    <t>JAYSHRI SANTOSH JADHAV</t>
  </si>
  <si>
    <t>B 104, Dhanasampada Co.oh.society, Gavanpada Road Near Holy Angels School , Mulund East</t>
  </si>
  <si>
    <t>S.H. JONDHALE VIDYA MANDIR HIGH SCHOOL</t>
  </si>
  <si>
    <t>MAHARASHTRA STATE BOARD OF SECONDARY AND HIGHER SECONDARY EDUCATION , MAHARASHTRA</t>
  </si>
  <si>
    <t>L.E.S.G.V.ACHARYA POLYTECHNIC,SHELU,MAHARASHTRA</t>
  </si>
  <si>
    <t>2012-Aug</t>
  </si>
  <si>
    <t>SARASWATI COLLEGE OF ENGINEERING KHARGHAR, NAVI MUMBAI , MHARASHTRA</t>
  </si>
  <si>
    <t>AutoCAD,MS Office,MS Project,Primavera,Building Information Modeling</t>
  </si>
  <si>
    <t>Ms. Jyoti Enterprises | Billing Engineer | Ghansoli, Navi Mumbai | Jun 2020 | Jul 2022 | 2 Years, 1 Months, 9 Days | 2.16</t>
  </si>
  <si>
    <t>HILTI INDIA PVT LTD | Technical Account Manager (Sales) Intern | Gurgaon | May 2023 | Jul 2023 | 7 Weeks | Campus Internship
M M CONSTRUCTION | JR. SITE ENGINEER | VILE PARLE(W), MUMBAI | Jun 2017 | Jul 2017 | 2 Weeks</t>
  </si>
  <si>
    <t>p2270006</t>
  </si>
  <si>
    <t>RUSHIL</t>
  </si>
  <si>
    <t>SUNILKUMAR</t>
  </si>
  <si>
    <t>Rushil Sunilkumar Gandhi</t>
  </si>
  <si>
    <t>rushilgandhirg17@gmail.com</t>
  </si>
  <si>
    <t>p2270006@student.nicmar.ac.in</t>
  </si>
  <si>
    <t>17-Jan-2001</t>
  </si>
  <si>
    <t>English,Hindi,Gujarati&amp;Marathi,</t>
  </si>
  <si>
    <t>8863 3753 8817</t>
  </si>
  <si>
    <t>SUNIL GANDHI</t>
  </si>
  <si>
    <t>RUPALI GANDHI</t>
  </si>
  <si>
    <t>C-3,701, Eden Rose Bldg. Beverly Park, Opp PVR Theatre, Mira Road (E)</t>
  </si>
  <si>
    <t>MAHARASHTRA STATE BOARD - SSC</t>
  </si>
  <si>
    <t>THAKUR COLLEGE OF ENGINEERING AND TECHNOLOGY - MUMBAI</t>
  </si>
  <si>
    <t>AutoCAD,MS Office,MS Project,Primavera,CANDY,REVIT,SKETCHUP</t>
  </si>
  <si>
    <t>THE JAWAHARLAL NEHRU PORT AUTHORITY (JNPA) | JUNIOR ENGINEER | URAN, MUMBAI | May 2023 | Jul 2023 | 7 Weeks | Campus Internship
BITCON INDIA INFRASTRUCTURE DEVELOPER PVT LTD | Site Execution | RABALE , NAVI MUMBAI | May 2021 | Jun 2021 | 4 Weeks
BITCON INDIA INFRASTRUCTURE DEVELOPER PVT LTD | Surveying | BOISAR | Nov 2021 | Dec 2021 | 6 Weeks
THAKUR COLLEGE OF ENGINEERING AND TECHNOLOGY | Interior Designing | KANDIVALI, MUMBAI | Jun 2019 | Jul 2019 | 1 Weeks</t>
  </si>
  <si>
    <t>p2270009</t>
  </si>
  <si>
    <t>AVADH</t>
  </si>
  <si>
    <t>SURESHBHAI</t>
  </si>
  <si>
    <t>Patel Avadh Sureshbhai</t>
  </si>
  <si>
    <t>avadhp18@gmail.com</t>
  </si>
  <si>
    <t>p2270009@student.nicmar.ac.in</t>
  </si>
  <si>
    <t>18-Jun-2001</t>
  </si>
  <si>
    <t>Professional sketch artist,Hiking and Trekking,Reading</t>
  </si>
  <si>
    <t>3860 8614 0344</t>
  </si>
  <si>
    <t>USHABEN</t>
  </si>
  <si>
    <t>A-8 Shivilika Society , Vibhusha Road , Near Kabir Enclav Flat ,Bopal ,ghuma , Ahmedabad, Gujarat</t>
  </si>
  <si>
    <t>SHREE NARAYANA GURU VIDYALAYA</t>
  </si>
  <si>
    <t>GUJRAT SECONDARY AND HIGHER SECONDARY EDUCATION BOARD , GANDHINAGAR</t>
  </si>
  <si>
    <t>VPMP POLYTECHNIC , GANDHINAGAR</t>
  </si>
  <si>
    <t>KADI SARVA VISHWAVIDYALAYA</t>
  </si>
  <si>
    <t>LEELABEN DASHRATHBHAI RAMDAS PATEL INSTITUTE OF TECHNOLOGY AND RESEARCH , GANDHINAGAR</t>
  </si>
  <si>
    <t>AutoCAD,MS Office,MS Project,Primavera,Candy,Advance Excel</t>
  </si>
  <si>
    <t>PACIFICA  COMPANIES | Central Planning &amp; Projects Department	 | Ahmedabad | May 2023 | Jul 2023 | 7 Weeks | Campus Internship
ARPAN LIFE SPACE LLP | Site execution  | AHMEDABAD | Jan 2022 | Jul 2022 | 26 Weeks</t>
  </si>
  <si>
    <t>p2270010</t>
  </si>
  <si>
    <t>CLAYTON</t>
  </si>
  <si>
    <t>KENNETH</t>
  </si>
  <si>
    <t>Clayton Kenneth Mathias</t>
  </si>
  <si>
    <t>mathiasclayton2x@gmail.com</t>
  </si>
  <si>
    <t>p2270010@student.nicmar.ac.in</t>
  </si>
  <si>
    <t>English, Hindi, Kannada, Konkani</t>
  </si>
  <si>
    <t>7072 3606 8296</t>
  </si>
  <si>
    <t>201, Ace Destiny_x000D_
Hat Hill Road, Off MG Road_x000D_
Near Ladyhill Junction, Mangaluru</t>
  </si>
  <si>
    <t>ST. ALOYSIUS HIGH SCHOOL, MANGALORE</t>
  </si>
  <si>
    <t>MAHESH PRE-UNIVERSITY COLLEGE, MANGALORE</t>
  </si>
  <si>
    <t>THE OXFORD SCHOOL OF ARCHITECTURE, BANGALORE, KARNATAKA</t>
  </si>
  <si>
    <t>AutoCAD,MS Office,MS Project,Primavera,REVIT,SKETCHUP,PHOTOSHOP,LUMION</t>
  </si>
  <si>
    <t>CBRE SOUTH ASIA PVT LTD | PROJECT MANAGEMENT, CONSTRUCTION MANAGEMENT | PUNE | May 2023 | Jul 2023 | 7 Weeks | Campus Internship
STUDIO DECODE | ARCHITECTURE, DRAWING &amp; DRAUGHTING | BANGALORE, KARNATAKA | Feb 2021 | May 2021 | 16 Weeks</t>
  </si>
  <si>
    <t>p2270011</t>
  </si>
  <si>
    <t>ASWIN</t>
  </si>
  <si>
    <t>Aswin Kumar M S</t>
  </si>
  <si>
    <t>winas32@gmail.com</t>
  </si>
  <si>
    <t>p2270011@student.nicmar.ac.in</t>
  </si>
  <si>
    <t>19-Oct-1996</t>
  </si>
  <si>
    <t>LISTENING MUSIC,READING,TRAVELLING</t>
  </si>
  <si>
    <t>8774 4393 8783</t>
  </si>
  <si>
    <t>SUNIL KUMAR</t>
  </si>
  <si>
    <t>ELECTRICAL ENGINEER</t>
  </si>
  <si>
    <t>SUMA SUNIL</t>
  </si>
  <si>
    <t>Thekke Palasseril, Praikara, Mavelikara P O Alappuzha</t>
  </si>
  <si>
    <t>INFANT JESUS ENG. MEDIUM SCHOOL</t>
  </si>
  <si>
    <t>INDIAN CERTIFICATE OF SECONDARY EDUCATION, KERALA</t>
  </si>
  <si>
    <t>NAIR SAMAJAM HIGHER SECONDARY SCHOOL</t>
  </si>
  <si>
    <t>MAR ATHANASIUS COLLEGE OF ENGINEERING, KOTHAMANGALAM, KERALA</t>
  </si>
  <si>
    <t>AutoCAD,MS Office,MS Project,Primavera,CANDY,REVIT,NAVISWORKS</t>
  </si>
  <si>
    <t>ARCHIMATRIX INDIA ASSOCIATES | SUPERVISION IN CIVIL WORKS, LANDSCAPING, INTERIOR WORKS | KAYAMKULAM (CHOONAD), ALAPPUZHA | Jul 2020 | Jul 2021 | 1 Years, 0 Months, 0 Days | 2.55
K.K. ANTONY GOVERNMENT CONTRACTOR | SUPERVISION IN CIVIL WORKS | MARARIKULAM (ALAPPUZHA) | Jul 2019 | Jun 2020 | 0 Years, 11 Months, 29 Days | 2.16</t>
  </si>
  <si>
    <t>ANJ Turnkey Projects | Project Management Intern | Chennai | May 2023 | Jul 2023 | 7 Weeks | Campus Internship
BEGORRA | ASSISTING SITE ENGINEERS DURING THE ALIGNMENT OF ROAD CONSTRUCTION AND UNDERSTANDING ENGINEERING CONCEPTS | ALAPPUZHA (VARANKAVALA - COLGATE- KAVUNGAL ROAD) | Jun 2018 | Jul 2018 | 1 Weeks</t>
  </si>
  <si>
    <t>p2270012</t>
  </si>
  <si>
    <t>Mahesh D</t>
  </si>
  <si>
    <t>dmahesh1997@gmail.com</t>
  </si>
  <si>
    <t>p2270012@student.nicmar.ac.in</t>
  </si>
  <si>
    <t>01-Sep-1997</t>
  </si>
  <si>
    <t>English, Tamil, Hindi, Marathi, French</t>
  </si>
  <si>
    <t>Nature and Cityscape Photography,Exploring and travelling to cities,Trekking,Tech-Savvy</t>
  </si>
  <si>
    <t>6883 0129 8973</t>
  </si>
  <si>
    <t>DHINAKARAN G</t>
  </si>
  <si>
    <t>LATE(2015)</t>
  </si>
  <si>
    <t>RENUKA D</t>
  </si>
  <si>
    <t>31-5 2nd St ,Chandrasekarapuram , Ambattur</t>
  </si>
  <si>
    <t>SETHUBHASKARA MHSS AMBATTUR</t>
  </si>
  <si>
    <t>STATE BOARD CHENNAI, TAMILNADU</t>
  </si>
  <si>
    <t>SRI SIVASUBRAMANIYA NADAR COLLEGE OF ENGINEERING CHENNAI, TAMILNADU</t>
  </si>
  <si>
    <t>AutoCAD,MS Office,MS Project,Primavera,Power BI,Candy</t>
  </si>
  <si>
    <t>L&amp;W Constructions Pvt Ltd | Engineer - Planning | Chennai | Aug 2018 | Jul 2022 | 3 Years, 11 Months, 13 Days | 3.6</t>
  </si>
  <si>
    <t>SAVILLS PROPERTY SERVICES | Project Management Intern | BANGALORE | May 2023 | Jul 2023 | 7 Weeks | Campus Internship
L AND T CONSTRUCTION | Design Intern | CHENNAI, TAMIL NADU | Jan 2017 | Jan 2017 | 1 Weeks
UNIQCORE CONSTRUCTION PVT LTD | Site Execution Intern | SALEM, TAMIL NADU | Jun 2017 | Jun 2022 | 263 Weeks</t>
  </si>
  <si>
    <t>p2270013</t>
  </si>
  <si>
    <t>MEET</t>
  </si>
  <si>
    <t>DAMNIWALA</t>
  </si>
  <si>
    <t>Meet Bhavesh Damniwala</t>
  </si>
  <si>
    <t>meetdamniwala@gmail.com</t>
  </si>
  <si>
    <t>p2270013@student.nicmar.ac.in</t>
  </si>
  <si>
    <t>16-Jul-1999</t>
  </si>
  <si>
    <t>8697 1642 8694</t>
  </si>
  <si>
    <t>BHAVESH DAMNIWALA</t>
  </si>
  <si>
    <t>MAMTA DAMNIWALA</t>
  </si>
  <si>
    <t>14/235, Rewa Bhavan, LJ Road, Dadar West, Mumbai</t>
  </si>
  <si>
    <t>SWADHYAY BHAVAN</t>
  </si>
  <si>
    <t>MAHARASHTRA STATE BOARD OF SECONDARY AND HIGHER SECONDARY</t>
  </si>
  <si>
    <t>MUKESH PATEL SCHOOL OF TECHNOLOGY MANAGEMENT &amp; ENGINEERING</t>
  </si>
  <si>
    <t>NARSEE MONJEE INSTITUTE OF MANAGEMENT STUDIES</t>
  </si>
  <si>
    <t>AutoCAD,MS Office,MS Project,Primavera,Revit,MS Excel,CANDY,Windowmaker</t>
  </si>
  <si>
    <t>Instawindows LLP | Sales Engineer | Dadar, Mumbai | Jun 2021 | Aug 2022 | 1 Years, 2 Months, 0 Days | 1.8</t>
  </si>
  <si>
    <t>SUNTECK REALTY | Intern, EPC Execution | NAIGAON | May 2023 | Jul 2023 | 7 Weeks | Campus Internship
MS KULKARNI AND COMPANY | Site Engineer | PAREL, MUMBAI | Aug 2020 | Dec 2020 | 19 Weeks
MS KULKARNI AND COMPANAY | Site Engineer | PAREL, MUMBAI | Jan 2021 | May 2021 | 17 Weeks</t>
  </si>
  <si>
    <t>p2270014</t>
  </si>
  <si>
    <t>DAHIYA</t>
  </si>
  <si>
    <t>Deepak Dahiya</t>
  </si>
  <si>
    <t>dahiyadeepak003@gmail.com</t>
  </si>
  <si>
    <t>p2270014@student.nicmar.ac.in</t>
  </si>
  <si>
    <t>30-May-2000</t>
  </si>
  <si>
    <t>Atheletics,Travelling</t>
  </si>
  <si>
    <t>9867 1271 8855</t>
  </si>
  <si>
    <t>ENTREPRENEUR</t>
  </si>
  <si>
    <t>SAJNI</t>
  </si>
  <si>
    <t>D-1/57 Budh Vihar Phase-1 New Delhi</t>
  </si>
  <si>
    <t>West Delhi</t>
  </si>
  <si>
    <t>PRINCE PUBLIC SCHOOL</t>
  </si>
  <si>
    <t>CBSE,DELHI</t>
  </si>
  <si>
    <t>SGT UNIVERSITY</t>
  </si>
  <si>
    <t>GURGAON/HARYANA</t>
  </si>
  <si>
    <t>AutoCAD,MS Office,MS Project,Primavera,CANDY</t>
  </si>
  <si>
    <t>VSL India Pvt Ltd | Project Planning | Patna | May 2023 | Jul 2023 | 7 Weeks | Campus Internship
ASHOK CHAUHAN AND COMPANY | OVERSEEING TUNNEL WORK | HIMACHAL PRADESH | Jul 2021 | Aug 2021 | 8 Weeks
NOBLE ENGINEERING INDUSTRIES | OVERSEEING TUNNEL WORK | UTTARAKHAND | Dec 2021 | Jul 2022 | 34 Weeks</t>
  </si>
  <si>
    <t>p2270015</t>
  </si>
  <si>
    <t>KRISHNAGOUDA</t>
  </si>
  <si>
    <t>Anil Krishnagouda Patil</t>
  </si>
  <si>
    <t>anilpatilk1999@gmail.com</t>
  </si>
  <si>
    <t>p2270015@student.nicmar.ac.in</t>
  </si>
  <si>
    <t>18-Sep-1999</t>
  </si>
  <si>
    <t>English, kannada, hindi</t>
  </si>
  <si>
    <t>Basketball,Cycling</t>
  </si>
  <si>
    <t>5264 4822 5091</t>
  </si>
  <si>
    <t>RENUKA K PATIL</t>
  </si>
  <si>
    <t>Hno 138 _x000D_
Bavalatti_x000D_
Post Kundaragi  Dist. Bagalkot_x000D_
587116</t>
  </si>
  <si>
    <t>P47 13TH CROSS VIDYAGIRI BAGALKOT</t>
  </si>
  <si>
    <t>SHARADA RESIDENTIAL SCHOOL, UDUPI</t>
  </si>
  <si>
    <t>INDIAN CERTIFICATE OF SECONDARY EDUCATION EXAMINATION NEW DELHI</t>
  </si>
  <si>
    <t>VIKAS PU COLLEGE</t>
  </si>
  <si>
    <t>KLS GOGTE INSTITUTE OF TECHNOLOGY, BELAGAVI, KARNATAKA</t>
  </si>
  <si>
    <t>AutoCAD,Primavera</t>
  </si>
  <si>
    <t>Econstruct Design and Build | Project Management | Bangalore | May 2023 | Jul 2023 | 7 Weeks | Campus Internship
SYNERGY SCHOOL OF BUSINESS SKILLS | INTERN | BELAGAVI  | Jan 2021 | Mar 2021 | 8 Weeks</t>
  </si>
  <si>
    <t>p2270016</t>
  </si>
  <si>
    <t>KASHIF</t>
  </si>
  <si>
    <t>Kashif Ahmed</t>
  </si>
  <si>
    <t>kashif.ahmed6899@gmail.com</t>
  </si>
  <si>
    <t>p2270016@student.nicmar.ac.in</t>
  </si>
  <si>
    <t>06-Aug-1999</t>
  </si>
  <si>
    <t>High rise buildings,Automobiles,Sports</t>
  </si>
  <si>
    <t>3185 9777 0580</t>
  </si>
  <si>
    <t>FAISAL AHMED</t>
  </si>
  <si>
    <t>FERHAT FATIMA</t>
  </si>
  <si>
    <t>2-6-40/RKA, 501, Rock Avenue Apartment, Pillar No.203, Upperpally, Hyderabad</t>
  </si>
  <si>
    <t>DELHI PUBLIC SCHOOL, HYDERABAD</t>
  </si>
  <si>
    <t>CENTRAL BOARD OF SECONDARY EDUCATION, HYDERABAD, TELANGANA</t>
  </si>
  <si>
    <t>SRI CHAITANYA JUNIOR COLLEGE, JUBILEE HILLS</t>
  </si>
  <si>
    <t>OSMANIA UNIVERSITY, TELANGANA</t>
  </si>
  <si>
    <t>MUFFAKHAM JAH COLLEGE OF ENGINEERING AND TECHNOLOGY, HYDERABAD, TELANGANA</t>
  </si>
  <si>
    <t>Lake Shore India | Site execution | Hyderabad | May 2023 | Jul 2023 | 7 Weeks | Campus Internship</t>
  </si>
  <si>
    <t>p2270017</t>
  </si>
  <si>
    <t>Siddhant Deepak More</t>
  </si>
  <si>
    <t>sm58237@gmail.com</t>
  </si>
  <si>
    <t>p2270017@student.nicmar.ac.in</t>
  </si>
  <si>
    <t>02-May-2000</t>
  </si>
  <si>
    <t>Travelling,Exploring archeological sites,learning new skills &amp; technology,Exercise</t>
  </si>
  <si>
    <t>6287 9429 7507</t>
  </si>
  <si>
    <t>DEEPAK MORE</t>
  </si>
  <si>
    <t>TRADER</t>
  </si>
  <si>
    <t>SUSHMA MORE</t>
  </si>
  <si>
    <t>SHIVNERI, 27, MHADA COLONY, SHAHNOORWADI</t>
  </si>
  <si>
    <t>ULTIMA BOY'S HOSTEL, 608, NICMAR UNIVERSITY, RAM NAGAR, BANER</t>
  </si>
  <si>
    <t>NATH VALLEY SCHOOL</t>
  </si>
  <si>
    <t>CENTRAL BOARD OF SECONDARY EDUCATION, AURANGABAD, MAHARASHTRA</t>
  </si>
  <si>
    <t>VIDYADHAM JR. COLLEGE</t>
  </si>
  <si>
    <t>DR. BABASAHEB AMBEDKAR TECHNOLOGICAL UNIVERISTY</t>
  </si>
  <si>
    <t>MGM'S JAWAHARLAL NEHRU ENGINEERING COLLEGE</t>
  </si>
  <si>
    <t>AutoCAD,MS Office,MS Project,Primavera,Candy,Navisworks,Revit</t>
  </si>
  <si>
    <t>PIDILITE INDUSTRIES | Trainee- MEP solutions | Delhi &amp; Mumbai | May 2023 | Jul 2023 | 7 Weeks | Campus Internship
SAARRTHI GROUP | TRAINEE | PUNE | Mar 2022 | Jun 2022 | 15 Weeks</t>
  </si>
  <si>
    <t>p2270018</t>
  </si>
  <si>
    <t>AKIL</t>
  </si>
  <si>
    <t>Sahil Akil Shaikh</t>
  </si>
  <si>
    <t>shksahil20@gmail.com</t>
  </si>
  <si>
    <t>p2270018@student.nicmar.ac.in</t>
  </si>
  <si>
    <t>20-Dec-1998</t>
  </si>
  <si>
    <t>Photography,Cycling,Exploring different cuisines</t>
  </si>
  <si>
    <t>5418 0189 7957</t>
  </si>
  <si>
    <t>AKIL BASHIR SHAIKH</t>
  </si>
  <si>
    <t>SAIRA AKIL SHAIKH</t>
  </si>
  <si>
    <t>Trimbakeshwar Society Plot No - 29 Survey No - 12/1/A Wadgaon Sheri Pune - 411014</t>
  </si>
  <si>
    <t>KENDRIYA VIDYALAYA NO 2 AFS PUNE</t>
  </si>
  <si>
    <t>CBSE , PUNE / MAHARASHTRA</t>
  </si>
  <si>
    <t>AISSMS POLYTECHNIC , PUNE / MAHARASHTRA</t>
  </si>
  <si>
    <t>DR D Y PATIL SCHOOL OF ENGINEERING AND TECHNOLOGY , PUNE / MAHARASHTRA</t>
  </si>
  <si>
    <t>AutoCAD,MS Office,MS Project,Primavera,Revit,Candy</t>
  </si>
  <si>
    <t>Raviraj Realty | Junior Engineer | Pune | Jan 2021 | Jul 2022 | 1 Years, 6 Months, 22 Days | 2.16</t>
  </si>
  <si>
    <t>GERA | Quantity Surveying + Billing  | Pune  | May 2023 | Jul 2023 | 8 Weeks | Campus Internship
SHUBH DEVELOPERS | Site Execution + Control  | PUNE  | Oct 2020 | Dec 2020 | 13 Weeks
THOUGHT SYNC | Site Execution + Control  | PUNE  | May 2018 | Jun 2018 | 4 Weeks</t>
  </si>
  <si>
    <t>p2270019</t>
  </si>
  <si>
    <t>CHEVITI</t>
  </si>
  <si>
    <t>ANJANI</t>
  </si>
  <si>
    <t>BANDHAV</t>
  </si>
  <si>
    <t>Cheviti Anjani Bandhav</t>
  </si>
  <si>
    <t>cbandhavreddy@gmail.com</t>
  </si>
  <si>
    <t>p2270019@student.nicmar.ac.in</t>
  </si>
  <si>
    <t>24-Apr-2000</t>
  </si>
  <si>
    <t>ENGLISH, HINDI, TELUGU,KANNADA,TAMIL.</t>
  </si>
  <si>
    <t>BADMINTON,ATHLETICS,POETRY</t>
  </si>
  <si>
    <t>2926 9632 7282</t>
  </si>
  <si>
    <t>CHEVITI SREEDHAR REDDY</t>
  </si>
  <si>
    <t>SOMAGUTTA NARMADA</t>
  </si>
  <si>
    <t>1/1190-3-D3,BANDARU NAGAR</t>
  </si>
  <si>
    <t>Sri Satya Sai</t>
  </si>
  <si>
    <t>SWAMINARAYAN GURUKUL INTERNATIONAL SCHOOL</t>
  </si>
  <si>
    <t>INDIAN CERTIFICATE OF SECONDARY EDUCATION. BANGALORE,KARNATAKA</t>
  </si>
  <si>
    <t>CHRIST PU RESIDENTIAL</t>
  </si>
  <si>
    <t>REVA UNIVERSITY.BANGALORE,KARNATAKA..</t>
  </si>
  <si>
    <t>AutoCAD,MS Office,MS Project,Primavera,BIM,Candy</t>
  </si>
  <si>
    <t>EPMCR | Project Planning and Execution | Chennai | May 2023 | Jul 2023 | 7 Weeks | Campus Internship</t>
  </si>
  <si>
    <t>p2270020</t>
  </si>
  <si>
    <t>Shivam</t>
  </si>
  <si>
    <t>Shivam Verma</t>
  </si>
  <si>
    <t>shivamkuo7090@gmail.com</t>
  </si>
  <si>
    <t>p2270020@student.nicmar.ac.in</t>
  </si>
  <si>
    <t>02-Dec-1998</t>
  </si>
  <si>
    <t>English,Hindi and Oriya</t>
  </si>
  <si>
    <t>Gymming,Travelling,Volunteering</t>
  </si>
  <si>
    <t>8045 6892 8980</t>
  </si>
  <si>
    <t>LOW KUMAR VERMA</t>
  </si>
  <si>
    <t>KRINTA DEVI</t>
  </si>
  <si>
    <t>PACHNA ROAD LAKHISARAI NEAR BYPASS CHOWK</t>
  </si>
  <si>
    <t>Lakhisarai</t>
  </si>
  <si>
    <t>KENDRIYA VIDYALAYA DALPATTI LAKHISARAI BIHAR (08148)</t>
  </si>
  <si>
    <t>CENTRAL BOARD OF SCHOOL EDUCATION</t>
  </si>
  <si>
    <t>R.LAL.COLLEGE LAKHISARAI</t>
  </si>
  <si>
    <t>COLLEGE OF ENGINEERING BHUBANESWAR</t>
  </si>
  <si>
    <t>AutoCAD,MS Office,MS Project,Primavera,BIM (Revit &amp; Navisworks manage),Candy</t>
  </si>
  <si>
    <t>AMAR ENGICON AND CONSTRUCTION Pvt. Ltd. | Site Engineer | JHARKHAND | Jun 2019 | May 2022 | 2 Years, 11 Months, 19 Days | 4.2</t>
  </si>
  <si>
    <t>EPMCR | PROJECT PLANNING AND CONTROL | IIT MADRAS PROJECT SITE | May 2023 | Jul 2023 | 7 Weeks | Campus Internship
AMAR ENGICON AND CONSTRUCTION | CIVIL ENGINEER TRAINEE | DEOGHAR | Jun 2018 | Dec 2018 | 29 Weeks</t>
  </si>
  <si>
    <t>p2270021</t>
  </si>
  <si>
    <t>ABDUL</t>
  </si>
  <si>
    <t>JAVIDH</t>
  </si>
  <si>
    <t>H</t>
  </si>
  <si>
    <t>Abdul Javidh H</t>
  </si>
  <si>
    <t>habduljavidh@gmail.com</t>
  </si>
  <si>
    <t>p2270021@student.nicmar.ac.in</t>
  </si>
  <si>
    <t>04-Apr-1998</t>
  </si>
  <si>
    <t>Tamil, English, Hindi, Urdu</t>
  </si>
  <si>
    <t>Cricket,Running,Travel</t>
  </si>
  <si>
    <t>8904 7394 6394</t>
  </si>
  <si>
    <t>HAROON BASHA A</t>
  </si>
  <si>
    <t>RETIRED POST MASTER</t>
  </si>
  <si>
    <t>SHAKILA BANU M</t>
  </si>
  <si>
    <t>3/234B, Postal Colony, Coimbatore Road, Mahalingapuram, Pollachi</t>
  </si>
  <si>
    <t>ROOM NO: 627, NICMAR HOSTEL (ULTIMA), BANER</t>
  </si>
  <si>
    <t>PKD MATRICULATION HIGHER SECONDARY SCHOOL</t>
  </si>
  <si>
    <t>ANNA UNIVERSITY, CHENNAI, TAMIL NADU</t>
  </si>
  <si>
    <t>AutoCAD,MS Office,MS Project,Primavera,STADD.PRO,CANDY</t>
  </si>
  <si>
    <t>Multiplex Constructions LLC | Site Engineer | Dubai, United Arab Emirates | Aug 2019 | Jul 2022 | 2 Years, 11 Months, 7 Days | 13</t>
  </si>
  <si>
    <t>ECLAT ENGINEERING CONSULTANTS | Contracts &amp; HR Intern | HYDERABAD | May 2023 | Jul 2023 | 7 Weeks | Campus Internship
SOUNDARYA DECORATORS PVT LTD | Site Engineer Intern | TAJ CONNEMARA, CHENNAI, TAMIL NADU, INDIA. | May 2018 | May 2018 | 1 Weeks</t>
  </si>
  <si>
    <t>p2270022</t>
  </si>
  <si>
    <t>PARTH</t>
  </si>
  <si>
    <t>PURUSHOTTAM</t>
  </si>
  <si>
    <t>BURUKALE</t>
  </si>
  <si>
    <t>Parth Purushottam Burukale</t>
  </si>
  <si>
    <t>parthrider1@gmail.com</t>
  </si>
  <si>
    <t>p2270022@student.nicmar.ac.in</t>
  </si>
  <si>
    <t>Dance,Travelling,Football</t>
  </si>
  <si>
    <t>9186 8105 7163</t>
  </si>
  <si>
    <t>PURUSHOTTAM BURUKALE</t>
  </si>
  <si>
    <t>KALPANA BURUKALE</t>
  </si>
  <si>
    <t>G-801,Queenstown Society,opp. Chinchwad Railway Station,Chinchwad,Pune</t>
  </si>
  <si>
    <t>GAYATRI ENGLISH MEDIUM SCHOOL AND JUNIOR COLLEGE</t>
  </si>
  <si>
    <t>DR BABASAHEB AMBEDKAR TECHNICAL UNIVERSITY</t>
  </si>
  <si>
    <t>MGMÃ¢â‚¬â„¢S JAWAHARLAL NEHRU ENGINEERING COLLEGE</t>
  </si>
  <si>
    <t>AutoCAD,MS Office,MS Project,Primavera,Candy,Advanced Excel,NavisWork,Autodesk Revit</t>
  </si>
  <si>
    <t>Systra India | Project Management Intern | Mumbai | May 2023 | Jul 2023 | 7 Weeks | Campus Internship
Unicorn Properties | Intern | Pune, Maharashtra  | Jun 2019 | Jun 2019 | 2 Weeks
Param Developers | Intern | Aurangabad  | Aug 2021 | Sep 2021 | 2 Weeks
Param Developers | Intern  | Aurangabad, Maharashtra  | Feb 2022 | Aug 2022 | 25 Weeks</t>
  </si>
  <si>
    <t>p2270023</t>
  </si>
  <si>
    <t>SAMRAT</t>
  </si>
  <si>
    <t>PARASHAR</t>
  </si>
  <si>
    <t>Samrat Parashar</t>
  </si>
  <si>
    <t>samratparashar4@gmail.com</t>
  </si>
  <si>
    <t>p2270023@student.nicmar.ac.in</t>
  </si>
  <si>
    <t>19-Jan-1999</t>
  </si>
  <si>
    <t>English, Hindi, German</t>
  </si>
  <si>
    <t>7697 4181 1496</t>
  </si>
  <si>
    <t>ASHOK KUMAR SHARMA</t>
  </si>
  <si>
    <t>KUMKUM SHARMA</t>
  </si>
  <si>
    <t>Flat No. A17, Apoorva Apartments, Plot-14, Sector-5, Dwarka, New Delhi-110075</t>
  </si>
  <si>
    <t>PARAMOUNT INTERNATIONAL SCHOOL</t>
  </si>
  <si>
    <t>CBSE, NEW DELHI, DELHI</t>
  </si>
  <si>
    <t>AMITY UNIVERSITY NOIDA</t>
  </si>
  <si>
    <t>AMITY SCHOOL OF ENGINEERING AND TECHNOLOGY, NOIDA, UTTAR PRADESH</t>
  </si>
  <si>
    <t>K.K. ENTERPRISES | SALES | 3965/130, FIRST FLOOR, CITY MARKET, AJMERI GATE CHOWK, DELHI-110006 | Apr 2021 | Jul 2022 | 1 Years, 2 Months, 16 Days | 2.5</t>
  </si>
  <si>
    <t>HILTI INDIA PVT LTD | Technical Intern | Gurgaon | May 2023 | Jul 2023 | 7 Weeks | Campus Internship
LARSEN AND TOUBRO LTD | SITE EXECUTION | BURARI, NEW DELHI | Apr 2020 | May 2020 | 6 Weeks
LARSEN AND TOUBRO LTD | QUALITY CONTROL AND MATERIAL TESTING | BURARI, NEW DELHI | Jun 2019 | Jul 2019 | 5 Weeks</t>
  </si>
  <si>
    <t>p2270024</t>
  </si>
  <si>
    <t>Shashank J</t>
  </si>
  <si>
    <t>shashankj55634@gmail.com</t>
  </si>
  <si>
    <t>p2270024@student.nicmar.ac.in</t>
  </si>
  <si>
    <t>05-Jul-1999</t>
  </si>
  <si>
    <t>English, Kannada , Hindi</t>
  </si>
  <si>
    <t>4106 1842 0500</t>
  </si>
  <si>
    <t>JAGANATHA K</t>
  </si>
  <si>
    <t>MANAGER-PURCHASE</t>
  </si>
  <si>
    <t>NIRMALA R</t>
  </si>
  <si>
    <t>No 176, Aishwarya Residency, 2nd Cross ,BTS Layout, Arekere, BG Road , Bangalore</t>
  </si>
  <si>
    <t>SUDARSHAN VIDYA MANDIR HIGH SCHOOL</t>
  </si>
  <si>
    <t>JNANASWEEKAR PU COLLEGE</t>
  </si>
  <si>
    <t>DAYANANDA SAGAR COLLEGE OF ENGINEERING, BANGALORE</t>
  </si>
  <si>
    <t>AutoCAD,MS Office,MS Project,Primavera,AUTODESK REVIT</t>
  </si>
  <si>
    <t>CBRE SOUTH ASIA PVT LTD | Project Management Intern  | PUNE | May 2023 | Jul 2023 | 7 Weeks | Campus Internship
L AND T CONSTRUCTION | INTERN | BANGALORE | Mar 2021 | Apr 2021 | 3 Weeks</t>
  </si>
  <si>
    <t>p2270025</t>
  </si>
  <si>
    <t>AHER</t>
  </si>
  <si>
    <t>Pratik Nitin Aher</t>
  </si>
  <si>
    <t>pratikaher8235@gmail.com</t>
  </si>
  <si>
    <t>p2270025@student.nicmar.ac.in</t>
  </si>
  <si>
    <t>18-Feb-2000</t>
  </si>
  <si>
    <t>Travelling,Fitness</t>
  </si>
  <si>
    <t>7781 7028 4304</t>
  </si>
  <si>
    <t>NITIN JAYVANTRAO AHER</t>
  </si>
  <si>
    <t>SANGITA NITIN AHER</t>
  </si>
  <si>
    <t>Satyam Prima Manjri Bk. Pune-solapur Road</t>
  </si>
  <si>
    <t>MARY MEMORIAL SCHOOL</t>
  </si>
  <si>
    <t>JAYWANTRAO SAWANT POLYTECHNIC, PUNE</t>
  </si>
  <si>
    <t>BHARATI VIDHYAPEETH UNIVERSITY</t>
  </si>
  <si>
    <t>BHARATI VIDHYAPEETH UNIVERSITY COLLEGE OF ENGINEERING, PUNE</t>
  </si>
  <si>
    <t>2018-Oct</t>
  </si>
  <si>
    <t>AutoCAD,MS Office,MS Project,Primavera,BBS,QUANTITY SURVEYING,ESTIMATING,DRAWING READING,Candy,MS Excel,Revit,Naviswork,Rate Analysis</t>
  </si>
  <si>
    <t>Afcons Infrastructure | Execution and Planning intern  | Kochi | May 2023 | Jul 2023 | 7 Weeks | Campus Internship</t>
  </si>
  <si>
    <t>p2270026</t>
  </si>
  <si>
    <t>Atharva Rajkumar More</t>
  </si>
  <si>
    <t>atharva.more8@gmail.com</t>
  </si>
  <si>
    <t>p2270026@student.nicmar.ac.in</t>
  </si>
  <si>
    <t>Cricket,Travel,Reading</t>
  </si>
  <si>
    <t>6118 0523 1050</t>
  </si>
  <si>
    <t>RAJKUMAR PANDURANG MORE</t>
  </si>
  <si>
    <t>CIVIL ENGINEER, PROFESSOR</t>
  </si>
  <si>
    <t>AMRUTA RAJKUMAR MORE</t>
  </si>
  <si>
    <t>101, Mugdha Co-op HSG Society, Behind Kothrud Bus Stand, Kothrud, Pune -38</t>
  </si>
  <si>
    <t>DR. KALMADI SHAMARAO HIGH SCHOOL</t>
  </si>
  <si>
    <t>MAHARASTRA STATE BOARD OF SECONDARY AND HIGHER SECOBDARY EDUCATION, PUNE</t>
  </si>
  <si>
    <t>SOU. VENUTAI CHAVAN POLYTECHNIC, PUNE</t>
  </si>
  <si>
    <t>PADMABHUSHAN VASANTDADA PATIL INSTITUTE OF TECHNOLOGY, PUNE</t>
  </si>
  <si>
    <t>AutoCAD,MS Office,MS Project,Primavera,QUANTITY SURVEY,ESTIMATION,RATE ANALYSIS,AUTOCAD,BBS,PLANNING,CANDY,REVIT,NAVISWORK</t>
  </si>
  <si>
    <t>PAVETECH CONSULTANTS | Junior Engineer | PUNE | May 2023 | Jul 2023 | 7 Weeks | Campus Internship</t>
  </si>
  <si>
    <t>p2270027</t>
  </si>
  <si>
    <t>ANISH</t>
  </si>
  <si>
    <t>BONDADA</t>
  </si>
  <si>
    <t>Anish Bondada</t>
  </si>
  <si>
    <t>anishbondada01@gmaill.com</t>
  </si>
  <si>
    <t>p2270027@student.nicmar.ac.in</t>
  </si>
  <si>
    <t>Farming,Acting in Short Films,Baking,Reading Books,Playing Basket Ball</t>
  </si>
  <si>
    <t>7089 7767 6064</t>
  </si>
  <si>
    <t>RAMAKRISHNA MURTHY BONDADA</t>
  </si>
  <si>
    <t>NAGANOOKA RATNAM BONDADA</t>
  </si>
  <si>
    <t>206, Lotus Apt, Vasantha Valley, Kondapur</t>
  </si>
  <si>
    <t>CBSE,  HYDERABAD</t>
  </si>
  <si>
    <t>URBANE JUNIOR COLLEGE, HYDERABAD</t>
  </si>
  <si>
    <t>CHAITANYA BHARATHI INSTITUTE OF TECHNOLOGY, HYDERABAD</t>
  </si>
  <si>
    <t>other,Power BI,MS Office,Basics of SQL,Oracle Primavera,MS Project,CCS Candy,MiniTab,Hexagon EcoSys,AutoCad,StaadPro,Autodesk Revit,NavisWorks</t>
  </si>
  <si>
    <t>WORLEY | PROJECT CONTROLS INTERN | HYDERABAD  | May 2023 | Jul 2023 | 7 Weeks | Campus Internship
COGNIZANT TECHNOLOGY SOLUTIONS | Programmer Analyst Trainee Intern | HYDERABAD | Mar 2022 | May 2022 | 8 Weeks
SUMADHURA INFRACON PRIVATE LTD | Operation and Process of Construction Management Internship | HYDERABAD | Jul 2021 | Aug 2021 | 2 Weeks</t>
  </si>
  <si>
    <t>p2270028</t>
  </si>
  <si>
    <t>VENKAT A RAO</t>
  </si>
  <si>
    <t>Kartik Venkat A Rao Routhu</t>
  </si>
  <si>
    <t>kartikrouthu3867@gmail.com</t>
  </si>
  <si>
    <t>p2270028@student.nicmar.ac.in</t>
  </si>
  <si>
    <t>English, Hindi, Marathi and Telugu</t>
  </si>
  <si>
    <t>4910 0471 5576</t>
  </si>
  <si>
    <t>VENKAT ANNAJI RAO ROUTHU</t>
  </si>
  <si>
    <t>VENKAT LAXMI ROUTHU</t>
  </si>
  <si>
    <t>110, Raj Vaibhav Complex, Borgaon Road, Gittikhadan, Nagpur - 440013</t>
  </si>
  <si>
    <t>BHARATIYA VIDYA BHAVAN'S, ASHTI, KHURD, NAGPUR</t>
  </si>
  <si>
    <t>CENTRAL BOARD OF SECONDARY EDUCATION, MAHARASHTRA.</t>
  </si>
  <si>
    <t>SHRI CHAITANYA JUNIOR COLLEGE, KOTHURU, WEST IBRAHIMPATNAM, VIJAYAWADA, KRISHNA DISTRICT.</t>
  </si>
  <si>
    <t>SHRI RAMDEOBABA COLLEGE OF ENGINEERING AND MANAGEMENT, NAGPUR - 440013</t>
  </si>
  <si>
    <t>AutoCAD,MS Office,MS Project,Primavera,Revit,Naviswork,candy,MS- Excel</t>
  </si>
  <si>
    <t>NVLN CONSTRUCTIONS | STUDENT INTERN | HYDERABAD | May 2023 | Jul 2023 | 7 Weeks | Campus Internship
GREEN CITY BUILDERS | STUDENT INTERN | NAGPUR, MAHARASHTRA | May 2021 | Jun 2021 | 6 Weeks
GAYATRI PROJECTS LIMITED | STUDENT INTERN | HYDERABAD, TELANGANA | Dec 2021 | May 2022 | 19 Weeks</t>
  </si>
  <si>
    <t>p2270029</t>
  </si>
  <si>
    <t>Aditi Sharma</t>
  </si>
  <si>
    <t>aditisharma1861998@gmail.com</t>
  </si>
  <si>
    <t>p2270029@student.nicmar.ac.in</t>
  </si>
  <si>
    <t>18-Jun-1998</t>
  </si>
  <si>
    <t>Hand Ball,Travelling,Driving</t>
  </si>
  <si>
    <t>4701 7742 1516</t>
  </si>
  <si>
    <t>KAMLESH SHARMA</t>
  </si>
  <si>
    <t>SUMAN SHARMA</t>
  </si>
  <si>
    <t>Purani Basti Bandhwa Para Near Satbahiniya Mandir Lohar Chowk Raipur</t>
  </si>
  <si>
    <t>J.R. DANI GIRLS HIGHER SECONDARY SCHOOL RAIPUR</t>
  </si>
  <si>
    <t>RAIPUR</t>
  </si>
  <si>
    <t>CHHATTISGARH SWAMI VIVEKANAND UNIVERSITY BHILAI</t>
  </si>
  <si>
    <t>AutoCAD,MS Office,MS Project,Primavera,Autodesk Revit,Autodesk Navis work,Candy,StadPro</t>
  </si>
  <si>
    <t>VAISHNAVI INFRASTRUCTURE PRIVATE LIMITED | SITE EXECUTION  | BANGALURU | May 2023 | Jul 2023 | 7 Weeks | Campus Internship
Public Works Department, Raipur | Site Execution | Raipur | Jun 2018 | Jun 2018 | 4 Weeks</t>
  </si>
  <si>
    <t>p2270030</t>
  </si>
  <si>
    <t>VENKATAREDDY</t>
  </si>
  <si>
    <t>DWARAMPUDI</t>
  </si>
  <si>
    <t>Venkatareddy Dwarampudi</t>
  </si>
  <si>
    <t>venkyind.6@gmail.com</t>
  </si>
  <si>
    <t>p2270030@student.nicmar.ac.in</t>
  </si>
  <si>
    <t>Trekking and Camping,love to explore new cultures and places,playing tennis and badminton</t>
  </si>
  <si>
    <t>2612 1392 9255</t>
  </si>
  <si>
    <t>DWARAMPUDI ESWARA REDDY</t>
  </si>
  <si>
    <t>DWARAMPUDI ANITHA</t>
  </si>
  <si>
    <t>B.S.Layout Seethammadara_x000D_
49-54-7/9, Sri Sai Vihar, Flat Number 301</t>
  </si>
  <si>
    <t>THE FUTURE KIDS SCHOOL</t>
  </si>
  <si>
    <t>ICSE (ANDHRA PRADESH)</t>
  </si>
  <si>
    <t>ASCENT JUNIOR COLLEGE</t>
  </si>
  <si>
    <t>BOARD OF INTERMEDIATE EDUCATION (ANDHRA PRADESH)</t>
  </si>
  <si>
    <t>GITAM ( DEEMED TO BE UNIVERSITY)</t>
  </si>
  <si>
    <t>GANDHI INSTITUTE OF TECHNOLOGY AND MANAGEMENT ( ANDHRA PRADESH)</t>
  </si>
  <si>
    <t>AutoCAD,MS Office,MS Project,SKETCHUP</t>
  </si>
  <si>
    <t>PIDILITE INDUSTRIES | Bussiness Development  | Mumbai | May 2023 | Jul 2023 | 7 Weeks | Campus Internship
SUKSHETRA INFRA PROJECTS | SITE ENGINEER | BACHUPALLY, HYDERABAD | Jul 2021 | Jul 2021 | 4 Weeks</t>
  </si>
  <si>
    <t>p2270031</t>
  </si>
  <si>
    <t>GHOSH</t>
  </si>
  <si>
    <t>Aniket Ghosh</t>
  </si>
  <si>
    <t>rajghosh186@gmail.com</t>
  </si>
  <si>
    <t>p2270031@student.nicmar.ac.in</t>
  </si>
  <si>
    <t>19-Oct-2000</t>
  </si>
  <si>
    <t>8585 8688 8121</t>
  </si>
  <si>
    <t>SUMAN GHOSH</t>
  </si>
  <si>
    <t>PAPIYA GHOSH</t>
  </si>
  <si>
    <t>Bina Complex Flat No.b1 Khalishani, Ditch Road Hooghly Chandannagar.</t>
  </si>
  <si>
    <t>DON BOSCO BANDEL</t>
  </si>
  <si>
    <t>ICSE  WEST BENGAL</t>
  </si>
  <si>
    <t>TECHNO INDIA GROUP PUBLIC SCHOOL</t>
  </si>
  <si>
    <t>TECHNO INDIA UNIVERSITY</t>
  </si>
  <si>
    <t>TECHNO INDIA UNIVERSITY KOLKATA WEST BENGAL</t>
  </si>
  <si>
    <t>Space Matrix Design Consultants Pvt Ltd | PM intern  | Hyderabad  | May 2023 | Jul 2023 | 7 Weeks | Campus Internship
INFINITY DEVCON PRIVATE LIMITED | INTERN | KOLKATA,WEST BENGAL | Apr 2021 | Apr 2021 | 2 Weeks</t>
  </si>
  <si>
    <t>p2270032</t>
  </si>
  <si>
    <t>KUDALE</t>
  </si>
  <si>
    <t>Dhruv Rajendra Kudale</t>
  </si>
  <si>
    <t>kudaledhruv1999@gmail.com</t>
  </si>
  <si>
    <t>p2270032@student.nicmar.ac.in</t>
  </si>
  <si>
    <t>Moto racing / Riding,Playing Guitar,Swimming</t>
  </si>
  <si>
    <t>3958 4499 0960</t>
  </si>
  <si>
    <t>MANJUSHA</t>
  </si>
  <si>
    <t>Opp, Bus Stand, Saptarshi Mala, Baleshwari, Kopargaon, 423601</t>
  </si>
  <si>
    <t>59/28,_x000D_
MADHAV CHAYYA,_x000D_
NAVSAHYADRI SOCIETY,_x000D_
OPP TO ASHWINI HOSPITAL,_x000D_
KARVENAGAR, PUNE- 52</t>
  </si>
  <si>
    <t>SHREE SHARDA ENGLISH MEDIUM SCHOOL, KOPARGAON</t>
  </si>
  <si>
    <t>SANJIVANI K.B.P. POLY, KOPARGAON</t>
  </si>
  <si>
    <t>SANJIVANI COLLEGE OF ENGINEERING KOPARGAON</t>
  </si>
  <si>
    <t>AutoCAD,MS Project,Primavera,ESTIMATING (CANDY SOFTWARE),Naviswork,Revit</t>
  </si>
  <si>
    <t>H.G. Infra Engineering | Planning Intern  | Wyra,Telangana  | May 2023 | Jul 2023 | 7 Weeks | Campus Internship
SCAFFOLDA | Execution  | pune | Aug 2021 | Apr 2022 | 35 Weeks</t>
  </si>
  <si>
    <t>p2270033</t>
  </si>
  <si>
    <t>ANIRUDH</t>
  </si>
  <si>
    <t>B G</t>
  </si>
  <si>
    <t>Anirudh B G</t>
  </si>
  <si>
    <t>anirudhbg1999@gmail.com</t>
  </si>
  <si>
    <t>p2270033@student.nicmar.ac.in</t>
  </si>
  <si>
    <t>20-Nov-1999</t>
  </si>
  <si>
    <t>ENGLISH,KANNADA,TELUGU,TAMIL</t>
  </si>
  <si>
    <t>Playing cricket,Listening music,Cycling</t>
  </si>
  <si>
    <t>7789 8999 2590</t>
  </si>
  <si>
    <t>B P GOVINDA RAJU</t>
  </si>
  <si>
    <t>K KANCHANA</t>
  </si>
  <si>
    <t>Muneshwara Nagar 1st Main, 2nd Cross_x000D_
Opposite To Muneshwara Swamy Temple</t>
  </si>
  <si>
    <t>VIDYA JYOTHI SCHOOL</t>
  </si>
  <si>
    <t>KARNATAKA SECONDARY EXAMINATION BOARD, KARNATAKA</t>
  </si>
  <si>
    <t>VIDYA JYOTHI PU COLLEGE</t>
  </si>
  <si>
    <t>DEPARATMENT OF PRE UNIVERSITY EDUCATION, KARNATAKA</t>
  </si>
  <si>
    <t>VIDYA VARDAKA ENGINEERING COLLEGE, MYSURU</t>
  </si>
  <si>
    <t>Prestige Estates Pvt Ltd | Site Execution and control | Bangalore | May 2023 | Jul 2023 | 7 Weeks | Campus Internship
BHAMYS CONSTRUCTIONS | Site Execution and control | MYSURU | Mar 2021 | Mar 2021 | 4 Weeks</t>
  </si>
  <si>
    <t>p2270034</t>
  </si>
  <si>
    <t>SOORAJ</t>
  </si>
  <si>
    <t>SHROFF</t>
  </si>
  <si>
    <t>Sooraj Kumar Shroff</t>
  </si>
  <si>
    <t>soorajshroff@gmail.com</t>
  </si>
  <si>
    <t>p2270034@student.nicmar.ac.in</t>
  </si>
  <si>
    <t>Tabble Tennis,Volleyball,Reading Books</t>
  </si>
  <si>
    <t>3958 0162 8120</t>
  </si>
  <si>
    <t>T SARAT KUMAR SHROFF</t>
  </si>
  <si>
    <t>ANURADHA SHROFF</t>
  </si>
  <si>
    <t>C-106 Trident Galaxy Kalinganagar Bhubaneswar</t>
  </si>
  <si>
    <t>DELHI PUBLIC SCHOOL KALINGA</t>
  </si>
  <si>
    <t>CBSE, BHUBANESWAR, ODISHA</t>
  </si>
  <si>
    <t>MOTHERS PUBLIC SCHOOL</t>
  </si>
  <si>
    <t>VEER SURENDRA SAI UNIVERSITY OF TECHNOLOGY BURLA</t>
  </si>
  <si>
    <t>VEER SURENDRA SAI UNIVERSITY OF TECHNOLOGY BURLA, ODISHA</t>
  </si>
  <si>
    <t>AutoCAD,MS Office,MS Project,Primavera,Revit,Navisworks,Candy</t>
  </si>
  <si>
    <t>TATA PROJECTS LIMITED | PROJECT PLANNING &amp; SITE EXECUTION | MEERUT,UTTAR PRADESH | May 2023 | Jul 2023 | 7 Weeks | Campus Internship
IDCO | SUMMER INTERN | BHUBANESWAR | Jun 2022 | Jul 2022 | 4 Weeks</t>
  </si>
  <si>
    <t>p2270036</t>
  </si>
  <si>
    <t>KHATAVKAR</t>
  </si>
  <si>
    <t>Suraj Haridas Khatavkar</t>
  </si>
  <si>
    <t>soorajkhatavkar@gmail.com</t>
  </si>
  <si>
    <t>p2270036@student.nicmar.ac.in</t>
  </si>
  <si>
    <t>04-Jan-1998</t>
  </si>
  <si>
    <t>Listening to music,Learning new things,Team sports</t>
  </si>
  <si>
    <t>9707 0200 4402</t>
  </si>
  <si>
    <t>HARIDAS KHATAVKAR</t>
  </si>
  <si>
    <t>SARSWATI KHATAVKAR</t>
  </si>
  <si>
    <t>1/789, Prasad Niwas, Vivekanand Colony, Tambari_x000D_
Vibhag, Osmanabad</t>
  </si>
  <si>
    <t>ROOM NO 611,ULTIMA HOSTEL ,NICMAR, N.I.A. POST OFFICE,25/1,BALEWADI RD, BANER, PUNE</t>
  </si>
  <si>
    <t>CHHATRAPATI SHIVAJI HIGHSCHOOL OSMANABAD</t>
  </si>
  <si>
    <t>MAHARASHTRA STATE BOARD OF SECONDARY AND HIGHER SECONDARY EDUCATION, PUNE (LATUR DIVISION)</t>
  </si>
  <si>
    <t>SHRIPATRAO BHOSALE JUNIOR COLLEGE OSMANABAD</t>
  </si>
  <si>
    <t>AutoCAD,MS Office,MS Project,Primavera,Candy,Revit,Naviswork</t>
  </si>
  <si>
    <t>VICEROY PROPERTIES | CONTRACTS AND PROCUREMENT  | MUMBAI | May 2023 | Jul 2023 | 7 Weeks | Campus Internship
VASTUSHILPA ARCHITECTS | TRAINEE ENGINEER | OSMANABAD  | Mar 2021 | Dec 2021 | 41 Weeks</t>
  </si>
  <si>
    <t>p2270038</t>
  </si>
  <si>
    <t>SIVARAM KUMAR</t>
  </si>
  <si>
    <t>Sivaram Kumar R</t>
  </si>
  <si>
    <t>sivaramkumar3010@gmail.com</t>
  </si>
  <si>
    <t>p2270038@student.nicmar.ac.in</t>
  </si>
  <si>
    <t>30-Oct-1999</t>
  </si>
  <si>
    <t>English, Tamil, Hindi, Telugu and Kannada</t>
  </si>
  <si>
    <t>Playing Cricket and Volly ball,Solving rubik&amp;#39;s cube,Reading maps,Cooking</t>
  </si>
  <si>
    <t>7968 6861 4840</t>
  </si>
  <si>
    <t>RAMDASS S</t>
  </si>
  <si>
    <t>RETIRED BANK SPECIAL ASSISTANT</t>
  </si>
  <si>
    <t>LEELA RANI R</t>
  </si>
  <si>
    <t>15,killai Samiyar Lane, Lalkhan Street, Chidambaram_x000D_</t>
  </si>
  <si>
    <t>NIRMALA MATRICULATION HIGHER SECONDARY SCHOOL</t>
  </si>
  <si>
    <t>ANNAMLAI UNIVERSITY (TAMIL NADU)</t>
  </si>
  <si>
    <t>FACULTY OF ENGINEERING AND TECHNOLOGY (TMIL NADU)</t>
  </si>
  <si>
    <t>AutoCAD,MS Office,MS Project,Primavera,Revit,STAAD pro</t>
  </si>
  <si>
    <t>BANGALORE METRO RAIL CORPORATION LIMITED | Intern | BANGLORE | May 2023 | Jul 2023 | 7 Weeks | Campus Internship</t>
  </si>
  <si>
    <t>p2270039</t>
  </si>
  <si>
    <t>2000singhadarsh@gmail.com</t>
  </si>
  <si>
    <t>p2270039@student.nicmar.ac.in</t>
  </si>
  <si>
    <t>30-Mar-2001</t>
  </si>
  <si>
    <t>1. Play Cricket.,2. Bike Ride</t>
  </si>
  <si>
    <t>2517 3350 5150</t>
  </si>
  <si>
    <t>MR. R.B. SINGH</t>
  </si>
  <si>
    <t>MRS. SUSHMA SINGH</t>
  </si>
  <si>
    <t>6/B Vrindavan Yojna, Gopeshkunj ,telibag , Lucknow, UP</t>
  </si>
  <si>
    <t>SWARNIM PUBLIC SCHOOL</t>
  </si>
  <si>
    <t>LUCKNOW/ UTTARPRADESH</t>
  </si>
  <si>
    <t>HS MEMORIAL PUBLIC SCHOOL</t>
  </si>
  <si>
    <t>AMBALIKA INSTITUTE OF MANAGEMENT AND TECHNOLOGY LUCKNOW/UTTARPRADESH</t>
  </si>
  <si>
    <t>AutoCAD,MS Office,MS Project,Primavera,Candy</t>
  </si>
  <si>
    <t>Shapoorji Pallonji &amp; Construction Private Limited | Planning and Execution | Sonipat, Haryana | May 2023 | Jul 2023 | 8 Weeks | Campus Internship
GAYATRI PROJECTS LIMITED | INTERN TRAINEE | LUCKNOW | Jul 2021 | Aug 2021 | 5 Weeks</t>
  </si>
  <si>
    <t>p2270040</t>
  </si>
  <si>
    <t>NILAKSH</t>
  </si>
  <si>
    <t>Nilaksh Singh</t>
  </si>
  <si>
    <t>nilakshsingh07@gmail.com</t>
  </si>
  <si>
    <t>p2270040@student.nicmar.ac.in</t>
  </si>
  <si>
    <t>14-Jan-2000</t>
  </si>
  <si>
    <t>3070 2308 7467</t>
  </si>
  <si>
    <t>SANJAY KUMAR SINGH</t>
  </si>
  <si>
    <t>JYOTI SINGH</t>
  </si>
  <si>
    <t>H.no 1527, Shastri Nagar, Sultanpur, U.P (228001)</t>
  </si>
  <si>
    <t>Sultanpur</t>
  </si>
  <si>
    <t>STELLA MARIS CONVENT SCHOOL</t>
  </si>
  <si>
    <t>C.B.S.E, SULTANPUR, UTTAR PRADESH</t>
  </si>
  <si>
    <t>EMMANUEL MISSION SCHOOL</t>
  </si>
  <si>
    <t>AMITY UNIVERSITY, NOIDA</t>
  </si>
  <si>
    <t>Vijay Construction India Private Limited | Site Execution | Lucknow | Jun 2021 | Jul 2022 | 1 Years, 1 Months, 30 Days | 6</t>
  </si>
  <si>
    <t>HILTI INDIA PVT LTD | Technical Intern  | Pune | May 2023 | Jul 2023 | 7 Weeks | Campus Internship
LARSEN AND TOUBRO LIMITED | Quality Control | DELHI | Apr 2020 | May 2020 | 6 Weeks</t>
  </si>
  <si>
    <t>p2270041</t>
  </si>
  <si>
    <t>DIDRIKSHA</t>
  </si>
  <si>
    <t>SONOWAL</t>
  </si>
  <si>
    <t>Didriksha Sonowal</t>
  </si>
  <si>
    <t>didrikshasonowal@gmail.com</t>
  </si>
  <si>
    <t>p2270041@student.nicmar.ac.in</t>
  </si>
  <si>
    <t>27-Sep-1999</t>
  </si>
  <si>
    <t>English,Hindi,Assamese</t>
  </si>
  <si>
    <t>Dance,Theatre,Travelling,Setting Up Network</t>
  </si>
  <si>
    <t>7431 3705 0347</t>
  </si>
  <si>
    <t>ACHITRA SONOWAL</t>
  </si>
  <si>
    <t>RINA DEVI HAZARIKA</t>
  </si>
  <si>
    <t>CENTRAL GOVT.EMPLOYEE</t>
  </si>
  <si>
    <t>Maligaon Shuttlegate,Central Gotanagar,Railway Colony,Qtr.No.289-B</t>
  </si>
  <si>
    <t>MAHARISHI VIDYA MANDIR</t>
  </si>
  <si>
    <t>CBSE,GUWAHATI</t>
  </si>
  <si>
    <t>FACULTY HIGHER SECONDARY SCHOOL</t>
  </si>
  <si>
    <t>KIIT UNIVERSITY,BHUBANESWAR</t>
  </si>
  <si>
    <t>AutoCAD,MS Office,MS Project,Primavera,Staad Pro,Advanced Excel,Autodesk Revit</t>
  </si>
  <si>
    <t>IIM Bangalore | Research Intern | Bangalore | May 2023 | Jul 2023 | 7 Weeks | Campus Internship
ONNES CRYOGENICS | DESIGNER | ONLINE | Jun 2021 | Aug 2021 | 8 Weeks
KIIT UNIVERSITY | PLANNING | ONLINE | Jun 2021 | Jul 2021 | 4 Weeks</t>
  </si>
  <si>
    <t>p2270042</t>
  </si>
  <si>
    <t>SAYYED</t>
  </si>
  <si>
    <t>Sarfaraz Ahmad Sayyed</t>
  </si>
  <si>
    <t>sarfarazsay1011@gmail.com</t>
  </si>
  <si>
    <t>p2270042@student.nicmar.ac.in</t>
  </si>
  <si>
    <t>12-Jul-2000</t>
  </si>
  <si>
    <t>Football,Cricket,Reading</t>
  </si>
  <si>
    <t>2946 4974 3601</t>
  </si>
  <si>
    <t>SAYYED IMTYAZ AHMAD</t>
  </si>
  <si>
    <t>SELF OWNED BUSINESS</t>
  </si>
  <si>
    <t>SAYYED SHAHEEN AHMAD</t>
  </si>
  <si>
    <t>Flat No 13 ,4th Floor Jesuina Apt Evergreen Co-Op Housing Society LBS Marg ,Kurla (W) , Mumbai.</t>
  </si>
  <si>
    <t>FLAT NO103,1ST FLOOR , B WING, MUKTANAND SOCIETY HALLOW PUL, KURLA WEST NEAR FRIENDS COLONY</t>
  </si>
  <si>
    <t>ANJUMAN-I-ISLAM ALLANA ENGLISH HIGH SCHOOL</t>
  </si>
  <si>
    <t>MAHARASHTRA STATE BOARD OF SECONDARY AND HIGHER SECONDARY EDUCATION.</t>
  </si>
  <si>
    <t>ABDUL RAZZAK KALSEKAR POLYTECHNIC , PANVEL, NEW MUMBAI</t>
  </si>
  <si>
    <t>RIZVI COLLEGE OF ENGINEERING</t>
  </si>
  <si>
    <t>J. Kumar Infraprojects | Project Planning &amp; Execution | Mumbai | May 2023 | Jul 2023 | 7 Weeks | Campus Internship
AADHYA INFRASTRUCTURE | Site Engineer | JOGESHWARI, MUMBAI | Jan 2021 | Feb 2021 | 5 Weeks
PARAMOUNT CONSTRUCTION | Site Engineer | TILAKNAGAR, MUMBAI | Mar 2021 | Oct 2021 | 27 Weeks</t>
  </si>
  <si>
    <t>p2270043</t>
  </si>
  <si>
    <t>NAMAN</t>
  </si>
  <si>
    <t>SAXENA</t>
  </si>
  <si>
    <t>Naman Saxena</t>
  </si>
  <si>
    <t>namansaxena941@gmail.com</t>
  </si>
  <si>
    <t>p2270043@student.nicmar.ac.in</t>
  </si>
  <si>
    <t>07-Dec-1999</t>
  </si>
  <si>
    <t>Badminton,Swimming</t>
  </si>
  <si>
    <t>4701 6551 4977</t>
  </si>
  <si>
    <t>SANJEEV KUMAR SAXENA</t>
  </si>
  <si>
    <t>SUNITA SAXENA</t>
  </si>
  <si>
    <t>Uphar-1178 Udyan-2, Eldeco, Raebareli Road</t>
  </si>
  <si>
    <t>C-310 VIDYUT NAGAR, NTPC DADRI</t>
  </si>
  <si>
    <t>CHINMAYA VIDYALAYA</t>
  </si>
  <si>
    <t>CENTRAL BOARD OF SECONDARY EDUCATION, UNCHAHAR, UTTAR PRADESH</t>
  </si>
  <si>
    <t>MANIPAL INSTITUTE OF TECHNOLOGY, MANIPAL, KARNATAKA</t>
  </si>
  <si>
    <t>AutoCAD,MS Office,MS Project,Primavera,PowerBI</t>
  </si>
  <si>
    <t>Ernst &amp; Young | Infrastructure Advisory Intern | Strategy &amp; Transactions  | New Delhi | May 2023 | Jul 2023 | 7 Weeks | Campus Internship
LARSEN AND TOUBRO | INTERN | NPGC NABINAGAR | May 2019 | Jun 2019 | 6 Weeks</t>
  </si>
  <si>
    <t>p2270044</t>
  </si>
  <si>
    <t>SAMIP</t>
  </si>
  <si>
    <t>SHILANAND</t>
  </si>
  <si>
    <t>RAHATE</t>
  </si>
  <si>
    <t>Samip Shilanand Rahate</t>
  </si>
  <si>
    <t>samiprahate302@gmail.com</t>
  </si>
  <si>
    <t>p2270044@student.nicmar.ac.in</t>
  </si>
  <si>
    <t>16-Aug-1999</t>
  </si>
  <si>
    <t>4061 8608 3629</t>
  </si>
  <si>
    <t>SHILANAND RAHATE</t>
  </si>
  <si>
    <t>USHA RAHATE</t>
  </si>
  <si>
    <t>KHAT ROAD NEAR KOCHE GAS GODAWN</t>
  </si>
  <si>
    <t>ROYAL PUBLIC SCHOOL,BHANDARA</t>
  </si>
  <si>
    <t>NANAJI JOSHI JR COLLEGE OF ENGINEERING</t>
  </si>
  <si>
    <t>PRIYADARSHINI INDIRA GANDHI COLLEGE OF ENGINEERING,NAGPUR</t>
  </si>
  <si>
    <t>AutoCAD,MS Office,MS Project,Primavera,STADD PRO,ETABS,BIM</t>
  </si>
  <si>
    <t>H.G. Infra Engineering | QS &amp; PLANNING | H.G.IFRA ENGINEERING LTD. Wyra, Khammam, Telengana | May 2023 | Jul 2023 | 7 Weeks | Campus Internship
VEDANT CONSTRUCTION | TRAINEE | BHANDARA, MAHARASHTRA  | Jul 2021 | Jan 2022 | 25 Weeks</t>
  </si>
  <si>
    <t>p2270045</t>
  </si>
  <si>
    <t>VISHNU V</t>
  </si>
  <si>
    <t>Hari Vishnu V</t>
  </si>
  <si>
    <t>harishvishnu3499@gmail.com</t>
  </si>
  <si>
    <t>p2270045@student.nicmar.ac.in</t>
  </si>
  <si>
    <t>03-Apr-1999</t>
  </si>
  <si>
    <t>ENGLISH, TAMIL, HINDI, TELUGU</t>
  </si>
  <si>
    <t>PENCIL SKETCH,TRAVELLING,GARDENING,GYMING</t>
  </si>
  <si>
    <t>4812 0870 8195</t>
  </si>
  <si>
    <t>VARATHARAJA PERUMAL</t>
  </si>
  <si>
    <t>NIRANCHANA DEVI</t>
  </si>
  <si>
    <t>2/537, PANDIYAN NAGAR, THIRUMANGALAM</t>
  </si>
  <si>
    <t>C.S.RAMACHARY MEMORIAL  METRIC HIGHER SEC SCHOOL</t>
  </si>
  <si>
    <t>STATE BOARD TAMIL NADU</t>
  </si>
  <si>
    <t>ADHIYAMAAN COLLEGE OF ENGINEERING</t>
  </si>
  <si>
    <t>Afcons Infrastructure | Site Execution &amp; Planning | Jamnagar, Gujarat | May 2023 | Jul 2023 | 7 Weeks | Campus Internship
G K CONSTRUCTION | Site Execution | MADURAI | Sep 2020 | Dec 2020 | 13 Weeks</t>
  </si>
  <si>
    <t>p2270046</t>
  </si>
  <si>
    <t>Atul Praveen</t>
  </si>
  <si>
    <t>atulpraveen769@outlook.com</t>
  </si>
  <si>
    <t>p2270046@student.nicmar.ac.in</t>
  </si>
  <si>
    <t>11-Jun-1998</t>
  </si>
  <si>
    <t>English,Malayalam,Tamil,Hindi</t>
  </si>
  <si>
    <t>6674 6526 0270</t>
  </si>
  <si>
    <t>PC PRAVEEN</t>
  </si>
  <si>
    <t>SINDHU PRAVEEN</t>
  </si>
  <si>
    <t>VEETHIKA (H), P.O MYLAMPADI, MEENANGADI,_x000D_
WAYANAD</t>
  </si>
  <si>
    <t>BHAVANS VIDYA MANDIR WAYANAD KENDRA</t>
  </si>
  <si>
    <t>CENTRAL BOARD OF SECONDARY EDUCATION WAYANAD/KERALA</t>
  </si>
  <si>
    <t>VELLORE INSTITUTE OF TECHNOLOGY UNIVERSITY</t>
  </si>
  <si>
    <t>VELLORE INSTITUTE OF TECHNOLOGY VELLORE/TAMIL NADU</t>
  </si>
  <si>
    <t>CSDirekt | Project Coordination | Kurukshetra,Haryana | May 2023 | Jul 2023 | 7 Weeks | Campus Internship
KERALA GOVERNMENT PUBLIC WORKS DEPARTMENT | SITE WORKS IN RECONSTRUCTION BRIDGE SITE | KORAPPUZHA BRIDGE CALICUT | May 2019 | Jun 2019 | 4 Weeks</t>
  </si>
  <si>
    <t>p2270047</t>
  </si>
  <si>
    <t>PARASH</t>
  </si>
  <si>
    <t>BHOLE</t>
  </si>
  <si>
    <t>Parash Ganesh Bhole</t>
  </si>
  <si>
    <t>bholeparash2525@gmail.com</t>
  </si>
  <si>
    <t>p2270047@student.nicmar.ac.in</t>
  </si>
  <si>
    <t>25-May-1999</t>
  </si>
  <si>
    <t>9155 4714 5895</t>
  </si>
  <si>
    <t>GANESH PUNDLIK BHOLE</t>
  </si>
  <si>
    <t>KIRTI GANESH BHOLE</t>
  </si>
  <si>
    <t>C-501, Shree Sharanam, Patlipada, Thane West, 400607</t>
  </si>
  <si>
    <t>UNIVERSAL HIGH THANE</t>
  </si>
  <si>
    <t>INDIAN CERTIFICATE FOR SECONDARY EDUCATION</t>
  </si>
  <si>
    <t>SHUBHAMRAJE JUNIOR COLLEGE</t>
  </si>
  <si>
    <t>AutoCAD,MS Office,MS Project,AUTODESK REVIT</t>
  </si>
  <si>
    <t>ARUNKUMAR DESIGNERS AND CONSULTANTS PRIVATE LIMITED | INTERN ARCHITECT | THANE, MAHARASHTRA | May 2021 | Sep 2021 | 21 Weeks</t>
  </si>
  <si>
    <t>p2270048</t>
  </si>
  <si>
    <t>VAID</t>
  </si>
  <si>
    <t>Prashant Vaid</t>
  </si>
  <si>
    <t>mrprashantvaid@gmail.com</t>
  </si>
  <si>
    <t>p2270048@student.nicmar.ac.in</t>
  </si>
  <si>
    <t>29-Nov-1994</t>
  </si>
  <si>
    <t>English, Bengali, Hindi, Punjabi</t>
  </si>
  <si>
    <t>5036 6441 7121</t>
  </si>
  <si>
    <t>PRAVEEN PRAKASH VAID</t>
  </si>
  <si>
    <t>SEMI GOVERNMENT EMPLOYEE</t>
  </si>
  <si>
    <t>VIJAY VAID</t>
  </si>
  <si>
    <t>Hno 53, Railway Colony, Near Moti Kunj, Mathura, UP</t>
  </si>
  <si>
    <t>B-210, SRK SOLUS APARTMENT, IN FRONT OF ALARD SCHOOL, MARUNJI VILLAGE, PIMPRI-CHINCHWAD, PUNE-57</t>
  </si>
  <si>
    <t>KENDRIYA VIDYALAYA NO. 3, BAD, MATHURA, UTTAR PRADESH</t>
  </si>
  <si>
    <t>MATHURA</t>
  </si>
  <si>
    <t>GOVERNMENT POLYTECHNIC, MANESAR, GURGAON, HARYANA</t>
  </si>
  <si>
    <t>DEEN BANDHU SIR CHOTU RAM UNIVERSITY OF TECHNOLOGY &amp; MANAGEMENT, MURTHAL, SONIPAT, HARYANA</t>
  </si>
  <si>
    <t>AutoCAD,MS Office,MS Project,Primavera,QUANTITY ESTIMATION,SAP</t>
  </si>
  <si>
    <t>Aecom Asia Private Limited | Execution | Jhansi- Gwalior | Apr 2018 | Feb 2020 | 1 Years, 9 Months, 17 Days | 4.68
IRCON INTERNATIONAL LIMITED  (ISL) | Planning &amp; BIlling , Execution Works | Khulna, Bangladesh | Feb 2020 | Aug 2022 | 2 Years, 5 Months, 24 Days | 11.66</t>
  </si>
  <si>
    <t>MASIN PROJECTS | Trainee | Gurugram | May 2023 | Jul 2023 | 7 Weeks | Campus Internship
IRCON INTERNATIONAL LIMITED | EXECUTION OF BALLASTLESS TRACK WORK IN CT-1 A DMRC PROJECT INCLUDING ALL TRACK PARAMETRES | DELHI | Jun 2016 | Aug 2016 | 6 Weeks
LOMBARDI ENGINEERING INDIA PVT LTD | PREPARING CAD DRAWINGS FOR VARIOUS ROAD PROJECTS- TUNNEL DRAWING, ALIGNMENT DRAWING ETC | DELHI | Jun 2013 | Jul 2013 | 3 Weeks</t>
  </si>
  <si>
    <t>p2270049</t>
  </si>
  <si>
    <t>ALFAYAD</t>
  </si>
  <si>
    <t>P C</t>
  </si>
  <si>
    <t>Mohammed Alfayad P C</t>
  </si>
  <si>
    <t>fayadalfayad@gmail.com</t>
  </si>
  <si>
    <t>p2270049@student.nicmar.ac.in</t>
  </si>
  <si>
    <t>01-Dec-1997</t>
  </si>
  <si>
    <t>Sports,Reading,Travel,Listening to Music</t>
  </si>
  <si>
    <t>9605 1231 8232</t>
  </si>
  <si>
    <t>CHINNAPPA MEERAN MOIDEEN.P.A.</t>
  </si>
  <si>
    <t>FATHIMA NARGIS.J</t>
  </si>
  <si>
    <t>PALLITHODY HOUSE, KARIPALI P O, _x000D_
PATTENCHERRY, PALAKKAD</t>
  </si>
  <si>
    <t>VIJAYAMATHA CONVENT HIGHER SECONDARY SCHOOL</t>
  </si>
  <si>
    <t>JAWAHARLAL COLLEGE OF ENGINEERING AND TECHNOLOGY, LAKKIDI, OTTAPALAM, KERALA</t>
  </si>
  <si>
    <t>VADAVANNUR GRAMA PANCHAYATH | ESTIMATION AND BILLING | Vadavannur, Palakkad, Kerala | Dec 2021 | Jul 2022 | 0 Years, 7 Months, 30 Days | 3.77
EXPERT ENGINEERS AND CONTRACTORS | SITE EXECUTION | Chittur, Palakkad, Kerala | Mar 2020 | Oct 2021 | 1 Years, 7 Months, 28 Days | 1.92</t>
  </si>
  <si>
    <t>EY | Research | Delhi | May 2023 | Jul 2023 | 7 Weeks | Campus Internship
PUBLIC WORKS DEPARTMENT PALAKKAD KERALA | ESTIMATION OF BRICKWORK | INTEGRATED INSTITUTE OF MEDICAL SCIENCE - PALAKKAD, KERALA | Jun 2018 | Jun 2018 | 0 Weeks</t>
  </si>
  <si>
    <t>p2270050</t>
  </si>
  <si>
    <t>MITHRA J M</t>
  </si>
  <si>
    <t>- AMIE (IND)</t>
  </si>
  <si>
    <t>Sachin Mithra J M - Amie (ind)</t>
  </si>
  <si>
    <t>jmsmithra@gmail.com</t>
  </si>
  <si>
    <t>p2270050@student.nicmar.ac.in</t>
  </si>
  <si>
    <t>22-Jul-1997</t>
  </si>
  <si>
    <t>2350 7563 6062</t>
  </si>
  <si>
    <t>JAPAMONY L</t>
  </si>
  <si>
    <t>MANJU L</t>
  </si>
  <si>
    <t>SANTHI NILAYAM (H), MEPPUKADA, MALAYINKEEZHU (P.O), TRIVANDRUM, KERALA</t>
  </si>
  <si>
    <t>VISWAPRAKASH CENTRAL SCHOOL</t>
  </si>
  <si>
    <t>CHRIST NAGAR SENIOR SECONDARY SCHOOL</t>
  </si>
  <si>
    <t>MAR ATHANASIUS COLLEGE OF ENGINEERING</t>
  </si>
  <si>
    <t>AutoCAD,MS Office,MS Project,Primavera,DOCUMENTATION, RESEARCH SKILLS, CLASH COORDINATION, BIM MODELLING AND COORDINATION</t>
  </si>
  <si>
    <t>Mithra Tybb Private Limited | Site Execution, Control &amp; Planning | Kerala | Apr 2020 | Jul 2022 | 2 Years, 3 Months, 28 Days | 0.9</t>
  </si>
  <si>
    <t>TECHNOSTRUCT INSTITUTE OF BUILDING CONSTRUCTION AND MANAGEMENT | 1-MONTH PROJECT INTERNSHIP ON A CALIFORNIA-BASED COMPLEX PROJECT. | SAN FRANCISCO , CALIFORNIA , USA | Aug 2020 | Sep 2020 | 4 Weeks</t>
  </si>
  <si>
    <t>p2270051</t>
  </si>
  <si>
    <t>Priyadarshini Das</t>
  </si>
  <si>
    <t>dpriyadarshini.23@gmail.com</t>
  </si>
  <si>
    <t>p2270051@student.nicmar.ac.in</t>
  </si>
  <si>
    <t>14-Mar-1999</t>
  </si>
  <si>
    <t>English,Hindi and Odia</t>
  </si>
  <si>
    <t>Dancing,Travelling,Interacting with New People</t>
  </si>
  <si>
    <t>8111 3286 9886</t>
  </si>
  <si>
    <t>PRADIPTA KUMAR DAS</t>
  </si>
  <si>
    <t>MINAKSHI DAS</t>
  </si>
  <si>
    <t>Plot No- N6/246 , At- Jayadev Vihar , Near Mayfair Lagoon, Bhubaneswar</t>
  </si>
  <si>
    <t>D.A.V PUBLIC SCHOOL UNIT-8</t>
  </si>
  <si>
    <t>CENTRAL BOARD OF SECONDAARY EDUCATION (CBSE) , BHUBANESWAR ,  ODISHA</t>
  </si>
  <si>
    <t>BIJU PATNAIK UNIVERSITY OF TECHNOLOGY (BPUT)</t>
  </si>
  <si>
    <t>COLLEGE OF ENGINEERING &amp; TECHNOLOGY (CET) , BHUBANESWAR , ODISHA</t>
  </si>
  <si>
    <t>AutoCAD,MS Office,MS Project,Primavera,CANDY,WaterGEMS</t>
  </si>
  <si>
    <t>Ecometrix Consultancy Pvt Ltd. | Design Engineer | Bhubaneswar, Odisha | Sep 2021 | Jun 2022 | 0 Years, 9 Months, 17 Days | 2.5
S.M Balajee Associates | Site Engineer | Bhubaneswar, Odisha | Apr 2021 | Jul 2021 | 0 Years, 3 Months, 30 Days | 1.62</t>
  </si>
  <si>
    <t>RELIANCE INDUSTRIES RPMG | Project and Cost Controller | Reliance Corporate Park, Navi Mumbai | May 2023 | Jul 2023 | 8 Weeks | Campus Internship
NIRMAN SOUDH | TRAINEE | BHUBANESWAR, ODISHA | Jun 2019 | Jul 2019 | 4 Weeks
NATIONAL THERMAL POWER CORPORATION | TRAINEE | ANGUL, ODISHA | Jun 2018 | Jun 2018 | 4 Weeks</t>
  </si>
  <si>
    <t>p2270052</t>
  </si>
  <si>
    <t>VYAS</t>
  </si>
  <si>
    <t>YAGNESH</t>
  </si>
  <si>
    <t>VINODCHANDRA</t>
  </si>
  <si>
    <t>Vyas Yagnesh Vinodchandra</t>
  </si>
  <si>
    <t>yagneshv10@gmail.com</t>
  </si>
  <si>
    <t>p2270052@student.nicmar.ac.in</t>
  </si>
  <si>
    <t>30-Oct-2000</t>
  </si>
  <si>
    <t>English, Hindi, Marathi and Gujarati</t>
  </si>
  <si>
    <t>â€¢ Football,â€¢ Cricket,â€¢ Drawing</t>
  </si>
  <si>
    <t>3460 0770 5777</t>
  </si>
  <si>
    <t>BANK SERVICE</t>
  </si>
  <si>
    <t>ROHINI (EXPIRED)</t>
  </si>
  <si>
    <t>605, Dosti Paradise 5, Barampur, Vasai West-401202</t>
  </si>
  <si>
    <t>J.B.LUDHANI HIGH SCHOOL</t>
  </si>
  <si>
    <t>SHETH VIDYA MANDIR HIGH SCHOOL AND JUNIOR COLLEGE OF SCIENCE AND COMMERCE</t>
  </si>
  <si>
    <t>AutoCAD,MS Office,MS Project,Primavera,SKETCHUP,REVIT,LUMION AND PHOTOSHOP</t>
  </si>
  <si>
    <t>SUNTECK REALTY | EPC - EXECUTION | NAIGAON | May 2023 | Jul 2023 | 7 Weeks | Campus Internship
INTECH OLYMPIAD | TEAM MEMBER | ONLINE | May 2020 | Jul 2020 | 8 Weeks
IMPERIAL LIFESTYLE PRIVATE LIMITED | SITE SUPERVISION | VASAI EAST | Dec 2021 | Dec 2021 | 3 Weeks
CENTROID ARCHITECTURAL AND ENGINEERING CONSULTANTS | INTERN | VASAI WEST | Dec 2019 | Feb 2020 | 12 Weeks</t>
  </si>
  <si>
    <t>p2270053</t>
  </si>
  <si>
    <t>ALTAF</t>
  </si>
  <si>
    <t>Aman Altaf Patel</t>
  </si>
  <si>
    <t>paman6090@gmail.com</t>
  </si>
  <si>
    <t>p2270053@student.nicmar.ac.in</t>
  </si>
  <si>
    <t>27-Nov-1999</t>
  </si>
  <si>
    <t>Playing Guitar,Sketching,Travelling,Listening Music</t>
  </si>
  <si>
    <t>6905 4119 3842</t>
  </si>
  <si>
    <t>ALTAF SHAUKAT PATEL</t>
  </si>
  <si>
    <t>ASMA ALTAF PATEL</t>
  </si>
  <si>
    <t>1145, Shaniwar Peth, Satara</t>
  </si>
  <si>
    <t>NEW ENGLISH SCHOOL, SATARA</t>
  </si>
  <si>
    <t>SSC KOLHAPUR DIVISIONAL BOARD</t>
  </si>
  <si>
    <t>YASHWANTRAO CHAVAN INSTITUTE OF SCIENCE (YCIS), SATARA</t>
  </si>
  <si>
    <t>DR. BABASAHEB AMBEDKAR TECHNOLOGICAL UNIVERSITY, LONERE, MAHARASHTRA</t>
  </si>
  <si>
    <t>AutoCAD,MS Office,MS Project,Primavera,CCS Candy,Navisworks,Autodesk Revit</t>
  </si>
  <si>
    <t>Shapoorji Pallonji Engineering Construction | Planning and Co-ordination | Vaishali, Patna, Bihar | May 2023 | Jul 2023 | 8 Weeks | Campus Internship
AKSHAY CONSTRUCTIONS | SITE SUPERVISOR  | SATARA | Jun 2021 | Dec 2021 | 26 Weeks</t>
  </si>
  <si>
    <t>p2270054</t>
  </si>
  <si>
    <t>BABASO</t>
  </si>
  <si>
    <t>KUMBHAR</t>
  </si>
  <si>
    <t>Saurabh Babaso Kumbhar</t>
  </si>
  <si>
    <t>saurabhkumbhar05@gmail.com</t>
  </si>
  <si>
    <t>p2270054@student.nicmar.ac.in</t>
  </si>
  <si>
    <t>16-Jul-1998</t>
  </si>
  <si>
    <t>Reading,Trekking,Playing Chess,Food Blogging</t>
  </si>
  <si>
    <t>8592 3728 3027</t>
  </si>
  <si>
    <t>BABASO EKNATH KUMBHAR</t>
  </si>
  <si>
    <t>SUREKHA BABASO KUMBHAR</t>
  </si>
  <si>
    <t>B2 Sulochana Appt., Vasant Nagar, Khed, Satara</t>
  </si>
  <si>
    <t>ANNASAHEB KALYANI VIDYALAYA SATARA</t>
  </si>
  <si>
    <t>H.G. Infra Engineering | Planning and Billing | Jalalabad, Uttar Pradesh | May 2023 | Jul 2023 | 7 Weeks | Campus Internship
AKSHAY CONSTRUCTIONS | SITE SUPERVISOR  | SATARA | Jun 2021 | Dec 2021 | 26 Weeks</t>
  </si>
  <si>
    <t>p2270055</t>
  </si>
  <si>
    <t>SHIVANI</t>
  </si>
  <si>
    <t>Shivani Anant Jadhav</t>
  </si>
  <si>
    <t>jadhavshivani881@gmail.com</t>
  </si>
  <si>
    <t>p2270055@student.nicmar.ac.in</t>
  </si>
  <si>
    <t>08-Feb-2000</t>
  </si>
  <si>
    <t>Dancing,Travelling,Football,Painting</t>
  </si>
  <si>
    <t>2259 1591 6099</t>
  </si>
  <si>
    <t>ANANT LAXMAN JADHAV</t>
  </si>
  <si>
    <t>YOGITA ANANT JADHAV</t>
  </si>
  <si>
    <t>PL-6/10, Sec-17, New Panvel, Raigad, Maharastra._x000D_
410206</t>
  </si>
  <si>
    <t>CHANGU KANA THAKUR VIDYALAYA</t>
  </si>
  <si>
    <t>SSC  PANVEL/ MAHARASTRA</t>
  </si>
  <si>
    <t>CHANGU KANA THAKUR ARTS, COMMERCE AND SCIENCE COLLEGE</t>
  </si>
  <si>
    <t>VISHWANIKETAN'S INSTITUTE OF MANAGEMENT, ENTREPRENEURSHIP AND ENGINEERING TECHNOLOGY</t>
  </si>
  <si>
    <t>AutoCAD,MS Office,MS Project,Primavera,CANDY,STAADPRO,Revit Architecture,Microsoft Excel</t>
  </si>
  <si>
    <t>Kaanchan Creation | Junior Engineer  | Kalamboli | Oct 2021 | May 2022 | 0 Years, 7 Months, 30 Days | 1.44</t>
  </si>
  <si>
    <t>Suroj Buildcon | Planning | Pune | May 2023 | Jul 2023 | 7 Weeks | Campus Internship
VASTOPATI | Trainee  | CBD BELAPUR | Jun 2019 | Jun 2019 | 2 Weeks
J M MHATRE INFRA PVT LTD | Trainee | PANVEL, RAIGAD | Mar 2021 | Mar 2021 | 3 Weeks</t>
  </si>
  <si>
    <t>p2270056</t>
  </si>
  <si>
    <t>HITARTHI</t>
  </si>
  <si>
    <t>MISTRY</t>
  </si>
  <si>
    <t>Hitarthi Jayesh Mistry</t>
  </si>
  <si>
    <t>hitarthi.mistry@gmail.com</t>
  </si>
  <si>
    <t>p2270056@student.nicmar.ac.in</t>
  </si>
  <si>
    <t>24-Oct-1997</t>
  </si>
  <si>
    <t>6221 6571 6728</t>
  </si>
  <si>
    <t>JAYESH MANILAL MISTRY</t>
  </si>
  <si>
    <t>HETAL JAYESHBHAI MISTRY</t>
  </si>
  <si>
    <t>SERVICE - ADMINISTRATOR</t>
  </si>
  <si>
    <t>E-1, Arpan Apartment, Babuniwas Lane, Nanpura</t>
  </si>
  <si>
    <t>SHRI C.C. SHAH SARVAJANIK ENGLISH HIGH SCHOOL</t>
  </si>
  <si>
    <t>NIRMA UNIVERSITY, AHMEDABAD</t>
  </si>
  <si>
    <t>INSTITUTE OF TECHNOLOGY, NIRMA UNIVERSITY</t>
  </si>
  <si>
    <t>AutoCAD,MS Office,MS Project,Primavera,Revit,Candy RIB CCS</t>
  </si>
  <si>
    <t>Phoonyx Consulting Engineers | Planning  | Surat | Jul 2019 | Jul 2022 | 3 Years, 0 Months, 30 Days | 2.1</t>
  </si>
  <si>
    <t>GODREJ PROPERTIES | OPERATIONS INTERN | PUNE | May 2023 | Jul 2023 | 7 Weeks | Campus Internship
RAJKAMAL BUILDERS INFRASTRUCTURE PVT LTD | REPORTING OBSERVATIONS FROM SITE TO SR. ENGINEER AND PROJECT MANAGER. | AHEMDABAD | Jan 2019 | May 2019 | 17 Weeks</t>
  </si>
  <si>
    <t>p2270057</t>
  </si>
  <si>
    <t>Shripad</t>
  </si>
  <si>
    <t>Atharv Shripad Joshi</t>
  </si>
  <si>
    <t>atharvjoshi13@gmail.com</t>
  </si>
  <si>
    <t>p2270057@student.nicmar.ac.in</t>
  </si>
  <si>
    <t>08-Nov-1999</t>
  </si>
  <si>
    <t>Travelling,Playing Musical Instruments,Video Editing,Painting</t>
  </si>
  <si>
    <t>8804 4124 3177</t>
  </si>
  <si>
    <t>SHRIPAD JOSHI</t>
  </si>
  <si>
    <t>ROHINI JOSHI</t>
  </si>
  <si>
    <t>402, Yash Sarthak C.H.S, Plot No 15 , Gandhinagar, Dombivli East 421201</t>
  </si>
  <si>
    <t>SWAMI VIVEKANAND VIDYAMANDIR, DATTA NAGAR , DOMBIVLI</t>
  </si>
  <si>
    <t>MAHARASHTRA STATE BOARD ,MAHARASHTRA</t>
  </si>
  <si>
    <t>PRAGATI COLLEGE OF SCIENCE</t>
  </si>
  <si>
    <t>SARASWATI COLLEGE OF ENGINEERING</t>
  </si>
  <si>
    <t>AutoCAD,MS Office,MS Project,Primavera,Autodesk Revit,CCS Candy</t>
  </si>
  <si>
    <t>SMC INFRASTRUCTURE PVT. LTD. | Site Control &amp; Execution  | Thane  | May 2023 | Jul 2023 | 7 Weeks | Campus Internship
HARISHREE CREATIONS | SITE EXECUTION INTERN | AMBERNATH, MUMBAI | Feb 2022 | Jul 2022 | 25 Weeks</t>
  </si>
  <si>
    <t>p2270058</t>
  </si>
  <si>
    <t>KAUSTUBH</t>
  </si>
  <si>
    <t>UBARHANDE</t>
  </si>
  <si>
    <t>Kaustubh Pramod Ubarhande</t>
  </si>
  <si>
    <t>kaustubh12ubaehande9145@gmail.com</t>
  </si>
  <si>
    <t>p2270058@student.nicmar.ac.in</t>
  </si>
  <si>
    <t>22-Jun-1999</t>
  </si>
  <si>
    <t>Badminton,Swimming,Trekking</t>
  </si>
  <si>
    <t>3390 3005 4843</t>
  </si>
  <si>
    <t>PRAMOD TUKARAM UBARHANDE</t>
  </si>
  <si>
    <t>JR. LECTURER</t>
  </si>
  <si>
    <t>SUNITA PRAMOD UBARHANDE</t>
  </si>
  <si>
    <t>93, Samaj Bhushan Society, Gulshan Colony, Near Kiran T.V, Katol Road Nagpur</t>
  </si>
  <si>
    <t>BHARTI KRISHNA VIDYA VIHAR, NAGPUR</t>
  </si>
  <si>
    <t>MAHATMA GANDHI C. SINDHU JUNIOR COLLEGE, NAGPUR</t>
  </si>
  <si>
    <t>GOVERNMENT COLLEGE OF ENGINEERING, NAGPUR</t>
  </si>
  <si>
    <t>Ashwin Sheth Group | Management trainee, Project Execution  | Mumbai  | May 2023 | Jul 2023 | 7 Weeks | Campus Internship
B G SHIRKE CONSTRUCTION TECHNOLOGY | TRAINEE ENGINEERING | NAGPUR | May 2022 | Aug 2022 | 13 Weeks</t>
  </si>
  <si>
    <t>p2270059</t>
  </si>
  <si>
    <t>LAKSHMI V SAI</t>
  </si>
  <si>
    <t>PRUDHVI</t>
  </si>
  <si>
    <t>NAVULURU</t>
  </si>
  <si>
    <t>Lakshmi V Sai Prudhvi Navuluru</t>
  </si>
  <si>
    <t>pnavuluru9@gmail.com</t>
  </si>
  <si>
    <t>p2270059@student.nicmar.ac.in</t>
  </si>
  <si>
    <t>24-Jan-1999</t>
  </si>
  <si>
    <t>Travelling,Reading,Meditation</t>
  </si>
  <si>
    <t>4964 9704 4574</t>
  </si>
  <si>
    <t>N NAGESWARA RAO</t>
  </si>
  <si>
    <t>N MANJULA</t>
  </si>
  <si>
    <t>21-11-8, Sri Ram Nivas, Gadde Babu Rao Street, Madhuranagar</t>
  </si>
  <si>
    <t>V P S PUBLIC SCHOOL</t>
  </si>
  <si>
    <t>CENTRAL BOARD OF SECONDARY EDUCATION, VIJAYAWADA</t>
  </si>
  <si>
    <t>L N CONSTRUCTIONS | Site Excecution | VIJAYAWADA | Jul 2020 | Jul 2022 | 2 Years, 0 Months, 12 Days | 1.8</t>
  </si>
  <si>
    <t>ASIAN PAINTS | Business Development | Project Sales | Hyderabad | May 2023 | Jul 2023 | 7 Weeks | Campus Internship
K V R ESTATES | Site Execution | VISAKHAPATNAM | May 2019 | Jul 2019 | 8 Weeks</t>
  </si>
  <si>
    <t>p2270060</t>
  </si>
  <si>
    <t>K VIJAY</t>
  </si>
  <si>
    <t>K Vijay Narayanan</t>
  </si>
  <si>
    <t>vijay.narayanan15@gmail.com</t>
  </si>
  <si>
    <t>p2270060@student.nicmar.ac.in</t>
  </si>
  <si>
    <t>25-Jun-1995</t>
  </si>
  <si>
    <t>5375 8771 5333</t>
  </si>
  <si>
    <t>A.N.KASTHURI RANGAN</t>
  </si>
  <si>
    <t>STOCK MARKET INVESTOR</t>
  </si>
  <si>
    <t>K.PADMAJA</t>
  </si>
  <si>
    <t>22,PARTHASARATHY NAGAR 1ST STREET,ADAMBAKAM,CHENNAI-600 088</t>
  </si>
  <si>
    <t>D A V SCHOOL ADAMBAKKAM</t>
  </si>
  <si>
    <t>CBSE CHENNAI/TAMILNADU</t>
  </si>
  <si>
    <t>S D A V HSS ADAMBAKKAM</t>
  </si>
  <si>
    <t>ANNA UNIVERSITY/CHENNAI/TAMIL NADU</t>
  </si>
  <si>
    <t>MOHAMED SATHAK A.J. ACADEMY OF ARCHITECTURE/ CHENNAI/TAMIL NADU</t>
  </si>
  <si>
    <t>AutoCAD,MS Office,MS Project,Primavera,AUTODESK REVIT,AUTODESK 3DS MAX,STAAD PRO,LUMION 3D,ADOBE PHOTOSHOP,ADOBE ILLUSTRATOR,ADOBE INDESIGN,ADOBE PRIMERE PRO,Candy,Procore,Openspace,PowerBI,Autodesk Navisworks,Minitab,Microsoft Office Suite,Google SketchU</t>
  </si>
  <si>
    <t>VVV INTERIORS | ARCHITECTURAL DESIGN,DETAILING,SITE INSPECTION | CHENNAI | Mar 2020 | Jul 2022 | 2 Years, 3 Months, 25 Days | 5
MTA Architects | DESIGN,WORKING DRAWING,3D MODELING,REDERING AND WALKTHROUGH | CHENNAI | Sep 2017 | Jan 2019 | 1 Years, 4 Months, 16 Days | 2
CRN ARCHITECTS | DESIGNING,WORKING DRAWING PREPATION,CO ORDINATION,3D MODELLING | CHENNAI | Mar 2019 | Oct 2019 | 0 Years, 6 Months, 14 Days | 2</t>
  </si>
  <si>
    <t>ADRIANSE GLOBAL | PROJECTS INTERN | BENGULURU | May 2023 | Jul 2023 | 7 Weeks | Campus Internship
NANDA GREEN ASSOCIATES | INTERN ARCHITECT | CHENNAI | Jul 2015 | Dec 2015 | 24 Weeks</t>
  </si>
  <si>
    <t>p2270061</t>
  </si>
  <si>
    <t>SHRIHARI</t>
  </si>
  <si>
    <t>Shreyas Shrihari Waghmare</t>
  </si>
  <si>
    <t>waghmare.shreyas@rediffmail.com</t>
  </si>
  <si>
    <t>p2270061@student.nicmar.ac.in</t>
  </si>
  <si>
    <t>Badminton,Basketball</t>
  </si>
  <si>
    <t>2150 9151 4269</t>
  </si>
  <si>
    <t>SHRIHARI WAGHMARE</t>
  </si>
  <si>
    <t>MAYA WAGHMARE</t>
  </si>
  <si>
    <t>C/003, New Sai Srishti Comp, Near.Jangid Estate, Vijay Park Road, Mira Road East</t>
  </si>
  <si>
    <t>PRAVIN PATIL COLLEGE OF DIPLOMA ENGINEERING &amp; TECHNOLOGY, BHAYANDER</t>
  </si>
  <si>
    <t>Godrej Properties | Operations Intern | Pune | May 2023 | Jul 2023 | 7 Weeks | Campus Internship
SHIVRAJ DEVELOPERS | ENGINEER INTERN | KANDIVALI | Jun 2021 | Nov 2022 | 74 Weeks
KALPATARU | SUMMER INTERN | THANE | May 2017 | May 2017 | 2 Weeks</t>
  </si>
  <si>
    <t>p2270062</t>
  </si>
  <si>
    <t>PATAN</t>
  </si>
  <si>
    <t>AAMIR</t>
  </si>
  <si>
    <t>Patan Aamir Khan</t>
  </si>
  <si>
    <t>paamirkhan567@gmail.com</t>
  </si>
  <si>
    <t>p2270062@student.nicmar.ac.in</t>
  </si>
  <si>
    <t>02-Jun-2001</t>
  </si>
  <si>
    <t>Hindi, English, Telugu</t>
  </si>
  <si>
    <t>Video games,Reading,Writing,Playing/Watching Cricket</t>
  </si>
  <si>
    <t>6955 8089 9273</t>
  </si>
  <si>
    <t>P. RASHEED KHAN</t>
  </si>
  <si>
    <t>EXECUTIVE ENGINEER, PANCHAYAT RAJ, RWS DEPT., QC, PUTTAPARTII</t>
  </si>
  <si>
    <t>MD. NASREEN</t>
  </si>
  <si>
    <t>1A-39, Janaki Ram Colony, Opposite To Satya Sai Super Speciality Hospital, Puttaparti</t>
  </si>
  <si>
    <t>MONTESSORI HIGH SCHOOL</t>
  </si>
  <si>
    <t>BOARD OF SECONDARY EDUCATION, KURNOOL, ANDHRA PRADESH.</t>
  </si>
  <si>
    <t>VELOCIITY JUNIOR COLLEGE</t>
  </si>
  <si>
    <t>JAWAHARLAL NEHRU TECHNOLOGICAL UNIVERSITY, ANANTAPUR</t>
  </si>
  <si>
    <t>G. PULLA REDDY ENGINEERING COLLEGE, KURNOOL</t>
  </si>
  <si>
    <t>AutoCAD,MS Office,MS Project,Primavera,STAAD PRO,REVIT</t>
  </si>
  <si>
    <t>L and T Realty | Site Execution | Mahim, Mumbai | May 2023 | Jul 2023 | 7 Weeks | Campus Internship
NATIONAL CONSULTANCY FOR PLANNING AND ENGINEERING INFRASTRUCTURE | STRUCTURAL DESIGNER | HYDERABAD, MEHDIPATNAM | Mar 2022 | Jun 2022 | 12 Weeks</t>
  </si>
  <si>
    <t>p2270063</t>
  </si>
  <si>
    <t>KATKE</t>
  </si>
  <si>
    <t>Katke Shubham Shailesh</t>
  </si>
  <si>
    <t>shubham.katke1400@gmail.com</t>
  </si>
  <si>
    <t>p2270063@student.nicmar.ac.in</t>
  </si>
  <si>
    <t>Sports,Trekking,Cooking</t>
  </si>
  <si>
    <t>2554 5117 9655</t>
  </si>
  <si>
    <t>SUPRIYA</t>
  </si>
  <si>
    <t>886, Sumati Niwas, Bank Colony, Osmanabad</t>
  </si>
  <si>
    <t>SHRIPATRAO BHOSALE HIGH SCHOOL, OSMANABAD.</t>
  </si>
  <si>
    <t>MAHARASHTRA STATE BOARD OF SECONDARY AND HIGHER SECONDARY EDUCATION, PUNE.- LATUR DIVISIONAL BOARD</t>
  </si>
  <si>
    <t>SHRIPATRAO BHOSALE JUNIOR COLLEGE, OSMANABAD.</t>
  </si>
  <si>
    <t>WALCHAND INSTITUTE OF TECHNOLOGY, SOLAPUR.</t>
  </si>
  <si>
    <t>AutoCAD,MS Office,MS Project,Primavera,Revit Arch,Sketch Up,STAAD Pro</t>
  </si>
  <si>
    <t>CBRE South Asia Pvt Ltd | PJM Advisory Occupier | Pune | May 2023 | Jul 2023 | 7 Weeks | Campus Internship
SHREE CONSULTANTS | SITE SUPERVISION | OSMANABAD | Apr 2021 | Apr 2021 | 2 Weeks
VITARAG ASSOCIATES | 1)ANALYSIS AND DESIGN OF RCC BUILDINGS. 2)CONCRETE TESTING | SOLAPUR | Jun 2022 | Aug 2022 | 8 Weeks</t>
  </si>
  <si>
    <t>p2270064</t>
  </si>
  <si>
    <t>SAWAKAR</t>
  </si>
  <si>
    <t>Sawakar Pratik Ashok</t>
  </si>
  <si>
    <t>sawakarpratik1998@gmail.com</t>
  </si>
  <si>
    <t>p2270064@student.nicmar.ac.in</t>
  </si>
  <si>
    <t>11-Apr-1998</t>
  </si>
  <si>
    <t>8523 1382 6310</t>
  </si>
  <si>
    <t>ASHOK DAULAT SAWAKAR</t>
  </si>
  <si>
    <t>HARSHALI ASHOK SAWAKAR</t>
  </si>
  <si>
    <t>A-4/503, Vihang Garden, Samata Nagar, Opposite Raymond Shop, Pokharan Road No.-1, Thane (W.)</t>
  </si>
  <si>
    <t>DR. BEDEKAR VIDYA MANDIR</t>
  </si>
  <si>
    <t>MAHARSHTRA STATE BOARD OF SECONDARY AND HIGHER SECONDARY EDUCATION, PUNE</t>
  </si>
  <si>
    <t>SHETH N.KT.T COLLEGE OF COMMERCE AND SHETH J.T.T COLLEGE OF SCIENCE AND ARTS</t>
  </si>
  <si>
    <t>A. P. SHAH INSTITUTE OF TECHNOLOGY, THANE</t>
  </si>
  <si>
    <t>CBRE South Asia Pvt Ltd | PJM Advisory Occupier | Pune | May 2023 | Jul 2023 | 7 Weeks | Campus Internship
AURUM REALESTATE DEVELOPERS LTD | PMC INTERN | NAVI MUMBAI | Jul 2021 | Jul 2022 | 53 Weeks</t>
  </si>
  <si>
    <t>p2270065</t>
  </si>
  <si>
    <t>HERLEKAR</t>
  </si>
  <si>
    <t>Shubham Dhanaji Herlekar</t>
  </si>
  <si>
    <t>herlekarshubham08@gmail.com</t>
  </si>
  <si>
    <t>p2270065@student.nicmar.ac.in</t>
  </si>
  <si>
    <t>18-Nov-1999</t>
  </si>
  <si>
    <t>Travelling,Sports,Listening to music</t>
  </si>
  <si>
    <t>6961 7914 8192</t>
  </si>
  <si>
    <t>DHANAJI HERLEKAR</t>
  </si>
  <si>
    <t>SUJATA HERLEKAR</t>
  </si>
  <si>
    <t>1401 Sanaya Astrio, RP Road, Opposite Agarwal Hospital, Mulund West</t>
  </si>
  <si>
    <t>ST PIUS X HIGH SCHOOL</t>
  </si>
  <si>
    <t>WAMANRAO MURANJAN JUNIOR COLLEGE</t>
  </si>
  <si>
    <t>SANJAY GHODAWAT POLYTECHNIC, KOLHAPUR</t>
  </si>
  <si>
    <t>AutoCAD,MS Office,MS Project,Primavera,Autodesk revit,CCS candy</t>
  </si>
  <si>
    <t>J. Kumar Infraprojects | Site Execution and Control | Mumbai | May 2023 | Jul 2023 | 7 Weeks | Campus Internship
KANIKA SPACES | SITE ENGINEER  | MUMBAI | Jul 2021 | Jul 2021 | 4 Weeks</t>
  </si>
  <si>
    <t>p2270066</t>
  </si>
  <si>
    <t>Kulkarni Kartik Kishor</t>
  </si>
  <si>
    <t>kulkarnikartik117@gmail.com</t>
  </si>
  <si>
    <t>p2270066@student.nicmar.ac.in</t>
  </si>
  <si>
    <t>22-Dec-1998</t>
  </si>
  <si>
    <t>New Technologies,Formula 1,Bike Rides,Chess,Dance</t>
  </si>
  <si>
    <t>4082 2113 4628</t>
  </si>
  <si>
    <t>KAMINI</t>
  </si>
  <si>
    <t>SCHOOL HEAD MASTER</t>
  </si>
  <si>
    <t>Plot No. 72 Ranjanwan Ho/So, N9 Sec-J, Near TV Center, Cidco</t>
  </si>
  <si>
    <t>03 ERANDE GARDEN, SHIVALAYA SOCIETY, NEAR SAI CHOWK, SUS PASHAN ROAD</t>
  </si>
  <si>
    <t>MAHARASHTRA STATE BOARD OF SECONDARY &amp; HIGHER SECONDARY EDUCATION, PUNE.</t>
  </si>
  <si>
    <t>VASANTRAO NAIK MAHAVIDYALAYA</t>
  </si>
  <si>
    <t>DR. VISHWANATH KARAD MIT WORLD PEACE UNIVERSITY, PUNE, MAHARASHTRA</t>
  </si>
  <si>
    <t>AutoCAD,MS Office,MS Project,Primavera,Autodesk Revit,Autodesk Navisworks,Candy,Blender,MD Solid,Ansys</t>
  </si>
  <si>
    <t>PIDILITE INDUSTRIES | BUSINESS DEVELOPMENT INTERN | Delhi NCR | May 2023 | Jul 2023 | 7 Weeks | Campus Internship
LARK REALTY | SITE EXECUTION INTERN | MY WORLD, OPPOSITE TO AIRPORT, JALNA ROAD, CHIKALTHANA, AURANGABAD.  | Mar 2021 | Apr 2021 | 8 Weeks</t>
  </si>
  <si>
    <t>p2270067</t>
  </si>
  <si>
    <t>SUSHEEL</t>
  </si>
  <si>
    <t>Susheel C</t>
  </si>
  <si>
    <t>susheelchandrashekar98@gmail.com</t>
  </si>
  <si>
    <t>p2270067@student.nicmar.ac.in</t>
  </si>
  <si>
    <t>04-Aug-1998</t>
  </si>
  <si>
    <t>6714 3708 3511</t>
  </si>
  <si>
    <t>N CHANDRASHEKAR</t>
  </si>
  <si>
    <t>OFFICE WORK IN DHL INTERNATIONAL COURIER</t>
  </si>
  <si>
    <t>R C INDIRA</t>
  </si>
  <si>
    <t>#56 'E' Block, 2nd Cross, SBM Layout, Bogadi</t>
  </si>
  <si>
    <t>SREE NATARAJA PUBLIC SCHOOL</t>
  </si>
  <si>
    <t>CBSE, MYSORE, KARNATAKA</t>
  </si>
  <si>
    <t>MOTHER TERESA PRE UNIVERSITY COLLEGE</t>
  </si>
  <si>
    <t>MAHARAJA INSTITUTE OF TECHNOLOGY THANDAVAPURA (MITT), MYSORE, KARNATAKA</t>
  </si>
  <si>
    <t>Sanchalana Designers and Constructions | Civil Site execution and control  | Mysore, Karnataka | Oct 2019 | Oct 2020 | 1 Years, 0 Months, 4 Days | 1.8
Koushik Consultants | Estimation, Drafting, Design  | Mysore, Karnataka | Sep 2021 | Aug 2022 | 0 Years, 10 Months, 23 Days | 2.4</t>
  </si>
  <si>
    <t>SILA GROUP | Project Management Advisory | Gurgram | May 2023 | Jul 2023 | 7 Weeks | Campus Internship
BARUNI CIVIL CONSULTANTS PRIVATE LIMITED | SITE SUPERVISION AND MANUAL BILL OF QUANTITY  | MYSORE, KARNATAKA  | Jul 2019 | Aug 2019 | 4 Weeks
Shathayu Constructions and Consultants | Site Execution and Training | Mysore  | Jan 2019 | Feb 2019 | 4 Weeks</t>
  </si>
  <si>
    <t>p2270068</t>
  </si>
  <si>
    <t>CHANDUBHAI</t>
  </si>
  <si>
    <t>Shubham Chandubhai Desai</t>
  </si>
  <si>
    <t>shubhamdesai456@gmail.com</t>
  </si>
  <si>
    <t>p2270068@student.nicmar.ac.in</t>
  </si>
  <si>
    <t>06-Dec-1997</t>
  </si>
  <si>
    <t>Drawings Sketches,Listening to Music,Playing outdoor games,Gaming,Travelling to new places</t>
  </si>
  <si>
    <t>6961 8975 5380</t>
  </si>
  <si>
    <t>CHANDUBHAI DESAI</t>
  </si>
  <si>
    <t>MEENABEN DESAI</t>
  </si>
  <si>
    <t>103 B Wing, Sai Apartment, Near Sai Baba Kaman, Kautha, Vasarni Road, Nanded.</t>
  </si>
  <si>
    <t>OXFORD ENGLISH MEDIUM SCHOOL</t>
  </si>
  <si>
    <t>S.S.C. MAHRAHTRA</t>
  </si>
  <si>
    <t>GRAMIN POLYTECHNIC, NANDED.</t>
  </si>
  <si>
    <t>RASHTRASANT TUKADOJI MAHARAJ NAGPUR UNIVERSITY.</t>
  </si>
  <si>
    <t>G.H.RAISONI ACADMEY OF ENGINEERING AND TECHNOLOGY, NAGPUR</t>
  </si>
  <si>
    <t>AutoCAD,MS Office,MS Project,Primavera,Revit,Sketchup,Staad Pro,Candy,Quantity Takeoff,On-Screen Takeoff/ Bluebeam,SAP01,Non Destructive Testing,IOT,Lean Six Sigma</t>
  </si>
  <si>
    <t>CADD Centre | Civil Trainer | Pune | May 2021 | Jan 2022 | 0 Years, 8 Months, 30 Days | 1.2</t>
  </si>
  <si>
    <t>BUILT VISOR PVT. LTD. | BIM ENGINEER | CHANDIGARH | May 2023 | Jul 2023 | 7 Weeks | Campus Internship
STRUCTURAL DIAGNOSTICS | PROJECT TRAINEE | NAGPUR | Sep 2019 | Feb 2020 | 21 Weeks
AKRUTI DEVELOPERS | TRAINEE | NANDED | May 2016 | May 2016 | 3 Weeks
R P DESHMUKH GOVERNMENT CONTRACTOR | TRAINEE | AMRAVATI | May 2019 | Jun 2019 | 4 Weeks</t>
  </si>
  <si>
    <t>p2270070</t>
  </si>
  <si>
    <t>K R</t>
  </si>
  <si>
    <t>Rahul K R</t>
  </si>
  <si>
    <t>rahulrkg252@gmail.com</t>
  </si>
  <si>
    <t>p2270070@student.nicmar.ac.in</t>
  </si>
  <si>
    <t>25-Feb-1997</t>
  </si>
  <si>
    <t>English, Hindi, Tamil and Malayalam</t>
  </si>
  <si>
    <t>Drawing,Football</t>
  </si>
  <si>
    <t>3570 5938 3762</t>
  </si>
  <si>
    <t>RAGHUNATHAN K G</t>
  </si>
  <si>
    <t>EX SERVICE MAN</t>
  </si>
  <si>
    <t>REKHA T S</t>
  </si>
  <si>
    <t>AIR FORCE</t>
  </si>
  <si>
    <t>KALLADA HOUSE_x000D_
MADAYIKONAM PO, IRINJALAKUDA, THRISSUR_x000D_
KERALA 680712</t>
  </si>
  <si>
    <t>VAZHAPPULLY HOUSE_x000D_
KAZIHMBRAM PO, EDAMUTTAN, TRIPRAYAR_x000D_
THRISSUR 680568_x000D_</t>
  </si>
  <si>
    <t>KENDRIYA VIDYALAYA AIR FORCE STATION SULUR</t>
  </si>
  <si>
    <t>KATHIR COLLEGE OF ENGINEERING, COIMABTORE</t>
  </si>
  <si>
    <t>AutoCAD,MS Office,MS Project,Primavera,Revit Architecture and Navis Work,Sketchup and Lumion,Adobe Photoshop and Indesign,MS Excel and Power BI</t>
  </si>
  <si>
    <t>DREAM INFINITE STUDIO | Site Execution and Designing | Irinjalakuda, Thrissur | Sep 2019 | Dec 2021 | 2 Years, 3 Months, 29 Days | 0.6</t>
  </si>
  <si>
    <t>ASSET HOMES | Site Execution | Kochi | May 2023 | Jul 2023 | 7 Weeks | Campus Internship</t>
  </si>
  <si>
    <t>p2270071</t>
  </si>
  <si>
    <t>DOOBARI</t>
  </si>
  <si>
    <t>Doobari Bharadwaj</t>
  </si>
  <si>
    <t>doobaribharadwaj@gmail.com</t>
  </si>
  <si>
    <t>p2270071@student.nicmar.ac.in</t>
  </si>
  <si>
    <t>English, Hindi, Assamese, German</t>
  </si>
  <si>
    <t>2730 4415 0610</t>
  </si>
  <si>
    <t>KULENDRA NATH SARMAH</t>
  </si>
  <si>
    <t>SENIOR MANAGER AT NEEPCO.</t>
  </si>
  <si>
    <t>PRANAMIKA CHAKRAVARTY</t>
  </si>
  <si>
    <t>301, Block- B, Palms Enclave, Beltola Tiniali, Guwahati</t>
  </si>
  <si>
    <t>SHRIMANTA SHANKAR ACADEMY</t>
  </si>
  <si>
    <t>BECHTEL INDIA PVT LTD | CONSTRUCTION SUMMER INTERN | GURGAON | May 2023 | Jul 2023 | 7 Weeks | Campus Internship
NORTH EASTERN ELECTRIC POWER CORPORATION LTD | MONITORING AND REVIEW OF DESIGN AND WATER LEVEL CALCULATIONS. | UMRONGSO, DIMA HASAO, ASSAM | Jun 2021 | Aug 2021 | 5 Weeks</t>
  </si>
  <si>
    <t>p2270072</t>
  </si>
  <si>
    <t>SONIKA</t>
  </si>
  <si>
    <t>JANARDAN</t>
  </si>
  <si>
    <t>BHANUSE</t>
  </si>
  <si>
    <t>Sonika Janardan Bhanuse</t>
  </si>
  <si>
    <t>sonikabhanuse18@gmail.com</t>
  </si>
  <si>
    <t>p2270072@student.nicmar.ac.in</t>
  </si>
  <si>
    <t>18-Mar-1999</t>
  </si>
  <si>
    <t>Reading,Swimming,Basketball</t>
  </si>
  <si>
    <t>4010 8942 5318</t>
  </si>
  <si>
    <t>JANARDAN BHANUSE</t>
  </si>
  <si>
    <t>EXECUTIVE ENGINEER</t>
  </si>
  <si>
    <t>RASHMI BHANUSE</t>
  </si>
  <si>
    <t>Shree Sumeru Apart.,flat No 401,near Gopal Nagar,plot No 7,440022</t>
  </si>
  <si>
    <t>SOMALWAR HIGH SCHOOL,NAGPUR</t>
  </si>
  <si>
    <t>ST. PAUL JR COLLEGE, NAGPUR</t>
  </si>
  <si>
    <t>YESHWANTRAO CHAVAN COLLEGE OF ENGINEERING</t>
  </si>
  <si>
    <t>Shapoorji Pallonji &amp; Company Private Limited | Intern | Pune, Maharashtra | May 2023 | Jul 2023 | 8 Weeks | Campus Internship</t>
  </si>
  <si>
    <t>p2270073</t>
  </si>
  <si>
    <t>SHIVATEJ</t>
  </si>
  <si>
    <t>Shivatej A N</t>
  </si>
  <si>
    <t>anshivatej001@gmail.com</t>
  </si>
  <si>
    <t>p2270073@student.nicmar.ac.in</t>
  </si>
  <si>
    <t>17-Jul-1996</t>
  </si>
  <si>
    <t>Cycling,Cricket,TV Shows</t>
  </si>
  <si>
    <t>6884 6578 6996</t>
  </si>
  <si>
    <t>NIRANJAN A V</t>
  </si>
  <si>
    <t>RETIRED MEDICAL RECORD TECHNICIAN</t>
  </si>
  <si>
    <t>SAVITHA NIRANJAN</t>
  </si>
  <si>
    <t>FIRST DIVISIONAL ASSISTANT IN JJM MEDICAL COLLEGE</t>
  </si>
  <si>
    <t>2611,3RD MAIN, 2ND CROSS, 3D LANE, SS LAYOUT B BLOCK</t>
  </si>
  <si>
    <t>S.T.J.JR COLLEGE ANUBAVA MTP</t>
  </si>
  <si>
    <t>KARNATAKA SECONDARY EDUCATION EXAMINATION BOARD,DAVANAGERE, KARNATAKA</t>
  </si>
  <si>
    <t>ANUBHAVA MANTAPA PU COL ANUBHAVA MANTAPA</t>
  </si>
  <si>
    <t>VISVESVARAYA TECHNOLOGY UNIVERSITY, BELAGAVI, KARNATAKA</t>
  </si>
  <si>
    <t>JAIN INSTITUTE OF TECHNOLOGY, DAVANAGERE, KARNATAKA</t>
  </si>
  <si>
    <t>AutoCAD,MS Office,MS Project,Primavera,Power BI,SPSS</t>
  </si>
  <si>
    <t>Anand Rathi Global Finance Limited | Real Estate Valuation | Bengaluru | Jul 2019 | Aug 2022 | 3 Years, 1 Months, 0 Days | 3.85</t>
  </si>
  <si>
    <t>IIM Bangalore | Real Estate Research | Bengaluru | May 2023 | Jul 2023 | 7 Weeks | Campus Internship</t>
  </si>
  <si>
    <t>p2270074</t>
  </si>
  <si>
    <t>Shivam Saurabh</t>
  </si>
  <si>
    <t>shivamsingh13999@gmail.com</t>
  </si>
  <si>
    <t>p2270074@student.nicmar.ac.in</t>
  </si>
  <si>
    <t>30-May-1996</t>
  </si>
  <si>
    <t>Travelling,Writing</t>
  </si>
  <si>
    <t>8999 5161 2666</t>
  </si>
  <si>
    <t>KARUNESH KUMAR SINGH</t>
  </si>
  <si>
    <t>GOVT SERVICE</t>
  </si>
  <si>
    <t>ASHA SINGH</t>
  </si>
  <si>
    <t>WARD 09, NEAR PANCHAYAT BHAWAN, SUGIA KATESRI JAGIR</t>
  </si>
  <si>
    <t>Sheohar</t>
  </si>
  <si>
    <t>DAYANAND ANGLO VEDIC PUBLIC SCHOOL</t>
  </si>
  <si>
    <t>CENTRAL BOARD OF SECONDARY EDUCATION/PUNE-MAHARASHTRA</t>
  </si>
  <si>
    <t>D.Y.PATIL JR COLLEGE</t>
  </si>
  <si>
    <t>MAHARASHTRA BOARD/PUNE-MAHARASHTRA</t>
  </si>
  <si>
    <t>SHIV KISHOR CONSTRUCTION PVT. LTD. | Site Engineer | DARBHANGA, BIHAR | Jan 2019 | Feb 2022 | 3 Years, 1 Months, 0 Days | 3.8</t>
  </si>
  <si>
    <t>Goa State Infrastructure Development Corporation (GSIDC) | Site Execution  | Porvorim, Goa | May 2023 | Jul 2023 | 7 Weeks | Campus Internship
INDIAN RAILWAY | Railway Track work Training | PUNE | Jun 2017 | Jun 2017 | 4 Weeks</t>
  </si>
  <si>
    <t>p2270075</t>
  </si>
  <si>
    <t>DOSHI</t>
  </si>
  <si>
    <t>Devansh Doshi</t>
  </si>
  <si>
    <t>devdoshi468@gmail.com</t>
  </si>
  <si>
    <t>p2270075@student.nicmar.ac.in</t>
  </si>
  <si>
    <t>08-Nov-2000</t>
  </si>
  <si>
    <t>English Literature,Volunteering,Meditation</t>
  </si>
  <si>
    <t>6733 7225 5443</t>
  </si>
  <si>
    <t>SAMIR DOSHI</t>
  </si>
  <si>
    <t>JOB (INDIAN OIL CORPORATION)</t>
  </si>
  <si>
    <t>JIGNA BEN</t>
  </si>
  <si>
    <t>"DevRiya" 3 Jyotinagar " Opposite Delta School Behind Crystal Mall, Kalawad Road</t>
  </si>
  <si>
    <t>D-1/4 , INDIAN OIL COLONY,_x000D_
NEAR PN AMERSEY SCHOOL,_x000D_
WARD 10A , UDAYNAGAR,_x000D_</t>
  </si>
  <si>
    <t>03072-KENDRIYA VIDYALAYA KALAWAD ROAD RAJKOT</t>
  </si>
  <si>
    <t>CENTRAL BOARD OF SECONDARY EDUCATION  - RAJKOT GUJARAT</t>
  </si>
  <si>
    <t>SHREE SWASTIK SCHOOL OF SCIENCE</t>
  </si>
  <si>
    <t>GUJARAT SECONDARY AND HIGHER SECONDARY EDUCATION BOARD - RAJKOT GUJARAT</t>
  </si>
  <si>
    <t>PANDIT DEENDAYAL ENERGY UNIVERSITY -PDEU FORMERLY (PDPU)</t>
  </si>
  <si>
    <t>PANDIT DEENDAYAL ENERGY UNIVERSITY -PDEU FORMERLY (PDPU) - GANDHINAGAR GUJARAT</t>
  </si>
  <si>
    <t>MS Office,MS Project,Primavera,Candy</t>
  </si>
  <si>
    <t>BANGALORE METRO RAIL CORPORATION LIMITED | Summer Intern (Planning and Execution) | BANGLORE | May 2023 | Jul 2023 | 7 Weeks | Campus Internship
PRAGAYA FOUNDATION AND CHARITABLE TRUST | Teaching Assistant (Child welfare &amp; Education) | RAJKOT | Jun 2019 | Jul 2019 | 2 Weeks
AHMEDABAD IRRIGATION DEPARTMENT  GUJARAT | Intern Trainee | AHEMDABAD, GUJARAT | Aug 2021 | Oct 2021 | 8 Weeks</t>
  </si>
  <si>
    <t>p2270076</t>
  </si>
  <si>
    <t>Sakshi Anil Mhatre</t>
  </si>
  <si>
    <t>mhatresa1598@gmail.com</t>
  </si>
  <si>
    <t>p2270076@student.nicmar.ac.in</t>
  </si>
  <si>
    <t>Art,Travel,Yoga and Meditation</t>
  </si>
  <si>
    <t>8108 4782 3245</t>
  </si>
  <si>
    <t>ANIL MHATRE</t>
  </si>
  <si>
    <t>NEELAM MHATRE</t>
  </si>
  <si>
    <t>302, A Wing, Omkar CHS, MHADA Colony, Pratikshanagar, Sion, Mumbai 400 022</t>
  </si>
  <si>
    <t>OUR LADY OF GOOD COUNSEL HIGH SCHOOL</t>
  </si>
  <si>
    <t>RAMNIVAS RUIA COLLEGE</t>
  </si>
  <si>
    <t>DR. D. Y. PATIL COLLEGE OF ARCHITECTURE, NERUL, NAVI MUMBAI, MAHARASHTRA</t>
  </si>
  <si>
    <t>AutoCAD,MS Office,MS Project,Primavera,Autodesk Revit,CCS Candy,Google Sketchup,Adobe Photoshop</t>
  </si>
  <si>
    <t>Sandeep Shikre and Associates Architects | Assistant Architect | Mumbai, Maharashtra | Sep 2021 | Jun 2022 | 0 Years, 9 Months, 10 Days | 2.64</t>
  </si>
  <si>
    <t>Viceroy Properties | Planning | Mumbai, Maharashtra | May 2023 | Jul 2023 | 7 Weeks | Campus Internship
SANDEEP SHIKRE AND ASSOCIATES ARCHITECTS | ARCHITECTURE INTERN | MUMBAI, MAHARASHTRA | Dec 2019 | Mar 2020 | 17 Weeks</t>
  </si>
  <si>
    <t>p2270077</t>
  </si>
  <si>
    <t>HARSHA</t>
  </si>
  <si>
    <t>B E</t>
  </si>
  <si>
    <t>Harsha B E</t>
  </si>
  <si>
    <t>harshabeshwarappa@gmail.com</t>
  </si>
  <si>
    <t>p2270077@student.nicmar.ac.in</t>
  </si>
  <si>
    <t>15-Apr-1998</t>
  </si>
  <si>
    <t>8706 4707 6044</t>
  </si>
  <si>
    <t>ESHWARAPPA M</t>
  </si>
  <si>
    <t>GOVERNMENT TEACHER (RETIRED)</t>
  </si>
  <si>
    <t>SOWBHAGYA P</t>
  </si>
  <si>
    <t>S/O Eshwarappa M, Bukkambudhi @ Post, Tarikere (TQ), Chickmagalur (DS), Karnataka_x000D_
577145</t>
  </si>
  <si>
    <t>NUTHAN ENGLISH MEDIUM HIGH SCHOOL</t>
  </si>
  <si>
    <t>KARNATAKA SECONDARY EDUCATION EXAMINATION BOARD, AJJAMPURA, KARNATAKA</t>
  </si>
  <si>
    <t>NUTHAN INDEPENDENT PU SCIENCE COLLEGE</t>
  </si>
  <si>
    <t>A.M.C ENGINEERING COLLEGE ,BANGALORE</t>
  </si>
  <si>
    <t>MS Office,MS Project,Primavera,CANDY</t>
  </si>
  <si>
    <t>CONCEPT ENGINEERS | Execution | HASSAN, CHICKMAGALUR, BANGLORE | Aug 2019 | Aug 2022 | 3 Years, 0 Months, 2 Days | 2.52</t>
  </si>
  <si>
    <t>Brookfield Properties Management Services | Management Intern - Financial Planning | Gurugram | May 2023 | Jul 2023 | 8 Weeks | Campus Internship
DP JAIN AND CO INFRASTRUCTURE PVT LTD | Execution and Quality Control | BIRUR,KARNATAKA | Jul 2018 | Aug 2018 | 4 Weeks</t>
  </si>
  <si>
    <t>p2270078</t>
  </si>
  <si>
    <t>HARSHRAJ</t>
  </si>
  <si>
    <t>Harshraj Sanjay Patil</t>
  </si>
  <si>
    <t>harshrajpatil6777@gmail.com</t>
  </si>
  <si>
    <t>p2270078@student.nicmar.ac.in</t>
  </si>
  <si>
    <t>23-Feb-2000</t>
  </si>
  <si>
    <t>Listening music,playing cricket,photography</t>
  </si>
  <si>
    <t>8358 1598 3885</t>
  </si>
  <si>
    <t>SANJAY PATIL</t>
  </si>
  <si>
    <t>SUJATA PATIL</t>
  </si>
  <si>
    <t>519/7 PLOT NO. 9, MEHTA COLONY PRATIBHA NAGAR, KOLHAPUR</t>
  </si>
  <si>
    <t>PRIVATE HIGH SCHOOL</t>
  </si>
  <si>
    <t>KOLHAPUR INSTITUTE OF TECHNOLOGY, KOLHAPUR</t>
  </si>
  <si>
    <t>AutoCAD,MS Office,MS Project,Primavera,BBS,REVIT</t>
  </si>
  <si>
    <t>Rishabh Builders | Intern Site Engineer | Raipur | May 2023 | Jul 2023 | 7 Weeks | Campus Internship
GAMMON ENGINEERS AND CONTRACTORS PRIVATE LIMITED | STUDENT INTERN | GOA | Jan 2022 | Mar 2022 | 7 Weeks
SHREE BUILDERS AND DEVELOPERS | INTERN SITE ENGINEER | KOLHAPUR | May 2017 | Jun 2017 | 4 Weeks</t>
  </si>
  <si>
    <t>p2270079</t>
  </si>
  <si>
    <t>HARIHAR</t>
  </si>
  <si>
    <t>PHADKE</t>
  </si>
  <si>
    <t>Samruddhi Harihar Phadke</t>
  </si>
  <si>
    <t>psamruddhi5@gmail.com</t>
  </si>
  <si>
    <t>p2270079@student.nicmar.ac.in</t>
  </si>
  <si>
    <t>17-Jan-1997</t>
  </si>
  <si>
    <t>English, Hindi, Marathi, Konkani</t>
  </si>
  <si>
    <t>Art,Craft,Travelling,Formula 1</t>
  </si>
  <si>
    <t>9565 9225 1439</t>
  </si>
  <si>
    <t>HARIHAR PHADKE</t>
  </si>
  <si>
    <t>APURVA PHADKE</t>
  </si>
  <si>
    <t>'Yash' H.no 839/20/A Plot NoD-4, Surv No 362-1/B Opp Seeta Apts Near Electricity Dept Alto-porvorim, Bardez Goa</t>
  </si>
  <si>
    <t>NATIONAL INSTITUTE CONSTRUCTION MANAGEMENT AND RESEARCH NICMAR, N.I.A. POST OFFICE, 25/1, BALEWADI RD, RAM NAGAR, BANER, PUNE, MAHARASHTRA 411045</t>
  </si>
  <si>
    <t>KENDRIYA VIDYALAYA INS MANDOVI</t>
  </si>
  <si>
    <t>DEMPO HIGHER SECONDARY SCHOOL OF SCIENCE</t>
  </si>
  <si>
    <t>GOA BOARD OF SECONDARY AND HIGHER SECONDARY EDUCATION</t>
  </si>
  <si>
    <t>GOA COLLEGE OF ARCHITECTURE, GOA</t>
  </si>
  <si>
    <t>AutoCAD,MS Office,MS Project,Primavera,Adobe Photoshop,Lumion,Sketchup,Archicad,Candy,Autodesk Revit,Autodesk Navisworks</t>
  </si>
  <si>
    <t>Elements design studio | Junior Architect | Mapusa, Goa | Jul 2021 | Apr 2022 | 0 Years, 9 Months, 29 Days | 1.5</t>
  </si>
  <si>
    <t>GODREJ PROPERTIES LIMITED | Operations Intern | PUNE | May 2023 | Jul 2023 | 7 Weeks | Campus Internship
EFFECTIVE ARCHITECTURAL SERVICES | Architectural Intern | PANJIM, GOA | Jun 2018 | Oct 2018 | 21 Weeks
EFFECTIVE ARCHITECTURAL SERVICES | Architectural Intern | PUNE, MAHARASHTRA | Jun 2019 | Oct 2019 | 19 Weeks</t>
  </si>
  <si>
    <t>p2270080</t>
  </si>
  <si>
    <t>SHIVAPPA</t>
  </si>
  <si>
    <t>KUSUGAL</t>
  </si>
  <si>
    <t>Aditya Shivappa Kusugal</t>
  </si>
  <si>
    <t>adityakusugal06@gmail.com</t>
  </si>
  <si>
    <t>p2270080@student.nicmar.ac.in</t>
  </si>
  <si>
    <t>30-Jun-1997</t>
  </si>
  <si>
    <t>English, Hindi &amp; Kannada</t>
  </si>
  <si>
    <t>Cricket,Football,Volunteering Events</t>
  </si>
  <si>
    <t>2545 3049 4937</t>
  </si>
  <si>
    <t>NIVEDITA</t>
  </si>
  <si>
    <t>#09, Shakti Apartment, Yallaki Shettar Colony, Dharwad</t>
  </si>
  <si>
    <t>ST JOSEPH HIGH SCHOOL</t>
  </si>
  <si>
    <t>KARNATAKA SECONDARY EDUCATION EXAMINATION BOARD, DHARWAD, KARNATAKA</t>
  </si>
  <si>
    <t>OXFORD PU COLLEGE</t>
  </si>
  <si>
    <t>VISVESVARAYA TECHNOLOGICAL UNVIERSITY, BELAGAVI, KARNATAKA</t>
  </si>
  <si>
    <t>SHRI DHARMASTHALA MANJUNATHESHWARA COLLEGE OF ENGINEERING AND TECHNOLOGY, DHARWAD, KARNATAKA</t>
  </si>
  <si>
    <t>AutoCAD,MS Office,MS Project,Primavera,SAP (FOR BILLING)</t>
  </si>
  <si>
    <t>Synergiz Global Service Private Limited | Planning Engineer &amp; Billing Engineer | Hyderabad &amp;amp; Pune | Aug 2019 | Apr 2021 | 1 Years, 8 Months, 5 Days | 3
Nagarjuna Construction Company Ltd. | Planning, Scheduling &amp; Monitoring | Karwar | Apr 2021 | Jun 2022 | 1 Years, 2 Months, 6 Days | 3.63</t>
  </si>
  <si>
    <t>PRAGATI INFRA SOLUTIONS | Planning | Jamnagar | May 2023 | Jul 2023 | 7 Weeks | Campus Internship</t>
  </si>
  <si>
    <t>p2270081</t>
  </si>
  <si>
    <t>K E</t>
  </si>
  <si>
    <t>Prajwal K E</t>
  </si>
  <si>
    <t>prajwalke18@gmail.com</t>
  </si>
  <si>
    <t>p2270081@student.nicmar.ac.in</t>
  </si>
  <si>
    <t>18-Sep-1997</t>
  </si>
  <si>
    <t>Basketball,Swimming,Reading Novels</t>
  </si>
  <si>
    <t>9090 9968 9793</t>
  </si>
  <si>
    <t>ESHAPPA N C</t>
  </si>
  <si>
    <t>SHILPA N M</t>
  </si>
  <si>
    <t>1ST LINE , NAGARAKATTE , KADAJJI (POST) ,</t>
  </si>
  <si>
    <t>COORG PUBLIC SCHOOL</t>
  </si>
  <si>
    <t>INDIAN CERTIFICATE OF SECONDARY EDUCATION,GONIKOPPAL / KARNATAKA</t>
  </si>
  <si>
    <t>MAHESH PRE-UNIVERSITY COLLEGE</t>
  </si>
  <si>
    <t>DEPARTMENT OF PRE-UNIVERSITY EDUCATION,MANGALORE / KARNATAKA</t>
  </si>
  <si>
    <t>R.V. COLLEGE OF ENGINEERING,BENGALURU / KARNATAKA</t>
  </si>
  <si>
    <t>AutoCAD,MS Office,MS Project,Primavera,MICROSOFT EXCEL,CANDY,REVIT</t>
  </si>
  <si>
    <t>Vaishnavi Infrastructure Pvt Ltd. | Site Execution | Bengaluru | May 2023 | Jul 2023 | 7 Weeks | Campus Internship</t>
  </si>
  <si>
    <t>p2270082</t>
  </si>
  <si>
    <t>M N</t>
  </si>
  <si>
    <t>Ranjan M N</t>
  </si>
  <si>
    <t>ranjanranju063@gmail.com</t>
  </si>
  <si>
    <t>p2270082@student.nicmar.ac.in</t>
  </si>
  <si>
    <t>06-Feb-1999</t>
  </si>
  <si>
    <t>Cricket,Football,Monoacting,Travelling</t>
  </si>
  <si>
    <t>7005 3745 0512</t>
  </si>
  <si>
    <t>NAGESHA M</t>
  </si>
  <si>
    <t>FAMILY BUSINESS</t>
  </si>
  <si>
    <t>PUSHPALATHA M S</t>
  </si>
  <si>
    <t>#46, AMRUTHADHAARE, DWARAKA NAGAR, 2ND CROSS, HANIAMBADI ROAD</t>
  </si>
  <si>
    <t>Mandya</t>
  </si>
  <si>
    <t>ST JOHNS HIGH SCHOOL</t>
  </si>
  <si>
    <t>BGS COMP PU COLLEGE</t>
  </si>
  <si>
    <t>A.M.C ENGINEERING COLLEGE, BANGALORE</t>
  </si>
  <si>
    <t>other,Primavera P6,Power BI,MS Project,MS Office</t>
  </si>
  <si>
    <t>BSR INFRATECH INDIA Ltd | QA/QC | Hassan | Jul 2021 | Jul 2022 | 1 Years, 0 Months, 3 Days | 1.95
Billion Walls Constructions &amp; Enterprises | Site Execution | Bangalore | Jul 2020 | Jul 2021 | 1 Years, 0 Months, 4 Days | 1.44</t>
  </si>
  <si>
    <t>SHAH TECHNICAL CONSULTANTS PVT. LTD. | Management Intern | MUMBAI | May 2023 | Jul 2023 | 7 Weeks | Campus Internship</t>
  </si>
  <si>
    <t>p2270083</t>
  </si>
  <si>
    <t>LAKSHMANAN</t>
  </si>
  <si>
    <t>Lakshmanan J</t>
  </si>
  <si>
    <t>lakshmanangovindammal@gmail.com</t>
  </si>
  <si>
    <t>p2270083@student.nicmar.ac.in</t>
  </si>
  <si>
    <t>17-Oct-1997</t>
  </si>
  <si>
    <t>Playing Chess,Playing Cricket,Cooking,Exploring Food</t>
  </si>
  <si>
    <t>8033 0001 7988</t>
  </si>
  <si>
    <t>T.K. JANAKIRAMAN</t>
  </si>
  <si>
    <t>J. GOVINDAMMAL</t>
  </si>
  <si>
    <t>VIII, SOWBAGHYA NAGAR,_x000D_
KOSAPPUR,</t>
  </si>
  <si>
    <t>25/1, BALEWADI ROAD, _x000D_
RAM NAGAR, BANER,</t>
  </si>
  <si>
    <t>DOVETON BOYS HIGHER SECONDARY SCHOOL</t>
  </si>
  <si>
    <t>TAMILNADU STATE BOARD, CHENNAI</t>
  </si>
  <si>
    <t>R.M.K. ENGINEERING COLLEGE, TIRUVALLUR</t>
  </si>
  <si>
    <t>AutoCAD,MS Office,MS Project,Primavera,Staad Pro,Candy,Autodesk Revit,Navisworks Manage</t>
  </si>
  <si>
    <t>L&amp;T CONSTRUCTIONS | SENIOR ENGINEER | BHILAI, CHHATTISGARH | Jun 2019 | Jul 2022 | 3 Years, 1 Months, 6 Days | 6.75</t>
  </si>
  <si>
    <t>BANGALORE METRO RAIL CORPORATION LIMITED | EXECUTION AND PLANNING | BANGALORE | May 2023 | Jul 2023 | 7 Weeks | Campus Internship
TAMILNADU PUBLIC WORKS DEPARTMENT | EXECUTION TRAINEE | CHENNAI | Jun 2018 | Jun 2018 | 2 Weeks</t>
  </si>
  <si>
    <t>p2270084</t>
  </si>
  <si>
    <t>PHATAK</t>
  </si>
  <si>
    <t>Soham Manoj Phatak</t>
  </si>
  <si>
    <t>sohamphatak2000@gmail.com</t>
  </si>
  <si>
    <t>p2270084@student.nicmar.ac.in</t>
  </si>
  <si>
    <t>07-Jan-2000</t>
  </si>
  <si>
    <t>Trading,Badminton,Competitive Gaming,Content Creation</t>
  </si>
  <si>
    <t>7703 0051 6299</t>
  </si>
  <si>
    <t>MANOJ PHATAK</t>
  </si>
  <si>
    <t>SAPNA PHATAK</t>
  </si>
  <si>
    <t>PRACTICING HOMOEOPATH</t>
  </si>
  <si>
    <t>4-Matru Krupa Tilak Nagar Dombivli (East)</t>
  </si>
  <si>
    <t>SISTER NIVEDITA ENGLISH MEDIUM SCHOOL</t>
  </si>
  <si>
    <t>ROYAL JUNIOR COLLEGE</t>
  </si>
  <si>
    <t>DATTA MEGHE COLLEGE OF ENGINEERING</t>
  </si>
  <si>
    <t>AutoCAD,MS Office,MS Project,Primavera,Technical Analysis of Financial Markets</t>
  </si>
  <si>
    <t>Paradise Group of Builders &amp; Developers | Trainee Engineer | Ulhasnagar | May 2023 | Jul 2023 | 7 Weeks | Campus Internship</t>
  </si>
  <si>
    <t>p2270085</t>
  </si>
  <si>
    <t>PADHYE</t>
  </si>
  <si>
    <t>Aditya Rajendra Padhye</t>
  </si>
  <si>
    <t>aditya.r.padhye@gmail.com</t>
  </si>
  <si>
    <t>p2270085@student.nicmar.ac.in</t>
  </si>
  <si>
    <t>Travelling,Swimming,Debating,Blogging</t>
  </si>
  <si>
    <t>9418 4082 9748</t>
  </si>
  <si>
    <t>9, Shree Aryadurga Soc, Chaphekar Bandhu Marg, Mulund(E)</t>
  </si>
  <si>
    <t>302, SERENE SPACES, BALEWADI VILLAGE ROAD, BALEWADI GAON, BALEWADI, PUNE</t>
  </si>
  <si>
    <t>I.E.S. SECONDARY SCHOOL, MULUND</t>
  </si>
  <si>
    <t>MAHARASHTRA STATE BOARD OF SECONDARY AND HIGHER SECONDARY EDUCATION, MUMBAI</t>
  </si>
  <si>
    <t>WAMANRAO MURANHAN JUNIOR COLLEGE, MULUND</t>
  </si>
  <si>
    <t>SHREE ARYADURGA DEVELOPERS PVT. LTD. | TRAINEE ENGINEER | MUMBAI | May 2023 | Jul 2023 | 7 Weeks | Campus Internship
EGIS INDIA | TRANIEE ENGINEER | MUMBAI | Jun 2021 | Jul 2022 | 56 Weeks</t>
  </si>
  <si>
    <t>p2270086</t>
  </si>
  <si>
    <t>SRITHARAN</t>
  </si>
  <si>
    <t>S Sritharan</t>
  </si>
  <si>
    <t>sritharanreddy@gmail.com</t>
  </si>
  <si>
    <t>p2270086@student.nicmar.ac.in</t>
  </si>
  <si>
    <t>Cooking,Sports</t>
  </si>
  <si>
    <t>7153 8138 8751</t>
  </si>
  <si>
    <t>SABTHARISHI D</t>
  </si>
  <si>
    <t>MEENA S</t>
  </si>
  <si>
    <t>84/1, 5th Street, Meena Estate, Sowripalayam</t>
  </si>
  <si>
    <t>SUGUNA PADMALAYA INTERNATIONAL PUBLIC SCHOOL</t>
  </si>
  <si>
    <t>CBSE, TAMIL NADU</t>
  </si>
  <si>
    <t>PSG INSTITUTE OF TECHNOLOGY AND APPLIED RESEARCH, COIMBATORE</t>
  </si>
  <si>
    <t>RSB Arch Project Consultants Private Limited | Graduate Engineer Trainee | Chennai | Oct 2021 | Jun 2022 | 0 Years, 8 Months, 26 Days | 1.8</t>
  </si>
  <si>
    <t>KALPATARU PROJECTS INTERNATIONAL LIMITED | Project Intern | Pune | May 2023 | Jul 2023 | 7 Weeks | Campus Internship
LARSEN AND TOUBRO CONSTRUCTION BUILDINGS AND FACTORIES | Intern | BENGALURU | Feb 2021 | Apr 2021 | 10 Weeks
SRINIVASAN ASSOCIATES PRIVATE LIMITED | Intern | COIMBATORE | Nov 2019 | Dec 2019 | 2 Weeks</t>
  </si>
  <si>
    <t>p2270250</t>
  </si>
  <si>
    <t>KALYAN</t>
  </si>
  <si>
    <t>NUNNA</t>
  </si>
  <si>
    <t>Kalyan Varma Nunna</t>
  </si>
  <si>
    <t>kalyanvarma7799@gmail.com</t>
  </si>
  <si>
    <t>p2270250@student.nicmar.ac.in</t>
  </si>
  <si>
    <t>30-Jul-2000</t>
  </si>
  <si>
    <t>Playing guitar,Swimming,Cooking</t>
  </si>
  <si>
    <t>2964 2386 9684</t>
  </si>
  <si>
    <t>KANCHANA VARMA NUNNA</t>
  </si>
  <si>
    <t>MADHAVI LATHA NUNNA</t>
  </si>
  <si>
    <t>50-92-3, 2nd Floor, Srinivasam, Santhipuram</t>
  </si>
  <si>
    <t>TIMPANY SENIOR SECONDARY SCHOOL</t>
  </si>
  <si>
    <t>CENTRAL BOARD OF SECONDARY EDUCATION, ANDHRA PRADESH</t>
  </si>
  <si>
    <t>GAYATRI VIDYA PARISHAD COLLEGE OF ENGINEERING, VISAKHAPATNAM</t>
  </si>
  <si>
    <t>AutoCAD,MS Office,MS Project,Primavera,REVIT,STAAD.PRO,PowerBI</t>
  </si>
  <si>
    <t>Visakhapatnam Port Authority | Management Intern | Visakhapatnam | May 2023 | Jul 2023 | 7 Weeks | Campus Internship</t>
  </si>
  <si>
    <t>MBA-REUIM</t>
  </si>
  <si>
    <t>P24702047</t>
  </si>
  <si>
    <t>TOPE</t>
  </si>
  <si>
    <t>Aditya Anil Tope</t>
  </si>
  <si>
    <t>p24702047@student.nicmar.ac.in</t>
  </si>
  <si>
    <t>08-Jun-2000</t>
  </si>
  <si>
    <t>ENGLISH, HINDI,Marathi</t>
  </si>
  <si>
    <t>2984 8583 8227</t>
  </si>
  <si>
    <t>ANIL TOPE</t>
  </si>
  <si>
    <t>Sahyadri Nagar Hudco Colony Lonavala</t>
  </si>
  <si>
    <t>DON BOSCO HIGH SCHOOL &amp; JR.COLLEGE</t>
  </si>
  <si>
    <t>DR, DY PATIL SCHOOL OF ENGINEERING AMBI,PUNE</t>
  </si>
  <si>
    <t>Ms-Office,Ms-Project,Primavera,Candy</t>
  </si>
  <si>
    <t>GODREJ PROPERTIES  | OPERATIONS  | MAHALUNGE PUNE | May 2023 | Jul 2023 | 7 Weeks
ADITYA SUNIL PALEKAR ENGINEERS AND CONTRACTORS | PROJECT CO-ORDINATOR | LONAVALA  | Aug 2023 | Jan 2024 | 21 Weeks</t>
  </si>
  <si>
    <t>Using Google Forms to Analyze User Research Data
Emotional intelligence and leadership
Real estate financial modelling
Real estate development: building Value in your community
Indian Economy: Some Contemporary Perspectives</t>
  </si>
  <si>
    <t>P24702050</t>
  </si>
  <si>
    <t>ALAVANI</t>
  </si>
  <si>
    <t>Alavani Mitali Milind</t>
  </si>
  <si>
    <t>p24702050@student.nicmar.ac.in</t>
  </si>
  <si>
    <t>17-Oct-1999</t>
  </si>
  <si>
    <t>4098 6131 0617</t>
  </si>
  <si>
    <t>MILIND MADHUKAR ALAVANI</t>
  </si>
  <si>
    <t>MANASI</t>
  </si>
  <si>
    <t>38/B, Senadatta Peth Off L.B.S. Road Near Navachaitanya Krida Sangh</t>
  </si>
  <si>
    <t>N.M.V. GIRLS HIGH SCHOOL, PUNE</t>
  </si>
  <si>
    <t>GARWARE COLLEGE OF COMMERCE, PUNE</t>
  </si>
  <si>
    <t>DR. BHANUBEN NANAVATI COLLEGE OF ARCHITECTURE, PUNE</t>
  </si>
  <si>
    <t>Power BI</t>
  </si>
  <si>
    <t>Design 11 architects | Junior Architect | Pune | Dec 2023 | Jul 2024 | 0 Years, 6 Months, 24 Days | 1.8</t>
  </si>
  <si>
    <t>PankARCH Architects | Intern | Rajasthan | Sep 2022 | Nov 2022 | 12 Weeks
MNM Architects  | Intern | Pune | Jun 2021 | Nov 2021 | 22 Weeks
Navkar Architects | Intern | Pune | Nov 2021 | Feb 2022 | 14 Weeks
SOBHA LIMITED-INDIA | SUMMER INTERN- PLANNING | BANGALORE | May 2025 | Jul 2025 | 8 Weeks</t>
  </si>
  <si>
    <t>Real Estate Development: Building Value in Your Community
Career Catalyst: Advisory
Commercial Real Estate
Discounted Cash Flow Modeling
Create a Financial Statement using Microsoft Excel
Real Estate Financial Modeling
Company Valuation and Financial Modelling</t>
  </si>
  <si>
    <t>P24702133</t>
  </si>
  <si>
    <t>AKARSH</t>
  </si>
  <si>
    <t>GRANDHI</t>
  </si>
  <si>
    <t>Akarsh Grandhi</t>
  </si>
  <si>
    <t>p24702133@student.nicmar.ac.in</t>
  </si>
  <si>
    <t>10-Dec-2000</t>
  </si>
  <si>
    <t>7618 9231 6655</t>
  </si>
  <si>
    <t>MANMOHAN GRANDHI</t>
  </si>
  <si>
    <t>SARITA GRANDHI</t>
  </si>
  <si>
    <t>Rajniwas, Pl No 60, Hno 246/c, Mohideen Estate, Alto Dabolim.</t>
  </si>
  <si>
    <t>SOUTH GOA</t>
  </si>
  <si>
    <t>MES COLLEGE, GOA UNIVERSITY</t>
  </si>
  <si>
    <t xml:space="preserve"> MS Project, Primavera,Ms office</t>
  </si>
  <si>
    <t>RITIKA PACKAGING PVT LTD | PRODUCTION INTERN TRAINEE | SOUTH GOA | May 2022 | Jul 2022 | 5 Weeks
MUSHROOMS STAY &amp; CAFE | Operations Intern | SOUTH GOA | May 2023 | Jul 2023 | 10 Weeks
GSIDC | SITE EXECUTION | GOA | May 2025 | Jul 2025 | 7 Weeks</t>
  </si>
  <si>
    <t>Indian Business History
Housing Policy &amp; Planning</t>
  </si>
  <si>
    <t>P24702141</t>
  </si>
  <si>
    <t>NITNAWARE</t>
  </si>
  <si>
    <t>Janhavi Pravin Nitnaware</t>
  </si>
  <si>
    <t>p24702141@student.nicmar.ac.in</t>
  </si>
  <si>
    <t>23-Jun-1999</t>
  </si>
  <si>
    <t>4364 0228 9351</t>
  </si>
  <si>
    <t>PRAVIN NITNAWARE</t>
  </si>
  <si>
    <t>SMITA NITNAWARE</t>
  </si>
  <si>
    <t>C-305, Reflections Society, Behind Shell Petrol Pump, Laxman Nagar, Dange Chowk, Wakad, Pune-411033</t>
  </si>
  <si>
    <t>C. M. S. ENGLISH MEDIUM HIGH SCHOOL, PRADHIKARAN, AKURDI, PUNE</t>
  </si>
  <si>
    <t>SANT DNYANESHWAR HIGH SCHOOL, KHARADI, PUNE</t>
  </si>
  <si>
    <t>DR. D. Y. PATIL COLLEGE OF ARCHITECTURE, AKURDI, PUNE</t>
  </si>
  <si>
    <t>Revit 3D,Lumion,Sketchup</t>
  </si>
  <si>
    <t>TEAL TINTS DESIGN STUDIO | INTERN | CHINCHWAD, PUNE | Jul 2023 | Nov 2023 | 17 Weeks
	EZ REALTY | REAL ESTATE CONSULTING INTERN | KHARADI, PUNE | May 2025 | Jul 2025 | 8 Weeks</t>
  </si>
  <si>
    <t>National Services Scheme
Photoshop
Sketch-Up
Lumion
Revit
Using Google Forms to Analyze User Research Data 
Real Estate Development: Building Value in your Community
Emotional Intelligence in Leadership
Real Estate Financial Modelling
NPTEL Indian Economy: Some Contemporary Perspectives</t>
  </si>
  <si>
    <t>P24702008</t>
  </si>
  <si>
    <t>KUMBALWAR</t>
  </si>
  <si>
    <t>Yash Kishor Kumbalwar</t>
  </si>
  <si>
    <t>p24702008@student.nicmar.ac.in</t>
  </si>
  <si>
    <t>2680 8997 3530</t>
  </si>
  <si>
    <t>KISHOR KUMBALWAR</t>
  </si>
  <si>
    <t>ASAWARI KUMBALWAR</t>
  </si>
  <si>
    <t>80. EWS, QT NO. 04, BUDHWAR BAZAR ROAD,SOMWARI QUARTER, SAKKARDARA, NAGPUR</t>
  </si>
  <si>
    <t>PRERNA CONVENT, NAGPUR</t>
  </si>
  <si>
    <t xml:space="preserve"> DIPLOMA IN AUTOMOBILE ENGINEERING</t>
  </si>
  <si>
    <t>GOVERMENT POLYTECHNIC, NAGPUR</t>
  </si>
  <si>
    <t>Minitab 17,Ms office,Ms Project</t>
  </si>
  <si>
    <t xml:space="preserve">	TRUST ENGINEERING SOLUTIONS |  Management Trainee | NAGPUR | Dec 2023 | Mar 2024 | 13 Weeks
ELEGANZ INTERIORS LTD | PROJECT MANAGEMENT (MEP) | BANGALORE | May 2025 | Jul 2025 | 7 Weeks</t>
  </si>
  <si>
    <t>P24702124</t>
  </si>
  <si>
    <t>JASKIRAT</t>
  </si>
  <si>
    <t>ARORA</t>
  </si>
  <si>
    <t>Jaskirat Arora</t>
  </si>
  <si>
    <t>jaskiratarora18@gmail.com</t>
  </si>
  <si>
    <t>p24702124@student.nicmar.ac.in</t>
  </si>
  <si>
    <t>12-Jul-1999</t>
  </si>
  <si>
    <t>Music,Sketches,Reading</t>
  </si>
  <si>
    <t>9225 8017 8187</t>
  </si>
  <si>
    <t>ARVINDER SINGH ARORA</t>
  </si>
  <si>
    <t>MANPREET KAUR  ARORA</t>
  </si>
  <si>
    <t>E-19/03, JINDAL TOWNSHIP, JINDAL STEEL AND POWER PLANT, NISA, ANGUL, ODISHA</t>
  </si>
  <si>
    <t>818, Guru Gobind Singh Avenue, GT Road Bypass, Jalandhar</t>
  </si>
  <si>
    <t>Jalandhar</t>
  </si>
  <si>
    <t>ESSAR INTERNATIONAL SCHOOL, HAZIRA</t>
  </si>
  <si>
    <t>CBSE - SURAT/GUJARAT</t>
  </si>
  <si>
    <t>LAWRENCE INTERNATIONAL SCHOOL, JALANDHAR</t>
  </si>
  <si>
    <t>CBSE - JALANDHAR/PUNJAB</t>
  </si>
  <si>
    <t>I.K GUJRAL PUNJAB TECHNICAL UNIVERSITY</t>
  </si>
  <si>
    <t>I.K GUJRAL PUNJAB TECHNICAL UNIVERSITY MOHALI CAMPUS - II/ PUNJAB</t>
  </si>
  <si>
    <t>AutoCAD,MS Office,MS Project,MS Excel,Photoshop,Indesign,Illustrator,Lumion,Enscape,MS Powerpoint</t>
  </si>
  <si>
    <t>vConstruct, Magarpatta | VB - Intern | Magarpatta | May 2026 | Jul 2026 | 9 Weeks | Campus Internship
FORUM ADVAITA (AR. AMAN SOHAL) | ARCHITECTURAL AND INTERIOR DESIGNING FIRM | SECTOR 71, MOHALI | Sep 2020 | Dec 2020 | 15 Weeks
EMM ELL DECOR (AR. ARADHANA GHAKAR) | ARCHITECTURAL AND INTERIOR DESIGNING FIRM | SECTOR 16, CHANDIGARH | Jul 2020 | Dec 2020 | 24 Weeks</t>
  </si>
  <si>
    <t>Corporate Finance
Architectural Psychology for Architects and Designers
KPMG - Green Belt Lean Six Sigma</t>
  </si>
  <si>
    <t>P25702001</t>
  </si>
  <si>
    <t>MADHAB</t>
  </si>
  <si>
    <t>MOHANTY</t>
  </si>
  <si>
    <t>Madhab Jyoti Mohanty</t>
  </si>
  <si>
    <t>mj333mohanty@gmail.com</t>
  </si>
  <si>
    <t>p25702001@student.nicmar.ac.in</t>
  </si>
  <si>
    <t>30-Aug-1999</t>
  </si>
  <si>
    <t>5574 5803 6207</t>
  </si>
  <si>
    <t>AMULYA KUMAR MOHANTY</t>
  </si>
  <si>
    <t>PUSPANJALI ROUTARAY</t>
  </si>
  <si>
    <t>N2/182, I.R.C VILLAGE, NAYAPALLI, BHUBANESWAR</t>
  </si>
  <si>
    <t>LOYOLA SCHOOL BHUBANESWAR</t>
  </si>
  <si>
    <t>TIMES SCHOLAR GURUKUL KHANDAGIRI KHURDHA OD</t>
  </si>
  <si>
    <t>KALINGA INSTITUTE OF INDUSTRIAL TECHNOLOGY, BHUBANESWAR/ODISHA</t>
  </si>
  <si>
    <t>Electronics &amp; Computer Science Engineering</t>
  </si>
  <si>
    <t>MS Office,MS Project,Complaince,Liasoning,SQL Server,Land Procurement,Strategy Devlopemet,Digital Marketing,JIRA,Financial Statement Analysis,Stake Holder Management</t>
  </si>
  <si>
    <t>Wipro Ltd. | Project Engineer | Banglore, India | Jun 2021 | Mar 2024 | 2 Years, 8 Months, 21 Days | 3.74
SRIKRISHNA ESTATE &amp; CONSTRUCTION PVT. LTD. | Project Manager - Strategy, Operations &amp; Business Devlopment | Bhubaneswar, Odisha | Mar 2024 | Jul 2025 | 1 Years, 3 Months, 23 Days | 4.92</t>
  </si>
  <si>
    <t>48 month(s)</t>
  </si>
  <si>
    <t>Embassy Development Ltd | Liaosining, Business Strategy &amp; Operations | Mumbai, India | May 2026 | Jul 2026 | 8 Weeks | Campus Internship</t>
  </si>
  <si>
    <t>P25702002</t>
  </si>
  <si>
    <t>GODAMBE</t>
  </si>
  <si>
    <t>Bhagyashree Sachin Godambe</t>
  </si>
  <si>
    <t>bhagyashreegodambe4763@gmail.com</t>
  </si>
  <si>
    <t>p25702002@student.nicmar.ac.in</t>
  </si>
  <si>
    <t>27-Dec-2000</t>
  </si>
  <si>
    <t>6829 2156 7406</t>
  </si>
  <si>
    <t>C801, PHASE 2, GRAND VIEW 7 NEAR PODDAR INTERNATIONAL SCHOOL, AMBEGAON BK, PUNE</t>
  </si>
  <si>
    <t>401, Narsiha Saraswati Bhuwan Above Bank Of Maharashtra, Parnaka Kalyan, West</t>
  </si>
  <si>
    <t>CAPTAIN RAVINDRA MADHAV OAK HIGH SCHOOL</t>
  </si>
  <si>
    <t>MAHARASHTRA STATE BOARD/ KALYAN</t>
  </si>
  <si>
    <t>B.K.BIRLA COLLEGE OF ARTS, COMMERCE AND SCIENCE</t>
  </si>
  <si>
    <t>B.R.HARNE COLLEGE OF ARCHITECTURE</t>
  </si>
  <si>
    <t>AutoCAD,MS Office,MS Project,Primavera,Sketchup,Lumion,Revit,Photoshop,InDesign</t>
  </si>
  <si>
    <t>Rdesign Architects | Junior Architect | Vikhroli, Mumbai | Aug 2024 | Mar 2025 | 0 Years, 7 Months, 6 Days | 2.4
VastuSiddhi Architects | Junior Architect | Vikhroli, Mumbai | May 2023 | Jul 2024 | 1 Years, 2 Months, 0 Days | 1.44</t>
  </si>
  <si>
    <t>Manjeet Developers | Real Estate Strategist | Koregao Park, Pune | May 2026 | Jul 2026 | 8 Weeks | Campus Internship
Ekistics Design Studio | Architectural Intern | Thane | Oct 2021 | Apr 2022 | 26 Weeks</t>
  </si>
  <si>
    <t>P25702003</t>
  </si>
  <si>
    <t>WALKE</t>
  </si>
  <si>
    <t>Atharva Raju Walke</t>
  </si>
  <si>
    <t>atharvawalke24@gmail.com</t>
  </si>
  <si>
    <t>p25702003@student.nicmar.ac.in</t>
  </si>
  <si>
    <t>24-Nov-2000</t>
  </si>
  <si>
    <t>8674 0186 7797</t>
  </si>
  <si>
    <t>RAJU BABAN WALKE</t>
  </si>
  <si>
    <t>VRINDAVANI WALKE</t>
  </si>
  <si>
    <t>GRAPHIC DESIGNER</t>
  </si>
  <si>
    <t>Room No.1 Swawalambi CHSL Plot No.233 Opposite To Moon Palace Hotel Sector.4 Airoli Navi Mumbai 400-708</t>
  </si>
  <si>
    <t>ST. XAVIER'S HIGH SCHOOL, AIROLI</t>
  </si>
  <si>
    <t>SMT. SUSHILADEVI DESHMUKH VIDYALAYA &amp; JR.COLLEGE, AIROLI</t>
  </si>
  <si>
    <t>PCT'S A.P SHAH INSTITUTE OF TECHNOLOGY, THANE (WEST)</t>
  </si>
  <si>
    <t>Impact Infraheights PVT.LTD | Site Execution Intern | Pune | May 2026 | Jul 2026 | 8 Weeks | Campus Internship
Rushabh Surendra Karnavat Consultancy Services | Project Engineer â€“ Structural Audit &amp; NDT | Mumbai | Jun 2023 | Nov 2023 | 21 Weeks</t>
  </si>
  <si>
    <t>Urban Land Economics and Real Estate Market  Dynamics
Introduction to Financial Accounting</t>
  </si>
  <si>
    <t>p2270087</t>
  </si>
  <si>
    <t>Navya A</t>
  </si>
  <si>
    <t>navyasankar5350@gmail.com</t>
  </si>
  <si>
    <t>p2270087@student.nicmar.ac.in</t>
  </si>
  <si>
    <t>ENGLISH, HINDI, TAMIL, TELUGU,</t>
  </si>
  <si>
    <t>READING,COOKING,GARDENING</t>
  </si>
  <si>
    <t>7180 3413 6314</t>
  </si>
  <si>
    <t>AKELLA GOWRI SANKAR</t>
  </si>
  <si>
    <t>AKELLA VENKATA UMA</t>
  </si>
  <si>
    <t>PLOT NO 123 1ST MAIN ROAD SUBHA SHREE NAGAR EXTN-1 MUGALIVAKKAM PORUR CHENNAI 600125</t>
  </si>
  <si>
    <t>AMRITA VIYALAYAM</t>
  </si>
  <si>
    <t>CENTRAL BROAD OF SECONDARY EDUCATION, CHENNAI, TAMIL NADU</t>
  </si>
  <si>
    <t>PON VIDYARSHAM</t>
  </si>
  <si>
    <t>SRM INSTITUTE OF SCIENCE AND TECHNOLOGY, CHENNAI, TAMIL NADU</t>
  </si>
  <si>
    <t>AutoCAD,MS Office,MS Project,Primavera,REVIT,STADD PRO</t>
  </si>
  <si>
    <t>Godrej Properties | INTERN | GURGAON | May 2023 | Jul 2023 | 7 Weeks | Campus Internship
LARSEN AND TOUBRO | INTERN | CHENNAI | Dec 2019 | Dec 2019 | 1 Weeks
AMBUJA CEMENT | INTERN | BHATAPARA | Jun 2019 | Jun 2019 | 2 Weeks
LARSEN AND TOUBRO | INTERN | CHENNAI | Dec 2018 | Dec 2018 | 2 Weeks</t>
  </si>
  <si>
    <t>p2270088</t>
  </si>
  <si>
    <t>Nikhil Anil Singh</t>
  </si>
  <si>
    <t>nikhils8586@gmail.com</t>
  </si>
  <si>
    <t>p2270088@student.nicmar.ac.in</t>
  </si>
  <si>
    <t>05-Mar-1996</t>
  </si>
  <si>
    <t>Choreography,Cricket,Theatre,Event Managing</t>
  </si>
  <si>
    <t>6100 4176 3505</t>
  </si>
  <si>
    <t>ANIL KUMAR SINGH</t>
  </si>
  <si>
    <t>PSU EMPLOYEE (COAL INDIA LTD)</t>
  </si>
  <si>
    <t>SEEMA SINGH</t>
  </si>
  <si>
    <t>QTR NO. 64-A, M.B.TOWN, PHASE-1, MATRI PITRI CHHAYA, ZINGABAI TAKLI, KORADI ROAD, MANKAPUR</t>
  </si>
  <si>
    <t>CENTRE POINT SCHOOL</t>
  </si>
  <si>
    <t>CBSE, NAGPUR, MAHARASHTRA</t>
  </si>
  <si>
    <t>BHARTI KRISHNA VIDHYA VIHAR</t>
  </si>
  <si>
    <t>ORIENTAL INSTITUTE OF SCIENCE &amp; TECHNOLOGY, BHOPAL, MADHYA PRADESH</t>
  </si>
  <si>
    <t>AutoCAD,MS Office,MS Project,Primavera,BILLING,QUANTITY SURVEYING,STRUCTURE WORK</t>
  </si>
  <si>
    <t>M/S R.M.Dayaramani Engineers &amp; Contractors, Nagpur | SITE ENGINEER  | NAGPUR | Jan 2020 | Nov 2020 | 0 Years, 10 Months, 29 Days | 1.2
R.K. Chavan Infrastructure Pvt Ltd | Junior Engineer | NAGPUR | Dec 2020 | Dec 2021 | 1 Years, 0 Months, 24 Days | 1.8
M/S Bansal Construction Works PVT LTD, Nagpur | PLANNING AND STEEL YARD IN CHARGE | NAGPUR | Jan 2022 | Aug 2022 | 0 Years, 6 Months, 27 Days | 3.36</t>
  </si>
  <si>
    <t>FISCHER | ENGINEERING INTERN | BANGALORE | May 2023 | Jul 2023 | 7 Weeks | Campus Internship</t>
  </si>
  <si>
    <t>p2270089</t>
  </si>
  <si>
    <t>ARUNDEEP</t>
  </si>
  <si>
    <t>Arundeep Singh</t>
  </si>
  <si>
    <t>arundeep1801439@gmail.com</t>
  </si>
  <si>
    <t>p2270089@student.nicmar.ac.in</t>
  </si>
  <si>
    <t>18-Aug-1999</t>
  </si>
  <si>
    <t>English,Hindi,Punjabi</t>
  </si>
  <si>
    <t>Photography,Cooking,Trekking,Sketching</t>
  </si>
  <si>
    <t>7484 7914 5957</t>
  </si>
  <si>
    <t>BALBIR SINGH</t>
  </si>
  <si>
    <t>RETIRED GOVT. EMPLOYEE</t>
  </si>
  <si>
    <t>POPINDER KOUR</t>
  </si>
  <si>
    <t>LD Lane Chanapora Srinagar</t>
  </si>
  <si>
    <t>TINY HARTS SCCHOOL</t>
  </si>
  <si>
    <t>SRINAGAR</t>
  </si>
  <si>
    <t>NEW CONVENT HIGHER SECONDARY SCHOOL</t>
  </si>
  <si>
    <t>2017-Dec</t>
  </si>
  <si>
    <t>PUNJAB TECHNICAL UNIVERSITY</t>
  </si>
  <si>
    <t>BEANT COLLAGE OF ENGINEERING  AND TECHNOLOGY  GURDASPUR</t>
  </si>
  <si>
    <t>VSL India Pvt Ltd | Project Planning | Bihar | May 2023 | Jul 2023 | 7 Weeks | Campus Internship</t>
  </si>
  <si>
    <t>p2270090</t>
  </si>
  <si>
    <t>SHAHBAZ</t>
  </si>
  <si>
    <t>ALI</t>
  </si>
  <si>
    <t>Shahbaz Ali</t>
  </si>
  <si>
    <t>ali99shahbaz@gmail.com</t>
  </si>
  <si>
    <t>p2270090@student.nicmar.ac.in</t>
  </si>
  <si>
    <t>19-Sep-1999</t>
  </si>
  <si>
    <t>English, Hindi and Urdu</t>
  </si>
  <si>
    <t>Writing,Poetry,Photography</t>
  </si>
  <si>
    <t>5270 9686 7702</t>
  </si>
  <si>
    <t>MOHD SHABAN</t>
  </si>
  <si>
    <t>SUB-CONTRACTOR</t>
  </si>
  <si>
    <t>SHABANA AZMI</t>
  </si>
  <si>
    <t>E-136 Bindapur Pocket-04_x000D_
Uttamnagar</t>
  </si>
  <si>
    <t>SUMERMAL JAIN PUBLIC SCHOOL</t>
  </si>
  <si>
    <t>MCL SARASWATI BAL VIDYA MANDIR</t>
  </si>
  <si>
    <t>SUSHANT UNIVERSITY</t>
  </si>
  <si>
    <t>SCHOOL OF ENGINEERING AND TECHNOLOGY, SUSHANT UNIVERSITY GURGAON/HARYANA</t>
  </si>
  <si>
    <t>ASIAN PAINTS | Project sales | Gurgaon | May 2023 | Jul 2023 | 7 Weeks | Campus Internship
PIYARE LAL HARI SINGH BUILDERS PVT LTD | QUALITY ASSURANCE ENGINEER | SEC-89 FARIDABAD | Jul 2019 | Aug 2019 | 5 Weeks</t>
  </si>
  <si>
    <t>p2270091</t>
  </si>
  <si>
    <t>Rishabh Raj</t>
  </si>
  <si>
    <t>rishabhraj1145@gmail.com</t>
  </si>
  <si>
    <t>p2270091@student.nicmar.ac.in</t>
  </si>
  <si>
    <t>30-Jul-1999</t>
  </si>
  <si>
    <t>Traveling,Cooking,Sports,Outdoor Activities (Hiking, Camping)</t>
  </si>
  <si>
    <t>2623 4910 2998</t>
  </si>
  <si>
    <t>KAMLESH KUMAR SINGH</t>
  </si>
  <si>
    <t>CHITRA SINHA</t>
  </si>
  <si>
    <t>Jalalpur City , Ganga-5/301 , Ramjaypal Path , Opp. Gola Road , Near B R Ambedkar Dental College</t>
  </si>
  <si>
    <t>NICMAR NEW HOSTEL, GATE NO 2 , N.I.A. POST OFFICE, 25/1, BALEWADI RD, RAM NAGAR, BANER,</t>
  </si>
  <si>
    <t>LITERA VALLEY SCHOOL</t>
  </si>
  <si>
    <t>CBSE , BIHAR , PATNA</t>
  </si>
  <si>
    <t>MANIPAL UNIVERSITY JAIPUR , RAJASTHAN , JAIPUR</t>
  </si>
  <si>
    <t>AutoCAD,MS Office,MS Project,Primavera,SITE EXECUTION,BAR BENDING SCHEDULE,SUB STRUCTURE,ESTIMATION AND COSTING</t>
  </si>
  <si>
    <t>L and T  Realty | Site Execution | Noida | May 2023 | Jul 2023 | 7 Weeks | Campus Internship
APARNA ARCHITECT | SITE ENGINEER  | NH-31, BHAGALPUR - PATNA ROAD, NEAR BRIJ HONDA SHOWROOM, RANIPUR, PATNA, BIHAR 800001 | Jan 2022 | May 2022 | 17 Weeks
The Institute of Engineers (India) | Trainee | Online | Jun 2021 | Jul 2021 | 6 Weeks</t>
  </si>
  <si>
    <t>p2270092</t>
  </si>
  <si>
    <t>FAHAD</t>
  </si>
  <si>
    <t>ABDUL AZIZ</t>
  </si>
  <si>
    <t>TANWAR</t>
  </si>
  <si>
    <t>Fahad Abdul Aziz Tanwar</t>
  </si>
  <si>
    <t>tanwarfahad111@gmail.com</t>
  </si>
  <si>
    <t>p2270092@student.nicmar.ac.in</t>
  </si>
  <si>
    <t>09-Jun-1999</t>
  </si>
  <si>
    <t>English, Hindi, Urdu, Marathi</t>
  </si>
  <si>
    <t>Traveling,Gaming</t>
  </si>
  <si>
    <t>9540 7780 9340</t>
  </si>
  <si>
    <t>QAMARUNNISA</t>
  </si>
  <si>
    <t>C/7, Pakeeza CHS LTD, Behram Baug Road, Jogeshwari West,</t>
  </si>
  <si>
    <t>FLAT NO 306, KHADIJA HITECH TOWER, BEHRAM BAUG FISH MARKET, JOGESHWARI WEST</t>
  </si>
  <si>
    <t>MILLAT HIGH SCHOOL</t>
  </si>
  <si>
    <t>SSC, MUMBAI</t>
  </si>
  <si>
    <t>DIPLOMA CIVIL ENGINEERING</t>
  </si>
  <si>
    <t>SARDAR VALLABHBHAI PATEL POLYTECHNIC, MUMBAI</t>
  </si>
  <si>
    <t>THAKUR COLLEGE OF ENGINEERING AND TECHNOLOGY, MUMBAI</t>
  </si>
  <si>
    <t>J. Kumar Infraprojects Ltd. | Planning Management and Execution | Mumbai | May 2023 | Jul 2023 | 7 Weeks | Campus Internship
K BISSAUWALA CONSTRUCTION | Site Engineer Intern | PUNE | Dec 2021 | Jan 2022 | 7 Weeks</t>
  </si>
  <si>
    <t>p2270093</t>
  </si>
  <si>
    <t>KARAN</t>
  </si>
  <si>
    <t>MAGAR</t>
  </si>
  <si>
    <t>Karan Pradeep Magar</t>
  </si>
  <si>
    <t>karanpmagar2000@gmail.com</t>
  </si>
  <si>
    <t>p2270093@student.nicmar.ac.in</t>
  </si>
  <si>
    <t>Drawing,Playing Sports,Exploring New Places</t>
  </si>
  <si>
    <t>8345 8849 6043</t>
  </si>
  <si>
    <t>PRADEEP MAGAR</t>
  </si>
  <si>
    <t>KAVITA MAGAR</t>
  </si>
  <si>
    <t>B-606, National Harmony, Sect-15, Plot No-5</t>
  </si>
  <si>
    <t>D.G. TATKARE JUNIOR COLLEGE</t>
  </si>
  <si>
    <t>AutoCAD,MS Office,MS Project,Primavera,CANDY,Revit,Naviswork</t>
  </si>
  <si>
    <t>MYK ARMENT. | Project Sales  | Mumbai | May 2023 | Jul 2023 | 7 Weeks | Campus Internship
B G SHIRKE CONSTRUCTION TECHNOLOGY PVT LTD | SITE ENGINEER | TALOJA PHASE 2 | Jun 2021 | Aug 2021 | 8 Weeks</t>
  </si>
  <si>
    <t>p2270094</t>
  </si>
  <si>
    <t>FAHADH</t>
  </si>
  <si>
    <t>BASHEER</t>
  </si>
  <si>
    <t>Fahadh Basheer</t>
  </si>
  <si>
    <t>fahadhfab@gmail.com</t>
  </si>
  <si>
    <t>p2270094@student.nicmar.ac.in</t>
  </si>
  <si>
    <t>29-Jul-1998</t>
  </si>
  <si>
    <t>Art,Movies,Travel</t>
  </si>
  <si>
    <t>8127 7220 6828</t>
  </si>
  <si>
    <t>BASHEER A R</t>
  </si>
  <si>
    <t>GOVT. OFFICIAL</t>
  </si>
  <si>
    <t>NAZEERA S</t>
  </si>
  <si>
    <t>SHAILAJA MANZIL_x000D_
PALLIMUKKU, KADAKKAL P.O.</t>
  </si>
  <si>
    <t>NEHRU MEMORIAL MODEL SENIOR SECONDARY SCHOOL</t>
  </si>
  <si>
    <t>C.P. HIGHER SECONDARY SCHOOL</t>
  </si>
  <si>
    <t>MAR BASELIOS COLLEGE OF ENGINEERING AND TECHNOLOGY, TRIVANDRUM, KERALA</t>
  </si>
  <si>
    <t>AutoCAD,MS Office,MS Project,Primavera,Naviswork,3ds Max,Revit,Advanced Excel,Candy</t>
  </si>
  <si>
    <t>Studio Infusion Cube | Site Execution | Trivandrum | Feb 2022 | Jul 2022 | 0 Years, 5 Months, 28 Days | 1.2</t>
  </si>
  <si>
    <t>Damsure Expert Buildcare | Site execution and control | Kochi, Kerala | May 2023 | Jul 2023 | 7 Weeks | Campus Internship
HABITAT TECHNOLOGIES | Site execution | TRIVANDRUM, KERALA | Jul 2018 | Jul 2018 | 0 Weeks</t>
  </si>
  <si>
    <t>p2270095</t>
  </si>
  <si>
    <t>HARINANDAN</t>
  </si>
  <si>
    <t>Harinandan K Nair</t>
  </si>
  <si>
    <t>nandanofficial00@gmail.com</t>
  </si>
  <si>
    <t>p2270095@student.nicmar.ac.in</t>
  </si>
  <si>
    <t>08-Jul-1999</t>
  </si>
  <si>
    <t>English, Malayalam, Tamil, Hindi</t>
  </si>
  <si>
    <t>Singing,Travelling,Cooking,Cycling</t>
  </si>
  <si>
    <t>5103 7908 8563</t>
  </si>
  <si>
    <t>K. KARTHIKEYAN</t>
  </si>
  <si>
    <t>OVERSEAR IN IRRIGATION DEPARTMENT</t>
  </si>
  <si>
    <t>SOBHA. E</t>
  </si>
  <si>
    <t>VILLAGE OFFICER</t>
  </si>
  <si>
    <t>KRISHNA NANDANAM_x000D_
ERAKANDATH (H)_x000D_
P.O.PUVATHUR</t>
  </si>
  <si>
    <t>AMRITA VIDYALAYAM, CHAVAKKAD TRICHUR KERALA</t>
  </si>
  <si>
    <t>2003-Jun</t>
  </si>
  <si>
    <t>VIJAYAGIRI PUBLIC SCHOOL, CHALAKUDY THRISSUR KERALA</t>
  </si>
  <si>
    <t>SCHOOL OF ENGINEERING, COCHIN UNIVERSITY OF SCIENCE AND TECHNOLOGY, KALAMASSERY ERNAKULAM KERALA</t>
  </si>
  <si>
    <t>AutoCAD,MS Office,MS Project,Primavera,Candy,Navisworks,C++ Programming,C Programming,Abaqus,Revit,Overleaf</t>
  </si>
  <si>
    <t>CREATIVE MINDS | SITE WORK | PUVATHUR AND PADOOR | Aug 2021 | Jul 2022 | 0 Years, 11 Months, 26 Days | 1.92</t>
  </si>
  <si>
    <t>Livio Building System | BIM ENGINEER | HADAPSAR, PUNE | May 2023 | Jul 2023 | 7 Weeks | Campus Internship
STATE PUBLIC WORKS DEPARTMENT BRIDGES SECTION THRISSUR | INTERN | KECHERY AND CHOONDAL | Jun 2019 | Jun 2019 | 1 Weeks</t>
  </si>
  <si>
    <t>p2270096</t>
  </si>
  <si>
    <t>PRABHU</t>
  </si>
  <si>
    <t>DHONGE</t>
  </si>
  <si>
    <t>Shailesh Prabhu Dhonge</t>
  </si>
  <si>
    <t>shaileshdhongeofficial52@gmail.com</t>
  </si>
  <si>
    <t>p2270096@student.nicmar.ac.in</t>
  </si>
  <si>
    <t>05-Feb-2000</t>
  </si>
  <si>
    <t>Basketball,Chess,Financial Learning,Playing Outdoor Games</t>
  </si>
  <si>
    <t>6571 2179 3530</t>
  </si>
  <si>
    <t>EX. ARMY</t>
  </si>
  <si>
    <t>ANUSAYA</t>
  </si>
  <si>
    <t>Dhonge Houose, Nageshwar Nagar, Bramhapuri</t>
  </si>
  <si>
    <t>CHRISTANAND SCHOOL AND JR. COLLAGE</t>
  </si>
  <si>
    <t>MAHARASHTRA STATE BOARD OF SECONDARY AND HIGHER SECONDARY EDUCATION,BRAMHAPURI</t>
  </si>
  <si>
    <t>DR. BABA SAHEB AMBEDKAR COLLAGE</t>
  </si>
  <si>
    <t>AutoCAD,MS Office,MS Project,Primavera,REVIT,EXCEL,Tablue</t>
  </si>
  <si>
    <t>GODREJ PROPERTIES | OPERATIONAL INTERN | PUNE | May 2023 | Jul 2023 | 7 Weeks | Campus Internship
NATIONAL HIGHWAYS AUTHORITY OF INDIA | INTERN | NAGPUR | Jan 2022 | May 2022 | 17 Weeks</t>
  </si>
  <si>
    <t>p2270097</t>
  </si>
  <si>
    <t>NIHARIKA</t>
  </si>
  <si>
    <t>Niharika Choudhary</t>
  </si>
  <si>
    <t>niharikac.1809@gmail.com</t>
  </si>
  <si>
    <t>p2270097@student.nicmar.ac.in</t>
  </si>
  <si>
    <t>18-Sep-1996</t>
  </si>
  <si>
    <t>Travelling,Reading,Photography</t>
  </si>
  <si>
    <t>9761 4027 8584</t>
  </si>
  <si>
    <t>SUNIL CHOUDHARY</t>
  </si>
  <si>
    <t>ANITA CHOUDHARY</t>
  </si>
  <si>
    <t>House No.59, Street No. 5, Mohan Colony</t>
  </si>
  <si>
    <t>Banswara</t>
  </si>
  <si>
    <t>H-18, SARASWATI APARTMENT, SECTOR-18, PRATAP NAGAR, KUMBA MARG</t>
  </si>
  <si>
    <t>ST PAUL'S SR SEC SCHOOL, THIKARIA BANSWARA RAJASTHAN</t>
  </si>
  <si>
    <t>CENTRAL BOARD OF SECONDARY EDUCATION, RAJASTHAN</t>
  </si>
  <si>
    <t>RAJASTHAN TECHNICAL UNIVERSITY, KOTA, RAJASTHAN</t>
  </si>
  <si>
    <t>AAYOJAN SCHOOL OF ARCHITECTURE, JAIPUR, RAJASTHAN</t>
  </si>
  <si>
    <t>AutoCAD,MS Office,MS Project,Primavera,Adobe Photoshop,Sketchup,Autodesk Revit Architecture,Autodesk Naviswork,Lumion</t>
  </si>
  <si>
    <t>DESIGN SPACE CONSULTANTS | ARCHITECTURAL  DESIGNER  | Jaipur | Aug 2020 | Aug 2022 | 2 Years, 0 Months, 9 Days | 2.4</t>
  </si>
  <si>
    <t>GODREJ PROPERTIES LTD. | Operations Intern  | Pune  | May 2023 | Jul 2023 | 7 Weeks | Campus Internship
VIKRAM PANDYA AND ASSOCIATES | ARCHITECTURAL INTERN  | AHMEDABAD | Jan 2019 | Jun 2019 | 24 Weeks
VETRACARE PVT LTD | ARCHITECT | JAIPUR | Dec 2020 | Apr 2022 | 71 Weeks</t>
  </si>
  <si>
    <t>p2270098</t>
  </si>
  <si>
    <t>SARANG</t>
  </si>
  <si>
    <t>LOHAR</t>
  </si>
  <si>
    <t>Sarang Kishor Lohar</t>
  </si>
  <si>
    <t>saranglohar999@gmail.com</t>
  </si>
  <si>
    <t>p2270098@student.nicmar.ac.in</t>
  </si>
  <si>
    <t>10-Apr-1997</t>
  </si>
  <si>
    <t>Community involvement or interested in Social and political programms,Visit to religious and historical places,Anchoring or stage representator,General Script or Mayna writing</t>
  </si>
  <si>
    <t>6850 7266 2459</t>
  </si>
  <si>
    <t>KISHOR KHANDERAO LOHAR</t>
  </si>
  <si>
    <t>VANDANA KISHOR LOHAR</t>
  </si>
  <si>
    <t>PLOT NO.17/235,DHEKUSIM ROAD,AMALNER DIST.JALGAON</t>
  </si>
  <si>
    <t>ROOM NO.724,SJB HOSTEL, NICMAR UNIVERSITY</t>
  </si>
  <si>
    <t>G.S.HIGHSCHOOL</t>
  </si>
  <si>
    <t>SECONDARY AND HIGHER SECONDARY MAHARASHTRA (NASHIK DIVISIONAL BOARD)</t>
  </si>
  <si>
    <t>PRATAP COLLEGE</t>
  </si>
  <si>
    <t>SAVITRIBAI PHULE PUNE UNIVERSITY (PUNE)</t>
  </si>
  <si>
    <t>SANDIP INSTITUTE OF ENGINEERING AND MANAGEMENT (NASHIK)</t>
  </si>
  <si>
    <t>SAMRUDDHI CONSTRUCTION | Civil engineer | DEOLALI MES,NASHIK (MH) | Aug 2021 | Aug 2022 | 1 Years, 0 Months, 2 Days | 2.64</t>
  </si>
  <si>
    <t>Godrej Properties limited | Operations Intern |  Pune | May 2023 | Jul 2023 | 7 Weeks | Campus Internship
AADITI CONSTRUCTION | Site engineer  | AMALNER | Jun 2020 | Feb 2021 | 38 Weeks</t>
  </si>
  <si>
    <t>p2270099</t>
  </si>
  <si>
    <t>DEVADATHAN</t>
  </si>
  <si>
    <t>A L</t>
  </si>
  <si>
    <t>Devadathan A L</t>
  </si>
  <si>
    <t>devadathan3838@gmail.com</t>
  </si>
  <si>
    <t>p2270099@student.nicmar.ac.in</t>
  </si>
  <si>
    <t>27-Jun-2000</t>
  </si>
  <si>
    <t>english, hindi, kannada, malayalam</t>
  </si>
  <si>
    <t>3844 3431 2569</t>
  </si>
  <si>
    <t>V ANIL KUMAR</t>
  </si>
  <si>
    <t>M B LAKSHMI</t>
  </si>
  <si>
    <t>5/152-5/2, Sowparnika, Jalalbagh, Deralakatte P.o, Dakshina Kannada, Karnataka</t>
  </si>
  <si>
    <t>SHARADA VIDYANIKETHANA PUBLIC SCHOOL</t>
  </si>
  <si>
    <t>CBSE KARNATAKA</t>
  </si>
  <si>
    <t>CANARA P U COLLEGE</t>
  </si>
  <si>
    <t>NMAM INSTITUTE OF TECHNOLOGY, KARNATAKA</t>
  </si>
  <si>
    <t>AutoCAD,MS Office,CSI ETABS, CSI DETAIL, QGIS</t>
  </si>
  <si>
    <t>EPMCR | Project Co-ordinition | Chennai | May 2023 | Jul 2023 | 7 Weeks | Campus Internship
MFAR CONSTRUCTIONS PVT LTD | QS, QA&amp;QC, EXECUTION  | MANGALORE | Aug 2021 | Sep 2021 | 4 Weeks</t>
  </si>
  <si>
    <t>p2270100</t>
  </si>
  <si>
    <t>NARSALE</t>
  </si>
  <si>
    <t>Tejas Prabhakar Narsale</t>
  </si>
  <si>
    <t>tejasnarsale99@gmail.com</t>
  </si>
  <si>
    <t>p2270100@student.nicmar.ac.in</t>
  </si>
  <si>
    <t>01-Mar-2000</t>
  </si>
  <si>
    <t>Cricket,Prayas Youth Forum,Organizing Events,Travelling</t>
  </si>
  <si>
    <t>9441 7918 4236</t>
  </si>
  <si>
    <t>RETIRED HEADMASTER OF SECONDARY SCHOOL</t>
  </si>
  <si>
    <t>HEADMISTRESS OF SECONDARY SCHOOL</t>
  </si>
  <si>
    <t>AT POST GOREGAON, TAL- PARNER, DIST- AHMEDNAGAR, 414103</t>
  </si>
  <si>
    <t>RESIDENTIIAL HIGH SCHOOL, AHMEDNAGAR</t>
  </si>
  <si>
    <t>AHMEDNAGAR</t>
  </si>
  <si>
    <t>RESIDENTIAL JUNIOR COLLEGE, AHMEDNAGAR</t>
  </si>
  <si>
    <t>AutoCAD,MS Project,Primavera,REVIT</t>
  </si>
  <si>
    <t>Kalpataru Project International Limited | Project Intern | Kharadi | May 2023 | Jul 2023 | 7 Weeks | Campus Internship
TEAM KNOW HOW | TRAINEE | GOREGAON | May 2020 | May 2020 | 2 Weeks</t>
  </si>
  <si>
    <t>p2270101</t>
  </si>
  <si>
    <t>Harish .</t>
  </si>
  <si>
    <t>harish.hanchate@gmail.com</t>
  </si>
  <si>
    <t>p2270101@student.nicmar.ac.in</t>
  </si>
  <si>
    <t>20-Mar-1998</t>
  </si>
  <si>
    <t>English, Marathi, Hindi, Kannada, Telugu</t>
  </si>
  <si>
    <t>7303 4819 5743</t>
  </si>
  <si>
    <t>SHANTARAM VITTAL HANCHATE</t>
  </si>
  <si>
    <t>AGM, STATE BANK OF INDIA</t>
  </si>
  <si>
    <t>Plot No. C75, 1st Main, 2nd Cross, Kuvempu Nagar, Cantonment</t>
  </si>
  <si>
    <t>ROOM NO. 432, SJB HOSTEL, NICMAR UNIVERSITY, BALEWADI ROAD, BANER, NIA POST OFFICE</t>
  </si>
  <si>
    <t>NANDI HIGH SCHOOL, BALLARI</t>
  </si>
  <si>
    <t>CHRIST PU COLLEGE, BENGALURU</t>
  </si>
  <si>
    <t>SIDDAGANGA INSTITUTE OF TECHNOLOGY, TUMKUR</t>
  </si>
  <si>
    <t>AutoCAD,MS Office,MS Project,Primavera,Naviswork Essential 2023,Etabs,Staad Pro,Sketch Up,Revit Architecture,Civil 3D,Candy</t>
  </si>
  <si>
    <t>SWASTHIK DEVELOPERS, BELLARY | Execution | BALLARI | Jun 2021 | Jul 2022 | 1 Years, 1 Months, 14 Days | 1.8</t>
  </si>
  <si>
    <t>CBRE SOUTH ASIA PVT LTD | PROJECT MANAGEMENT | BLUEGRASS BUSINESS PARK, PUNE | May 2023 | Jul 2023 | 7 Weeks | Campus Internship</t>
  </si>
  <si>
    <t>p2270102</t>
  </si>
  <si>
    <t>Abhishek Subhash Mahajan</t>
  </si>
  <si>
    <t>mahajanabhishek65@gmail.com</t>
  </si>
  <si>
    <t>p2270102@student.nicmar.ac.in</t>
  </si>
  <si>
    <t>17-Oct-1998</t>
  </si>
  <si>
    <t>Playing Kickball,Travelling On Bike,Listening Music</t>
  </si>
  <si>
    <t>5018 5240 7491</t>
  </si>
  <si>
    <t>SUBHASH SUKALAL MAHAJAN</t>
  </si>
  <si>
    <t>SCHOOL &amp; JR.COLLEGE PRINCIPAL</t>
  </si>
  <si>
    <t>SANGITA SUBHASH MAHAJAN</t>
  </si>
  <si>
    <t>FLAT NO 201 SAVKAR HEIGHTS NEAR RD CIRCLE KARMYOGINAGAR NASHIK</t>
  </si>
  <si>
    <t>NAVARACHANA VIDHYALAY NASHIIK</t>
  </si>
  <si>
    <t>MAHARASHTRA STATE BOARD OF SECONDARY AND HIGHER SECONDARY EDUCATION PUNE/MAHARASHTRA</t>
  </si>
  <si>
    <t>SHRI D.D. BYTCO BOYS HIGHSCHOOL AND JUNIOR COLLEGE NASHIK</t>
  </si>
  <si>
    <t>K.K. WAGH INSTITUTE OF ENGINEERING EDUCATION AND RESEARCH NASHIK</t>
  </si>
  <si>
    <t>AutoCAD,MS Office,MS Project,Primavera,CANDY,ETABS,REVIT</t>
  </si>
  <si>
    <t>SUMIT P. SALUNKE (REG.GOVT. CONTRACTOR) | JUNIOR SITE ENGINEER  | NASHIK | Aug 2021 | Aug 2022 | 0 Years, 11 Months, 30 Days | 1.8</t>
  </si>
  <si>
    <t>ANAROCK Property Consultant | Closing manager | pune | May 2023 | Jul 2023 | 8 Weeks | Campus Internship</t>
  </si>
  <si>
    <t>p2270103</t>
  </si>
  <si>
    <t>SHEKHAR</t>
  </si>
  <si>
    <t>Shashank Shekhar</t>
  </si>
  <si>
    <t>shashankrshekhar@gmail.com</t>
  </si>
  <si>
    <t>p2270103@student.nicmar.ac.in</t>
  </si>
  <si>
    <t>07-Oct-1996</t>
  </si>
  <si>
    <t>8799 7511 5775</t>
  </si>
  <si>
    <t>RAJESH KUMAR SHARMA</t>
  </si>
  <si>
    <t>SEEMA DEVI</t>
  </si>
  <si>
    <t>S/o Rajesh Kumar Sharma KUBER COLONY , BIHTA</t>
  </si>
  <si>
    <t>BIRLA VIDYA MANDIR NAINITAL</t>
  </si>
  <si>
    <t>CENTRAL BOARD OF SECONDARY EDUCATION NAINITAL /UTTARAKHAND</t>
  </si>
  <si>
    <t>THE SAGAR SCHOOL</t>
  </si>
  <si>
    <t>MANIPAL UNIVERSITY JAIPUR JAIPUR/RAJASTHAN</t>
  </si>
  <si>
    <t>AutoCAD,MS Office,MS Project,Primavera,Design Mix,Non Destructive Testing,Destructive Testing</t>
  </si>
  <si>
    <t>Daewoo-L&amp;T-JV | QA/QC | Patna | Feb 2020 | Jun 2022 | 2 Years, 4 Months, 26 Days | 2.77
SPS Infracons Private Ltd | Execution | Patna | Aug 2019 | Jan 2020 | 0 Years, 5 Months, 30 Days | 1.8</t>
  </si>
  <si>
    <t>HEC ENVIRO INDIA PVT LTD | BUSINESS ANALYTICS | MUMBAI | May 2023 | Jul 2023 | 7 Weeks | Campus Internship
INDIAN INSTITUTE OF TECHNOLOGY PATNA | EXECUTION  | PATNA | May 2017 | Jun 2017 | 4 Weeks</t>
  </si>
  <si>
    <t>p2270104</t>
  </si>
  <si>
    <t>ANIRUDHA</t>
  </si>
  <si>
    <t>SANDEEP</t>
  </si>
  <si>
    <t>PAWASKAR</t>
  </si>
  <si>
    <t>Anirudha Sandeep Pawaskar</t>
  </si>
  <si>
    <t>anirudhapawaskar123@gmail.com</t>
  </si>
  <si>
    <t>p2270104@student.nicmar.ac.in</t>
  </si>
  <si>
    <t>Photography, Playing Football, Drafting Plans and 3D Views, Trekking.</t>
  </si>
  <si>
    <t>5057 7671 8932</t>
  </si>
  <si>
    <t>SANDEEP GAJANAN PAWASKAR</t>
  </si>
  <si>
    <t>SHILPA SANDEEP PAWASKAR</t>
  </si>
  <si>
    <t>147, Anant Smruti, Rangole Colony, Shahupuri, Satara</t>
  </si>
  <si>
    <t>SATARA</t>
  </si>
  <si>
    <t>CIVIL ENGINEERING DIPLOMA</t>
  </si>
  <si>
    <t>CUSROW WADIA INSTITUE OF TECHNOLOGY, PUNE</t>
  </si>
  <si>
    <t>DR.BABASAHEB AMBEDKAR TECHNOLOGICAL UNIVERSITY LONERE</t>
  </si>
  <si>
    <t>DNYANSHREE INSTITUTE OF ENGINEERING AND TECHNOLOGY SAJJANGAD SATARA</t>
  </si>
  <si>
    <t>Afcons Infrastructure | Execution and Planning  | Chhara, Gujarat  | May 2023 | Jul 2023 | 7 Weeks | Campus Internship
SANJAY KHATAVKAR AND ASSOCIATES | TRAINEE SITE ENGINEER | SATARA | Aug 2021 | Sep 2021 | 4 Weeks
SANJAY KHATAVKAR AND ASSOCIATES | TRAINEE SITE ENGINEER | SATARA | Dec 2020 | Dec 2020 | 3 Weeks
SOHAM CONSTRUCTIONS | TRAINEE SITE SUPERVISOR | SATARA | May 2018 | Jun 2018 | 4 Weeks</t>
  </si>
  <si>
    <t>p2270105</t>
  </si>
  <si>
    <t>SAMIKSHA</t>
  </si>
  <si>
    <t>BHITADE</t>
  </si>
  <si>
    <t>Samiksha Rajendra Bhitade</t>
  </si>
  <si>
    <t>samikshabhitade@gmail.com</t>
  </si>
  <si>
    <t>p2270105@student.nicmar.ac.in</t>
  </si>
  <si>
    <t>01-Oct-2000</t>
  </si>
  <si>
    <t>Swimming,Dancing,Trekking,Public Speaking</t>
  </si>
  <si>
    <t>5439 2305 6709</t>
  </si>
  <si>
    <t>RAJENDRA BHITADE</t>
  </si>
  <si>
    <t>SHAILEJA BHITADE</t>
  </si>
  <si>
    <t>202 Margarita Shiv Elite Township Wardha Road, Nagpur</t>
  </si>
  <si>
    <t>ST MARY'S ENGLISH SCHOOL PUSAD</t>
  </si>
  <si>
    <t>ST PAUL JUNIOR COLLEGE NAGPUR</t>
  </si>
  <si>
    <t>RASHTRASANT TUKDOJI MAHARAJ UNIVERSITY NAGPUR</t>
  </si>
  <si>
    <t>SUNTECK REALTY | EPC-BILLING | MUMBAI | May 2023 | Jul 2023 | 7 Weeks | Campus Internship
NILAWAR LABORATORIES | INTERN | NAGPUR | Jan 2022 | May 2022 | 17 Weeks</t>
  </si>
  <si>
    <t>p2270106</t>
  </si>
  <si>
    <t>KOTRA</t>
  </si>
  <si>
    <t>Kotra Sai Anil</t>
  </si>
  <si>
    <t>kotrasaianil@gmail.com</t>
  </si>
  <si>
    <t>p2270106@student.nicmar.ac.in</t>
  </si>
  <si>
    <t>Reading books,Travelling to new places,Playing Sports,Cooking</t>
  </si>
  <si>
    <t>3018 6942 6820</t>
  </si>
  <si>
    <t>KOTRA SATYANARAYANA</t>
  </si>
  <si>
    <t>PRIEST</t>
  </si>
  <si>
    <t>KOTRA SITA LAKSHMI</t>
  </si>
  <si>
    <t>D/N: 4-109,Gopal Nagar,Sabbavaram,Visakhapatnam,Pin-531035</t>
  </si>
  <si>
    <t>PRATIBHA VIDYALAYAM</t>
  </si>
  <si>
    <t>VIGNAN'S INSTITUTE OF INFORMATION TECHNOLOGY-VISAKHAPATNAM/ANDHRA PRADESH</t>
  </si>
  <si>
    <t>AutoCAD,MS Office,MS Project,Primavera,Candy,Revit</t>
  </si>
  <si>
    <t>SHAPOORJI PALLONJI ENGINEERING CONSTRUCTION | POST GRADUATION MANAGEMENT TRAINEE | BANGALORE | May 2023 | Jul 2023 | 8 Weeks | Campus Internship
VIJAY NIRMAN COMPANY PRIVATE LIMITED | GRADUATION ENGINEER TRAINEE | MOPA, GOA | Feb 2022 | May 2022 | 13 Weeks</t>
  </si>
  <si>
    <t>p2270107</t>
  </si>
  <si>
    <t>CHAKRABORTY</t>
  </si>
  <si>
    <t>Aniruddha Chakraborty</t>
  </si>
  <si>
    <t>aniruddhachakraborty7796@gmail.com</t>
  </si>
  <si>
    <t>p2270107@student.nicmar.ac.in</t>
  </si>
  <si>
    <t>28-Dec-1996</t>
  </si>
  <si>
    <t>ENGLISH, HINDI, BENGALI</t>
  </si>
  <si>
    <t>Swimming,Listening audio books,Photography</t>
  </si>
  <si>
    <t>4619 6613 8598</t>
  </si>
  <si>
    <t>RAMKRISHNA CHAKRABORTY</t>
  </si>
  <si>
    <t>PARAMITA CHAKRABORTY</t>
  </si>
  <si>
    <t>P 18 LIC TOWNSHIP MADHYAMGRAM KOLKATA</t>
  </si>
  <si>
    <t>RAMKRISHNA VIVEKANANDA MISSION VIDYABHAVAN</t>
  </si>
  <si>
    <t>2011-Jan</t>
  </si>
  <si>
    <t>GOVT. SPONSORED MULTIPURPOSE SCHOOL (BOYS') TAKI HOUSE</t>
  </si>
  <si>
    <t>RAMAKRISHNA MISSION SHILPAPITHA</t>
  </si>
  <si>
    <t>JADAVPUR UNIVERSITY</t>
  </si>
  <si>
    <t>JADAVPUR UNIVERSITY, WEST BENGAL</t>
  </si>
  <si>
    <t>AutoCAD,MS Office,MS Project,Primavera,Revit,Navisworks</t>
  </si>
  <si>
    <t>UNIQUE ENTERPRISE | OM-Projects | KOLKATA | Aug 2020 | Sep 2021 | 1 Years, 1 Months, 1 Days | 1.68</t>
  </si>
  <si>
    <t>CBRE South Asia Pvt Ltd | Site Execution | Pune | May 2023 | Jul 2023 | 7 Weeks | Campus Internship
ITD CEMENTATION INDIA LIMITED | Site Execution | KOLKATA | Dec 2018 | Jan 2019 | 2 Weeks
SIMPLEX INFRASTRUCTURES LIMITED | Site Execution | KOLKATA | Jun 2019 | Jul 2019 | 2 Weeks</t>
  </si>
  <si>
    <t>p2270108</t>
  </si>
  <si>
    <t>MULCHAND</t>
  </si>
  <si>
    <t>GALA</t>
  </si>
  <si>
    <t>Harsh Mulchand Gala</t>
  </si>
  <si>
    <t>harsh24gala@gmail.com</t>
  </si>
  <si>
    <t>p2270108@student.nicmar.ac.in</t>
  </si>
  <si>
    <t>24-Apr-1999</t>
  </si>
  <si>
    <t>Photography,Playing Drums,Self developement,Spirituality,Formula 1,Football</t>
  </si>
  <si>
    <t>5256 5770 9851</t>
  </si>
  <si>
    <t>BHAKTI</t>
  </si>
  <si>
    <t>4,Plot No. 346, Sunderkunj Bld._x000D_
Opposite Govind Hospital,_x000D_
Kansai Section, Ambernath East</t>
  </si>
  <si>
    <t>RCTS P.M.M ROTARY SCHOOL</t>
  </si>
  <si>
    <t>NEW ENGLISH HIGH SCHOOL AND JR. COLLEGE</t>
  </si>
  <si>
    <t>S.P.B.PATEL ENGINEERIG COLLEGE</t>
  </si>
  <si>
    <t>AutoCAD,MS Office,MS Project,Primavera,ETABS,SKETCHUP,CANDY,Revit,Naviswork</t>
  </si>
  <si>
    <t>Afcons Infrastructure | Execution and Planning  | Chara Breakwater Site, Gujarat | May 2023 | Jul 2023 | 7 Weeks | Campus Internship
PARKLANDS | SITE ENGINEER | VAPI | Feb 2022 | Aug 2022 | 25 Weeks</t>
  </si>
  <si>
    <t>p2270109</t>
  </si>
  <si>
    <t>NEERAJ</t>
  </si>
  <si>
    <t>DEODHAR</t>
  </si>
  <si>
    <t>Neeraj Deodhar</t>
  </si>
  <si>
    <t>neerajdeodhar@gmail.com</t>
  </si>
  <si>
    <t>p2270109@student.nicmar.ac.in</t>
  </si>
  <si>
    <t>24-Nov-1999</t>
  </si>
  <si>
    <t>Playing Football,Playing Cricket,Playing Chess</t>
  </si>
  <si>
    <t>6976 6491 4926</t>
  </si>
  <si>
    <t>ARAVIND DEODHAR</t>
  </si>
  <si>
    <t>MADHAVI DEODHAR</t>
  </si>
  <si>
    <t>A1/503, Anand Garden, Opp. Vedant Villas, New Alkapuri, Gotri</t>
  </si>
  <si>
    <t>DELHI PUBLIC SCHOOL VADODARA</t>
  </si>
  <si>
    <t>CBSE VADODARA</t>
  </si>
  <si>
    <t>MIT ART DESIGN AND TECHNOLOGY UNIVERSITY</t>
  </si>
  <si>
    <t>MIT SCHOOL OF ENGINEERING PUNE</t>
  </si>
  <si>
    <t>Bangalore Metro Rail Corporation Limited | Summer Intern | Bangalore | May 2023 | Jul 2023 | 7 Weeks | Campus Internship
LARSEN AND TOUBRO ECC | INTERN | VADODARA | Feb 2022 | Apr 2022 | 12 Weeks</t>
  </si>
  <si>
    <t>p2270110</t>
  </si>
  <si>
    <t>Shivani Abhay Narale</t>
  </si>
  <si>
    <t>naraleshivani@gmail.com</t>
  </si>
  <si>
    <t>p2270110@student.nicmar.ac.in</t>
  </si>
  <si>
    <t>22-Jan-1998</t>
  </si>
  <si>
    <t>Painting/Sketching,Reading,Travelling</t>
  </si>
  <si>
    <t>4873 0879 4666</t>
  </si>
  <si>
    <t>ABHAY NARALE</t>
  </si>
  <si>
    <t>DIVISIONAL MANAGER, LIC</t>
  </si>
  <si>
    <t>MANJUSHA NARALE</t>
  </si>
  <si>
    <t>33, Central Excise Layout, Near Telecom Nagar, Pratap Nagar, PO- Khamla</t>
  </si>
  <si>
    <t>MAHARASHTRA STATE BOARD OF SECONDARY AND HIGHER SECONDARY EDUCATION, NAGPUR, MAHARASHTRA</t>
  </si>
  <si>
    <t>AutoCAD,MS Office,MS Project,Primavera,Drafting,3D Modelling and rendering,Revit,SketchUp,V-Ray,Photoshop</t>
  </si>
  <si>
    <t>RELIANCE INDUSTRIES LIMITED | SUMMER INTERN | Mumbai | May 2023 | Jul 2023 | 7 Weeks | Campus Internship
ADSYS ARCHITECTS | INTERN ARCHITECT  | NAGPUR | May 2020 | Aug 2020 | 17 Weeks
ADSYS ARCHITECTS | INTERN ARCHITECT  | NAGPUR | Jan 2020 | Apr 2020 | 17 Weeks</t>
  </si>
  <si>
    <t>p2270111</t>
  </si>
  <si>
    <t>SPRUHA</t>
  </si>
  <si>
    <t>KARMORE</t>
  </si>
  <si>
    <t>Spruha Sanjay Karmore</t>
  </si>
  <si>
    <t>spruhakarmore@gmail.com</t>
  </si>
  <si>
    <t>p2270111@student.nicmar.ac.in</t>
  </si>
  <si>
    <t>15-Sep-1997</t>
  </si>
  <si>
    <t>Travelling,Reading,Art,Baking,Journaling,Trekking</t>
  </si>
  <si>
    <t>7222 8913 4048</t>
  </si>
  <si>
    <t>SANJAY N. KARMORE</t>
  </si>
  <si>
    <t>MANISHA KARMORE</t>
  </si>
  <si>
    <t>THERAPIST</t>
  </si>
  <si>
    <t>3, Panchdeep Layout, Jaiprakash Nagar,Khamla</t>
  </si>
  <si>
    <t>MOUNT CARMEL GIRLS HIGH SCHOOL</t>
  </si>
  <si>
    <t>MAHARASHTRA STATE BOARD NAGPUR</t>
  </si>
  <si>
    <t>YASHODA HIGH SCHOOL</t>
  </si>
  <si>
    <t>SMT. MANORMABAI MUNDLE COLLEGE O ARCHITECTURE</t>
  </si>
  <si>
    <t>AutoCAD,MS Office,MS Project,Primavera,AutoCAD Revit,Sketchup,Vray</t>
  </si>
  <si>
    <t>Form &amp; Function | Architect | Nagpur | Aug 2021 | Jul 2022 | 0 Years, 11 Months, 30 Days | 1.8</t>
  </si>
  <si>
    <t>GSIDC | Site Execution | Goa | May 2023 | Jul 2023 | 7 Weeks | Campus Internship
KUBE N SQUARE | INTERN | NAGPUR | Jan 2020 | May 2020 | 21 Weeks
PRATHIBA DESIGNER | INTERN | NAGPUR | Jun 2020 | Aug 2020 | 13 Weeks</t>
  </si>
  <si>
    <t>p2270112</t>
  </si>
  <si>
    <t>UPPULA</t>
  </si>
  <si>
    <t>NISHANTH</t>
  </si>
  <si>
    <t>Uppula Nishanth</t>
  </si>
  <si>
    <t>nishanthuppula35@gmail.com</t>
  </si>
  <si>
    <t>p2270112@student.nicmar.ac.in</t>
  </si>
  <si>
    <t>24-Jan-2000</t>
  </si>
  <si>
    <t>Badminton,Travelling,Listening to Music,Gardening</t>
  </si>
  <si>
    <t>4486 6340 3032</t>
  </si>
  <si>
    <t>UPPULA RAVINDER</t>
  </si>
  <si>
    <t>UPPULA KAVITHA</t>
  </si>
  <si>
    <t>27-3-3 Near Vijaya Gardens Hasanparthy</t>
  </si>
  <si>
    <t>VIGNAN HIGH SCHOOL</t>
  </si>
  <si>
    <t>JAWAHARLAL NEHRU TECHNOLOGICAL UNIVERSITY, HYDERABAD</t>
  </si>
  <si>
    <t>SREENIDHI INSTITUTE OF SCIENCE AND TECHNOLOGY</t>
  </si>
  <si>
    <t>AutoCAD,MS Office,MS Project,Primavera,CANDY,Revit,Naviswork,Advanced Excel</t>
  </si>
  <si>
    <t>AR HOMES | Project Management | KOLLURU, HYDERABAD. | May 2023 | Jul 2023 | 7 Weeks | Campus Internship
TELANGANA STATE POLICE HOUSING CORPORATION | Site Execution | HANAMKONDA, TELANGANA | Jun 2019 | Jul 2019 | 2 Weeks</t>
  </si>
  <si>
    <t>p2270113</t>
  </si>
  <si>
    <t>SWAMINATH</t>
  </si>
  <si>
    <t>Swaminath S</t>
  </si>
  <si>
    <t>swaminathsridharantkm@gmail.com</t>
  </si>
  <si>
    <t>p2270113@student.nicmar.ac.in</t>
  </si>
  <si>
    <t>31-Dec-2000</t>
  </si>
  <si>
    <t>Reading Books,Swimming</t>
  </si>
  <si>
    <t>8903 3413 5665</t>
  </si>
  <si>
    <t>SRIDHARAN S</t>
  </si>
  <si>
    <t>NEELA S</t>
  </si>
  <si>
    <t>NO 100, BIG STREET, THIRUKKALUKUNDRAM</t>
  </si>
  <si>
    <t>BLESSINGS MATRIC HR SEC SCHOOL</t>
  </si>
  <si>
    <t>STATE BOARD OF TAMIL NADU CHENGALPATTU/TAMIL NADU</t>
  </si>
  <si>
    <t>SRM INSTITUTE OF SCIENCE AND TECHNOLOGY CHENGALPATTU/TAMIL NADU</t>
  </si>
  <si>
    <t>AutoCAD,MS Project,Primavera,Candy,MS Excel</t>
  </si>
  <si>
    <t>Prestige Estates Pvt Ltd | Site Execution+ Control | Chennai | May 2023 | Jul 2023 | 7 Weeks | Campus Internship</t>
  </si>
  <si>
    <t>p2270114</t>
  </si>
  <si>
    <t>Riya Sanjay Singh</t>
  </si>
  <si>
    <t>riyasingh26101998@gmail.com</t>
  </si>
  <si>
    <t>p2270114@student.nicmar.ac.in</t>
  </si>
  <si>
    <t>26-Oct-1998</t>
  </si>
  <si>
    <t>Sketching,Painting,Listening to old songs</t>
  </si>
  <si>
    <t>9096 4842 8374</t>
  </si>
  <si>
    <t>VANDANA SINGH</t>
  </si>
  <si>
    <t>409/c Rachana Sayntara, Hazari Pahad Near Vayusena Nagar, Nagpur</t>
  </si>
  <si>
    <t>BHAVAN'S ASHTI,NAGPUR</t>
  </si>
  <si>
    <t>CBSE, NAGPUR</t>
  </si>
  <si>
    <t>NAGPUR UNIVERSITY</t>
  </si>
  <si>
    <t>SMT. MANORAMABAI MUNDLE COLLEGE OF ARCHITECTURE,NAGPUR , MAHARASHTRA</t>
  </si>
  <si>
    <t>AutoCAD,MS Project,Primavera,Lumion,Sketchup,Revit,Photoshop</t>
  </si>
  <si>
    <t>ANJ Turnkey Projects | Project management intern | pune | May 2023 | Jul 2023 | 7 Weeks | Campus Internship
RITU ARCHITECTS AND ASSOCIATES | Intern, planning &amp; design | NAGPUR | Jul 2020 | Aug 2020 | 8 Weeks
CUBIX ARCHITECTS ASSOCIATES | Intern, planning &amp; design | PUNE | Jan 2020 | Mar 2020 | 10 Weeks</t>
  </si>
  <si>
    <t>p2270115</t>
  </si>
  <si>
    <t>Amar Gautam</t>
  </si>
  <si>
    <t>amargautam07@outlook.com</t>
  </si>
  <si>
    <t>p2270115@student.nicmar.ac.in</t>
  </si>
  <si>
    <t>07-May-1996</t>
  </si>
  <si>
    <t>Playing Basketball &amp; Cricket,Solving Rubik&amp;#39;s  Cube,Listening music</t>
  </si>
  <si>
    <t>9036 2393 7211</t>
  </si>
  <si>
    <t>YOGENDRA PRASAD GAUTAM</t>
  </si>
  <si>
    <t>MEENA GAUTAM</t>
  </si>
  <si>
    <t>2A/503-504, KRISHNA VIHAR, BSA ENGINEERING COLLEGE ROAD, MATHURA</t>
  </si>
  <si>
    <t>RAMANLAL SHORAWALA PUBLIC SCHOOL</t>
  </si>
  <si>
    <t>CBSE, MATHURA, UTTAR PRADESH</t>
  </si>
  <si>
    <t>B.S.A. COLLEGE OF ENGINEERING &amp; TECHNOLOGY</t>
  </si>
  <si>
    <t>A S Builder | Site Execution | Delhi | Aug 2017 | Sep 2018 | 1 Years, 0 Months, 29 Days | 1.8</t>
  </si>
  <si>
    <t>Godrej Properties | Operation Intern | Pune, Maharashtra  | May 2023 | Jul 2023 | 7 Weeks | Campus Internship
DELHI URBAN SHELTER IMPROVEMENT BOARD | Intern  | DELHI | Jun 2016 | Aug 2016 | 6 Weeks
Majorel India Private Limited | Executive Customer Service | New Delhi | Jun 2022 | Aug 2022 | 9 Weeks</t>
  </si>
  <si>
    <t>p2270116</t>
  </si>
  <si>
    <t>SINGH SHIVANSHU</t>
  </si>
  <si>
    <t>NAND KUMAR</t>
  </si>
  <si>
    <t>Singh Shivanshu Nand Kumar Singh</t>
  </si>
  <si>
    <t>anshsingh013@gmail.com</t>
  </si>
  <si>
    <t>p2270116@student.nicmar.ac.in</t>
  </si>
  <si>
    <t>ENGLISH, HINDI, MARATHI, BHOJPURI.</t>
  </si>
  <si>
    <t>Sports,Music,Travelling,Poetry</t>
  </si>
  <si>
    <t>9602 6819 3400</t>
  </si>
  <si>
    <t>NAND KUMAR SINGH</t>
  </si>
  <si>
    <t>SANKALP HOUSING SOCIETY, PLOT NO B-3, ROOM NO 5, SECTOR 6, NEW PANVEL.</t>
  </si>
  <si>
    <t>STERLING SCHOOL</t>
  </si>
  <si>
    <t>PILLAI HOC POLYTECHNIC, RASAYANI MAHARASHTRA</t>
  </si>
  <si>
    <t>CHHATRAPATI SHIVAJI MAHARAJ INSTITUTE OF TECHNOLOGY, PANVEL MAHARASHTRA</t>
  </si>
  <si>
    <t>J Kumar Infraprojects Ltd. | Junior Engineer - Civil | Mumbai | Dec 2020 | Jul 2022 | 1 Years, 7 Months, 14 Days | 3</t>
  </si>
  <si>
    <t>Phenix Construction Technologies | Project Management | Ahmedabad | May 2023 | Jul 2023 | 7 Weeks | Campus Internship</t>
  </si>
  <si>
    <t>p2270117</t>
  </si>
  <si>
    <t>WAGARE</t>
  </si>
  <si>
    <t>Anuj Avinash Wagare</t>
  </si>
  <si>
    <t>anujwagare2000@gmail.com</t>
  </si>
  <si>
    <t>p2270117@student.nicmar.ac.in</t>
  </si>
  <si>
    <t>21-Jul-2000</t>
  </si>
  <si>
    <t>Gymming,Swimming,Reading,Sports,Music,Spirituality,Traveling</t>
  </si>
  <si>
    <t>5603 0494 9480</t>
  </si>
  <si>
    <t>AVINASH PANDURANG WAGARE</t>
  </si>
  <si>
    <t>ASHWINI AVINASH WAGARE</t>
  </si>
  <si>
    <t>PLOT NO.1, DATTA COLONY, MOHITE MALA, DEVKAR PANAND, KOLHAPUR.</t>
  </si>
  <si>
    <t>AMBOLI PUBLIC SCHOOL, AMBOLI.</t>
  </si>
  <si>
    <t>DR. D.Y.PATIL PRATISHTHAN'S COLLEGE OF ENGINEERING, KOLHAPUR.</t>
  </si>
  <si>
    <t>Shapoorji Pallonji Engineering Construction | Summer Intern  | Bihar. | May 2023 | Jul 2023 | 8 Weeks | Campus Internship
SHRIVASTU BUILDERS AND DEVELOPERS | SITE SUPERVISOR-TRAINEE | KOLHAPUR | Aug 2021 | Oct 2021 | 7 Weeks</t>
  </si>
  <si>
    <t>p2270118</t>
  </si>
  <si>
    <t>KAMLESHKUMAR</t>
  </si>
  <si>
    <t>SOLANKY</t>
  </si>
  <si>
    <t>Ashutosh Kamleshkumar Solanky</t>
  </si>
  <si>
    <t>ashutoshsolanky05@gmail.com</t>
  </si>
  <si>
    <t>p2270118@student.nicmar.ac.in</t>
  </si>
  <si>
    <t>Basketball,Fitness,Travelling,Swimming,Trekking</t>
  </si>
  <si>
    <t>9700 2472 6076</t>
  </si>
  <si>
    <t>KAMLESHKUMAR DAHYABHAI SOLANKY</t>
  </si>
  <si>
    <t>MANISHABEN KAMLESHKUMAR SOLANKY</t>
  </si>
  <si>
    <t>PLOT NO 68, SAI VILA, SHANTINAGAR SOC. TITHAL ROAD, VALSAD</t>
  </si>
  <si>
    <t>ST. JOSEPH'S ENGLISH TEACHING HIGH SCHOOL, VALSAD</t>
  </si>
  <si>
    <t>G. H. PATEL COLLEGE OF ENGINEERING &amp; TECHNOLOGY, V V NAGAR</t>
  </si>
  <si>
    <t>Kolte Patil Integrated Township Ltd | Summer intern | Pune | May 2023 | Jul 2023 | 7 Weeks | Campus Internship
PRIME ENTERPRISE | SITE ENGINEER | VAGCHIPPA, VALSAD | Aug 2021 | Jan 2022 | 26 Weeks</t>
  </si>
  <si>
    <t>p2270119</t>
  </si>
  <si>
    <t>HRUSHIKESH</t>
  </si>
  <si>
    <t>DATTATRAY</t>
  </si>
  <si>
    <t>Hrushikesh Dattatray Deshmukh</t>
  </si>
  <si>
    <t>dattatrayhrushikesh19@gmail.com</t>
  </si>
  <si>
    <t>p2270119@student.nicmar.ac.in</t>
  </si>
  <si>
    <t>19-Jan-2001</t>
  </si>
  <si>
    <t>Cricket,cycling,badminton</t>
  </si>
  <si>
    <t>8345 1824 8468</t>
  </si>
  <si>
    <t>DATTATRAY BHALCHANDRA DESHMUKH</t>
  </si>
  <si>
    <t>JAYSHREE DATTATRAY DESHMUKH</t>
  </si>
  <si>
    <t>Sr.no 17/3/1 SHIV COLONY ,WAKAD ROAD GANESH NAGAR THERGAON PUNE-33</t>
  </si>
  <si>
    <t>CENTRAL BOARD OF SECONDARY EDUCATION ,PUNE-MAHARASHTRA</t>
  </si>
  <si>
    <t>MARATHWADA MITRA MANDAL'S JUNIOR COLLEGE OF COMMERCE AND SCIENCE</t>
  </si>
  <si>
    <t>JSPM RAJARSHI SHAHU COLLEGE OF ENGINEERING,TATHAWADE PUNE-MAHARASHTRA</t>
  </si>
  <si>
    <t>AutoCAD,MS Office,MS Project,Primavera,CANDY,BIM</t>
  </si>
  <si>
    <t>L and T  Realty | Execution | Mumbai | May 2023 | Jul 2023 | 7 Weeks | Campus Internship
MAHARASHTRA METRO RAIL CORPORATION LIMITED | INTERN | PUNE | Mar 2022 | Apr 2022 | 4 Weeks</t>
  </si>
  <si>
    <t>p2270120</t>
  </si>
  <si>
    <t>Koushik R</t>
  </si>
  <si>
    <t>ragupathikoushik@gmail.com</t>
  </si>
  <si>
    <t>p2270120@student.nicmar.ac.in</t>
  </si>
  <si>
    <t>25-Jun-1998</t>
  </si>
  <si>
    <t>English, Tamil, Telugu, Hindi</t>
  </si>
  <si>
    <t>Motorsports,Cooking,Cricket</t>
  </si>
  <si>
    <t>8325 5520 9188</t>
  </si>
  <si>
    <t>RAGUPATHI G</t>
  </si>
  <si>
    <t>SUMITHRA R</t>
  </si>
  <si>
    <t>#31, Micheal Garden, Ramapuram</t>
  </si>
  <si>
    <t>4/6, 1ST CROSS STREET, RAYALA NAGAR, RAMAPURAM</t>
  </si>
  <si>
    <t>ST. JOHN'S MATRICULATION HIGHER SECONDARY SCHOOL</t>
  </si>
  <si>
    <t>TAMIL NADU STATE BOARD, CHENNAI, TAMIL NADU</t>
  </si>
  <si>
    <t>AV MEIYAPPAN MATRICULATION HIGHER SECONDARY SCHOOL</t>
  </si>
  <si>
    <t>RAJALAKSHMI ENGINEERING COLLEGE, CHENNAI, TAMIL NADU</t>
  </si>
  <si>
    <t>BSCPL Infrastructure Limited | Graduate Engineer Trainee - QA/QC | Chennai | Oct 2019 | Oct 2021 | 2 Years, 0 Months, 12 Days | 1.76
URC Construction Ltd | Assistant Engineer - QA/QC | Bengaluru | Oct 2021 | Jun 2022 | 0 Years, 7 Months, 24 Days | 2.64</t>
  </si>
  <si>
    <t>CHENNAI METRO RAIL LIMITED | SUMMER INTERN | CHENNAI | May 2023 | Jul 2023 | 7 Weeks | Campus Internship
STRUCTURAL PRESERVATION ENGINEERS AND CONSULTANTS | INTERN | CHENNAI | Jun 2017 | Jun 2017 | 1 Weeks
IL AND FS TRANSPORTATION NETWORKS LIMITED | INTERN | CHENNAI | May 2018 | May 2018 | 2 Weeks</t>
  </si>
  <si>
    <t>p2270121</t>
  </si>
  <si>
    <t>SHRIVASTAVA</t>
  </si>
  <si>
    <t>Yash Shrivastava</t>
  </si>
  <si>
    <t>shrivastavayash24@gmail.com</t>
  </si>
  <si>
    <t>p2270121@student.nicmar.ac.in</t>
  </si>
  <si>
    <t>24-May-1996</t>
  </si>
  <si>
    <t>Dance,Chess</t>
  </si>
  <si>
    <t>7262 3047 7144</t>
  </si>
  <si>
    <t>NAVEEN SHIVASTAVA</t>
  </si>
  <si>
    <t>PADMA SHRIVASTAVA</t>
  </si>
  <si>
    <t>1442/1 BESIDE SARASWATI SCHOOL GANGA NAGAR GARHA</t>
  </si>
  <si>
    <t>CENTRAL BOARD OF SECONDARY EDUCATION ,SEONI MADHYA PRADESH.</t>
  </si>
  <si>
    <t>SRI ADARSH H.S.SCHOOL</t>
  </si>
  <si>
    <t>GYAN GANGA INSTITUTE OF TECHNOLOGY &amp; SCIENCES JABALPUR MADHYA PRADESH.</t>
  </si>
  <si>
    <t>Vaishnav Associate | Civil Engineer | Jabalpur | Dec 2018 | Sep 2020 | 1 Years, 9 Months, 6 Days | 3.12</t>
  </si>
  <si>
    <t>Engineering Project Management Consultancy and Research Pvt Ltd | Project Management | Chennai | May 2023 | Jul 2023 | 7 Weeks | Campus Internship</t>
  </si>
  <si>
    <t>p2270122</t>
  </si>
  <si>
    <t>YASHWANT</t>
  </si>
  <si>
    <t>Shubham Yashwant Patil</t>
  </si>
  <si>
    <t>shubhampatil8222@gmail.com</t>
  </si>
  <si>
    <t>p2270122@student.nicmar.ac.in</t>
  </si>
  <si>
    <t>29-Aug-1997</t>
  </si>
  <si>
    <t>Running,Skating,Swimming,Self development,Spirituality,Formula 1</t>
  </si>
  <si>
    <t>8682 1367 7987</t>
  </si>
  <si>
    <t>A3/703, Mohan Park, Khadakpada, Godrej Hill, Kalyan(W), Mumbai</t>
  </si>
  <si>
    <t>SRI VANI VIDYA SHALA HIGH SCHOOL</t>
  </si>
  <si>
    <t>K.M. AGRAWAL COLLEGE</t>
  </si>
  <si>
    <t>SHIVAJIRAO S. JONDHLE COLLEGE OF ENGINEERING AND TECHNOLOGY</t>
  </si>
  <si>
    <t>AutoCAD,MS Office,MS Project,Primavera,Revit,Navisworks,BEXEL Manager</t>
  </si>
  <si>
    <t>SNB INFRASTRUCTURE PVT LTD | BILLING AND PROCUREMNET  | Mumbai | Mar 2021 | Jan 2022 | 0 Years, 10 Months, 6 Days | 2.28
Associated Builders | Execution  | Mumbai | Jan 2020 | Feb 2021 | 1 Years, 1 Months, 27 Days | 1.8</t>
  </si>
  <si>
    <t>PACIFICA  COMPANIES | Central Planning &amp; Projects | Ahmedabad  | May 2023 | Jul 2023 | 7 Weeks | Campus Internship</t>
  </si>
  <si>
    <t>p2270123</t>
  </si>
  <si>
    <t>KISHORE</t>
  </si>
  <si>
    <t>E</t>
  </si>
  <si>
    <t>Kishore E</t>
  </si>
  <si>
    <t>elakismee@gmail.com</t>
  </si>
  <si>
    <t>p2270123@student.nicmar.ac.in</t>
  </si>
  <si>
    <t>03-Nov-1997</t>
  </si>
  <si>
    <t>Playing chess,Listening songs,Swimming</t>
  </si>
  <si>
    <t>3540 5057 7207</t>
  </si>
  <si>
    <t>ELAMURUGAN</t>
  </si>
  <si>
    <t>SENIOR MANAGER IN JIO</t>
  </si>
  <si>
    <t>MEENAMBIGAI</t>
  </si>
  <si>
    <t>TN GOVERNMENT SECONDARY GRADE TEACHER</t>
  </si>
  <si>
    <t>45A/129 THROWPATHI AMMAN KOIL STREET, THIRUPAPULIYUR, CUDDALORE</t>
  </si>
  <si>
    <t>25/1 BALEWADI ROAD, RAM NAGAR, BANER, PUNE</t>
  </si>
  <si>
    <t>A R L M MATRIC HR SEC SCHOOL</t>
  </si>
  <si>
    <t>A R L M  MATRIC HR SEC SCHOOL</t>
  </si>
  <si>
    <t>SRI VENKATESWARA COLLEGE OF ENGINEERING TAMIL NADU</t>
  </si>
  <si>
    <t>AutoCAD,MS Office,MS Project,Primavera,Candy,Revit,Navisworks,Staad pro</t>
  </si>
  <si>
    <t>Tagros Chemicals India Private Limited | Site Engineer | Cuddalore | May 2020 | May 2021 | 1 Years, 0 Months, 4 Days | 1.32
G.R.M Constructions | Site supervisor | Cuddalore and Puducherry | Jun 2021 | Jun 2022 | 1 Years, 0 Months, 19 Days | 1.8</t>
  </si>
  <si>
    <t>PACIFICA  COMPANIES | Projects department | Chennai | May 2023 | Jul 2023 | 7 Weeks | Campus Internship
LARSEN AND TOUBRO | INTERN | EMAMI TEJOMAYA PROJECT, EGATTUR, CHENNAI | Jun 2018 | Jun 2018 | 4 Weeks</t>
  </si>
  <si>
    <t>p2270124</t>
  </si>
  <si>
    <t>TUKARAM</t>
  </si>
  <si>
    <t>Dipak Tukaram Patil</t>
  </si>
  <si>
    <t>patildipaktukaram@gmail.com</t>
  </si>
  <si>
    <t>p2270124@student.nicmar.ac.in</t>
  </si>
  <si>
    <t>09-Aug-1996</t>
  </si>
  <si>
    <t>8356 9977 3190</t>
  </si>
  <si>
    <t>TUKARAM TATYASO PATIL</t>
  </si>
  <si>
    <t>RETIRED ARMY OFFICER</t>
  </si>
  <si>
    <t>ASHA TUKARAM PATIL</t>
  </si>
  <si>
    <t>House No. 1624, Mauli, Dattacolony No.1, Dattamal, Manerajuri Road, Infront Of Sainik School, A/P- Tasgaon</t>
  </si>
  <si>
    <t>GURUVARYA DADOJI KONDDEV SAINIK SHALA, TASGAON</t>
  </si>
  <si>
    <t>KARMVEER BHAURAO PATIL COLLEGE, ISLAMPUR</t>
  </si>
  <si>
    <t>RAJARAMBAPU INSTITUTE OF TECHNOLOGY, RAJARAMNAGAR</t>
  </si>
  <si>
    <t>AutoCAD,MS Office,MS Project,Primavera,STAAD PRO,ETABS,Revit,Navisworks</t>
  </si>
  <si>
    <t>IRA SUSTAINABLE WATER SOLUTIONS | PLANNING ENGINEER INTERN  | PUNE | May 2023 | Jul 2023 | 7 Weeks | Campus Internship</t>
  </si>
  <si>
    <t>p2270125</t>
  </si>
  <si>
    <t>KAPIL</t>
  </si>
  <si>
    <t>ANANDRAO</t>
  </si>
  <si>
    <t>Kapil Anandrao Paul</t>
  </si>
  <si>
    <t>kapilpaul22@gmail.com</t>
  </si>
  <si>
    <t>p2270125@student.nicmar.ac.in</t>
  </si>
  <si>
    <t>14-Aug-1999</t>
  </si>
  <si>
    <t>3770 7142 3672</t>
  </si>
  <si>
    <t>Shankar Nagar Near Gajanan Temple, Pusad, Dist. Yavatmal 445204</t>
  </si>
  <si>
    <t>NICMAR UNIVERSITY BALEWADI, PUNE</t>
  </si>
  <si>
    <t>SHRI SHIVAJI HIGH SCHOOL PUSAD, DIST. YAVATMAL</t>
  </si>
  <si>
    <t>MAHARASHTRA STATE BOARD OF SECONDARY EDUCATION, PUNE, MAHARASHTRA</t>
  </si>
  <si>
    <t>DR. N P HIRANI INSTITUTE OF POLYTECHNIC, PUSAD DIST. YAVATMAL MAHARASHTRA</t>
  </si>
  <si>
    <t>DR. D Y PATIL COLLEGE OF ENGINEERING AND INNOVATION, PUNE, MAHARASHTRA</t>
  </si>
  <si>
    <t>AutoCAD,MS Office,MS Project,Primavera,Candy,Revit,Navisworks,Bexel</t>
  </si>
  <si>
    <t>Intento Associates | Planning | Mumbai | May 2023 | Jul 2023 | 7 Weeks | Campus Internship</t>
  </si>
  <si>
    <t>p2270126</t>
  </si>
  <si>
    <t>ABDUL RAZAK</t>
  </si>
  <si>
    <t>SAIDAHEMAD</t>
  </si>
  <si>
    <t>ZAZWALA</t>
  </si>
  <si>
    <t>Abdul Razak Saidahemad Zazwala</t>
  </si>
  <si>
    <t>abdulrazakzazwala@gmail.com</t>
  </si>
  <si>
    <t>p2270126@student.nicmar.ac.in</t>
  </si>
  <si>
    <t>21-Dec-1998</t>
  </si>
  <si>
    <t>Travelling/Trekking,Kabaddi</t>
  </si>
  <si>
    <t>8044 9370 4078</t>
  </si>
  <si>
    <t>SAIDAHEMAD ABDULRASUL ZAZWALA</t>
  </si>
  <si>
    <t>NASIMBANU SAIDAHEMAD ZAZWALA</t>
  </si>
  <si>
    <t>2645, Near Nagina Masjid, Vahorwad, Prantij</t>
  </si>
  <si>
    <t>Sabarkantha</t>
  </si>
  <si>
    <t>SAINT JOSEPH'S HIGH SCHOOL, KHANUSA</t>
  </si>
  <si>
    <t>A. D. PATEL INSTITUTE OF TECHNOLOGY, KARAMSAD</t>
  </si>
  <si>
    <t>AutoCAD,MS Office,MS Project,SKETCHUP,REVIT,CANDY</t>
  </si>
  <si>
    <t>ASHWIN SHETH GROUP | SUMMER INTERN | MUMBAI | May 2023 | Jul 2023 | 7 Weeks | Campus Internship
ARCHIETHOS | Assistant Site Engineer And Quality Controller | PRANTIJ, AHMEDABAD, HIMATNAGAR | Aug 2020 | Aug 2021 | 54 Weeks
Adani Dahanu Thermal Power Station (ADTPS) | Intern | Dahanu | Aug 2019 | Aug 2020 | 53 Weeks</t>
  </si>
  <si>
    <t>p2270127</t>
  </si>
  <si>
    <t>Ninad Joshi</t>
  </si>
  <si>
    <t>ninadpj1409@gmail.com</t>
  </si>
  <si>
    <t>p2270127@student.nicmar.ac.in</t>
  </si>
  <si>
    <t>Badminton,Stock Markets,Automotive Enthusiast,Travelling,Reading books</t>
  </si>
  <si>
    <t>8306 9743 9827</t>
  </si>
  <si>
    <t>PRASAD GOVIND JOSHI</t>
  </si>
  <si>
    <t>CENTRAL GOVERNMENT JOB</t>
  </si>
  <si>
    <t>MAANSI PRASAD JOSHI</t>
  </si>
  <si>
    <t>Flat No 403, Kalyani Apartment, Near Tirupati Bazar, Vijaynagar, Hubballi, 580032</t>
  </si>
  <si>
    <t>LIONS ENGLISH MEDIUM SCHOOL</t>
  </si>
  <si>
    <t>KARNATAKA SECONDARY EDUCATION EXAMINATION BOARD, HUBBALLI,KARNATAKA</t>
  </si>
  <si>
    <t>CHINMAYA INDP PU COLLEGE</t>
  </si>
  <si>
    <t>AutoCAD,MS Office,MS Project,Primavera,QGIS,GRASS GIS,STAAD PRO,REVIT</t>
  </si>
  <si>
    <t>CSDirekt Event and Exhibition Pvt.Ltd | Project Coordination | Amritsar | May 2023 | Jul 2023 | 7 Weeks | Campus Internship
GALAGALI ASSOCIATES | PROJECT INTERN | DHARWAD | Sep 2021 | Oct 2021 | 4 Weeks
B G SHIRKE CONSTUCTION TECHNOLOGY PVT LTD | SITE ENGINEER | DHARWAD | Aug 2021 | Sep 2021 | 4 Weeks</t>
  </si>
  <si>
    <t>p2270129</t>
  </si>
  <si>
    <t>Karthik Nair</t>
  </si>
  <si>
    <t>nairkarthik.365@gmail.com</t>
  </si>
  <si>
    <t>p2270129@student.nicmar.ac.in</t>
  </si>
  <si>
    <t>21-Sep-1997</t>
  </si>
  <si>
    <t>Reading,Photography,Painting,Travelling</t>
  </si>
  <si>
    <t>7422 6437 2079</t>
  </si>
  <si>
    <t>GIRISH S MENON</t>
  </si>
  <si>
    <t>9D, Skyline Riverscape Apartments, Thottumugham P.O., Aluva</t>
  </si>
  <si>
    <t>RAJAGIRI PUBLIC SCHOOL</t>
  </si>
  <si>
    <t>CBSE, ERNAKULAM, KERALA</t>
  </si>
  <si>
    <t>KERALA UNIVERSITY</t>
  </si>
  <si>
    <t>COLLEGE OF ARCHITECTURE TRIVANDRUM, TRIVANDRUM,KERALA</t>
  </si>
  <si>
    <t>AutoCAD,MS Office,MS Project,Primavera,AUTODESK REVIT,SKETCHUP,RHINO,GRASSHOPPER,ADOBE PHOTOSHOP,ADOBE ILLUSTRATOR,LUMION,VRAY</t>
  </si>
  <si>
    <t>Seedtree Collaborative Pvt Ltd | Business Development Intern | Surat, Gujarat | May 2023 | Jul 2023 | 7 Weeks | Campus Internship
KOCHUTHOMMEN ASSOCIATES | INTERN ARCHITECT | ERNAKULAM, KERALA, INDIA | Jul 2020 | Aug 2020 | 4 Weeks
NVIRONMENTAL PLANNING ARCHITECTURE AND INTERIOR DESIGNING SERVICES | INTERN ARCHITECT | ERNAKULAM, KERALA, INDIA | Feb 2020 | Jun 2020 | 19 Weeks
QATAR DESIGN CONSORTIUM | INTERN ARCHITECT | DOHA, QATAR | Jul 2018 | Nov 2018 | 20 Weeks</t>
  </si>
  <si>
    <t>p2270130</t>
  </si>
  <si>
    <t>ARUL</t>
  </si>
  <si>
    <t>MURUGAN</t>
  </si>
  <si>
    <t>Arul Murugan S</t>
  </si>
  <si>
    <t>arul09murugan@gmail.com</t>
  </si>
  <si>
    <t>p2270130@student.nicmar.ac.in</t>
  </si>
  <si>
    <t>30-Sep-2000</t>
  </si>
  <si>
    <t>Photography,Cycling,Swimming</t>
  </si>
  <si>
    <t>2901 8787 2408</t>
  </si>
  <si>
    <t>LATE SUBRAMANI S</t>
  </si>
  <si>
    <t>DEVI S</t>
  </si>
  <si>
    <t>5/29,Minnalgarar Thottam,Gandhipuram,Ammampalayam(po),Attur,Salem</t>
  </si>
  <si>
    <t>ROOM NO:629 SILVER JUBILEE BOYS HOSTEL,NICMAR,25/1BALEWADI ROAD,PUNE.</t>
  </si>
  <si>
    <t>JAYAM MATRIC HIGHER SECONDARY SCHOOL SAMIYARKINARU SALEM</t>
  </si>
  <si>
    <t>STATE BOARD ,SALEM/TAMIL NADU</t>
  </si>
  <si>
    <t>ALAGAPPA CHETTIAR GOVERNMENT COLLEGE OF ENGINEERING AND TECHNOLOGY</t>
  </si>
  <si>
    <t>AutoCAD,MS Office,MS Project,Primavera,Revit Architecture,Candy,STAAD Pro,Navisworks Manage</t>
  </si>
  <si>
    <t>BANGALORE METRO RAIL CORPORATION LIMITED | EXECUTION AND PLANNING | BANGALORE  | May 2023 | Jul 2023 | 7 Weeks | Campus Internship</t>
  </si>
  <si>
    <t>p2270131</t>
  </si>
  <si>
    <t>PACHPANDE</t>
  </si>
  <si>
    <t>Harshal Pachpande</t>
  </si>
  <si>
    <t>hp29283@gmail.com</t>
  </si>
  <si>
    <t>p2270131@student.nicmar.ac.in</t>
  </si>
  <si>
    <t>21-Jun-1998</t>
  </si>
  <si>
    <t>ENGLISH,HINDI &amp; MARATHI</t>
  </si>
  <si>
    <t>8390 8174 9229</t>
  </si>
  <si>
    <t>KRISHNA PACHPANDE</t>
  </si>
  <si>
    <t>KIRAN PACHPANDE</t>
  </si>
  <si>
    <t>FLAT - 505 SVARNA RESIDENCY,INDORE</t>
  </si>
  <si>
    <t>Agar Malwa</t>
  </si>
  <si>
    <t>SOUTH INDIAN CULTURAL ASSOCIATION</t>
  </si>
  <si>
    <t>INDORE</t>
  </si>
  <si>
    <t>MOTHER LAND HIGHER SECONDARY SCHOOL</t>
  </si>
  <si>
    <t>AutoCAD,MS Office,MS Project,Primavera,STADD PRO,REVIT,CANDY</t>
  </si>
  <si>
    <t>VSL India Pvt Ltd | Project Planning  | Sultanganj &amp; Hajipur Bihar | May 2023 | Jul 2023 | 7 Weeks | Campus Internship
PUBLIC WORKS DEPARTMENT | CIVIL ENGINEER | INDORE | Jun 2019 | Jun 2019 | 2 Weeks</t>
  </si>
  <si>
    <t>p2270132</t>
  </si>
  <si>
    <t>DHAKETA</t>
  </si>
  <si>
    <t>Aditi Dhaketa</t>
  </si>
  <si>
    <t>adidhaketa04@gmail.com</t>
  </si>
  <si>
    <t>p2270132@student.nicmar.ac.in</t>
  </si>
  <si>
    <t>04-Jun-1996</t>
  </si>
  <si>
    <t>Pottery,Art and Drawing,Hand lettering,Photography</t>
  </si>
  <si>
    <t>8990 8925 7255</t>
  </si>
  <si>
    <t>ANOOP DHAKETA</t>
  </si>
  <si>
    <t>RETD EIVIL ENGINEER</t>
  </si>
  <si>
    <t>ASHA DHAKETA</t>
  </si>
  <si>
    <t>6, NARMADA NAGAR, ANNAPURNA MAIN ROAD</t>
  </si>
  <si>
    <t>QUEENS' COLLEGE</t>
  </si>
  <si>
    <t>SDPS WOMEN'S COLLEGE, INDORE (M.P.)</t>
  </si>
  <si>
    <t>AutoCAD,MS Office,MS Project,Primavera,SketchUp,Revit,Lumion,Photoshop</t>
  </si>
  <si>
    <t>MEHTA &amp; ASSOCIATES | Junior Architect | INDORE | May 2021 | Jun 2022 | 1 Years, 1 Months, 29 Days | 1.2</t>
  </si>
  <si>
    <t>Piramal Realty Pvt Ltd | Summer Intern | Mumbai | May 2023 | Jul 2023 | 7 Weeks | Campus Internship
VIMA THE DIMENSION | Intern Architect | INDORE (M.P.) | Jul 2018 | Feb 2019 | 33 Weeks</t>
  </si>
  <si>
    <t>p2270133</t>
  </si>
  <si>
    <t>NIXON</t>
  </si>
  <si>
    <t>Nixon Nirmal D</t>
  </si>
  <si>
    <t>nixonnirmald@gmail.com</t>
  </si>
  <si>
    <t>p2270133@student.nicmar.ac.in</t>
  </si>
  <si>
    <t>01-Jun-1995</t>
  </si>
  <si>
    <t>English, Tamil, Kannada, Hindi</t>
  </si>
  <si>
    <t>Photography,Editing,Cycling</t>
  </si>
  <si>
    <t>4948 8465 8687</t>
  </si>
  <si>
    <t>DAVID R</t>
  </si>
  <si>
    <t>DEPUTY GENERAL MANAGER</t>
  </si>
  <si>
    <t>SARADHA V</t>
  </si>
  <si>
    <t>2/664-A1, Chamundi Nagar, Basthi, Hosur</t>
  </si>
  <si>
    <t>MAHARISHI VIDYA MANDIR, HOSUR</t>
  </si>
  <si>
    <t>CBSE, HOSUR-TAMILNADU</t>
  </si>
  <si>
    <t>SRI VIJAY VIDYALAYA M HIGHER SECONDARY SCHOOL, HOSUR</t>
  </si>
  <si>
    <t>THIAGARAJAR COLLEGE OF ENGINEERING, MADURAI</t>
  </si>
  <si>
    <t>AutoCAD,MS Office,MS Project,Primavera,CSS CANDY,Revit Architecture,Navisworks</t>
  </si>
  <si>
    <t>Quadra Architects Pvt Ltd | Design and Project coordination  | Chennai | Nov 2018 | Jun 2022 | 3 Years, 7 Months, 17 Days | 2.4</t>
  </si>
  <si>
    <t>ADRIANSE GLOBAL | PROJECT INTERN | BANGALORE | May 2023 | Jul 2023 | 7 Weeks | Campus Internship
FUTURE RESEARCH DESIGN COMPANY | DESIGN INTERN  | BANGALORE | Dec 2016 | Apr 2017 | 19 Weeks
ONEBYN ARCHITECTS | ARCHITECTURAL INTERN  | CHENNAI | Jun 2016 | Oct 2016 | 16 Weeks</t>
  </si>
  <si>
    <t>p2270134</t>
  </si>
  <si>
    <t>SHOAIB AHMED</t>
  </si>
  <si>
    <t>YASIN</t>
  </si>
  <si>
    <t>HAWALDAR</t>
  </si>
  <si>
    <t>Shoaib Ahmed Yasin Hawaldar</t>
  </si>
  <si>
    <t>shoaibhawaldar03@gmail.com</t>
  </si>
  <si>
    <t>p2270134@student.nicmar.ac.in</t>
  </si>
  <si>
    <t>Working Out,Swimming,Driving,Passionate about cars and bikes,Tech Enthusiast</t>
  </si>
  <si>
    <t>7684 6429 0802</t>
  </si>
  <si>
    <t>YASIN HAWALDAR</t>
  </si>
  <si>
    <t>SHAHIN HAWALDAR</t>
  </si>
  <si>
    <t>'AASHIYANA',SRNO.26 ,GULMOHAR COLONY ,VISHAL NAGAR, PIMPLE NILAKH, PUNE_x000D_</t>
  </si>
  <si>
    <t>D A V PUBLIC SCHOOL, PUNE</t>
  </si>
  <si>
    <t>CENTRAL BOARD OF SECONDARY EDUCATION , PUNE/MAHARASHTRA</t>
  </si>
  <si>
    <t>S N B P JUNIOR COLLEGE ,RAHATNI, PUNE</t>
  </si>
  <si>
    <t>PIMPRI CHINCHWAD COLLEGE OF ENGINEERING ,PUNE/MAHARASHTRA</t>
  </si>
  <si>
    <t>AutoCAD,MS Office,MS Project,Primavera,CANDY,IN4SUITE ERP,FARVISION ERP</t>
  </si>
  <si>
    <t>YASHADA REALTY GROUP | PLANNING AND COORDINATION | Pune | Jul 2021 | Aug 2022 | 1 Years, 0 Months, 20 Days | 1.95</t>
  </si>
  <si>
    <t>SUNTECK REALTY | EPC-EXECUTION (BILLING) | MUMBAI | May 2023 | Jul 2023 | 7 Weeks | Campus Internship
GOKHALE CONSTRUCTIONS | TRAINEE EXECUTION ENGINEER  | PUNE | Jan 2021 | Feb 2021 | 5 Weeks</t>
  </si>
  <si>
    <t>p2270135</t>
  </si>
  <si>
    <t>SHETE</t>
  </si>
  <si>
    <t>SHUBHALI</t>
  </si>
  <si>
    <t>Shete Shubhali Balasaheb</t>
  </si>
  <si>
    <t>shubhalibshete@gmail.com</t>
  </si>
  <si>
    <t>p2270135@student.nicmar.ac.in</t>
  </si>
  <si>
    <t>Reading books.,Travelling,Listening music</t>
  </si>
  <si>
    <t>5855 8338 1215</t>
  </si>
  <si>
    <t>BALASAHEB M. SHETE</t>
  </si>
  <si>
    <t>ALKA B. SHETE</t>
  </si>
  <si>
    <t>K 2/4, Princess Villa, Jai Ganesh Samrajya, Spine Road, Bhosari, Pune.</t>
  </si>
  <si>
    <t>SUBHAFRA'S NURSERY BHOSALE PUBLIC JUNIOR COLLEGE</t>
  </si>
  <si>
    <t>PIMPRI CHINCHWAD COLLEGE OF ENGINEERING, PUNE, MAHARASHTRA</t>
  </si>
  <si>
    <t>AutoCAD,MS Office,MS Project,Primavera,Planswift,SDS2,Asta Power Project,Candy</t>
  </si>
  <si>
    <t>Neilsoft Pvt. Ltd | Detailer and Estimator | Pune | Jan 2021 | Aug 2022 | 1 Years, 6 Months, 18 Days | 3</t>
  </si>
  <si>
    <t>Godrej Properties | Planning | Gurugram, Delhi | May 2023 | Jul 2023 | 7 Weeks | Campus Internship
BABURAO GOVINDRAO SHIRKE CONSTRUCTION TECHNOLOGY PVT LTD | SITE ENGINEER | AKURDI, PUNE | Dec 2018 | Jan 2019 | 3 Weeks</t>
  </si>
  <si>
    <t>p2270136</t>
  </si>
  <si>
    <t>HATHIM</t>
  </si>
  <si>
    <t>MOHAMED</t>
  </si>
  <si>
    <t>Hathim Mohamed</t>
  </si>
  <si>
    <t>hathimm@gmail.com</t>
  </si>
  <si>
    <t>p2270136@student.nicmar.ac.in</t>
  </si>
  <si>
    <t>14-Oct-1998</t>
  </si>
  <si>
    <t>Movies,Dancing,Reading,Writing,Football</t>
  </si>
  <si>
    <t>2261 5183 4042</t>
  </si>
  <si>
    <t>MOHAMMED SHARAFUDEEN K M</t>
  </si>
  <si>
    <t>ADMINISTRATIVE MANAGER</t>
  </si>
  <si>
    <t>NOORJA MOHAMED SHARAFUDEEN</t>
  </si>
  <si>
    <t>Ravoof Manzil, _x000D_
Cheruvanoor, _x000D_
P.O Kolathara- 673655_x000D_
Kerala, India</t>
  </si>
  <si>
    <t>THE INDIAN SCHOOL, KINGDOM OF BAHRAIN</t>
  </si>
  <si>
    <t>2005-Mar</t>
  </si>
  <si>
    <t>APJ ABDUL KALAM TECHNOLOGICAL UNIVERSITY, THIRUVANANTHAPURAM</t>
  </si>
  <si>
    <t>MES COLLEGE OF ENGINEERING, KUTTIPPURAM</t>
  </si>
  <si>
    <t>AutoCAD,MS Office,MS Project,Primavera,Advanced Excel,Candy,Autodesk Revit,Naviswork</t>
  </si>
  <si>
    <t>L and T  Realty | Site Execution  | Chennai  | May 2023 | Jul 2023 | 7 Weeks | Campus Internship</t>
  </si>
  <si>
    <t>p2270137</t>
  </si>
  <si>
    <t>ANAS</t>
  </si>
  <si>
    <t>JAVED</t>
  </si>
  <si>
    <t>Anas Javed</t>
  </si>
  <si>
    <t>anas.javed18@gmail.com</t>
  </si>
  <si>
    <t>p2270137@student.nicmar.ac.in</t>
  </si>
  <si>
    <t>20-Sep-1996</t>
  </si>
  <si>
    <t>Playing sports,working out,listening to music</t>
  </si>
  <si>
    <t>6011 1748 1850</t>
  </si>
  <si>
    <t>JAVED ALI</t>
  </si>
  <si>
    <t>RESHMA JAVED</t>
  </si>
  <si>
    <t>H.NO-285,UPPERKOT LONI</t>
  </si>
  <si>
    <t>C-12/326, YAMUNA VIHAR</t>
  </si>
  <si>
    <t>SIDDHARTH INTERNATIONAL PUBLIC SCHOOL</t>
  </si>
  <si>
    <t>KRISHNA ENGINEERING COLLEGE, GHAZIABAD, UTTAR PRADESH</t>
  </si>
  <si>
    <t>ATKINS GLOBAL | TRAINEE | GURGAON | Feb 2021 | Apr 2021 | 0 Years, 2 Months, 1 Days | 1.8</t>
  </si>
  <si>
    <t>ANJ Turnkey Projects | Project Management Intern | Sharda University, Greater Noida | May 2023 | Jul 2023 | 7 Weeks | Campus Internship</t>
  </si>
  <si>
    <t>p2270138</t>
  </si>
  <si>
    <t>BALVANT</t>
  </si>
  <si>
    <t>Vaibhavi Balvant Raut</t>
  </si>
  <si>
    <t>vaibhaviraut98@gmail.com</t>
  </si>
  <si>
    <t>p2270138@student.nicmar.ac.in</t>
  </si>
  <si>
    <t>5582 9224 6441</t>
  </si>
  <si>
    <t>BALVANT K. RAUT</t>
  </si>
  <si>
    <t>N.A.</t>
  </si>
  <si>
    <t>SULOCHANA B. RAUT</t>
  </si>
  <si>
    <t>502, Samadhan Building, Rajram Tawde Road, Dahisar (west), Mumbai 400068</t>
  </si>
  <si>
    <t>SHAILENDRA EDUCATION SOCIETY MUMBAI, MAHARASHTRA</t>
  </si>
  <si>
    <t>MAHARASHTRA STATE BOARD OF  SECONDARY SCHOOL CERTIFICATE</t>
  </si>
  <si>
    <t>CHIKITSAK SAMUHA'S S.S. &amp; L.S. PATKAR COLLEGE OF ARTS &amp; SCIENCE MUMBAI, MAHARASHTRA</t>
  </si>
  <si>
    <t>RACHNA SANSAD'S ACADEMY OF ARCHITECTURE MUMBAI, MAHARASHTRA</t>
  </si>
  <si>
    <t>AutoCAD,MS Office,MS Project,Primavera,REVIT,PHOTOSHOP,BIM,Sketchup,Candy</t>
  </si>
  <si>
    <t>Skyline Architects | Junior Architect | Mumbai, Maharashtra | Jun 2021 | Jul 2022 | 1 Years, 1 Months, 30 Days | 2.64</t>
  </si>
  <si>
    <t>Piramal Realty Pvt Ltd | Summer Intern | Mumbai | May 2023 | Jul 2023 | 7 Weeks | Campus Internship
ALCOVE DESIGN CONSULTANTS |  Interior Designer  | MUMBAI, MAHARASHTRA | Dec 2019 | Jun 2020 | 26 Weeks</t>
  </si>
  <si>
    <t>p2270139</t>
  </si>
  <si>
    <t>ABUJI</t>
  </si>
  <si>
    <t>MOHD IBRAHIM</t>
  </si>
  <si>
    <t>SHARJEEL</t>
  </si>
  <si>
    <t>Abuji Mohd Ibrahim Sharjeel</t>
  </si>
  <si>
    <t>ibrahimabuji35@gmail.com</t>
  </si>
  <si>
    <t>p2270139@student.nicmar.ac.in</t>
  </si>
  <si>
    <t>English, Hindi, Urdu &amp; Marathi</t>
  </si>
  <si>
    <t>Writing,Theatre and drama,Traveling</t>
  </si>
  <si>
    <t>8181 5605 6931</t>
  </si>
  <si>
    <t>SHARJEEL ABUJI</t>
  </si>
  <si>
    <t>SHAMS ABUJI</t>
  </si>
  <si>
    <t>38,1st Floor, Abuji Mansion, Behind Patel Masjid, 4th Nizampur, Patel Mohalla, Bhiwandi</t>
  </si>
  <si>
    <t>HOLY MARY CONVENT HIGH SCHOOL</t>
  </si>
  <si>
    <t>SSC, BHIWANDI (MAHARAHSTRA)</t>
  </si>
  <si>
    <t>AGNEL POLYTECHNIC, NAVI MUMBAI</t>
  </si>
  <si>
    <t>M.H. SABOO SIDDIK COLLEGE OF ENGINEERING, MUMBAI</t>
  </si>
  <si>
    <t>L&amp;T Realty | Site Execution | Mahim, Mumbai | May 2023 | Jul 2023 | 7 Weeks | Campus Internship
UNITY CONSTRUCTION | TRAINEE ENGINEER | WORLI, MUMBAI | May 2016 | May 2016 | 4 Weeks</t>
  </si>
  <si>
    <t>p2270140</t>
  </si>
  <si>
    <t>KASAMSETTY KRISHNA</t>
  </si>
  <si>
    <t>ASHRITH</t>
  </si>
  <si>
    <t>Kasamsetty Krishna Ashrith Gupta</t>
  </si>
  <si>
    <t>ashrithgupta24@gmail.com</t>
  </si>
  <si>
    <t>p2270140@student.nicmar.ac.in</t>
  </si>
  <si>
    <t>24-Aug-2000</t>
  </si>
  <si>
    <t>Photography,Photo and Video Editing,Exploring New Things</t>
  </si>
  <si>
    <t>4450 9936 7539</t>
  </si>
  <si>
    <t>K V MURALI GUPTA</t>
  </si>
  <si>
    <t>SR. ASST.</t>
  </si>
  <si>
    <t>N HEMA LATHA</t>
  </si>
  <si>
    <t>COMMUNITY ORGANISER</t>
  </si>
  <si>
    <t>8/175, Sreeramulapeta, Proddatur, Y.S.R Kadapa Dist.</t>
  </si>
  <si>
    <t>ADITHYA HIGH SCHOOL, PRODDATUR</t>
  </si>
  <si>
    <t>BOARD OF SECONDARY SCHOOL EDUCATION ANDHRA PRADESH</t>
  </si>
  <si>
    <t>SRIVAISHNAVI ABHYAAS JUNIOR COLLEGE, GUNTUR</t>
  </si>
  <si>
    <t>JAWAHARAL NEHRU TECHNOLOGICAL UNIVERSITY ANANTAPUR</t>
  </si>
  <si>
    <t>SREE VIDYANIKETHAN ENGINEERING COLLEGE, TIRUPATHI</t>
  </si>
  <si>
    <t>AutoCAD,BIM,SketchUP,STADDPro,MSProject,Primavera,CANDY,Canva,Filmora</t>
  </si>
  <si>
    <t>Aparna Constructions and Estates | Quantity Surveying and Billing | Hyderabad | May 2023 | Jul 2023 | 7 Weeks | Campus Internship
ANANTH AGRI SERVICES | GRAPHIC DESIGNING INTERN | ONLINE | Oct 2020 | Dec 2020 | 8 Weeks
SYNDICITATE PLANNERS AND INTERIORS | ENGINEER (CIVIL) | PRODDATUR | Mar 2022 | Aug 2022 | 20 Weeks
CREDAI Lakshmi Housing | Intern | Tirupati | Mar 2021 | Mar 2021 | 2 Weeks</t>
  </si>
  <si>
    <t>p2270141</t>
  </si>
  <si>
    <t>ARISETTI</t>
  </si>
  <si>
    <t>Arisetti Sandeep Gupta</t>
  </si>
  <si>
    <t>sandeepguptaa99@gmail.com</t>
  </si>
  <si>
    <t>p2270141@student.nicmar.ac.in</t>
  </si>
  <si>
    <t>31-Jul-1991</t>
  </si>
  <si>
    <t>English, Hindi &amp;Telugu</t>
  </si>
  <si>
    <t>LISTENING MUSIC,PLAYING BADMINTON,CYCLING,TRAVELLING</t>
  </si>
  <si>
    <t>5876 6648 5862</t>
  </si>
  <si>
    <t>ARISETTI SURYA PRAKASH RAO</t>
  </si>
  <si>
    <t>ARISETTI SYAMALA</t>
  </si>
  <si>
    <t>65-1-398, Ajantha Colony, Sriharipuram</t>
  </si>
  <si>
    <t>AVK SCHOOL</t>
  </si>
  <si>
    <t>BOARD OF SECONDARY EDUCATION, VISAKHAPATNAM / ANDHRA PRADESH</t>
  </si>
  <si>
    <t>ANIL NEERUKONDA INSTITUTE OF TECHNOLOGY AND SCIENCES, VISAKHAPATNAM / ANDHRA PRADESH</t>
  </si>
  <si>
    <t>RK INFRASTRUCTURE | PLANNING AND EXECUTION | HYDERABAD | Nov 2020 | Aug 2022 | 1 Years, 9 Months, 12 Days | 3</t>
  </si>
  <si>
    <t>AFCONS INFRASTRUCTURE | PLANNING AND EXECUTION | CHHARA,  GUJARAT | May 2023 | Jul 2023 | 7 Weeks | Campus Internship
VISAKHAPATNAM PORT TRUST | ENGINEERING TRANIEE | VISAKHAPATNAM | May 2019 | Jul 2019 | 8 Weeks</t>
  </si>
  <si>
    <t>p2270142</t>
  </si>
  <si>
    <t>TEKADE</t>
  </si>
  <si>
    <t>Shubham Anant Tekade</t>
  </si>
  <si>
    <t>shubhamtek13@gmail.com</t>
  </si>
  <si>
    <t>p2270142@student.nicmar.ac.in</t>
  </si>
  <si>
    <t>13-Oct-1997</t>
  </si>
  <si>
    <t>3245 3119 1251</t>
  </si>
  <si>
    <t>ANANT SOPAN TEKADE</t>
  </si>
  <si>
    <t>EXSERVICEMEN</t>
  </si>
  <si>
    <t>RAJANI A TEKADE</t>
  </si>
  <si>
    <t>C-303, SHIV GANGA SOCIETY, KONDHWA KHURD</t>
  </si>
  <si>
    <t>KENDRIYA VIDYALAYA ARMY AREA PUNE</t>
  </si>
  <si>
    <t>A.I.S.S.M.S COLLEGE OF ENGINEERING, PUNE/MAHARASHTRA</t>
  </si>
  <si>
    <t>BHARAT PETROLEUM CORPORATION LIMITED | Retail (Engineering) | PUNE | Dec 2019 | Feb 2021 | 1 Years, 1 Months, 30 Days | 3
GOEL GANGA GROUP | PROCUREMENT &amp; CONTRACTS | PUNE | Jan 2022 | Aug 2022 | 0 Years, 6 Months, 30 Days | 3</t>
  </si>
  <si>
    <t>Horizon Industrial Parks | Leasing | Pune | May 2023 | Jul 2023 | 7 Weeks | Campus Internship</t>
  </si>
  <si>
    <t>p2270143</t>
  </si>
  <si>
    <t>SASANE</t>
  </si>
  <si>
    <t>Sasane Ashish Vitthalrao</t>
  </si>
  <si>
    <t>ashishsasane2024@gmail.com</t>
  </si>
  <si>
    <t>p2270143@student.nicmar.ac.in</t>
  </si>
  <si>
    <t>25-Aug-1998</t>
  </si>
  <si>
    <t>Listening music,Playing cricket,football,Travelling</t>
  </si>
  <si>
    <t>9698 1471 0498</t>
  </si>
  <si>
    <t>VITTHALRAO TUKARAM  SASANE</t>
  </si>
  <si>
    <t>VANITA  VITTHALRAO SASANE</t>
  </si>
  <si>
    <t>Mahatmafule, Vidyalay, Sant Tukadoji Ward, Near Bidker Layout Hinganghat</t>
  </si>
  <si>
    <t>ST. JOHN'S HIGH SCHOOL, HINGANGHAT,MAHARASHTRA.</t>
  </si>
  <si>
    <t>MAHARASHTRA STATE BOARD OF SECONDARY AND HIGHER SECONDARY EDUCATION ,PUNE,MAHARASHTRA.</t>
  </si>
  <si>
    <t>NARAYANA JR. COLLEGE, KARMANGHAT, HYDERABAD.</t>
  </si>
  <si>
    <t>RASHTRASANT TUKADOJI MAHARAJ NAGPUR UNIVERSITY,NAGPUR.</t>
  </si>
  <si>
    <t>G. H. RAISONI COLLEGE OF ENGINEERING,NAGPUR,MAHARASHTRA.</t>
  </si>
  <si>
    <t>L and T  Realty | Site Execution | Seawoods, Navi Mumbai | May 2023 | Jul 2023 | 7 Weeks | Campus Internship
PRASAD LIFESPACES LLP | SITE SUPERVISORS AND MONITORING. | PUNE. | Jun 2019 | Nov 2019 | 23 Weeks</t>
  </si>
  <si>
    <t>p2270144</t>
  </si>
  <si>
    <t>CHAKRAWAR</t>
  </si>
  <si>
    <t>Aditi Ajay Chakrawar</t>
  </si>
  <si>
    <t>aditi.chakrawar1234@gmail.com</t>
  </si>
  <si>
    <t>p2270144@student.nicmar.ac.in</t>
  </si>
  <si>
    <t>12-Nov-1999</t>
  </si>
  <si>
    <t>Drawing,Painting,Art and Craft,Trekking,Mentoring and Guiding</t>
  </si>
  <si>
    <t>7974 2712 7881</t>
  </si>
  <si>
    <t>SUMITA</t>
  </si>
  <si>
    <t>HOME BUISNESS</t>
  </si>
  <si>
    <t>Near Water Tank, Mangalwara Road</t>
  </si>
  <si>
    <t>SARJUDEVI BHIKULAL  BHARUKA ARYA KANYA  VIDYALAY, HINGOLI</t>
  </si>
  <si>
    <t>ADARSH EDUCATION SOCIETYÃ¢â‚¬â„¢S  ARTS, COMMERCE &amp; SCIENCE  COLLEGE,  HINGOLI</t>
  </si>
  <si>
    <t>DR.D.Y.PATIL INSTITUTE OF  TECHNOLOGY, PIMPRI, PUNE, MAHARASHTRA</t>
  </si>
  <si>
    <t>AutoCAD,MS Office,MS Project,Primavera,REVIT,STAAD Pro,Candy,MS Excel</t>
  </si>
  <si>
    <t>Infosys limited | System Engineer - Database Administrator  | Pune | Aug 2021 | Aug 2022 | 1 Years, 0 Months, 1 Days | 3.6</t>
  </si>
  <si>
    <t>GODREJ PROPERTIES LIMITED | OPERATIONS INTERN | MAAN HINJE, PUNE | May 2023 | Jul 2023 | 7 Weeks | Campus Internship
MILLENNIUM | JUNIOR ENGINEER (CIVIL CONSTRUCTION EXECUTION) | PUNE | Jun 2019 | Jun 2019 | 3 Weeks</t>
  </si>
  <si>
    <t>p2270145</t>
  </si>
  <si>
    <t>AADITYA</t>
  </si>
  <si>
    <t>SHASTRAKAR</t>
  </si>
  <si>
    <t>Aaditya Arun Shastrakar</t>
  </si>
  <si>
    <t>aadityashastrakar1@gmail.com</t>
  </si>
  <si>
    <t>p2270145@student.nicmar.ac.in</t>
  </si>
  <si>
    <t>30-Jun-2000</t>
  </si>
  <si>
    <t>Bodybuilding,cycling,trekking,wild adventures,zumba,Exploring</t>
  </si>
  <si>
    <t>5471 8605 7620</t>
  </si>
  <si>
    <t>ARUN RAMBHAU SHASTRAKAR</t>
  </si>
  <si>
    <t>ARTI ARUN SHASTRAKAR</t>
  </si>
  <si>
    <t>Behind Dhawane Hospital, Sankat Mochan Road, Tilak Wadi, Yavatmal.</t>
  </si>
  <si>
    <t>A 302, ROYAL PARK SOCIETY, OPP. MOZE COLLEGE, BALEWADI, PUNE.</t>
  </si>
  <si>
    <t>YAVATMAL PUBLIC SCHOOL</t>
  </si>
  <si>
    <t>CBSC, YAVATMAL, MAHARASHTRA.</t>
  </si>
  <si>
    <t>MAJAR HEMANT JAKATE VIDYANIKETAN</t>
  </si>
  <si>
    <t>DR VISHWANATH KARAD MIT WORLD PEACE UNIVERSITY</t>
  </si>
  <si>
    <t>MIT WPU, PUNE, MAHARASHTRA</t>
  </si>
  <si>
    <t>AutoCAD,MS Office,MS Project,ADOBE ILLUSTRATOR, CANDY</t>
  </si>
  <si>
    <t>GSIDC | Site Execution | Goa | May 2023 | Jul 2023 | 7 Weeks | Campus Internship
PUBLIC WORKS DEPARTMENT MAHARASHTRA | TRAINEE, SITE ENGINEER, SITE SUPERVISION  | YAVATMAL | Sep 2021 | Nov 2021 | 12 Weeks</t>
  </si>
  <si>
    <t>p2270146</t>
  </si>
  <si>
    <t>ANAGOUDA</t>
  </si>
  <si>
    <t>Pratik Anagouda Patil</t>
  </si>
  <si>
    <t>pratikapatilbgm@gmail.com</t>
  </si>
  <si>
    <t>p2270146@student.nicmar.ac.in</t>
  </si>
  <si>
    <t>19-Dec-1998</t>
  </si>
  <si>
    <t>CHESS,TRAVELLING</t>
  </si>
  <si>
    <t>7207 3756 9620</t>
  </si>
  <si>
    <t>ANAGOUDA PATIL</t>
  </si>
  <si>
    <t>MANJUL PATIL</t>
  </si>
  <si>
    <t>Shiddha Silla Apartment FLAT NO 101 Mahantesh Nagar, Plot No:2368</t>
  </si>
  <si>
    <t>RASHTROTTHANA VIDYA KENDRA</t>
  </si>
  <si>
    <t>CBSE DHARWAD/ KARNATAKA</t>
  </si>
  <si>
    <t>2013-Nov</t>
  </si>
  <si>
    <t>BDLEA'S SHRI SANGANBASAV MAHA SWAMIJI POLYTECHNIC</t>
  </si>
  <si>
    <t>VISVESHWARAYA TEHCNICAL UNIVERSITY</t>
  </si>
  <si>
    <t>GOGTE INSTITUTE OF TECHNOLOGY, BELAGAVI/ KARNATAKA</t>
  </si>
  <si>
    <t>AutoCAD,MS Office,MS Project,Primavera,QGIS-SWAT,REVIT,CANDY</t>
  </si>
  <si>
    <t>Prestige Estate Projects ltd | Summer Intern | Bangalore | May 2023 | Jul 2023 | 7 Weeks | Campus Internship
GALGALI ASSOCIATES | INTERN | HUBBALLI KARNATAKA | Sep 2021 | Oct 2021 | 4 Weeks
B G SHIRKE CONSTRUCTION TECHNOLOGY PVT LTD | INTERN | IIT DHARWAD | Aug 2021 | Sep 2021 | 4 Weeks</t>
  </si>
  <si>
    <t>p2270147</t>
  </si>
  <si>
    <t>KHEKARE</t>
  </si>
  <si>
    <t>Snehal Anil Khekare</t>
  </si>
  <si>
    <t>snehalkhekare0708@gmail.com</t>
  </si>
  <si>
    <t>p2270147@student.nicmar.ac.in</t>
  </si>
  <si>
    <t>03-May-1997</t>
  </si>
  <si>
    <t>Sketching,Painting,Basketball</t>
  </si>
  <si>
    <t>3001 3034 7965</t>
  </si>
  <si>
    <t>GOVT. SERVANT</t>
  </si>
  <si>
    <t>PRATIMA</t>
  </si>
  <si>
    <t>Dr. Ambedkar Ward Satnal Chowk Near Sanchi Buddha Vihar Ballarpur</t>
  </si>
  <si>
    <t>MONTFORT HIGHER SECONDARY SCHOOL, BAMINI, CHANDRAPUR</t>
  </si>
  <si>
    <t>INDIRA JR. COLLEGE, TUKUM, CHANDRAPUR</t>
  </si>
  <si>
    <t>MAHARASHTRA STATE BOARD  OF SECONDARY &amp; HIGHER SECONDARY EDUCATION ,PUNE</t>
  </si>
  <si>
    <t>RASHTRASANT TUKADOJI MAHARAJ NAGPUR, UNIVERSITY</t>
  </si>
  <si>
    <t>SMT. MANORAMABAI MUNDLE COLLEGE OF ARCHITECTURE, NAGPUR</t>
  </si>
  <si>
    <t>AutoCAD,MS Office,MS Project,Primavera,Sketch-Up,Lumion,Revit,V-Ray,Photoshop</t>
  </si>
  <si>
    <t>VIJAY REKHA CONSTRUCTION | PLANNER &amp; DESIGNER | NAGPUR | Aug 2021 | Aug 2022 | 1 Years, 0 Months, 0 Days | 1.8</t>
  </si>
  <si>
    <t>Singhania Buildcon | Planning, Execution &amp; Control | Raipur | May 2023 | Jul 2023 | 7 Weeks | Campus Internship
VEEKAS STUDIOS | Design &amp; Planning | PUNE | Jan 2020 | Mar 2020 | 7 Weeks
GURMEET SINGH BHUYE | Design &amp; Planning | BALLARPUR | Aug 2020 | Sep 2020 | 7 Weeks</t>
  </si>
  <si>
    <t>p2270149</t>
  </si>
  <si>
    <t>PRAVINKUMAR</t>
  </si>
  <si>
    <t>GAWADE</t>
  </si>
  <si>
    <t>Abhishek Pravinkumar Gawade</t>
  </si>
  <si>
    <t>gawadea880@gmail.com</t>
  </si>
  <si>
    <t>p2270149@student.nicmar.ac.in</t>
  </si>
  <si>
    <t>02-Nov-2000</t>
  </si>
  <si>
    <t>Travelling,Reading,Bike Riding</t>
  </si>
  <si>
    <t>5967 7439 0960</t>
  </si>
  <si>
    <t>PRAVINKUMAR GAWADE</t>
  </si>
  <si>
    <t>MONIKA GAWADE</t>
  </si>
  <si>
    <t>Gurukul Plaza, RajaRam Patil Nagar, Near Eon IT Park, Kharadi</t>
  </si>
  <si>
    <t>SHIVRAJ VIDYA MANDIR</t>
  </si>
  <si>
    <t>SSC  BOARD MAHARASHTRA</t>
  </si>
  <si>
    <t>LAXMANROA APTE JUNIOR COLLEGE</t>
  </si>
  <si>
    <t>MIT WORLD PEACE UNIVERSITY PUNE/MAHARSHTRA</t>
  </si>
  <si>
    <t>GODREJ PROPERTIES | OPERATIONS INTERN | PUNE | May 2023 | Jul 2023 | 7 Weeks | Campus Internship
SHREE SUPER MARKET AND HARDWARE | CUSTOMER RELATIONSHIP MANAGEMENT, INVENTORY MANAGEMENT, BILLING DEPARTMENT | A/P. PABAL, TEL. SHIRUR, DIST. PUNE | Jan 2021 | Oct 2021 | 43 Weeks
SAKORE CONSTRUCTIONS PVT LTD | JUNIOR SITE ENGINEER | VIMAN NAGAR, PUNE | Feb 2022 | May 2022 | 12 Weeks</t>
  </si>
  <si>
    <t>p2270150</t>
  </si>
  <si>
    <t>PHILIPOSE</t>
  </si>
  <si>
    <t>Joseph V Philipose</t>
  </si>
  <si>
    <t>joseph.v.philipose@gmail.com</t>
  </si>
  <si>
    <t>p2270150@student.nicmar.ac.in</t>
  </si>
  <si>
    <t>30-Nov-1999</t>
  </si>
  <si>
    <t>Football,Esports,Fitness,Guitarist</t>
  </si>
  <si>
    <t>9771 0163 5280</t>
  </si>
  <si>
    <t>MOTTY PHILIPOSE</t>
  </si>
  <si>
    <t>BEENA PHILIPOSE</t>
  </si>
  <si>
    <t>GOVT. SERVICE(REGIONAL CHIEF, HUDCO)</t>
  </si>
  <si>
    <t>VALIYAVEETIL, BRERA 47, Burma Road, Kumarapuram</t>
  </si>
  <si>
    <t>ST THOMAS CENTRAL SCHOOL, TRIVANDRUM</t>
  </si>
  <si>
    <t>CENTRAL BOARD OF SECONDARY EDUCATION, TRIVANDRUM KERALA</t>
  </si>
  <si>
    <t>2005-Aug</t>
  </si>
  <si>
    <t>SARVODAYA CENTRAL VIDYALAYA, TRIVANDRUM</t>
  </si>
  <si>
    <t>MAR BASELIOUS COLLEGE OF ENGINEERING AND TECHNOLOGY, TRIVANDRUM KERALA</t>
  </si>
  <si>
    <t>AutoCAD,MS Office,MS Project,Primavera,ETABS,Ms Excel</t>
  </si>
  <si>
    <t>HUDCO (Housing and Urban Development Corporation) Ltd, Trivandrum | Projects Intern | Thiruvananthapuram | May 2023 | Jul 2023 | 7 Weeks | Campus Internship
KERALA STATE ELECTRONICS DEVELOPMENT CORPORATION LTD | Intern | TRIVANDRUM,KERALA | Jul 2019 | Jul 2019 | 0 Weeks</t>
  </si>
  <si>
    <t>p2270151</t>
  </si>
  <si>
    <t>SOUMYA</t>
  </si>
  <si>
    <t>SHOVAN</t>
  </si>
  <si>
    <t>DEHURY</t>
  </si>
  <si>
    <t>Soumya Shovan Dehury</t>
  </si>
  <si>
    <t>ssdehury1062000@gmail.com</t>
  </si>
  <si>
    <t>p2270151@student.nicmar.ac.in</t>
  </si>
  <si>
    <t>2273 9739 6274</t>
  </si>
  <si>
    <t>SOUMITRI PRASAD DEHURY</t>
  </si>
  <si>
    <t>SR. SECTION OFFICER, COLLECTOR'S OFFICE, DEOGARH</t>
  </si>
  <si>
    <t>SABITA PRADHAN</t>
  </si>
  <si>
    <t>Sakhipara, Near Sakhigopinath Temple</t>
  </si>
  <si>
    <t>SRI AUROVINDO INSTITUTE OF INTEGRAL EDUCATION AND RESEARCH, SAMBALPUR, ODISHA</t>
  </si>
  <si>
    <t>BSE, ODISHA</t>
  </si>
  <si>
    <t>VEER SURENDRA SAI INSTITUTE OF SCIENCE, DHANKAUDA, SAMBALPUR,ODISHA</t>
  </si>
  <si>
    <t>CHSE, ODISHA</t>
  </si>
  <si>
    <t>INDIRA GANDHI INSTITUTE OF TECHNOLOGY</t>
  </si>
  <si>
    <t>INDIRA GANDHI INSTITUTE OF TECHNOLOGY, DHENKANAL, ODISHA</t>
  </si>
  <si>
    <t>AutoCAD,MS Office,MS Project,Primavera,STAAD Pro</t>
  </si>
  <si>
    <t>PINAKIIN DESIGNS | Project Planner | Kharadi, Pune | May 2023 | Jul 2023 | 7 Weeks | Campus Internship
WORKS DEPARTMENT | PRACTICAL TRAINEE | R&amp;B DIVISION 1, SAMBALPUR | Jul 2021 | Aug 2021 | 4 Weeks
VARDHAN CONSULTING ENGINEERS | ENGINEERING INTERN | IGIT, DHENKANAL, ODISHA ( VIRTUAL INTERNSHIP) | Mar 2022 | May 2022 | 8 Weeks</t>
  </si>
  <si>
    <t>p2270152</t>
  </si>
  <si>
    <t>SHANKHABRATA</t>
  </si>
  <si>
    <t>Shankhabrata Das</t>
  </si>
  <si>
    <t>shankha98@hotmail.com</t>
  </si>
  <si>
    <t>p2270152@student.nicmar.ac.in</t>
  </si>
  <si>
    <t>21-Jan-1998</t>
  </si>
  <si>
    <t>Travelling,Photography,Reading Facts</t>
  </si>
  <si>
    <t>3774 9057 4551</t>
  </si>
  <si>
    <t>MAHENDRANATH DAS</t>
  </si>
  <si>
    <t>SASWATI DAS</t>
  </si>
  <si>
    <t>HIG-690, Arvind Vihar, Bagmuglia, Bhopal</t>
  </si>
  <si>
    <t>G-2, AR VALLEY APARTMENT, PRA C-118, KUMARAPURAM, THIRUVANANTHAPURAM, KERALA</t>
  </si>
  <si>
    <t>INDORE PUBLIC SCHOOL</t>
  </si>
  <si>
    <t>CBSE INDORE/MADHYA PRADESH</t>
  </si>
  <si>
    <t>RAJEEV GANDHI PROUDYOGIKI VISHWAVIDYALAYA, BHOPAL</t>
  </si>
  <si>
    <t>SAGAR INSTITUTE OF SCIENCE AND TECHNOLOGY, BHOPAL</t>
  </si>
  <si>
    <t>AutoCAD,MS Office,MS Project,Primavera,Revit,Navisworks,Canva</t>
  </si>
  <si>
    <t>Kamladityya Construction Pvt. Ltd. | Asst. Quantity Surveyor | Kerala | Jul 2020 | Aug 2022 | 2 Years, 1 Months, 11 Days | 1.2</t>
  </si>
  <si>
    <t>Advent Projects and Consultancy | Estimation and Billing | Pune | May 2023 | Jul 2023 | 7 Weeks | Campus Internship
A A CONSULTING ENGINEER | CAD DESIGNER | BHOPAL | Jun 2019 | Jan 2020 | 33 Weeks</t>
  </si>
  <si>
    <t>p2270153</t>
  </si>
  <si>
    <t>VINEET</t>
  </si>
  <si>
    <t>ANPAT</t>
  </si>
  <si>
    <t>Vineet Vijay Anpat</t>
  </si>
  <si>
    <t>vineetanpat@gmail.com</t>
  </si>
  <si>
    <t>p2270153@student.nicmar.ac.in</t>
  </si>
  <si>
    <t>Cycling,Driving,Trekking</t>
  </si>
  <si>
    <t>5021 2278 3648</t>
  </si>
  <si>
    <t>Adarsh Pride, Khed, Satara.</t>
  </si>
  <si>
    <t>GURUKUL SECONDARY SCHOOL, SATARA.</t>
  </si>
  <si>
    <t>KARMAVEER BHAURAO PATIL POLYTECHNIC SATARA.</t>
  </si>
  <si>
    <t>DR. BABASAHEB AMBEDKAR TECHNOLOGICAL UNIVERSITY.</t>
  </si>
  <si>
    <t>YSPM COLLEGE OF ENGINEERING, SATARA.</t>
  </si>
  <si>
    <t>NYATI GROUP | SUMMER INTERN  | SATARA | May 2023 | Jul 2023 | 7 Weeks | Campus Internship
BALWANT CONSTRUCTION | SITE EXECUTION  | SATARA | Nov 2021 | May 2022 | 26 Weeks</t>
  </si>
  <si>
    <t>p2270154</t>
  </si>
  <si>
    <t>DHRUVARAJ</t>
  </si>
  <si>
    <t>Prajyot Dhruvaraj Pardhi</t>
  </si>
  <si>
    <t>prajyotpardhi2@gmail.com</t>
  </si>
  <si>
    <t>p2270154@student.nicmar.ac.in</t>
  </si>
  <si>
    <t>Playing Cricket,Handball,Basketball,Reading,Travelling</t>
  </si>
  <si>
    <t>5878 7086 8683</t>
  </si>
  <si>
    <t>DHRUVARAJ  PARDHI</t>
  </si>
  <si>
    <t>MANGALA</t>
  </si>
  <si>
    <t>Gajanan Colony Bisen Leyout Kudwa Th Dis Gondia</t>
  </si>
  <si>
    <t>MANOHARBHAI PATEL MILITRY SCHOOL KUDWA GONDIA</t>
  </si>
  <si>
    <t>RASHTRASANT TUKADOJI MAHARAJ NAGPURE UNIVERSITY</t>
  </si>
  <si>
    <t>AutoCAD,MS Office,MS Project,Primavera,Revit,SAP</t>
  </si>
  <si>
    <t>H.G. INFRA ENGINEERING | PROJECT PLANNING AND CONTRACTS | H.G INFRA ENGINEERING LTD,KORAPUT(ODISHA)			 | May 2023 | Jul 2023 | 7 Weeks | Campus Internship
PWD NAGPUR | INTREN | NAGPUR | Aug 2021 | Aug 2021 | 2 Weeks</t>
  </si>
  <si>
    <t>p2270155</t>
  </si>
  <si>
    <t>SOURABH</t>
  </si>
  <si>
    <t>B V</t>
  </si>
  <si>
    <t>Sourabh B V</t>
  </si>
  <si>
    <t>sourabh4673@gmail.com</t>
  </si>
  <si>
    <t>p2270155@student.nicmar.ac.in</t>
  </si>
  <si>
    <t>20-Jul-1999</t>
  </si>
  <si>
    <t>English, Hindi, Kannada &amp; Telugu</t>
  </si>
  <si>
    <t>Reading,Cycling,Swimming,Football</t>
  </si>
  <si>
    <t>5663 1322 4330</t>
  </si>
  <si>
    <t>VISHWANATH BADIGER</t>
  </si>
  <si>
    <t>M N PADMAJA</t>
  </si>
  <si>
    <t>TYPE IV/5 NEAR WATER TANK ALMATTI DS_x000D_
Tq. Bagewadi_x000D_
Dist. Vijaypura</t>
  </si>
  <si>
    <t>Vijayapura</t>
  </si>
  <si>
    <t>SAINIK SCHOOL BIJAPUR KARNATAKA</t>
  </si>
  <si>
    <t>NARAYANA PU COLLEGE, MANDUR VIL VIRGONAGAR, BANGALORE, 560049</t>
  </si>
  <si>
    <t>JSS SCIENCE AND TECHNOLOGY UNIVERSITY MYSURU, KARNATAKA - 570006</t>
  </si>
  <si>
    <t>AutoCAD,MS Office,MS Project,Primavera,Revit Architecture,Navisworks,Staad pro</t>
  </si>
  <si>
    <t>Shapoorji Pallonji Engineering Construction | Summer Intern | Karwar | May 2023 | Jul 2023 | 8 Weeks | Campus Internship</t>
  </si>
  <si>
    <t>p2270157</t>
  </si>
  <si>
    <t>SREEKUMAR</t>
  </si>
  <si>
    <t>Devika Sreekumar</t>
  </si>
  <si>
    <t>devikasree20@gmail.com</t>
  </si>
  <si>
    <t>p2270157@student.nicmar.ac.in</t>
  </si>
  <si>
    <t>20-Dec-1999</t>
  </si>
  <si>
    <t>Singing,Dancing,Anchoring</t>
  </si>
  <si>
    <t>6709 1764 2780</t>
  </si>
  <si>
    <t>B. SREEKUMAR</t>
  </si>
  <si>
    <t>RESHMI SREEKUMAR</t>
  </si>
  <si>
    <t>Devuss,Kurattikadu,Mannar P.O,Alappuzha,Kerala,India</t>
  </si>
  <si>
    <t>BISHOP MOORE VIDYAPITH</t>
  </si>
  <si>
    <t>ICSE , KERALA</t>
  </si>
  <si>
    <t>CHAVARA PUBLIC SCHOOL</t>
  </si>
  <si>
    <t>L and T  Realty | Contracts &amp; Procurement Intern | Chennai | May 2023 | Jul 2023 | 7 Weeks | Campus Internship
COCHIN SHIPYARD LIMITED | INTERN | KOCHI,KERALA. | Jul 2019 | Jul 2019 | 0 Weeks
WAYGUARD CONSTRUCTION | INTERN | KERALA | Jul 2022 | Jul 2022 | 2 Weeks</t>
  </si>
  <si>
    <t>p2270158</t>
  </si>
  <si>
    <t>LADANI</t>
  </si>
  <si>
    <t>KASHYAP</t>
  </si>
  <si>
    <t>KIRANBHAI</t>
  </si>
  <si>
    <t>Ladani Kashyap Kiranbhai</t>
  </si>
  <si>
    <t>kashyapladani1409@gmail.com</t>
  </si>
  <si>
    <t>p2270158@student.nicmar.ac.in</t>
  </si>
  <si>
    <t>14-Sep-1998</t>
  </si>
  <si>
    <t>ENGLISH,HINDI,GUJARATI</t>
  </si>
  <si>
    <t>Badminton,Cricket,Swimming,Trekking,Photography</t>
  </si>
  <si>
    <t>6213 0343 1964</t>
  </si>
  <si>
    <t>SHOBHANABEN</t>
  </si>
  <si>
    <t>8,KEVAL NAGAR SOCIETY,COLLAGE ROAD,VYARA</t>
  </si>
  <si>
    <t>Tapi</t>
  </si>
  <si>
    <t>THE J.B.&amp;S.A. SARVAJANIK HIGH SCHOOL</t>
  </si>
  <si>
    <t>GUJARAT SECONDARY &amp; HIGHER SECONDARY EDUCATION BOARD,GANDHINAGAR</t>
  </si>
  <si>
    <t>P.P.SAVANI CHAITANYA VIDHYA SANKUL</t>
  </si>
  <si>
    <t>UKA TARSADIA UNIVERSITY</t>
  </si>
  <si>
    <t>CHHOTUBHAI GOPALBHAI PATEL INSTITUTE OF TECHNOLOGY,BARDOLI,GUJARAT.</t>
  </si>
  <si>
    <t>AutoCAD,MS Office,MS Project,Primavera,REVIT,CANDY</t>
  </si>
  <si>
    <t>PSP Projects Limited | Site Execution | AMC Sports Complex, Ahmedabad  | May 2023 | Jul 2023 | 7 Weeks | Campus Internship
SILVER INFRA | Field oriental training  | SURAT | May 2019 | Jun 2019 | 6 Weeks</t>
  </si>
  <si>
    <t>p2270159</t>
  </si>
  <si>
    <t>Ketan Thakur</t>
  </si>
  <si>
    <t>ketan.thakur16@gmail.com</t>
  </si>
  <si>
    <t>p2270159@student.nicmar.ac.in</t>
  </si>
  <si>
    <t>02-Jan-1999</t>
  </si>
  <si>
    <t>Playing Basketball,Travelling,Photography,Playing Badminton</t>
  </si>
  <si>
    <t>7256 3045 9262</t>
  </si>
  <si>
    <t>RAMASHANKAR THAKUR</t>
  </si>
  <si>
    <t>VANDANA THAKUR</t>
  </si>
  <si>
    <t>Near Subhash School Subhash Ward Seoni</t>
  </si>
  <si>
    <t>Seoni</t>
  </si>
  <si>
    <t>ULTIMA BOYS HOSTEL NICMAR UNIVERSITY PUNE</t>
  </si>
  <si>
    <t>ST. FRANCIS OF ASSISI SCHOOL SEONI (M.P.)</t>
  </si>
  <si>
    <t>CBSE SEONI(MP.P)</t>
  </si>
  <si>
    <t>MAHARISHI VIDYA MANDIR SEONI(M.P.)</t>
  </si>
  <si>
    <t>ORIENTAL INSTITUTE OF SCIENCE AND TECHNOLOGY BHOPAL (M.P.)</t>
  </si>
  <si>
    <t>M/s HARSH RAI CONTRACTOR | EXECUTION | SEONI | Apr 2021 | Oct 2021 | 0 Years, 6 Months, 30 Days | 1.8</t>
  </si>
  <si>
    <t>BAUER Engineering India Pvt. Ltd | Planning &amp; Engineering Intern | Sikkim | May 2023 | Jul 2023 | 7 Weeks | Campus Internship
RAISINGH AND COMPANY | SUPERVISOR | SEONI | Dec 2019 | Jan 2020 | 3 Weeks</t>
  </si>
  <si>
    <t>p2270160</t>
  </si>
  <si>
    <t>KRIDAY</t>
  </si>
  <si>
    <t>RAJARAM</t>
  </si>
  <si>
    <t>RAYASAM</t>
  </si>
  <si>
    <t>Kriday Rajaram Rayasam</t>
  </si>
  <si>
    <t>kridayr@gmail.com</t>
  </si>
  <si>
    <t>p2270160@student.nicmar.ac.in</t>
  </si>
  <si>
    <t>28-Jun-1995</t>
  </si>
  <si>
    <t>English, Kannada, Hindi, Tamil, Telugu</t>
  </si>
  <si>
    <t>8458 9811 6511</t>
  </si>
  <si>
    <t>RAJARAM R L</t>
  </si>
  <si>
    <t>MANAGER, RESERVE BANK OF INDIA (RETD.)</t>
  </si>
  <si>
    <t>C V SARVAMANGALA</t>
  </si>
  <si>
    <t>#113, 3rd Main, Gruhalakshmi Colony 2nd Stage, West Of Chord Road, Basaveshwaranagar</t>
  </si>
  <si>
    <t>THE HINDU SENIOR SECONDARY SCHOOL</t>
  </si>
  <si>
    <t>SRI SANKARA VIDYASHRAMAM MATRICULATION HIGHER SECONDARY SCHOOL</t>
  </si>
  <si>
    <t>K S SCHOOL OF ARCHITECTURE</t>
  </si>
  <si>
    <t>Studio Confluence | Designing and site supervision | Bengaluru | Dec 2020 | Mar 2022 | 1 Years, 3 Months, 21 Days | 1.44</t>
  </si>
  <si>
    <t>Adrianse Global | Projects Intern | Hyderabad | May 2023 | Jul 2023 | 7 Weeks | Campus Internship
A MRIDUL ARCHITECT | Conservation Research Intern | JODHPUR, RAJASTHAN | Jul 2019 | Jan 2020 | 26 Weeks</t>
  </si>
  <si>
    <t>p2270161</t>
  </si>
  <si>
    <t>VIRALBHAI</t>
  </si>
  <si>
    <t>Sushant Viralbhai Mehta</t>
  </si>
  <si>
    <t>sushantmehta099@gmail.com</t>
  </si>
  <si>
    <t>p2270161@student.nicmar.ac.in</t>
  </si>
  <si>
    <t>11-Jan-2000</t>
  </si>
  <si>
    <t>Table Tennis,Bike riding,Volunteering Work</t>
  </si>
  <si>
    <t>5077 4206 2212</t>
  </si>
  <si>
    <t>VIRALBHAI S. MEHTA</t>
  </si>
  <si>
    <t>FALGUNI V. MEHTA</t>
  </si>
  <si>
    <t>"Sushant", 5/7 Saurashtra Kala Kendra, Someshwar Chowk, Nirmala Road , Rajkot</t>
  </si>
  <si>
    <t>ST. MARY'S SCHOOL</t>
  </si>
  <si>
    <t>GUJARAT SECONDARY &amp; HIGHER SECONDARY EDUCATION BOARD - RAJKOT, GUJARAT</t>
  </si>
  <si>
    <t>SHAKTI HIGHER SECONDARY SCHOOL</t>
  </si>
  <si>
    <t>PANDIT DEENDAYAL ENERGY UNIVERSITY- PDEU (FORMERLY PDPU)</t>
  </si>
  <si>
    <t>PANDIT DEENDAYAL ENERGY UNIVERSITY- PDEU (FORMERLY PDPU) - GANDHINAGAR, GUJARAT</t>
  </si>
  <si>
    <t>AutoCAD,MS Office,MS Project,Primavera,Revit,Candy,Navisworks</t>
  </si>
  <si>
    <t>PACIFICA  COMPANIES | Central Planning and Projects Department | Ahmedabad | May 2023 | Jul 2023 | 7 Weeks | Campus Internship
QUARK INDUSTRIES | INTERN SITE ENGINEER  | RAJKOT | May 2021 | Jun 2021 | 6 Weeks
GAYATRI CONSTRUCTION | INTERN SITE ENGINEER  | RAJKOT | Jan 2022 | Mar 2022 | 12 Weeks</t>
  </si>
  <si>
    <t>p2270162</t>
  </si>
  <si>
    <t>DIVYESH</t>
  </si>
  <si>
    <t>JYOTENDRA</t>
  </si>
  <si>
    <t>Divyesh Jyotendra Naik</t>
  </si>
  <si>
    <t>divyeshnaik007@gmail.com</t>
  </si>
  <si>
    <t>p2270162@student.nicmar.ac.in</t>
  </si>
  <si>
    <t>02-Nov-1999</t>
  </si>
  <si>
    <t>4372 4751 5633</t>
  </si>
  <si>
    <t>JYOTENDRA RAMACHANDRA NAIK</t>
  </si>
  <si>
    <t>UJWALA JYOTENDRA NAIK</t>
  </si>
  <si>
    <t>'Bhagwant', H.No.5, Near Vitthal Mandir, Comba, Margao</t>
  </si>
  <si>
    <t>M&amp;N ENGLISH HIGH SCHOOL</t>
  </si>
  <si>
    <t>MARGAO</t>
  </si>
  <si>
    <t>SHREE DAMODAR HIGHER SECONDARY SCHOOL OF SCIENCE</t>
  </si>
  <si>
    <t>DON BOSCO COLLEGE OF ENGINEERING, FATORDA, MARGAO</t>
  </si>
  <si>
    <t>AutoCAD,MS Office,MS Project,Primavera,REVIT,SKETCHUP,NAVISWORKS,MS EXCEL,CANDY</t>
  </si>
  <si>
    <t>Madhav Kamat &amp; Associates | Execution Engineer  | Panjim, Goa | Sep 2021 | Jul 2022 | 0 Years, 10 Months, 30 Days | 3</t>
  </si>
  <si>
    <t>ANAROCK Property Consultant | Sales Intern | Pune | May 2023 | Jul 2023 | 8 Weeks | Campus Internship
HIGHTEC ENGINEERS | Surveying Intern  | MARGAO | Jun 2020 | Jul 2020 | 4 Weeks</t>
  </si>
  <si>
    <t>p2270163</t>
  </si>
  <si>
    <t>EKPARNIKA</t>
  </si>
  <si>
    <t>Ekparnika Pandey</t>
  </si>
  <si>
    <t>ekparnikapandey@gmail.com</t>
  </si>
  <si>
    <t>p2270163@student.nicmar.ac.in</t>
  </si>
  <si>
    <t>20-Sep-1999</t>
  </si>
  <si>
    <t>Writing blogs,Volleyball,Painting,Traveling</t>
  </si>
  <si>
    <t>6182 9547 9256</t>
  </si>
  <si>
    <t>BINOD KUMAR PANDEY</t>
  </si>
  <si>
    <t>SWETA PANDEY</t>
  </si>
  <si>
    <t>41/4  Biprodas Chatterjee Lane Naora, Shibpur</t>
  </si>
  <si>
    <t>ST. THOMAS GIRL'S SCHOOL, KHIDDERPORE, KOLKATA</t>
  </si>
  <si>
    <t>ICSE, KOLKATA/WEST BENGAL</t>
  </si>
  <si>
    <t>AMITY UNIVERSITY, KOLKATA</t>
  </si>
  <si>
    <t>AutoCAD,MS Office,MS Project,Primavera,CANDY,LUMION,ADOBE PHOTOSHOP</t>
  </si>
  <si>
    <t>Oberoi Realty | Architectural Intern | Mumbai | May 2023 | Jul 2023 | 7 Weeks | Campus Internship</t>
  </si>
  <si>
    <t>p2270164</t>
  </si>
  <si>
    <t>SIRIGIRI</t>
  </si>
  <si>
    <t>Sirigiri Hariswar Reddy</t>
  </si>
  <si>
    <t>harisirigiri003@gmail.com</t>
  </si>
  <si>
    <t>p2270164@student.nicmar.ac.in</t>
  </si>
  <si>
    <t>ENGLISH,TELUGU,KANNADA,HINDI</t>
  </si>
  <si>
    <t>Farming,Sports,Reading,Watching thriller movies</t>
  </si>
  <si>
    <t>9267 1699 5003</t>
  </si>
  <si>
    <t>SIRIGIRI SUBBA REDDY</t>
  </si>
  <si>
    <t>SIRIGIRI GANGAMMA</t>
  </si>
  <si>
    <t>1/6 KC AGRAHARAM,KODUR,CHIYYAVARAM,CUDDAPAH</t>
  </si>
  <si>
    <t>VICTORY ENGLISH MEDIUM HIGH SCHOOL</t>
  </si>
  <si>
    <t>SRI CHAITANYA JUNIOR COLLEGE,TIRUPATI</t>
  </si>
  <si>
    <t>VISVESVARAYA TECHNOLOGICAL UNIVERSITY ,BELAGAVI,KARNATAKA,INDIA</t>
  </si>
  <si>
    <t>TONTADARYA COLLEGE ENGINEERING</t>
  </si>
  <si>
    <t>Suroj Buildcon | Planning trainee and site execution | Telangana,Shadnagar | May 2023 | Jul 2023 | 7 Weeks | Campus Internship
AMEYA CONSULTANCY | INTERN TRAINEE | GADAG | Sep 2021 | Oct 2021 | 6 Weeks</t>
  </si>
  <si>
    <t>p2270165</t>
  </si>
  <si>
    <t>AMBURLE</t>
  </si>
  <si>
    <t>HARISHCHANDRA</t>
  </si>
  <si>
    <t>Amburle Pawan Harishchandra</t>
  </si>
  <si>
    <t>pawanamburle6446@gmail.com</t>
  </si>
  <si>
    <t>p2270165@student.nicmar.ac.in</t>
  </si>
  <si>
    <t>23-Aug-2000</t>
  </si>
  <si>
    <t>Sports,Travelling,Photography</t>
  </si>
  <si>
    <t>4120 8255 8437</t>
  </si>
  <si>
    <t>HARISHCHANDRA AMBURLE</t>
  </si>
  <si>
    <t>MANISHA AMBURLE</t>
  </si>
  <si>
    <t>At Post Harnai,Tal-Dapoli,Dis-Ratnagiri.</t>
  </si>
  <si>
    <t>B301 OLYMPIA HOUSING SOCIETY,BHUMAK CHOWK ,WAKAD.PUNE.</t>
  </si>
  <si>
    <t>SANJEEVAN VIDYALAYA,PANHALA.</t>
  </si>
  <si>
    <t>DISHA PUBLIC SCHOOL,WAI.</t>
  </si>
  <si>
    <t>SAVITRIBAI PHULE PUNE UNIVERSITY.</t>
  </si>
  <si>
    <t>AISSMS COLLAGE OF ENGINEERING, PUNE.</t>
  </si>
  <si>
    <t>AutoCAD,MS Office,MS Project,Primavera,Revit,Estimation</t>
  </si>
  <si>
    <t>SUNTECK REALTY | EPC-Estimation. | Mumbai | May 2023 | Jul 2023 | 7 Weeks | Campus Internship</t>
  </si>
  <si>
    <t>p2270166</t>
  </si>
  <si>
    <t>GOUTHAMKRISHNA</t>
  </si>
  <si>
    <t>Gouthamkrishna P</t>
  </si>
  <si>
    <t>kpgoutham10@gmail.com</t>
  </si>
  <si>
    <t>p2270166@student.nicmar.ac.in</t>
  </si>
  <si>
    <t>21-Dec-1999</t>
  </si>
  <si>
    <t>English, Malayalam ,Hindi, Tamil</t>
  </si>
  <si>
    <t>Swimming,Football,Cricket,Movies,Cycling,Travelling</t>
  </si>
  <si>
    <t>9399 7361 1616</t>
  </si>
  <si>
    <t>K A PADMAKUMAR</t>
  </si>
  <si>
    <t>BINDU T</t>
  </si>
  <si>
    <t>TC 38/1542 Akshaya,_x000D_
Poothole P.O,_x000D_
 Thrissur</t>
  </si>
  <si>
    <t>DEVAMATHA CMI PUBLIC SCHOOL</t>
  </si>
  <si>
    <t>CENTRAL BOARD OF SECONDARY  EDUCATION , KEARALA</t>
  </si>
  <si>
    <t>TKM COLLEGE OF ENGINEERING , KERALA</t>
  </si>
  <si>
    <t>Ushus Properties &amp; Infrastructure Pvt. Ltd | Site Execution | Thrissur, Kerala | Aug 2021 | Aug 2022 | 0 Years, 11 Months, 30 Days | 0.05</t>
  </si>
  <si>
    <t>PIDILITE INDUSTRIES | Business Development | PUNE | May 2023 | Jul 2023 | 7 Weeks | Campus Internship
THRISSUR BUILDERS PVT LTD | Trainee Engineer | THRISSUR, KERALA | Jun 2018 | Jun 2018 | 1 Weeks</t>
  </si>
  <si>
    <t>p2270167</t>
  </si>
  <si>
    <t>RAJNARAYANAN</t>
  </si>
  <si>
    <t>Rajnarayanan G</t>
  </si>
  <si>
    <t>kgraj1999@gmail.com</t>
  </si>
  <si>
    <t>p2270167@student.nicmar.ac.in</t>
  </si>
  <si>
    <t>Boxing,Football</t>
  </si>
  <si>
    <t>6808 2422 2021</t>
  </si>
  <si>
    <t>GANESAN K</t>
  </si>
  <si>
    <t>KANNIYAKUMARI GANESAN</t>
  </si>
  <si>
    <t>36, V.O.C STREET (AKM IAS ACADEMY), ARIYALUR</t>
  </si>
  <si>
    <t>Ariyalur</t>
  </si>
  <si>
    <t>VIDYAA VIKAS MATRIC HR SEC SCHOOL</t>
  </si>
  <si>
    <t>STATE BOARD OF SCHOOL EXAMINATIONS IN NAMAKKAL / TAMIL NADU</t>
  </si>
  <si>
    <t>SKV HR SEC SCHOOL</t>
  </si>
  <si>
    <t>KUMARAGURU COLLEGE OF TACHNOLOGY IN COIMBATORE / TAMIL NADU</t>
  </si>
  <si>
    <t>Chennai Metro Rail Limited | Summer Intern | chennai | May 2023 | Jul 2023 | 7 Weeks | Campus Internship
AARUDHRA ENCLAVE | INTERN | COIMBATORE | Feb 2021 | Apr 2021 | 10 Weeks</t>
  </si>
  <si>
    <t>p2270168</t>
  </si>
  <si>
    <t>V S</t>
  </si>
  <si>
    <t>Vishnu V S</t>
  </si>
  <si>
    <t>1vishnuvs00@gmail.com</t>
  </si>
  <si>
    <t>p2270168@student.nicmar.ac.in</t>
  </si>
  <si>
    <t>26-Jun-1999</t>
  </si>
  <si>
    <t>English , Hindi ,Malayalam</t>
  </si>
  <si>
    <t>Running,Listening music,Football,Travelling,Swimming</t>
  </si>
  <si>
    <t>6603 9377 0378</t>
  </si>
  <si>
    <t>VIJAYASANKARAN M V</t>
  </si>
  <si>
    <t>EX SERVICEMAN</t>
  </si>
  <si>
    <t>GEETHA V S</t>
  </si>
  <si>
    <t>VADAKKESRAMBIKKAL (H.O)_x000D_
THACHAMPARA (P.O)_x000D_
PALAKKAD (Dist)_x000D_
KERALA_x000D_
PIN-678593</t>
  </si>
  <si>
    <t>M E T E M H S S MANNARKKAD</t>
  </si>
  <si>
    <t>STATE BOARD OF KERALA</t>
  </si>
  <si>
    <t>GHSS KARAKURISSI</t>
  </si>
  <si>
    <t>NSS COLLEGE OF ENGINEERING PALAKKAD,KERALA</t>
  </si>
  <si>
    <t>H G INFRASTRUCTURE PRIVATE LIMITED | PLANNING  | BANGALORE  | May 2023 | Jul 2023 | 7 Weeks | Campus Internship
KERALA STATE NIRMITHI KENDRA | SITE EXECUTION | WALAYAR | Jul 2019 | Jul 2019 | 0 Weeks</t>
  </si>
  <si>
    <t>p2270169</t>
  </si>
  <si>
    <t>Mohit Pal</t>
  </si>
  <si>
    <t>palmohit101@gmail.com</t>
  </si>
  <si>
    <t>p2270169@student.nicmar.ac.in</t>
  </si>
  <si>
    <t>31-Mar-1996</t>
  </si>
  <si>
    <t>Polity,History,Swimming,Basketball,Cosmology,Storytelling</t>
  </si>
  <si>
    <t>5814 5396 5180</t>
  </si>
  <si>
    <t>RAJINDER PAL</t>
  </si>
  <si>
    <t>SANTOSH BALA</t>
  </si>
  <si>
    <t>419 SONIA COLONY, NEAR MANAV CHOWK AMBALA CITY</t>
  </si>
  <si>
    <t>Ambala</t>
  </si>
  <si>
    <t>1003, ULTIMA BOYS HOSTEL, NICMAR UNIVERSITY, PUNE 25/1 BALEWADI ROAD RAM NAGAR BANER</t>
  </si>
  <si>
    <t>ARMY SCHOOL, AMBALA CANTT</t>
  </si>
  <si>
    <t>CENTRAL BOARD OF SECONDARY EDUCATION, AMBALA, HARYANA</t>
  </si>
  <si>
    <t>TULSI PUBLIC SCHOOL</t>
  </si>
  <si>
    <t>RIMT- INSTITUTE OF ENGINEERING AND TECHNOLOGY, MANDI GOBINDGARH, PUNJAB</t>
  </si>
  <si>
    <t>AutoCAD,MS Office,MS Project,Primavera,BIM,Candy,Contracts Management,EVA</t>
  </si>
  <si>
    <t>JK ASSOCIATES | Site Engineer | Bathinda, Panchkula | Apr 2021 | May 2022 | 1 Years, 1 Months, 30 Days | 3</t>
  </si>
  <si>
    <t>CIRIL | Real Estate Advisory | Ambala, Haryana | May 2023 | Jul 2023 | 7 Weeks | Campus Internship
ANIL KUMAR CONTRACTOR | Training Intern | KURUKSHETRA, HARYANA | Feb 2018 | May 2018 | 17 Weeks</t>
  </si>
  <si>
    <t>p2270170</t>
  </si>
  <si>
    <t>SONONE</t>
  </si>
  <si>
    <t>Himanshu Sonone</t>
  </si>
  <si>
    <t>himanshusonone9@gmail.com</t>
  </si>
  <si>
    <t>p2270170@student.nicmar.ac.in</t>
  </si>
  <si>
    <t>21-Aug-1998</t>
  </si>
  <si>
    <t>Cooking,Travelling,Fitness</t>
  </si>
  <si>
    <t>6776 7886 4836</t>
  </si>
  <si>
    <t>MANOJ SONONE</t>
  </si>
  <si>
    <t>JAYA SONONE</t>
  </si>
  <si>
    <t>17, Tegore Colony Ward No.-07, Near Alka Puri Rtalam M.P. 457001</t>
  </si>
  <si>
    <t>Ratlam</t>
  </si>
  <si>
    <t>MORNING STAR H.S. SCHOOL</t>
  </si>
  <si>
    <t>PEOPLE'S UNIVERSITY</t>
  </si>
  <si>
    <t>PEOPLE'S COLLEGE OF ENGINEERING, BHOPAL, MADHYA PRADESH</t>
  </si>
  <si>
    <t>AutoCAD,MS Office,MS Project,Primavera,STAAD PRO,AUTODESK REVIT,Candy</t>
  </si>
  <si>
    <t>YOLAX INFRANERGY PVT. LTD. | QUALITY ENGINNER | AHMEDABAD | Sep 2021 | May 2022 | 0 Years, 8 Months, 6 Days | 1.08</t>
  </si>
  <si>
    <t>L and T  Realty | Site Execution | Navi Mumbai | May 2023 | Jul 2023 | 7 Weeks | Campus Internship
GREEN LEAF ENVIRONTECH PRIVATE LIMITED | INTERN | WARDHA, MAHARASTRA | Aug 2019 | Sep 2019 | 4 Weeks</t>
  </si>
  <si>
    <t>p2270171</t>
  </si>
  <si>
    <t>JUGALKISHOR</t>
  </si>
  <si>
    <t>MUNDHADA</t>
  </si>
  <si>
    <t>Aditya Jugalkishor Mundhada</t>
  </si>
  <si>
    <t>aditya13mundhada@gmail.com</t>
  </si>
  <si>
    <t>p2270171@student.nicmar.ac.in</t>
  </si>
  <si>
    <t>13-Aug-1999</t>
  </si>
  <si>
    <t>English,Hindi,Marathi,Marwadi</t>
  </si>
  <si>
    <t>Singing,Playing Cricket,Traveling,Cycling</t>
  </si>
  <si>
    <t>7708 1847 5151</t>
  </si>
  <si>
    <t>Sagar Textiles, Ward No 7,Tilak Chowk, Dhamangaon Rly, Amravati, Maharashtra</t>
  </si>
  <si>
    <t>SETH FATHELAL LABHCHAND HIGHSCHOOL</t>
  </si>
  <si>
    <t>SETH FATHELAL LABHCHAND JUNIOR COLLEGE</t>
  </si>
  <si>
    <t>NAGPUR, MAHARSHTRA</t>
  </si>
  <si>
    <t>Rishabh Builders | Planning Intern | Raipur | May 2023 | Jul 2023 | 7 Weeks | Campus Internship
KHALATKAR CONSTRUCTION COMPANY | Site Intern | NAGPUR | Dec 2020 | Jun 2021 | 26 Weeks</t>
  </si>
  <si>
    <t>p2270172</t>
  </si>
  <si>
    <t>Sarang Satish Mundhada</t>
  </si>
  <si>
    <t>sarangmundhada94@gmail.com</t>
  </si>
  <si>
    <t>p2270172@student.nicmar.ac.in</t>
  </si>
  <si>
    <t>03-Jul-1999</t>
  </si>
  <si>
    <t>Cooking,Playing Cricket,Cycling</t>
  </si>
  <si>
    <t>8730 1129 6541</t>
  </si>
  <si>
    <t>SATISH G MUNDHADA</t>
  </si>
  <si>
    <t>SANGEETA MUNDHADA</t>
  </si>
  <si>
    <t>NEAR NEW JAIN MANDIR,MAIN ROAD ,DHAMANGAON RAILWAY</t>
  </si>
  <si>
    <t>SETH FATHELAL LABCHAND HIGH SCHOOL AND JUNIOR COLLAGE,DHAMANGAON RAILWAY</t>
  </si>
  <si>
    <t>AMRAVATI</t>
  </si>
  <si>
    <t>SANT GAGDE BABA AMRAVATI UNIVERSITY</t>
  </si>
  <si>
    <t>PROF RAM MEGHE COLLAGE OF ENGINEERING AND MANAGEMENT,BADNERA DIST-AMRAVATI</t>
  </si>
  <si>
    <t>AutoCAD,MS Office,MS Project,Primavera,REVIT,BIM</t>
  </si>
  <si>
    <t>Bangalore Metro Rail Corporation Limited | Execution and planning | Bangalore | May 2023 | Jul 2023 | 7 Weeks | Campus Internship
GOVINDA CONSTRUCTIONS CO | SITE SUPERVISOR | DHAMANGAON RAILWAY | Jan 2021 | Mar 2021 | 8 Weeks
NAGAARJUN CONSTRUCTION COMPANY | FIELD ASSISTANT | SAMRUDDHI MAHAMARG(DHAMANGAON RAILWAY) | May 2020 | Nov 2020 | 26 Weeks</t>
  </si>
  <si>
    <t>p2270173</t>
  </si>
  <si>
    <t>Saurabh Balasaheb Deshmukh</t>
  </si>
  <si>
    <t>saurabhdeshmukhakola@gmail.com</t>
  </si>
  <si>
    <t>p2270173@student.nicmar.ac.in</t>
  </si>
  <si>
    <t>17-Feb-1999</t>
  </si>
  <si>
    <t>5223 7771 7280</t>
  </si>
  <si>
    <t>Mauli House,Vijay Housing Society,Infront Of Khandelwal  School_x000D_
Gorkshan Road</t>
  </si>
  <si>
    <t>JYOTI JANOLKAR VIDHYALAYA,AKOLA</t>
  </si>
  <si>
    <t>AMRAVATI STATE BOARD,AKOLA,MAHARASHTRA</t>
  </si>
  <si>
    <t>JYOTI JANOLKAR JR.COLLEGE,AKOLA</t>
  </si>
  <si>
    <t>SPPU PUNE UNIVERSITY</t>
  </si>
  <si>
    <t>PCCOE,NIGDI,PUNE</t>
  </si>
  <si>
    <t>AutoCAD,MS Office,MS Project,Primavera,Revit,Candy,Naviswork,MS Excel</t>
  </si>
  <si>
    <t>PINAKIIN DESIGNS | Purchase and Procurement Intern | Pune | May 2023 | Jul 2023 | 7 Weeks | Campus Internship</t>
  </si>
  <si>
    <t>p2270174</t>
  </si>
  <si>
    <t>RUTVIK</t>
  </si>
  <si>
    <t>SUNJIV</t>
  </si>
  <si>
    <t>MENGHARE</t>
  </si>
  <si>
    <t>Rutvik Sunjiv Menghare</t>
  </si>
  <si>
    <t>rutvik487@gmail.com</t>
  </si>
  <si>
    <t>p2270174@student.nicmar.ac.in</t>
  </si>
  <si>
    <t>25-Oct-1999</t>
  </si>
  <si>
    <t>Cricket,Volleyball,Trekking,Cooking</t>
  </si>
  <si>
    <t>7523 7333 6940</t>
  </si>
  <si>
    <t>SUNJIV MENGHARE</t>
  </si>
  <si>
    <t>MADHURI MENGHARE</t>
  </si>
  <si>
    <t>2, Rajiv Nagar, Somalwada Wardha Road Nagpur</t>
  </si>
  <si>
    <t>CBSE BOARD/ NAGPUR/ MAHARASHTRA</t>
  </si>
  <si>
    <t>P.M.B.S JR. COLLEGE OF ARTS COMMERCE AND SCIENCE</t>
  </si>
  <si>
    <t>YESHWANTRAO CHAVAN COLLEGE OF ENGINEERING NAGPUR MAHARASHTRA</t>
  </si>
  <si>
    <t>AutoCAD,MS Office,MS Project,Primavera,Candy,Power BI,BIM</t>
  </si>
  <si>
    <t>VESTIAN GLOBAL | Site Execution | Pune | May 2023 | Jul 2023 | 7 Weeks | Campus Internship
SWAMI SAMARTH KRUPA INFRASTRUCTURE PRIVATE LIMITED | INTERN | NAGPUR | May 2021 | Jul 2022 | 64 Weeks</t>
  </si>
  <si>
    <t>p2270175</t>
  </si>
  <si>
    <t>GREESHMA</t>
  </si>
  <si>
    <t>GIRISH KUMAR</t>
  </si>
  <si>
    <t>Greeshma Girish Kumar</t>
  </si>
  <si>
    <t>greeshma1998@gmail.com</t>
  </si>
  <si>
    <t>p2270175@student.nicmar.ac.in</t>
  </si>
  <si>
    <t>05-Feb-1998</t>
  </si>
  <si>
    <t>English,Hindi,Malayalam,Tamil,Arabic</t>
  </si>
  <si>
    <t>4580 8543 3557</t>
  </si>
  <si>
    <t>V R GIRISH KUMAR</t>
  </si>
  <si>
    <t>VEENA GIRISH KUMAR</t>
  </si>
  <si>
    <t>Ward 7, Vayakattil House, North Engals Nagar, P. O Thrithalloor, Vadanapally, Thrissur, Kerala</t>
  </si>
  <si>
    <t>DELHI PRIVATE SCHOOL, SHARJAH</t>
  </si>
  <si>
    <t>AutoCAD,MS Project,Primavera,Ansys APDL,Revit,Navisworks,Candy,Google BigQuery,MySQL,Google Cloud Platform,Python(Basics)</t>
  </si>
  <si>
    <t>Infosys Limited | Junior Developer | Thiruvananthapuram | Nov 2020 | Jul 2022 | 1 Years, 7 Months, 11 Days | 4.03</t>
  </si>
  <si>
    <t>HILTI INDIA PVT LTD | Technical Intern | Mumbai | May 2023 | Jul 2023 | 7 Weeks | Campus Internship
WOODS BAGOT CONFIDENT GROUP | INTERN, AUTOCAD DRAFTING | DUBAI, THRISSUR | Jul 2017 | Jul 2017 | 0 Weeks
COUNCIL OF SCIENTIFIC AND INDUSTRIAL RESEARCH | SUMMER INTERN, PROJECT RESEARCH | ONLINE | Jun 2020 | Aug 2020 | 13 Weeks</t>
  </si>
  <si>
    <t>p2270177</t>
  </si>
  <si>
    <t>Pranav Rajendra Shinde</t>
  </si>
  <si>
    <t>pshinde5665@gmail.com</t>
  </si>
  <si>
    <t>p2270177@student.nicmar.ac.in</t>
  </si>
  <si>
    <t>Trekking,Cricket,Cycling</t>
  </si>
  <si>
    <t>5429 3013 2259</t>
  </si>
  <si>
    <t>RAJENDRA KUSHABA SHINDE</t>
  </si>
  <si>
    <t>VAISHALI RAJENDRA SHINDE</t>
  </si>
  <si>
    <t>Savtamali Nagar, Sangamner, A.Nagar</t>
  </si>
  <si>
    <t>SAHYADRI VIDYALAYA, SANGAMNER</t>
  </si>
  <si>
    <t>SAHYADRI JUNIOR COLLEGE, SANGAMNER</t>
  </si>
  <si>
    <t>AMRUTVAHINI COLLEGE OF ENGINEERING, SANGAMNER</t>
  </si>
  <si>
    <t>Singhania Buildcon | Project Management  | Raipur | May 2023 | Jul 2023 | 7 Weeks | Campus Internship
Shri. Sudhir V. Katore | Site Execution &amp; Control | Sangamner | Dec 2021 | Apr 2022 | 18 Weeks</t>
  </si>
  <si>
    <t>p2270178</t>
  </si>
  <si>
    <t>VERMA</t>
  </si>
  <si>
    <t>Swapnil Verma</t>
  </si>
  <si>
    <t>swapnilverma0606@gmail.com</t>
  </si>
  <si>
    <t>p2270178@student.nicmar.ac.in</t>
  </si>
  <si>
    <t>06-Jun-1999</t>
  </si>
  <si>
    <t>Solving Puzzles,Cycling</t>
  </si>
  <si>
    <t>8332 0085 3437</t>
  </si>
  <si>
    <t>DEO PRAKASH VERMA</t>
  </si>
  <si>
    <t>INDRANI VERMA</t>
  </si>
  <si>
    <t>HOUSE NO. 627/6 , AWADHPURI COLONY,RSALI SECTOR, BHILAI</t>
  </si>
  <si>
    <t>ULTIMA HOSTEL,NICMAR UNIVERSITY ,BANER,BALEWADI ROAD,PUNE</t>
  </si>
  <si>
    <t>DELHI PUBLIC SCHOOL,RISALI SECTOR,BHILAI,DURG,CG</t>
  </si>
  <si>
    <t>CBSE(CENTRAL BOARD OF SECONDARY EDUCATION), DELHI</t>
  </si>
  <si>
    <t>DELHI PUBLIC SCHOOL ,RISALI SECTOR,BHILAI,CG</t>
  </si>
  <si>
    <t>CHHATTISGARH SWAMI VIVEKANAND TECHNICAL UNIVERSITY  , BHILAI,CHHATTISGARH</t>
  </si>
  <si>
    <t>SHRI SHANKARACHARYA TECHNICAL CAMPUS,BHILAI</t>
  </si>
  <si>
    <t>AutoCAD,MS Office,MS Project,Primavera,Revit,EPANET(Piping Software)</t>
  </si>
  <si>
    <t>J. KUMAR INFRAPROJECTS LIMITED | PLANNING AND SITE MONITORING | MUMBAI | May 2023 | Jul 2023 | 7 Weeks | Campus Internship
VARDHAN CONSULTING ENGINEERS | INTERN | PATNA , BIHAR , INDIA  | May 2022 | Jun 2022 | 8 Weeks
NATIONAL THERMAL POWER CORPORATION LIMITED | VOCATIONAL TRAINEE | BILASPUR , CHHATTISGARH | Jun 2021 | Jul 2021 | 4 Weeks</t>
  </si>
  <si>
    <t>p2270179</t>
  </si>
  <si>
    <t>BADRI</t>
  </si>
  <si>
    <t>Badri Vikas</t>
  </si>
  <si>
    <t>badrivikas864@gmail.com</t>
  </si>
  <si>
    <t>p2270179@student.nicmar.ac.in</t>
  </si>
  <si>
    <t>13-Feb-2000</t>
  </si>
  <si>
    <t>Listening Music,Visits near by construction sites,Explore new places</t>
  </si>
  <si>
    <t>8094 1352 4946</t>
  </si>
  <si>
    <t>BADRI VENU GOPAL</t>
  </si>
  <si>
    <t>BADRI MANJULA</t>
  </si>
  <si>
    <t>2-4-188, RAM BAZAR, JAGTIAL</t>
  </si>
  <si>
    <t>Jagtial</t>
  </si>
  <si>
    <t>NICMAR ULTIMA HOSTEL,25/1, BALEWADI ROAD, RAM NAGAR, BANER</t>
  </si>
  <si>
    <t>MOUNT CARMEL HIGH SCHOOL</t>
  </si>
  <si>
    <t>SECONDARY SCHOOL CERTIFICATE, JAGTIAL, TELANGANA</t>
  </si>
  <si>
    <t>JYOTHISHMATHI INSTITUTE OF TECHNOLOGICAL SCIENCES, KARIMNAGAR, TELANGANA</t>
  </si>
  <si>
    <t>VAAGESWARI COLLEGE OF ENGINEERING, KARIMNAGAR, TELANGANA</t>
  </si>
  <si>
    <t>EPMCR | Project Planning | Chennai | May 2023 | Jul 2023 | 7 Weeks | Campus Internship
ROADS AND BUILDINGS DEPARTMENT | INDUSTRIAL TRAINING | JAGTIAL | Apr 2017 | May 2017 | 4 Weeks
SR ASSOCIATES ARCHITECTS AND ENGINEERS | GRADUATE ENGINEER TRAINEE | JAGTIAL | Aug 2021 | Jan 2022 | 26 Weeks</t>
  </si>
  <si>
    <t>p2270180</t>
  </si>
  <si>
    <t>RAGHUWANSHI</t>
  </si>
  <si>
    <t>Raghuwanshi Anushka Nikita</t>
  </si>
  <si>
    <t>anushkaraghuwanshi33@gmail.com</t>
  </si>
  <si>
    <t>p2270180@student.nicmar.ac.in</t>
  </si>
  <si>
    <t>30-Jun-1999</t>
  </si>
  <si>
    <t>Illustration</t>
  </si>
  <si>
    <t>3690 8764 6525</t>
  </si>
  <si>
    <t>AGRICULTURAL</t>
  </si>
  <si>
    <t>DIPA</t>
  </si>
  <si>
    <t>Vakil Line Tilak Chowk_x000D_
Paratwada</t>
  </si>
  <si>
    <t>FATIMA CONVENT HIGH SCHOOL</t>
  </si>
  <si>
    <t>AMARAVATI</t>
  </si>
  <si>
    <t>SUNDARABAI HIGH SCHOOL</t>
  </si>
  <si>
    <t>SARDAR PATEL COLLEGE OF ENGINEERING MUMBAI</t>
  </si>
  <si>
    <t>AutoCAD,MS Office,Primavera</t>
  </si>
  <si>
    <t>Godrej Properties | Costing and budgeting  | Delhi NCR | May 2023 | Jul 2023 | 7 Weeks | Campus Internship
Grau Bar Studios, Indore | Social Median Design and Marketiing. | Indore | Apr 2022 | Jun 2022 | 11 Weeks</t>
  </si>
  <si>
    <t>p2270181</t>
  </si>
  <si>
    <t>DEY</t>
  </si>
  <si>
    <t>Pratik Dey</t>
  </si>
  <si>
    <t>pratikdey100@gmail.com</t>
  </si>
  <si>
    <t>p2270181@student.nicmar.ac.in</t>
  </si>
  <si>
    <t>03-Dec-1998</t>
  </si>
  <si>
    <t>Listening to music,Playing guitar,Playing football and cricket.,Travelling</t>
  </si>
  <si>
    <t>8723 1541 4916</t>
  </si>
  <si>
    <t>PRADIP KUMAR DEY</t>
  </si>
  <si>
    <t>SASWATI DEY</t>
  </si>
  <si>
    <t>Dharsa Hari Sova Tala G.I.P Colony Howrah-711112</t>
  </si>
  <si>
    <t>KENDRIYA VIDYALAYA SANTRAGACHI</t>
  </si>
  <si>
    <t>CBSE HOWRAH/WEST BENGAL</t>
  </si>
  <si>
    <t>KALINGA INSTITUTE OF INDUSTRIAL TECHNOLOGY  BHUBANESWAR/ODISHA</t>
  </si>
  <si>
    <t>MACKINTOSH BURN LIMITED | SUMMER INTERN TRAINEE | Kolkata | May 2023 | Jul 2023 | 7 Weeks | Campus Internship
GREEN CONSULTANCY | TRAINEE | HOWRAH | Aug 2021 | Aug 2022 | 53 Weeks
WEST BENGAL TRANSPORT INFRASTRUCTURE DEVELOPMENT CORPORATION LIMITED | TRAINEE | KOLKATA | May 2019 | Jun 2019 | 4 Weeks
GAMMON INDIA | TRAINEE | KOLKATA | Jun 2018 | Jul 2018 | 2 Weeks</t>
  </si>
  <si>
    <t>p2270182</t>
  </si>
  <si>
    <t>THEKEDAR</t>
  </si>
  <si>
    <t>Tejas Kishor Thekedar</t>
  </si>
  <si>
    <t>tejasthekedar.31@gmail.com</t>
  </si>
  <si>
    <t>p2270182@student.nicmar.ac.in</t>
  </si>
  <si>
    <t>Trekking,Badminton,Reading,Dancing</t>
  </si>
  <si>
    <t>5400 9929 8770</t>
  </si>
  <si>
    <t>KISHOR THEKEDAR</t>
  </si>
  <si>
    <t>AMITA THEKEDAR</t>
  </si>
  <si>
    <t>K-301 Sarvodaya Park Near Swami Samarth Math Nandivli Road Dombivli (east)</t>
  </si>
  <si>
    <t>302 SERENE SPACES BALEWADI VILLAGE ROAD BALEWADI GAON BALEWADI</t>
  </si>
  <si>
    <t>HOLY ANGELS' SCHOOL</t>
  </si>
  <si>
    <t>AutoCAD,MS Office,MS Project,Primavera,STAAD PRO,Candy</t>
  </si>
  <si>
    <t>Jones Lang LaSalle India Pvt Ltd | Strategic Consulting | Mumbai | May 2023 | Jul 2023 | 7 Weeks | Campus Internship
EGIS INDIA CONSULTING ENGINEERS PVT LTD | Trainee | MUMBAI | Jun 2021 | Jul 2021 | 4 Weeks</t>
  </si>
  <si>
    <t>p2270183</t>
  </si>
  <si>
    <t>RUTIK</t>
  </si>
  <si>
    <t>JIVAN</t>
  </si>
  <si>
    <t>Galande Rutik Jivan</t>
  </si>
  <si>
    <t>grutvik1971@gmail.com</t>
  </si>
  <si>
    <t>p2270183@student.nicmar.ac.in</t>
  </si>
  <si>
    <t>Dancing.,Reading.,Swimming.,Cooking.,Football.,Travelling.</t>
  </si>
  <si>
    <t>3441 8497 6779</t>
  </si>
  <si>
    <t>JIVAN DATTATRAYA GALANDE</t>
  </si>
  <si>
    <t>SUNITA JIVAN GALANDE</t>
  </si>
  <si>
    <t>502, Landmark Complex, Luiswadi, Thane West</t>
  </si>
  <si>
    <t>SRI MA BAL NIKETAN HIGH SCHOOL AND JUNIOR COLLEGE, THANE</t>
  </si>
  <si>
    <t>MAHARASHTRA STATE BOARD OF SECONDARY AND HIGHER SECONDARY EDUCATION, PUNE- THANE</t>
  </si>
  <si>
    <t>P.E.SOCIETY ENGLISH MEDIUM HIGH SCHOOL AND JUNIOR COLLEGE(PES), THANE</t>
  </si>
  <si>
    <t>MIT WORLD PEACE UNIVERSITY PUNE</t>
  </si>
  <si>
    <t>AutoCAD,MS Office,MS Project,Primavera,CANDY,Advanced Excel,Naviswork,Autodesk Revit</t>
  </si>
  <si>
    <t>ASIAN PAINTS | Project Sales | Mumbai | May 2023 | Jul 2023 | 7 Weeks | Campus Internship
AARAMBH DEVELOPERS | TRAINEE/ INTERN | PUNE | Nov 2020 | Feb 2021 | 13 Weeks</t>
  </si>
  <si>
    <t>p2270184</t>
  </si>
  <si>
    <t>MAHENDRAKAR</t>
  </si>
  <si>
    <t>Mahendrakar Hrishikesh Ramesh</t>
  </si>
  <si>
    <t>hrishi.mhn@gmail.com</t>
  </si>
  <si>
    <t>p2270184@student.nicmar.ac.in</t>
  </si>
  <si>
    <t>11-Dec-1994</t>
  </si>
  <si>
    <t>8077 4724 1639</t>
  </si>
  <si>
    <t>RAMESH GOPALRAO MAHENDRAKAR</t>
  </si>
  <si>
    <t>FLAT NO 406 C WING GK ARISE KATE WASTI ROAD GAIKWAD NAGAR PUNAWALE PIMPRI CHINCHWAD</t>
  </si>
  <si>
    <t>BASAWANAPPA WALE NEW ENGLISH MEDIUM SCHOOL LATUR</t>
  </si>
  <si>
    <t>DAYANAND SCIENCE COLLEGE LATUR</t>
  </si>
  <si>
    <t>DR. BABASAHEB AMBEDKAR MARATHWADA UNIVERSITY AURANGABAD</t>
  </si>
  <si>
    <t>JAWAHARLAL NEHRU ENGINEERING COLLEGE AURANGABAD</t>
  </si>
  <si>
    <t>AutoCAD,MS Office,MS Project,Primavera,Revit,Navisworks,Candy,Bexel manager,Cloud Computing,Excel with Chat-GPT,PowerPoint with Chat-GPT,Power BI,Data science,R for Data mining and analysis,VisiLean</t>
  </si>
  <si>
    <t>L AND T  REALTY |  INTERN | MUMBAI | May 2023 | Jul 2023 | 7 Weeks | Campus Internship</t>
  </si>
  <si>
    <t>p2270185</t>
  </si>
  <si>
    <t>YUVRAJ</t>
  </si>
  <si>
    <t>HARENDRAKUMAR</t>
  </si>
  <si>
    <t>THAKOR</t>
  </si>
  <si>
    <t>Yuvraj Harendrakumar Thakor</t>
  </si>
  <si>
    <t>thakoryuvraj9@gmail.com</t>
  </si>
  <si>
    <t>p2270185@student.nicmar.ac.in</t>
  </si>
  <si>
    <t>04-Jan-2000</t>
  </si>
  <si>
    <t>English, Gujarati, Hindi</t>
  </si>
  <si>
    <t>5017 6599 1370</t>
  </si>
  <si>
    <t>HARENDRA RANJITSINH THAKOR</t>
  </si>
  <si>
    <t>JAYA HARENDRA THAKOR</t>
  </si>
  <si>
    <t>Plot No.5, Rashmi Park, Behind Misson Colony, Valsad</t>
  </si>
  <si>
    <t>SETT RUSTOMJEE JAMSETJEE JEJEEBHOY HIGH SCHOOL</t>
  </si>
  <si>
    <t>JAY AMBE VIDHYABHAVAN HIGHER SECONDARY SCHOOL</t>
  </si>
  <si>
    <t>G H PATEL COLLEGE OF ENGINEERING &amp; TECHNOLOGY, V.V. NAGAR, ANAND</t>
  </si>
  <si>
    <t>Spaceify Technolgies | Summer intern | Surat | May 2023 | Jul 2023 | 7 Weeks | Campus Internship</t>
  </si>
  <si>
    <t>p2270186</t>
  </si>
  <si>
    <t>Siddharth Chandrashekhar Kadam</t>
  </si>
  <si>
    <t>siddharthkadamsidk0000@gmail.com</t>
  </si>
  <si>
    <t>p2270186@student.nicmar.ac.in</t>
  </si>
  <si>
    <t>16-Mar-1999</t>
  </si>
  <si>
    <t>Running,Travelling,Reading,Football</t>
  </si>
  <si>
    <t>4318 5556 6387</t>
  </si>
  <si>
    <t>CHANDRASHEKHAR LAXMANRAO KADAM</t>
  </si>
  <si>
    <t>PRIYA KADAM</t>
  </si>
  <si>
    <t>Chandrama, Ram Mandir Chowk, A/P Deolali Pravara, Rahuri, Ahmednagar.</t>
  </si>
  <si>
    <t>815, ULTIMA HOSTEL, NICMAR COLLEGE, BALEWADI.</t>
  </si>
  <si>
    <t>THE BISHOP'S CO-ED SCHOOL, KLN.</t>
  </si>
  <si>
    <t>ICSE BOARD, PUNE.</t>
  </si>
  <si>
    <t>LOYOLA HIGH SCHOOL AND JUNIOR COLLEGE.</t>
  </si>
  <si>
    <t>MITWPU (WORLD PEACE UNIVERSITY).</t>
  </si>
  <si>
    <t>DR. VISHWANATH KARAD MIT WORLD PEACE UNIVERSITY, PUNE.</t>
  </si>
  <si>
    <t>AutoCAD,MS Office,MS Project,Primavera,BIM,CANDY</t>
  </si>
  <si>
    <t>ANAROCK Property Consultant | Sales | Pune | May 2023 | Jul 2023 | 8 Weeks | Campus Internship
RAJ PATH INFRACON PVT LTD | LABORATARY TESTER | SHIRDI | Oct 2021 | Jan 2022 | 12 Weeks
JAGTAP INFRAVENTURES INDIA PVT LTD | ONSITE ENGINEER  | LONI, SHIRDI | Jan 2021 | Mar 2021 | 9 Weeks</t>
  </si>
  <si>
    <t>p2270187</t>
  </si>
  <si>
    <t>DIKSHA</t>
  </si>
  <si>
    <t>MUTTIN</t>
  </si>
  <si>
    <t>Diksha A Muttin</t>
  </si>
  <si>
    <t>dikshamuttin97@gmail.com</t>
  </si>
  <si>
    <t>p2270187@student.nicmar.ac.in</t>
  </si>
  <si>
    <t>04-Jul-1997</t>
  </si>
  <si>
    <t>Hindi,English,Kannada,Marathi</t>
  </si>
  <si>
    <t>Badminton,Traveling,Dance,yoga</t>
  </si>
  <si>
    <t>8193 4387 0007</t>
  </si>
  <si>
    <t>ABHINANDAN C M</t>
  </si>
  <si>
    <t>JYOTI A M</t>
  </si>
  <si>
    <t>DIKSHA A M_x000D_
H.no:77,_x000D_
Mangalwar Peth,_x000D_
Near Nagreshwara Temple,_x000D_
Dharwad</t>
  </si>
  <si>
    <t>SRI MANJUNATHESHWARA CENTRAL SCHOOL DHARWAD</t>
  </si>
  <si>
    <t>HIREMALLUR ISHWARAN PU COLLEGE DHARWAD</t>
  </si>
  <si>
    <t>VISHVESVARAYA TECHNOLOGICAL UNIVERSITY,BELGAVI</t>
  </si>
  <si>
    <t>GOGTE INSTITUTE OF TECNOLOGY</t>
  </si>
  <si>
    <t>AutoCAD,MS Office,MS Project,AUTOCADD,SKETCHUP,LUMION,REVIT</t>
  </si>
  <si>
    <t>DVIEWS | JUNIOR ARCHITECT | BELGAUM | Mar 2020 | Mar 2021 | 0 Years, 11 Months, 23 Days | 1.44</t>
  </si>
  <si>
    <t>HILTI INDIA PVT LTD | Sales Intern | Bangalore  | May 2023 | Jul 2023 | 7 Weeks | Campus Internship
KEMBHAVI ARCHITECTURE FOUNDATION | DESIGNING, RENDERING, WORKING DRAWINGS, | BANGALORE | Jan 2019 | Jun 2019 | 24 Weeks</t>
  </si>
  <si>
    <t>p2270188</t>
  </si>
  <si>
    <t>PRATYUSH</t>
  </si>
  <si>
    <t>CHAULKAR</t>
  </si>
  <si>
    <t>Pratyush Pravin Chaulkar</t>
  </si>
  <si>
    <t>pratyushchaulkar@gmail.com</t>
  </si>
  <si>
    <t>p2270188@student.nicmar.ac.in</t>
  </si>
  <si>
    <t>22-Oct-2000</t>
  </si>
  <si>
    <t>Singing,percussionist,cooking,swimming</t>
  </si>
  <si>
    <t>8203 9293 3193</t>
  </si>
  <si>
    <t>SURVICE RETIRED</t>
  </si>
  <si>
    <t>PRITA</t>
  </si>
  <si>
    <t>Bhogeshwar Ali,opp. Murud S.T. Depot, Murud-Janjira.</t>
  </si>
  <si>
    <t>301, PHASE 3B,ASHTAGANDHA SOCIETY,BANER.</t>
  </si>
  <si>
    <t>SIR S. A. HIGHSCHOOL ,MURUD JANJIRA, RAIGAD.</t>
  </si>
  <si>
    <t>MAHARASHTRA STATE BOARD OF SECONDARY AND HIGHER SECONDARY EDUCATION, PUNE. 8</t>
  </si>
  <si>
    <t>ST. MARY'S JUNIOR COLLEGE, VASHI ,NAVI MUMBAI.</t>
  </si>
  <si>
    <t>DATTA MEGHE COLLEGE OF ENGINEERING, AIROLI, NAVI MUMBAI.</t>
  </si>
  <si>
    <t>AutoCAD,MS Office,MS Project,Primavera,Revit,Naviswork,Candy,canva</t>
  </si>
  <si>
    <t>J. Kumar Infraprojects Ltd. | Project Management | Mumbai | May 2023 | Jul 2023 | 7 Weeks | Campus Internship
Kaivalya infra | Site Execution | Murud Janjira | Jun 2022 | Jun 2022 | 4 Weeks</t>
  </si>
  <si>
    <t>p2270189</t>
  </si>
  <si>
    <t>Aman Vijay Salunkhe</t>
  </si>
  <si>
    <t>amanvsalunkhe23@gmail.com</t>
  </si>
  <si>
    <t>p2270189@student.nicmar.ac.in</t>
  </si>
  <si>
    <t>23-Mar-1998</t>
  </si>
  <si>
    <t>Playing Cricket,Workout,Swimming,Drawing</t>
  </si>
  <si>
    <t>3352 2823 8188</t>
  </si>
  <si>
    <t>VIJAY JANARDHAN SALUNKHE</t>
  </si>
  <si>
    <t>VISHAKHA VIJAY SALUNKHE</t>
  </si>
  <si>
    <t>160/4435, Naidu Colony, Pant Nagar, Ghatkopar-East</t>
  </si>
  <si>
    <t>PUNE VIDYARTHI GRIHA VIDYA BHAWAN</t>
  </si>
  <si>
    <t>MUMBAI CITY</t>
  </si>
  <si>
    <t>DATTA MEGHE COLLEGE OF ENGINEERING, NAVI MUMBAI, MAHARASHTRA</t>
  </si>
  <si>
    <t>J. Kumar Infraprojects | Site execution + Control | Mumbai | May 2023 | Jul 2023 | 7 Weeks | Campus Internship
MAN INFRACONSTRUCTION LTD | SITE EXECUTION | MUMBAI | Feb 2021 | May 2021 | 12 Weeks
K RAHEJA CORPORATE SERVICES PVT LTD | SITE EXECUTION | NAVI MUMBAI | Apr 2022 | Jul 2022 | 17 Weeks
SHAPOORJI PALLONJI AND COMPANY PRIVATE LIMITED | TRAINEE | NAVI MUMBAI | Dec 2019 | Jan 2020 | 4 Weeks</t>
  </si>
  <si>
    <t>p2270190</t>
  </si>
  <si>
    <t>MOHD ASHADULLAH</t>
  </si>
  <si>
    <t>MOHD ABDULLAH</t>
  </si>
  <si>
    <t>Mohd Ashadullah Mohd Abdullah Ansari</t>
  </si>
  <si>
    <t>ashadansari009@gmail.com</t>
  </si>
  <si>
    <t>p2270190@student.nicmar.ac.in</t>
  </si>
  <si>
    <t>15-Nov-1999</t>
  </si>
  <si>
    <t>Fooball,chess</t>
  </si>
  <si>
    <t>7778 6890 8845</t>
  </si>
  <si>
    <t>MOHD ABDULLAH ANSARI</t>
  </si>
  <si>
    <t>SHANAZ ANSARI</t>
  </si>
  <si>
    <t>PLOT NO,41 POPULAR HOUSING SOCIETY NAKA NO-10 WADI AMRAVATI RAOD-440023</t>
  </si>
  <si>
    <t>THE CHANDA DEVI SARAF SCHOOL</t>
  </si>
  <si>
    <t>ICSE NAGPUR/MAHARASHTRA</t>
  </si>
  <si>
    <t>SARASWATI HIGH SCHOOL AND JUNIOR COLLEGE</t>
  </si>
  <si>
    <t>AutoCAD,MS Office,MS Project,STAAD PRO</t>
  </si>
  <si>
    <t>Om Satyam Buildcons PVT. LTD. | Site Execution | NAGPUR | May 2023 | Jul 2023 | 7 Weeks | Campus Internship
OM SATYAM BUILDCONS | INTERN SITE SUPERVISORS | NAGPUR  | Jan 2022 | May 2022 | 17 Weeks</t>
  </si>
  <si>
    <t>p2270191</t>
  </si>
  <si>
    <t>HARMANPREET</t>
  </si>
  <si>
    <t>Harmanpreet Singh</t>
  </si>
  <si>
    <t>nagpal.harman12@gmail.com</t>
  </si>
  <si>
    <t>p2270191@student.nicmar.ac.in</t>
  </si>
  <si>
    <t>06-Jun-1996</t>
  </si>
  <si>
    <t>Travelling,Reading,Writing,Listening Music</t>
  </si>
  <si>
    <t>3030 2419 9981</t>
  </si>
  <si>
    <t>PAWNA KUMAR</t>
  </si>
  <si>
    <t>House No. 990/2 Old Suraj Nagari Stno.7 Colledge Road</t>
  </si>
  <si>
    <t>Fazilka</t>
  </si>
  <si>
    <t>NICMAR NEW HOSTEL, N.I.A. POST OFFICE, 25/1, BALEWADI RD, RAM NAGAR, BANER, PUNE, MAHARASHTRA</t>
  </si>
  <si>
    <t>03830-SAWAN PUBLIC SCHOOL SIRSA,HARYANA</t>
  </si>
  <si>
    <t>GOVERMENT MODEL SENIOR SECONDARY SCHOOL,ABOHAR(FAZILKA)</t>
  </si>
  <si>
    <t>PUNJAB SCHOOL EDUCATION BOARD</t>
  </si>
  <si>
    <t>GURU NANAK DEV UNIVERSITY</t>
  </si>
  <si>
    <t>DEPARTMENT OF ARCHITECTURE,AMRITSAR(PUNJAB)</t>
  </si>
  <si>
    <t>AutoCAD,MS Office,MS Project,Primavera,SketchUP,BIM,Lumion,Adobe Photoshop</t>
  </si>
  <si>
    <t>THIRD EYE ARCHITECTS | Architect | Amritsar | Oct 2020 | Jul 2022 | 1 Years, 9 Months, 9 Days | 1.5</t>
  </si>
  <si>
    <t>OBEROI REALTY | INTERN-ARCHITECTURE | MUMBAI | May 2023 | Jul 2023 | 7 Weeks | Campus Internship
ARCHITECTS HIVE | TRAINEE ARCHITECT | AMRITSAR | Feb 2017 | Mar 2018 | 57 Weeks
PLURAL DESIGN CONSULTANTS | TRAINEE ARCHITECT | NEW DELHI | Jun 2018 | Nov 2018 | 25 Weeks</t>
  </si>
  <si>
    <t>p2270192</t>
  </si>
  <si>
    <t>NAKADE</t>
  </si>
  <si>
    <t>Divya Purushottam Nakade</t>
  </si>
  <si>
    <t>nakadedivya@gmail.com</t>
  </si>
  <si>
    <t>p2270192@student.nicmar.ac.in</t>
  </si>
  <si>
    <t>28-Mar-1998</t>
  </si>
  <si>
    <t>Dancing,Crafting,Cooking,Painting,Playing Chess</t>
  </si>
  <si>
    <t>5122 7869 8615</t>
  </si>
  <si>
    <t>PURUSHOTTAM RAGHUNATH NAKADE</t>
  </si>
  <si>
    <t>VIJAYA PURUSHOTTAM NAKADE</t>
  </si>
  <si>
    <t>WCL</t>
  </si>
  <si>
    <t>Dhoptala Township, 41/6, Rajura, Chandrapur</t>
  </si>
  <si>
    <t>STELLA MARIS SCHOOL</t>
  </si>
  <si>
    <t>JAI HIND JR. COLLEGE OF SCIENCE</t>
  </si>
  <si>
    <t>RASHTRASANT TUKODOGI MAHARAJ NAGPUR UNIVERSITY</t>
  </si>
  <si>
    <t>G.H. RAISONI INSTITUTE OF ENGINEERING AND TECHNOLOGY</t>
  </si>
  <si>
    <t>AutoCAD,MS Office,MS Project,Primavera,CANDY,BIM,REVIT</t>
  </si>
  <si>
    <t>Ascent Business Solutions | Assistant Executive | Nagpur | Apr 2021 | Jun 2022 | 1 Years, 1 Months, 15 Days | 2.24</t>
  </si>
  <si>
    <t>Ira Sustainable Water Solutions | Project Planning  | Pune | May 2023 | Jul 2023 | 7 Weeks | Campus Internship
PUBLIC WORKS DEPARTMENT | INTERN | CHANDRAPUR | May 2019 | Jun 2019 | 4 Weeks</t>
  </si>
  <si>
    <t>p2270194</t>
  </si>
  <si>
    <t>Mohammed Irfan</t>
  </si>
  <si>
    <t>7mohammed.irfan@gmail.com</t>
  </si>
  <si>
    <t>p2270194@student.nicmar.ac.in</t>
  </si>
  <si>
    <t>12-Jan-2000</t>
  </si>
  <si>
    <t>English, Hindi, Urdu, Telugu</t>
  </si>
  <si>
    <t>7900 7973 6585</t>
  </si>
  <si>
    <t>MOHAMMED ILYAS</t>
  </si>
  <si>
    <t>OPTOMETRIST</t>
  </si>
  <si>
    <t>MOBIN RESHMA</t>
  </si>
  <si>
    <t>OPTICIAN</t>
  </si>
  <si>
    <t>S-104, Vishnu Executive Avenue, Greenlands, VUDA-6, Kurmanapalem</t>
  </si>
  <si>
    <t>COUNCIL FOR THE INDIAN SCHOOL CERTIFICATE EXAMINATIONS (ICSE), NEW DELHI</t>
  </si>
  <si>
    <t>NARAYANA COLLEGE</t>
  </si>
  <si>
    <t>GITAM (DEEMED TO BE UNIVERSITY)</t>
  </si>
  <si>
    <t>GITAM SCHOOL OF ARCHITECTURE, VISHAKHAPATNAM</t>
  </si>
  <si>
    <t>AutoCAD,MS Office,MS Project,Primavera,Adobe photoshop,Tremble sketchup,Wondershare filmora,Lumion,Enscape,Autodesk Revit</t>
  </si>
  <si>
    <t>The Vibe Realty | Market Research Analyst- Business Devlopment | Pune | May 2023 | Jul 2023 | 7 Weeks | Campus Internship
NARASIMHAM ASSOCIATES | JUNIOR ARCHITECT | HYDERABAD | Jul 2021 | Nov 2021 | 16 Weeks</t>
  </si>
  <si>
    <t>p2270195</t>
  </si>
  <si>
    <t>SWARNADIP</t>
  </si>
  <si>
    <t>Swarnadip Paul</t>
  </si>
  <si>
    <t>swarnadipp105@gmail.com</t>
  </si>
  <si>
    <t>p2270195@student.nicmar.ac.in</t>
  </si>
  <si>
    <t>Playing Guitar, Music Composing, Painting, Cooking, Playing Football.</t>
  </si>
  <si>
    <t>4965 1173 6041</t>
  </si>
  <si>
    <t>DHANAPATI PAUL</t>
  </si>
  <si>
    <t>RETIRED SCHOOL TEACHER</t>
  </si>
  <si>
    <t>REKHA PAUL</t>
  </si>
  <si>
    <t>Rabindrapally, Kandar Kali Tala, Suri</t>
  </si>
  <si>
    <t>Birbhum</t>
  </si>
  <si>
    <t>BIRBHUM ZILLA SCHOOL</t>
  </si>
  <si>
    <t>WEST BENGAL</t>
  </si>
  <si>
    <t>MAKAUT (WEST BENGAL UNIVERSITY OF TECHNOLOGY</t>
  </si>
  <si>
    <t>JALPAIGURI GOVERNMENT ENGINEERING COLLEGE</t>
  </si>
  <si>
    <t>SPML Infra | Summer Intern | Kolkata,West Bengal | May 2023 | Jul 2023 | 7 Weeks | Campus Internship</t>
  </si>
  <si>
    <t>p2270196</t>
  </si>
  <si>
    <t>PAKHALE</t>
  </si>
  <si>
    <t>Hrishikesh Ashok Pakhale</t>
  </si>
  <si>
    <t>hrishi_pakhale@rediffmail.com</t>
  </si>
  <si>
    <t>p2270196@student.nicmar.ac.in</t>
  </si>
  <si>
    <t>07-Jun-1996</t>
  </si>
  <si>
    <t>Running,Yoga</t>
  </si>
  <si>
    <t>2560 6801 6643</t>
  </si>
  <si>
    <t>SHALINI</t>
  </si>
  <si>
    <t>83 Shaktimata Nagar 2 Kharbi Road Near Hanuman Temple</t>
  </si>
  <si>
    <t>GAYATRI CONVENT</t>
  </si>
  <si>
    <t>SHRI MATHURADAS MOHOTA COLLEGE OF SCIENCE, NAGPUR</t>
  </si>
  <si>
    <t>PRIYADARSHINI COLLEGE OF ENGINEERING, NAGPUR, MAHARASHTRA</t>
  </si>
  <si>
    <t>EPMCR | PROJECT PLANNING | CHENNAI | May 2023 | Jul 2023 | 7 Weeks | Campus Internship
RAGHUKUL CONSTRUCTIONS PRIVATE LIMITED | Vocational training | NAGPUR | May 2018 | Jun 2018 | 3 Weeks
CONSTRUCTION DIVISION PWD NAGPUR | Vocational training | NAGPUR, MAHARASHTRA | Dec 2017 | Dec 2017 | 2 Weeks</t>
  </si>
  <si>
    <t>p2270197</t>
  </si>
  <si>
    <t>ASTHA</t>
  </si>
  <si>
    <t>MARWADE</t>
  </si>
  <si>
    <t>Astha Marwade</t>
  </si>
  <si>
    <t>asthamarwade11@gmail.com</t>
  </si>
  <si>
    <t>p2270197@student.nicmar.ac.in</t>
  </si>
  <si>
    <t>26-Oct-1999</t>
  </si>
  <si>
    <t>Taekwondo,Throw Ball,Cooking</t>
  </si>
  <si>
    <t>7586 7788 2834</t>
  </si>
  <si>
    <t>SUDHIR MARWADE</t>
  </si>
  <si>
    <t>KALPANA MARWADE</t>
  </si>
  <si>
    <t>C/O Kalpana Marwade, _x000D_
Behind Karemore Pterol Pump,_x000D_
Near Swami Samarth Sai Gajanan Dham Mandir,_x000D_
Shriram Nagar, Tumsar</t>
  </si>
  <si>
    <t>SK PG,  SR. NO. 34, NIVRUTTI PLAZA, NEAR MITCON COLLEGE, BALEWADI BANER</t>
  </si>
  <si>
    <t>SHIRINBAI NETERWALA SCHOOL</t>
  </si>
  <si>
    <t>SANTAJI MAHAVIDYALA, NAGPUR</t>
  </si>
  <si>
    <t>MAHARASHTRA STATE BOARD OF SECONDARY EDUCATION, PUNE</t>
  </si>
  <si>
    <t>G. H. RAISONI COLLEGE OF ENGINEERING, NAGPUR</t>
  </si>
  <si>
    <t>RUSTOMJEE | Project Management Intern | Mumbai | May 2023 | Jul 2023 | 7 Weeks | Campus Internship
PWD NAGPUR | Student Intern | NAGPUR | Dec 2020 | Jun 2021 | 26 Weeks</t>
  </si>
  <si>
    <t>p2270198</t>
  </si>
  <si>
    <t>Arun Kumar Ravi</t>
  </si>
  <si>
    <t>arunrarun4@gmail.com</t>
  </si>
  <si>
    <t>p2270198@student.nicmar.ac.in</t>
  </si>
  <si>
    <t>12-May-1997</t>
  </si>
  <si>
    <t>English, Hindi, Kannada &amp; Telugu.</t>
  </si>
  <si>
    <t>Listening to Music,Reading,Team sports,Problem solving,Travelling</t>
  </si>
  <si>
    <t>2950 8700 2922</t>
  </si>
  <si>
    <t>RAVI H V</t>
  </si>
  <si>
    <t>S/O H.V. RAVI, #00., Hosahalli Village, Gummareddypura Post, Srinivasapura TQ, KOLAR Dist. KARNATAKA-563126.</t>
  </si>
  <si>
    <t>#905, ULTIMA BOYS HOSTEL, NICMAR UNIVERSITY, RAM NAGAR, BANER, PUNE.</t>
  </si>
  <si>
    <t>SRI BYRAVESWARA HIGH SCHOOL</t>
  </si>
  <si>
    <t>KARNATAKA SECONDARY EDUCATION EXAMINATION BOARD, BANGALORE</t>
  </si>
  <si>
    <t>SAHYADRI PRE-UNIVERSITY COLLEGE</t>
  </si>
  <si>
    <t>DEPARTMENT OF PRE-UNIVERSITY EDUCATION, BANGALORE</t>
  </si>
  <si>
    <t>DR. AMBEDKAR INSTITUTE OF TECHNOLOGY, BANGALORE</t>
  </si>
  <si>
    <t>AutoCAD,MS Office,MS Project,Primavera,SAP,BIM</t>
  </si>
  <si>
    <t>ACCORD CONSTRUCTION | Planning and Site Execution | Bangalore | Jun 2019 | Feb 2022 | 2 Years, 8 Months, 8 Days | 2.4
RAJA HOUSING LTD | Site execution and billing | Bangalore | Mar 2022 | Jun 2022 | 0 Years, 3 Months, 9 Days | 2.4</t>
  </si>
  <si>
    <t>Shapoorji Pallonji Engineering Construction | Planning Intern | Bangalore | May 2023 | Jul 2023 | 8 Weeks | Campus Internship</t>
  </si>
  <si>
    <t>p2270199</t>
  </si>
  <si>
    <t>GYANARMAI</t>
  </si>
  <si>
    <t>Gyanarmai Sahoo</t>
  </si>
  <si>
    <t>gyanarmai.s94@gmail.com</t>
  </si>
  <si>
    <t>p2270199@student.nicmar.ac.in</t>
  </si>
  <si>
    <t>18-Oct-1994</t>
  </si>
  <si>
    <t>3210 0810 2356</t>
  </si>
  <si>
    <t>LATE DILIP KUMAR SAHOO</t>
  </si>
  <si>
    <t>N.A</t>
  </si>
  <si>
    <t>SABITA RANI SAHOO</t>
  </si>
  <si>
    <t>'Gouranga Bhawan' Near Purighat Police Station,telenga Bazaar</t>
  </si>
  <si>
    <t>NICMAR NEW HOSTEL, N.I.A. POST OFFICE, 25/1, BALEWADI RD, RAM NAGAR, BANER</t>
  </si>
  <si>
    <t>DELHI PUBLIC SCHOOL, KALINGA</t>
  </si>
  <si>
    <t>CUTTACK/ODISHA</t>
  </si>
  <si>
    <t>BIJU PATNAIK UNIVERSITY AND TECHNOLOGY</t>
  </si>
  <si>
    <t>PILOO MODY COLLEGE OF ARCHITECTURE, CUTTACK/ODISHA</t>
  </si>
  <si>
    <t>A &amp; N Architects &amp; Designers | Architect  | Cuttack,Odisha | Mar 2021 | Apr 2022 | 1 Years, 1 Months, 27 Days | 2.6</t>
  </si>
  <si>
    <t>J. Kumar Infraprojects | Construction Management Training | Pune | May 2023 | Jul 2023 | 7 Weeks | Campus Internship
Vision Infra Creations Pvt Ltd | Training Architect | Ahmedabad | Jun 2017 | Oct 2017 | 20 Weeks</t>
  </si>
  <si>
    <t>p2270200</t>
  </si>
  <si>
    <t>GOURI</t>
  </si>
  <si>
    <t>KRIPA</t>
  </si>
  <si>
    <t>R S</t>
  </si>
  <si>
    <t>Gouri Kripa R S</t>
  </si>
  <si>
    <t>gkripa12@gmail.com</t>
  </si>
  <si>
    <t>p2270200@student.nicmar.ac.in</t>
  </si>
  <si>
    <t>30-Jul-1997</t>
  </si>
  <si>
    <t>Designing,Music,Reading</t>
  </si>
  <si>
    <t>6738 7409 7550</t>
  </si>
  <si>
    <t>SUTHEESHNA BABU S</t>
  </si>
  <si>
    <t>REKHA I</t>
  </si>
  <si>
    <t>KOORA 135 A, Gourishankaram, Kootamvila Road, Maruthankuzhi, Vattiyoorkavu, Chittatinkara</t>
  </si>
  <si>
    <t>RAJE, H.NO. 693, B.B.BORKAR ROAD, ALTO PORVORIM, _x000D_
BARDEZ,  GOA</t>
  </si>
  <si>
    <t>KENDRIYA VIDYALAYA I.N.S MANDOVI, VEREM, GOA</t>
  </si>
  <si>
    <t>GOA COLLEGE OF ARCHITECTURE, PANJIM, GOA</t>
  </si>
  <si>
    <t>AutoCAD,MS Office,MS Project,Primavera,Candy,Autodesk Navisworks,Autodesk Revit,Adobe Photoshop,Adobe Indesign,Lumion,Rhinoceros,ArchiCad,Twinmotion,Sketchup</t>
  </si>
  <si>
    <t>CBRE South Asia Pvt Ltd | Planning | Pernem, Goa | May 2023 | Jul 2023 | 7 Weeks | Campus Internship
UTTAM C JAIN ARCHITECTURE AND ENVIRONMENT | ARCHITECTURAL DESIGN | MUMBAI, MAHARASHTRA | Jul 2019 | Nov 2019 | 17 Weeks</t>
  </si>
  <si>
    <t>p2270201</t>
  </si>
  <si>
    <t>SHETIYE</t>
  </si>
  <si>
    <t>Ayush Pradip Shetiye</t>
  </si>
  <si>
    <t>ayushshetiye@gmail.com</t>
  </si>
  <si>
    <t>p2270201@student.nicmar.ac.in</t>
  </si>
  <si>
    <t>Swimming,Travelling,Photography,Social Work</t>
  </si>
  <si>
    <t>9199 8619 7238</t>
  </si>
  <si>
    <t>PRADIP CHHATANRAO SHETIYE</t>
  </si>
  <si>
    <t>RETIRED GOVT. OFFICER</t>
  </si>
  <si>
    <t>RAJSHRI PRADIP SHETIYE</t>
  </si>
  <si>
    <t>9, Saurabh Colony, V.M.V. Road, Kathora Naka, Amravati</t>
  </si>
  <si>
    <t>GOLDEN KIDS ENGLISH HIGH SCHOOL, AMRAVATI</t>
  </si>
  <si>
    <t>SANJAY GHODAWAT JUNIOR COLLAGE, ATIGRE, KOLHAPUR</t>
  </si>
  <si>
    <t>THAKUR COLLAGE OF ENGINEERING AND TECHNOLOGY, MUMBAI, M.H.</t>
  </si>
  <si>
    <t>Singhania Buildcon | Site Execution | Raipur | May 2023 | Jul 2023 | 7 Weeks | Campus Internship</t>
  </si>
  <si>
    <t>p2270202</t>
  </si>
  <si>
    <t>KALHALE</t>
  </si>
  <si>
    <t>VENKATESH</t>
  </si>
  <si>
    <t>Kalhale Venkatesh</t>
  </si>
  <si>
    <t>kalhalevenkatesh00@gmail.com</t>
  </si>
  <si>
    <t>p2270202@student.nicmar.ac.in</t>
  </si>
  <si>
    <t>10-May-1999</t>
  </si>
  <si>
    <t>ENGLISH,HINDI,MARATHI and TELUGU</t>
  </si>
  <si>
    <t>Playing cricket,listening to music,cooking</t>
  </si>
  <si>
    <t>7916 4044 3728</t>
  </si>
  <si>
    <t>KALHALE KISHAN</t>
  </si>
  <si>
    <t>KALHALE VIJAYA LAXMI</t>
  </si>
  <si>
    <t>B/105,old Housing Board Colony, Adilabad_x000D_</t>
  </si>
  <si>
    <t>Adilabad</t>
  </si>
  <si>
    <t>CBR HIGH SCHOOL</t>
  </si>
  <si>
    <t>ADILABAD</t>
  </si>
  <si>
    <t>VIGNANA BHARATHI INSTITUTE OF TECHNOLOGY, HYDERABAD, TELANGANA</t>
  </si>
  <si>
    <t>AutoCAD,MS Office,MS Project,Primavera,RIVET AND SKETCHUP</t>
  </si>
  <si>
    <t>PINAKIIN DESIGNS | Purchasing and Procurement department and Coordinator.			 | Pune | May 2023 | Jul 2023 | 7 Weeks | Campus Internship
HERE TECHNOLOGIES | MAP CREATOR AND EDITOR | GURGAON, | Jun 2020 | Jan 2021 | 34 Weeks</t>
  </si>
  <si>
    <t>p2270203</t>
  </si>
  <si>
    <t>Sonu Gupta</t>
  </si>
  <si>
    <t>sonugp9907@gmail.com</t>
  </si>
  <si>
    <t>p2270203@student.nicmar.ac.in</t>
  </si>
  <si>
    <t>26-Jul-1999</t>
  </si>
  <si>
    <t>1. Musician,2. Pianist,3. Vocalist,4. Cooking</t>
  </si>
  <si>
    <t>4415 0939 7267</t>
  </si>
  <si>
    <t>YOGESH KUMAR GUPTA</t>
  </si>
  <si>
    <t>NEETA GUPTA</t>
  </si>
  <si>
    <t>1/298 , Rawat Para</t>
  </si>
  <si>
    <t>Agra</t>
  </si>
  <si>
    <t>GAYATRI PUBLIC SCHOOL</t>
  </si>
  <si>
    <t>CBSE AGRA/UTTAR PRADESH</t>
  </si>
  <si>
    <t>M.S. PUBLIC SCHOOL</t>
  </si>
  <si>
    <t>DR. A.P.J. ABDUL KALAM TECHNICAL UNIVERSITY , UTTAR PRADESH , LUCKNOW</t>
  </si>
  <si>
    <t>G.L. BAJAJ INSTITUTE OF TECHNOLOGY AND MANAGEMENT GREATER NOIDA/ UTTAR PRADESH</t>
  </si>
  <si>
    <t>AutoCAD,MS Office,MS Project,Primavera,BIM (Revit+ Navisworks),Staad Pro,Google Sketchup,Lumion,Candy</t>
  </si>
  <si>
    <t>Systra India | Project Planning | Meerut | May 2023 | Jul 2023 | 7 Weeks | Campus Internship
NOIDA METRO RAIL CORPORATION LTD | INTERNSHIP TRAINEE | NOIDA | Feb 2022 | Apr 2022 | 8 Weeks
M/s Hari Construction Co. | Execution Intern | Agra | Jun 2019 | Jul 2019 | 4 Weeks</t>
  </si>
  <si>
    <t>p2270204</t>
  </si>
  <si>
    <t>Patange Krishna Sai</t>
  </si>
  <si>
    <t>patangekrishnasai@gmail.com</t>
  </si>
  <si>
    <t>p2270204@student.nicmar.ac.in</t>
  </si>
  <si>
    <t>Bike Riding,Travelling,Badminton</t>
  </si>
  <si>
    <t>8253 5476 4081</t>
  </si>
  <si>
    <t>PATANGE JAGANNATHA SREENIVASA RAO</t>
  </si>
  <si>
    <t>MEDICAL PRACTISE</t>
  </si>
  <si>
    <t>PATANGE LAKSHMI BAI</t>
  </si>
  <si>
    <t>1-1803,Hanuman Talkies Road, Pamidi, Anantapur</t>
  </si>
  <si>
    <t>ST THOMAS PUBLIC EM HIGH SCHOOL</t>
  </si>
  <si>
    <t>GOVERNMENT POLYTECHNIC COLLEGE, ANANTHAPUR</t>
  </si>
  <si>
    <t>CHIRANJEEVI REDDY INSTITUTE OF ENGINEERING AND TECHNOLOGY, ANANTAPUR</t>
  </si>
  <si>
    <t>AutoCAD,MS Office,MS Project,Primavera,Candy,BIM</t>
  </si>
  <si>
    <t>GSIDC | Site Execution | South Goa | May 2023 | Jul 2023 | 7 Weeks | Campus Internship</t>
  </si>
  <si>
    <t>p2270205</t>
  </si>
  <si>
    <t>MUTHYALA</t>
  </si>
  <si>
    <t>YOGENDRA</t>
  </si>
  <si>
    <t>Muthyala Yogendra Babu</t>
  </si>
  <si>
    <t>yogendrababu33@gmail.com</t>
  </si>
  <si>
    <t>p2270205@student.nicmar.ac.in</t>
  </si>
  <si>
    <t>15-Jan-1999</t>
  </si>
  <si>
    <t>Travelling,Photography</t>
  </si>
  <si>
    <t>3210 0992 6805</t>
  </si>
  <si>
    <t>MUTHYALA BALA NARASIMHA REDDY</t>
  </si>
  <si>
    <t>PROHIBITION AND EXCISE SUB INSPECTOR</t>
  </si>
  <si>
    <t>MUTHYALA USHA RANI</t>
  </si>
  <si>
    <t>1-60,Salakamcheruvu(Village),Singanamala(Mandal),Anantapur</t>
  </si>
  <si>
    <t>SRI CHAITANYA E/M HIGH SCHOOL</t>
  </si>
  <si>
    <t>K.S.R.M. COLLEGE OF ENGINEERING, KADAPA</t>
  </si>
  <si>
    <t>EPMCR | Management Trainee  | Chennai | May 2023 | Jul 2023 | 7 Weeks | Campus Internship</t>
  </si>
  <si>
    <t>p2270206</t>
  </si>
  <si>
    <t>BACHCHE</t>
  </si>
  <si>
    <t>Siddhant Digambar Bachche</t>
  </si>
  <si>
    <t>bachche.siddhant817@gmail.com</t>
  </si>
  <si>
    <t>p2270206@student.nicmar.ac.in</t>
  </si>
  <si>
    <t>16-Apr-1998</t>
  </si>
  <si>
    <t>Reading Self Development Books,Playing Football,Listening Music,Dancing,Watching Movies</t>
  </si>
  <si>
    <t>8711 1300 4665</t>
  </si>
  <si>
    <t>DIGAMBAR BACHCHE</t>
  </si>
  <si>
    <t>SELF- EMPLOYEE</t>
  </si>
  <si>
    <t>LEELA BACHCHE</t>
  </si>
  <si>
    <t>LTECHS BUILDING NO 28 FLAT NO 12, Vijay Nagar Marol Maroshi Road, Opp. St. Pallotti Church_x000D_
Vijay Nagar Marol Maroshi Road</t>
  </si>
  <si>
    <t>ST. JOHN THE EVANGELIST HIGH SCHOOL</t>
  </si>
  <si>
    <t>SECONDARY AND HIGH SECONDARY EDUCATION, PUNE</t>
  </si>
  <si>
    <t>SHRINIWAS BAGARKA COLLEGE (JR.)</t>
  </si>
  <si>
    <t>CHHATRAPATI SHIVAJI MAHARAJ INSTITUTE OF TECHNOLOGY, PANVEL</t>
  </si>
  <si>
    <t>Accurate Engineering Servises | Site Engineer | Mumbai | Jun 2020 | Jun 2022 | 2 Years, 0 Months, 0 Days | 2.16</t>
  </si>
  <si>
    <t>Livio Building System | PRE CONSTRUCTION | PUNE | May 2023 | Jul 2023 | 7 Weeks | Campus Internship
DATTANI PLAZA COMMERCIAL PREMISES COOP SOC LTD | SITE ENGINEER | MUMBAI | Dec 2020 | Aug 2021 | 32 Weeks</t>
  </si>
  <si>
    <t>p2270207</t>
  </si>
  <si>
    <t>SAYANDEEP</t>
  </si>
  <si>
    <t>Sayandeep Tripathi</t>
  </si>
  <si>
    <t>sayandeeptripathi97@gmail.com</t>
  </si>
  <si>
    <t>p2270207@student.nicmar.ac.in</t>
  </si>
  <si>
    <t>08-Jan-1997</t>
  </si>
  <si>
    <t>Reading &amp; writing story/novel,Drawing,Watching movies</t>
  </si>
  <si>
    <t>6983 0465 1739</t>
  </si>
  <si>
    <t>SATYAKI TRIPATHI</t>
  </si>
  <si>
    <t>SERVICE( CIVIL ENGINEER IN STATE GOVT. PSU)</t>
  </si>
  <si>
    <t>CHAMPA TRIPATHI</t>
  </si>
  <si>
    <t>MBL Employees Housing Co-operative Society,_x000D_
Plot No. - DC 206, Flat No.-203, New Town, Rajarhat</t>
  </si>
  <si>
    <t>VIVEKANANDA MISSION  ASRAM SIKSHAYATAN (HIGH SCHOOL)</t>
  </si>
  <si>
    <t>WEST BENGAL BOARD OF SECONDARY EDUCATION, WEST BENGAL</t>
  </si>
  <si>
    <t>MAHISHADAL RAJ HIGH  SCHOOL (H.S.)</t>
  </si>
  <si>
    <t>WEST BENGAL COUNCIL OF HIGHER SECONDARY EDUCATION, WEST BENGAL</t>
  </si>
  <si>
    <t>MEGHNAD SAHA INSTITUTE OF TECHNOLOGY, WEST BENGAL</t>
  </si>
  <si>
    <t>AutoCAD,MS Office,MS Project,Primavera,Candy,Wrench,Staad.PRO,ERP Software,Google Looker Studio,BIM Software (SDS/2 &amp; Revit),Advance Excel with Google Sheet</t>
  </si>
  <si>
    <t>CONSTRUCTION SOLUTIONS | Assistant Engineer (CONSTRUCTION EXECUTION &amp; BILLING) | KOLKATA | Jun 2019 | Oct 2020 | 1 Years, 4 Months, 23 Days | 2.4
ADO ADDITIVES MFG. PVT. LTD. | Technical Executive Engineer (QA/QC and Research &amp; Development) | KOLKATA | Nov 2020 | Aug 2022 | 1 Years, 9 Months, 9 Days | 2.4</t>
  </si>
  <si>
    <t>SPML INFRA LIMITED | PROJECT PLANNING &amp; CONTRACT MANAGEMENT | KOLKATA | May 2023 | Jul 2023 | 7 Weeks | Campus Internship
MACKINTOSH BURN LIMITED A GOVERNMENT OF WEST BENGAL ENTERPRISE | LOOKING AFTER CONSTRUCTION  ACTIVITIES AT GOVT. HOUSING PROJECT AS TRAINEE ENGINEER | KOLKATA | Jun 2018 | Jul 2018 | 4 Weeks</t>
  </si>
  <si>
    <t>p2270208</t>
  </si>
  <si>
    <t>BHASWATI</t>
  </si>
  <si>
    <t>Bhaswati Borah</t>
  </si>
  <si>
    <t>bhaswatiborah169@gmail.com</t>
  </si>
  <si>
    <t>p2270208@student.nicmar.ac.in</t>
  </si>
  <si>
    <t>25-Dec-1997</t>
  </si>
  <si>
    <t>ENGLISH, HINDI AND ASSAMESE</t>
  </si>
  <si>
    <t>Painting,Journaling,Travelling</t>
  </si>
  <si>
    <t>2328 4550 5867</t>
  </si>
  <si>
    <t>GOPINATH BORAH</t>
  </si>
  <si>
    <t>ANJU MANI NATH BORAH</t>
  </si>
  <si>
    <t>47, MANDIR PATH, BYE LANE-1, GEETANAGAR</t>
  </si>
  <si>
    <t>MILLENIUM GIRLS HOSTEL, NICMAR, BALEWADI</t>
  </si>
  <si>
    <t>BHASWATI BORAH</t>
  </si>
  <si>
    <t>GURUKUL GRAMMAR SCHOOL</t>
  </si>
  <si>
    <t>ASSAM ENGINEERING COLLEGE GUWAHATI ASSAM</t>
  </si>
  <si>
    <t>AutoCAD,MS Office,MS Project,Primavera,Power BI,Revit,Staad Pro</t>
  </si>
  <si>
    <t>Public Health Engineering Department, Assam | Site engineer | Mangaldai, Assam | Jan 2022 | Aug 2022 | 0 Years, 6 Months, 21 Days | 3.6</t>
  </si>
  <si>
    <t>EY | Market Research | Mumbai | May 2023 | Jul 2023 | 7 Weeks | Campus Internship
PUBLIC WORKS ROAD DEARTMENT ASSAM | INTERNSHIP TRAINEE | GUWAHATI | Jan 2020 | Jan 2020 | 2 Weeks
MAZEN ALUMRAN CONSUTING ENGINEERS BAHRAIN | INTERNSHIP TRAINEE | GUWAHATI | Jun 2020 | Aug 2020 | 8 Weeks
KOLKATA METRO RAIL COORPORATION | INTERNSHIP TRAINEE | KOLKATA | Jul 2019 | Jul 2019 | 2 Weeks</t>
  </si>
  <si>
    <t>p2270209</t>
  </si>
  <si>
    <t>ABHILASHA</t>
  </si>
  <si>
    <t>BHAVANISHANKAR</t>
  </si>
  <si>
    <t>Shinde Abhilasha Bhavanishankar</t>
  </si>
  <si>
    <t>abhilashashinde8@gmail.com</t>
  </si>
  <si>
    <t>p2270209@student.nicmar.ac.in</t>
  </si>
  <si>
    <t>Enlish,Marathi,Hindi</t>
  </si>
  <si>
    <t>Dancing,sketching</t>
  </si>
  <si>
    <t>8329 3266 3507</t>
  </si>
  <si>
    <t>BHAVANISHANKAR DATTATRAY SHINDE</t>
  </si>
  <si>
    <t>Rowhouse-67, Gte No-4, Konarknagar, Vimannagar, Pune -411014</t>
  </si>
  <si>
    <t>ROSARY HIGH SCHOOL</t>
  </si>
  <si>
    <t>RMD TECHNICAL INSTITUTE CAMPUS , WARJE, PUNE</t>
  </si>
  <si>
    <t>MS Project,Primavera</t>
  </si>
  <si>
    <t>PIRAMAL REALTY PVT LTD | SUMMER INTERN | MUMBAI | May 2023 | Jul 2023 | 7 Weeks | Campus Internship
HINDUSTAN PETROLEUM CORPORATION LTD | INCHARGE AT RETAIL OUTLET | PUNE | Apr 2022 | Aug 2022 | 21 Weeks</t>
  </si>
  <si>
    <t>p2270210</t>
  </si>
  <si>
    <t>SURYAKANT</t>
  </si>
  <si>
    <t>Suryakant Pandey</t>
  </si>
  <si>
    <t>pandeykant96@gmail.com</t>
  </si>
  <si>
    <t>p2270210@student.nicmar.ac.in</t>
  </si>
  <si>
    <t>20-Jul-1998</t>
  </si>
  <si>
    <t>Travelling,Cooking</t>
  </si>
  <si>
    <t>2807 0361 0103</t>
  </si>
  <si>
    <t>AARYA PRASAD PANDEY</t>
  </si>
  <si>
    <t>SUNITA PANDEY</t>
  </si>
  <si>
    <t>VILLAGE-SHANKARPUR, POST-SHANKARPUR, DISTRICT- BASTI</t>
  </si>
  <si>
    <t>NICMAR UNIVERSITY, ULTIMA HOSTEL 1019 ,N.I.A. POST OFFICE, 25/1, BALEWADI RD, RAM NAGAR, BANER, PUNE,</t>
  </si>
  <si>
    <t>AYODHYA PRASAD DUBEY INTER COLLEGE BASTI</t>
  </si>
  <si>
    <t>BOARD OF HIGH SCHOOL AND INTERMEDIATE EDUCATION U.P</t>
  </si>
  <si>
    <t>AMBALIKA INSTITUTE OF MANAGEMENT &amp; TECHNOLOGY, MOHANLALGANJ, LUCKNOW</t>
  </si>
  <si>
    <t>DR. A.P.J. ABDUL KALAM TECHNICAL UNIVERSITY, UTTAR PRADESH, LUCKNOW</t>
  </si>
  <si>
    <t>G.C.R.G. MEMORIAL TRUST'S GROUP OF INSTITUTIONS, FACULTY OF ENGINEERING,LUCKNOW</t>
  </si>
  <si>
    <t>AutoCAD,MS Office,MS Project,Primavera,Candy,BIM(Revit &amp; Navisworks manage)</t>
  </si>
  <si>
    <t>AMAR ENGICON AND CONSTRUCTION PVT. LTD. | JUNIOR ENGINEER â€“ CIVIL | Lucknow | Sep 2017 | Jan 2019 | 1 Years, 4 Months, 11 Days | 1.8</t>
  </si>
  <si>
    <t>EPMCR | PROJECT MANAGEMENT | IIT MADRAS, CHENNAI | May 2023 | Jul 2023 | 7 Weeks | Campus Internship
ASTHA TECHNICAL SERVICES | SUMMER INTERN | GORAKHPUR | Dec 2021 | Dec 2021 | 4 Weeks
LARSEN AND TOUBRO LIMITED | SUMMER INTERN | MUMBAI AIRPORT | Jun 2015 | Jul 2015 | 4 Weeks</t>
  </si>
  <si>
    <t>p2270211</t>
  </si>
  <si>
    <t>GITE</t>
  </si>
  <si>
    <t>Roshan Sharad Gite</t>
  </si>
  <si>
    <t>roshangite7666@gmail.com</t>
  </si>
  <si>
    <t>p2270211@student.nicmar.ac.in</t>
  </si>
  <si>
    <t>14-Jun-1999</t>
  </si>
  <si>
    <t>ENGLISH, HINDI, MARATHI AND GERMAN</t>
  </si>
  <si>
    <t>Reading,Sports,Gardening</t>
  </si>
  <si>
    <t>8849 8629 2182</t>
  </si>
  <si>
    <t>SHARAD GITE</t>
  </si>
  <si>
    <t>M1,B601, Omkar Society, Near Samaj Mandir Hall, Pratiksha Nagar, Sion East</t>
  </si>
  <si>
    <t>IES DIGAMBAR PATKAR VIDYALAY</t>
  </si>
  <si>
    <t>S. K. SOMAIYA VINAY MANDIR JR. COLLEGE</t>
  </si>
  <si>
    <t>AutoCAD,MS Office,MS Project,Primavera,STAAD PRO,BIM</t>
  </si>
  <si>
    <t>MEHTA JAISING GROUP | SITE EXECUTION | MUMBAI | May 2023 | Jul 2023 | 7 Weeks | Campus Internship
BG SHIRKE CONSTRUCTION TECHNOLOGY | SITE EXECUTION | MUMBAI | Dec 2019 | Dec 2019 | 4 Weeks</t>
  </si>
  <si>
    <t>p2270212</t>
  </si>
  <si>
    <t>PRAJJVAL</t>
  </si>
  <si>
    <t>Prajjval Tripathi</t>
  </si>
  <si>
    <t>prajjval09@gmail.com</t>
  </si>
  <si>
    <t>p2270212@student.nicmar.ac.in</t>
  </si>
  <si>
    <t>Reading books,Space &amp; Science,yoga &amp; meditation,Playing strategy games</t>
  </si>
  <si>
    <t>6952 5930 0540</t>
  </si>
  <si>
    <t>RAJESH TRIPATHI</t>
  </si>
  <si>
    <t>SUNITA TRIPATHI</t>
  </si>
  <si>
    <t>22 New Sarika Nagar Near B.V.M College, Thatipur, Gwalior</t>
  </si>
  <si>
    <t>820 ULTIMA NICMAR UNIVERSITY, PUNE</t>
  </si>
  <si>
    <t>KENDRIYA VIDYALAYA NO.1 GWALIOR, MADHYA PRADESH</t>
  </si>
  <si>
    <t>CENTRAL BOARD OF SECONDARY EDUCATION, GWALIOR, MADHYA PRADESH</t>
  </si>
  <si>
    <t>RAMAKRISHNA VIDHYA MANDIR, GWALIOR, MADHYA PRADESH</t>
  </si>
  <si>
    <t>RAJIV GANDHI PROUDYOGIKI VISHWAVIDYALAYA, BHOPAL, MADHYA PRADESH</t>
  </si>
  <si>
    <t>MADHAV INSTITUTE OF TECHNOLOGY AND SCIENCE, GWALIOR, MADHYA PRADESH</t>
  </si>
  <si>
    <t>AutoCAD,MS Office,MS Project,Primavera,BIM (Revit &amp; Naviswork manage),CANDY,Bentley STAAD Pro</t>
  </si>
  <si>
    <t>J. Kumar Infraprojects | Project planning and control | Mumbai | May 2023 | Jul 2023 | 7 Weeks | Campus Internship
MADHAV INSTITUTE OF TECHNOLOGY AND SCIENCE | SUMMER INTERN  | ONLINE | Jul 2020 | Jul 2020 | 3 Weeks
MADHAV INSTITUTE OF TECHNOLOGY AND SCIENCE | WORKSHOP INTERN | GWALIOR | May 2018 | Jun 2018 | 2 Weeks
MADHYA PRADESH PUBLIC WORKS DEPARTMENT | SUMMER INTERN  | GWALIOR | Feb 2021 | Jun 2021 | 17 Weeks</t>
  </si>
  <si>
    <t>p2270214</t>
  </si>
  <si>
    <t>AHUJA</t>
  </si>
  <si>
    <t>Dhruv Ahuja</t>
  </si>
  <si>
    <t>dhruvahuja1999@gmail.com</t>
  </si>
  <si>
    <t>p2270214@student.nicmar.ac.in</t>
  </si>
  <si>
    <t>3646 0154 2742</t>
  </si>
  <si>
    <t>PRAVEEN AHUJA</t>
  </si>
  <si>
    <t>ALKA AHUJA</t>
  </si>
  <si>
    <t>B-84, Freedom Fighter's Colony, Neb Sarai, Saket</t>
  </si>
  <si>
    <t>South Delhi</t>
  </si>
  <si>
    <t>GYAN BHARATI SCHOOL</t>
  </si>
  <si>
    <t>UNIVERSITY OF PETROLEUM AND ENERGY STUDIES DEHRADUN,UTTRAKHAND</t>
  </si>
  <si>
    <t>CBRE South Asia Pvt Ltd | Real Estate Consulting Team  | Gurgaon | May 2023 | Jul 2023 | 7 Weeks | Campus Internship</t>
  </si>
  <si>
    <t>p2270215</t>
  </si>
  <si>
    <t>HARIBHAU</t>
  </si>
  <si>
    <t>Shekhar Haribhau Khose</t>
  </si>
  <si>
    <t>khoseshekhar17@gmail.com</t>
  </si>
  <si>
    <t>p2270215@student.nicmar.ac.in</t>
  </si>
  <si>
    <t>English, Marathi, Hindi, French</t>
  </si>
  <si>
    <t>2838 9269 9658</t>
  </si>
  <si>
    <t>HARIBHAU KHOSE</t>
  </si>
  <si>
    <t>ACCOUNTANT OFFICER</t>
  </si>
  <si>
    <t>SHUBHANGI</t>
  </si>
  <si>
    <t>E 26/1/7, Suryodaya CHS, Sector 48, Seawoods, Nerul</t>
  </si>
  <si>
    <t>DAYANAND ANGLO-VEDIC PUBLIC SCHOOL</t>
  </si>
  <si>
    <t>ST MARY'S JUNIOR COLLEGE</t>
  </si>
  <si>
    <t>The Jawaharlal Nehru Port Authority (JNPA) | Project Intern | JNPT Navi Mumbai | May 2023 | Jul 2023 | 7 Weeks | Campus Internship</t>
  </si>
  <si>
    <t>p2270216</t>
  </si>
  <si>
    <t>SUNDER</t>
  </si>
  <si>
    <t>Shyam Sunder Giri</t>
  </si>
  <si>
    <t>shyamsunder7601@gmail.com</t>
  </si>
  <si>
    <t>p2270216@student.nicmar.ac.in</t>
  </si>
  <si>
    <t>08-Dec-1999</t>
  </si>
  <si>
    <t>6179 2191 6922</t>
  </si>
  <si>
    <t>MR. MARKANDAY GIRI</t>
  </si>
  <si>
    <t>MRS. USHA GIRI</t>
  </si>
  <si>
    <t>DLF Gardencity, Rae Bareilly Road, Purseni, Near PGI Hospital, Lucknow, Uttar Pradesh</t>
  </si>
  <si>
    <t>CBSE, LUCKNOW</t>
  </si>
  <si>
    <t>THE MILLENNIUM SCHOOL</t>
  </si>
  <si>
    <t>AutoCAD,MS Office,MS Project,Primavera,MANAGEMENT,TECHNICAL WRITING</t>
  </si>
  <si>
    <t>LARSEN &amp; TOUBRO LIMITED | PLANNING  | NAVI MUMBAI | May 2023 | Jul 2023 | 8 Weeks | Campus Internship
M/S Jambeshwar Enterprises | Site Execution | Jodhpur | Feb 2021 | May 2021 | 17 Weeks</t>
  </si>
  <si>
    <t>p2270217</t>
  </si>
  <si>
    <t>C P</t>
  </si>
  <si>
    <t>Chandan Gowda C P</t>
  </si>
  <si>
    <t>chandangowdac69@gmail.com</t>
  </si>
  <si>
    <t>p2270217@student.nicmar.ac.in</t>
  </si>
  <si>
    <t>20-Feb-1999</t>
  </si>
  <si>
    <t>Cricket,Cycling,Badminton</t>
  </si>
  <si>
    <t>2238 3125 6884</t>
  </si>
  <si>
    <t>PUTTARAJU C R</t>
  </si>
  <si>
    <t>Chakenahalli, Bellur (H), Nagamangala(T),Mandya(D) Karanataka</t>
  </si>
  <si>
    <t>SRI BHAKTHANATHA SWAMY HIGH SCHOOL, BG NAGAR KARNATAKA 571418</t>
  </si>
  <si>
    <t>KARNATAKA SECONDARY EDUCATION EXAMINATION BOARD, MANDYA KARNATAKA</t>
  </si>
  <si>
    <t>SADVIDYA COMPOSITE PRE UNIVERSITY COLLEGE MYSURU 570004</t>
  </si>
  <si>
    <t>VISVESHVARAYA TECHNOLOGICAL UNIVERSITY</t>
  </si>
  <si>
    <t>VIDHYAVARDHAKA COLLEGE OF ENGINEERING MYSORE 570002 KARNATAKA</t>
  </si>
  <si>
    <t>AutoCAD,MS Office,MS Project,Primavera,MS Excel</t>
  </si>
  <si>
    <t>Econstruct Design and Build PVT.LTD | Project Management | Bangalore | May 2023 | Jul 2023 | 7 Weeks | Campus Internship
PRAMUR CONSTRUCTIONS | TRAINEE | MYSORE | Mar 2021 | Mar 2021 | 2 Weeks</t>
  </si>
  <si>
    <t>p2270219</t>
  </si>
  <si>
    <t>SALONI</t>
  </si>
  <si>
    <t>BABEL</t>
  </si>
  <si>
    <t>Saloni Babel</t>
  </si>
  <si>
    <t>jainsaloni004@gmail.com</t>
  </si>
  <si>
    <t>p2270219@student.nicmar.ac.in</t>
  </si>
  <si>
    <t>24-Aug-1999</t>
  </si>
  <si>
    <t>6126 0532 2357</t>
  </si>
  <si>
    <t>HEMANT KUMAR BABEL</t>
  </si>
  <si>
    <t>ANJALI BABEL</t>
  </si>
  <si>
    <t>45, Shree Shree Mal Street , _x000D_
Near Navgrah Mandir , _x000D_
Bichadli Mohalla</t>
  </si>
  <si>
    <t>Ajmer</t>
  </si>
  <si>
    <t>ST PAUL'S SENIOR SECONDARY SCHOOL</t>
  </si>
  <si>
    <t>CENTRAL BOARD OF SECONDARY EDUCATION , BEAWAR</t>
  </si>
  <si>
    <t>BHANWAR LAL GOTHIC SENIOR SECONDARY SCHOOL</t>
  </si>
  <si>
    <t>RAJASTHAN TECHNICAL UNIVERSITY</t>
  </si>
  <si>
    <t>AAYOJAN SCHOOL OF ARCHITECTURE , JAIPUR</t>
  </si>
  <si>
    <t>Piramal Realty Pvt Ltd | Business Development &amp; Strategy | Mumbai | May 2023 | Jul 2023 | 7 Weeks | Campus Internship
AMIT GAJJAR DESIGN CONSULTANCY | Architectural Designing  | AHMEDABAD | Jan 2021 | Jul 2021 | 25 Weeks</t>
  </si>
  <si>
    <t>p2270220</t>
  </si>
  <si>
    <t>NISANTH</t>
  </si>
  <si>
    <t>Nisanth P</t>
  </si>
  <si>
    <t>nanisince99@gmail.com</t>
  </si>
  <si>
    <t>p2270220@student.nicmar.ac.in</t>
  </si>
  <si>
    <t>29-May-1999</t>
  </si>
  <si>
    <t>English, Tamil, Telugu, Hindi, Kannada</t>
  </si>
  <si>
    <t>Bike Riding,Dance,Travelling,Cricket,Infrastructure Enthusiast</t>
  </si>
  <si>
    <t>3208 5538 8204</t>
  </si>
  <si>
    <t>RAMAMOORTHY P</t>
  </si>
  <si>
    <t>MANAGER - SALES &amp; MARKETING</t>
  </si>
  <si>
    <t>JAYAPRADHA P</t>
  </si>
  <si>
    <t>DF5 , DIKSHA FLATS , RANGANATHAN STREET , SELAIYUR</t>
  </si>
  <si>
    <t>SRI SANKARA VIDYALAYA , EAST TAMBARAM</t>
  </si>
  <si>
    <t>STATE BOARD , CHENNAI , TAMIL NADU</t>
  </si>
  <si>
    <t>COLLEGE OF ENGINEERING GUINDY , CHENNAI , TAMIL NADU</t>
  </si>
  <si>
    <t>AutoCAD,MS Office,MS Project,Primavera,REVIT,3DS MAX,CANDY</t>
  </si>
  <si>
    <t>Godrej Properties Limited | Operations Intern | Mahalunge , Pune | May 2023 | Jul 2023 | 7 Weeks | Campus Internship
CHENNAI METRO RAIL LIMITED | INTERN | CHENNAI | May 2019 | May 2019 | 4 Weeks
GRM CONSTRUCTIONS | SITE ENGINEER  | NANDANAM , CHENNAI | Jun 2021 | Jul 2022 | 60 Weeks</t>
  </si>
  <si>
    <t>p2270221</t>
  </si>
  <si>
    <t>SHENDRE</t>
  </si>
  <si>
    <t>Vishal Shendre</t>
  </si>
  <si>
    <t>shendrevill1997@gmail.com</t>
  </si>
  <si>
    <t>p2270221@student.nicmar.ac.in</t>
  </si>
  <si>
    <t>19-Dec-1997</t>
  </si>
  <si>
    <t>English, Hindi, Marati, Kannada</t>
  </si>
  <si>
    <t>2428 5133 8721</t>
  </si>
  <si>
    <t>ANIL KUMAR SHENDRE</t>
  </si>
  <si>
    <t>VAISHALI SHENDRE</t>
  </si>
  <si>
    <t>H NO. 8-10-325/1, BEHIND BHALKE VYDEHI HOSPITAL AKKAMAHADEVI COLONY.BIDAR.</t>
  </si>
  <si>
    <t>BANER, NICMAR ULTIMA HOSTEL, 413 ROOM</t>
  </si>
  <si>
    <t>GURU NANAK PUBLIC SCHOOL ,BIDAR</t>
  </si>
  <si>
    <t>CENTRAL BOARD OF SECONDARY EDUCATON</t>
  </si>
  <si>
    <t>SHREE GURU NAGALINGESHWAR</t>
  </si>
  <si>
    <t>KARNATAKA STATE BOARD, DEPARTMENT OF PRE-UNIVERSITY EDUCATION</t>
  </si>
  <si>
    <t>THE OXFORD COLLEGE OF ENGINEERING, BANGALORE,KARNATAKA</t>
  </si>
  <si>
    <t>AutoCAD,MS Office,MS Project,Primavera,BLUEBEAM REVU,XACTIMATE,MSP,EXCEL,POWERPOINT,CANDY,REVIT</t>
  </si>
  <si>
    <t>Efficiently | The primary function of roofing estimator is to provide and lead full-service estimating for large-scale and complex projects. Projects will be varied and span multiple types of roofing contracts. | HYDERABAD | Aug 2021 | Aug 2022 | 1 Years, 0 Months, 7 Days | 2.75</t>
  </si>
  <si>
    <t>Global Fair | Estimation Engineer | Bangalore  | May 2023 | Jul 2023 | 7 Weeks | Campus Internship
PAVIT CONSTRUCTIONS | SITE SUPERVISING, LABOUR HANDELING AND ESTIMATION OF MATERIALS NEEDED  | BIDAR | Jan 2019 | Feb 2019 | 4 Weeks</t>
  </si>
  <si>
    <t>p2270222</t>
  </si>
  <si>
    <t>Sandeep Mohan Singh</t>
  </si>
  <si>
    <t>sandeepms5884@gmail.com</t>
  </si>
  <si>
    <t>p2270222@student.nicmar.ac.in</t>
  </si>
  <si>
    <t>12-Apr-2000</t>
  </si>
  <si>
    <t>6716 6171 8411</t>
  </si>
  <si>
    <t>RAJENDRA SINGH</t>
  </si>
  <si>
    <t>SANTOSH RAJPUT</t>
  </si>
  <si>
    <t>Flat No-82C Pocket-B, _x000D_
Express View Apartments, Sector-105_x000D_
Back Side Of Petrol Pump</t>
  </si>
  <si>
    <t>JAGRAN PUBLIC SCHOOL</t>
  </si>
  <si>
    <t>CENTRAL BOARD OF SECONDARY EDUCATION, NOIDA, UTTAR PRADESH</t>
  </si>
  <si>
    <t>JAYPEE PUBLIC SCHOOL</t>
  </si>
  <si>
    <t>AutoCAD,MS Office,MS Project,Primavera,MS EXCEL,Autodesk Revit,NAVISWORK</t>
  </si>
  <si>
    <t>L&amp;T Construction Building &amp; Factory Independent Company | Summer Intern | IGI AIRPORT, NEW DELHI  | May 2023 | Jul 2023 | 7 Weeks | Campus Internship
SHAPOORJI PALLONJI AND COMPANY PRIVATE LIMITED | QUANTITY SURVEYOR  | CENTRAL VISTA AVENUE, DELHI | Jul 2021 | Aug 2021 | 4 Weeks
LARSEN &amp; TOUBRO LIMITED L&amp;T CONSTRUCTION | SITE SUPERVISOR | NEW DELHI | Jan 2022 | Apr 2022 | 13 Weeks</t>
  </si>
  <si>
    <t>p2270223</t>
  </si>
  <si>
    <t>GULI</t>
  </si>
  <si>
    <t>Vishal V Guli</t>
  </si>
  <si>
    <t>vishalguli3@gmail.com</t>
  </si>
  <si>
    <t>p2270223@student.nicmar.ac.in</t>
  </si>
  <si>
    <t>17-Jan-1998</t>
  </si>
  <si>
    <t>4301 5409 1962</t>
  </si>
  <si>
    <t>VISHWANATH I GULI</t>
  </si>
  <si>
    <t>SHAILAJA V</t>
  </si>
  <si>
    <t>MAHANTESH NAGAR NEAR A.P.M.C. Muddebihal_x000D_
Dt:-vijayapur</t>
  </si>
  <si>
    <t>NICMAR UNIVERSITY PUNE</t>
  </si>
  <si>
    <t>B.S.CENTRAL SCHOOL</t>
  </si>
  <si>
    <t>CENTRAL BOARD OF SECONDARY EDUCATION, TQ:-MUDDEBIHAL, DT:- VIJAYAPUR</t>
  </si>
  <si>
    <t>VAGDEVI PU COLLEGE</t>
  </si>
  <si>
    <t>APPA INSTITUTE OF ENGINEERING AND TECHNOLOGY, KALABURAGI</t>
  </si>
  <si>
    <t>AutoCAD,MS Office,MS Project,Primavera,Building Information and Modeling,Power BI</t>
  </si>
  <si>
    <t>Horizon Industrial Parks | Leasing | Bengaluru | May 2023 | Jul 2023 | 7 Weeks | Campus Internship
KMV PROJECTS LTD | Junior Site Engineer, &amp; Trainee | VIJAYAPUR,KARNATAKA | Apr 2022 | May 2022 | 4 Weeks
SINGADE CONSTRUCTIONS AND INFRASTRUCTURE PVT LTD | Junior Site Engineer | KALABURAGI, KARNATAKA | Jan 2020 | Feb 2020 | 4 Weeks</t>
  </si>
  <si>
    <t>p2270224</t>
  </si>
  <si>
    <t>THALLURU</t>
  </si>
  <si>
    <t>SAISIREESHA</t>
  </si>
  <si>
    <t>Thalluru Saisireesha</t>
  </si>
  <si>
    <t>saisireeshats@gmail.com</t>
  </si>
  <si>
    <t>p2270224@student.nicmar.ac.in</t>
  </si>
  <si>
    <t>22-May-1998</t>
  </si>
  <si>
    <t>English, Telugu, Tamil.</t>
  </si>
  <si>
    <t>1. Painting,2. Crafts Making,3. Playing Games</t>
  </si>
  <si>
    <t>6558 3324 6331</t>
  </si>
  <si>
    <t>TALLURU VENKATA KRISHNA</t>
  </si>
  <si>
    <t>TALLURU MADHAVI</t>
  </si>
  <si>
    <t>Kalanjali Ladies Corner, Raja Street, Venkatagiri</t>
  </si>
  <si>
    <t>Alluri Sitarama Raju</t>
  </si>
  <si>
    <t>5-418-A, AMMAVARIPETA, NEAR MUNICIPAL OFFICE, VENKATAGIRI</t>
  </si>
  <si>
    <t>BOARD OF SECONDARY EDUCATION, ANDHRAPRADESH.</t>
  </si>
  <si>
    <t>VISWASAI JUNIOR COLLEGE</t>
  </si>
  <si>
    <t>MUTHAYAMMAL ENGINEERING COLLEGE(AUTONOMOUS), RASIPURAM, NAMMAKAL DT</t>
  </si>
  <si>
    <t>AutoCAD,MS Office,MS Project,Primavera,Building Information Modelling</t>
  </si>
  <si>
    <t>Aparna Constructions and Estates | Quantity Surveying and Billing | Hyderabad | May 2023 | Jul 2023 | 7 Weeks | Campus Internship
SELLIMAMAN CONSTRUCTIONS PVT LIMITED | Construction Engineer | Erode | Dec 2018 | Dec 2018 | 1 Weeks</t>
  </si>
  <si>
    <t>p2270225</t>
  </si>
  <si>
    <t>UTSAV</t>
  </si>
  <si>
    <t>CHANDRA</t>
  </si>
  <si>
    <t>Utsav Chandra</t>
  </si>
  <si>
    <t>utsavchandrawork@gmail.com</t>
  </si>
  <si>
    <t>p2270225@student.nicmar.ac.in</t>
  </si>
  <si>
    <t>ENGLISH, BANGLA, HINDI</t>
  </si>
  <si>
    <t>Music,Travelling,Movies,Sports,Books</t>
  </si>
  <si>
    <t>9676 0196 6623</t>
  </si>
  <si>
    <t>KALOSONA CHANDRA</t>
  </si>
  <si>
    <t>UMA CHANDRA</t>
  </si>
  <si>
    <t>UNIVERSAL TRADING COMPANY, GOURHATI MORE, ARAMBAGH</t>
  </si>
  <si>
    <t>245,BANGUR AVENUE, BLOCK-B</t>
  </si>
  <si>
    <t>BIDHANNAGAR GOVERNMENT HIGH SCHOOL</t>
  </si>
  <si>
    <t>WEST BENGAL BOARD OF SECONDARY EDUCATION - WEST BENGAL</t>
  </si>
  <si>
    <t>2012-Jan</t>
  </si>
  <si>
    <t>MEGHNAD SAHA INSTITUTE OF TECHNOLOGY - WEST BENGAL</t>
  </si>
  <si>
    <t>DYNAMIC PRESTRESS PROJECT AND SERVICES PVT LTD | SITE EXECUTION | RAWATBHATA(RAJASTHAN), KASARA(MAHARASHTRA), THANE(MAHARASHTRA), KOLKATA(WEST BENGAL) | Jun 2021 | Aug 2022 | 1 Years, 1 Months, 20 Days | 2.7
DTC PROJECTS PVT LTD | SITE EXECUTION | Kolkata | Sep 2019 | Mar 2020 | 0 Years, 5 Months, 27 Days | 1.3
YOUTH INVEST FOUNDATION | ESTIMATION, BILLING, SUPERVSION AND CHECKING | HOWRAH &amp;amp; HOOGHLY | Oct 2020 | Jan 2021 | 0 Years, 2 Months, 30 Days | 2.64</t>
  </si>
  <si>
    <t>Paharpur Cooling Tower Ltd | Summer Intern | Kolkata  | May 2023 | Jul 2023 | 8 Weeks | Campus Internship
SIMPLEX INFRASTRUCTURES LIMITED | VOCATIONAL TRAINEE ENGINEER | KOLKATA | Jan 2019 | Jan 2019 | 4 Weeks</t>
  </si>
  <si>
    <t>p2270226</t>
  </si>
  <si>
    <t>SUPREETH</t>
  </si>
  <si>
    <t>HALLUR</t>
  </si>
  <si>
    <t>Supreeth Hallur</t>
  </si>
  <si>
    <t>hallursupreeth@gmail.com</t>
  </si>
  <si>
    <t>p2270226@student.nicmar.ac.in</t>
  </si>
  <si>
    <t>English, Kannada, Hindi. Telugu</t>
  </si>
  <si>
    <t>Badminton,Handball,Reading Novel,Music</t>
  </si>
  <si>
    <t>4034 6861 4760</t>
  </si>
  <si>
    <t>MALLIKARJUNA</t>
  </si>
  <si>
    <t>ANASUYA</t>
  </si>
  <si>
    <t>H.NO. 8-11-181/825A , BOLMAN DODDI ROAD, VIDYA NAGAR,RAICHUR- 584101</t>
  </si>
  <si>
    <t>SRI RAMAKRISHNA RES VIDYASHALA COMP J C</t>
  </si>
  <si>
    <t>KARNATAKA SECONDARY EDUCATION EXAMINATION BOARD /KARNATAKA</t>
  </si>
  <si>
    <t>SRI CHAITANYA PU COLLEGE, BANGALORE</t>
  </si>
  <si>
    <t>DAYANANDA SAGAR COLLEGE OF ENGINEERING,BANGALORE</t>
  </si>
  <si>
    <t>AutoCAD,MS Office,MS Project,Primavera,Google Sketchup,Revit Architecture</t>
  </si>
  <si>
    <t>ASHWIN SHETH GROUP | Contracts | MUMBAI | May 2023 | Jul 2023 | 7 Weeks | Campus Internship
PUBLIC WORK DEPARTMENTS SUB DIVISION RAICHUR | Supervisor | RAICHUR | Aug 2020 | Sep 2020 | 4 Weeks</t>
  </si>
  <si>
    <t>p2270228</t>
  </si>
  <si>
    <t>Utkarsh Dwivedi</t>
  </si>
  <si>
    <t>utkarsh.dwivedi97@gmail.com</t>
  </si>
  <si>
    <t>p2270228@student.nicmar.ac.in</t>
  </si>
  <si>
    <t>08-Apr-1997</t>
  </si>
  <si>
    <t>Science and Technology,Innovations,Reading books,Networking,Problem solving challenges,Yoga and Meditation,Fitness and healthy living</t>
  </si>
  <si>
    <t>2228 6221 0585</t>
  </si>
  <si>
    <t>KRISHNA KUMAR DWIVEDI</t>
  </si>
  <si>
    <t>SUMITRA DWIVEDI</t>
  </si>
  <si>
    <t>24/101 NEAR TRANSFORMER DWARIKA NAGAR REWA</t>
  </si>
  <si>
    <t>Rewa</t>
  </si>
  <si>
    <t>ROOM NO.-204 ULTIMA HOSTEL NICMAR PUNE</t>
  </si>
  <si>
    <t>CENTRAL ACADEMY SENIOR SECONDARY SCHOOL</t>
  </si>
  <si>
    <t>CENTRAL BOARD OF SECONDARY EDUCATION , REWA (MADHYA PRADESH)</t>
  </si>
  <si>
    <t>RAJIV GANDHI PROUDYOGIKI VISHWAVIDYALAYA  , BHOPAL</t>
  </si>
  <si>
    <t>TECHNOCRATS INSTITUTE OF TECHNOLOGY , BHOPAL</t>
  </si>
  <si>
    <t>AutoCAD,MS Office,MS Project,Primavera,CCS Candy,BIM (Autodesk Revit &amp; Navisworks Manage)</t>
  </si>
  <si>
    <t>KPMG Advisory Services Private Limited | Intern (Management Advisory) and service line is G &amp; PS (Government &amp; Public Services) | Base Location: Gurugram | Project Location: Bhopal | May 2023 | Jul 2023 | 7 Weeks | Campus Internship
PUBLIC WORKS DEPARTMENT | INTERN AT MPPWD (BRIDGE CONST.) , BHOPAL DIVISION | BHOPAL | Jun 2018 | Jun 2018 | 2 Weeks</t>
  </si>
  <si>
    <t>p2270230</t>
  </si>
  <si>
    <t>DHAIRYA</t>
  </si>
  <si>
    <t>HITESHKUMAR</t>
  </si>
  <si>
    <t>Contractor Dhairya Hiteshkumar</t>
  </si>
  <si>
    <t>dcontractor23@gmail.com</t>
  </si>
  <si>
    <t>p2270230@student.nicmar.ac.in</t>
  </si>
  <si>
    <t>ENGLISH,HINDI &amp; GUJARATI</t>
  </si>
  <si>
    <t>â€¢ Reading,â€¢ Sports,â€¢ Photography</t>
  </si>
  <si>
    <t>6164 7770 2401</t>
  </si>
  <si>
    <t>HITESH VASUDEV CONTRACTOR</t>
  </si>
  <si>
    <t>GOV. OFFICER</t>
  </si>
  <si>
    <t>ALPA CONTRACTOR</t>
  </si>
  <si>
    <t>11/A New Umiya Vijay Society, Behind Rannapark Busstand, Ghatlodia</t>
  </si>
  <si>
    <t>SHETH C.N VIDHYALAYA</t>
  </si>
  <si>
    <t>GUJARAT SECONDARY AND HIGHER SECONDARY EDUCATION BOARD, AHMEDABAD, GUJARAT</t>
  </si>
  <si>
    <t>THE H.B KAPADIA HIGH SCHOOL</t>
  </si>
  <si>
    <t>ADANI INSTITUTE OF INFRASTRUCTURE ENGINEERING</t>
  </si>
  <si>
    <t>AutoCAD,MS Office,MS Project,Primavera,REVIT,STAAD PRO,CANDY,Advance Excel</t>
  </si>
  <si>
    <t>HCP Design, Planning and Management Pvt. Ltd. | Excecution Work | Ahmedabad | Jul 2021 | Jun 2022 | 0 Years, 11 Months, 29 Days | 2.4</t>
  </si>
  <si>
    <t>HCP Design, Planning &amp; Management | Planning Intern | Ahmedabad, Gujarat | May 2023 | Jul 2023 | 7 Weeks | Campus Internship
ADANI DAHANU THERMAL POWER STATION | TRAINEE | DAHANU, MAHARASTRA | Aug 2019 | Aug 2019 | 0 Weeks
AHMEDANAD MUNICIPAL CORPORATION | PROJECT INTERN | AHMEDABAD, GUJARAT | Dec 2019 | Jan 2020 | 4 Weeks
AHMEDANAD MUNICIPAL CORPORATION | PROJECT INTERN | AHMEDABAD, GUJARAT | Jun 2019 | Jun 2019 | 2 Weeks</t>
  </si>
  <si>
    <t>p2270231</t>
  </si>
  <si>
    <t>SIMRA</t>
  </si>
  <si>
    <t>ACHU</t>
  </si>
  <si>
    <t>VARKEY</t>
  </si>
  <si>
    <t>Simra Achu Varkey</t>
  </si>
  <si>
    <t>simravarkeyambat@gmail.com</t>
  </si>
  <si>
    <t>p2270231@student.nicmar.ac.in</t>
  </si>
  <si>
    <t>23-Mar-1999</t>
  </si>
  <si>
    <t>Reading non-fiction books,Playing piano,Listening to music,Watching movies and TV series</t>
  </si>
  <si>
    <t>9918 6810 8716</t>
  </si>
  <si>
    <t>VARKEY CHACKO</t>
  </si>
  <si>
    <t>SEATHU VARKEY</t>
  </si>
  <si>
    <t>Baker Hill, Kottayam, 686001</t>
  </si>
  <si>
    <t>INDIAN SCHOOL MUSCAT</t>
  </si>
  <si>
    <t>CBSE, MUSCAT</t>
  </si>
  <si>
    <t>Intento Associates | Business Analyst | Vashi, Navi Mumbai | May 2023 | Jul 2023 | 7 Weeks | Campus Internship</t>
  </si>
  <si>
    <t>p2270232</t>
  </si>
  <si>
    <t>N K</t>
  </si>
  <si>
    <t>Haripriya Varma N K</t>
  </si>
  <si>
    <t>haripriyavarma.nk@gmail.com</t>
  </si>
  <si>
    <t>p2270232@student.nicmar.ac.in</t>
  </si>
  <si>
    <t>31-Aug-1996</t>
  </si>
  <si>
    <t>Drawing,Painting</t>
  </si>
  <si>
    <t>4662 8962 3058</t>
  </si>
  <si>
    <t>RAMA VARMA R</t>
  </si>
  <si>
    <t>LAKSHMI DEVI N K</t>
  </si>
  <si>
    <t>Manjeri Kovilakam,_x000D_
Manjeri, Malappuram_x000D_</t>
  </si>
  <si>
    <t>CENTRAL BOARD OF SECONDARY EDUCATION, MALAPPURAM, KERALA</t>
  </si>
  <si>
    <t>PATTILAKATHU MANA SANKARAN AIDED HIGHER SECONDARY SCHOOL</t>
  </si>
  <si>
    <t>KERALA HIGHER SECONDARY EDUCATION BOARD</t>
  </si>
  <si>
    <t>VEDAPURI LOTUS PROPERTIES PVT LTD | Site Execution | KOCHI | Jul 2019 | Jul 2022 | 3 Years, 0 Months, 3 Days | 1.44</t>
  </si>
  <si>
    <t>Godrej Properties | Planning | Mumbai | May 2023 | Jul 2023 | 7 Weeks | Campus Internship
PENTA CONSTRUTIONS ENGINEERS AND CONTRACTORS | Site Execution | MANJERI | Jul 2016 | Jul 2016 | 1 Weeks
THE URALUNGAL LABOUR CONTRACT COOPERATIVE SOCIETY | Site Execution | CALICUT | Jul 2018 | Jul 2018 | 0 Weeks</t>
  </si>
  <si>
    <t>p2270233</t>
  </si>
  <si>
    <t>Ankit Tiwari</t>
  </si>
  <si>
    <t>ankit.at1249@gmail.com</t>
  </si>
  <si>
    <t>p2270233@student.nicmar.ac.in</t>
  </si>
  <si>
    <t>10-Dec-1994</t>
  </si>
  <si>
    <t>Football,techupdates,AI</t>
  </si>
  <si>
    <t>4380 4740 0231</t>
  </si>
  <si>
    <t>RAJ BIHARI TIWARI</t>
  </si>
  <si>
    <t>GOVERNMENT OFFICIAL</t>
  </si>
  <si>
    <t>SUNITA TIWARI</t>
  </si>
  <si>
    <t>ATP COLONY, Anpara SONEBHADHRA,UP</t>
  </si>
  <si>
    <t>Sonbhadra</t>
  </si>
  <si>
    <t>CBSE / UTTAR PRADESH</t>
  </si>
  <si>
    <t>2009-Jul</t>
  </si>
  <si>
    <t>2011-Aug</t>
  </si>
  <si>
    <t>VISHVESHWARYA INSTITUTE OF TECHNOLOGY/DELHI NCR</t>
  </si>
  <si>
    <t>AutoCAD,MS Office,MS Project,Primavera,PYTHON,FINANCIAL ANALYSIS,RISK ANALYSIS,MS EXCEL</t>
  </si>
  <si>
    <t>BAINS EARTH MOVERS | EXECUTION | MUMBAI | Aug 2018 | Aug 2019 | 1 Years, 0 Months, 19 Days | 2.2
KMV PROJECTS LTD. | Asistant Engineer | DELHI AIRPORT | Nov 2020 | Mar 2021 | 0 Years, 3 Months, 20 Days | 2.58
AECONS | Business Development Executive | REMOTE/DEHRADHUN | May 2021 | Feb 2022 | 0 Years, 8 Months, 23 Days | 3.08</t>
  </si>
  <si>
    <t>Alluwalia Group | Management Traine | Delhi | May 2023 | Jul 2023 | 7 Weeks | Campus Internship
SMCC CONSTRUCTION INDIA PVT. LTD | Intern | Honda Plant Greater Noida | Jun 2017 | Aug 2017 | 8 Weeks</t>
  </si>
  <si>
    <t>p2270234</t>
  </si>
  <si>
    <t>PURUSHOTHAMAN</t>
  </si>
  <si>
    <t>S R</t>
  </si>
  <si>
    <t>Purushothaman S R</t>
  </si>
  <si>
    <t>purushothamansr29@gmail.com</t>
  </si>
  <si>
    <t>p2270234@student.nicmar.ac.in</t>
  </si>
  <si>
    <t>Kannada,English,Tamil,Hindi,Telugu</t>
  </si>
  <si>
    <t>8672 0746 2861</t>
  </si>
  <si>
    <t>G K SRINIVASA RAGHAVAN</t>
  </si>
  <si>
    <t>ACCOUNT SUPERVISOR,BMTC</t>
  </si>
  <si>
    <t>VIDYASHRI J</t>
  </si>
  <si>
    <t>TEACHER,NPS</t>
  </si>
  <si>
    <t>#175,2nd Main,4th Cross, Ramanjaneya Nagar,Chikkalasandra,Bengaluru-560061</t>
  </si>
  <si>
    <t>JYOTHI KENDRIYA VIDYALAYA</t>
  </si>
  <si>
    <t>CBSE,BENGALURU,KARNATAKA</t>
  </si>
  <si>
    <t>ALVAS PU COLLEGE</t>
  </si>
  <si>
    <t>VISVESVARAYA TECHNOLOGICAL UNIVERSITY,(VTU)</t>
  </si>
  <si>
    <t>SJB SCHOOL OF ARCHITECTURE AND PLANNING, BENGALURU, KARNATAKA</t>
  </si>
  <si>
    <t>AutoCAD,MS Office,MS Project,Primavera,TWINMOTION,KINEMASTER,ASANA,LIGHTROOM,SKETCHUP,NAVISWORK,REVIT,CANDY</t>
  </si>
  <si>
    <t>ISIRI ARCHITECTURE + DESIGN | Interior Architecture and Construction,knowledge on several projects like residential apartments,shoppingcomplexes,restaurants,kitchen layouts , commercial as well as Residential projects,experienced in Design and planning development ,conceptual represen | # G-14, Oasis Residency, 5th Phase, J. P. Nagar, Bengaluru, Karnataka 560078 | Jan 2021 | Dec 2021 | 0 Years, 11 Months, 19 Days | 1.8
BYSOMEONE (Desine) | Should be well versed in designing residential apartments,shoppingcomplexes,restaurants,kitchen layouts , commercial mainly ,experienced in Design and planning development ,conceptual representations  | 11/17, PTA SCHOOL ROAD, ASHOKA PILLAR  CIRCLE, JAYANAGAR 1st BLOCK, BANGALORE-560050 | Jan 2022 | Jun 2022 | 0 Years, 5 Months, 25 Days | 2.64</t>
  </si>
  <si>
    <t>Livio Building System | Design Co-ordinator (Clash detection &amp; BIM) | Pune | May 2023 | Jul 2023 | 7 Weeks | Campus Internship</t>
  </si>
  <si>
    <t>p2270235</t>
  </si>
  <si>
    <t>MAHAK</t>
  </si>
  <si>
    <t>Mahak Sharma</t>
  </si>
  <si>
    <t>ms221197@gmail.com</t>
  </si>
  <si>
    <t>p2270235@student.nicmar.ac.in</t>
  </si>
  <si>
    <t>22-Nov-1997</t>
  </si>
  <si>
    <t>Dancing,Travelling,Graphical design</t>
  </si>
  <si>
    <t>8783 5785 5155</t>
  </si>
  <si>
    <t>RAJESHWAR PRASAD SHARMA</t>
  </si>
  <si>
    <t>BHAVANA SHARMA</t>
  </si>
  <si>
    <t>2-A-35_x000D_
Mahaveer Nagar Extension, Kota</t>
  </si>
  <si>
    <t>DAV HZL SR. SEC. SCHOOL</t>
  </si>
  <si>
    <t>AAYOJAN SCHOOL OF ARCHITECTURE, JAIPUR</t>
  </si>
  <si>
    <t>AutoCAD,MS Office,MS Project,Primavera,Autodesk Revit,Candy,Advanced Excel,SketchUp</t>
  </si>
  <si>
    <t>Kriti Architects and Interior designers, New Delhi | Architectural designer | New Delhi | Mar 2021 | Apr 2022 | 1 Years, 1 Months, 2 Days | 2</t>
  </si>
  <si>
    <t>ANAROCK Property Consultant | Residential Sales Intern | Pune | May 2023 | Jul 2023 | 8 Weeks | Campus Internship
BLACKINK | ARCHITECTURAL INTERN | SURAT, GUJARAT | Jan 2019 | Jun 2019 | 24 Weeks</t>
  </si>
  <si>
    <t>p2270236</t>
  </si>
  <si>
    <t>SINGHAL</t>
  </si>
  <si>
    <t>Aditya Singhal</t>
  </si>
  <si>
    <t>aditya05600@gmail.com</t>
  </si>
  <si>
    <t>p2270236@student.nicmar.ac.in</t>
  </si>
  <si>
    <t>20-Aug-1995</t>
  </si>
  <si>
    <t>Badminton,Cultural festivals,Food festivals</t>
  </si>
  <si>
    <t>8877 9185 9533</t>
  </si>
  <si>
    <t>RAJKUMAR SINGHAL</t>
  </si>
  <si>
    <t>SHUKHA SINGHAL</t>
  </si>
  <si>
    <t>H.NO. 560 SECTOR-19</t>
  </si>
  <si>
    <t>ST.ALBANS SCHOOL</t>
  </si>
  <si>
    <t>CBSE FARIDABAD/HARYANA</t>
  </si>
  <si>
    <t>MODERN VIDYA NIKETAN</t>
  </si>
  <si>
    <t>MAHARSHI DAYANAND UNIVERSITY</t>
  </si>
  <si>
    <t>ECHELON INSTITUTE OF TECHNOLOGY FARIDABAD/HARYANA</t>
  </si>
  <si>
    <t>AutoCAD,MS Office,MS Project,Primavera,STAAD Pro,MIDAS</t>
  </si>
  <si>
    <t>AECOM | Structural designer | Gurugram | Sep 2017 | Oct 2019 | 2 Years, 0 Months, 23 Days | 4
Feedback Infra | DPR engineer | Gurugram | Feb 2020 | Aug 2020 | 0 Years, 5 Months, 21 Days | 5.75
SA Infrastructure Consultant Private Limited / SG Infra Engineers | Engineer-Bridge Design/ Structure Engineer-2 | Noida/Gurgugram | Jul 2021 | Aug 2022 | 1 Years, 1 Months, 4 Days | 8</t>
  </si>
  <si>
    <t>CBRE South Asia Pvt Ltd | Project intern | Pune | May 2023 | Jul 2023 | 7 Weeks | Campus Internship
CIVIL SIMPLIFIED | LEARNING OF BASICS OF STRUCTURAL ENGINEERING, GIS | NEW DELHI | Jul 2014 | Jul 2014 | 2 Weeks
LARSEN AND TOUBRO | OVERSEEING OF EXECUTION OF FINISHING WORK IN MALL | NOIDA | Jun 2015 | Jul 2015 | 4 Weeks
AECOM | SUBMISSION OF STRUCTURAL DESIGN OF SUBSTRUCTURE AND FOUNDATION OF BRIDGES AND METROS | GURUGRAM | Feb 2017 | Jun 2022 | 278 Weeks</t>
  </si>
  <si>
    <t>p2270237</t>
  </si>
  <si>
    <t>MOTE</t>
  </si>
  <si>
    <t>SUKHADEO</t>
  </si>
  <si>
    <t>Mote Rohit Sukhadeo</t>
  </si>
  <si>
    <t>rohitmote1204@gmail.com</t>
  </si>
  <si>
    <t>p2270237@student.nicmar.ac.in</t>
  </si>
  <si>
    <t>Like to read related to various investment opportunities.,Trekking,Playing Cricket</t>
  </si>
  <si>
    <t>2539 4644 0983</t>
  </si>
  <si>
    <t>SUKHADEO DAGADU MOTE</t>
  </si>
  <si>
    <t>RANI SUKHADEO MOTE</t>
  </si>
  <si>
    <t>C 49, Siddhi Building, Meenatai Thakare Nagar, Karve Nagar, Pune 411052</t>
  </si>
  <si>
    <t>PANDITRAO AGASHE SCHOOL</t>
  </si>
  <si>
    <t>FERGUSSON COLLEGE PUNE</t>
  </si>
  <si>
    <t>AISSMS COLLEGE OF ENGINEERING PUNE MAHARASHTRA</t>
  </si>
  <si>
    <t>AutoCAD,MS Office,MS Project,Primavera,Revit (BIM),ETABS,MS Excel</t>
  </si>
  <si>
    <t>PAVETECH CONSULTANTS | SITE EXECUTION &amp; CONTROL | PUNE | May 2023 | Jul 2023 | 7 Weeks | Campus Internship</t>
  </si>
  <si>
    <t>p2270240</t>
  </si>
  <si>
    <t>INIYAA</t>
  </si>
  <si>
    <t>S.R</t>
  </si>
  <si>
    <t>Iniyaa S.r</t>
  </si>
  <si>
    <t>iniyaasr@gmail.com</t>
  </si>
  <si>
    <t>p2270240@student.nicmar.ac.in</t>
  </si>
  <si>
    <t>07-Oct-1999</t>
  </si>
  <si>
    <t>9181 7951 4616</t>
  </si>
  <si>
    <t>RADHAKRISHNAN.S</t>
  </si>
  <si>
    <t>GOWRI.R</t>
  </si>
  <si>
    <t>10, Chola Nagar, KVB Gayathri Nagar North, Karur-639002.</t>
  </si>
  <si>
    <t>VELAMMAL VIDYALAYA, KARUR.</t>
  </si>
  <si>
    <t>CENTRAL BOARD OF SECONDARY EDUCATION, KARUR, TAMIL NADU.</t>
  </si>
  <si>
    <t>VELAMMAL MATRIC HIGHER SECONADRY SCHOOL, KARUR.</t>
  </si>
  <si>
    <t>PSG INSTITUTE OF TECHNOLOGY AND APPLIED RESEARCH, COIMBATORE, TAMIL NADU.</t>
  </si>
  <si>
    <t>AutoCAD,MS Project,Primavera,REVIT ARCHITECTURE,3DS MAX</t>
  </si>
  <si>
    <t>Sri Sai Powerand Equipments Private Limited | Site Execution | Trichy | Oct 2021 | Jun 2022 | 0 Years, 8 Months, 17 Days | 2.52</t>
  </si>
  <si>
    <t>Godrej Properties Limited | Costing &amp; Budgeting | Mumbai | May 2023 | Jul 2023 | 7 Weeks | Campus Internship
CHOLA CONSTRUCTION |  INTERN | TRICHY  | Feb 2021 | Apr 2021 | 10 Weeks
PUBLIC WORKS DEPARTMENT | INTERN | COIMBATORE | Nov 2018 | Dec 2018 | 0 Weeks</t>
  </si>
  <si>
    <t>p2270241</t>
  </si>
  <si>
    <t>GABALE</t>
  </si>
  <si>
    <t>Arjun Anand Gabale</t>
  </si>
  <si>
    <t>gabalearjun007@gmail.com</t>
  </si>
  <si>
    <t>p2270241@student.nicmar.ac.in</t>
  </si>
  <si>
    <t>Reading Books,Playing Cricket,Watching Documentaries,Playing Chess</t>
  </si>
  <si>
    <t>6189 0725 8501</t>
  </si>
  <si>
    <t>USHA</t>
  </si>
  <si>
    <t>H.N.-1-18-863, MATOSHRI NIWAS,MAGNPURA</t>
  </si>
  <si>
    <t>GUJRATI HIGHSCHOOL</t>
  </si>
  <si>
    <t>GRAMIN POLYTECHNIC NANDED/MAHARASHTRA</t>
  </si>
  <si>
    <t>AutoCAD,MS Office,MS Project,Primavera,SKETCHUP,PHOTOSHOP</t>
  </si>
  <si>
    <t>SEKOS CONSTRUCTION | EXECUTION | MUMBAI | Aug 2020 | Aug 2022 | 2 Years, 0 Months, 12 Days | 5.1</t>
  </si>
  <si>
    <t>RELIANCE INDUSTRIES RPMG | PROJECT CONTROL | Jamnagar, Gujrat | May 2023 | Jul 2023 | 8 Weeks | Campus Internship</t>
  </si>
  <si>
    <t>p2270242</t>
  </si>
  <si>
    <t>GAURI</t>
  </si>
  <si>
    <t>Gauri Singhal</t>
  </si>
  <si>
    <t>gaurisinghal238@gmail.com</t>
  </si>
  <si>
    <t>p2270242@student.nicmar.ac.in</t>
  </si>
  <si>
    <t>â€¢ Dramatics â€¢ Painting â€¢ Travelling â€¢ Cooking â€¢ Exploring</t>
  </si>
  <si>
    <t>2731 5956 6870</t>
  </si>
  <si>
    <t>MR. NAVEEN</t>
  </si>
  <si>
    <t>MRS. PARUL SINGHAL</t>
  </si>
  <si>
    <t>36/2 C South Civil Line_x000D_
Mahaveer Chowk, Muzaffarnagar</t>
  </si>
  <si>
    <t>S.D. PUBLIC SCHOOL</t>
  </si>
  <si>
    <t>CBSE, MUZAFFARNAGAR, UTTAR PRADESH</t>
  </si>
  <si>
    <t>DR. A.P.J. ABDUL KALAM TECHNICAL UNIVERSITY, UTTAR PRADESH</t>
  </si>
  <si>
    <t>FACULTY OF ARCHITECTURE &amp; PLANNING, AKTU, LUCKNOW</t>
  </si>
  <si>
    <t>AutoCAD,MS Office,MS Project,PHOTOSHOP, SKETCHUP, V-RAY, LUMION, REVIT</t>
  </si>
  <si>
    <t>SAVILLS PROPERTY SERVICES | PROJECT MANAGEMENT INTERN | GURGAON | May 2023 | Jul 2023 | 7 Weeks | Campus Internship
ARCHIONICS ARCHITECTS | Intern | LUCKNOW | Dec 2018 | Jan 2019 | 6 Weeks
YASH MADHU  AND ASSOCIATES | INTERN | MUZAFFARNAGAR | Jun 2018 | Jul 2018 | 4 Weeks
GPMA | ARCHITECTURAL INTERN | DELHI | Jun 2019 | Dec 2019 | 23 Weeks</t>
  </si>
  <si>
    <t>p2270243</t>
  </si>
  <si>
    <t>SURYAWANSHI</t>
  </si>
  <si>
    <t>Jayesh Dilip Suryawanshi</t>
  </si>
  <si>
    <t>jayeshsuryawanshi303@gmail.com</t>
  </si>
  <si>
    <t>p2270243@student.nicmar.ac.in</t>
  </si>
  <si>
    <t>30-Mar-2000</t>
  </si>
  <si>
    <t>Art,Fitness,E-Sports</t>
  </si>
  <si>
    <t>3749 4573 5583</t>
  </si>
  <si>
    <t>DILIP SURYAWANSHI</t>
  </si>
  <si>
    <t>REKHA SURYAWANSHI</t>
  </si>
  <si>
    <t>Saisneh Society, Old Alandi Road, Laxmi Nagar, Moshi, Pune</t>
  </si>
  <si>
    <t>SARDAR DASTUR HOSHANG BOY'S HIGH SCHOOL</t>
  </si>
  <si>
    <t>VENUTAI CHAVAN POLYTECHNIC COLLEGE</t>
  </si>
  <si>
    <t>PADMABHUSHAN VASANTDADA PATIL INSTITUTE OF TECHNOLOGY PUNE/MAHARASHTRA</t>
  </si>
  <si>
    <t>AutoCAD,MS Office,MS Project,Primavera,Power Bi,Autodesk Revit,RIB Candy,ERP-Farvision</t>
  </si>
  <si>
    <t>Ashwin Sheth Group | Procurement  | Mumbai  | May 2023 | Jul 2023 | 7 Weeks | Campus Internship</t>
  </si>
  <si>
    <t>p2270244</t>
  </si>
  <si>
    <t>MOHAMMAD</t>
  </si>
  <si>
    <t>AQUIB</t>
  </si>
  <si>
    <t>Mohammad Aquib</t>
  </si>
  <si>
    <t>aquib4786ahmad@gmail.com</t>
  </si>
  <si>
    <t>p2270244@student.nicmar.ac.in</t>
  </si>
  <si>
    <t>16-Mar-1998</t>
  </si>
  <si>
    <t>Travelling,Esports</t>
  </si>
  <si>
    <t>9299 4539 3636</t>
  </si>
  <si>
    <t>JAVED AHMAD</t>
  </si>
  <si>
    <t>JUNIOR ENGINEER AT LOK NIRMAN VIBAGH.</t>
  </si>
  <si>
    <t>NOOR TARA</t>
  </si>
  <si>
    <t>19 Nehru Vihar On Kanchana Vihari Marg, Kalyanpur, Near Jagrani Hospital</t>
  </si>
  <si>
    <t>SETH M.R. JAIPURIA SCHOOL</t>
  </si>
  <si>
    <t>INDIAN CERTIFICATE OF SECONDARY EDUCATION, LUCKNOW/UTTAR PREDESH</t>
  </si>
  <si>
    <t>S.S.L INTER COLLEGE</t>
  </si>
  <si>
    <t>DR.A.P.J. ABDUL KALAM TECHNICAL UNIVERSITY</t>
  </si>
  <si>
    <t>J.S.S ACADEMY OF TECHNICAL EDUCATION, NOIDA/UTTAR PREDESH</t>
  </si>
  <si>
    <t>ASIAN PAINTS | PROJECT SALES | LUCKNOW | May 2023 | Jul 2023 | 7 Weeks | Campus Internship
SAVFAB DEVELOPERS PVT LTD | SITE INVESTIGATION AND QUALITY CHECK. | GAZIABAD, UTTAR PRTEDESH | Oct 2020 | Oct 2020 | 4 Weeks</t>
  </si>
  <si>
    <t>p2270245</t>
  </si>
  <si>
    <t>NABILAH</t>
  </si>
  <si>
    <t>Nabilah Khan</t>
  </si>
  <si>
    <t>khan1998nabilah.01.11@gmail.com</t>
  </si>
  <si>
    <t>p2270245@student.nicmar.ac.in</t>
  </si>
  <si>
    <t>01-Nov-1998</t>
  </si>
  <si>
    <t>Accomplished national athlete with a passion of sports,Passionate about dancing and proficient in various dance styles.,Excellent interpersonal skills and keen interest in engaging with individuals.</t>
  </si>
  <si>
    <t>7095 6786 0193</t>
  </si>
  <si>
    <t>NAFEES KHAN</t>
  </si>
  <si>
    <t>ERFANA TALAT</t>
  </si>
  <si>
    <t>House No. 721/b Ashok Nagar Near Jain Mandir, Adhartal</t>
  </si>
  <si>
    <t>CHRIST CHURCH GIRLS' SENIOR SECONDARY SCHOOL</t>
  </si>
  <si>
    <t>CBSE JABALPUR, MADHYA PRADESH</t>
  </si>
  <si>
    <t>BHARATI VIDHYAPEETH DEEMED UNIVERSITY</t>
  </si>
  <si>
    <t>BHARATI VIDHYAPEETH COLLEGE OF ARCHITECTURE PUNE</t>
  </si>
  <si>
    <t>AutoCAD,MS Office,MS Project,Primavera,REVIT,TWIN-MOTION,ADOBE PHOTOSHOP</t>
  </si>
  <si>
    <t>R &amp; K Associates | Architect | Jabalpur | Aug 2021 | Oct 2021 | 0 Years, 2 Months, 30 Days | 1.2</t>
  </si>
  <si>
    <t>HILTI INDIA PVT LTD | Technical Account Manager Intern | Pune | May 2023 | Jul 2023 | 7 Weeks | Campus Internship
MOTIF ARCHITECTS | INTERN ARCHITECT | JABALPUR | May 2020 | Oct 2020 | 21 Weeks</t>
  </si>
  <si>
    <t>p2270247</t>
  </si>
  <si>
    <t>Ajinkya Anant Kulkarni</t>
  </si>
  <si>
    <t>ajinkyaanantkulkarni@gmail.com</t>
  </si>
  <si>
    <t>p2270247@student.nicmar.ac.in</t>
  </si>
  <si>
    <t>06-Oct-1997</t>
  </si>
  <si>
    <t>English, Marathi, Hindi, Sanskrit</t>
  </si>
  <si>
    <t>Cricket,Religious Activities,Listening Songs</t>
  </si>
  <si>
    <t>3478 7882 1734</t>
  </si>
  <si>
    <t>ANANT BALKRISHNA KULKARNI</t>
  </si>
  <si>
    <t>ALKA ANANT KULKARNI</t>
  </si>
  <si>
    <t>CTS No 19855, In Front Of Sai Mandir,near Old Shivsena Board, Padampura ,Aurangabad</t>
  </si>
  <si>
    <t>KALPANA SADAN, NEAR SHIV MANDIR, SHIV COLONY, THERGOAN, WAKAD, PUNE</t>
  </si>
  <si>
    <t>RAVINDRANATH TAGORE VIDYA MANDIR, AURANGABAD</t>
  </si>
  <si>
    <t>GOVERNMENT POLYTECHNIC JALNA/MAHARASHTRA</t>
  </si>
  <si>
    <t>DR.BABASAHEB AMBEDKAR MARATHWADA UNIVERSITY</t>
  </si>
  <si>
    <t>SHREEYASH COLLEGE OF ENGINEERING AND TECHNOLOGY,AURANGABAD/MAHARASHTRA</t>
  </si>
  <si>
    <t>MS Office,MS Project,Primavera,Revit (BIM),MS Excel,Contracts,Quantity Surveying,Project Management Skills,Quality Management Principles</t>
  </si>
  <si>
    <t>J. KUMAR INFRAPROJECTS | EXECUTION AND CONTROL  | MUMBAI | May 2023 | Jul 2023 | 7 Weeks | Campus Internship</t>
  </si>
  <si>
    <t>p2270248</t>
  </si>
  <si>
    <t>MANASA</t>
  </si>
  <si>
    <t>Manasa N</t>
  </si>
  <si>
    <t>p2270248@student.nicmar.ac.in</t>
  </si>
  <si>
    <t>29-Mar-1999</t>
  </si>
  <si>
    <t>Reading,Walking</t>
  </si>
  <si>
    <t>8606 4347 1761</t>
  </si>
  <si>
    <t>NARAYANA SWAMY V</t>
  </si>
  <si>
    <t>LATHA K</t>
  </si>
  <si>
    <t>No.280, Geetha Bharth Nilaya, 1st Main, 1st Cross Chamundeshwari Layout, Vidyaranayapura</t>
  </si>
  <si>
    <t>25/1, BALEWADI, N.I.A. POST OFFICE, RAM NAGAR, BANER, PUNE, MAHARASHTRA</t>
  </si>
  <si>
    <t>ST. PHILOMENA'S ENGLISH SCHOOL</t>
  </si>
  <si>
    <t>KSEEB BANGALORE/ KARNATAKA</t>
  </si>
  <si>
    <t>M E S KISHOREKENDRA PU COLLEGE</t>
  </si>
  <si>
    <t>SAI VIDYA INSTITUTE OF TECHNOLOGY</t>
  </si>
  <si>
    <t>AutoCAD,MS Office,MS Project,Primavera,IMOS,VRAY.,Minitab,Power BI</t>
  </si>
  <si>
    <t>Homelane | Associate Designer | Bangalore | Dec 2021 | Jun 2022 | 0 Years, 6 Months, 5 Days | 3.5
Homcrafts | Interior Designer | Bangalore | Jun 2021 | Dec 2021 | 0 Years, 6 Months, 30 Days | 1.8</t>
  </si>
  <si>
    <t>ANJ Turnkey Projects | Project Management Intern  | Bangalore | May 2023 | Jul 2023 | 7 Weeks | Campus Internship
CAPACITIES INFRAPROJECTS | INTERN | BANGALORE | Mar 2021 | Apr 2021 | 4 Weeks
SECURED WALLS | INTERN | BANGALORE | Jan 2020 | Feb 2020 | 2 Weeks</t>
  </si>
  <si>
    <t>p2270249</t>
  </si>
  <si>
    <t>Aaditya Vishnu Kapse</t>
  </si>
  <si>
    <t>aadityakapse14@gmail.com</t>
  </si>
  <si>
    <t>p2270249@student.nicmar.ac.in</t>
  </si>
  <si>
    <t>14-Nov-1994</t>
  </si>
  <si>
    <t>Music,Abstract Painting,Spending time in nature,Making and eating food,Volunteering,social service</t>
  </si>
  <si>
    <t>7014 0045 1045</t>
  </si>
  <si>
    <t>01, Kapse Chawl, Wadeghar, Datta Nagar, Kalyan, West</t>
  </si>
  <si>
    <t>SHARDA MANDIR HIGH SCHOOL</t>
  </si>
  <si>
    <t>2000-Jul</t>
  </si>
  <si>
    <t>LAXMAN DEVRAM SONAWANE COLLEGE OF ARTS, COMMERCE &amp; SCIENCE</t>
  </si>
  <si>
    <t>SHIVAJIRAO S JONDHALE COLLEGE OF ENGINEERING AND TECHNOLOGY</t>
  </si>
  <si>
    <t>AutoCAD,MS Office,MS Project,Primavera,Communication,Teamwork,Project Management,Creativity,Critical Thinking,Problem Solving,Mathematics,Computer skills,Leadership Skills,Organizational skills</t>
  </si>
  <si>
    <t>Puranik Builders Ltd. | Site Engineer | Neral, Maharashtra | Jul 2021 | Aug 2022 | 1 Years, 1 Months, 5 Days | 4
Soham Real Estate Pvt. Ltd. | Site Engineer | Thane | Dec 2016 | Dec 2019 | 3 Years, 0 Months, 26 Days | 3.34
Kharche Gandhi Construction Pvt. Ltd. | Site Engineer | Thane | Nov 2020 | Jun 2021 | 0 Years, 7 Months, 28 Days | 4</t>
  </si>
  <si>
    <t>57 month(s)</t>
  </si>
  <si>
    <t>The Jawaharlal Nehru Port Authority (JNPA) | Summer Intern | J.N.P.A, Sheva, Navi Mumbai | May 2023 | Jul 2023 | 7 Weeks | Campus Internship
SOHAM REAL ESTATE PVT LTD | SITE EXCUTION ENGINEER | THANE  | Jan 2020 | Oct 2020 | 43 Weeks</t>
  </si>
  <si>
    <t>p2270251</t>
  </si>
  <si>
    <t>DASARI</t>
  </si>
  <si>
    <t>BHARGAVA</t>
  </si>
  <si>
    <t>Dasari Bhargava</t>
  </si>
  <si>
    <t>bhargavdasari9236@gmail.com</t>
  </si>
  <si>
    <t>p2270251@student.nicmar.ac.in</t>
  </si>
  <si>
    <t>11-May-1999</t>
  </si>
  <si>
    <t>Planting,Cooking,Swimming,Cricket</t>
  </si>
  <si>
    <t>7838 0903 5117</t>
  </si>
  <si>
    <t>DASARI SRINIVAS</t>
  </si>
  <si>
    <t>DASARI USHA</t>
  </si>
  <si>
    <t>#12-13-548,ft No:404,Shubhnivas Apts,Nagarjuna Nagar Colony,Tarnaka,Secunderabad,Hyderabad,Telangana,500017</t>
  </si>
  <si>
    <t>NARAYANA CONCEPT SCHOOL</t>
  </si>
  <si>
    <t>URBANE JUNIOR COLLEGE</t>
  </si>
  <si>
    <t>GEETHANJALI COLLEGE OF ENGINEERING AND TECHNOLOGY</t>
  </si>
  <si>
    <t>AutoCAD,MS Office,MS Project,Primavera,Revit,Candy,Surveying,Quantity Surveying,Valuation,Quality Management</t>
  </si>
  <si>
    <t>Protek Consult | Junior Consultant | Hyderabad | Apr 2021 | Oct 2021 | 0 Years, 6 Months, 0 Days | 3.6</t>
  </si>
  <si>
    <t>Suroj Buildcon | Internship Trainee | Hyderabad | May 2023 | Jul 2023 | 7 Weeks | Campus Internship
RAIL VIKAS NIGAM LIMITED | INTERNSHIP TRAINEE | HYDERABAD | Apr 2019 | May 2019 | 4 Weeks</t>
  </si>
  <si>
    <t>p2270252</t>
  </si>
  <si>
    <t>VISHWANI</t>
  </si>
  <si>
    <t>Vishwani Pandey</t>
  </si>
  <si>
    <t>pandeyvishwani51@gmail.com</t>
  </si>
  <si>
    <t>p2270252@student.nicmar.ac.in</t>
  </si>
  <si>
    <t>03-Jul-1997</t>
  </si>
  <si>
    <t>Football,Chess,PC Games</t>
  </si>
  <si>
    <t>8816 1404 4173</t>
  </si>
  <si>
    <t>ARVIND PANDEY</t>
  </si>
  <si>
    <t>NEERAJA PANDEY</t>
  </si>
  <si>
    <t>H.No.14,Krishna Nagar Colony Near Jain Dharam Shala Karond Bhopal</t>
  </si>
  <si>
    <t>FR.ANGEL CO-ED SENIOR SECONDARY SCHOOL</t>
  </si>
  <si>
    <t>CBSE BHOPAL/MADHYA PRADESH</t>
  </si>
  <si>
    <t>FR.ANGEL CO-ED SECONDARY SCHOOL</t>
  </si>
  <si>
    <t>RAJIV GANDHI PROUDYOGIKI VISHWAVIDYALAYA,BHOPAL</t>
  </si>
  <si>
    <t>LAXMI NARAIN COLLEGE OF TECHNOLOGY &amp; SCIENCE BHOPAL/MADHYA PRADESH</t>
  </si>
  <si>
    <t>TRANSVEN CONSULTING PRIVATE LIMITED | MEP Planning Engineer | Mumbai | May 2023 | Jul 2023 | 7 Weeks | Campus Internship
P.W.D(B&amp;R) DIVISION BHOPAL(M.P) | Intern | Bhopal | May 2019 | May 2019 | 3 Weeks</t>
  </si>
  <si>
    <t>p2270253</t>
  </si>
  <si>
    <t>JOSTON</t>
  </si>
  <si>
    <t>BOBAN</t>
  </si>
  <si>
    <t>THENGUMMOOTTIL</t>
  </si>
  <si>
    <t>Joston Boban Thengummoottil</t>
  </si>
  <si>
    <t>jostonboban@gmail.com</t>
  </si>
  <si>
    <t>p2270253@student.nicmar.ac.in</t>
  </si>
  <si>
    <t>26-Aug-1999</t>
  </si>
  <si>
    <t>Football,Movies,Travelling,Current Affairs,Music</t>
  </si>
  <si>
    <t>3012 0352 6123</t>
  </si>
  <si>
    <t>BOBAN T ANTONY</t>
  </si>
  <si>
    <t>MARY JOSEPH</t>
  </si>
  <si>
    <t>Thengummoottil House, KHRA-A1-23, Thathampally P.O, Alappuzha</t>
  </si>
  <si>
    <t>CARMEL INTERNATIONAL SCHOOL</t>
  </si>
  <si>
    <t>ICSE, KERALA</t>
  </si>
  <si>
    <t>LEO XIII HIGHER SECONDARY SCHOOL</t>
  </si>
  <si>
    <t>CARMEL COLLEGE OF ENGINEERING AND TECHNOLOGY, KERALA</t>
  </si>
  <si>
    <t>AutoCAD,MS Office,MS Project,Primavera,Revit,Advanced Excel</t>
  </si>
  <si>
    <t>ASSET HOMES | Site Execution | Kochi,Kerala | May 2023 | Jul 2023 | 7 Weeks | Campus Internship</t>
  </si>
  <si>
    <t>p2270254</t>
  </si>
  <si>
    <t>GUGWAD</t>
  </si>
  <si>
    <t>Rishabh R Gugwad</t>
  </si>
  <si>
    <t>rgrishab88@gmail.com</t>
  </si>
  <si>
    <t>p2270254@student.nicmar.ac.in</t>
  </si>
  <si>
    <t>19-Jul-1998</t>
  </si>
  <si>
    <t>Fitness,eSports,Football,Music,Anime,Movies</t>
  </si>
  <si>
    <t>5834 8761 8889</t>
  </si>
  <si>
    <t>RUDRAPPA GUGWAD</t>
  </si>
  <si>
    <t>1-13/5a"shivshanti",kubha Plot, Vivekananda Nagar, Gulbarga</t>
  </si>
  <si>
    <t>SHARNBASVESHWAR RESIDENTIAL PUBLIC  SCHOOL</t>
  </si>
  <si>
    <t>KARNATAKA SECONDARY EDUCATION EXAMINATION BOARD,GULBARGA, KARNATAKA</t>
  </si>
  <si>
    <t>SHARANBASVESHWAR INDEPENDENT PRE UNIVERSITY SCIENCE COLLEGE</t>
  </si>
  <si>
    <t>POOJA DODDAPPA APPA COLLEGE OF ENGINEERING, GULBARGA/KARNATAKA</t>
  </si>
  <si>
    <t>Econstruct Design and Build | Management Intern | Banglore | May 2023 | Jul 2023 | 7 Weeks | Campus Internship
ELURA DESIGN | INTERN | BANGALORE | Apr 2021 | Jul 2021 | 16 Weeks
SMARTWORKS | DESIGN INTERN | BANGALORE | Sep 2021 | Dec 2021 | 13 Weeks</t>
  </si>
  <si>
    <t>p2270255</t>
  </si>
  <si>
    <t>SAIPRASAD</t>
  </si>
  <si>
    <t>Saiprasad Gunjal</t>
  </si>
  <si>
    <t>gunjalsaiprasad99@gmail.com</t>
  </si>
  <si>
    <t>p2270255@student.nicmar.ac.in</t>
  </si>
  <si>
    <t>8552 9414 8480</t>
  </si>
  <si>
    <t>SUNIL VASANTRAO GUNJAL</t>
  </si>
  <si>
    <t>ASHA SUNIL GUNJAL</t>
  </si>
  <si>
    <t>Saibalajiniliyam 9 Gedam Nagar , Waghapur Road Yavatmal 445001</t>
  </si>
  <si>
    <t>SANSKAR ENGLISH MEDIUM HIGH SCHOOL , WAGHAPUR , YAVATMAL , MAHARASHTRA</t>
  </si>
  <si>
    <t>MAHARASHTRA STATE  BOARD OF SECONDARY AND HIGHER SECONDARY EDUCATION , PUNE , MAHARASHTRA</t>
  </si>
  <si>
    <t>AMOLAKCHAND MAHAVIDYALAY ,YAVATMAL , MAHARASHTRA</t>
  </si>
  <si>
    <t>SANT GADGE BABA AMRAVATI UNIVERSITY , AMRAVATI , MAHARASHTRA</t>
  </si>
  <si>
    <t>JAWAHARLAL DARDA INSTITUTE OF ENGINEERING AND TECHNOLOGY , YAVATMAL , MAHARASHTRA</t>
  </si>
  <si>
    <t>Ashwin Sheth Group | Site Execution  | Mumbai | May 2023 | Jul 2023 | 7 Weeks | Campus Internship</t>
  </si>
  <si>
    <t>p2270256</t>
  </si>
  <si>
    <t>KRUPA</t>
  </si>
  <si>
    <t>P Krupa</t>
  </si>
  <si>
    <t>krupapaaru1012@gmail.com</t>
  </si>
  <si>
    <t>p2270256@student.nicmar.ac.in</t>
  </si>
  <si>
    <t>English, Tamil, Hindi and Sanskrit</t>
  </si>
  <si>
    <t>volunteering and community servies,travelling,team sports,blogging and writing,public speaking</t>
  </si>
  <si>
    <t>5631 7155 2023</t>
  </si>
  <si>
    <t>V.PRAKASH</t>
  </si>
  <si>
    <t>EX-CIVIL ENGINEER</t>
  </si>
  <si>
    <t>K.RAJESWARI</t>
  </si>
  <si>
    <t>12/14,f1 ,sarswathi Flats, Gandhi Nagar,kamarajar Salai_x000D_
Madipakam ,chennai-600091</t>
  </si>
  <si>
    <t>MODERN SENIOR SECONDARY SCHOOL</t>
  </si>
  <si>
    <t>CHENNAI</t>
  </si>
  <si>
    <t>JAIN-DEEMED TO BE UNIVERSITY</t>
  </si>
  <si>
    <t>JAIN-FACULTY OF ENGINEERING AND TECHNOLOGY, BANGALORE</t>
  </si>
  <si>
    <t>AutoCAD,MS Office,MS Project,Primavera,revit,MS Excel</t>
  </si>
  <si>
    <t>L and T  Realty | Site Execution | Chennai | May 2023 | Jul 2023 | 7 Weeks | Campus Internship
SATTVA ENGINEERING CONSTRUCTION PRIVATE LIMITED | Engineering Intern | CHENNAI | Jan 2022 | Mar 2022 | 5 Weeks</t>
  </si>
  <si>
    <t>p2270257</t>
  </si>
  <si>
    <t>AGASTI</t>
  </si>
  <si>
    <t>Abhishek Agasti</t>
  </si>
  <si>
    <t>agastiabhishek@gmail.com</t>
  </si>
  <si>
    <t>p2270257@student.nicmar.ac.in</t>
  </si>
  <si>
    <t>11-Nov-1998</t>
  </si>
  <si>
    <t>Sports,Cricket,Fitness,Singing,Playing Musical Instruments Guitar &amp; Flute,Keeping up with current affairs,Geo-politics and science &amp; tech news,Self-Development</t>
  </si>
  <si>
    <t>2188 9170 5781</t>
  </si>
  <si>
    <t>SATYAJIT BHAGOWATI</t>
  </si>
  <si>
    <t>SENIOR STATE GOVT. OFFICIAL IN FINANCE DEPTT.</t>
  </si>
  <si>
    <t>PRATIBHA BEZBARUAH</t>
  </si>
  <si>
    <t>ASSISTANT TEACHER IN STATE GOVT. SCHOOL</t>
  </si>
  <si>
    <t>House No. 5 &amp; 6, Nilachalpur Bezbarua Nagar, Maligaon, Ghy - 11</t>
  </si>
  <si>
    <t>25/1, BALEWADI, N.I.A. POST OFFICE, RAM NAGAR, BANER, PUNE, MAHARASHTRA 411045</t>
  </si>
  <si>
    <t>CENTRAL BOARD OF SECONDARY EDUCATION FROM GUWAHATI-ASSAM</t>
  </si>
  <si>
    <t>ASSAM ENGINEERING COLLEGE IN GUWAHATI - ASSAM</t>
  </si>
  <si>
    <t>AutoCAD,MS Office,MS Project,Primavera,ETABS,  REVIT, STAAD PRO, ARCHICAD, MX ROAD, SAP2000, SAFE</t>
  </si>
  <si>
    <t>ASIAN PAINTS | PROJECT SALES INTERN | GUWAHATI - ASSAM | May 2023 | Jul 2023 | 7 Weeks | Campus Internship
ASSAM SCIENCE AND TECHNOLOGY UNIVERSITY | MADE DESIGN OF FLEXIBLE HOUSING USING SOFTWARE AND UNDERGOING MATERIAL STUDY, OPTIMIZATION OF COSTING WITH THE HELP OF TEAM MEMBERS. THEN VISITING  A LOCAL MECHANICAL FABRICATION INDUSTRY FOR HANDS-ON | GUWAHATI  - ASSAM | Jul 2020 | Aug 2020 | 5 Weeks
INDIAN RAILWAYS | TRAINIE, VISITING SITE I.E. A JUNCTION RAILWAY STATION AND INSPECTING WITH THE OFFICER IN-CHARGE THE RAILWAY TRACKS AND LEARNING ABOUT THE METHODOLOGIES OF REPAIR AND MAINTANCE OF RAILWAYS TRACKS AND  |  RANGIYA - ASSAM | Jun 2019 | Jul 2019 | 4 Weeks
STATE PUBLIC WORKS ROADS DEPARTMENT | TRAINIE, VISITING SITE AND MATERIALS TESTING LABS LEARNING ABOUT THE METHODOLOGIES OF THE OPERATIONS AND CONSTRUCTION WORKS AND LEARNT ABOUT VARIOUS TESTING ON CONSTRUCTION MATERIALS | GUWAHATI - ASSAM | Dec 2019 | Jan 2020 | 2 Weeks</t>
  </si>
  <si>
    <t>p2270258</t>
  </si>
  <si>
    <t>SHANTIPRASAD</t>
  </si>
  <si>
    <t>GAIROLA</t>
  </si>
  <si>
    <t>Deepak Shantiprasad Gairola</t>
  </si>
  <si>
    <t>deepakgairola19@gmail.com</t>
  </si>
  <si>
    <t>p2270258@student.nicmar.ac.in</t>
  </si>
  <si>
    <t>15-Dec-1993</t>
  </si>
  <si>
    <t>Reading,Cooking,Travel</t>
  </si>
  <si>
    <t>4567 8091 4616</t>
  </si>
  <si>
    <t>RETIRE</t>
  </si>
  <si>
    <t>SUBHADA</t>
  </si>
  <si>
    <t>E-202, SAI CHARAN RESIDENCY, AAI MATA ROAD, RAMDEV PARK X ROAD, RAMDEV PARK, MIRA-ROAD (E)</t>
  </si>
  <si>
    <t>QUEEN MARY'S HIGH SCHOOL</t>
  </si>
  <si>
    <t>MAHARASHTRA STATE BOARD OF SECOUNDARY AND HIGH SECOUNDAY EDUCATION</t>
  </si>
  <si>
    <t>ROYAL COLLEGE OF SCIENCE, ARTS AND COMMERCE</t>
  </si>
  <si>
    <t>M/s Vitrag Infra Projects LLP | Execution, Co-ordination and Monitoring | Mumbai | Nov 2016 | Aug 2022 | 5 Years, 9 Months, 10 Days | 4.79</t>
  </si>
  <si>
    <t>69 month(s)</t>
  </si>
  <si>
    <t>SUNTECK REALTY | EPC-CONTRACTS | MUMBAI | May 2023 | Jul 2023 | 7 Weeks | Campus Internship</t>
  </si>
  <si>
    <t>p2270259</t>
  </si>
  <si>
    <t>NER</t>
  </si>
  <si>
    <t>Mohit Nitin Ner</t>
  </si>
  <si>
    <t>mohitner13@gmail.com</t>
  </si>
  <si>
    <t>p2270259@student.nicmar.ac.in</t>
  </si>
  <si>
    <t>02-Sep-1999</t>
  </si>
  <si>
    <t>Cricket,Tennis,Stock Trading,Chess</t>
  </si>
  <si>
    <t>9055 2390 5456</t>
  </si>
  <si>
    <t>NITIN BALWANT NER</t>
  </si>
  <si>
    <t>REAL ESTATE AND LAND DEVELOPER</t>
  </si>
  <si>
    <t>MANISHA NITIN NER</t>
  </si>
  <si>
    <t>Sany ,in Front Of Bus Stand,  At Post Nampur, Tak. Satana</t>
  </si>
  <si>
    <t>ROOM NO 520, NICMAR ULTIMA BOYS HOSTEL, BANER, PUNE</t>
  </si>
  <si>
    <t>NAMPUR ENGLISH SCHOOL</t>
  </si>
  <si>
    <t>RYK COLLEGE OF SCIENCE</t>
  </si>
  <si>
    <t>MITWPU PUNE</t>
  </si>
  <si>
    <t>ASIAN PAINTS LIMITED | PROJECT SALES INTERN | Aurangabad | May 2023 | Jul 2023 | 7 Weeks | Campus Internship
SHREEKRUPA GROUP OF CONSTRUCTIONS | SITE ENGINEER AND SUPERVISOR | KHAMGAON ,BULDHANA | Jan 2021 | Mar 2021 | 12 Weeks
KNOW HOW SCHOOLS | ENGINEERING TRAINEE | PUNE | Jun 2021 | Jul 2021 | 4 Weeks</t>
  </si>
  <si>
    <t>p2270260</t>
  </si>
  <si>
    <t>RAJSHREE</t>
  </si>
  <si>
    <t>RAMSUBHASH</t>
  </si>
  <si>
    <t>Rajshree Ramsubhash Maurya</t>
  </si>
  <si>
    <t>ar.rajshreemaurya@gmail.com</t>
  </si>
  <si>
    <t>p2270260@student.nicmar.ac.in</t>
  </si>
  <si>
    <t>11-Jun-1997</t>
  </si>
  <si>
    <t>Painting,Illustrating,Singing,Reading</t>
  </si>
  <si>
    <t>9904 3844 3238</t>
  </si>
  <si>
    <t>RAMSUBHASH MAURYA</t>
  </si>
  <si>
    <t>GITA MAURYA</t>
  </si>
  <si>
    <t>A-301, Embessy Classic County Chs Ltd, Opp.old Petrol Pump, Mira Bhayandar Road , Mira Road East</t>
  </si>
  <si>
    <t>COSMOPOLITAN HIGH SCHOOL</t>
  </si>
  <si>
    <t>ROYAL COLLEGE OF ARTS, SCIENCE AND COMMERCE</t>
  </si>
  <si>
    <t>ASMITA COLLEGE OF ARCHITECTURE</t>
  </si>
  <si>
    <t>AutoCAD,MS Office,MS Project,Primavera,Revit,Candy,Navisworks,Sketchup,Vray,Photoshop,Illustrator,Lumion,Indesign,Power BI</t>
  </si>
  <si>
    <t>Infinitti Design Studio Pvt Ltd | Architecture and Interior Design | Mumbai | Mar 2021 | Oct 2021 | 0 Years, 7 Months, 9 Days | 1.8</t>
  </si>
  <si>
    <t>ANJ Turnkey Projects | Project Management Intern | Mumbai | May 2023 | Jul 2023 | 7 Weeks | Campus Internship
STUDIO KSEVEN | Architectural Intern | MUMBAI | Dec 2018 | Apr 2019 | 20 Weeks</t>
  </si>
  <si>
    <t>p2270261</t>
  </si>
  <si>
    <t>TATWADI</t>
  </si>
  <si>
    <t>Parth Manoj Tatwadi</t>
  </si>
  <si>
    <t>parth.tatwadi@gmail.com</t>
  </si>
  <si>
    <t>p2270261@student.nicmar.ac.in</t>
  </si>
  <si>
    <t>Poetry,Philosophy,Mythology,Spirituality,Geo-Politics,Reading,Music,Cricket,F1 Racing</t>
  </si>
  <si>
    <t>5507 9430 6667</t>
  </si>
  <si>
    <t>MANOJ TATWADI</t>
  </si>
  <si>
    <t>PSYCHOTHERAPIST</t>
  </si>
  <si>
    <t>MAITREYI TATWADI</t>
  </si>
  <si>
    <t>Plot No 4 , South Eastern Railway_x000D_
Colony No 1 , Pratap Nagar,  Nagpur</t>
  </si>
  <si>
    <t>CENTRAL BOARD OF SECONDARY EDUCATION (CBSE) , NAGPUR</t>
  </si>
  <si>
    <t>TIP TOP CONVENT HIGHER SECONDARY SCHOOL</t>
  </si>
  <si>
    <t>MAHARASHTRA STATE BOARD , NAGPUR</t>
  </si>
  <si>
    <t>RASHTRASANT TUKDOJI MAHARAJ  NAGPUR UNIVERSITY</t>
  </si>
  <si>
    <t>GOVERNMENT COLLEGE OF ENGINEERING , NAGPUR</t>
  </si>
  <si>
    <t>ASIAN PAINTS | Project Sales Intern  | Nagpur | May 2023 | Jul 2023 | 7 Weeks | Campus Internship
MAHARASHTRA METRO RAIL CORPORATION LIMITED | Junior Site Engineer | NAGPUR | Feb 2021 | Mar 2021 | 3 Weeks</t>
  </si>
  <si>
    <t>p2270262</t>
  </si>
  <si>
    <t>Vijay N</t>
  </si>
  <si>
    <t>vijaynanda2299@gmail.com</t>
  </si>
  <si>
    <t>p2270262@student.nicmar.ac.in</t>
  </si>
  <si>
    <t>22-Apr-1999</t>
  </si>
  <si>
    <t>English, Tamil, Kannada</t>
  </si>
  <si>
    <t>Travelling,Basket ball,Photography,Agriculture</t>
  </si>
  <si>
    <t>9485 9621 5462</t>
  </si>
  <si>
    <t>NANDAKUMAR</t>
  </si>
  <si>
    <t>EXECUTIVE OFFICER</t>
  </si>
  <si>
    <t>MALARVIZHI</t>
  </si>
  <si>
    <t>W11 1 16B, Petchiamman Kovil Street, Kariyanampatti, Pannaipuram-625524, Theni Dt</t>
  </si>
  <si>
    <t>SANTINIKETAN MATRIC HR SEC SCHOOL</t>
  </si>
  <si>
    <t>STATE BOARD IN THENI/TAMILNADU</t>
  </si>
  <si>
    <t>KUMARAGURU COLLEGE OF TECHNOLOGY, COIMBATORE/TAMILNADU</t>
  </si>
  <si>
    <t>AutoCAD,MS Office,MS Project,Primavera,Revit Architecture,Navisworks Manage</t>
  </si>
  <si>
    <t>EPMCR | PROJECT INTERN | CHENNAI | May 2023 | Jul 2023 | 7 Weeks | Campus Internship
SREE DAKSHA | INTERN | COIMBATORE | Dec 2019 | Dec 2019 | 1 Weeks
SAISHRI CONSTRUCTION | STUDENT INTERN | COIMBATORE | Feb 2021 | Apr 2021 | 12 Weeks</t>
  </si>
  <si>
    <t>p2270263</t>
  </si>
  <si>
    <t>AKSHAT</t>
  </si>
  <si>
    <t>Akshat Soni</t>
  </si>
  <si>
    <t>akshat.soni.01@gmail.com</t>
  </si>
  <si>
    <t>p2270263@student.nicmar.ac.in</t>
  </si>
  <si>
    <t>23-Nov-1996</t>
  </si>
  <si>
    <t>Swimming,Cycling,Travelling,Photography</t>
  </si>
  <si>
    <t>2869 9321 3341</t>
  </si>
  <si>
    <t>DAMODAR PRASAD SONI</t>
  </si>
  <si>
    <t>NANDA SONI</t>
  </si>
  <si>
    <t>310, Chandgiram Tower, M.G. Road, Ambikapur</t>
  </si>
  <si>
    <t>Surguja</t>
  </si>
  <si>
    <t>CENTRAL BOARD OF SECONDARY EDUCATION, AMBIKAPUR, CHATTISGARH</t>
  </si>
  <si>
    <t>INSTITUTE OF DESIGN EDUCATION AND ARCHITECTURE STUDIES, NAGPUR</t>
  </si>
  <si>
    <t>Architect vijay pathak | Junior Architect | Kharghar, Navi Mumbai | Sep 2021 | May 2022 | 0 Years, 8 Months, 15 Days | 2.04</t>
  </si>
  <si>
    <t>ASIAN PAINTS | Project Sales Intern | Patna, Bihar | May 2023 | Jul 2023 | 7 Weeks | Campus Internship
MORPHALLAXIS | Architectural Intern | AHMEDABAD | May 2019 | Aug 2019 | 14 Weeks
STUDIONINE ARCHITECTS | Architectural Intern | AHMEDABAD | Jan 2019 | Apr 2019 | 15 Weeks
DESHPANDE AND ASSOCIATES | Junior Architect | RAIPUR | Mar 2021 | Aug 2021 | 26 Weeks</t>
  </si>
  <si>
    <t>p2270264</t>
  </si>
  <si>
    <t>VEDATI</t>
  </si>
  <si>
    <t>Vedati Manikanta Karthik</t>
  </si>
  <si>
    <t>vedatimanikantakarthik@gmail.com</t>
  </si>
  <si>
    <t>p2270264@student.nicmar.ac.in</t>
  </si>
  <si>
    <t>Chess,Table Tennis,Cricket,Swimming</t>
  </si>
  <si>
    <t>7655 2967 5675</t>
  </si>
  <si>
    <t>VEDATI KRUPASAGAR</t>
  </si>
  <si>
    <t>VEDATI SUDHAVANI</t>
  </si>
  <si>
    <t>H.no.594 , Old MIG , B.H.E.L Township</t>
  </si>
  <si>
    <t>ST'ANNS HIGH SCHOOL</t>
  </si>
  <si>
    <t>BOARD OF SECONDARY EDUCATION HYDERABAD , TELANGANA</t>
  </si>
  <si>
    <t>GOKARAJU RANGARAJU INSTITUTE OF ENGINEERING AND TECHNOLOGY</t>
  </si>
  <si>
    <t>AutoCAD,MS Office,MS Project,Primavera,Financial Modeling,Valuation</t>
  </si>
  <si>
    <t>NVLN CONSTRUCTIONS | PROJECT MANAGEMENT TRAINEE | HYDERABAD | May 2023 | Jul 2023 | 7 Weeks | Campus Internship
GOVERNMENT OF TELANGANA ROADS AND BUILDINGS DEPARTMENT | INTERN TRAINEE | HYDERABAD | Apr 2021 | Apr 2021 | 4 Weeks</t>
  </si>
  <si>
    <t>p2270265</t>
  </si>
  <si>
    <t>PRASHIK</t>
  </si>
  <si>
    <t>RAMTEKE</t>
  </si>
  <si>
    <t>Prashik Shailesh Ramteke</t>
  </si>
  <si>
    <t>dishu.shailesh@gmail.com</t>
  </si>
  <si>
    <t>p2270265@student.nicmar.ac.in</t>
  </si>
  <si>
    <t>15-Apr-1999</t>
  </si>
  <si>
    <t>Trekking,Reading,Cooking,Travelling</t>
  </si>
  <si>
    <t>5467 2932 7578</t>
  </si>
  <si>
    <t>SHAILESH RAMTEKE</t>
  </si>
  <si>
    <t>Plot No235 Ingole Nagar Hudkeshwar Road Nagpur</t>
  </si>
  <si>
    <t>SOMALWAR HIGH SCHOOL</t>
  </si>
  <si>
    <t>MAJOR HEMANT JAKATE HIGH SCHOOL</t>
  </si>
  <si>
    <t>RAISONI POLYTECHIC, NAGPUR, MAHARASHTRA</t>
  </si>
  <si>
    <t>KAVI KULGURU INSTITUTE OF TECHNOLOGY AND SCIENCE, RAMTEK</t>
  </si>
  <si>
    <t>PAVETECH CONSULTANTS | Site Execution | PUNE | May 2023 | Jul 2023 | 7 Weeks | Campus Internship
ABP CONSTRUCTION | INTERN ENGINEER | NAGPUR | Aug 2021 | Sep 2021 | 2 Weeks</t>
  </si>
  <si>
    <t>p2270266</t>
  </si>
  <si>
    <t>JAYANT</t>
  </si>
  <si>
    <t>Jayant Choudhary</t>
  </si>
  <si>
    <t>jayantchoudhary008@gmail.com</t>
  </si>
  <si>
    <t>p2270266@student.nicmar.ac.in</t>
  </si>
  <si>
    <t>01-Jul-1999</t>
  </si>
  <si>
    <t>Reading Self-help books,Badminton,Financial markets</t>
  </si>
  <si>
    <t>4395 1700 1230</t>
  </si>
  <si>
    <t>VIJAY SINGH CHOUDHARY</t>
  </si>
  <si>
    <t>POOJA CHOUDHARY</t>
  </si>
  <si>
    <t>A1 ,PANCHWATI COLONY ,RATANADA</t>
  </si>
  <si>
    <t>Jodhpur</t>
  </si>
  <si>
    <t>CENTRAL ACADEMY SR SEC SCH BANER RD JODHPUR RAJ</t>
  </si>
  <si>
    <t>CENTRAL BOARD OF SECONDARY EDUCATION, JODHPUR/RAJASTHAN</t>
  </si>
  <si>
    <t>VYAS COLLEGE OF ENGG. AND TECHNOLOGY, JODHPUR/RAJASTHAN</t>
  </si>
  <si>
    <t>AutoCAD,MS Office,MS Project,Primavera,Power BI,MS Excel</t>
  </si>
  <si>
    <t>ANJ TURNKEY PROJECTS | PROJECT MANAGEMENT INTERN | PUNE | May 2023 | Jul 2023 | 7 Weeks | Campus Internship
PUBLIC WORKS DEPARTMENT | Site Assistant | JODHPUR | Oct 2020 | Nov 2020 | 8 Weeks</t>
  </si>
  <si>
    <t>p2270267</t>
  </si>
  <si>
    <t>EKANT</t>
  </si>
  <si>
    <t>TYAGI</t>
  </si>
  <si>
    <t>Ekant Tyagi</t>
  </si>
  <si>
    <t>ekanttyagi05@gmail.com</t>
  </si>
  <si>
    <t>p2270267@student.nicmar.ac.in</t>
  </si>
  <si>
    <t>29-Jul-1997</t>
  </si>
  <si>
    <t>Fitness &amp; Yoga,Reading,listening music</t>
  </si>
  <si>
    <t>6336 1834 5365</t>
  </si>
  <si>
    <t>OMESH TYAGI</t>
  </si>
  <si>
    <t>SUNITA TYAGI</t>
  </si>
  <si>
    <t>A 139 Nandgram Ghaziabad</t>
  </si>
  <si>
    <t>MOTHER INDIA PUBLIC SCHOOL</t>
  </si>
  <si>
    <t>CBSE GHAZIABAD</t>
  </si>
  <si>
    <t>DHRT SARASWATI VIDYA MANDIR</t>
  </si>
  <si>
    <t>DR ABJ ABDUL KALAM TECHNICAL UNIVERSITY</t>
  </si>
  <si>
    <t>KRISHNA ENGINEERING COLLEGE GHAZIABAD</t>
  </si>
  <si>
    <t>Concept Infracon Private Limited | Engineer Billing, Tendering &amp; planning | Gurugram | Jul 2019 | Aug 2022 | 3 Years, 1 Months, 4 Days | 1.8</t>
  </si>
  <si>
    <t>CBRE South Asia Pvt Ltd | PJM Advisory Occupier | PUNE | May 2023 | Jul 2023 | 7 Weeks | Campus Internship
BHARAT ELECTRONICS LIMITED | INTERN | GHAZIABAD | Jun 2018 | Jul 2018 | 5 Weeks</t>
  </si>
  <si>
    <t>p2270269</t>
  </si>
  <si>
    <t>Jadhav Rahul Subhash</t>
  </si>
  <si>
    <t>rjrahul3333@gmail.com</t>
  </si>
  <si>
    <t>p2270269@student.nicmar.ac.in</t>
  </si>
  <si>
    <t>Football,Cricket,E-sports,Personal Fitness,Music</t>
  </si>
  <si>
    <t>8188 1084 5220</t>
  </si>
  <si>
    <t>SUBHASH JADHAV</t>
  </si>
  <si>
    <t>SHEELA JADHAV</t>
  </si>
  <si>
    <t>Row House No.- 3, Bhargav Vihar, Near Dnyandeep English Medium School, Vadgaon Budruk, Sinhgad Road, Pune - 411041</t>
  </si>
  <si>
    <t>SINHGAD SPRING DALE SCHOOL, AMBEGAON, PUNE</t>
  </si>
  <si>
    <t>MAHARASHTRA EDUCATION SOCIETY'S ABASAHEB GARWARE COLLEGE, PUNE, MAHARASHTRA</t>
  </si>
  <si>
    <t>SINHGAD COLLEGE OF ENGINEERING, VADGAON, PUNE, MAHARASHTRA</t>
  </si>
  <si>
    <t>AutoCAD,MS Office,MS Project,Primavera,Financial Modelling,Revit,PowerBI</t>
  </si>
  <si>
    <t>LAKE SHORE INDIA | PROJECT PLANNING AND COORDINATION INTERN | KOREGAON PARK, PUNE | May 2023 | Jul 2023 | 7 Weeks | Campus Internship
KNOW HOW | CIVIL ENGINEERING INTERN | ONLINE | May 2020 | May 2020 | 2 Weeks</t>
  </si>
  <si>
    <t>p2270270</t>
  </si>
  <si>
    <t>Rachit Kumar Verma</t>
  </si>
  <si>
    <t>vermarachit608@gmail.com</t>
  </si>
  <si>
    <t>p2270270@student.nicmar.ac.in</t>
  </si>
  <si>
    <t>05-Jul-1998</t>
  </si>
  <si>
    <t>Running,sketching,watching movies,Online gaming,Meditation</t>
  </si>
  <si>
    <t>6220 9915 1024</t>
  </si>
  <si>
    <t>SURESH CHAND</t>
  </si>
  <si>
    <t>MAYA RANI</t>
  </si>
  <si>
    <t>HOUSE NO-136,GURHAI MOHALLA CIRCULAR ROAD SHAHDARA</t>
  </si>
  <si>
    <t>ARWACHIN BHARTI BHAWAN SENIOR SECONDARY SCHOOL</t>
  </si>
  <si>
    <t>DR. KEDAR NATH GINNI DEVI MODI ENGINEERING COLLEGE , UTTAR PRADESH</t>
  </si>
  <si>
    <t>Viceroy Properties | Site Execution &amp; Control | Mumbai | May 2023 | Jul 2023 | 7 Weeks | Campus Internship
JASVINDER SINGH | SITE SUPERVISOR | DELHI | Mar 2021 | Apr 2021 | 4 Weeks</t>
  </si>
  <si>
    <t>p2270271</t>
  </si>
  <si>
    <t>Viraj Rajendra Deshpande</t>
  </si>
  <si>
    <t>virajrajendradeshpande99@gmail.com</t>
  </si>
  <si>
    <t>p2270271@student.nicmar.ac.in</t>
  </si>
  <si>
    <t>Trekking,Cooking,Reading</t>
  </si>
  <si>
    <t>8882 8573 7873</t>
  </si>
  <si>
    <t>RAJENDRA NAGESH DESHPANDE</t>
  </si>
  <si>
    <t>VARSHA RAJENDRA DESHPANDE</t>
  </si>
  <si>
    <t>'Atharva' , Plot No 6/1, Anand Nagar, Off Jamner Road, Bhusawal</t>
  </si>
  <si>
    <t>ST. ALOYSIOUS CONVENT HIGH SCHOOL, BHUSAWAL</t>
  </si>
  <si>
    <t>MSBSHSE, MAHARASHTRA, BHUSAWAL</t>
  </si>
  <si>
    <t>G.D.SAWANT JUNIOR COLLEGE, NASHIK</t>
  </si>
  <si>
    <t>ALL INDIA SHRI SHIVAJI MEMORIAL SOCITY'S COLLEGE OF ENGINEERING, PUNE</t>
  </si>
  <si>
    <t>AutoCAD,MS Office,MS Project,Primavera,Staad Pro,Revit (BIM),Financial Modelling,Valuation,Power BI</t>
  </si>
  <si>
    <t>SILA GROUP | Intern - Real Estate Advisory | Mumbai | May 2023 | Jul 2023 | 8 Weeks | Campus Internship
KNR Constructions Limited | Management Trainee | Kerala | Jun 2022 | Jul 2022 | 4 Weeks</t>
  </si>
  <si>
    <t>p2270272</t>
  </si>
  <si>
    <t>Roshan Pravin Shelar</t>
  </si>
  <si>
    <t>roshanshelar1811@gmail.com</t>
  </si>
  <si>
    <t>p2270272@student.nicmar.ac.in</t>
  </si>
  <si>
    <t>18-Nov-1998</t>
  </si>
  <si>
    <t>Cycling,Sports,Video Games,New Technologies</t>
  </si>
  <si>
    <t>3858 0699 5930</t>
  </si>
  <si>
    <t>PRAVIN PADMAKAR SHELAR</t>
  </si>
  <si>
    <t>ROOM NO 2, A-02 SHREE VIJAY PARK APART., KIRTI POLICE ROAD KATRAP BADLAPUR (EAST)</t>
  </si>
  <si>
    <t>ADARSHA VIDYA MANDIR</t>
  </si>
  <si>
    <t>R.K.TALREJA JUNIOR COLLEGE OF ARTS, SCIENCE AND COMMERCE</t>
  </si>
  <si>
    <t>AutoCAD,MS Office,MS Project,Primavera,STAAD PRO, Q-GIS</t>
  </si>
  <si>
    <t>Hindustan Construction Company | Site Engineer | Worli Mumbai | Jul 2021 | Jul 2022 | 1 Years, 0 Months, 18 Days | 2.5</t>
  </si>
  <si>
    <t>TRANSVEN CONSULTING | INTERN - BUSINESS DEVELOPMENT | MUMBAI | May 2023 | Jul 2023 | 7 Weeks | Campus Internship
SMC INFRASTRUCTURE | INTERN TRAINEE | THANE | May 2018 | Jun 2018 | 4 Weeks
VAISHNAVI HIGHLIFE | JR. ENGINNER | KALYAN | Sep 2020 | Jun 2021 | 41 Weeks</t>
  </si>
  <si>
    <t>p2270273</t>
  </si>
  <si>
    <t>IBRAHIM</t>
  </si>
  <si>
    <t>MUFADDAL</t>
  </si>
  <si>
    <t>HUSSAIN</t>
  </si>
  <si>
    <t>Ibrahim Mufaddal Hussain</t>
  </si>
  <si>
    <t>ibrahimhussainhakimi@gmail.com</t>
  </si>
  <si>
    <t>p2270273@student.nicmar.ac.in</t>
  </si>
  <si>
    <t>05-Aug-2000</t>
  </si>
  <si>
    <t>Table Tennis,Comics</t>
  </si>
  <si>
    <t>5486 1197 7735</t>
  </si>
  <si>
    <t>FATEMA</t>
  </si>
  <si>
    <t>Hasan Chembars,Opp. Gandhibagh Garden Bus Stop,CA Road,Nagpur</t>
  </si>
  <si>
    <t>INANATH HIGH SCHOOL &amp; JUNIOR COLLEGE</t>
  </si>
  <si>
    <t>NAGPUR/MAHARASHTRA</t>
  </si>
  <si>
    <t>Colliers International | Project management (corporate Interior Fitout) )  | Mumbai  | May 2023 | Jul 2023 | 7 Weeks | Campus Internship
Nagpur Municipal Corporation | Intern | Nagpur | Dec 2021 | May 2022 | 21 Weeks</t>
  </si>
  <si>
    <t>p2270274</t>
  </si>
  <si>
    <t>SARODAYA</t>
  </si>
  <si>
    <t>Akhilesh Arun Sarodaya</t>
  </si>
  <si>
    <t>sarodaya.akhilesh192@gmail.com</t>
  </si>
  <si>
    <t>p2270274@student.nicmar.ac.in</t>
  </si>
  <si>
    <t>19-Feb-1998</t>
  </si>
  <si>
    <t>Listening to Music,Travelling,Cooking,Watching Series Movies and Cricket,Reading</t>
  </si>
  <si>
    <t>7431 3083 5630</t>
  </si>
  <si>
    <t>ARUN SARODAYA</t>
  </si>
  <si>
    <t>SANGITA SARODAYA</t>
  </si>
  <si>
    <t>Plot No. 80, Shaktimata Nagar 1, Kharbi Road, Nagpur</t>
  </si>
  <si>
    <t>A204, PRISTINE EQUILIFE, SHITALADEVI NAGAR, MAHALUNGE, PUNE</t>
  </si>
  <si>
    <t>ROYAL GONDWANA PUBLIC SCHOOL, SHANKARPUR, NAGPUR</t>
  </si>
  <si>
    <t>CBSE BOARD, NAGPUR, MAHARASHTRA</t>
  </si>
  <si>
    <t>ST. PAUL JUNIOR COLLEGE, HUDKESHWAR ROAD, NAGPUR</t>
  </si>
  <si>
    <t>SHRI RAMDEOBABA COLLEGE OF ENGINEERING, KATOL ROAD, NAGPUR</t>
  </si>
  <si>
    <t>MS Office,MS Project,Primavera,Lean Six Sigma Green Belt,Power Bi,Tableau</t>
  </si>
  <si>
    <t>INTENTO ASSOCIATES | BUSINESS ANALYST | VASHI, NAVI MUMBAI | May 2023 | Jul 2023 | 7 Weeks | Campus Internship
DP JAIN AND CO INFRASTRUCTURE PVT LTD | SITE ENGINEER INTERN | NAGPUR | Dec 2020 | Apr 2021 | 17 Weeks</t>
  </si>
  <si>
    <t>p2270275</t>
  </si>
  <si>
    <t>KINGSHUK</t>
  </si>
  <si>
    <t>Kingshuk Pal</t>
  </si>
  <si>
    <t>palkingshuk@gmail.com</t>
  </si>
  <si>
    <t>p2270275@student.nicmar.ac.in</t>
  </si>
  <si>
    <t>13-Jan-1997</t>
  </si>
  <si>
    <t>CRICKET,FOOTBALL,WIRITING STROY</t>
  </si>
  <si>
    <t>2957 6409 8383</t>
  </si>
  <si>
    <t>TANMAY PAL</t>
  </si>
  <si>
    <t>MOUSUMI PAL</t>
  </si>
  <si>
    <t>20A/1 AUDDY LANE</t>
  </si>
  <si>
    <t>CHATRA NANDALAL INSTITUTION</t>
  </si>
  <si>
    <t>SERAMPORE MALINA LAHERI BOYS ACADEMY</t>
  </si>
  <si>
    <t>UNIVERSITY OF ENGINEERING AND MANAGEMENT</t>
  </si>
  <si>
    <t>UNIVERSITY OF ENGINEERING AND MANAGEMENT,KOLKATA</t>
  </si>
  <si>
    <t>P.K.DUTTA&amp;CO. | analysis | NAIHATI, N24 pgs, W.B, 743165 | Jan 2021 | Apr 2022 | 1 Years, 3 Months, 5 Days | 0.9</t>
  </si>
  <si>
    <t>Intento Associates | INTERN | VASHI, NAVI MUMBAI  | May 2023 | Jul 2023 | 7 Weeks | Campus Internship
EMAMI AGROTECH LTD | TRAINEE | HALDIA | Jun 2019 | Jun 2019 | 4 Weeks</t>
  </si>
  <si>
    <t>p2270276</t>
  </si>
  <si>
    <t>SAKULKAR</t>
  </si>
  <si>
    <t>Kunal Vinod Sakulkar</t>
  </si>
  <si>
    <t>ksakulkar@gmail.com</t>
  </si>
  <si>
    <t>p2270276@student.nicmar.ac.in</t>
  </si>
  <si>
    <t>22-May-2000</t>
  </si>
  <si>
    <t>Biking,Personal Fitness,Travelling</t>
  </si>
  <si>
    <t>4911 6510 2862</t>
  </si>
  <si>
    <t>VINOD SAKULKAR</t>
  </si>
  <si>
    <t>SMITA SAKULKAR</t>
  </si>
  <si>
    <t>Row House A5, Sun Planet, Sun City Road, Anandnagar, Pune 51.</t>
  </si>
  <si>
    <t>RMD SINHGAD SPRING DALE SCHOOL</t>
  </si>
  <si>
    <t>SINHGAD COLLEGE OF ARTS, SCIENCE AND COMMERCE</t>
  </si>
  <si>
    <t>ZEAL COLLEGE OF ENGINERING AND RESEARCH, PUNE.</t>
  </si>
  <si>
    <t>SANRACHANA | Site execution for Structural Retrofitting | Mumbai | May 2023 | Jul 2023 | 7 Weeks | Campus Internship</t>
  </si>
  <si>
    <t>p2270277</t>
  </si>
  <si>
    <t>Sreehari R</t>
  </si>
  <si>
    <t>ar.sreehari.r@gmail.com</t>
  </si>
  <si>
    <t>p2270277@student.nicmar.ac.in</t>
  </si>
  <si>
    <t>25-Dec-1996</t>
  </si>
  <si>
    <t>English, Hindi, Tamil, Malayalam</t>
  </si>
  <si>
    <t>Sketching,Travelling,Cooking,Gardening</t>
  </si>
  <si>
    <t>5085 9883 5228</t>
  </si>
  <si>
    <t>DR.RAMACHANDRA WARRIER</t>
  </si>
  <si>
    <t>PRABHA PA</t>
  </si>
  <si>
    <t>Manjuthara(H), Perumballoor P.O, Muvattupuzha, Kerala, India</t>
  </si>
  <si>
    <t>NIRMALA PUBLIC SCHOOL</t>
  </si>
  <si>
    <t>ERNAKULAM</t>
  </si>
  <si>
    <t>ST.PETERS SENIOR SECONDARY SCHOOL</t>
  </si>
  <si>
    <t>MAHATHMA GANDHI UNIVERSITY</t>
  </si>
  <si>
    <t>AutoCAD,MS Office,MS Project,Primavera,AUTODESK REVIT,SKETCHUP,ADOBE AUDITION,BRIDGE,ADOBE INDESIGN,ADOBE ILLUSTRATOR,ADOBE PHOTOSHOP,ADOBE PREMIERE PRO,ADOBE AFTER EFFECTS,LUMION,3DS MAX,CANVA,CANDY,NAVISWORK</t>
  </si>
  <si>
    <t>STATION KOCHI | Architect, Client handling, Site Management | KERALA | Dec 2021 | Jul 2022 | 0 Years, 7 Months, 30 Days | 2
C EARTH Pvt.Ltd | Architect, Client handling, Site Management | Kerala | Nov 2019 | Nov 2021 | 2 Years, 0 Months, 14 Days | 3.6</t>
  </si>
  <si>
    <t>ASSET HOMES | Site execution | Kochi | May 2023 | Jul 2023 | 7 Weeks | Campus Internship</t>
  </si>
  <si>
    <t>p2270278</t>
  </si>
  <si>
    <t>NAGOJI</t>
  </si>
  <si>
    <t>BAMANE</t>
  </si>
  <si>
    <t>Nilesh Nagoji Bamane</t>
  </si>
  <si>
    <t>nileshbamane25@gmail.com</t>
  </si>
  <si>
    <t>p2270278@student.nicmar.ac.in</t>
  </si>
  <si>
    <t>25-Nov-1996</t>
  </si>
  <si>
    <t>Travelling &amp; Meeting New People,Playing Cricket,Listening Music,Volunteering at Local Organisations,Attending Events and Exhibitions,Trekking</t>
  </si>
  <si>
    <t>2808 0888 1110</t>
  </si>
  <si>
    <t>NAGOJI KALLU BAMANE</t>
  </si>
  <si>
    <t>G-1 Dattanandan Apartment, Gendamal Naka, Shahupuri, Satara 415002</t>
  </si>
  <si>
    <t>25/1, BALEWADI, N.I.A. POST OFFICE RAM NAGAR, BANER, PUNE 411045</t>
  </si>
  <si>
    <t>YASHWANTRAO CHAVAN INSTITUTE OF SCIENCE, SATARA</t>
  </si>
  <si>
    <t>DR. D. Y. PATIL INSTITUTE OF ENGINEERING AND TECHNOLOGY PIMPRI, PUNE</t>
  </si>
  <si>
    <t>GODREJ PROPERTIES | OPERATIONS INTERN | PUNE | May 2023 | Jul 2023 | 7 Weeks | Campus Internship</t>
  </si>
  <si>
    <t>p2270279</t>
  </si>
  <si>
    <t>Mahajan Ritesh Rajendra</t>
  </si>
  <si>
    <t>riteshmahajan4699@gmail.com</t>
  </si>
  <si>
    <t>p2270279@student.nicmar.ac.in</t>
  </si>
  <si>
    <t>04-Jun-1999</t>
  </si>
  <si>
    <t>English,HINDI,MARATHI</t>
  </si>
  <si>
    <t>1.Traveling,2.Drafting,3.Sports,4.Photograpy,5.Cooking</t>
  </si>
  <si>
    <t>9406 6009 6745</t>
  </si>
  <si>
    <t>JAGRUTI</t>
  </si>
  <si>
    <t>61,shahu Nagar,near Pankaj School,chopda,425107</t>
  </si>
  <si>
    <t>VIVEKANDA VIDYALAYA ,CHOPDA,DIST.JALGAON</t>
  </si>
  <si>
    <t>MAHARASTRA STATE BOARD</t>
  </si>
  <si>
    <t>ASC COLLAGE CHOPDA,DIST,JALGAON</t>
  </si>
  <si>
    <t>RMD SINHGAD TECHNICAL INSTITUTE CAMPUS,WARJE</t>
  </si>
  <si>
    <t>AutoCAD,MS Office,MS Project,Primavera,REVIT,STAD PRO</t>
  </si>
  <si>
    <t>MYK ARMENT. | PROJECT SELL INTERN | MUMBAI | May 2023 | Jul 2023 | 7 Weeks | Campus Internship
PENDHARKAR AND ASSOCIATES PVT LTD | JUNIOR SITE ENGINEER TRAINEE | CHOPDA,DIST.JALGAON | Jan 2021 | Jun 2021 | 21 Weeks</t>
  </si>
  <si>
    <t>p2270280</t>
  </si>
  <si>
    <t>KASLIKAR</t>
  </si>
  <si>
    <t>Atharva Rishikesh Kaslikar</t>
  </si>
  <si>
    <t>atharvakaslikar7@gmail.com</t>
  </si>
  <si>
    <t>p2270280@student.nicmar.ac.in</t>
  </si>
  <si>
    <t>6155 0586 0888</t>
  </si>
  <si>
    <t>SWAPNA</t>
  </si>
  <si>
    <t>33/A Shastri Nagar Behind Dattey College Yavatmal</t>
  </si>
  <si>
    <t>CBSE DELHI BOARD</t>
  </si>
  <si>
    <t>MAJOR HEMANT JAKATE VIDYANIKETAN SCHOOL</t>
  </si>
  <si>
    <t>GSIDC | SITE EXECUTION | GOA | May 2023 | Jul 2023 | 7 Weeks</t>
  </si>
  <si>
    <t>p2270281</t>
  </si>
  <si>
    <t>Hrushikesh Janardhan Patil</t>
  </si>
  <si>
    <t>patilhrushikesh747@gmail.com</t>
  </si>
  <si>
    <t>p2270281@student.nicmar.ac.in</t>
  </si>
  <si>
    <t>Football,Swimming,Anime,Hiking</t>
  </si>
  <si>
    <t>2390 8238 4175</t>
  </si>
  <si>
    <t>JANARDHAN NIVRUTI PATIL</t>
  </si>
  <si>
    <t>REKHA JANARDHAN PATIL</t>
  </si>
  <si>
    <t>Plot No.51,Venkatesh Nagar,behind Amrai,near New Pride,sangli</t>
  </si>
  <si>
    <t>APPASAHEB BIRNALE PUBLIC SCHOOL ,SANGLI</t>
  </si>
  <si>
    <t>SANGLI /MAHARASHTRA</t>
  </si>
  <si>
    <t>MGSK GUJARATI HIGH SCHOOL</t>
  </si>
  <si>
    <t>SAVITRIBAI PHULE OF PUNE UNIVERSITY</t>
  </si>
  <si>
    <t>AutoCAD,MS Office,MS Project,Primavera,Autodesk Revit,Autodesk Navisworks,Candy</t>
  </si>
  <si>
    <t>The Vibe Realty | BUSINESS DEVELOPMENT INTERN | Pune | May 2023 | Jul 2023 | 7 Weeks | Campus Internship
VARDHMAN DEVELOPERS | SITE EXECUTION INTERN | SANGLI | Jan 2022 | Sep 2022 | 34 Weeks</t>
  </si>
  <si>
    <t>p2270282</t>
  </si>
  <si>
    <t>NITINBHAI</t>
  </si>
  <si>
    <t>DARJI</t>
  </si>
  <si>
    <t>Dhruv Nitinbhai Darji</t>
  </si>
  <si>
    <t>dhruvdarji199@gmail.com</t>
  </si>
  <si>
    <t>p2270282@student.nicmar.ac.in</t>
  </si>
  <si>
    <t>â€¢ Kabaddi,â€¢ Cricket,â€¢ Football,â€¢ Travelling</t>
  </si>
  <si>
    <t>3224 4727 0372</t>
  </si>
  <si>
    <t>NITINBHAI ARVINDBHAI DARJI</t>
  </si>
  <si>
    <t>BHAVNA N DARJI</t>
  </si>
  <si>
    <t>C-195, Aadinath Society, B/H Bright School, VIP Road</t>
  </si>
  <si>
    <t>JEEVAN SADHANA SCHOOL</t>
  </si>
  <si>
    <t>GUJARAT SECONDARY &amp; HIGHER SECONDARY EDUCATION BOARD GANDHINAGAR/GUJARAT</t>
  </si>
  <si>
    <t>SARDAR VINAY MANDIR</t>
  </si>
  <si>
    <t>GUJARAT TECHNOLOGICAL UNIVERSITY AHMEDABAD, GUJARAT</t>
  </si>
  <si>
    <t>SARDAR VALLABHBHAI PATEL INSTITUTE OF TECHNOLOGY VASAD/GUJARAT</t>
  </si>
  <si>
    <t>AutoCAD,MS Office,MS Project,Primavera,Site Execution,Quantity Surveying,BBS</t>
  </si>
  <si>
    <t>PACIFICA  COMPANIES | Quantity Survey and Site Execution  | Ahmedabad | May 2023 | Jul 2023 | 7 Weeks | Campus Internship
GEO DESIGN AND RESEARCH PRIVET LIMITED | ENGINEERING INTERN | PORBANDR | Apr 2022 | May 2022 | 2 Weeks
BHAVSAR SURVEY | GRADUATE CIVIL ENGINEERING TRAINEE | VADODARA | Sep 2021 | Feb 2022 | 25 Weeks</t>
  </si>
  <si>
    <t>p2270284</t>
  </si>
  <si>
    <t>GOWTHAM</t>
  </si>
  <si>
    <t>RANGAN</t>
  </si>
  <si>
    <t>Gowtham Rangan</t>
  </si>
  <si>
    <t>gowtham.gij@gmail.com</t>
  </si>
  <si>
    <t>p2270284@student.nicmar.ac.in</t>
  </si>
  <si>
    <t>07-Dec-1995</t>
  </si>
  <si>
    <t>Digital designers,Artist,Athlete</t>
  </si>
  <si>
    <t>3838 7254 7021</t>
  </si>
  <si>
    <t>R.MURUGANANDAM</t>
  </si>
  <si>
    <t>ASST. ENGINEER</t>
  </si>
  <si>
    <t>VALARMATHI.M</t>
  </si>
  <si>
    <t>78/34 SUBRAMANIYAN COLONY,_x000D_
OMALUR MAINROAD,_x000D_
SALEM -636004</t>
  </si>
  <si>
    <t>GLAZEBROOKE MHSS SALEM</t>
  </si>
  <si>
    <t>TAMIL NADU STATE BOARD OF SCHOOL EXAMINATIONS , TAMIL NADU</t>
  </si>
  <si>
    <t>SSRM HIGHER SECONDARY SCHOOL</t>
  </si>
  <si>
    <t>J.RAMANAN CONSULTING ARCHITECT | architectural design &amp; drawings | Tiruchirappalli, Tamil Nadu | Sep 2020 | Sep 2021 | 1 Years, 0 Months, 22 Days | 1.8</t>
  </si>
  <si>
    <t>BUILT VISOR | BIM ARCHITECT | CHANDIGARH | May 2023 | Jul 2023 | 7 Weeks | Campus Internship
KADRI CONSULTANTS | INTERN ARCHITECT | BANGALORE | Jun 2017 | Oct 2017 | 21 Weeks
CENTRAL PUBLIC WORKS DEPARTMENT | INTERN ARCHITECT | CHENNAI | Dec 2017 | Apr 2018 | 17 Weeks
URBANEXT ARCHITECTURE | JR.ARCHITECT | BANGALORE,KA | Apr 2022 | May 2022 | 6 Weeks</t>
  </si>
  <si>
    <t>p2270285</t>
  </si>
  <si>
    <t>SHIVRAM R</t>
  </si>
  <si>
    <t>Kaushik Shivram R</t>
  </si>
  <si>
    <t>kaushikshivram7@gmail.com</t>
  </si>
  <si>
    <t>p2270285@student.nicmar.ac.in</t>
  </si>
  <si>
    <t>24-May-2000</t>
  </si>
  <si>
    <t>English, Tamil, Hindi, Malayalam</t>
  </si>
  <si>
    <t>Bodybuilding and Fitness,Basketball,Singing,Reading books</t>
  </si>
  <si>
    <t>3829 0861 9602</t>
  </si>
  <si>
    <t>RAVISHANKAR S</t>
  </si>
  <si>
    <t>MEERA</t>
  </si>
  <si>
    <t>12,13 1st Street Swarnapuri Extn 15,vellampalayam Tiruppur 641652</t>
  </si>
  <si>
    <t>SATCHIDHANANDHA JOTHI NIKETHAN</t>
  </si>
  <si>
    <t>METTUPALAYAM TAMIL NADU</t>
  </si>
  <si>
    <t>PSG PUBLIC SCHOOLS</t>
  </si>
  <si>
    <t>AutoCAD,MS Office,MS Project,Primavera,Revit Architecture</t>
  </si>
  <si>
    <t>BECHTEL INDIA PVT LTD | INTERN AT SUPPLY CHAIN DEPARTMENT | GURUGRAM | May 2023 | Jul 2023 | 7 Weeks | Campus Internship
MS SUMMIT | SITE ENGINEER | BANGALORE BINNIPET | Mar 2022 | Jun 2022 | 13 Weeks</t>
  </si>
  <si>
    <t>p2270286</t>
  </si>
  <si>
    <t>SHREE KUMAR U</t>
  </si>
  <si>
    <t>Santhosh Shree Kumar U</t>
  </si>
  <si>
    <t>santhoshshreekumar@gmail.com</t>
  </si>
  <si>
    <t>p2270286@student.nicmar.ac.in</t>
  </si>
  <si>
    <t>06-Jun-1991</t>
  </si>
  <si>
    <t>English.Tamil.Hindi</t>
  </si>
  <si>
    <t>Graphic Designer,Beatboxer</t>
  </si>
  <si>
    <t>3075 6599 8713</t>
  </si>
  <si>
    <t>UMAKANTHAN M</t>
  </si>
  <si>
    <t>CHELLAMANI K</t>
  </si>
  <si>
    <t>DNO 43, ABDULKALAM ROAD, GKS NAGAR, BOMMANAMPALAYAM, COIMBATORE, TAMILNADU, 641046</t>
  </si>
  <si>
    <t>STATE BANK OF INDIA OFFICERS' ASSOCIATION MATRICULATION AND HIGHER SECONDARY SCHOOL</t>
  </si>
  <si>
    <t>EASWARI ENGINEERING COLLEGE, CHENNAI, TAMILNADU</t>
  </si>
  <si>
    <t>2012-Nov</t>
  </si>
  <si>
    <t>other,Project Planning &amp; Control,Financial Modelling,Team Management,Business Intelligence,Storyboarding</t>
  </si>
  <si>
    <t>Livio Building System | Operations - Factory | Pune | May 2023 | Jul 2023 | 7 Weeks | Campus Internship</t>
  </si>
  <si>
    <t>p2270288</t>
  </si>
  <si>
    <t>AASHWIN</t>
  </si>
  <si>
    <t>Aashwin Sharma</t>
  </si>
  <si>
    <t>sharmaashwin95@gmail.com</t>
  </si>
  <si>
    <t>p2270288@student.nicmar.ac.in</t>
  </si>
  <si>
    <t>English And Hindi</t>
  </si>
  <si>
    <t>Music,Water Painting,Tennis</t>
  </si>
  <si>
    <t>4062 2131 7361</t>
  </si>
  <si>
    <t>NARENDRA SHARMA</t>
  </si>
  <si>
    <t>MANAGER</t>
  </si>
  <si>
    <t>ARATI SHARMA</t>
  </si>
  <si>
    <t>100, GULAB VIHAR</t>
  </si>
  <si>
    <t>Sehore</t>
  </si>
  <si>
    <t>THE OXFORD CONVENT HIGH SECONDRY SCHOOL</t>
  </si>
  <si>
    <t>SEHORE</t>
  </si>
  <si>
    <t>PUSHP BAL VIDYA MANDIR HIGH SECONDRY SCHOOL</t>
  </si>
  <si>
    <t>SCHOOL OF ARCHITECTURE, IPS COLLEGE, INDORE, MADHYA PRADESH</t>
  </si>
  <si>
    <t>AutoCAD,MS Office,MS Project,Primavera,Revit,SketchUP,Lumion,Adobe photoshop,Navisworks</t>
  </si>
  <si>
    <t>HANSU ASSOCIATES | JUNIOR ARCHITECT | ANAND | Oct 2021 | Jun 2022 | 0 Years, 7 Months, 26 Days | 1.8</t>
  </si>
  <si>
    <t>HCP Design, Planning &amp; Management | Project planning | Ahmedabad | May 2023 | Jul 2023 | 7 Weeks | Campus Internship
MANISH KUMAT DESIGN CELL | INTERN AND PLANNING  | INDORE | Aug 2020 | Jun 2021 | 44 Weeks</t>
  </si>
  <si>
    <t>p2270289</t>
  </si>
  <si>
    <t>ZAGADE</t>
  </si>
  <si>
    <t>Yash Chandrakant Zagade</t>
  </si>
  <si>
    <t>yashzagade95@gmail.com</t>
  </si>
  <si>
    <t>p2270289@student.nicmar.ac.in</t>
  </si>
  <si>
    <t>Cricket,Listening to music</t>
  </si>
  <si>
    <t>6933 6904 5021</t>
  </si>
  <si>
    <t>CHANDRAKANT ZAGADE</t>
  </si>
  <si>
    <t>RAJASHREE ZAGADE</t>
  </si>
  <si>
    <t>Plot No.21,Sr No.7,Sandhya Chaya Society,Taljai Pathar,Dhankawadi</t>
  </si>
  <si>
    <t>SINHGAD SPRING DALE SCHOOL</t>
  </si>
  <si>
    <t>SSC BOARD PUNE/MAHARASHTRA</t>
  </si>
  <si>
    <t>ABASAHEB GARWARE COLLEGE OF SCIENCE AND ARTS</t>
  </si>
  <si>
    <t>SINHGAD ACADEMY OF ENGINEERING PUNE/MAHARASHTRA</t>
  </si>
  <si>
    <t>AFCONS INFRASTRUCTURE | PLANNING AND EXECUTION INTERN  | DAHEJ, GUJARAT  | May 2023 | Jul 2023 | 7 Weeks | Campus Internship</t>
  </si>
  <si>
    <t>p2270290</t>
  </si>
  <si>
    <t>JAYENDRA</t>
  </si>
  <si>
    <t>Gaurav Jayendra Barde</t>
  </si>
  <si>
    <t>gjbarde4643@gmail.com</t>
  </si>
  <si>
    <t>p2270290@student.nicmar.ac.in</t>
  </si>
  <si>
    <t>Cricket,Swimming,Travelling,Exploring</t>
  </si>
  <si>
    <t>8482 5854 8310</t>
  </si>
  <si>
    <t>JAYENDRA DHANRAJ BARDE</t>
  </si>
  <si>
    <t>RANJANA JAYENDRA BARDE</t>
  </si>
  <si>
    <t>PLOT NO 13A NEW NANDA KORADI NAGPUR 441111</t>
  </si>
  <si>
    <t>BHANGE PUBLIC SCHOOL</t>
  </si>
  <si>
    <t>ST. PAUL</t>
  </si>
  <si>
    <t>RASHTRASANT TUKADOJI MAHARAJ UNIVERSITY NAGPUR UNIVERSITY</t>
  </si>
  <si>
    <t>AutoCAD,MS Office,MS Project,Primavera,Candy,Adobe Illustrator,Revit</t>
  </si>
  <si>
    <t>GSIDC | Site Engineer | Goa | May 2023 | Jul 2023 | 7 Weeks | Campus Internship
BC BIYANI PROJECTS PVT LTD | SITE ENGINEER | KORADI | Jan 2022 | May 2022 | 17 Weeks</t>
  </si>
  <si>
    <t>p2270291</t>
  </si>
  <si>
    <t>KEYA</t>
  </si>
  <si>
    <t>SAMIR</t>
  </si>
  <si>
    <t>Keya Samir Desai</t>
  </si>
  <si>
    <t>keyaa.desai@gmail.com</t>
  </si>
  <si>
    <t>p2270291@student.nicmar.ac.in</t>
  </si>
  <si>
    <t>2711 7841 3312</t>
  </si>
  <si>
    <t>SAMIR DESAI</t>
  </si>
  <si>
    <t>RUPAL PRADIP VYAS</t>
  </si>
  <si>
    <t>B-31, Vellard View, Haji Ali, Tardeo Road, Tulsiwadi, Mumbai-400034</t>
  </si>
  <si>
    <t>T-3, MORAJ RIVERSIDE PARK, TAKKA ROAD, OLD PANVEL, RAIGAD- 410206</t>
  </si>
  <si>
    <t>ACTIVITY HIGH SCHOOL</t>
  </si>
  <si>
    <t>INDIAN CERTIFICATE OF SECONDARY EDUCATION EXAMINATION, COUNCIL FOR THE INDIAN SCHOOL CERTIFICATE EXAMINATIONS, NEW DELHI</t>
  </si>
  <si>
    <t>KISHINCHAND CHELLARAM COLLEGE</t>
  </si>
  <si>
    <t>PILLAI HOC COLLEGE OF ARCHITECTURE, RAIGAD, MAHARASHTRA</t>
  </si>
  <si>
    <t>PIRAMAL REALTY PVT LTD | SUMMER INTERN  | MUMBAI  | May 2023 | Jul 2023 | 7 Weeks | Campus Internship
BILTRAX | EDITORIAL EXECUTIVE  | BELAPUR, NAVI MUMBAI  | Jan 2022 | Jul 2022 | 26 Weeks
STUDIO OPUS | INTERN ARCHITECT  | BELAPUR, NAVI MUMBAI  | Jan 2020 | Mar 2020 | 10 Weeks</t>
  </si>
  <si>
    <t>p2270292</t>
  </si>
  <si>
    <t>JALAMKAR</t>
  </si>
  <si>
    <t>Sarvesh Jalamkar</t>
  </si>
  <si>
    <t>sarvesh.jalamkar.sj@gmail.com</t>
  </si>
  <si>
    <t>p2270292@student.nicmar.ac.in</t>
  </si>
  <si>
    <t>16-Nov-1998</t>
  </si>
  <si>
    <t>Reading Books,Debate,Vollyball,Cricket,Swimming</t>
  </si>
  <si>
    <t>2028 1334 8411</t>
  </si>
  <si>
    <t>MURLIDHAR</t>
  </si>
  <si>
    <t>'Mauli', Professor Colony, Ranpise Nagar , Akola</t>
  </si>
  <si>
    <t>BAL SHIVAJI HIGH SCHOOL, AKOLA, MAHARASHTRA</t>
  </si>
  <si>
    <t>SHRI. SHIVAJI COLEEGE OF SCIENCE, AKOLA, MAHARASHTRA</t>
  </si>
  <si>
    <t>SANT GADGE BABA AMRAVATI UNIVERSITY, MAHARASHTRA</t>
  </si>
  <si>
    <t>PROF. RAM MEGHE COLLEGE OF ENGINEERING AND MANAGEMENT, AMRAVATI, MAHARASHTRA</t>
  </si>
  <si>
    <t>AutoCAD,MS Office,MS Project,Primavera,SAP MM,Revit</t>
  </si>
  <si>
    <t>Space Matrix Design Consultants Pvt Ltd | Intern- Procurement | Pune | May 2023 | Jul 2023 | 7 Weeks | Campus Internship
J D BARDE CONSTRUCTION NAGPUR | SITE SUPERVISION | NAGPUR | Aug 2019 | Feb 2020 | 27 Weeks</t>
  </si>
  <si>
    <t>p2270293</t>
  </si>
  <si>
    <t>Abhishek N K</t>
  </si>
  <si>
    <t>abhisheknkdvg@gmail.com</t>
  </si>
  <si>
    <t>p2270293@student.nicmar.ac.in</t>
  </si>
  <si>
    <t>31-Jul-1997</t>
  </si>
  <si>
    <t>Travelling &amp; Exploring,Reading Novels,Playing Cricket</t>
  </si>
  <si>
    <t>8744 8400 9855</t>
  </si>
  <si>
    <t>ASHOK K</t>
  </si>
  <si>
    <t>GOVERNMENT HIGHSCHOOL TEACHER</t>
  </si>
  <si>
    <t>SUMA K</t>
  </si>
  <si>
    <t>Ho Number 67/A Someshwar Nagar K.V.O.R Colony_x000D_
Near Nayana Park</t>
  </si>
  <si>
    <t>KARNATAKA SECONDARY EDUCATION EXAMINATION BOARD DAVANGERE/KARNATAKA</t>
  </si>
  <si>
    <t>ATHANI COMPOSITE P.U COLLEGE</t>
  </si>
  <si>
    <t>REVA UNIVERSITY BENGALURU/KARNATAKA</t>
  </si>
  <si>
    <t>VESTIAN GLOBAL | Corporate Service-CEO Office, PMC, ISD | Bengaluru | May 2023 | Jul 2023 | 7 Weeks | Campus Internship
GREEN OPTIMA CONSTRUCTION | Site Execution | HAGARIBOMMANAHALLI | Sep 2020 | Jan 2021 | 17 Weeks</t>
  </si>
  <si>
    <t>p2270294</t>
  </si>
  <si>
    <t>ANOOP</t>
  </si>
  <si>
    <t>SHAHPUR</t>
  </si>
  <si>
    <t>Anoop Ramesh Shahpur</t>
  </si>
  <si>
    <t>anoopshahapur77@gmail.com</t>
  </si>
  <si>
    <t>p2270294@student.nicmar.ac.in</t>
  </si>
  <si>
    <t>10-Sep-1998</t>
  </si>
  <si>
    <t>English, Kannada, Hindi, Marathi</t>
  </si>
  <si>
    <t>3883 9531 0897</t>
  </si>
  <si>
    <t>RAMESH GOLLALAPPA SHAHAPUR</t>
  </si>
  <si>
    <t>SUREKHA R SHAHAPUR</t>
  </si>
  <si>
    <t>Near Neelaganga Temple Road, Sindagi</t>
  </si>
  <si>
    <t>SRI SIDDHI VINAYAKA RESIDENTIAL SCHOOL, HATTIANGADY, UDUPI</t>
  </si>
  <si>
    <t>INDIAN CERTIFICATE OF SECONDARY EDUCATION KARNATAKA</t>
  </si>
  <si>
    <t>REVA UNIVERSITY KARNATAKA</t>
  </si>
  <si>
    <t>LAKSHMI NARASIMHA CONSTRUCTIONS | SITE ENGINEER | VIJAYAWADA | Jul 2020 | Jul 2022 | 2 Years, 0 Months, 27 Days | 1.8</t>
  </si>
  <si>
    <t>GODREJ PROPERTIES LIMITED | OPERATIONS | PUNE | May 2023 | Jul 2023 | 7 Weeks | Campus Internship
MEGHA ENGINEERING AND INFRASTRUCTURES LTD | EXECUTION | KUSULAMB | Jun 2019 | Jul 2019 | 4 Weeks
MEGHA ENGINEERING AND INFRASTRUCTURES LTD | EXECUTION | KUSULAMB | Jun 2018 | Jul 2018 | 6 Weeks</t>
  </si>
  <si>
    <t>p2270295</t>
  </si>
  <si>
    <t>DHANASHREE</t>
  </si>
  <si>
    <t>Dhanashree Ashok Patil</t>
  </si>
  <si>
    <t>p2270295@student.nicmar.ac.in</t>
  </si>
  <si>
    <t>09-Nov-1996</t>
  </si>
  <si>
    <t>English. Hindi, marathi</t>
  </si>
  <si>
    <t>4037 7150 5291</t>
  </si>
  <si>
    <t>ASHOK PATIL</t>
  </si>
  <si>
    <t>SAROJ PATIL</t>
  </si>
  <si>
    <t>28, Walmiki Apt, Naik Lay Out, Jaitala Road, Subhash Nagar, Nagpur-440022</t>
  </si>
  <si>
    <t>NICMAR COLLEGE, NEAR NIA POST OFFICE</t>
  </si>
  <si>
    <t>SARASWATI VIDYALAYA, NAGPUR</t>
  </si>
  <si>
    <t>MAHARASHTRA STATE BOARD, NAGPUR, MAHARASHTRA</t>
  </si>
  <si>
    <t>2013-Feb</t>
  </si>
  <si>
    <t>AutoCAD,MS Office,MS Project,Primavera,Revit,Google Sketch Up,Lumion,Microsoft Excel,Power Point</t>
  </si>
  <si>
    <t>ADsys Architects | Junior Architect | Nagpur, Maharashtra | Jan 2021 | Dec 2021 | 0 Years, 10 Months, 25 Days | 1.6</t>
  </si>
  <si>
    <t>GODREJ PROPERTIES | OPERATION INTERN | PUNE, MAHARASHTRA | May 2023 | Jul 2023 | 7 Weeks | Campus Internship
MANTHAN ARCHITECTS | Trainee Architect | PUNE, MAHARASHTRA | Feb 2019 | Sep 2019 | 34 Weeks
GRASSHOPPER DESIGN | TRAINEE ARCHITECT | NAGPUR, MAHARASHTRA | Jan 2022 | Jul 2022 | 25 Weeks</t>
  </si>
  <si>
    <t>p2270296</t>
  </si>
  <si>
    <t>DANGI</t>
  </si>
  <si>
    <t>Aditya Prakash Dangi</t>
  </si>
  <si>
    <t>adidangi710@gmail.com</t>
  </si>
  <si>
    <t>p2270296@student.nicmar.ac.in</t>
  </si>
  <si>
    <t>07-Oct-1997</t>
  </si>
  <si>
    <t>Cricket,Dancing,Travelling,Trekking</t>
  </si>
  <si>
    <t>6932 1668 9787</t>
  </si>
  <si>
    <t>PRAKASH PRABHU DANGI</t>
  </si>
  <si>
    <t>UJWALA PRAKASH DANGI</t>
  </si>
  <si>
    <t>#430, Mrityunjaya Circle Dupdal Ghataprabha, Gokak, Belgaum, Karnataka</t>
  </si>
  <si>
    <t>NEAR MRITYUNJAYA CIRCLE BEHIND DANGI COMPLEX, GHATAPRABHA, DIST :- BELGAUM</t>
  </si>
  <si>
    <t>THE FORBES ACADEMY</t>
  </si>
  <si>
    <t>CENTRAL BOARD OF SECONDARY EDUCATION, GOKAK FALLS, BELGAUM DISTRICT, KARNATAKA</t>
  </si>
  <si>
    <t>SGVS MAHESH PU COLLEGE</t>
  </si>
  <si>
    <t>AutoCAD,MS Office,MS Project,Primavera,Revit-BIM,Google Sketchup+Vray,3ds Max,Microsoft Excel</t>
  </si>
  <si>
    <t>ABMV Civil Enterprises LLP | Junior Site Engineer | Belgaum, Karnataka  | Jul 2020 | Jul 2021 | 1 Years, 0 Months, 21 Days | 1.8</t>
  </si>
  <si>
    <t>Livio Building System | Pre-Construction Trainee | Pune, Maharashtra | May 2023 | Jul 2023 | 7 Weeks | Campus Internship</t>
  </si>
  <si>
    <t>p2270297</t>
  </si>
  <si>
    <t>RAOSAHEB</t>
  </si>
  <si>
    <t>Vaishnavi Raosaheb Patil</t>
  </si>
  <si>
    <t>patilvaishnavi040@gmail.com</t>
  </si>
  <si>
    <t>p2270297@student.nicmar.ac.in</t>
  </si>
  <si>
    <t>Cake Baking,Modeling,Badminton</t>
  </si>
  <si>
    <t>3225 3452 7955</t>
  </si>
  <si>
    <t>RAOSAHEB CHINDHA PATIL</t>
  </si>
  <si>
    <t>VARSHA RAOSAHEB PATIL</t>
  </si>
  <si>
    <t>PLOT NO3 KALE NAGAR SHIVAJI NAGAR JALGAON</t>
  </si>
  <si>
    <t>B.G.S.V VIVEKANAND PRATHISHTAN</t>
  </si>
  <si>
    <t>JALGAON</t>
  </si>
  <si>
    <t>GOVERMENT POLYTECHNIC JALGAON</t>
  </si>
  <si>
    <t>NORTH MAHARASHTRA UNIVERSITY</t>
  </si>
  <si>
    <t>G.H.RAISONI ENGINEERING COLLEGE JALGAON</t>
  </si>
  <si>
    <t>EXCELLENCE FOUNDATION | SITE SUPERVISION  | NASHIK | Sep 2021 | Oct 2021 | 4 Weeks</t>
  </si>
  <si>
    <t>p2270298</t>
  </si>
  <si>
    <t>KHANORKAR</t>
  </si>
  <si>
    <t>Abhinav Raju Khanorkar</t>
  </si>
  <si>
    <t>abhinavkhanorkar12@gmail.com</t>
  </si>
  <si>
    <t>p2270298@student.nicmar.ac.in</t>
  </si>
  <si>
    <t>12-Jun-1997</t>
  </si>
  <si>
    <t>1)Playing Volleyball,2)Listening Music,3) Dancing</t>
  </si>
  <si>
    <t>6870 9137 6079</t>
  </si>
  <si>
    <t>RAJU KHANORKAR</t>
  </si>
  <si>
    <t>47, EAST BALAJI NAGAR , MANEWADA ROAD, NAGPUR-24.</t>
  </si>
  <si>
    <t>NICMAR , NIA POST OFFICE ,BALEWADI ROAD,RAM NAGAR , BANER PUNE.</t>
  </si>
  <si>
    <t>SOMALWAR HIGH SCHOOL, RAMDASPETH , NAGPUR.</t>
  </si>
  <si>
    <t>SHRI MATHURADAS MOHOTA SCIENCE COLLEGE, NAGPUR.</t>
  </si>
  <si>
    <t>PRIYADARSHINI COLLEGE OF ENGINEERING , HINGNA ,NAGPUR.</t>
  </si>
  <si>
    <t>AutoCAD,MS Office,MS Project,Primavera,BIM Revit,Candy,Advanced Excel,Staad Pro</t>
  </si>
  <si>
    <t>M/s 786 Construction | Civil Engineer | Nagpur | Jun 2019 | Nov 2020 | 1 Years, 5 Months, 0 Days | 0.84
NAGAR PANCHAYAT KUHI | City Co-ordinator | Kuhi Tehsil | Nov 2020 | Jun 2021 | 0 Years, 7 Months, 13 Days | 3.6</t>
  </si>
  <si>
    <t>J. Kumar Infraprojects | Summer Intern  | Mumbai | May 2023 | Jul 2023 | 7 Weeks | Campus Internship
GEOTECH SERVICES | Intern  | NAGPUR | Dec 2017 | Dec 2017 | 2 Weeks</t>
  </si>
  <si>
    <t>p2270300</t>
  </si>
  <si>
    <t>Mahajan Gaurav Sanjay</t>
  </si>
  <si>
    <t>mahajn443@gmail.com</t>
  </si>
  <si>
    <t>p2270300@student.nicmar.ac.in</t>
  </si>
  <si>
    <t>30-Jan-1998</t>
  </si>
  <si>
    <t>Music,Explore new food cuisine</t>
  </si>
  <si>
    <t>5075 7772 0415</t>
  </si>
  <si>
    <t>SANJAY MAHAJAN</t>
  </si>
  <si>
    <t>ARTI</t>
  </si>
  <si>
    <t>602, Shree Shankeshwar Shikhar_x000D_
Nandivali Road, Above Nakoda Shop, Dombivali(E).</t>
  </si>
  <si>
    <t>R.V.NERURKAR HIGH SCHOOL, DOMBIVALI(E)</t>
  </si>
  <si>
    <t>SECONDARY SCHOOL CERTIFICATE EXAMINATIO,MUMBAI,MAHARASHTRA</t>
  </si>
  <si>
    <t>R.V. NERURKAR JUNIOR COLLEGES</t>
  </si>
  <si>
    <t>SECONDARY SCHOOL CERTIFICATE EXAMINATION,MUMBAI,MAHARASHTRA</t>
  </si>
  <si>
    <t>FATHER AGNELS POLYTECHNIC,VASHI</t>
  </si>
  <si>
    <t>SANDIP UNIVERSITY</t>
  </si>
  <si>
    <t>SANDIP UNIVERSITY,NASHIK,MAHARASHTRA</t>
  </si>
  <si>
    <t>AutoCAD,MS Project,STADD.PRO ESSENTIAL</t>
  </si>
  <si>
    <t>Aaryan Structcon Pvt Ltd. | structural audit | Mumbai | Mar 2022 | Jul 2022 | 0 Years, 4 Months, 16 Days | 1.8</t>
  </si>
  <si>
    <t>SANRACHANA | site execution engineer | Thane(W) | May 2023 | Jul 2023 | 7 Weeks | Campus Internship
SHREE SAMARTH GEOTECHNIC | ENGINEER | KALYAN | Mar 2020 | Aug 2020 | 26 Weeks
GEOCON | TRAINEE ENGINEER | MUMBAI SUBURBAN | Jun 2019 | Jul 2019 | 6 Weeks</t>
  </si>
  <si>
    <t>p2270301</t>
  </si>
  <si>
    <t>GARG</t>
  </si>
  <si>
    <t>Akash Garg</t>
  </si>
  <si>
    <t>akash.garg831@gmail.com</t>
  </si>
  <si>
    <t>p2270301@student.nicmar.ac.in</t>
  </si>
  <si>
    <t>Poetry,Listening Music,Cooking,Cricket</t>
  </si>
  <si>
    <t>5189 3518 0150</t>
  </si>
  <si>
    <t>ALOK KUMAR GARG</t>
  </si>
  <si>
    <t>RESHMA GARG</t>
  </si>
  <si>
    <t>Kothi, Purana Bazar, Rudauli, Ayodhya</t>
  </si>
  <si>
    <t>Ayodhya</t>
  </si>
  <si>
    <t>NICMAR UNIVERSITY, N.I.A. POST OFFICE, 25/1, BALEWADI RD, BANER</t>
  </si>
  <si>
    <t>DSM LIONS PUBLIC SCHOOL</t>
  </si>
  <si>
    <t>CENTRAL BOARD OF SECONDARY EDUCATION, RAUZAGAON</t>
  </si>
  <si>
    <t>TINY TOTS SR. SEC. SCHOOL</t>
  </si>
  <si>
    <t>KIET GROUP OF INSTITUTIONS, GHAZIABAD</t>
  </si>
  <si>
    <t>AutoCAD,MS Office,MS Project,Primavera,StaadPro</t>
  </si>
  <si>
    <t>CBRE SOUTH ASIA PVT LTD | Project Management  | PUNE | May 2023 | Jul 2023 | 7 Weeks | Campus Internship
AR ER CONSTRUCTION PVT LTD | Interior Fitout - Site Execution | GHAZIABAD | Aug 2021 | Sep 2021 | 5 Weeks</t>
  </si>
  <si>
    <t>p2270302</t>
  </si>
  <si>
    <t>SHRIRAJ</t>
  </si>
  <si>
    <t>Shriraj Pravin Patil</t>
  </si>
  <si>
    <t>s9shriraj@gmail.com</t>
  </si>
  <si>
    <t>p2270302@student.nicmar.ac.in</t>
  </si>
  <si>
    <t>31-Mar-2000</t>
  </si>
  <si>
    <t>English, Hindi,  Marathi</t>
  </si>
  <si>
    <t>Photography (Won the 1st Position in college photography event),Football (Member of NICMAR football team 2022-24),Going on Treks</t>
  </si>
  <si>
    <t>4762 1785 4423</t>
  </si>
  <si>
    <t>PRAVIN ANKUSH PATIL</t>
  </si>
  <si>
    <t>MRINAL PRAVIN PATIL</t>
  </si>
  <si>
    <t>504, HARITARA RESIDENCY, BALKRISHNA TAWDE ROAD, MHATRE WADI, DAHISAR (W), MUMBAI</t>
  </si>
  <si>
    <t>ST. FRANCIS SCHOOL</t>
  </si>
  <si>
    <t>COUNCIL FOR INDIAN SCHOOL CERTIFICATE EXAMINATIONS, NEW DELHI</t>
  </si>
  <si>
    <t>PRAKASH VIDYALAYA AND JUNIOR COLLEGE</t>
  </si>
  <si>
    <t>VIDYAVARDHINI'S COLLEGE OF ENGINEERING AND TECHNOLOGY, MUMBAI</t>
  </si>
  <si>
    <t>AutoCAD,MS Office,MS Project,Primavera,Tableau,StaadPro</t>
  </si>
  <si>
    <t>SUNTECK REALTY | EPC-Execution | Mumbai | May 2023 | Jul 2023 | 7 Weeks | Campus Internship
SMARTKNOWER | APPLICATION OF SOFTWARES LIKE AUTOCAD, REVIT, STAADPRO, MICROSOFT PROJECT | MUMBAI (ONLINE) | Mar 2021 | Apr 2022 | 60 Weeks
S R INFRASTRUCTURE | JR. SITE ENGINEER | MUMBAI | Dec 2021 | Jan 2022 | 4 Weeks</t>
  </si>
  <si>
    <t>p2270303</t>
  </si>
  <si>
    <t>MANU</t>
  </si>
  <si>
    <t>HANDRAL</t>
  </si>
  <si>
    <t>Manu R Handral</t>
  </si>
  <si>
    <t>manuphandral123@gmail.com</t>
  </si>
  <si>
    <t>p2270303@student.nicmar.ac.in</t>
  </si>
  <si>
    <t>18-Dec-2000</t>
  </si>
  <si>
    <t>Hindi, Kannada, English</t>
  </si>
  <si>
    <t>Learning new things,Yoga. Sports &amp; Games</t>
  </si>
  <si>
    <t>5358 1686 4793</t>
  </si>
  <si>
    <t>RAMESH HANDRAL</t>
  </si>
  <si>
    <t>KAMALAKSHI HANDRAL</t>
  </si>
  <si>
    <t>Sandesh Nilaya, 3rd Main 2nd Cross, Vidya Nagar EAST, Haveri Karnataka - 581110</t>
  </si>
  <si>
    <t>RASHTROTTHANA VIDYA KENDRA DHARWAD</t>
  </si>
  <si>
    <t>CBSE DHARWAD/KARNATAKA</t>
  </si>
  <si>
    <t>KLES PRERANA PU COLLEGE</t>
  </si>
  <si>
    <t>KLE TECHNOLOGICAL UNIVERSITY, HUBBALLI/KARNATAKA</t>
  </si>
  <si>
    <t>AutoCAD,MS Office,MS Project,Primavera,Revit,Ms Excel</t>
  </si>
  <si>
    <t>Space Matrix Design Consultants Pvt Ltd | Quantity Surveyor  | Pune | May 2023 | Jul 2023 | 7 Weeks | Campus Internship
KARNATAKA PUBLIC WORKS DEPARTMENT | QUALITY CONTROL INTERN &amp; SITE ENGINEER | NAVALGUND / KARNATAKA | Jan 2022 | Mar 2022 | 11 Weeks</t>
  </si>
  <si>
    <t>p2270304</t>
  </si>
  <si>
    <t>DAUNDKAR</t>
  </si>
  <si>
    <t>Daundkar Omkar Bharat</t>
  </si>
  <si>
    <t>omkardaundkar111@gmail.com</t>
  </si>
  <si>
    <t>p2270304@student.nicmar.ac.in</t>
  </si>
  <si>
    <t>English,HIndi,Marathi</t>
  </si>
  <si>
    <t>Chess,Personal Fitness</t>
  </si>
  <si>
    <t>7032 0775 7481</t>
  </si>
  <si>
    <t>Gavthan,Nimgaon Mhalungi, Shirur, Pune</t>
  </si>
  <si>
    <t>507, ULTIMA HOSTEL, NICMAR UNIVERSITY, BALEWADI</t>
  </si>
  <si>
    <t>VIDYADHAM PRASHALA, SHIKRAPUR</t>
  </si>
  <si>
    <t>SECONDARY SCHOOL CERTIFICATE EXAMINATION</t>
  </si>
  <si>
    <t>MAEER'S MIT POLYTECHNIC, PUNE</t>
  </si>
  <si>
    <t>JSPM'S RAJARSHI SHAHU COLLAGE OF ENGINEERING TATHAWADE</t>
  </si>
  <si>
    <t>Afcons Infrastructure | Trainee in the Execution &amp; Planning Department | Kochi | May 2023 | Jul 2023 | 7 Weeks | Campus Internship
MAHARASHTRA METRO RAIL CORPORATION LIMITED | INTERN | PUNE | Dec 2021 | Jan 2022 | 4 Weeks</t>
  </si>
  <si>
    <t>p2270305</t>
  </si>
  <si>
    <t>Shinde Saurabh Ravindra</t>
  </si>
  <si>
    <t>shindesaurabh504@gmail.com</t>
  </si>
  <si>
    <t>p2270305@student.nicmar.ac.in</t>
  </si>
  <si>
    <t>22-Dec-1997</t>
  </si>
  <si>
    <t>Strength Training,Football,Cricket</t>
  </si>
  <si>
    <t>6714 3036 5764</t>
  </si>
  <si>
    <t>A/504 Sheth Heights R C Marg Chembur</t>
  </si>
  <si>
    <t>ST SEBASTIAN HIGH SCHOOL</t>
  </si>
  <si>
    <t>SWAMI RAMAKRISHNA PARAMHANS</t>
  </si>
  <si>
    <t>INSTRUMENTATION ENGINEERING</t>
  </si>
  <si>
    <t>VIVEKANAND EDUCATION SOCIETYS</t>
  </si>
  <si>
    <t>SANDIP UNIVERSITY NASHIK</t>
  </si>
  <si>
    <t>Runwal Group, Mumbai. | Site Execution Intern | Mumbai | May 2023 | Jul 2023 | 8 Weeks | Campus Internship
HINDUSTAN PETROLEUM CORPORATION LIMITED | SITE SUPERVISION INTERN | MUMBAI | Jun 2019 | Jul 2019 | 4 Weeks</t>
  </si>
  <si>
    <t>p2270306</t>
  </si>
  <si>
    <t>SAMANPALLI</t>
  </si>
  <si>
    <t>Sai Vishal Samanpalli</t>
  </si>
  <si>
    <t>vishalsamanpelli@gmail.com</t>
  </si>
  <si>
    <t>p2270306@student.nicmar.ac.in</t>
  </si>
  <si>
    <t>23-May-2001</t>
  </si>
  <si>
    <t>Sketching,Cooking,Photography</t>
  </si>
  <si>
    <t>7252 2600 3906</t>
  </si>
  <si>
    <t>SAMANPALLI BHASKAR</t>
  </si>
  <si>
    <t>SAMANPALLI RADHIKA</t>
  </si>
  <si>
    <t>4-7, Near Hanuman Temple, Mandagada, Akoli, Adilabad, Telangana, PIN Code: 504 309</t>
  </si>
  <si>
    <t>6-7-21/9, NEAR BRANCH SUB-POST OFFICE, BHUKTHAPUR, ADILABAD, TELANGANA, PIN CODE: 504 001.</t>
  </si>
  <si>
    <t>GOWTHAM MODEL SCHOOL</t>
  </si>
  <si>
    <t>S.S.C/TELANGANA</t>
  </si>
  <si>
    <t>CMR GROUP OF INSTITUTIONS</t>
  </si>
  <si>
    <t>CMR COLLEGE OF ENGINEERING &amp; TECHNOLOGY</t>
  </si>
  <si>
    <t>AutoCAD,MS Office,MS Project,Primavera,Autodesk Revit,Navisworks</t>
  </si>
  <si>
    <t>PRESTIGE ESTATES PVT LTD | SITE EXECUTION AND CONTROL | HYDERABAD | May 2023 | Jul 2023 | 7 Weeks | Campus Internship
PROTEK CONSULT | INTERSHIP TRAINEE | HYDERABAD | Dec 2021 | Jan 2022 | 4 Weeks</t>
  </si>
  <si>
    <t>p2270307</t>
  </si>
  <si>
    <t>DUSANE</t>
  </si>
  <si>
    <t>Hrishikesh Jitendra Dusane</t>
  </si>
  <si>
    <t>hrishikeshdusane85@gmail.com</t>
  </si>
  <si>
    <t>p2270307@student.nicmar.ac.in</t>
  </si>
  <si>
    <t>15-Mar-2000</t>
  </si>
  <si>
    <t>Cricket,Personal fitness,Explore new cuisine</t>
  </si>
  <si>
    <t>8602 1321 0426</t>
  </si>
  <si>
    <t>JITENDRA SHIRRAM DUSANE</t>
  </si>
  <si>
    <t>BUILDERS AND CONTRACTOR</t>
  </si>
  <si>
    <t>SUNITA JITENDRA DUSANE</t>
  </si>
  <si>
    <t>Flat No.1 Shree Residency, Near Kalika Park,Untawadi,Nashik</t>
  </si>
  <si>
    <t>SILVER OAK, NASHIK</t>
  </si>
  <si>
    <t>NASHIK/ MAHARASHTRA</t>
  </si>
  <si>
    <t>MATOSHRI JUNIOR COLLEGE, EKLAHARE ,NASHIK</t>
  </si>
  <si>
    <t>L and T  Realty | Execution  | Mumbai  | May 2023 | Jul 2023 | 7 Weeks | Campus Internship</t>
  </si>
  <si>
    <t>p2270308</t>
  </si>
  <si>
    <t>BALORIA</t>
  </si>
  <si>
    <t>Rahul Baloria</t>
  </si>
  <si>
    <t>rahulsinghbaloria1234567@gmail.com</t>
  </si>
  <si>
    <t>p2270308@student.nicmar.ac.in</t>
  </si>
  <si>
    <t>2810 4340 8008</t>
  </si>
  <si>
    <t>RAVINDER SINGH</t>
  </si>
  <si>
    <t>NEENA BALORIA</t>
  </si>
  <si>
    <t>Village Kursari , Teshile Bhaderwah , District Doda</t>
  </si>
  <si>
    <t>Doda</t>
  </si>
  <si>
    <t>BLUE RIBBON HIGH SCHOOL</t>
  </si>
  <si>
    <t>JAMMU AND KASHMIR STATE BOARD OF SCHOOL EDUCATION</t>
  </si>
  <si>
    <t>NORTH POLYTECHNIC</t>
  </si>
  <si>
    <t>RIMT UNIVERSITY</t>
  </si>
  <si>
    <t>AutoCAD,MS Office,MS Project,Primavera,BASIC OF CIVIL ENGINEERING</t>
  </si>
  <si>
    <t>Javed Iqbal Malik Construction | Junior Engineer  | Doda( Jammu &amp; Kashmir) | Jun 2017 | Aug 2019 | 2 Years, 2 Months, 9 Days | 0.96</t>
  </si>
  <si>
    <t>Afcons Infrastructure | Execution &amp; Planning  | Kochi | May 2023 | Jul 2023 | 7 Weeks | Campus Internship
Surat Singh &amp; Sons | Execution &amp; Planning  | Bhaderwah  | Jan 2022 | May 2022 | 21 Weeks
8- Boundaries Builders Private Limited |  Planning  | Jammu | May 2017 | May 2017 | 1 Weeks</t>
  </si>
  <si>
    <t>p2270309</t>
  </si>
  <si>
    <t>SRIHARYSSHVER</t>
  </si>
  <si>
    <t>MP</t>
  </si>
  <si>
    <t>Sriharysshver Mp</t>
  </si>
  <si>
    <t>harysshver169@gmail.com</t>
  </si>
  <si>
    <t>p2270309@student.nicmar.ac.in</t>
  </si>
  <si>
    <t>Travelling,Sports,Meeting New People</t>
  </si>
  <si>
    <t>4734 0167 2900</t>
  </si>
  <si>
    <t>PANNEERSELVAM T</t>
  </si>
  <si>
    <t>MALATHI RK</t>
  </si>
  <si>
    <t>30, PERIYAR NAGAR FIRST CROSS_x000D_
Ariyalur</t>
  </si>
  <si>
    <t>1117 ULTIMA NICMAR  HOSTEL, N.I.A. POST OFFICE, 25/1, BALEWADI RD, RAM NAGAR, BANER , PUNE, MAHARASHTRA</t>
  </si>
  <si>
    <t>ARASUNAGAR MATRIC HR SEC SCHOOL</t>
  </si>
  <si>
    <t>ARIYALUR</t>
  </si>
  <si>
    <t>BANNARI AMMAN INSTITUTE OF TECHNOLOGY - SATHYAMANGALAM</t>
  </si>
  <si>
    <t>CHENNAI METRO RAIL LIMITED | SUMMER INTERN | CHENNAI | May 2023 | Jul 2023 | 7 Weeks | Campus Internship
HIGHWAYS TAMIL NADU GOVT | SITE ENGINEER | SENDURAI TAMIL NADU | May 2022 | Jul 2022 | 8 Weeks
HIGHWAYS TAMIL NADU GOVT | SITE ENGINEER | ARIYALUR , TAMIL NADU | May 2021 | Jun 2021 | 8 Weeks</t>
  </si>
  <si>
    <t>p2270310</t>
  </si>
  <si>
    <t>PANYALA</t>
  </si>
  <si>
    <t>SAHITH</t>
  </si>
  <si>
    <t>Panyala Sahith Reddy</t>
  </si>
  <si>
    <t>panyalasahithreddy3@gmail.com</t>
  </si>
  <si>
    <t>p2270310@student.nicmar.ac.in</t>
  </si>
  <si>
    <t>English, Telugu and Hindi</t>
  </si>
  <si>
    <t>Volleyball,Photography,Video Editing</t>
  </si>
  <si>
    <t>7749 6349 1702</t>
  </si>
  <si>
    <t>PANYALA RAVINDER REDDY</t>
  </si>
  <si>
    <t>PANYALA ANURADHA</t>
  </si>
  <si>
    <t>1-41/1,_x000D_
Chigurumamidi_x000D_</t>
  </si>
  <si>
    <t>ALPHORES HIGH SCHOOL</t>
  </si>
  <si>
    <t>KAKATIYA INSTITUTE OF TECHNOLOGY AND SCIENCE, WARANGAL</t>
  </si>
  <si>
    <t>AutoCAD,MS Office,MS Project,Primavera,Revit Architecture,STAAD Pro,Candy</t>
  </si>
  <si>
    <t>ASIAN PAINTS LIMITED | Project Sales - Water Proofing | Hyderabad | May 2023 | Jul 2023 | 7 Weeks | Campus Internship
EXPERTSHUB INDUSTRY SKILL DEVELOPMENT CENTER | Site Execution | HYDERABAD | Dec 2018 | Dec 2022 | 209 Weeks</t>
  </si>
  <si>
    <t>p2270311</t>
  </si>
  <si>
    <t>PANWAR</t>
  </si>
  <si>
    <t>Suraj Panwar</t>
  </si>
  <si>
    <t>surajpanwar487@gmail.com</t>
  </si>
  <si>
    <t>p2270311@student.nicmar.ac.in</t>
  </si>
  <si>
    <t>06-Jul-1998</t>
  </si>
  <si>
    <t>1. Watching cricket,2. Watching T.V series,3. Travelling</t>
  </si>
  <si>
    <t>6819 6402 3019</t>
  </si>
  <si>
    <t>LATE VINOD KUMAR SINGH</t>
  </si>
  <si>
    <t>EX ARMY MEN</t>
  </si>
  <si>
    <t>REENA PANWAR</t>
  </si>
  <si>
    <t>House No. 58, Shivnagar, P.O. Defence Colony, Dehradun</t>
  </si>
  <si>
    <t>GULMOHAR SOCIETY, BUNGALOW NO. B9, LANE NO.1, NEAR KARNATAKA BANK, BEHIND D-MART BANER</t>
  </si>
  <si>
    <t>DAYANAND ANGLO-VEDIC(D.A.V) PUBLIC SCHOOL, DEHRADUN/UTTARAKHAND</t>
  </si>
  <si>
    <t>CENTRAL BOARD OF SECONDARY EDUCATION, DEHRADUN/UTTARAKHAND</t>
  </si>
  <si>
    <t>GRAPHIC ERA HILL UNIVERSITY</t>
  </si>
  <si>
    <t>GRAPHIC ERA HILL UNIVERSITY, DEHRADUN/UTTARAKHAND</t>
  </si>
  <si>
    <t>AutoCAD,MS Office,MS Project,Primavera,Revit,Staad pro,Civil3d,Procore,Openspace</t>
  </si>
  <si>
    <t>ADRIANSE GLOBAL | PROJECT MANAGEMENT INTERN | DELHI | May 2023 | Jul 2023 | 7 Weeks | Campus Internship
RURAL WORK DEPARTMENT | INTERN | DEHRADUN | Jun 2019 | Aug 2019 | 6 Weeks</t>
  </si>
  <si>
    <t>p2270312</t>
  </si>
  <si>
    <t>Shubham Joshi</t>
  </si>
  <si>
    <t>shubhamjoshi98765@gmail.com</t>
  </si>
  <si>
    <t>p2270312@student.nicmar.ac.in</t>
  </si>
  <si>
    <t>21-Mar-1999</t>
  </si>
  <si>
    <t>Cooking,Travelling,Watching UFC</t>
  </si>
  <si>
    <t>7771 5795 6104</t>
  </si>
  <si>
    <t>DEVI DUTT JOSHI</t>
  </si>
  <si>
    <t>CENTRAL RESERVE POLICE FORCE (CRPF)</t>
  </si>
  <si>
    <t>DAYA JOSHI</t>
  </si>
  <si>
    <t>H.N0 49K, LINK ROAD THAPLIYA,ALMORA</t>
  </si>
  <si>
    <t>Almora</t>
  </si>
  <si>
    <t>GULMOHAR SOCIETY,LANE NO.1, BUNGLOW NO-B9,NEAR KARNATAKA BANK,BANER.</t>
  </si>
  <si>
    <t>KENDRIYA VIDYALAYA, RAMPUR, UTTARPRADESH</t>
  </si>
  <si>
    <t>CENTRAL BOARD OF SECONDARY EDUCATION, RAMPUR/UTTARPRADESH</t>
  </si>
  <si>
    <t>GRAPHIC ERA HILL UNIVERSITY, DEHRADUN, UTTARAKHAND</t>
  </si>
  <si>
    <t>AutoCAD,MS Office,MS Project,Primavera,Autodesk Revit,Staad pro,Autodesk Civil 3D</t>
  </si>
  <si>
    <t>Congruex LLP | OSP Engineer | Mohali | Jul 2021 | Oct 2021 | 0 Years, 3 Months, 13 Days | 3.35</t>
  </si>
  <si>
    <t>HILTI INDIA PVT LTD | TECHNICAL INTERN | AHMEDABAD | May 2023 | Jul 2023 | 7 Weeks | Campus Internship
GAWAR CONSTRUCTION LIMITED | SUMMER TRAINEE  | HARYANA | Jun 2019 | Jul 2019 | 6 Weeks
SURYA CONSTRUCTION LIMITED | TRAINEE ENGINEER (INTERN) | HARYANA | Jul 2020 | Jul 2021 | 52 Weeks
SASHAKT ARCHITECT | CIVIL ENGINEER (INTERN) | DEHRADUN  | May 2022 | Aug 2022 | 13 Weeks</t>
  </si>
  <si>
    <t>p2270313</t>
  </si>
  <si>
    <t>AAKASH</t>
  </si>
  <si>
    <t>Aakash J Yadav</t>
  </si>
  <si>
    <t>aakashjyadav@yahoo.com</t>
  </si>
  <si>
    <t>p2270313@student.nicmar.ac.in</t>
  </si>
  <si>
    <t>30-Oct-1996</t>
  </si>
  <si>
    <t>4573 7738 5348</t>
  </si>
  <si>
    <t>JAYPRAKASH R YADAV</t>
  </si>
  <si>
    <t>JYOTI J YADAV</t>
  </si>
  <si>
    <t>W-403, NAND ENCLAVE, B/H GOVERDHAN HAVELI MANDIR, PIPLOD, SURAT</t>
  </si>
  <si>
    <t>J H AMBANI SARASWATI VIDYAMANDIR SCHOOL</t>
  </si>
  <si>
    <t>BHAGWAN MAHAVIR COLLEGE OF ENGINEERING AND TECHNOLOGY, SURAT, GUJARAT</t>
  </si>
  <si>
    <t>VESTIAN GLOBAL WORKPLACE SERVICES PVT LTD | TO WORK WITH THE CEO OFFICE AND UNDERSTAND THE WORKING OF PROJECTS CARRIED OUT BY THE COMPANY AND TO UNDERSTAND THE WORKING OF THE PMC DEPARTMENT. TO KNOW HOW THE OPEN BOOK MODEL PARTNERSHIP WORKS. | BANGALORE | May 2023 | Jul 2023 | 7 Weeks | Campus Internship
RELIANCE INDUSTRIES LIMITED | VOCATIONAL TRAINEE | HAZIRA, SURAT | May 2017 | Jun 2017 | 3 Weeks</t>
  </si>
  <si>
    <t>p2270314</t>
  </si>
  <si>
    <t>Rahul Singh</t>
  </si>
  <si>
    <t>2505singh.rahul@gmail.com</t>
  </si>
  <si>
    <t>p2270314@student.nicmar.ac.in</t>
  </si>
  <si>
    <t>25-May-1998</t>
  </si>
  <si>
    <t>Watching Documentaries,Badminton,Following tech World,Swimmimg</t>
  </si>
  <si>
    <t>5563 3614 5382</t>
  </si>
  <si>
    <t>SHIV NATH SINGH YADAV</t>
  </si>
  <si>
    <t>RETR. SERVICE</t>
  </si>
  <si>
    <t>SHAKUNTALA SINGH</t>
  </si>
  <si>
    <t>Civil Lines Stadium Road</t>
  </si>
  <si>
    <t>ST. MARY'S SENIOR SECONDARY SCHOOL</t>
  </si>
  <si>
    <t>CENTRAL BOARD OF SECONDARY EDUCATION, BANDA U.P</t>
  </si>
  <si>
    <t>DR. A. P. J. ABDUL KALAM TECHNICAL UNIVERSITY, UTTAR PRADESH, LUCKNOW</t>
  </si>
  <si>
    <t>KALI CHARAN NIGAM INSTITUTE OF TECHNOLOGY, BANDA U.P</t>
  </si>
  <si>
    <t>H.G. Infra Engineering  Ltd. | Planning Intern | Badaun U.P | May 2023 | Jul 2023 | 7 Weeks | Campus Internship
PNC INFRATECH LIMITED | SITE ENGINEER TRAINEE | LUCKNOW | Jun 2019 | Jul 2019 | 4 Weeks</t>
  </si>
  <si>
    <t>p2270315</t>
  </si>
  <si>
    <t>Pushpendra Verma</t>
  </si>
  <si>
    <t>pushpendrav367@gmail.com</t>
  </si>
  <si>
    <t>p2270315@student.nicmar.ac.in</t>
  </si>
  <si>
    <t>23-Dec-1998</t>
  </si>
  <si>
    <t>Stock Trading,Bike Riding,Geopolitics,Cricket</t>
  </si>
  <si>
    <t>6837 4261 6096</t>
  </si>
  <si>
    <t>SANTOSH VERMA</t>
  </si>
  <si>
    <t>TRUCK DRIVER</t>
  </si>
  <si>
    <t>SUSHEELA VERMA</t>
  </si>
  <si>
    <t>House No 1820, Jogni Nagar, Rampur, Jabalpur.</t>
  </si>
  <si>
    <t>SARASWATI SHIKSHA MANDIR HIGHER SECONDARY SCHOOL</t>
  </si>
  <si>
    <t>GLOBAL NATURE CARE SANGATHANS GROUP OF INSTITUTION</t>
  </si>
  <si>
    <t>L AND T  REALTY |  SITE EXECUTION | MULUND, MUMBAI | May 2023 | Jul 2023 | 7 Weeks | Campus Internship
WEST CENTRAL RAILWAY | TRAINEE | JABALPUR  | Jun 2019 | Jul 2019 | 4 Weeks</t>
  </si>
  <si>
    <t>p2270316</t>
  </si>
  <si>
    <t>K S</t>
  </si>
  <si>
    <t>Kiran K S</t>
  </si>
  <si>
    <t>kiranks782@gmail.com</t>
  </si>
  <si>
    <t>p2270316@student.nicmar.ac.in</t>
  </si>
  <si>
    <t>24-Jan-1998</t>
  </si>
  <si>
    <t>Sports,Cooking</t>
  </si>
  <si>
    <t>6712 4768 7257</t>
  </si>
  <si>
    <t>C M GEENA</t>
  </si>
  <si>
    <t>RADIOGRAPHER</t>
  </si>
  <si>
    <t>Kaippully House , House No 39 ERA, China Bazar Velappaya , P O Medical College, Thrissur</t>
  </si>
  <si>
    <t>CHINMAYA VIDYALAYA KOLAZHY TRICHUR</t>
  </si>
  <si>
    <t>AutoCAD,MS Office,MS Project,Primavera,Revit,Navis Work,Candy</t>
  </si>
  <si>
    <t>Turtle Smart Solution LLP | Construction supervision and quality control | Thrissur | Sep 2021 | Dec 2021 | 0 Years, 3 Months, 30 Days | 0.96</t>
  </si>
  <si>
    <t>BAUER Engineering India Pvt. Ltd | Planning &amp; Engineering | Gurgaon &amp; Patna | May 2023 | Jul 2023 | 7 Weeks | Campus Internship
KELTRON | SAFETY OFFICER | THRISSUR | Jul 2019 | Jul 2019 | 0 Weeks</t>
  </si>
  <si>
    <t>p2270317</t>
  </si>
  <si>
    <t>ARSHIT</t>
  </si>
  <si>
    <t>Arshit Anand</t>
  </si>
  <si>
    <t>arshitanand98@gmail.com</t>
  </si>
  <si>
    <t>p2270317@student.nicmar.ac.in</t>
  </si>
  <si>
    <t>09-Apr-1998</t>
  </si>
  <si>
    <t>ENGLISH, HINDI, ODIA, BENGALI, MARATHI</t>
  </si>
  <si>
    <t>Art,Literature,Music,Adventure</t>
  </si>
  <si>
    <t>8912 4512 2376</t>
  </si>
  <si>
    <t>ARUN KUMAR PATRA</t>
  </si>
  <si>
    <t>MAMATA PADHY</t>
  </si>
  <si>
    <t>C2M-123, Chhend Colony, Rourkela - 769015.</t>
  </si>
  <si>
    <t>Sundergarh</t>
  </si>
  <si>
    <t>CHINMAYA VIDYALAYA ENGLISH MEDIUM</t>
  </si>
  <si>
    <t>ICSE ROURKELA/ODISHA</t>
  </si>
  <si>
    <t>BIJU PATTNAIK UNIVERSITY OF TECHNOLOGY</t>
  </si>
  <si>
    <t>PILOO MODY COLLEGE OF ARCHITECTURE CUTTACK/ODISHA</t>
  </si>
  <si>
    <t>AutoCAD,MS Office,MS Project,Primavera,3Ds Max,V-Ray,Rhino,Grasshopper,Candy,Revit</t>
  </si>
  <si>
    <t>ASIAN PAINTS | Sales and Marketing - Decor | Kolkata | May 2023 | Jul 2023 | 7 Weeks | Campus Internship</t>
  </si>
  <si>
    <t>p2270319</t>
  </si>
  <si>
    <t>DAPKER</t>
  </si>
  <si>
    <t>Ajay Shrihari Dapker</t>
  </si>
  <si>
    <t>dapkerajay@gmail.com</t>
  </si>
  <si>
    <t>p2270319@student.nicmar.ac.in</t>
  </si>
  <si>
    <t>25-Sep-1996</t>
  </si>
  <si>
    <t>Football,Swimming,Writing</t>
  </si>
  <si>
    <t>4722 3895 6580</t>
  </si>
  <si>
    <t>SUB CONTRACTOR</t>
  </si>
  <si>
    <t>Tulsi Harmony A-604 Khanda Colony Panvel_x000D_
- 410206</t>
  </si>
  <si>
    <t>MAHATMA SCHOOL OF ACEDAMICS AND SPORTS</t>
  </si>
  <si>
    <t>MAHATMA JUNIOR COLLEGE OF SCIENCE</t>
  </si>
  <si>
    <t>UNIVESRITY OF MUMBAI</t>
  </si>
  <si>
    <t>MS Office,MS Project,Primavera,Revit</t>
  </si>
  <si>
    <t>p2270320</t>
  </si>
  <si>
    <t>SAWANT</t>
  </si>
  <si>
    <t>Hrishikesh Chandrashekhar Sawant</t>
  </si>
  <si>
    <t>hrishisawant1001@gmail.com</t>
  </si>
  <si>
    <t>p2270320@student.nicmar.ac.in</t>
  </si>
  <si>
    <t>Travelling,Carrom,Table Tennis,Watching Documentaries</t>
  </si>
  <si>
    <t>4253 2547 2656</t>
  </si>
  <si>
    <t>SHAILAJA</t>
  </si>
  <si>
    <t>A/P Banage, Tal Kagal, Dist Kolhapur</t>
  </si>
  <si>
    <t>2101, VIVANT, PLOT NO. 4, SEC 19, SANPADA, NAVI MUMBAI.</t>
  </si>
  <si>
    <t>AMBOLI PUBLIC SCHOOL, AMBOLI</t>
  </si>
  <si>
    <t>INSTITUTE OF CIVIL AND RURAL ENGINEERING, GARGOTI</t>
  </si>
  <si>
    <t>Aditi Constructions | Engineer In-Charge | Mahad MIDC, Raigad | Jan 2020 | Aug 2022 | 2 Years, 7 Months, 9 Days | 5
Sai Balaji Enterprises | Civil Engineer | Hadapsar, Pune | Jun 2019 | Dec 2019 | 0 Years, 6 Months, 30 Days | 2.4</t>
  </si>
  <si>
    <t>MONTECARLO LIMITED | Summer Intern | MUMBAI | May 2023 | Jul 2023 | 8 Weeks | Campus Internship</t>
  </si>
  <si>
    <t>p2270321</t>
  </si>
  <si>
    <t>AHMAR</t>
  </si>
  <si>
    <t>FRAZ</t>
  </si>
  <si>
    <t>ALAM</t>
  </si>
  <si>
    <t>Ahmar Fraz Alam</t>
  </si>
  <si>
    <t>frazahmar@gmail.com</t>
  </si>
  <si>
    <t>p2270321@student.nicmar.ac.in</t>
  </si>
  <si>
    <t>17-Nov-1997</t>
  </si>
  <si>
    <t>Bike Riding,Playing Football,Reading Newspaper</t>
  </si>
  <si>
    <t>6418 1908 2141</t>
  </si>
  <si>
    <t>S.M.S ALAM</t>
  </si>
  <si>
    <t>RETIRED RAILWAY SSE</t>
  </si>
  <si>
    <t>FARHAT ALAM</t>
  </si>
  <si>
    <t>S/O S M SARFRAZ ALAM, A/20 HOUSE NO.50, SAHARA VIHAR , KASIMPARA,TORWA</t>
  </si>
  <si>
    <t>CBSE BILASPUR/CHHATTISGARH</t>
  </si>
  <si>
    <t>INSTITUTE OF TECHNICAL EDUCATION AND RESEARCH BHUBANESWAR/ODISHA</t>
  </si>
  <si>
    <t>M/S RAKESH KUMAR JAIN | Site Engineer			 | BILASPUR | Sep 2020 | Jul 2022 | 1 Years, 10 Months, 15 Days | 2.4
ECR BUILDTECH PVT. LTD. | Site Engineer			 | DHARUHERA | Jun 2019 | Aug 2020 | 1 Years, 2 Months, 6 Days | 1.8</t>
  </si>
  <si>
    <t>Brookfield Properties | Financial Planning	 | Gurugram | May 2023 | Jul 2023 | 8 Weeks | Campus Internship
SOUTH EASTERN CENTRAL RAILWAY | EXECUTION(CIVIL WORKS) | BILASPUR | May 2018 | Jun 2018 | 4 Weeks
AHLUWALIA CONSTRUCTION GROUP | EXECUTION(CIVIL WORKS) | GURUGRAM | Jul 2017 | Jul 2017 | 3 Weeks</t>
  </si>
  <si>
    <t>p2270322</t>
  </si>
  <si>
    <t>Krishna Mishra</t>
  </si>
  <si>
    <t>mishrak2511@gmail.com</t>
  </si>
  <si>
    <t>p2270322@student.nicmar.ac.in</t>
  </si>
  <si>
    <t>2392 3389 2931</t>
  </si>
  <si>
    <t>BHABANI SANKAR MISHRA</t>
  </si>
  <si>
    <t>STATE  GOVT EMPLOYEE</t>
  </si>
  <si>
    <t>SWARNA PRAVA MISHRA</t>
  </si>
  <si>
    <t>Mayurbhanj,Odisha</t>
  </si>
  <si>
    <t>SARASWATI SHISHU VIDYA MANDIR</t>
  </si>
  <si>
    <t>BOARD OF SECONDARY EDUCATION,ODISHA</t>
  </si>
  <si>
    <t>DHENKANAL JUNIOR COLLEGE, ODISHA</t>
  </si>
  <si>
    <t>C.V.RAMAN GLOBAL UNIVERSITY</t>
  </si>
  <si>
    <t>C.V.RAMAN GLOBAL UNIVERSITRY,ODISHA</t>
  </si>
  <si>
    <t>AutoCAD,MS Office,MS Project,Primavera,CANDY,Revit</t>
  </si>
  <si>
    <t>Godrej Properties | Contracts and Procurement  | Mumbai, Head office | May 2023 | Jul 2023 | 7 Weeks | Campus Internship
BHUBANESWAR DEVELOPMENT AUTHORITY | TRAINEE | BHUBANESWAR | Jun 2019 | Jul 2019 | 4 Weeks</t>
  </si>
  <si>
    <t>p2270323</t>
  </si>
  <si>
    <t>ARSHAN</t>
  </si>
  <si>
    <t>SALIM</t>
  </si>
  <si>
    <t>Arshan Salim Patel</t>
  </si>
  <si>
    <t>arshanpatel@gmail.com</t>
  </si>
  <si>
    <t>p2270323@student.nicmar.ac.in</t>
  </si>
  <si>
    <t>Music,Biking/travelling,Chess</t>
  </si>
  <si>
    <t>7030 1843 7710</t>
  </si>
  <si>
    <t>SALIM PATEL</t>
  </si>
  <si>
    <t>REAL ESTATE CONSULTANT</t>
  </si>
  <si>
    <t>FARZANA PATEL</t>
  </si>
  <si>
    <t>802, Jangid Ambrosia, Jangid Enclave,_x000D_
Ahead Cinemax, MIRA ROAD(E)</t>
  </si>
  <si>
    <t>N. H. ENGLISH ACADEMY</t>
  </si>
  <si>
    <t>AutoCAD,MS Office,MS Project,Primavera,Autodesk Naviswork,MS PowerBI,Autodesk Revit,Candy</t>
  </si>
  <si>
    <t>Econstruct Design and Build Pvt Ltd. | Project Management And BIM | Banglore | May 2023 | Jul 2023 | 7 Weeks | Campus Internship
J KUMAR INFRAPROJECTS LTD | Summer Intern | MUMBAI | Jun 2019 | Jul 2019 | 3 Weeks</t>
  </si>
  <si>
    <t>p2270324</t>
  </si>
  <si>
    <t>PONDE</t>
  </si>
  <si>
    <t>Ashutosh Bharat Ponde</t>
  </si>
  <si>
    <t>pondeashutosh2000@gmail.com</t>
  </si>
  <si>
    <t>p2270324@student.nicmar.ac.in</t>
  </si>
  <si>
    <t>16-Jan-2000</t>
  </si>
  <si>
    <t>English, Hindi, Kannada &amp; Marathi</t>
  </si>
  <si>
    <t>1. Public Speaking,2.Trade stocks,3.Avid reader,4.Workout,5.Gaming</t>
  </si>
  <si>
    <t>2932 0433 7721</t>
  </si>
  <si>
    <t>SUPPLIER OF BAKERY PRODUCTS</t>
  </si>
  <si>
    <t>"Prachi Aryan", Halgekar Building, _x000D_
Patil Galli Corner Vadgaon, Belgaum</t>
  </si>
  <si>
    <t>KARNATAKA SECONDARY EDUCATION EXAMINATION BOARD BELGAUM/KARNATAKA</t>
  </si>
  <si>
    <t>KLES INDEPENDENT PU COLLEGE</t>
  </si>
  <si>
    <t>AUTONOMOUS UNDER VIVESVARAYA TECHNOLOGICAL UNIVERSITY</t>
  </si>
  <si>
    <t>KLS GOGTE INSTITUTE OF TECHNOLOGY BELGAUM/KARNATAKA</t>
  </si>
  <si>
    <t>AutoCAD,MS Office,MS Project,Primavera,STAADPRO (BASICS)</t>
  </si>
  <si>
    <t>CBRE South Asia Pvt Ltd | Construction Management Intern | Pune | May 2023 | Jul 2023 | 7 Weeks | Campus Internship
SYNERGY SCHOOL OF BUSINESS SKILLS | LEARNER | BELGAUM | Sep 2022 | Oct 2022 | 8 Weeks</t>
  </si>
  <si>
    <t>p2270326</t>
  </si>
  <si>
    <t>MATHUR</t>
  </si>
  <si>
    <t>Sarthak Mathur</t>
  </si>
  <si>
    <t>sarthak21andle@gmail.com</t>
  </si>
  <si>
    <t>p2270326@student.nicmar.ac.in</t>
  </si>
  <si>
    <t>21-Sep-1999</t>
  </si>
  <si>
    <t>Cooking,Cycling,Stock Market,Psychology</t>
  </si>
  <si>
    <t>2867 0931 3808</t>
  </si>
  <si>
    <t>SANJAY MATHUR</t>
  </si>
  <si>
    <t>ANURADHA MATHUR</t>
  </si>
  <si>
    <t>A-8, City Apartments, Vasundhara Enclave, Delhi</t>
  </si>
  <si>
    <t>AMITY INTERNATIONAL SCHOOL</t>
  </si>
  <si>
    <t>Savills Property Services | Intern Project Management Services | Noida  | May 2023 | Jul 2023 | 7 Weeks | Campus Internship
UTILITY POWERTECH LIMITED | Summer Intern | NOIDA  | Jun 2019 | Jul 2019 | 3 Weeks
LARSEN AND TOUBRO | Summer Intern | SITAPUR, LUCKNOW | May 2022 | Jun 2022 | 7 Weeks</t>
  </si>
  <si>
    <t>p2270327</t>
  </si>
  <si>
    <t>NANDKISHOR</t>
  </si>
  <si>
    <t>PIPRADE</t>
  </si>
  <si>
    <t>Shraddha Nandkishor Piprade</t>
  </si>
  <si>
    <t>shraddhapiprade@gmail.com</t>
  </si>
  <si>
    <t>p2270327@student.nicmar.ac.in</t>
  </si>
  <si>
    <t>Calligraphy,Singing,Playing Guitar</t>
  </si>
  <si>
    <t>4485 3562 5115</t>
  </si>
  <si>
    <t>NANDKISHOR PIPRADE</t>
  </si>
  <si>
    <t>VIDHYA PIPRADE</t>
  </si>
  <si>
    <t>Shraddha Niwas, Zinguji Ward, Walmik Chowk , Bhadrawati</t>
  </si>
  <si>
    <t>SR NO.34 , SK PG , NIVRUTTI PLAZZA, NEAR MITCON COLLEGE BALEWADI BANER PUNE</t>
  </si>
  <si>
    <t>ST. ANNE'S HIGH SCHOOL SUMTHANA</t>
  </si>
  <si>
    <t>SOMALWAR HIGH SCHOOL &amp; JUNIOR COLLEGE NAGPUR</t>
  </si>
  <si>
    <t>G H RAISONI COLLEGE OF ENGINEERING NAGPUR</t>
  </si>
  <si>
    <t>Kolte Patil Developers Ltd | Project Planning Intern | Pune | May 2023 | Jul 2023 | 7 Weeks | Campus Internship
PWD NAGPUR | Student Intern | NAGPUR | Dec 2020 | Jun 2021 | 26 Weeks</t>
  </si>
  <si>
    <t>p2270328</t>
  </si>
  <si>
    <t>Aishwarya Sinha</t>
  </si>
  <si>
    <t>sinha15aish@gmail.com</t>
  </si>
  <si>
    <t>p2270328@student.nicmar.ac.in</t>
  </si>
  <si>
    <t>Photography,Travelling,Playing badminton</t>
  </si>
  <si>
    <t>7743 9770 5412</t>
  </si>
  <si>
    <t>VIVEK KUMAR SINHA</t>
  </si>
  <si>
    <t>NEENA SINHA</t>
  </si>
  <si>
    <t>B-73/74 RAM GANGA VIHAR PHASE -2, MDA COLONY NEAR DAINIK JAGRAN PRESS ROAD MORADABAD</t>
  </si>
  <si>
    <t>TINY TOTS COLLEGE, MORADABAD</t>
  </si>
  <si>
    <t>DR. A.P.J. ABDUL KALAM TECHNICAL UNIVERSITY, LUCKNOW (UP)</t>
  </si>
  <si>
    <t>MET FACULTY OF ARCHITECTURE, MORADABAD (UTTAR PRADESH)</t>
  </si>
  <si>
    <t>AutoCAD,MS Office,MS Project,Primavera,SKETCH UP,AUTODESK REVIT,ADOBE PHOTOSHOP,LUMION,RHINO &amp; GRASSOPHER</t>
  </si>
  <si>
    <t>ARCHNA RAJ PLANNERS &amp; CONSULTANTS | Junior Architect | Moradabad | Oct 2020 | Dec 2021 | 1 Years, 2 Months, 26 Days | 1.8</t>
  </si>
  <si>
    <t>Basil Decor LLP | Project Management Intern | Pune | May 2023 | Jul 2023 | 7 Weeks | Campus Internship
PARAG AGARWAL AND ASSOCIATES | INTERN ARCHITECT | MORADABAD | Mar 2020 | Jul 2020 | 18 Weeks
ARCHITECTURE N INTERIORS | INTERN ARCHITECT | MORADABAD | Jun 2018 | Dec 2018 | 22 Weeks</t>
  </si>
  <si>
    <t>p2270329</t>
  </si>
  <si>
    <t>CHANDEL</t>
  </si>
  <si>
    <t>Ayush Chandel</t>
  </si>
  <si>
    <t>chandelayush37@gmail.com</t>
  </si>
  <si>
    <t>p2270329@student.nicmar.ac.in</t>
  </si>
  <si>
    <t>02-Apr-2000</t>
  </si>
  <si>
    <t>English, Hindi and Punjabi</t>
  </si>
  <si>
    <t>Singing,Football,Fitness</t>
  </si>
  <si>
    <t>8624 7848 1001</t>
  </si>
  <si>
    <t>AJAY CHANDEL</t>
  </si>
  <si>
    <t>DEVKALA</t>
  </si>
  <si>
    <t>ECG LAB TECHNICIAN</t>
  </si>
  <si>
    <t>Vill. Chakara Teh. Sundernagar P.O Bhojpur Distt. Mandi (H.P)</t>
  </si>
  <si>
    <t>DAV SEN. SEC. PUBLIC SCHOOL SUNDERNAGAR</t>
  </si>
  <si>
    <t>CBSE SUNDERNAGAR/MANDI</t>
  </si>
  <si>
    <t>CHANDIGARH GROUP OF COLLEGES , JHANJERI MOHALI</t>
  </si>
  <si>
    <t>AutoCAD,MS Office,MS Project,Primavera,Staad-pro,Candy,Revit</t>
  </si>
  <si>
    <t>INDIAN HUME PIPE | Project Intern | Kanpur | May 2023 | Jul 2023 | 7 Weeks | Campus Internship
RADOS AIR ENGINEERS | SITE ENGINEER | MOHALI | Mar 2021 | Jun 2021 | 17 Weeks
HARJEET SINGH CONTRACTORS | JUNIOR PROJECT ENGINEER | MANDI | Jan 2022 | Jul 2022 | 30 Weeks</t>
  </si>
  <si>
    <t>p2270330</t>
  </si>
  <si>
    <t>Shivam Gupta</t>
  </si>
  <si>
    <t>sg6023556@gmail.com</t>
  </si>
  <si>
    <t>p2270330@student.nicmar.ac.in</t>
  </si>
  <si>
    <t>09-Aug-1999</t>
  </si>
  <si>
    <t>Cricket,Listening music</t>
  </si>
  <si>
    <t>5565 6607 7254</t>
  </si>
  <si>
    <t>MUKESH KUMAR GUPTA</t>
  </si>
  <si>
    <t>RASHMI GUPTA</t>
  </si>
  <si>
    <t>32AF983/23/1 Panchayati Panajaya Kamla Nagar</t>
  </si>
  <si>
    <t>ST. ANDREWS PUBLIC SCHOOL</t>
  </si>
  <si>
    <t>CENTAL BOARD OF SECONDARY EDUCATION AGRA</t>
  </si>
  <si>
    <t>DR. A.P.J ABDUL KALAM TECHNICAL UNIVERSITY (AKTU)</t>
  </si>
  <si>
    <t>HINDUSTAN COLLAGE OF SCIENCE AND TECHNOLOGY, FARAH, MATHURA, UTTER PRADESH</t>
  </si>
  <si>
    <t>MS Office,MS Project,Primavera,CANDY,REVIT</t>
  </si>
  <si>
    <t>H.G. Infra Engineering | Planning Intern | Badaun, Utter Pradesh | May 2023 | Jul 2023 | 7 Weeks | Campus Internship
PNC INFRATECH LIMITED | SUMMER INTERN | LUCKNOW | Jun 2019 | Jul 2019 | 4 Weeks</t>
  </si>
  <si>
    <t>p2270331</t>
  </si>
  <si>
    <t>SAPAN</t>
  </si>
  <si>
    <t>JHUNJHUNWALA</t>
  </si>
  <si>
    <t>Rohan Sapan Jhunjhunwala</t>
  </si>
  <si>
    <t>rohanjhunjhunwala22@gmail.com</t>
  </si>
  <si>
    <t>p2270331@student.nicmar.ac.in</t>
  </si>
  <si>
    <t>22-Mar-2000</t>
  </si>
  <si>
    <t>Reading,Chess,Financial Market,Exploring Market</t>
  </si>
  <si>
    <t>8026 8878 5385</t>
  </si>
  <si>
    <t>SAPAN JHUNJHUNWALA</t>
  </si>
  <si>
    <t>BUISNESSMAN</t>
  </si>
  <si>
    <t>RAJSHREE JHUNJHUNWALA</t>
  </si>
  <si>
    <t>7/b Anand Nagar, Ring Road,Jalgaon</t>
  </si>
  <si>
    <t>PODDAR INTERNATIONAL</t>
  </si>
  <si>
    <t>CBSE JALGAON/MAHARASHTRA</t>
  </si>
  <si>
    <t>VAGAD PACE GLOBAL SCHOOL</t>
  </si>
  <si>
    <t>CBSE, MUMBAI</t>
  </si>
  <si>
    <t>MANIPAL INSTITUTE OF TECHNOLOGY, MANIPAL/KARNATAKA</t>
  </si>
  <si>
    <t>AutoCAD,MS Office,MS Project,Primavera,Candy,Staadpro,Revit</t>
  </si>
  <si>
    <t>BEETA ASSOCIATES PVT.LTD | Project Execution | Jalgaon | May 2023 | Jul 2023 | 7 Weeks | Campus Internship
ANGIRA BUILDCON | SITE SUPERVISOR  | JALGAON | Jul 2021 | Aug 2021 | 4 Weeks</t>
  </si>
  <si>
    <t>p2270332</t>
  </si>
  <si>
    <t>Abhishek Singh</t>
  </si>
  <si>
    <t>singh.03abhishek3@gmail.com</t>
  </si>
  <si>
    <t>p2270332@student.nicmar.ac.in</t>
  </si>
  <si>
    <t>06-Dec-1996</t>
  </si>
  <si>
    <t>Playing Cricket,writing quotes,making new friends</t>
  </si>
  <si>
    <t>6297 1697 2174</t>
  </si>
  <si>
    <t>SHIV KUMAR SINGH</t>
  </si>
  <si>
    <t>KUMKUM SINGH</t>
  </si>
  <si>
    <t>B 3 NTPC Township, Vidyut Nagar</t>
  </si>
  <si>
    <t>DAV UNIVERSITY</t>
  </si>
  <si>
    <t>DAV UNIVERSITY JALANDHAR</t>
  </si>
  <si>
    <t>GLOBALFAIR IMPEX INDIA PVT LTD | LOGISTIC INTERN AND WORKED WITH LOGISTIC HEAD FOR THE DEVELOPMENT OF THE LOGISTICS COST CALCULATOR  | BANGALORE | May 2023 | Jul 2023 | 7 Weeks | Campus Internship
NTPC LIMITED | TRAINEE  | DADRI , VIDYUT NAGAR | Jun 2017 | Jul 2017 | 3 Weeks</t>
  </si>
  <si>
    <t>p2270333</t>
  </si>
  <si>
    <t>Harsh Kumar Yadav</t>
  </si>
  <si>
    <t>harshkumaryadav1516@gmail.com</t>
  </si>
  <si>
    <t>p2270333@student.nicmar.ac.in</t>
  </si>
  <si>
    <t>Cricket,Photography,Volleyball,Volunteering</t>
  </si>
  <si>
    <t>7207 5905 9609</t>
  </si>
  <si>
    <t>MR. SUYASH KUMAR YADAV</t>
  </si>
  <si>
    <t>MRS.RAJKUMARI DEVI</t>
  </si>
  <si>
    <t>175A GTB ENCLAVE POCKET F, DILSHAD GARDEN,NEW DELHI-110093</t>
  </si>
  <si>
    <t>MODERN PUBLIC SCHOOL</t>
  </si>
  <si>
    <t>ARUNODAYA PUBLIC SCHOOL</t>
  </si>
  <si>
    <t>ABES ENGINEERING COLLEGE,GHAZIABAD,UTTAR PRADESH</t>
  </si>
  <si>
    <t>MS Office,MS Project,Primavera,Revit,Candy,AutoCAD</t>
  </si>
  <si>
    <t>Shapoorji Pallonji &amp; Company Private Limited | Summer Intern | Jharkhand | May 2023 | Jul 2023 | 8 Weeks | Campus Internship
CENTRE FOR BUILDING SKILLS AND EMPLOYABLITY | Trainee | GHAZIABAD | May 2019 | May 2019 | 4 Weeks</t>
  </si>
  <si>
    <t>p2270334</t>
  </si>
  <si>
    <t>TAMAL</t>
  </si>
  <si>
    <t>Tamal Giri</t>
  </si>
  <si>
    <t>tamal.giri1992@gmail.com</t>
  </si>
  <si>
    <t>p2270334@student.nicmar.ac.in</t>
  </si>
  <si>
    <t>06-May-1992</t>
  </si>
  <si>
    <t>Political News</t>
  </si>
  <si>
    <t>6571 8650 6094</t>
  </si>
  <si>
    <t>SHIUPUJAN GIRI</t>
  </si>
  <si>
    <t>CULTIVATION</t>
  </si>
  <si>
    <t>LATE SHIBANI GIRI</t>
  </si>
  <si>
    <t>NOT APPLICABLE</t>
  </si>
  <si>
    <t>Vill+PO-Onda, Dist.-Bankura, Pin-722144</t>
  </si>
  <si>
    <t>ONDA HIGH SCHOOL</t>
  </si>
  <si>
    <t>BENGAL ENGINEERING AND SCIENCE UNIVERSITY, SHIBPUR</t>
  </si>
  <si>
    <t>BENGAL ENGINEERING AND SCIENCE UNIVERSITY, SHIBPUR, WEST BENGAL</t>
  </si>
  <si>
    <t>2009-Aug</t>
  </si>
  <si>
    <t>M.E.</t>
  </si>
  <si>
    <t>AutoCAD,MS Office,MS Project,Primavera,BIM,Advance Excel</t>
  </si>
  <si>
    <t>Magus Bengal Estates LLP (A subsidiary company of Mani Group) | Site Engineer-Execution | Kolkata | Jul 2013 | Feb 2020 | 6 Years, 7 Months, 5 Days | 6</t>
  </si>
  <si>
    <t>79 month(s)</t>
  </si>
  <si>
    <t>Shapoorji Pallonji Engineering Construction | Summer Intern | Surat, Gujrat | May 2023 | Jul 2023 | 8 Weeks | Campus Internship</t>
  </si>
  <si>
    <t>p2270335</t>
  </si>
  <si>
    <t>MUDLIYAR</t>
  </si>
  <si>
    <t>SHANMUGAM</t>
  </si>
  <si>
    <t>Mudliyar Arvind Shanmugam</t>
  </si>
  <si>
    <t>arvindsmudliyar98@gmail.com</t>
  </si>
  <si>
    <t>p2270335@student.nicmar.ac.in</t>
  </si>
  <si>
    <t>MARATHI, HINDI, TAMIL, ENGLISH</t>
  </si>
  <si>
    <t>6763 5170 6809</t>
  </si>
  <si>
    <t>197, MANGALWAR PETH, PUNE</t>
  </si>
  <si>
    <t>N.M.V HIGH SCHOOL</t>
  </si>
  <si>
    <t>SECONDARY SCHOOL CERTIFICATE (SSC) , PUNE</t>
  </si>
  <si>
    <t>N.M.V JUNIOR COLEGE</t>
  </si>
  <si>
    <t>HIGHER SECONDARY SCHOOL (HSC), PUNE</t>
  </si>
  <si>
    <t>MUTHAYAMMAL ENGINEERING COLLEGE, RASIPURAM</t>
  </si>
  <si>
    <t>SMART INFRA CONSULTANTS | ENGINEERING AND LIAISONING WORK | PUNE | Aug 2020 | Aug 2022 | 2 Years, 0 Months, 9 Days | 2.4</t>
  </si>
  <si>
    <t>Afcons Infrastructure | Execution and Planning | Jamnagar  | May 2023 | Jul 2023 | 7 Weeks | Campus Internship
LARSEN AND TOUBRO | JR SITE ENGINEER | CHENNAI | Feb 2020 | Feb 2020 | 4 Weeks</t>
  </si>
  <si>
    <t>p2270336</t>
  </si>
  <si>
    <t>HITHESH</t>
  </si>
  <si>
    <t>B S</t>
  </si>
  <si>
    <t>Hithesh B S</t>
  </si>
  <si>
    <t>hitheshkumar427@gmail.com</t>
  </si>
  <si>
    <t>p2270336@student.nicmar.ac.in</t>
  </si>
  <si>
    <t>28-Oct-1998</t>
  </si>
  <si>
    <t>English,Hindi,Kannada,Telugu,Tamil.</t>
  </si>
  <si>
    <t>Gardening,Animal caretaker,Sports,Cooking</t>
  </si>
  <si>
    <t>8985 7882 7446</t>
  </si>
  <si>
    <t>SUBRAMANYA K K</t>
  </si>
  <si>
    <t>LOGISTICS MANAGER</t>
  </si>
  <si>
    <t>SUMADEVI N R</t>
  </si>
  <si>
    <t>No 148, 5th Cross B-Block, Anugraha Nilaya, Vishwapriya Nagar, Begur Road.</t>
  </si>
  <si>
    <t>JANAKA VIDYALAYA</t>
  </si>
  <si>
    <t>KARNATAKA SECONDARY EDUCATION EXAMINATION BOARD , BENGALURU, KARNATAKA.</t>
  </si>
  <si>
    <t>VIJAYA BIFURCATED PU COLLEGE</t>
  </si>
  <si>
    <t>T. JOHN INSTITUTE OF TECHNOLOGY, BANGALORE.</t>
  </si>
  <si>
    <t>AutoCAD,MS Office,MS Project,Primavera,BIM,Revit,Candy</t>
  </si>
  <si>
    <t>Direct Dialogue Initiatives | Creating awareness, Skillshare, Fundraising. | Bengaluru | Apr 2022 | Jul 2022 | 0 Years, 3 Months, 14 Days | 2.76
CIVIC INFRAS | All Technical  Activities of Site . | Bengaluru | Apr 2021 | Nov 2021 | 0 Years, 7 Months, 29 Days | 2.34
ASSOCIATED CONSTRUCTIONS | Site Engineer | Bengaluru | Sep 2020 | Mar 2021 | 0 Years, 6 Months, 30 Days | 1.98</t>
  </si>
  <si>
    <t>ASIAN PAINTS | Project Sales Waterproofing | Bengaluru | May 2023 | Jul 2023 | 7 Weeks | Campus Internship
CICONENGINEERSPRIVATELIMITED | PROJECT ENGINEER. | BENGALURU. | Jul 2019 | Aug 2019 | 4 Weeks
TRIFECTA PROJECTS PVT LTD | PROJECT EXECUTION ENGINEER | BENGALURU | Nov 2021 | Jan 2022 | 8 Weeks</t>
  </si>
  <si>
    <t>p2270337</t>
  </si>
  <si>
    <t>RAWAT</t>
  </si>
  <si>
    <t>Abhay Singh Rawat</t>
  </si>
  <si>
    <t>asrkdr@gmail.com</t>
  </si>
  <si>
    <t>p2270337@student.nicmar.ac.in</t>
  </si>
  <si>
    <t>17-Jun-1999</t>
  </si>
  <si>
    <t>Cooking,Travelling,Listening songs</t>
  </si>
  <si>
    <t>8435 9601 8135</t>
  </si>
  <si>
    <t>LATE ANIL RAJ SINGH</t>
  </si>
  <si>
    <t>EX. GOVERNMENT EMPLOYEE</t>
  </si>
  <si>
    <t>PREMDAEE RAWAT</t>
  </si>
  <si>
    <t>BUSSINESS-WOMEN</t>
  </si>
  <si>
    <t>H-3, Survey Estate, Hathibarkala, New Cantt. Road</t>
  </si>
  <si>
    <t>GULMOHAR SOCIETY, BUNGALOW NO. B-9, LANE NUMBER -1, NEAR KARNATAKA BANK, BEHIND D-MART, BANER</t>
  </si>
  <si>
    <t>SHRI GURU RAM RAI PUBLIC SCHOOL, BINDAL, DEHRADUN</t>
  </si>
  <si>
    <t>AutoCAD,MS Office,MS Project,Primavera,AUTODESK REVIT,AUTODESK CIVIL 3D,STAAD PRO,STAAD FOUNDATION,ARC GIS,QGIS,AGISOFT,PIX4DMAPPER,BLUE FIRE MAP ASSIST</t>
  </si>
  <si>
    <t>TOJO InfoTech Pvt. Ltd | Assistant Engineer (GIS)  | Dehradun | Aug 2020 | Feb 2021 | 0 Years, 6 Months, 0 Days | 1.53
Congruex Asia-Pacific LLP | Engineer I | Mohali | Jul 2021 | Aug 2022 | 1 Years, 0 Months, 6 Days | 3.75</t>
  </si>
  <si>
    <t>ANJ Turnkey Projects | Project Management Intern | Delhi NCR | May 2023 | Jul 2023 | 7 Weeks | Campus Internship
OIL AND NATURAL GAS CORPORATION LIMITED | INTERN | DEHRADUN | Jun 2019 | Aug 2019 | 8 Weeks</t>
  </si>
  <si>
    <t>p2270338</t>
  </si>
  <si>
    <t>Anuj Kaushik</t>
  </si>
  <si>
    <t>anujkaushik004@gmail.com</t>
  </si>
  <si>
    <t>p2270338@student.nicmar.ac.in</t>
  </si>
  <si>
    <t>04-Oct-1996</t>
  </si>
  <si>
    <t>â€¢ Listening to Music,â€¢ Cricket</t>
  </si>
  <si>
    <t>6669 1448 2348</t>
  </si>
  <si>
    <t>PRAMOD KUMAR KAUSHIK</t>
  </si>
  <si>
    <t>ANJU KAUSHIK</t>
  </si>
  <si>
    <t>PKD 33 SECOND FLOOR MALIBU TOWN SECTOR 47 GURGAON</t>
  </si>
  <si>
    <t>OUR LADY OF FATIMA CONVENT SCHOOL</t>
  </si>
  <si>
    <t>CBSE HARYANA</t>
  </si>
  <si>
    <t>SALWAN PUBLIC SCHOOL GURGAON</t>
  </si>
  <si>
    <t>THE NORTHCAP UNIVERSITY</t>
  </si>
  <si>
    <t>THE NORTHCAP UNIVERSITY HARYANA</t>
  </si>
  <si>
    <t>AutoCAD,MS Office,MS Project,Primavera,Minitab,candy,autodesk revit,naviswork</t>
  </si>
  <si>
    <t>Consulting Engineers Limited | Survey Engineer (Supervision) | Gurugram | Jul 2019 | Jan 2021 | 1 Years, 6 Months, 12 Days | 4.4
Welspun Enterprises Ltd. | Planning Engineer (Design Co-ordination) | Panipat | Jan 2021 | Apr 2022 | 1 Years, 2 Months, 17 Days | 5.5
Buoyant Industries Pvt Ltd | Engineer-Civil | New Delhi | Jun 2018 | Jul 2019 | 1 Years, 1 Months, 4 Days | 8.2</t>
  </si>
  <si>
    <t>MASIN PROJECTS PRIVATE LIMITED | Contracts | Gurgaon | May 2023 | Jul 2023 | 7 Weeks | Campus Internship
The National Highway Authority Of India | Summer Internship | Gurgaon | May 2016 | Jul 2016 | 8 Weeks
THE NATIONAL HIGHWAY AUTHORITY OF INDIA | INDUSTRIAL/INTERNSHIP TRAINING | GURGAON | Jul 2017 | Jul 2017 | 2 Weeks</t>
  </si>
  <si>
    <t>p2270339</t>
  </si>
  <si>
    <t>SHUBHENDU</t>
  </si>
  <si>
    <t>Shubhendu Gupta</t>
  </si>
  <si>
    <t>usershubhendu@gmail.com</t>
  </si>
  <si>
    <t>p2270339@student.nicmar.ac.in</t>
  </si>
  <si>
    <t>15-Dec-1997</t>
  </si>
  <si>
    <t>Cricket,Cycling,Photography</t>
  </si>
  <si>
    <t>9260 0133 9094</t>
  </si>
  <si>
    <t>BRIJ KISHOR GUPTA</t>
  </si>
  <si>
    <t>GOVT. SERVICE</t>
  </si>
  <si>
    <t>SARITA GUPTA</t>
  </si>
  <si>
    <t>303, Manas Enclave Colony, Indira Nagar, Lucknow</t>
  </si>
  <si>
    <t>G N NATIONAL PUBLIC SCHOOL</t>
  </si>
  <si>
    <t>CENTRAL BOARD OF SECONDARY EDUCATION, GORAKHPUR</t>
  </si>
  <si>
    <t>RATNA MEMORIAL PUBLIC SCHOOL</t>
  </si>
  <si>
    <t>DR. A.P.J. ABDUL KALAM TECHNICAL UNINVERSITY</t>
  </si>
  <si>
    <t>SHRI RAMSWAROOP MEMORIAL COLLEGE OF ENGINEERING AND MANAGEMENT, LUCKNOW</t>
  </si>
  <si>
    <t>AutoCAD,MS Office,MS Project,Primavera,BIM (Revit &amp; Navisworks Manage),Candy,STAAD Pro</t>
  </si>
  <si>
    <t>Transven Consulting Private Limited | Intern-MEP | Mumbai | May 2023 | Jul 2023 | 7 Weeks | Campus Internship
Public Works Department | Summer Trainee | Lucknow | Jun 2018 | Jul 2018 | 4 Weeks
Research Design and Standards Organisation | Summer Trainee | Lucknow | Jun 2019 | Jul 2019 | 3 Weeks</t>
  </si>
  <si>
    <t>p2270340</t>
  </si>
  <si>
    <t>SRI SAI</t>
  </si>
  <si>
    <t>SUMANOHAR</t>
  </si>
  <si>
    <t>BHAMIDIPATI</t>
  </si>
  <si>
    <t>Sri Sai Sumanohar Bhamidipati</t>
  </si>
  <si>
    <t>sumanohar032000@gmail.com</t>
  </si>
  <si>
    <t>p2270340@student.nicmar.ac.in</t>
  </si>
  <si>
    <t>3172 4793 9095</t>
  </si>
  <si>
    <t>VENKATA RAMANA MURTY BHAMIDIPATI</t>
  </si>
  <si>
    <t>DIRECTOR, PROFESSOR</t>
  </si>
  <si>
    <t>V S P RATNAMANI BHAMIDIPATI</t>
  </si>
  <si>
    <t>49-38-15, N.G.G.O'S COLONY, OPP. PORT STADIUM, AKKAYYAPALEM</t>
  </si>
  <si>
    <t>LITTLE ANGELS</t>
  </si>
  <si>
    <t>VISAKHAPATNAM, CBSE</t>
  </si>
  <si>
    <t>SRI KASAYAP</t>
  </si>
  <si>
    <t>J.N.T.U, KAKINADA</t>
  </si>
  <si>
    <t>GAYATRI VIDYA PARISHAD COLLEGE OF ENGINEERING (A)</t>
  </si>
  <si>
    <t>AutoCAD,MS Office,MS Project,CATIA, C, C++</t>
  </si>
  <si>
    <t>L1 SUPPLY NETWORK PTD LTD | BUSINESS DEVELOPMENT  | VISAKHAPATNAM | May 2023 | Jul 2023 | 7 Weeks | Campus Internship
HINDUSTAN SHIPYARD LTD | PROJECT WORK  | GANDHIGRAM, VISHAKAPATNAM  | Mar 2022 | Apr 2022 | 4 Weeks</t>
  </si>
  <si>
    <t>p2270341</t>
  </si>
  <si>
    <t>PREETHAM</t>
  </si>
  <si>
    <t>Preetham R</t>
  </si>
  <si>
    <t>ramakrishnapreetham@gmail.com</t>
  </si>
  <si>
    <t>p2270341@student.nicmar.ac.in</t>
  </si>
  <si>
    <t>5026 0663 2490</t>
  </si>
  <si>
    <t>RAMAKRISHNA R</t>
  </si>
  <si>
    <t>RETIRED GOVERNMENT OFFICIAL</t>
  </si>
  <si>
    <t>#932 Ranganatha Nilaya,chikka Honnenahalli,Near Thanvi Thrisha Kalyanamantapa,Vidyanagar,Hassan, Karanataka</t>
  </si>
  <si>
    <t>J NAVODAYA VIDYALAYA CHARA HEBRI, UDIPI</t>
  </si>
  <si>
    <t>VIDYODAYA PU COLLEGE</t>
  </si>
  <si>
    <t>NITTE MAHALINGA ADYANTHAYA MEMORIAL INSTITUTE OF TECHNOLOGY, NITTE, KARNATAKA</t>
  </si>
  <si>
    <t>AutoCAD,MS Office,MS Project,Primavera,Revit,candy</t>
  </si>
  <si>
    <t>Dynamix Group | Project planning and Coordination | Mumbai | May 2023 | Jul 2023 | 7 Weeks | Campus Internship</t>
  </si>
  <si>
    <t>p2270342</t>
  </si>
  <si>
    <t>Bhupesh</t>
  </si>
  <si>
    <t>Kukreja</t>
  </si>
  <si>
    <t>Hritik Bhupesh Kukreja</t>
  </si>
  <si>
    <t>hkukreja01@gmail.com</t>
  </si>
  <si>
    <t>p2270342@student.nicmar.ac.in</t>
  </si>
  <si>
    <t>Exploring new places,Reading,Badminton</t>
  </si>
  <si>
    <t>9886 6568 3561</t>
  </si>
  <si>
    <t>BHUPESH KUKREJA</t>
  </si>
  <si>
    <t>KAVITA KUKREJA</t>
  </si>
  <si>
    <t>Plot No. 58-59 Kukreja Niwas Near Kamal Matching Centre Arya Samaj Chowk  Jaripatka Nagpur</t>
  </si>
  <si>
    <t>BHARTIYA VIDYA BHAVANS BHAGWANDAS PUROHIT VIDYA MANDIR CIVIL LINES NAGPUR</t>
  </si>
  <si>
    <t>CBSE NAGPUR</t>
  </si>
  <si>
    <t>ANJUMAN POLYTECHNIC NAGPUR</t>
  </si>
  <si>
    <t>MIT ADT PUNE</t>
  </si>
  <si>
    <t>Prestige Estates Projects Ltd. | Site Execution | Bangalore | May 2023 | Jul 2023 | 7 Weeks | Campus Internship
KUKREJA INFRASTRUCTURES | SITE EXECUTION AND MARKETING | NAGPUR | Feb 2022 | Apr 2022 | 12 Weeks</t>
  </si>
  <si>
    <t>p2270343</t>
  </si>
  <si>
    <t>HARSHAD</t>
  </si>
  <si>
    <t>HANUMANT</t>
  </si>
  <si>
    <t>HEDE</t>
  </si>
  <si>
    <t>Harshad Hanumant Hede</t>
  </si>
  <si>
    <t>harshadhede99@gmail.com</t>
  </si>
  <si>
    <t>p2270343@student.nicmar.ac.in</t>
  </si>
  <si>
    <t>9192 2508 3200</t>
  </si>
  <si>
    <t>HANUMANT KRISHNA HEDE</t>
  </si>
  <si>
    <t>SHUBHANGI HANUMANT HEDE</t>
  </si>
  <si>
    <t>Krushnakunj , Avanti Nagar,Barish Road</t>
  </si>
  <si>
    <t>D-607 PANCHAM ,NADED CITY ,SINHGAD ROAD</t>
  </si>
  <si>
    <t>SECONDARY SCHOOL CERTIFICATE - MUMBAI</t>
  </si>
  <si>
    <t>DR.AMBEDKAR COLLEGE</t>
  </si>
  <si>
    <t>DR. VISHWANATH KARAD MIT WORLD PEACE</t>
  </si>
  <si>
    <t>COHERENCE BUILDCON | Site Engineer  | Pune | Jul 2021 | Aug 2022 | 1 Years, 1 Months, 1 Days | 1.8</t>
  </si>
  <si>
    <t>ANJ Turnkey Projects | Project Management Intern  | Bengaluru | May 2023 | Jul 2023 | 7 Weeks | Campus Internship
VILAS JAVDEKAR DEVELOPERS | Site Execution | PUNE  | Jan 2021 | Apr 2021 | 13 Weeks</t>
  </si>
  <si>
    <t>p2270345</t>
  </si>
  <si>
    <t>Aditya Abhay Desai</t>
  </si>
  <si>
    <t>adityadesai141@gmail.com</t>
  </si>
  <si>
    <t>p2270345@student.nicmar.ac.in</t>
  </si>
  <si>
    <t>4526 0167 1525</t>
  </si>
  <si>
    <t>ABHAY LAXMIKANT DESAI</t>
  </si>
  <si>
    <t>ARUNA ABHAY DESAI</t>
  </si>
  <si>
    <t>E-003, Rohan Kritika, Sinhgad Rd, Pune</t>
  </si>
  <si>
    <t>CBSE PUNE</t>
  </si>
  <si>
    <t>MIT POLYTECHNIC, PUNE</t>
  </si>
  <si>
    <t>MIT ART, DESIGN AND TECHNOLOGY, PUNE</t>
  </si>
  <si>
    <t>AutoCAD,MS Office,MS Project,Primavera,CANDY,REVIT,Navisworks</t>
  </si>
  <si>
    <t>PINAKIIN DESIGNS | Project Planner | Kharadi, Pune | May 2023 | Jul 2023 | 7 Weeks | Campus Internship
VEDNIRMITEE ENTERPRISES | JUNIOR CIVIL ENGINEER | KATRAJ, PUNE | Jan 2022 | Apr 2022 | 16 Weeks
PRIVEUS LIFESPACES LLP | INTERN | SHIVAJINAGAR, PUNE | Feb 2021 | May 2021 | 13 Weeks</t>
  </si>
  <si>
    <t>p2270346</t>
  </si>
  <si>
    <t>Rutuja Prakash Thakur</t>
  </si>
  <si>
    <t>rutujat58@gmail.com</t>
  </si>
  <si>
    <t>p2270346@student.nicmar.ac.in</t>
  </si>
  <si>
    <t>23-Jan-1998</t>
  </si>
  <si>
    <t>2574 4094 3247</t>
  </si>
  <si>
    <t>PRAKASH HIRACHAND THAKUR</t>
  </si>
  <si>
    <t>TEJASHREE PRAKASH THAKUR</t>
  </si>
  <si>
    <t>304, Divyakshi Apartment,_x000D_
Chahu Bhiva Patil Marg,_x000D_
Kharegaon, Kalwa.</t>
  </si>
  <si>
    <t>NEW ENGLISH SCHOOL, KALWA, THANE.</t>
  </si>
  <si>
    <t>MAHARASHTRA STATE BOARD OF SECONDARY AND HIGHER SECONDARY EDUCATION, MUMBAI DIVISONAL BOARD</t>
  </si>
  <si>
    <t>RAMNARAIN RUIA COLLEGE OF SCIENCE AND ARTS, MUMBAI.</t>
  </si>
  <si>
    <t>AutoCAD,MS Office,MS Project,Primavera,STAAD PRO,CANDY,ERP - FARVISION</t>
  </si>
  <si>
    <t>Runwal Developers | Planning Co-ordination and Monitoring, Procurement &amp; Tendering | Mumbai | Feb 2020 | Aug 2022 | 2 Years, 5 Months, 14 Days | 3.32</t>
  </si>
  <si>
    <t>SUNTECK REALTY | EPC Contracts | Mumbai | May 2023 | Jul 2023 | 7 Weeks | Campus Internship
WATERFIELD TECHNOLOGIES PRIVATE LIMITED | JR. ENGINEER | THANE | Dec 2018 | Jan 2019 | 4 Weeks</t>
  </si>
  <si>
    <t>p2270347</t>
  </si>
  <si>
    <t>MD SAQUIB</t>
  </si>
  <si>
    <t>AKHTER</t>
  </si>
  <si>
    <t>Md Saquib Akhter</t>
  </si>
  <si>
    <t>saquibakhter4@gmail.com</t>
  </si>
  <si>
    <t>p2270347@student.nicmar.ac.in</t>
  </si>
  <si>
    <t>04-May-2001</t>
  </si>
  <si>
    <t>English, Hindi, Urdu</t>
  </si>
  <si>
    <t>Sports,Travelling,Singing</t>
  </si>
  <si>
    <t>3256 4628 9084</t>
  </si>
  <si>
    <t>MD SHAKIL AKHTER</t>
  </si>
  <si>
    <t>SHABNAM PERWEEN</t>
  </si>
  <si>
    <t>H. NO 69, Rahmat Ganj, B. Polytechnic</t>
  </si>
  <si>
    <t>ROOM NO. 1125, ULTIMA HOSTEL, NICMAR UNIVERSITY, NIA POST OFFICE, BALEWADI ROAD</t>
  </si>
  <si>
    <t>ST XAVIER'S INTERNATIONAL SCHOOL,DHANBAD</t>
  </si>
  <si>
    <t>CENTRAL BOARD OF SECONDARY EDUCATION; DELHI</t>
  </si>
  <si>
    <t>JAMIA MILLIA ISLAMIA, NEW DELHI</t>
  </si>
  <si>
    <t>GURU GOBIND SINGH INDRAPRASTHA UNIVERSITY, DELHI</t>
  </si>
  <si>
    <t>DR. AKHILESH DAS GUPTA INSTITUTE OF TECHNOLOGY &amp; MANAGEMENT (FORMERLY NIEC)</t>
  </si>
  <si>
    <t>AutoCAD,MS Office,MS Project,Primavera,Primavera Risk Analysis,Deltek Acumen Fuse,Autodesk Revit,Autodesk Navisworks</t>
  </si>
  <si>
    <t>RELIANCE INDUSTRIES RPMG | Project Controls &amp; Cost Estimation Intern | Navi Mumbai | May 2023 | Jul 2023 | 8 Weeks | Campus Internship
CHARTERED ENGINEER | Valuation Intern | DHANBAD | Aug 2021 | Sep 2021 | 4 Weeks
EAST CENTRAL ZONE OF INDIAN RAILWAYS DHANBAD DIVISION | Diploma Engineer Intern | DHANBAD | Jun 2018 | Jul 2018 | 3 Weeks</t>
  </si>
  <si>
    <t>p2270348</t>
  </si>
  <si>
    <t>HARSHITA</t>
  </si>
  <si>
    <t>GOURKAR</t>
  </si>
  <si>
    <t>Harshita Kishor Gourkar</t>
  </si>
  <si>
    <t>harshitagourkar2111@gmail.com</t>
  </si>
  <si>
    <t>p2270348@student.nicmar.ac.in</t>
  </si>
  <si>
    <t>21-Nov-1997</t>
  </si>
  <si>
    <t>Sketching,Model making,Badminton,Yoga &amp; meditation,Listening to music</t>
  </si>
  <si>
    <t>9407 4628 4277</t>
  </si>
  <si>
    <t>KISHOR GOURKAR</t>
  </si>
  <si>
    <t>PRITI GOURKAR</t>
  </si>
  <si>
    <t>Plot No. 220, Kalamna Road, Near Lata Mangeshkar Garden, Surya Nagar</t>
  </si>
  <si>
    <t>VIDYA NIKETAN, NAGPUR</t>
  </si>
  <si>
    <t>VRAJLAL MANILAL VASANT COMMERCE, JAYDEOSHANKAR MANISHANKAR THAKAR ARTS &amp; JASHBHAI JIJIBHAI PATEL SCIENCE COLLEGE, NAGPUR</t>
  </si>
  <si>
    <t>SHRI DATTA MEGHE COLLEGE OF ARCHITECTURE, NAGPUR</t>
  </si>
  <si>
    <t>AutoCAD,MS Office,MS Project,Primavera,Sketchup + Vray,Lumion,Autodesk Revit,Autodesk Naviswork</t>
  </si>
  <si>
    <t>Aarch Studio | Architect | Nagpur | Feb 2021 | Jul 2022 | 1 Years, 5 Months, 30 Days | 1.2</t>
  </si>
  <si>
    <t>Godrej Properties Limited | Operations | Manjari, Pune | May 2023 | Jul 2023 | 7 Weeks | Campus Internship
K C ASSOCIATES | Architectural Intern | NAGPUR | May 2019 | Sep 2019 | 19 Weeks
DESIGN WITH GURU | ARCHITECTURAL INTERN | NAGPUR | Dec 2018 | Apr 2019 | 19 Weeks</t>
  </si>
  <si>
    <t>p2270349</t>
  </si>
  <si>
    <t>BASU</t>
  </si>
  <si>
    <t>Sneha Basu</t>
  </si>
  <si>
    <t>sneha.official521@gmail.com</t>
  </si>
  <si>
    <t>p2270349@student.nicmar.ac.in</t>
  </si>
  <si>
    <t>05-Sep-1997</t>
  </si>
  <si>
    <t>Social Work,Reading Novels,Swimming,Portrait Painting,Greenery enthusiast</t>
  </si>
  <si>
    <t>4661 0055 5429</t>
  </si>
  <si>
    <t>INDRANIL BASU</t>
  </si>
  <si>
    <t>NAMRATA BASU</t>
  </si>
  <si>
    <t>3C, Triveni Tower, Alok Vihar, Ghorabandha, Jamshedpur</t>
  </si>
  <si>
    <t>LITTLE FLOWER SCHOOL</t>
  </si>
  <si>
    <t>INDIAN CERTIFICATE OF SECONDARY EDUCATION, JAMSHEDPUR, JHARKHAND</t>
  </si>
  <si>
    <t>VIDYA BHARTI CHINMAYA VIDYALAYA</t>
  </si>
  <si>
    <t>AutoCAD,MS Office,MS Project,Primavera,BEXEL Manager,REVIT,Navisworks,Highrise ERP</t>
  </si>
  <si>
    <t>Think and Learn Pvt. Ltd. | CLIENT SUCCESS SPECIALIST | Banglore | Sep 2020 | Aug 2022 | 1 Years, 10 Months, 24 Days | 6.5</t>
  </si>
  <si>
    <t>CIRIL | REAL ESTATE ADVISORY | Work from home  | May 2023 | Jul 2023 | 7 Weeks | Campus Internship
JAMSHEDPUR UTILITIES AND SERVICES COMPANY LIMITED | SITE TRAINEE ENGINEER | JAMSHEDPUR | Jun 2018 | Jun 2018 | 2 Weeks</t>
  </si>
  <si>
    <t>p2270350</t>
  </si>
  <si>
    <t>H M</t>
  </si>
  <si>
    <t>Santhosh H M</t>
  </si>
  <si>
    <t>santhoshhmohan@gmail.com</t>
  </si>
  <si>
    <t>p2270350@student.nicmar.ac.in</t>
  </si>
  <si>
    <t>08-Dec-1998</t>
  </si>
  <si>
    <t>Theatre,Sports,Small business</t>
  </si>
  <si>
    <t>4314 0445 5360</t>
  </si>
  <si>
    <t>MOHAN H B</t>
  </si>
  <si>
    <t>DHAKSHAYANI R C</t>
  </si>
  <si>
    <t>#219, KALLU MATHA STREET, HALEBEEDU, BELUR TALUK, HASSAN DISTRICT</t>
  </si>
  <si>
    <t>76, NEAR RV KALYANA MANTAPA, SALAGAME ROAD, DASARAKOPPALU, HASSAN</t>
  </si>
  <si>
    <t>B.E.A HIGH SCHOOL</t>
  </si>
  <si>
    <t>SIR M V P U COLLEGE</t>
  </si>
  <si>
    <t>B M S COLLEGE OF ENGINEERING, BENGALURU</t>
  </si>
  <si>
    <t>AutoCAD,MS Office,MS Project,Primavera,ETABS</t>
  </si>
  <si>
    <t>Scorpions Architects | Site execution | Hassan, Karnataka | Jan 2021 | Oct 2021 | 0 Years, 9 Months, 30 Days | 1.2
The Surmount Enterprises Pvt. Ltd,. | Site execution | Bengaluru | Nov 2021 | Apr 2022 | 0 Years, 5 Months, 18 Days | 2.16</t>
  </si>
  <si>
    <t>PIDILITE INDUSTRIES | Business Development | Bengaluru | May 2023 | Jul 2023 | 7 Weeks | Campus Internship
SIMPLEX INFRASTRUCTURE LIMITED | Site execution | RAJAJINAGAR, BENGALURU | Jul 2019 | Aug 2019 | 4 Weeks</t>
  </si>
  <si>
    <t>p2270351</t>
  </si>
  <si>
    <t>Prachi Patil</t>
  </si>
  <si>
    <t>prachikpatil@hotmail.com</t>
  </si>
  <si>
    <t>p2270351@student.nicmar.ac.in</t>
  </si>
  <si>
    <t>13-Aug-1997</t>
  </si>
  <si>
    <t>TREKKING,CANVAS AND WALL PAINTING,CALLIGRAPHY</t>
  </si>
  <si>
    <t>7788 1506 8024</t>
  </si>
  <si>
    <t>B 16 Apeejay CHS Plot No 58 Sector 17 Vashi</t>
  </si>
  <si>
    <t>ST. PHILOMENA CONVENT HIGH SCHOOL</t>
  </si>
  <si>
    <t>R.N.C ARTS , J.D B COMMERCE &amp; N.S.C SCIENCE  COLLEGE NASIK ROAD</t>
  </si>
  <si>
    <t>S P P U ( PUNE UNIVERSITY )</t>
  </si>
  <si>
    <t>S.B PATIL COLLEGE OF ARCHITECTURE AND DESIGN</t>
  </si>
  <si>
    <t>AutoCAD,MS Office,MS Project,Primavera,Sketchup,Photoshop,Corel Draw,Revit,Lumion,VRay</t>
  </si>
  <si>
    <t>ANJ Turnkey Projects Pvt Ltd | Project Coordinator | Navi Mumbai | May 2023 | Jul 2023 | 7 Weeks | Campus Internship
ARCHITECT HAFEEZ CONTRACTOR | REACH 2 &amp; 3 OF MAHA METRO PUNE | PUNE | Jun 2019 | Dec 2020 | 77 Weeks</t>
  </si>
  <si>
    <t>p2270352</t>
  </si>
  <si>
    <t>SUPRAJA</t>
  </si>
  <si>
    <t>Supraja M</t>
  </si>
  <si>
    <t>suprajaseptember@gmail.com</t>
  </si>
  <si>
    <t>p2270352@student.nicmar.ac.in</t>
  </si>
  <si>
    <t>14-Sep-1999</t>
  </si>
  <si>
    <t>Reading Novels,Music - Singing</t>
  </si>
  <si>
    <t>4435 5513 3263</t>
  </si>
  <si>
    <t>MADHUSUDHANAN M</t>
  </si>
  <si>
    <t>PUBLIC SECTOR EMPLOYEE</t>
  </si>
  <si>
    <t>RAMA K</t>
  </si>
  <si>
    <t>D 79/3, KUMARAR STREET, ALAGAPPAN NAGAR, MADURAI</t>
  </si>
  <si>
    <t>TVS MATRICULATION HIGHER SECONDARY SCHOOL</t>
  </si>
  <si>
    <t>STATE BOARD OF SCHOOL EXAMINATIONS (SEC.), TAMILNADU</t>
  </si>
  <si>
    <t>STATE BOARD OF SCHOOL EXAMINATIONS (HR. SEC.), TAMILNADU</t>
  </si>
  <si>
    <t>MEPCO SCHLENK ENGINEERING COLLEGE, SIVAKASI, TAMILNADU</t>
  </si>
  <si>
    <t>L and T  Realty | Contracts And Procurement | Powai, Mumbai | May 2023 | Jul 2023 | 7 Weeks | Campus Internship</t>
  </si>
  <si>
    <t>p2270353</t>
  </si>
  <si>
    <t>ARNAB</t>
  </si>
  <si>
    <t>CHOUDHURY</t>
  </si>
  <si>
    <t>Arnab Choudhury</t>
  </si>
  <si>
    <t>arnabrnj005@gmail.com</t>
  </si>
  <si>
    <t>p2270353@student.nicmar.ac.in</t>
  </si>
  <si>
    <t>05-Jun-1997</t>
  </si>
  <si>
    <t>English,Bengali,Hindi</t>
  </si>
  <si>
    <t>Trekking,Photography,Travelling</t>
  </si>
  <si>
    <t>9825 5996 0678</t>
  </si>
  <si>
    <t>APURBA CHOUDHURY</t>
  </si>
  <si>
    <t>GITA CHOUDHURY</t>
  </si>
  <si>
    <t>Vill-Debinagar , P.S-Raiganj, Dist- Uttar Dinajpur, State-West Bengal,Pin-733134</t>
  </si>
  <si>
    <t>Uttar Dinajpur</t>
  </si>
  <si>
    <t>RAIGANJ CORONATION HIGH SCHOOL</t>
  </si>
  <si>
    <t>JIS COLLEGE OF ENGINEERING, KALYANI, WEST BENGAL</t>
  </si>
  <si>
    <t>M/s. Roy &amp; Das Construction | Execution | Malda , West Bengal, India | Oct 2019 | Jul 2022 | 2 Years, 9 Months, 26 Days | 1.08</t>
  </si>
  <si>
    <t>L and T  Realty | Execution | Kolkata | May 2023 | Jul 2023 | 7 Weeks | Campus Internship
PUBLIC WORKS DIRECTORATE WEST BENGAL | BUDDY UP WITH SITE ENGINEERS FOR KEY LEARNINGS | RAIGANJ SUB DIVISION NUMBER 1 | Jun 2018 | Jul 2018 | 4 Weeks
BRIDGE AND ROOF CO INDIA LTD | BUDDY UP WITH SITE ENGINEERS FOR KEY LEARNINGS | JADAVPUR UNIVERSITY CAMPUS CIVIL SITE, KOLKATA | Jan 2018 | Feb 2018 | 4 Weeks</t>
  </si>
  <si>
    <t>p2270354</t>
  </si>
  <si>
    <t>AMBALIKA</t>
  </si>
  <si>
    <t>Ambalika G</t>
  </si>
  <si>
    <t>ambalikagupta96@gmail.com</t>
  </si>
  <si>
    <t>p2270354@student.nicmar.ac.in</t>
  </si>
  <si>
    <t>25-Jun-1996</t>
  </si>
  <si>
    <t>Public Speaking,Craft and Model making,Swimming,Yoga and Physical Fitness</t>
  </si>
  <si>
    <t>2986 4277 7295</t>
  </si>
  <si>
    <t>MR. SUBODH KUMAR GUPTA</t>
  </si>
  <si>
    <t>RETIRED ARCHAEOLOGIST</t>
  </si>
  <si>
    <t>MRS. SUNITA GUPTA</t>
  </si>
  <si>
    <t>Flat No. 208, A-block, Arcade Elegance, Divya Unnathi Layout, Babusapalya</t>
  </si>
  <si>
    <t>DR. D RAM D.A.V PUBLIC SCHOOL</t>
  </si>
  <si>
    <t>ST KAREN'S SECONDARY SCHOOL</t>
  </si>
  <si>
    <t>AutoCAD,MS Office,MS Project,Primavera,Revit,Lumion,3D SketchUp,Adobe Photoshop,Video Editing (Flimora)</t>
  </si>
  <si>
    <t>4site architects | Architect | Bangalore | Nov 2020 | Oct 2021 | 0 Years, 11 Months, 3 Days | 2.52
Earthitects | Project Architect | Bangalore | Dec 2021 | Jul 2022 | 0 Years, 7 Months, 17 Days | 3.12
Supuran Constructions pvt. ltd. | Planner Trainee | Patna | Mar 2020 | Oct 2020 | 0 Years, 6 Months, 29 Days | 2.94</t>
  </si>
  <si>
    <t>SAVILLS PROPERTY SERVICES | Project Management Intern | BANGALORE | May 2023 | Jul 2023 | 7 Weeks | Campus Internship
JAPCON ARCHITECTS | Intern | BANGALORE | May 2019 | Nov 2019 | 26 Weeks</t>
  </si>
  <si>
    <t>p2270355</t>
  </si>
  <si>
    <t>KAHAN</t>
  </si>
  <si>
    <t>KETANKUMAR</t>
  </si>
  <si>
    <t>Kahan Ketankumar Patel</t>
  </si>
  <si>
    <t>kahanroopani@gmail.com</t>
  </si>
  <si>
    <t>p2270355@student.nicmar.ac.in</t>
  </si>
  <si>
    <t>27-Apr-2001</t>
  </si>
  <si>
    <t>English, Hindi &amp; Gujarati</t>
  </si>
  <si>
    <t>Equestrian Sports,Badminton,Chess</t>
  </si>
  <si>
    <t>6994 1586 2969</t>
  </si>
  <si>
    <t>KETANKUMAR PATEL</t>
  </si>
  <si>
    <t>BEENABEN PATEL</t>
  </si>
  <si>
    <t>10, Devrajnagar-1, Ring Road, Bhavnagar</t>
  </si>
  <si>
    <t>THE K.P.E.S. ENGLISH SCHOOL</t>
  </si>
  <si>
    <t>GUJARAT SECONDARY &amp; HIGHER SECONDARY EDUCATION BOARD, GANDHINAGAR, GUJARAT</t>
  </si>
  <si>
    <t>INDUS UNIVERSITY</t>
  </si>
  <si>
    <t>INDUS UNIVERSITY, AHMEDABAD, GUJARAT</t>
  </si>
  <si>
    <t>AutoCAD,MS Office,MS Project,Primavera,Site Execution,Quantity Surveying,Estimation,Project Management</t>
  </si>
  <si>
    <t>Yooshin Engineering Corporation | Project Intern | Mumbai | May 2023 | Jul 2023 | 7 Weeks | Campus Internship
SHREE RAM BUILDERS | ENGINEER | AHMEDABAD, GUJARAT | Jun 2019 | Jul 2019 | 4 Weeks
PRADEEP RATHOD AND ASSOCIATES | ENGINEER | BHAVNAGAR, GUJARAT | Jun 2020 | Jun 2020 | 4 Weeks
A V SHIHORA | ENGINEER | BURHHANPUR, MADHYA PRADESH | Jun 2021 | Jul 2021 | 4 Weeks</t>
  </si>
  <si>
    <t>p2270356</t>
  </si>
  <si>
    <t>CHIKARA</t>
  </si>
  <si>
    <t>Shivam Chikara</t>
  </si>
  <si>
    <t>shivam.chikara100@gmail.com</t>
  </si>
  <si>
    <t>p2270356@student.nicmar.ac.in</t>
  </si>
  <si>
    <t>13-Nov-1997</t>
  </si>
  <si>
    <t>Yoga,Chess</t>
  </si>
  <si>
    <t>4039 4846 5391</t>
  </si>
  <si>
    <t>YASHWANT SINGH</t>
  </si>
  <si>
    <t>RITA SINGH</t>
  </si>
  <si>
    <t>Dwarikesh Nagar,Bundki,Bijnor</t>
  </si>
  <si>
    <t>R R MORARKA PUBLIC SCHOOL</t>
  </si>
  <si>
    <t>BIJNOR</t>
  </si>
  <si>
    <t>GRAPHIC ERA DEEMED TO BE UNIVERSITY,DEHRADUN</t>
  </si>
  <si>
    <t>TRILOKESH CONSTRUCTION | Site Engineer | Bijnor | Jun 2020 | Dec 2021 | 1 Years, 5 Months, 22 Days | 1.8</t>
  </si>
  <si>
    <t>Highway Construction Company | Planning Engineer | Prayagraj , Uttarpradesh | May 2023 | Jul 2023 | 6 Weeks | Campus Internship
DWARIKESH SUGAR INDUSTRIES LIMITED | SITE ENGINEER | BIJNOR,UTTARPRADESH | Jun 2019 | Jul 2019 | 6 Weeks</t>
  </si>
  <si>
    <t>p2270357</t>
  </si>
  <si>
    <t>NANDIGAM</t>
  </si>
  <si>
    <t>MAHINDRA</t>
  </si>
  <si>
    <t>Nandigam Mahindra</t>
  </si>
  <si>
    <t>mahindrapatnaik9911@gmail.com</t>
  </si>
  <si>
    <t>p2270357@student.nicmar.ac.in</t>
  </si>
  <si>
    <t>28-Mar-1999</t>
  </si>
  <si>
    <t>Swimming,Badminton,Travelling</t>
  </si>
  <si>
    <t>9912 5706 7411</t>
  </si>
  <si>
    <t>NANDIGAM VENKATA RAMANA</t>
  </si>
  <si>
    <t>IR MANAGER</t>
  </si>
  <si>
    <t>NANDIGAM PARVATHI</t>
  </si>
  <si>
    <t>D.NO-102-9-55/G2, BOMMURU._x000D_
NETAJI NAGAR 1ST STREET.</t>
  </si>
  <si>
    <t>DR KKRS GOWTHAM SCHOOL</t>
  </si>
  <si>
    <t>ADITYA ENGINEERING COLLEGE</t>
  </si>
  <si>
    <t>ADITYA COLLEGE OF ENGINEERING AND TECHNOLOGY RAJAMAHENDRAVARAM</t>
  </si>
  <si>
    <t>ARUPRIYA FACILITY MANAGEMENT PVT LTD | PLANNING &amp; CLIENT BILLING | NEW DELHI AIRPORT | Jul 2021 | Aug 2022 | 1 Years, 0 Months, 19 Days | 2.64</t>
  </si>
  <si>
    <t>Larsen &amp; Toubro Limited | Site Execution | Bharuch | May 2023 | Jul 2023 | 7 Weeks | Campus Internship</t>
  </si>
  <si>
    <t>p2270358</t>
  </si>
  <si>
    <t>SHIRSATH</t>
  </si>
  <si>
    <t>BHAGWAN PRATIBHA</t>
  </si>
  <si>
    <t>Shirsath Nilesh Bhagwan Pratibha</t>
  </si>
  <si>
    <t>nshirsath72@gmail.com</t>
  </si>
  <si>
    <t>p2270358@student.nicmar.ac.in</t>
  </si>
  <si>
    <t>01-Mar-1997</t>
  </si>
  <si>
    <t>cycling,trekking,reading</t>
  </si>
  <si>
    <t>6217 5295 8221</t>
  </si>
  <si>
    <t>BHAGWAN</t>
  </si>
  <si>
    <t>Flat 304 Vinayak Co-operative Hou. Society, Beside Bajaj Showroom, Shantinagar Ulhasanagar-3</t>
  </si>
  <si>
    <t>A.V.M HIGH SCHOOL</t>
  </si>
  <si>
    <t>R.K.TALREJA JUNIOR COLLEGE</t>
  </si>
  <si>
    <t>AutoCAD,MS Office,MS Project,Primavera,MSEXCEL</t>
  </si>
  <si>
    <t>PUSHPAK RAIL CONSTRUCTION PRIVATE LIMITED | CIVIL ENGINEER | kalyan,mumbai | Nov 2019 | Dec 2021 | 2 Years, 1 Months, 18 Days | 1.44</t>
  </si>
  <si>
    <t>MYK ARMENT PVT LTD | PROJECT SALES INTERN | MUMBAI | May 2023 | Jul 2023 | 7 Weeks | Campus Internship</t>
  </si>
  <si>
    <t>p2270359</t>
  </si>
  <si>
    <t>SHIVSAMB</t>
  </si>
  <si>
    <t>AGRE</t>
  </si>
  <si>
    <t>Harsha Shivsamb Agre</t>
  </si>
  <si>
    <t>harshaagre2000@gmail.com</t>
  </si>
  <si>
    <t>p2270359@student.nicmar.ac.in</t>
  </si>
  <si>
    <t>English,Hindi,Marathi,Telgu,Kanada</t>
  </si>
  <si>
    <t>2921 9967 9486</t>
  </si>
  <si>
    <t>TEACHER(GOVT)</t>
  </si>
  <si>
    <t>At Post Gojegav Tq Mukhed Dist Nanded</t>
  </si>
  <si>
    <t>PUNE, NIGDI , SHIVARKAR CHOWK</t>
  </si>
  <si>
    <t>SADHNA HIGHSCHOOL , DEGLOOR</t>
  </si>
  <si>
    <t>MAHARASHTRA STATE BOARD LATUR, MAHARASHTRA</t>
  </si>
  <si>
    <t>SHRI CHAITANAYA  INSTITUTE</t>
  </si>
  <si>
    <t>MAHARASHTRA INSTITUTE OF  TECHNOLOGY, AURANGABAD</t>
  </si>
  <si>
    <t>AutoCAD,MS Office,MS Project,Primavera,3D MAX</t>
  </si>
  <si>
    <t>CBRE South Asia Pvt Ltd | Planning and procurement  | Aurangabad  | May 2023 | Jul 2023 | 7 Weeks | Campus Internship
ASHTAVINAYAK DEVELOPERS | TRAINEE | DEGLOOR | Mar 2022 | Aug 2022 | 25 Weeks</t>
  </si>
  <si>
    <t>p2270360</t>
  </si>
  <si>
    <t>RAJA SEKHAR</t>
  </si>
  <si>
    <t>KARANAM</t>
  </si>
  <si>
    <t>Raja Sekhar Karanam</t>
  </si>
  <si>
    <t>rajasekharkaranam424@gmail.com</t>
  </si>
  <si>
    <t>p2270360@student.nicmar.ac.in</t>
  </si>
  <si>
    <t>19-Mar-1996</t>
  </si>
  <si>
    <t>6454 2946 9199</t>
  </si>
  <si>
    <t>MADHAVA RAO</t>
  </si>
  <si>
    <t>LAKSHMI</t>
  </si>
  <si>
    <t>H-no 4-191/140_x000D_
Sri Siddhi Vinayaka Colony Nizampet Village,nizampet</t>
  </si>
  <si>
    <t>SRI CHAITHANYA JR. KALASALA</t>
  </si>
  <si>
    <t>JAWAHARLAL TECHNOLOGICAL UNIVERSITY HYDERABAD</t>
  </si>
  <si>
    <t>CMR TECHNICAL CAMPUS</t>
  </si>
  <si>
    <t>Prestige Estates Pvt Ltd | Planning and Monitoring Intern | MUMBAI | May 2023 | Jul 2023 | 7 Weeks | Campus Internship
SKYY RIDER INSTITUTIONS IN ASSOCIATION WITH ULTRATECH | INDUSTRIAL TRAINEE | VIRTUAL | Jan 2021 | Feb 2021 | 2 Weeks
SJ CONSTRUCTIONS &amp; DEVELOPERS | Graduate Engineer Trainee | Hyderabad | May 2021 | Jul 2022 | 63 Weeks</t>
  </si>
  <si>
    <t>p2270361</t>
  </si>
  <si>
    <t>VEERABHADRA</t>
  </si>
  <si>
    <t>Veerabhadra Teja Reddy</t>
  </si>
  <si>
    <t>tejareddyvb@gmail.com</t>
  </si>
  <si>
    <t>p2270361@student.nicmar.ac.in</t>
  </si>
  <si>
    <t>14-Jun-2001</t>
  </si>
  <si>
    <t>english and telugu</t>
  </si>
  <si>
    <t>4386 8154 0202</t>
  </si>
  <si>
    <t>VEERABHADRA SUDHAKAR REDDY</t>
  </si>
  <si>
    <t>INSPECTOR OF POLICE</t>
  </si>
  <si>
    <t>VEERABHADRA LAVANYA</t>
  </si>
  <si>
    <t>Flat No 301 Fourth Floor V.s.r Elite Apartment Maguntalayout Nellore</t>
  </si>
  <si>
    <t>NARAYANA E-TECHNO SCHOOL</t>
  </si>
  <si>
    <t>NELLORE/ANDHRA PRADESH</t>
  </si>
  <si>
    <t>VIT VELLORE</t>
  </si>
  <si>
    <t>VELLORE INSTITUTE TECHNOLOGY / TAMIL NADU</t>
  </si>
  <si>
    <t>VSL India Pvt Ltd | planning | navi mumbai | May 2023 | Jul 2023 | 7 Weeks | Campus Internship</t>
  </si>
  <si>
    <t>p2270362</t>
  </si>
  <si>
    <t>DEVBRAT</t>
  </si>
  <si>
    <t>Devbrat Singh</t>
  </si>
  <si>
    <t>singhdevbrat32@gmail.com</t>
  </si>
  <si>
    <t>p2270362@student.nicmar.ac.in</t>
  </si>
  <si>
    <t>11-Sep-1989</t>
  </si>
  <si>
    <t>Singing</t>
  </si>
  <si>
    <t>6000 7865 7696</t>
  </si>
  <si>
    <t>LATE SHRI VINOD GAUTAM</t>
  </si>
  <si>
    <t>SMT. JYOTI SINGH</t>
  </si>
  <si>
    <t>T-2, 713, Rudra Sangam Apartment, Jhunsi, Prayagraj</t>
  </si>
  <si>
    <t>FLAT NO. 1104, CB-2, SUPERTECH CAPETOWN, SECTOR 74, NOIDA</t>
  </si>
  <si>
    <t>JAGAT TARAN GOLDEN JUBILEE SCHOOL</t>
  </si>
  <si>
    <t>CENTRAL BOARD OF SECONDRY EDUCATION PRAYAGRAJ</t>
  </si>
  <si>
    <t>2006-Apr</t>
  </si>
  <si>
    <t>GAUTAM BUDDH TECHNICAL UNIVERSITY</t>
  </si>
  <si>
    <t>B.B.S COLLEGE OF ENGINEERING AND TECHNOLOGY, PRAYAGARAJ</t>
  </si>
  <si>
    <t>MS Office,MS Project,Primavera,Revit,Navisworks</t>
  </si>
  <si>
    <t>GOVIND BALLABH PANT SOCIAL SCIENCE INSTITUTE | Junior Office Assistant | PRAYAGRAJ | Jun 2016 | Nov 2021 | 5 Years, 4 Months, 17 Days | 4</t>
  </si>
  <si>
    <t>64 month(s)</t>
  </si>
  <si>
    <t>Highway Construction Company | Planning Engineer (intern) | Prayagraj | May 2023 | Jul 2023 | 6 Weeks | Campus Internship
MATGAJENDRANATH CONSTRUCTION | TRAINEE | CHITRAKOOT | Jun 2010 | Jul 2010 | 4 Weeks</t>
  </si>
  <si>
    <t>p2270363</t>
  </si>
  <si>
    <t>VISHVANATH</t>
  </si>
  <si>
    <t>MHATRE</t>
  </si>
  <si>
    <t>Aditya Vishvanath Mhatre</t>
  </si>
  <si>
    <t>adityamh38@gmail.com</t>
  </si>
  <si>
    <t>p2270363@student.nicmar.ac.in</t>
  </si>
  <si>
    <t>7577 0217 4371</t>
  </si>
  <si>
    <t>VISHVANATH SHANKAR MHATRE</t>
  </si>
  <si>
    <t>REKHA VISHVANATH MHATRE</t>
  </si>
  <si>
    <t>FLAT NO.1, B-WING, SUNRISE CHS_x000D_
PLOT NO.125-A/3, SHIVAJI ROAD, LINE ALI,_x000D_
NEAR NADKARNI HOSP, OLD PANVEL, PANVEL, RAIGAD, MAHARASHTRA</t>
  </si>
  <si>
    <t>DAYANAND ANGLO VEDIC PUBLIC SCHOOL, NEW PANVEL</t>
  </si>
  <si>
    <t>RIZVI COLLEGE OF ENGINEERING, BANDRA(W)</t>
  </si>
  <si>
    <t>AutoCAD,MS Office,MS Project,Primavera,STAAD.PRO</t>
  </si>
  <si>
    <t>Osource Global Private Limited | Quality Incharge | Thane/Mumbai | Nov 2021 | Jun 2022 | 0 Years, 7 Months, 15 Days | 3.24</t>
  </si>
  <si>
    <t>ASIAN PAINTS | Summer Intern | Surat | May 2023 | Jul 2023 | 7 Weeks | Campus Internship</t>
  </si>
  <si>
    <t>p2270364</t>
  </si>
  <si>
    <t>Sachin Kishor Shelar</t>
  </si>
  <si>
    <t>skshelar@hotmail.com</t>
  </si>
  <si>
    <t>p2270364@student.nicmar.ac.in</t>
  </si>
  <si>
    <t>29-Apr-2000</t>
  </si>
  <si>
    <t>5217 4593 4220</t>
  </si>
  <si>
    <t>KISHOR SHELAR</t>
  </si>
  <si>
    <t>LATA</t>
  </si>
  <si>
    <t>31, Laxmi Nagar, Abhay Collage Road, Behind Market Yard, Dhule</t>
  </si>
  <si>
    <t>KSK NEW CITY HIGHSCHOOL, DHULE, MAHARASHTRA</t>
  </si>
  <si>
    <t>MAHARASHTRA STATE BOARD OF SECONDARY AND HIGHER SECONDARY, PUNE, MAHARASHTRA</t>
  </si>
  <si>
    <t>GURU GOBIND SINGH POLYTECHNIC, NASHIK, MAHARASHTRA</t>
  </si>
  <si>
    <t>DR. BABASAHEB AMBEDKAR TECHNOLOGICAL UNIVERSITY, LONERE-RAIGAD, MAHARASHTRA</t>
  </si>
  <si>
    <t>SHRI VILE PARLE KELWANI MANDAL'S INSTITUTE OF TECHNOLOGY, DHULE, MAHARASHTRA</t>
  </si>
  <si>
    <t>Jogeshwari Construction | Site Execution | Dhule | Aug 2021 | Aug 2022 | 0 Years, 11 Months, 27 Days | 1.8</t>
  </si>
  <si>
    <t>INDIAN HUME PIPE | Intern Trainee  | Mumbai  | May 2023 | Jul 2023 | 8 Weeks | Campus Internship
CANON DESIGNS | Intern | NASHIK | May 2018 | Aug 2018 | 14 Weeks</t>
  </si>
  <si>
    <t>p2270365</t>
  </si>
  <si>
    <t>Anand Kumar Singh</t>
  </si>
  <si>
    <t>anandsingh964197@gamil.com</t>
  </si>
  <si>
    <t>p2270365@student.nicmar.ac.in</t>
  </si>
  <si>
    <t>10-Jan-1996</t>
  </si>
  <si>
    <t>HINDI,ENGLISH,BENGALI</t>
  </si>
  <si>
    <t>Yoga,Travel</t>
  </si>
  <si>
    <t>8001 0710 5129</t>
  </si>
  <si>
    <t>SHIV NARAYAN SINGH</t>
  </si>
  <si>
    <t>EX-ARMY</t>
  </si>
  <si>
    <t>ANITA SINGH</t>
  </si>
  <si>
    <t>HOME  MANAGER</t>
  </si>
  <si>
    <t>SILIGURI, GURUNG BASTY, PO-CHAMPASARI, DIS-DARJEELING.</t>
  </si>
  <si>
    <t>Alipurduar</t>
  </si>
  <si>
    <t>NICMAR NEW HOSTEL, NIA POST OFFICE, 25/1, BALEWADI RD, RAM NAGAR, BANER</t>
  </si>
  <si>
    <t>SILIGURI DESHBANDHU HINDI HIGH SCHOOL</t>
  </si>
  <si>
    <t>WEST BENGAL BOARD OF SECONDARY EDUCATION, (WB)</t>
  </si>
  <si>
    <t>SHRI KRUSHNARAO PANDAV POLYTECHNIC, NAGPUR</t>
  </si>
  <si>
    <t>RKDF UNIVERSITY</t>
  </si>
  <si>
    <t>SRI SATYA SAI COLLEGE OF ENGINEERING, BHOPAL</t>
  </si>
  <si>
    <t>M/S MOHAN CONSTRUCTION CO. | Site Engineer | DELHI | Jul 2019 | Aug 2022 | 3 Years, 0 Months, 25 Days | 1.98</t>
  </si>
  <si>
    <t>SINGHANIA BUILDCON | PLANNING ENGINEER(INTERN) | RAIPUR  | May 2023 | Jul 2023 | 7 Weeks | Campus Internship</t>
  </si>
  <si>
    <t>p2270366</t>
  </si>
  <si>
    <t>SHRISHAILYA</t>
  </si>
  <si>
    <t>KOLE</t>
  </si>
  <si>
    <t>Shrishailya Vijay Kole</t>
  </si>
  <si>
    <t>shrikole07@gmail.com</t>
  </si>
  <si>
    <t>p2270366@student.nicmar.ac.in</t>
  </si>
  <si>
    <t>13-Jun-2000</t>
  </si>
  <si>
    <t>Football,Photography,Reading</t>
  </si>
  <si>
    <t>9428 5528 1348</t>
  </si>
  <si>
    <t>VIJAY MAHADEV KOLE</t>
  </si>
  <si>
    <t>SNEHAL VIJAY KOLE</t>
  </si>
  <si>
    <t>Plot No.4, Desai Nagar, RK Nagar, Kolhapur</t>
  </si>
  <si>
    <t>VITA HIGHSCHOOL, VITA</t>
  </si>
  <si>
    <t>BALWANT COLLEGE, VITA</t>
  </si>
  <si>
    <t>Mehta Jaising Builders LLP | Trainee Engineer | Mumbai | May 2023 | Jul 2023 | 7 Weeks | Campus Internship
VARAD DEVELOPERS | Site Engineer | KOLHAPUR | Nov 2021 | Apr 2022 | 23 Weeks
PANCAD CONSTRUCTION | Site Engineer | Kolhapur | Nov 2020 | Feb 2021 | 14 Weeks</t>
  </si>
  <si>
    <t>p2270367</t>
  </si>
  <si>
    <t>VICKY</t>
  </si>
  <si>
    <t>Vicky Patil</t>
  </si>
  <si>
    <t>vickyptl1994@gmail.com</t>
  </si>
  <si>
    <t>p2270367@student.nicmar.ac.in</t>
  </si>
  <si>
    <t>01-Jul-1994</t>
  </si>
  <si>
    <t>cooking,swimming,Playing Volleyball</t>
  </si>
  <si>
    <t>6389 9956 4890</t>
  </si>
  <si>
    <t>G D PATIL</t>
  </si>
  <si>
    <t>RETIRED RAILWAY EMPLOYEE</t>
  </si>
  <si>
    <t>RATNAMALA PATIL</t>
  </si>
  <si>
    <t>House No 163, Sector-B, Patel Nagar, Raisen Road, Opposite Oriental Institute Of Science And Technology, BHOPAL</t>
  </si>
  <si>
    <t>HEMA HIGHER SECONDARY SCHOOL</t>
  </si>
  <si>
    <t>BOARD OF SECONDARY EDUCATION MADHYA PRADESH BHOPAL</t>
  </si>
  <si>
    <t>CENTRAL BOARD OF SECONDARY EDUCATION BHOPAL</t>
  </si>
  <si>
    <t>SAGAR INSTITUTE OF SCIENCE AND TECHNOLOGY BHOPAL</t>
  </si>
  <si>
    <t>AutoCAD,MS Office,MS Project,Primavera,Revit,Naviswork,Staad Pro,Diploma in Computer Application</t>
  </si>
  <si>
    <t>L.N.MALVIYA INFRA PROJECTS PVT. LTD | Field Engineer			 | HARDA MADHYA PRADESH | Mar 2021 | Jul 2022 | 1 Years, 4 Months, 9 Days | 3
M/s Asha Construction | Assistant Site Engineer			 | BHOPAL | Dec 2017 | Dec 2019 | 2 Years, 0 Months, 5 Days | 1.8
Shree Mangalam Buildcon (I) Pvt. Ltd. | Site Engineer			 | Vidisha | Dec 2019 | Feb 2021 | 1 Years, 1 Months, 16 Days | 2.4</t>
  </si>
  <si>
    <t>Highway Construction Company | Planning Engineer | Prayagraj | May 2023 | Jul 2023 | 6 Weeks | Campus Internship
BHOPAL MUNICIPAL CORPORATION ENGINEERING DEPARTMENT | INTERN  | BHOPAL | Jun 2015 | Jul 2015 | 4 Weeks</t>
  </si>
  <si>
    <t>p2270368</t>
  </si>
  <si>
    <t>DIVRANIYA</t>
  </si>
  <si>
    <t>NEBHABHAI</t>
  </si>
  <si>
    <t>Divraniya Abhay Nebhabhai</t>
  </si>
  <si>
    <t>abhayn5171@gmail.com</t>
  </si>
  <si>
    <t>p2270368@student.nicmar.ac.in</t>
  </si>
  <si>
    <t>18-Dec-1999</t>
  </si>
  <si>
    <t>Reading Books,Acquiring knowledge of new things,Listening music</t>
  </si>
  <si>
    <t>6280 2373 9975</t>
  </si>
  <si>
    <t>NEBHABHAI S DIVRANIYA</t>
  </si>
  <si>
    <t>BHINIBEN N DIVRANIYA</t>
  </si>
  <si>
    <t>201 Shantikunj App, Aktapan Street, Zanzarda Road, Junagadh 362001</t>
  </si>
  <si>
    <t>Junagadh</t>
  </si>
  <si>
    <t>PARTH ACADEMY</t>
  </si>
  <si>
    <t>GUJARAT SECOUNDARY &amp; HIGHER SECOUNDARY EDUCATION BOARD, GANDHINAGAR</t>
  </si>
  <si>
    <t>BALAJI INSTITUTE OF ENGINEERING &amp; TECHNOLOGY, JUNAGADH 362001</t>
  </si>
  <si>
    <t>PANDIT DEENDAYAL ENERGY UNIVERSITY, FORMERLY PANDIT DEENDAYAL PETROLEUM UNIVERSITY</t>
  </si>
  <si>
    <t>PANDIT DEENDAYAL ENERGY UNIVERSITY, FORMERLY PANDIT DEENDAYAL PETROLEUM UNIVERSITY, GANDHINAGAR</t>
  </si>
  <si>
    <t>AutoCAD,MS Office,MS Project,Primavera,Advance Excel,Quantity surveying of various structures,BIM,Synchro 4D,Site Engineering,PowerBI for Construction Projects</t>
  </si>
  <si>
    <t>PACIFICA  COMPANIES | Management Intern, Site execution | Ahmedabad | May 2023 | Jul 2023 | 7 Weeks | Campus Internship
SVRUP ASSOCIATES | Intern, Site Engineer  | JUNAGADH 362001, GUJARAT  | May 2021 | Apr 2022 | 52 Weeks
KSIPL | Summer Internship, Site Execution  | JUNAGADH 362001, GUJARAT  | Jan 2021 | Apr 2021 | 10 Weeks</t>
  </si>
  <si>
    <t>p2270369</t>
  </si>
  <si>
    <t>UPENDRA</t>
  </si>
  <si>
    <t>Patil Himanshu Upendra</t>
  </si>
  <si>
    <t>patilhimanshuu010@gmail.com</t>
  </si>
  <si>
    <t>p2270369@student.nicmar.ac.in</t>
  </si>
  <si>
    <t>10-May-2000</t>
  </si>
  <si>
    <t>Spirituality,Adventurer,Motorcycle Riding,Music,Running</t>
  </si>
  <si>
    <t>6950 1796 0770</t>
  </si>
  <si>
    <t>UPENDRA VINAYAKRAO PATIL</t>
  </si>
  <si>
    <t>ALKA UPENDRA PATIL</t>
  </si>
  <si>
    <t>PLOT NO 79 SP MALI NAGAR, KARWAND NAKA SHIRPUR, DHULE, MAHARASHTRA</t>
  </si>
  <si>
    <t>OXFORD ENGLISH HIGH SCHOOL</t>
  </si>
  <si>
    <t>RAJKUNWAR MADHYAMIK &amp; UCCHA MADHYAMIK VIDYALAYA, HIVRA (RALA) TAL. BADNAPUR, DIST. JALNA</t>
  </si>
  <si>
    <t>R. C. PATEL INSTITUTE OF TECHNOLOGY, SHIRPUR, DHULE</t>
  </si>
  <si>
    <t>AutoCAD,MS Office,MS Project,Primavera,Revit,Analytical skills,Interpreting GFC Drawings</t>
  </si>
  <si>
    <t>Pinnacle Sand, Mumbai. | Strategic &amp; Business Development Intern   | Mumbai | May 2023 | Jul 2023 | 7 Weeks | Campus Internship
SHREE SACHCHIYAY BUILDERS AND DEVELOPERS | JR. SITE ENGINEER | DHULE | Feb 2022 | Aug 2022 | 25 Weeks</t>
  </si>
  <si>
    <t>p2270370</t>
  </si>
  <si>
    <t>KARANPREET</t>
  </si>
  <si>
    <t>Karanpreet Arora</t>
  </si>
  <si>
    <t>karanarora1032@gmail.com</t>
  </si>
  <si>
    <t>p2270370@student.nicmar.ac.in</t>
  </si>
  <si>
    <t>English , Hindi , Punjabi</t>
  </si>
  <si>
    <t>Professional badminton,Nutrition planning,Reading current affairs,Reading geographical maps</t>
  </si>
  <si>
    <t>3648 4568 5833</t>
  </si>
  <si>
    <t>SWARAN SINGH ARORA</t>
  </si>
  <si>
    <t>VINEET KAUR ARORA</t>
  </si>
  <si>
    <t>House No. 189 , Opposite Karnataka Bank , Station Road , Durg.</t>
  </si>
  <si>
    <t>DELHI PUBLIC SCHOOL, DURG</t>
  </si>
  <si>
    <t>AutoCAD,MS Office,MS Project,CONCRETE TECHNOLOGY, SITE EXECUTION, QUANTITY SURVEYING, PLANNING AND CONTROL, PROCUREMENT AND TENDERING.</t>
  </si>
  <si>
    <t>CBRE South Asia Pvt Ltd | Construction management intern | Pune | May 2023 | Jul 2023 | 7 Weeks | Campus Internship
MANIPAL UNIVERSITY JAIPUR | RESEARCH STUDENT, MATERIAL TESTING, LITERATURE READING, PAPER WRITING  | JAIPUR  | Aug 2018 | May 2019 | 40 Weeks
LARSEN AND TOUBRO CONSTRUCTIONS | INTERN , EXECUTION  | BHILAI | Mar 2022 | May 2022 | 8 Weeks</t>
  </si>
  <si>
    <t>p2270371</t>
  </si>
  <si>
    <t>Viraj Vikas Jagtap</t>
  </si>
  <si>
    <t>virajjagtap047@gmail.com</t>
  </si>
  <si>
    <t>p2270371@student.nicmar.ac.in</t>
  </si>
  <si>
    <t>21-Jun-2000</t>
  </si>
  <si>
    <t>English Hindi marathi</t>
  </si>
  <si>
    <t>Trekking,Meditation,Exercises</t>
  </si>
  <si>
    <t>8147 3099 3476</t>
  </si>
  <si>
    <t>VIKAS JAGTAP</t>
  </si>
  <si>
    <t>AARTI JAGTAP</t>
  </si>
  <si>
    <t>Sr.no -36/18b, Sai Vitthal Apartment, Flat No -19, Vanrai Colony, Dhankawadi Pune-411043</t>
  </si>
  <si>
    <t>PRERNA MADHYAMIC VIDHYALAY</t>
  </si>
  <si>
    <t>SARHAD COLLEGE OF ARTS, COMMERCE AND SCIENCE</t>
  </si>
  <si>
    <t>BHARATI VIDYAPEETH JAWAHARLAL NEHRU INSTITUTE OF TECHNOLOGY</t>
  </si>
  <si>
    <t>SINGHAD INSTITUTE OF TECHNOLOGY AND SCIENCE</t>
  </si>
  <si>
    <t>Afcons Infrastructure ltd. | Planning, Contracts, Execution  | Dahej , Gujarat, India. | May 2023 | Jul 2023 | 7 Weeks | Campus Internship
BHAME INFINITY | JR.SITE ENGINEER  | PUNE | Feb 2021 | Sep 2021 | 34 Weeks</t>
  </si>
  <si>
    <t>p2270372</t>
  </si>
  <si>
    <t>JAYNAM</t>
  </si>
  <si>
    <t>MAHAVIRBHAI</t>
  </si>
  <si>
    <t>Jaynam Mahavirbhai Mehta</t>
  </si>
  <si>
    <t>jaynammehta32@gmail.com</t>
  </si>
  <si>
    <t>p2270372@student.nicmar.ac.in</t>
  </si>
  <si>
    <t>22-Sep-1999</t>
  </si>
  <si>
    <t>Football,Cricket,Travelling</t>
  </si>
  <si>
    <t>9369 3810 2410</t>
  </si>
  <si>
    <t>MAHAVIRBHAI  MEHTA</t>
  </si>
  <si>
    <t>VIBHUTIBEN MEHTA</t>
  </si>
  <si>
    <t>402, Vasant Vihar A, M.G. Road, Bilimora</t>
  </si>
  <si>
    <t>B.S. PATEL PRIMARY SCHOOL, GANDEVI, NAVSARI, GUJARAT</t>
  </si>
  <si>
    <t>SARDAR VALLABHBHAI PATEL INSTITUTE OF TECHNOLOGY, VASAD</t>
  </si>
  <si>
    <t>AutoCAD,MS Office,MS Project,Primavera,Project Management,Site Execution,Quantity Surveying,Estimation</t>
  </si>
  <si>
    <t>Tulsi Creatorss | Junior Engineer  | Valsad | Jul 2021 | Aug 2022 | 1 Years, 1 Months, 1 Days | 1.68</t>
  </si>
  <si>
    <t>ANJ Turnkey Projects | Project Management Intern | Mumbai | May 2023 | Jul 2023 | 7 Weeks | Campus Internship
M S ENTERPRISE | JUNIOR ENGINEER (INTERN)  | BILIMORA | Dec 2020 | Jan 2021 | 4 Weeks</t>
  </si>
  <si>
    <t>p2270373</t>
  </si>
  <si>
    <t>HRUTIK</t>
  </si>
  <si>
    <t>DEORE</t>
  </si>
  <si>
    <t>Hrutik Sanjay Deore</t>
  </si>
  <si>
    <t>deores121@gmail.com</t>
  </si>
  <si>
    <t>p2270373@student.nicmar.ac.in</t>
  </si>
  <si>
    <t>15-Apr-2000</t>
  </si>
  <si>
    <t>3624 0292 8530</t>
  </si>
  <si>
    <t>SANJAY PANDIT DEORE</t>
  </si>
  <si>
    <t>KALPANA SANJAY DEORE</t>
  </si>
  <si>
    <t>Auronodya Colony,soyagaon,malegaon</t>
  </si>
  <si>
    <t>L.V.H ACADEMY</t>
  </si>
  <si>
    <t>MAHARASHTRA  STATE BOARD OF SECONDARY AND HIGHER SECONDARY EDUCATION,MALEGAON,MAHARASHTRA</t>
  </si>
  <si>
    <t>M.S.G COLLEGE OF SCIENCE AND COMMERCE</t>
  </si>
  <si>
    <t>N.D.M.V.P COLLEGE OF ENGINEERING,NASHIK ,MAHARASHTRA</t>
  </si>
  <si>
    <t>AutoCAD,MS Office,MS Project,GREEN BUILDING CREDITS KNOWLEDGE,SWAP,GENERATIVE A.I,AI AND ML,PYTHON,FUSION 360,WEBSITE DEVELOPEMENT,FINCH3D</t>
  </si>
  <si>
    <t>Prestige Estates Pvt Ltd | Execution and planning | mulund,mumbai | May 2023 | Jul 2023 | 7 Weeks | Campus Internship
PROJECT ON EFFICACY OF BACTERIAL CONCRETE WITH CONVENTIONAL CONCRETE | TEAM LEADER  | NASHIK | Jun 2021 | Feb 2022 | 35 Weeks
JOHN HOLAND | INTERN | VIRTUAL  | Aug 2021 | Dec 2021 | 18 Weeks</t>
  </si>
  <si>
    <t>p2270374</t>
  </si>
  <si>
    <t>CHUNDURU</t>
  </si>
  <si>
    <t>VENKATA SUMEDHA</t>
  </si>
  <si>
    <t>VISHNU VARDHAN</t>
  </si>
  <si>
    <t>Chunduru Venkata Sumedha Vishnu Vardhan</t>
  </si>
  <si>
    <t>vishnuchunduru9@gmail.com</t>
  </si>
  <si>
    <t>p2270374@student.nicmar.ac.in</t>
  </si>
  <si>
    <t>15-Jul-2000</t>
  </si>
  <si>
    <t>English,Telugu,Hindi,Tamil</t>
  </si>
  <si>
    <t>Badminton,Swimming,Travelling</t>
  </si>
  <si>
    <t>7825 0297 8150</t>
  </si>
  <si>
    <t>CH SUDARSAN</t>
  </si>
  <si>
    <t>CH VISHNU PRIYA</t>
  </si>
  <si>
    <t>D.no-2/259,near Rama Krishna Library,chunduru Vari Street,nawabpeta_x000D_
Nellore 2</t>
  </si>
  <si>
    <t>GOWTHAM HIGH SCHOOL</t>
  </si>
  <si>
    <t>BOARD OF SECONDARY EDUCATION GUDIVADA/ANDHRA PRADESH</t>
  </si>
  <si>
    <t>SRI GUDIBANDI SOMIREDDY JUNIOR COLLEGE</t>
  </si>
  <si>
    <t>R.M.K ENGINEERING COLLEGE CHENNAI/TAMILNADU</t>
  </si>
  <si>
    <t>Prestige Estates Pvt Ltd | Site Execution and control | Hyderabad | May 2023 | Jul 2023 | 7 Weeks | Campus Internship
MAVEN INFRA CONSULTANTS PVT LTD | TRANIEE | HYDERABAD | Aug 2021 | Aug 2021 | 1 Weeks</t>
  </si>
  <si>
    <t>p2270375</t>
  </si>
  <si>
    <t>SRIMATHI</t>
  </si>
  <si>
    <t>C Srimathi</t>
  </si>
  <si>
    <t>sri.matty0116@gmail.com</t>
  </si>
  <si>
    <t>p2270375@student.nicmar.ac.in</t>
  </si>
  <si>
    <t>01-May-2000</t>
  </si>
  <si>
    <t>English, Tamil, Malayalam</t>
  </si>
  <si>
    <t>Mandala art,Cycling,Travelling,Designing</t>
  </si>
  <si>
    <t>3985 8280 7898</t>
  </si>
  <si>
    <t>K CHANDRASEKARAN</t>
  </si>
  <si>
    <t>C SELVI</t>
  </si>
  <si>
    <t>No 6/11, Vedha Nagar Medu, 1st Cross Street, Near Chinmaya Vidyalaya School, Virugambambakkam</t>
  </si>
  <si>
    <t>VANI VIDYALAYA</t>
  </si>
  <si>
    <t>CBSE CHENNAI</t>
  </si>
  <si>
    <t>VELAMMAL MATRIC HR SEC SCHOOL</t>
  </si>
  <si>
    <t>STATE CHENNAI</t>
  </si>
  <si>
    <t>RAJALAKSHMI ENGINEERING COLLEGE</t>
  </si>
  <si>
    <t>Godrej Properties | Operational Intern | Pune | May 2023 | Jul 2023 | 7 Weeks | Campus Internship
EJJ CONSTRUCTIONS | INTERN | RAMANATHAPURAM | Oct 2021 | Oct 2021 | 1 Weeks</t>
  </si>
  <si>
    <t>p2270376</t>
  </si>
  <si>
    <t>VISISHTA</t>
  </si>
  <si>
    <t>BOBBILI</t>
  </si>
  <si>
    <t>Krishna Visishta Bobbili</t>
  </si>
  <si>
    <t>krishnavisishtabobbili@gmail.com</t>
  </si>
  <si>
    <t>p2270376@student.nicmar.ac.in</t>
  </si>
  <si>
    <t>3287 7976 1981</t>
  </si>
  <si>
    <t>BOBBILI VENKATESWARA RAO</t>
  </si>
  <si>
    <t>BONAM SETHU LAKSHMI</t>
  </si>
  <si>
    <t>SENIOR POSTAL ASSISTANT</t>
  </si>
  <si>
    <t>14-37-5/2, Flat No.2-3, Lekhavihar Apartments, Beside LIC Office, Ramaraopeta, Tadepalligudem, West Godavari Distrcit, Andhra Pradesh, Pincode-534101.</t>
  </si>
  <si>
    <t>SRI CHAITANYA ENGLISH MEDIUM SCHOOL, TANUKU</t>
  </si>
  <si>
    <t>BOARD OF SECONDARY EDUCATION, ANDHRA PRADESH, INDIA</t>
  </si>
  <si>
    <t>SRI CHAITANYA JUNIOR KALASALA, GUDAVALLI, VIJAYAWADA.</t>
  </si>
  <si>
    <t>SAGI RAMAKRISHNAM RAJU ENGINEERING COLLEGE, BHIMAVARAM.</t>
  </si>
  <si>
    <t>AutoCAD,MS Office,MS Project,Primavera,RIVET</t>
  </si>
  <si>
    <t>ANJ Turnkey Projects | Planning  | Hyderabad  | May 2023 | Jul 2023 | 7 Weeks | Campus Internship</t>
  </si>
  <si>
    <t>p2270377</t>
  </si>
  <si>
    <t>P.</t>
  </si>
  <si>
    <t>Shashank P. Mehta</t>
  </si>
  <si>
    <t>mehtashashank789@gmail.com</t>
  </si>
  <si>
    <t>p2270377@student.nicmar.ac.in</t>
  </si>
  <si>
    <t>Travelling,Drawing &amp; Sketch,Listening Music,Sports,Cooking</t>
  </si>
  <si>
    <t>8321 3364 3016</t>
  </si>
  <si>
    <t>PANKAJ RATILAL MEHTA</t>
  </si>
  <si>
    <t>DEPUTY HR MANAGER</t>
  </si>
  <si>
    <t>KAVITA PANKAJBHAI MEHTA</t>
  </si>
  <si>
    <t>105,Alfa Society_x000D_
Near HDFC Bank_x000D_
Link Road</t>
  </si>
  <si>
    <t>221, ULTIMA HOSTEL, NICMAR UNIVERSITY,PUNE</t>
  </si>
  <si>
    <t>BHARUCH CITY, GUJARAT</t>
  </si>
  <si>
    <t>SHREE SWAMINARAYAN GOODWILL SCHOOL</t>
  </si>
  <si>
    <t>CHAROTAR UNIVERSITY OF SCIENCE AND TECHNOLOGY</t>
  </si>
  <si>
    <t>CHARUSAT , NADIAD GUJARAT</t>
  </si>
  <si>
    <t>AutoCAD,MS Office,MS Project,Primavera,CANDY,Revit,NavisWORKS,BEXEL Manager</t>
  </si>
  <si>
    <t>BANGALORE METRO RAIL CORPORATION LIMITED | Planning &amp; Site Execution | BANGALORE  | May 2023 | Jun 2023 | 3 Weeks | Campus Internship
RONAK BUILDWELL PVT LTD | Site Execution | DAHEJ , BHARUCH , GUJARAT | Dec 2021 | Apr 2022 | 15 Weeks</t>
  </si>
  <si>
    <t>p2270379</t>
  </si>
  <si>
    <t>RAHIL</t>
  </si>
  <si>
    <t>BEG</t>
  </si>
  <si>
    <t>Rahil Beg</t>
  </si>
  <si>
    <t>rahilbeig@gmail.com</t>
  </si>
  <si>
    <t>p2270379@student.nicmar.ac.in</t>
  </si>
  <si>
    <t>08-Apr-1998</t>
  </si>
  <si>
    <t>Playing guitar,Singing,Calisthenics</t>
  </si>
  <si>
    <t>7089 1087 5117</t>
  </si>
  <si>
    <t>MIRZA KALEEM BEG</t>
  </si>
  <si>
    <t>SCIENTIST</t>
  </si>
  <si>
    <t>FIROZI BEG</t>
  </si>
  <si>
    <t>A8, MAITRI VIHAR</t>
  </si>
  <si>
    <t>INDIAN CERTIFICATE OF SECONDARY EDUCATION, RAIPUR/CHHATTISGARH</t>
  </si>
  <si>
    <t>RYAN INTERNATIONAL SCHOOL</t>
  </si>
  <si>
    <t>CENTRAL BOARD  OF SECONDARY EDUCATION,CBSE, RAIPUR</t>
  </si>
  <si>
    <t>CHHATTISGARH SWAMI VIVEKANANDA TECHNICAL UNIVERSITY</t>
  </si>
  <si>
    <t>SHRI SHANKARACHARYA INSTITUTE OF PROFESSIONAL MANAGEMENT AND TECHNOLOGY RAIPUR/CHHATTISGARH</t>
  </si>
  <si>
    <t>AutoCAD,MS Office,MS Project,Primavera,Revit,Staad Pro v8i</t>
  </si>
  <si>
    <t>RELIANCE INDUSTRIES RPMG | Project Controls  | Jamnagar | May 2023 | Jul 2023 | 8 Weeks | Campus Internship
RURAL ENGINEERING SERVICES DEPARTMENT | Civil engineering intern  | RAIPUR | Jul 2019 | Aug 2019 | 4 Weeks
RURAL ENGINEERING SERVICES DEPARTMENT | Site execution  | RAIPUR | Jul 2018 | Jul 2018 | 2 Weeks</t>
  </si>
  <si>
    <t>p2270380</t>
  </si>
  <si>
    <t>Naman Goyal</t>
  </si>
  <si>
    <t>namangoyal3010@gmail.com</t>
  </si>
  <si>
    <t>p2270380@student.nicmar.ac.in</t>
  </si>
  <si>
    <t>7116 9387 2447</t>
  </si>
  <si>
    <t>ASHOK KUMAR GOYAL</t>
  </si>
  <si>
    <t>SAVITA GOYAL</t>
  </si>
  <si>
    <t>A-114 Pramila Plaza Chauhan Piyau, Thatipur Morar Gwalior</t>
  </si>
  <si>
    <t>ST. PAUL'S SCHOOL</t>
  </si>
  <si>
    <t>SHIKHA CONVENT PUBLIC SCHOOL</t>
  </si>
  <si>
    <t>BOARD OF SECONDARY EDUCATION MADHYA PRADESH, BHOPAL</t>
  </si>
  <si>
    <t>AMITY UNIVERSITY MADHYA PRADESH</t>
  </si>
  <si>
    <t>AMITY UNIVERSITY GWALIOR MADHYA PRADESH</t>
  </si>
  <si>
    <t>Prestige Estates Pvt Ltd | Site Execution and Control | Mumbai | May 2023 | Jul 2023 | 7 Weeks | Campus Internship
ARTEFACT PROJECT LIMITED | TRAINEE ENGINEER | NAGPUR  | Jun 2021 | Jul 2021 | 5 Weeks</t>
  </si>
  <si>
    <t>p2270381</t>
  </si>
  <si>
    <t>BHATTACHARJEE</t>
  </si>
  <si>
    <t>Soham Bhattacharjee</t>
  </si>
  <si>
    <t>soh12bhatt@gmail.com</t>
  </si>
  <si>
    <t>p2270381@student.nicmar.ac.in</t>
  </si>
  <si>
    <t>09-Sep-1998</t>
  </si>
  <si>
    <t>English, Hindi, Bengali.</t>
  </si>
  <si>
    <t>8360 5360 0926</t>
  </si>
  <si>
    <t>SAMIT BHATTACHARYA</t>
  </si>
  <si>
    <t>MAHASWETA CHAKRABORTY</t>
  </si>
  <si>
    <t>Ramnagar Road No 4, Near Shishu Mahal School, Agartala, Tripura (W)</t>
  </si>
  <si>
    <t>West Tripura</t>
  </si>
  <si>
    <t>Tripura</t>
  </si>
  <si>
    <t>HINDI HIGHER SECONDARY SCHOOL</t>
  </si>
  <si>
    <t>AGARTALA, TRIPURA.</t>
  </si>
  <si>
    <t>DIPLOMA</t>
  </si>
  <si>
    <t>NORTH TRIPURA DISTRICT POLYTECHNIC</t>
  </si>
  <si>
    <t>ADAMAS UNIVERSITY</t>
  </si>
  <si>
    <t>ADAMAS UNIVERSITY, BARASAT, WEST BENGAL</t>
  </si>
  <si>
    <t>SINGHANIA BUILDCON | PROJECT PLANNING | RAIPUR, CHATTISGARH | May 2023 | Jul 2023 | 7 Weeks | Campus Internship</t>
  </si>
  <si>
    <t>p2270382</t>
  </si>
  <si>
    <t>DATTA</t>
  </si>
  <si>
    <t>Sourav Datta</t>
  </si>
  <si>
    <t>souravdatta1997@gmail.com</t>
  </si>
  <si>
    <t>p2270382@student.nicmar.ac.in</t>
  </si>
  <si>
    <t>01-Nov-1997</t>
  </si>
  <si>
    <t>ENGLISH, BENGALI AND HINDI</t>
  </si>
  <si>
    <t>Watching movies,Listening to music,Driving</t>
  </si>
  <si>
    <t>5900 9391 2332</t>
  </si>
  <si>
    <t>SAURINDRA MOHAN DATTA</t>
  </si>
  <si>
    <t>RETIRED CENTRAL GOVT OFFICER</t>
  </si>
  <si>
    <t>RATNABALI DATTA</t>
  </si>
  <si>
    <t>32/1 South End Park 2nd Floor</t>
  </si>
  <si>
    <t>SOUTH POINT HIGH SCHOOL</t>
  </si>
  <si>
    <t>WEST BENGAL BOARD OF SECONDARY EDUCATION KOLKATA WEST BENGAL</t>
  </si>
  <si>
    <t>HERITAGE INSTITUTE OF TECHNOLOGY KOLKATA WEST BENGAL</t>
  </si>
  <si>
    <t>AMS PROJECT CONSULTANTS PVT LTD | PLANNING INTERN | PUNE | May 2023 | Jul 2023 | 7 Weeks | Campus Internship
L AND T CONSTRUCTION | PLANNING,EXECUTION | DELHI | Jun 2019 | Jul 2019 | 4 Weeks</t>
  </si>
  <si>
    <t>p2270383</t>
  </si>
  <si>
    <t>Sameer Sanjay Kadam</t>
  </si>
  <si>
    <t>kadamsameer06@gmail.com</t>
  </si>
  <si>
    <t>p2270383@student.nicmar.ac.in</t>
  </si>
  <si>
    <t>08-Sep-1999</t>
  </si>
  <si>
    <t>Exercising,Reading,Driving</t>
  </si>
  <si>
    <t>8530 2137 2556</t>
  </si>
  <si>
    <t>MEERA KADAM</t>
  </si>
  <si>
    <t>L-10, C-204, Monoview CHS., Pratiksha Nagar, Sion, Mumbai</t>
  </si>
  <si>
    <t>IES DIGAMBAR PATKAR VIDYALAYA</t>
  </si>
  <si>
    <t>MUMBAI JUNIOR COLLEGE OF ARTS, COMMERCE AND SCIENCE, MUMBAI, MAHARASHTRA</t>
  </si>
  <si>
    <t>SARASWATI COLLEGE OF ENGINEERING, KHARGHAR, NAVI MUMBAI, MAHARASHTRA</t>
  </si>
  <si>
    <t>AutoCAD,MS Office,MS Project,Primavera,Bar Bending Schedule,Quantity Estimation</t>
  </si>
  <si>
    <t>SUNTECK REALTY LTD. | EPC - EXECUTION | MUMBAI | May 2023 | Jul 2023 | 7 Weeks | Campus Internship
B G SHIRKE CONSTRUCTION TECHNOLOGY PVT LTD | SITE EXECUTION AND MONITORING | MUMBAI | Dec 2019 | Dec 2019 | 4 Weeks</t>
  </si>
  <si>
    <t>p2270384</t>
  </si>
  <si>
    <t>GARIMA</t>
  </si>
  <si>
    <t>PATIDAR</t>
  </si>
  <si>
    <t>Garima Patidar</t>
  </si>
  <si>
    <t>garima.patidar0@gmail.com</t>
  </si>
  <si>
    <t>p2270384@student.nicmar.ac.in</t>
  </si>
  <si>
    <t>Photography,Natural Building,Fine arts,Craft work,Digital arts,Designing,Baking,Badminton</t>
  </si>
  <si>
    <t>2438 8758 5364</t>
  </si>
  <si>
    <t>SANJAY PATIDAR</t>
  </si>
  <si>
    <t>ROOPALI PATIDAR</t>
  </si>
  <si>
    <t>BEAUTICIAN</t>
  </si>
  <si>
    <t>165/C, Preconco Colony, Opp. Annie Besant School, Annapurna Road, Indore</t>
  </si>
  <si>
    <t>QUEENS' COLLEGE, INDORE</t>
  </si>
  <si>
    <t>RAJIV GANDHI PROUDYOGIKI VISHWAVIDHYALAYA, BHOPAL</t>
  </si>
  <si>
    <t>S. D. P. S. COLLEGE OF ARCHITECTURE, INDORE</t>
  </si>
  <si>
    <t>AutoCAD,MS Office,MS Project,Primavera,DESIGN SOFTWARES</t>
  </si>
  <si>
    <t>Artham Architects | Architect | Ahmedabad | Feb 2020 | Jul 2021 | 1 Years, 5 Months, 30 Days | 1.8</t>
  </si>
  <si>
    <t>Livio Building System | Pre-Construction Trainee | Pune | May 2023 | Jul 2023 | 7 Weeks | Campus Internship
AAKAR ARCHI ARCHITECTS | DESIGN, SITE SUPERVISION, ASSISTING SUPERIORS, PRESENTATIONS | INDORE | Feb 2019 | Mar 2019 | 8 Weeks</t>
  </si>
  <si>
    <t>p2270385</t>
  </si>
  <si>
    <t>VISHAKH</t>
  </si>
  <si>
    <t>MATHEWS</t>
  </si>
  <si>
    <t>Vishakh John Mathews</t>
  </si>
  <si>
    <t>vishakhjmathews@gmail.com</t>
  </si>
  <si>
    <t>p2270385@student.nicmar.ac.in</t>
  </si>
  <si>
    <t>25-Jun-1999</t>
  </si>
  <si>
    <t>Playing the keyboard and guitar,Watching Movies,Playing football</t>
  </si>
  <si>
    <t>9718 5354 6597</t>
  </si>
  <si>
    <t>JOJAN MATHEWS JOHN</t>
  </si>
  <si>
    <t>SUSAN MATHEWS JOHN</t>
  </si>
  <si>
    <t>Varikkamakkal House, Chumathra P.O., Kuttapuzha, Thiruvalla.</t>
  </si>
  <si>
    <t>ST. GEORGE MAR THOMA CHURCH, AMARAVATHI P.O., FORT KOCHI</t>
  </si>
  <si>
    <t>ST. THOMAS CENTRAL SCHOOL, MUKKOLAKKAL, TRIVANDRUM, KERALA</t>
  </si>
  <si>
    <t>ST. MARY'S RESIDENTIAL PUBLIC SCHOOL, PALIAKKARA, THIRUVALLA, KERALA</t>
  </si>
  <si>
    <t>TKM COLLEGE OF ENGINEERING, KOLLAM, KERALA</t>
  </si>
  <si>
    <t>AutoCAD,MS Office,MS Project,Primavera,CANDY,Revit,NAVISWORK</t>
  </si>
  <si>
    <t>Cherian Varkey Construction Company Pvt. Ltd. | Site Engineer | Kochi, Kerala | Aug 2021 | Aug 2022 | 1 Years, 0 Months, 0 Days | 1.85</t>
  </si>
  <si>
    <t>Adrianse Global | Project Management Intern | Bangalore | May 2023 | Jul 2023 | 7 Weeks | Campus Internship</t>
  </si>
  <si>
    <t>p2270387</t>
  </si>
  <si>
    <t>George B Thomas</t>
  </si>
  <si>
    <t>george17t@gmail.com</t>
  </si>
  <si>
    <t>p2270387@student.nicmar.ac.in</t>
  </si>
  <si>
    <t>Movies,Calisthenics,Badminton</t>
  </si>
  <si>
    <t>3501 3722 0226</t>
  </si>
  <si>
    <t>BIJU THOMAS</t>
  </si>
  <si>
    <t>SENIOR SECTION ENGINEER, SOUTHERN RAILWAYS</t>
  </si>
  <si>
    <t>MAYA BIJU THOMAS</t>
  </si>
  <si>
    <t>Erumedayil, House No.17, Pattathanam Nagar</t>
  </si>
  <si>
    <t>CHRIST NAGAR HIGHER SEC. SCHOOL, THIRUVANANTHAPURAM</t>
  </si>
  <si>
    <t>CHRIST NAGAR HSS SCHOOL</t>
  </si>
  <si>
    <t>T.K.M COLLEGE OF ENGINEERING, KOLLAM</t>
  </si>
  <si>
    <t>AutoCAD,MS Office,MS Project,Primavera,Advanced Excel,Architectural Revit,candy</t>
  </si>
  <si>
    <t>Damsure Expert Buildcare | Site Execution ansd Control | Kochi, Kerala | May 2023 | Jul 2023 | 7 Weeks | Campus Internship
UNITED CONSTRUCTION COMPANY | JUNIOR SITE ENGINEER | KOTTAYAM, KERALA | Sep 2021 | Apr 2022 | 26 Weeks</t>
  </si>
  <si>
    <t>p2270388</t>
  </si>
  <si>
    <t>KOLAPKAR</t>
  </si>
  <si>
    <t>Samiksha Shashank Kolapkar</t>
  </si>
  <si>
    <t>s.kolapkar24@gmail.com</t>
  </si>
  <si>
    <t>p2270388@student.nicmar.ac.in</t>
  </si>
  <si>
    <t>Digital art- Carricatures,Creative writing,Architectural model making,Travelling</t>
  </si>
  <si>
    <t>3916 7755 5582</t>
  </si>
  <si>
    <t>SHASHANK NARAYAN KOLAPKAR</t>
  </si>
  <si>
    <t>SADHANA SHASHANK KOLAPKAR</t>
  </si>
  <si>
    <t>Kolapkar Steel Centre,opp Samsung Care,New Akole Road,Sangamner,Ahmednagar</t>
  </si>
  <si>
    <t>REGALIA RESIDENCY,UTTAM NAGAR, BAVDHAN,PUNE</t>
  </si>
  <si>
    <t>DHRUV ACADEMY</t>
  </si>
  <si>
    <t>CENTRAL BOARD OF SECONDARY EDUCATION- DELHI BOARD</t>
  </si>
  <si>
    <t>PUNE UNIVERSITY</t>
  </si>
  <si>
    <t>B.K.P.S. COLLEGE OF ARCHITECTURE,PUNE</t>
  </si>
  <si>
    <t>AutoCAD,MS Office,MS Project,Primavera,Revit,Candy,Sketchup,Vectorworks,Photoshop</t>
  </si>
  <si>
    <t>GODREJ PROPERTIES | DESIGN MANAGEMENT INTERN | PUNE | May 2023 | Jul 2023 | 7 Weeks | Campus Internship
ARTHA STUDIO | ARCHITECTURAL INTERN | PUNE | May 2020 | Dec 2020 | 30 Weeks
LITTLE HEIGHTS | CONTENT CREATION INTERN | PUNE | Jul 2021 | Jul 2022 | 56 Weeks</t>
  </si>
  <si>
    <t>p2270389</t>
  </si>
  <si>
    <t>Motilal</t>
  </si>
  <si>
    <t>BAKALE</t>
  </si>
  <si>
    <t>Venkatesh Motilal Bakale</t>
  </si>
  <si>
    <t>venkateshbakale25@gmail.com</t>
  </si>
  <si>
    <t>p2270389@student.nicmar.ac.in</t>
  </si>
  <si>
    <t>20-May-1998</t>
  </si>
  <si>
    <t>Sports,Photography,Modelling</t>
  </si>
  <si>
    <t>4951 6487 2141</t>
  </si>
  <si>
    <t>MOTILAL BAKALE</t>
  </si>
  <si>
    <t>RENUKA BAKALE</t>
  </si>
  <si>
    <t>#69, Laxmi Colony, Near Chetan College, Vidyanagar</t>
  </si>
  <si>
    <t>KARNATAKA SECONDARY EDUCATION EXAMINATION BOARD, HUBLI, KARNATAKA.</t>
  </si>
  <si>
    <t>CHETAN PRE-UNIVERSITY COLLEGE</t>
  </si>
  <si>
    <t>REVA UNIVERSITY, BANGALORE, KARNATAKA.</t>
  </si>
  <si>
    <t>AutoCAD,MS Office,MS Project,Photoshop,Sketchup</t>
  </si>
  <si>
    <t>Team One India Pvt, Ltd. | Designer | Hydrabad | Jan 2022 | May 2022 | 0 Years, 4 Months, 8 Days | 2.4
Studio Amaavi | Designer | Banglore | Aug 2021 | Jan 2022 | 0 Years, 5 Months, 14 Days | 1.8</t>
  </si>
  <si>
    <t>HILTI INDIA PVT LTD | Technical | Chennai | May 2023 | Jul 2023 | 7 Weeks | Campus Internship
KEMBHAVI ARCHITECTURE FOUNDATION | DESIGNING, PLANNING AND PRODUCTION  | BANGLORE/HUBLI  | Jun 2020 | Oct 2020 | 19 Weeks</t>
  </si>
  <si>
    <t>p2270390</t>
  </si>
  <si>
    <t>CHITRAK</t>
  </si>
  <si>
    <t>Chitrak Chitrak</t>
  </si>
  <si>
    <t>chitrak.kushwaha@gmail.com</t>
  </si>
  <si>
    <t>p2270390@student.nicmar.ac.in</t>
  </si>
  <si>
    <t>05-Nov-1998</t>
  </si>
  <si>
    <t>English, HIndi</t>
  </si>
  <si>
    <t>Sports,Exploring</t>
  </si>
  <si>
    <t>8503 7152 8743</t>
  </si>
  <si>
    <t>RAJIV KUMAR</t>
  </si>
  <si>
    <t>ACWE, MES</t>
  </si>
  <si>
    <t>RITA</t>
  </si>
  <si>
    <t>HIG-29 KATJU BAGH COLONY_x000D_
SALORI</t>
  </si>
  <si>
    <t>25 / 1, NICMAR UNIVERSITY,BALEWADI, N.I.A. POST OFFICE</t>
  </si>
  <si>
    <t>KENDRIYA VIDYALAYA RAMGARH CANTT</t>
  </si>
  <si>
    <t>RAMGARH/ JHARKHAND</t>
  </si>
  <si>
    <t>KENDRIYA VIDYALAYA OLD CANTT</t>
  </si>
  <si>
    <t>ABES ENGINEERING COLLEGE GHAZIABAD / UTTAR PRADESH</t>
  </si>
  <si>
    <t>AutoCAD,MS Office,MS Project,Primavera,EXCEL,Candy,Revit</t>
  </si>
  <si>
    <t>Bharat Petroleum Corporation Limited | Engineering Assistant  | Mughalsarai | Sep 2021 | Aug 2022 | 0 Years, 11 Months, 30 Days | 3
Infosys Limited | System Engineer Trainee | Mysore | Apr 2021 | Nov 2021 | 0 Years, 6 Months, 8 Days | 3.6</t>
  </si>
  <si>
    <t>Godrej Properties | Operational Intern  | Pune | May 2023 | Jul 2023 | 7 Weeks | Campus Internship
S S INFRATECH | SITE SUPERVISION | GHAZIABAD, UP | Jun 2019 | Jul 2019 | 4 Weeks
ABES Engineering College | Trainee | Ghaziabad, UP | Jun 2018 | Jun 2018 | 3 Weeks</t>
  </si>
  <si>
    <t>p2270391</t>
  </si>
  <si>
    <t>PAGAR</t>
  </si>
  <si>
    <t>Paras Pravin Pagar</t>
  </si>
  <si>
    <t>paraspagar11@gmail.com</t>
  </si>
  <si>
    <t>p2270391@student.nicmar.ac.in</t>
  </si>
  <si>
    <t>Cricket,Badminton,Music Instruments,Chess,Snooker</t>
  </si>
  <si>
    <t>2967 8596 5500</t>
  </si>
  <si>
    <t>PRAVIN NIMBA PAGAR</t>
  </si>
  <si>
    <t>SARIKA PRAVIN PAGAR</t>
  </si>
  <si>
    <t>4 ,Dav Bindu Apt Vihanga Vihar Colony Pipeline Road Gangapur Road_x000D_</t>
  </si>
  <si>
    <t>HORIZON ACADEMY NASHIK</t>
  </si>
  <si>
    <t>ICSE BOARD NASHIK MAHARASHTRA</t>
  </si>
  <si>
    <t>LOKNETE VYANKATRAO HIRAY JUNIOR COLLEGE</t>
  </si>
  <si>
    <t>MIT SCHOOL OF ENGINEERING PUNE MAHARASHTRA</t>
  </si>
  <si>
    <t>PIDILITE INDUSTRIES | Business development Intern | Mumbai | May 2023 | Jul 2023 | 7 Weeks | Campus Internship</t>
  </si>
  <si>
    <t>p2270392</t>
  </si>
  <si>
    <t>SUBHADEEP</t>
  </si>
  <si>
    <t>BARAI</t>
  </si>
  <si>
    <t>Subhadeep Barai</t>
  </si>
  <si>
    <t>subhadeepbarai1999@gmail.com</t>
  </si>
  <si>
    <t>p2270392@student.nicmar.ac.in</t>
  </si>
  <si>
    <t>BANGALI, ENGLISH, HINDI</t>
  </si>
  <si>
    <t>Watching Cricktet,Listening Songs</t>
  </si>
  <si>
    <t>2927 9186 9553</t>
  </si>
  <si>
    <t>SAMAR CHANDRA BARAI</t>
  </si>
  <si>
    <t>SHIKHA BARAI MANDAL</t>
  </si>
  <si>
    <t>Sudarshanpur, RAIGANJ</t>
  </si>
  <si>
    <t>SUDARSANPUR DWARIKA PRASHAD UCHCHA VIDYACHAKRA</t>
  </si>
  <si>
    <t>SUBHASGANJ HIGH SCHOOL</t>
  </si>
  <si>
    <t>MACKINTOSH BURN LIMITED | Execution | Kolkata | May 2023 | Jul 2023 | 7 Weeks | Campus Internship</t>
  </si>
  <si>
    <t>p2270393</t>
  </si>
  <si>
    <t>MUKUND</t>
  </si>
  <si>
    <t>Mukund Kumar</t>
  </si>
  <si>
    <t>mukundtomar04@gmail.com</t>
  </si>
  <si>
    <t>p2270393@student.nicmar.ac.in</t>
  </si>
  <si>
    <t>Playing Cricket,Cooking</t>
  </si>
  <si>
    <t>6002 7215 4108</t>
  </si>
  <si>
    <t>AJAY SINGH</t>
  </si>
  <si>
    <t>EX-SERVICE MAN</t>
  </si>
  <si>
    <t>RAJO KUMARI</t>
  </si>
  <si>
    <t>ADULT NURSING MIDWIFE</t>
  </si>
  <si>
    <t>Near Aman Public School, Subhash Nagar Colony, Najibabad</t>
  </si>
  <si>
    <t>R.R. MORARKA PUBLIC SCHOOL</t>
  </si>
  <si>
    <t>CBSE , U.P.</t>
  </si>
  <si>
    <t>DR. APJ ABDUL KALAM TECHNICAL UNIVERSITY</t>
  </si>
  <si>
    <t>IMS ENGINEERING COLLEGE, GHAZIABAD</t>
  </si>
  <si>
    <t>Suroj Buildcon | Planning Engineer | FRCCI, Morinda, Punjab | May 2023 | Jul 2023 | 7 Weeks | Campus Internship
DWARIKESH SUGAR INDUSTRIES LIMITED | SITE SUPERVISOR  | BIJNOR, U.P. | Jun 2019 | Jul 2019 | 5 Weeks</t>
  </si>
  <si>
    <t>p2270394</t>
  </si>
  <si>
    <t>KHAIRNAR</t>
  </si>
  <si>
    <t>Rohit Rajaram Khairnar</t>
  </si>
  <si>
    <t>rohitkhairnar803@gmail.com</t>
  </si>
  <si>
    <t>p2270394@student.nicmar.ac.in</t>
  </si>
  <si>
    <t>Travelling,Biking</t>
  </si>
  <si>
    <t>5783 2962 0372</t>
  </si>
  <si>
    <t>RAJARAM ATMARAM KHAIRNAR</t>
  </si>
  <si>
    <t>PALLAVI RAJARAM KHAIRNAR</t>
  </si>
  <si>
    <t>50/2 Keshrinanden Housing Society, N-6 Cidco Bajrang Chowk Aurangabad</t>
  </si>
  <si>
    <t>S.B.O.A PUBLIC SCHOOL</t>
  </si>
  <si>
    <t>DEOGIRI COLLEGE AURANGABAD</t>
  </si>
  <si>
    <t>DR. BABASAHEB AMBEDKAR TECHONOLOGICAL UNIVERSITY LONERE- RIAGAD, MAHARASHTRA</t>
  </si>
  <si>
    <t>DEOGIRI INSTITUTE OF ENGINEERING AND MANAGEMENT STUDIES AURANGABAD</t>
  </si>
  <si>
    <t>DQUOR SPACES LLP | BUSINESS DEVELOPMENT  | PUNE | May 2023 | Jul 2023 | 7 Weeks | Campus Internship
MANIK INFRA PROJECTS | SITE ENGINEER | AURANGABAD | Mar 2022 | Jun 2022 | 14 Weeks</t>
  </si>
  <si>
    <t>p2270395</t>
  </si>
  <si>
    <t>ADEPU</t>
  </si>
  <si>
    <t>SAI TEJA</t>
  </si>
  <si>
    <t>Adepu Sai Teja</t>
  </si>
  <si>
    <t>adepusaiteja.99a@gmail.com</t>
  </si>
  <si>
    <t>p2270395@student.nicmar.ac.in</t>
  </si>
  <si>
    <t>04-Nov-1999</t>
  </si>
  <si>
    <t>Reading Books,Trekking,Exercise,Cooking</t>
  </si>
  <si>
    <t>2258 6966 0295</t>
  </si>
  <si>
    <t>A V MALLIKARJUN</t>
  </si>
  <si>
    <t>SELF EMPLOYEE</t>
  </si>
  <si>
    <t>A RAJITHA</t>
  </si>
  <si>
    <t>Plot No-24, Door No-202, Sri Shailaja Residency, Rock Hills Colony, Hayathnagar, K.v.Rangareddy</t>
  </si>
  <si>
    <t>BHASHYAM HIGH SCHOOL</t>
  </si>
  <si>
    <t>TELANGA BOARD OF SECONDARY EDUCATION</t>
  </si>
  <si>
    <t>MATURI VENKATA SUBBA RAO ENGINEERING COLLEGE</t>
  </si>
  <si>
    <t>AutoCAD,MS Office,MS Project,Primavera,REVIT ARCHITECTURAL,MATLAB,ARC GIS,SKETCH UP,CIVIL 3D</t>
  </si>
  <si>
    <t>Leenus Infra Pvt. Ltd. | Site Engineer | Telanagana | Jul 2021 | Jul 2022 | 1 Years, 0 Months, 22 Days | 2.52</t>
  </si>
  <si>
    <t>PACIFICA  COMPANIES | Summer Intern Trainee | Hyderabad | May 2023 | Jul 2023 | 7 Weeks | Campus Internship</t>
  </si>
  <si>
    <t>p2270396</t>
  </si>
  <si>
    <t>CHANDRABHAN</t>
  </si>
  <si>
    <t>AKHILESHKUMAR</t>
  </si>
  <si>
    <t>Chandrabhan Akhileshkumar Singh</t>
  </si>
  <si>
    <t>chandrabhan103@gmail.com</t>
  </si>
  <si>
    <t>p2270396@student.nicmar.ac.in</t>
  </si>
  <si>
    <t>10-Mar-1997</t>
  </si>
  <si>
    <t>Learning new software,exploring new places,watching movie</t>
  </si>
  <si>
    <t>9987 3193 2060</t>
  </si>
  <si>
    <t>AKHILESHKUMAR SINGH</t>
  </si>
  <si>
    <t>SUNITA AKHILESHKUMAR SINGH</t>
  </si>
  <si>
    <t>C904, C Wing, Astvinayak CHS., Near Sitla Devi Mandir,D N Nagar, Andheri-West.</t>
  </si>
  <si>
    <t>THAKUR VIDYA MANDIR HIGH SCHOOL &amp; JR. COLLEGE</t>
  </si>
  <si>
    <t>SSC MAHARSAHTRA</t>
  </si>
  <si>
    <t>DIPLOMA IN COMPUTER ENGINEERING</t>
  </si>
  <si>
    <t>THAKUR POLYTECHNIC MUMBAI</t>
  </si>
  <si>
    <t>THAKUR COLLEGE OF ENGINEERING AND TECHNOLOGY MUMBAI</t>
  </si>
  <si>
    <t>AutoCAD,MS Office,MS Project,Primavera,STAAD PRO,Autodesk Revit,Candy,Microsoft word,Microsoft excel,Naviswork,Dynamo</t>
  </si>
  <si>
    <t>Rehab Consultants Pvt. Ltd. | Project In-charge | Mumbai | Nov 2021 | Aug 2022 | 0 Years, 9 Months, 12 Days | 1.8</t>
  </si>
  <si>
    <t>SUNTECK REALTY | EPC- EXECUTION | MUMBAI | May 2023 | Jul 2023 | 7 Weeks | Campus Internship
SAI LEELA CONSTRUCTION | DRAFT PERSON  | MUMBAI | Aug 2016 | Jul 2017 | 52 Weeks</t>
  </si>
  <si>
    <t>p2270397</t>
  </si>
  <si>
    <t>DEEPESH</t>
  </si>
  <si>
    <t>SUHAS</t>
  </si>
  <si>
    <t>NARKHEDE</t>
  </si>
  <si>
    <t>Deepesh Suhas Narkhede</t>
  </si>
  <si>
    <t>deepeshnarkhede@gmail.com</t>
  </si>
  <si>
    <t>p2270397@student.nicmar.ac.in</t>
  </si>
  <si>
    <t>Swimming,Cycling,Reading</t>
  </si>
  <si>
    <t>3778 3429 3080</t>
  </si>
  <si>
    <t>SUHAS NARKHEDE</t>
  </si>
  <si>
    <t>KAVITA NARKHEDE</t>
  </si>
  <si>
    <t>15 Sri Sri Niwas, Deo Nagar, Near Orange City Hospital</t>
  </si>
  <si>
    <t>R S MUNDLE ENGLISH SCHOOL</t>
  </si>
  <si>
    <t>MAHARASHTRA STATE BOARD OF SECONDARY AND HIGHER EDUCATION, PUNE/MAHARASHTRA.</t>
  </si>
  <si>
    <t>RASTHRASANT TUKDOJI MAHARAJ NAGPUR UNIVERSITY</t>
  </si>
  <si>
    <t>YESHWANTRAO CHAVAN COLLEGE OF ENGINEERING, NAGPUR/MAHARASHTRA</t>
  </si>
  <si>
    <t>CBRE SOUTH ASIA PVT LTD | EXECUTION, PROJECT MONITORING AND CONTROL. | PUNE | May 2023 | Jul 2023 | 7 Weeks | Campus Internship
HIMALAYA INFRA PROJECTS SUNSHINE | Execution | NAGPUR | Jan 2022 | May 2022 | 17 Weeks</t>
  </si>
  <si>
    <t>p2270398</t>
  </si>
  <si>
    <t>SARGAR</t>
  </si>
  <si>
    <t>Sakshi Ramdas Sargar</t>
  </si>
  <si>
    <t>sargarsakshi2001@gmail.com</t>
  </si>
  <si>
    <t>p2270398@student.nicmar.ac.in</t>
  </si>
  <si>
    <t>13-Jan-2001</t>
  </si>
  <si>
    <t>Social work,Trekking,Sketching</t>
  </si>
  <si>
    <t>8355 6144 3556</t>
  </si>
  <si>
    <t>Old Midc Deshmukh Nagar Sakshi Heights Satara</t>
  </si>
  <si>
    <t>PODAR INTERNATIONAL SCHOOL, SATARA</t>
  </si>
  <si>
    <t>CHATRAPATI SHAHU ACADEMY  AND JUNIOR COLLEGE.SATARA</t>
  </si>
  <si>
    <t>DBATU</t>
  </si>
  <si>
    <t>KARMAVEER BHAURAO PATIL COLLEGE OF ENGINEERING,SATARA</t>
  </si>
  <si>
    <t>AutoCAD,MS Office,MS Project,Primavera,Revit,Candy,Advanced excel,STAAD PRO</t>
  </si>
  <si>
    <t>Viceroy Properties | Planning department | Mumbai | May 2023 | Jul 2023 | 7 Weeks | Campus Internship
ADITYARAJ BUILDERS | EXECUTIVE MANAGEMENT | SATARA | Jun 2019 | Jun 2019 | 4 Weeks</t>
  </si>
  <si>
    <t>p2270400</t>
  </si>
  <si>
    <t>GADRE</t>
  </si>
  <si>
    <t>Abhishek Mahendra Gadre</t>
  </si>
  <si>
    <t>abhishekgadre660@gmail.com</t>
  </si>
  <si>
    <t>p2270400@student.nicmar.ac.in</t>
  </si>
  <si>
    <t>12-Jan-1996</t>
  </si>
  <si>
    <t>2511 1319 1102</t>
  </si>
  <si>
    <t>MAHENDRA BHASKAR GADRE</t>
  </si>
  <si>
    <t>SENIOR ENGINEER, CENTRAL RAILWAY.</t>
  </si>
  <si>
    <t>BHARTI GADRE</t>
  </si>
  <si>
    <t>Ganesh Tower, Flt 604,motha Khanda ,khandeshwar, New Panvel.</t>
  </si>
  <si>
    <t>PRIMA DOMUS, FLT 601, PATIL NAGAR, BALEWADI</t>
  </si>
  <si>
    <t>DAV PUBLIC SCHOOL, NERUL</t>
  </si>
  <si>
    <t>S.S. JR. COLLEGE OF SCIENCE AND COMMERCE</t>
  </si>
  <si>
    <t>MUMBAI UNIVERSITY, MUMBAI</t>
  </si>
  <si>
    <t>DR. D.Y. PATIL COLLEGE OF ARCHITECTURE, NERUL</t>
  </si>
  <si>
    <t>AutoCAD,MS Office,MS Project,SKETCHUP, LUMION</t>
  </si>
  <si>
    <t>Anand Muranjan and associates | Designing spaces &amp; structures based on client's need and overlooking execution. | Navi Mumbai | Nov 2020 | May 2022 | 1 Years, 6 Months, 8 Days | 2.95</t>
  </si>
  <si>
    <t>Oberoi Realty Limited | INTERN-ARCHITECTURE | Goregaon, Mumbai | May 2023 | Jul 2023 | 7 Weeks | Campus Internship
ANAND MURANJAN AND ASSOCIATES | INTERN-ARCHITECTURE | NAVI MUMBAI | Dec 2018 | May 2019 | 24 Weeks</t>
  </si>
  <si>
    <t>p2270401</t>
  </si>
  <si>
    <t>RAJAT</t>
  </si>
  <si>
    <t>RAGHAV</t>
  </si>
  <si>
    <t>Rajat Raghav</t>
  </si>
  <si>
    <t>raghavrajat2909@gmail.com</t>
  </si>
  <si>
    <t>p2270401@student.nicmar.ac.in</t>
  </si>
  <si>
    <t>Driving,Fitness activities,Sports:Volleyball,Swimming,Dance</t>
  </si>
  <si>
    <t>7344 5594 2906</t>
  </si>
  <si>
    <t>RAMKUMAR RAGHAV</t>
  </si>
  <si>
    <t>ARCHANA RAGHAV</t>
  </si>
  <si>
    <t>MAHON NAGAR COLONY , PILKHUWA</t>
  </si>
  <si>
    <t>Hapur</t>
  </si>
  <si>
    <t>VIBGYOR INTERNATIONAL SCHOOL HAPUR RD/UP</t>
  </si>
  <si>
    <t>AJAY KUMAR GARG ENGINEERING COLLEGE, GHAZIABAD/UP</t>
  </si>
  <si>
    <t>AutoCAD,MS Office,MS Project,Primavera,REVIT,STAAD.PRO,Candy</t>
  </si>
  <si>
    <t>VSL India Pvt Ltd | Planning intern | MG setu, Patna | May 2023 | Jul 2023 | 7 Weeks | Campus Internship
Vaastu Infrabuild Private Limited |  Site intern | SIMS, Hapur | May 2021 | Jul 2021 | 12 Weeks</t>
  </si>
  <si>
    <t>p2270402</t>
  </si>
  <si>
    <t>VIDWANS</t>
  </si>
  <si>
    <t>Shantanu Sandeep Vidwans</t>
  </si>
  <si>
    <t>ssvidwans99@gmail.com</t>
  </si>
  <si>
    <t>p2270402@student.nicmar.ac.in</t>
  </si>
  <si>
    <t>28-Aug-1999</t>
  </si>
  <si>
    <t>Bike Riding,Trekking,Singing,Cycling,Traveling,Cooking</t>
  </si>
  <si>
    <t>8206 6629 3199</t>
  </si>
  <si>
    <t>SANDEEP VIDWANS</t>
  </si>
  <si>
    <t>BHARTI VIDWANS</t>
  </si>
  <si>
    <t>2, AAROHI RESIDENCY, B/H SOBO CENTER, SOUTH BOPAL, AHMEDABAD-380058</t>
  </si>
  <si>
    <t>GLOBAL MISSION INTERNATIONAL SCHOOL</t>
  </si>
  <si>
    <t>GUJARAT SECONDARY AND HIGHER SECONDARY EDUCATION BOARD (AHMEDABAD)</t>
  </si>
  <si>
    <t>PARUL INSTITUTE OF ENGINEERING AND TECHNOLOGY (DIPLOMA STUDIES), VADODARA (GUJARAT)</t>
  </si>
  <si>
    <t>SAL INSTITUTE OF TECHNOLOGY AND ENGINEERING RESEARCH, AHMEDABAD (GUJARAT)</t>
  </si>
  <si>
    <t>CBRE SOUTH ASIA PVT LTD | MANAGEMENT INTERN | PUNE | May 2023 | Jul 2023 | 7 Weeks | Campus Internship
RAY INFRA | SITE ENGINEER | AHMEDABAD | Jan 2022 | Apr 2022 | 12 Weeks</t>
  </si>
  <si>
    <t>p2270403</t>
  </si>
  <si>
    <t>KARUNAKARAN</t>
  </si>
  <si>
    <t>Karunakaran K</t>
  </si>
  <si>
    <t>karancivil2001@gmail.com</t>
  </si>
  <si>
    <t>p2270403@student.nicmar.ac.in</t>
  </si>
  <si>
    <t>football,Photography</t>
  </si>
  <si>
    <t>6967 7565 1390</t>
  </si>
  <si>
    <t>KALYANARAMAN K</t>
  </si>
  <si>
    <t>CONSTRUCTION CONTRACTOR</t>
  </si>
  <si>
    <t>REGA K</t>
  </si>
  <si>
    <t>NO 3, SRI BALAJI FLATS, GANGA GARDEN STREET, KEELKATTALAI, CHENNAI 600117</t>
  </si>
  <si>
    <t>V.S.JUBILEE MATRIC HIGHER SECONDARY SCHOOL, MADIPAKKAM, KANCHIPURAM</t>
  </si>
  <si>
    <t>M.S.P.VELAYUTHA NADAR LAKSHMITHAIAMMAL POLYTECHNIC COLLEGE, TIRUNELVELI</t>
  </si>
  <si>
    <t>PANIMALAR ENGINEERING COLLEGE, CHENNAI</t>
  </si>
  <si>
    <t>AutoCAD,MS Office,MS Project,CANDY</t>
  </si>
  <si>
    <t>Bangalore Metro Rail Corporation Limited | Site Execution  | Bangalore | May 2023 | Jul 2023 | 7 Weeks | Campus Internship
Karthick Associates Contractors | Site Execution | chennai | Sep 2020 | Mar 2021 | 25 Weeks</t>
  </si>
  <si>
    <t>p2270404</t>
  </si>
  <si>
    <t>IRAPPA</t>
  </si>
  <si>
    <t>Rushikesh Irappa Naik</t>
  </si>
  <si>
    <t>rinaik2909@gmail.com</t>
  </si>
  <si>
    <t>p2270404@student.nicmar.ac.in</t>
  </si>
  <si>
    <t>27-Mar-1999</t>
  </si>
  <si>
    <t>7999 7599 3822</t>
  </si>
  <si>
    <t>IRAPPA ANNAPPA NAIK</t>
  </si>
  <si>
    <t>MUKTA IRAPPA NAIK</t>
  </si>
  <si>
    <t>S-12, BRAHMESHWAR PARK, SHIVAJI PETH</t>
  </si>
  <si>
    <t>SHREE VASANTRAO JAYANTRAO DESHMUKH HIGH SCHOOL, SANE GURUJI VASAHAT, KOLHAPUR</t>
  </si>
  <si>
    <t>VIVEKANAND COLLEGE, KOLHAPUR</t>
  </si>
  <si>
    <t>EPMCR | PLANNING  | NEW PERANGALATHUR, CHENNAI - 600 063 | May 2023 | Jul 2023 | 7 Weeks | Campus Internship</t>
  </si>
  <si>
    <t>p2270405</t>
  </si>
  <si>
    <t>DHURI</t>
  </si>
  <si>
    <t>Rahul Sudhakar Dhuri</t>
  </si>
  <si>
    <t>rahuldhurird@gmail.com</t>
  </si>
  <si>
    <t>p2270405@student.nicmar.ac.in</t>
  </si>
  <si>
    <t>Cricket,Kabaddi,Football</t>
  </si>
  <si>
    <t>8068 5201 1109</t>
  </si>
  <si>
    <t>SUDHAKAR SHANTARAM DHURI</t>
  </si>
  <si>
    <t>SHALINI SUDHAKAR DHURI</t>
  </si>
  <si>
    <t>A-5, Apsara Society, Kolkhe Village, Panvel 410206</t>
  </si>
  <si>
    <t>2/8 K.K.MODI CHAWL, NEW PAPAI WADI NEAR KINGSTON TOWER, KALACHOWKI</t>
  </si>
  <si>
    <t>ST. XAVIERS ENGLISH HIGH SCHOOL</t>
  </si>
  <si>
    <t>MAHARASHTRA STATE BOARD OF SECONDARY AND HIGHER SECONDARY EDUCATION, MUMBAI/ MAHARASHTRA</t>
  </si>
  <si>
    <t>VEERMATA JIJABAI TECHNOLOGICAL INSTITUTE, MUMBAI/MAHARASHTRA</t>
  </si>
  <si>
    <t>TERNA ENGINEERING COLLEGE, NAVI MUMBAI/MAHARASHTRA</t>
  </si>
  <si>
    <t>MS Office,MS Project,Primavera,Revit,Candy,Naviswork</t>
  </si>
  <si>
    <t>MYK ARMENT Private Limited. | Project -Sales  | Mumbai | May 2023 | Jul 2023 | 7 Weeks | Campus Internship
GODREJ PROPERTIES LIMITED | OPERATIONS (CIVIL EXECUTION) | MUMBAI | Nov 2021 | May 2022 | 22 Weeks</t>
  </si>
  <si>
    <t>p2270407</t>
  </si>
  <si>
    <t>SHRIPAD</t>
  </si>
  <si>
    <t>UTTARWAR</t>
  </si>
  <si>
    <t>Krishna Shripad Uttarwar</t>
  </si>
  <si>
    <t>krishnauttarwar@gmail.com</t>
  </si>
  <si>
    <t>p2270407@student.nicmar.ac.in</t>
  </si>
  <si>
    <t>25-Aug-1995</t>
  </si>
  <si>
    <t>Listening to music,Playing sports</t>
  </si>
  <si>
    <t>3732 0623 9702</t>
  </si>
  <si>
    <t>SHRIPAD UTTARWAR</t>
  </si>
  <si>
    <t>JAYSHRI UTTARWAR</t>
  </si>
  <si>
    <t>207, Shrikrishna Vihar, Borkute Layout, Narendra Nagar, Nagpur</t>
  </si>
  <si>
    <t>SOMALWAR HIGH SCHOOL, RAMDASPETH, NAGPUR</t>
  </si>
  <si>
    <t>PRIYADARSHINI J L COLLEGE OF ENGINEERING, NAGPUR</t>
  </si>
  <si>
    <t>AutoCAD,MS Office,MS Project,Primavera,Revit,Navisworks,Advanced excel,CANDY,PowerBI,STAAD PRO</t>
  </si>
  <si>
    <t>Mother Vailankanni Infrastructure | Civil Site Engineer | Chandrapur | Jun 2017 | Jul 2022 | 5 Years, 1 Months, 30 Days | 4.8</t>
  </si>
  <si>
    <t>Econstruct Design and Build | Project Management | Bangalore | May 2023 | Jul 2023 | 7 Weeks | Campus Internship</t>
  </si>
  <si>
    <t>p2270408</t>
  </si>
  <si>
    <t>SAMPATRAO</t>
  </si>
  <si>
    <t>PARLEKAR</t>
  </si>
  <si>
    <t>Nikita Sampatrao Parlekar</t>
  </si>
  <si>
    <t>nikitaparlekar315@gmail.com</t>
  </si>
  <si>
    <t>p2270408@student.nicmar.ac.in</t>
  </si>
  <si>
    <t>03-Aug-1998</t>
  </si>
  <si>
    <t>Photography,Trekking,Cycling,Sketching,Traveling</t>
  </si>
  <si>
    <t>9736 8764 0170</t>
  </si>
  <si>
    <t>SAMPATRAO PARLEKAR</t>
  </si>
  <si>
    <t>USHA PARLEKAR</t>
  </si>
  <si>
    <t>SAI COLONY,OLD BUS STAND,NEAR SHRI MANAGAL KARYALAYA ,SHABDSHIP HOUSE,PALUS  TAL PALUS DIST SANGLI 416310_x000D_
SANGLI-416310</t>
  </si>
  <si>
    <t>LAXMANRAO KIRLOSKAR VIDYAMANDIR AND JUNIOR COLLEGE ,PALUS,MAHARASHTRA</t>
  </si>
  <si>
    <t>MAHARASHTRA  STATE BOARD OF SECONDARY  AND HIGHER SECONDARY EDUCATION,KOLHAPUR DIVISIONAL BOARD,MAHARASHTRA</t>
  </si>
  <si>
    <t>WARANA VIDYANIKETAN &amp; AABASAHEB PATIL JUNIOR COLLEGE OF SCIENCE ,KOLHAPUR,MAHARASHTRA</t>
  </si>
  <si>
    <t>SHIVAJI UNIVERSITY OF KOLHAPUR ,MAHARASHTRA</t>
  </si>
  <si>
    <t>APPASAHEB  BIRNALE COLLEGE OF ARCHITRCTURE ,SANGLI,MAHARASHTRA</t>
  </si>
  <si>
    <t>AutoCAD,MS Office,MS Project,LUMION,SKETCHUP,MS-CIT</t>
  </si>
  <si>
    <t>Intento Associates | Business analyst Intern | Navi Mumbai, Mumbai  | May 2023 | Jul 2023 | 7 Weeks | Campus Internship
CHOUGULE ARCHITECT AND ENGINEERS | Architect Intern                              | PALUS,SANGLI,MAHARASHTRA | Jun 2020 | Jan 2021 | 28 Weeks</t>
  </si>
  <si>
    <t>p2270409</t>
  </si>
  <si>
    <t>Varad Santosh Pawar</t>
  </si>
  <si>
    <t>varad8885@icloud.com</t>
  </si>
  <si>
    <t>p2270409@student.nicmar.ac.in</t>
  </si>
  <si>
    <t>06-Nov-1998</t>
  </si>
  <si>
    <t>English, hindi , Marathi</t>
  </si>
  <si>
    <t>Swimming,Driving,Travelling</t>
  </si>
  <si>
    <t>5532 3731 2727</t>
  </si>
  <si>
    <t>SANTOSH PAWAR</t>
  </si>
  <si>
    <t>REKHA PAWAR</t>
  </si>
  <si>
    <t>Siddheshwar Nagar , Flat No -12, Bldg No - S5, Vishrantwadi, Pune</t>
  </si>
  <si>
    <t>ALL INDIA SHRI SHIVAJI MEMORIAL SOCIETY POLYTECHNIC, PUNE</t>
  </si>
  <si>
    <t>DR D Y PATIL SCHOOL OF ENGINEERING &amp; TECHNOLOGY</t>
  </si>
  <si>
    <t>AutoCAD,MS Office,MS Project,Primavera,CANDY,Revit,Navisworks,Advanced Excel</t>
  </si>
  <si>
    <t>Lake Shore India | Project Planning and Coordination | pune | May 2023 | Jul 2023 | 7 Weeks | Campus Internship</t>
  </si>
  <si>
    <t>p2270410</t>
  </si>
  <si>
    <t>RAMAKANT</t>
  </si>
  <si>
    <t>Akash Ramakant Patil</t>
  </si>
  <si>
    <t>akupatil96@gmail.com</t>
  </si>
  <si>
    <t>p2270410@student.nicmar.ac.in</t>
  </si>
  <si>
    <t>23-Feb-1998</t>
  </si>
  <si>
    <t>Playing Football,Cycling,Trekking</t>
  </si>
  <si>
    <t>3651 6516 8237</t>
  </si>
  <si>
    <t>RAMAKANT MADHUKAR PATIL</t>
  </si>
  <si>
    <t>MEENA RAMAKANT PATIL</t>
  </si>
  <si>
    <t>Plot No 6, Matruchaya Housing Society , Near Kalyani Nagar, Pune -41106</t>
  </si>
  <si>
    <t>PATIL AKASH RAMAKANT</t>
  </si>
  <si>
    <t>AISSMS POLYTECHNIC PUNE</t>
  </si>
  <si>
    <t>DR. D.Y. PATIL SCHOOL OF ENGINEERING AND TECHNOLOGY PUNE</t>
  </si>
  <si>
    <t>AutoCAD,MS Office,MS Project,Primavera,CANDY,Revit,Navisworks,Advanced Excel,Staad pro</t>
  </si>
  <si>
    <t>GERA | Construction Department | Planet of Joy ,Wagholi, Pune | May 2023 | Jul 2023 | 8 Weeks | Campus Internship</t>
  </si>
  <si>
    <t>p2270411</t>
  </si>
  <si>
    <t>DHARSHINI R</t>
  </si>
  <si>
    <t>Priya Dharshini R</t>
  </si>
  <si>
    <t>priyardharshini19@gmail.com</t>
  </si>
  <si>
    <t>p2270411@student.nicmar.ac.in</t>
  </si>
  <si>
    <t>01-Dec-1999</t>
  </si>
  <si>
    <t>English, Tamil,Hindi</t>
  </si>
  <si>
    <t>Badminton,Dancing,Reading books</t>
  </si>
  <si>
    <t>9622 9960 1186</t>
  </si>
  <si>
    <t>RAVIKUMAR R</t>
  </si>
  <si>
    <t>ARUNA P</t>
  </si>
  <si>
    <t>NO.28,SRIRAM GARDEN,TV KOVIL,TRICHY-05</t>
  </si>
  <si>
    <t>MONTFORT SCHOOL , KATTUR, TRICHY -19</t>
  </si>
  <si>
    <t>C.A.R.E SCHOOL OF ARCHITECTURE, THAYANUR, TRICHY- 620009</t>
  </si>
  <si>
    <t>AutoCAD,MS Office,MS Project,Primavera,Sketchup,Autodesk Revit,Adobe Photoshop,Adobe Premiere Pro,Lumion,Candy,Adobe Indesign,Microsoft excel</t>
  </si>
  <si>
    <t>GODREJ PROPERTIES LIMITED | DESIGN CO-ORDINATION INTERN | PUNE | May 2023 | Jul 2023 | 7 Weeks | Campus Internship
SHUONYA NAVA DESIGNS | INTERN ARCHITECT | BANGALORE | Aug 2021 | Dec 2021 | 21 Weeks</t>
  </si>
  <si>
    <t>p2270412</t>
  </si>
  <si>
    <t>NIMESH</t>
  </si>
  <si>
    <t>Nimesh Pandey</t>
  </si>
  <si>
    <t>nimeshpandey0806@gmail.com</t>
  </si>
  <si>
    <t>p2270412@student.nicmar.ac.in</t>
  </si>
  <si>
    <t>08-Jun-1997</t>
  </si>
  <si>
    <t>playing cricket,driving,Listening music</t>
  </si>
  <si>
    <t>7943 4593 1056</t>
  </si>
  <si>
    <t>MANOJKUMAR PANDEY</t>
  </si>
  <si>
    <t>RETD FROM BARC</t>
  </si>
  <si>
    <t>MAYARANI PANDEY</t>
  </si>
  <si>
    <t>RETD FROM KENDRIYA VIDYALAYA</t>
  </si>
  <si>
    <t>BLDG NO. 14, WING-C, FLAT NO. 803, SUBHASH NAGAR, CHEMBUR</t>
  </si>
  <si>
    <t>CBSE MUMBAI MAHARASHTRA</t>
  </si>
  <si>
    <t>SARASWATI COLLEGE OF ENGINEERING MUMBAI MAHARASHTRA</t>
  </si>
  <si>
    <t>AutoCAD,MS Office,MS Project,Primavera,CANDY,Revit,Navisworks</t>
  </si>
  <si>
    <t>KARGWAL CONSTRUCTIONS PVT LTD | CIVIL ENGINEER | MUMBAI and KANDLA | Jan 2021 | Jul 2022 | 1 Years, 6 Months, 14 Days | 3</t>
  </si>
  <si>
    <t>AMIAND CONSULTING PVT. LTD | PROJECT MANAGEMENT | MUMBAI | May 2023 | Jul 2023 | 7 Weeks | Campus Internship
CITY AND INDUSTRIAL DEVELOPMENT CORPORATION OF MAHARASHTRA LIMITED | SUPERVISING RESIDENTIAL BUILDING COMPLEX IN NAVI MUMBAI | KHARGHAR, NAVI MUMBAI | Jun 2018 | Jul 2018 | 3 Weeks</t>
  </si>
  <si>
    <t>p2270413</t>
  </si>
  <si>
    <t>VANJARI</t>
  </si>
  <si>
    <t>Meet Narendra Vanjari</t>
  </si>
  <si>
    <t>meetvanjari1000@gmail.com</t>
  </si>
  <si>
    <t>p2270413@student.nicmar.ac.in</t>
  </si>
  <si>
    <t>Music,Swimming,Cooking,Travelling</t>
  </si>
  <si>
    <t>5019 0791 3299</t>
  </si>
  <si>
    <t>NARENDRA RAVDU VANJARI</t>
  </si>
  <si>
    <t>BHARATI NARENDRA VANJARI</t>
  </si>
  <si>
    <t>G-7 SAI SAVLI VASANT VIHAR SOCIETY BEHIND SHRUSTI APPARTMENT GANDEVI ROAD NAVSARI</t>
  </si>
  <si>
    <t>ST FRANCIS OF CONVENT ASSISI HIGH SCHOOL NAVSARI</t>
  </si>
  <si>
    <t>GUJARAT SECONDARY &amp; HIGHER SECONDARY EDUCATION BOARD GANDHINAGAR</t>
  </si>
  <si>
    <t>CHHOTUBHAI GOPALBHAI PATEL INSTITUTION OF TECHNOLOGY BARDOLI  DI:SURAT TA:MAHUVA MALIBA CAMPUS UKA TARSADIA UNIVERSITY GUJARAT</t>
  </si>
  <si>
    <t>UKA TARSADIA UNIVERSITY BARDOLI DI:SURAT TA:MAHUVA</t>
  </si>
  <si>
    <t>AutoCAD,MS Office,MS Project,Primavera,MS Excel,Revit,Candy</t>
  </si>
  <si>
    <t>PSP PROJECTS LIMITED | PROJECT TRAINEE | SURAT | May 2023 | Jul 2023 | 7 Weeks | Campus Internship
SHREE BHAVANI CONSTRUCTION BABAEN BARDOLI | TRAINEE OF B.TECH CIVIL ENGINEER | JALALPORE NAVSARI | May 2022 | Jun 2022 | 6 Weeks
STEEL CRETE | TRAINEE OF DIPLOMA CIVIL ENGINEER | JALALPORE NAVSARI | May 2018 | Jun 2018 | 5 Weeks</t>
  </si>
  <si>
    <t>p2270414</t>
  </si>
  <si>
    <t>GIRIGOUDAR</t>
  </si>
  <si>
    <t>Bhakti Girigoudar</t>
  </si>
  <si>
    <t>bhaktigirigoudar53@gmail.com</t>
  </si>
  <si>
    <t>p2270414@student.nicmar.ac.in</t>
  </si>
  <si>
    <t>29-Sep-1995</t>
  </si>
  <si>
    <t>English, Hindi, Kannada Marathi</t>
  </si>
  <si>
    <t>Singing,Social media enthusiastic,Watching motivational videos,Event organizing</t>
  </si>
  <si>
    <t>5919 5158 1989</t>
  </si>
  <si>
    <t>UMESH GIRIGOUDAR</t>
  </si>
  <si>
    <t>NAINA GIRIGOUDAR</t>
  </si>
  <si>
    <t>MUSIC PROFESSOR</t>
  </si>
  <si>
    <t>Plot No 05 Sangmeshwar Nagar APMC Road Belgaum</t>
  </si>
  <si>
    <t>ST XAVIER'S HIGH SCHOOL, BELGAUM</t>
  </si>
  <si>
    <t>VAISHNAVI CHETHANA PU COL, PB ROAD NEHARU NAGAR BELGAUM</t>
  </si>
  <si>
    <t>VISVESVERAYA TECHNOLOGICAL UNIVERSITY, BELGAUM, KARNATAKA</t>
  </si>
  <si>
    <t>KLE DR.M.S.SHESHIGIRI COLLEGE OF ENGINEERING AND TECHNOLOGY</t>
  </si>
  <si>
    <t>AutoCAD,MS Office,MS Project,Primavera,Revit,Navisworks,Advanced Excel,CANDY</t>
  </si>
  <si>
    <t>GSIDC | Site execution | Panaji, Goa | May 2023 | Jul 2023 | 7 Weeks | Campus Internship
MUSE INTERIORS | BIM MODELER | BELGAUM | Aug 2021 | Jul 2022 | 49 Weeks
AMITY CONSTRUCTION COMPANY | SUPERVISOR | BELGAUM | Dec 2020 | Dec 2020 | 2 Weeks</t>
  </si>
  <si>
    <t>p2270415</t>
  </si>
  <si>
    <t>Aniket Kumar Pandey</t>
  </si>
  <si>
    <t>akpdhn1999@gmail.com</t>
  </si>
  <si>
    <t>p2270415@student.nicmar.ac.in</t>
  </si>
  <si>
    <t>English, Hindi &amp; Bhojpuri</t>
  </si>
  <si>
    <t>Travelling,Listening Music</t>
  </si>
  <si>
    <t>7763 8491 8811</t>
  </si>
  <si>
    <t>ABHAY KUMAR PANDEY</t>
  </si>
  <si>
    <t>SUMAN PANDEY</t>
  </si>
  <si>
    <t>Choudhary Campus, Officers Colony, Opp. City Centre</t>
  </si>
  <si>
    <t>CENTRAL BOARD OF SECONDARY EDUCATION, DHANBAD, JHARKHAND</t>
  </si>
  <si>
    <t>S S S S S GURUKULAM</t>
  </si>
  <si>
    <t>BENGAL COLLEGE OF ENGINEERING AND TECHNOLOGY, DURGAPUR</t>
  </si>
  <si>
    <t>M/S DAROGA PRADHAN | Planning &amp; Site Execution | Dhanbad | Jul 2021 | Aug 2022 | 1 Years, 0 Months, 5 Days | 2.22</t>
  </si>
  <si>
    <t>M/S Daroga Pradhan | Project Monitoring | Dhanbad | May 2023 | Jul 2023 | 7 Weeks | Campus Internship
STATE HIGHWAYS AUTHORITY OF JHARKHAND | INTERNSHIP TRAINEE IN STRENGTHENING, DEVELOPMENT OF EXISTING TWO LANE ROAD TO FOUR LANE ROAD WITH THROUGHOUT SERVICE LANE AND CYCLE TRACK FROM GOL BUILDING TO KANKO CHOWK IN DHANBAD, JHARKHAND (20 KM  | DHANBAD | Dec 2020 | Jan 2021 | 4 Weeks</t>
  </si>
  <si>
    <t>p2270417</t>
  </si>
  <si>
    <t>ROCHAK</t>
  </si>
  <si>
    <t>Rochak Dubey</t>
  </si>
  <si>
    <t>rochakdubey64@gmail.com</t>
  </si>
  <si>
    <t>p2270417@student.nicmar.ac.in</t>
  </si>
  <si>
    <t>13-Apr-1999</t>
  </si>
  <si>
    <t>English ,Hindi</t>
  </si>
  <si>
    <t>Photography,Travelling,Gardening,Hiking,Gymming,Team Sports</t>
  </si>
  <si>
    <t>6599 4903 8432</t>
  </si>
  <si>
    <t>MR. AJAY DUBEY</t>
  </si>
  <si>
    <t>RUCHI DUBEY</t>
  </si>
  <si>
    <t>Sunrise Mega City Phase 2 HIG-6,Tili Road Sagar Madhya Pradesh</t>
  </si>
  <si>
    <t>KENDRIYA VIDYALAYA NO.1, SAGAR CANTT.</t>
  </si>
  <si>
    <t>CBSE ,KENDRIYA VIDYALAYA NO.1, SAGAR CANTT MADHYA PRADESH</t>
  </si>
  <si>
    <t>SHRI VAISHNAV POLYTECHNIC COLLEGE, INDORE</t>
  </si>
  <si>
    <t>BHARATI VIDYAPEETH DEEMED UNIVERSITY</t>
  </si>
  <si>
    <t>BHARATI VIDYAPEETH (DEEMED TO BE UNIVERSITY) COLLEGE OF ENGINEERING, PUNE</t>
  </si>
  <si>
    <t>AutoCAD,MS Project,Primavera,Bluebeam,Candy,MS Excel,Revit</t>
  </si>
  <si>
    <t>GLOBALFAIR IMPEX INDIA PVT.LTD. | QUANTITY SURVEYING | WORK FROM HOME  | May 2023 | Jul 2023 | 7 Weeks | Campus Internship
SMART CITY SAGAR | AS AN INTERN I WORK AS A SITE ENGINEER AND IN TENDERING PART ,I WAS IN THE PROJECT OF  CONSTRUCTION AND DEVELOPMENT OF SMART ROADS UNDER SMART CITY MISSION . | SAGAR  | Jul 2020 | Sep 2020 | 6 Weeks
DINESH ENGINEERS LIMITED | SITE SUPERVISION IN LAYING OF DUCTS  AND OPTICAL FIBER CABLES .  | MUMBAI  | Sep 2021 | Feb 2022 | 24 Weeks</t>
  </si>
  <si>
    <t>p2270418</t>
  </si>
  <si>
    <t>Vaibhav Omprakash Shah</t>
  </si>
  <si>
    <t>vshah0612@gmail.com</t>
  </si>
  <si>
    <t>p2270418@student.nicmar.ac.in</t>
  </si>
  <si>
    <t>12-Jun-1999</t>
  </si>
  <si>
    <t>Cricket,Volunteering at Organization</t>
  </si>
  <si>
    <t>7714 4970 9382</t>
  </si>
  <si>
    <t>OMPRAKASH SHAH</t>
  </si>
  <si>
    <t>SAVITA SHAH</t>
  </si>
  <si>
    <t>345,Shivrajpur,</t>
  </si>
  <si>
    <t>Panchmahal</t>
  </si>
  <si>
    <t>D-201,SUKAN-2,NR.MAHAKALI TEMPLE,AIRPORT CIRCLE,VIP ROAD,KARELIBAUG</t>
  </si>
  <si>
    <t>BRIGHT ENGLISH MEDIUM SCHOOL</t>
  </si>
  <si>
    <t>GUJARAT SECONDARY AND HIGHER SECONDARY EDUCATION BOARD,VADODARA,GUJARAT</t>
  </si>
  <si>
    <t>PARUL POLYTECHNIC INSTITUTE,VADODARA</t>
  </si>
  <si>
    <t>CHAROTAR UNIVERSITY OF SCIENCE AND TECHNOLOGY (CHARUSAT)</t>
  </si>
  <si>
    <t>CHANDUBHAI S PATEL INSTITUTE OF SCIENCE AND TECHNOLOGY CHANGA/GUJARAT</t>
  </si>
  <si>
    <t>AutoCAD,MS Office,MS Project,Primavera,REVIT,NAVISWORKS,CANDY</t>
  </si>
  <si>
    <t>PSP Projects Limited | Site Execution | Surat | May 2023 | Jul 2023 | 7 Weeks | Campus Internship
YAMUNA ENTERPRISE | Engineer trainee | VADODARA | Dec 2021 | Jul 2022 | 34 Weeks</t>
  </si>
  <si>
    <t>p2270420</t>
  </si>
  <si>
    <t>VISHNOI</t>
  </si>
  <si>
    <t>Divyansh Vishnoi</t>
  </si>
  <si>
    <t>divyanshvishnoi01@gmail.com</t>
  </si>
  <si>
    <t>p2270420@student.nicmar.ac.in</t>
  </si>
  <si>
    <t>01-Sep-2000</t>
  </si>
  <si>
    <t>Trekking,football,Music,Travelling</t>
  </si>
  <si>
    <t>8453 2128 9804</t>
  </si>
  <si>
    <t>AKASH VISHNOI</t>
  </si>
  <si>
    <t>SHALU PARMAR</t>
  </si>
  <si>
    <t>218/3 Amarpur Maholla Shimla Road</t>
  </si>
  <si>
    <t>ARMY PUBLIC SCHOOL</t>
  </si>
  <si>
    <t>CBSE NAHAN</t>
  </si>
  <si>
    <t>CAREER ACADEMY SEN. SEC. SCHOOL</t>
  </si>
  <si>
    <t>HIMACHAL PRADESH BOARD OF SCHOOL EDUCATION</t>
  </si>
  <si>
    <t>SRM UNIVERSITY,CHENNAI</t>
  </si>
  <si>
    <t>AutoCAD,MS Office,MS Project,Primavera,Revit,Candy,NavisWork,Ms Excel</t>
  </si>
  <si>
    <t>INDIAN HUME PIPE | SITE EXECUTION &amp; CONTROL | JAIPUR | May 2023 | Jul 2023 | 7 Weeks | Campus Internship
HIMACHAL PRADESH POWER CO OPERATION LIMITED | TRAINEE | RENUKA HIMACHAL PRADESH  | Aug 2021 | Aug 2021 | 4 Weeks</t>
  </si>
  <si>
    <t>p2270421</t>
  </si>
  <si>
    <t>THALLAM</t>
  </si>
  <si>
    <t>VENKATA SAI</t>
  </si>
  <si>
    <t>Thallam Venkata Sai Sharan</t>
  </si>
  <si>
    <t>venkatasai7789@gmail.com</t>
  </si>
  <si>
    <t>p2270421@student.nicmar.ac.in</t>
  </si>
  <si>
    <t>01-Jul-2001</t>
  </si>
  <si>
    <t>English,Hindi,Telugu,Kannada,Tamil</t>
  </si>
  <si>
    <t>*Cricket,*VolleyBall,*Travelling</t>
  </si>
  <si>
    <t>6685 4077 5412</t>
  </si>
  <si>
    <t>MADHUSUDHANARAO</t>
  </si>
  <si>
    <t>RAILWAY CONTRACTOR</t>
  </si>
  <si>
    <t>RANGAPUSHPA</t>
  </si>
  <si>
    <t>Vijay Nagar Colony</t>
  </si>
  <si>
    <t>INDUS EM HIGH SCHOOL</t>
  </si>
  <si>
    <t>BOARD OF SECONDARY EDUCATION ANDHRAPRADESH</t>
  </si>
  <si>
    <t>SRI CHAITNAYA JOUNIOR COLLEGE</t>
  </si>
  <si>
    <t>PES UNIVERSITY-BANGLORE-KARNATAKA</t>
  </si>
  <si>
    <t>H.G. Infra Engineering | Managment Trainee | wyra,Khammam | May 2023 | Jul 2023 | 7 Weeks | Campus Internship
PCMR CONSTRUCTIONS | SITE ENGINEER | TIRUPATI,HYDERBAD | Jan 2022 | Apr 2022 | 13 Weeks
MPR CONSTRUCTIONS | SITE ENGINEER | HYDERBAD | Sep 2021 | Dec 2021 | 13 Weeks</t>
  </si>
  <si>
    <t>p2270422</t>
  </si>
  <si>
    <t>BADRISH</t>
  </si>
  <si>
    <t>AGARWAL</t>
  </si>
  <si>
    <t>Badrish Vaibhav Agarwal</t>
  </si>
  <si>
    <t>a.badrish09@gmail.com</t>
  </si>
  <si>
    <t>p2270422@student.nicmar.ac.in</t>
  </si>
  <si>
    <t>English, Hindi, Gujarat</t>
  </si>
  <si>
    <t>Basketball,Badminton,Writing Poems,Football</t>
  </si>
  <si>
    <t>2901 6965 4443</t>
  </si>
  <si>
    <t>VAIBHAV AGARWAL</t>
  </si>
  <si>
    <t>NIDHI AGARWAL</t>
  </si>
  <si>
    <t>B-801 Rivera Heights, Nr. Lazamani Chowk, Mota Varacha</t>
  </si>
  <si>
    <t>SHRI RAMKRISHNA HARIKRISHNA ACADEMY</t>
  </si>
  <si>
    <t>ADANI UNIVERISTY</t>
  </si>
  <si>
    <t>ADANI INSTITUTE OF INFRASTRUCTURE ENGINEERING/ AHMEDABAD/ GUJARAT</t>
  </si>
  <si>
    <t>ERNST AND YOUNG | RESEARCH | AHMEDABAD  | May 2023 | Jul 2023 | 7 Weeks | Campus Internship
GIPCL SURAT LIGNITE POWER PLANT | STUDENT INTERN | KIM | Jun 2021 | Jun 2021 | 1 Weeks
GUJARAT METRO RAIL CORPORATION LIMITED | CIVIL ENG. STUDENT INTERN | SURAT | Jan 2022 | Apr 2022 | 11 Weeks</t>
  </si>
  <si>
    <t>p2270423</t>
  </si>
  <si>
    <t>Prathamesh Bharat Yadav</t>
  </si>
  <si>
    <t>prathameshyadav363@gmail.com</t>
  </si>
  <si>
    <t>p2270423@student.nicmar.ac.in</t>
  </si>
  <si>
    <t>Dancing,Travelling,Reading</t>
  </si>
  <si>
    <t>3997 8592 6857</t>
  </si>
  <si>
    <t>BUSSINESSS</t>
  </si>
  <si>
    <t>2601,vasant Marvel Granduer Tower Near Mtnl Office Borivali East</t>
  </si>
  <si>
    <t>ST.LAWRENCE HIGH SCHOOL</t>
  </si>
  <si>
    <t>THAKUR COLLEGE OF ENGINEERING AND TECHONOLOGY</t>
  </si>
  <si>
    <t>AutoCAD,MS Office,MS Project,Primavera,candy</t>
  </si>
  <si>
    <t>J. KUMAR INFRAPROJECTS LTD. | INTERN | MUMBAI | May 2023 | Jul 2023 | 7 Weeks | Campus Internship
PANJAIAHYADAV LTD | INTERN | MUMBAI | Jan 2021 | Mar 2021 | 12 Weeks</t>
  </si>
  <si>
    <t>p2270424</t>
  </si>
  <si>
    <t>BHAMARE</t>
  </si>
  <si>
    <t>Siddhesh Mangesh Bhamare</t>
  </si>
  <si>
    <t>sbhamare002@gmail.com</t>
  </si>
  <si>
    <t>p2270424@student.nicmar.ac.in</t>
  </si>
  <si>
    <t>Travelling,Trekking,Photography,Sports</t>
  </si>
  <si>
    <t>6202 0464 6302</t>
  </si>
  <si>
    <t>MANGESH VASANTRAO BHAMARE</t>
  </si>
  <si>
    <t>CHETANA MANGESH BHAMARE</t>
  </si>
  <si>
    <t>13/A Tatiya Nagar Near 'Dhandai' Hospital  Perejpur Road. Taluka- Sakri Dist. Dhule</t>
  </si>
  <si>
    <t>JAI HIND HIGH SCHOOL , DHULE</t>
  </si>
  <si>
    <t>MAHARASHTRA STATE BOARD OF SECONDARY AND HIGHER SECONDARY EDUCATION,PUNE.    NASHIK BOARD/ MAHARASHTRA</t>
  </si>
  <si>
    <t>S.M.P.R.PATIL VIDYALAYA AND ARTS ,SCIENCE JUNIOR COLLEGE , BORVIHIR , TAL.DIST. DHULE</t>
  </si>
  <si>
    <t>SHRI VILE PARLE KELAVANI MANDAL'S INSTITUTE OF TECHNOLOGY , DHULE</t>
  </si>
  <si>
    <t>EssAct Project Management LLP | Summer Intern | Surat , Gujarat | May 2023 | Jul 2023 | 7 Weeks | Campus Internship
MS S B DESHMUKH GOVT CIVIL CONTRACTOR AND CONSULTING ENGINEER | Site Engineer  | DHULE  | May 2021 | Dec 2021 | 31 Weeks</t>
  </si>
  <si>
    <t>p2270425</t>
  </si>
  <si>
    <t>PARESH</t>
  </si>
  <si>
    <t>NERKAR</t>
  </si>
  <si>
    <t>Paresh Anil Nerkar</t>
  </si>
  <si>
    <t>pareshnerkar21@gmail.com</t>
  </si>
  <si>
    <t>p2270425@student.nicmar.ac.in</t>
  </si>
  <si>
    <t>MARATHI ENGLISH HINDI</t>
  </si>
  <si>
    <t>Listening song,Watching Movies,Playing badminton,Traveling,Meditation</t>
  </si>
  <si>
    <t>7135 7959 5465</t>
  </si>
  <si>
    <t>ANIL TUKARAM NERKAR</t>
  </si>
  <si>
    <t>NISHA ANIL NERKAR</t>
  </si>
  <si>
    <t>PLOT NO-15,GHAR NO-33,SANTOSH NIVAS,PAROLA ROAD,BADGUJAR PLOT,NEAR DATTA MANDIR,VTC: DHULE,PO:DHULE,SUB DISTRICT: DHULE,DISTRICT:DHULE,STATE:MAHARASHTRA,424001.</t>
  </si>
  <si>
    <t>JAI HIND HIGHSCHOOL</t>
  </si>
  <si>
    <t>MAHARASHTRA STATE BOARD OF SECONDARY AND HIGHER SECONDARY EDUCATION, PUNE,MAHARSHTRA</t>
  </si>
  <si>
    <t>DR. BABASAHEB AMBEDKAR TECHNOLOGY UNIVERSITY</t>
  </si>
  <si>
    <t>SHRI VILE PARLE KELAVANI MANDALÃ¢â‚¬â„¢S INSTITUTE OF TECHNOLOGY,DHULE -424 001, MAHARASHTRA,</t>
  </si>
  <si>
    <t>Avira Group of Construction | Site Execution and Control | Pune | May 2023 | Jul 2023 | 7 Weeks | Campus Internship</t>
  </si>
  <si>
    <t>p2270428</t>
  </si>
  <si>
    <t>Agarwal Ayush Rajkumar</t>
  </si>
  <si>
    <t>ayushagarwal14128@gmail.com</t>
  </si>
  <si>
    <t>p2270428@student.nicmar.ac.in</t>
  </si>
  <si>
    <t>14-Dec-1998</t>
  </si>
  <si>
    <t>Bike Riding,Trecking,Foodie</t>
  </si>
  <si>
    <t>8046 5491 1498</t>
  </si>
  <si>
    <t>RAJKUMAR AGARWAL</t>
  </si>
  <si>
    <t>SHOPEKEEPER</t>
  </si>
  <si>
    <t>BHARATI AGARWAL</t>
  </si>
  <si>
    <t>Sec No 7, Plot No:- 80/20, Narayani Nivas, Indrayaninagar, Bhosari ,Pune</t>
  </si>
  <si>
    <t>DR DY PATIL SCHOOL PIMPRI</t>
  </si>
  <si>
    <t>Y B PATIL POLYTECHNIC PUNE</t>
  </si>
  <si>
    <t>2015-Oct</t>
  </si>
  <si>
    <t>DR. D Y PATIL SCHOOL OF ENGINEERING, CHARHOLI, PUNE</t>
  </si>
  <si>
    <t>Haardik Impulse Developer LLP | Execution | Moshi | Aug 2021 | May 2022 | 0 Years, 9 Months, 2 Days | 1.2</t>
  </si>
  <si>
    <t>Svatantra Micro Housing Finance | Management Trainee - Technical | pune | May 2023 | Jul 2023 | 7 Weeks | Campus Internship</t>
  </si>
  <si>
    <t>p2270429</t>
  </si>
  <si>
    <t>SARAF</t>
  </si>
  <si>
    <t>Aditya Deepak Saraf</t>
  </si>
  <si>
    <t>adityasaraf161@gmail.com</t>
  </si>
  <si>
    <t>p2270429@student.nicmar.ac.in</t>
  </si>
  <si>
    <t>marathi, hindi, english</t>
  </si>
  <si>
    <t>Pencil sketching,drama,cricket</t>
  </si>
  <si>
    <t>9893 8474 8787</t>
  </si>
  <si>
    <t>DEEPAK SARAF</t>
  </si>
  <si>
    <t>ANJALI SARAF</t>
  </si>
  <si>
    <t>Shivtej Nagar Chikhali Pradhikaran</t>
  </si>
  <si>
    <t>SARASWATI VISHWA VIDYALAYA</t>
  </si>
  <si>
    <t>PRATIBHA JR.COLLEGE</t>
  </si>
  <si>
    <t>Ayush Construction | Site Engineer | Anudh, pune | May 2023 | Jul 2023 | 7 Weeks | Campus Internship</t>
  </si>
  <si>
    <t>p2270430</t>
  </si>
  <si>
    <t>MYLAM</t>
  </si>
  <si>
    <t>Manoj Kumar Mylam</t>
  </si>
  <si>
    <t>mmkofficial2@gmail.com</t>
  </si>
  <si>
    <t>p2270430@student.nicmar.ac.in</t>
  </si>
  <si>
    <t>02-Sep-1997</t>
  </si>
  <si>
    <t>Badminton,Reading novels,Cooking,Travelling</t>
  </si>
  <si>
    <t>9123 3590 5091</t>
  </si>
  <si>
    <t>SANJAY KUMAR (LATE )</t>
  </si>
  <si>
    <t>PASSED AWAY</t>
  </si>
  <si>
    <t>SHANTI SREE</t>
  </si>
  <si>
    <t>Plot # 54 Road # 2, Vajra Enclave, Old Alwal SECUNDERABAD-10</t>
  </si>
  <si>
    <t>SHADNAGAR ENGLISH MEDIUM HIGH SCHOOL</t>
  </si>
  <si>
    <t>VIZAG DEFENCE ACADEMY</t>
  </si>
  <si>
    <t>METHODIST COLLEGE OF ENGINEERING AND TECHNOLOGY HYDERABAD</t>
  </si>
  <si>
    <t>AutoCAD,MS Office,MS Project,Primavera,ETABs</t>
  </si>
  <si>
    <t>APURUPA INFRASTRUCTURE Pvt Ltd | Handling the contractors , verifying there bills and Executing all the works as per plan and to handover to customers  | Kompally, Hyderabad | Jul 2019 | Aug 2022 | 3 Years, 1 Months, 8 Days | 3.6</t>
  </si>
  <si>
    <t>K.V.R. Estates | Site engineer | Visakhapatnam  | May 2023 | Jul 2023 | 8 Weeks | Campus Internship</t>
  </si>
  <si>
    <t>p2270431</t>
  </si>
  <si>
    <t>PAVAN</t>
  </si>
  <si>
    <t>Pavan P</t>
  </si>
  <si>
    <t>09ppavan@gmail.com</t>
  </si>
  <si>
    <t>p2270431@student.nicmar.ac.in</t>
  </si>
  <si>
    <t>Photography,Cycling</t>
  </si>
  <si>
    <t>6012 9367 0298</t>
  </si>
  <si>
    <t>PRABHAKAR Y</t>
  </si>
  <si>
    <t>GEETHA K</t>
  </si>
  <si>
    <t>#14B Patil Pillae Gowda Layout 1st Cross Ramachandrapura</t>
  </si>
  <si>
    <t>M.E.S KISHORE KENDRA</t>
  </si>
  <si>
    <t>NITTE MEENAKSHI INSTITUTE OF TECHNOLOGY (KARNATAKA)</t>
  </si>
  <si>
    <t>other,Primavera P6,Microsoft Project,Power BI,Cost X,Microsoft Office,AutoCAD</t>
  </si>
  <si>
    <t>Savills Property Services | Management Intern | Bangalore  | May 2023 | Jul 2023 | 7 Weeks | Campus Internship</t>
  </si>
  <si>
    <t>p2270432</t>
  </si>
  <si>
    <t>GAONKAR</t>
  </si>
  <si>
    <t>Aditi Pramod Gaonkar</t>
  </si>
  <si>
    <t>aditigaonkar08@gmail.com</t>
  </si>
  <si>
    <t>p2270432@student.nicmar.ac.in</t>
  </si>
  <si>
    <t>08-May-1998</t>
  </si>
  <si>
    <t>Trekking,Sketching,Travelling,Dancing</t>
  </si>
  <si>
    <t>2864 9813 5604</t>
  </si>
  <si>
    <t>PRAMOD PILAJI GAONKAR</t>
  </si>
  <si>
    <t>PRADNYA PRAMOD GAONKAR</t>
  </si>
  <si>
    <t>SUKHWANI PARK, PLOT NO 42, 3/2, NEAR MASTER BAKERY, UDYAM NAGAR, PIMPRI, PUNE - 411018</t>
  </si>
  <si>
    <t>SHRI. SHIV CHHATRAPATI SHIVAJI RAJE VIDYALAYA, CHINCHWAD, PUNE - 411019</t>
  </si>
  <si>
    <t>KAMALNAYAN BAJAJ, HIGHER SECONDARY, SCHOOL, CHINCHWAD, PUNE - 411019</t>
  </si>
  <si>
    <t>S. B. PATIL COLLEGE OF ARCHITECTURE AND DESIGN</t>
  </si>
  <si>
    <t>AutoCAD,MS Office,MS Project,Primavera,Revit,Sketchup,Lumion,Photoshop,Candy</t>
  </si>
  <si>
    <t>SAKAAR ARCHITECTS AND PLANNERS | Junior Architect | NIGDI, PUNE | Mar 2021 | Mar 2022 | 1 Years, 0 Months, 9 Days | 1.35</t>
  </si>
  <si>
    <t>Godrej Properties | Operatios | Pune | May 2023 | Jul 2023 | 7 Weeks | Campus Internship
HABITAT TECHNOLOGY GROUP | Architectural Intern | TRIVANDRUM, KERALA | May 2019 | Oct 2019 | 23 Weeks</t>
  </si>
  <si>
    <t>p2270433</t>
  </si>
  <si>
    <t>Rishikesh Dinesh Jagtap</t>
  </si>
  <si>
    <t>rishikeshj248@gmail.com</t>
  </si>
  <si>
    <t>p2270433@student.nicmar.ac.in</t>
  </si>
  <si>
    <t>15-Mar-2001</t>
  </si>
  <si>
    <t>Cricket,Volleyball,Music</t>
  </si>
  <si>
    <t>2427 8413 2247</t>
  </si>
  <si>
    <t>DINESH GOPALRAO JAGTAP</t>
  </si>
  <si>
    <t>BUSNIESSMAN</t>
  </si>
  <si>
    <t>SARIKA DINESH JAGTAP</t>
  </si>
  <si>
    <t>Plot No 14/15 ,flat No 501,Prabhuleela Heights, Raisoni Nagar , Jalgaon</t>
  </si>
  <si>
    <t>SWAMI VIVEKANANDA JUNIOR COLLEGE</t>
  </si>
  <si>
    <t>HSC BOARD,MAHARASHTRA</t>
  </si>
  <si>
    <t>DR. BABASAHEB AMBEDKAR TECHNOLOGICAL UNIVERSITY (BATU,LONERE)</t>
  </si>
  <si>
    <t>R.C.PATEL INSTITUTE OF TECHNOLGY , SHIRPUR</t>
  </si>
  <si>
    <t>AutoCAD,MS Office,MS Project,Primavera,Revit,Excel,Candy</t>
  </si>
  <si>
    <t>Ashwin Sheth Group | Procurement | Mumbai | May 2023 | Jul 2023 | 7 Weeks | Campus Internship
STRUCTURES | TRAINEE ENGINEER | JALGAON | Mar 2022 | Jun 2022 | 15 Weeks</t>
  </si>
  <si>
    <t>p2270434</t>
  </si>
  <si>
    <t>KEVIN</t>
  </si>
  <si>
    <t>Kevin E</t>
  </si>
  <si>
    <t>kevinsammuel30@gmail.com</t>
  </si>
  <si>
    <t>p2270434@student.nicmar.ac.in</t>
  </si>
  <si>
    <t>Astronomy,Photography,Photogrammetry,History,Gaming</t>
  </si>
  <si>
    <t>2149 9361 2845</t>
  </si>
  <si>
    <t>HLV EHDWARD</t>
  </si>
  <si>
    <t>E VINITHA</t>
  </si>
  <si>
    <t>12, 2nd Cross, 3rd Street, Alpha Nagar, Karumandapam, Trichy-620001</t>
  </si>
  <si>
    <t>KAMALA NIKETAN SCHOOL</t>
  </si>
  <si>
    <t>CBSE TIRUCHIRAPALLI</t>
  </si>
  <si>
    <t>CARE SCHOOL OF ARCHITECTURE</t>
  </si>
  <si>
    <t>AutoCAD,MS Office,MS Project,Primavera,Revit Architecture,Recap Pro,Navisworks,Adobe Indesign,Adobe Premiere Pro,Adobe Photoshop,Adobe Lightroom,Lumion,Agisoft Photoscan Professional,Metashape,SketchUp,Rhino,Twinmotion,Enscape,Power BI,Candy</t>
  </si>
  <si>
    <t>ILLUMINE I | PROJECT MANAGEMENT IN BIM, CUSTOMER EXPERIENCE | CHENNAI | May 2023 | Jul 2023 | 7 Weeks | Campus Internship
URBANFRAME SPACE MATRIX | ARCHITECTURAL INTERN (DESIGN DEVELOPMENT) | BANGALORE | Aug 2021 | Dec 2021 | 19 Weeks</t>
  </si>
  <si>
    <t>p2270435</t>
  </si>
  <si>
    <t>SARAVANAKUMAR</t>
  </si>
  <si>
    <t>Saravanakumar S</t>
  </si>
  <si>
    <t>sangiahsaravana@gmail.com</t>
  </si>
  <si>
    <t>p2270435@student.nicmar.ac.in</t>
  </si>
  <si>
    <t>11-Jun-1999</t>
  </si>
  <si>
    <t>Reading and writing fiction,Farming,Cricket</t>
  </si>
  <si>
    <t>4277 3576 4359</t>
  </si>
  <si>
    <t>SANGIAH I</t>
  </si>
  <si>
    <t>RAJALAKSHMI SANGIAH</t>
  </si>
  <si>
    <t>1/178, NORTH STREET, V MUTHULINGAPURAM</t>
  </si>
  <si>
    <t>4/34, ETTANAICKENPATTI, PATTAMPUDHUR POST</t>
  </si>
  <si>
    <t>K V S MATRIC HR SEC SCHOOL VIRUDHUNAGAR</t>
  </si>
  <si>
    <t>DEPARTMENT OF GOVERNMENT EXAMINATIONS, CHENNAI</t>
  </si>
  <si>
    <t>MEPCO SCHLENK ENGINEERING COLLEGE, SIVAKASI</t>
  </si>
  <si>
    <t>AutoCAD,MS Office,MS Project,Primavera,Candy,Autodesk Revit,Navisworks</t>
  </si>
  <si>
    <t>SHAPOORJI PALLONJI AND COMPANY PRIVATE LIMITED | SUMMER INTERN- PROJECTS | MUMBAI | May 2023 | Jul 2023 | 8 Weeks | Campus Internship
SHAPOORJI PALLONJI AND COMPANY PRIVATE LIMITED | INTERNSHIP TRAINEE | PALAKKAD, KERALA | Feb 2021 | Mar 2021 | 8 Weeks</t>
  </si>
  <si>
    <t>p2270437</t>
  </si>
  <si>
    <t>ANOL</t>
  </si>
  <si>
    <t>Anol Paul</t>
  </si>
  <si>
    <t>anolpaul0711@gmail.com</t>
  </si>
  <si>
    <t>p2270437@student.nicmar.ac.in</t>
  </si>
  <si>
    <t>07-Nov-1997</t>
  </si>
  <si>
    <t>English , Hindi , Bengali</t>
  </si>
  <si>
    <t>4778 9382 9702</t>
  </si>
  <si>
    <t>SWAPAN PAUL</t>
  </si>
  <si>
    <t>PIYALI PAUL</t>
  </si>
  <si>
    <t>C/1 Mahanam Pally , Raghunathpur , V.I.P Road</t>
  </si>
  <si>
    <t>SALT LAKE SCHOOL</t>
  </si>
  <si>
    <t>COUNCIL FOR THE INDIAN SCHOOL CERTIFICATE EXAMINATIONS  , KOLKATA/WEST BENGAL</t>
  </si>
  <si>
    <t>SRM INSTITUTE OF SCIENCE AND TECHNOLOGY ,  CHENNAI/ TAMIL NADU</t>
  </si>
  <si>
    <t>PAUL BUILDERS Pvt. Ltd. |  Site Engineer | West Bengal | Aug 2020 | Jul 2022 | 1 Years, 11 Months, 30 Days | 2.88</t>
  </si>
  <si>
    <t>L and T  Realty | Site Execution | Kolkata | May 2023 | Jul 2023 | 7 Weeks | Campus Internship
AIRPORT AUTHORITY OF INDIA | TRAINEE | KOLKATA | Jun 2019 | Jun 2019 | 2 Weeks
AIRPORT AUTHORITY OF INDIA | TRAINEE | KOLKATA | Dec 2018 | Dec 2018 | 1 Weeks
CENTRAL PUBLIC WORKS DEPARTMENT | TRAINEE | KOLKATA | Jun 2018 | Jun 2018 | 3 Weeks</t>
  </si>
  <si>
    <t>p2270438</t>
  </si>
  <si>
    <t>Praveen Parmar</t>
  </si>
  <si>
    <t>praveenparmar32@gmail.com</t>
  </si>
  <si>
    <t>p2270438@student.nicmar.ac.in</t>
  </si>
  <si>
    <t>20-Apr-1997</t>
  </si>
  <si>
    <t>1) Basketball,2) Cricket,3) Trekking,4)Photography,5)Music</t>
  </si>
  <si>
    <t>2249 6594 3956</t>
  </si>
  <si>
    <t>ROOPSINGH PARMAR</t>
  </si>
  <si>
    <t>TARAMANI PARMAR</t>
  </si>
  <si>
    <t>H/53,Old Village Baghsewaniya Near Raja Bhoj Arcade, Bhopal(MP)</t>
  </si>
  <si>
    <t>MOUNT CARMEL CONVENT SCHOOL, BHOPAL</t>
  </si>
  <si>
    <t>INDIAN CERTIFICATE OF SECONDARY EDUCATION,BHOPAL</t>
  </si>
  <si>
    <t>SILVER BELLS CONVENT SCHOOL,BHOPAL</t>
  </si>
  <si>
    <t>BOARD OF SECONDARY EDUCATION, MADHYA PRADESH</t>
  </si>
  <si>
    <t>RAJIV GANDHI PROUDYOGIKI VISHWAVIDYALAYA, BHOPAL (MP)</t>
  </si>
  <si>
    <t>AutoCAD,MS Project,Primavera,MS Word,MS Excel,Revit,Naviswork,Candy</t>
  </si>
  <si>
    <t>PROSPERITE INFRASTRUCTURE | Site Execution  | BHOPAL | Oct 2021 | Apr 2022 | 0 Years, 6 Months, 19 Days | 1.8</t>
  </si>
  <si>
    <t>LARSEN AND TOUBRO REALTY | SITE EXECUTION | MUMBAI | May 2023 | Jul 2023 | 7 Weeks | Campus Internship
DIPTI CONSTRUCTION | Site Execution | BHOPAL | Jun 2019 | Jun 2019 | 2 Weeks</t>
  </si>
  <si>
    <t>p2270439</t>
  </si>
  <si>
    <t>BISWARUP</t>
  </si>
  <si>
    <t>Biswarup Dey</t>
  </si>
  <si>
    <t>biswax45@gmail.com</t>
  </si>
  <si>
    <t>p2270439@student.nicmar.ac.in</t>
  </si>
  <si>
    <t>Gardening,Playing Cricket,Travelling</t>
  </si>
  <si>
    <t>8971 4224 9873</t>
  </si>
  <si>
    <t>SHYAM SUNDAR DEY</t>
  </si>
  <si>
    <t>PART-TIMER ACCOUNTANT</t>
  </si>
  <si>
    <t>SUBHRA DEY</t>
  </si>
  <si>
    <t>VILL.-SHITALPUR_x000D_
P.O.-AMLASULI,P.S.-GOALTORE_x000D_
DIST.-PASCHIM MEDINIPUR</t>
  </si>
  <si>
    <t>AMLASULI INDRANARAYAN HIGH SCHOOL</t>
  </si>
  <si>
    <t>HOOMGARH CHANDABILA HIGH SCHOOL</t>
  </si>
  <si>
    <t>MAULANA ABUL KALAM AZAD UNIVERSITY OF TECHNOLOGY,WEST BENGAL</t>
  </si>
  <si>
    <t>DR. B. C. ROY ENGINEERING COLLEGE , DURGAPUR</t>
  </si>
  <si>
    <t>AutoCAD,MS Office,MS Project,Primavera,Revit,Navisworks Manage</t>
  </si>
  <si>
    <t>JAYPEE PROJECTS LIMITED | Junior Civil Engineer | IIT/KHARAGPUR-I | Apr 2021 | Jun 2022 | 1 Years, 2 Months, 1 Days | 0.96
RANA ENGINEERING CO.(INDIA) PVT. LTD. | Site Engineer | Garhbeta | Oct 2018 | Mar 2021 | 2 Years, 5 Months, 27 Days | 1.44</t>
  </si>
  <si>
    <t>PACIFICA  COMPANIES | SITE EXECUTION AND CONTROL | HYDERABAD | May 2023 | Jul 2023 | 7 Weeks | Campus Internship
PUBLIC WORK DEPARTMENT | VOCATIONAL TRAINEE | DURGAPUR SUB DIVISION | Jul 2017 | Jul 2017 | 2 Weeks</t>
  </si>
  <si>
    <t>p2270440</t>
  </si>
  <si>
    <t>MOHMED JUNED</t>
  </si>
  <si>
    <t>MOHMED SOEB</t>
  </si>
  <si>
    <t>IMAM</t>
  </si>
  <si>
    <t>Mohmed Juned Mohmed Soeb Imam</t>
  </si>
  <si>
    <t>imamjuned91@gmail.com</t>
  </si>
  <si>
    <t>p2270440@student.nicmar.ac.in</t>
  </si>
  <si>
    <t>Football,Cricket,Drama,Dance</t>
  </si>
  <si>
    <t>5174 1211 7311</t>
  </si>
  <si>
    <t>RASHEDAKHATUN IMAM</t>
  </si>
  <si>
    <t>SAFRI STREET NEAR MADINA MASJID,POLOGROUND, HIMATNAGAR</t>
  </si>
  <si>
    <t>RUMI ENGLISH HIGH SCHOOL</t>
  </si>
  <si>
    <t>GUJARAT SECONDARY &amp; HIGHER SECONDARY EDUCATION BOARD, GANDHINAGAR,GUJARAT</t>
  </si>
  <si>
    <t>DHARMSINH DESAI UNIVERSITY, NADIAD, GUJARAT</t>
  </si>
  <si>
    <t>Savills Property Services | Intern Project Management Services | Ahmedabad | May 2023 | Jul 2023 | 7 Weeks | Campus Internship
NIZAMUDDIN ABDULGANI HARADWALA CONTRACTOR AND ENGINEER |  Junior Engineer | HIMATNAGAR | Dec 2021 | Mar 2022 | 15 Weeks</t>
  </si>
  <si>
    <t>p2270441</t>
  </si>
  <si>
    <t>Kumar Akshat</t>
  </si>
  <si>
    <t>shubhamindia007@gmail.com</t>
  </si>
  <si>
    <t>p2270441@student.nicmar.ac.in</t>
  </si>
  <si>
    <t>01-Jun-1998</t>
  </si>
  <si>
    <t>Cricket,health &amp; fitness,crip sector,hiking</t>
  </si>
  <si>
    <t>2588 9261 1599</t>
  </si>
  <si>
    <t>RADHEY SHYAM PRASAD</t>
  </si>
  <si>
    <t>STATE GOVT.SERVICES</t>
  </si>
  <si>
    <t>KIRAN PRASAD</t>
  </si>
  <si>
    <t>C-3/75,VISHESH KHAND,GOMTI NAGAR,LUCKNOW</t>
  </si>
  <si>
    <t>ROOM NO.326,SJB HOSTEL,NICMAR UNIVERSITY,BALEWADI,BANER ,PUNE</t>
  </si>
  <si>
    <t>CITY MONTESSORI SCHOOL,LUCKNOW</t>
  </si>
  <si>
    <t>COUNCIL FOR THE INDIAN COUNCIL OF SECONDARY EDUCATION (ICSE),LUCKNOW(UP)</t>
  </si>
  <si>
    <t>S.K.D.ACADEMY,GOMTI NAGAR,LUCKNOW</t>
  </si>
  <si>
    <t>CENTRAL BOARD OF SECONDARY EDUCATION (CBSE),LUCKNOW(UP)</t>
  </si>
  <si>
    <t>SINHGAD COLLEGE OF ENGINEERING,VADGAON BK,PUNE</t>
  </si>
  <si>
    <t>MS Office,MS Project,Primavera,CANDY,Revit-23</t>
  </si>
  <si>
    <t>ASIAN PAINTS PVT.LTD. | PROJECT SALES | BANGALORE | May 2023 | Jul 2023 | 7 Weeks | Campus Internship
UPICD SAHARANPUR | SITE PROJECT INTERN | SAHARANPUR | Jun 2019 | Jun 2019 | 3 Weeks</t>
  </si>
  <si>
    <t>p2270442</t>
  </si>
  <si>
    <t>Raut Ram Anil</t>
  </si>
  <si>
    <t>raut29591@gmail.com</t>
  </si>
  <si>
    <t>p2270442@student.nicmar.ac.in</t>
  </si>
  <si>
    <t>1.Cricket,2.Chess,3.Swimming,4.Treeking,5.Cycling</t>
  </si>
  <si>
    <t>2863 8599 4313</t>
  </si>
  <si>
    <t>ANIL RAUT</t>
  </si>
  <si>
    <t>RAJSHREE RAUT</t>
  </si>
  <si>
    <t>At-Itangoti Post-Champa</t>
  </si>
  <si>
    <t>SACRED HEART ACADEMY</t>
  </si>
  <si>
    <t>SANTAJI MAHVIDYALAYA</t>
  </si>
  <si>
    <t>YESHWANTRAO CHAVAN COLLEGE OF ENGINEERING  NAGPUR/MAHARASTRA</t>
  </si>
  <si>
    <t>AutoCAD,MS Office,MS Project,Primavera,Candy,Revit,Analytical skills,Interpreting GFC Drawing</t>
  </si>
  <si>
    <t>Basil Decor LLP | Project Planning &amp; Site Execution | Pune | May 2023 | Jul 2023 | 7 Weeks | Campus Internship
SUNRAJ CONSTRUCTION CIVIL CONTRACTORS AND DEVELOPERS | Site Execution &amp; Quality Control | NAGPUR | Jan 2022 | May 2022 | 17 Weeks</t>
  </si>
  <si>
    <t>p2270443</t>
  </si>
  <si>
    <t>SUNEET</t>
  </si>
  <si>
    <t>DASH</t>
  </si>
  <si>
    <t>Suneet Kumar Dash</t>
  </si>
  <si>
    <t>pupun1997@gmail.com</t>
  </si>
  <si>
    <t>p2270443@student.nicmar.ac.in</t>
  </si>
  <si>
    <t>Painting,Travelling,Table Tennis,Movies</t>
  </si>
  <si>
    <t>3544 5565 0191</t>
  </si>
  <si>
    <t>PRAFULLA KUMAR DASH</t>
  </si>
  <si>
    <t>NARMADA DASH</t>
  </si>
  <si>
    <t>VIM-662, SAILESHREE VIHAR, POST- SAILESHREE VIHAR, BHUBANESWAR</t>
  </si>
  <si>
    <t>KENDRIYA VIDYALAYA NO. 4, BHUBANESWAR</t>
  </si>
  <si>
    <t>KENDRIYA VIDYALAYA NO.4, BHUBANESWAR</t>
  </si>
  <si>
    <t>KALINGA INSTITUTE OF INDUSTRIAL TECHNOLOGY UNIVERSITY, BHUBANESWAR, ODISHA</t>
  </si>
  <si>
    <t>AutoCAD,MS Office,MS Project,Primavera,STAADPRO</t>
  </si>
  <si>
    <t>GLOBAL ARCHER CONSTRUCTION AND ENGINEERING LLP | SITE EXECUTION | MUMBAI INDIA, GUINEA WEST AFRICA | Jan 2019 | Jun 2022 | 3 Years, 5 Months, 1 Days | 8.5</t>
  </si>
  <si>
    <t>PRAGATI INFRA SOLUTIONS | Planning Engineer | Gurugram, Haryana | May 2023 | Jul 2023 | 7 Weeks | Campus Internship
CENTRAL PUBLIC WORKS DEPARTMENT | TRAINEE ENGINEER | BHUBANESWAR, ODISHA | Jun 2017 | Jun 2017 | 4 Weeks</t>
  </si>
  <si>
    <t>p2270444</t>
  </si>
  <si>
    <t>YATHARTH</t>
  </si>
  <si>
    <t>ATREY</t>
  </si>
  <si>
    <t>Yatharth Atrey</t>
  </si>
  <si>
    <t>yatharthatrey80@gmail.com</t>
  </si>
  <si>
    <t>p2270444@student.nicmar.ac.in</t>
  </si>
  <si>
    <t>25-Nov-1998</t>
  </si>
  <si>
    <t>English,Hindi and German</t>
  </si>
  <si>
    <t>9018 9602 6931</t>
  </si>
  <si>
    <t>ARUN ATREY</t>
  </si>
  <si>
    <t>SUPERINTENDENT ENGINEER</t>
  </si>
  <si>
    <t>AMITA ATREY</t>
  </si>
  <si>
    <t>J-52,Pallavpuram_x000D_
Phase-1</t>
  </si>
  <si>
    <t>H.NO-275, BLOCK-6, GEETA COLONY</t>
  </si>
  <si>
    <t>DAYAWATI MODI ACADMEY</t>
  </si>
  <si>
    <t>CBSE BOARD (MEERUT/UTTAR PRADESH)</t>
  </si>
  <si>
    <t>ST. LAWRENCE CONVENT PUBLIC SCHOOL</t>
  </si>
  <si>
    <t>AMITY UNIVESRITY</t>
  </si>
  <si>
    <t>AMITY SCHOOL OF  ENGINEERING AND TECHNOLOGY, NOIDA, UTTAR PRADESH</t>
  </si>
  <si>
    <t>AutoCAD,MS Office,MS Project,Primavera,CANDY,STAAD- PRO,Revit,procore</t>
  </si>
  <si>
    <t>MEGHA ENGINEERING &amp; INFRASTRUCTURE LIMITED | Responsible for planning, designing, and managing all aspects of the tunnel building project. | Gaucher, Uttarakhand | Sep 2020 | Jun 2022 | 1 Years, 8 Months, 23 Days | 3.64</t>
  </si>
  <si>
    <t>ADRIANSE GLOBAL | PROJECT INTERN | DELHI | May 2023 | Jul 2023 | 7 Weeks | Campus Internship
NATIONAL HIGHWAYS AUTHORITY OF INDIA | 1- WORKED AS A TRAINEE ENGINEER TO LEARN THE KEY ASPECT OF FIELD WORK. | NOIDA | Jun 2019 | Jul 2019 | 6 Weeks
DELHI METRO RAIL CORPORATION | 1- WORKED AS A TRAINEE ENGINEER TO LEARN THE KEY ASPECT OF FIELD WORK. | NOIDA | May 2018 | Jun 2018 | 4 Weeks</t>
  </si>
  <si>
    <t>p2270445</t>
  </si>
  <si>
    <t>DEWANGAN</t>
  </si>
  <si>
    <t>Prashant Shekhar Dewangan</t>
  </si>
  <si>
    <t>prashantshekhar001@gmail.com</t>
  </si>
  <si>
    <t>p2270445@student.nicmar.ac.in</t>
  </si>
  <si>
    <t>24-Jun-1995</t>
  </si>
  <si>
    <t>Swimming,Watching Cricket,Information Gathering,Engage in productive work,Helping</t>
  </si>
  <si>
    <t>8153 6484 0153</t>
  </si>
  <si>
    <t>JHAKHENDRA DEWANGAN</t>
  </si>
  <si>
    <t>SARITA DEWANGAN</t>
  </si>
  <si>
    <t>12 ICC TRANSPORT NAGAR KORBA</t>
  </si>
  <si>
    <t>Balod</t>
  </si>
  <si>
    <t>ROOM NO. 218, ULTIMA HOSTEL, NICMAR UNIVERSITY, GATE NO.2, 25/1 BALEWADI, NIA POST OFFICE PUNE</t>
  </si>
  <si>
    <t>D.D.M. PUBLIC SCHOOL, KORBA</t>
  </si>
  <si>
    <t>CENTRAL BOARD OF SECONDARY EDUCATION, KORBA/CHHATTISGARH</t>
  </si>
  <si>
    <t>DELHI PUBLIC SCHOOL, NTPC JAMNIPALI KORBA</t>
  </si>
  <si>
    <t>CHHATTISGARH SWAMI VIVEKANAND TECHNICAL UNIVERSITY, BHILAI/CHHATTISGARH</t>
  </si>
  <si>
    <t>INSTITUTE OF TECHNOLOGY, KORBA</t>
  </si>
  <si>
    <t>AutoCAD,MS Office,MS Project,Primavera,CANDY,Revit,Naviswork,Minitab</t>
  </si>
  <si>
    <t>Dee Vee Project Limited | Junior Engineer (Civil) | Raipur | Mar 2018 | Mar 2020 | 1 Years, 11 Months, 27 Days | 1.8</t>
  </si>
  <si>
    <t>NVLN CONSTRUCTIONS | Intern | Hyderabad | May 2023 | Jul 2023 | 7 Weeks | Campus Internship
PUBLIC WORK DEPARTMENT KORBA CHHATTISGARH | Intern | KORBA | Jun 2016 | Jun 2016 | 4 Weeks
PUBLIC WORK DEPARTMENT RAIPUR CHHATTISGARH | Intern | RAIPUR | Jun 2015 | Jul 2015 | 4 Weeks</t>
  </si>
  <si>
    <t>p2270446</t>
  </si>
  <si>
    <t>PALLAV</t>
  </si>
  <si>
    <t>DHOTE</t>
  </si>
  <si>
    <t>Pallav Dilip Dhote</t>
  </si>
  <si>
    <t>dhotepallav@gmail.com</t>
  </si>
  <si>
    <t>p2270446@student.nicmar.ac.in</t>
  </si>
  <si>
    <t>19-Jan-2000</t>
  </si>
  <si>
    <t>3422 1295 2941</t>
  </si>
  <si>
    <t>GOVT. CONTRACTOR</t>
  </si>
  <si>
    <t>SUDHA</t>
  </si>
  <si>
    <t>24,Nathkrupa,Jaihind Nagar, Koradi Road, Mankapur, Nagpur</t>
  </si>
  <si>
    <t>SANDIPANI SCHOOL, HAZARI PAHAD, NAGPUR</t>
  </si>
  <si>
    <t>ST. PAUL JUNIOR COLLEGE</t>
  </si>
  <si>
    <t>M/s. S.A. JAIN | Project Manager | Nagpur | May 2023 | Jul 2023 | 7 Weeks | Campus Internship
S A JAIN | SUPERVISION OF WORK | NAGPUR | Dec 2021 | Jun 2022 | 26 Weeks</t>
  </si>
  <si>
    <t>p2270447</t>
  </si>
  <si>
    <t>MRIDUL</t>
  </si>
  <si>
    <t>Mridul Agrawal</t>
  </si>
  <si>
    <t>rajaagrawal04@gmail.com</t>
  </si>
  <si>
    <t>p2270447@student.nicmar.ac.in</t>
  </si>
  <si>
    <t>24-Jul-1999</t>
  </si>
  <si>
    <t>Sports,Public Speaking,Volunteer work</t>
  </si>
  <si>
    <t>3785 4997 3714</t>
  </si>
  <si>
    <t>HARE KRISHNA AGRAWAL</t>
  </si>
  <si>
    <t>KALPANA AGRAWAL</t>
  </si>
  <si>
    <t>Behind Gandhi Stadium Near Pandav Nagar Shahdol (mp)_x000D_</t>
  </si>
  <si>
    <t>NICMAR, BALEWADI, BANER, PUNE, MAHARASHTRA</t>
  </si>
  <si>
    <t>ST. JOSEPH MISSION SCHOOL</t>
  </si>
  <si>
    <t>RGPV-BHOPAL</t>
  </si>
  <si>
    <t>IES-IPS ACADEMY</t>
  </si>
  <si>
    <t>AutoCAD,MS Office,MS Project,Primavera,Sketchup,Candy,Revit</t>
  </si>
  <si>
    <t>ANJ Turnkey Projects | Project Intern | Indore M.P | May 2023 | Jul 2023 | 7 Weeks | Campus Internship
SHREE  GAYTRI BUILDERS ASSOCIATES | SITE EXECUTION | SHAHDOL | Mar 2021 | Nov 2021 | 34 Weeks</t>
  </si>
  <si>
    <t>p2270448</t>
  </si>
  <si>
    <t>HIRANYAMAYEE</t>
  </si>
  <si>
    <t>Hiranyamayee Singh</t>
  </si>
  <si>
    <t>hiru10298@gmail.com</t>
  </si>
  <si>
    <t>p2270448@student.nicmar.ac.in</t>
  </si>
  <si>
    <t>10-Feb-1998</t>
  </si>
  <si>
    <t>Dance,Yoga,Playing Guitar</t>
  </si>
  <si>
    <t>8398 0279 9768</t>
  </si>
  <si>
    <t>CHANDRA SINGH</t>
  </si>
  <si>
    <t>JAYSHREE SINGH</t>
  </si>
  <si>
    <t>Village PO Sonaparbat Rourkela 16</t>
  </si>
  <si>
    <t>DEEPIKA ENG MEDIUM SCHOOL</t>
  </si>
  <si>
    <t>ROURKELA/ODISHA</t>
  </si>
  <si>
    <t>C.V. RAMAN COLLEGE OF ENGINEERING, BHUBANESWAR/ODISHA</t>
  </si>
  <si>
    <t>AutoCAD,MS Office,MS Project,Primavera,Naviswork,Revit</t>
  </si>
  <si>
    <t>CBRE South Asia Pvt Ltd | Site Execution Intern | Pune | May 2023 | Jul 2023 | 7 Weeks | Campus Internship
ROURKELA STEEL PLANT | VACATIONAL TRAINEE | ROURKELA | May 2018 | Jun 2018 | 4 Weeks
BHUBANESWAR DEVELOPMENT AUTHORITY | SUMMER TRAINEE | BHUBANESWAR | Jun 2019 | Jun 2019 | 4 Weeks</t>
  </si>
  <si>
    <t>p2270449</t>
  </si>
  <si>
    <t>Harshit Kumar</t>
  </si>
  <si>
    <t>hks.jaipur@gmail.com</t>
  </si>
  <si>
    <t>p2270449@student.nicmar.ac.in</t>
  </si>
  <si>
    <t>26-May-1993</t>
  </si>
  <si>
    <t>Playing bass guitar,sketching,basketball</t>
  </si>
  <si>
    <t>6304 0768 8623</t>
  </si>
  <si>
    <t>PRADEEP KUMAR</t>
  </si>
  <si>
    <t>GEETA SRIVASTAVA</t>
  </si>
  <si>
    <t>E-2/172, First Floor, Chitrakoot, Vaishali Nagar</t>
  </si>
  <si>
    <t>ST. ANSELM'S SR. SEC. SCHOOL</t>
  </si>
  <si>
    <t>CENTRAL BOARD OF SECONDARY EDUCATION , JAIPUR, RAJASTHAN</t>
  </si>
  <si>
    <t>VELLORE INSTITUTE OF TECHNOLOGY , VELLORE , TAMIL NADU</t>
  </si>
  <si>
    <t>DMR Hydroengineering ltd | Hydropower Consultant | Faridabad | Jun 2018 | Jul 2022 | 4 Years, 0 Months, 26 Days | 5.4
IRCON International Ltd | SITE EXECUTION, QA/QC , SURVEY , PLANNING &amp; BILLING | Jammu &amp; Kashmir | May 2017 | May 2018 | 0 Years, 11 Months, 29 Days | 1.2</t>
  </si>
  <si>
    <t>60 month(s)</t>
  </si>
  <si>
    <t>Rodic Consultants Pvt. Ltd | Contracts &amp; Claims | Delhi | May 2023 | Jul 2023 | 8 Weeks | Campus Internship
Jaipur Metro Rail Corporation | Site Execution | Jaipur | Jun 2015 | Jul 2015 | 4 Weeks</t>
  </si>
  <si>
    <t>p2270450</t>
  </si>
  <si>
    <t>Abhishek Chauhan</t>
  </si>
  <si>
    <t>abhi.chauhan002@gmail.com</t>
  </si>
  <si>
    <t>p2270450@student.nicmar.ac.in</t>
  </si>
  <si>
    <t>22-Feb-1993</t>
  </si>
  <si>
    <t>Hiking,Cricket</t>
  </si>
  <si>
    <t>6021 9793 2806</t>
  </si>
  <si>
    <t>D.S. CHAUHAN</t>
  </si>
  <si>
    <t>POONAM CHAUHAN</t>
  </si>
  <si>
    <t>2-B Brij Vihar, Near ABC Fun School, Near Gopur Square, Indore</t>
  </si>
  <si>
    <t>KENDRIYA VIDYALAYA NO.1 SHAKTI NAGAR GWALIOR (M.P.)</t>
  </si>
  <si>
    <t>CENTRAL BOARD OF SECONDARY EDUCATION, BHOPAL (M.P.)</t>
  </si>
  <si>
    <t>INSTITUTE OF INFORMATION TECHNOLOGY &amp; MANAGEMENT, GWALIOR (M.P.)</t>
  </si>
  <si>
    <t>Teamlease Services Limited (Client- UltraTech Cement Limited) | Sales and Marketing | Gwalior | Dec 2018 | Jun 2021 | 2 Years, 6 Months, 9 Days | 2.57
UltraTech Cement Limited | Territory Sales Executive | Jhalawar (Rajasthan) | Jun 2021 | Sep 2021 | 0 Years, 2 Months, 26 Days | 5.5
SGS India Pvt Ltd | Quality Control | Indore and Gwalior | May 2017 | Dec 2018 | 1 Years, 6 Months, 12 Days | 1.5</t>
  </si>
  <si>
    <t>Spaceify Technolgies | Summer Intern | Surat (Gujarat) | May 2023 | Jul 2023 | 7 Weeks | Campus Internship
GWALIOR DEVELOPMENT AUTHORITY GWALIOR MP | INTERN ENGINEER | GWALIOR | Jun 2015 | Jul 2015 | 4 Weeks</t>
  </si>
  <si>
    <t>p2270451</t>
  </si>
  <si>
    <t>ASHAY</t>
  </si>
  <si>
    <t>SANJAYRAO</t>
  </si>
  <si>
    <t>DHANDE</t>
  </si>
  <si>
    <t>Ashay Sanjayrao Dhande</t>
  </si>
  <si>
    <t>ashaydhande7@gmail.com</t>
  </si>
  <si>
    <t>p2270451@student.nicmar.ac.in</t>
  </si>
  <si>
    <t>29-Jul-1999</t>
  </si>
  <si>
    <t>Sports(cricket and football),Yoga and meditation.</t>
  </si>
  <si>
    <t>6298 6178 2698</t>
  </si>
  <si>
    <t>SANJAYRAO DHANDE</t>
  </si>
  <si>
    <t>LECTURER(RETD.)</t>
  </si>
  <si>
    <t>PUSHPA DHANDE</t>
  </si>
  <si>
    <t>Behind Maganwadi Near Goras Bhandar Ramnagar Wardha.</t>
  </si>
  <si>
    <t>BHAVAN'S LLOYDS VIDYA NIKETAN WARDHA.</t>
  </si>
  <si>
    <t>CBSE,DELHI.</t>
  </si>
  <si>
    <t>NEW ARTS,SCIENCE AND COMMERCE COLLEGE WARDHA.</t>
  </si>
  <si>
    <t>DR. VISHWANATH KARAD MAHARASHTRA INSTITUTE OF TECHNOLOGY WORLD PEACE UNIVERSITY, PUNE</t>
  </si>
  <si>
    <t>MAHARASHTRA INSTITUTE OF TECHNOLOGY WORLD PEACE UNIVERSITY,KOTHRUD PUNE MAHARASHTRA.</t>
  </si>
  <si>
    <t>MS Office,MS Project,Primavera,Project management,Finance and Accounting,Data analysis</t>
  </si>
  <si>
    <t>Prestige Estates Pvt Ltd | Site execution + Control | Mumbai | May 2023 | Jul 2023 | 7 Weeks | Campus Internship
V.W.Pande construction | Student intern | Wardha | Jun 2019 | Jun 2019 | 2 Weeks</t>
  </si>
  <si>
    <t>p2270452</t>
  </si>
  <si>
    <t>VARSHNEY</t>
  </si>
  <si>
    <t>Utkarsh Varshney</t>
  </si>
  <si>
    <t>utkarsh.rajgupta13@gmail.com</t>
  </si>
  <si>
    <t>p2270452@student.nicmar.ac.in</t>
  </si>
  <si>
    <t>2911 9669 1386</t>
  </si>
  <si>
    <t>MUKESH RAJ SINGH VARSHNEY</t>
  </si>
  <si>
    <t>SMRATI VARSHNEY</t>
  </si>
  <si>
    <t>198,bhramanpuri Jairampur Chowraha,narora</t>
  </si>
  <si>
    <t>ATOMIC ENERGY CENTRAL SCHOOL</t>
  </si>
  <si>
    <t>CBSE NARORA/UTTARPRADESH</t>
  </si>
  <si>
    <t>Accenture | AEM Developer | Noida | Aug 2020 | Sep 2022 | 2 Years, 0 Months, 11 Days | 4.5</t>
  </si>
  <si>
    <t>Global Fair | Costing Analyst | Work from home | May 2023 | Jul 2023 | 7 Weeks | Campus Internship</t>
  </si>
  <si>
    <t>p2270453</t>
  </si>
  <si>
    <t>NAMBIAR</t>
  </si>
  <si>
    <t>Lakshmi Nambiar</t>
  </si>
  <si>
    <t>laccinbrf@gmail.com</t>
  </si>
  <si>
    <t>p2270453@student.nicmar.ac.in</t>
  </si>
  <si>
    <t>16-May-1998</t>
  </si>
  <si>
    <t>Designing,Dance,Music,Reading</t>
  </si>
  <si>
    <t>4636 7330 2043</t>
  </si>
  <si>
    <t>T K NARAYANAN</t>
  </si>
  <si>
    <t>SHYAMALA NARAYANAN</t>
  </si>
  <si>
    <t>'Souparniika', Nellikapillil Lane, Near NSS Karayogam, Poonithura, Pettah</t>
  </si>
  <si>
    <t>TOC H INSTITUTE OF SCIENCE AND TECHNOLOGY</t>
  </si>
  <si>
    <t>AutoCAD,MS Office,MS Project,Primavera,Candy,Revit Architecture,Naviswork</t>
  </si>
  <si>
    <t>Marymatha Infrastructure Private Limited | Project co-ordinator | Ernakulam | Apr 2021 | Jul 2022 | 1 Years, 3 Months, 27 Days | 1.32</t>
  </si>
  <si>
    <t>ASIAN PAINTS | Interior Decor | Bengaluru, Karnataka | May 2023 | Jul 2023 | 7 Weeks | Campus Internship
CONFIDENT PROJECTS PRIVATE LIMITED | INPLANT TRAINEE | ERNAKULAM | Jul 2017 | Jul 2017 | 0 Weeks
BHARAT PETROLEUM COORPORATION LIMITED | TEAM LEADER OF THE PROJECT | ERNAKULAM | Jan 2020 | Jan 2020 | 1 Weeks</t>
  </si>
  <si>
    <t>p2270454</t>
  </si>
  <si>
    <t>DHRUVIT</t>
  </si>
  <si>
    <t>DIPAKKUMAR</t>
  </si>
  <si>
    <t>Dhruvit Dipakkumar Patel</t>
  </si>
  <si>
    <t>dhruvitpatel08@gmail.com</t>
  </si>
  <si>
    <t>p2270454@student.nicmar.ac.in</t>
  </si>
  <si>
    <t>02-Feb-2000</t>
  </si>
  <si>
    <t>â€¢ Reading,â€¢ Sports,â€¢ Travelling,â€¢ Gaming,â€¢ Technophile</t>
  </si>
  <si>
    <t>2787 8184 1282</t>
  </si>
  <si>
    <t>DIPAKKUMAR PATEL</t>
  </si>
  <si>
    <t>GOVERMENT OFFICER</t>
  </si>
  <si>
    <t>PINAL PATEL</t>
  </si>
  <si>
    <t>E-303 Nilkanth Greens,Behind Delhi Public School,Kalali Road</t>
  </si>
  <si>
    <t>J.B MODI VIDHYALAYA</t>
  </si>
  <si>
    <t>PANCHSHEEL VIDYALAYA</t>
  </si>
  <si>
    <t>G H PATEL COLLEGE OF ENGINEERING &amp; TECHNOLOGY</t>
  </si>
  <si>
    <t>AutoCAD,MS Office,MS Project,Primavera,Candy,Adobe photoshop</t>
  </si>
  <si>
    <t>PACIFICA  COMPANIES | Special Projects | Ahmedabad | May 2023 | Jul 2023 | 7 Weeks | Campus Internship
SHREENATH BUILDCON | Site Execution | VADODARA,GUJARAT | Jan 2022 | Apr 2022 | 11 Weeks</t>
  </si>
  <si>
    <t>p2270455</t>
  </si>
  <si>
    <t>SHRAVAN</t>
  </si>
  <si>
    <t>HASMUKHBHAI</t>
  </si>
  <si>
    <t>BRAHMBHATT</t>
  </si>
  <si>
    <t>Shravan Hasmukhbhai Brahmbhatt</t>
  </si>
  <si>
    <t>brahmbhattshravan2231@gmail.com</t>
  </si>
  <si>
    <t>p2270455@student.nicmar.ac.in</t>
  </si>
  <si>
    <t>22-Mar-2001</t>
  </si>
  <si>
    <t>English, Hindi, gujarati</t>
  </si>
  <si>
    <t>Cricket,Reading,Music</t>
  </si>
  <si>
    <t>5702 1689 5807</t>
  </si>
  <si>
    <t>HASMUKHBHAI BRAHMBHATT</t>
  </si>
  <si>
    <t>Q.C. MANAGER</t>
  </si>
  <si>
    <t>TEJALBEN BRAHMBHATT</t>
  </si>
  <si>
    <t>C-1, Jai Chamunda Soc., Opp. Zavernagar, Near Uma Cross Road, Whaghodia Road, Vadodara</t>
  </si>
  <si>
    <t>SARDAR VALLABHBHAI VIDYALAYA, VADODARA</t>
  </si>
  <si>
    <t>SHREE NARAYANA VIDYALAYA, VADODARA</t>
  </si>
  <si>
    <t>CHARUSAT</t>
  </si>
  <si>
    <t>Svatantra Micro Housing Finance | Technical | Ahmedabad | May 2023 | Jul 2023 | 7 Weeks | Campus Internship
Samanvay Reality | Site Supervisor and Estimation Engineer | Vadodra | Dec 2021 | Apr 2022 | 15 Weeks</t>
  </si>
  <si>
    <t>p2270456</t>
  </si>
  <si>
    <t>MANSI</t>
  </si>
  <si>
    <t>Mansi Sanjay Wagh</t>
  </si>
  <si>
    <t>mansiwagh99@gmail.com</t>
  </si>
  <si>
    <t>p2270456@student.nicmar.ac.in</t>
  </si>
  <si>
    <t>1.Travelling,2. Reading,3. Volunteering,4. Hiking,5.Music</t>
  </si>
  <si>
    <t>3508 6089 8490</t>
  </si>
  <si>
    <t>SANJAY NIMBAJI WAGH</t>
  </si>
  <si>
    <t>VAISHALI SANJAY WAGH</t>
  </si>
  <si>
    <t>MANJUSHA PLOT NO 25, SR NO -893/4/1_x000D_
KAILASH NAGAR, WADALA PATHERDI ROAD, NASHIK-9</t>
  </si>
  <si>
    <t>GURU GOBIND SINGH PUBLIC SCHOOL NASHIK</t>
  </si>
  <si>
    <t>MAHARASHTRA  STATE BOARD OF SECONDARY AND HIGHER SECONDARY EDUCATION ,PUNE</t>
  </si>
  <si>
    <t>MATOSHREE SCIENCE JUNIOR COLLEGE ,NASHIK</t>
  </si>
  <si>
    <t>PUNE UNIVERSITY,PUNE</t>
  </si>
  <si>
    <t>RAJARSHI SHAHU COLLEGE OF ENGINEERING , TATHAWADE,PUNE</t>
  </si>
  <si>
    <t>AutoCAD,MS Office,MS Project,Primavera,CANDY,REVIT,STAD PRO</t>
  </si>
  <si>
    <t>ANJ Turnkey Projects |  Project Management Intern | Pune | May 2023 | Jul 2023 | 7 Weeks | Campus Internship
ILLINOIS TECH AND GLOBALSHALA | SOCIAL MEDIA ANALYST.			 | ONLINE | Jul 2022 | Jul 2022 | 4 Weeks
BODKE BUILDCON | Site Trainee Engineer | NASHIK | Jun 2021 | May 2023 | 104 Weeks</t>
  </si>
  <si>
    <t>p2270457</t>
  </si>
  <si>
    <t>SHAHA</t>
  </si>
  <si>
    <t>Jatin Anand Shaha</t>
  </si>
  <si>
    <t>jatinshaha2929@gmail.com</t>
  </si>
  <si>
    <t>p2270457@student.nicmar.ac.in</t>
  </si>
  <si>
    <t>29-Oct-2000</t>
  </si>
  <si>
    <t>Exercise,Playing Cricket,Travel and Adventure</t>
  </si>
  <si>
    <t>5684 0961 4131</t>
  </si>
  <si>
    <t>ANAND RAMESH SHAHA</t>
  </si>
  <si>
    <t>PRAJAKTA ANAND SHAHA</t>
  </si>
  <si>
    <t>180, Ajinkya Bunglow ,Ramkrishna Paramhans Society, Pol Mala, Sangli</t>
  </si>
  <si>
    <t>SHRI A.B. PATIL ENGLISH SCHOOL</t>
  </si>
  <si>
    <t>CENTRAL BOARD OF SECONDARY EDUCATION, CBSE,SANGLI</t>
  </si>
  <si>
    <t>CAMBRIDGE JUNIOR COLLEGE</t>
  </si>
  <si>
    <t>MAHARASHTRA STATE BOARD  OF SECONDARY &amp; HIGHER SECONDARY EDUCATION ,SANGLI</t>
  </si>
  <si>
    <t>SANJAY GHODAWAT UNIVERSITY</t>
  </si>
  <si>
    <t>AutoCAD,MS Office,MS Project,Primavera,Revit Archietecture</t>
  </si>
  <si>
    <t>SUNTECK REALTY | EPC execution | Naigaon, Mumbai | May 2023 | Jul 2023 | 7 Weeks | Campus Internship
SAHYADRI DEVELOPERS | SITE SUPERVISION AND EXECUTION | SANGLI | Jan 2022 | Apr 2022 | 15 Weeks</t>
  </si>
  <si>
    <t>p2270458</t>
  </si>
  <si>
    <t>KUSHAGRA</t>
  </si>
  <si>
    <t>NAA</t>
  </si>
  <si>
    <t>Kushagra Naa</t>
  </si>
  <si>
    <t>kushmishra900@gmail.com</t>
  </si>
  <si>
    <t>p2270458@student.nicmar.ac.in</t>
  </si>
  <si>
    <t>09-Oct-1996</t>
  </si>
  <si>
    <t>World Affais,Watching OTT Platforms,Playing Cricket</t>
  </si>
  <si>
    <t>7631 9696 5023</t>
  </si>
  <si>
    <t>SATYENDRA KUMAR MISHRA</t>
  </si>
  <si>
    <t>RENU MISHRA</t>
  </si>
  <si>
    <t>KUSHAGRA_x000D_
C/O SATYENDRA KUMAR MISHRA PROFESSORS COLONY NEAR R.N COLLEGE_x000D_
HAJIPUR VAISHALI</t>
  </si>
  <si>
    <t>INDIAN PUBLIC SCHOOL</t>
  </si>
  <si>
    <t>CBSE, HAJIPUR, BIHAR</t>
  </si>
  <si>
    <t>PANDIT UJJAL KUMAR MISHRA HS VIDYALAY HAJIPUR</t>
  </si>
  <si>
    <t>DIPLOMA IN COMPUTER APPLICATION</t>
  </si>
  <si>
    <t>CAREER COMPUTER CENTER,HAJIPUR, BIHAR</t>
  </si>
  <si>
    <t>DY PATIL COLLEGE OF ENGINEERING, PUNE, MAHARASHTRA</t>
  </si>
  <si>
    <t>AutoCAD,MS Office,MS Project,Primavera,REVIT ARCHITECTURE,CANDY</t>
  </si>
  <si>
    <t>ER AP CONSTRUCTION PVT LTD | Site Execution | Patna, Hajipur, Bidupur | Aug 2018 | Nov 2020 | 2 Years, 3 Months, 4 Days | 1.4
TESTBOOK EDU SOLUTION | Doubt Solver Freelancer | Work from home | Dec 2020 | Mar 2022 | 1 Years, 3 Months, 0 Days | 1.2</t>
  </si>
  <si>
    <t>ECLAT ENGINEERING CONSULTANTS | BUSINESS DEVLOPMENT | HYDERABAD | May 2023 | Jul 2023 | 7 Weeks | Campus Internship
LARSEN AND TOUBRO LIMITED | INTERN | MARHAURA BIHAR | Jun 2016 | Jun 2016 | 4 Weeks</t>
  </si>
  <si>
    <t>p2270459</t>
  </si>
  <si>
    <t>AMANE</t>
  </si>
  <si>
    <t>Siddhesh Rajendra Amane</t>
  </si>
  <si>
    <t>amanesiddhesh78@gmail.com</t>
  </si>
  <si>
    <t>p2270459@student.nicmar.ac.in</t>
  </si>
  <si>
    <t>19-Aug-1997</t>
  </si>
  <si>
    <t>Bike Riding,Cooking</t>
  </si>
  <si>
    <t>3331 9892 7560</t>
  </si>
  <si>
    <t>RUCHIRA</t>
  </si>
  <si>
    <t>Plot No.3, New Mahada Colony, Vartak Nagar</t>
  </si>
  <si>
    <t>LITTLE FLOWER HIGH SCHOOL</t>
  </si>
  <si>
    <t>MAHARASHTRA STATE BOARD, THANE, MAHARASHTRA</t>
  </si>
  <si>
    <t>SOU LAXMIBAI COLLEGE OF SCIENCE</t>
  </si>
  <si>
    <t>B.R. HARNE COLLEGE OF ENGINEERING AND TECHNOLOGY, KARAV, VANGANI.</t>
  </si>
  <si>
    <t>Prannav Constructions | Site Engineer | Thane, Maharashtra. | Aug 2021 | Jul 2022 | 0 Years, 11 Months, 4 Days | 2.1</t>
  </si>
  <si>
    <t>SANRACHANA | Site Engineer | Alibaug | May 2023 | Jul 2023 | 7 Weeks | Campus Internship</t>
  </si>
  <si>
    <t>p2270460</t>
  </si>
  <si>
    <t>Vishnu Kumar</t>
  </si>
  <si>
    <t>vishnukings44@gmail.com</t>
  </si>
  <si>
    <t>p2270460@student.nicmar.ac.in</t>
  </si>
  <si>
    <t>26-Jun-1997</t>
  </si>
  <si>
    <t>Sports,Travelling,E-Sports,Music</t>
  </si>
  <si>
    <t>3773 2804 6557</t>
  </si>
  <si>
    <t>BHIM PRASAD</t>
  </si>
  <si>
    <t>JANKI DEVI</t>
  </si>
  <si>
    <t>FLAT NO.-3B SRI KUNJ APPARTMENT DEVI MANDAP ROAD PISKA MORE RATU ROAD RANCHI- JHARKHAND</t>
  </si>
  <si>
    <t>DAV PUBLIC SCHOOL HEHAL</t>
  </si>
  <si>
    <t>CBSE RANCHI/JHARKHAND</t>
  </si>
  <si>
    <t>GURU NANAK HR SEC SCHOOL</t>
  </si>
  <si>
    <t>M.S. RAMAIAH INSTITUTE OF TECHNOLOGY</t>
  </si>
  <si>
    <t>M.S. RAMAIAH INSTITUTE OF TECHNOLOGY BANGALOTR/KARNATAKA</t>
  </si>
  <si>
    <t>PINAKIIN DESIGNS | BILLING ESTIMATION | PUNE, MAHARASHTRA | May 2023 | Jul 2023 | 7 Weeks | Campus Internship
DIPANSHU PROMOTER | SITE ENGINEER &amp; INSPECTION | MUNGER, BIHAR | Nov 2020 | Dec 2020 | 6 Weeks</t>
  </si>
  <si>
    <t>p2270461</t>
  </si>
  <si>
    <t>VISHWAS</t>
  </si>
  <si>
    <t>Nikhil Vishwas Shete</t>
  </si>
  <si>
    <t>nikhilshete0309@gmail.com</t>
  </si>
  <si>
    <t>p2270461@student.nicmar.ac.in</t>
  </si>
  <si>
    <t>Exploring Places &amp; Photography,Driving &amp; Riding,Cooking,Playing Boardgames &amp; Badminton,Online surfing,Watching movies &amp; Series</t>
  </si>
  <si>
    <t>6421 8225 2820</t>
  </si>
  <si>
    <t>VISHWAS BHANUDAS SHETE</t>
  </si>
  <si>
    <t>USHA VISHWAS SHETE</t>
  </si>
  <si>
    <t>4, SHRI GOVIND DARSHAN APPT. , GANESH COLONY, DEVDATTA NAGAR, NASHIK.</t>
  </si>
  <si>
    <t>NEW ERA ENGLISH SCHOOL</t>
  </si>
  <si>
    <t>MAHARASHTRA STATE BOARD OF SECONDARY AND HIGHER SECONDARY EDUCATION,PUNE,MAHARASHTRA.</t>
  </si>
  <si>
    <t>G.D. SAWANT ARTS,SCIENCE &amp; COMMERCE COLLEGE</t>
  </si>
  <si>
    <t>PRAVARA RURAL ENGINEERING COLLEGE,AHMEDNAGAR,MAHARASHTRA.</t>
  </si>
  <si>
    <t>AutoCAD,MS Office,MS Project,Primavera,Revit,STAAD - RCDC,ETABS,SketchUp</t>
  </si>
  <si>
    <t>DEACON INFRA | CIVIL ENGINEER | NASHIK | Aug 2021 | Jul 2022 | 0 Years, 11 Months, 30 Days | 1.8</t>
  </si>
  <si>
    <t>VESTIAN GLOBAL | Intern Project Services - ISD | Hyderabad | May 2023 | Jul 2023 | 7 Weeks | Campus Internship</t>
  </si>
  <si>
    <t>p2270462</t>
  </si>
  <si>
    <t>LAD</t>
  </si>
  <si>
    <t>Parth Sandeep Lad</t>
  </si>
  <si>
    <t>ladparth00@gmail.com</t>
  </si>
  <si>
    <t>p2270462@student.nicmar.ac.in</t>
  </si>
  <si>
    <t>24-May-1999</t>
  </si>
  <si>
    <t>Badminton,Reading,Trekking</t>
  </si>
  <si>
    <t>6025 7681 2791</t>
  </si>
  <si>
    <t>SANDEEP AMRUTLAL LAD</t>
  </si>
  <si>
    <t>SUSHMA SANDEEP LAD</t>
  </si>
  <si>
    <t>Plot No.13, Anand Nagar, Mohadi Road, Jalgaon</t>
  </si>
  <si>
    <t>ULTIMA HOSTEL, NICMAR UNIVERSITY, BALEWADI, PUNE</t>
  </si>
  <si>
    <t>RUSTOMJIE INTERNATIONAL SCHOOL</t>
  </si>
  <si>
    <t>CENTRAL BOARD OF SECONDARY EDUCATION,DELHI  JALGAON/MAHARASHTRA</t>
  </si>
  <si>
    <t>SWAMI VIVEKANAND JUNIOR COLLEGE MOOLJI JAITHA COLLEGE, JALGAON</t>
  </si>
  <si>
    <t>MAHARASHTRA STATE BOARD OF SECONDARY AND HIGHER SECONDARY  EDUCATION , PUNE</t>
  </si>
  <si>
    <t>DR. VISHWANATH KARAD MIT WORLD PEACE UNIVERSITY, PUNE</t>
  </si>
  <si>
    <t>Basil Decor LLP | Project Management Intern | Pune | May 2023 | Jul 2023 | 7 Weeks | Campus Internship
NIRMITI CONSTRUCTIONS | INTERN | JALGAON | Jan 2021 | Apr 2021 | 12 Weeks</t>
  </si>
  <si>
    <t>p2270463</t>
  </si>
  <si>
    <t>LALJI</t>
  </si>
  <si>
    <t>BHOJANE</t>
  </si>
  <si>
    <t>Tejas Lalji Bhojane</t>
  </si>
  <si>
    <t>tejasb35.tb@gmail.com</t>
  </si>
  <si>
    <t>p2270463@student.nicmar.ac.in</t>
  </si>
  <si>
    <t>30-Sep-1997</t>
  </si>
  <si>
    <t>Reading and Staying Updated,Fitness and Wellness,Technology and Data Literacy,Continuous Learning</t>
  </si>
  <si>
    <t>7519 3841 9103</t>
  </si>
  <si>
    <t>LEELA</t>
  </si>
  <si>
    <t>A-202, New Rachna Park_x000D_
_x000D_
Chakki Naka, Kalyan E</t>
  </si>
  <si>
    <t>ST. MARY'S HIGH SCHOOL</t>
  </si>
  <si>
    <t>MUMBAI DIVISIONAL BOARD</t>
  </si>
  <si>
    <t>DILKAP RESEARCH INSTITUE OF ENGINEERING AND MANAGEMENT STUDIES, NERAL</t>
  </si>
  <si>
    <t>AutoCAD,MS Office,MS Project,Primavera,CANDY, STAADPRO</t>
  </si>
  <si>
    <t>Aimil Ltd. | Site Execution  | Mumbai | Nov 2016 | Jul 2017 | 0 Years, 8 Months, 13 Days | 2.15</t>
  </si>
  <si>
    <t>Space Matrix Design Consultants Pvt Ltd | Project Management | Mumbai | May 2023 | Jul 2023 | 7 Weeks | Campus Internship
MAHENDRA REALTORS &amp; INFRASTRUCTURE PVT. LTD. | TRAINEE ENGINEER | MUMBAI | Jan 2022 | Apr 2023 | 66 Weeks</t>
  </si>
  <si>
    <t>p2270464</t>
  </si>
  <si>
    <t>SHRENIK</t>
  </si>
  <si>
    <t>KOCHER</t>
  </si>
  <si>
    <t>Devansh Shrenik Kocher</t>
  </si>
  <si>
    <t>devanshkochar22@gmail.com</t>
  </si>
  <si>
    <t>p2270464@student.nicmar.ac.in</t>
  </si>
  <si>
    <t>Event Management,playing cricket,travelling</t>
  </si>
  <si>
    <t>9724 8914 2729</t>
  </si>
  <si>
    <t>SHRENIK KOCHAR</t>
  </si>
  <si>
    <t>ANISHA KOCHAR</t>
  </si>
  <si>
    <t>Nehru Ward,glass Temple,opposite Railway Station,Hinganghat</t>
  </si>
  <si>
    <t>AT JOHNÃ¢â‚¬â„¢S HIGH SCHOOL</t>
  </si>
  <si>
    <t>STATE BOARD IN HINGANGHAT/MAHARASHTRA</t>
  </si>
  <si>
    <t>G H RAISONI COLLEGE OF ENGINEERING IN NAGPUR/MAHARASHTRA</t>
  </si>
  <si>
    <t>AutoCAD,MS Office,MS Project,Primavera,M.S Excel,C-Language</t>
  </si>
  <si>
    <t>Tajpuria EngineersPVT.LTD. | constructing and managing various construction projects | Nagpur | Aug 2021 | Jul 2022 | 0 Years, 11 Months, 30 Days | 2.16</t>
  </si>
  <si>
    <t>GSIDC | Site execution | Goa | May 2023 | Jul 2023 | 7 Weeks | Campus Internship
ABHI ENGINEERING | ROAD WORK  | NAGPUR | Dec 2020 | May 2021 | 22 Weeks</t>
  </si>
  <si>
    <t>p2270465</t>
  </si>
  <si>
    <t>ARIHANT</t>
  </si>
  <si>
    <t>Arihant Sharma</t>
  </si>
  <si>
    <t>arihantsharma.1234@gmail.com</t>
  </si>
  <si>
    <t>p2270465@student.nicmar.ac.in</t>
  </si>
  <si>
    <t>13-Dec-1998</t>
  </si>
  <si>
    <t>english and hindi</t>
  </si>
  <si>
    <t>7989 1380 1544</t>
  </si>
  <si>
    <t>SANJAY SHARMA</t>
  </si>
  <si>
    <t>ANURADHA SHARMA</t>
  </si>
  <si>
    <t>G-11/3,MALVIYA NAGAR</t>
  </si>
  <si>
    <t>New Delhi</t>
  </si>
  <si>
    <t>B-604, JOYVILLE SHAPOORJI, HINJEWADI PH-1, PUNE, MAHARASTHRA</t>
  </si>
  <si>
    <t>BIRLA VIDYA NIKETAN</t>
  </si>
  <si>
    <t>CBSE ,DELHI</t>
  </si>
  <si>
    <t>EMERALD CONVENT SCHOOL</t>
  </si>
  <si>
    <t>KALINGA INSTITUTE OF INDUSTRIAL TECHNOLOGY, ODISHA</t>
  </si>
  <si>
    <t>CIRIL | COMMERCIAL REAL ESTATE MARKETING ANALYST | WEST INDIA | May 2023 | Jul 2023 | 7 Weeks | Campus Internship
SUNTECH INFRA SOLUTIONS PVT LTD | INTERN | DELHI | Dec 2019 | Jan 2020 | 4 Weeks
PURVOTTAR MINING AND INFRASTRUCTURE INDIA | INTERN | MEGHALAYA | May 2019 | Jun 2019 | 4 Weeks</t>
  </si>
  <si>
    <t>p2270466</t>
  </si>
  <si>
    <t>SURENDRA</t>
  </si>
  <si>
    <t>DUBE</t>
  </si>
  <si>
    <t>Pratik Surendra Dube</t>
  </si>
  <si>
    <t>pratikdube35@gmail.com</t>
  </si>
  <si>
    <t>p2270466@student.nicmar.ac.in</t>
  </si>
  <si>
    <t>26-Mar-1997</t>
  </si>
  <si>
    <t>4813 3193 3633</t>
  </si>
  <si>
    <t>SURENDRA DUBE</t>
  </si>
  <si>
    <t>Paropte Layout Near Ekvira Nagar Wadgaon Yavatmal</t>
  </si>
  <si>
    <t>KENDRIYA VIDYALAYA YAVATMAL</t>
  </si>
  <si>
    <t>CENTRAL BOARD OF SECENDARY EDUCATION DELHI</t>
  </si>
  <si>
    <t>JAGADAMBHA JUNIOR COLLEGE YAVATMAL</t>
  </si>
  <si>
    <t>G H RAISONI INSTITUTE OF ENGINEERING AND TECHNOLOGY PUNE</t>
  </si>
  <si>
    <t>ARCKED ENGINEER &amp; DEVELOPER | Site Engineer  | Yavatmal | Jul 2020 | May 2022 | 1 Years, 10 Months, 5 Days | 2.16</t>
  </si>
  <si>
    <t>J &amp; F India | Project Planning  | Chennai  | May 2023 | Jul 2023 | 7 Weeks | Campus Internship</t>
  </si>
  <si>
    <t>p2270467</t>
  </si>
  <si>
    <t>Rohit Subhash Mundhada</t>
  </si>
  <si>
    <t>rrhitmundhada@gmail.com</t>
  </si>
  <si>
    <t>p2270467@student.nicmar.ac.in</t>
  </si>
  <si>
    <t>07-Mar-1999</t>
  </si>
  <si>
    <t>Reading,Travelling,Social Work,Real Estate</t>
  </si>
  <si>
    <t>2242 6875 6345</t>
  </si>
  <si>
    <t>SUBHASH MUNDHADA</t>
  </si>
  <si>
    <t>SEEMA MUNDHADA</t>
  </si>
  <si>
    <t>Mundhada Agro Agencies,Gandhi Chowk Near Railway Gate,Dhamangaon Rly</t>
  </si>
  <si>
    <t>S.F.L.HIGH SCHOOL AND JR. COLLEGE ,DHAMANGAON RLY</t>
  </si>
  <si>
    <t>MAHARASHATRA STATE BOARD OF SECONDARY AND HIGHER SECONDARY EDUCATION. AMRAVATI/MAHARASHATRA</t>
  </si>
  <si>
    <t>SHRI. RLT COLLEGE OF SCIENCE ,AKOLA</t>
  </si>
  <si>
    <t>AUTONOMOUS COLLEGE OF RASHTRASANT TUKADOJI MAHARAJ NAGPUR UNIVERSITY,NAGPUR</t>
  </si>
  <si>
    <t>SHRI RAMDEOBABA COLLEGE OF ENGINEERING AND MANAGEMENT, NAGPUR /MAHARASHATRA</t>
  </si>
  <si>
    <t>AutoCAD,MS Office,MS Project,Primavera,Advance Excel,Candy,Revit,Talley</t>
  </si>
  <si>
    <t>CBRE South Asia Pvt Ltd | Project Planning and Site Execution | Pune | May 2023 | Jul 2023 | 7 Weeks | Campus Internship
NANIK ASSOCIATES BUILDERS AND   DEVELOPERS | Site Incharge | NAGPUR | Jan 2022 | Jun 2022 | 21 Weeks</t>
  </si>
  <si>
    <t>p2270468</t>
  </si>
  <si>
    <t>Vaidehi Ganesh Nimje</t>
  </si>
  <si>
    <t>vaidehinimje190596@gmail.com</t>
  </si>
  <si>
    <t>p2270468@student.nicmar.ac.in</t>
  </si>
  <si>
    <t>19-May-1996</t>
  </si>
  <si>
    <t>Dancing,urban sketcking,listening music</t>
  </si>
  <si>
    <t>2990 1389 3016</t>
  </si>
  <si>
    <t>GANESH NIMJE</t>
  </si>
  <si>
    <t>ARTI NIMJE</t>
  </si>
  <si>
    <t>"videh", Plot No-33, Sai Krupa Soc, Near Balpande Towers, Narendra Nagar, Nagpur - 440015</t>
  </si>
  <si>
    <t>J.N. TATA PARSI GIRLS HIGH SCHOOL</t>
  </si>
  <si>
    <t>NEW ENGLISH JR. COLLEGE</t>
  </si>
  <si>
    <t>SHRI. DATTA MEGHE COLLEGE OF ARCHITECTURE</t>
  </si>
  <si>
    <t>Piramal Realty Pvt Ltd | summer Intern | Thane | May 2023 | Jul 2023 | 7 Weeks | Campus Internship
MISAL ARCHITECTS AND ASSOCIATES | TRAINEE ARCHITECT | NAGPUR | Jan 2019 | Sep 2019 | 34 Weeks
MEDALLION CONSULTING | JR.ARCHITECT | NAGPUR | Aug 2021 | Jan 2022 | 26 Weeks</t>
  </si>
  <si>
    <t>p2270469</t>
  </si>
  <si>
    <t>SAUBHAGYA</t>
  </si>
  <si>
    <t>Saubhagya Singh</t>
  </si>
  <si>
    <t>saubhagyasingh@gmail.com</t>
  </si>
  <si>
    <t>p2270469@student.nicmar.ac.in</t>
  </si>
  <si>
    <t>15-Aug-1994</t>
  </si>
  <si>
    <t>Cooking,Chess,Sports,Trekking</t>
  </si>
  <si>
    <t>6447 3361 4015</t>
  </si>
  <si>
    <t>LATE SHRI B P SINGH</t>
  </si>
  <si>
    <t>CONSERVATOR OF FOREST, IFS</t>
  </si>
  <si>
    <t>SUNITA SINGH</t>
  </si>
  <si>
    <t>398 Singh Villa, Rajeshwar Nagar 1, Dehradun</t>
  </si>
  <si>
    <t>SCHOLARS HOME</t>
  </si>
  <si>
    <t>CBSE DEHRADUN/UTTARAKHAND</t>
  </si>
  <si>
    <t>KALKA PUBLIC SCHOOL</t>
  </si>
  <si>
    <t>CBSE NEW DELHI</t>
  </si>
  <si>
    <t>MADAN MOHAN MALAVIYA UNIVERSITY OF TECHNOLOGY</t>
  </si>
  <si>
    <t>AutoCAD,MS Office,MS Project,Primavera,STAAD PRO,REVIT,ETABS</t>
  </si>
  <si>
    <t>Vera Enterprises | Management and supervision | Gonda, Uttar Pradesh | Jun 2018 | May 2020 | 1 Years, 11 Months, 6 Days | 1.44</t>
  </si>
  <si>
    <t>PUBLIC WORKS DEPARTMENT | Surveyor | Almora, Uttarakhand  | May 2023 | Jul 2023 | 7 Weeks | Campus Internship
OIL AND NATURAL GAS CORPORATION LIMITED | INTERN | DEHRADUN | Jun 2014 | Jul 2014 | 5 Weeks
INDIAN INSTITUTE OF REMOTE SENSING | INTERN | DEHRADUN | May 2015 | Jun 2015 | 5 Weeks</t>
  </si>
  <si>
    <t>p2270470</t>
  </si>
  <si>
    <t>SREETHI</t>
  </si>
  <si>
    <t>SASI</t>
  </si>
  <si>
    <t>Nair Sreethi Sasi</t>
  </si>
  <si>
    <t>sreepyiya3@gmail.com</t>
  </si>
  <si>
    <t>p2270470@student.nicmar.ac.in</t>
  </si>
  <si>
    <t>01-May-1999</t>
  </si>
  <si>
    <t>Hindi,Marathi,English,Malayalam,Tamil</t>
  </si>
  <si>
    <t>Sketching,Cooking,Creative pursuits,Detail-oriented</t>
  </si>
  <si>
    <t>8088 3922 6253</t>
  </si>
  <si>
    <t>SASI KUMAR NAIR</t>
  </si>
  <si>
    <t>PRIYA SASI NAIR</t>
  </si>
  <si>
    <t>Manas Crest, Sector No 13, Row House 10, PCNTDA, Chikhali Pradhikaran, Pune-411019</t>
  </si>
  <si>
    <t>AMRITA VIDYALAYAM, PUNE</t>
  </si>
  <si>
    <t>DR.D.Y PATIL, AKURDI, PUNE</t>
  </si>
  <si>
    <t>DR.D.Y PATIL SCHOOL OF ARCHITECTURE, AMBI, PUNE.</t>
  </si>
  <si>
    <t>AutoCAD,MS Office,MS Project,Primavera,Candy,lumion,sketchup</t>
  </si>
  <si>
    <t>HORIZON INDUSTRIAL PARKS | LEASING | PUNE | May 2023 | Jul 2023 | 7 Weeks | Campus Internship
AVENUE ARCHITECT | INTERN ARCHITECT | PUNE | Jun 2021 | Nov 2021 | 23 Weeks</t>
  </si>
  <si>
    <t>p2270471</t>
  </si>
  <si>
    <t>SARATH</t>
  </si>
  <si>
    <t>SASI KUMAR</t>
  </si>
  <si>
    <t>Sarath Krishna Sasi Kumar</t>
  </si>
  <si>
    <t>sarathkrishnacheriyangode@gmail.com</t>
  </si>
  <si>
    <t>p2270471@student.nicmar.ac.in</t>
  </si>
  <si>
    <t>18-Oct-1999</t>
  </si>
  <si>
    <t>ENGLISH ,MALAYALAM ,TAMIL ,HINDI</t>
  </si>
  <si>
    <t>Volunteering,Cricket,Football,Exercise,Movies</t>
  </si>
  <si>
    <t>7693 3177 6448</t>
  </si>
  <si>
    <t>SASI KUMAR K</t>
  </si>
  <si>
    <t>RAJANI C</t>
  </si>
  <si>
    <t>HARE KRISHNA ,KALLADIKODE ,PALAKKAD</t>
  </si>
  <si>
    <t>M E T E M HSS MANARKKAD</t>
  </si>
  <si>
    <t>K P R P HSS KONGAD</t>
  </si>
  <si>
    <t>NSS COLLEGE OF ENGINEERING PALAKKAD, KERALA</t>
  </si>
  <si>
    <t>AutoCAD,MS Office,MS Project,Primavera,Revit Architecture,Excel</t>
  </si>
  <si>
    <t>ASSET HOMES | SITE EXECUTION | KOCHI, KERALA | May 2023 | Jul 2023 | 7 Weeks | Campus Internship
SAM'S HOME DESIGN | JUNIOR ENGINEER | PALAKKAD, KERALA | Aug 2021 | Jul 2022 | 50 Weeks
BALA CINEMAS | SITE ENGINEER (client) | PALAKKAD, KERALA | May 2019 | Jul 2019 | 6 Weeks</t>
  </si>
  <si>
    <t>p2270472</t>
  </si>
  <si>
    <t>PRANETA</t>
  </si>
  <si>
    <t>Praneta Dutta</t>
  </si>
  <si>
    <t>dutta.praneta@gmail.com</t>
  </si>
  <si>
    <t>p2270472@student.nicmar.ac.in</t>
  </si>
  <si>
    <t>20-Sep-1995</t>
  </si>
  <si>
    <t>5768 8591 4483</t>
  </si>
  <si>
    <t>LATE BIJAN DUTTA</t>
  </si>
  <si>
    <t>INTELLIGENCE BUREAU OFFICER</t>
  </si>
  <si>
    <t>BIVA DUTTA</t>
  </si>
  <si>
    <t>Rz-L-49B Mahavir Enclave, Palam Dabri Road</t>
  </si>
  <si>
    <t>KENDRIYA VIDYALAYA VIKASPURI</t>
  </si>
  <si>
    <t>MBS SCHOOL OF PLANNING AND ARCHITECTURE, NEW DELHI</t>
  </si>
  <si>
    <t>AutoCAD,MS Office,MS Project,REVIT ARCHITECTURE, LUMION, PHOTOSHOP, SKETCHUP.</t>
  </si>
  <si>
    <t>CENTRAL PUBLIC WORKS DEPARTMENT | ARCHITECTURAL DESIGNER | NEW DELHI | Jul 2019 | Jun 2022 | 2 Years, 11 Months, 29 Days | 4.2</t>
  </si>
  <si>
    <t>Viceroy Properties | Planning and Billing | Mumbai | May 2023 | Jul 2023 | 7 Weeks | Campus Internship
CENTRAL PUBLIC WORKS DEPARTMENT | ARCHITECTURAL INTERN,  | R.K.PURAM, NEW DELHI | Jul 2018 | Jan 2019 | 25 Weeks
ENIA ARCHITECTS | ARCHITECTURAL INTERN AND WORKED ON PRELIMINARY AND WORKING DRAWINGS, SKETUP MODELS, PRESENTATIONS. | SAKET, NEW DELHI | Jan 2019 | Apr 2019 | 13 Weeks</t>
  </si>
  <si>
    <t>p2270473</t>
  </si>
  <si>
    <t>AKSHAY KUMAR</t>
  </si>
  <si>
    <t>NAGARAJ</t>
  </si>
  <si>
    <t>MIRJI</t>
  </si>
  <si>
    <t>Akshay Kumar Nagaraj Mirji</t>
  </si>
  <si>
    <t>akshaymirji5@gmail.com</t>
  </si>
  <si>
    <t>p2270473@student.nicmar.ac.in</t>
  </si>
  <si>
    <t>01-Sep-1999</t>
  </si>
  <si>
    <t>Cycling,Reading novels,Sports</t>
  </si>
  <si>
    <t>6786 2855 8977</t>
  </si>
  <si>
    <t>GOVT. EMPLOYEE (ENGINEER)</t>
  </si>
  <si>
    <t>H. No. 33/1458, 'Ashirvad', Besides Lotus Apartment, Lokappanahakkala Road, Vidya Nagar, Hubli- 580021</t>
  </si>
  <si>
    <t>SMT. NIRMALA K THAKKAR ENGLISH MEDIUM HIGH SCHOOL</t>
  </si>
  <si>
    <t>VIDYANIKETHAN SCIENCE PU COLLEGE</t>
  </si>
  <si>
    <t>VISVESVARAYA TECHNLOGICAL UNIVERSITY</t>
  </si>
  <si>
    <t>AutoCAD,MS Office,MS Project,Primavera,Candy,NIH_ReSyP,Revit,Navisworks</t>
  </si>
  <si>
    <t>Gera Developments Private Limited. | Site Execution+Control | Pune | May 2023 | Jul 2023 | 8 Weeks | Campus Internship
NIRMITHI CONSTRUCTIONS | Summern Intern | HUBLI | Aug 2021 | Sep 2021 | 6 Weeks</t>
  </si>
  <si>
    <t>p2270474</t>
  </si>
  <si>
    <t>YASHWARDHAN</t>
  </si>
  <si>
    <t>Yashwardhan Sudhir Mane</t>
  </si>
  <si>
    <t>yashwardhan.mane@gmail.com</t>
  </si>
  <si>
    <t>p2270474@student.nicmar.ac.in</t>
  </si>
  <si>
    <t>9111 4311 2053</t>
  </si>
  <si>
    <t>SUDHIR MANE</t>
  </si>
  <si>
    <t>SNEHA MANE</t>
  </si>
  <si>
    <t>304, Sindhu Complex, Signal Camp, Latur</t>
  </si>
  <si>
    <t>GOLDCREST HIGH, LATUR</t>
  </si>
  <si>
    <t>INDIAN SCHOOL OF CERTIFICATE EXAMINATION, LATUR, MAHARASHTRA</t>
  </si>
  <si>
    <t>VELLORE INSTITUTE OF TECHNOLOGY, VELLORE, MAHARASHTRA</t>
  </si>
  <si>
    <t>AutoCAD,MS Office,MS Project,Primavera,ALTERYX, AUTODESK REVIT</t>
  </si>
  <si>
    <t>p2270475</t>
  </si>
  <si>
    <t>ASHWIN</t>
  </si>
  <si>
    <t>Singh Ashwin Arvind</t>
  </si>
  <si>
    <t>ashwinsingh5421@gmail.com</t>
  </si>
  <si>
    <t>p2270475@student.nicmar.ac.in</t>
  </si>
  <si>
    <t>Biking,Business,Trekking,Technology enthusiast,Foodie</t>
  </si>
  <si>
    <t>9930 4198 9165</t>
  </si>
  <si>
    <t>ARVIND .C. SINGH</t>
  </si>
  <si>
    <t>INDU .ARVIND. SINGH</t>
  </si>
  <si>
    <t>B 101,Fairmont Palazzo, Beside Datta Mandir, Vakola Pipeline, Santacruz East, Mumbai 400055</t>
  </si>
  <si>
    <t>SACRED HEART BOYS HIGH SCHOOL</t>
  </si>
  <si>
    <t>SSC MUMBAI MAHARASHTRA</t>
  </si>
  <si>
    <t>PATUCK JUNIOR COLLEGE</t>
  </si>
  <si>
    <t>HSC MUMBAI MAHARASHTRA</t>
  </si>
  <si>
    <t>THAKUR COLLEGE OF ENGINEERING AND TECHNOLOGY, MUMBAI, MAHARASHTRA</t>
  </si>
  <si>
    <t>L AND T  REALTY | SITE EXECUTION  | MUMBAI, MAHARASHTRA | May 2023 | Jul 2023 | 7 Weeks | Campus Internship
RAJ REALTY | JUNIOR ENGINEER | MUMBAI MAHARASHTRA  | Aug 2020 | Jun 2021 | 43 Weeks
SHREE CONSTRUCTION | SITE ENGINEER | MUMBAI | Jun 2021 | Aug 2021 | 8 Weeks</t>
  </si>
  <si>
    <t>p2270476</t>
  </si>
  <si>
    <t>Ankit Umesh Tripathi</t>
  </si>
  <si>
    <t>ankit.ut@gmail.com</t>
  </si>
  <si>
    <t>p2270476@student.nicmar.ac.in</t>
  </si>
  <si>
    <t>15-Jan-1991</t>
  </si>
  <si>
    <t>5675 7210 4361</t>
  </si>
  <si>
    <t>UMESH CHANDER TRIPATHI</t>
  </si>
  <si>
    <t>RTD. GOV SERVENT</t>
  </si>
  <si>
    <t>MANJU UMESH TRIPATHI</t>
  </si>
  <si>
    <t>Bunglow No 216, Gate No 5, Green Park CHS, Lodha Heaven Road, Nilaje, Dombivili</t>
  </si>
  <si>
    <t>GURU NANAK HIGH SCHOOL</t>
  </si>
  <si>
    <t>MAHARASHTRA STATE BOARD, ULHASNAGAR, MAHARASHTRA</t>
  </si>
  <si>
    <t>NEW ENGLISH HIGH SCHOOL &amp; JUNIOR COLLEGE</t>
  </si>
  <si>
    <t>2008-Oct</t>
  </si>
  <si>
    <t>ALAMURI RATNAMALA INSTITUTE OF ENGINEERING AND TECHNOLOGY</t>
  </si>
  <si>
    <t>AIDCO Infra Private Limited | Engineer | Karanjade, Panvel | Oct 2021 | Aug 2022 | 0 Years, 10 Months, 0 Days | 2.16</t>
  </si>
  <si>
    <t>AIDCO INFRA PRIVATE LIMITED | SITE EXECUTION | NILAJE, DOMBIVILI. | May 2023 | Jul 2023 | 8 Weeks | Campus Internship</t>
  </si>
  <si>
    <t>p2270477</t>
  </si>
  <si>
    <t>SHIREEN</t>
  </si>
  <si>
    <t>SHREEKANT</t>
  </si>
  <si>
    <t>Kapse Shireen Shreekant</t>
  </si>
  <si>
    <t>shireenkapse8@gmail.com</t>
  </si>
  <si>
    <t>p2270477@student.nicmar.ac.in</t>
  </si>
  <si>
    <t>25-Nov-1997</t>
  </si>
  <si>
    <t>8644 3607 2204</t>
  </si>
  <si>
    <t>SHREEKANT KAPSE</t>
  </si>
  <si>
    <t>MANISHA KAPSE</t>
  </si>
  <si>
    <t>3rd Floor, Ruddhi Sankul Appartment, Tapovan Road, Nashik.</t>
  </si>
  <si>
    <t>GATE NO. 2, MILLENNIUM GIRLS HOSTEL, NICMAR UNIVERSITY, BALEWADI RD, RAM NAGAR, BANER</t>
  </si>
  <si>
    <t>GURU GOBIND SINGH POLYTECHNIC, NASHIK, MAHARASHTRA.</t>
  </si>
  <si>
    <t>MIT ADT UNIVERSITY, LONI KALBHOR, PUNE.</t>
  </si>
  <si>
    <t>MIT SOE, LONI KALBHOR, PUNE.</t>
  </si>
  <si>
    <t>AutoCAD,MS Office,MS Project,Primavera,Staad PRO,HEC-RAC</t>
  </si>
  <si>
    <t>RAMKY GROUP | PLANNING/QS | HYDERABAD | May 2023 | Jul 2023 | 7 Weeks | Campus Internship</t>
  </si>
  <si>
    <t>p2270478</t>
  </si>
  <si>
    <t>KIRAT</t>
  </si>
  <si>
    <t>NILANG</t>
  </si>
  <si>
    <t>Kirat Nilang Desai</t>
  </si>
  <si>
    <t>kiratdesai09@gmail.com</t>
  </si>
  <si>
    <t>p2270478@student.nicmar.ac.in</t>
  </si>
  <si>
    <t>Sports,Listening Podcasts,Chess,Trekking</t>
  </si>
  <si>
    <t>6027 7911 0276</t>
  </si>
  <si>
    <t>VIBHUTIBEN</t>
  </si>
  <si>
    <t>"NIRANT" STREET NO. 6/1, GOVERNMENT SERVANT SOCIETY, NEAR KIDVAI_x000D_
NAGAR, RAIYA ROAD, RAJKOT, GUJARAT - 360005</t>
  </si>
  <si>
    <t>SAINT MARY'S HIGH SCHOOL, RAJKOT</t>
  </si>
  <si>
    <t>GUJARAT SECONDARY &amp; HIGHER SECONDARY EDUCATION BOARD, GANDHINAGAR.</t>
  </si>
  <si>
    <t>UTKARSH SCHOOL OF EXCELLENCE, RAJKOT</t>
  </si>
  <si>
    <t>GUJARAT TECHNOLOGICAL UNIVERSITY, AHMEDABAD</t>
  </si>
  <si>
    <t>GOVERNMENT ENGINEERING COLLEGE, RAJKOT</t>
  </si>
  <si>
    <t>AutoCAD,MS Office,MS Project,Primavera,Candy,Advanced Excel,Project Management,Site Supervision</t>
  </si>
  <si>
    <t>PACIFICA  COMPANIES | PROJECT PLANNING | Ahmedabad | May 2023 | Jul 2023 | 7 Weeks | Campus Internship
PARMAR AND METRA CONSULTANTS | TRAINEE ENGINEER | RAJKOT - GUJARAT | Jan 2022 | Apr 2022 | 11 Weeks
SUNRISE DEVELOPERS | SITE SUPERVIOSER | RAJKOT | Jun 2021 | Jul 2021 | 6 Weeks</t>
  </si>
  <si>
    <t>p2270479</t>
  </si>
  <si>
    <t>DIPESH</t>
  </si>
  <si>
    <t>RAMNIK</t>
  </si>
  <si>
    <t>WAGHELA</t>
  </si>
  <si>
    <t>Dipesh Ramnik Waghela</t>
  </si>
  <si>
    <t>wagheladipesh01@gmail.com</t>
  </si>
  <si>
    <t>p2270479@student.nicmar.ac.in</t>
  </si>
  <si>
    <t>01-Aug-1999</t>
  </si>
  <si>
    <t>English, Hindi, Gujrati, Marathi.</t>
  </si>
  <si>
    <t>9593 0540 9197</t>
  </si>
  <si>
    <t>RAMNIK NARAN WAGHELA</t>
  </si>
  <si>
    <t>PRAVINA RAMNIK WAGHELA</t>
  </si>
  <si>
    <t>702 Tribhuvan Mulund Welcome CHSL., 90 Feet Road, Mulund East, Mumbai</t>
  </si>
  <si>
    <t>HOLY ANGELS' HIGH SCHOOL AND JR. COLLEGE</t>
  </si>
  <si>
    <t>STATE BOARD, MUMBAI UNIVERSITY, MUMBAI SUBURBAN</t>
  </si>
  <si>
    <t>SIES COLLEGE OF ARTS SCIENCE AND COMMERCE</t>
  </si>
  <si>
    <t>A P SHAH INSTITUTE OF TECHNOLOGY, MUMBAI UNIVERSITY, THANE</t>
  </si>
  <si>
    <t>AutoCAD,MS Office,MS Project,Primavera,CANDY,STAAD PRO,Power BI,BIM</t>
  </si>
  <si>
    <t>J Kumar Infraprojects Ltd. | Procurement Engineer | Mumbai | Dec 2021 | Jul 2022 | 0 Years, 7 Months, 15 Days | 2.56</t>
  </si>
  <si>
    <t>VICEROY PROPERTIES | CONTRACTS INTERN | MUMBAI | May 2023 | Jul 2023 | 7 Weeks | Campus Internship</t>
  </si>
  <si>
    <t>p2270480</t>
  </si>
  <si>
    <t>Sarvesh Singh</t>
  </si>
  <si>
    <t>sarvesh9506@gmail.com</t>
  </si>
  <si>
    <t>p2270480@student.nicmar.ac.in</t>
  </si>
  <si>
    <t>05-Jul-1994</t>
  </si>
  <si>
    <t>English hindi</t>
  </si>
  <si>
    <t>Reading books,Gardening,Travelling</t>
  </si>
  <si>
    <t>9927 8656 6458</t>
  </si>
  <si>
    <t>RAMAGYA SINGH</t>
  </si>
  <si>
    <t>House No 182 Dohariya Bazar Gorakhpur</t>
  </si>
  <si>
    <t>MAHATMA GANDHI INTER COLLEGE GORAKHPUR</t>
  </si>
  <si>
    <t>BOARD OF HIGH SCHOOL AND INTERMEDIATE EDUCATION, UTTAR PRADESH</t>
  </si>
  <si>
    <t>DR.A.P.J.ABDUL KALAM TECHNICAL UNIVERSITY LUCKNOW</t>
  </si>
  <si>
    <t>SMS INSTITUTE OF TECHNOLOGY LUCKNOW</t>
  </si>
  <si>
    <t>2014-Nov</t>
  </si>
  <si>
    <t>AutoCAD,MS Office,MS Project,Primavera,Navisworks,Candy,Revit,Bar Bending Schedule</t>
  </si>
  <si>
    <t>GSIDC | Site Execution &amp; Control | Caranzalem, Goa | May 2023 | Jul 2023 | 7 Weeks | Campus Internship
PUBLIC WORKS DEPARTMENT | Site supervision | LUCKNOW | Jun 2013 | Aug 2013 | 6 Weeks
PUBLIC WORKS DEPARTMENT LUCKNOW | Site supervision | LUCKNOW | Jun 2012 | Jul 2012 | 4 Weeks</t>
  </si>
  <si>
    <t>p2270482</t>
  </si>
  <si>
    <t>TANYA</t>
  </si>
  <si>
    <t>ASWANI</t>
  </si>
  <si>
    <t>Tanya Aswani</t>
  </si>
  <si>
    <t>aswanitanya2905@gmail.com</t>
  </si>
  <si>
    <t>p2270482@student.nicmar.ac.in</t>
  </si>
  <si>
    <t>29-May-1997</t>
  </si>
  <si>
    <t>English, Hindi, Sindhi, Gujarati</t>
  </si>
  <si>
    <t>Sketching,Chess,Cooking,Graphic Designing</t>
  </si>
  <si>
    <t>6342 1878 8794</t>
  </si>
  <si>
    <t>RAJESH ASWANI</t>
  </si>
  <si>
    <t>BUISNESS MAN</t>
  </si>
  <si>
    <t>SUNITA ASWANI</t>
  </si>
  <si>
    <t>RAMANAND SADAN, BEHIND RAJESH IRON, SIDDESHWAR COLONY, MANDI ROAD, STATION GANJ, NARSINGHPUR</t>
  </si>
  <si>
    <t>Narsinghpur</t>
  </si>
  <si>
    <t>CHAVARA VIDYA PEETH NARSINGHPUR, (M.P)</t>
  </si>
  <si>
    <t>CENTRAL BOARD OF SECONDARY EDUCATION NARSINGHPUR (M.P)</t>
  </si>
  <si>
    <t>THE EMERALD HEIGHTS INTERNATIONAL SCHOOL INDORE (M.P)</t>
  </si>
  <si>
    <t>CENTRAL BOARD OF SECONDARY EDUCATION INDORE (M.P)</t>
  </si>
  <si>
    <t>DR.D. Y. PATIL COLLEGE OF ARCHITECTURE, AKURDI PUNE</t>
  </si>
  <si>
    <t>AutoCAD,MS Office,MS Project,Primavera,Sketchup,Lumion,Photoshop,Keyshot,Autodesk Revit,Autodesk Naviswork</t>
  </si>
  <si>
    <t>99 STUDIO AHMEDABAD | ARCHITECT | AHMEDABAD | Mar 2021 | Mar 2022 | 1 Years, 0 Months, 22 Days | 2.34</t>
  </si>
  <si>
    <t>GODREJ PROPERTIES LTD | DESIGN COORDINATOR | PUNE | May 2023 | Jul 2023 | 7 Weeks | Campus Internship
ARCHITECTS AT WORK (AW) | DESIGN INTERN | AHMEDABAD | Jun 2019 | Nov 2019 | 21 Weeks</t>
  </si>
  <si>
    <t>p2270483</t>
  </si>
  <si>
    <t>AMOL</t>
  </si>
  <si>
    <t>BAHADURE</t>
  </si>
  <si>
    <t>Amol Ramesh Bahadure</t>
  </si>
  <si>
    <t>amolbahadure40@gmail.com</t>
  </si>
  <si>
    <t>p2270483@student.nicmar.ac.in</t>
  </si>
  <si>
    <t>16-Sep-1997</t>
  </si>
  <si>
    <t>3475 5618 2949</t>
  </si>
  <si>
    <t>M.I.G-16, MHADA COLONY, BHANDARA</t>
  </si>
  <si>
    <t>ST. PAUL ENGLISH HIGH-SCHOOL, BHANDARA</t>
  </si>
  <si>
    <t>OM SATYASAI  JUNIOR COLLOGE, PARSOD, BHANDARA</t>
  </si>
  <si>
    <t>BAPURAO DESHMUKH COLLEGE OF ENGINEERING, SEVAGRAM, WARDHA</t>
  </si>
  <si>
    <t>AutoCAD,MS Office,MS Project,Primavera,Revit,MS Excel</t>
  </si>
  <si>
    <t>Singhania Buildcon | Project Planning  &amp; Site Execuation | Raipur | May 2023 | Jul 2023 | 7 Weeks | Campus Internship</t>
  </si>
  <si>
    <t>p2270484</t>
  </si>
  <si>
    <t>PARDESHI</t>
  </si>
  <si>
    <t>Pardeshi Mansi Rajendra</t>
  </si>
  <si>
    <t>srp.pardeshi@gmail.com</t>
  </si>
  <si>
    <t>p2270484@student.nicmar.ac.in</t>
  </si>
  <si>
    <t>10-Dec-1998</t>
  </si>
  <si>
    <t>8832 1073 3018</t>
  </si>
  <si>
    <t>Parvati Bunglow , Kathe Lane, Bankar Chowk, Behind Dwarka Hotel, Dwarka, Nashik.</t>
  </si>
  <si>
    <t>SWAMI VIVEKANAND VIDYALAYA, PANCHAVATI, NASHIK</t>
  </si>
  <si>
    <t>NASHIK INSTITUTE OF TECHNOLOGY, LATE AANASAHEB PATIL POLYTECHNIC COLLEGE, NASHIK</t>
  </si>
  <si>
    <t>JAWAHAR EDUCATION SOCIETY'S INSTITUTE OF TECHNOLOGY, MANAGEMENT AND RESEARCH, NASHIK.</t>
  </si>
  <si>
    <t>PACIFICA  COMPANIES | Site Execution and Control  | Ahmedabad  | May 2023 | Jul 2023 | 7 Weeks | Campus Internship
SURRAJ INFRAA | FIELDWORK AND SITE SUPERVISION | SHEAGAON, AKOLA. | Dec 2017 | Jun 2018 | 23 Weeks</t>
  </si>
  <si>
    <t>p2270485</t>
  </si>
  <si>
    <t>ANUPAM</t>
  </si>
  <si>
    <t>Anupam Tiwari</t>
  </si>
  <si>
    <t>tanupam105@gmail.com</t>
  </si>
  <si>
    <t>p2270485@student.nicmar.ac.in</t>
  </si>
  <si>
    <t>29-Nov-1995</t>
  </si>
  <si>
    <t>Cricket,Badminton</t>
  </si>
  <si>
    <t>6735 7211 5845</t>
  </si>
  <si>
    <t>DHANANJAY TIWARI</t>
  </si>
  <si>
    <t>LATA TIWARI</t>
  </si>
  <si>
    <t>Ward No.-10, Near Narmada Temple, Amarkantak</t>
  </si>
  <si>
    <t>Anuppur</t>
  </si>
  <si>
    <t>SARASWATI SHISHU VIDYA MANDIR HIGH SCHOOL, AMARKANTAK, ANUPPUR</t>
  </si>
  <si>
    <t>GOVT H S SCHOOL, AMARKANTAK, ANUPPUR</t>
  </si>
  <si>
    <t>BANSAL INSTITUTE OF SCIENCE AND TECHNOLOGY, BHOPAL</t>
  </si>
  <si>
    <t>Wapcos ltd | Operation and Maintenance | Rajendragram | Jan 2021 | Jun 2022 | 1 Years, 5 Months, 29 Days | 1.86</t>
  </si>
  <si>
    <t>Rishabh Builders | Civil Site Trainee | Raipur | May 2023 | Jul 2023 | 7 Weeks | Campus Internship
MP Housing and Infrastructure Development Board | Civil Site Trainee | Bhopal | Jul 2017 | Jul 2017 | 2 Weeks</t>
  </si>
  <si>
    <t>p2270486</t>
  </si>
  <si>
    <t>CHAKOLE</t>
  </si>
  <si>
    <t>Atharva Vijay Chakole</t>
  </si>
  <si>
    <t>atharva.chakole25@gmail.com</t>
  </si>
  <si>
    <t>p2270486@student.nicmar.ac.in</t>
  </si>
  <si>
    <t>25-Jul-2000</t>
  </si>
  <si>
    <t>Puzzle Solving,Painting,Travelling,Cooking &amp; Baking,Exploring,Outdoor Activities,Art &amp; Craft</t>
  </si>
  <si>
    <t>3094 0093 6813</t>
  </si>
  <si>
    <t>VIJAY LAXMANRAO CHAKOLE</t>
  </si>
  <si>
    <t>APARNA VIJAY CHAKOLE</t>
  </si>
  <si>
    <t>PLOT NO 5 SHANTINIKETAN SOCIETY BEHIND CANARA BANK PRATAP NAGAR NAGPUR-22</t>
  </si>
  <si>
    <t>SOMALWAR HIGH SCHOOL NIKALAS BRANCH, NAGPUR</t>
  </si>
  <si>
    <t>SHRI DATTA MEGHE POLYTECNIC NAGPUR/MAHARASHTRA</t>
  </si>
  <si>
    <t>RASHTRASANT TUKADOGI MAHARAJ NAGPUR UNIVERSITY, NAGPUR</t>
  </si>
  <si>
    <t>AutoCAD,MS Office,MS Project,Primavera,Procore,Open space,Revit,BIM &amp; Naviswork,Zoho,Adobe illustrator,Candy</t>
  </si>
  <si>
    <t>ADRIANSE GLOBAL | PROJECTS INTERN | ADRIANSE GLOBAL GEETANJALI ENCLAVE MALVIA NAGAR DELHI | May 2023 | Jul 2023 | 7 Weeks | Campus Internship
PK CONSTRUCTIONS | PROJECT INCHARGE | OMKAR NAGAR | Jan 2022 | May 2022 | 17 Weeks
PK CONSTRUCTIONS | PROJECT INCHARGE | HUDKESHWAR | May 2018 | Jun 2018 | 4 Weeks</t>
  </si>
  <si>
    <t>p2270487</t>
  </si>
  <si>
    <t>A D</t>
  </si>
  <si>
    <t>A D Varsha</t>
  </si>
  <si>
    <t>varshadurai10@gmail.com</t>
  </si>
  <si>
    <t>p2270487@student.nicmar.ac.in</t>
  </si>
  <si>
    <t>17-May-1999</t>
  </si>
  <si>
    <t>Sketching,Watching movies,Swimmimg,Calligraphy</t>
  </si>
  <si>
    <t>4408 4791 5824</t>
  </si>
  <si>
    <t>A C DURAI</t>
  </si>
  <si>
    <t>G BHARATHI</t>
  </si>
  <si>
    <t>218/2,Rohini Flats,Anna Nagar West Extension,Thirumangalam,</t>
  </si>
  <si>
    <t>ASAN MEMORIAL SENIOR SECONDARY SCHOOL</t>
  </si>
  <si>
    <t>CBSE- CHENNAI/TAMIL NADU</t>
  </si>
  <si>
    <t>STATE BOARD SCHOOL EXAMINATION, TAMILNADU</t>
  </si>
  <si>
    <t>ANNA UNIVERSITY ,CHENNAI,TAMIL NADU</t>
  </si>
  <si>
    <t>ST.PETER'S COLLEGE OF ENGINEERING AND TECHNOLOGY</t>
  </si>
  <si>
    <t>AutoCAD,MS Office,MS Project,Primavera,SketchUp,Photoshop,Lumion,Revit,V-Ray,Navisworks,Candy</t>
  </si>
  <si>
    <t>Shapoorji Pallonji Engineering Construction | Summer Intern | Bengaluru,Karnataka | May 2023 | Jul 2023 | 8 Weeks | Campus Internship
ENRICH DESIGNS | Planning and Design Intern | CHENNAI,TAMIL NADU | Nov 2019 | Mar 2020 | 19 Weeks
ARCHAID ARCHITECTURE AND INTERIOR DESIGN | PLANNING AND DESIGN INTERN | CHENNAI, TAMILNADU | Jun 2019 | Oct 2019 | 18 Weeks</t>
  </si>
  <si>
    <t>p2270488</t>
  </si>
  <si>
    <t>UMAIR</t>
  </si>
  <si>
    <t>Umair Ahmad</t>
  </si>
  <si>
    <t>uahmad053@gmail.com</t>
  </si>
  <si>
    <t>p2270488@student.nicmar.ac.in</t>
  </si>
  <si>
    <t>8940 9836 6156</t>
  </si>
  <si>
    <t>ZAHIR AHMAD</t>
  </si>
  <si>
    <t>SAJEDA PARVEEN</t>
  </si>
  <si>
    <t>Ward No-35, Hous No-197, Kashana-e-nazir, Nazeerabad, Near Dolly Medical, Maihar Road, Satna, Madhya Pradesh.</t>
  </si>
  <si>
    <t>Satna</t>
  </si>
  <si>
    <t>ST MICHAEL'S SENIOR SECONDARY SCHOOL</t>
  </si>
  <si>
    <t>CBSE (CITY-SATNA)</t>
  </si>
  <si>
    <t>SRI CHAITANYA KALASALA</t>
  </si>
  <si>
    <t>TELANGANA STATE BOARD OF EDUCATION</t>
  </si>
  <si>
    <t>MANIPAL UNIVERSITY.</t>
  </si>
  <si>
    <t>MANIPAL UNIVERSITY JAIPUR ( CITY-JAIPUR)</t>
  </si>
  <si>
    <t>AutoCAD,MS Office,MS Project,Primavera,CANDY-BEGINNER</t>
  </si>
  <si>
    <t>SINGHANIA BUILDCON | PLANNING INTERN | RAIPUR CHHATISGARH  | May 2023 | Jul 2023 | 7 Weeks | Campus Internship
RG BUILDWELL ENGINEERS LIMITED | INTERN | UTTAR PRADESH | Jun 2021 | Jul 2021 | 5 Weeks
TAJAMMUL HUSSAIN AND COMPANY | INTERN | SATNA, MADHYA PRADESH. | Jan 2022 | May 2022 | 19 Weeks</t>
  </si>
  <si>
    <t>p2270489</t>
  </si>
  <si>
    <t>SUPRIT</t>
  </si>
  <si>
    <t>BHATTACHARYA</t>
  </si>
  <si>
    <t>Suprit Bhattacharya</t>
  </si>
  <si>
    <t>supritbhattacharya2@gmail.com</t>
  </si>
  <si>
    <t>p2270489@student.nicmar.ac.in</t>
  </si>
  <si>
    <t>27-Aug-1995</t>
  </si>
  <si>
    <t>ENGLISH,HINDI,BENGALI</t>
  </si>
  <si>
    <t>Swimming,Football</t>
  </si>
  <si>
    <t>6102 5244 6396</t>
  </si>
  <si>
    <t>SUBRATA KUMAR BHATTACHARYA</t>
  </si>
  <si>
    <t>SHYAMALI BHATTACHARYA</t>
  </si>
  <si>
    <t>RAAM-LAKSHMAN,BANDHAB PATHAGAR ROAD,PANIHATI,KOLKATA-700114</t>
  </si>
  <si>
    <t>SODEPUR HIGH SCHOOL</t>
  </si>
  <si>
    <t>WEST BENGAL BOARD OF SECONDARY EDUCATION , WEST BENGAL</t>
  </si>
  <si>
    <t>TECHNO INDIA COLLEGE OF TECHNOLOGY , KOLKATA</t>
  </si>
  <si>
    <t>AutoCAD,MS Office,MS Project,Primavera,Revit,Navisworks Manage,STAAD Pro</t>
  </si>
  <si>
    <t>KEC International LTD |  Execution | GOA | Nov 2021 | Aug 2022 | 0 Years, 8 Months, 6 Days | 4.75
Shapoorji Pallonji And Company Private Limited | Execution | Jharkhand | Mar 2021 | Nov 2021 | 0 Years, 8 Months, 19 Days | 3.15
Simplex Infrastructure Limited | Execution | Bangalore | Jan 2019 | Feb 2021 | 2 Years, 1 Months, 8 Days | 2.4</t>
  </si>
  <si>
    <t>PACIFICA  COMPANIES | SITE EXECUTION AND CONTROL | HYDERABAD | May 2023 | Jul 2023 | 7 Weeks | Campus Internship
BES CONSULTANT | TRAINEE | KOLKATA | Feb 2018 | Mar 2018 | 4 Weeks
NATIONAL SMALL INDUSTRIES CORPORATION LIMITED | TRAINEE | KOLKATA | Jul 2017 | Jul 2017 | 2 Weeks</t>
  </si>
  <si>
    <t>p2270490</t>
  </si>
  <si>
    <t>SUPRATIK</t>
  </si>
  <si>
    <t>MAITY</t>
  </si>
  <si>
    <t>Supratik Maity</t>
  </si>
  <si>
    <t>maity.supratik1997@gmail.com</t>
  </si>
  <si>
    <t>p2270490@student.nicmar.ac.in</t>
  </si>
  <si>
    <t>30-Oct-1998</t>
  </si>
  <si>
    <t>Bengali, Hindi, English</t>
  </si>
  <si>
    <t>Gardening,Sports,Swimming</t>
  </si>
  <si>
    <t>4370 1015 2454</t>
  </si>
  <si>
    <t>AMIT KUMAR MAITY</t>
  </si>
  <si>
    <t>MANJU MAITY</t>
  </si>
  <si>
    <t>Vill+P.O-Narayanbarh; P.S-Sabang; Dist.-Paschim Medinipur</t>
  </si>
  <si>
    <t>NARAYANBARH HIGH SCHOOL(H.S)</t>
  </si>
  <si>
    <t>SABANG SARADAMOYEE H.S SCHOOL</t>
  </si>
  <si>
    <t>MAKAUT</t>
  </si>
  <si>
    <t>MEGHNAD SAHA INSTITUTE OF TECHNOLOGY</t>
  </si>
  <si>
    <t>EPMCR Pvt. Ltd. | Project Planning | Chennai | May 2023 | Jul 2023 | 7 Weeks | Campus Internship
IRRIGATION AND WATERWAYS DIRECTORATE | TRAINEE | TEMATHANI(SABANG) | Jun 2019 | Jul 2019 | 2 Weeks</t>
  </si>
  <si>
    <t>p2270491</t>
  </si>
  <si>
    <t>JITESH</t>
  </si>
  <si>
    <t>Jitesh Jayant Kulkarni</t>
  </si>
  <si>
    <t>jiteshk306@gmail.com</t>
  </si>
  <si>
    <t>p2270491@student.nicmar.ac.in</t>
  </si>
  <si>
    <t>24-Jul-1996</t>
  </si>
  <si>
    <t>9969 0322 0342</t>
  </si>
  <si>
    <t>JAYANT KULKARNI</t>
  </si>
  <si>
    <t>MEENAKSHI KULKARNI</t>
  </si>
  <si>
    <t>22 Kannamwar Nagar Wardha Road Nagpur</t>
  </si>
  <si>
    <t>C1/703 PURANIKS ALDEA ESPANOLA PHASE 3 NEAR ORCHID HOTEL</t>
  </si>
  <si>
    <t>MONTFORT</t>
  </si>
  <si>
    <t>CBSE NAGPUR,MAHARASHTRA</t>
  </si>
  <si>
    <t>UJJWAL HIGHER SECONDARY SCHOOL</t>
  </si>
  <si>
    <t>INSTITUTE OF DESIGN EDUCATION AND ARCHITECTURE STUDIES NAGPUR/MAHARASHTRA</t>
  </si>
  <si>
    <t>AutoCAD,MS Office,MS Project,Primavera,REVIT,Critical thinking,Procurement,Project planning,Project management,Business Relationship Management,Teamwork,Design,Lumion,Sketchup,Collaboration,Communication skills</t>
  </si>
  <si>
    <t>ANAROCK Property Consultant | Sales  | Pune | May 2023 | Jul 2023 | 8 Weeks | Campus Internship
WIDEA | Design and Construction | NAGPUR | Aug 2018 | May 2019 | 43 Weeks
PALIWAL INFRASTRUCTURE | PROJECT MANAGEMENT TRAINEE | NAGPUR | Jul 2021 | Jul 2022 | 56 Weeks</t>
  </si>
  <si>
    <t>p2270492</t>
  </si>
  <si>
    <t>Aman Shrivastava</t>
  </si>
  <si>
    <t>aman.shrivastava700@gmail.com</t>
  </si>
  <si>
    <t>p2270492@student.nicmar.ac.in</t>
  </si>
  <si>
    <t>Astrology,Travelling,Playing Snooker</t>
  </si>
  <si>
    <t>9066 8572 9627</t>
  </si>
  <si>
    <t>ALOK SHRIVASTAVA</t>
  </si>
  <si>
    <t>RAILWAY SERVICE</t>
  </si>
  <si>
    <t>JAYA SHRIVASTAVA</t>
  </si>
  <si>
    <t>A8, UNIQUE CAMPUS ASHARAM NAGAR, BAGSEWANIA, BHOPAL</t>
  </si>
  <si>
    <t>KENDRIYA VIDYALAYA, CPE, ITARSI</t>
  </si>
  <si>
    <t>RAJEEV GANDHI HIGHER SECONDARY SCHOOL BHOPAL</t>
  </si>
  <si>
    <t>SAGAR INSTITUTE OF RESEARCH, TECHNOLOGY &amp; SCIENCE, BHOPAL</t>
  </si>
  <si>
    <t>MS Office,MS Project,Primavera,Revit,Naviswork,Candy</t>
  </si>
  <si>
    <t>UltraTech Cement Limited (On Payroll of Teamlease) | Quality testing, Techno-marketing | Shivpuri, Sheopur | Dec 2021 | Apr 2022 | 0 Years, 4 Months, 0 Days | 3.33
Dilip Buildcon Limited | Quality Audit | Corporate Office, Bhopal | Sep 2020 | Nov 2021 | 1 Years, 1 Months, 27 Days | 2.4
SGS India Private Limited (On Payroll of A Technocrats) | SQC &amp; BILLING Consultant | Hoshangabad M.P | Apr 2018 | Aug 2020 | 2 Years, 4 Months, 20 Days | 1.92</t>
  </si>
  <si>
    <t>GSIDC | Site Execution | Goa | May 2023 | Jul 2023 | 7 Weeks | Campus Internship</t>
  </si>
  <si>
    <t>p2270493</t>
  </si>
  <si>
    <t>TANISHA</t>
  </si>
  <si>
    <t>Tanisha Das</t>
  </si>
  <si>
    <t>tanisha011@gmail.com</t>
  </si>
  <si>
    <t>p2270493@student.nicmar.ac.in</t>
  </si>
  <si>
    <t>01-Nov-1995</t>
  </si>
  <si>
    <t>Reading,Gardening,Baking</t>
  </si>
  <si>
    <t>9990 7451 3152</t>
  </si>
  <si>
    <t>SUBHAS DAS</t>
  </si>
  <si>
    <t>PSU EMPLOYEE</t>
  </si>
  <si>
    <t>JHUMA DAS</t>
  </si>
  <si>
    <t>PSU EMPLYOEE</t>
  </si>
  <si>
    <t>C/O Dutta Brothers Building , Rynjah ,Opp Rynjah Post Office ,Shillong</t>
  </si>
  <si>
    <t>East Khasi Hills</t>
  </si>
  <si>
    <t>Meghalaya</t>
  </si>
  <si>
    <t>LORETO CONVENT</t>
  </si>
  <si>
    <t>ICSE,SHILLONG,MEGHALAYA</t>
  </si>
  <si>
    <t>2001-Mar</t>
  </si>
  <si>
    <t>CIVIL ENIGEERING</t>
  </si>
  <si>
    <t>NORTH EASTERN REGIONAL INSTITUTE OF SCIENCE AND TECHNOLOGY</t>
  </si>
  <si>
    <t>NORTH EASTERN HILL UNIVERSITY</t>
  </si>
  <si>
    <t>REGIONAL INSTITUTE OF SCIENCE AND TECHNOLOGY ,BARIDUA,RI BHOI</t>
  </si>
  <si>
    <t>AutoCAD,MS Office,MS Project,Primavera,STAADPRO,Candy,Revit,Naviswork</t>
  </si>
  <si>
    <t>Ashwin Sheth Group | Summer Intern | Mumbai | May 2023 | Jul 2023 | 7 Weeks | Campus Internship</t>
  </si>
  <si>
    <t>p2270494</t>
  </si>
  <si>
    <t>SAMADHIYA</t>
  </si>
  <si>
    <t>Sharad Samadhiya</t>
  </si>
  <si>
    <t>sharadsamadhiya180@gmail.com</t>
  </si>
  <si>
    <t>p2270494@student.nicmar.ac.in</t>
  </si>
  <si>
    <t>12-Oct-1997</t>
  </si>
  <si>
    <t>6956 5569 6788</t>
  </si>
  <si>
    <t>UMESH KUMAR SAMADHIYA</t>
  </si>
  <si>
    <t>KALPANA SAMADHIYA</t>
  </si>
  <si>
    <t>1234 Shivaji Nagar Jhansi</t>
  </si>
  <si>
    <t>Jhansi</t>
  </si>
  <si>
    <t>THE WOODS HERITAGE SCHOOL</t>
  </si>
  <si>
    <t>COUNCIL FOR THE INDIAN SCHOOL CERTIFICATE EXAMINATIONS,JHANSI,UP.</t>
  </si>
  <si>
    <t>GYAN STHALY PLC I C</t>
  </si>
  <si>
    <t>DR.A.P.J. ABDUL KALAM TECHNICAL UNIVERSITY,LUCKNOW,UP.</t>
  </si>
  <si>
    <t>S R GROUP OF INSTITUTIONS (COLLEGE OF SCIENCE AND ENGINEERING),JHANSI,UP.</t>
  </si>
  <si>
    <t>DEE KAY BUILDCON | EXECUTION | KUTCH GUJRAT | Aug 2019 | Jul 2022 | 2 Years, 11 Months, 2 Days | 2.4</t>
  </si>
  <si>
    <t>PRAGATI INFRA SOLUTIONS | Planning | Gurugram | May 2023 | Jul 2023 | 7 Weeks | Campus Internship
PWD | EXECUTION | JHANSI | Jun 2018 | Jul 2018 | 3 Weeks</t>
  </si>
  <si>
    <t>p2270495</t>
  </si>
  <si>
    <t>SHILAWAT</t>
  </si>
  <si>
    <t>Pratik Vijay Shilawat</t>
  </si>
  <si>
    <t>pratukshilawat@gmail.com</t>
  </si>
  <si>
    <t>p2270495@student.nicmar.ac.in</t>
  </si>
  <si>
    <t>14-Jul-1998</t>
  </si>
  <si>
    <t>9007 4803 5582</t>
  </si>
  <si>
    <t>VIJAY MADHUKAR SHILAWAT</t>
  </si>
  <si>
    <t>GOVERMENT</t>
  </si>
  <si>
    <t>MEENA VIJAY SHILAWAT</t>
  </si>
  <si>
    <t>4/108, Shalibhadra Gram, Kashimira</t>
  </si>
  <si>
    <t>ST. JEROME CONVENT HIGH SCHOOL</t>
  </si>
  <si>
    <t>ABHINAV VIDHYA MANDIR JUNIOR COLLEGE</t>
  </si>
  <si>
    <t>MUCHHALA POLYTECHNIC, THANE</t>
  </si>
  <si>
    <t>S.N.D. COLLEGE OF ENGINEERING, YEOLA</t>
  </si>
  <si>
    <t>The Jawaharlal Nehru Port Authority (JNPA) | Summer Intern | Sheva Navi Mumbai | May 2023 | Jul 2023 | 7 Weeks | Campus Internship</t>
  </si>
  <si>
    <t>p2270496</t>
  </si>
  <si>
    <t>ARPAN</t>
  </si>
  <si>
    <t>Arpan Gupta</t>
  </si>
  <si>
    <t>gupta.arpan25@gmail.com</t>
  </si>
  <si>
    <t>p2270496@student.nicmar.ac.in</t>
  </si>
  <si>
    <t>25-Jul-1998</t>
  </si>
  <si>
    <t>Singing,Meditation,Acting</t>
  </si>
  <si>
    <t>6352 8163 2213</t>
  </si>
  <si>
    <t>ARUN KUMAR GUPTA</t>
  </si>
  <si>
    <t>SUNITA GUPTA</t>
  </si>
  <si>
    <t>25/61 BIBHAV MARKET,FIRST FLOOR GANDHINAGAR</t>
  </si>
  <si>
    <t>ST. GEORGE'S COLLEGE UNIT 2, AGRA</t>
  </si>
  <si>
    <t>INDIAN CERTIFICATE OF SECONDARY EDUCATION AGRA /UTTARPRADESH</t>
  </si>
  <si>
    <t>SUMEET RAHUL GOEL MEMORIAL SENIOR SECONDARY SCHOOL, AGRA</t>
  </si>
  <si>
    <t>JAGADGURU SRI SHIVARATHREESHWARA ACADEMY OF TECHNICAL EDUCATION, NOIDA</t>
  </si>
  <si>
    <t>AutoCAD,MS Office,MS Project,Primavera,DCF Valuation,Real estate Financial Modeling,Market Research</t>
  </si>
  <si>
    <t>ANAROCK Property Consultant | sales Residential  | Pune | May 2023 | Jul 2023 | 8 Weeks | Campus Internship
SUNITA CONSTRUCTION | SITE EXECUTION AND BILLING | AGRA | Mar 2018 | Jun 2018 | 13 Weeks</t>
  </si>
  <si>
    <t>p2270497</t>
  </si>
  <si>
    <t>GIDGE</t>
  </si>
  <si>
    <t>Mangesh Subhash Gidge</t>
  </si>
  <si>
    <t>gidgemangesh1999@gmail.com</t>
  </si>
  <si>
    <t>p2270497@student.nicmar.ac.in</t>
  </si>
  <si>
    <t>English, Marathi , Hindi</t>
  </si>
  <si>
    <t>1.Trekking,2.Playing Cricket and Football,3. Reading Spirtual Book</t>
  </si>
  <si>
    <t>7324 7810 4442</t>
  </si>
  <si>
    <t>SUBHASH LAXMAN GIDGE</t>
  </si>
  <si>
    <t>RAJASHREE SUBHASH GIDGE</t>
  </si>
  <si>
    <t>J/003,Nikki Nagar_x000D_
Near Adharwadi Jail, Kalyan West</t>
  </si>
  <si>
    <t>MOHINDER SINGH KABAL SINGH ENGLISH HIGH SCHOOL</t>
  </si>
  <si>
    <t>MSBSHSE PUNE</t>
  </si>
  <si>
    <t>K M AGARWAL COLLEGE OF SCIENCE</t>
  </si>
  <si>
    <t>Pawar Construction Comapny | Execution Engineer | Navi Mumbai | Jun 2021 | Aug 2022 | 1 Years, 1 Months, 21 Days | 2.07</t>
  </si>
  <si>
    <t>SUNTECK REALTY LTD. | EPC-CONTRACTS | MUMBAI | May 2023 | Jul 2023 | 7 Weeks | Campus Internship
VERAIN COMMERCIALS LLP | SITE ENGINEER | MUMBAI | Dec 2019 | Dec 2019 | 4 Weeks
KONKAN RAILWAY ACADEMY | SITE EXECUTION | MADGAON | Jan 2020 | Jan 2020 | 0 Weeks</t>
  </si>
  <si>
    <t>p2270498</t>
  </si>
  <si>
    <t>NELLI</t>
  </si>
  <si>
    <t>VAMSI</t>
  </si>
  <si>
    <t>Nelli Vamsi</t>
  </si>
  <si>
    <t>nellivamshi85@gmail.com</t>
  </si>
  <si>
    <t>p2270498@student.nicmar.ac.in</t>
  </si>
  <si>
    <t>Playing Badminton &amp; Cricket,Listening to music</t>
  </si>
  <si>
    <t>7800 1278 4971</t>
  </si>
  <si>
    <t>NELLI TIRUPATHI</t>
  </si>
  <si>
    <t>NELLI DILLESWARI</t>
  </si>
  <si>
    <t>D.NO:1-68,BC STREET,KUDDIGAM,KOTTURU.</t>
  </si>
  <si>
    <t>SRI RAJ SRINIVAS EM SCHOOL,KOTTURU</t>
  </si>
  <si>
    <t>GOVT MODEL RESIDENTIAL POLYTECHNIC COLLEGE,YETAPAKA,EAST GODAVARI</t>
  </si>
  <si>
    <t>GAYATRI VIDYA PARISHAD COLLEGE FOR DEGREE AND PG COURSES(A),RUSHIKONDA</t>
  </si>
  <si>
    <t>MYK ARMENT PVT.LTD | CONSTRUCTION SYSTEMS DIVISION | Pune | May 2023 | Jul 2023 | 7 Weeks | Campus Internship
GLOBAL ENTROPOLIS VIZAG PRIVATE LIMITED | INTERN TRAINEE | VISAKHAPATNAM,ANDHRA PRADESH | Nov 2018 | Apr 2019 | 24 Weeks
VIJAY NIRMAN COMPANY PVT LTD | TRAINEE ENGINEER | HYDERABAD,TELANGANA | Jan 2022 | Jul 2022 | 25 Weeks</t>
  </si>
  <si>
    <t>p2270499</t>
  </si>
  <si>
    <t>BHATIA</t>
  </si>
  <si>
    <t>Riya Bhatia</t>
  </si>
  <si>
    <t>ar.riya.bhatia@gmail.com</t>
  </si>
  <si>
    <t>p2270499@student.nicmar.ac.in</t>
  </si>
  <si>
    <t>07-Dec-1998</t>
  </si>
  <si>
    <t>English, Hindi, Sindhi</t>
  </si>
  <si>
    <t>Sketching &amp; Art,Model Making,Craft Work,Reading,Fashion</t>
  </si>
  <si>
    <t>5485 0128 8805</t>
  </si>
  <si>
    <t>ASHISH BHATIA</t>
  </si>
  <si>
    <t>POONAM BHATIA</t>
  </si>
  <si>
    <t>350-e Bhatia Building, Katora Talab, Near Punjab National Bank, Raipur 492001</t>
  </si>
  <si>
    <t>HOLY HEARTS EDUCATIONAL ACADEMY RAIPUR CG</t>
  </si>
  <si>
    <t>CENTRAL BOARD OF SECONDARY EDUCATION, RAIPUR, CHHATTISGARH</t>
  </si>
  <si>
    <t>AMITY UNIVERSITY, CHHATTISGARH</t>
  </si>
  <si>
    <t>AMITY SCHOOL OF ARCHITECTURE AND PLANNING, RAIPUR</t>
  </si>
  <si>
    <t>AutoCAD,MS Office,MS Project,Primavera,Autodesk Revit,Navisworks,Adobe Photoshop,Sketchup,Candy</t>
  </si>
  <si>
    <t>Anurag Singh | Junior Architect | Raipur | Jun 2021 | Jul 2022 | 1 Years, 1 Months, 2 Days | 1.8</t>
  </si>
  <si>
    <t>Piramal Realty Pvt Ltd | Summer Intern | Mumbai | May 2023 | Jul 2023 | 7 Weeks | Campus Internship
GRIHAM CONSULTANT | INTERN | RANCHI | Jun 2018 | Jul 2018 | 5 Weeks
AVINASH DEVELOPERS | ARCHITECTURAL INTERN | RAIPUR | Jun 2019 | Jul 2019 | 5 Weeks
THE GRID ARCHITECTS | ARCHITECTURAL INTERN | AHMEDABAD | Jan 2020 | Jul 2020 | 26 Weeks</t>
  </si>
  <si>
    <t>p2270500</t>
  </si>
  <si>
    <t>Shashank Gupta</t>
  </si>
  <si>
    <t>info.shashankgupta@gmail.com</t>
  </si>
  <si>
    <t>p2270500@student.nicmar.ac.in</t>
  </si>
  <si>
    <t>05-Apr-1998</t>
  </si>
  <si>
    <t>SPORTS,MUSIC,TRAVELLING</t>
  </si>
  <si>
    <t>4435 2491 2727</t>
  </si>
  <si>
    <t>SANJAY GUPTA</t>
  </si>
  <si>
    <t>ACCOUNTS HEAD - FINANCE DEPARTMENT</t>
  </si>
  <si>
    <t>DR.GEETA GUPTA</t>
  </si>
  <si>
    <t>H-341 West Block Adharshila Awadhpuri BHEL Bhopal Madhya Pradesh India</t>
  </si>
  <si>
    <t>ROOM NO 212 , NICMAR HOSTEL NICMAR UNIVERSITY BALEWADI PUNE</t>
  </si>
  <si>
    <t>ST.JOSEPH'S CO-ED SCHOOL</t>
  </si>
  <si>
    <t>CBSE , BHOPAL, MADHYA PRADESH</t>
  </si>
  <si>
    <t>ST.JOESPH'S CO-ED SCHOOL</t>
  </si>
  <si>
    <t>BHARATI VIDYAPEETH UNIVERSITY</t>
  </si>
  <si>
    <t>BHARATI VIDYAPEETH COLLEGE OF ARCHITECTURE,PUNE</t>
  </si>
  <si>
    <t>AutoCAD,MS Office,MS Project,Primavera,Lumion,Sketchup,Photoshop,Illustrator,Revit,Enscape</t>
  </si>
  <si>
    <t>Edifice consultant Pvt Ltd Mumbai | Architectural Designer | Mumbai | Aug 2021 | Nov 2021 | 0 Years, 3 Months, 28 Days | 3.41
Pta Design Pvt Ltd | Architectural Designer | Bhopal | Mar 2022 | Jul 2022 | 0 Years, 3 Months, 17 Days | 2.5</t>
  </si>
  <si>
    <t>OBEROI REALTY | ARCHITECTURAL INTERN  | MUMBAI | May 2023 | Jul 2023 | 7 Weeks | Campus Internship
STUDIO ARCHIPLAN | ARCHITECTURAL INTERN | BHOPAL | Jun 2020 | Oct 2020 | 15 Weeks
ARCHTECH | ARCHITECTURAL INTERN | BHOPAL | May 2019 | Jun 2019 | 4 Weeks</t>
  </si>
  <si>
    <t>p2270501</t>
  </si>
  <si>
    <t>BARI</t>
  </si>
  <si>
    <t>Harsh Bharat Bari</t>
  </si>
  <si>
    <t>harshbari27@gmail.com</t>
  </si>
  <si>
    <t>p2270501@student.nicmar.ac.in</t>
  </si>
  <si>
    <t>27-Jun-1998</t>
  </si>
  <si>
    <t>ENGLISH,HINDI,Marathi,Gujarati</t>
  </si>
  <si>
    <t>Football,volleyball,listening music</t>
  </si>
  <si>
    <t>2525 3322 4215</t>
  </si>
  <si>
    <t>BHARAT R BARI</t>
  </si>
  <si>
    <t>SHILA B BARI</t>
  </si>
  <si>
    <t>At:Raghuveer Nagar,Raghuveer Niwas,Kankaradi,Tal:Dahanu,Dist:Palghar,401602</t>
  </si>
  <si>
    <t>MAHARSHTRA STATE BOARD OF SECONDARY AND HIGHER SECONDARY EDUCATION</t>
  </si>
  <si>
    <t>VIVA COLLAGE OF DIPLOMA ENGINEERING AND TECHNOLOGY</t>
  </si>
  <si>
    <t>THEEM COLLAGE OF ENGINEERING BOISAR</t>
  </si>
  <si>
    <t>SANRACHANA | Site Execution | Mumbai | May 2023 | Jul 2023 | 7 Weeks | Campus Internship</t>
  </si>
  <si>
    <t>p2270502</t>
  </si>
  <si>
    <t>TUSHARKUMAR</t>
  </si>
  <si>
    <t>DAGLI</t>
  </si>
  <si>
    <t>Pranay Tusharkumar Dagli</t>
  </si>
  <si>
    <t>pranaydagli@gmail.com</t>
  </si>
  <si>
    <t>p2270502@student.nicmar.ac.in</t>
  </si>
  <si>
    <t>english, hindi,gujarati</t>
  </si>
  <si>
    <t>chess,animal welfare work,photography</t>
  </si>
  <si>
    <t>6628 3331 2059</t>
  </si>
  <si>
    <t>TUSHARBHAI</t>
  </si>
  <si>
    <t>FALGUNIBEN</t>
  </si>
  <si>
    <t>26,maa Gayatri Nagar-2 ,behind Setu Health Club Godhra Gujarat</t>
  </si>
  <si>
    <t>M&amp;M MEHTA HIGH SCHOOL GODHRA</t>
  </si>
  <si>
    <t>GUJARAT SECONDARY AND HIGHER SECONDARY EDUCATION BOARD GANDHINAGAR</t>
  </si>
  <si>
    <t>CHARUSAT COLLEGE CHANGA, ANAND, GUJARAT</t>
  </si>
  <si>
    <t>AutoCAD,MS Office,MS Project,Primavera,candy,BIM,Photoshop</t>
  </si>
  <si>
    <t>R. N prajapati | site supervisor | godhra | Sep 2021 | May 2022 | 0 Years, 8 Months, 1 Days | 1.44</t>
  </si>
  <si>
    <t>PACIFICA  COMPANIES | PLANNING AND PROJECT | AHMEDABAD | May 2023 | Jul 2023 | 7 Weeks | Campus Internship
R N PRAJAPATI | SITE SUPERVISOR | GODHRA | May 2019 | Jun 2019 | 2 Weeks
RKC INFRABUILT | TRAINEE-ENGINEER | AHMDABAD | Jun 2022 | Aug 2022 | 6 Weeks</t>
  </si>
  <si>
    <t>p2270503</t>
  </si>
  <si>
    <t>KAHINI</t>
  </si>
  <si>
    <t>Kahini M</t>
  </si>
  <si>
    <t>kahini07@gmail.com</t>
  </si>
  <si>
    <t>p2270503@student.nicmar.ac.in</t>
  </si>
  <si>
    <t>ENGLISH, TAMIL,HINDI</t>
  </si>
  <si>
    <t>Sketching,Wall painting,Teaching,Travelling,Artistic</t>
  </si>
  <si>
    <t>8565 7254 5289</t>
  </si>
  <si>
    <t>MURUGESAN.D</t>
  </si>
  <si>
    <t>UMA MAHESWARI.M</t>
  </si>
  <si>
    <t>6/32 Velayutham Pillai 1st_x000D_
Thavittu Shanthai</t>
  </si>
  <si>
    <t>ST.JOSEPH'S MATRICULATION HR. SEC. SCHOOL</t>
  </si>
  <si>
    <t>MADURAI</t>
  </si>
  <si>
    <t>SCHOOL OF ARCHITECTURE ST.PETER'S COLLEGE OF ENGINEERING AND TECHNOLOGY</t>
  </si>
  <si>
    <t>SCHOOL OF ARCHITECTURE ST.PETER'S COLLEGE OF ENGINEERING AND TECHNOLOGY,CHENNAI</t>
  </si>
  <si>
    <t>AutoCAD,MS Office,MS Project,Primavera,Revit,Candy,Sketchup,Lumion,Navisworks</t>
  </si>
  <si>
    <t>Jones Lang LaSalle India Pvt Ltd | Strategic Consulting Intern | Mumbai | May 2023 | Jul 2023 | 7 Weeks | Campus Internship
METAPHOR ARCHITECTS PRIVATE LIMITED | TRAINEE | CHENNAI | Dec 2019 | Mar 2020 | 16 Weeks
AMAR ARCHITECTS PRIVATE LIMITED | Trainee | CHENNAI | May 2019 | Sep 2019 | 17 Weeks</t>
  </si>
  <si>
    <t>p2270504</t>
  </si>
  <si>
    <t>B N</t>
  </si>
  <si>
    <t>Darshan B N</t>
  </si>
  <si>
    <t>darshanbn2@gmail.com</t>
  </si>
  <si>
    <t>p2270504@student.nicmar.ac.in</t>
  </si>
  <si>
    <t>Cricket,Acting,Badminton,Video Editing</t>
  </si>
  <si>
    <t>4747 4940 3045</t>
  </si>
  <si>
    <t>NAGAKUMAR B K</t>
  </si>
  <si>
    <t>#4015/B, 7th Cross 1st Main Road, Gayathrinagar , Near Post Office, 2nd Stage Rajajinagar</t>
  </si>
  <si>
    <t>SRI VANI HIGH SCHOOL</t>
  </si>
  <si>
    <t>KARNATAKA SECONDARY EDUCATION EXAMINATION BOARD - BENGALURU KARNATAKA</t>
  </si>
  <si>
    <t>MES KISHOR KENDRA PU COLLEGE</t>
  </si>
  <si>
    <t>DEPARTMENT OF PRE UNIVERSITY EDUCATION - BENGALURU KARNATAKA</t>
  </si>
  <si>
    <t>MAHARAJA INSTITUTE OF TECHNOLOGY MYSORE - KARNATAKA</t>
  </si>
  <si>
    <t>AutoCAD,MS Office,MS Project,Primavera,Candy,Revit,Lumion,3ds Max,Sketchup Pro</t>
  </si>
  <si>
    <t>APARNA CONSTRUCTIONS AND ESTATES PRIVATE LIMITED | QUANTITY SURVEYING AND BILLING | HYDERABAD | May 2023 | Jul 2023 | 7 Weeks | Campus Internship
NAMMANE CONSTRUCTIONS | SITE ENGINEER  | MYSORE | Mar 2022 | Apr 2022 | 3 Weeks</t>
  </si>
  <si>
    <t>p2270505</t>
  </si>
  <si>
    <t>Choudhari Aniket Vilas</t>
  </si>
  <si>
    <t>aniket.choudhari367@gmail.com</t>
  </si>
  <si>
    <t>p2270505@student.nicmar.ac.in</t>
  </si>
  <si>
    <t>Separated</t>
  </si>
  <si>
    <t>Outdoor Games,Swimming,Trekking</t>
  </si>
  <si>
    <t>5897 2512 5168</t>
  </si>
  <si>
    <t>VILAS VISHNU CHOUDHARI</t>
  </si>
  <si>
    <t>SHOBHA VILAS CHOUDHARI</t>
  </si>
  <si>
    <t>C-10, Gunjan Shalaka, Sane Guruji Nagar,    90ft Road, Mulund(E), Mumbai-81</t>
  </si>
  <si>
    <t>INDIAN EDUCATION SOCIETY</t>
  </si>
  <si>
    <t>K.J.SOMAIYA POLYTECHNIC</t>
  </si>
  <si>
    <t>A.P.SHAH INSTITUTE OF TECHNOLOGY</t>
  </si>
  <si>
    <t>J. KUMAR INFRAPROJECTS LTD. | SITE ENGINEER | MUMBAI | May 2023 | Jul 2023 | 7 Weeks | Campus Internship
OM BUILDCON | TRAINEE ENGINEER | MUMBAI | Jun 2020 | Jul 2020 | 4 Weeks</t>
  </si>
  <si>
    <t>p2270506</t>
  </si>
  <si>
    <t>Pranay Dinesh Bari</t>
  </si>
  <si>
    <t>baripranay@gmail.com</t>
  </si>
  <si>
    <t>p2270506@student.nicmar.ac.in</t>
  </si>
  <si>
    <t>English,Hindi,Marathi,Gujarati</t>
  </si>
  <si>
    <t>3370 5701 1218</t>
  </si>
  <si>
    <t>DINESH BARI</t>
  </si>
  <si>
    <t>CHHAYA BARI</t>
  </si>
  <si>
    <t>4B/803, Skylark Towers, New Mhada Colony, Lokhandwala, Andheri West, Mumbai</t>
  </si>
  <si>
    <t>GYAN KENDRA HIGHER SECONDARY INTERNATIONAL SCHOOL</t>
  </si>
  <si>
    <t>SSC MUMBAI MAHARASTRA</t>
  </si>
  <si>
    <t>SKR VADKUN COLLEGE OF SCIENCE AND COMMERCE</t>
  </si>
  <si>
    <t>AutoCAD,MS Office,MS Project,Primavera,GOOGLE SKETCHUP,CANDY,Revit,BIM</t>
  </si>
  <si>
    <t>J. KUMAR INFRAPROJECTS LTD. | SITE EXECUTION AND CONTROL  | MUMBAI | May 2023 | Jul 2023 | 7 Weeks | Campus Internship
HALKO INFRAPROJECTS | SITE ENGINEER  | GOREGAON, MUMBAI | May 2020 | May 2021 | 52 Weeks</t>
  </si>
  <si>
    <t>p2270507</t>
  </si>
  <si>
    <t>KRITIKA</t>
  </si>
  <si>
    <t>Kritika Raj</t>
  </si>
  <si>
    <t>kritikaraj1122@gmail.com</t>
  </si>
  <si>
    <t>p2270507@student.nicmar.ac.in</t>
  </si>
  <si>
    <t>11-Dec-1997</t>
  </si>
  <si>
    <t>9194 0670 6226</t>
  </si>
  <si>
    <t>RAJ KUMAR</t>
  </si>
  <si>
    <t>DEFENCE PERSONNEL</t>
  </si>
  <si>
    <t>MANJU KUMARI</t>
  </si>
  <si>
    <t>GATE NO.15, INFRONT OF B-14, PATRAKARNAGAR, KANKARBAGH, PATNA-20, BIHAR</t>
  </si>
  <si>
    <t>CENTRAL BOARD OF SECONDARY EDUCATION, PATNA</t>
  </si>
  <si>
    <t>SJCE, MYSURU</t>
  </si>
  <si>
    <t>L AND T  REALTY | SITE EXECUTION | NOIDA | May 2023 | Jul 2023 | 7 Weeks | Campus Internship
BIHAR RAJYA PUL NIRMAN NIGAM LIMITED | Vocational Trainee | PATNA | Jun 2018 | Jul 2018 | 4 Weeks
ALL INDIA RADIO | Intern | PATNA | Dec 2017 | Jan 2018 | 1 Weeks</t>
  </si>
  <si>
    <t>p2270508</t>
  </si>
  <si>
    <t>TAGDE</t>
  </si>
  <si>
    <t>Raj Prafulla Tagde</t>
  </si>
  <si>
    <t>tagderaj@gmail.com</t>
  </si>
  <si>
    <t>p2270508@student.nicmar.ac.in</t>
  </si>
  <si>
    <t>05-Apr-1996</t>
  </si>
  <si>
    <t>7062 7534 1409</t>
  </si>
  <si>
    <t>PRAFULLA TAGDE</t>
  </si>
  <si>
    <t>RETIREMENT</t>
  </si>
  <si>
    <t>SHAILA TAGDE</t>
  </si>
  <si>
    <t>Plot No30, Baba Farid Nagar, Zingabai Takli, Mankapur</t>
  </si>
  <si>
    <t>JAWAHARLAL NEHRU HIGH SCHOOL SAONER</t>
  </si>
  <si>
    <t>BHARTIYA KRISHI JR. COLLEGE ZINGABAI TAKLI NAGPUR</t>
  </si>
  <si>
    <t>GURU NANAK INSTITUTE OF TECHNOLOGY NAGPUR MAHARASHTRA</t>
  </si>
  <si>
    <t>Vishvaraj Environment Pvt. Ltd. | Project Execution - Site Engineer | Nagpur | Oct 2019 | Sep 2022 | 2 Years, 11 Months, 0 Days | 2.47</t>
  </si>
  <si>
    <t>Ashwin Sheth Group | Procurement Intern | Mumbai | May 2023 | Jul 2023 | 7 Weeks | Campus Internship</t>
  </si>
  <si>
    <t>p2270509</t>
  </si>
  <si>
    <t>DOGRA</t>
  </si>
  <si>
    <t>Manav Dogra</t>
  </si>
  <si>
    <t>dogramanav24@gmail.com</t>
  </si>
  <si>
    <t>p2270509@student.nicmar.ac.in</t>
  </si>
  <si>
    <t>Travelling,Cycling,Cooking,Trekking</t>
  </si>
  <si>
    <t>5108 1614 8104</t>
  </si>
  <si>
    <t>ARUN KUMAR DOGRA</t>
  </si>
  <si>
    <t>KANCHAN DOGRA</t>
  </si>
  <si>
    <t>Flat No-421, Sector 18, Pocket-B, Atulya Appartment, Dwarka</t>
  </si>
  <si>
    <t>MODERN INTERNATIONAL SCHOOL</t>
  </si>
  <si>
    <t>DRONACHARYA COLLEGE OF ENGINEERING HARYANA</t>
  </si>
  <si>
    <t>L&amp;T Construction | Intern | Jodhpur, Rajasthan | May 2023 | Jul 2023 | 7 Weeks | Campus Internship</t>
  </si>
  <si>
    <t>p2270510</t>
  </si>
  <si>
    <t>Pranav Rajendra Patil</t>
  </si>
  <si>
    <t>patilpranav545@gmail.com</t>
  </si>
  <si>
    <t>p2270510@student.nicmar.ac.in</t>
  </si>
  <si>
    <t>Cricket,Swimming,Travelling</t>
  </si>
  <si>
    <t>8768 8283 6951</t>
  </si>
  <si>
    <t>RAJENDRA BHAGWANRAO NALWADE PATIL</t>
  </si>
  <si>
    <t>HOME KEEPER</t>
  </si>
  <si>
    <t>At Post Parle Taluka Karad Dis Satara Maharashtra</t>
  </si>
  <si>
    <t>HOLY FAMILY CONVENT HIGH SCHOOL KARAD</t>
  </si>
  <si>
    <t>SADGURU GADAGE MAHARAJ COLLEDGE</t>
  </si>
  <si>
    <t>RAJARAMBAPU INSTITUTE OF TECHNOLOGY ISLAMPUR</t>
  </si>
  <si>
    <t>GSIDC | Site Execution | Goa | May 2023 | Jul 2023 | 7 Weeks | Campus Internship
VISION DEVELOPERS KARAD | SUPERVISOR | KARAD | Jan 2022 | Jun 2022 | 20 Weeks</t>
  </si>
  <si>
    <t>p2270511</t>
  </si>
  <si>
    <t>MRUTYUNJAYA</t>
  </si>
  <si>
    <t>Anusha Mrutyunjaya</t>
  </si>
  <si>
    <t>anushamrutyunjaya96@gmail.com</t>
  </si>
  <si>
    <t>p2270511@student.nicmar.ac.in</t>
  </si>
  <si>
    <t>Kannada,English,Telgu,hindi,Tamil</t>
  </si>
  <si>
    <t>Writing,sketching,Designing</t>
  </si>
  <si>
    <t>7858 1570 1081</t>
  </si>
  <si>
    <t>MRUTYUNJAYA DN</t>
  </si>
  <si>
    <t>SANGEETHA M</t>
  </si>
  <si>
    <t>#C-303,Sai Mitra Meadows,1st A Cross, Kaggadasapura Main Road, CV Raman Nagar</t>
  </si>
  <si>
    <t>GEETHANJALI VIDYALAYA</t>
  </si>
  <si>
    <t>MIRANDA COMP PU COLLEGE</t>
  </si>
  <si>
    <t>ACHARYA NRV SCHOOL OF ARCHITECTURE,KARNATAKA</t>
  </si>
  <si>
    <t>AutoCAD,MS Office,MS Project,Primavera,Lumion,Revit,Sketchup</t>
  </si>
  <si>
    <t>Sohum Construction | Project Architect | Bangalore | Mar 2022 | May 2022 | 0 Years, 2 Months, 30 Days | 4.2
Esthete Designers and Builders Pvt. Ltd. | Project Architect | Bangalore | Aug 2020 | Jan 2022 | 1 Years, 5 Months, 3 Days | 3
Nu associates | Junior Architect | Bangalore | Sep 2019 | Jan 2020 | 0 Years, 3 Months, 4 Days | 2.04</t>
  </si>
  <si>
    <t>The Vibe Realty | Business Development and Market research | Pune | May 2023 | Jul 2023 | 7 Weeks | Campus Internship
AUS ARCHITECTURE | Architecture | BANGALORE | Feb 2019 | May 2019 | 16 Weeks</t>
  </si>
  <si>
    <t>p2270512</t>
  </si>
  <si>
    <t>CHARAN</t>
  </si>
  <si>
    <t>YENIKAPATI</t>
  </si>
  <si>
    <t>Surya Charan Yenikapati</t>
  </si>
  <si>
    <t>surya.suryacharan@gmail.com</t>
  </si>
  <si>
    <t>p2270512@student.nicmar.ac.in</t>
  </si>
  <si>
    <t>02-Nov-1998</t>
  </si>
  <si>
    <t>Photography,Watching stocks</t>
  </si>
  <si>
    <t>4845 4127 6164</t>
  </si>
  <si>
    <t>Y.SRINAVAS ROA</t>
  </si>
  <si>
    <t>Y.SUJATHA</t>
  </si>
  <si>
    <t>3-3-55/1,G-5,Shashanka Enclaves,Baghameeri,Kukatpally</t>
  </si>
  <si>
    <t>BOARD OF SECONDARY EDUCATION,HYDERABAD</t>
  </si>
  <si>
    <t>NRI INSTUTE</t>
  </si>
  <si>
    <t>MEGHA ENGINEERING INFRASTRUCTURE LIMITED | EXECUTION | GAJWEL | Jul 2021 | Jul 2022 | 1 Years, 0 Months, 24 Days | 2.43</t>
  </si>
  <si>
    <t>PACIFICA  COMPANIES | SITE EXECUTION AND CONTROL DEPARTMENT  | HYDERABAD  | May 2023 | Jul 2023 | 7 Weeks | Campus Internship
ROADS AND BUILDINGS DEPARTMENT | INTERN | SHAMERPET | Aug 2019 | Aug 2019 | 4 Weeks</t>
  </si>
  <si>
    <t>p2270513</t>
  </si>
  <si>
    <t>JOSHAN</t>
  </si>
  <si>
    <t>Joshan John</t>
  </si>
  <si>
    <t>joshanjohn19@gmail.com</t>
  </si>
  <si>
    <t>p2270513@student.nicmar.ac.in</t>
  </si>
  <si>
    <t>Cricket,Football,Current Affairs,Movies</t>
  </si>
  <si>
    <t>5931 7943 2306</t>
  </si>
  <si>
    <t>JOHN MATHEW P</t>
  </si>
  <si>
    <t>JISSYMOL VARGHESE</t>
  </si>
  <si>
    <t>Poovanthara House Mambra PO</t>
  </si>
  <si>
    <t>LITTLE FLOWER PUBLIC SCHOOL MURINGOOR</t>
  </si>
  <si>
    <t>UNION HIGHER SECONDARY SCHOOL MAMBRA</t>
  </si>
  <si>
    <t>BOARD OF HIGHER SECONDARY EXAMINATION, KERALA</t>
  </si>
  <si>
    <t>FEDERAL INSTITUTE OF SCIENCE AND TECHNOLOGY, MOOKKANNOOR, KERALA</t>
  </si>
  <si>
    <t>AutoCAD,MS Office,MS Project,Primavera,Revit Architecture,Naviswork,Advanced Excel</t>
  </si>
  <si>
    <t>CHANDRUS BUILDERS | Site Execution | KALOOR, KERALA | Oct 2021 | Jul 2022 | 0 Years, 9 Months, 16 Days | 1.44</t>
  </si>
  <si>
    <t>Aparna Constructions and Estates | Quantity Surveying and Billing | Aparna Serenity, Hyderabad | May 2023 | Jul 2023 | 7 Weeks | Campus Internship</t>
  </si>
  <si>
    <t>p2270515</t>
  </si>
  <si>
    <t>MODH</t>
  </si>
  <si>
    <t>SAMARTH</t>
  </si>
  <si>
    <t>RAJESHKUMAR</t>
  </si>
  <si>
    <t>Modh Samarth Rajeshkumar</t>
  </si>
  <si>
    <t>samarthmodh2000@gmail.com</t>
  </si>
  <si>
    <t>p2270515@student.nicmar.ac.in</t>
  </si>
  <si>
    <t>Travel and Cultural Experiences,Technophile,Chess</t>
  </si>
  <si>
    <t>8301 5499 2616</t>
  </si>
  <si>
    <t>RAJESHKUMAR KESHAVLAL MODH</t>
  </si>
  <si>
    <t>NEEMABEN RAJESHKUMAR MODH</t>
  </si>
  <si>
    <t>18, Ambika Nagar, B/H Vijay Hanuman Temple, Palanpur</t>
  </si>
  <si>
    <t>Banaskantha</t>
  </si>
  <si>
    <t>SHREE VIVIDHLAXI VIDYAMANDIR</t>
  </si>
  <si>
    <t>GUJARAT SECONDARY AND HIGHER SECONDARY EDUCATION BOARD, GANDHINAGAR / GUJARAT</t>
  </si>
  <si>
    <t>SHREE K.M. CHOKSHI HIGHER SECONDARY SCHOOL</t>
  </si>
  <si>
    <t>LEELABEN DASHRATHBHAI RAMDAS PATEL INSTITUTE OF TECHNOLOGY AND RESEARCH, GANDHINAGAR / GUJARAT</t>
  </si>
  <si>
    <t>MS Office,MS Project,Primavera,BIM</t>
  </si>
  <si>
    <t>PSP Projects Limited | Site Execution + Control | Surat | May 2023 | Jul 2023 | 7 Weeks | Campus Internship</t>
  </si>
  <si>
    <t>p2270516</t>
  </si>
  <si>
    <t>Yogesh K Gaonkar</t>
  </si>
  <si>
    <t>yogeshkgaonkar04@gmail.com</t>
  </si>
  <si>
    <t>p2270516@student.nicmar.ac.in</t>
  </si>
  <si>
    <t>English , hindi , kannada , konkani</t>
  </si>
  <si>
    <t>4717 0402 3011</t>
  </si>
  <si>
    <t>KOMAL M GAONKAR</t>
  </si>
  <si>
    <t>DESIGNER</t>
  </si>
  <si>
    <t>SHOBHA V NAYAK</t>
  </si>
  <si>
    <t>DRAFTMEN</t>
  </si>
  <si>
    <t>#175 Ews 5th A Main 7th Cross Kengeri Satellite Town Banglore</t>
  </si>
  <si>
    <t>SRI JNANAKSHI VIDHYANIKETHAN</t>
  </si>
  <si>
    <t>CBSE KARNATAKA/ BANGLORE</t>
  </si>
  <si>
    <t>SRI CHAITANYA PU COLLEGE</t>
  </si>
  <si>
    <t>VISVESVARAYA INSTITUTION OF TECHNOLOGY</t>
  </si>
  <si>
    <t>GLOBAL ACADEMY OF TECHNOLOGY BENGALURU/ KARNATAKA</t>
  </si>
  <si>
    <t>AutoCAD,MS Project,SKETCHUP</t>
  </si>
  <si>
    <t>Livio Building System |  Business Development | Pune | May 2023 | Jul 2023 | 7 Weeks | Campus Internship
SOBHA LMT | INTERN | RAJ VILLAS BANGLORE | Aug 2021 | Sep 2021 | 4 Weeks
Livio building system |  Business Development | Pune | Jul 2023 | Oct 2023 | 10 Weeks</t>
  </si>
  <si>
    <t>p2270517</t>
  </si>
  <si>
    <t>SHUKLA</t>
  </si>
  <si>
    <t>Ashish Shukla</t>
  </si>
  <si>
    <t>imashvt96@gmail.com</t>
  </si>
  <si>
    <t>p2270517@student.nicmar.ac.in</t>
  </si>
  <si>
    <t>12-Dec-1999</t>
  </si>
  <si>
    <t>ENGLISH â€¢HINDI</t>
  </si>
  <si>
    <t>Cricket,Photography,Travelling</t>
  </si>
  <si>
    <t>2089 2622 1781</t>
  </si>
  <si>
    <t>SHUBHASH CHANDRA SHUKLA</t>
  </si>
  <si>
    <t>INDIAN ARMY</t>
  </si>
  <si>
    <t>MADHURI SHUKLA</t>
  </si>
  <si>
    <t>Shantipuram Sec F  Prayagraj (Uttar Pradesh )</t>
  </si>
  <si>
    <t>PRAYAG PUBLIC SCHOOL</t>
  </si>
  <si>
    <t>CBSE BOARD ( UTTAR PRADESH )</t>
  </si>
  <si>
    <t>TULSHI DEVI KARUNAPATI SMARAK INTER COLLEGE</t>
  </si>
  <si>
    <t>DR. A.P.J. ABDUL KALAM TECHNICAL UNIVERSITY , UTTAR PRADESH</t>
  </si>
  <si>
    <t>AJAY KUMAR GARG ENGINEERING COLLEGE ( GHAZIABAD UTTAR PRADESH )</t>
  </si>
  <si>
    <t>Colliers International (India) Property Services Private Limited | Site Execution &amp; Planning | Pune | May 2023 | Jul 2023 | 8 Weeks | Campus Internship
PUBLIC WORK DEPARTMENT | Taking Record of Level, Testing of Compaction and Monitoring Subsurface of Penetration. | PRAYAGRAJ | Aug 2021 | Sep 2021 | 3 Weeks</t>
  </si>
  <si>
    <t>p2270518</t>
  </si>
  <si>
    <t>MUKUL</t>
  </si>
  <si>
    <t>TAKKAR</t>
  </si>
  <si>
    <t>Mukul Takkar</t>
  </si>
  <si>
    <t>mukultakkar01@gmail.com</t>
  </si>
  <si>
    <t>p2270518@student.nicmar.ac.in</t>
  </si>
  <si>
    <t>19-Sep-1998</t>
  </si>
  <si>
    <t>Travelling (Trekking),Cooking,Reading &amp; Writing poetry</t>
  </si>
  <si>
    <t>6040 2175 9010</t>
  </si>
  <si>
    <t>SATISH TAKKAR</t>
  </si>
  <si>
    <t>SUNITA TAKKAR</t>
  </si>
  <si>
    <t>Tarun Electricals, Takkar Chowk, Main Bazar, Gharaunda (Karnal)</t>
  </si>
  <si>
    <t>MASD PUBLIC SCHOOL, PANIPAT</t>
  </si>
  <si>
    <t>CHITKARA UNIVERSITY</t>
  </si>
  <si>
    <t>CHITKARA SCHOOL OF ENGINEERING AND TECHNOLOGY, BADDI</t>
  </si>
  <si>
    <t>WAPCOS Limited | Engineer | Panchkula | Aug 2021 | Jul 2022 | 0 Years, 11 Months, 12 Days | 3.6</t>
  </si>
  <si>
    <t>BANGALORE METRO RAIL CORPORATION LIMITED | SUMMER INTERN | BANGALORE | May 2023 | Jul 2023 | 7 Weeks | Campus Internship
WATER RESOURCES DEPARTMENT PUNJAB | ENGINEERING TRAINEE | CHANDIGARH | Feb 2021 | Jun 2021 | 20 Weeks</t>
  </si>
  <si>
    <t>p2270519</t>
  </si>
  <si>
    <t>SHARATH</t>
  </si>
  <si>
    <t>Sharath R Gowda</t>
  </si>
  <si>
    <t>sharathzstar@gmail.com</t>
  </si>
  <si>
    <t>p2270519@student.nicmar.ac.in</t>
  </si>
  <si>
    <t>25-Jan-2001</t>
  </si>
  <si>
    <t>Swimming,Motercycle riding,Video Editing</t>
  </si>
  <si>
    <t>4964 8539 3984</t>
  </si>
  <si>
    <t>TEJASWINI HS</t>
  </si>
  <si>
    <t>No 16th Theru Nilaya, 2nd Cross Annayappa Road, Jaraganahalli</t>
  </si>
  <si>
    <t>JYOTHY KENDRIYA VIDYALAYA</t>
  </si>
  <si>
    <t>CENTRAL BOARD OF SECONDARY EDUCATION, BENGALURU, KARNATAKA</t>
  </si>
  <si>
    <t>DAYANAND SAGAR COLLEGE OF ENGINEERING, BENGALURU, KARNATAKA</t>
  </si>
  <si>
    <t>AutoCAD,MS Office,MS Project,Primavera,Candy,Revit,Sketchup,Vray</t>
  </si>
  <si>
    <t>CBRE South Asia Pvt Ltd | Site Execution | Pune | May 2023 | Jul 2023 | 7 Weeks | Campus Internship
DESIGN SPACE ARCHITECTS | Site Execution | BENGALURU  | Mar 2021 | Mar 2021 | 4 Weeks</t>
  </si>
  <si>
    <t>p2270520</t>
  </si>
  <si>
    <t>DIBAKAR</t>
  </si>
  <si>
    <t>Dibakar Chakraborty</t>
  </si>
  <si>
    <t>dc27395@gmail.com</t>
  </si>
  <si>
    <t>p2270520@student.nicmar.ac.in</t>
  </si>
  <si>
    <t>27-Mar-1995</t>
  </si>
  <si>
    <t>Bike Riding,Gardening,Cricket</t>
  </si>
  <si>
    <t>5897 2177 2915</t>
  </si>
  <si>
    <t>GURUDAS CHAKRABORTY</t>
  </si>
  <si>
    <t>ARCHANA CHAKRABORTY</t>
  </si>
  <si>
    <t>Village-Indas, PO-Indas, PS-Indas</t>
  </si>
  <si>
    <t>INDAS HIGH SCHOOL</t>
  </si>
  <si>
    <t>THE NEW HORIZONS INSTITUTE OF TECHNOLOGY, DURGAPUR, WEST BENGAL</t>
  </si>
  <si>
    <t>DR. B.C.ROY ENGINEERING COLLEGE, DURGAPUR, WEST BENGAL</t>
  </si>
  <si>
    <t>AutoCAD,MS Office,MS Project,Primavera,Navisworks Manage,Candy</t>
  </si>
  <si>
    <t>GAWAR CONSTRUCTION LIMITED | Highway Construction | Jaipur, Rajasthan. | Oct 2017 | Jul 2019 | 1 Years, 9 Months, 30 Days | 2.37</t>
  </si>
  <si>
    <t>EKA INFRA CONSULTANTS | Site Supervision | B-511A, KANAKIA WALL STREET, ANDHERI KURLA ROAD, HANUMAN NAGAR, ANDHERI EAST MUMBAI - 400 093 | May 2023 | Jul 2023 | 7 Weeks | Campus Internship
MS RAFIC ENTERPRISE | TRAINING | DURGAPUR, WEST BENGAL | Jun 2016 | Jul 2016 | 2 Weeks</t>
  </si>
  <si>
    <t>p2270521</t>
  </si>
  <si>
    <t>HRITIK</t>
  </si>
  <si>
    <t>KALE</t>
  </si>
  <si>
    <t>Hritik Manoj Kale</t>
  </si>
  <si>
    <t>hritikkale401@gmail.com</t>
  </si>
  <si>
    <t>p2270521@student.nicmar.ac.in</t>
  </si>
  <si>
    <t>Trekking,Rappelling</t>
  </si>
  <si>
    <t>2307 5322 0522</t>
  </si>
  <si>
    <t>MANOJ KALE</t>
  </si>
  <si>
    <t>SMITA KALE</t>
  </si>
  <si>
    <t>401, E-2, Ugaygiri, Lokdhara, Kalyan (east)</t>
  </si>
  <si>
    <t>SSC KALYAN/MAHARASTRA</t>
  </si>
  <si>
    <t>PRAGATI COLLEGE OF ARTS SCIENCE AND COMMERCE</t>
  </si>
  <si>
    <t>A P SHAH INSTITUTE OF TECHNOLOGY THANE/MAHARASHTRA</t>
  </si>
  <si>
    <t>GERA Developments Pvt Ltd | Site Execution + Control | Pune | May 2023 | Jul 2023 | 8 Weeks | Campus Internship
WANKHADE ASSOCIATES | Trainee | AMRAVATI | Jun 2021 | Jul 2021 | 7 Weeks</t>
  </si>
  <si>
    <t>p2270522</t>
  </si>
  <si>
    <t>Singh Rahul Ravindra</t>
  </si>
  <si>
    <t>rahulravindrasingh001@gmail.com</t>
  </si>
  <si>
    <t>p2270522@student.nicmar.ac.in</t>
  </si>
  <si>
    <t>20-May-2001</t>
  </si>
  <si>
    <t>Badminton,Cricket,Chess,Catching on current affairs</t>
  </si>
  <si>
    <t>8962 0676 2359</t>
  </si>
  <si>
    <t>RAVINDRA SINGH</t>
  </si>
  <si>
    <t>COLOR CONTRACTOR</t>
  </si>
  <si>
    <t>SANDHYA SINGH</t>
  </si>
  <si>
    <t>Gokuldham Society,A-50,near Mehulnagar Telephone Exchange,jamnagar,Gujarat,361006</t>
  </si>
  <si>
    <t>Jamnagar</t>
  </si>
  <si>
    <t>KRISHNA SCHOOL</t>
  </si>
  <si>
    <t>GUJARAT SECONDARY &amp; HIGHER SECONDARY EDUCATION BOARD,GANDHINAGAR, GUJARAT</t>
  </si>
  <si>
    <t>SHREE P.V. MODI HIGH SCHOOL</t>
  </si>
  <si>
    <t>LDRP INSTITUTE OF TECHNOLOGY AND RESEARCH, GANDHINAGAR, GUJARAT</t>
  </si>
  <si>
    <t>MS Office,MS Project,Primavera,BIM,Candy</t>
  </si>
  <si>
    <t>PACIFICA  COMPANIES | Site Execution and planning | Ahmedabad | May 2023 | Jul 2023 | 7 Weeks | Campus Internship</t>
  </si>
  <si>
    <t>p2270523</t>
  </si>
  <si>
    <t>DHRUVIN</t>
  </si>
  <si>
    <t>PARESHBHAI</t>
  </si>
  <si>
    <t>Mistry Dhruvin Pareshbhai</t>
  </si>
  <si>
    <t>dhruvin1003@gmail.com</t>
  </si>
  <si>
    <t>p2270523@student.nicmar.ac.in</t>
  </si>
  <si>
    <t>Music, Reading, Photography, Traveling</t>
  </si>
  <si>
    <t>4386 2061 0674</t>
  </si>
  <si>
    <t>BHAVNABEN</t>
  </si>
  <si>
    <t>39/B,Kacchi Patidar Co.ha.society, Khedtasiya Road,Himmatnagar-383001</t>
  </si>
  <si>
    <t>NEW ENGLISH HIGHER SECONDARY SCHOOL</t>
  </si>
  <si>
    <t>GUJARAT SECONDARY AND HIGHER SECONDARY EDUCATION BOARD,GANDHINAGAR</t>
  </si>
  <si>
    <t>FAITH ENGLISH HIGH SCHOOL</t>
  </si>
  <si>
    <t>LEELABEN DASHRATHBHAI RAMDAS PATEL INSTITUTE OF TECHNOLOGY &amp; RESEARCH,GANDHINAGAR</t>
  </si>
  <si>
    <t>PACIFICA  COMPANIES | Specials Projects | Ahmedabad | May 2023 | Jul 2023 | 7 Weeks | Campus Internship</t>
  </si>
  <si>
    <t>p2270524</t>
  </si>
  <si>
    <t>GINDHEWAR</t>
  </si>
  <si>
    <t>Gindhewar Kartik Sudhir</t>
  </si>
  <si>
    <t>kartikgindhewar@gmail.com</t>
  </si>
  <si>
    <t>p2270524@student.nicmar.ac.in</t>
  </si>
  <si>
    <t>17-Sep-1997</t>
  </si>
  <si>
    <t>Reading,Writing,Photography,Gaming and solving puzzles,Exploring new places,Cooking</t>
  </si>
  <si>
    <t>4657 5780 4974</t>
  </si>
  <si>
    <t>SUDHIR GINDHEWAR</t>
  </si>
  <si>
    <t>MADHURI GINDHEWAR</t>
  </si>
  <si>
    <t>52,ram Krishna Co-op Housing Society Narendra Nagar Nagpur.</t>
  </si>
  <si>
    <t>MKH SANCHETI PUBLIC SCHOOL &amp; JR.</t>
  </si>
  <si>
    <t>SECONDARY AND HIGHER SECONDARY EDUCATION, PUNE/MAHARASHTRA.</t>
  </si>
  <si>
    <t>MKH SANCHETI PUBLIC SCHOOL &amp; JR</t>
  </si>
  <si>
    <t>TULSIRAMJI GAIKWAD-PATIL COLLEGE OF ARCHITECTURE NAGPUR MAHARASHTRA.</t>
  </si>
  <si>
    <t>AutoCAD,MS Office,MS Project,Primavera,Autodesk Revit,CalQuan</t>
  </si>
  <si>
    <t>Nakshatra Infraa | Project Architect. | Nagpur | Aug 2021 | Aug 2022 | 1 Years, 0 Months, 0 Days | 3</t>
  </si>
  <si>
    <t>Svatantra Micro Housing Finance Corporation Ltd. | Executive - Technical | Indore | May 2023 | Jul 2023 | 7 Weeks | Campus Internship
Mohata &amp; Associates. | Intern | Nagpur | Dec 2019 | Mar 2020 | 11 Weeks
SWAPNASHILP ARCHITECS &amp; INTERIOR DESIGN. | Intern | Nagpur | Aug 2020 | Nov 2020 | 13 Weeks</t>
  </si>
  <si>
    <t>p2270525</t>
  </si>
  <si>
    <t>AYUB</t>
  </si>
  <si>
    <t>Ayub Imam</t>
  </si>
  <si>
    <t>ayub.4.only@gmail.com</t>
  </si>
  <si>
    <t>p2270525@student.nicmar.ac.in</t>
  </si>
  <si>
    <t>17-Sep-1996</t>
  </si>
  <si>
    <t>English, Hindi, Urdu &amp; Punjabi</t>
  </si>
  <si>
    <t>Reading Religious Book,Meditation</t>
  </si>
  <si>
    <t>7671 2724 5213</t>
  </si>
  <si>
    <t>MD. SALAHUDDIN</t>
  </si>
  <si>
    <t>MUSARRAT BANO</t>
  </si>
  <si>
    <t>Ayub Imam_x000D_
C/o Md. Salahuddin_x000D_
M/o-Shah Ki Imly, Patna City_x000D_
Near By - Tubaday School_x000D_
P/o - Jhauganj, P/s - Khajekalan</t>
  </si>
  <si>
    <t>PATNA MUSLIM HIGH SCHOOL</t>
  </si>
  <si>
    <t>PT. JR GOVT. POLYTECHNIC COLLEGE, HOSHIARPUR, PUNJAB</t>
  </si>
  <si>
    <t>BIRBHUM INSTITUTE OF ENGINEERING &amp; TECHNOLOGY, SURI/WEST BENGAL</t>
  </si>
  <si>
    <t>Singhania Buildcon | Project Planning Intern | Raipur | May 2023 | Jul 2023 | 7 Weeks | Campus Internship
Azam Construction &amp; Developers Pvt. Ltd. | B.Tech Intern | Patna | Jun 2018 | Jul 2018 | 4 Weeks</t>
  </si>
  <si>
    <t>p2270526</t>
  </si>
  <si>
    <t>BEENA</t>
  </si>
  <si>
    <t>Nayana Beena</t>
  </si>
  <si>
    <t>udayannayana@gmail.com</t>
  </si>
  <si>
    <t>p2270526@student.nicmar.ac.in</t>
  </si>
  <si>
    <t>04-Mar-1998</t>
  </si>
  <si>
    <t>ENGLISH, MALAYALAM</t>
  </si>
  <si>
    <t>Craft work,Reading</t>
  </si>
  <si>
    <t>3115 4650 1733</t>
  </si>
  <si>
    <t>K S UDAYAKUMAR</t>
  </si>
  <si>
    <t>RETIRED ASSISTANT GENERAL MANAGER, BSNL</t>
  </si>
  <si>
    <t>S BEENA</t>
  </si>
  <si>
    <t>ASSISTANT ENGINEER, IRRIGATION DEPARTMENT, GOVERNMENT OF KERALA</t>
  </si>
  <si>
    <t>KVNRA-49, Tc-52/1990, Kallumala Lane, Kaimanam, Thiruvananthapuram, Kerala</t>
  </si>
  <si>
    <t>CHRIST NAGAR HIGHER SECONDARY SCHOOL</t>
  </si>
  <si>
    <t>MARIAN ENGINEERING COLLEGE, KERALA</t>
  </si>
  <si>
    <t>AutoCAD,MS Office,MS Project,Primavera,REVIT,STAAD PRO,NAVISWORKS,CANDY TWO</t>
  </si>
  <si>
    <t>DESIGN PLUS | Constructing and managing various residential construction projects | Thiruvananthapuram. Kerala | Mar 2022 | Aug 2022 | 0 Years, 5 Months, 4 Days | 0.84</t>
  </si>
  <si>
    <t>Godrej Properties | Operations Intern | Pune | May 2023 | Jul 2023 | 7 Weeks | Campus Internship
KERALA INDUSTRIAL INFRASTRUCTURE DEVELOPMENT CORPORATION | GRADUATE APPRENTICE | THIRUVANANTHAPURAM, KERALA | Feb 2020 | Oct 2020 | 31 Weeks</t>
  </si>
  <si>
    <t>p2270527</t>
  </si>
  <si>
    <t>SHAFI AHMED</t>
  </si>
  <si>
    <t>RIYAZ AHMED</t>
  </si>
  <si>
    <t>MULTANI</t>
  </si>
  <si>
    <t>Shafi Ahmed Riyaz Ahmed Multani</t>
  </si>
  <si>
    <t>multanishafi123@gmail.com</t>
  </si>
  <si>
    <t>p2270527@student.nicmar.ac.in</t>
  </si>
  <si>
    <t>english, hindi, Marathi, gujrati</t>
  </si>
  <si>
    <t>Table tennis,swimming,Exploring places</t>
  </si>
  <si>
    <t>3326 4677 6489</t>
  </si>
  <si>
    <t>RIYAZ MULTANI</t>
  </si>
  <si>
    <t>SELF EMPLYEE</t>
  </si>
  <si>
    <t>NAZIMA RIYAZ MULTANI</t>
  </si>
  <si>
    <t>1401 Bwing Flat No 201 Marvah Apt Aam Pada Nashik Road Bhiwandi Dist. Thane 421302</t>
  </si>
  <si>
    <t>HIDAYA URDU HIGH SCHOOL</t>
  </si>
  <si>
    <t>SANDIP INSTITUTE OF POLYTECHNIC, NASHIK</t>
  </si>
  <si>
    <t>SANDIP INSTITUTE OF ENGINEERING AND MANAGEMENT, NASHIK</t>
  </si>
  <si>
    <t>Econstruct Design &amp; Build Pvt. Ltd. | project management  | Bangalore  | May 2023 | Jul 2023 | 7 Weeks | Campus Internship</t>
  </si>
  <si>
    <t>p2270528</t>
  </si>
  <si>
    <t>JAMAGE</t>
  </si>
  <si>
    <t>Darshan Sunil Jamage</t>
  </si>
  <si>
    <t>darshanjamage1008@gmail.com</t>
  </si>
  <si>
    <t>p2270528@student.nicmar.ac.in</t>
  </si>
  <si>
    <t>gaming,sports,bike riding</t>
  </si>
  <si>
    <t>7569 6168 0257</t>
  </si>
  <si>
    <t>SUNIL PAVANKUMAR JAMAGE</t>
  </si>
  <si>
    <t>JYOTI SUNIL JAMAGE</t>
  </si>
  <si>
    <t>94/27, Navkalyan Nagar, Shelgi, Solapur</t>
  </si>
  <si>
    <t>SHREE DIGAMBAR JAIN GURUKUL PRASHALA BALIVES SOLAPUR</t>
  </si>
  <si>
    <t>GOVERNMENT POLYTECHNIC SOLAPUR</t>
  </si>
  <si>
    <t>N. K. ORCHID COLLEGE OF ENGINEERING AND TECHNOLOGY SOLAPUR</t>
  </si>
  <si>
    <t>AutoCAD,MS Project,REVIT</t>
  </si>
  <si>
    <t>NYATI group | Execution | satara | May 2023 | Jul 2023 | 7 Weeks | Campus Internship</t>
  </si>
  <si>
    <t>p2270529</t>
  </si>
  <si>
    <t>Harsha Das M N</t>
  </si>
  <si>
    <t>harsha.alvas@gmail.com</t>
  </si>
  <si>
    <t>p2270529@student.nicmar.ac.in</t>
  </si>
  <si>
    <t>16-Mar-2000</t>
  </si>
  <si>
    <t>ENGLISH,HINDI,KANNADA,TAMIL</t>
  </si>
  <si>
    <t>1. Reading Books,2. Playing Cricket,3. Listening Music,4. Exploring New Places</t>
  </si>
  <si>
    <t>9954 4464 0616</t>
  </si>
  <si>
    <t>C NARESH</t>
  </si>
  <si>
    <t>GOVERNMENT EMPLOY</t>
  </si>
  <si>
    <t>RAGINI</t>
  </si>
  <si>
    <t>Nagadas Nilaya,#679,9th B Cross,vinaya Marga Main Road,Siddartha Nagara,mysuru</t>
  </si>
  <si>
    <t>HONGIRANA SCHOOL OF EXCELLENCE</t>
  </si>
  <si>
    <t>CENTRAL BOARD OF SECONDARY EDUCATION, SAGARA</t>
  </si>
  <si>
    <t>SUNDARI ANANDA ALVAS MEMORIAL PU COLLEGE</t>
  </si>
  <si>
    <t>JSS SCIENCE AND TECHNOLOGY UNIVERSITY,MYSURU</t>
  </si>
  <si>
    <t>ENGINEERING PROJECT MANAGEMENT CONSULTANCY AND RESEARCH PRIVATE LIMITED | PROJECT MANAGEMENT | CHENNAI | May 2023 | Jul 2023 | 7 Weeks | Campus Internship</t>
  </si>
  <si>
    <t>p2270530</t>
  </si>
  <si>
    <t>HENDRE</t>
  </si>
  <si>
    <t>Abhilasha Mangesh Hendre</t>
  </si>
  <si>
    <t>abhilasha.hendre10@gmail.com</t>
  </si>
  <si>
    <t>p2270530@student.nicmar.ac.in</t>
  </si>
  <si>
    <t>Singing,Cooking,Photography</t>
  </si>
  <si>
    <t>7132 8402 5549</t>
  </si>
  <si>
    <t>MANGESH GOPINATH HENDRE</t>
  </si>
  <si>
    <t>SUCHITRA MANGESH HENDRE</t>
  </si>
  <si>
    <t>ACCOUNTS OFFICER IN MIDC</t>
  </si>
  <si>
    <t>FLAT NO.208, C WING, AMIDARSHAN CHS, KALYAN(W), 421301</t>
  </si>
  <si>
    <t>SHRI MAHAVIR JAIN ENGLISH SCHOOL</t>
  </si>
  <si>
    <t>SMT. CHANDIBAI HIMATHMAL MANSUKHANI COLLEGE</t>
  </si>
  <si>
    <t>MAHATMA GANDHI MISSION COLLEGE OF ENGINEERING AND TECHNOLOGY, KAMOTHE, NAVI-MUMBAI</t>
  </si>
  <si>
    <t>Godrej Properties | Operations-Planning | Bangalore | May 2023 | Jul 2023 | 7 Weeks | Campus Internship</t>
  </si>
  <si>
    <t>p2270531</t>
  </si>
  <si>
    <t>REETESH</t>
  </si>
  <si>
    <t>SIDHARTHA</t>
  </si>
  <si>
    <t>Reetesh Sidhartha Gosavi</t>
  </si>
  <si>
    <t>reeteshgosavi20@gmail.com</t>
  </si>
  <si>
    <t>p2270531@student.nicmar.ac.in</t>
  </si>
  <si>
    <t>06-Nov-1997</t>
  </si>
  <si>
    <t>8313 1834 2387</t>
  </si>
  <si>
    <t>SIDHARTHA GOSAVI</t>
  </si>
  <si>
    <t>JOURNALIST</t>
  </si>
  <si>
    <t>LEELA GOSAVI</t>
  </si>
  <si>
    <t>Ward No 5 Ganpati Ward Near Maha Pradhnya Buddha Vihar Ballarpur</t>
  </si>
  <si>
    <t>MACROON STUDENTS ACADEMY</t>
  </si>
  <si>
    <t>VIDARBHA COLLEGE OF ARTS, COMMERCE AND SCIENCE</t>
  </si>
  <si>
    <t>KAVIKULGURU INSTITUTE OF TECHNOLOGY AND SCIENCE</t>
  </si>
  <si>
    <t>BGPPL | SUPERVISE | BALLARPUR | Aug 2021 | Oct 2021 | 7 Weeks</t>
  </si>
  <si>
    <t>p2270532</t>
  </si>
  <si>
    <t>Yash Sachin Prabhu</t>
  </si>
  <si>
    <t>yashprabhu32@gmail.com</t>
  </si>
  <si>
    <t>p2270532@student.nicmar.ac.in</t>
  </si>
  <si>
    <t>Gyming,Travelling,Sports,Dancing</t>
  </si>
  <si>
    <t>7199 8283 6560</t>
  </si>
  <si>
    <t>SACHIN PRABHU</t>
  </si>
  <si>
    <t>SANJANA PRABHU</t>
  </si>
  <si>
    <t>C-112, Sagar Samrat, Mahim Causeway, Near Swami Vivekanand Garden, Mahim West, Mumbai</t>
  </si>
  <si>
    <t>IES MANIK VIDYA MANDIR</t>
  </si>
  <si>
    <t>MAHARASHTRA STATE BOARD / MUMBAI/ MAHARASHTRA</t>
  </si>
  <si>
    <t>SATHAYE COLLEGE</t>
  </si>
  <si>
    <t>MAHARASHTRA STATE BOARD /MUMBAI / MAHARASHTRA</t>
  </si>
  <si>
    <t>J. Kumar Infraprojects | Site execution and control | Mumbai | May 2023 | Jul 2023 | 7 Weeks | Campus Internship
LARSEN TOUBRO CONSTRUCTION | INTERN | MUMBAI | Dec 2021 | Dec 2021 | 4 Weeks
MIDAS GEN INHOUSE INTERSHIP BY THAKUR COLLEGE | INTERN | MUMBAI | Jun 2019 | Jul 2019 | 1 Weeks</t>
  </si>
  <si>
    <t>p2270533</t>
  </si>
  <si>
    <t>Arya S Nair</t>
  </si>
  <si>
    <t>aryasnair.arc19@gmail.com</t>
  </si>
  <si>
    <t>p2270533@student.nicmar.ac.in</t>
  </si>
  <si>
    <t>2429 5017 3529</t>
  </si>
  <si>
    <t>DILEEP KUMAR M S</t>
  </si>
  <si>
    <t>SWEPNA DILEEP</t>
  </si>
  <si>
    <t>Vaishakam, H.No : 6, L-Street, Kurups Lane, Sasthamangalam, Trivandrum</t>
  </si>
  <si>
    <t>HOLY ANGELS' ISC</t>
  </si>
  <si>
    <t>INDIAN CERTIFICATE OF SECONDARY EDUCATION , KERALA</t>
  </si>
  <si>
    <t>COLLEGE OF ARCHITECTURE TRIVANDRUM</t>
  </si>
  <si>
    <t>AutoCAD,MS Office,MS Project,Primavera,Candy,Autodesk Revit,Sketch up,Lumion,Photoshop,Filmora,Wavepad,Audacity</t>
  </si>
  <si>
    <t>LIVIO BUILDING SYSTEMS | MARKETING AND SALES INTERN  | PUNE | May 2023 | Jul 2023 | 7 Weeks | Campus Internship
AUS ARCHITECTURE FIRM | INTERN ARCHITECT | BANGALORE | Jul 2019 | Dec 2019 | 21 Weeks
LIVIO BUILDING SYSTEMS PVT LTD | PGMT POSITION WITHIN THE SALES AND MARKETING TEAM | PUNE | Jul 2023 | Sep 2023 | 11 Weeks</t>
  </si>
  <si>
    <t>p2270534</t>
  </si>
  <si>
    <t>ULWEKAR</t>
  </si>
  <si>
    <t>Soham Harishchandra Ulwekar</t>
  </si>
  <si>
    <t>sohamulwekar@gmail.com</t>
  </si>
  <si>
    <t>p2270534@student.nicmar.ac.in</t>
  </si>
  <si>
    <t>Travelling,Dance,Cricket,Music</t>
  </si>
  <si>
    <t>6505 3151 8747</t>
  </si>
  <si>
    <t>HARISHCHANDRA ULWEKAR</t>
  </si>
  <si>
    <t>DEVYANI ULWEKAR</t>
  </si>
  <si>
    <t>Om Bunglow, Plot No-1, Road No-10, Sector-19, New Panvel East</t>
  </si>
  <si>
    <t>AutoCAD,MS Office,MS Project,Primavera,SAP,CANDY,Revit</t>
  </si>
  <si>
    <t>ASIAN PAINTS | PROJECT SALES INTERN | Indore | May 2023 | Jul 2023 | 7 Weeks | Campus Internship
CIDCO OF MAHARASHTRA LIMITED | ENGINEER INTERN | NAVI MUMBAI | Dec 2019 | Jan 2020 | 4 Weeks
PADMAVATI INTERIORS | SITE ENGINEER | NAVI MUMBAI | May 2022 | Jul 2022 | 10 Weeks
APPLE ENGINEERING CORPORATION | ASSISSTANT SITE ENGINEER | MUMBAI | Nov 2020 | Oct 2021 | 51 Weeks</t>
  </si>
  <si>
    <t>p2270536</t>
  </si>
  <si>
    <t>APURV</t>
  </si>
  <si>
    <t>Patil Apurv Prabhakar</t>
  </si>
  <si>
    <t>apurvpatil957@gmail.com</t>
  </si>
  <si>
    <t>p2270536@student.nicmar.ac.in</t>
  </si>
  <si>
    <t>Trekking,Hiking,Playing Guitar,Driving,Exploring new Places</t>
  </si>
  <si>
    <t>3962 9431 1922</t>
  </si>
  <si>
    <t>RATNA</t>
  </si>
  <si>
    <t>43, Shree Ganesh Bungalow, Near Basera Park, Venunagar</t>
  </si>
  <si>
    <t>RACHANA VIDYALAYA</t>
  </si>
  <si>
    <t>2018-Jan</t>
  </si>
  <si>
    <t>SANDIP INSTITUTE OF ENGINEERING AND MANAGEMENT</t>
  </si>
  <si>
    <t>AutoCAD,MS Office,MS Project,Primavera,Stadd-Pro,E-TAbs,Revit,Navisworks</t>
  </si>
  <si>
    <t>Precision Precast Solutions Pvt. Ltd. | Auto-CAD drafter | Pune | Dec 2021 | Apr 2022 | 0 Years, 4 Months, 9 Days | 2.4</t>
  </si>
  <si>
    <t>VESTIAN GLOBAL | Project Services-ISD | Hydrabad | May 2023 | Jul 2023 | 7 Weeks | Campus Internship</t>
  </si>
  <si>
    <t>p2270537</t>
  </si>
  <si>
    <t>Pranav Kaushik</t>
  </si>
  <si>
    <t>pranavkaushik.pro12@gmail.com</t>
  </si>
  <si>
    <t>p2270537@student.nicmar.ac.in</t>
  </si>
  <si>
    <t>Graphic Designing,Logo Designing,Web designing,photography,Writing and Blogging,Volunteering,Networking</t>
  </si>
  <si>
    <t>7630 1772 2852</t>
  </si>
  <si>
    <t>NEERAJ KAUSHIK</t>
  </si>
  <si>
    <t>MAMTA KAUSHIK</t>
  </si>
  <si>
    <t>Satya Vihar, Vijay Park, Opp. To IMA Blood Bank, Chakrata Road</t>
  </si>
  <si>
    <t>THE ASIAN SCHOOL</t>
  </si>
  <si>
    <t>MANIAPL UNIVERSITY JAIPUR, JAIPUR</t>
  </si>
  <si>
    <t>AutoCAD,MS Office,MS Project,Primavera,PHOTOSHOP,ADOBE ILLUSTRATOR,XD</t>
  </si>
  <si>
    <t>H.G. Infra Engineering | Intern | Andhra Pradesh | May 2023 | Jul 2023 | 7 Weeks | Campus Internship
ANSHUMAN CONSTRUCTION | SITE SUPERVISOR  | DEHRADUN  | Jan 2022 | May 2022 | 18 Weeks
KODERS | CREATIVE EXECUTIVE | DEHRADUN  | Jan 2021 | Oct 2021 | 42 Weeks</t>
  </si>
  <si>
    <t>p2270538</t>
  </si>
  <si>
    <t>RATNESH</t>
  </si>
  <si>
    <t>JADHAVRAO</t>
  </si>
  <si>
    <t>Ratnesh Rajesh Jadhavrao</t>
  </si>
  <si>
    <t>ratnesh.jadhavrao99@gmail.com</t>
  </si>
  <si>
    <t>p2270538@student.nicmar.ac.in</t>
  </si>
  <si>
    <t>Music,Football,Photography,Travelling</t>
  </si>
  <si>
    <t>7434 3724 0453</t>
  </si>
  <si>
    <t>RAJESH JADHAVRAO</t>
  </si>
  <si>
    <t>RAJESHWARI JADHAVRAO</t>
  </si>
  <si>
    <t>A-8, SANIYA HERITAGE, BIBVEWADI KONDHWA ROAD, 569, BIBVEWADI, PUNE.</t>
  </si>
  <si>
    <t>SARDAR DASTUR HORMAZDIAR HIGH SCHOOL</t>
  </si>
  <si>
    <t>MAHAVEER ENGLISH MEDIUM SCHOOL AND JUNIOR COLLEGE</t>
  </si>
  <si>
    <t>MIT - WORLD PEACE UNIVERSITY, PUNE, MAHARASHTRA</t>
  </si>
  <si>
    <t>AutoCAD,MS Office,MS Project,Primavera,Candy,Revit,Navisworks</t>
  </si>
  <si>
    <t>Basil Decor LLP | Project Management Intern | Baner, Pune | May 2023 | Jul 2023 | 7 Weeks | Campus Internship
URBAN SPACESS VERACO REALTORS | TRAINEE SITE ENGINEER | NIGDI, PUNE | Oct 2021 | Jan 2022 | 14 Weeks</t>
  </si>
  <si>
    <t>p2270539</t>
  </si>
  <si>
    <t>KISHORILAL</t>
  </si>
  <si>
    <t>PATLE</t>
  </si>
  <si>
    <t>Yash Kishorilal Patle</t>
  </si>
  <si>
    <t>yash.patle15@gmail.com</t>
  </si>
  <si>
    <t>p2270539@student.nicmar.ac.in</t>
  </si>
  <si>
    <t>21-Aug-1999</t>
  </si>
  <si>
    <t>Basketball,Esports,Cricket</t>
  </si>
  <si>
    <t>6753 5318 3055</t>
  </si>
  <si>
    <t>KISHORILAL PATLE</t>
  </si>
  <si>
    <t>TAMESHWARI PATLE</t>
  </si>
  <si>
    <t>Tukaram Nagar, Tharsa Road , Kanhan</t>
  </si>
  <si>
    <t>ROYAL PUBLIC SCHOOL</t>
  </si>
  <si>
    <t>CBSE BHANDARA MAHARASHTRA</t>
  </si>
  <si>
    <t>TAYWADE JUNIOR COLLEGE</t>
  </si>
  <si>
    <t>BHARTI VIDYAPEETH COLLEGE OF ENGINEERING AND TECHNOLOGY LAVALE PUNE MAHARSHTRA</t>
  </si>
  <si>
    <t>Godrej Properties | Operations | Mahalunge Pune | May 2023 | Jul 2023 | 7 Weeks | Campus Internship</t>
  </si>
  <si>
    <t>p2270541</t>
  </si>
  <si>
    <t>Sanket Nandkishor Choudhari</t>
  </si>
  <si>
    <t>sanketchoudhari97@gmail.com</t>
  </si>
  <si>
    <t>p2270541@student.nicmar.ac.in</t>
  </si>
  <si>
    <t>6887 1466 6887</t>
  </si>
  <si>
    <t>NANDKISHOR CHOUDHARI</t>
  </si>
  <si>
    <t>DURGA CHOUDHARI</t>
  </si>
  <si>
    <t>FLAT NO 5_x000D_
RACHANA RESIDENCY_x000D_
MAHALSAKANT CHOWK</t>
  </si>
  <si>
    <t>CMS ENGLISH MEDIUM HIGH SCHOOL</t>
  </si>
  <si>
    <t>PUNE DISTRICT EDUCATION ASSOCIATION'S JUNIOR COLLEGE</t>
  </si>
  <si>
    <t>BuiltVisor Pvt Ltd | Strategic Project marketing &amp; Tendering and process  | Chandigarh  | May 2023 | Jul 2023 | 7 Weeks | Campus Internship
MINISTRY OF HOUSING AND URBAN AFFAIRS | INTERN ARCHITECT | GWALIOR | Oct 2020 | Dec 2020 | 8 Weeks
ARCHITECT HAFEEZ CONTRACTOR | INTERN ARCHITECT | MUMBAI | Jun 2019 | Nov 2019 | 23 Weeks
VS ASSOCIATES | INTERN ARCHITECT | NAVI - MUMBAI | Dec 2018 | Apr 2019 | 15 Weeks</t>
  </si>
  <si>
    <t>p2270542</t>
  </si>
  <si>
    <t>HEMANJALI</t>
  </si>
  <si>
    <t>ANAPARTHI</t>
  </si>
  <si>
    <t>Hemanjali Anaparthi</t>
  </si>
  <si>
    <t>hemanjali.anaparthi@gmail.com</t>
  </si>
  <si>
    <t>p2270542@student.nicmar.ac.in</t>
  </si>
  <si>
    <t>English, telugu, hindi</t>
  </si>
  <si>
    <t>DANCING,PAINTING,SINGING</t>
  </si>
  <si>
    <t>7257 2784 8748</t>
  </si>
  <si>
    <t>VENKATA RAMANA MURTHY ANAPARTHI</t>
  </si>
  <si>
    <t>STEEL PLANT EMPLOYEE</t>
  </si>
  <si>
    <t>VASUDHA ANAPARTHI</t>
  </si>
  <si>
    <t>SBI EMPLOYEE</t>
  </si>
  <si>
    <t>12-29-9(1);new Gajuwaka;_x000D_
B. C. Road</t>
  </si>
  <si>
    <t>BOARD OF INTERMEDIATE EDUCATION:A.P.,VIJAYAWADA</t>
  </si>
  <si>
    <t>JAWAHARLAL NEHRU TECHNOLOGICAL UNIVERSITY,KAKINADA</t>
  </si>
  <si>
    <t>GAYATRI VIDYA PARISHAD COLLEGE OF ENGINEERING (AUTONOMOUS)</t>
  </si>
  <si>
    <t>MS Office,MS Project,Primavera,3DS-MAX,STAAD PRO,CANDY,NAVIS WORKS</t>
  </si>
  <si>
    <t>HEC Enviro India Pvt Ltd | BUSINESS ANALYTICS | MUMBAI | May 2023 | Jul 2023 | 7 Weeks | Campus Internship</t>
  </si>
  <si>
    <t>p2270543</t>
  </si>
  <si>
    <t>BABARAO</t>
  </si>
  <si>
    <t>THUL</t>
  </si>
  <si>
    <t>Supriya Babarao Thul</t>
  </si>
  <si>
    <t>thulsupriya3@gmail.com</t>
  </si>
  <si>
    <t>p2270543@student.nicmar.ac.in</t>
  </si>
  <si>
    <t>Graphite,Charcoal sketch,Playing Guitar</t>
  </si>
  <si>
    <t>5598 4356 4103</t>
  </si>
  <si>
    <t>DAMAYANTI</t>
  </si>
  <si>
    <t>A-9/101, PANHALGAD, SHREE COMPLEX, PHASE 3, ADHARWADI JAIL ROAD, KALYAN WEST</t>
  </si>
  <si>
    <t>C-1/605,EUPHORIA, SAKET PARADISE, ADHARWADI JAIL ROAD, KALYAN WEST.</t>
  </si>
  <si>
    <t>MAHARASHTRA STATE BOARD OF SECONDARY AND HIGHER SECONDARY EDUCATION, KALYAN.</t>
  </si>
  <si>
    <t>GOVERNMENT POLYTECHNIC THANE, THANE.</t>
  </si>
  <si>
    <t>AutoCAD,MS Project,Primavera,Microsoft Project,Candy,Microsoft PowerBI,STAADPro,BIM</t>
  </si>
  <si>
    <t>EY | RESEARCH | MUMBAI | May 2023 | Jul 2023 | 7 Weeks | Campus Internship
CITY AND INDUSTRIAL DEVELOPMENT CORPORATION OF MAHARASHTRA LIMITED | TRAINEE | BELAPUR | Jun 2019 | Jul 2019 | 4 Weeks
SAI SATYAM DEVELOPERS | TRAINEE | KALYAN | May 2017 | Jun 2017 | 4 Weeks</t>
  </si>
  <si>
    <t>p2270544</t>
  </si>
  <si>
    <t>OZA</t>
  </si>
  <si>
    <t>AKANKSHA</t>
  </si>
  <si>
    <t>SHRIVALLABH</t>
  </si>
  <si>
    <t>Oza Akanksha Shrivallabh</t>
  </si>
  <si>
    <t>akankshaoza.oza@gmail.com</t>
  </si>
  <si>
    <t>p2270544@student.nicmar.ac.in</t>
  </si>
  <si>
    <t>05-Mar-1998</t>
  </si>
  <si>
    <t>8255 3432 7626</t>
  </si>
  <si>
    <t>SHRIVALLABH OZA</t>
  </si>
  <si>
    <t>AMITA OZA</t>
  </si>
  <si>
    <t>Choti Umri SBI Colony No. 5,jatharpeth.</t>
  </si>
  <si>
    <t>MOUNT CARMEL SECONDARY AND HIGHER SECONDARY SCHOOL AKOLA</t>
  </si>
  <si>
    <t>SSC MAHARASHTRA BOARD</t>
  </si>
  <si>
    <t>N.K. GOKHALE</t>
  </si>
  <si>
    <t>INSTITUTE OF DESIGN EDUCATION AND ARCHITECTURAL STUDIES</t>
  </si>
  <si>
    <t>AutoCAD,MS Office,MS Project,Primavera,SKETCH UP,LUMION,PHOTOSHOP.,CANDY,REVIT</t>
  </si>
  <si>
    <t>Godrej Properties | Planning,Contracts | Pune | May 2023 | Jul 2023 | 7 Weeks | Campus Internship
CREATIVE STUDIO | INTERN ARCHITECT | AHMEDABAD | Jun 2021 | Nov 2021 | 23 Weeks
DESIGN PERCEPTIONS | TRAINEE ARCHITECT | AKOLA | Jan 2021 | Jun 2021 | 19 Weeks</t>
  </si>
  <si>
    <t>p2270545</t>
  </si>
  <si>
    <t>SONALI</t>
  </si>
  <si>
    <t>Sonali Sunil Thite</t>
  </si>
  <si>
    <t>sonalithite204@gmail.com</t>
  </si>
  <si>
    <t>p2270545@student.nicmar.ac.in</t>
  </si>
  <si>
    <t>Trekking,Badminton</t>
  </si>
  <si>
    <t>9285 7029 7035</t>
  </si>
  <si>
    <t>SUNIL SUGRIV THITE</t>
  </si>
  <si>
    <t>DURGA SUNIL THITE</t>
  </si>
  <si>
    <t>102_x000D_
DAMANI NAGAR</t>
  </si>
  <si>
    <t>HARIBHAI DEVKARAN PRASHALA, SOLAPUR</t>
  </si>
  <si>
    <t>NAGESH KARAJAGI ORCHID COLLEGE OF ENGINEERING &amp; TECHNOLOGY</t>
  </si>
  <si>
    <t>Godrej Properties | Planning , Site Execution | pune | May 2023 | Jul 2023 | 7 Weeks | Campus Internship
SHAPOORJI PALLONGI REAL ESTATE | Estimation, Site execution  | PUNE | Mar 2022 | Aug 2022 | 21 Weeks</t>
  </si>
  <si>
    <t>p2270546</t>
  </si>
  <si>
    <t>Shubham Kumar Verma</t>
  </si>
  <si>
    <t>skv.ssp.sv@gmail.com</t>
  </si>
  <si>
    <t>p2270546@student.nicmar.ac.in</t>
  </si>
  <si>
    <t>25-Mar-1997</t>
  </si>
  <si>
    <t>Travel,Meditation,Learning</t>
  </si>
  <si>
    <t>6107 6678 8399</t>
  </si>
  <si>
    <t>SHEKHAR KUMAR VERMA</t>
  </si>
  <si>
    <t>PRIVATE SERVICES</t>
  </si>
  <si>
    <t>POONAM VERMA</t>
  </si>
  <si>
    <t>Flat No. - 105, Shanti Abhinav Enclave, Mithapur</t>
  </si>
  <si>
    <t>ST. KAREN'S HIGH SCHOOL</t>
  </si>
  <si>
    <t>ICSE, PATNA, BIHAR</t>
  </si>
  <si>
    <t>CBSE, PATNA, BIHAR</t>
  </si>
  <si>
    <t>KALINGA INSTITUTE OF INDUSTRIAL TECHNOLOGY, BHUBANESWAR, ODHISA</t>
  </si>
  <si>
    <t>AutoCAD,MS Office,MS Project,Primavera,Revit,MX Roads,Open Roads</t>
  </si>
  <si>
    <t>SA INFRASTRUCTURE CONSULTANTS PRIVATE LIMITED | Graduate Engineer Trainee - Pavement &amp; Traffic | Noida, U.P. | Oct 2021 | Aug 2022 | 0 Years, 9 Months, 29 Days | 2.4
TRANSTEK ENGINEERS and SERVICES PRIVATE LIMITED | Graduate Engineer Trainee - Highway Design | Patna, Bihar | Aug 2020 | Sep 2021 | 1 Years, 1 Months, 27 Days | 1.8</t>
  </si>
  <si>
    <t>ECLAT ENGINEERING CONSULTANTS | Intern - Project Management | HYDERABAD | May 2023 | Jul 2023 | 7 Weeks | Campus Internship
BIHAR RAJYA PUL NIRMAN NIGAM LIMITED | Trainee - Site execution | PATNA, BIHAR | May 2017 | Jun 2017 | 6 Weeks
TRANSTEK ENGINEERS AND SERVICES PRIVATE LIMITED | Trainee - Design &amp; Drawing | PATNA, BIHAR | Dec 2017 | Jan 2018 | 4 Weeks
BIHAR STATE ROAD DEVELOPMENT CORPORATION LIMITED | Trainee - Site execution | PATNA, BIHAR | May 2018 | Jul 2018 | 8 Weeks</t>
  </si>
  <si>
    <t>p2270547</t>
  </si>
  <si>
    <t>ERANDE</t>
  </si>
  <si>
    <t>Erande Prasad Arun</t>
  </si>
  <si>
    <t>prasaderande96@gmail.com</t>
  </si>
  <si>
    <t>p2270547@student.nicmar.ac.in</t>
  </si>
  <si>
    <t>Trekking,Swimming,Playing Outdoor games</t>
  </si>
  <si>
    <t>4665 7716 9960</t>
  </si>
  <si>
    <t>ARUN LAXMAN ERANDE</t>
  </si>
  <si>
    <t>VAIJAYANTA ERANDE</t>
  </si>
  <si>
    <t>Flat.no.2,A Wing,1st Floor,Atharva Palace,Sr.n.14/15/2/1,Suncity Road,Shivpushpa Park,Anand Nagar,Pune City,Maharashtra-411051</t>
  </si>
  <si>
    <t>DNYANGANGA ENGLISH MEDIUM SCHOOL</t>
  </si>
  <si>
    <t>TSSMS PADMABHOOSHAN VASANTDADA PATIL INSTITUTE OF TECHNOLOGY BAVDHAN, PUNE</t>
  </si>
  <si>
    <t>SINGHANIA BUILDCON PVT LTD. | Project Co-Ordination | RAIPUR,CHHATTISGARH | May 2023 | Jul 2023 | 7 Weeks | Campus Internship
A V CONSTRUCTIONS | Site Execution | Padmavati,Pune | Jun 2021 | Jun 2022 | 56 Weeks</t>
  </si>
  <si>
    <t>p2270548</t>
  </si>
  <si>
    <t>BORALE</t>
  </si>
  <si>
    <t>Nikita Rajendra Borale</t>
  </si>
  <si>
    <t>nikitaborale@gmail.com</t>
  </si>
  <si>
    <t>p2270548@student.nicmar.ac.in</t>
  </si>
  <si>
    <t>English Hindi Marathi Basic German</t>
  </si>
  <si>
    <t>Dancing,Gardering,Listening music</t>
  </si>
  <si>
    <t>6280 3246 0020</t>
  </si>
  <si>
    <t>RAJENDRA PRABHAKAR BORALE</t>
  </si>
  <si>
    <t>PROFESSOR (H.O.D)</t>
  </si>
  <si>
    <t>KIRTI RAJENDRA BORALE</t>
  </si>
  <si>
    <t>39(B)G.D.Mali Housing Society Vidhayanagari Deopur Dhule</t>
  </si>
  <si>
    <t>Z.B PATIL JUNIOR COLLEGE</t>
  </si>
  <si>
    <t>MET BHUJBAL KNOWLEDGE CITY ADGAON, NASHIK</t>
  </si>
  <si>
    <t>AutoCAD,MS Office,MS Project,Primavera,REVIT,EPANET</t>
  </si>
  <si>
    <t>Godrej Properties | Planning and execution  | Banglore  | May 2023 | Jul 2023 | 7 Weeks | Campus Internship</t>
  </si>
  <si>
    <t>p2270549</t>
  </si>
  <si>
    <t>DIVYANSHU</t>
  </si>
  <si>
    <t>Divyanshu Pawar</t>
  </si>
  <si>
    <t>pawardivyanshu@gmail.com</t>
  </si>
  <si>
    <t>p2270549@student.nicmar.ac.in</t>
  </si>
  <si>
    <t>12-Oct-2000</t>
  </si>
  <si>
    <t>Travelling,Driveing,playing batminton,playing table tennis</t>
  </si>
  <si>
    <t>7805 8775 1055</t>
  </si>
  <si>
    <t>MANOJ PAWAR</t>
  </si>
  <si>
    <t>AARTI PAWAR</t>
  </si>
  <si>
    <t>77, sAHU NAGAR CHOTA BANGADA ROAD, SAHU DHARMSHAL NEARBY, INDORE, MP - 452005</t>
  </si>
  <si>
    <t>JPS ACADEMY</t>
  </si>
  <si>
    <t>MADHYA PRADESH, INDORE</t>
  </si>
  <si>
    <t>SHRI VAISHNAV VIDHYAPEETH VISHWAVIDHALAY</t>
  </si>
  <si>
    <t>SHRI VAISHNAV INSTITUTE OF TECHNOLOGY AND SCIENCE ,INDORE</t>
  </si>
  <si>
    <t>HG INFRASTRUCTURE ENGINEERING LIMITED | Planning | Raipur- vishakhapatnam economic corridor AP-01 | May 2023 | Jul 2023 | 7 Weeks | Campus Internship
HIGHWAY INFRASTRUCTURE | SITE ENGINEER  | INDORE | Jan 2022 | Apr 2022 | 12 Weeks</t>
  </si>
  <si>
    <t>p2270550</t>
  </si>
  <si>
    <t>YUSUF</t>
  </si>
  <si>
    <t>Yusuf Ali</t>
  </si>
  <si>
    <t>yusuf94740@gmail.com</t>
  </si>
  <si>
    <t>p2270550@student.nicmar.ac.in</t>
  </si>
  <si>
    <t>12-Nov-1997</t>
  </si>
  <si>
    <t>ENGLISH, HINDI ,BENGALI</t>
  </si>
  <si>
    <t>Travelling,Cooking,Driving</t>
  </si>
  <si>
    <t>8122 6389 1058</t>
  </si>
  <si>
    <t>AHAMMAD ALI</t>
  </si>
  <si>
    <t>SAHINUR BEGAM</t>
  </si>
  <si>
    <t>Kandi Mohan Bagan Baganpara Near Post Office , Murshidabad , West Bengal-742137</t>
  </si>
  <si>
    <t>Murshidabad</t>
  </si>
  <si>
    <t>DOUGLAS MEMORIAL HIGHER SECONDARY SCHOOL</t>
  </si>
  <si>
    <t>INDIAN CERTIFICATE OF SECONDARY SCHOOL / KOLKATA/WEST BENGAL</t>
  </si>
  <si>
    <t>SRI CHAITANYA VIDYA NIKETAN</t>
  </si>
  <si>
    <t>TECHNO INDIA UNIVERSITY/WEST BENGAL</t>
  </si>
  <si>
    <t>MYK ARMENT. | Construction Systems Division | Goa | May 2023 | Jul 2023 | 7 Weeks | Campus Internship</t>
  </si>
  <si>
    <t>p2270551</t>
  </si>
  <si>
    <t>GANADHISH</t>
  </si>
  <si>
    <t>PALDEWAR</t>
  </si>
  <si>
    <t>Ganadhish Praveen Paldewar</t>
  </si>
  <si>
    <t>ganupaldewar@gmail.com</t>
  </si>
  <si>
    <t>p2270551@student.nicmar.ac.in</t>
  </si>
  <si>
    <t>17-Apr-1998</t>
  </si>
  <si>
    <t>Travelling,Sports,Reading,Learning New Softwares &amp; Skills,Mentoring,Movies &amp; TV Shows,Community Services,Designing,Online Course</t>
  </si>
  <si>
    <t>3784 0149 2070</t>
  </si>
  <si>
    <t>PRAVEEN PALDEWAR</t>
  </si>
  <si>
    <t>DEEPALI PALDEWAR</t>
  </si>
  <si>
    <t>111/112, Vasant Nagar Airport Road Nanded, Maharashtra</t>
  </si>
  <si>
    <t>TIRUPATI NAGAR SOCIETY, WARJHE, PUNE.</t>
  </si>
  <si>
    <t>THE BISHOPS SCHOOL CAMP, PUNE.</t>
  </si>
  <si>
    <t>ICSE BOARD, PUNE, MAHARASHTRA.</t>
  </si>
  <si>
    <t>ASHOK VIDYALAYA AND JR. COLLEGE, PUNE.</t>
  </si>
  <si>
    <t>HSC BOARD, PUNE, MAHARASHTRA.</t>
  </si>
  <si>
    <t>MANIPAL ACADEMY OF HIGHER EDUCATION, DUBAI CAMPUS.</t>
  </si>
  <si>
    <t>MANIPAL ACADEMY OF HIGHER EDUCATION, DUBAI, UNITED ARAB EMIRATES.</t>
  </si>
  <si>
    <t>AutoCAD,MS Office,MS Project,Primavera,â€¢ Revit,â€¢ Naviswork 360,â€¢ Sketchup,â€¢ Vray,â€¢ Lumion,â€¢ Enscape,â€¢ Rhinoceros 3D,â€¢ Grasshopper,â€¢ Keynote,â€¢ Adobe Illustrator,â€¢ Adobe Photoshop,â€¢ Adobe In Design,â€¢ Wondershare Filmora9,â€¢ TwinMo</t>
  </si>
  <si>
    <t>FIDESTO Projects Private Limited | Project Managment &amp; Civil Intern | Pune | May 2023 | Jul 2023 | 6 Weeks | Campus Internship
Vastukala Consultants (I) Private Limited | Architect Intern			 | Nanded | Aug 2021 | Oct 2021 | 9 Weeks
N.Alishetty Consulting Eng. &amp; Govt.Contractor | Planning &amp; Site Execution Intern			 | Nanded | Dec 2021 | Jan 2022 | 4 Weeks
Shrushti Designer, Pune. | Design Intern			 | Pune | Jan 2022 | Jun 2022 | 24 Weeks</t>
  </si>
  <si>
    <t>p2270552</t>
  </si>
  <si>
    <t>BIBISHAN</t>
  </si>
  <si>
    <t>Sanket Bibishan Patil</t>
  </si>
  <si>
    <t>sanketbpatil10@gmail.com</t>
  </si>
  <si>
    <t>p2270552@student.nicmar.ac.in</t>
  </si>
  <si>
    <t>10-Mar-1998</t>
  </si>
  <si>
    <t>1.Sports,2.Swimming,3.Travelling</t>
  </si>
  <si>
    <t>4115 5013 0239</t>
  </si>
  <si>
    <t>A/P-BHIKAWADI KHURD</t>
  </si>
  <si>
    <t>SHRI SHIVAJI VIDYAMANDIR, BHIKAWADI KHURD</t>
  </si>
  <si>
    <t>SAVITRIBAI PHULE UNIVERSITY,PUNE</t>
  </si>
  <si>
    <t>TSSM'S PADMABHUSHAN VASANTDADA PATIL INSTITUTE OF TECHNOLOGY ,BAVDHAN PUNE</t>
  </si>
  <si>
    <t>J &amp; F India Private Limited | Project Planning | Chennai | May 2023 | Jul 2023 | 7 Weeks | Campus Internship</t>
  </si>
  <si>
    <t>p2270553</t>
  </si>
  <si>
    <t>Shivani Agarwal</t>
  </si>
  <si>
    <t>shiviagarwal233@gmail.com</t>
  </si>
  <si>
    <t>p2270553@student.nicmar.ac.in</t>
  </si>
  <si>
    <t>8473 5628 4226</t>
  </si>
  <si>
    <t>JAGDISH AGARWAL</t>
  </si>
  <si>
    <t>NEELAM AGARWAL</t>
  </si>
  <si>
    <t>D-6, Kumud Vihar-1,Bhilwara, Rajasthan</t>
  </si>
  <si>
    <t>NOBLE INTERNATIONAL SCHOOL</t>
  </si>
  <si>
    <t>CENTRAL BOARD OF SECONDARY EDUCATION, BHILWARA, RAJASTHAN</t>
  </si>
  <si>
    <t>BHARATI VIDYAPEETH COLLEGE OF ARCHITECTURE, NAVI MUMBAI, MAHARASHTRA</t>
  </si>
  <si>
    <t>AutoCAD,MS Office,MS Project,Primavera,SketchUp,Lumion,Photoshop,Candy,MS Excel</t>
  </si>
  <si>
    <t>StudioInfinite | Planning, Design and Coordination | Jaipur | Jul 2021 | May 2022 | 0 Years, 9 Months, 28 Days | 1.8</t>
  </si>
  <si>
    <t>Turner &amp; Townsend | Project Management Intern | Mumbai | May 2023 | Jul 2023 | 8 Weeks | Campus Internship
NAVYA DESIGNS PVT LTD | INTERN ARCHITECT | JAIPUR,RAJASTHAN | Nov 2019 | Apr 2020 | 21 Weeks</t>
  </si>
  <si>
    <t>p2270554</t>
  </si>
  <si>
    <t>SHAHAPURKAR</t>
  </si>
  <si>
    <t>MARUTI</t>
  </si>
  <si>
    <t>SATERI</t>
  </si>
  <si>
    <t>Shahapurkar Maruti Sateri</t>
  </si>
  <si>
    <t>ms30shahapurkar@gmail.com</t>
  </si>
  <si>
    <t>p2270554@student.nicmar.ac.in</t>
  </si>
  <si>
    <t>Outdoor Activities,Sports,Music,Travelling</t>
  </si>
  <si>
    <t>2378 4435 4075</t>
  </si>
  <si>
    <t>SUMAN</t>
  </si>
  <si>
    <t>1756, 'SHRI MAULI KRUPA', SHANTINAGAR NACHANE ROAD, RATNAGIRI</t>
  </si>
  <si>
    <t>SMT. RADHABAI GOPAL JAGUSHTE HIGHSCHOOL</t>
  </si>
  <si>
    <t>GOVERNMENT POLYTECHNIC RATNAGIRI</t>
  </si>
  <si>
    <t>MAHATMA GANDHI MISSION'S COLLEGE OF ENGINEERING &amp; TECHNOLOGY, NAVI MUMBAI</t>
  </si>
  <si>
    <t>other,Construction Project Management,Primavera P6,BIM,Quantity Surveying,Cost Estimation and Budgeting,Quality Control and Assurance,Geotechnical Engineering,AutoCAD,Microsoft Project</t>
  </si>
  <si>
    <t>Fugro Geotech (India) Pvt Ltd | Geotech Engineer | Navi Mumbai | Aug 2019 | Aug 2022 | 2 Years, 11 Months, 22 Days | 3.15</t>
  </si>
  <si>
    <t>EPMCR | Project Planning &amp; Co-ordination | Chennai | May 2023 | Jul 2023 | 7 Weeks | Campus Internship</t>
  </si>
  <si>
    <t>p2270555</t>
  </si>
  <si>
    <t>SHRIKANT</t>
  </si>
  <si>
    <t>NASKULWAR</t>
  </si>
  <si>
    <t>Shreyash Shrikant Naskulwar</t>
  </si>
  <si>
    <t>ssnaskulwar@rediffmail.com</t>
  </si>
  <si>
    <t>p2270555@student.nicmar.ac.in</t>
  </si>
  <si>
    <t>23-Jul-1999</t>
  </si>
  <si>
    <t>Sports,Travel,Photography</t>
  </si>
  <si>
    <t>8220 0594 4237</t>
  </si>
  <si>
    <t>SHRIKANT SHANKAR NASKULWAR</t>
  </si>
  <si>
    <t>GOVERNMENT EMPLOYE</t>
  </si>
  <si>
    <t>SHUBHADHA SHRIKANT NASKULWAR</t>
  </si>
  <si>
    <t>SIDHIVNAK NAGAR ,ARNI ROAD,YAVATMAL</t>
  </si>
  <si>
    <t>CHRISTANAND SCHOOL AND JUNIOR COLLEGE</t>
  </si>
  <si>
    <t>NAGPUR DIVISION BOARD,MAHARASHTRA</t>
  </si>
  <si>
    <t>GOVERNMENT POLYTECHNIC ,BRAMHAPURI,MAHARASHTRA</t>
  </si>
  <si>
    <t>JAGADAMBHA COLLEGE OF ENGINEERING AND TECHNOLOGY YAVATMAL</t>
  </si>
  <si>
    <t>H.G. Infra Engineering | Planning &amp; Billing  | DMRC  | May 2023 | Jul 2023 | 7 Weeks | Campus Internship</t>
  </si>
  <si>
    <t>p2270556</t>
  </si>
  <si>
    <t>BHARGESH</t>
  </si>
  <si>
    <t>Naik Bhargesh Mohan</t>
  </si>
  <si>
    <t>bhargeshnaik007@gmail.com</t>
  </si>
  <si>
    <t>p2270556@student.nicmar.ac.in</t>
  </si>
  <si>
    <t>Playing football,Bike Riding,Adventurous</t>
  </si>
  <si>
    <t>9287 2444 5346</t>
  </si>
  <si>
    <t>MOHAN BALA NAIK</t>
  </si>
  <si>
    <t>MONIKA MOHAN NAIK</t>
  </si>
  <si>
    <t>A/p Oros Budruk Tal - Kudal District - Sindhudurga</t>
  </si>
  <si>
    <t>S.NO. 63, GK ALLURE-I, 2, RAVET, PUNE, MAHARASHTRA 412101</t>
  </si>
  <si>
    <t>DON BOSCO HIGH SCHOOL OROS</t>
  </si>
  <si>
    <t>CHATE JUNIOR COLLEGE KOLHAPUR</t>
  </si>
  <si>
    <t>JAYWANTI BABU METROPOLITAN INSTITUTE OF TECHNOLOGY AND MANAGEMENT</t>
  </si>
  <si>
    <t>Ashwin Sheth Group | MEP | Mumbai  | May 2023 | Jul 2023 | 7 Weeks | Campus Internship
YASHWANT CONSTRUCTION | SITE EXECUTION | OROS | Jun 2019 | Jul 2019 | 7 Weeks
OM SAI ASSOCIATES BUILDERS AND DEVELOPERS | PROJECT CO-ORDINATOR | OROS | May 2021 | Jun 2021 | 7 Weeks</t>
  </si>
  <si>
    <t>p2270557</t>
  </si>
  <si>
    <t>MALPURE</t>
  </si>
  <si>
    <t>Malpure Tejas Tushar</t>
  </si>
  <si>
    <t>tejasmalpure9@gmail.com</t>
  </si>
  <si>
    <t>p2270557@student.nicmar.ac.in</t>
  </si>
  <si>
    <t>17-May-2000</t>
  </si>
  <si>
    <t>4686 6164 8512</t>
  </si>
  <si>
    <t>RUPALI</t>
  </si>
  <si>
    <t>TUSHAR MALPURE,NEAR SAI HOTEL DEOLA ROAD KALWAN ,NASHIK_x000D_
Kalwan</t>
  </si>
  <si>
    <t>DR. KALMADI SHAMRAO HIGH SCHOOL AND JUNIOR COLLEGE</t>
  </si>
  <si>
    <t>SUNTECK REALTY | SITE EXECUTION | MUMBAI | May 2023 | Jul 2023 | 7 Weeks | Campus Internship</t>
  </si>
  <si>
    <t>p2270558</t>
  </si>
  <si>
    <t>JAYADHAR</t>
  </si>
  <si>
    <t>ABHISHIKTH</t>
  </si>
  <si>
    <t>DANABOINA</t>
  </si>
  <si>
    <t>Jayadhar Abhishikth Danaboina</t>
  </si>
  <si>
    <t>jayadhard27@gmail.com</t>
  </si>
  <si>
    <t>p2270558@student.nicmar.ac.in</t>
  </si>
  <si>
    <t>Trekking,cycling,badminton</t>
  </si>
  <si>
    <t>5335 0105 6607</t>
  </si>
  <si>
    <t>D. RAVI SHANKAR</t>
  </si>
  <si>
    <t>CH. BHARATHI</t>
  </si>
  <si>
    <t>Ff-2 Sowmya Enclave,_x000D_
L.I.C Colony, Jayaprakash Nagar_x000D_
Vijayawada</t>
  </si>
  <si>
    <t>VEERAMACHANENI PADDAYYA SIDDHARATHA PUBLIC SCHOOL</t>
  </si>
  <si>
    <t>SRI CHAITHANYA JUNIOR COLLEGE</t>
  </si>
  <si>
    <t>AutoCAD,MS Office,MS Project,Primavera,Candy,Sketch UP,Revit</t>
  </si>
  <si>
    <t>EPMCR | Management Trainee  | chennai | May 2023 | Jul 2023 | 7 Weeks | Campus Internship
Andhra Pradesh State Skill Development Corporation | Intern | Vijayawada | Sep 2021 | Nov 2021 | 8 Weeks
Megha Engineering &amp; Infrastructures Limited | Site Execution | Vijayawada | Apr 2023 | Jun 2023 | 10 Weeks</t>
  </si>
  <si>
    <t>p2270559</t>
  </si>
  <si>
    <t>BINESH</t>
  </si>
  <si>
    <t>Athul Binesh</t>
  </si>
  <si>
    <t>athulbinesh49@gmail.com</t>
  </si>
  <si>
    <t>p2270559@student.nicmar.ac.in</t>
  </si>
  <si>
    <t>28-May-1997</t>
  </si>
  <si>
    <t>English,Hindi and Malayalam</t>
  </si>
  <si>
    <t>Sketching,Reading,Travelling</t>
  </si>
  <si>
    <t>3651 2704 4415</t>
  </si>
  <si>
    <t>BINESH SUKUMAR</t>
  </si>
  <si>
    <t>PREEJA TK</t>
  </si>
  <si>
    <t>Villa.36,Infra Meadows,Anjikath Road,Chittethukara,Kakkanad</t>
  </si>
  <si>
    <t>BHAVAN'S ADARSHA VIDYALAYA</t>
  </si>
  <si>
    <t>CENTRAL BOARD OF SECONDARY EDUCATION,KOCHI,KERALA</t>
  </si>
  <si>
    <t>CHINMAYA INTERNATIONAL RESIDENTIAL SCHOOL</t>
  </si>
  <si>
    <t>SARDAR PATEL UNIVERSITY</t>
  </si>
  <si>
    <t>ARVIND PATEL INSTITUTE OF ENVIRONMENTAL DESIGN,ANAND,GUJARAT</t>
  </si>
  <si>
    <t>m a architects | Architectural designing | Bengaluru | Nov 2021 | Aug 2022 | 0 Years, 8 Months, 28 Days | 2.6</t>
  </si>
  <si>
    <t>L and T  Realty | Architecture Dept | Chennai | May 2023 | Jul 2023 | 7 Weeks | Campus Internship
CNT ARCHITECTS | ARCHITECTURE | BENGALURU | Jun 2018 | Nov 2018 | 25 Weeks</t>
  </si>
  <si>
    <t>p2270560</t>
  </si>
  <si>
    <t>VEMPADA</t>
  </si>
  <si>
    <t>Vempada Gayatri Reddy</t>
  </si>
  <si>
    <t>vempadagayatrireddy@gmail.com</t>
  </si>
  <si>
    <t>p2270560@student.nicmar.ac.in</t>
  </si>
  <si>
    <t>03-Dec-2000</t>
  </si>
  <si>
    <t>ENGLISH, TELUGU,HINDI</t>
  </si>
  <si>
    <t>Dance,singing,cooking,karate,Badminton</t>
  </si>
  <si>
    <t>8387 5309 7884</t>
  </si>
  <si>
    <t>V.GOVINDA REDDI</t>
  </si>
  <si>
    <t>MARINE ENGINEER</t>
  </si>
  <si>
    <t>V.BHAVANI</t>
  </si>
  <si>
    <t>Aruna Plazza,d/no:T-3,vizag</t>
  </si>
  <si>
    <t>MADHANA VIHARI,NEAR SRINAGAR,VIZAG</t>
  </si>
  <si>
    <t>SIC  (SRIKAKULAM,ANDHRAPRADHESH)</t>
  </si>
  <si>
    <t>SRI CHAITHANYA COLLEGE</t>
  </si>
  <si>
    <t>GAYATRI VIDHYA PARISHAD COLLEGE OF DEGREE AND PG COURSES (A.U),RUSHIKONDA</t>
  </si>
  <si>
    <t>AutoCAD,MS Office,MS Project,Primavera,NAVISWORKS</t>
  </si>
  <si>
    <t>MYK ARMENT. | Construction Systems  Division | pune | May 2023 | Jul 2023 | 7 Weeks | Campus Internship
SRIRAM PROPERTIES | TRAINEE | PANORAMA HILLS VIZAG | Nov 2021 | Dec 2021 | 2 Weeks</t>
  </si>
  <si>
    <t>p2270561</t>
  </si>
  <si>
    <t>Tushar Ranjan</t>
  </si>
  <si>
    <t>tusharranjan38@gmail.com</t>
  </si>
  <si>
    <t>p2270561@student.nicmar.ac.in</t>
  </si>
  <si>
    <t>SNOOKER,BADMINTON,CARROM,HIKING</t>
  </si>
  <si>
    <t>5727 0036 0179</t>
  </si>
  <si>
    <t>VYAS SINGH</t>
  </si>
  <si>
    <t>ASSISTANT ENGINEER,PWD,BIHAR</t>
  </si>
  <si>
    <t>KUSUM KUMARI</t>
  </si>
  <si>
    <t>Kusum Kunj, Road No:13B, Near Bahadurpur Railway Crossing, Rajendra Nagar</t>
  </si>
  <si>
    <t>Araria</t>
  </si>
  <si>
    <t>DELHI PUBLIC SCHOOL,PATNA</t>
  </si>
  <si>
    <t>LOYOLA HIGH SCHOOL, PATNA</t>
  </si>
  <si>
    <t>SIKKIM MANIPAL INSTITUTE OF TECHNOLOGY</t>
  </si>
  <si>
    <t>PRESTIGE ESTATES PVT LTD | SITE EXECUTION &amp; CONTROL | BANGALORE | May 2023 | Jul 2023 | 7 Weeks | Campus Internship
SPCL | TRAINEE | PATNA | Jan 2021 | Apr 2021 | 17 Weeks</t>
  </si>
  <si>
    <t>p2270562</t>
  </si>
  <si>
    <t>Manas Gupta</t>
  </si>
  <si>
    <t>manas_professional11@yahoo.co.in</t>
  </si>
  <si>
    <t>p2270562@student.nicmar.ac.in</t>
  </si>
  <si>
    <t>09-Nov-1985</t>
  </si>
  <si>
    <t>Hindi, English, Dogri, Punjabi</t>
  </si>
  <si>
    <t>Playing Football, Table Tennis, Athletics</t>
  </si>
  <si>
    <t>6512 3957 5329</t>
  </si>
  <si>
    <t>SHAM LAL GUPTA</t>
  </si>
  <si>
    <t>ASHA GUPTA</t>
  </si>
  <si>
    <t>160/2, Chhanni Himmat</t>
  </si>
  <si>
    <t>NICMAR UNIVERSITY, 25/1, BALEWADI, N.I.A. POST OFFICE</t>
  </si>
  <si>
    <t>M H S AGRI COLLEGIATE SCHOOL NAGBANI JAMMU TAWI</t>
  </si>
  <si>
    <t>2000-Apr</t>
  </si>
  <si>
    <t>TINY TOTS HIGHER SECONDARY SCHOOL</t>
  </si>
  <si>
    <t>JAMMU &amp; KASHMIR STATE BOARD OF SCHOOL EDUCATION, JAMMU</t>
  </si>
  <si>
    <t>2002-Apr</t>
  </si>
  <si>
    <t>2003-Mar</t>
  </si>
  <si>
    <t>NATIONAL INSTITUTE OF TECHNOLOGY SRINAGAR</t>
  </si>
  <si>
    <t>2003-Aug</t>
  </si>
  <si>
    <t>AutoCAD,MS Office,MS Project,Primavera,STAAD.PRO,BIM,Advanced Excel,Candy</t>
  </si>
  <si>
    <t>Jinil ENC India Private Limited | Project and Contract Management | Greater Noida | Feb 2019 | Aug 2022 | 3 Years, 6 Months, 5 Days | 15.24
1. Angelique International Ltd, 2. J&amp;K PWD (R&amp;B), 3. International Design &amp; Engineering Solutions | 1. Execution, Procurement and Tendering, 2. Execution, 3. Design | 1. Noida, Africa and South East Asia, 2.Surankote (Poonch, Jammu), 3. Jammu | Sep 2008 | Jan 2019 | 10 Years, 4 Months, 20 Days | 9.2
Simplex Infrastructures Ltd. | Quality Control | New Delhi | Jul 2007 | Dec 2007 | 0 Years, 4 Months, 15 Days | 1.8</t>
  </si>
  <si>
    <t>171 month(s)</t>
  </si>
  <si>
    <t>SILA Project Management Services Pvt. Ltd. | Intern - Real Estate Advisory | Delhi | May 2023 | Jul 2023 | 7 Weeks | Campus Internship</t>
  </si>
  <si>
    <t>p2270563</t>
  </si>
  <si>
    <t>MARGARET JENNIFER</t>
  </si>
  <si>
    <t>Margaret Jennifer A</t>
  </si>
  <si>
    <t>jennyantony2014@gmail.com</t>
  </si>
  <si>
    <t>p2270563@student.nicmar.ac.in</t>
  </si>
  <si>
    <t>Gardening,Reading,Dancing</t>
  </si>
  <si>
    <t>2098 3439 2456</t>
  </si>
  <si>
    <t>ANTONYSAMY T</t>
  </si>
  <si>
    <t>STELLA MARY A</t>
  </si>
  <si>
    <t>C-17,DALMIA COLONY,DALMIAPURAM,KALLAKUDI POST ,LALGUDI TALUK</t>
  </si>
  <si>
    <t>VIVEKANANDA MATRICULATION SCHOOL</t>
  </si>
  <si>
    <t>STATE BOARD(TAMIL NADU)</t>
  </si>
  <si>
    <t>SOWDAMBIKAA MATRIC HIGHER SECONDARY SCHOOL</t>
  </si>
  <si>
    <t>Godrej Properties | Planning-operations | Bangalore | May 2023 | Jul 2023 | 7 Weeks | Campus Internship
AMBIENCE INTERIORS PRIVATE LIMITED | SITE ENGINEER | BANGALORE | May 2019 | Jun 2019 | 1 Weeks
Artizen Interiors Private Limited | Site execution | Bangalore | Feb 2021 | Mar 2021 | 6 Weeks</t>
  </si>
  <si>
    <t>p2270564</t>
  </si>
  <si>
    <t>Ankur Kumar</t>
  </si>
  <si>
    <t>ankurkumarr8789@gmail.com</t>
  </si>
  <si>
    <t>p2270564@student.nicmar.ac.in</t>
  </si>
  <si>
    <t>22-Sep-1996</t>
  </si>
  <si>
    <t>Volunteering and community involvement,Travel,Badminton,Listening to music</t>
  </si>
  <si>
    <t>7625 1560 5461</t>
  </si>
  <si>
    <t>LAL BIHARI PRASAD</t>
  </si>
  <si>
    <t>RENU SINHA</t>
  </si>
  <si>
    <t>INDRAPURI, ROAD NO-7C, HOUSE NO-5,P.O OFFICE KESHRI NAGAR, NEAR SBI ATM, PATNA-800024 , BIHAR</t>
  </si>
  <si>
    <t>ST.PAUL'S ACADEMY</t>
  </si>
  <si>
    <t>MAHANT HANUMAN SHARAN COLLEGE</t>
  </si>
  <si>
    <t>GALGOTIAS UNIVERSITY</t>
  </si>
  <si>
    <t>GALGOTIAS UNIVERSITY, UTTAR PRADESH</t>
  </si>
  <si>
    <t>AutoCAD,MS Office,MS Project,Primavera,Bar Bending Schedule,Planning,Billing,Quantity</t>
  </si>
  <si>
    <t>Vishwa Infracon | Site Execution | Ahmedabad | Aug 2019 | Feb 2022 | 2 Years, 6 Months, 11 Days | 2.13
LARSEN &amp; TOUBRO LIMITED | Senior Engineer- Precast | VAPI to BARODA | Mar 2022 | Aug 2022 | 0 Years, 5 Months, 0 Days | 6.48</t>
  </si>
  <si>
    <t>BIHARSHARIF SMART CITY LIMITED | Project Management  | BIHARSHARIF MUNICIPAL CORPORATION, NALANDA | May 2023 | Jul 2023 | 7 Weeks | Campus Internship</t>
  </si>
  <si>
    <t>p2270565</t>
  </si>
  <si>
    <t>SATHISH</t>
  </si>
  <si>
    <t>Sathish N</t>
  </si>
  <si>
    <t>sathishjn3@gmail.com</t>
  </si>
  <si>
    <t>p2270565@student.nicmar.ac.in</t>
  </si>
  <si>
    <t>12-Sep-2000</t>
  </si>
  <si>
    <t>Tamil,English,Telugu</t>
  </si>
  <si>
    <t>2177 7779 7633</t>
  </si>
  <si>
    <t>NATRAJAN</t>
  </si>
  <si>
    <t>JAYAGANDHI</t>
  </si>
  <si>
    <t>No.6,Ashwar Bloossom,jai Nagar 1st Street,arumbakkam,chennai-600106.</t>
  </si>
  <si>
    <t>OXFORD MATRIC HIGHER SECONDARY SCHOOL</t>
  </si>
  <si>
    <t>STATE BOARD-TAMILNADU</t>
  </si>
  <si>
    <t>PINKZ PUBLIC SCHOOL</t>
  </si>
  <si>
    <t>PANIMALAR ENGINEERING COLLEGE-TAMILNADU</t>
  </si>
  <si>
    <t>Bangalore Metro Rail Corporation Limited | Engineering Trainee | Bangalore | May 2023 | Jul 2023 | 7 Weeks | Campus Internship
AIRPORT AUTHORITY OF INDIA | ENGINEERING TRAINEE | CHENNAI | Mar 2022 | Mar 2022 | 1 Weeks</t>
  </si>
  <si>
    <t>p2270566</t>
  </si>
  <si>
    <t>Bharath Kumar</t>
  </si>
  <si>
    <t>bharathbuddolu@gmail.com</t>
  </si>
  <si>
    <t>p2270566@student.nicmar.ac.in</t>
  </si>
  <si>
    <t>going through amazing facts,basket ball,travelling,finding root cause of problems</t>
  </si>
  <si>
    <t>6405 1194 6093</t>
  </si>
  <si>
    <t>B.SRISAILAM</t>
  </si>
  <si>
    <t>B.CHANDRIKA</t>
  </si>
  <si>
    <t>H.NO:1-11 , MANIKONDA,OPPOSITE AVL's AAKRUTHI APPARTMENTS6</t>
  </si>
  <si>
    <t>OASIS SCHOOL</t>
  </si>
  <si>
    <t>CENTRAL BOARD OF SECONDARY EDUCATION / HYDERABAD</t>
  </si>
  <si>
    <t>CHAITANYA BHARATHI INSTITUTE OF TECHNOLOGY / HYDEREBAD</t>
  </si>
  <si>
    <t>ARHOMES | MANAGEMENT TRAINEE | Hyderabad | May 2023 | Jul 2023 | 7 Weeks | Campus Internship
KVR ESTATES | SITE ENGINEER | VISAKHAPATNAM | Feb 2022 | Apr 2022 | 10 Weeks</t>
  </si>
  <si>
    <t>p2270567</t>
  </si>
  <si>
    <t>KALEKAR</t>
  </si>
  <si>
    <t>NAVNATH</t>
  </si>
  <si>
    <t>Kalekar Sanket Navnath</t>
  </si>
  <si>
    <t>sanket.n.kalekar@gmail.com</t>
  </si>
  <si>
    <t>p2270567@student.nicmar.ac.in</t>
  </si>
  <si>
    <t>GYM,Swimming,Chess</t>
  </si>
  <si>
    <t>2649 2778 2146</t>
  </si>
  <si>
    <t>NAVNATH KALEKAR</t>
  </si>
  <si>
    <t>ROHINI NAVNATH KALEKAR</t>
  </si>
  <si>
    <t>Sr.no-25/2/5, Niranjan Niwas, Behind HDFC ATM, Lonkar Wasti, Mundhwa, Pune</t>
  </si>
  <si>
    <t>HOLY ANGELS' CONVENT SCHOOL</t>
  </si>
  <si>
    <t>B.H.CHATE JR. COLLEGE</t>
  </si>
  <si>
    <t>IMPERIAL COLLEGE OF ENGINEERING AND RESEARCH</t>
  </si>
  <si>
    <t>AutoCAD,MS Office,MS Project,LUMION, V-RAY, CANDY</t>
  </si>
  <si>
    <t>EPMCR | Project Planning and Co-ordination  | Chennai | May 2023 | Jul 2023 | 7 Weeks | Campus Internship</t>
  </si>
  <si>
    <t>p2270568</t>
  </si>
  <si>
    <t>SONEKAR</t>
  </si>
  <si>
    <t>Tushar Dilip Sonekar</t>
  </si>
  <si>
    <t>tusharsonekar3@gmail.com</t>
  </si>
  <si>
    <t>p2270568@student.nicmar.ac.in</t>
  </si>
  <si>
    <t>24-Mar-2000</t>
  </si>
  <si>
    <t>Travelling,Photography,Sports</t>
  </si>
  <si>
    <t>2388 7342 3307</t>
  </si>
  <si>
    <t>NEAR LLOYD'S METAL GATE, WARD NO.6,GHUGUS</t>
  </si>
  <si>
    <t>VIANNEY VIDYA MANDIR, GHUGUS</t>
  </si>
  <si>
    <t>INDIAN CERTIFICATE OF SECONDARY EDUCATION, NEW DELHI</t>
  </si>
  <si>
    <t>ST. PAUL JUNIOR COLLEGE, NAGPUR</t>
  </si>
  <si>
    <t>GOVERNMENT COLLEGE OF ENGINEERING, AMRAVATI</t>
  </si>
  <si>
    <t>Econstruct Design and Build Ptv Ltd | Project Management | Bangalore | May 2023 | Jul 2023 | 7 Weeks | Campus Internship
BALAJI STRUCTURAL CONSULTANCY | Planning of Building and Drafting  | AMRAVATI, MAHARASHTRA | Aug 2021 | Oct 2021 | 10 Weeks</t>
  </si>
  <si>
    <t>p2270569</t>
  </si>
  <si>
    <t>Arjun Bhattacharjee</t>
  </si>
  <si>
    <t>babanarjun98@gmail.com</t>
  </si>
  <si>
    <t>p2270569@student.nicmar.ac.in</t>
  </si>
  <si>
    <t>13-Feb-1998</t>
  </si>
  <si>
    <t>English,Hindi And Bengali</t>
  </si>
  <si>
    <t>Singing,Playing Badminton,Acting,Cooking,Reading Book</t>
  </si>
  <si>
    <t>4230 2511 2427</t>
  </si>
  <si>
    <t>RAJU BHATTACHARJEE</t>
  </si>
  <si>
    <t>MUNMUN BHATTACHARJEE</t>
  </si>
  <si>
    <t>Kota,Kota Chandipur Purba Barddhaman</t>
  </si>
  <si>
    <t>Purba Bardhaman</t>
  </si>
  <si>
    <t>RAMKRISHNA ASHRAMA VIDYAPITHA(HIGH SCHOOL)</t>
  </si>
  <si>
    <t>WEST BENGAL BOARD OF SECONDARY EDUCATION(WEST BENGAL)</t>
  </si>
  <si>
    <t>KOTA CHANDIPUR HIGH SCHOOL</t>
  </si>
  <si>
    <t>THE NEW HORIZONS INSTITUTE OF TECHNOLOGY(WEST BENGAL)</t>
  </si>
  <si>
    <t>MAULANA ABUL KALAM AZAD UNIVERSITY OF TECHNOLOGY(WEST BENGAL)</t>
  </si>
  <si>
    <t>KANAD INSTITUTE OF ENGINEERING &amp; MANAGEMENT(WEST BENGAL)</t>
  </si>
  <si>
    <t>Space Matrix Design Consultants Pvt Ltd | Project Management | Gurgaon | May 2023 | Jul 2023 | 7 Weeks | Campus Internship
GOVERNMENT OF WEST BENGAL NATIONAL HIGHWAY | EXECUTION | PASCHIM BARDDHAMAN | Dec 2017 | Jan 2018 | 1 Weeks</t>
  </si>
  <si>
    <t>p2270570</t>
  </si>
  <si>
    <t>KARADBHAJNE</t>
  </si>
  <si>
    <t>Yash J Karadbhajne</t>
  </si>
  <si>
    <t>yashkaradbhajne50@gmail.com</t>
  </si>
  <si>
    <t>p2270570@student.nicmar.ac.in</t>
  </si>
  <si>
    <t>Exploring new places,Cycling,Volunteer work,Playing outdoor games</t>
  </si>
  <si>
    <t>4949 1822 8559</t>
  </si>
  <si>
    <t>JEETENDRA B KARADBHAJNE</t>
  </si>
  <si>
    <t>SERVICS</t>
  </si>
  <si>
    <t>MEGHA J KARADBHAJNE</t>
  </si>
  <si>
    <t>60, Gorley Layout, Godhni Road, Zingabai Takli, Nagpur</t>
  </si>
  <si>
    <t>ST VINCENT PALLOTTI SCHOOL</t>
  </si>
  <si>
    <t>ANJUMAN POLYTECHNIC NAGPUR/MAHARASHTRA</t>
  </si>
  <si>
    <t>PRIYADARSHINI COLLEGE OF ENGINEERING NAGPUR/MAHARASHTRA</t>
  </si>
  <si>
    <t>PAVETECH CONSULTANTS | site excution, junior site engineer | Pune | May 2023 | Jul 2023 | 7 Weeks | Campus Internship</t>
  </si>
  <si>
    <t>p2270571</t>
  </si>
  <si>
    <t>Animesh Anil Jadhav</t>
  </si>
  <si>
    <t>animeshjadhav2800@gmail.com</t>
  </si>
  <si>
    <t>p2270571@student.nicmar.ac.in</t>
  </si>
  <si>
    <t>28-Mar-2000</t>
  </si>
  <si>
    <t>Swimming,Travelling</t>
  </si>
  <si>
    <t>9883 9424 9180</t>
  </si>
  <si>
    <t>215, B Wing, Rajdhani Complex, Near Shankar Maharaj Math, Dhankawadi, Pune 411043</t>
  </si>
  <si>
    <t>SINHGAD SPRING DALE SCHOOL, VADGAON, PUNE 411041</t>
  </si>
  <si>
    <t>MAHARASHTRA STATE BOARD, MAHARASHTRA</t>
  </si>
  <si>
    <t>PUNE VIDYARTHI GRIHA'S MUKTANGAN ENGLISH SCHOOL &amp; JR. COLLEGE, PUNE 411009</t>
  </si>
  <si>
    <t>SINHGAD COLLEGE OF ENGINEERING, VADGAON, PUNE 411041</t>
  </si>
  <si>
    <t>AutoCAD,MS Office,MS Project,Primavera,Revit,Navisworks,STAADPro</t>
  </si>
  <si>
    <t>Advent Projects and Consultancy | Quantity Estimator | Pune | May 2023 | Jul 2023 | 7 Weeks | Campus Internship
CHAPHALKAR SCHEMES | TRAINEE SITE ENGINEER | KOTHRUD | Jul 2021 | Oct 2021 | 14 Weeks</t>
  </si>
  <si>
    <t>p2270572</t>
  </si>
  <si>
    <t>PARIN</t>
  </si>
  <si>
    <t>Parin Narendra Solanki</t>
  </si>
  <si>
    <t>parin0509@gmail.com</t>
  </si>
  <si>
    <t>p2270572@student.nicmar.ac.in</t>
  </si>
  <si>
    <t>Playing Snooker.,Playing Cricket,Listening music</t>
  </si>
  <si>
    <t>6659 1251 1678</t>
  </si>
  <si>
    <t>NARENDRA SOLANKI</t>
  </si>
  <si>
    <t>RITA SOLANKI</t>
  </si>
  <si>
    <t>245B, Shivajinagar, Pune -411005</t>
  </si>
  <si>
    <t>P.JOG ENGLISH MEDIUM SCHOOL</t>
  </si>
  <si>
    <t>SOU. VENUTAI CHAVAN POLYTECHNIC.</t>
  </si>
  <si>
    <t>SAVITIRBAI PHULE PUNE UNIVERSITY</t>
  </si>
  <si>
    <t>RMD SINHGAD TECHNICAL INSTITUTE CAMPUS, WARJE</t>
  </si>
  <si>
    <t>AutoCAD,MS Office,MS Project,Primavera,STADD PRO</t>
  </si>
  <si>
    <t>ULTRADWELL DEVELOPERS LLP | Civil Engineer | Pune. | Jun 2020 | Mar 2022 | 1 Years, 9 Months, 30 Days | 2.4</t>
  </si>
  <si>
    <t>adrianse global | Project Intern | Pune | May 2023 | Jul 2023 | 7 Weeks | Campus Internship
SHREE CONSTRUCTION | SITE ENGINEER | PUNE | Jan 2017 | Jun 2017 | 25 Weeks</t>
  </si>
  <si>
    <t>p2270573</t>
  </si>
  <si>
    <t>Kunal Ahuja</t>
  </si>
  <si>
    <t>kunalahuja2006@gmail.com</t>
  </si>
  <si>
    <t>p2270573@student.nicmar.ac.in</t>
  </si>
  <si>
    <t>06-Mar-1999</t>
  </si>
  <si>
    <t>Hindi,English,Punjabi</t>
  </si>
  <si>
    <t>Modeling,Gyming,Travelling</t>
  </si>
  <si>
    <t>8521 2513 3875</t>
  </si>
  <si>
    <t>VINOD AHUJA</t>
  </si>
  <si>
    <t>ANAMIKA AHUJA</t>
  </si>
  <si>
    <t>FLAT N0. 902 SUMERU OJAS, RK PURAM KOTA</t>
  </si>
  <si>
    <t>MANGALAM DAV PUBLIC SCHOOL, MORAK , KOTA</t>
  </si>
  <si>
    <t>KOTA/RAJASTHAN</t>
  </si>
  <si>
    <t>MAA BHARTI SR SEC SCHOOL, TALWANDI, KOTA</t>
  </si>
  <si>
    <t>MAHARISHI ARVIND INTERNATIONAL INSTITUE OF TECHNOLOGY, KOTA/RAJASTHAN)</t>
  </si>
  <si>
    <t>JKumar Infraprojects LTD | Site Execution | Surat | Mar 2022 | Aug 2022 | 0 Years, 5 Months, 2 Days | 3.2</t>
  </si>
  <si>
    <t>Econstruct Design and Build | Project Management | Bangalore | May 2023 | Jul 2023 | 7 Weeks | Campus Internship
SUCHI INDIA | SITE EXECUTION  | KOTA | Jun 2019 | Jul 2019 | 6 Weeks</t>
  </si>
  <si>
    <t>p2270574</t>
  </si>
  <si>
    <t>SIRIYA</t>
  </si>
  <si>
    <t>Saurabh Pradeep Siriya</t>
  </si>
  <si>
    <t>siriyasaurabh@gmail.com</t>
  </si>
  <si>
    <t>p2270574@student.nicmar.ac.in</t>
  </si>
  <si>
    <t>28-Jun-1998</t>
  </si>
  <si>
    <t>Traveling,Gaming,Gyming,Aquarist</t>
  </si>
  <si>
    <t>3377 0748 9084</t>
  </si>
  <si>
    <t>PRADEEP SIRIYA</t>
  </si>
  <si>
    <t>ARCHANA SIRIYA</t>
  </si>
  <si>
    <t>In Front Of Axis Bank, Takli Sim, Hingna Road, Nagpur.</t>
  </si>
  <si>
    <t>BHONSALA MILITARY SCHOOL, NAGPUR</t>
  </si>
  <si>
    <t>AutoCAD,MS Office,MS Project,Primavera,Navis Work,Candy</t>
  </si>
  <si>
    <t>GSIDC | Site Execution | Goa | May 2023 | Jul 2023 | 7 Weeks | Campus Internship
NISHANE &amp; ASSOCIATES | Civil Engineer | Nagpur | Sep 2022 | Nov 2022 | 8 Weeks
M/s. SHREE BALAJI CONSTRUCTION WORKS | Site Engineer | Nagpur | Dec 2020 | Jan 2021 | 5 Weeks</t>
  </si>
  <si>
    <t>p2270575</t>
  </si>
  <si>
    <t>Parikh</t>
  </si>
  <si>
    <t>Manzal</t>
  </si>
  <si>
    <t>Parikh Manzal Sanjay</t>
  </si>
  <si>
    <t>manzal15697@gmail.com</t>
  </si>
  <si>
    <t>p2270575@student.nicmar.ac.in</t>
  </si>
  <si>
    <t>15-May-1997</t>
  </si>
  <si>
    <t>Yoga,Reading,Photography</t>
  </si>
  <si>
    <t>6858 5091 6390</t>
  </si>
  <si>
    <t>SANJAY H PARIKH</t>
  </si>
  <si>
    <t>ALKA S PARIKH</t>
  </si>
  <si>
    <t>B/404, SILVERNESST, NEAR CANAL, WAVES CLUB, BHAYLI</t>
  </si>
  <si>
    <t>THE MOTHER'S SCHOOL</t>
  </si>
  <si>
    <t>NAVRACHANA UNIVERSITY</t>
  </si>
  <si>
    <t>NAVRACHANA UNIVERSITY, VADODARA, GUJARAT</t>
  </si>
  <si>
    <t>DESAI ENTERPRISE | Billing &amp; Planning | VADODARA, GUJARAT | Jun 2019 | Jul 2022 | 3 Years, 1 Months, 30 Days | 2.64</t>
  </si>
  <si>
    <t>PIRAMAL REALTY PVT LTD | SUMMER INTERN - ONSITE | MUMBAI | May 2023 | Jul 2023 | 7 Weeks | Campus Internship
VIHAV REALTY PVT LTD | SITE EXECUTION | VADODARA,GUJARAT | Jun 2018 | Jun 2018 | 2 Weeks</t>
  </si>
  <si>
    <t>p2270576</t>
  </si>
  <si>
    <t>SURIYA</t>
  </si>
  <si>
    <t>KUMAR M</t>
  </si>
  <si>
    <t>Suriya Kumar M</t>
  </si>
  <si>
    <t>suriyaengcivil@gmail.com</t>
  </si>
  <si>
    <t>p2270576@student.nicmar.ac.in</t>
  </si>
  <si>
    <t>02-Dec-1999</t>
  </si>
  <si>
    <t>English, Hindi and Tamil</t>
  </si>
  <si>
    <t>Adventure activities,Trekking,Riding,Meditation,Swimming,Reading books,Reading blogs</t>
  </si>
  <si>
    <t>3560 7640 5540</t>
  </si>
  <si>
    <t>SN MARIMUTHU</t>
  </si>
  <si>
    <t>M USHA</t>
  </si>
  <si>
    <t>131/34 WEST ADAYAVALANJAN STREET, SRIRANGAM</t>
  </si>
  <si>
    <t>SRI VAGEESHA VIDHAYASHRAM CBSE SCHOOL</t>
  </si>
  <si>
    <t>TIRUCHIRAPPALLI/TAMIL NADU</t>
  </si>
  <si>
    <t>S R V MATRICULATION HIGHER SECONDARY SCHOOL</t>
  </si>
  <si>
    <t>K RAMAKRISHNAN COLLEGE OF TECHNOLOGY, TIRUCHIRAPPALLI/TAMIL NADU</t>
  </si>
  <si>
    <t>AutoCAD,MS Office,MS Project,Primavera,DETAILING,DESIGNING,ESTIMATION,AutoCADD,PLANNING,DATA ANALYTICS,Tableau</t>
  </si>
  <si>
    <t>SAYANTRIK ENGINEERS INDIA PRIVATE LIMITED | Designing of Structural members of oil and gas industry. Designing of foundations | HYDERABAD | Jan 2022 | Aug 2022 | 0 Years, 7 Months, 10 Days | 1.8</t>
  </si>
  <si>
    <t>EPMCR Pvt Ltd | Project Planning &amp; Project Co-ordination | Chennai | May 2023 | Jul 2023 | 7 Weeks | Campus Internship
LARSEN AND TOUBRO LIMITED | SITE ENGINEER | COIMBATORE | Sep 2020 | Oct 2020 | 4 Weeks</t>
  </si>
  <si>
    <t>p2270577</t>
  </si>
  <si>
    <t>SANTOSHKUMAR</t>
  </si>
  <si>
    <t>PATNI</t>
  </si>
  <si>
    <t>Yash Santoshkumar Patni</t>
  </si>
  <si>
    <t>patniy0011@gmail.com</t>
  </si>
  <si>
    <t>p2270577@student.nicmar.ac.in</t>
  </si>
  <si>
    <t>English ,Hindi, Marathi</t>
  </si>
  <si>
    <t>Photography,Travel,Sports</t>
  </si>
  <si>
    <t>7653 4316 6657</t>
  </si>
  <si>
    <t>AT POST: LONI(KHURDH), TAL:VAIJAPUR, DIST: AURANGABAD</t>
  </si>
  <si>
    <t>SADHAVI  PREETISUDHAJI INTERNATIONAL SCHOOL</t>
  </si>
  <si>
    <t>PRAVARA CENTRAL PUBLIC SCHOOL</t>
  </si>
  <si>
    <t>MAHARASHTRA INSTITUTE OF TECHNOLOGY ART, DESIGN AND TECHNOLOGY UNIVERSITY, PUNE.</t>
  </si>
  <si>
    <t>AutoCAD,MS Office,MS Project,Primavera,Revit,Naviswork,Advanced Excel</t>
  </si>
  <si>
    <t>L AND T  REALTY | CENTRAL QUALITY CONTROL AND ASSURANCE TEAM | POWAI, MUMBAI. | May 2023 | Jul 2023 | 7 Weeks | Campus Internship
RIVERVIEW CITY CONSTRUCTION LTD | Site Execution  | PUNE | Mar 2022 | May 2022 | 13 Weeks</t>
  </si>
  <si>
    <t>p2270578</t>
  </si>
  <si>
    <t>KULDIP</t>
  </si>
  <si>
    <t>DEORAO</t>
  </si>
  <si>
    <t>DHERE</t>
  </si>
  <si>
    <t>Kuldip Deorao Dhere</t>
  </si>
  <si>
    <t>dherekuldip@gmail.com</t>
  </si>
  <si>
    <t>p2270578@student.nicmar.ac.in</t>
  </si>
  <si>
    <t>10-Jun-1993</t>
  </si>
  <si>
    <t>Photography,Painting</t>
  </si>
  <si>
    <t>5690 8182 0026</t>
  </si>
  <si>
    <t>DEORAO DHERE</t>
  </si>
  <si>
    <t>SHAILA DHERE</t>
  </si>
  <si>
    <t>Vikas Nagar,Karegaon Road, Parbhani</t>
  </si>
  <si>
    <t>BAL VIDHYA MANDIR, PARBHANI</t>
  </si>
  <si>
    <t>MAHARASHTRA STATE BOARD OF SECONDARY AND HIGHER SECONDARY EDUCATION,PUNE, MAHARASHTRA</t>
  </si>
  <si>
    <t>SHRI SHIVAJI COLLEGE, PARBHANI</t>
  </si>
  <si>
    <t>VISVESVARAYA NATIONAL INSTITUTE OF TECHNOLOGY, NAGPUR, MAHARASHTRA</t>
  </si>
  <si>
    <t>NATIONAL INSTITUTE OF RURAL DEVELOPMENT AND PANCHAYATI RAJ, HYDERABAD,TELANGANA</t>
  </si>
  <si>
    <t>AutoCAD,MS Office,MS Project,Primavera,Autodesk Revit,Google sketchup</t>
  </si>
  <si>
    <t>Amarshree consultants | Junior Architect   | Parbhani | Oct 2016 | Nov 2017 | 1 Years, 1 Months, 29 Days | 0
Madhya Pradesh shyama prasad Mukharji Rurban Mission | Consultant  | Gwalior | Jan 2019 | Jan 2021 | 2 Years, 0 Months, 8 Days | 4.8</t>
  </si>
  <si>
    <t>Cushman &amp; Wakefield India Pvt. Ltd | Intern- Construction Management division, Project development services | Sanand, Ahmedabad (GJ) | May 2023 | Jul 2023 | 7 Weeks | Campus Internship
GRAMSHREE DEVELOPMENT SERVICES | INTERN | KOTHDA DIST RAJASTHAN | Sep 2018 | Oct 2018 | 5 Weeks
BLOCK DEVELOPMENT OFFICE HIMACHAL PRADESH STATE RURAL LIVELIHOOD MISSION | INTERN | BHORANJ DIST HAMIRPUR | May 2018 | Jun 2018 | 4 Weeks
ASHOK MOKHA ARCHITECTS | INTERN | NAGPUR | Jun 2015 | Nov 2015 | 25 Weeks</t>
  </si>
  <si>
    <t>p2270579</t>
  </si>
  <si>
    <t>PRATHEESHA</t>
  </si>
  <si>
    <t>PILLAI</t>
  </si>
  <si>
    <t>Pratheesha Pradeep Pillai</t>
  </si>
  <si>
    <t>pratheeshapillai@gmail.com</t>
  </si>
  <si>
    <t>p2270579@student.nicmar.ac.in</t>
  </si>
  <si>
    <t>15-Feb-1999</t>
  </si>
  <si>
    <t>English, hindi, malayalam, marathi and tamil</t>
  </si>
  <si>
    <t>Dancing,Singing,Canvas painting,Volunteering at animal shelter,Learning Languages,Vollyball,Kabaddi</t>
  </si>
  <si>
    <t>6795 9996 5113</t>
  </si>
  <si>
    <t>PRADEEP PILLAI</t>
  </si>
  <si>
    <t>LATHA PRADEEP PILLIAI</t>
  </si>
  <si>
    <t>Suprabhat C.h.s E/8/2-3 Sec15 Airoli , Navi-Mumbai</t>
  </si>
  <si>
    <t>NEW HORIZON PUBLIC SCHOOL , AIROLI ,NAVI -MUMBAI</t>
  </si>
  <si>
    <t>TILAK COLLEGE OF SCIENCE &amp; COMMERCE , VASHI , NAVI-MUMBAI</t>
  </si>
  <si>
    <t>PILLAI COLLEGE OF ARCHITECTURE , NEW PANVEL/ MAHARASHTRA</t>
  </si>
  <si>
    <t>AutoCAD,MS Office,MS Project,Primavera,Revit architecture,Candy,Twin Motion,Sketchup,Photoshop,Adobe illustrator,Adobe InDesign,Lumion</t>
  </si>
  <si>
    <t>L and T  Realty | Engineering and Design Department			 | Mumbai, Powai | May 2023 | Jul 2023 | 7 Weeks | Campus Internship
HABITAT TECHNOLOGY GROUP | INTERN ARCHITECT | THIRUVANANTHAPURAM, KERALA  | Nov 2020 | Apr 2021 | 21 Weeks</t>
  </si>
  <si>
    <t>p2270580</t>
  </si>
  <si>
    <t>PRIYANKA</t>
  </si>
  <si>
    <t>Priyanka B N</t>
  </si>
  <si>
    <t>bnpriyanka08@gmail.com</t>
  </si>
  <si>
    <t>p2270580@student.nicmar.ac.in</t>
  </si>
  <si>
    <t>10-Dec-1999</t>
  </si>
  <si>
    <t>ENGLISH, KANNADA, HINDI, TELUGU AND TAMIL</t>
  </si>
  <si>
    <t>Trekking,Singing,Badmintton</t>
  </si>
  <si>
    <t>3347 5925 0749</t>
  </si>
  <si>
    <t>NARASIMHAMURTHY B N</t>
  </si>
  <si>
    <t>PUROHITH</t>
  </si>
  <si>
    <t>KRISHNAVENI V S</t>
  </si>
  <si>
    <t>No. 49, 3rd Main, 3rd Cross VHBCS Layout, Kurubarahalli</t>
  </si>
  <si>
    <t>SRI VANI GIRLS HIGH SCHOOL</t>
  </si>
  <si>
    <t>KARNATAKA SECONDARY EDUCATION EXAMINATION BOARD , KARNATAKA</t>
  </si>
  <si>
    <t>KLE'S NIJALINGAPPA PU COLLEGE</t>
  </si>
  <si>
    <t>RAMAIAH INSTITUTE OF TECHNOLOGY, BANGALORE</t>
  </si>
  <si>
    <t>SUVILAS PROPERTIES PVT LTD | PLANNING AND EXECUTION  | BANGALORE | Aug 2021 | Aug 2022 | 1 Years, 0 Months, 1 Days | 2.52</t>
  </si>
  <si>
    <t>PIRAMAL REALTY PVT LTD | SUMMER INTERN- HEAD OFFICE  | MUMBAI  | May 2023 | Jul 2023 | 7 Weeks | Campus Internship
NINTHMILE CONSTRUCTIONS PVT LTD | ESTIMATATION OF STEEL DETAILS AND CONCRETE,  | BANGALORE  | Mar 2021 | May 2021 | 8 Weeks</t>
  </si>
  <si>
    <t>p2270581</t>
  </si>
  <si>
    <t>CHAWLA</t>
  </si>
  <si>
    <t>Vaibhav Chawla</t>
  </si>
  <si>
    <t>vaibhavchawla29@gmail.com</t>
  </si>
  <si>
    <t>p2270581@student.nicmar.ac.in</t>
  </si>
  <si>
    <t>29-Jan-2000</t>
  </si>
  <si>
    <t>Hindi , English, punjabi</t>
  </si>
  <si>
    <t>8923 8216 7092</t>
  </si>
  <si>
    <t>ROHIT CHAWLA</t>
  </si>
  <si>
    <t>SONIYA CHAWLA</t>
  </si>
  <si>
    <t>HOUSE WIDE</t>
  </si>
  <si>
    <t>28Ã¢â‚¬â„¢ Vardhman Colony , Near Hyundai Showroom, Jagdalpur, Bastar</t>
  </si>
  <si>
    <t>Bastar</t>
  </si>
  <si>
    <t>VISAKHAPATNAM</t>
  </si>
  <si>
    <t>NH GOEL WORLD SCHOOL</t>
  </si>
  <si>
    <t>KIIT</t>
  </si>
  <si>
    <t>AutoCAD,MS Office,MS Project,Primavera,Revit 3D,Candy</t>
  </si>
  <si>
    <t>BMS | SITE ENGINEER  | JAGDALPUR, CHHATTISGARH  | Dec 2020 | Oct 2021 | 43 Weeks
L&amp;T Realty | SIte Execution  | Noida  | May 2023 | Jul 2023 | 7 Weeks</t>
  </si>
  <si>
    <t>p2270582</t>
  </si>
  <si>
    <t>TOSHAL</t>
  </si>
  <si>
    <t>REVANE</t>
  </si>
  <si>
    <t>Toshal Ganesh Revane</t>
  </si>
  <si>
    <t>toshalrevane0@gmail.com</t>
  </si>
  <si>
    <t>p2270582@student.nicmar.ac.in</t>
  </si>
  <si>
    <t>20-Nov-2000</t>
  </si>
  <si>
    <t>2748 0950 7359</t>
  </si>
  <si>
    <t>GANESH REVANE</t>
  </si>
  <si>
    <t>POOJA REVANE</t>
  </si>
  <si>
    <t>4/403,Maratha Chs,S.b Pawar Marg,curry Road</t>
  </si>
  <si>
    <t>ST.PAUL HIGH SCHOOL</t>
  </si>
  <si>
    <t>THAKUR POLYTECHNIC KANDIVALI MUMBAI/MAHARASHTRA</t>
  </si>
  <si>
    <t>B.R.HARNE COLLEGE OF ENGINEERING VANGANI MUMBAI/MAHARASHTRA</t>
  </si>
  <si>
    <t>AutoCAD,MS Office,MS Project,Primavera,EXCEL</t>
  </si>
  <si>
    <t>SUNTECK REALTY | EPC EXECUTION  | MUMBAI | May 2023 | Jul 2023 | 7 Weeks | Campus Internship
TMGL | JR. ENGINEER(EXECUTION,PLANNING, CHECKING) | CHEMBUR, MUMBAI  | Aug 2021 | Aug 2022 | 52 Weeks</t>
  </si>
  <si>
    <t>p2270583</t>
  </si>
  <si>
    <t>Hemanth S</t>
  </si>
  <si>
    <t>hemanthsasikumar@gmail.com</t>
  </si>
  <si>
    <t>p2270583@student.nicmar.ac.in</t>
  </si>
  <si>
    <t>English, Hindi,Malayalam, Tamil</t>
  </si>
  <si>
    <t>Music and reading,football,movies,travelling</t>
  </si>
  <si>
    <t>6620 6084 5095</t>
  </si>
  <si>
    <t>A SASIKUMAR</t>
  </si>
  <si>
    <t>HEAD OF INSTITUTION</t>
  </si>
  <si>
    <t>CHITHRA K NAIR</t>
  </si>
  <si>
    <t>'Sisiram' Bhagavathi Nagar ,kacherimedu, Chittur (po), Palakkad</t>
  </si>
  <si>
    <t>CHINMAYA VIDYALAYA TATTAMANGALAM</t>
  </si>
  <si>
    <t>CENTRAL BOARD OF SECONDARY EDUCATION/KERALA</t>
  </si>
  <si>
    <t>GOVT.HSS CHITTUR</t>
  </si>
  <si>
    <t>CMS COLLEGE OF ENGINEERING AND TECHNOLOGY/COIMBATORE</t>
  </si>
  <si>
    <t>AutoCAD,MS Office,MS Project,Primavera,3DS MAX,candy,revit,naviswork</t>
  </si>
  <si>
    <t>Rohan Builders(I) pvt.ltd | SITE EXECUTION | Gurgaon, haryana | Apr 2022 | Aug 2022 | 0 Years, 4 Months, 25 Days | 2.52</t>
  </si>
  <si>
    <t>Seedtree Collaborative Pvt Ltd | Interior Project Management | surat | May 2023 | Jul 2023 | 7 Weeks | Campus Internship
SA HOMES | SITE SUPERVISOR (INTERN) | PALAKKAD | Aug 2020 | Oct 2020 | 9 Weeks
UPHOME BUILDERS LLP. | PROJECT ENGINEER | PALAKKAD | Jun 2021 | Feb 2022 | 38 Weeks</t>
  </si>
  <si>
    <t>p2270584</t>
  </si>
  <si>
    <t>SHRITEJ</t>
  </si>
  <si>
    <t>SUSVIRKAR</t>
  </si>
  <si>
    <t>Shritej Uttam Susvirkar</t>
  </si>
  <si>
    <t>shritejsusvirkar14@gmail.com</t>
  </si>
  <si>
    <t>p2270584@student.nicmar.ac.in</t>
  </si>
  <si>
    <t>6708 9722 2890</t>
  </si>
  <si>
    <t>UTTAM SUSVIRKAR</t>
  </si>
  <si>
    <t>URMILA SUSVIRKAR</t>
  </si>
  <si>
    <t>2nd Flr., Room No. 70, Dr. Ambedkar Sadan, S. B. Pawar Marg, Currey Road</t>
  </si>
  <si>
    <t>DR. ANTONIO DA SILVA HIGH SCHOOL</t>
  </si>
  <si>
    <t>PRAVIN PATIL COLLEGE OF DIPLOMA ENGINEERING &amp; TECHNOLOGY, MAHARASHTRA</t>
  </si>
  <si>
    <t>G. V. ACHARYA INSTITUTE OF ENGINEERING &amp; TECHNOLOGY</t>
  </si>
  <si>
    <t>J. Kumar Infraprojects | Engineering department | Mumbai City | May 2023 | Jul 2023 | 7 Weeks | Campus Internship</t>
  </si>
  <si>
    <t>p2270585</t>
  </si>
  <si>
    <t>Prateek Gupta</t>
  </si>
  <si>
    <t>prateekguptapanna@gmail.com</t>
  </si>
  <si>
    <t>p2270585@student.nicmar.ac.in</t>
  </si>
  <si>
    <t>29-Aug-2000</t>
  </si>
  <si>
    <t>Reading Articles,Travel,Playing Chess,Meditation</t>
  </si>
  <si>
    <t>3784 5045 6712</t>
  </si>
  <si>
    <t>LATE MR.NARENDRA GUPTA</t>
  </si>
  <si>
    <t>MRS. VERSHA GUPTA</t>
  </si>
  <si>
    <t>SHOP OWNER</t>
  </si>
  <si>
    <t>Ward-02, Keshri Bhawan , Tikuriya Mohalla, Panna</t>
  </si>
  <si>
    <t>Panna</t>
  </si>
  <si>
    <t>PANNA</t>
  </si>
  <si>
    <t>PRESTIGE INSTITUTE OF ENGINEERING MANAGEMENT AND RESEARCH</t>
  </si>
  <si>
    <t>AutoCAD,MS Office,MS Project,STAADPRO</t>
  </si>
  <si>
    <t>Ashwin Sheth Group | Planning | Mumbai | May 2023 | Jul 2023 | 7 Weeks | Campus Internship
SHRI KESHRI CONSTRUCTION | BILL WRITING | PANNA | Oct 2020 | Nov 2020 | 4 Weeks
MAHAKAL CONSTRUCTIONS | SITE MANAGEMENT | CHIRRHA PAWAI | Jul 2020 | Aug 2022 | 108 Weeks</t>
  </si>
  <si>
    <t>p2270586</t>
  </si>
  <si>
    <t>Naveen Chauhan</t>
  </si>
  <si>
    <t>chauhannaveen285@gmail.com</t>
  </si>
  <si>
    <t>p2270586@student.nicmar.ac.in</t>
  </si>
  <si>
    <t>17-Jul-1998</t>
  </si>
  <si>
    <t>Gyming,Travelling,Badminton,Cricket</t>
  </si>
  <si>
    <t>4802 4563 6118</t>
  </si>
  <si>
    <t>JAGDISH CHAND</t>
  </si>
  <si>
    <t>JUDHYA DEVI</t>
  </si>
  <si>
    <t>29B,Chhawla Extension Part 2,near Petrol Pump,chhawla</t>
  </si>
  <si>
    <t>SEN.SEC.MODEL INSTITUTE OF EDUCATION,DEVDHAR TIHRA</t>
  </si>
  <si>
    <t>SEN.SEC. MODEL INSTITUTE OF EDUCATION,DEVDHAR TIHRA</t>
  </si>
  <si>
    <t>KURUKSHETRA UNIVERSITY</t>
  </si>
  <si>
    <t>GURU NANAK INSTITUTE OF TECHNOLOGY,AMBALA</t>
  </si>
  <si>
    <t>AutoCAD,MS Office,MS Project,Primavera,SAP S/4HANA,Revit,Navisworks</t>
  </si>
  <si>
    <t>M/S JYOTI SARUP MITTAL | EXECUTION ENGINEER  | GURUGRAM | Mar 2021 | Jun 2022 | 1 Years, 3 Months, 10 Days | 3
BUILDROCK ENGINEERING PVT. LTD. | QA/QC ENGINEER | GURUGRAM | Jul 2019 | Nov 2020 | 1 Years, 4 Months, 9 Days | 1.44</t>
  </si>
  <si>
    <t>H.G. Infra Engineering | SUMMER INTERN | NEW DELHI | May 2023 | Jul 2023 | 7 Weeks | Campus Internship
CHINTELS INDIA LIMITED | SUMMER INTERN | GURUGRAM,HARYANA | Jun 2018 | Jul 2018 | 8 Weeks
INDSAO INFRATECH | SITE ENGINEER | GURUGRAM | Jun 2022 | Aug 2022 | 8 Weeks
SPACEAGE | SITE ENGINEER | GURUGRAM | Nov 2020 | Feb 2021 | 10 Weeks</t>
  </si>
  <si>
    <t>p2270587</t>
  </si>
  <si>
    <t>PREM KUMAR</t>
  </si>
  <si>
    <t>SAHANI</t>
  </si>
  <si>
    <t>Prem Kumar Lalji Sahani</t>
  </si>
  <si>
    <t>sahaniprem8115@gmail.com</t>
  </si>
  <si>
    <t>p2270587@student.nicmar.ac.in</t>
  </si>
  <si>
    <t>15-Aug-1999</t>
  </si>
  <si>
    <t>Cycling,Music listening,Playing cricket</t>
  </si>
  <si>
    <t>9808 5701 8203</t>
  </si>
  <si>
    <t>LALJI SAHANI</t>
  </si>
  <si>
    <t>BUSINEES</t>
  </si>
  <si>
    <t>URMILA SAHANI</t>
  </si>
  <si>
    <t>263/18, NIRMALA DEVI RAHIWASHI SANGH , RAM NAGAR , ROAD NO. 28, WAGLE ESTATE</t>
  </si>
  <si>
    <t>SDMHHS</t>
  </si>
  <si>
    <t>STATE BOARD MAHARASHTRA</t>
  </si>
  <si>
    <t>NES RATNAM JR. COLLEGE OF SCIENCE</t>
  </si>
  <si>
    <t>AutoCAD,MS Office,MS Project,Primavera,BIM,Visilean</t>
  </si>
  <si>
    <t>Property Management Solution Pvt. Ltd. | Snagging Executive | Lodha upper thane | Jul 2021 | Aug 2022 | 1 Years, 1 Months, 1 Days | 3.82</t>
  </si>
  <si>
    <t>Mirchandani Group | Project Management Intern | Mumbai | May 2023 | Jul 2023 | 7 Weeks | Campus Internship
OM SAI DEVELOPERS | INTERN | MUMBAI | Jun 2019 | Jul 2019 | 3 Weeks
OM SAI DEVELOPERS | INTERN | MUMBAI | Dec 2018 | Jan 2019 | 2 Weeks
MAVANI INFRASTRUCTURES | INTERN | RUNWAL FOREST, KANJURMARG, MUMBAI | Jun 2018 | Jul 2018 | 2 Weeks</t>
  </si>
  <si>
    <t>p2270588</t>
  </si>
  <si>
    <t>ADAGONDA</t>
  </si>
  <si>
    <t>Pranav Adagonda Patil</t>
  </si>
  <si>
    <t>pranavpatil6199@gmail.com</t>
  </si>
  <si>
    <t>p2270588@student.nicmar.ac.in</t>
  </si>
  <si>
    <t>Bike Ridding Enthusiast,Travel Enthusiast,Cricket</t>
  </si>
  <si>
    <t>6990 6154 4650</t>
  </si>
  <si>
    <t>ADAGONDA PATIL</t>
  </si>
  <si>
    <t>MCOM</t>
  </si>
  <si>
    <t>SUNITA PATIL</t>
  </si>
  <si>
    <t>MA B.ED</t>
  </si>
  <si>
    <t>Plot No 12 Behind Petrol Pump_x000D_
Balajinagar Kupwad Rd. Sangli</t>
  </si>
  <si>
    <t>SANGLI HIGHSCHOOL SANGLI</t>
  </si>
  <si>
    <t>SANGLI</t>
  </si>
  <si>
    <t>PRATIK GADENNAVAR CONSTRUCTION | SUMMER INTERN  | SANGLI | May 2023 | Jul 2023 | 8 Weeks | Campus Internship
M K BUILDERS AND DEVELOPERS | SUPERVISOR | SANGLI | Dec 2021 | Apr 2022 | 15 Weeks</t>
  </si>
  <si>
    <t>p2270589</t>
  </si>
  <si>
    <t>Bhoyar Nikita Dhananjay</t>
  </si>
  <si>
    <t>nikitab2897@gmail.com</t>
  </si>
  <si>
    <t>p2270589@student.nicmar.ac.in</t>
  </si>
  <si>
    <t>28-Feb-1997</t>
  </si>
  <si>
    <t>English, hindi , marathi</t>
  </si>
  <si>
    <t>Canvas Painting,Stone carving,Theatre,Reading,Horse riding,Travelling,Social work,Chess</t>
  </si>
  <si>
    <t>9608 2326 3856</t>
  </si>
  <si>
    <t>DHANANJAY BHOYAR</t>
  </si>
  <si>
    <t>RASHMI BHOYAR</t>
  </si>
  <si>
    <t>52 E Laxmi Niwas Trimurti Nagar Nagpur</t>
  </si>
  <si>
    <t>MOUNT CARMEL GIRLS HIGH SCHOOL NAGPUR</t>
  </si>
  <si>
    <t>ST. PAUL JR COLLEGE NAGPUR</t>
  </si>
  <si>
    <t>DR D Y PATIL COLLEGE OF ARCHITECTURE AKRUDI PUNE</t>
  </si>
  <si>
    <t>AutoCAD,MS Office,MS Project,Primavera,Lumion,Sketchup,Revit,Ecotect,Canva</t>
  </si>
  <si>
    <t>metaphor architects | jr. architect | nagpur | Jun 2021 | Mar 2022 | 0 Years, 9 Months, 19 Days | 1.5</t>
  </si>
  <si>
    <t>SAMARTH ELECTROCARE PVT LTD (SEPL) | SUMMER INTERN | NAGPUR | May 2023 | Jul 2023 | 7 Weeks | Campus Internship
METAPHOR ARCHITECTS | SITE EXECUATION | NAGPUR | Nov 2021 | Feb 2022 | 17 Weeks</t>
  </si>
  <si>
    <t>p2270590</t>
  </si>
  <si>
    <t>Abhishek Arun Shelke</t>
  </si>
  <si>
    <t>shelkeabhishek80@gmail.com</t>
  </si>
  <si>
    <t>p2270590@student.nicmar.ac.in</t>
  </si>
  <si>
    <t>CRICKET,FOOTBALL,CYCLING</t>
  </si>
  <si>
    <t>3515 3392 5577</t>
  </si>
  <si>
    <t>ARUN SHELKE</t>
  </si>
  <si>
    <t>SUNITA SHELKE</t>
  </si>
  <si>
    <t>16/1 Geetai CHS Dagdi Chawl, B.j Marg Byculla West</t>
  </si>
  <si>
    <t>I.E.S. V.N.SULE GURUJI ENGLISH MEDIUM HIGH SCHOOL</t>
  </si>
  <si>
    <t>SADAR VALLABHBHAI PATEL POLYTECHNIC</t>
  </si>
  <si>
    <t>VICEROY PROPERTIES | SITE EXECUTION + CONTROL | MUMBAI  | May 2023 | Jul 2023 | 7 Weeks | Campus Internship</t>
  </si>
  <si>
    <t>p2270591</t>
  </si>
  <si>
    <t>Siddhant Singh Chauhan</t>
  </si>
  <si>
    <t>siddhant.chauhan1997@gmail.com</t>
  </si>
  <si>
    <t>p2270591@student.nicmar.ac.in</t>
  </si>
  <si>
    <t>30-Jul-1998</t>
  </si>
  <si>
    <t>6216 0527 9133</t>
  </si>
  <si>
    <t>BIJENDER SINGH CHAUHAN</t>
  </si>
  <si>
    <t>MES CONTRACTOR</t>
  </si>
  <si>
    <t>MAMTA CHAUHAN</t>
  </si>
  <si>
    <t>H N DH-101 DEEN DAYAL NAGAR MAHARAJPURA ROAD</t>
  </si>
  <si>
    <t>SAINT PAUL'S</t>
  </si>
  <si>
    <t>CBSE GWALIOR MADHYA PRADESH</t>
  </si>
  <si>
    <t>2014-Dec</t>
  </si>
  <si>
    <t>AMITY UNIVERSITY GREATER NOIDA UTTAR PRADESH</t>
  </si>
  <si>
    <t>MEDICAPS UNIVERSITY INDORE MADHYA PRADESH</t>
  </si>
  <si>
    <t>AutoCAD,MS Office,MS Project,Primavera,CIVIL REVIT</t>
  </si>
  <si>
    <t>H.G. INFRA ENGINEERING | PLANNING  | DELHI | May 2023 | Jul 2023 | 7 Weeks | Campus Internship
NORTH DELHI MUNICIPAL CORPORATION | CIVIL ENGINEER INTERN | DELHI | Sep 2018 | Apr 2019 | 31 Weeks
LARSEN AND TOUBRO CONSTRUCTION | CIVIL ENGINEER INTERN | BENGALURU | Jan 2022 | Apr 2022 | 15 Weeks</t>
  </si>
  <si>
    <t>p2270592</t>
  </si>
  <si>
    <t>VIJAYKUMAR</t>
  </si>
  <si>
    <t>Ganesh Vijaykumar Bansode</t>
  </si>
  <si>
    <t>ganeshbansode07081997@gmail.com</t>
  </si>
  <si>
    <t>p2270592@student.nicmar.ac.in</t>
  </si>
  <si>
    <t>07-Aug-1997</t>
  </si>
  <si>
    <t>Playing Cricket,Travelling</t>
  </si>
  <si>
    <t>8741 8208 0496</t>
  </si>
  <si>
    <t>VIJAYKUMAR JOTIRAM BANSODE</t>
  </si>
  <si>
    <t>SHOBHA VIJAYKUMAR BANSODE</t>
  </si>
  <si>
    <t>At Post Vaduj Tahsil Khatav District Satara</t>
  </si>
  <si>
    <t>TILAK HIGHSCHOOL, KARAD</t>
  </si>
  <si>
    <t>YASHWANTRAO CHAVAN COLLEGE OF SCIENCE, KARAD</t>
  </si>
  <si>
    <t>GOVERNMENT POLYTECHNIC, KOLHAPUR</t>
  </si>
  <si>
    <t>Kishor Lokhande And Associates | Quantity Surveying , Supervision And Management | Vaduj (Satara) | Apr 2021 | Jul 2022 | 1 Years, 3 Months, 25 Days | 2.4</t>
  </si>
  <si>
    <t>NYATI ENGINEERS AND CONSULTANTS PVT. LTD. | Summer intern | Satara | May 2023 | Jul 2023 | 7 Weeks | Campus Internship</t>
  </si>
  <si>
    <t>p2270593</t>
  </si>
  <si>
    <t>Vikram Jadhav</t>
  </si>
  <si>
    <t>vikramjadhav1811@gmail.com</t>
  </si>
  <si>
    <t>p2270593@student.nicmar.ac.in</t>
  </si>
  <si>
    <t>18-Nov-1996</t>
  </si>
  <si>
    <t>world affairs,innovation and technoology,art and culture,literature reading,running</t>
  </si>
  <si>
    <t>4920 5503 6322</t>
  </si>
  <si>
    <t>ACCOUNTANT, DISTRICT COURT</t>
  </si>
  <si>
    <t>Rajnager South Civil Lines</t>
  </si>
  <si>
    <t>FIRST STEP SCHOOL</t>
  </si>
  <si>
    <t>CBSE, CHHINDWARA(M.P)</t>
  </si>
  <si>
    <t>2011-Nov</t>
  </si>
  <si>
    <t>CBSE, CHHINDWARA (M.P)</t>
  </si>
  <si>
    <t>RAJIV GANDHI PRODHYOGIKI VISHVAVIDHYALAYA</t>
  </si>
  <si>
    <t>TECHNOCRATS INSTITUTE OF TECHNOLOGY</t>
  </si>
  <si>
    <t>2018-Dec</t>
  </si>
  <si>
    <t>Nagpur metro rail corporation limited | Intern | Nagpur | May 2023 | Jul 2023 | 7 Weeks | Campus Internship
Narendra mishra civil engineer and contractor | Intern | Bhopal | Jun 2017 | Jul 2017 | 4 Weeks</t>
  </si>
  <si>
    <t>p2270594</t>
  </si>
  <si>
    <t>DEVASENA</t>
  </si>
  <si>
    <t>P M</t>
  </si>
  <si>
    <t>Devasena P M</t>
  </si>
  <si>
    <t>devasenapm98@gmail.com</t>
  </si>
  <si>
    <t>p2270594@student.nicmar.ac.in</t>
  </si>
  <si>
    <t>30-Dec-1998</t>
  </si>
  <si>
    <t>Doodling,Water colouring,Badminton</t>
  </si>
  <si>
    <t>7937 1465 0115</t>
  </si>
  <si>
    <t>MOHANLAL P P</t>
  </si>
  <si>
    <t>BINDU K K</t>
  </si>
  <si>
    <t>SCHOOL HEADMISTRESS</t>
  </si>
  <si>
    <t>PULICKAL HOUSE,P.O THOTTIPPAL_x000D_
THOTTIPPAL,THRISSUR,KERALA</t>
  </si>
  <si>
    <t>DON BOSCO HIGHER SECONDARY SCHOOL</t>
  </si>
  <si>
    <t>NATIONAL HIGHER SECONDARY SCHOOL</t>
  </si>
  <si>
    <t>FEDERAL INSTITUTE OF SCIENCE AND TECHNOLOGY-ANGAMALY,ERNAKULAM,KERALA</t>
  </si>
  <si>
    <t>AutoCAD,MS Office,MS Project,Primavera,STAAD PRO,NAVISWORKS,LaTex,Candy Two,REVIT Architecture</t>
  </si>
  <si>
    <t>L and T  Realty | Project Management Intern - Site Execution | Chennai | May 2023 | Jul 2023 | 7 Weeks | Campus Internship
KERALA STATE REMOTE SENSING AND ENVIRONMENT CENTRE | SURVEY &amp; DATA COLLECTION | MOOKKANNOOR, KERALA | Jul 2019 | Jul 2019 | 1 Weeks</t>
  </si>
  <si>
    <t>p2270595</t>
  </si>
  <si>
    <t>SUHANSHU</t>
  </si>
  <si>
    <t>MANIKRAO</t>
  </si>
  <si>
    <t>JANGLE</t>
  </si>
  <si>
    <t>Suhanshu Manikrao Jangle</t>
  </si>
  <si>
    <t>suhanshujangle123@gmail.com</t>
  </si>
  <si>
    <t>p2270595@student.nicmar.ac.in</t>
  </si>
  <si>
    <t>ENGLISH,HINDI&amp;MARATHI</t>
  </si>
  <si>
    <t>Reading,Travelling,Trekking</t>
  </si>
  <si>
    <t>4902 8490 3513</t>
  </si>
  <si>
    <t>MANIKRAO JANGLE</t>
  </si>
  <si>
    <t>JAYMALA JANGLE</t>
  </si>
  <si>
    <t>PLOT NO.247,DHAMMAKIRTI NAGAR, DUTTAWADI,NAGPUR</t>
  </si>
  <si>
    <t>BHARTI KRISHNA VIDYA VIHAR,NAGPUR</t>
  </si>
  <si>
    <t>DHARAMPETH M P DEO MEMORIAL SCIENCE COLLEGE,NAGPUR</t>
  </si>
  <si>
    <t>YESHWANTRAO CHAVAN COLLEGE OF ENGINEERING,NAGPUR</t>
  </si>
  <si>
    <t>AutoCAD,MS Office,MS Project,Primavera,STAAD.Pro,Revit,Navisworks</t>
  </si>
  <si>
    <t>GSIDC | Site Execution + Project management  | Merces, Goa | May 2023 | Jul 2023 | 7 Weeks | Campus Internship
SANT GAJANAN PROJECTS AND INFRASTRUCTURES LTD | SITE EXECUTION | CHANDRAPUR | Jun 2021 | Dec 2021 | 30 Weeks</t>
  </si>
  <si>
    <t>p2270597</t>
  </si>
  <si>
    <t>ASATI</t>
  </si>
  <si>
    <t>Asmita Asati</t>
  </si>
  <si>
    <t>asmitaasati1234@gmail.com</t>
  </si>
  <si>
    <t>p2270597@student.nicmar.ac.in</t>
  </si>
  <si>
    <t>English, Hindi, French</t>
  </si>
  <si>
    <t>9089 9971 5190</t>
  </si>
  <si>
    <t>ALOK ASATI</t>
  </si>
  <si>
    <t>ABHA ASATI</t>
  </si>
  <si>
    <t>64B, GEET MOHINI COLONY PHASE-6, K-SECTOR, AYODHYA BYPASS, BHOPAL(M.P)</t>
  </si>
  <si>
    <t>MENNONITE ENGLISH SENIOR SECONDARY SCHOOL, DHAMTARI (C.G.)</t>
  </si>
  <si>
    <t>DHAMTARI,CHHATTISGARH</t>
  </si>
  <si>
    <t>AMITY UNIVERSITY RAIPUR, CHHATTISGARH</t>
  </si>
  <si>
    <t>AutoCAD,MS Office,MS Project,Primavera,Sketchup,Lumion,Revit,Naviswork,Vray</t>
  </si>
  <si>
    <t>Builtwell Solutions private limited | Architect | Bhopal | Feb 2022 | Aug 2022 | 0 Years, 6 Months, 0 Days | 2.76
Vibha Shrivastava and Associates | Architect | Bhopal | Jul 2021 | Jan 2022 | 0 Years, 6 Months, 30 Days | 1.8</t>
  </si>
  <si>
    <t>RUSTOMJEE | Project management Intern | Mumbai | May 2023 | Jul 2023 | 7 Weeks | Campus Internship
Manish Gupta and Associates | Junior Architect | Bhopal | Jan 2021 | Jun 2021 | 20 Weeks</t>
  </si>
  <si>
    <t>p2270598</t>
  </si>
  <si>
    <t>NAMRATHA</t>
  </si>
  <si>
    <t>Namratha S</t>
  </si>
  <si>
    <t>snamratha266@gmail.com</t>
  </si>
  <si>
    <t>p2270598@student.nicmar.ac.in</t>
  </si>
  <si>
    <t>English, Kannada, Hindi,</t>
  </si>
  <si>
    <t>3897 9889 0343</t>
  </si>
  <si>
    <t>N SATYANARAYANA</t>
  </si>
  <si>
    <t>R VANI</t>
  </si>
  <si>
    <t># 1572, 2nd Cross, Nagappa Block, Srirampura, Bangalore, Karnataka,_x000D_</t>
  </si>
  <si>
    <t>POORNA PRAJNA EDUCATION CENTRE</t>
  </si>
  <si>
    <t>VIDYA MANDIR IND. PRE UNIVERSITY COLLEGE</t>
  </si>
  <si>
    <t>ACHARYA'S NRV SCHOOL OF ARCHITECTURE BANGALORE</t>
  </si>
  <si>
    <t>AutoCAD,MS Office,MS Project,Primavera,SketchUp,Photoshop</t>
  </si>
  <si>
    <t>Piramal Realty Pvt Ltd | Summer Intern | Mumbai | May 2023 | Jul 2023 | 7 Weeks | Campus Internship
SUNDARAM ARCHITECTS PVT LTD | WORKING DRAWINGS OF SAI UNIVERSITY - CHENNAI, VIDYASHILP SCHOOL, MANIPAL UNIVERSITY BANGALORE, CHANAKYA UNIVERSITY BANGALORE,  | KUMARA KRUPA ROAD, BANGALORE | Feb 2022 | Jun 2022 | 16 Weeks</t>
  </si>
  <si>
    <t>p2270599</t>
  </si>
  <si>
    <t>RATAN</t>
  </si>
  <si>
    <t>NAGAL</t>
  </si>
  <si>
    <t>Ratan Nagal</t>
  </si>
  <si>
    <t>ratannagal245@gmail.com</t>
  </si>
  <si>
    <t>p2270599@student.nicmar.ac.in</t>
  </si>
  <si>
    <t>01-Apr-1998</t>
  </si>
  <si>
    <t>ENGLISH,HINDI,MARWADI AND TAMIL</t>
  </si>
  <si>
    <t>9899 6688 0805</t>
  </si>
  <si>
    <t>ASHURAM</t>
  </si>
  <si>
    <t>INTERIOR DESIGNER</t>
  </si>
  <si>
    <t>LUNI DEVI</t>
  </si>
  <si>
    <t>NO 123 BRICKLIN ROAD ARIHANT VAIKUNT APT BLOCK 4 FLAT 10-A PURUSAIWALKAM</t>
  </si>
  <si>
    <t>SINDHI MODEL MATRICULATION HIGHER SECONDRY SCHOOL</t>
  </si>
  <si>
    <t>HINDUSTAN INSTITUTE OF TECHNOLOGY AND SCIENCE</t>
  </si>
  <si>
    <t>AutoCAD,MS Office,MS Project,3D SKETCH UP , ENSCAPE</t>
  </si>
  <si>
    <t>Singhania Buildcon | Project management  | Raipur  | May 2023 | Jul 2023 | 7 Weeks | Campus Internship
STUDIO DECODE | ARCHITECT | BANGALORE | Jul 2021 | Nov 2021 | 18 Weeks</t>
  </si>
  <si>
    <t>p2270600</t>
  </si>
  <si>
    <t>GHUGARDARE</t>
  </si>
  <si>
    <t>Omkar Shashank Ghugardare</t>
  </si>
  <si>
    <t>ghugardareomkar@gmail.com</t>
  </si>
  <si>
    <t>p2270600@student.nicmar.ac.in</t>
  </si>
  <si>
    <t>10-Jan-1998</t>
  </si>
  <si>
    <t>english,marathi,hindi</t>
  </si>
  <si>
    <t>sports,music,driving,exploring new locations</t>
  </si>
  <si>
    <t>6872 9370 1842</t>
  </si>
  <si>
    <t>SHASHANK GHUGARDARE</t>
  </si>
  <si>
    <t>SHILPA GHUGARDARE</t>
  </si>
  <si>
    <t>405,Sadafulee B Near Sangampress Kothrud</t>
  </si>
  <si>
    <t>SAU.VIMLABAI GARWARE HIGH SCHOOL,PUNE</t>
  </si>
  <si>
    <t>SOU. VENUTAI CHAVAN POLYTECHNIC COLLEGE, VADGAON,PUNE,MAHARASHTRA</t>
  </si>
  <si>
    <t>BHARTI VIDYAPEETH COLLEGE OF ENGINEERING.LAVLE,PUNE,MAHARASHTRA</t>
  </si>
  <si>
    <t>RAVINDRA SHINDE Civil Engineers &amp; Contractors | Civil Engineer  | pune | Jun 2020 | Jul 2022 | 2 Years, 1 Months, 0 Days | 1.8</t>
  </si>
  <si>
    <t>VESTIAN GLOBAL | PROJECT SERVICES (ISD) | HYDERABAD  | May 2023 | Jul 2023 | 7 Weeks | Campus Internship</t>
  </si>
  <si>
    <t>p2270601</t>
  </si>
  <si>
    <t>MAHADEV</t>
  </si>
  <si>
    <t>Patil Prasad Mahadev</t>
  </si>
  <si>
    <t>pmpatil1772@gmail.com</t>
  </si>
  <si>
    <t>p2270601@student.nicmar.ac.in</t>
  </si>
  <si>
    <t>28-Jul-1999</t>
  </si>
  <si>
    <t>Exercising,Music,Cricket</t>
  </si>
  <si>
    <t>3680 3450 6102</t>
  </si>
  <si>
    <t>MAHADEV DATTATRAY PATIL</t>
  </si>
  <si>
    <t>PRIVATE CONSTRUCTION</t>
  </si>
  <si>
    <t>D-2 , Shefali Garden , Bhigwan Road, Baramati</t>
  </si>
  <si>
    <t>VIDYA PRATISHTHAN'S VINODKUMAR GUJAR BAL VIKAS MANDIR</t>
  </si>
  <si>
    <t>DATTAKALA INTERNATION SCHOOL AND JR COLLEGE</t>
  </si>
  <si>
    <t>AutoCAD,MS Office,MS Project,Primavera,Revit,Naviswork,Candy,Microsoft Office</t>
  </si>
  <si>
    <t>SYSTRA,INDIA | SUMMER INTERN-PLANNING | SURAT | May 2023 | Jul 2023 | 8 Weeks | Campus Internship
TALKUTE ASSOCIATES | ASSISTANT SITE ENGINEER  | BARAMATI  | Jan 2021 | Apr 2021 | 15 Weeks
UTKARSH PRIVATE LIMITED | SUPERVISOR  | BARAMATI | Jun 2020 | Sep 2020 | 13 Weeks
Avinash K. Suryavanshi Engineers and Government Contractors | Assistant site engineer  | Baramati  | Aug 2021 | Dec 2021 | 20 Weeks</t>
  </si>
  <si>
    <t>p2270602</t>
  </si>
  <si>
    <t>KODGIRWAR</t>
  </si>
  <si>
    <t>Manthan Murlidhar Kodgirwar</t>
  </si>
  <si>
    <t>kodgirwarmanthan@gmail.com</t>
  </si>
  <si>
    <t>p2270602@student.nicmar.ac.in</t>
  </si>
  <si>
    <t>21-May-2000</t>
  </si>
  <si>
    <t>Travel,Photography,Swimming,Watching Movie,Listening to Music,Yoga</t>
  </si>
  <si>
    <t>4039 2725 8235</t>
  </si>
  <si>
    <t>At Post Dhanki, Ta.Umarkhed, Dist:Yavatmal</t>
  </si>
  <si>
    <t>SJB NICMAR HOSTEL</t>
  </si>
  <si>
    <t>NEW VISION PUBLIC SCHOOL</t>
  </si>
  <si>
    <t>SARASWATI JUNIOR COLLEGE</t>
  </si>
  <si>
    <t>MIT SCHOOL OF ENGINEERING, PUNE</t>
  </si>
  <si>
    <t>AutoCAD,MS Office,MS Project,Primavera,Autodesk-Revit,Sketchup</t>
  </si>
  <si>
    <t>Vishwanath Builders | Financial consulting | Ahmedabad | May 2023 | Jul 2023 | 7 Weeks | Campus Internship
TRIMURTI ENTERPRIZES | JR ENGINEER | PUNE | Feb 2022 | Apr 2022 | 10 Weeks
Aoudmbar Engineering Consultant | Valuation Intern | Dhanki | Jun 2022 | Jul 2022 | 8 Weeks</t>
  </si>
  <si>
    <t>P2270603</t>
  </si>
  <si>
    <t>Dhere Aniket Pravin</t>
  </si>
  <si>
    <t>aniketdhere99@gmail.com</t>
  </si>
  <si>
    <t>p2270603@student.nicmar.ac.in</t>
  </si>
  <si>
    <t>5577 7910 9761</t>
  </si>
  <si>
    <t>PRAVIN LAXMANRAO DHERE</t>
  </si>
  <si>
    <t>SUSHMA PRAVIN DHERE</t>
  </si>
  <si>
    <t>P/o, Pradeep Dhere, Gurudeo Colony, Near Ajinkya Colony, V. M. V. Road, Amravati</t>
  </si>
  <si>
    <t>SHREE SHIVAJI MULTIPURPOSE HIGH SCHOOL AMRAVATI</t>
  </si>
  <si>
    <t>MAHARASTRA STATE BOARD OF SECONDARY AND HIGHER SECONDARY EDUCATION, PUNE.</t>
  </si>
  <si>
    <t>SHREE SHIVAJI SOCIETY DR. PANJABRAO DESHMUKH POLYTECHNIC, AMRAVATI.</t>
  </si>
  <si>
    <t>PROF. RAM MEGHE INSTITUTE OF TECHNOLOGY AND RESEARCH BADNERA, AMRAVATI</t>
  </si>
  <si>
    <t>AutoCAD,MS Office,MS Project,Primavera,3DS SKETCHUP &amp; AUTO PLOTTER 10,REVIT</t>
  </si>
  <si>
    <t>KRISHNA VISUALIZATION PVT. LTD. | SURVEYING AND ESTIMATION | AMRAVATI &amp;amp;amp; NAGPUR | Jun 2021 | Jun 2022 | 1 Years, 0 Months, 0 Days | 1.88</t>
  </si>
  <si>
    <t>Knight Frank | Technical Advisory services | Mumbai | May 2023 | Jul 2023 | 7 Weeks | Campus Internship
DR PANJABRAO DESHMUKH POLYTECHNIC AMRAVATI | LABROTORY OPERATOR, DATA COLLECTOR &amp; SITE SUPERVISOR | AMRAVATI | Dec 2017 | Mar 2018 | 11 Weeks
ASHISH DUDHE BUILDER | SITE SUPERVISOR | AMRAVATI | May 2017 | Jun 2017 | 4 Weeks
R K MADHANI AND COMPANY DADAR MUMBAI | SURVEYING AND ESTIMATION | AMRAVATI | Jul 2022 | Sep 2022 | 9 Weeks</t>
  </si>
  <si>
    <t>P2270604</t>
  </si>
  <si>
    <t>Sourabh Sunil Patil</t>
  </si>
  <si>
    <t>5405sp@gmail.com</t>
  </si>
  <si>
    <t>p2270604@student.nicmar.ac.in</t>
  </si>
  <si>
    <t>English,  Hindi and Marathi</t>
  </si>
  <si>
    <t>3614 6234 5246</t>
  </si>
  <si>
    <t>SUNIL PATIL</t>
  </si>
  <si>
    <t>BEEN PATIL</t>
  </si>
  <si>
    <t>Vardhan Palace Plot No.27 Road No.1 Balajinagar Near Laxmi Temple</t>
  </si>
  <si>
    <t>SAVARKAR PRATISHTHAN PRADNYA PRABODHINI PRASHALA</t>
  </si>
  <si>
    <t>WILLINGTON COLLEGE</t>
  </si>
  <si>
    <t>PADMABHOOSHAN VASANTRAODADA PATIL INSTITUTE OF TECHNOLOGY</t>
  </si>
  <si>
    <t>SAHYADRI DEVELOPERS | SPERVISER | SANGLI | Feb 2021 | May 2021 | 13 Weeks</t>
  </si>
  <si>
    <t>p2270008</t>
  </si>
  <si>
    <t>CHANNAVAR</t>
  </si>
  <si>
    <t>Adarsh Raju Channavar</t>
  </si>
  <si>
    <t>adarshrc1111@gmail.com</t>
  </si>
  <si>
    <t>p2270008@student.nicmar.ac.in</t>
  </si>
  <si>
    <t>26-Mar-2000</t>
  </si>
  <si>
    <t>English,Hindi,Kannada,Marathi.</t>
  </si>
  <si>
    <t>Swimming,Travelling,Volunteer work</t>
  </si>
  <si>
    <t>9292 6166 9939</t>
  </si>
  <si>
    <t>RAJU S CHANNAVAR</t>
  </si>
  <si>
    <t>JAYASHREE R CHANNAVAR</t>
  </si>
  <si>
    <t>"Ravi Shree Nilaya" Sector No:09 CTS No: 6759_x000D_
Anjaneya Nagar Belagavi-590016</t>
  </si>
  <si>
    <t>LOVE DALE CENTRAL SCHOOL ,BELAGAVI</t>
  </si>
  <si>
    <t>CENTRAL BOARD OF SECONDARY EDUCATION-DELHI</t>
  </si>
  <si>
    <t>MAHATHMA GANDHI PU COLLEGE,BELAGAVI</t>
  </si>
  <si>
    <t>VISVESVARAYA TECHNOLOGY UNIVERSITY,BELAGAVI</t>
  </si>
  <si>
    <t>KLS GOGTE INSTITUTE OF TECHNOLOGY,BELAGAVI.</t>
  </si>
  <si>
    <t>Vaishnavi Infrastructure Pvt Ltd. | Site Execution | Bengaluru | May 2023 | Jul 2023 | 7 Weeks | Campus Internship
CIVIL ENGINEERING INSTITUTE OF TECHNOLOGY | INTERN  | ONLINE (LIVE BUILDING)  | Jul 2020 | Aug 2020 | 8 Weeks</t>
  </si>
  <si>
    <t>p2270218</t>
  </si>
  <si>
    <t>A G</t>
  </si>
  <si>
    <t>Anand A G</t>
  </si>
  <si>
    <t>anandgopia97@gmail.com</t>
  </si>
  <si>
    <t>p2270218@student.nicmar.ac.in</t>
  </si>
  <si>
    <t>29-Mar-1997</t>
  </si>
  <si>
    <t>ENGLISH, HINDI, TAMIL, MALAYALAM</t>
  </si>
  <si>
    <t>Jogging,Yoga,Travelling</t>
  </si>
  <si>
    <t>8191 1115 7795</t>
  </si>
  <si>
    <t>GOPI.A.K</t>
  </si>
  <si>
    <t>PENSIONER</t>
  </si>
  <si>
    <t>JYOTHY.M.N</t>
  </si>
  <si>
    <t>HEALTH SUPERVISOR</t>
  </si>
  <si>
    <t>ADATHEDATH HOUSE,  VALLISSERY, AVINISSERY P.O.</t>
  </si>
  <si>
    <t>LOURDE MATHA EMHS CHERPU SENIOR SECONDARY SCHOOL</t>
  </si>
  <si>
    <t>BOARD OF PUBLIC EXAMINATION, KERALA</t>
  </si>
  <si>
    <t>GOVERNMENT MODEL HSS FOR BOYS, THRISSUR</t>
  </si>
  <si>
    <t>COLLEGE OF ENGINEERING VADAKARA, KOZHIKODE</t>
  </si>
  <si>
    <t>AutoCAD,MS Office,MS Project,Primavera,ESurvey CAD,Revit,Navisworks,Sanketham software</t>
  </si>
  <si>
    <t>INTRAPRASTHA BUILDERS | Draughtsman Cum Supervisor | Marar Road, Thrissur | Sep 2019 | Nov 2021 | 2 Years, 2 Months, 21 Days | 1.2</t>
  </si>
  <si>
    <t>Aparna Constructions and Estates | QS &amp; Billng  | Puppalaguda, Hyderabad | May 2023 | Jul 2023 | 7 Weeks | Campus Internship</t>
  </si>
  <si>
    <t>p2270378</t>
  </si>
  <si>
    <t>KRISHNARAJSINH</t>
  </si>
  <si>
    <t>JADEJA</t>
  </si>
  <si>
    <t>Krishnarajsinh Jadeja</t>
  </si>
  <si>
    <t>krishnarajsinhjadeja99@gmail.com</t>
  </si>
  <si>
    <t>p2270378@student.nicmar.ac.in</t>
  </si>
  <si>
    <t>09-Jan-2001</t>
  </si>
  <si>
    <t>Football,Music</t>
  </si>
  <si>
    <t>3849 3956 5683</t>
  </si>
  <si>
    <t>GHANSHYAMSINH JADEJA</t>
  </si>
  <si>
    <t>PRAFULLABA JADEJA</t>
  </si>
  <si>
    <t>D-13, DEENDAYAL PORT COLONY, GOPALPURI, GANDHIDHAM, KUTCH, GUJARAT</t>
  </si>
  <si>
    <t>G H PATEL COLLEGE OF ENGINEERING AND TECHNOLOGY, VALLABH VIDYANAGAR</t>
  </si>
  <si>
    <t>Godrej Properties | Operations  | Pune | May 2023 | Jul 2023 | 7 Weeks | Campus Internship
DEENDAYAL PORT AUTHORITY | Site Execution | KANDLA | Jan 2022 | Apr 2022 | 12 Weeks</t>
  </si>
  <si>
    <t>p2270406</t>
  </si>
  <si>
    <t>SANGAMNATH</t>
  </si>
  <si>
    <t>BAGALKOTI</t>
  </si>
  <si>
    <t>Rahul Sangamnath Bagalkoti</t>
  </si>
  <si>
    <t>bagalkotirahul@gmail.com</t>
  </si>
  <si>
    <t>p2270406@student.nicmar.ac.in</t>
  </si>
  <si>
    <t>Photography,Trekking,To play Hockey &amp; Football,Listening Music</t>
  </si>
  <si>
    <t>3272 9841 2591</t>
  </si>
  <si>
    <t>ROOPA</t>
  </si>
  <si>
    <t>186, Guruwar Peth, Opp. To Milan Medical</t>
  </si>
  <si>
    <t>SAINT JOSEPH HIGH SCHOOL, SOLAPUR</t>
  </si>
  <si>
    <t>S.E.S POLYTECHNIC, SOLAPUR, MAHARASHTRA</t>
  </si>
  <si>
    <t>D.Y.PATIL, COLLEGE OF ENGINEERING, AKURDI, PUNE</t>
  </si>
  <si>
    <t>AutoCAD,MS Office,MS Project,Primavera,STAAD PRO,Revit,Naviswork,Candy,Advanced Excel</t>
  </si>
  <si>
    <t>Dynamix Group | Project Planning and Coordination | Goregaon East, Mumbai | May 2023 | Jul 2023 | 7 Weeks | Campus Internship</t>
  </si>
  <si>
    <t>p2270481</t>
  </si>
  <si>
    <t>Dhanush B S</t>
  </si>
  <si>
    <t>dlsdhanu21131@gmail.com</t>
  </si>
  <si>
    <t>p2270481@student.nicmar.ac.in</t>
  </si>
  <si>
    <t>Kannada , English , Telugu , Hindi</t>
  </si>
  <si>
    <t>Riding,Swimming,Wrestling,Kabbadi,Badminton,Acting</t>
  </si>
  <si>
    <t>8696 8838 4723</t>
  </si>
  <si>
    <t>LATE K A SURESH</t>
  </si>
  <si>
    <t>LALITHA S</t>
  </si>
  <si>
    <t>PRIVATE FIRM - TYPIST</t>
  </si>
  <si>
    <t>No 10 15 Cross 1 Main Maruthinagar Yelahanka Bangalore 560064</t>
  </si>
  <si>
    <t>VINAYAKA HIGH SCHOOL</t>
  </si>
  <si>
    <t>NAGARJUNA PU COLLEGE</t>
  </si>
  <si>
    <t>VISHVESHWARAYA TECHNICAL UNIVERSITY</t>
  </si>
  <si>
    <t>NITTE MEENAKSHI INSTITUTE OF TECHNOLOGY</t>
  </si>
  <si>
    <t>AutoCAD,MS Office,MS Project,Primavera,Open Roads,Revit,Candy,Staad Pro,iTwo Costx,Power Bi</t>
  </si>
  <si>
    <t>VESTIAN GLOBAL | Project Coordinator | BANGALORE | May 2023 | Jul 2023 | 7 Weeks | Campus Internship
IPMC TECHNOLOGY | TRAINEE | BANGALORE  | Aug 2020 | Aug 2020 | 1 Weeks
Akira architecture and interiors | Execution and Management  | Bangalore  | Apr 2022 | Aug 2022 | 17 Weeks</t>
  </si>
  <si>
    <t>PRAFUL</t>
  </si>
  <si>
    <t>BHURE</t>
  </si>
  <si>
    <t>Vedant Praful Bhure</t>
  </si>
  <si>
    <t>bhurevedant412@gmail.com</t>
  </si>
  <si>
    <t>p2270268@student.nicmar.ac.in</t>
  </si>
  <si>
    <t>04-Dec-1998</t>
  </si>
  <si>
    <t>5388 5595 2359</t>
  </si>
  <si>
    <t>PRAFUL BHURE</t>
  </si>
  <si>
    <t>VAISHALI BHURE</t>
  </si>
  <si>
    <t>Zilla Parishad Colony Bhandara</t>
  </si>
  <si>
    <t>N J PATEL JUNIOR COLLEGE</t>
  </si>
  <si>
    <t>RAJARSHI SHAHU COLLEGE OF ENGINEERING TATHAVDE</t>
  </si>
  <si>
    <t>p2270535</t>
  </si>
  <si>
    <t>SITARAM</t>
  </si>
  <si>
    <t>Prachi Sitaram Shirsat</t>
  </si>
  <si>
    <t>prachishirsat92@gmail.com</t>
  </si>
  <si>
    <t>p2270535@student.nicmar.ac.in</t>
  </si>
  <si>
    <t>28-Oct-1993</t>
  </si>
  <si>
    <t>English, Mararthi, Hindi</t>
  </si>
  <si>
    <t>Playing Sports,Listening Music,Gardening</t>
  </si>
  <si>
    <t>7223 2251 8958</t>
  </si>
  <si>
    <t>PRAJKTA</t>
  </si>
  <si>
    <t>B-2 TYPE APARTMENTS LANE NO-05 ROOM NO-13 SECTOR-15 VASHI NAVI MUMBAI</t>
  </si>
  <si>
    <t>ST. MARY"S MULTIPURPOSE HIGH SCHOOL</t>
  </si>
  <si>
    <t>MODERN COLLEGE, VASHI</t>
  </si>
  <si>
    <t>FR. AGNEL POLYTECHNIC, VASHI NAVI MUMBAI</t>
  </si>
  <si>
    <t>SARASWATI COLLEGE OF ENGINEERING, KHARGHAR, NAVI MUMBAI</t>
  </si>
  <si>
    <t>AutoCAD,MS Office,MS Project,Primavera,BIM,STAAD-Pro,ZOHO Books</t>
  </si>
  <si>
    <t>E.V HOMES | PROJECT ENGINEER (Execution &amp; Planning) | VASHI NAVI MUMBAI | Nov 2019 | Aug 2022 | 2 Years, 9 Months, 3 Days | 2.64</t>
  </si>
  <si>
    <t>HILTI INDIA PVT LTD | Sales Intern | Gurgaon | May 2023 | Jul 2023 | 7 Weeks | Campus Internship
SAIKRIPA DEVELOPERS | Trainee Engineer | GHANSOLI NAVI MUMBAI | Jun 2013 | Oct 2013 | 19 Weeks
LARSEN AND TOUBRO LIMITED | Trainee Engineer | SEAWOODS NAVI MUMBAI | Dec 2014 | Apr 2015 | 19 Weeks
NCC LIMITED | Trainee Engineer | ANDHERI MUMBAI | Jun 2017 | Jul 2017 | 2 Weeks</t>
  </si>
  <si>
    <t>MBA-NBS</t>
  </si>
  <si>
    <t>P24703012</t>
  </si>
  <si>
    <t>DIWAKAR</t>
  </si>
  <si>
    <t>KHOBRAGADE</t>
  </si>
  <si>
    <t>Piyush Diwakar Khobragade</t>
  </si>
  <si>
    <t>pkhobragade640@gmail.com</t>
  </si>
  <si>
    <t>p24703012@student.nicmar.ac.in</t>
  </si>
  <si>
    <t>NEWS,GEOPOLITICS,CURRENT AFFAIRS</t>
  </si>
  <si>
    <t>3785 0191 6230</t>
  </si>
  <si>
    <t>DIWAKAR KHOBRAGADE</t>
  </si>
  <si>
    <t>RETIRED GOVT OFFICER</t>
  </si>
  <si>
    <t>JAYA KHOBRAGADE</t>
  </si>
  <si>
    <t>GANESH NAGAR, ARJUNI MORGAON</t>
  </si>
  <si>
    <t>MAITREYA, NEAR GOLD CINEMA</t>
  </si>
  <si>
    <t>MANOHARBHAI PATEL MILITARY SCHOOL, GONDIA</t>
  </si>
  <si>
    <t>MAHARASHTRA STATE BOARD OF SECONDARY AND HIGHER SECONDARY EDUCATION, GONDIA, MAHARASHTRA</t>
  </si>
  <si>
    <t>ST. PAUL SCIENCE &amp; COMMERCE JUNIOR COLLEGE, NAGPUR</t>
  </si>
  <si>
    <t>NATWARLAL MANIKLAL DALAL COLLEGE, GONDIA, MAHARASHTRA</t>
  </si>
  <si>
    <t>Ms-office</t>
  </si>
  <si>
    <t>BSE INDIA (BOMBAY STOCK EXCHANGE) | FINANCE, OPERATIONS AND DATABASE INTERN | MUMBAI | May 2025 | Jul 2025 | 7 Weeks</t>
  </si>
  <si>
    <t>P24703014</t>
  </si>
  <si>
    <t>PISHE</t>
  </si>
  <si>
    <t>Pishe Prathmesh Prakash</t>
  </si>
  <si>
    <t>p24703014@student.nicmar.ac.in</t>
  </si>
  <si>
    <t>10-Dec-2001</t>
  </si>
  <si>
    <t>6343 2619 8101</t>
  </si>
  <si>
    <t>723/1/12A, Alipur Road, Near Nene Nursing Home, Barshi, Solapur, Maharatshtra.413411</t>
  </si>
  <si>
    <t>SULAKHE HIGHSCHOOL , BARSHI</t>
  </si>
  <si>
    <t xml:space="preserve"> MAHARASHTRA STATE BOARD OF SECONDARY AND HIGHER SECONDARY EDUCATION, PUNE</t>
  </si>
  <si>
    <t>RAJARSHI SHAHU MAHAVIDYALAYA, LATUR</t>
  </si>
  <si>
    <t>MODERN COLLEGE OF ARTS, COMMERCE AND SCIENCE, GANESHKHIND, PUNE.</t>
  </si>
  <si>
    <t>Ms Office</t>
  </si>
  <si>
    <t>BANK OF MAHARASHTRA | BANKING AND OPERATIONS | PUNE | May 2025 | Jul 2025 | 8 Weeks</t>
  </si>
  <si>
    <t>Google Ads Free Course 2022
Company Secretary Executive Pre-Exam ( Module 2)
Company Secretary Entrance Exam
Coursera Human Resource Analytics
NISM - Security Markets Foundation Certification</t>
  </si>
  <si>
    <t>P24703017</t>
  </si>
  <si>
    <t>AGIRISETTI</t>
  </si>
  <si>
    <t>Karthik Kumar Agirisetti</t>
  </si>
  <si>
    <t>p24703017@student.nicmar.ac.in</t>
  </si>
  <si>
    <t>10-Jul-2000</t>
  </si>
  <si>
    <t>Hindi, English,Telugu</t>
  </si>
  <si>
    <t>3804 6286 7941</t>
  </si>
  <si>
    <t>AGIRISETTI RAJESHWAR</t>
  </si>
  <si>
    <t>REAL ESTATE</t>
  </si>
  <si>
    <t>AGIRISETTI ANITHA</t>
  </si>
  <si>
    <t>LADIES TAILOR</t>
  </si>
  <si>
    <t>Plot No 48, New Gayatri Nagar, Jillelguda, K.v. Rangareddy, Telangana</t>
  </si>
  <si>
    <t>SREYAS INSTITUTE OF ENGINEERING AND TECHNOLOGY</t>
  </si>
  <si>
    <t>Revit,3Ds max,Staadpro</t>
  </si>
  <si>
    <t>NCL BUILDTEK LTD | GRADUATE ENGINEER TRAINEE | HYDERABAD | Sep 2023 | Jul 2024 | 0 Years, 9 Months, 16 Days |  2.40</t>
  </si>
  <si>
    <t>NEW CONSOLIDATED CONSTRUCTION CO. LTD. | PLANNING, PROJECT CO-ORDINATION AND SITE EXECUTION | MUMBAI | May 2025 | Jul 2025 | 8 Weeks</t>
  </si>
  <si>
    <t>Master in Civil CADD (Auto CAD, Staadpro, Revit, 3Ds Max, Primavera)
Construction Management Foundations
Microsoft Project in Construction</t>
  </si>
  <si>
    <t>P24703018</t>
  </si>
  <si>
    <t>RUTURAJ</t>
  </si>
  <si>
    <t>TAWARE</t>
  </si>
  <si>
    <t>Ruturaj Anand Taware</t>
  </si>
  <si>
    <t>p24703018@student.nicmar.ac.in</t>
  </si>
  <si>
    <t>25-Dec-2000</t>
  </si>
  <si>
    <t>Marathi, Hindi</t>
  </si>
  <si>
    <t>9573 0280 8982</t>
  </si>
  <si>
    <t>ANAND ANKUSH TAWARE</t>
  </si>
  <si>
    <t>SUJATA ANAND TAWARE</t>
  </si>
  <si>
    <t>Srno 36/2, Tukaram Nagar
Kharadi,Pune-411014</t>
  </si>
  <si>
    <t>STELLA MARIS HIGH SCHOOL</t>
  </si>
  <si>
    <t>SHRI SHIVAJI PREPORATORY MILITARY SCHOOL</t>
  </si>
  <si>
    <t xml:space="preserve">AJEENKYA DY PATIL SCHOOL OF ENGINEERING </t>
  </si>
  <si>
    <t>Auto Cad,Ms Office</t>
  </si>
  <si>
    <t>Eka mobility |  GET : Supply Chain Management | Pune | Dec 2023 | Jun 2024 | 0 Years, 5 Months, 24 Days | 3</t>
  </si>
  <si>
    <t>ECLATE STAFFING SOLUTIONS | SAP INTERN | PUNE | May 2025 | Jul 2025 | 8 Weeks</t>
  </si>
  <si>
    <t>Catia V3
Autocad
SAP MM
KPMG lean six sigma green belt</t>
  </si>
  <si>
    <t>P24703019</t>
  </si>
  <si>
    <t>BAGADE</t>
  </si>
  <si>
    <t>Shubham Vijay Bagade</t>
  </si>
  <si>
    <t>p24703019@student.nicmar.ac.in</t>
  </si>
  <si>
    <t>01-May-1994</t>
  </si>
  <si>
    <t>3502 3096 1305</t>
  </si>
  <si>
    <t>Flat No.206, 2nd Floor, Sumangal Apartment, Niwara Corner, Takli Road, Kopargaon</t>
  </si>
  <si>
    <t xml:space="preserve">MAHARISH VIDYA MANDIR </t>
  </si>
  <si>
    <t>CBSE BET-KOPARGAON AHMEDNAGAR MAHARASHTRA</t>
  </si>
  <si>
    <t xml:space="preserve">SANT J S M MAHARISHI VIDYA MANDIR </t>
  </si>
  <si>
    <t xml:space="preserve">D Y PATIL UNIVERSITY </t>
  </si>
  <si>
    <t>SCHOOL OF HOSPITALITY &amp; TOURISM STUDIES NAVI MUMBAI</t>
  </si>
  <si>
    <t>MS Office,Business Development,Client Relationship Management,Customer Engagement,Sales Coordination,Lead Handling,Negotiation Skills,CRM &amp; Reporting ,Problem Solving,Cross-fuctional Corrdination,Team Leadership</t>
  </si>
  <si>
    <t>Neptune Hospitality &amp; Management Services |  F&amp;B Assistant | Maharashtra, Goa, Gujarat, Rajasthan, New Delhi, Uttar Pradesh, Jammu &amp; Kashmir, Nagaland | Dec 2014 | Dec 2015 | 1 Years, 0 Months, 7 Days | 1.17
Jubilant FoodWorks Limited | Assistant Guest Delight Manager | Mumbai | Jan 2016 | Nov 2016 | 0 Years, 10 Months, 13 Days | 2.29
Soul Konnect Hosptality LLP | Operations Manager | Mumbai | Feb 2017 | Jul 2024 | 7 Years, 4 Months, 24 Days | 4.20</t>
  </si>
  <si>
    <t>111 month(s)</t>
  </si>
  <si>
    <t>Supply Chain Digitization
KPMG Green Belt Lean Six Sigma Certificate
Primary &amp; Secondary Markets &amp; Career in Securities Market
Finlatics Equity Markets Analyst
Business Analyst</t>
  </si>
  <si>
    <t>P24703025</t>
  </si>
  <si>
    <t>JAIDEEP</t>
  </si>
  <si>
    <t>BHASKAR</t>
  </si>
  <si>
    <t>BHAWAR</t>
  </si>
  <si>
    <t>Jaideep Bhaskar Bhawar</t>
  </si>
  <si>
    <t>p24703025@student.nicmar.ac.in</t>
  </si>
  <si>
    <t>9476 4761 0486</t>
  </si>
  <si>
    <t>SUJATA</t>
  </si>
  <si>
    <t>Saideep , Malpaninagar, Ghulewadi, Sangamner</t>
  </si>
  <si>
    <t>DR BHANUDAS G DERE ENGLISH MEDIUM SCHOOL</t>
  </si>
  <si>
    <t>DR BHANUDAS G DERE JUNIOR COLLEGE</t>
  </si>
  <si>
    <t>Ms Office,Ms Project,Advanced Excel (pivot,Lookup,Dashboards,Cost Tracking &amp; Reporting, SAP BW (Basic),Python</t>
  </si>
  <si>
    <t>TENET COMPUTER AND COMMUNICATION PVT.LTD | ASSOCIATE MARKETING INTERN | NAGPUR | May 2022 | Jul 2022 | 8 Weeks
	TECHNOTRAK ENGINEERS | SUPPLYCHAIN INTERN | AHILYANAGAR,MAHARASHTRA | May 2025 | Jul 2025 | 7 Weeks</t>
  </si>
  <si>
    <t>P24703028</t>
  </si>
  <si>
    <t>GONDKAR</t>
  </si>
  <si>
    <t>Shrikant Gondkar</t>
  </si>
  <si>
    <t>p24703028@student.nicmar.ac.in</t>
  </si>
  <si>
    <t>06-Jul-2001</t>
  </si>
  <si>
    <t>6868 4113 2967</t>
  </si>
  <si>
    <t xml:space="preserve">ANNASAHEB </t>
  </si>
  <si>
    <t>Sai Hari Prasad Niwas, Beroba Road,sathbhai Mala,shirdi</t>
  </si>
  <si>
    <t xml:space="preserve">DHRUV ACADEMY </t>
  </si>
  <si>
    <t>CBSE SANGAMNER</t>
  </si>
  <si>
    <t>K.B.ROHMARE JR. COLLEGE OF ARTS, COMMERCE AND SCIENCE</t>
  </si>
  <si>
    <t xml:space="preserve">HSE KOPERGAON </t>
  </si>
  <si>
    <t xml:space="preserve">SYMBIOSIS COLLEGE OF ARTS AND COMMERCE AN AUTONOMUS COLLEGE UNDER SAVITRIBAI PHULE PUNE UNIVERSITY </t>
  </si>
  <si>
    <t>SYMBIOSIS COLLEGE OF ARTS AND COMMERCE</t>
  </si>
  <si>
    <t>Tally ERP,MS Office</t>
  </si>
  <si>
    <t>VED PRASAD AND CO. | Accounts and Audit Assistant | Shirdi, Maharashtra | Sep 2021 | Feb 2022 | 23 Weeks
	Bank of Maharashtra | Banking &amp; Operations | Balewadi | May 2025 | Jul 2025 | 8 Weeks</t>
  </si>
  <si>
    <t>Accounts and Audit Assistant
Investment Banking Virtual Experience
Data Analytics Consulting Virtual Internship
Google Fundamentals Of Digital Marketing
EDUYOUTH MEET
Financial Modeling</t>
  </si>
  <si>
    <t>P24703035</t>
  </si>
  <si>
    <t>Himanshu Yadav</t>
  </si>
  <si>
    <t>p24703035@student.nicmar.ac.in</t>
  </si>
  <si>
    <t>26-Jan-1994</t>
  </si>
  <si>
    <t>2696 0909 7765</t>
  </si>
  <si>
    <t>RAJESH KUMAR</t>
  </si>
  <si>
    <t xml:space="preserve">SHOBHA </t>
  </si>
  <si>
    <t>FLAT NO-504, PAARTH APARTMENT, GH-66, SECTOR-55, GURGAON</t>
  </si>
  <si>
    <t>FLAT NO -B-12, TOWER - 2, TYPE- 5, EAST KIDWAI NAGAR, NEW DELHI</t>
  </si>
  <si>
    <t>2009-Feb</t>
  </si>
  <si>
    <t>2011-Feb</t>
  </si>
  <si>
    <t>DAYAL SINGH COLLEGE, NEW DELHI</t>
  </si>
  <si>
    <t>UNIVERSITY OF DELHI</t>
  </si>
  <si>
    <t>2015-Dec</t>
  </si>
  <si>
    <t>CENTRAL UNIVERSITY OF HARYANA</t>
  </si>
  <si>
    <t>MAHENDERGARH,HARYANA</t>
  </si>
  <si>
    <t>National Institute of Construction Management and Research | Office Assistant | Delhi-NCR and Pune | Sep 2019 | May 2023 | 3 Years, 8 Months, 8 Days | 5.31</t>
  </si>
  <si>
    <t>MARUTI SUZUKI INDIA LIMITED | Management  Intern  (Direct Taxation Department) | GURGAON | May 2025 | Jul 2025 | 10 Weeks</t>
  </si>
  <si>
    <t>Foundations of Digital Marketing and E-commence by Google</t>
  </si>
  <si>
    <t>P24703038</t>
  </si>
  <si>
    <t>SHARDUL</t>
  </si>
  <si>
    <t>KONDE</t>
  </si>
  <si>
    <t>Shardul Konde</t>
  </si>
  <si>
    <t>p24703038@student.nicmar.ac.in</t>
  </si>
  <si>
    <t>3262 9933 5113</t>
  </si>
  <si>
    <t>Plot No. 10 Kadu Layout Panchawati Katol, Nagpur 441302</t>
  </si>
  <si>
    <t>MOUNT CARMEL CONVENT SCHOOL KATOL</t>
  </si>
  <si>
    <t>DHARAMPETH M.P DEO MEMORIAL SCIENCE COLLEGE</t>
  </si>
  <si>
    <t>G.H RAISONI INSTITUTE OF ENGINEERING AND TECHNOLOGY NAGPUR</t>
  </si>
  <si>
    <t xml:space="preserve">	B2B Genie | Product Development Intern | Pune | May 2025 | Jul 2025 | 8 Weeks</t>
  </si>
  <si>
    <t>Financial Analyst | Udemy
The Fundamentals of Digital Marketing | Google</t>
  </si>
  <si>
    <t>P24703042</t>
  </si>
  <si>
    <t>VAISHNAV</t>
  </si>
  <si>
    <t>Kamal Suresh Vaishnav</t>
  </si>
  <si>
    <t>p24703042@student.nicmar.ac.in</t>
  </si>
  <si>
    <t>08-Sep-2001</t>
  </si>
  <si>
    <t>Hindi,English, Marathi,Gujarati</t>
  </si>
  <si>
    <t>8733 7474 1360</t>
  </si>
  <si>
    <t>NIRMALADEVI</t>
  </si>
  <si>
    <t>D/310 SHREE TULSIDHAM CHS LTD, TALAV ROAD CROSS NAVHAR ROAD, BHAYANDER EAST, THANE</t>
  </si>
  <si>
    <t>ST. FRANCIS HIGH SCHOOL</t>
  </si>
  <si>
    <t>S.V.P JR COLLEGE OF SCIENCE AND COMMERCE</t>
  </si>
  <si>
    <t>VIDYAVARDHINI'S COLLEGE OF ENGINEERING AND TECHNOLOGY, VASAI</t>
  </si>
  <si>
    <t>SHREEJI CONSTRUCTION ENGINEERS AND CONTRACTORS | INTERN | PALGHAR | Dec 2021 | Jan 2022 | 5 Weeks
SHREE ASHOKA BUILDCON | INTERN | NALASOPARA, PALGHAR | Aug 2021 | Jan 2022 | 21 Weeks
	Tricity Realty LLP | Purchase Coordinator | Navi Mumbai | May 2025 | Jul 2025 | 8 Weeks</t>
  </si>
  <si>
    <t>Lean Six sigma certification</t>
  </si>
  <si>
    <t>P24703048</t>
  </si>
  <si>
    <t>RAJARSHI</t>
  </si>
  <si>
    <t>MALLICK</t>
  </si>
  <si>
    <t>Rajarshi Mallick</t>
  </si>
  <si>
    <t>p24703048@student.nicmar.ac.in</t>
  </si>
  <si>
    <t>09-Nov-2001</t>
  </si>
  <si>
    <t>6578 9561 4307</t>
  </si>
  <si>
    <t>SAHADEB MALLICK</t>
  </si>
  <si>
    <t>PIYALI MALLICK</t>
  </si>
  <si>
    <t>Vill,po-Khatul
Post - Khatul
District - Hooghly</t>
  </si>
  <si>
    <t>SAMANTA KHANDA H.K ROY HIGH SCHOOL (HS)</t>
  </si>
  <si>
    <t>WEST BENGAL BOARD OF HIGHER SECONDARY EDUCATION</t>
  </si>
  <si>
    <t xml:space="preserve">THE UNIVERSITY OF BURDWAN </t>
  </si>
  <si>
    <t>NETAJI MAHAVIDYALAYA ARAMBAGH</t>
  </si>
  <si>
    <t>MS Office, Ms Project,Power BI,Tableau</t>
  </si>
  <si>
    <t xml:space="preserve">	Vanguard Ventures | Sales Intern (Real Estate &amp; Market Development) | Thane | May 2025 | Jul 2025 | 7 Weeks</t>
  </si>
  <si>
    <t>P24703050</t>
  </si>
  <si>
    <t>KAUTIKRAO</t>
  </si>
  <si>
    <t>Rushikesh Kautikrao Wagh</t>
  </si>
  <si>
    <t>hrishiwagh.17@gmail.com</t>
  </si>
  <si>
    <t>p24703050@student.nicmar.ac.in</t>
  </si>
  <si>
    <t>Football ,Music</t>
  </si>
  <si>
    <t>4654 9453 9962</t>
  </si>
  <si>
    <t>KAUTIK SAYAJIRAO WAGH</t>
  </si>
  <si>
    <t>KAVITA KAUTIKRAO WAGH</t>
  </si>
  <si>
    <t>SOCIAL WORKER</t>
  </si>
  <si>
    <t>Hs No. 5 Prithvi Nagar Satara Parisar
Beed By Pass Auranagabd</t>
  </si>
  <si>
    <t>BHASKARACHARYA VIDYANIKETAN</t>
  </si>
  <si>
    <t xml:space="preserve">MAHARASHTRA STATE BOARD OF SECONDARY AND HIGHER SECONDARY EDUCATION, PUNE </t>
  </si>
  <si>
    <t>DR. R. P. NATH JR. COLLEGE</t>
  </si>
  <si>
    <t>ST. PAUL'S DEGREE AND PG. COLLEGE HYDERABAD</t>
  </si>
  <si>
    <t>MS Office,Data Dashboard(Streamlit.io),Power BI,Project Documetation &amp; Reporting</t>
  </si>
  <si>
    <t>AGRIVIJAY  | PROJECT INTERN | PUNE | May 2025 | Jul 2025 | 7 Weeks</t>
  </si>
  <si>
    <t>P24703052</t>
  </si>
  <si>
    <t>Harsh Pawar</t>
  </si>
  <si>
    <t>harshpawar839@gmail.com</t>
  </si>
  <si>
    <t>p24703052@student.nicmar.ac.in</t>
  </si>
  <si>
    <t>hindi,English,Marathi</t>
  </si>
  <si>
    <t>Reading ,Music</t>
  </si>
  <si>
    <t>9937 7060 2293</t>
  </si>
  <si>
    <t>BAPUSAHEB PAWAR</t>
  </si>
  <si>
    <t>SUNITA PAWAR</t>
  </si>
  <si>
    <t>802, Aman Society, Bhosalenagar, Shivajinagar</t>
  </si>
  <si>
    <t>DHRUV ACADEMY, SANGAMNER</t>
  </si>
  <si>
    <t>MAHATMA PHULE JUNIOR COLLEGE</t>
  </si>
  <si>
    <t>MAHARASHTRA BOARD OF SECONDARY AND HIGHER SECONDARY EDUCATION</t>
  </si>
  <si>
    <t>DR. VISHVANATH KARAD MIT WORLD PEACE UNIVERSITY</t>
  </si>
  <si>
    <t>Tableau,Python,R Studio,Power BI,MS Office ,MS Project</t>
  </si>
  <si>
    <t>AGILE CAPITAL SERVICES | BUSINESS DEVELOPMENT INTERN | NEW DELHI | Oct 2021 | Dec 2021 | 10 Weeks
CUMMINS INDIA (KEP) | Supply Chain &amp; Operations Intern | PUNE | Jun 2025 | Aug 2025 | 8 Weeks</t>
  </si>
  <si>
    <t>P24703055</t>
  </si>
  <si>
    <t>Ankita Singh</t>
  </si>
  <si>
    <t>ankitasingh4764@gmail.com</t>
  </si>
  <si>
    <t>p24703055@student.nicmar.ac.in</t>
  </si>
  <si>
    <t>2204 4405 3563</t>
  </si>
  <si>
    <t xml:space="preserve">SAIDPUR KOTHIA,KURJEE
VIKASH NAGAR,
PS-DIGHA,PATNA,BIHAR,INDIA </t>
  </si>
  <si>
    <t xml:space="preserve">ST. MICHAEL’S HIGH SCHOOL </t>
  </si>
  <si>
    <t xml:space="preserve"> CENTRAL BOARD OF SECONDARY EDUCATION , PATNA, BIHAR</t>
  </si>
  <si>
    <t>ST.MICHAEL’S HIGH SCHOO</t>
  </si>
  <si>
    <t>UNIVERSITY OF CALCUTTA</t>
  </si>
  <si>
    <t xml:space="preserve">SHRI SHIKSHAYATAN COLLEGE </t>
  </si>
  <si>
    <t>NUMERO UNO CLOTHING LIMITED | Human Resources Department  | Paras Trade Centre, 6th Floor, Sector-2, Gwal Pahari, Gurugram Faridabad Toll Road, Gurugram-122003 Haryana (INDIA)  | May 2025 | Jul 2025 | 8 Weeks
BMW  | Account Executive  | Kolkata  | Mar 2021 | Sep 2021 | 27 Weeks</t>
  </si>
  <si>
    <t>P24703056</t>
  </si>
  <si>
    <t>TANISHQ</t>
  </si>
  <si>
    <t>DURAPHE</t>
  </si>
  <si>
    <t>Tanishq Duraphe</t>
  </si>
  <si>
    <t>duraphet@gmail.com</t>
  </si>
  <si>
    <t>p24703056@student.nicmar.ac.in</t>
  </si>
  <si>
    <t>9869 8354 6001</t>
  </si>
  <si>
    <t>NITIN DURAPHE</t>
  </si>
  <si>
    <t>PREETI DURAPHE</t>
  </si>
  <si>
    <t>Kotputli Ultratech Cement Works, A-1</t>
  </si>
  <si>
    <t>THE LOVEDALE SCHOOL, SATNA</t>
  </si>
  <si>
    <t xml:space="preserve">CENTRAL BOARD OF EDUCATION, SATNA, MADHYA PRADESH </t>
  </si>
  <si>
    <t xml:space="preserve">G.D GOENKA PUBLIC SCHOOL, </t>
  </si>
  <si>
    <t>CENTRAL BOARD OF EDUCATION, GREATER NOIDA, UTTAR PRADES</t>
  </si>
  <si>
    <t>NOIDA INTERNATIONAL UNIVERSITY</t>
  </si>
  <si>
    <t>NOIDA INTERNATIONAL UNIVERSITY, NOIDA, UTTAR PRADESH</t>
  </si>
  <si>
    <t>Adobe Premier pro,FI Studio,Canva,Content creation,Brand Logo Designing</t>
  </si>
  <si>
    <t>ULTRATECH CEMENT | TRAINEE IN HR MANAGEMENT | KOTPUTLI | Mar 2024 | May 2024 | 8 Weeks
ULTRATECH CEMENT | INTERN | ULTRATECH CEMENT LIMITED, NYATI EMPRESS, VIMAN NAGAR PUNE, MAHARASHTRA | May 2025 | Jul 2025 | 8 Weeks</t>
  </si>
  <si>
    <t>P24703057</t>
  </si>
  <si>
    <t>AMAL</t>
  </si>
  <si>
    <t>SREEVALSAN</t>
  </si>
  <si>
    <t>Amal Sreevalsan</t>
  </si>
  <si>
    <t>p24703057@student.nicmar.ac.in</t>
  </si>
  <si>
    <t>Engli,Hindi ,Malayalam</t>
  </si>
  <si>
    <t>Playing Footbal ,Gym,Cooking</t>
  </si>
  <si>
    <t>7988 2969 6681</t>
  </si>
  <si>
    <t xml:space="preserve">SREEVALSAN TE </t>
  </si>
  <si>
    <t>EX MILITARY</t>
  </si>
  <si>
    <t xml:space="preserve">SUMANGALA NCR </t>
  </si>
  <si>
    <t>'Sreevalsam' Mocheri,Mavilayi P.o Mundalur,Kannur,Kerala</t>
  </si>
  <si>
    <t>LAKSHMI GANAPATI PG,PATIL WASTI,PATIL NAGAR,BELEWADI,PUNE,MAHARASHTRA</t>
  </si>
  <si>
    <t xml:space="preserve">ARMY PUBLIC SCHOOL </t>
  </si>
  <si>
    <t>MANGALORE UNIVERSITY</t>
  </si>
  <si>
    <t>SHRI DHARMASTHALA MANJUNATHESHWARA COLLEGE OF BUSINESS MANAGEMENT, MANGALURU, KARNATAKA</t>
  </si>
  <si>
    <t>Power BI ,MS Office</t>
  </si>
  <si>
    <t>B2B GENIE PVT LTD | Business Development &amp; Market Research Inte | PUNE | May 2025 | Jul 2025 | 8 Weeks</t>
  </si>
  <si>
    <t>P24703060</t>
  </si>
  <si>
    <t>TEJRAO</t>
  </si>
  <si>
    <t>Mohit Tejrao Kadam</t>
  </si>
  <si>
    <t>p24703060@student.nicmar.ac.in</t>
  </si>
  <si>
    <t>Playing Harmonium</t>
  </si>
  <si>
    <t>2272 8900 0940</t>
  </si>
  <si>
    <t>RUKHMINI</t>
  </si>
  <si>
    <t>101, D Wing, Chaitanya Villa, Warulwadi, Narayangaon</t>
  </si>
  <si>
    <t>G. R. P. SABNIS VIDYAMANDIR, NARAYANGAON</t>
  </si>
  <si>
    <t>SSC BOARD</t>
  </si>
  <si>
    <t>G. R. P. SABNIS JUNIOR COLLEGE, NARAYANGA</t>
  </si>
  <si>
    <t>HSC BOARD</t>
  </si>
  <si>
    <t>MAHATMA PHULE AGRICULTURE UNIVERSITY, RAHURI</t>
  </si>
  <si>
    <t>DR. D. Y. PATIL COLLEGE OF AGRI BUSINESS MANAGEMEN</t>
  </si>
  <si>
    <t>Ms Office Suite(Advanced Excel/word/power Point),Power Bi,MySQL,Market Reasearch,Lead Generation</t>
  </si>
  <si>
    <t>SYNGENTA FOUNDATION INDIA | Field Research and Stakeholder Collaboration  | PUNE | May 2025 | Jul 2025 | 8 Weeks</t>
  </si>
  <si>
    <t>P24703045</t>
  </si>
  <si>
    <t>Piyush Pandey</t>
  </si>
  <si>
    <t>piyushpandey2255@gmail.com</t>
  </si>
  <si>
    <t>p24703045@student.nicmar.ac.in</t>
  </si>
  <si>
    <t>24-Feb-2003</t>
  </si>
  <si>
    <t>hindi,English</t>
  </si>
  <si>
    <t>9877 8516 8097</t>
  </si>
  <si>
    <t>DEEPAK PANDEY</t>
  </si>
  <si>
    <t>ARTI PANDEY</t>
  </si>
  <si>
    <t>P-33 Rishipuram, Phase-2 BDA Road Khajuri Kalan Huzur, Awadhpuri</t>
  </si>
  <si>
    <t xml:space="preserve">FLAT NO. 402, FLOOR NO. 4TH FLOOR, TARANGAN BUILDING, MAHALUNGE </t>
  </si>
  <si>
    <t>ST.PAULCO-ED SCHOOL ANAND NAGAR BHOPAL M.P.</t>
  </si>
  <si>
    <t>ST. PAULCO-ED SCHOOL ANAND NAGAR BHOPAL M.P.</t>
  </si>
  <si>
    <t>DEVI AHILYA VISHWAVIDYALAYA, INDORE</t>
  </si>
  <si>
    <t>SHRI VAISHNAV INSTITUTE OF MANAGEMENT, INDORE</t>
  </si>
  <si>
    <t>MS office,Tally ERP 9,canva</t>
  </si>
  <si>
    <t>VIRASHA INFRASTRUCTURES | Management Trainee | BHOPAL | Jun 2024 | Jul 2024 | 0 Years, 0 Months, 29 Days
MAGESTIC REALTIES | SALES | KOTHRUD, PUNE  | May 2025 | Jul 2025 | 0 Years, 1 Months, 24 Days</t>
  </si>
  <si>
    <t>P24703072</t>
  </si>
  <si>
    <t>SHIVLAL</t>
  </si>
  <si>
    <t>Sakshi Shivlal Agrawal</t>
  </si>
  <si>
    <t>sakshiagrawal1916@gmail.com</t>
  </si>
  <si>
    <t>p24703072@student.nicmar.ac.in</t>
  </si>
  <si>
    <t>English,Hindi ,MARATHI</t>
  </si>
  <si>
    <t>Reading,music</t>
  </si>
  <si>
    <t>2602 4521 4351</t>
  </si>
  <si>
    <t>Bharadi,TQ.sillod ,dist.sambhajinagar ,431113</t>
  </si>
  <si>
    <t>S.B.HIGH SCHOOL BHARADI,TQ.SILLOD,DIST.SAMBHAJINAGAR</t>
  </si>
  <si>
    <t xml:space="preserve">MAHARASHTRA </t>
  </si>
  <si>
    <t xml:space="preserve">SBES COLLEGE OF ARTS AND COMMERCE </t>
  </si>
  <si>
    <t xml:space="preserve">MMCC COLLEGE OF PUNE, MAHARASHTRA </t>
  </si>
  <si>
    <t>Ms- office ,canva ,tally</t>
  </si>
  <si>
    <t>AGRIVIJAY | MARKETING | PUNE | May 2025 | Jul 2025 | 7 Weeks
ROHAN BADALE &amp; ASSOCIATES | FINANCE | SILLOD | Nov 2022 | Dec 2022 | 8 Weeks</t>
  </si>
  <si>
    <t>M-PLAN</t>
  </si>
  <si>
    <t>P24704005</t>
  </si>
  <si>
    <t>JISKAR</t>
  </si>
  <si>
    <t>Jiskar Rutuja Prabhakar</t>
  </si>
  <si>
    <t>p24704005@student.nicmar.ac.in</t>
  </si>
  <si>
    <t>9585 8935 9614</t>
  </si>
  <si>
    <t>Shrivihar Colony New Rathi Nagar, Dhamangaon Rly</t>
  </si>
  <si>
    <t>SETH FATTELAL LABHCHAND HIGH SCHOOL AND JUNIOR COLLEGE</t>
  </si>
  <si>
    <t xml:space="preserve">SMT. MANORAMABAI MUNDALE COLLEGE OF ARCHITECTURE, NAGPUR </t>
  </si>
  <si>
    <t>AutoCAD,MS Office,Sketchup,Lumion,Revit,Photoshop</t>
  </si>
  <si>
    <t xml:space="preserve">	Vka architecture | Architecture | Pune | Feb 2022 | Oct 2022 | 37 Weeks
	DIRECTORATE OF TOWN PLANNING &amp; VALUATION, MAHARASHTRA STATE | Planning Intern | PUNE | May 2025 | Jul 2025 | 9 Weeks</t>
  </si>
  <si>
    <t>UI/UX Certification
Sketchup , Vray, Lumion
Photoshop , Revit
Studying Cities: Social Science Methods for Urban Research
Sustainable Regional Principles, Planning and Transportation
AI and Disaster Management</t>
  </si>
  <si>
    <t>P24704008</t>
  </si>
  <si>
    <t>AKSHATA</t>
  </si>
  <si>
    <t>PIRAJI</t>
  </si>
  <si>
    <t>FARAKATE</t>
  </si>
  <si>
    <t>Akshata Piraji Farakate</t>
  </si>
  <si>
    <t>p24704008@student.nicmar.ac.in</t>
  </si>
  <si>
    <t>4134 4732 5438</t>
  </si>
  <si>
    <t>PSI (MUMBAI POLICE)</t>
  </si>
  <si>
    <t>SMITA</t>
  </si>
  <si>
    <t>Room No-401, A1(Yogesh), Shree Ganesh Chs, Plot No-1, Sector-28, Nerul (West), Navi Mumbai-400706</t>
  </si>
  <si>
    <t>ST. AUGUSTINE'S HIGH SCHOOL</t>
  </si>
  <si>
    <t>S.S. HIGH SCHOOL AND JUNIOR COLLEGE</t>
  </si>
  <si>
    <t>SYMBIOSIS SKILLS AND PROFESSIONAL UNIVERSITY, PUNE</t>
  </si>
  <si>
    <t>AutoCAD,Ms Office, SketchUP, Photoshop, Lumion, Canva, ArcGIS</t>
  </si>
  <si>
    <t>AVINASH NAIK AND ASSOCIATES | ARCHITECT INTERN | KOLHAPUR | Aug 2021 | Dec 2021 | 20 Weeks
PUNE METROPOLITAN REGION DEVELOPMENT AUTHORITY (PMRDA) | URBAN PLANNING INTERN | PIMPRI CHINCHWAD | May 2025 | Jul 2025 | 8 Weeks
Archatelie India Pvt. Ltd. | Architectural Designer | Mumbai | Feb 2023 | Sep 2023 | 29 Weeks
	Mauli Infrastructure | Architectural Designer &amp; Project Coordinator | Navi Mumbai | Jun 2022 | Jun 2023 | 55 Weeks</t>
  </si>
  <si>
    <t>Yoga and Positive Psychology for Managing Career and Life
Studying Cities: Social Science Methods for Urban Research
AI and Disaster Management
Sustainable Regional Principles, Planning and Transportation</t>
  </si>
  <si>
    <t>P24704013</t>
  </si>
  <si>
    <t>VIRESH</t>
  </si>
  <si>
    <t>Viresh Haresh Koli</t>
  </si>
  <si>
    <t>p24704013@student.nicmar.ac.in</t>
  </si>
  <si>
    <t>7186 1738 5801</t>
  </si>
  <si>
    <t>HARESH KOLI</t>
  </si>
  <si>
    <t>JANKI KOLI</t>
  </si>
  <si>
    <t>S/O: Haresh Koli, House No-50-1, Mora Road,
 Near I.N.S Tunir, Uran, Boripakhadi, PO:
 Uran, DIST: Raigarh, 
Maharashtra - 400702</t>
  </si>
  <si>
    <t>ROOM NO. 21, OM CHS, RAM NAGAR COLONY, BAVDHAN, 411021</t>
  </si>
  <si>
    <t>CENTRAL BORAD OF SECONDARY EDUCATION</t>
  </si>
  <si>
    <t>BHARATI VIDYAPEETH PRASHALA AND JUNIOR COLLEGE</t>
  </si>
  <si>
    <t>HSC MAHARASHTRA BOARD</t>
  </si>
  <si>
    <t>VISHWANIKETAN'S INSTITUTE OF MANAGEMENT ENTREPRENEURSHIP AND ENGINEERING TECHNOLOGY</t>
  </si>
  <si>
    <t>AutoCAD, MS Office, Revit, QGIS</t>
  </si>
  <si>
    <t>L&amp;T Construction- Building &amp; Factories IC. | Site Engineer - Civil Execution | Navi Mumbai  | Jan 2023 | May 2024 | 1 Years, 3 Months, 22 Days | 3.12</t>
  </si>
  <si>
    <t>VAIBHAV CONSTRUCTION | INTERN | NAVI MUMBAI | Sep 2022 | Jan 2023 | 18 Weeks
CIDCO (CITY AND INDUSTRIAL DEVELOPMENT CORPORATION OF MAHARASHTRA) | CITY PLANNING INTERN | NAVI MUMBAI | May 2025 | Jul 2025 | 8 Weeks</t>
  </si>
  <si>
    <t>Sustainable Regional Principles, Planning and Transportation
Studying Cities: Social Science Methods for Urban Research
AI and Disaster Management
Revit
AutoCAD</t>
  </si>
  <si>
    <t>P24704015</t>
  </si>
  <si>
    <t>MEKARTA</t>
  </si>
  <si>
    <t>Manasi Vilas Mekarta</t>
  </si>
  <si>
    <t>p24704015@student.nicmar.ac.in</t>
  </si>
  <si>
    <t>P24704017</t>
  </si>
  <si>
    <t>BAPUSAHEB</t>
  </si>
  <si>
    <t>DAGADE</t>
  </si>
  <si>
    <t>Prasad Bapusaheb Dagade</t>
  </si>
  <si>
    <t>prasaddagade2002@gmail.com</t>
  </si>
  <si>
    <t>p24704017@student.nicmar.ac.in</t>
  </si>
  <si>
    <t>3802 8242 0120</t>
  </si>
  <si>
    <t>4/30, Vitthal Rakhumai Housing Soceity,Hingane Khurd Aapte Colony, Modern Sweet Lane, Sinhgad Road Pune-51</t>
  </si>
  <si>
    <t>SILVER CREST HIGH SCHOOL</t>
  </si>
  <si>
    <t>GOVERNMENT POLYTENHNIC,PUNE</t>
  </si>
  <si>
    <t>SAVITRIBAI PULE PUNE UNIVERSITY</t>
  </si>
  <si>
    <t>RMD SINHGAD TECHICAL INSTITUTE CAMPUS,WARJE</t>
  </si>
  <si>
    <t>Qgis,ArcGISPro,Canva,BIM/Revit</t>
  </si>
  <si>
    <t>Pune Municipal Corporation. | Urban Planner | Pune | May 2025 | Jul 2025 | 8 Weeks</t>
  </si>
  <si>
    <t>P24704024</t>
  </si>
  <si>
    <t>SREE</t>
  </si>
  <si>
    <t>AKULA</t>
  </si>
  <si>
    <t>Navya Sree Akula</t>
  </si>
  <si>
    <t>p24704024@student.nicmar.ac.in</t>
  </si>
  <si>
    <t>VIDYA VANI HIGH SCHOOL</t>
  </si>
  <si>
    <t>INSTITUTE OF AERONAUTICAL ENGINEERING, DUNDIGAL, HYDERABAD</t>
  </si>
  <si>
    <t>Sketchup ,QGIS,Revit</t>
  </si>
  <si>
    <t>CENTRAL WATER COMMISSION | INTERN | HYDERABAD | Feb 2023 | Mar 2023 | 6 Weeks
NESTUP SPACE PVT LTD | DESIGNER | HYDERABAD | Apr 2024 | Jun 2024 | 12 Weeks
National Institute of Urban Management (NIUM)  | INTERN | HYDERABAD | May 2025 | Jul 2025 | 7 Weeks</t>
  </si>
  <si>
    <t>P24704028</t>
  </si>
  <si>
    <t>Varsha Shetty S</t>
  </si>
  <si>
    <t>varshashetty32@gmail.com</t>
  </si>
  <si>
    <t>p24704028@student.nicmar.ac.in</t>
  </si>
  <si>
    <t>Kannada,Hindi,English</t>
  </si>
  <si>
    <t>Painting &amp; sketching,Crochet,Watching TV shows &amp; Movies,Listening Music &amp; Podcast,Baking</t>
  </si>
  <si>
    <t>5945 7243 0676</t>
  </si>
  <si>
    <t>SURESH M</t>
  </si>
  <si>
    <t>779/780 13th CROSS 23RD MAIN 2ND PHASE JP NAGAR BANAGLORE 560078</t>
  </si>
  <si>
    <t>BETHANY HIGH SCHOOL</t>
  </si>
  <si>
    <t>NEHRU SMARKA VIDYALAYA</t>
  </si>
  <si>
    <t>Sketchup,Enscape,Limion,Rhino,Grasshopper,QGIS,ARC GIS,ARC MAP,SPSS,Mendeley</t>
  </si>
  <si>
    <t>STUDIO 69  | INTERN  | JAYNAGAR BANAGLORE | Aug 2022 | Dec 2022 | 16 Weeks
TECH COMM URBAN MANAGEMENT AND CONSULTANCY  | INTERN  | PUNE  | May 2025 | Jul 2025 | 8 Weeks</t>
  </si>
  <si>
    <t>P24704030</t>
  </si>
  <si>
    <t>Sumathi</t>
  </si>
  <si>
    <t>Aishwarya Sumathi</t>
  </si>
  <si>
    <t>28aishwaryas@gmail.com</t>
  </si>
  <si>
    <t>p24704030@student.nicmar.ac.in</t>
  </si>
  <si>
    <t>Cooking,Music,Watching Shows</t>
  </si>
  <si>
    <t>8063 3372 2013</t>
  </si>
  <si>
    <t>SUMATHI</t>
  </si>
  <si>
    <t>81, "Sathya's Mansion", 1st A Cross, 2nd B Main, Classic Pleasant Villa Layout, Kembattahalli, JP Nagar 8th Phase, Bangalore - 560083</t>
  </si>
  <si>
    <t>THE OXFORD ENGLISH SCHOOL</t>
  </si>
  <si>
    <t>ICSE BOARD, BANGALORE URBAN</t>
  </si>
  <si>
    <t>BANGALORE INTERNATIONAL ACADEMY</t>
  </si>
  <si>
    <t>CBSE BOARD, BANGALORE URBAN</t>
  </si>
  <si>
    <t>VISHVESVARAYA TECHNOLOGICAL UNIVERSITY</t>
  </si>
  <si>
    <t>RNS SCHOOL OF ARCHITECTURE, BANGALORE URBAN</t>
  </si>
  <si>
    <t>SketchUP,Photoshop,QGIS,Mendeley,VosViewer,InfraNodus,SPSS,ArcMAp</t>
  </si>
  <si>
    <t>Siddhi Architects and Interior Designers  | Architectural Intern | Yelachenahalli, Bangalore  | Aug 2022 | Dec 2022 | 18 Weeks
TECHCOMM URBAN MANGEMENT CONSULTANTS &amp; SERVICE PROVIDER	 | URBAN PLANNING INTERN | PUNE | May 2025 | Jul 2026 | 60 Weeks</t>
  </si>
  <si>
    <t>P25702005</t>
  </si>
  <si>
    <t>ALOKARANJAN</t>
  </si>
  <si>
    <t>SWAIN</t>
  </si>
  <si>
    <t>Alokaranjan Swain</t>
  </si>
  <si>
    <t>swainalok1001@gmail.com</t>
  </si>
  <si>
    <t>p25702005@student.nicmar.ac.in</t>
  </si>
  <si>
    <t>ENGLISH, HINDI, MARATHI, KONKANI, ODIA</t>
  </si>
  <si>
    <t>7057 5304 1276</t>
  </si>
  <si>
    <t>ASHOK KUMAR SWAIN</t>
  </si>
  <si>
    <t>SARITA KUMARI SWAIN</t>
  </si>
  <si>
    <t>H.No: 1652/1, Deul Waddo, Anjuna, Bardez, Goa</t>
  </si>
  <si>
    <t>ST. MICHAELS CONVENT HIGH SCHOOL</t>
  </si>
  <si>
    <t>DNYANPRASSARAK MANDALâ€™S COLLEGE &amp; RESEARCH CENTRE</t>
  </si>
  <si>
    <t>NATIONAL INSTITUTE OF TECHNOLOGY GOA</t>
  </si>
  <si>
    <t>AutoCAD,MS Office,MS Project,Midas Gen,ArcGIS,Staad Pro,Candy,Quantity Takeoff,Scheduling</t>
  </si>
  <si>
    <t>QSES CONTRACTS &amp; PROJECT MANAGEMENT | Tainee Engineer | Mapusa, Goa, India | Jul 2024 | Jun 2025 | 0 Years, 11 Months, 24 Days | 2.1</t>
  </si>
  <si>
    <t>VARDHMAN AMRANTE Pvt.Ltd. (OSWAL GROUP) | INTERN - PROJECT PLANNING &amp; DEVELOPMENT CELL | Ludhiana, Punjab | May 2026 | Jul 2026 | 9 Weeks | Campus Internship
GOA SHIPYARD LIMITED (MINISTRY OF DEFENCE) | INTERN ENGINEER | VASCO-DA-GAMA, GOA, INDIA | May 2023 | Jul 2023 | 6 Weeks</t>
  </si>
  <si>
    <t>Sustainable Future on Water Resources &amp; Climate Challenges
Concrete Mix Design Training
Diploma in AutoCad
Staad Pro Training
Comprehensive RCC Design using IS 456:2000 (LSM)</t>
  </si>
  <si>
    <t>P25702006</t>
  </si>
  <si>
    <t>Pragati Kumari</t>
  </si>
  <si>
    <t>kpragati0202@gmail.com</t>
  </si>
  <si>
    <t>p25702006@student.nicmar.ac.in</t>
  </si>
  <si>
    <t>02-Feb-1999</t>
  </si>
  <si>
    <t>ENGLISH,HINDI,BENGALI,ORIYA</t>
  </si>
  <si>
    <t>7675 1504 6750</t>
  </si>
  <si>
    <t>GYAN DEO PASWAN</t>
  </si>
  <si>
    <t>PUSHPA PASWAN</t>
  </si>
  <si>
    <t>PSU SERVICE</t>
  </si>
  <si>
    <t>FLAT NO 302 BLOCK J10 SHAPOORJEE_x000D_
NEWTOWN, KOLKATA</t>
  </si>
  <si>
    <t>Singhaul Dih, Ward No 02,Singhaul,Begusarai,Bihar_x000D_</t>
  </si>
  <si>
    <t>PRAGATI KUMARI</t>
  </si>
  <si>
    <t>VIKAS VIDYANIKETAN VISAKHAPATNAM</t>
  </si>
  <si>
    <t>KALINGA INSTITUTE OF INDUSTRIAL TECHNOLOGY, BHUBANESWAR,ODISSA</t>
  </si>
  <si>
    <t>MS Office,MS Project,BSNL - Vocational Training,Cisco Networking Academy - Training,HTML,CSS,JAVASCRIPT</t>
  </si>
  <si>
    <t>Masco Developers  | Business development  | Pune | May 2026 | Jul 2026 | 8 Weeks | Campus Internship</t>
  </si>
  <si>
    <t>MAZENET-HTML.CSS, JavaScript
Cisco Networking Academy - Training
BSNL - Vocational Training</t>
  </si>
  <si>
    <t>P25702007</t>
  </si>
  <si>
    <t>Ritika Gupta</t>
  </si>
  <si>
    <t>gritika4799@gmail.com</t>
  </si>
  <si>
    <t>p25702007@student.nicmar.ac.in</t>
  </si>
  <si>
    <t>04-Jul-1999</t>
  </si>
  <si>
    <t>7356 0728 7586</t>
  </si>
  <si>
    <t>MAHESH KUMAR</t>
  </si>
  <si>
    <t>DOLLY GUPTA</t>
  </si>
  <si>
    <t>Krishna Niwas, Krishna Shiva Indane Service, Shankar Master Lane, Manoharpur, West Singhbhum, Jharkhand - 833104</t>
  </si>
  <si>
    <t>West Singhbhum</t>
  </si>
  <si>
    <t>CARMEL SCHOOL</t>
  </si>
  <si>
    <t>INDIAN CERTIFICATE OF SECONDARY EDUCATION (ICSE), ODISHA</t>
  </si>
  <si>
    <t>INDIAN SCHOOL CERTIFICATE EXAMINATION (ISC), ODISHA</t>
  </si>
  <si>
    <t>NATIONAL INSTITUTE OF TECHNOLOGY, ROURKELA</t>
  </si>
  <si>
    <t>MS Project, Primavera, MS Office (Excel, PowerPoint, Word), Candy, AutoCAD, Revit, SketchUP, Enscape, Lumion, Adobe Photoshop, Adobe Illustrator</t>
  </si>
  <si>
    <t>L&amp;T Construction | Senior Architect | Chennai | Jul 2022 | May 2025 | 2 Years, 10 Months, 18 Days | 6.99</t>
  </si>
  <si>
    <t>Ahluwalia Contracts (India) Limited | Strategic Business Development | Kolkata | May 2026 | Jul 2026 | 8 Weeks | Campus Internship
INFORM ARCHITECTS | INTERN ARCHITECT | BENGALURU | Dec 2020 | May 2021 | 21 Weeks</t>
  </si>
  <si>
    <t>Urban Land Economics and Real Estate Market Dynamics
Corporate Finance
Introduction to Financial Accounting</t>
  </si>
  <si>
    <t>P25702008</t>
  </si>
  <si>
    <t>Shreyas G M</t>
  </si>
  <si>
    <t>shreyasgm@outlook.com</t>
  </si>
  <si>
    <t>p25702008@student.nicmar.ac.in</t>
  </si>
  <si>
    <t>5168 0140 5665</t>
  </si>
  <si>
    <t>MANJUNATHA B G</t>
  </si>
  <si>
    <t>OPERATIONS MANAGER</t>
  </si>
  <si>
    <t>ANURADHA MANJUNATH</t>
  </si>
  <si>
    <t>18, Nidhi, 1st B Main Rd, Near Syn Bank Layout, Tunganagara, Herohalli, Bengaluru - 91</t>
  </si>
  <si>
    <t>SRI MANJUNATHESHWARA CENTRAL SCHOOL</t>
  </si>
  <si>
    <t>CBSE, DHARWAD, KARNATAKA</t>
  </si>
  <si>
    <t>SADHANA PU COLLEGE</t>
  </si>
  <si>
    <t>BANGALORE UNIVERSITY</t>
  </si>
  <si>
    <t>ACHARYA BANGALORE B SCHOOL, BENGALURU, KARNATAKA</t>
  </si>
  <si>
    <t>Bachelor of Business Administration (BBA)</t>
  </si>
  <si>
    <t>Marketing</t>
  </si>
  <si>
    <t>ANAROCK Property Consultants Pvt. Ltd | Strategic Advisory and Valuations | Bengaluru | May 2026 | Jul 2026 | 8 Weeks | Campus Internship</t>
  </si>
  <si>
    <t>CORPORATE FINANCE
HOUSING POLICY AND PLANNING</t>
  </si>
  <si>
    <t>P25702009</t>
  </si>
  <si>
    <t>SAYAJI</t>
  </si>
  <si>
    <t>GHATGE</t>
  </si>
  <si>
    <t>Vedant Sayaji Ghatge</t>
  </si>
  <si>
    <t>ghatgevedant@gmail.com</t>
  </si>
  <si>
    <t>p25702009@student.nicmar.ac.in</t>
  </si>
  <si>
    <t>3774 7494 4097</t>
  </si>
  <si>
    <t>SAYAJI GHATGE</t>
  </si>
  <si>
    <t>RETIRED GOV EMPLOYEE</t>
  </si>
  <si>
    <t>KANCHAN GHATGE</t>
  </si>
  <si>
    <t>1401,suyog CHS, Building No 23, Near Sai Baba Mandir,Tagore Nagar,Vikhroli East, Mumbai 400083</t>
  </si>
  <si>
    <t>DADAR PARSEE YOUTHS ASSEMBLY HIGH SCHOOL</t>
  </si>
  <si>
    <t>HIND SEVA PARISHAD'S  PUBLIC JUNIOR COLLEGE</t>
  </si>
  <si>
    <t>RIZVI COLLEGE OF ENGINEERING  MUMBAI</t>
  </si>
  <si>
    <t>Vardhman Amrante Pvt.Ltd | Project Management intern | Ludhiana,Punjab | May 2026 | Jul 2026 | 9 Weeks | Campus Internship
SHREENATH CONSTRUCTIONS | Site Engineer | Mumbai | Jun 2022 | Jul 2022 | 6 Weeks</t>
  </si>
  <si>
    <t>Oracle Primavera P6 “ Project Setup and Basic Management"
Sustainable urban water system
Introduction to Financial Accounting
Urban Land Economics and Real Estate Market Dynamics
Six sigma Principles</t>
  </si>
  <si>
    <t>P25702010</t>
  </si>
  <si>
    <t>Nair Aryan Madhu</t>
  </si>
  <si>
    <t>nairaryan750@gmail.com</t>
  </si>
  <si>
    <t>p25702010@student.nicmar.ac.in</t>
  </si>
  <si>
    <t>ENGLISH, HINDI, GUJARATI, MALAYALAM</t>
  </si>
  <si>
    <t>4210 5557 3409</t>
  </si>
  <si>
    <t>MADHU NAIR</t>
  </si>
  <si>
    <t>AJITHA NAIR</t>
  </si>
  <si>
    <t>A-37 Swaminarayan Nagar, Opposite Sun Pharma  Research Centre, Sun Pharma Road, Atladra, Vadodara</t>
  </si>
  <si>
    <t>BRIGHT DAY SCHOOL</t>
  </si>
  <si>
    <t>TEJAS VIDYALAYA</t>
  </si>
  <si>
    <t>Commerce</t>
  </si>
  <si>
    <t>MAHARAJA SAYAJIRAO UNIVERSITY OF BARODA</t>
  </si>
  <si>
    <t>Bachelor of Commerce (B.Com.)</t>
  </si>
  <si>
    <t>Bachelor of Commerce</t>
  </si>
  <si>
    <t>Sri Vaarahi Real Assets | Real Estate Advisor | Hyderabad | May 2026 | Jul 2026 | 8 Weeks | Campus Internship</t>
  </si>
  <si>
    <t>P25702012</t>
  </si>
  <si>
    <t>NEOGI</t>
  </si>
  <si>
    <t>Disha Neogi</t>
  </si>
  <si>
    <t>disha.archplan@gmail.com</t>
  </si>
  <si>
    <t>p25702012@student.nicmar.ac.in</t>
  </si>
  <si>
    <t>9141 1948 5072</t>
  </si>
  <si>
    <t>DULAL CHANDRA NEOGI</t>
  </si>
  <si>
    <t>CONSULTANT CIVIL ENGINEER</t>
  </si>
  <si>
    <t>SUSOMA SINGHA NEOGI</t>
  </si>
  <si>
    <t>GOVERNMENT PRIMARY SCHOOL TEACHER</t>
  </si>
  <si>
    <t>FLAT NO. T/6, 3RD FLOOR, BLOCK C, VASUNDHARA PALACE, GOSALA ROAD, BABUPARA, SILIGURI</t>
  </si>
  <si>
    <t>Sukanta Sarani, Nabagram, Siliguri, P.O.- Bhaktinagar</t>
  </si>
  <si>
    <t>Jalpaiguri</t>
  </si>
  <si>
    <t>NIRMALA CONVENT SCHOOL, SILIGURI</t>
  </si>
  <si>
    <t>COUNCIL OF INDIAN SCHOOL CERTIFICATE EXAMINATION, NEW DELHI</t>
  </si>
  <si>
    <t>DELHI PUBLIC SCHOOL, SILIGURI</t>
  </si>
  <si>
    <t>L. S. RAHEJA SCHOOL OF ARCHITECTURE, MUMBAI</t>
  </si>
  <si>
    <t>MS Office, MS Project, Primavera P6, AutoCad, CCS CANDY, Adobe Photoshop, Adobe InDesign, Twinmotion, Enscape, SketchUp</t>
  </si>
  <si>
    <t>Free Lance Consultants | Project Architect | Siliguri, West Bengal | May 2024 | Jun 2025 | 1 Years, 1 Months, 0 Days | 3</t>
  </si>
  <si>
    <t>Cushman &amp; Wakefield India Pvt. Ltd. | Strategic Consulting | Gurgaon, India | May 2026 | Jun 2026 | 7 Weeks | Campus Internship
Patch Design Studio | Architectural Intern | Bandra West, Mumbai | Dec 2022 | Apr 2023 | 19 Weeks</t>
  </si>
  <si>
    <t>Housing Policy &amp; Planning by NPTEL</t>
  </si>
  <si>
    <t>P25702013</t>
  </si>
  <si>
    <t>Prashant Agarwal</t>
  </si>
  <si>
    <t>prashantagarwal569@gmail.com</t>
  </si>
  <si>
    <t>p25702013@student.nicmar.ac.in</t>
  </si>
  <si>
    <t>9968 9094 7339</t>
  </si>
  <si>
    <t>MOHAN LAL AGARWAL</t>
  </si>
  <si>
    <t>SAROJ AGARWAL</t>
  </si>
  <si>
    <t>5-7-231/A Agapura Char - Kan Dil</t>
  </si>
  <si>
    <t>INDIAN INSTITUTE OF MANAGEMENT &amp; COMMERCE</t>
  </si>
  <si>
    <t>Finance</t>
  </si>
  <si>
    <t>MS Office, MS Project, PRIMAVERA</t>
  </si>
  <si>
    <t>Diploma in Spoken English
NSS Camp Volunteer â€“ Survey on Access to Basic Amenities</t>
  </si>
  <si>
    <t>P25702014</t>
  </si>
  <si>
    <t>DADASAHEB</t>
  </si>
  <si>
    <t>THOKAL</t>
  </si>
  <si>
    <t>Ashwini Dadasaheb Thokal</t>
  </si>
  <si>
    <t>ashwinithokal8@gmail.com</t>
  </si>
  <si>
    <t>p25702014@student.nicmar.ac.in</t>
  </si>
  <si>
    <t>Mandala Art,Doodling</t>
  </si>
  <si>
    <t>5794 3469 8052</t>
  </si>
  <si>
    <t>EX-SERVICE MAN ARMY</t>
  </si>
  <si>
    <t>Vaiju Babhulgaon, Ahmednagar</t>
  </si>
  <si>
    <t>KENDRIYA VIDYALAYA TIRUMALAGIRI</t>
  </si>
  <si>
    <t>CBSE, TELANGANA</t>
  </si>
  <si>
    <t>HARYANA OPEN SCHOOL, AMBALA</t>
  </si>
  <si>
    <t>BOARD OF SCHOOL EDUCATION HARYANA</t>
  </si>
  <si>
    <t>PRAVARA RURAL COLLEGE OF ARCHITECTURE, LONI, AHMEDNAGAR, MAHARASHTRA</t>
  </si>
  <si>
    <t>AutoCAD,MS Office,MS Project,Sketchup,Lumion,photoshop,enscape</t>
  </si>
  <si>
    <t>Ciri Planning and Strategic Advisory (CPSA) | Junior Architect | Secunderabad, Telangana | Nov 2024 | Jan 2025 | 0 Years, 2 Months, 12 Days | 1.8</t>
  </si>
  <si>
    <t>Swastik Group | Analyst  | Baner, pune | May 2026 | Jul 2026 | 8 Weeks | Campus Internship
ARCHIETHOS | INTERN | NASHIK | Jul 2023 | Dec 2023 | 21 Weeks</t>
  </si>
  <si>
    <t>P25702015</t>
  </si>
  <si>
    <t>BORE</t>
  </si>
  <si>
    <t>Nilang Sanjay Bore</t>
  </si>
  <si>
    <t>borenilang@gmail.com</t>
  </si>
  <si>
    <t>p25702015@student.nicmar.ac.in</t>
  </si>
  <si>
    <t>4491 0924 8652</t>
  </si>
  <si>
    <t>SANJAY SHANTARAM BORE</t>
  </si>
  <si>
    <t>GOVT. SERVICE (POLICE DEPT.)</t>
  </si>
  <si>
    <t>SMITA SANJAY BORE</t>
  </si>
  <si>
    <t>GOVT. SERVICE (HEALTHCARE DEPT.)</t>
  </si>
  <si>
    <t>A3/1004 - AVON VISTA, PATIL NAGAR, BALEWADI</t>
  </si>
  <si>
    <t>C 301 AISHWARYA ENCLAVE Y R TAWDE ROAD DAHISAR WEST</t>
  </si>
  <si>
    <t>RUSTOMJEE INTERNATIONAL SCHOOL</t>
  </si>
  <si>
    <t>SSC BOARD MAHARASHTRA</t>
  </si>
  <si>
    <t>SHRI T P BHATIA COLLEGE OF SCIENCE</t>
  </si>
  <si>
    <t>SIR J J COLLEGE OF ARCHITECTURE, MUMBAI</t>
  </si>
  <si>
    <t xml:space="preserve">Financial &amp; Investment Analysis (CFA Level I Candidate),Real Estate Feasibility Analysis (Financial Modeling),Zoning &amp; Development Regulation Analysis ,Data-Driven Problem Solving &amp; Structured Reporting,Autocad,MS Office, Primavera, MS Project </t>
  </si>
  <si>
    <t>Somaiya &amp; Associates | Architect | Mumbai | Jun 2024 | May 2025 | 0 Years, 11 Months, 30 Days | 2.64</t>
  </si>
  <si>
    <t>Kalpataru Limited | Business Development Intern | Mumbai | May 2026 | Jul 2026 | 9 Weeks | Campus Internship
SOMAIYA &amp; ASSOCIATES | ARCHITECTURE INTERN | MUMBAI | Dec 2022 | Mar 2023 | 17 Weeks</t>
  </si>
  <si>
    <t>Real Estate Acquisitions 101
Building Information Modeling for Construction Management
The Real Estate Financial Modeling Bootcamp</t>
  </si>
  <si>
    <t>P25702016</t>
  </si>
  <si>
    <t>MIR</t>
  </si>
  <si>
    <t>DILNAWAZ</t>
  </si>
  <si>
    <t>AHSAN</t>
  </si>
  <si>
    <t>Mir Dilnawaz Ahsan</t>
  </si>
  <si>
    <t>nawazahsan575@gmail.com</t>
  </si>
  <si>
    <t>p25702016@student.nicmar.ac.in</t>
  </si>
  <si>
    <t>02-Jun-2003</t>
  </si>
  <si>
    <t>6587 3186 1968</t>
  </si>
  <si>
    <t>LATE. MR. MIR AHSAN UL HASAN</t>
  </si>
  <si>
    <t>ASRA NAVEED</t>
  </si>
  <si>
    <t>H.no -8/67 , Khazi Galli Sarkari Masjid , Chitguppa,Bidar.</t>
  </si>
  <si>
    <t>SHAKUNTALA PATIL RES SCHOOL HUMNABAD</t>
  </si>
  <si>
    <t>CENTRAL BOARD OF SECONDARY EDUCATION ,KARNATAKA</t>
  </si>
  <si>
    <t>SHAHEEN INDP PU COLLEGE</t>
  </si>
  <si>
    <t>GOVERNMENT OF KARNATAKA DEPARTMENT OF PRE EDUCATION UNIVERSITY</t>
  </si>
  <si>
    <t>KHAJA BANDANAWAZ UNIVERSITY</t>
  </si>
  <si>
    <t>KHAJA BANDANAWAZ UNIVERSITY ,KALABURAGI</t>
  </si>
  <si>
    <t>MS Office, MS Project, Primavera P6, @RISK</t>
  </si>
  <si>
    <t>Repplen Projects Private Limited  | Planning-Intern | Alibag,Maharashtra. | May 2026 | Jun 2026 | 8 Weeks | Campus Internship</t>
  </si>
  <si>
    <t xml:space="preserve">ADVANCED CONSTRUCTION MANAGEMENT
IGBC AP-Associate
KPMG LSSGB </t>
  </si>
  <si>
    <t>P25702018</t>
  </si>
  <si>
    <t>ITWARE</t>
  </si>
  <si>
    <t>Om Ganesh Itware</t>
  </si>
  <si>
    <t>omitware650@gmail.com</t>
  </si>
  <si>
    <t>p25702018@student.nicmar.ac.in</t>
  </si>
  <si>
    <t>15-Jan-2003</t>
  </si>
  <si>
    <t>4768 9279 0589</t>
  </si>
  <si>
    <t>RETIRED PRINCIPAL</t>
  </si>
  <si>
    <t>House No.15, Sahyog Colony Karla Road, Wardha- 442001</t>
  </si>
  <si>
    <t>AGRAGAMI CONVENT SCHOOL, MASALA, WARDHA</t>
  </si>
  <si>
    <t>CBSE, WARDHA, MAHARASHTRA</t>
  </si>
  <si>
    <t>CHANKANYA JR. COLLEGE, WARDHA</t>
  </si>
  <si>
    <t>MAHARASHTRA BOARD, WARDHA, MAHARASHTRA</t>
  </si>
  <si>
    <t>DR. BABASAHEB TECHNOLOGICAL UNIVERSITY, LONERE, RAIGAD</t>
  </si>
  <si>
    <t>BAJAJ INSTITUTE OFTECHNOLOGY, WARDHA</t>
  </si>
  <si>
    <t xml:space="preserve"> Asian Paints Limited | Sales Engineering  | Mumbai  | May 2026 | Jul 2026 | 8 Weeks | Campus Internship
Om Shivam Buildcon Pvt. Ltd. | Graduate trainee | Nagpur | Feb 2025 | Jun 2025 | 16 Weeks</t>
  </si>
  <si>
    <t>P25702019</t>
  </si>
  <si>
    <t>SHARVARI</t>
  </si>
  <si>
    <t>Sharvari Kishor Jadhav</t>
  </si>
  <si>
    <t>sharvarikj01@gmail.com</t>
  </si>
  <si>
    <t>p25702019@student.nicmar.ac.in</t>
  </si>
  <si>
    <t>9969 3205 7781</t>
  </si>
  <si>
    <t>PROJECT MANAGER AS A CIVIL ENGINEER</t>
  </si>
  <si>
    <t>A-1406, Kalashree Apartments, Nanded City, Sinhagad Road.</t>
  </si>
  <si>
    <t>VIDYA NIKETAN SCHOOL, DOMBIVILI</t>
  </si>
  <si>
    <t>ROYAL JUNIOR COLLEGE OF SCIENCE AND COMMERCE, DOMBIVLI</t>
  </si>
  <si>
    <t>PILLAI COLLEGE OF ARCHITECTURE, NEW PANVEL, MAHARASHTRA</t>
  </si>
  <si>
    <t>AutoCAD,MS Office,MS Project,Revit,Sketchup,Lumion,Twinmotion</t>
  </si>
  <si>
    <t>Aarambh Real Estate and Developers | Real Estate Strategy &amp; Pre-Development | Pune | May 2026 | Jul 2026 | 7 Weeks | Campus Internship
Designworks | Intern | Vashi, Navi Mumbai | Nov 2022 | May 2023 | 27 Weeks
Form and Function Architects Private Limited | Junior Architect | Bhandarkar road, Pune | Mar 2025 | Jul 2025 | 16 Weeks</t>
  </si>
  <si>
    <t>P25702020</t>
  </si>
  <si>
    <t>AKRE</t>
  </si>
  <si>
    <t>Prasad Devendra Akre</t>
  </si>
  <si>
    <t>prasadakre2407@gmail.com</t>
  </si>
  <si>
    <t>p25702020@student.nicmar.ac.in</t>
  </si>
  <si>
    <t>6094 4827 5413</t>
  </si>
  <si>
    <t>DEVENDRA AKRE</t>
  </si>
  <si>
    <t>PROPERTY DEALING</t>
  </si>
  <si>
    <t>AARTI AKRE</t>
  </si>
  <si>
    <t>AVON VISTA PATIL NAGAR BALIWADI NAGPUR</t>
  </si>
  <si>
    <t>Jagnath Budhawari Pili Marbath Sq_x000D_
Pili Marbath Sq</t>
  </si>
  <si>
    <t>SHRI RAJENDRA HIGH SCHOOL</t>
  </si>
  <si>
    <t>SHREE DATTA MEGHE POLYTECHNIC NAGPUR MAHARASHTRA</t>
  </si>
  <si>
    <t>G.H RAISONI COLLAGE OF ENGINEERING AND TECHNOLOGY NAGPUR MAHARASHTA</t>
  </si>
  <si>
    <t>AutoCAD,MS Project,SAP</t>
  </si>
  <si>
    <t>ORANGE CITY WATER (OCW) | Network engineer (O&amp;M) | Nagpur | Jan 2024 | Jul 2025 | 1 Years, 6 Months, 2 Days | 3.6</t>
  </si>
  <si>
    <t>Boxoffice space | Intern purchase | Pune | May 2026 | Jul 2026 | 8 Weeks | Campus Internship</t>
  </si>
  <si>
    <t>P25702021</t>
  </si>
  <si>
    <t>SHIRUR</t>
  </si>
  <si>
    <t>Hemanth S Shirur</t>
  </si>
  <si>
    <t>hemanthshirur05@gmail.com</t>
  </si>
  <si>
    <t>p25702021@student.nicmar.ac.in</t>
  </si>
  <si>
    <t>12-Jul-2001</t>
  </si>
  <si>
    <t>6463 1842 0793</t>
  </si>
  <si>
    <t>SIDDAPPA</t>
  </si>
  <si>
    <t>GOVT EMPLOYEE (HESCOM)</t>
  </si>
  <si>
    <t>KASTURI</t>
  </si>
  <si>
    <t>Vaibhavalaxmi Nilaya Postal Colony 2nd Road Near Hanuman Temple Vidyagiri Bagalkot</t>
  </si>
  <si>
    <t>HEMANTH S SHIRUR</t>
  </si>
  <si>
    <t>B.V.V.S POLYTECHNIC ( AUTONOMUS ), BAGALKOT</t>
  </si>
  <si>
    <t>MS Excel,MS PPT,Primavera,MS Project,Candy</t>
  </si>
  <si>
    <t>CHANDRA ARCHITECT &amp; ASSOCIATES | Junior Engineer | Bagalkot | Jun 2024 | May 2025 | 0 Years, 11 Months, 30 Days | 2.16</t>
  </si>
  <si>
    <t>Address Advisors | Business Development Intern | Bangaluru | May 2026 | Jul 2026 | 9 Weeks | Campus Internship
S.I.DONUR | SITE ENGINEER | VIJAYPUR | Jul 2023 | Aug 2023 | 4 Weeks</t>
  </si>
  <si>
    <t>Corporate Communication
Marketing Strategy
Fundamentals of International Business
Fundamentals of Analyzing Real Estate Investments</t>
  </si>
  <si>
    <t>P25702022</t>
  </si>
  <si>
    <t>DIPAKBHAI</t>
  </si>
  <si>
    <t>Aryan Dipakbhai Patel</t>
  </si>
  <si>
    <t>aryan00om@gmail.com</t>
  </si>
  <si>
    <t>p25702022@student.nicmar.ac.in</t>
  </si>
  <si>
    <t>8686 1831 7914</t>
  </si>
  <si>
    <t>MILLENIUM BOYS HOSTEL, NICMAR UNIVERSITY, BALEWADI ROAD, BANER</t>
  </si>
  <si>
    <t>43, Amranthus Villas, SP Ring Road, Bhadaj Circle, Science City</t>
  </si>
  <si>
    <t>NAVNIRMAN CO. OP. BANK SEC. SCHOOL</t>
  </si>
  <si>
    <t>GUJARAT SECONDARY &amp; HIGHER SECONDARY EDUCATION BOARD, GANDHINAGAR</t>
  </si>
  <si>
    <t>BALDEVBHAI JOITARAM PATEL H. SEC. SCHOOL</t>
  </si>
  <si>
    <t>PANDIT DEENDAYAL ENERGY UNIVERSITY</t>
  </si>
  <si>
    <t>PANDIT DEENDAYAL ENERGY UNIVERSITY, GANDHINAGAR</t>
  </si>
  <si>
    <t>MS Office,MS Project, Candy Software, Primavera, STADD.Pro, QGIS, Revit, AutoCAD</t>
  </si>
  <si>
    <t>Cushman &amp; Wakefield | Strategic Consulting Intern | Ahmedabad, Gujarat | May 2026 | Jul 2026 | 8 Weeks | Campus Internship
PSP Projects Limited | Intern | Ahmedabad, Gujarat | Jun 2023 | Jul 2023 | 5 Weeks</t>
  </si>
  <si>
    <t>Journey of Real Estate</t>
  </si>
  <si>
    <t>P25702023</t>
  </si>
  <si>
    <t>Aditi Kishor Mahajan</t>
  </si>
  <si>
    <t>p25702023@student.nicmar.ac.in</t>
  </si>
  <si>
    <t>Design &amp; Planning,Model Making,Team Sports,Literature Competitions,Bharatnatyam</t>
  </si>
  <si>
    <t>9499 2429 4429</t>
  </si>
  <si>
    <t>KISHOR JALINDER MAHAJAN</t>
  </si>
  <si>
    <t>SHUBHANGI KISHOR MAHAJAN</t>
  </si>
  <si>
    <t>FLAT-2, K4, GAURIHAR, SINHAGAD ROAD</t>
  </si>
  <si>
    <t>C-9, Priyadarshini Residency, Mariaai Chowk</t>
  </si>
  <si>
    <t>ST. XAVIER'S SCHOOL</t>
  </si>
  <si>
    <t>ST. XAVIER'S SCHOOL, MAHAD</t>
  </si>
  <si>
    <t>ROTARY ENGLISH MEDIUM SCHOOL</t>
  </si>
  <si>
    <t>ROTARY ENGLISH MEDIUM SCHOOL, KHED-RATNAGIRI.</t>
  </si>
  <si>
    <t>PILLAI HOC COLLEGE OF ARCHITECTURE, RAIGAD</t>
  </si>
  <si>
    <t>AutoCAD,MS Office,MS Project,Sketchup,Vray,Keynote,Powerpoint</t>
  </si>
  <si>
    <t>GNA ARCHITECTS | ARCHITECT | Pune | May 2022 | May 2025 | 3 Years, 0 Months, 5 Days | 4.2</t>
  </si>
  <si>
    <t>GRAY ARCHITECTS | Project Monitoring Intern | Pune | May 2026 | Jul 2026 | 8 Weeks | Campus Internship
GRAY ARCHITECTS | INTERN ARCHITECT  | PUNE | Nov 2021 | Apr 2022 | 25 Weeks</t>
  </si>
  <si>
    <t>P25702024</t>
  </si>
  <si>
    <t>Chirag Suresh Kamble</t>
  </si>
  <si>
    <t>kamblechirag153@gmail.com</t>
  </si>
  <si>
    <t>p25702024@student.nicmar.ac.in</t>
  </si>
  <si>
    <t>4304 5149 0461</t>
  </si>
  <si>
    <t>SURESH KAMBLE</t>
  </si>
  <si>
    <t>BUSSINESS MAN</t>
  </si>
  <si>
    <t>HEMLATA KAMBLE</t>
  </si>
  <si>
    <t>106 Vasant Veena Residency Muraka Layout Near Pawar Coaching Classes Bachlores Road Wardha</t>
  </si>
  <si>
    <t>ALPHONSA HIGH SCH SWANGI(MEGHE) WARDHA</t>
  </si>
  <si>
    <t>SHRI VYANKATESH JUNIOR COLLEGE</t>
  </si>
  <si>
    <t>MAHARASHTRA STATE BOARD NAGPUR/MAHARASHTRA</t>
  </si>
  <si>
    <t>RASHTRASANT TUKADOJI MAHARAJ NAGPUR UNIVERSITY , NAGPUR</t>
  </si>
  <si>
    <t>YASHWANTRAO CHAVAN COLLEGE OF ENGINEERING NAGPUR / MAHARASHTRA</t>
  </si>
  <si>
    <t>AutoCAD,MS Office,MS Project,Primavera,revit</t>
  </si>
  <si>
    <t>vama construction company | site execution | daman and [ardi | May 2026 | Jun 2026 | 7 Weeks | Campus Internship
Rajveer construction | Civil Engineer | Nagpur | Jan 2025 | May 2025 | 17 Weeks
M/S Bhagwati builders | site trainee | Gondia | Nov 2023 | Dec 2023 | 4 Weeks</t>
  </si>
  <si>
    <t>Construction Planning &amp; Structural Analysi
Revit
autocad</t>
  </si>
  <si>
    <t>P25702025</t>
  </si>
  <si>
    <t>WARKE</t>
  </si>
  <si>
    <t>Himanshu Naresh Warke</t>
  </si>
  <si>
    <t>hwarke631@gmail.com</t>
  </si>
  <si>
    <t>p25702025@student.nicmar.ac.in</t>
  </si>
  <si>
    <t>5395 2985 0493</t>
  </si>
  <si>
    <t>A-3/501 , Tarangan Society , Gymkhana Road , Besides Dombivli Bus Stand , Dombivli East</t>
  </si>
  <si>
    <t>ROYAL JUNIOR SCIENCE COLLEGE</t>
  </si>
  <si>
    <t>DR. VISHWANATH KARAD MIT WORLD PEACE UNIVERSITY10-</t>
  </si>
  <si>
    <t>MAHARASHTRA INSTITUTE OF TECHNOLOGY</t>
  </si>
  <si>
    <t>AutoCAD,MS Office,Advanced Excel</t>
  </si>
  <si>
    <t>Repplen Projects Private Limited  | Site Execution | New Sangavi , Pune | May 2026 | Jun 2026 | 8 Weeks | Campus Internship
VUB ENGINEERING PVT LTD | TRAINEE ENGINEER  | GHATKOPAR EAST ( SITE WAS UNDER MIDC DOMBIVALI DIVISION) | Dec 2022 | Mar 2023 | 12 Weeks</t>
  </si>
  <si>
    <t>P25702026</t>
  </si>
  <si>
    <t>Rishi Rohitkumar Agrawal</t>
  </si>
  <si>
    <t>agrawalrishi0208@gmail.com</t>
  </si>
  <si>
    <t>p25702026@student.nicmar.ac.in</t>
  </si>
  <si>
    <t>08-Feb-2003</t>
  </si>
  <si>
    <t>3764 5396 7820</t>
  </si>
  <si>
    <t>ROHITKUMAR AGRAWAL</t>
  </si>
  <si>
    <t>SHITAL AGRAWAL</t>
  </si>
  <si>
    <t>M.R.Saraf, Sadar Bazar, Paratwada</t>
  </si>
  <si>
    <t>DHRUV GLOBAL SCHOOL</t>
  </si>
  <si>
    <t>CENTRAL BOARD OF SECONDARY EDUCATION, SANGAMNER/MAHARASHTRA</t>
  </si>
  <si>
    <t>SMT. SUNDARABAI GOPALSWAMI MAHILA KANISHTHA MAHAVIDYALAYA</t>
  </si>
  <si>
    <t>MAHARASHTRA STATE BOARD OF SECONDARY AND HIGHER SECONDARY EDUCATION, PARATWADA/MAHARASHTRA</t>
  </si>
  <si>
    <t>SARDAR PATEL COLLEGE OF ENGINEERING, MUMBAI/MAHARASHTRA</t>
  </si>
  <si>
    <t>Vama Construction Company  | Site Execution  | Daman  | May 2026 | Jun 2026 | 7 Weeks | Campus Internship</t>
  </si>
  <si>
    <t>P25702027</t>
  </si>
  <si>
    <t>TIRTH</t>
  </si>
  <si>
    <t>KORUDUVAR</t>
  </si>
  <si>
    <t>Tirth Pravin Koruduvar</t>
  </si>
  <si>
    <t>koruduvartirthpravin@gmail.com</t>
  </si>
  <si>
    <t>p25702027@student.nicmar.ac.in</t>
  </si>
  <si>
    <t>English,Gujarati,Marathi,Hindi</t>
  </si>
  <si>
    <t>3783 2432 7622</t>
  </si>
  <si>
    <t>PRAVIN KORUDUVAR</t>
  </si>
  <si>
    <t>SONAL KORUDUVAR</t>
  </si>
  <si>
    <t>10, LILAVATI PARK SOCIETY, BESIDE HIRABHAI TOWER, OPPOSITE MIHIR TOWER, MANINAGAR</t>
  </si>
  <si>
    <t>SMT. P.B.D. JOSHI HIGH SCHOOL &amp; SECONDARY SCHOOL</t>
  </si>
  <si>
    <t>GUJARAT SECONDARY &amp; HIGHER SECONDARY EDUCATION BOARD , GANDHINAGAR</t>
  </si>
  <si>
    <t>DOON INTERNATIONAL PUBLIC SCHOOL</t>
  </si>
  <si>
    <t>NIRMA UNIVERSITY AHMEDABAD GUJARAT</t>
  </si>
  <si>
    <t>Knight Frank (India) Private Limited | Advisory Intern | Ahmedabad  | May 2026 | Jul 2026 | 7 Weeks | Campus Internship
SHILP GROUP | Project Execution &amp; Planning Support - Intern | GIFT CITY  | Dec 2024 | Apr 2025 | 17 Weeks
SIDDHARTH Group | Site Operations &amp; Estimation Support - Intern | AHMEDABAD,GOTA | Jun 2024 | Jul 2024 | 5 Weeks</t>
  </si>
  <si>
    <t>PARTICIPATION IN "QUIZATHON 2.0"
ICI_INDIAN CONCRETE INSTITUTE MEMBER
BIM_WORKSHOP</t>
  </si>
  <si>
    <t>P25702028</t>
  </si>
  <si>
    <t>GORE</t>
  </si>
  <si>
    <t>Mangesh Haribhau Gore</t>
  </si>
  <si>
    <t>mangeshgore100@gmail.com</t>
  </si>
  <si>
    <t>p25702028@student.nicmar.ac.in</t>
  </si>
  <si>
    <t>8441 8283 3453</t>
  </si>
  <si>
    <t>DEFENCE SERVICE</t>
  </si>
  <si>
    <t>SUCHITA</t>
  </si>
  <si>
    <t>At/po Bhenda BK, Tal- Newasa</t>
  </si>
  <si>
    <t>KENDRIYA VIDYALAYA R.H.E PUNE</t>
  </si>
  <si>
    <t>JIJAMATA JUNIOR COLLEGE BHENDA BK</t>
  </si>
  <si>
    <t>AutoCAD,MS Project,Primavera,Microsoft Excel,SAP ERP</t>
  </si>
  <si>
    <t>Primaverse IDC LLP | Junior Civil Engineer  | Pune | Sep 2024 | Mar 2025 | 0 Years, 6 Months, 21 Days | 2.2</t>
  </si>
  <si>
    <t>VAMA Construction Company  | Site Execution  | Daman | May 2026 | Jun 2026 | 7 Weeks | Campus Internship
PRIMUS TECHSYSTEMS PVT. LTD. | SAP MATERIAL MANAGEMENT TRAINEE | PUNE  | Jun 2022 | Jul 2022 | 4 Weeks</t>
  </si>
  <si>
    <t>BIM Modelling
SAP MM S4/HANA</t>
  </si>
  <si>
    <t>P25702029</t>
  </si>
  <si>
    <t>UNNAT</t>
  </si>
  <si>
    <t>Unnat Ravindra More</t>
  </si>
  <si>
    <t>moreunnat22@gmail.com</t>
  </si>
  <si>
    <t>p25702029@student.nicmar.ac.in</t>
  </si>
  <si>
    <t>8017 7536 7201</t>
  </si>
  <si>
    <t>RAVINDRA MORE</t>
  </si>
  <si>
    <t>SHITAL MORE</t>
  </si>
  <si>
    <t>Flat No.701,d1 Wing, Bluedice Society, Dehu Alandi Road, Chikhali, Pune</t>
  </si>
  <si>
    <t>NIRMAL BETHANY HIGH SCHOOL &amp; JR COLLEGE</t>
  </si>
  <si>
    <t>PIMPRI CHINCHWAD POLYTECHNIC, PUNE</t>
  </si>
  <si>
    <t>D.Y.PATIL SCHOOL OF ENGINEERING AND TECHNOLOGY, CHARHOLI, PUNE</t>
  </si>
  <si>
    <t>AutoCAD,MS Office,MS Project, QGIS, SAGA</t>
  </si>
  <si>
    <t>Madhuban Inn Pvt. Ltd | Business Development &amp; Tenant Advisory Intern | Pune | May 2026 | Jul 2026 | 0 Years, 2 Months, 14 Days | 0</t>
  </si>
  <si>
    <t>Centre For Development Of Advance Computing (CDAC), Pune | Intern | Pashan, Pune | Dec 2023 | Apr 2024 | 17 Weeks</t>
  </si>
  <si>
    <t>Urban Land Economics and Real Estate Market Dynamics
Introduction to financial accounting</t>
  </si>
  <si>
    <t>P25702030</t>
  </si>
  <si>
    <t>NIMBHORKAR</t>
  </si>
  <si>
    <t>Shraddha Chandrakant Nimbhorkar</t>
  </si>
  <si>
    <t>nimbhorkarshraddha10@gmail.com</t>
  </si>
  <si>
    <t>p25702030@student.nicmar.ac.in</t>
  </si>
  <si>
    <t>10-Nov-2000</t>
  </si>
  <si>
    <t>9769 0086 0981</t>
  </si>
  <si>
    <t>CHANDRAKANT NIMBHORKAR</t>
  </si>
  <si>
    <t>ARCHANA NIMBHORKAR</t>
  </si>
  <si>
    <t>Shyam Nagar, Congress Nagar Road, Lane No. 5, Amravati</t>
  </si>
  <si>
    <t>SHRI SAMARTH HIGHSCHOOL, AMRAVATI</t>
  </si>
  <si>
    <t>AMRAVATI, MAHARASHTRA</t>
  </si>
  <si>
    <t>SHRI SAMARTH SECONDARY HIGHSCHOOL, AMRAVATI</t>
  </si>
  <si>
    <t>SANT GADGE BABA AMRAVATI UNIVERSITY, AMRAVATI, MAHARAHTRA</t>
  </si>
  <si>
    <t>P.R. PATIL COLLEGE OF ARCHITECTURE, AMRAVATI, MAHARASHTRA</t>
  </si>
  <si>
    <t>AutoCAD,MS Office,MS Project,Primavera,Vector Works,Sketchup,Lumion,Photoshop,Canva,Revit</t>
  </si>
  <si>
    <t>Kamdhenu Spaces LLP. | Design, Planning  &amp; Development | Pune | May 2026 | Jul 2026 | 8 Weeks | Campus Internship
Environs Architects, Planners, Landscape &amp; Interior Designers | Trainee Architect | Pune | Jul 2022 | Jan 2023 | 25 Weeks</t>
  </si>
  <si>
    <t>P25702031</t>
  </si>
  <si>
    <t>Kartik Ravindra Kapse</t>
  </si>
  <si>
    <t>kartikkapse9666@gmail.com</t>
  </si>
  <si>
    <t>p25702031@student.nicmar.ac.in</t>
  </si>
  <si>
    <t>02-Aug-1999</t>
  </si>
  <si>
    <t>ENGLISH, MARATHI HINDI</t>
  </si>
  <si>
    <t>Cricket,Cooking</t>
  </si>
  <si>
    <t>7892 0376 0555</t>
  </si>
  <si>
    <t>RAKHI</t>
  </si>
  <si>
    <t>15, Ayodhaya Nagar, Nr Dinesh Cycle Store, Sai Mandir, Nagpur</t>
  </si>
  <si>
    <t>MAJOR HEMANT JAKATE INSTITUTE OF SCIENCE AND COMMERCE</t>
  </si>
  <si>
    <t>PRIYADARSHINI COLLAGE OF ENGINEERING</t>
  </si>
  <si>
    <t xml:space="preserve">AutoCAD,MS Office,REVIT ARCHITETCURE,MS-Project, Candy, </t>
  </si>
  <si>
    <t>Colliers International (India) Property Services Pvt. Ltd. | Advisory Services  | PUNE | May 2026 | Jul 2026 | 8 Weeks | Campus Internship
PUBLIC WORKS DEPARTMENT , DIVISION NO 1, NAGPUR | CIVIL ENGINEER TRAINEE   | NAGPUR | Jul 2022 | Aug 2022 | 2 Weeks</t>
  </si>
  <si>
    <t>Tarun Sabha Kartik Kapse</t>
  </si>
  <si>
    <t>P25702032</t>
  </si>
  <si>
    <t>Adarsh Akash</t>
  </si>
  <si>
    <t>ar.adarshakash@gmail.com</t>
  </si>
  <si>
    <t>p25702032@student.nicmar.ac.in</t>
  </si>
  <si>
    <t>08-Jan-2001</t>
  </si>
  <si>
    <t>Travelling and Exploring,Watching Documentaries,Listening to Podcasts</t>
  </si>
  <si>
    <t>4261 0557 0727</t>
  </si>
  <si>
    <t>AKASH LOUIS</t>
  </si>
  <si>
    <t>BINDU AKASH</t>
  </si>
  <si>
    <t>Parackal House, Pavana 147, Mother Teresa Nagar, Chethipuzha, Changanacherry</t>
  </si>
  <si>
    <t>INDIAN SCHOOL AL WADI AL KABIR</t>
  </si>
  <si>
    <t>BIRLA INSTITUTE OF TECHNOLOGY</t>
  </si>
  <si>
    <t>BIRLA INSTITUTE OF TECHNOLOGY, MESRA, RANCHI</t>
  </si>
  <si>
    <t>AutoCAD,MS Office,MS Project,Revit,SketchUp,Navisworks,Twinmotion,Enscape,Lumion,Adobe Photoshop,Adobe InDesign,Rhinoceros 3D,CCS Candy</t>
  </si>
  <si>
    <t>Al Abraj Consulting Engineers and Architects | Junior Architect | Muscat, Oman | Jun 2024 | Jul 2025 | 1 Years, 1 Months, 2 Days | 9.6</t>
  </si>
  <si>
    <t>ANAROCK Property Consultants Pvt. Ltd | Strategic Consulting Intern | Mumbai, India | May 2026 | Jul 2026 | 9 Weeks | Campus Internship
Design Kacheri | Intern Architect | Bangalore, India | Jan 2023 | Jun 2023 | 25 Weeks</t>
  </si>
  <si>
    <t>Design Psychology &amp; User Experience in Architecture
Professional Revit &amp; BIM Certification Program
Professional Revit and BIM Certification Program - NAVISWORKS
Professional Revit and BIM Certification Program - AUTODESK REVIT and BIM 360
Project Optimization_ 3D to 6D BIM
Revit Fundamentals_ Building the Basics
Multidisciplinary Modeling_ LOD 100 to 350
Integrated Project Coordination &amp; Simulation
Council Of Architecture Registration Certificate</t>
  </si>
  <si>
    <t>P25702033</t>
  </si>
  <si>
    <t>SUMEDH</t>
  </si>
  <si>
    <t>SHISHIR</t>
  </si>
  <si>
    <t>Sumedh Shishir Kulkarni</t>
  </si>
  <si>
    <t>sumedh1425@gmail.com</t>
  </si>
  <si>
    <t>p25702033@student.nicmar.ac.in</t>
  </si>
  <si>
    <t>6470 7018 4195</t>
  </si>
  <si>
    <t>F1, SUPARNA HARMONY , NEAR WATER TANK , SOMWAR PETH , KARAD , 415110</t>
  </si>
  <si>
    <t>F1, Suparna Harmony , Near Water Tank , Somwar Peth , Karad , 415110</t>
  </si>
  <si>
    <t>PODAR INTERNATIONAL SCHOOL , KARAD</t>
  </si>
  <si>
    <t>KARAD , MAHARASHTRA</t>
  </si>
  <si>
    <t>SANJAY GHODAWAT IIT AND MEDICAL ACADEMY</t>
  </si>
  <si>
    <t>ATIGRE , KOLHAPUR</t>
  </si>
  <si>
    <t>Chaitanya Udyog  | Construction intern | Karad | May 2026 | Jul 2026 | 9 Weeks | Campus Internship</t>
  </si>
  <si>
    <t>P25702034</t>
  </si>
  <si>
    <t>GUNVANTH</t>
  </si>
  <si>
    <t>G Gunvanth</t>
  </si>
  <si>
    <t>gunvanth.org@gmail.com</t>
  </si>
  <si>
    <t>p25702034@student.nicmar.ac.in</t>
  </si>
  <si>
    <t>7911 2450 1531</t>
  </si>
  <si>
    <t>G.KANTHA RAO</t>
  </si>
  <si>
    <t>CIVIL ENGINNER</t>
  </si>
  <si>
    <t>N.S.R.REVATHI</t>
  </si>
  <si>
    <t>20-4-31/B9,KOTHAPALLI,TIRUPATI,ANDHRA PRADESH</t>
  </si>
  <si>
    <t>2-35B Pudipatala,Pudipatala,Tirupathi Rural</t>
  </si>
  <si>
    <t>BOARD OF SECONDARY EDUCATION,TIRUPATHI,ANDHRA PRADESH</t>
  </si>
  <si>
    <t>BOARD OF INTERMEDIATE EDUCATION,VIJAYAWADA,ANDHRA PRADESH</t>
  </si>
  <si>
    <t>CHRIST UNIVERSITY</t>
  </si>
  <si>
    <t>THE BOARD OF CHRIST (DEEMAND TO UNIVERSITY),BANGLORE,KARNATAKA</t>
  </si>
  <si>
    <t>AutoCAD,MS Office,MS Project,Primavera,ETABS,SAP2000,STAAD.PRO,REVIT</t>
  </si>
  <si>
    <t>SRI VENKATESWARA PLANNERS &amp; BUILDERS | Site Coordination Intern | Tirupathi | May 2023 | Jun 2023 | 4 Weeks
SRI VENKATESWARA PLANNERS &amp; BUILDERS | Site Engineer Intern | TIRUPATHI | May 2022 | Jun 2022 | 4 Weeks</t>
  </si>
  <si>
    <t>P25702035</t>
  </si>
  <si>
    <t>Sharvari Rajesh Chaudhari</t>
  </si>
  <si>
    <t>sharvarichaudhari29@gmail.com</t>
  </si>
  <si>
    <t>p25702035@student.nicmar.ac.in</t>
  </si>
  <si>
    <t>29-Sep-2001</t>
  </si>
  <si>
    <t>Dancing,Travelling</t>
  </si>
  <si>
    <t>3198 4992 9945</t>
  </si>
  <si>
    <t>36/B , Nandanvan Bank Colony , Deopur , Dhule</t>
  </si>
  <si>
    <t>CHAVARA ENGLISH MEDIUM SCHOOL</t>
  </si>
  <si>
    <t>MAHARASHTRA STATE BOARD OF SECONDARY AND HIGHER SECONDARY EDUCATION , DHULE , MAHARASHTRA</t>
  </si>
  <si>
    <t>S.L.MALI JUNIOR COLLEGE</t>
  </si>
  <si>
    <t>MAHARASHTRA STATE BOARD OF SECONDARY AND HIGHER SECONDARY EDUCATION , TALODA , MAHARASHTRA</t>
  </si>
  <si>
    <t>JSPM'S RAJARSHI SHAHU COLLEGE OF ENGINEERING , TATHWADE , PUNE</t>
  </si>
  <si>
    <t>REALEESTA PVT LTD | Sales Intern | Pune | May 2026 | Jul 2026 | 0 Years, 1 Months, 22 Days | 00</t>
  </si>
  <si>
    <t>Realeesta PVT LDT | Sales INtern | Pune | May 2026 | Jul 2026 | 7 Weeks | Campus Internship
PYRAMID AXIS | SITE ENGINEER INTERN | TATHWADE , PUNE | Jun 2022 | Dec 2022 | 26 Weeks</t>
  </si>
  <si>
    <t>DroneAcharya</t>
  </si>
  <si>
    <t>P25702036</t>
  </si>
  <si>
    <t>MITHILESH</t>
  </si>
  <si>
    <t>SUGANDH</t>
  </si>
  <si>
    <t>TAMBE</t>
  </si>
  <si>
    <t>Mithilesh Sugandh Tambe</t>
  </si>
  <si>
    <t>mithileshtambe709@gmail.com</t>
  </si>
  <si>
    <t>p25702036@student.nicmar.ac.in</t>
  </si>
  <si>
    <t>20-Jun-2001</t>
  </si>
  <si>
    <t>8484 5284 9046</t>
  </si>
  <si>
    <t>SUGANDH MANAJI TAMBE</t>
  </si>
  <si>
    <t>TEACHER+</t>
  </si>
  <si>
    <t>Kamat Shrushti Apartment, Parabwadi, Kankavli, Sindhudurg</t>
  </si>
  <si>
    <t>VIDYAMANDIR HIGHSCHOOL KANKAVLI</t>
  </si>
  <si>
    <t>KANKAVLI COLLEGE KANKAVLI</t>
  </si>
  <si>
    <t>DHOLEPATIL COLLEGE OF ENGINEERING PUNE</t>
  </si>
  <si>
    <t>AutoCAD,MS Office,MS Project,Quantity Surveying</t>
  </si>
  <si>
    <t>Embassy Development Limited | Construction-Intern | Mumbai | May 2026 | Jul 2026 | 8 Weeks | Campus Internship
GURU CONSTRUCTION | SITE ENGINEER | JUNNAR | May 2022 | Jun 2022 | 7 Weeks</t>
  </si>
  <si>
    <t>P25702037</t>
  </si>
  <si>
    <t>BHUVANESH</t>
  </si>
  <si>
    <t>HAUSHILAPRASAD</t>
  </si>
  <si>
    <t>Bhuvanesh Haushilaprasad Pandey</t>
  </si>
  <si>
    <t>bhuvaneshpandey4@gmail.com</t>
  </si>
  <si>
    <t>p25702037@student.nicmar.ac.in</t>
  </si>
  <si>
    <t>27-Sep-2001</t>
  </si>
  <si>
    <t>4720 4012 7410</t>
  </si>
  <si>
    <t>HAUSHILAPRASAD PANDEY</t>
  </si>
  <si>
    <t>SUREKHA HAUSHILAPRASAD PANDEY</t>
  </si>
  <si>
    <t>Room 6 Sarvoday Chawl Azad Wadi Damu Nagar Akurli Road Kandivali East</t>
  </si>
  <si>
    <t>MAHARASHTRA STATE BOARD MUMBAI MAHARASHTRA</t>
  </si>
  <si>
    <t>SHREE L.R TIWARI COLLEGE OF ENGINEERING  THANE MAHARASHTRA</t>
  </si>
  <si>
    <t>AutoCAD,MS Office,MS Project,Primavera,Revit,BIM</t>
  </si>
  <si>
    <t>PSP PROJECTS LTD | Civil Intern | Mumbai | May 2026 | Jul 2026 | 8 Weeks | Campus Internship
Shree Laxminarayan Infrastructure | Assistant Engineer | Mira Bhayandar | Jul 2022 | Jan 2023 | 26 Weeks
Shree Laxminarayan Infrastructure | Assistant Engineer | Mira Bhayandar | Jun 2022 | Jul 2022 | 4 Weeks</t>
  </si>
  <si>
    <t>P25702038</t>
  </si>
  <si>
    <t>GAJANAN</t>
  </si>
  <si>
    <t>KHARPURIYA</t>
  </si>
  <si>
    <t>Mohit Gajanan Kharpuriya</t>
  </si>
  <si>
    <t>kharpuriyamohit01@gmail.com</t>
  </si>
  <si>
    <t>p25702038@student.nicmar.ac.in</t>
  </si>
  <si>
    <t>3443 6290 6509</t>
  </si>
  <si>
    <t>GAJANAN BADASHA KHARPURIYA</t>
  </si>
  <si>
    <t>AGRICULTURE OFFICER</t>
  </si>
  <si>
    <t>MEENA GAJANAN KHARPURIYA</t>
  </si>
  <si>
    <t>Pl No 55  Kirti Nagar Near Amit High School Dighori Nagpur Maharashtra</t>
  </si>
  <si>
    <t>SECONDARY SCHOOL CERTIFICATE, NAGPUR MAHARASHTRA</t>
  </si>
  <si>
    <t>ST. PAUL SCIENCE AND COMMERCE JUNIOR COLLEGE</t>
  </si>
  <si>
    <t>HIGHER SECONDARY CERTIFICATE NAGPUR MAHARASHTRA</t>
  </si>
  <si>
    <t>KARMAVIR DADASAHEB KANNAMWAR COLLEGE OF ENGINEERING NAGPUR MAHARASHTRA</t>
  </si>
  <si>
    <t>AT DESIGN STUDIO | Junior Executive Engineer and Supervisor  | Nagpur | Jun 2022 | Jun 2024 | 2 Years, 0 Months, 29 Days | 3</t>
  </si>
  <si>
    <t>R Sandesh Infrastructure Pvt. Ltd | Project Management Intern | Nagpur  | May 2026 | Jun 2026 | 8 Weeks | Campus Internship</t>
  </si>
  <si>
    <t>P25702039</t>
  </si>
  <si>
    <t>ANOUSHKA</t>
  </si>
  <si>
    <t>Anoushka Das</t>
  </si>
  <si>
    <t>das.anoushka@gmail.com</t>
  </si>
  <si>
    <t>p25702039@student.nicmar.ac.in</t>
  </si>
  <si>
    <t>7644 2292 2153</t>
  </si>
  <si>
    <t>ANIRUDDHA DAS</t>
  </si>
  <si>
    <t>DIRECTOR - HOSPITALITY INSTITUTE (MAIIHM)</t>
  </si>
  <si>
    <t>MAHUA DAS</t>
  </si>
  <si>
    <t>IELTS/PTE TRAINER</t>
  </si>
  <si>
    <t>C-F3, Milroc Ribandar Retreat, Alto Ribandar, Tiswadi, North Goa</t>
  </si>
  <si>
    <t>ANAND NIKETAN, AHMEDABAD</t>
  </si>
  <si>
    <t>INDIAN CERTIFICATE OF SECONDARY EDUCATION EXAMINATION (ICSE), AHMEDABAD, GUJARAT</t>
  </si>
  <si>
    <t>THE NEW TULIP INTERNATIONAL SCHOOL</t>
  </si>
  <si>
    <t>CENTRAL BOARD OF SECONDARY EDUCATION (CBSE), AHMEDABAD, GUJARAT</t>
  </si>
  <si>
    <t>INSTITUTE OF ARCHITECTURE AND PLANNING, NIRMA UNIVERSITY, AHMEDABAD, GUJARAT</t>
  </si>
  <si>
    <t>AutoCAD,MS Office,MS Project,Adobe InDesign,Adobe Illustrator,ArcGIS,QGIS,CorelDraw,Photoshop basics,MSP</t>
  </si>
  <si>
    <t>The Society for Development Alternatives Group | Fellow - Resource Efficiency and Circular Economy | New Delhi | Aug 2022 | Aug 2023 | 0 Years, 11 Months, 29 Days | 3.72
The Society for Development Alternatives Group | Deputy Manager - Resource Efficiency and Circular Economy | New Delhi | Aug 2023 | Jul 2024 | 0 Years, 11 Months, 15 Days | 5.82</t>
  </si>
  <si>
    <t>Modulus Housing (Debrique Creative Labs Pvt. Ltd.) | Summer Intern | Chennai, India | May 2026 | Jul 2026 | 9 Weeks | Campus Internship
The Society for Development Alternatives Group | Summer Intern - Circular Economy and Resource Efficiency | Remote | Jun 2021 | Aug 2021 | 10 Weeks</t>
  </si>
  <si>
    <t>Urban Policy and City Planning Cohort 2
Data, Monitoring and Evaluation â€“ Cohort 2.0
An Introduction to Climate Finance
Urban Land Economics and Real Estate Market Dynamics
Introduction to Financial Accounting</t>
  </si>
  <si>
    <t>P25702040</t>
  </si>
  <si>
    <t>Ashutosh Ashutosh</t>
  </si>
  <si>
    <t>ashutoshmalra23@gmail.com</t>
  </si>
  <si>
    <t>p25702040@student.nicmar.ac.in</t>
  </si>
  <si>
    <t>23-Jul-2002</t>
  </si>
  <si>
    <t>8462 9348 6815</t>
  </si>
  <si>
    <t>JAIVIR SINGH</t>
  </si>
  <si>
    <t>ANITA RANI</t>
  </si>
  <si>
    <t>43/12 , Gali No-1,Mehlana Road, Ashok Vihar</t>
  </si>
  <si>
    <t>LITTLE ANGELS SCHOOL</t>
  </si>
  <si>
    <t>CBSE BOARD, SONIPAT,HARYANA</t>
  </si>
  <si>
    <t>CBSE BOARD,SONIPAT,HARYANA</t>
  </si>
  <si>
    <t>PES UNIVERSITY,BANGALORE,KARNATAKA</t>
  </si>
  <si>
    <t>PES UNIVERSITY, BANGALORE, KARNATAKA</t>
  </si>
  <si>
    <t>MS Office,MS Project,Financial Modeling,Market Feasibility</t>
  </si>
  <si>
    <t>ASHIANA HOUSING LIMITED |  Senior Executive | Bhiwadi,Rajasthan | Apr 2025 | Jul 2025 | 0 Years, 3 Months, 0 Days | 5.16
AddRec Solutions Pvt Ltd (JLL) | Senior Executive | Gururgam,Haryana | Mar 2024 | Mar 2025 | 1 Years, 0 Months, 5 Days | 3.26
Bellator Media | Sales Executive | Gurugram,Haryana | Oct 2023 | Mar 2024 | 0 Years, 5 Months, 1 Days | 3.36</t>
  </si>
  <si>
    <t>TruBoard Partners  | Asset Management Intern | Gurgaon, Haryana, India | May 2026 | Jun 2026 | 8 Weeks | Campus Internship
IIM Bangalore Vista 2021 | Campus Ambassador | Online | Jun 2021 | Jul 2021 | 8 Weeks
Hoovinahole Prathistana Foundation | Corporate Social Internship | Bengaluru, Karnataka | Oct 2021 | Nov 2021 | 4 Weeks
Om Patterns Lam | Marketing Intern | Bengaluru, Karnataka | Jun 2022 | Aug 2022 | 7 Weeks</t>
  </si>
  <si>
    <t>PESIO: Basics of Marketing
CFI: Financial Modeling and Forecasting Financial Statements
CFI:Corporate Finance Foundation
The Real Estate Financial Modeling Bootcamp
Urban Land Economics and Real Estate Market Dynamics
Introduction to Financial Accounting</t>
  </si>
  <si>
    <t>P25702041</t>
  </si>
  <si>
    <t>TENDULKAR</t>
  </si>
  <si>
    <t>Manas Milind Tendulkar</t>
  </si>
  <si>
    <t>manastendulkar7@gmail.com</t>
  </si>
  <si>
    <t>p25702041@student.nicmar.ac.in</t>
  </si>
  <si>
    <t>English , Hindi and Marathi</t>
  </si>
  <si>
    <t>9753 7081 5973</t>
  </si>
  <si>
    <t>DEVELOPER ( CONSTRUCTION )</t>
  </si>
  <si>
    <t>Plot No. 26 , Society No. 2 ,R.K.Nagar , Kolhapur</t>
  </si>
  <si>
    <t>PRIVATE HIGHSCHOOL , KOLHAPUR</t>
  </si>
  <si>
    <t>RAJARAM COLLEGE, KOLHAPUR</t>
  </si>
  <si>
    <t>AutoCAD,MS Office,MS Project,Revit,power Bi</t>
  </si>
  <si>
    <t>Sobha Ltd. | Project manager | Gift city , Gujarat | May 2026 | Jul 2026 | 8 Weeks | Campus Internship
Ira construction | Site engineer | Kolhapur | Jun 2024 | Jul 2024 | 4 Weeks</t>
  </si>
  <si>
    <t>Corporate finance (NPTEL)
Equity market analyst</t>
  </si>
  <si>
    <t>P25702042</t>
  </si>
  <si>
    <t>TEJASHVI</t>
  </si>
  <si>
    <t>Tejashvi Raj</t>
  </si>
  <si>
    <t>tejashviraj999@gmail.com</t>
  </si>
  <si>
    <t>p25702042@student.nicmar.ac.in</t>
  </si>
  <si>
    <t>09-Sep-2004</t>
  </si>
  <si>
    <t>4061 7210 5947</t>
  </si>
  <si>
    <t>PALLAVI KASHYAP</t>
  </si>
  <si>
    <t>BUSINESSES WOMAN</t>
  </si>
  <si>
    <t>Near North Point School, Behind L.I.C Divisional Office, Devi Mandir, Ramna</t>
  </si>
  <si>
    <t>SHANTI NIKETAN SENIOR SECONDARY SCHOOL</t>
  </si>
  <si>
    <t>CENTRAL BOARD OF SECONDARY EDUCATION, MUZAFFARPUR,BIHAR</t>
  </si>
  <si>
    <t>INSTITUDE OF INFRASTRUCTURE TECHNOLOGY RESERACH AND MANAGEMENT</t>
  </si>
  <si>
    <t>INSTITUTE OF INFRASTRUCTURE, TECHNOLOGY, RESEARCH AND MANAGEMENT,AHMEDABAD,GUJARAT</t>
  </si>
  <si>
    <t>Primavera P6,Advanced Excel Financial Modeling,Revit (BIM Modeling),AutoCAD,MS Office,MS Project,Etabs,SAP,Staad-Pro,SNAP,Candy</t>
  </si>
  <si>
    <t>ConsultupIndia | Research Analyst | Ahemdabad  | May 2026 | Jun 2026 | 8 Weeks | Campus Internship
Acmegrade | Construction Planner | Online | Dec 2023 | Feb 2024 | 8 Weeks</t>
  </si>
  <si>
    <t>KPMG Lean Six Sigma Green Belt
Corporate Communication Specialization
Financial Portfolio Management Fundamentals By Corporate Finance Institute (CFI) &amp; PMI
Virtual Investing in Real Estate
Analyzing a Real Estate Deal
Undergraduate Research Award
Appreciation of Academic Performance
Certificate in Autodesk Revit
The Principles of Real Estate
Urban Land Economics and Real Estate Market Dynamics
Sustainable Urban Water Systems
Project Management - Initiation and Planning
Project Planning and Execution Management</t>
  </si>
  <si>
    <t>P25702043</t>
  </si>
  <si>
    <t>Yash Anil Rathod</t>
  </si>
  <si>
    <t>yashrathod2211@gmail.com</t>
  </si>
  <si>
    <t>p25702043@student.nicmar.ac.in</t>
  </si>
  <si>
    <t>3328 7264 4584</t>
  </si>
  <si>
    <t>ANIL PANDURANG RATHOD</t>
  </si>
  <si>
    <t>IUDP COLONY_x000D_
NEAR MAHAKALI MANDIR_x000D_
WASHIM</t>
  </si>
  <si>
    <t>SHRI SHIVAJI HIGH SCHOOL</t>
  </si>
  <si>
    <t>GOVERMENT POLYTECHNIC WASHIM</t>
  </si>
  <si>
    <t>P.R.POTE COLLEGE OF ENGINEERING AND MANAGMENT</t>
  </si>
  <si>
    <t>Sagar Skyscrapers LLP | Trainee Junior Engineer | Pune | May 2026 | Jul 2026 | 8 Weeks | Campus Internship
SUNIL KAWARKHE ASSOCIATE | ITERN | WASHIM | May 2022 | Jun 2022 | 5 Weeks
Rukmini Developer | Itern | Washim | May 2019 | Jun 2019 | 5 Weeks</t>
  </si>
  <si>
    <t>Construction project management</t>
  </si>
  <si>
    <t>P25702044</t>
  </si>
  <si>
    <t>MITHLESH</t>
  </si>
  <si>
    <t>GUNASEKAR</t>
  </si>
  <si>
    <t>Mithlesh Gunasekar</t>
  </si>
  <si>
    <t>mithleshgunasekar13@gmail.com</t>
  </si>
  <si>
    <t>p25702044@student.nicmar.ac.in</t>
  </si>
  <si>
    <t>13-Jul-2002</t>
  </si>
  <si>
    <t>ENGLISH,TAMIL,TELUGU,HINDI</t>
  </si>
  <si>
    <t>4216 7159 7296</t>
  </si>
  <si>
    <t>GUNASEKAR D</t>
  </si>
  <si>
    <t>AKILA G</t>
  </si>
  <si>
    <t>8 A, Shri Ranga Layout -1, Nallampalayam</t>
  </si>
  <si>
    <t>BHARATIYA VIDYA BHAVAN MATRICULATION HIGHER SECONDARY SCHOOL</t>
  </si>
  <si>
    <t>STATE BOARD OF TAMIL NADU COIMBATORE</t>
  </si>
  <si>
    <t>BHARATHIAR UNIVERSITY</t>
  </si>
  <si>
    <t>DR. G. R. DAMODARAN COLLEGE OF SCIENCE</t>
  </si>
  <si>
    <t>General</t>
  </si>
  <si>
    <t>Address Advisors | Intern BD | Chennai | May 2026 | Jul 2026 | 8 Weeks | Campus Internship
AQUASUBA ENGINEERING | TRAINEE | COIMBATORE  | Jul 2022 | Jul 2022 | 3 Weeks</t>
  </si>
  <si>
    <t>Housing Policy &amp; Planning</t>
  </si>
  <si>
    <t>P25702045</t>
  </si>
  <si>
    <t>GAYATHRI</t>
  </si>
  <si>
    <t>Gayathri Gopal</t>
  </si>
  <si>
    <t>gayathrikothanath@gmail.com</t>
  </si>
  <si>
    <t>p25702045@student.nicmar.ac.in</t>
  </si>
  <si>
    <t>6028 7535 7869</t>
  </si>
  <si>
    <t>GOPAL KONGOT</t>
  </si>
  <si>
    <t>CHARTERED ACCOUNTANT</t>
  </si>
  <si>
    <t>GIRIJA GOPAL</t>
  </si>
  <si>
    <t>Sai Gayatri , 68/1335-C, Semitherymukku, Chittoor Road, Kacheripady, Ernakulam, Kerala 682018</t>
  </si>
  <si>
    <t>BHAVAN'S VARUNA VIDYALAYA</t>
  </si>
  <si>
    <t>CENTRAL BOARD OF SECONDARY EDUCATION, ERNAKULAM, KERALA</t>
  </si>
  <si>
    <t>MAHATMA GANDHI UNIVERSITY, KOTTAYAM, KERALA</t>
  </si>
  <si>
    <t>MANGALAM SCHOOL OF ARCHITECTURE AND PLANNING (MASAP), ETTUMANOOR, KOTTAYAM, KERALA</t>
  </si>
  <si>
    <t>AutoCAD,Sketchup,Adobe Photoshop,Adobe InDesign,Lumion,V-ray,Enscape</t>
  </si>
  <si>
    <t>Stikcon | Jr. Architect | Ernakulam, Kerala | Feb 2024 | Apr 2025 | 1 Years, 2 Months, 18 Days | 2.4</t>
  </si>
  <si>
    <t>Kalpataru Limited  | Product Development Intern  | Mumbai  | May 2026 | Jul 2026 | 9 Weeks | Campus Internship
Ensemble Architects | Intern Architect | Banalore | Nov 2022 | Feb 2023 | 16 Weeks</t>
  </si>
  <si>
    <t>P25702046</t>
  </si>
  <si>
    <t>NIDHI</t>
  </si>
  <si>
    <t>CHOTALIYA</t>
  </si>
  <si>
    <t>Nidhi Harshad Chotaliya</t>
  </si>
  <si>
    <t>nidhichotaliya04@gmail.com</t>
  </si>
  <si>
    <t>p25702046@student.nicmar.ac.in</t>
  </si>
  <si>
    <t>ENGLISH,HINDI,GUJARATI,MARATHI</t>
  </si>
  <si>
    <t>5365 8148 9498</t>
  </si>
  <si>
    <t>BINA</t>
  </si>
  <si>
    <t>16,Chaya Prakash, Shivaji Nagar,Mulund Checknaka , Thane</t>
  </si>
  <si>
    <t>SHETH KARAMSHI KANJI ENGLISH SCHOOL</t>
  </si>
  <si>
    <t>CBSE MUMBAI</t>
  </si>
  <si>
    <t>K J SOMAIYA COLLEGE OF SCIENCE AND COMMERCE</t>
  </si>
  <si>
    <t>HSC MUMBAI</t>
  </si>
  <si>
    <t>INDIAN EDUCATION SOCIETY'S COLLEGE OF ARCHITECTURE,MUMBAI</t>
  </si>
  <si>
    <t>AutoCAD,MS Office,MS Project,Sketchup,photoshop,enscape,vu city,AutoCAD</t>
  </si>
  <si>
    <t>Beyonddesign Studio | Junior Architect | Mumbai | Feb 2025 | Jun 2025 | 0 Years, 4 Months, 27 Days | 3
Krishnan Parvez Architects | Junior Architect | Mumbai | Jul 2024 | Dec 2024 | 0 Years, 5 Months, 30 Days | 2.88</t>
  </si>
  <si>
    <t>Kalpataru Limited | Business Development Intern | Mumbai | May 2026 | Jul 2026 | 9 Weeks | Campus Internship
NIKHIL MAHASHUR AND ASSOCIATES | INTERN ARCHITECT | MUMBAI | Aug 2022 | Jul 2023 | 48 Weeks
METIS PRACTICE | INTERN ARCHITECT | MUMBAI | Apr 2022 | Jul 2022 | 13 Weeks</t>
  </si>
  <si>
    <t>P25702048</t>
  </si>
  <si>
    <t>VISHRAM</t>
  </si>
  <si>
    <t>Shubham Vishram Chavan</t>
  </si>
  <si>
    <t>shubhamchavan.yc@gmail.com</t>
  </si>
  <si>
    <t>p25702048@student.nicmar.ac.in</t>
  </si>
  <si>
    <t>FOOTBALL,TRAVELLING,RIDING MOTORCYCLES,TREKKING,GYM</t>
  </si>
  <si>
    <t>5179 7909 6397</t>
  </si>
  <si>
    <t>VISHRAM DATTARAM CHAVAN</t>
  </si>
  <si>
    <t>JYOTI VISHRAM CHAVAN</t>
  </si>
  <si>
    <t>305/24,Sulochana CHS,Sector:-2,Near Charkop Police Station,Kandivali(West),Mumbai.</t>
  </si>
  <si>
    <t>ROOM NO 5,2ND FLOOR,ASHIRWAD BUILDING, OPPOSITE CHAVAN RESIDENCY,NEAR DHANAHREE PARK,PARKHE VASTI, SUS GAON, PUNE.</t>
  </si>
  <si>
    <t>MOTHER TERESA ENGLISH SECONDARY SCHOOL, KANDIVALI(WEST),MUMBAI.</t>
  </si>
  <si>
    <t>DIPOLMA IN CIVIL ENGINEERING.</t>
  </si>
  <si>
    <t>THAKUR POLYTECHNIC, KANDIVALI(E), MUMBAI,MAHARASHTRA.</t>
  </si>
  <si>
    <t>UNIVERSAL COLLEGE OF ENGINEERING, VASAI, MAHARASHTRA.</t>
  </si>
  <si>
    <t>Primavera(P6),Microsoft Office,AutoCAD 2D,Microsoft Project,Autodesk BIM,Project Planning &amp; Scheduling,Project Monitoring &amp; Control,Drawing Interpretation &amp; Management,Quantity Take-Off(RCC Works),Documentation &amp; Material Management,Labour Management</t>
  </si>
  <si>
    <t>Talib &amp; Shamsi.Pvt.Ltd. | Planning Engineer. | Borivali (East), Mumbai-400066. | Jan 2024 | Jun 2025 | 1 Years, 5 Months, 13 Days | 3.6
Thakur Polytechnic. | Lecturer. | Kandivali (East), Mumbai-400101. | Jul 2023 | Jan 2024 | 0 Years, 5 Months, 12 Days | 2.4</t>
  </si>
  <si>
    <t>Sobha Limited-India | Project Planning Intern | Bangalore | May 2026 | Jul 2026 | 9 Weeks | Campus Internship
Pentacle Consultants. | Trainee Engineer. | Powai,Mumbai-400079 | May 2019 | Jun 2019 | 5 Weeks</t>
  </si>
  <si>
    <t>Winners of Kabaddi in Intra College Sports &amp; Cultural Fest(Aurora 2023).
Course on Auto cad 2D,Certified by Max computer education, Kandivali (West),Mumbai.
Course on Primavera Project Management (P6),Certified by Cadd center,Andheri (East), Mumbai.</t>
  </si>
  <si>
    <t>P25702049</t>
  </si>
  <si>
    <t>PRAJAPATI</t>
  </si>
  <si>
    <t>ILESHBHAI</t>
  </si>
  <si>
    <t>Prajapati Aditya Ileshbhai</t>
  </si>
  <si>
    <t>prajapatiadi0223@gmail.com</t>
  </si>
  <si>
    <t>p25702049@student.nicmar.ac.in</t>
  </si>
  <si>
    <t>13-Apr-2002</t>
  </si>
  <si>
    <t>English, Hindi and Gujarati</t>
  </si>
  <si>
    <t>5209 4675 1948</t>
  </si>
  <si>
    <t>ILESHBHAI CHIMANBHAI PRAJAPATI</t>
  </si>
  <si>
    <t>SHARMISTHABEN ILESHBHAI PRAJAPATI</t>
  </si>
  <si>
    <t>Govardhan Park Society, Collage Chokdi</t>
  </si>
  <si>
    <t>KNOWLEDGE HIGH SCHOOL</t>
  </si>
  <si>
    <t>B AND B INSTITUTE OF TECHNOLOGY, V V NAGAR</t>
  </si>
  <si>
    <t>DHARMSINH DESAI UNIVERSITY</t>
  </si>
  <si>
    <t>DHARMSINH DESAI UNIVERSITY, NADIAD</t>
  </si>
  <si>
    <t xml:space="preserve">AutoCAD, MS Project, @Risk, Candy, MS Office </t>
  </si>
  <si>
    <t>RUDRANI INFRASTRUCTURE &amp; DEVELOPER | Project Management Intern | VADODARA | May 2026 | Jul 2026 | 8 Weeks | Campus Internship
Road and Building department Anand | Supervisor  | Anand | Dec 2024 | Mar 2025 | 16 Weeks</t>
  </si>
  <si>
    <t>P25702050</t>
  </si>
  <si>
    <t>NIPUN</t>
  </si>
  <si>
    <t>GARUD</t>
  </si>
  <si>
    <t>Nipun Garud</t>
  </si>
  <si>
    <t>nipun.patil2002@gmail.com</t>
  </si>
  <si>
    <t>p25702050@student.nicmar.ac.in</t>
  </si>
  <si>
    <t>19-Oct-2002</t>
  </si>
  <si>
    <t>Chess,cricket,reading books,travelling</t>
  </si>
  <si>
    <t>8634 0814 1855</t>
  </si>
  <si>
    <t>PRAVIN GARUD</t>
  </si>
  <si>
    <t>PALLAVI GARUD</t>
  </si>
  <si>
    <t>519 A Usha Nagar Ext,Indore,M.P,254009</t>
  </si>
  <si>
    <t>CHHATRAPATI SHIVAJI PUBLIC SCHOOL</t>
  </si>
  <si>
    <t>SHRI VAISHNAV POLYTECHNIC COLLEGE INDORE M.P</t>
  </si>
  <si>
    <t>ACROPOLIS INSTITUTE OF TECHNOLOGY &amp; RESEARCH, INDORE, M.P</t>
  </si>
  <si>
    <t>AutoCAD,MS Office,MS Project,Primavera,3DS MAX,TABLEAU,POWER BI,EXCEL AI,BIM,REVIT</t>
  </si>
  <si>
    <t>EZ REALTY  | Real Estate Market Research Intern | Kharadi, Pune | May 2026 | Jul 2026 | 8 Weeks | Campus Internship
Make My House | 2D &amp; 3D Designer  | Indore, Madhya Pradesh  | Dec 2021 | Mar 2023 | 65 Weeks</t>
  </si>
  <si>
    <t>P25702051</t>
  </si>
  <si>
    <t>GANGANAPALLI</t>
  </si>
  <si>
    <t>MUSKIN</t>
  </si>
  <si>
    <t>Ganganapalli Muskin</t>
  </si>
  <si>
    <t>muskinganganapalli89@gmail.com</t>
  </si>
  <si>
    <t>p25702051@student.nicmar.ac.in</t>
  </si>
  <si>
    <t>05-Aug-2002</t>
  </si>
  <si>
    <t>ENGLISH,HINDI,TELUGU,KANNADA</t>
  </si>
  <si>
    <t>GARDENING,TRAVELING,CRICKET</t>
  </si>
  <si>
    <t>4049 9009 6186</t>
  </si>
  <si>
    <t>GANGANAPALLI RAGHUF</t>
  </si>
  <si>
    <t>GANGANAPALLI MUSKINAMMA</t>
  </si>
  <si>
    <t>MAIN ROAD_x000D_
NEAR GOVERNMENT HIGH SCHOOL TALUPULA</t>
  </si>
  <si>
    <t>6-164,Ganjivaripalli (v), Talupula Mandal,Vepamanipeta</t>
  </si>
  <si>
    <t>SREE VALMEEKI E M HIGH SCHOOL</t>
  </si>
  <si>
    <t>BOARD OF  SECONDARY EDUCATION ,ANDHRA PRADESH</t>
  </si>
  <si>
    <t>MADANAPALLE INSTITUTE OF TECHNOLOGY AND SCIENCE</t>
  </si>
  <si>
    <t>SURYA PRIYA CONSTRUCTIONS PRIVATE LIMITED | SITE ENGINEER | Hosakote, Bangalore | Jan 2024 | Jun 2025 | 1 Years, 4 Months, 25 Days | 4.67</t>
  </si>
  <si>
    <t>VSL India Pvt Ltd | Site Execution  | Chennai | May 2026 | Jul 2026 | 8 Weeks | Campus Internship</t>
  </si>
  <si>
    <t>P25702052</t>
  </si>
  <si>
    <t>Ayush Santosh Jadhav</t>
  </si>
  <si>
    <t>ayushjadhav14@gmail.com</t>
  </si>
  <si>
    <t>p25702052@student.nicmar.ac.in</t>
  </si>
  <si>
    <t>14-Feb-2001</t>
  </si>
  <si>
    <t>3935 1515 3132</t>
  </si>
  <si>
    <t>SANTOSH JADHAV</t>
  </si>
  <si>
    <t>TEJASWI JADHAV</t>
  </si>
  <si>
    <t>GOVT LEACTURER</t>
  </si>
  <si>
    <t>1307a Renuka Nivas Foujdar Galli Satyavijay Chowk Rissila Road Khanbhag Sangli</t>
  </si>
  <si>
    <t>CAMBRIDGE JR COLLAHE</t>
  </si>
  <si>
    <t>RAJARAMBAPU INSTITUTE OF TECHNOLOGY SAKHARALE ISLAMPUR</t>
  </si>
  <si>
    <t>Mantra Properties And Developers Pvt Ltd | Land Acquisition &amp; Business Developement  | Pune  | May 2026 | Jul 2026 | 8 Weeks | Campus Internship
MANTRA PROPERTIES AND DEVELOPERS PVT LTD | INTERN PROJECT CO-ORDINATOR RE-DEVELOMENT DIVISION | PUNE MUMBAI  | Jan 2023 | May 2023 | 20 Weeks</t>
  </si>
  <si>
    <t>Engineering Problem Solving using TK Solver and Advanced MS Excel Organized by Department of Civil Engineering of Rajarambapu Institute of Technology In Association with ICACI RIT Student Chapter "CONCRITUS"</t>
  </si>
  <si>
    <t>P25702053</t>
  </si>
  <si>
    <t>Kaushal Surendra Shetty</t>
  </si>
  <si>
    <t>kaushalshetty188@gmail.com</t>
  </si>
  <si>
    <t>p25702053@student.nicmar.ac.in</t>
  </si>
  <si>
    <t>ENGLISH , HINDI , MARATHI , TULU</t>
  </si>
  <si>
    <t>Unconventional travelling,Volunteeering and social impact,Edurance sports,Creative arts</t>
  </si>
  <si>
    <t>7839 2968 3005</t>
  </si>
  <si>
    <t>SURENDRA SHETTY</t>
  </si>
  <si>
    <t>SMITHA SHETTY</t>
  </si>
  <si>
    <t>Plot No 18 Sai Vrandavan Colony Paithan Road</t>
  </si>
  <si>
    <t>CHHATRAPATI SHIVAJI PREPARATORY HIGH SCHOOL</t>
  </si>
  <si>
    <t>MAHARASTRA</t>
  </si>
  <si>
    <t>MIT ACADEMY OF ENGINEERING</t>
  </si>
  <si>
    <t>AutoCAD,MS Office,MS Project,MS Excel, Revit, BIM</t>
  </si>
  <si>
    <t>GIGFACTORY | BUISNESS DEVELOPMENT | MUMBAI | May 2026 | Jul 2026 | 8 Weeks | Campus Internship
INTERNSHIPWALA CAREERS | BUILDING CONSTRUCTOR | PUNE | Jun 2021 | Aug 2021 | 8 Weeks</t>
  </si>
  <si>
    <t>P25702054</t>
  </si>
  <si>
    <t>Yash Rajesh Shrivastava</t>
  </si>
  <si>
    <t>yash130502@gmail.com</t>
  </si>
  <si>
    <t>p25702054@student.nicmar.ac.in</t>
  </si>
  <si>
    <t>13-May-2002</t>
  </si>
  <si>
    <t>ENGLISH, HINDI ,MARATHI</t>
  </si>
  <si>
    <t>6540 4120 1327</t>
  </si>
  <si>
    <t>RAJESH SHRIVASTAVA</t>
  </si>
  <si>
    <t>MAMTA SHRIVASTAVA</t>
  </si>
  <si>
    <t>A-302, ACCORD CHS LTD,TANK ROAD,KANDIVALI VILLAGE, OFF M G ROAD, KANDIVALI WEST,MUMBAI</t>
  </si>
  <si>
    <t>SARDAR VALLABHBHAI PATEL VIVIDHLAKSHI VIDYLAYA</t>
  </si>
  <si>
    <t>MAHARASHTRA STATE BOARD OF SECONDARY AND HIGHER SECONDARY EDUCATION,MUMBAI</t>
  </si>
  <si>
    <t>SHRI TIKAMDAS PURSHOTAM BHATIA COLLEGE OF SCIENCE</t>
  </si>
  <si>
    <t>THAKUR POLYTECHNIC, MUMBAI, MAHARASHTRA</t>
  </si>
  <si>
    <t>SHREE L R TIWARI COLLEGE OF ENGINEERING ,MIRA-BHAYANDAR, THANE, MAHARASHTRA</t>
  </si>
  <si>
    <t>AutoCAD,MS Office,MS Project,Canva,Candy,Primavera</t>
  </si>
  <si>
    <t>SJ PROJECT MANAGEMENT CONSULTANT | Graduate Engineer Trainee (Civil) | Dattani Village,Vasai West, Mumbai,Maharashtra | Oct 2024 | Jun 2025 | 0 Years, 8 Months, 23 Days | 2.64</t>
  </si>
  <si>
    <t>PSP Projects Ltd | Civil Intern  | Mumbai, Maharashtra | May 2026 | Jul 2026 | 8 Weeks | Campus Internship</t>
  </si>
  <si>
    <t>AutoCAD for Civil Engineers
FINLATICS EQUITY MARKETS ANALYST
Introduction to financial accounting</t>
  </si>
  <si>
    <t>P25702055</t>
  </si>
  <si>
    <t>DHANVIJAY</t>
  </si>
  <si>
    <t>Manasi Narendra Dhanvijay</t>
  </si>
  <si>
    <t>mansidhanvijay2001@gmail.com</t>
  </si>
  <si>
    <t>p25702055@student.nicmar.ac.in</t>
  </si>
  <si>
    <t>3752 3688 9319</t>
  </si>
  <si>
    <t>NARENDRA DHANVIJAY</t>
  </si>
  <si>
    <t>PRABHA DHANVIJAY</t>
  </si>
  <si>
    <t>VARAD RESIDENCY, BALEWADI ROAD, BALEWADI .</t>
  </si>
  <si>
    <t>Gaurav Residency Lashkaribagh Bhoslewadi  Nagpur</t>
  </si>
  <si>
    <t>ST JOESPH CONVENT GIRLS HIGH SCHOOL &amp; JR COLLEGE</t>
  </si>
  <si>
    <t>CIVIL ENGINERING</t>
  </si>
  <si>
    <t>RASHTRASANT TUKODOJI MAHARAJ NAGPUR</t>
  </si>
  <si>
    <t>G H RAISONI INSTITUTE OF ENGINEERING AND TECHNOLOGY, NAGPUR</t>
  </si>
  <si>
    <t>Ecoboard industries Ltd  | Business development intern  | Pune  | May 2026 | Jun 2026 | 8 Weeks | Campus Internship
Green City | Intern  | Jafan Nagar, main road  | May 2019 | Jun 2019 | 5 Weeks
Rahat Ali Civil Contractor | Intern  | Jafan Nagar  | Jun 2022 | Jul 2022 | 4 Weeks
Faecom | Intern  | IT Park Nagpur  | Jan 2024 | May 2024 | 21 Weeks</t>
  </si>
  <si>
    <t>Introduction to financial accounting
Urban land economics and real estate market dynamics</t>
  </si>
  <si>
    <t>P25702056</t>
  </si>
  <si>
    <t>JEEVA</t>
  </si>
  <si>
    <t>KARTHICK</t>
  </si>
  <si>
    <t>Jeeva Karthick K</t>
  </si>
  <si>
    <t>jeevakarthick1130@gmail.com</t>
  </si>
  <si>
    <t>p25702056@student.nicmar.ac.in</t>
  </si>
  <si>
    <t>30-Nov-2000</t>
  </si>
  <si>
    <t>TAMIL &amp; ENGLISH</t>
  </si>
  <si>
    <t>6479 1505 4993</t>
  </si>
  <si>
    <t>KANAGARAJ R</t>
  </si>
  <si>
    <t>GEETHA LAKSHMI K</t>
  </si>
  <si>
    <t>4/380 A1, Jeevakarthick Illam, Sasi Nagar, Kaveri Street, Thanbal Thandi Nagar Virivakkam,</t>
  </si>
  <si>
    <t>CEOA MATRICULATION HIGHER SECONDARY SCHOOL</t>
  </si>
  <si>
    <t>MADURAI, TAMILNADU</t>
  </si>
  <si>
    <t>CHENGALPATTU, TAMIL NADU</t>
  </si>
  <si>
    <t>AutoCAD,MS Office,sketchup,lumion,photoshop,Indesign,Enscape</t>
  </si>
  <si>
    <t>Le-arch design studio | Junior architect | Adyar, chennai | Jul 2024 | Dec 2024 | 0 Years, 5 Months, 29 Days | 2.16</t>
  </si>
  <si>
    <t>VSL INDIA PVT. LTD | SITE EXECUTION | CHENNAI | May 2026 | Jul 2026 | 8 Weeks | Campus Internship
Balaji associates | Intern | Chennai | Jun 2022 | Sep 2022 | 14 Weeks</t>
  </si>
  <si>
    <t>P25702057</t>
  </si>
  <si>
    <t>YERNE</t>
  </si>
  <si>
    <t>Rakesh Sunil Yerne</t>
  </si>
  <si>
    <t>rakeshyerne0208@gmail.com</t>
  </si>
  <si>
    <t>p25702057@student.nicmar.ac.in</t>
  </si>
  <si>
    <t>02-Aug-2001</t>
  </si>
  <si>
    <t>ENGLSIH,HINDI,MARATHI</t>
  </si>
  <si>
    <t>5381 5544 4304</t>
  </si>
  <si>
    <t>SUNIL YERNE</t>
  </si>
  <si>
    <t>SHALU YERNE</t>
  </si>
  <si>
    <t>SKYLINE PG 2, INFRONT OF HIRAI SITAI MANDIR,HINJEWADI</t>
  </si>
  <si>
    <t>S/o Sunil Yerne, Durga Nagar, Tumsar, Bhandara</t>
  </si>
  <si>
    <t>PROGRESSIVE ENGLISH SCHOOL</t>
  </si>
  <si>
    <t>CBSE-DELHI</t>
  </si>
  <si>
    <t>Ecas Co. | Business Development Intern | Remote  | May 2026 | Jul 2026 | 8 Weeks | Campus Internship
SHRI SHAKTI CONSTRUCTION | TRAINEE ENGINEER | GONDIA | Jul 2023 | Dec 2023 | 21 Weeks
PS PROJECTS INDIA | TRAINEE ENGINEER | CHAKAN , PUNE | Dec 2024 | May 2025 | 21 Weeks</t>
  </si>
  <si>
    <t>The Board of TIJER- International Research Journal
PG Diploma in Advanced Computing</t>
  </si>
  <si>
    <t>P25702058</t>
  </si>
  <si>
    <t>ANUBROTO</t>
  </si>
  <si>
    <t>Anubroto Ghosh</t>
  </si>
  <si>
    <t>anubrotoghosh09@gmail.com</t>
  </si>
  <si>
    <t>p25702058@student.nicmar.ac.in</t>
  </si>
  <si>
    <t>09-Dec-2000</t>
  </si>
  <si>
    <t>ENGLISH, HINDI, BENGALI, ASSAMESE</t>
  </si>
  <si>
    <t>9336 4529 7725</t>
  </si>
  <si>
    <t>SUJIT GHOSH</t>
  </si>
  <si>
    <t>SREEPARNA GHOSH</t>
  </si>
  <si>
    <t>Sujit Ghosh, Flat # F/C, R S Sengupta Villa, Behind Bandhav Samity Club, East Bankimpally, Madhyamgram, Kolkata, WestÂ Bengal</t>
  </si>
  <si>
    <t>JULIEN DAY SCHOOL</t>
  </si>
  <si>
    <t>KALINGA INSTITUTE OF INDUSTRIAL TECHNOLOGY, BHUBANESHWAR</t>
  </si>
  <si>
    <t>AutoCAD,MS Office,MS Project,Adobe Suite,Revit,Twinmotion,Lumion,Enscape</t>
  </si>
  <si>
    <t>Address Advisors Pvt. Ltd.  | Business Development | Bengaluru  | May 2026 | Jul 2026 | 9 Weeks | Campus Internship</t>
  </si>
  <si>
    <t>P25702059</t>
  </si>
  <si>
    <t>GAURAVI</t>
  </si>
  <si>
    <t>Gauravi Dilip Sonawane</t>
  </si>
  <si>
    <t>gauravisonawane5@gmail.com</t>
  </si>
  <si>
    <t>p25702059@student.nicmar.ac.in</t>
  </si>
  <si>
    <t>05-Jun-2000</t>
  </si>
  <si>
    <t>MARATHI,HINDI AND ENGLISH</t>
  </si>
  <si>
    <t>9406 8857 4701</t>
  </si>
  <si>
    <t>PRAMILA</t>
  </si>
  <si>
    <t>507, Ashok Vatika, Yashasvi Nagar, Dokali Road, Thane (w)</t>
  </si>
  <si>
    <t>GRAMIN SHIKSHAN SANSTHA ENGLISH HIGH SCHOOL AND JUNIOR COLLEGE</t>
  </si>
  <si>
    <t>MAHARASHTRA STATE BOARD, MAHARASTRA</t>
  </si>
  <si>
    <t>M.H. HIGH SCHOOL AND JUNIOR COLLEGE</t>
  </si>
  <si>
    <t>PILLAI HOC COLLEGE OF ARCHITECTURE,PANVEL, RASAYANI, MAHARASHTRA</t>
  </si>
  <si>
    <t>AutoCAD,MS Office,Revit,SketchUp,Lumion</t>
  </si>
  <si>
    <t>O'archilos | Architect | Thane | Oct 2022 | May 2024 | 1 Years, 7 Months, 19 Days | 2.91
Apices | Jr. Architect | Thane | Aug 2024 | Jun 2025 | 0 Years, 9 Months, 30 Days | 3.36</t>
  </si>
  <si>
    <t>Sandeep Shikre &amp; Associates (SSA) | Project Management Intern | Mumbai, Maharashtra | May 2026 | Jul 2026 | 8 Weeks | Campus Internship
AVM ARCHITECTS | INTERN | THANE | Jan 2021 | May 2021 | 18 Weeks</t>
  </si>
  <si>
    <t>P25702060</t>
  </si>
  <si>
    <t>NAYAK</t>
  </si>
  <si>
    <t>Anshuman Nayak</t>
  </si>
  <si>
    <t>anshubablu24@gmail.com</t>
  </si>
  <si>
    <t>p25702060@student.nicmar.ac.in</t>
  </si>
  <si>
    <t>WATCHING NEWS,GETTING UPDATES ON GLOBAL CONFLICTS AND WARS,DEFENCE UPDATES OF VARIOUS COUNTRIES</t>
  </si>
  <si>
    <t>7840 9981 9522</t>
  </si>
  <si>
    <t>SHESHADEV NAYAK</t>
  </si>
  <si>
    <t>RETD GOVT SERVANT</t>
  </si>
  <si>
    <t>MAMATA NAYAK</t>
  </si>
  <si>
    <t>NURSING OFFICER</t>
  </si>
  <si>
    <t>PLOT NO-318/894 RANASINGPUR NEAR AIIMS BBSR DIST-KHORDHA BHUBANESWAR</t>
  </si>
  <si>
    <t>KENDRIYA VIDYALAYA NO-2 CRPF BHUBANESWAR ODISHA</t>
  </si>
  <si>
    <t>CENTRAL BOARD OF SECONDARY EDUCATION,  BHUBANESWAR/ODISHA</t>
  </si>
  <si>
    <t>BUXI JAGABANDHU ENGLISH MEDIUM SCHOOL 2, SATYABHAMAPUR BHUBANESWAR ODISHA</t>
  </si>
  <si>
    <t>VEER SURENDRA SAI UNIVERSITY OF TECHNOLOGY, BURLA SAMBALPUR ODISHA</t>
  </si>
  <si>
    <t>AutoCAD , MS Office , MS Project, Primavera, STAAD PRO.</t>
  </si>
  <si>
    <t>CLANCY GLOBAL AKG BUILDING CONSULTANTS PVT .LTD | SITE EXECUTION  | BANGALORE  | May 2026 | Jul 2026 | 8 Weeks | Campus Internship
CENTRAL TOOL ROOM &amp; TRAINING CENTRE | INTERN | BHUBANESWAR | Jun 2022 | Jun 2022 | 4 Weeks
ODISHA INDUSTRIAL INFRASTRUCTURE DEVELOPEMENT CORPORATION | INTERN | BHUBANESWAR | May 2023 | Jun 2023 | 2 Weeks
OFFICE OF THE EXECUTIVE ENGINEER (R&amp;B) BHUBANESWAR | TENDERING ,SOPS OF GOVT WORKING AND ESTIMATION WORKS | BHUBANESWAR | May 2023 | Jun 2023 | 4 Weeks</t>
  </si>
  <si>
    <t>STAAD PRO</t>
  </si>
  <si>
    <t>P25702061</t>
  </si>
  <si>
    <t>PRACHET</t>
  </si>
  <si>
    <t>ACHARY</t>
  </si>
  <si>
    <t>Prachet Babu Achary</t>
  </si>
  <si>
    <t>prachetkaka2010@gmail.com</t>
  </si>
  <si>
    <t>p25702061@student.nicmar.ac.in</t>
  </si>
  <si>
    <t>18-May-2002</t>
  </si>
  <si>
    <t>ENGLISH, HINDI, MARATHI AND MALAYALAM</t>
  </si>
  <si>
    <t>8999 1555 8994</t>
  </si>
  <si>
    <t>2nd Ranjana Niwas, Near Samarth Gym, Tank Pakhadi, Road No.3, Sahar Village, Andheri East_x000D_
Near Sahar BMC Ground</t>
  </si>
  <si>
    <t>BOMBAY CAMBRIDGE SCHOOL, MUMBAI</t>
  </si>
  <si>
    <t>DIVINE CHILD JUNIOR COLLEGE, MUMBAI</t>
  </si>
  <si>
    <t>SHREE L.R.TIWARI COLLEGE OF ENGINEERING, MIRA-BHAYANDAR, THANE, MAHARASHTRA</t>
  </si>
  <si>
    <t>AutoCAD,MS Excel</t>
  </si>
  <si>
    <t>Address Advisors | Business Development | Bangalore | May 2026 | Jul 2026 | 9 Weeks | Campus Internship
Varun Enterprises | Trainee Site Supervisor | Mumbai | Dec 2022 | Jan 2023 | 4 Weeks
Shree L.R. Tiwari College Of Engineering | Intern | Mira Road | Jan 2023 | Jan 2023 | 3 Weeks</t>
  </si>
  <si>
    <t>Corporate Finance
Urban Land Economics and Real Estate Market Dynamics</t>
  </si>
  <si>
    <t>P25702062</t>
  </si>
  <si>
    <t>ANILRAO</t>
  </si>
  <si>
    <t>WANKAR</t>
  </si>
  <si>
    <t>Pawan Anilrao Wankar</t>
  </si>
  <si>
    <t>pawanwankar09@gmail.com</t>
  </si>
  <si>
    <t>p25702062@student.nicmar.ac.in</t>
  </si>
  <si>
    <t>08-Apr-2001</t>
  </si>
  <si>
    <t>2665 7870 3059</t>
  </si>
  <si>
    <t>ANIL DADAJI WANKAR</t>
  </si>
  <si>
    <t>MAYA ANILRAO WANKAR</t>
  </si>
  <si>
    <t>GANJRE LAYOUT, PIPRI, WARDHA.</t>
  </si>
  <si>
    <t>RASHTRA SANT TUKDOJI MAHARAJ VIDYALAY, WARDHA.</t>
  </si>
  <si>
    <t>MAHARASHTRA STATE BOARD OF SECONDARY AND HIGHER SECONDARY EDUCATION, WARDHA, MAHARASHTRA.</t>
  </si>
  <si>
    <t>JANKIDEVI BAJAJ COLLEGE OF SCIENCE, WARDHA.</t>
  </si>
  <si>
    <t>DR. BABASAHEB AMBEDKAR TECHNOLOGICAL UNIVERSITY, LONERE.</t>
  </si>
  <si>
    <t>BAJAJ INSTITUTE OF TECHNOLOGY, WARDHA.</t>
  </si>
  <si>
    <t>MS Project, Primavera P6, AutoCAD, MS Office, Revit-Architecture, Revit-Structure</t>
  </si>
  <si>
    <t>HARSHAL BUILDCON LLP. | Site Engineer | Bajaj Auto Limited, Chakan, Plant - II, Pune. | Sep 2022 | Jun 2023 | 0 Years, 9 Months, 28 Days | 1.56
MILLENNIUM ENGINEERS &amp; CONTRACTORS PVT.LTD. | Jr. Engineer - Execution | Vishrantwadi, Pune. | Jul 2023 | Jun 2024 | 0 Years, 11 Months, 7 Days | 2.8
PS PROJECTS INDIA | Jr. Engineer - Execution | Malpani Industrial and logistic park, Chakan, Pune | Jun 2024 | Jul 2025 | 1 Years, 0 Months, 18 Days | 4.08</t>
  </si>
  <si>
    <t>ECAS.CO | Business Development - Intern | Remote | May 2026 | Jul 2026 | 8 Weeks | Campus Internship
HARSHAL BULDCON LLP. | Technical coordinator- Execution | Bajaj Auto Limited Phase- II, Chakan, Pune. | Feb 2022 | Jun 2022 | 18 Weeks</t>
  </si>
  <si>
    <t>P25702063</t>
  </si>
  <si>
    <t>TANVI</t>
  </si>
  <si>
    <t>SUNE</t>
  </si>
  <si>
    <t>Tanvi Anil Sune</t>
  </si>
  <si>
    <t>tanvisune2@gmail.com</t>
  </si>
  <si>
    <t>p25702063@student.nicmar.ac.in</t>
  </si>
  <si>
    <t>25-Nov-2000</t>
  </si>
  <si>
    <t>8077 9405 5263</t>
  </si>
  <si>
    <t>ANIL P SUNE</t>
  </si>
  <si>
    <t>SANGITA ANIL SUNE</t>
  </si>
  <si>
    <t>12, New ITI Colony Kanta Nagar Camp, Amravati_x000D_
Near Gajanan Maharaj Mandir</t>
  </si>
  <si>
    <t>SAINT PAUL'S ACADEMY, AKOT, AKOLA, MAHARASHTRA, 444101</t>
  </si>
  <si>
    <t>LAL BAHADUR SHASTRI DNYANPEETH, JUNIOR COLLEGE OF SCIENCE &amp; COMMERCE, AKOT, AKOLA, MAHARASHTRA, 444101</t>
  </si>
  <si>
    <t>D.Y.PATIL SCHOOL OF ARCHITECTURE, AMBI, PUNE, MAHARSHTRA</t>
  </si>
  <si>
    <t>Autocad, MS Office,sketch up, lumion, Primavera, candy, MS project, power BI</t>
  </si>
  <si>
    <t>Metalux Space Solutions PVT. LMT | Interior designer &amp; Project Management Associate  | Pune | Jun 2023 | Jun 2025 | 2 Years, 0 Months, 0 Days | 3.6</t>
  </si>
  <si>
    <t>Sri Vaarahi Real Asset, Hyderabad, Telangana | Intern - Real Estate Advisory | Hyderabad | May 2026 | Jul 2026 | 8 Weeks | Campus Internship
Kymera Design Studio | Intern Architect  | Aundh, Pune | Jun 2022 | Dec 2022 | 26 Weeks</t>
  </si>
  <si>
    <t>P25702064</t>
  </si>
  <si>
    <t>BHASKARA SAI</t>
  </si>
  <si>
    <t>CHAKRAVARTULA</t>
  </si>
  <si>
    <t>Bhaskara Sai Chakravartula</t>
  </si>
  <si>
    <t>bhaskarasaic@gmail.com</t>
  </si>
  <si>
    <t>p25702064@student.nicmar.ac.in</t>
  </si>
  <si>
    <t>3939 0703 8961</t>
  </si>
  <si>
    <t>GANGA KUMAR CHAKRAVARTULA</t>
  </si>
  <si>
    <t>TULASI CHAKRAVARTULA</t>
  </si>
  <si>
    <t>H.NO-5, Phase-3, Jewel County Apartments Road, Sri Sai Srinivasa Nagar Colony, Keserapalli.</t>
  </si>
  <si>
    <t>P OBUL REDDY PUBLIC SCHOOL</t>
  </si>
  <si>
    <t>CENTRAL BOARD OF SECONDARY EDUCATION, TELANGANA</t>
  </si>
  <si>
    <t>Address Advisors | Business development Intern  | Hyderabad | May 2026 | Jul 2026 | 9 Weeks | Campus Internship</t>
  </si>
  <si>
    <t>P25702065</t>
  </si>
  <si>
    <t>VED</t>
  </si>
  <si>
    <t>Ved Manoj Patel</t>
  </si>
  <si>
    <t>vedpatel9158@gmail.com</t>
  </si>
  <si>
    <t>p25702065@student.nicmar.ac.in</t>
  </si>
  <si>
    <t>ENGLISH, HINDI, MARATHI AND GUJARATI</t>
  </si>
  <si>
    <t>9560 6682 2240</t>
  </si>
  <si>
    <t>MANOJ PATEL</t>
  </si>
  <si>
    <t>RITA PATEL</t>
  </si>
  <si>
    <t>Samarpan Society, Moshi Pradhikaran Pune</t>
  </si>
  <si>
    <t>SHRI P P D SANSKAR MANDIR PUNE</t>
  </si>
  <si>
    <t>CBSE PUNE/MAHARASHTRA</t>
  </si>
  <si>
    <t>PRATIBHA JUNIOR COLLEGE</t>
  </si>
  <si>
    <t>MAHARASHTRA BOARD PUNE/MAHARASHTRA</t>
  </si>
  <si>
    <t>SYMBIOSIS SKILLS AND PROFESSIONAL UNIVERSITY</t>
  </si>
  <si>
    <t>SYMBIOSIS SKILLS AND PROFESSIONAL UNIVERSITY PUNE/MAHARASHTRA</t>
  </si>
  <si>
    <t>MS Office,MS Project,Tableau</t>
  </si>
  <si>
    <t>Keylance Realty LLP | Sales Intern | Ravet, Pune | May 2026 | Jun 2026 | 8 Weeks | Campus Internship
Future Icon | Web Developer  | Mumbai | Feb 2025 | Jun 2025 | 17 Weeks
ARC Solution | Data Analyst Intern  | Pune | Jun 2024 | Aug 2024 | 8 Weeks
Cyber Secured India | Web Developer  | Pune | Jun 2023 | Sep 2023 | 15 Weeks</t>
  </si>
  <si>
    <t>P25702066</t>
  </si>
  <si>
    <t>DHARMESH</t>
  </si>
  <si>
    <t>ZANJARI</t>
  </si>
  <si>
    <t>Dharmesh Pradeep Zanjari</t>
  </si>
  <si>
    <t>dharmeshzanjari011@gmail.com</t>
  </si>
  <si>
    <t>p25702066@student.nicmar.ac.in</t>
  </si>
  <si>
    <t>11-Apr-2004</t>
  </si>
  <si>
    <t>5412 2477 0926</t>
  </si>
  <si>
    <t>SAINATH COLONY,GANGAPUR ROAD,VAIJAPUR 423701</t>
  </si>
  <si>
    <t>SAINT MONICA ENGLISH SCHOOL</t>
  </si>
  <si>
    <t>DEOGIRI COLLEGE OF COMMERCE</t>
  </si>
  <si>
    <t>BRIHAN MAHARASHTRA COLLEGE OF COMMERCE</t>
  </si>
  <si>
    <t>other,MS EXCEL</t>
  </si>
  <si>
    <t>AADI ENGINEERS AND CONSULTANTS | PROJECT MANAGEMENT | AURANGABAD | Apr 2025 | Jul 2025 | 13 Weeks
Suryam Developers LLP | Project Planning and Site Management Intern | Ahmedabad | May 2026 | Jul 2026 | 8 Weeks</t>
  </si>
  <si>
    <t>P25702067</t>
  </si>
  <si>
    <t>SHRAVANI</t>
  </si>
  <si>
    <t>Shravani Deepak Garud</t>
  </si>
  <si>
    <t>shravanigarud317109@gmail.com</t>
  </si>
  <si>
    <t>p25702067@student.nicmar.ac.in</t>
  </si>
  <si>
    <t>17-Jan-2004</t>
  </si>
  <si>
    <t>8969 5155 1552</t>
  </si>
  <si>
    <t>Paras Nagar, Shendurni Tal: Jamner Dist: Jalgaon</t>
  </si>
  <si>
    <t>A G R GARUD M V SHENDURNI</t>
  </si>
  <si>
    <t>MAHARASHTRA CITY: SHENDURNI</t>
  </si>
  <si>
    <t>GOVERNMENT POLYTECHNIQUE JALGAON</t>
  </si>
  <si>
    <t>AMRUTVAHINI COLLEGE OF ENGINEERING SANGAMNER</t>
  </si>
  <si>
    <t>Godrej Properties Limited  | Operation | Maan-Hinje Pune  | May 2026 | Jul 2026 | 8 Weeks | Campus Internship
Swaraj Construction Pvt Limited, Sangamner | Site Supervisor Trainee | sangamner | Dec 2023 | Jan 2024 | 4 Weeks</t>
  </si>
  <si>
    <t>Project management</t>
  </si>
  <si>
    <t>P25702068</t>
  </si>
  <si>
    <t>JAINIL</t>
  </si>
  <si>
    <t>UPESHBHAI</t>
  </si>
  <si>
    <t>Jainil Upeshbhai Shah</t>
  </si>
  <si>
    <t>jainil523@icloud.com</t>
  </si>
  <si>
    <t>p25702068@student.nicmar.ac.in</t>
  </si>
  <si>
    <t>HINDI,ENGLISH,GUJRATI</t>
  </si>
  <si>
    <t>7707 2952 7940</t>
  </si>
  <si>
    <t>UPESH SHAH</t>
  </si>
  <si>
    <t>AMITA SHAH</t>
  </si>
  <si>
    <t>A-35 Shantiniketan Society Opposite Aashirvad Complex Beside Suryanagar Garba Ground ,waghodiya Road_x000D_
Colony</t>
  </si>
  <si>
    <t>BRIGHT SCHOOL</t>
  </si>
  <si>
    <t>GUJRAT SECONDARY AND HIGHER SECONDARY BOARD OF EDUCATION</t>
  </si>
  <si>
    <t>VITTHAL VIDHYALAYA</t>
  </si>
  <si>
    <t>GUJRAT TECHNICAL UNIVERSITY</t>
  </si>
  <si>
    <t>SARDAR VALLABHBHAI PATEL INSTITUTE OF TECHNOLOGY,VASAD</t>
  </si>
  <si>
    <t>DESAI CONSTRUCTION PRIVATE LIMITED  | SITE EXECUTION  | DHARAMPUR,GUJRAT  | May 2026 | Jul 2026 | 8 Weeks | Campus Internship
NILAMBER GROUPS | CONSTRUCTION SITE  (CONSTRUCTION EXECUTED BY NCCCL) | VADODARA | Feb 2025 | Apr 2025 | 11 Weeks</t>
  </si>
  <si>
    <t>P25702069</t>
  </si>
  <si>
    <t>Tejas Santosh Shede</t>
  </si>
  <si>
    <t>shedetejas2001@gmail.com</t>
  </si>
  <si>
    <t>p25702069@student.nicmar.ac.in</t>
  </si>
  <si>
    <t>4988 9063 7317</t>
  </si>
  <si>
    <t>SONAM</t>
  </si>
  <si>
    <t>At Post.Sakharpa, Tai- Sangameshwar</t>
  </si>
  <si>
    <t>SHREEMAN TUKARAM GANSHET GANDHI VIDYALAY, KONDGAON</t>
  </si>
  <si>
    <t>KOKAN DIVISIONAL BOARD/MAHARASHTRA</t>
  </si>
  <si>
    <t>KAI.SAU.MEENATAI THAKARE KANISHTA MAHAVIDYALAY, SADVALI</t>
  </si>
  <si>
    <t>D.Y.PATIL COLLEGE OF ENGINEERING AND TECHNOLOGY, KASABA, BAWADA, KOLHAPUR</t>
  </si>
  <si>
    <t>AutoCAD,ETABS</t>
  </si>
  <si>
    <t>B G Shirke Construction Technology Pvt. Ltd. | Site Execution | Navade, Navi Mumbai (CIDCO Project-IV) | May 2026 | Jul 2026 | 8 Weeks | Campus Internship</t>
  </si>
  <si>
    <t>ETABS
Autocad</t>
  </si>
  <si>
    <t>P25702070</t>
  </si>
  <si>
    <t>Daksh Vinod Patel</t>
  </si>
  <si>
    <t>dakshp640@gmail.com</t>
  </si>
  <si>
    <t>p25702070@student.nicmar.ac.in</t>
  </si>
  <si>
    <t>01-Sep-2004</t>
  </si>
  <si>
    <t>HINDI, GUJARATI, MARATHI, ENGLISH</t>
  </si>
  <si>
    <t>9522 9240 9735</t>
  </si>
  <si>
    <t>VINOD V. PATEL</t>
  </si>
  <si>
    <t>CHANDRIKA V. PATEL</t>
  </si>
  <si>
    <t>HOUSE WIFE/ HOUSE MAKER</t>
  </si>
  <si>
    <t>Behind Aashirwad Hall, Umred</t>
  </si>
  <si>
    <t>MODERN HIGH SCHOOL</t>
  </si>
  <si>
    <t>MAHARASHTRA STATE BOARD (SSC), NAGPUR, MAHARASHTRA</t>
  </si>
  <si>
    <t>ASHOK JUNIOR COLLEGE</t>
  </si>
  <si>
    <t>MAHARASHTRA STATE BOARD (HSC), NAGPUR, MAHARASHTRA</t>
  </si>
  <si>
    <t>CITY PRIMER COLLEGE, NAGPUR, MAHARASHTRA</t>
  </si>
  <si>
    <t>AutoCAD,MS Office,MS Project,Tally,Visual Studio Code,Tally Prime,TypingMaster</t>
  </si>
  <si>
    <t>The Tax Therapist  | Inten Finance, Taxation and Accounting  | Mumbai (Hybrid) | May 2026 | Jul 2026 | 9 Weeks | Campus Internship</t>
  </si>
  <si>
    <t>Certificate Course in Advance Accounting
Sustainable Urban Water System
Urban Land Economics and Real Estate Market Dynamics
Introduction to Financial Accounting
Fundamentals of the C Language: Getting Started</t>
  </si>
  <si>
    <t>P25702071</t>
  </si>
  <si>
    <t>RISHIPATHAK</t>
  </si>
  <si>
    <t>Sarvesh Sanjay Rishipathak</t>
  </si>
  <si>
    <t>sarveshrishipathak2003@gmail.com</t>
  </si>
  <si>
    <t>p25702071@student.nicmar.ac.in</t>
  </si>
  <si>
    <t>2439 7294 9922</t>
  </si>
  <si>
    <t>SANJAY RAMESH RISHIPATHAK</t>
  </si>
  <si>
    <t>VAISHALI SANJAY RISHIPATHAK</t>
  </si>
  <si>
    <t>Flat No. 203, Plot No. 230, Priyadarshani Chs, Sector-04, Airoli, Navi Mumbai, 400708</t>
  </si>
  <si>
    <t>SMT. RADHIKABAI MEGHE VIDYALAYA, AIROLI, NAVI MUMBAI</t>
  </si>
  <si>
    <t>FR. AGNEL POLYTECHNIC, VASHI, NAVI MUMBAI</t>
  </si>
  <si>
    <t>MAHATMA GANDHI MISSION'S COLLEGE OF ENGINEERING, KAMOTHE, NAVI MUMBAI</t>
  </si>
  <si>
    <t>B.G Shirke Construction Technology Pvt.Ltd | Site Execution | Nawade, Navi Mmumbai | May 2026 | Jul 2026 | 8 Weeks | Campus Internship
B G Shirke Construction Technology Pvt Ltd | Intern | Taloja, Navi Mumbai | Aug 2021 | Sep 2021 | 4 Weeks</t>
  </si>
  <si>
    <t>P25702072</t>
  </si>
  <si>
    <t>GHANGALE</t>
  </si>
  <si>
    <t>Pradnya Laxman Ghangale</t>
  </si>
  <si>
    <t>ghangalepradnya72@gmail.com</t>
  </si>
  <si>
    <t>p25702072@student.nicmar.ac.in</t>
  </si>
  <si>
    <t>17-May-2001</t>
  </si>
  <si>
    <t>6836 2431 8567</t>
  </si>
  <si>
    <t>WAKDEWADI,SHIVAJINAGAR,PUNE,411003_x000D_</t>
  </si>
  <si>
    <t>AT POST RAJURI,TAL-JUNNAR,DIST-PUNE</t>
  </si>
  <si>
    <t>VIDYA VIKAS MANDIR,RAJURI</t>
  </si>
  <si>
    <t>DR.BHANUBEN NANAVATI COLLEGE OF ARCHITECTURE,PUNE</t>
  </si>
  <si>
    <t>Wani Projects and Infra Pvt. Ltd. | Project Planning Intern | Vimannagar, Pune, Maharashtra  | May 2026 | Jun 2026 | 8 Weeks | Campus Internship
INESIS ARCHITECTS | ARCHITECTURE INTERN | JAIPUR  | Jun 2024 | Oct 2024 | 18 Weeks</t>
  </si>
  <si>
    <t>EDGE
NPTEL- Housing planning and policy
COURSERA-Urban land Economics and real estate market dynamics
COURSERA- Introduction to Financial accounting</t>
  </si>
  <si>
    <t>P25702073</t>
  </si>
  <si>
    <t>SARPE</t>
  </si>
  <si>
    <t>Kunal Kiran Sarpe</t>
  </si>
  <si>
    <t>kunalsarpe242003@gmail.com</t>
  </si>
  <si>
    <t>p25702073@student.nicmar.ac.in</t>
  </si>
  <si>
    <t>9721 5358 6358</t>
  </si>
  <si>
    <t>KIRAN SARPE</t>
  </si>
  <si>
    <t>VISHAKHA SARPE</t>
  </si>
  <si>
    <t>SHIVAJI NAGAR, PUNE</t>
  </si>
  <si>
    <t>Shivaji Nagar, Pune</t>
  </si>
  <si>
    <t>DR K. D. SHENDGE ENGLISH MEDIUM SHOOL</t>
  </si>
  <si>
    <t>B.H.CHATE JR. COLLEGE , KHEDSHIVAPUR, PUNE</t>
  </si>
  <si>
    <t>SAVITARIBAI PHULE PUNE UNIVERSITY</t>
  </si>
  <si>
    <t>AISSMS COE, PUNE, MAHARASTRA</t>
  </si>
  <si>
    <t>MS Office,STADPRO</t>
  </si>
  <si>
    <t>Majestic Realty  | Digital Marketing &amp; Business Development  | Pune | May 2026 | Jun 2026 | 7 Weeks | Campus Internship
MILLENNIUM ENGG.AND CONTRACTORS PVT.LTD | RESIDENTICAL PROJECT | PRIDE WORLD CITY, DHANORI, PUNE | Dec 2023 | Jan 2024 | 4 Weeks</t>
  </si>
  <si>
    <t>P25702074</t>
  </si>
  <si>
    <t>Rishikesh Patil</t>
  </si>
  <si>
    <t>rishi.pat17@gmail.com</t>
  </si>
  <si>
    <t>p25702074@student.nicmar.ac.in</t>
  </si>
  <si>
    <t>9925 4399 9305</t>
  </si>
  <si>
    <t>PADMAKAR PATIL</t>
  </si>
  <si>
    <t>PALLAVI PATIL</t>
  </si>
  <si>
    <t>B503, NISARG NIRMITI SOCIETY,_x000D_
KOKANE CHOWK, PIMPLE SAUDAGAR, PUNE</t>
  </si>
  <si>
    <t>Khedi Vyavhardal,_x000D_
Kurhe Khurd,_x000D_
Amalner, Jalgaon</t>
  </si>
  <si>
    <t>PODAR INTERNATIONAL SCHOOL , BESA NAGPUR</t>
  </si>
  <si>
    <t>MKH SANCHETI PUBLIC SCHOOL AND JUNIOR COLLEGE</t>
  </si>
  <si>
    <t>AMITY UNIVERSITY, UTTAR PRADESH</t>
  </si>
  <si>
    <t>AMITY GLOBAL BUSINESS SCHOOL, PUNE</t>
  </si>
  <si>
    <t>MS Office,MS Project,Primavera,EXCEL,PowerBI,Candy,Equity Research,Infra finance,Risk Management,Investment Analysis,Budgeting,Marketing Analytics,Business Development,MS Word,Infra Management,Project Appraisal,Asset Management</t>
  </si>
  <si>
    <t>Edsom Fintech Pvt. Ltd | Finance and Banking Operations Intern | Pune | May 2026 | Jun 2026 | 8 Weeks | Campus Internship
MITTAL BROTHERS PVT LTD | SALES And Project Coordination Intern | PUNE | Jun 2024 | Aug 2024 | 8 Weeks
Mittal Brothers | Business Development Intern | Pune | Aug 2024 | Feb 2025 | 26 Weeks</t>
  </si>
  <si>
    <t>Supply Chain Principles
Introduction To Business Analysis
Introduction To Corporate Finance
Real Estate Development: Building Value In Your Community
Internal Communications Framework
External Communications Channels
Introduction To Corporate Communications
Indian Town Planning And Architecture
Introduction To Financial Accounting
Housing Policy And Planning
Urban Land Economics And Real Estate Market Dynamics
Mckinsey Forward
Accounting Fundamentals
Excel Basics
AI and Chatgpt Workshop</t>
  </si>
  <si>
    <t>P25702075</t>
  </si>
  <si>
    <t>Anushka Anil Shet</t>
  </si>
  <si>
    <t>shetanushka1@gmail.com</t>
  </si>
  <si>
    <t>p25702075@student.nicmar.ac.in</t>
  </si>
  <si>
    <t>19-Sep-2000</t>
  </si>
  <si>
    <t>ENGLISH, HINDI, MARATHI, KONKANI</t>
  </si>
  <si>
    <t>3097 9364 4862</t>
  </si>
  <si>
    <t>ANIL SHET</t>
  </si>
  <si>
    <t>AKSHADA</t>
  </si>
  <si>
    <t>31, B-wing, Wildflower Hall CHS, Amboli, Andheri West</t>
  </si>
  <si>
    <t>ST. BLAISE HIGH SCHOOL</t>
  </si>
  <si>
    <t>BHAVAN'S COLLEGE, ANDHERI</t>
  </si>
  <si>
    <t>CTES COA, MUMBAI, MAHARASHTRA</t>
  </si>
  <si>
    <t>AutoCAD,MS Office,MS Project,Revit,Photoshop,Sketchup,Rhino</t>
  </si>
  <si>
    <t>Gautam Desai Designs | Junior Architect | Mumbai, Fort, Ministry of new. | Jul 2023 | Jun 2025 | 1 Years, 11 Months, 10 Days | 2.64</t>
  </si>
  <si>
    <t>Thite Valuers &amp; Engineers Pvt. Ltd | Intern | Mumbai | May 2026 | Jul 2026 | 8 Weeks | Campus Internship
VAASTU VIDHAN PROJECTS | INTERN DESIGNER | BORIVALI, MUMBAI | Dec 2021 | May 2022 | 24 Weeks</t>
  </si>
  <si>
    <t>P25702076</t>
  </si>
  <si>
    <t>RATHI</t>
  </si>
  <si>
    <t>Jitesh Gopal Rathi</t>
  </si>
  <si>
    <t>jiteshrathi10@gmail.com</t>
  </si>
  <si>
    <t>p25702076@student.nicmar.ac.in</t>
  </si>
  <si>
    <t>07-Oct-2000</t>
  </si>
  <si>
    <t>2770 5964 1818</t>
  </si>
  <si>
    <t>Gopal Kirana, In Front Of Mahavir Medical, Main Road, Hiwarkhed</t>
  </si>
  <si>
    <t>SAHADEORAO BHOPLE VIDYALAYA AND JR COLLEGE HIWARKHED</t>
  </si>
  <si>
    <t>SHREE RAMKRISHNA KRIDA KANISHTHA MAHAVIDYALAYA,AMRAVATI</t>
  </si>
  <si>
    <t>VIVEKANAND INSTITUTE OF TECHNOLOGY'S PADMABHUSHAN DR. VASANTDADA PATIL COLLEGE OF ARCHITECTURE, PUNE</t>
  </si>
  <si>
    <t>AutoCAD , Graphisoft Archicad ,SketchUp,Enscape, Adobe Photoshop,Primavera P6, Microsoft Project (MS Project),Microsoft Office , Advanced Microsoft Excel</t>
  </si>
  <si>
    <t>Ashok Mokha Architect | Junior Architect | Nagpur,Maharashtra | Jul 2024 | Mar 2025 | 0 Years, 8 Months, 12 Days | 1.8</t>
  </si>
  <si>
    <t>Asain Paints | Executive I/II Sales Engineering-WP | Mumbai | May 2026 | Jul 2026 | 8 Weeks | Campus Internship
SHILANYAS DESIGN CONSULTANT |  ARCHITECT TRAINEE | AHEMDABAD | Jun 2023 | Dec 2023 | 26 Weeks</t>
  </si>
  <si>
    <t>P25702077</t>
  </si>
  <si>
    <t>PERICHARLA</t>
  </si>
  <si>
    <t>Pericharla Narendra Varma</t>
  </si>
  <si>
    <t>narendravarma2810@gmail.com</t>
  </si>
  <si>
    <t>p25702077@student.nicmar.ac.in</t>
  </si>
  <si>
    <t>2581 3171 5866</t>
  </si>
  <si>
    <t>VARA PRASADA RAJU</t>
  </si>
  <si>
    <t>INDUSTRIAL CONSULTANT</t>
  </si>
  <si>
    <t>SRIDEVI</t>
  </si>
  <si>
    <t>Plot No.33,sun City, Near Hanuman Nagar Bridge, Padamatalakulu, Eluru.</t>
  </si>
  <si>
    <t>SIKHARA SCHOOL</t>
  </si>
  <si>
    <t>BOARD OF SECONDARY EDUCATION</t>
  </si>
  <si>
    <t>FIITJEE JR. COLLEGE</t>
  </si>
  <si>
    <t>BOARD OF INTERMEDIATE EDUCATION, VIJAYAWADA / ANDHRA PRADESH</t>
  </si>
  <si>
    <t>GANDHI INSTITUTION OF TECHNOLOGY AND MANAGEMENT</t>
  </si>
  <si>
    <t>GITAM (DEEMED TO BE UNIVERSITY) / VISAKHAPATNAM</t>
  </si>
  <si>
    <t>ADROIT TECHNICAL SERVICES PRIVATE LIMITED | VALUATION SERVICES INTERN | HYDERABAD | May 2026 | Jul 2026 | 8 Weeks | Campus Internship
SVS MOOKAMBIKA CONSTRUCTIONS PVT. LTD. | INTERN | VISAKHAPATNAM | May 2024 | Jun 2024 | 4 Weeks</t>
  </si>
  <si>
    <t>managing employee performance
recruiting, hiring, and onboarding employees
autocad for design and drafting exam prep
Introduction to computers and office productivity software
evreyday excel part 3
Approved Valuer</t>
  </si>
  <si>
    <t>P25702078</t>
  </si>
  <si>
    <t>HULE</t>
  </si>
  <si>
    <t>Manav Mahesh Hule</t>
  </si>
  <si>
    <t>manav.hule@gmail.com</t>
  </si>
  <si>
    <t>p25702078@student.nicmar.ac.in</t>
  </si>
  <si>
    <t>7893 2987 9855</t>
  </si>
  <si>
    <t>BUSINESS PERSON</t>
  </si>
  <si>
    <t>F203 Gulmarg Chs_x000D_
Chembur Naka_x000D_
Chembur,_x000D_
Mumbai 71, _x000D_
Maharashtra</t>
  </si>
  <si>
    <t>SWAMI VIVEKANAND HIGH SCHOOL</t>
  </si>
  <si>
    <t>RAMNIRANJAN ANANDLAL PODAR COLLEGE OF COMMERCE AND ECONOMICS</t>
  </si>
  <si>
    <t>RAMNIRANJAN ANANDILAL PODAR COLLEGE OF COMMERCE AND ECONOMICS</t>
  </si>
  <si>
    <t>AutoCAD,MS Office,MS Project,Primavera,Advance excel</t>
  </si>
  <si>
    <t>Asian Paints  | Sales engineer | mumbai  | May 2026 | Jul 2026 | 8 Weeks | Campus Internship</t>
  </si>
  <si>
    <t>P25702079</t>
  </si>
  <si>
    <t>BHELKE</t>
  </si>
  <si>
    <t>Kartik Ravindra Bhelke</t>
  </si>
  <si>
    <t>kartikrbhelke@gmail.com</t>
  </si>
  <si>
    <t>p25702079@student.nicmar.ac.in</t>
  </si>
  <si>
    <t>18-Apr-2003</t>
  </si>
  <si>
    <t>Trekking,Drama,Drawings,Hiking,Music</t>
  </si>
  <si>
    <t>4359 5470 1344</t>
  </si>
  <si>
    <t>RAVINDRA BHELKE</t>
  </si>
  <si>
    <t>VIDYA BHELKE</t>
  </si>
  <si>
    <t>Shreepad,Sr No-624, Bakul Nagar, Bibwewadi, Pune -411037</t>
  </si>
  <si>
    <t>ST VINCENT'S HIGH SCHOOL AND JUNIOR COLLEGE</t>
  </si>
  <si>
    <t>MAHARASTRA STATE BOARD EDUCATION,PUNE ,MAHARASTRA</t>
  </si>
  <si>
    <t>POONA GLOBAL SCHOOL AND JUNIOR COLLEGE</t>
  </si>
  <si>
    <t>MAHARASTRA STATE BOARD OF EDUCATION,PUNE,MAHARASTRA</t>
  </si>
  <si>
    <t>VISHWARMA INSTITUTE OF INFORMATION TECHNOLOGY AFFLIATED WITH SAVITRIBAI PHULE PUNE UNIVERSITY</t>
  </si>
  <si>
    <t>VISHWAKARMA INSTITUTE OF INFORMATION TECHONOLGY,PUNE ,MAHARASTRA</t>
  </si>
  <si>
    <t>AutoCAD,Excel</t>
  </si>
  <si>
    <t>Ascendas Firstspace  | Intern Facility and Operations  | Mumbai | May 2026 | Jun 2026 | 8 Weeks | Campus Internship
Pragati Engineers | Project Manegment and Operational Intern | Pune | Jan 2025 | Jun 2025 | 21 Weeks</t>
  </si>
  <si>
    <t>P25702081</t>
  </si>
  <si>
    <t>Tanya Singh</t>
  </si>
  <si>
    <t>tanya.dps99@gmail.com</t>
  </si>
  <si>
    <t>p25702081@student.nicmar.ac.in</t>
  </si>
  <si>
    <t>30-May-1999</t>
  </si>
  <si>
    <t>9908 9535 3395</t>
  </si>
  <si>
    <t>NAVEEN KR. SINGH</t>
  </si>
  <si>
    <t>SPM</t>
  </si>
  <si>
    <t>A1-303, ARAVALI ENCLAVE, SECTOR-12,_x000D_
VRINDAVAN COLONY</t>
  </si>
  <si>
    <t>DELHI PUBLIC SCHOOL ALLAHABAD</t>
  </si>
  <si>
    <t>CENTRAL BOARD OF SECONDARY EXAMINATION, DELHI</t>
  </si>
  <si>
    <t>AutoCAD,MS Office,PHOTOSHOP,REVIT,LUMION,ENSCAPE,SKETCHUP</t>
  </si>
  <si>
    <t>PNC Infratech Limited  | Contract Model, Financial Engineering and Site Execution  | Pune  | May 2026 | Jul 2026 | 9 Weeks | Campus Internship
Concept Designers | Junior Architect | Lucknow | Sep 2023 | Dec 2024 | 69 Weeks
M.K. Singh &amp; Associates | Trainee Architect | Prayagraj | Jan 2022 | May 2022 | 17 Weeks</t>
  </si>
  <si>
    <t>Sustainable Urban Water Systems
Urban Land Economics and Real Estate Market Dynamics
Corporate Finance</t>
  </si>
  <si>
    <t>P25702082</t>
  </si>
  <si>
    <t>PARAB</t>
  </si>
  <si>
    <t>Abhishek Sunil Parab</t>
  </si>
  <si>
    <t>abhishek.parab005@gmail.com</t>
  </si>
  <si>
    <t>p25702082@student.nicmar.ac.in</t>
  </si>
  <si>
    <t>5282 7926 1711</t>
  </si>
  <si>
    <t>SUNIL NARAYAN PARAB</t>
  </si>
  <si>
    <t>SONALI SUNIL PARAB</t>
  </si>
  <si>
    <t>C-14/3, P&amp;T Colony, Sahar Road, Andheri East</t>
  </si>
  <si>
    <t>OUR LADY OF HEALTH HIGH SCHOOL</t>
  </si>
  <si>
    <t>THAKUR POLYTECHNIC, MUMBAI</t>
  </si>
  <si>
    <t>UNIVERSAL COLLEGE OF ENGINEERING</t>
  </si>
  <si>
    <t>AutoCAD,MS Office,MS Project,Primavera,Revit,Naviswork,BIM 360,ACC,Civil 3D,Canva</t>
  </si>
  <si>
    <t>Transven Consulting Pvt Ltd | BIM Modeler (Senior) | Mumbai | Jun 2024 | Apr 2025 | 0 Years, 10 Months, 11 Days | 4.32
Chemionix E Solutions | BIM Engineer | Mumbai | Nov 2022 | Jan 2024 | 1 Years, 2 Months, 17 Days | 2.82</t>
  </si>
  <si>
    <t>Axykno Capital Services  | Finance Intern | Nagpur | May 2026 | Jul 2026 | 8 Weeks | Campus Internship
ACE Project Management Consultant | Trainee engineer | Mumbai | Dec 2021 | Feb 2022 | 8 Weeks
Chemionix e Solutions | BIM Intern | Mumbai | Aug 2022 | Nov 2022 | 13 Weeks</t>
  </si>
  <si>
    <t>P25702083</t>
  </si>
  <si>
    <t>Patel Priyansh Deepak</t>
  </si>
  <si>
    <t>priyanshpatel.1504@gmail.com</t>
  </si>
  <si>
    <t>p25702083@student.nicmar.ac.in</t>
  </si>
  <si>
    <t>15-Sep-2004</t>
  </si>
  <si>
    <t>7087 9098 8794</t>
  </si>
  <si>
    <t>PATEL DEEPAK PRIYAKANT</t>
  </si>
  <si>
    <t>PATEL BHAVITA DEEPAK</t>
  </si>
  <si>
    <t>E-104, SEPAL RESIDENCY BEHIND GANGOTRI PARTY PLOT, SAMA SAVLI ROAD, SAMA, VADODARA</t>
  </si>
  <si>
    <t>112-1,Panchmukhi Madhav Pole, Opposite Amdavadi Pole, Raopura, Vadodara.</t>
  </si>
  <si>
    <t>GUJARAT SECONDARY &amp; HIGHER SECONDARY BOARD</t>
  </si>
  <si>
    <t>NAVRACHANA VIDYANI VIDHAYALAY</t>
  </si>
  <si>
    <t>VADODARA, GUJARAT</t>
  </si>
  <si>
    <t>MS Office,MS Project,Excel,PowerBI,IBM SPSS</t>
  </si>
  <si>
    <t>SEAL FOR LIFE INDUSTRIES | Intern | Vadodara | May 2024 | Jul 2024 | 5 Weeks</t>
  </si>
  <si>
    <t>P25702084</t>
  </si>
  <si>
    <t>PIMPLE</t>
  </si>
  <si>
    <t>Yash Anil Pimple</t>
  </si>
  <si>
    <t>yashpimpale7@gmail.com</t>
  </si>
  <si>
    <t>p25702084@student.nicmar.ac.in</t>
  </si>
  <si>
    <t>20-Aug-2002</t>
  </si>
  <si>
    <t>2966 8180 8198</t>
  </si>
  <si>
    <t>ANIL SHANTARAM PIMPLE</t>
  </si>
  <si>
    <t>BUILDER/CONTRACTOR</t>
  </si>
  <si>
    <t>APURVA ANIL PIMPLE</t>
  </si>
  <si>
    <t>B-106 Shrushti Shobha Apartment, Near Navdeep Sarees, Tembhode Road, Palghar</t>
  </si>
  <si>
    <t>TWINKLE STAR ENGLISH HIGH SCHOOL</t>
  </si>
  <si>
    <t>ST. JOHN COLLEGE OF ENGINEERING AND MANAGEMENT, PALGHAR, MAHARASHTRA</t>
  </si>
  <si>
    <t>MS Office,MS Project, Candy</t>
  </si>
  <si>
    <t>Bangalore Metro Rail Corporation Limited (BMRCL) | Site Execution Intern | Bangalore | May 2026 | Jul 2026 | 8 Weeks | Campus Internship</t>
  </si>
  <si>
    <t>P25702085</t>
  </si>
  <si>
    <t>Sakshi Rajesh Mane</t>
  </si>
  <si>
    <t>p25702085@student.nicmar.ac.in</t>
  </si>
  <si>
    <t>BADMINTON,DESIGNING,DANCING,TRAVELLING,PHOTOGRAPHY,COOKING</t>
  </si>
  <si>
    <t>3795 9001 3698</t>
  </si>
  <si>
    <t>MANGAL VASTRA ALANKAR, PUSESAWALI, SATARA</t>
  </si>
  <si>
    <t>SWAMI VIVEKANAND JUNIOR COLLEGE</t>
  </si>
  <si>
    <t>MAHARASHTRA STATE BOARD OF EDUCATION, MUMBAI, MAHARASHTRA</t>
  </si>
  <si>
    <t>VIVEKANAND EDUCATION SOCIETY'S COLLEGE OF ARCHITECTURE, MUMBAI, MAHARASHTRA</t>
  </si>
  <si>
    <t>TEAM ONE ARTEq  Pvt. Ltd. | JR Architect | BKC, Mumbai | Jul 2023 | Apr 2024 | 0 Years, 9 Months, 5 Days | 2.5</t>
  </si>
  <si>
    <t>SUPRABHA CONSTRUCTION COMPANY PVT.LTD |  Sales-marketing and documentaion-tendering process | Nashik | May 2026 | Jul 2026 | 9 Weeks | Campus Internship
GA DESIGN CONSULTANTS LLP | ARCHITECT INTERN | CHEMBUR, MUMBAI | Dec 2021 | Apr 2022 | 20 Weeks</t>
  </si>
  <si>
    <t>P25702086</t>
  </si>
  <si>
    <t>KARTHIGEYAN</t>
  </si>
  <si>
    <t>Karthigeyan M S</t>
  </si>
  <si>
    <t>karthigeyanms5@gmail.com</t>
  </si>
  <si>
    <t>p25702086@student.nicmar.ac.in</t>
  </si>
  <si>
    <t>ENGLISH,TAMIL,MALAYALAM,HINDI</t>
  </si>
  <si>
    <t>Chess,Music,Design</t>
  </si>
  <si>
    <t>3511 5312 7205</t>
  </si>
  <si>
    <t>SWAMINATHAN A</t>
  </si>
  <si>
    <t>GEETHANJALI N</t>
  </si>
  <si>
    <t>No.79,5th Street, Ponnammal Garden, Thottipalayam Road, Karamadai, Coimbatore,Tamil Nadu. 641104</t>
  </si>
  <si>
    <t>SVGV MATRICULATION HR SEC SCHOOL KARAMADAI COIMBATORE</t>
  </si>
  <si>
    <t>SVGV MATRICULATION HR SEC SCHOOL KARAMADAI</t>
  </si>
  <si>
    <t>MANIPAL SCHOOL OF ARCHITECTURE AND PLANNING, MANIPAL.</t>
  </si>
  <si>
    <t>AutoCAD, Autodesk Revit, Microsoft Project, Primavera, MS Excel, MS Office, Candy, @Risk, Sketch Up, Lumion</t>
  </si>
  <si>
    <t>Quadometry Designs (OPC) | Junior Architect | Bengaluru | Jul 2024 | Nov 2024 | 0 Years, 3 Months, 22 Days | 2.4
Sankar and Associates | Junior Architect | Coimbatore | Dec 2024 | May 2025 | 0 Years, 5 Months, 29 Days | 1.81</t>
  </si>
  <si>
    <t>Knight Frank India | Valuations and Advisory Services Intern | Bengaluru | May 2026 | Jul 2026 | 9 Weeks | Campus Internship
SHIBANEE+KAMAL ARCHITECTS (TOTAL ENVIRONMENT) | ARCHITECTURAL DESIGN INTERN | BENGALURU | Jan 2023 | May 2023 | 17 Weeks</t>
  </si>
  <si>
    <t>Corporate Finance by IIT Kharagpur
Smart Cities - Management of Smart Urban Infrastructures by Ecole Polytechnique Federale de Lausanne
Managing Responsibly: Practicing Sustainability, Responsibility and Ethics by University of Manchester
Vulnerability Assessment and Resilience Development for Human Habitats by the National Institute of Disaster Management (Ministry of Home Affairs, Govt. of India)
Research Methodologies by Queen Mary University of London</t>
  </si>
  <si>
    <t>P25702089</t>
  </si>
  <si>
    <t>BHUVAN</t>
  </si>
  <si>
    <t>SUGOOR</t>
  </si>
  <si>
    <t>KS</t>
  </si>
  <si>
    <t>Bhuvan Sugoor Ks</t>
  </si>
  <si>
    <t>bhuvansugoor37@gmail.com</t>
  </si>
  <si>
    <t>p25702089@student.nicmar.ac.in</t>
  </si>
  <si>
    <t>2502 9645 0592</t>
  </si>
  <si>
    <t>SATHYANARAYANA K.A</t>
  </si>
  <si>
    <t>SAVITHA P</t>
  </si>
  <si>
    <t>Ashok Nagar_x000D_
Near Sharadhamba College</t>
  </si>
  <si>
    <t>ARVIND INTERNATIONAL HIGH SCHOOL</t>
  </si>
  <si>
    <t>KARNATAKA SECONDARY EDUCATION BOARD</t>
  </si>
  <si>
    <t>MAHESH PU COLLEGE TUMKUR</t>
  </si>
  <si>
    <t>VISVESVARAYA TECHNOLOGICAL UIVERSITY, BELAGAVI</t>
  </si>
  <si>
    <t>SIDDAGANGA INSTITUTE OF TECHNOLOGY, TUMKUR, KARNATAKA</t>
  </si>
  <si>
    <t>Infra Support Engineering Consultant Pvt. Ltd | Project Engineer | Chitradurga, Karnataka  | Oct 2024 | May 2025 | 0 Years, 7 Months, 6 Days | 1.92</t>
  </si>
  <si>
    <t>Address Advisors  | Business Developer Intern  | Bengaluru  | May 2026 | Jul 2026 | 9 Weeks | Campus Internship</t>
  </si>
  <si>
    <t>Certificate for plumbing course and emulsion application at Asian Paints
Training on Construction Management
Housing Policy &amp; Planning
Indian Town Planning and Architecture
Sustainable Urban Water Systems
Introduction to Corporate Communications
Urban Land Economics and Real Estate Market Dynamics
Real Estate Development: Building Value in Your Community</t>
  </si>
  <si>
    <t>P25702090</t>
  </si>
  <si>
    <t>Yash Atul Ramteke</t>
  </si>
  <si>
    <t>yash11klose@gmail.com</t>
  </si>
  <si>
    <t>p25702090@student.nicmar.ac.in</t>
  </si>
  <si>
    <t>Music Production,Football,Dj</t>
  </si>
  <si>
    <t>8997 4079 6015</t>
  </si>
  <si>
    <t>ATUL RAMTEKE</t>
  </si>
  <si>
    <t>PRITI RAMTEKE</t>
  </si>
  <si>
    <t>Plot No: 377, Yashoda Building, Kamptee Road, Near Indora Police Chowki, Indora, Bezonbagh, Nagpur.</t>
  </si>
  <si>
    <t>TULI PUBLIC SCHOOL</t>
  </si>
  <si>
    <t>DADA RAMCHAND BAKHRU SINDHU MAHAVIDYALAYA</t>
  </si>
  <si>
    <t>SHRI DATTA MEGHE POLYTECHNIC</t>
  </si>
  <si>
    <t>MIT-ADT UNIVERSITY</t>
  </si>
  <si>
    <t>MIT-SOES, PUNE</t>
  </si>
  <si>
    <t>AutoCAD,MS Office,MS Project,Primavera,Fl Studio (Sound Production),Abelton (Sound Production)</t>
  </si>
  <si>
    <t>Swami PMC LLP | Intern | Mumbai | May 2026 | Jul 2026 | 8 Weeks | Campus Internship</t>
  </si>
  <si>
    <t>P25702091</t>
  </si>
  <si>
    <t>MUKESHKUMAR</t>
  </si>
  <si>
    <t>Om Mukeshkumar Patel</t>
  </si>
  <si>
    <t>ompatel7320@gmail.com</t>
  </si>
  <si>
    <t>p25702091@student.nicmar.ac.in</t>
  </si>
  <si>
    <t>9608 0143 5478</t>
  </si>
  <si>
    <t>MUKESHKUMAR M PATEL</t>
  </si>
  <si>
    <t>PRAVINABEN M PATEL</t>
  </si>
  <si>
    <t>101, Samarpan Society, Sec-9, Moshi, Pune- 412105</t>
  </si>
  <si>
    <t>B.S.MEMORIAL SCHOOL</t>
  </si>
  <si>
    <t>PRATIBHA JR. COLLAGE</t>
  </si>
  <si>
    <t>INDIRA INSTITUTE OF MANAGEMENT, PUNE, MAHARASHTRA</t>
  </si>
  <si>
    <t>MS Office,MS Project,Canva,wix,zero bounce</t>
  </si>
  <si>
    <t>Kesar High Street | Sales Intern | Pune | May 2026 | Jul 2026 | 8 Weeks | Campus Internship
Rajshree Landmark LLP | Sales Executive | Dudulgaon, Moshi, Pune | Jun 2024 | Nov 2024 | 26 Weeks</t>
  </si>
  <si>
    <t>Linked In Learning (Advertising on Facebook 2022)
Linked In Learning (Advertising on Youtube 2020)</t>
  </si>
  <si>
    <t>P25702092</t>
  </si>
  <si>
    <t>ANSAF ALI</t>
  </si>
  <si>
    <t>A A</t>
  </si>
  <si>
    <t>Ansaf Ali A A</t>
  </si>
  <si>
    <t>p25702092@student.nicmar.ac.in</t>
  </si>
  <si>
    <t>P25702093</t>
  </si>
  <si>
    <t>RATNAKUMAR</t>
  </si>
  <si>
    <t>HIRASKAR</t>
  </si>
  <si>
    <t>Shreyas Ratnakumar Hiraskar</t>
  </si>
  <si>
    <t>hiraskarshreyas7@gmail.com</t>
  </si>
  <si>
    <t>p25702093@student.nicmar.ac.in</t>
  </si>
  <si>
    <t>04-Sep-2002</t>
  </si>
  <si>
    <t>Outdoor Sports,Video Games,Drawing,Art &amp; Craft</t>
  </si>
  <si>
    <t>3314 2364 7042</t>
  </si>
  <si>
    <t>Shivpooja Residency, Flat 3, Plot 104, Sector 4, Santnagar, Moshi Pradhikaran, Pune</t>
  </si>
  <si>
    <t>MARATHWADA MITRA MANDAL'S INSTITUTE OF TECHNOLOGY LOHEGAON PUNE</t>
  </si>
  <si>
    <t>Pave-tech Consultants | Site Execution Intern | Kiwale, Ravet, Pune | May 2026 | Jul 2026 | 9 Weeks | Campus Internship
Shree Ashtavinayak Developers | Intern | Pune | Feb 2023 | Feb 2023 | 3 Weeks</t>
  </si>
  <si>
    <t>P25702094</t>
  </si>
  <si>
    <t>Anuj Uttam Patil</t>
  </si>
  <si>
    <t>anujpatil7025@gmail.com</t>
  </si>
  <si>
    <t>p25702094@student.nicmar.ac.in</t>
  </si>
  <si>
    <t>01-May-2002</t>
  </si>
  <si>
    <t>8750 6192 4313</t>
  </si>
  <si>
    <t>UTTAM ANANDARAO PATIL</t>
  </si>
  <si>
    <t>USHA UTTAM PATIL</t>
  </si>
  <si>
    <t>A/P Arag</t>
  </si>
  <si>
    <t>ARAG HIGHSCHOOL, ARAG, SANGLI</t>
  </si>
  <si>
    <t>SANYOOGITA PATIL CAMBRIDGE SCHOOL AND JR. COLLEGE, MIRAJ</t>
  </si>
  <si>
    <t>DBATU, LONERE</t>
  </si>
  <si>
    <t>PADMABHOOSHAN VASANTRAODADA PATIL INSTITUTE OF TECHNOLOGY,BUDHGAON</t>
  </si>
  <si>
    <t>AutoCAD, Microsoft Project, Primavera p6, Microsoft office</t>
  </si>
  <si>
    <t>Vardhaman Amrante Pvt. Ltd. | Planning &amp; Monitoring of Finishing Sequence | Ludhiana, Panjab | May 2026 | Jul 2026 | 9 Weeks | Campus Internship
Shivgayatri Buildcon Pvt Ltd | Jr. Engineer | Sangli | Mar 2024 | Apr 2025 | 60 Weeks</t>
  </si>
  <si>
    <t xml:space="preserve">Urban Land Economics and Real Estate Market Dynamics
Sustainable Urban Water Systems
Asian Paints Participation
Infrastructure Economics 
Business Writing  
Introduction to Corporate Finance
Real Estate Development: Building Value in Your Community
Indian Town planning &amp; Architecture </t>
  </si>
  <si>
    <t>P25702095</t>
  </si>
  <si>
    <t>PASHAM</t>
  </si>
  <si>
    <t>Pasham Akshith Yadav</t>
  </si>
  <si>
    <t>akshithyadavpasham6.0@gmail.com</t>
  </si>
  <si>
    <t>p25702095@student.nicmar.ac.in</t>
  </si>
  <si>
    <t>3549 1506 4361</t>
  </si>
  <si>
    <t>PASHAM RAMESH YADAV</t>
  </si>
  <si>
    <t>PASHAM ANITHA YADAV</t>
  </si>
  <si>
    <t>7-1-92, VANI NAGAR, FEROZGUDA, Kukatpally, Hyderabad.</t>
  </si>
  <si>
    <t>ST PETERS HIGH SCHOOL</t>
  </si>
  <si>
    <t>PAGE JUNIOR COLLEGE</t>
  </si>
  <si>
    <t>MANIPAL SCHOOL OF ECONOMICS AND COMMERCE</t>
  </si>
  <si>
    <t>MS Office,MS Project,Primavera,POWER BI,TABLEAU</t>
  </si>
  <si>
    <t>Risinia Builders | Project Coordination | Hyderabad | Dec 2024 | Apr 2025 | 17 Weeks
Lalitha FoodTech Pvt Ltd | Finance Intern  | Hyderabad | Jan 2023 | May 2023 | 17 Weeks
Instabites | Finance and Marketing  Intern  | Hyderabad | Apr 2025 | Jun 2025 | 8 Weeks
E construct design and build pvt ltd  | Market and feasibility analysis  | Banglore  | May 2026 | Jul 2026 | 12 Weeks</t>
  </si>
  <si>
    <t>Create Social Media Dashboards in Tableau
Foundations of Business Strategy
Entrepreneurship I: Laying the Foundation</t>
  </si>
  <si>
    <t>P25702096</t>
  </si>
  <si>
    <t>KETAKI</t>
  </si>
  <si>
    <t>MUNDIWALE</t>
  </si>
  <si>
    <t>Ketaki Jayant Mundiwale</t>
  </si>
  <si>
    <t>ketakimundiwale1309@gmail.com</t>
  </si>
  <si>
    <t>p25702096@student.nicmar.ac.in</t>
  </si>
  <si>
    <t>Sports (Badminton),Trekking,Sketching and painting,Reading</t>
  </si>
  <si>
    <t>8963 1196 3877</t>
  </si>
  <si>
    <t>JAYANT SHAMRAO MUNDIWALE</t>
  </si>
  <si>
    <t>SEEMA JAYANT MUNDIWALE</t>
  </si>
  <si>
    <t>Plot No. 137, Bhausaheb Surve Nagar, Jaitala Road</t>
  </si>
  <si>
    <t>D. Y. PATIL INTERNATIONAL SCHOOL, MIHAN</t>
  </si>
  <si>
    <t>INTERNATIONAL GENERAL CERTIFICATE OF SECONDARY EDUCATION, NAGPUR</t>
  </si>
  <si>
    <t>ST. XAVIERS HIGH SCHOOL, HINGNA BRANCH</t>
  </si>
  <si>
    <t>BHARATI VIDYAPEETH (DEEMED TO BE) UNIVERSITY, PUNE</t>
  </si>
  <si>
    <t>BHARATI VIDYAPEETH COLLEGE OF ARCHITECTURE, PUNE, MAHARASHTRA</t>
  </si>
  <si>
    <t>AutoCAD,MS Office,MS Project,Lumion,Photoshop,sketchup</t>
  </si>
  <si>
    <t>K&amp;J Projects pvt. ltd. | Project Management Intern | Nagpur | May 2026 | Jul 2026 | 8 Weeks | Campus Internship
Yo+ Architects | Architecture Intern | Pune | Jan 2016 | May 2024 | 433 Weeks</t>
  </si>
  <si>
    <t>Housing Policy and Planning
Urban Land Economics and Real Estate Market Dynamics</t>
  </si>
  <si>
    <t>P25702097</t>
  </si>
  <si>
    <t>SHIVSHANKAR</t>
  </si>
  <si>
    <t>Pradip Shivshankar Chavan</t>
  </si>
  <si>
    <t>chavanprdp7@gmail.com</t>
  </si>
  <si>
    <t>p25702097@student.nicmar.ac.in</t>
  </si>
  <si>
    <t>25-Nov-1995</t>
  </si>
  <si>
    <t>ENGLISH , MARATHI &amp; HINDI</t>
  </si>
  <si>
    <t>Swimming,ESports,Cricket</t>
  </si>
  <si>
    <t>7381 0724 8111</t>
  </si>
  <si>
    <t>SHIVSHANKAR CHAVAN</t>
  </si>
  <si>
    <t>PUSHPA CHAVAN</t>
  </si>
  <si>
    <t>A/P Mudhe Galli , Mangalwedha_x000D_
Taluka - Mangalwedha District - Solapur</t>
  </si>
  <si>
    <t>ENGLISH SCHOOL MANGALWEDHA</t>
  </si>
  <si>
    <t>WALCHAND COLLEGE OF ARTS AND SCIENCE SOLAPUR</t>
  </si>
  <si>
    <t>DR. J J MAGDUM COLLEGE OF ENGINEERING , JAYSINGPUR</t>
  </si>
  <si>
    <t>Sri Vaarahi Real Assets | Real Estate Advisory  | Hyderabad | May 2026 | Jul 2026 | 8 Weeks | Campus Internship</t>
  </si>
  <si>
    <t>Elements &amp; Application Of Total Station In Civil Engineering
Structural Drafting Using AUTOCAD</t>
  </si>
  <si>
    <t>P25702098</t>
  </si>
  <si>
    <t>Vinayak Sharma</t>
  </si>
  <si>
    <t>vs5280791@gmail.com</t>
  </si>
  <si>
    <t>p25702098@student.nicmar.ac.in</t>
  </si>
  <si>
    <t>ENGLISH,HINDI,PUNJABI</t>
  </si>
  <si>
    <t>2209 1512 4165</t>
  </si>
  <si>
    <t>SUSHEEL SHARMA</t>
  </si>
  <si>
    <t>MONIKA AWASTHI</t>
  </si>
  <si>
    <t>C/o Himachal Metal Industry Industrial Area, Kangra H.P</t>
  </si>
  <si>
    <t>AADHUNIK PUBLIC SENIOR SECONDARY SCHOOL</t>
  </si>
  <si>
    <t>THAPAR UNIVERSITY</t>
  </si>
  <si>
    <t>THAPAR INSTITUTE OF ENGINEERING AND TECHNOLOGY, PATIALA, PUNJAB</t>
  </si>
  <si>
    <t>AutoCAD,MS Office,MS Project,Business Development,Site Execution,Project Management</t>
  </si>
  <si>
    <t>Homeland Realty Private Limited | Project Management intern | Mohali | May 2026 | Jul 2026 | 8 Weeks | Campus Internship
NHAI | Engineer across all domains of highway | CHANDIGARH | Jun 2024 | Dec 2024 | 30 Weeks</t>
  </si>
  <si>
    <t>Urban Land economics and Real estate Market Dynamics
NPTEL Housing Policy and planning
Autocad</t>
  </si>
  <si>
    <t>P25702099</t>
  </si>
  <si>
    <t>Kaustubh Vijay Mohane</t>
  </si>
  <si>
    <t>kaustubh.mohane00@gmail.com</t>
  </si>
  <si>
    <t>p25702099@student.nicmar.ac.in</t>
  </si>
  <si>
    <t>20-Jul-2000</t>
  </si>
  <si>
    <t>Smart cities,urban planning,and infrastructure innovation.2)Project management and real estate finance</t>
  </si>
  <si>
    <t>8049 5469 4367</t>
  </si>
  <si>
    <t>VIJAY BHAURAO MOHANE</t>
  </si>
  <si>
    <t>GOVERMENT MEDICAL OFFICER</t>
  </si>
  <si>
    <t>ANJANA HIRALAL MORE</t>
  </si>
  <si>
    <t>GOVERMENT ICDS SUPERVISOR</t>
  </si>
  <si>
    <t>Audumbar Colony-A, House No-46.warje Jakat Naka. Karvenagar Pune411052</t>
  </si>
  <si>
    <t>ABHINAV VIDYALAYA HIGHSCHOOL, NAL STOP</t>
  </si>
  <si>
    <t>MAHARASHTRA STATE BOARD OF SECONDARY AND HIGHER SECONDARY EDUCATION. PUNE.MAHARASHTRA</t>
  </si>
  <si>
    <t>POOJYA SANE GURUJI VIDHYA PRASHASAK MANDAL. SHAHADA</t>
  </si>
  <si>
    <t>MAHARASHTRA STATE BOARD OF SECONDARY EDUCATION,MAHARASHTRA</t>
  </si>
  <si>
    <t>G.M CHOUDHARI POLYTECHNIC SHAHADA</t>
  </si>
  <si>
    <t>SINHGAD INSTITUTE OF TECHNOLOGY AND SCIENCE,NARHE</t>
  </si>
  <si>
    <t>Suprabha construction company Pvt.Ltd. | Valuation department | Nashik | May 2026 | Jul 2026 | 9 Weeks | Campus Internship
Suprabha construction PVT.LTD | Site supervisor | Nashik | Jan 2023 | Feb 2023 | 2 Weeks</t>
  </si>
  <si>
    <t>P25702101</t>
  </si>
  <si>
    <t>NIMBA</t>
  </si>
  <si>
    <t>Snehal Nimba Salunke</t>
  </si>
  <si>
    <t>snehalsalunke1725@gmail.com</t>
  </si>
  <si>
    <t>p25702101@student.nicmar.ac.in</t>
  </si>
  <si>
    <t>17-Aug-2000</t>
  </si>
  <si>
    <t>Dance,Playing batminton,Travelling,Playing chess,Drawing and painting,Anchoring,Theater</t>
  </si>
  <si>
    <t>6416 6395 2456</t>
  </si>
  <si>
    <t>NIMBA SALUNKE</t>
  </si>
  <si>
    <t>GRADUATE TEACHER</t>
  </si>
  <si>
    <t>Plot No. 20 Behind Vaibhav Mangal Karyalay Bhadgaon Road , Chalisgaon</t>
  </si>
  <si>
    <t>DR. KAKASAHEB PURNPATRE MADHYAMIK VIDHYALAY , CHALISGAON</t>
  </si>
  <si>
    <t>RASHTRIYA VIDHYALAY JUNIOR COLLEGE OF SCIENCE , CHALISGAON</t>
  </si>
  <si>
    <t>RAJARSHI SHAHU COLLEGE OF ENGINEERING , PUNE</t>
  </si>
  <si>
    <t>AutoCAD,MS Office,MS Project,Primavera,revit,civil3d,sketch up,photoshop,staadpro</t>
  </si>
  <si>
    <t>M Infra Projects Pvt. Ltd. | Project Management and Project Coordination intern | Baner , Pune | May 2026 | Jul 2026 | 8 Weeks | Campus Internship
OCEANFRONT CONSTRUCTION | Quantity Estimation Intern | Boisar, Palghar | Oct 2024 | May 2025 | 34 Weeks
GIRITIRTH ASSOCIATES | INTERN AT SITE  | RAVET NEAR SHINDE VASTI  | Feb 2023 | Jun 2023 | 17 Weeks
S. K. CONSTRUCTION | INTERN  | â€˜Aâ€™ WING, 2ND FLOOR, RANJAN HEIGHTS, RAVET, PUNE- 412 101 | Jan 2023 | Feb 2023 | 6 Weeks
KING MONGKUT'S INSTITUTE OF TECHNOLOGY LADKRABANG, THAILAND | RESEARCH INTERN  | ONLINE MODE  | Mar 2022 | Mar 2022 | 4 Weeks</t>
  </si>
  <si>
    <t>Global environment Management</t>
  </si>
  <si>
    <t>P25702102</t>
  </si>
  <si>
    <t>HEET</t>
  </si>
  <si>
    <t>Heet Dilip Jain</t>
  </si>
  <si>
    <t>jainheet2001@gmail.com</t>
  </si>
  <si>
    <t>p25702102@student.nicmar.ac.in</t>
  </si>
  <si>
    <t>12-Oct-2001</t>
  </si>
  <si>
    <t>ENGLISH,HINDI,GUJRATI,MARWARI,MARATHI</t>
  </si>
  <si>
    <t>5427 4409 4000</t>
  </si>
  <si>
    <t>DILIP AMBALAL JAIN</t>
  </si>
  <si>
    <t>PINKY DILIP JAIN</t>
  </si>
  <si>
    <t>31, Jariwala Building, Sadashiv Cross Road,Sickanagar_x000D_</t>
  </si>
  <si>
    <t>SHRI SHAKUNTALA KANTILAL ISHWARLAL JAIN HIGH SCHOOL</t>
  </si>
  <si>
    <t>MAHARASHTRA STATE BOARD OF SECONDARY AND HIGHER SECONDARY EDUCATION  , MUMBAI</t>
  </si>
  <si>
    <t>MAHARASHTRA STATE BOARD OF SECONDARY AND HIGHER SECONDARY EDUCATION , MUMBAI</t>
  </si>
  <si>
    <t>INDIAN EDUCATION SOCIETY COLLEGE OF ARCHITECTURE</t>
  </si>
  <si>
    <t>AutoCAD,MS Office,MS Project,Revit,Sketchup,Lumion,Enscape,Navisworks,Adobe Photoshop,Adobe Illustrator,InDesign</t>
  </si>
  <si>
    <t>Studio MH02 | Architect | Vile Parle,Mumbai | Jun 2024 | Mar 2025 | 0 Years, 9 Months, 12 Days | 2.52
Access Architects | Architect | Dadar,Mumbai | Apr 2025 | Jun 2025 | 0 Years, 2 Months, 20 Days | 3.84</t>
  </si>
  <si>
    <t>Thite Valuers and Engineers | Valuation Intern | Mumbai | May 2026 | Jul 2026 | 8 Weeks | Campus Internship</t>
  </si>
  <si>
    <t>Urban Land Economics and Real Estate Market Dynamics
Corporate Finance</t>
  </si>
  <si>
    <t>P25702103</t>
  </si>
  <si>
    <t>ATHARV</t>
  </si>
  <si>
    <t>Atharv Pramod Bhalgat</t>
  </si>
  <si>
    <t>atharv.bhalgat1209@gmail.com</t>
  </si>
  <si>
    <t>p25702103@student.nicmar.ac.in</t>
  </si>
  <si>
    <t>12-Sep-2004</t>
  </si>
  <si>
    <t>English, Hindi, Marathi, Marwadi, Spanish(Beginner), French(Beginner)</t>
  </si>
  <si>
    <t>Trekking,Swimming,Boxing,Exploring</t>
  </si>
  <si>
    <t>6293 7718 5143</t>
  </si>
  <si>
    <t>PRAMOD BHALGAT</t>
  </si>
  <si>
    <t>KAVITA BHALGAT</t>
  </si>
  <si>
    <t>Anand Hospital, Dhamangoan Road_x000D_
Kada</t>
  </si>
  <si>
    <t>THE BISHOP'S CO-ED SCHOOL</t>
  </si>
  <si>
    <t>ICSE, PUNE</t>
  </si>
  <si>
    <t>P.M. MUNOT JUNIOR COLLEGE</t>
  </si>
  <si>
    <t>HSC, KADA/MAHARASHTRA</t>
  </si>
  <si>
    <t>NMIMS UNIVERSITY</t>
  </si>
  <si>
    <t>NMIMS, MUMBAI</t>
  </si>
  <si>
    <t xml:space="preserve">MS Office,MS Project,Candy, Primavera </t>
  </si>
  <si>
    <t>Amanora (City Corporation Ltd.) | Project Management Intern | Pune | May 2026 | Jul 2026 | 7 Weeks | Campus Internship
Study Befikar | Digital Marketing Intern | Remote | Mar 2023 | May 2023 | 8 Weeks</t>
  </si>
  <si>
    <t>Sustainable Urban Water Systems
Urban Land Economics and Real Estate Market Dynamics
Housing Policy and Planning</t>
  </si>
  <si>
    <t>P25702104</t>
  </si>
  <si>
    <t>LEKHRAJ</t>
  </si>
  <si>
    <t>ROTTI</t>
  </si>
  <si>
    <t>Lekhraj Ishwar Rotti</t>
  </si>
  <si>
    <t>lekraj007@gmail.com</t>
  </si>
  <si>
    <t>p25702104@student.nicmar.ac.in</t>
  </si>
  <si>
    <t>24-Apr-2001</t>
  </si>
  <si>
    <t>Literature,Sports,Editing</t>
  </si>
  <si>
    <t>4037 4487 2200</t>
  </si>
  <si>
    <t>RETIRED S/O AT BSNL</t>
  </si>
  <si>
    <t>MILLENNIUM BOYS HOSTEL, NICMAR UNIVERSITY, PUNE</t>
  </si>
  <si>
    <t>Shri Laxmi Nivas, H.No. 158/B/13, Sabadi Compound, Near Old I.B., Extn. Area, Bagalkot</t>
  </si>
  <si>
    <t>SRI SATHYA SAI LOKA SEVA VIDYAKENDRA, ALIKE</t>
  </si>
  <si>
    <t>CENTRAL BOARD FOR SECONDARY EDUCATION, ALIKE, KARNATAKA</t>
  </si>
  <si>
    <t>PRARTHANA PU SCIENCE COLLEGE, BAGALKOT</t>
  </si>
  <si>
    <t>KARNATAKA STATE EDUCATION BOARD, BAGALKOT</t>
  </si>
  <si>
    <t>BANGALORE INSTITUTE OF TECHNOLOGY, BENGALURU, KARNATAKA</t>
  </si>
  <si>
    <t>AutoCAD,MS Office,MS Project,Primavera,REVIT,GIS,Adobe PhotoShop</t>
  </si>
  <si>
    <t>Puravankara Limited | Project Management Intern | Bengaluru | May 2026 | Jul 2026 | 8 Weeks | Campus Internship
NISHICON INFRASTRUCTURES | RETROFITTING AND REHABILITATION ENGINEER | KADUGODI, BENGALURU | Feb 2023 | Mar 2023 | 4 Weeks</t>
  </si>
  <si>
    <t>P25702105</t>
  </si>
  <si>
    <t>PRARTHANA</t>
  </si>
  <si>
    <t>Prarthana Subhash Pawar</t>
  </si>
  <si>
    <t>pawarprarthna@gmail.com</t>
  </si>
  <si>
    <t>p25702105@student.nicmar.ac.in</t>
  </si>
  <si>
    <t>8674 3400 1493</t>
  </si>
  <si>
    <t>SUBHASH PAWAR</t>
  </si>
  <si>
    <t>JAYSHREE PAWAR</t>
  </si>
  <si>
    <t>Punai Chaitanya Wadi Ward Number 16 Buldhana</t>
  </si>
  <si>
    <t>ST JOSEPH ENGLISH HIGH SCHOOL BULDHANA</t>
  </si>
  <si>
    <t>BULDHANA</t>
  </si>
  <si>
    <t>MGM POLYTECHNIC AURANGABAD</t>
  </si>
  <si>
    <t>DR.D.Y.PATIL INSTITUTE OF TECHNOLOGY PIMPRI PUNE 18</t>
  </si>
  <si>
    <t>AutoCAD,Excel,Power Point Presentation</t>
  </si>
  <si>
    <t>M/S. Niranjan Jayasingh More  | Site Execution and documentation studies | Pune | May 2026 | Jul 2026 | 8 Weeks | Campus Internship
BUILDER ASSOCIATION OF INDIA | INTER  | PUNE | Dec 2023 | Jan 2024 | 4 Weeks</t>
  </si>
  <si>
    <t>P25702106</t>
  </si>
  <si>
    <t>MUDGAL</t>
  </si>
  <si>
    <t>Mudgal Aditya Gopichand</t>
  </si>
  <si>
    <t>adityamudgal8006@gmail.com</t>
  </si>
  <si>
    <t>p25702106@student.nicmar.ac.in</t>
  </si>
  <si>
    <t>6574 9491 9651</t>
  </si>
  <si>
    <t>GOPICHAND MUDGAL</t>
  </si>
  <si>
    <t>12TH</t>
  </si>
  <si>
    <t>SONIYA MUDGAL</t>
  </si>
  <si>
    <t>FLAT-503 FELICITY RAVET OPPOSITE CELEASTIAL CITY PHASE 1 RAVET</t>
  </si>
  <si>
    <t>46/32 Maatru Chhaya House,Vidyanagar,North Sadar Bazar, Behind Civil Hospital Solapur</t>
  </si>
  <si>
    <t>ST JOHN BOSCO HIGH SCHOOL</t>
  </si>
  <si>
    <t>MAHARASHTRA STATE BOARD OF SECOUNDARY AND HIGHER SECOUNDARY EDUCATION PUNE/MAHARASHTRA</t>
  </si>
  <si>
    <t>BHAUSAHEB VARTAK POLYTECHNIC VASAI/MAHARASHTRA</t>
  </si>
  <si>
    <t>DR D Y PATIL INSTITUTE OF ENGINEERING MANAGEMENT AND RESEARCH PUNE/MAHARASHTRA</t>
  </si>
  <si>
    <t xml:space="preserve">AutoCAD,MS Office,Revit,Primavera,Synchro 4D </t>
  </si>
  <si>
    <t>CS Tech AI | BIM-Intern | PUNE(Baner | May 2026 | Jul 2026 | 8 Weeks | Campus Internship</t>
  </si>
  <si>
    <t>P25702108</t>
  </si>
  <si>
    <t>Ankita Dipak Patil</t>
  </si>
  <si>
    <t>ankitapatil200355@gmail.com</t>
  </si>
  <si>
    <t>p25702108@student.nicmar.ac.in</t>
  </si>
  <si>
    <t>08-Jul-2003</t>
  </si>
  <si>
    <t>9797 7255 2008</t>
  </si>
  <si>
    <t>DIPAK PATIL</t>
  </si>
  <si>
    <t>GAYTRI PATIL</t>
  </si>
  <si>
    <t>Patwari Colony, Sadaguru Apartment Amalner,Dist. Jalgaon</t>
  </si>
  <si>
    <t>SANE GURUJI KANYA HIGHSCHOOL AMALNER</t>
  </si>
  <si>
    <t>MAHARASHRA</t>
  </si>
  <si>
    <t>GOVT. POLYTECHNIC JALGAON</t>
  </si>
  <si>
    <t>RASIKLAL M. DHARIWAL SINHGAD TECHNICAL INSTITUTE PUNE , MAHARASHTRA</t>
  </si>
  <si>
    <t>Lagoo Apte Promoters &amp; Developers | Site Intern | Pune | May 2026 | Jun 2026 | 8 Weeks | Campus Internship
M/S. KAUSTUBH AJAY WALUNJ CIVIL ENGINEER &amp; GOVERNMENT CONTRACTOR | OPERATIONS INTERN - CIVIL EXECUTION  | AKOLE | Dec 2023 | Feb 2024 | 8 Weeks</t>
  </si>
  <si>
    <t>P25702109</t>
  </si>
  <si>
    <t>Aayush Agrawal</t>
  </si>
  <si>
    <t>aayushagrawal2018@gmail.com</t>
  </si>
  <si>
    <t>p25702109@student.nicmar.ac.in</t>
  </si>
  <si>
    <t>6685 7215 9795</t>
  </si>
  <si>
    <t>DINESH KUMAR AGRAWAL</t>
  </si>
  <si>
    <t>BUSINESS MEN</t>
  </si>
  <si>
    <t>RENU AGRAWAL</t>
  </si>
  <si>
    <t>YOUTHVILLE HOSTEL, BALEWADI 2,NEAR MITCON COLLEGE, BALEWADI,PUNE</t>
  </si>
  <si>
    <t>Hno.56 Bajrang Para, Sirsa Road Kohka, Bhilai</t>
  </si>
  <si>
    <t>MILE STONE ACADEMY</t>
  </si>
  <si>
    <t>CBSE/DURG</t>
  </si>
  <si>
    <t>LAL BAHADUR SHASTRI CONVENT SCHOOL</t>
  </si>
  <si>
    <t>CBSE/KOTA</t>
  </si>
  <si>
    <t>CSVTU</t>
  </si>
  <si>
    <t>BIT RAIPUR/RAIPUR</t>
  </si>
  <si>
    <t>AutoCAD,MS Office,MS Project,REVIT AND STAAD PRO</t>
  </si>
  <si>
    <t>Singhania Buildcon  | Site Execution Intern | Raipur, Chhattisgarh | May 2026 | Jul 2026 | 8 Weeks | Campus Internship
C.G. STATE MANDI BOARD (DURG) | TRAINEE | DURG | Jul 2023 | Aug 2023 | 4 Weeks
PUBLIC WORKS DEPARTMENT (C.G.) GOVERNMENT | TRAINEE | DURG | Jul 2022 | Aug 2022 | 4 Weeks</t>
  </si>
  <si>
    <t>PROFESSIONAL AUTOCAD</t>
  </si>
  <si>
    <t>P25702110</t>
  </si>
  <si>
    <t>NITINKUMAR</t>
  </si>
  <si>
    <t>Om Nitinkumar Patel</t>
  </si>
  <si>
    <t>patel19om@gmail.com</t>
  </si>
  <si>
    <t>p25702110@student.nicmar.ac.in</t>
  </si>
  <si>
    <t>ENGLISH,HINDI,GUJRATI,MARATHI</t>
  </si>
  <si>
    <t>2705 9848 9561</t>
  </si>
  <si>
    <t>NITINKUMAR PATEL</t>
  </si>
  <si>
    <t>MEENA PATEL</t>
  </si>
  <si>
    <t>Shree Hari Society,sec-06,moshipradhikaran,pune</t>
  </si>
  <si>
    <t>SHREE PARSHWA PRADNYALAY DNYAN SANSKAR MANDIR</t>
  </si>
  <si>
    <t>CBSE-MAHARASHTRA</t>
  </si>
  <si>
    <t>SSC-MAHARASHTRA</t>
  </si>
  <si>
    <t>PRATIBHA COLLEGE OF COMMERCE AND COMPUTER STUDIES,PUNE,MAHARASHTRA</t>
  </si>
  <si>
    <t>Diamond Developers | Management Trainee | Pune | May 2026 | Jul 2026 | 8 Weeks | Campus Internship</t>
  </si>
  <si>
    <t>P25702111</t>
  </si>
  <si>
    <t>SAHU</t>
  </si>
  <si>
    <t>Ketan Sahu</t>
  </si>
  <si>
    <t>arketansahu@gmail.com</t>
  </si>
  <si>
    <t>p25702111@student.nicmar.ac.in</t>
  </si>
  <si>
    <t>Biking,Travelling,Cycling,Swimming</t>
  </si>
  <si>
    <t>3634 3167 7333</t>
  </si>
  <si>
    <t>CHANDRA SHEKHAR SAHU</t>
  </si>
  <si>
    <t>ASSISTANT ENGINEER AT MUNICIPAL CORPORATION BILASPUR (C.G)</t>
  </si>
  <si>
    <t>SWATI SAHU</t>
  </si>
  <si>
    <t>329/16 Chadda Badi, Nehru Nagar, Bilaspur (C.G) -  495001</t>
  </si>
  <si>
    <t>DELHI PUBLIC SCHOOL BILASPUR</t>
  </si>
  <si>
    <t>PADMABHUSHAN DR. VASANTDADA PATIL COLLEGE OF  ARCHITECTURE, PUNE, MAHARASHTRA</t>
  </si>
  <si>
    <t>AutoCAD,MS Office,MS Project,Primavera,@RISK,Revit,Photoshop,Lumion,D5 Render,Sketchup,Illustrator,Indesign</t>
  </si>
  <si>
    <t>Manjeet Developers | Project Planning | Pune | May 2026 | Jul 2026 | 8 Weeks | Campus Internship
Techno Architecture INC | Intern Architect | Bengaluru | Jun 2024 | Dec 2024 | 26 Weeks</t>
  </si>
  <si>
    <t>P25702113</t>
  </si>
  <si>
    <t>FADNIS</t>
  </si>
  <si>
    <t>Meera Fadnis</t>
  </si>
  <si>
    <t>p25702113@student.nicmar.ac.in</t>
  </si>
  <si>
    <t>4427 9695 7468</t>
  </si>
  <si>
    <t>MAKARAND FADNIS</t>
  </si>
  <si>
    <t>MADHURIMA FADNIS</t>
  </si>
  <si>
    <t>102 - Kedar Wing, Yashodham Enclave, Prashant Nagar, Ajni Sq., Wardha Road</t>
  </si>
  <si>
    <t>R.S. MUNDLE ENGLISH SCHOOL AND JUNIOR COLLEGE</t>
  </si>
  <si>
    <t>M.K.H. SANCHETI PUBLIC SCHOOL AND JUNIOR COLLEGE</t>
  </si>
  <si>
    <t>AutoCAD,MS Office,MS Project,SketchUp,Lumion,AdobePhotoshop,TwinMotion</t>
  </si>
  <si>
    <t>K &amp; J Projects Private Limited | Project Management Intern | Nagpur, Maharashtra, India | May 2026 | Jul 2026 | 8 Weeks | Campus Internship
Malewar Architects | Intern Architect | Nagpur | Jun 2023 | Oct 2023 | 16 Weeks
Earthscapes Consultancy | Intern Architect | Ahmedabad | Jul 2022 | Nov 2022 | 17 Weeks</t>
  </si>
  <si>
    <t>Edge Certification</t>
  </si>
  <si>
    <t>P25702114</t>
  </si>
  <si>
    <t>JAISWAL</t>
  </si>
  <si>
    <t>Ankita Jaiswal</t>
  </si>
  <si>
    <t>jaiswala237@gmail.com</t>
  </si>
  <si>
    <t>p25702114@student.nicmar.ac.in</t>
  </si>
  <si>
    <t>9145 5288 5155</t>
  </si>
  <si>
    <t>BINOD JAISWAL</t>
  </si>
  <si>
    <t>MANORAMA JAISWAL</t>
  </si>
  <si>
    <t>Jaiswal Medical Hall, Link Road, Jaigaon, West Bengal</t>
  </si>
  <si>
    <t>G.D GOENKA PUBLIC SCHOOL</t>
  </si>
  <si>
    <t>SILIGURI, WEST BENGAL</t>
  </si>
  <si>
    <t>SARVODAYA SENIOR SECONDARY SCHOOL</t>
  </si>
  <si>
    <t>BIJU PATNAIK UNIVERSITY OF TECHNOLOGY, ROURKELA, ODISHA</t>
  </si>
  <si>
    <t>PILOO MODY COLLEGE OF ARCHITECTURE, ABIT, CUTTACK, ODISHA</t>
  </si>
  <si>
    <t>AutoCAD,VRay,LUMION,SKETCHUP,PHOTOSHOP</t>
  </si>
  <si>
    <t>Shree Balaji Engicons Limited | Junior architect  | Belpahar, Jharsuguda, Odisha | Sep 2023 | Dec 2024 | 1 Years, 3 Months, 27 Days | 3.2</t>
  </si>
  <si>
    <t>Kalpataru Limited | Product Development - Sales | Mumbai | May 2026 | Jun 2026 | 6 Weeks | Campus Internship
KMBD Architect &amp; Engineers Consortium Pvt.Ltd | Intern Architect | Siliguri | Sep 2022 | Dec 2022 | 16 Weeks</t>
  </si>
  <si>
    <t>P25702115</t>
  </si>
  <si>
    <t>HEMYA</t>
  </si>
  <si>
    <t>VARMAN</t>
  </si>
  <si>
    <t>Hemya Varman</t>
  </si>
  <si>
    <t>hemya8055@gmail.com</t>
  </si>
  <si>
    <t>p25702115@student.nicmar.ac.in</t>
  </si>
  <si>
    <t>04-Oct-1999</t>
  </si>
  <si>
    <t>2521 8204 4599</t>
  </si>
  <si>
    <t>VEDHAGIRI NC</t>
  </si>
  <si>
    <t>SATHEESWARI R</t>
  </si>
  <si>
    <t>No.44, 12th Cross, 2nd Block, Akshaynagar, Ramamurthy Nagar, Bengaluru</t>
  </si>
  <si>
    <t>JAIGOPAL GARODIA RASHTROTTHANA VIDYA KENDRA</t>
  </si>
  <si>
    <t>ST. JOSEPH'S PRE-UNIVERSITY COLLEGE</t>
  </si>
  <si>
    <t>GOVT OF KARNATAKA, DEPARTMENT OF PRE-UNIVERSITY EDUCATION</t>
  </si>
  <si>
    <t>SRM SAID, CHENGALPATTU, TAMIL NADU</t>
  </si>
  <si>
    <t>AutoCAD,MS Office,MS Project,Sketchup,Revit,Candy</t>
  </si>
  <si>
    <t>Collaborative Workspace Consultants LLP | Associate | Bengaluru | Sep 2023 | Jan 2025 | 1 Years, 4 Months, 14 Days | 3.6</t>
  </si>
  <si>
    <t>DEBRIQUE CREATIVE LABS PVT LTD (MODULUS HOUSING) | INTERN | IITM RESEARCH PARK, CHENNAI | May 2026 | Jul 2026 | 8 Weeks | Campus Internship
Colliers International (India) Property Services Private Limited | Intern | Bengaluru | Jun 2022 | Oct 2022 | 17 Weeks</t>
  </si>
  <si>
    <t>Real Estate Development : Building Value in your community
Introduction to Corporate Finance
Corporate Communications
Urban Land Economics and Real Estate Market Dynamics
Real Estate Financial Modeling
Sustainable Urban Water Systems
Introduction to Financial Accounting</t>
  </si>
  <si>
    <t>P25702116</t>
  </si>
  <si>
    <t>Tushar Sanjay Sarpe</t>
  </si>
  <si>
    <t>tusharsarpe07@gmail.com</t>
  </si>
  <si>
    <t>p25702116@student.nicmar.ac.in</t>
  </si>
  <si>
    <t>8763 7422 9096</t>
  </si>
  <si>
    <t>SANJAY TUKARAM SARPE</t>
  </si>
  <si>
    <t>RETIRED DEPUTY ENGINEER</t>
  </si>
  <si>
    <t>ANJALI SANJAY SARPE</t>
  </si>
  <si>
    <t>Bhim Nagar,omerga</t>
  </si>
  <si>
    <t>PODAR INTERNATIONAL SCHOOL, LATUR</t>
  </si>
  <si>
    <t>DAYANAND SCIENCE JUNIOR COLLEGE</t>
  </si>
  <si>
    <t>Sarpe Builders and Developers  | Project Management &amp; Civil Engineering Intern | Omerga, Dharashiv, Maharashtra   | May 2026 | Jul 2026 | 9 Weeks | Campus Internship</t>
  </si>
  <si>
    <t>P25702117</t>
  </si>
  <si>
    <t>MUNOT</t>
  </si>
  <si>
    <t>Sakshi Munot</t>
  </si>
  <si>
    <t>sakshimunot04@gmail.com</t>
  </si>
  <si>
    <t>p25702117@student.nicmar.ac.in</t>
  </si>
  <si>
    <t>English, Hindi, Marwadi, Marathi</t>
  </si>
  <si>
    <t>9347 0740 0576</t>
  </si>
  <si>
    <t>JITENDRA MUNOT</t>
  </si>
  <si>
    <t>RAJASHRI MUNOT</t>
  </si>
  <si>
    <t>Sakshi Plot No 25, Lane 9, Natraj Society, Karvenagar</t>
  </si>
  <si>
    <t>ST. MICHAEL'S SCHOOL</t>
  </si>
  <si>
    <t>PEMRAJSAR SARDA COLLEGE</t>
  </si>
  <si>
    <t>DR. BHANUBEN NANAVATI COLLEGE OF ARCHITECTURE FOR WOMEN, PUNE</t>
  </si>
  <si>
    <t>AutoCAD,MS Office,MS Project,Primavera,Adobe Photoshop,Adobe InDesign,Autodesk Revit,Sketchup,Rhinoceros 3D,Lumion</t>
  </si>
  <si>
    <t>Architect Sachin and Sujata Sule | Junior Architect | Pune | Feb 2025 | Jun 2025 | 0 Years, 4 Months, 5 Days | 1.8</t>
  </si>
  <si>
    <t>Kalpataru Limited | Design Intern | Pune | May 2026 | Jul 2026 | 8 Weeks | Campus Internship
Ignitus Architectural Studio | Intern Architect | Ahmedabad | Jul 2023 | Dec 2023 | 20 Weeks</t>
  </si>
  <si>
    <t>P25702118</t>
  </si>
  <si>
    <t>Manav</t>
  </si>
  <si>
    <t>Kamat</t>
  </si>
  <si>
    <t>Manav Kamat</t>
  </si>
  <si>
    <t>p25702118@student.nicmar.ac.in</t>
  </si>
  <si>
    <t>P25702119</t>
  </si>
  <si>
    <t>Parth Aniruddha Pande</t>
  </si>
  <si>
    <t>parth.pande0112@gmail.com</t>
  </si>
  <si>
    <t>p25702119@student.nicmar.ac.in</t>
  </si>
  <si>
    <t>01-Dec-2003</t>
  </si>
  <si>
    <t>7436 7917 3207</t>
  </si>
  <si>
    <t>PALLAVI</t>
  </si>
  <si>
    <t>Flat No 202, C-wing, Jayanti Nagari-2, Besa, Beltarodi Road, Nagpur.</t>
  </si>
  <si>
    <t>T,B,R,A,N'S MUNDLE ENGLISH MEDIUM</t>
  </si>
  <si>
    <t>DIPLOMA IN CONSTRUCTION TECHNOLOGY</t>
  </si>
  <si>
    <t>DHARAMPETH POLYTECHNIC, NAGPUR, MAHARASHTRA</t>
  </si>
  <si>
    <t>ST VINCENT PALLOTI COLLEGE OF ENGINEERING AND TECHNOLOGY, NAGPUR, MAHARASHTRA</t>
  </si>
  <si>
    <t>Tuljai Infratech Pvt Ltd | Quantity Estimation | Chhatrapati Sambhajinagar | May 2026 | Jul 2026 | 8 Weeks | Campus Internship</t>
  </si>
  <si>
    <t>P25702120</t>
  </si>
  <si>
    <t>RITISHA</t>
  </si>
  <si>
    <t>Ritisha Gupta</t>
  </si>
  <si>
    <t>ritishagupta1@gmail.com</t>
  </si>
  <si>
    <t>p25702120@student.nicmar.ac.in</t>
  </si>
  <si>
    <t>14-Nov-2001</t>
  </si>
  <si>
    <t>Digital Illustration &amp; Creative Design,Photography,Reading on Urban Development &amp; Architecture,Playing Sports,exploring architecture through travel</t>
  </si>
  <si>
    <t>7780 6164 4626</t>
  </si>
  <si>
    <t>COMPANY SECRETARY</t>
  </si>
  <si>
    <t>PALLAVI GUPTA</t>
  </si>
  <si>
    <t>A-11 Chandra Nagar Colony, MR-9 Square, A.B. Road, Behind Amarvilas Hotel</t>
  </si>
  <si>
    <t>SRI SATHYA SAI VIDYA VIHAR, INDORE</t>
  </si>
  <si>
    <t>SHRI VAISHNAV VIDYAPEETH VISHWAVIDALAYA, INDORE</t>
  </si>
  <si>
    <t>SHRI VAISHNAV INSTITUTE OF ARCHITECTURE, INDORE</t>
  </si>
  <si>
    <t>MS Project, Prima Vera, AutoCAD, Revit, @RISK, MS Office, Adobe Photoshop, Lumion, SketchUp, Advanced Excel, Adobe Illustrator, Canva</t>
  </si>
  <si>
    <t>Nine Squares Architects pvt. ltd. | Junior Architect | Indore | Jan 2025 | Jun 2025 | 0 Years, 5 Months, 28 Days | 3</t>
  </si>
  <si>
    <t>Fortress Infracon Limited | Infrastructure Advisory &amp; Project Consulting | Thane, Mumbai | May 2026 | Jul 2026 | 8 Weeks | Campus Internship
Archicon Design | Intern Architect | Pune | Jan 2023 | Jun 2023 | 21 Weeks</t>
  </si>
  <si>
    <t>P25702121</t>
  </si>
  <si>
    <t>Sarath S</t>
  </si>
  <si>
    <t>srtart007@gmail.com</t>
  </si>
  <si>
    <t>p25702121@student.nicmar.ac.in</t>
  </si>
  <si>
    <t>ENGLISH, MALAYALAM, TAMIL AND HINDI</t>
  </si>
  <si>
    <t>8222 4298 5123</t>
  </si>
  <si>
    <t>SASIKUMAR</t>
  </si>
  <si>
    <t>RETIRED BANK EMPLOYEE</t>
  </si>
  <si>
    <t>RESMI D</t>
  </si>
  <si>
    <t>UPPER PRIMARY SCHOOL TEACHER</t>
  </si>
  <si>
    <t>9D NARAYANA APARTMENTS_x000D_
KALPATHY, PALAKKAD</t>
  </si>
  <si>
    <t>Aiswarya_x000D_
Arakurissi, Mannarkkad</t>
  </si>
  <si>
    <t>METEMHSS MANNARKKAD</t>
  </si>
  <si>
    <t>GOVERNMENT HIGHER SECONDARY SCHOOL POTTASSERY</t>
  </si>
  <si>
    <t>BOARD OF HIGHER SECONDARY EXAMINATIONS, KERALA</t>
  </si>
  <si>
    <t>GOVERNMENT ENGINEERING COLLEGE THRISSUR, KERALA</t>
  </si>
  <si>
    <t>AutoCAD,MS Office,MS Project,Primavera,Sketchup,Revit,Adobe illustrator,Adobe photoshop,Lumion,D5 render</t>
  </si>
  <si>
    <t>Hilti India Pvt Ltd | Sales intern | Mumbai  | May 2026 | Jul 2026 | 8 Weeks | Campus Internship
Biom Medical Technology Pvt  Ltd | Design intern | Kerala | May 2025 | Jun 2025 | 8 Weeks
Hatch and Thatch Design Studio | Intern architect | Thrissur, Kerala | Jul 2023 | Dec 2023 | 21 Weeks</t>
  </si>
  <si>
    <t>Infrastructure Economics
Indian Town Planning and Architecture
Real Estate Development: Building Value in Your Community
Introduction to Corporate Finance
Urban Land Economics and Real Estate Market Dynamics</t>
  </si>
  <si>
    <t>P25702122</t>
  </si>
  <si>
    <t>KHARAT</t>
  </si>
  <si>
    <t>Kharat Krishna Ravindra</t>
  </si>
  <si>
    <t>kharatpatil25@gmail.com</t>
  </si>
  <si>
    <t>p25702122@student.nicmar.ac.in</t>
  </si>
  <si>
    <t>3453 7590 3977</t>
  </si>
  <si>
    <t>C:1204, Cozy Homes , Awhalwadi Road ,wagholi ,pune</t>
  </si>
  <si>
    <t>LOKSEVA ENGLISH MEDIUM SCHOOL</t>
  </si>
  <si>
    <t>MAHARASHTRA STATE BOARD OF SECONDARY AND HIGHER SECONDARY EDUCATION,  PUNE</t>
  </si>
  <si>
    <t>BHIVRABAI SAWANT POLYTECHNIC , JSPM , WAGHOLI,PUNE</t>
  </si>
  <si>
    <t>IMPERIAL COLLEGE OF ENGINEERING AND RESEARCH , JSPM , WAGHOLI ,PUNE</t>
  </si>
  <si>
    <t>Amanora Park Town -City Corporation Limited | Planning  Department  | Gateway phase II - Hadapsar,Pune | May 2026 | Jul 2026 | 8 Weeks | Campus Internship
Larsen &amp; toubro | Intern in pipeline engineering  | Powai, Mumbai  | Apr 2025 | May 2025 | 8 Weeks</t>
  </si>
  <si>
    <t>P25702123</t>
  </si>
  <si>
    <t>Vivek Arya</t>
  </si>
  <si>
    <t>ar.vivek1997@gmail.com</t>
  </si>
  <si>
    <t>p25702123@student.nicmar.ac.in</t>
  </si>
  <si>
    <t>03-Jan-1997</t>
  </si>
  <si>
    <t>3858 9343 8768</t>
  </si>
  <si>
    <t>ASHOK ARYA</t>
  </si>
  <si>
    <t>SUPERINTENDENT AT NARCOTICS POLICE</t>
  </si>
  <si>
    <t>RAJSHREE ARYA</t>
  </si>
  <si>
    <t>Bungalow No. - 608, Omaxe Hills</t>
  </si>
  <si>
    <t>SANGAM SCHOOL OF EXCELLENCE</t>
  </si>
  <si>
    <t>SUBHASH ENGLISH H.S. SCHOOL</t>
  </si>
  <si>
    <t>BOARD OF SECONDARY EDUCATION, BHOPAL, MADHYA PRADESH</t>
  </si>
  <si>
    <t>UNIVERSITY INSTITUTE OF ARCHITECTURE, GHARUAN, PANJAB</t>
  </si>
  <si>
    <t>AutoCAD,MS Office,MS Project,Lumion,Rhinoceros,Site Survey,Virtual Reality,Client Handling,SAP,Project &amp; Operation Management,Detail Project Report</t>
  </si>
  <si>
    <t>TeamLease Services Limited  deputed to UltraTech Cement Limited |  Regional Lead Utec Experience centre | Jaipur | Aug 2022 | May 2024 | 1 Years, 9 Months, 25 Days | 5.12
Architect Raunak Parodkar | Junior Architect | Goa | Dec 2021 | Jun 2022 | 0 Years, 6 Months, 0 Days | 0.9</t>
  </si>
  <si>
    <t>M Infra Projects Pvt. Ltd. | Project Management and Project Coordination | Pune | May 2026 | Jul 2026 | 8 Weeks | Campus Internship
Guptas Associated &amp; Architects | Intern Architect | Indore | Jan 2020 | Jun 2020 | 24 Weeks</t>
  </si>
  <si>
    <t>P25702124</t>
  </si>
  <si>
    <t>J K</t>
  </si>
  <si>
    <t>Aravind J K</t>
  </si>
  <si>
    <t>aravindjk21@gmail.com</t>
  </si>
  <si>
    <t>p25702124@student.nicmar.ac.in</t>
  </si>
  <si>
    <t>21-Feb-1997</t>
  </si>
  <si>
    <t>7932 0955 8784</t>
  </si>
  <si>
    <t>JAYAKUMAR G</t>
  </si>
  <si>
    <t>KUMARI SHEELA R</t>
  </si>
  <si>
    <t>RETIRED PRIVATE SCHOOL TEACHER</t>
  </si>
  <si>
    <t>Arunodayam, CRPN 113, Pangappara.P.O</t>
  </si>
  <si>
    <t>JYOTI NILAYAM SECONDARY SCHOOL, ST.ANDREWS, TRIVANDRUM, KERALA</t>
  </si>
  <si>
    <t>JYOTI NILAYAM HIGHER SECONDARY SCHOOL ST.ANDREWS TRIVANDRUM KERALA</t>
  </si>
  <si>
    <t>BOARD OF HIGHER SECONDARY EDUCATION KERALA</t>
  </si>
  <si>
    <t>APJ ABDUL KALAM TECHNOLOGICAL UNIVERSITY,THIRUVANANTHAPURAM, KERALA</t>
  </si>
  <si>
    <t>ST.THOMAS INSTITUTE FOR SCIENCE AND TECHNOLOGY, THIRUVANATHAPURAM, KERALA</t>
  </si>
  <si>
    <t>AutoCAD, Primavera, MS Projects, Cost X, MS Excel</t>
  </si>
  <si>
    <t>Sobha Limited | Planning, Project Management | Kochi, Kerala | May 2026 | Jul 2026 | 9 Weeks | Campus Internship
CONFIDENT GROUP | Site Engineer | Kozhikode, Thiruvanathapuram, Kerala | Oct 2024 | Jun 2025 | 33 Weeks
RADIANZ Design-Build | Site Engineer | Thiruvananthapuram, Kerala | Apr 2022 | May 2023 | 58 Weeks</t>
  </si>
  <si>
    <t>Business Communication
Foundations of Project Management
Sustainable Urban Water Systems
Real Estate Financial Modeling
Corporate Finance</t>
  </si>
  <si>
    <t>P25702125</t>
  </si>
  <si>
    <t>PRANITA</t>
  </si>
  <si>
    <t>Pranita Subhash Piprade</t>
  </si>
  <si>
    <t>pranitapiprade@gmail.com</t>
  </si>
  <si>
    <t>p25702125@student.nicmar.ac.in</t>
  </si>
  <si>
    <t>8967 5951 0219</t>
  </si>
  <si>
    <t>SHEGAON B.K NEAR BUS STOP AND PETROL PUMP</t>
  </si>
  <si>
    <t>Walmik Chowk, Sonal Talkies, Bhadrawati</t>
  </si>
  <si>
    <t>ST. ANNE'S HIGH SCHOOL WARORA</t>
  </si>
  <si>
    <t>SOMALWAR HIGH SCHOOL &amp; JUNIOR COLLEGE,NAGPUR</t>
  </si>
  <si>
    <t>PRIYADARSHINI INSTITUTE OF ARCHITECTURE &amp; DESIGN STUDIES</t>
  </si>
  <si>
    <t>AutoCAD,MS Office,photoshop,lumion,sketchup</t>
  </si>
  <si>
    <t>hasba design studio | junior architect | Nagpur | Jan 2024 | Apr 2025 | 1 Years, 2 Months, 20 Days | 1.2</t>
  </si>
  <si>
    <t>Bhate &amp; Raje construction company | Project Planning | Navi Mumbai | May 2026 | Jul 2026 | 8 Weeks | Campus Internship
VINAY JAISWAL AND ASSOCIATES | ARCHITECT INTERN | NAGPUR | Feb 2022 | Nov 2022 | 39 Weeks</t>
  </si>
  <si>
    <t>autocad,photoshop,sketchup and lumion</t>
  </si>
  <si>
    <t>P25702126</t>
  </si>
  <si>
    <t>SAMANT</t>
  </si>
  <si>
    <t>Rahul Rajesh Samant</t>
  </si>
  <si>
    <t>rahul.r.samant@gmail.com</t>
  </si>
  <si>
    <t>p25702126@student.nicmar.ac.in</t>
  </si>
  <si>
    <t>Dance,Music,Gaming</t>
  </si>
  <si>
    <t>2861 3281 8106</t>
  </si>
  <si>
    <t>RAJESH SAMANT</t>
  </si>
  <si>
    <t>SAP CONSULTANT</t>
  </si>
  <si>
    <t>SHRUTI SAMANT</t>
  </si>
  <si>
    <t>BANK BRANCH MANAGER</t>
  </si>
  <si>
    <t>Room No. 4, Chandrauday Colony, Mahakali Caves Road, Near Little Flower High School, Andheri East</t>
  </si>
  <si>
    <t>ST. DOMINIC SAVIO HIGH SCHOOL</t>
  </si>
  <si>
    <t>SSC - MUMBAI, MAHRASHTRA</t>
  </si>
  <si>
    <t>BHAVAN'S COLLEGE</t>
  </si>
  <si>
    <t>HSC - MUMBAI, MAHARASHTRA</t>
  </si>
  <si>
    <t>VIVA SCHOOL OF ARCHITECTURE</t>
  </si>
  <si>
    <t>AutoCAD,MS Office,MS Project,Sketchup,Lumion,Enscape,Photoshop,Excel,Indesign</t>
  </si>
  <si>
    <t>TINGE By Rhea Truptesh | Jr. Architect | Andheri East, Mumbai | Jul 2022 | Jun 2024 | 1 Years, 11 Months, 7 Days | 2.37
Zeel Architects | Jr. Architect | Goregaon East, Mumbai | Jun 2024 | May 2025 | 0 Years, 11 Months, 18 Days | 3.36</t>
  </si>
  <si>
    <t>Kalpataru Ltd | Design Management | Mumbai | May 2026 | Jul 2026 | 9 Weeks | Campus Internship</t>
  </si>
  <si>
    <t>P25702127</t>
  </si>
  <si>
    <t>SUDHANSHU</t>
  </si>
  <si>
    <t>DAYMA</t>
  </si>
  <si>
    <t>Sudhanshu Mahendra Dayma</t>
  </si>
  <si>
    <t>sdayma316@gmail.com</t>
  </si>
  <si>
    <t>p25702127@student.nicmar.ac.in</t>
  </si>
  <si>
    <t>7205 9601 0877</t>
  </si>
  <si>
    <t>MAHENDRA DAYMA</t>
  </si>
  <si>
    <t>DURGA DAYMA</t>
  </si>
  <si>
    <t>Sukhakarta Row House No.9 Near Bus Stop , Shivaji Nagar, Satpur Nashik</t>
  </si>
  <si>
    <t>H.A.B ENGLISH MEDIUM SCHOOL</t>
  </si>
  <si>
    <t>GOKHALE'S EDUCATION SOCIETY (R.Y.K SCIENCE COLLEGE)</t>
  </si>
  <si>
    <t>OYSTER COLLEGE OF ARCHITECTURE, AURANGABAD, MAHARASHTRA</t>
  </si>
  <si>
    <t>AutoCAD,MS Office,MS Project,Primavera,Photoshop,Lumion,Adobe indesign,illustrator,corona render</t>
  </si>
  <si>
    <t>Puneet Urban spaces | Jr. Architect | Thane, Mumbai | Feb 2024 | Jul 2025 | 1 Years, 4 Months, 20 Days | 3.93
Atelier Design Studio | Jr. Architect | Kalyan | Dec 2021 | Jun 2023 | 1 Years, 5 Months, 26 Days | 2.16
Pvv infra | Jr. Architect | CST , Mumbai | Jun 2023 | Dec 2023 | 0 Years, 6 Months, 30 Days | 3.36</t>
  </si>
  <si>
    <t>P25702128</t>
  </si>
  <si>
    <t>SAWALE</t>
  </si>
  <si>
    <t>Atharv Dipak Sawale</t>
  </si>
  <si>
    <t>atharvsawale2000@gmail.com</t>
  </si>
  <si>
    <t>p25702128@student.nicmar.ac.in</t>
  </si>
  <si>
    <t>2285 4256 3036</t>
  </si>
  <si>
    <t>HEMLATA</t>
  </si>
  <si>
    <t>PB BARBOLE FLAT NO. 8 RACHANA AVENUE, GOODLUK CHOUK, FC ROAD, DECCAN, PUNE</t>
  </si>
  <si>
    <t>Solapur Road,Sawale Chal, Barshi</t>
  </si>
  <si>
    <t>SULAKHE HIGH SCHOOL BARSHI</t>
  </si>
  <si>
    <t>SHRIMAN BHAUSAHEB ZADBUKE JR COLLEGE BARSHI</t>
  </si>
  <si>
    <t>MAEER'S MIT COLLEGE OF RAILWAY ENGINEERING &amp; RESEARCH, JAMGAON BARSHI</t>
  </si>
  <si>
    <t xml:space="preserve">AutoCAD,MS Office,MS Project,Primavera, Project Planning, Project Management, Project Co-Ordination </t>
  </si>
  <si>
    <t>Karan Builders  | Planning Intern  | Pune | May 2026 | Jul 2026 | 8 Weeks | Campus Internship</t>
  </si>
  <si>
    <t>Diploma Course in Railway Track Technology</t>
  </si>
  <si>
    <t>P25702129</t>
  </si>
  <si>
    <t>HIMMATBHAI</t>
  </si>
  <si>
    <t>MAKWANA</t>
  </si>
  <si>
    <t>Akash Himmatbhai Makwana</t>
  </si>
  <si>
    <t>akashmakwana347971@gmail.com</t>
  </si>
  <si>
    <t>p25702129@student.nicmar.ac.in</t>
  </si>
  <si>
    <t>16-Oct-1997</t>
  </si>
  <si>
    <t>ENGLISH, HINDI, GUJARATHI, MARATHI</t>
  </si>
  <si>
    <t>4485 4265 3650</t>
  </si>
  <si>
    <t>HIMMATBHAI BABUBHAI MAKWANA</t>
  </si>
  <si>
    <t>JAYA HIMMATBHAI MAKWANA</t>
  </si>
  <si>
    <t>5A/103, Shraddha Building, Asha Nagar, Thakur Complex, Kandivali East.</t>
  </si>
  <si>
    <t>CHILDRENS ACADEMY</t>
  </si>
  <si>
    <t>SHRI T P BHATIA COLLEGE OF SCIENCE, MUMBAI</t>
  </si>
  <si>
    <t>UNIVERSITY OF MUMBAI, MAHARASHTRA</t>
  </si>
  <si>
    <t>UNIVERSAL COLLEGE OF ENGINEERING, VASAI</t>
  </si>
  <si>
    <t>F. M. ENTERPRISES | PROJECT ENGINEER | MUMBAI | Mar 2021 | Jul 2022 | 1 Years, 4 Months, 30 Days | 1.92
C B AND SONS CONSTRUCTIONS PVT LTD | SITE ENGINEER | MUMBAI | Aug 2019 | Feb 2021 | 1 Years, 6 Months, 27 Days | 1.56</t>
  </si>
  <si>
    <t>AVA LIFESPACES PRIVATE LIMITED | Project Management Intern | Mumbai | May 2026 | Jul 2026 | 8 Weeks | Campus Internship</t>
  </si>
  <si>
    <t>Corporate Finance
Urban Land Economics and Real Estate Market Dynamics
Corporate Communications</t>
  </si>
  <si>
    <t>P25702130</t>
  </si>
  <si>
    <t>VARUDEV</t>
  </si>
  <si>
    <t>Varudev Singh</t>
  </si>
  <si>
    <t>varudevsingh551@gmail.com</t>
  </si>
  <si>
    <t>p25702130@student.nicmar.ac.in</t>
  </si>
  <si>
    <t>30-Aug-2003</t>
  </si>
  <si>
    <t>HINDI , ENGLISH</t>
  </si>
  <si>
    <t>7134 6368 2680</t>
  </si>
  <si>
    <t>SURYADEV SINGH</t>
  </si>
  <si>
    <t>34 D Vijay Mandal Enclave Kalu Sarai</t>
  </si>
  <si>
    <t>THE MOTHERS INTERNATIONAL SCHOOL</t>
  </si>
  <si>
    <t>NEW DELHI</t>
  </si>
  <si>
    <t>THAPAR INSTITUTE OF ENGINEERING AND TECHNOLOGY PATIALA PUNJAB</t>
  </si>
  <si>
    <t xml:space="preserve"> Emaar Properties | Project Planning Intern | gurgaon | May 2026 | Jul 2026 | 8 Weeks | Campus Internship</t>
  </si>
  <si>
    <t>P25702131</t>
  </si>
  <si>
    <t>JAVALIKAR</t>
  </si>
  <si>
    <t>Tushar Kumar Javalikar</t>
  </si>
  <si>
    <t>tusharjavalikar7@gmail.com</t>
  </si>
  <si>
    <t>p25702131@student.nicmar.ac.in</t>
  </si>
  <si>
    <t>29-Sep-2002</t>
  </si>
  <si>
    <t>ENGLISH,HINDI,MARATHI,KANNADA.</t>
  </si>
  <si>
    <t>4158 1680 2368</t>
  </si>
  <si>
    <t>KUMAR JAVALIKAR</t>
  </si>
  <si>
    <t>ANUPAMA KUMAR JAVALIKAR</t>
  </si>
  <si>
    <t>NEAR IB OFFICE PATTEKAR LAYOUT HALIYAL_x000D_</t>
  </si>
  <si>
    <t>Uttara Kannada</t>
  </si>
  <si>
    <t>At Post Mangalwad Tq Haliyal.</t>
  </si>
  <si>
    <t>V.V.D SCHOOL OF EXCELLENCE HALIYAL</t>
  </si>
  <si>
    <t>KLS PU COLLEGE HALIYAL</t>
  </si>
  <si>
    <t>KLS VDIT HALIYAL</t>
  </si>
  <si>
    <t>KLS VDIT HALIYAL KARNATAKA</t>
  </si>
  <si>
    <t>Repplen Projects Private Limited  | Intern-Planning  | Pune New Sangvi  | May 2026 | Jun 2026 | 8 Weeks | Campus Internship
B.M.ASSOCIATES | Site Engineer  | huballi karnataka | Aug 2023 | Sep 2023 | 3 Weeks</t>
  </si>
  <si>
    <t>CIVIL ENGINEERS TRAINING INSTITUTE</t>
  </si>
  <si>
    <t>P25702132</t>
  </si>
  <si>
    <t>KHYATI</t>
  </si>
  <si>
    <t>SUSHIL</t>
  </si>
  <si>
    <t>Khyati Sushil Gupta</t>
  </si>
  <si>
    <t>ar.khyati08@gmail.com</t>
  </si>
  <si>
    <t>p25702132@student.nicmar.ac.in</t>
  </si>
  <si>
    <t>4241 5494 8087</t>
  </si>
  <si>
    <t>SUSHIL GUPTA</t>
  </si>
  <si>
    <t>MONIKA KUMARI</t>
  </si>
  <si>
    <t>804, Hitakshi Heights, Indralok, Phase-8, Near Kamlakar Patil Hall, Bhayander East, Thane-401105</t>
  </si>
  <si>
    <t>MAHARASHTRA STATE BOARD OF SECONDARY AND HIGHER SECONDARY EDUCATION â€“ THANE, MAHARASHTRA</t>
  </si>
  <si>
    <t>SARDAR VALLABHBHAI PATEL VIDYALAYA AND JR. COLLEGE</t>
  </si>
  <si>
    <t>MAHARASHTRA STATE BOARD OF SECONDARY AND HIGHER SECONDARY EDUCATION â€“ MUMBAI, MAHARASHTRA</t>
  </si>
  <si>
    <t>THAKUR SCHOOL OF ARCHITECTURE AND PLANNING â€“ MUMBAI, MAHARASHTRA</t>
  </si>
  <si>
    <t>AutoCAD,MS Office,MS Project,Photoshop,Sketchup,lumion,powerpoint</t>
  </si>
  <si>
    <t>Vision 1 Architects | Junior Architect | Kandivali East, Mumbai, Maharashtra 400093 | Jul 2023 | Apr 2024 | 0 Years, 9 Months, 6 Days | 2.16
EKA Architects | Junior Architect | Andheri West, Mumbai, Maharashtra 400093 | Jun 2024 | Dec 2024 | 0 Years, 6 Months, 30 Days | 3</t>
  </si>
  <si>
    <t>Ashwin Sheth Group | Project Planning Intern | Thane, Mumbai | May 2026 | Jul 2026 | 8 Weeks | Campus Internship
ANA DESIGNS PVT. LTD. | INTERN ARCHITECT | ANDHERI EAST, MUMBAI, MAHARASHTRA | Feb 2022 | May 2022 | 15 Weeks</t>
  </si>
  <si>
    <t>Architecture Software &amp; Workshops</t>
  </si>
  <si>
    <t>P25702133</t>
  </si>
  <si>
    <t>ANGAD</t>
  </si>
  <si>
    <t>SIRSAT</t>
  </si>
  <si>
    <t>Omkar Angad Sirsat</t>
  </si>
  <si>
    <t>omkarsirsat15@gmail.com</t>
  </si>
  <si>
    <t>p25702133@student.nicmar.ac.in</t>
  </si>
  <si>
    <t>2545 4480 2875</t>
  </si>
  <si>
    <t>ANGAD SIRSAT</t>
  </si>
  <si>
    <t>ANURADHA SIRSAT</t>
  </si>
  <si>
    <t>Dhaneshwar,plot No-45, Sector No-10 Shriram Colony , Sector-10, Bhosari Pradhikaran</t>
  </si>
  <si>
    <t>PIMPRI CHINCHWAD POLYTECHNIC / PUNE</t>
  </si>
  <si>
    <t>DR.D.Y. PATIL SCHOOL OF ENGINEERING&amp;TECHNOLOGY PUNE-26</t>
  </si>
  <si>
    <t xml:space="preserve">Asian Paints | Sales engineering Intern | Pune | May 2026 | Jul 2026 | 0 Years, 2 Months, 0 Days | 3.5 </t>
  </si>
  <si>
    <t>Asian Paints Ltd | Sales engineering Intern | pune | May 2026 | Jul 2026 | 8 Weeks | Campus Internship
R.D. DESPANDAY CONSULTANTS PVT LTD | TRAINEE ENGINEER  | PRADHIKARAN NIGDI | May 2024 | Nov 2024 | 25 Weeks</t>
  </si>
  <si>
    <t>P25702134</t>
  </si>
  <si>
    <t>Prajapati Kirtan Nitinkumar</t>
  </si>
  <si>
    <t>prajapatikirtan09@gmail.com</t>
  </si>
  <si>
    <t>p25702134@student.nicmar.ac.in</t>
  </si>
  <si>
    <t>31-Aug-2004</t>
  </si>
  <si>
    <t>ENGLISH, GUJARATI, HINDI</t>
  </si>
  <si>
    <t>3059 4229 8769</t>
  </si>
  <si>
    <t>YOGITABEN</t>
  </si>
  <si>
    <t>2/889, Bhagvati Society, Behind Mahi Colony, Collage Chowkdi, Petlad</t>
  </si>
  <si>
    <t>CONVENT OF JESUS AND MARY HIGH SCHOOL</t>
  </si>
  <si>
    <t>DHARMSINH DESAI UNIVERSITY NADIAD</t>
  </si>
  <si>
    <t>AutoCAD,MS Office,MS Project,Primavera,SketchUp,Revit/BIM</t>
  </si>
  <si>
    <t>RUDRANI INFRASTRUCTURE &amp; DEVELOPER | PROJECT MANAGEMENT INTERN | VADODARA | May 2026 | Jul 2026 | 8 Weeks | Campus Internship
R &amp; B Sub Division Anand | Civil Engineering Intern | Anand | Dec 2024 | Mar 2025 | 16 Weeks
DARSHANAM SMART SPACES | JUNIOR CIVIL ENGINEER | VADODARA | May 2024 | Jun 2024 | 4 Weeks</t>
  </si>
  <si>
    <t>P25702136</t>
  </si>
  <si>
    <t>Swapnil Yashwant Jadhav</t>
  </si>
  <si>
    <t>31s.swapniljadhav@gmail.com</t>
  </si>
  <si>
    <t>p25702136@student.nicmar.ac.in</t>
  </si>
  <si>
    <t>27-Jul-2001</t>
  </si>
  <si>
    <t>5437 2265 3473</t>
  </si>
  <si>
    <t>GOLD VALUER</t>
  </si>
  <si>
    <t>FLAT NO -403, WING C, PLOT NO 12, VASTU. FILM CITY, ZONE 4 NR RAHEJA TOWER</t>
  </si>
  <si>
    <t>85/631, Swarganga  Co. Op. Housing Society, MHB Colony, Dindoshi  Nagar, Near Reliance Energy</t>
  </si>
  <si>
    <t>YASHODHAM HIGH SCHOOL &amp; JUNIOR COLLEGE</t>
  </si>
  <si>
    <t>THAKUR POLYTECHNIC, KANDIVALI(E), MUMBAI-400101, MAHARASHTRA</t>
  </si>
  <si>
    <t>VIDYA VIKAS EDUCATION TRUSTS UNIVERSAL  COLLEGE OF ENGINEERING,KAMAN,VASAI-401208</t>
  </si>
  <si>
    <t>AutoCAD, MS Office, MS Project, Primavera, Daily Progress Reporting (DPR), Planned vs. Actual Progress Monitoring, Interpretation of structural and architectural drawings, Analytical &amp; Problem Solving Skills ,Labor management</t>
  </si>
  <si>
    <t>Prithvi Enterprises | Trainee Engineer | Goregaon(W), Mumbai-400104, Maharashtra  | Jun 2023 | Dec 2023 | 0 Years, 6 Months, 28 Days | 2.64
Talib &amp; Shamsi Construction PVT LTD | Jr Engineer | Borivali (E), Mumbai-400104, Maharashtra. | Jan 2024 | May 2025 | 1 Years, 4 Months, 20 Days | 3.24</t>
  </si>
  <si>
    <t>PSP Projects Limited | Civil Intern | Dharavi,Mumbai | May 2026 | Jun 2026 | 7 Weeks | Campus Internship</t>
  </si>
  <si>
    <t>Course on Primavera project management(P6),Certified by Cadd center, Andheri(East) ,Mumbai
Certification in auto cad 2D ,Certified by Max computer education, Kandivali (W),Mumbai
Certifications course in Auto cad 2D and Primavera P6 in project management
Certificate course in auto cad 2D and Primavera P6 project management
1) Certificate course in Auto cad 2D</t>
  </si>
  <si>
    <t>P25702137</t>
  </si>
  <si>
    <t>AASHAY</t>
  </si>
  <si>
    <t>Aashay Suresh Bhagat</t>
  </si>
  <si>
    <t>aashaybhagat22@gmail.com</t>
  </si>
  <si>
    <t>p25702137@student.nicmar.ac.in</t>
  </si>
  <si>
    <t>22-Oct-1999</t>
  </si>
  <si>
    <t>4902 5905 9130</t>
  </si>
  <si>
    <t>SURESH BHAGAT</t>
  </si>
  <si>
    <t>ARUNA BHAGAT</t>
  </si>
  <si>
    <t>YOUTHVILLE BALEWADI 2, NEAR AMAR TECH PARK, BALEWADI, PUNE</t>
  </si>
  <si>
    <t>10, Bhagat Nagar, Near Sutgirni, Wanadongri, Hingna, Nagpur</t>
  </si>
  <si>
    <t>VIMALTAI TIDKE CONVENT AND JR. COLLEGE</t>
  </si>
  <si>
    <t>AutoCAD,MS Office,MS Project,Primavera,Revit (Architectural MEP &amp; Structural),Navisworks,Recap Pro,Adobe InDesign,Lumion,Sketchup,Twinmotion</t>
  </si>
  <si>
    <t>Akshay Bobde and Associates | Jr. Architect | Nagpur | Sep 2023 | Jun 2024 | 0 Years, 9 Months, 11 Days | 1.5
Specuwin (a subsidiary of pinnacleiit) | BIM Modeller | Remote | Jan 2023 | Aug 2023 | 0 Years, 7 Months, 29 Days | 1.5</t>
  </si>
  <si>
    <t>Architect Rushikesh H. | Project Management Intern | Mumbai | May 2026 | Jul 2026 | 9 Weeks | Campus Internship
Ar. Joseph D'silva | Intern Architect | Panjim, Goa | Mar 2021 | Jul 2021 | 19 Weeks</t>
  </si>
  <si>
    <t>Revit
Autocad
Advance BIM Professional Training
Sustainable Urban Water Systems
Urban Land Economics and Real Estate Market Dynamics
Introduction to Corporate Finance
Real Estate Development: Building Value in Your Community
Corporate Communications
Indian Town Planning and Architecture
Infrastructure Economics</t>
  </si>
  <si>
    <t>P25702138</t>
  </si>
  <si>
    <t>BAPU</t>
  </si>
  <si>
    <t>Aditya Bapu Jadhav</t>
  </si>
  <si>
    <t>adityajadhav17831@gmail.com</t>
  </si>
  <si>
    <t>p25702138@student.nicmar.ac.in</t>
  </si>
  <si>
    <t>17-Jun-2003</t>
  </si>
  <si>
    <t>6469 4028 8753</t>
  </si>
  <si>
    <t>BAPU JADHAV</t>
  </si>
  <si>
    <t>USHA JADHAV</t>
  </si>
  <si>
    <t>FLAT NO 5 SHRI HARI PALACE SWAMI VIVEKANANDA COLONY  BEHIND ROYAL MEDICO CHAUDHARY PARK WAKAD</t>
  </si>
  <si>
    <t>Ramwadi Jinti Near Vitthal Temple Solapur</t>
  </si>
  <si>
    <t>SHRI FATTECHAND JAIN VIDYALAYA AND JUNIOR COLLEGE CHINCHWAD</t>
  </si>
  <si>
    <t>GOVERMENT POLYTECHNIC PUNE</t>
  </si>
  <si>
    <t>SINHGAD INSTITUTE OF TECHNOLOGY AND SCIENCE PUNE</t>
  </si>
  <si>
    <t>Sobha Ltd. | Project planning  | Sobha Ayana Bangalore  | May 2026 | Jul 2026 | 9 Weeks | Campus Internship
NYATI ENGINEERS CONSULTANTS PVT. LTD | SITE ENGINEER | THE CORINTHIANS RESORTS &amp; CLUB UNDRI PUNE | Aug 2021 | Sep 2021 | 5 Weeks
AK construction  &amp; Architectural | site engineer | mangalmay restaurant vidani tal.phaltan Dist.satara | Dec 2023 | Jan 2024 | 3 Weeks</t>
  </si>
  <si>
    <t>P25702139</t>
  </si>
  <si>
    <t>Darshan B H</t>
  </si>
  <si>
    <t>darshanbhgowrpade@gmail.com</t>
  </si>
  <si>
    <t>p25702139@student.nicmar.ac.in</t>
  </si>
  <si>
    <t>ENGLISH, HINDI, KANNADA &amp; TELUGU</t>
  </si>
  <si>
    <t>9467 5920 7185</t>
  </si>
  <si>
    <t>HANUMANTHAPPA</t>
  </si>
  <si>
    <t>ASHA H B</t>
  </si>
  <si>
    <t>5/1 2ND FLOOR, 2ND MAIN_x000D_
AZADNAGAR, CHAMARAJPET</t>
  </si>
  <si>
    <t>S/O Hanumanthappa, Benkikere(v) Hodigere (p) Channagiri(T) Davanagere(D)</t>
  </si>
  <si>
    <t>SRI RAMAKRISHNA ENGLISH MEDIUM H S</t>
  </si>
  <si>
    <t>MAGANUR BASAPPA PU COLLAGE</t>
  </si>
  <si>
    <t>DEPARTMENT OF PRE-UNIVERCITY EDUCATION</t>
  </si>
  <si>
    <t>VISVESVARAYA TECHNOLOGICAL UNIVERCITY</t>
  </si>
  <si>
    <t>NITTE MEENAKSHI INSTITUE OF TECHNOLOGY</t>
  </si>
  <si>
    <t xml:space="preserve">AutoCAD,MS Office,MS Project,Primavera,Revit </t>
  </si>
  <si>
    <t>SAFEX TECHNO SOLUTIONS | PROJECT MANAGEMENT INTERN | Kushalanagara | May 2026 | Jul 2026 | 10 Weeks | Campus Internship
Sobha Limited | Trainee Site Engineer | Bangalore  | Jul 2023 | Aug 2023 | 4 Weeks</t>
  </si>
  <si>
    <t>P25702140</t>
  </si>
  <si>
    <t>SUBHASHREE</t>
  </si>
  <si>
    <t>ACHARYA</t>
  </si>
  <si>
    <t>Subhashree Acharya</t>
  </si>
  <si>
    <t>acharyasubhashree58@gmail.com</t>
  </si>
  <si>
    <t>p25702140@student.nicmar.ac.in</t>
  </si>
  <si>
    <t>01-Jul-1998</t>
  </si>
  <si>
    <t>8050 0226 1799</t>
  </si>
  <si>
    <t>BIRAJA PRASAD ACHARYA</t>
  </si>
  <si>
    <t>GOVT. EMPLOYEE</t>
  </si>
  <si>
    <t>SNEHALATA ACHARYA</t>
  </si>
  <si>
    <t>D-1, Lane-1, Bairagi Nagar, Jharpada Cenal Road</t>
  </si>
  <si>
    <t>VIVEKANANDA SIKSHA KENDRA</t>
  </si>
  <si>
    <t>BOARD OF SECONDARY EDUCATION, ODISHA</t>
  </si>
  <si>
    <t>ARCHITECTURAL ASSISTANTSHIP</t>
  </si>
  <si>
    <t>GOVERNMENT POLYTECHNIC, BHUBANESWAR</t>
  </si>
  <si>
    <t>PILOO MODY COLLEGE OF ARCHITECTURE, CUTTACK</t>
  </si>
  <si>
    <t>2024-Feb</t>
  </si>
  <si>
    <t>AutoCA,msoffice,MSproject,Photoshop,Sketchup,Lumion,Indesign,GIS</t>
  </si>
  <si>
    <t>Utkal Builders Limited | Senior Executive - Design Coordinator  | Bhubaneswar | Oct 2024 | May 2025 | 0 Years, 7 Months, 10 Days | 3.8</t>
  </si>
  <si>
    <t>Cushman &amp; Wakefield India | Project Management Intern | Pune | May 2026 | Jul 2026 | 8 Weeks | Campus Internship</t>
  </si>
  <si>
    <t xml:space="preserve">Design for Sustainable Urbanization
Exploring Green Building Innovations – a Covid 19 intervention
IGBC’s Student Chapter Annual Meet 2021 </t>
  </si>
  <si>
    <t>P25702141</t>
  </si>
  <si>
    <t>PAYAL</t>
  </si>
  <si>
    <t>R.</t>
  </si>
  <si>
    <t>Payal R. Kshirsagar</t>
  </si>
  <si>
    <t>payalkshirsagar237@gmail.com</t>
  </si>
  <si>
    <t>p25702141@student.nicmar.ac.in</t>
  </si>
  <si>
    <t>3155 4040 6377</t>
  </si>
  <si>
    <t>101, Plot 208/209 Surangama Appartment_x000D_
Manewada</t>
  </si>
  <si>
    <t>KSHIRSAGAR PAYAL RAVINDRA</t>
  </si>
  <si>
    <t>INSTITUTE OF DESIGN EDUCATION &amp; ARCHITECTURAL STUDIES, NAGPUR, MAHARASHTRA</t>
  </si>
  <si>
    <t>MSP, Primavera, AutoCAD, MS Office, MS Project, Sketchup, photoshop, Lumion, Revit, coral Draw</t>
  </si>
  <si>
    <t>Origin Associates | Junior Architect | Pune  | Dec 2022 | Apr 2025 | 2 Years, 4 Months, 0 Days | 5.4</t>
  </si>
  <si>
    <t>aXYKno Capital Services Pvt Ltd | Real Estate Advisory Intern  | Nagpur | May 2026 | Jul 2026 | 8 Weeks | Campus Internship
Misal Architects And Associates | Intern  | Nagpur | May 2021 | Oct 2021 | 22 Weeks</t>
  </si>
  <si>
    <t>P25702142</t>
  </si>
  <si>
    <t>RAIKAR</t>
  </si>
  <si>
    <t>Vedant Damodar Raikar</t>
  </si>
  <si>
    <t>raikar.vedant@gmail.com</t>
  </si>
  <si>
    <t>p25702142@student.nicmar.ac.in</t>
  </si>
  <si>
    <t>09-Mar-2000</t>
  </si>
  <si>
    <t>ENGLISH, HINDI, MARATHI, KONKANI, GUJRATI</t>
  </si>
  <si>
    <t>3984 6902 0953</t>
  </si>
  <si>
    <t>DAMODAR RAIKAR</t>
  </si>
  <si>
    <t>VIDYA RAIKAR</t>
  </si>
  <si>
    <t>501 VISHWADHAM CO-OP SOCIETY, NEHRU NAGAR, KURLA E</t>
  </si>
  <si>
    <t>A/14 Pethe Nagar Society, Kedarmal Road , Malad East</t>
  </si>
  <si>
    <t>AVM HIGH SCHOOL</t>
  </si>
  <si>
    <t>SHRI T P BHATIA JR. COLLEGE OF SCIENCE</t>
  </si>
  <si>
    <t>AutoCAD,MS Office,Lumion,Sketchup,Photoshop,vray</t>
  </si>
  <si>
    <t>Metadesigns | Junior Architect/ Project Architect | Mumbai, Maharashtra | Feb 2024 | Apr 2025 | 1 Years, 2 Months, 18 Days | 2.4
Form Space and Design Architects (FSND) | Junior Architect | Mumbai, Maharashtra | Jul 2023 | Sep 2023 | 0 Years, 2 Months, 27 Days | 2.16</t>
  </si>
  <si>
    <t>Cushman &amp; Wakefield  | Strategic Consulting- Intern | Mumbai  | May 2026 | Jul 2026 | 8 Weeks | Campus Internship
SHASHI PRABHU AND ASSOCIATES | INTERN ARCHITECT | MUMBAI, MAHARASHTRA | Dec 2021 | Apr 2022 | 18 Weeks</t>
  </si>
  <si>
    <t>P25702143</t>
  </si>
  <si>
    <t>SIDDARTH</t>
  </si>
  <si>
    <t>Siddarth S</t>
  </si>
  <si>
    <t>siddarthselvaraj3@gmail.com</t>
  </si>
  <si>
    <t>p25702143@student.nicmar.ac.in</t>
  </si>
  <si>
    <t>24-May-2003</t>
  </si>
  <si>
    <t>Tamil, English, Kannada</t>
  </si>
  <si>
    <t>4940 0127 2075</t>
  </si>
  <si>
    <t>SELVARAJ K</t>
  </si>
  <si>
    <t>COOK</t>
  </si>
  <si>
    <t>NITHYANANTHI</t>
  </si>
  <si>
    <t>1/229, 4th Street, Rasichettipalayam,_x000D_
Zamin Uthukuli(PO),_x000D_
Pollachi - 642004</t>
  </si>
  <si>
    <t>MANI HIGHER SECONDARY SCHOOL</t>
  </si>
  <si>
    <t>TAMILNADU STATEBOARD</t>
  </si>
  <si>
    <t>KPR INSTITUTE OF ENGINEERING AND TECHNOLOGY, COIMBATORE, TAMIL NADU.</t>
  </si>
  <si>
    <t>MS Excel,MS Office,MS Project,Primevera P6,AutoCAD,SketchUp,Tekla Structures,Adobe illustrator,RIB Candy</t>
  </si>
  <si>
    <t>Sublime Structures | Junior Detailing Engineer | Coimbatore | May 2024 | Jun 2025 | 1 Years, 1 Months, 26 Days | 2.4</t>
  </si>
  <si>
    <t>Modulus Housing | Founder's office - Operations | IITM. Chennai | May 2026 | Jul 2026 | 8 Weeks | Campus Internship
KPR Institute of Engineering and Technology | Designing Trainee | Coimbatore | Jun 2022 | Jun 2022 | 2 Weeks
G Ramamoorthi Constructions (I) Pvt Ltd | Assistant Site Engineer | Coimbatore | Dec 2021 | Dec 2021 | 2 Weeks</t>
  </si>
  <si>
    <t>L&amp;T Edutech - Formwork Engineering Practices
L&amp;T Edutech - Project Management For Engineers
L&amp;T Edutech - Concreting Techniques and Practices
NPTEL - Corporate Finance</t>
  </si>
  <si>
    <t>P25702144</t>
  </si>
  <si>
    <t>DAVE</t>
  </si>
  <si>
    <t>Hrishikesh Gopal Dave</t>
  </si>
  <si>
    <t>hrishikeshdave99@gmail.com</t>
  </si>
  <si>
    <t>p25702144@student.nicmar.ac.in</t>
  </si>
  <si>
    <t>Hindi, English, Marathi, Marwari</t>
  </si>
  <si>
    <t>Exploring new places,Interacting with new  people,Photography,Trekking &amp; hiking,Sports</t>
  </si>
  <si>
    <t>7019 2724 9204</t>
  </si>
  <si>
    <t>GOPAL MADANLAL DAVE</t>
  </si>
  <si>
    <t>REKHA GOPAL DAVE</t>
  </si>
  <si>
    <t>FL A 102 TODKAR ANGAN SN-41/2A YEWALEWADI NR. ZP SCHOOL PUNE-48</t>
  </si>
  <si>
    <t>ROSARY SCHOOLS &amp; JR COLLEGE</t>
  </si>
  <si>
    <t>MAHARASHTRA BOARD OF SECONDARY SCHOOL CERTIFICATE PUNE</t>
  </si>
  <si>
    <t>TRINITY POLYTECHNIC</t>
  </si>
  <si>
    <t>TRINITY ACADEMY COLLEGE OF ENGINEERING</t>
  </si>
  <si>
    <t>Relation RealTech Pvt Ltd | Planning &amp; Strategy  | Pune | May 2026 | Jul 2026 | 8 Weeks | Campus Internship
Pragati Engineering | Operational Intern  | Pune | Dec 2024 | May 2025 | 21 Weeks</t>
  </si>
  <si>
    <t>P25702145</t>
  </si>
  <si>
    <t>CHORE</t>
  </si>
  <si>
    <t>Chore Vaibhavi Pradip</t>
  </si>
  <si>
    <t>vaibhavichore49@gmail.com</t>
  </si>
  <si>
    <t>p25702145@student.nicmar.ac.in</t>
  </si>
  <si>
    <t>3114 0649 1140</t>
  </si>
  <si>
    <t>Dnyneshwari Nagar,Near Arav Pride ,Shegaon-Rahatgaon Road,</t>
  </si>
  <si>
    <t>RAJESHWARI VIDYA MANDIR</t>
  </si>
  <si>
    <t>P.R.PATIL COLLEGE OF ARCHITECTURE, AMRAVATI</t>
  </si>
  <si>
    <t>AutoCAD,MS Office,MS Project, Primavera,MS PowerPoint, MS Excel, MS Word, Candy, Canva</t>
  </si>
  <si>
    <t>Krishna Rrealty | Operations Intern | Pune | May 2026 | Jul 2026 | 9 Weeks | Campus Internship</t>
  </si>
  <si>
    <t>Infrastructure Economics</t>
  </si>
  <si>
    <t>P25702146</t>
  </si>
  <si>
    <t>MOOLVANSHI</t>
  </si>
  <si>
    <t>Abhinav Moolvanshi</t>
  </si>
  <si>
    <t>abhinavmoolvanshi71617@gmail.com</t>
  </si>
  <si>
    <t>p25702146@student.nicmar.ac.in</t>
  </si>
  <si>
    <t>2835 7840 2701</t>
  </si>
  <si>
    <t>AKHILESH KUMAR</t>
  </si>
  <si>
    <t>9B/89 VRINDAVAN YOJNA,RAIBARELI ROAD,LUCKNOW</t>
  </si>
  <si>
    <t>LUCKNOW PUBLIC SCH VRINDAVAN YOJANA LUCKNOW UP</t>
  </si>
  <si>
    <t>CBSE LUCKNOW UP</t>
  </si>
  <si>
    <t>ST HENRY PUB IC MADEHGANJ KHADRA LUCKNOW</t>
  </si>
  <si>
    <t>UP BOARD, LUCKNOW/UTTAR PRADESH</t>
  </si>
  <si>
    <t>BABASAHEB BHIMRAO AMBEDKAR UNIVERSITY</t>
  </si>
  <si>
    <t>BABASAHEB BHIMRAO AMBEDKAR UNIVERSITY LUCKNOW</t>
  </si>
  <si>
    <t>AutoCAD,MS Office,MS Project,REVIT ARCHITECTURE 2021,STAAD PRO V8i</t>
  </si>
  <si>
    <t>REPPLEN PROJECTS PRIVATE LIMITED | INTERN-PLANNING | PRAYAGRAJ | May 2026 | Jun 2026 | 8 Weeks | Campus Internship
AMNA | Trainee | Basti | Mar 2024 | Sep 2024 | 30 Weeks
RDSO | Trainee | Lucknow | Jun 2022 | Jul 2022 | 3 Weeks</t>
  </si>
  <si>
    <t>Autodesk AutoCad, Revit Architecture</t>
  </si>
  <si>
    <t>P25702147</t>
  </si>
  <si>
    <t>Bhushan Gopal Chaudhari</t>
  </si>
  <si>
    <t>chaudharibhushan9990@gmail.com</t>
  </si>
  <si>
    <t>p25702147@student.nicmar.ac.in</t>
  </si>
  <si>
    <t>18-Nov-2001</t>
  </si>
  <si>
    <t>2276 2390 8175</t>
  </si>
  <si>
    <t>GOPAL CHAUDHARI</t>
  </si>
  <si>
    <t>VANDANA CHAUDHARI</t>
  </si>
  <si>
    <t>Plot No.12,professor Colony,near Biyani High School,Bhusawal</t>
  </si>
  <si>
    <t>ST. ALOYSIUS CONVENT HIGH SCHOOL</t>
  </si>
  <si>
    <t>SCC MAHARASHTRA BOARD</t>
  </si>
  <si>
    <t>P O NAHATA COLLEGE, BHUSAWAL</t>
  </si>
  <si>
    <t>SHRI GULABRAO DEONAR COLLEGE OF ENGINEERING</t>
  </si>
  <si>
    <t>DR. BABASAHEB AMBEDKAR TECHNOLOGICAL UNIVERSITY, BHUSAWAL</t>
  </si>
  <si>
    <t>SHRI. SANT GADGEBABA COLLEGE OF ENGINEERING AND TECHNOLOGY, BHUSAWAL</t>
  </si>
  <si>
    <t>Himalaya constructions and consultant | Real Estate Project Coordinator  | Bhusawal | May 2026 | Jul 2026 | 8 Weeks | Campus Internship</t>
  </si>
  <si>
    <t>Quantity surveying and project billing using MS-EXCEL
Microsoft project
Autocad
Construction project management
Sustainable Urban Water Systems
Urban Land Economics and Real Estate Market Dynamics</t>
  </si>
  <si>
    <t>P25702148</t>
  </si>
  <si>
    <t>KHEMCHAND</t>
  </si>
  <si>
    <t>CHAINANI</t>
  </si>
  <si>
    <t>Aditya Khemchand Chainani</t>
  </si>
  <si>
    <t>adityachainani29@gmail.com</t>
  </si>
  <si>
    <t>p25702148@student.nicmar.ac.in</t>
  </si>
  <si>
    <t>09-Jun-2002</t>
  </si>
  <si>
    <t>Exploring new places,Interacting with new people,Photography,Trekking &amp; hiking,Sports</t>
  </si>
  <si>
    <t>2034 2840 7117</t>
  </si>
  <si>
    <t>VINITA</t>
  </si>
  <si>
    <t>LIFE REPUBLIC,R16 AREZO A, WING A, GAIKWAD NAGAR RD, PUNAWALE, PUNE</t>
  </si>
  <si>
    <t>Plot No 478,Sindhi Colony , Khamla, Nagpur</t>
  </si>
  <si>
    <t>SOMALWAR NIKALAS HIGH SCHOOL &amp; JR. COLLEGE</t>
  </si>
  <si>
    <t>MAHARASHTRA BOARD OF SECONDARY AND HIGHER SECONDARY EDUCATION PUNE. NAGPUR/MAHARASHTRA</t>
  </si>
  <si>
    <t>AutoCAD,MS Project,Project Planning and Management,NAVISWORK MANAGE 2025,REVIT ARCHITECTURE 2025</t>
  </si>
  <si>
    <t>Singhania Buildcon Pvt. Ltd. | Planning, Site execution &amp; Control, and Procurement  | Raipur, Chhattisgarh  | May 2026 | Jul 2026 | 8 Weeks | Campus Internship
NIRMAYI CONSTRUCTION | TRAINEE SITE ENGINEER | NAGPUR | Jun 2024 | Jul 2024 | 3 Weeks
PLA PROJECTS PRIVATE LIMITED | TRAINEE SITE ENGINEER | NAGPUR | Dec 2024 | Apr 2025 | 19 Weeks</t>
  </si>
  <si>
    <t>Naviswork Manage
Revit Architecture
Project Planning and Management</t>
  </si>
  <si>
    <t>P25702149</t>
  </si>
  <si>
    <t>p25702149@student.nicmar.ac.in</t>
  </si>
  <si>
    <t>P25702150</t>
  </si>
  <si>
    <t>SRUSHTI</t>
  </si>
  <si>
    <t>LOMTE</t>
  </si>
  <si>
    <t>Srushti Viraj Lomte</t>
  </si>
  <si>
    <t>lomte.srushti@gmail.com</t>
  </si>
  <si>
    <t>p25702150@student.nicmar.ac.in</t>
  </si>
  <si>
    <t>7587 6418 1462</t>
  </si>
  <si>
    <t>VIRAJ LOMTE</t>
  </si>
  <si>
    <t>YOGITA LOMTE</t>
  </si>
  <si>
    <t>I 1104 AMITS BLOOMFIELD,AMBEGAON BK . NEAR INDRAYANI SCHOOL PUNE</t>
  </si>
  <si>
    <t>Rajeev Township_x000D_
1 Vijayshree Apt_x000D_
Rajiv Nagar</t>
  </si>
  <si>
    <t>SYMBIOSIS SCHOOL , NASHIK</t>
  </si>
  <si>
    <t>SHREE PRAMOD PATIL JUNIOR COLLEGE</t>
  </si>
  <si>
    <t>Suprabhat Buidcon | Business Development intern  | Nashik  | May 2026 | Jul 2026 | 8 Weeks | Campus Internship
Space Evolve Consultants | Architectural Intern | Nashik  | Jun 2024 | Oct 2024 | 19 Weeks</t>
  </si>
  <si>
    <t>Green Building certication , elective course</t>
  </si>
  <si>
    <t>P25702151</t>
  </si>
  <si>
    <t>RASANE</t>
  </si>
  <si>
    <t>Rajat Rahul Rasane</t>
  </si>
  <si>
    <t>rajatxrasane@gmail.com</t>
  </si>
  <si>
    <t>p25702151@student.nicmar.ac.in</t>
  </si>
  <si>
    <t>06-May-2002</t>
  </si>
  <si>
    <t>6729 3291 5479</t>
  </si>
  <si>
    <t>RAHUL RASANE</t>
  </si>
  <si>
    <t>RAKHEE RASANE</t>
  </si>
  <si>
    <t>6, Shriketan Apartments, 425/13 TMV Colony, Mukundnagar, Pune 411037</t>
  </si>
  <si>
    <t>HUTCHINGS HIGH SCHOOL</t>
  </si>
  <si>
    <t>RAJIV GANDHI ACADEMY OF E-LEARNING SCHOOL &amp; JUNIOR COLLEGE OF SCIENCE</t>
  </si>
  <si>
    <t>M/s Rahul Rasane | Site Engineer / Project Manager | Girikunj - Taljai Hills, Taljai Pathar, Dhankawadi, Pune 411043 | Jun 2024 | Jan 2025 | 0 Years, 7 Months, 4 Days | 4.2</t>
  </si>
  <si>
    <t>Corporate Finance</t>
  </si>
  <si>
    <t>P25702152</t>
  </si>
  <si>
    <t>LAXMANRAO</t>
  </si>
  <si>
    <t>GIRADKAR</t>
  </si>
  <si>
    <t>Rutik Laxmanrao Giradkar</t>
  </si>
  <si>
    <t>rutikgiradkar@gmail.com</t>
  </si>
  <si>
    <t>p25702152@student.nicmar.ac.in</t>
  </si>
  <si>
    <t>05-Oct-2000</t>
  </si>
  <si>
    <t>2470 1320 6060</t>
  </si>
  <si>
    <t>Ekurli, Po- Talegaon Talatule, Tah- Wardha, Dist- Wardha, Maharashtra, 442001</t>
  </si>
  <si>
    <t>INDIAN MILITARY SCHOOL</t>
  </si>
  <si>
    <t>SHRI VYANKAYTESH JUNIOR COLLEGE</t>
  </si>
  <si>
    <t>MS Project, Primavera P6, MS Office, AutoCAD, Revit-Architecture</t>
  </si>
  <si>
    <t>REPPLEN PROJECTS PRIVATE LIMITED | Planning Intern | Pune | May 2026 | Jun 2026 | 8 Weeks | Campus Internship
PUBLIC WORKS DIVISION | Intern | P.W. Sub Division, Seloo, Wardha, Maharashtra | Feb 2022 | Jul 2022 | 25 Weeks
BAJAJ AUTO LIMITED | Intern | Bajaj Nagar, Waluj, Midc, Aurangabad, Maharashtra | Aug 2019 | Aug 2019 | 0 Weeks</t>
  </si>
  <si>
    <t>AutoCAD
Revit Architecture
SAP2000</t>
  </si>
  <si>
    <t>P25702153</t>
  </si>
  <si>
    <t>AMDHARE</t>
  </si>
  <si>
    <t>Ayush Narendra Amdhare</t>
  </si>
  <si>
    <t>ayush664041@gmail.com</t>
  </si>
  <si>
    <t>p25702153@student.nicmar.ac.in</t>
  </si>
  <si>
    <t>7673 1483 7106</t>
  </si>
  <si>
    <t>YOUTHVILLE BALEWADI 2, NEXT TO AMAR TECH PARK, PUNE, MAHARASHTRA 411045</t>
  </si>
  <si>
    <t>Plot No.31,kohley Layout,khadgaon Road,wadi,</t>
  </si>
  <si>
    <t>CDS SCHOOL NAGPUR</t>
  </si>
  <si>
    <t>G H RAISONI VIDYA NIKETAN NAGPUR MAHARASHTRA</t>
  </si>
  <si>
    <t>TIRPUDE INSTITUTE OF MANAGEMENT EDUCATION, SADAR, NAGPUR/MAHARASHTRA</t>
  </si>
  <si>
    <t>Goldbricks Infrastructure Pvt.Ltd | Sales executive | NAGPUR | May 2026 | Jul 2026 | 9 Weeks | Campus Internship
OPEN WINGS FOUNDATION | Non-profit organization | Noida, Uttar Pradesh | Jul 2024 | Oct 2024 | 13 Weeks</t>
  </si>
  <si>
    <t>P2201001</t>
  </si>
  <si>
    <t>ESHIKA</t>
  </si>
  <si>
    <t>Eshika Vikas Patil</t>
  </si>
  <si>
    <t>eshikapatil8@gmail.com</t>
  </si>
  <si>
    <t>p2201001@student.nicmar.ac.in</t>
  </si>
  <si>
    <t>22-Jun-2004</t>
  </si>
  <si>
    <t>Dance,Singing,Painting,Swimming,Reading</t>
  </si>
  <si>
    <t>3568 7659 0201</t>
  </si>
  <si>
    <t>VIKAS TUKARAM PATIL</t>
  </si>
  <si>
    <t>MEGHA VIKAS PATIL</t>
  </si>
  <si>
    <t>H - 1003, Lake Vista Society, Shaninagar, Katraj</t>
  </si>
  <si>
    <t>AARYANS WORLDS SCHOOL</t>
  </si>
  <si>
    <t>NATIONAL INSTITUTE OF OPEN SCHOOLING</t>
  </si>
  <si>
    <t>NICMAR UNIVERSITY, PUNE</t>
  </si>
  <si>
    <t xml:space="preserve">MS Office,C++,c, MS Projects, Adobe Illustrator basics, Adobe Photoshop Basic, Python Basic, </t>
  </si>
  <si>
    <t>Suzlon Energy LTD  | OMS - BD  | Pune  | May 2026 | Jul 2026 | 9 Weeks | Campus Internship
RUCHA GROUP | HR INTERN  | SHIVAJINAGAR, PUNE | May 2024 | Jul 2024 | 8 Weeks
COGNIZEN INNOVATION | HR+ MARKETING  | DELHI  | May 2025 | Jul 2025 | 8 Weeks</t>
  </si>
  <si>
    <t>Yoga and positive psychology for managing career and life
Hindi Bhasha Bodh
Korean I
English for research paper writing</t>
  </si>
  <si>
    <t>P2201002</t>
  </si>
  <si>
    <t>UDIT</t>
  </si>
  <si>
    <t>Udit Singh</t>
  </si>
  <si>
    <t>kabirsingh231456@gmail.com</t>
  </si>
  <si>
    <t>p2201002@student.nicmar.ac.in</t>
  </si>
  <si>
    <t>7816 1680 8281</t>
  </si>
  <si>
    <t>LOKENDRA SINGH</t>
  </si>
  <si>
    <t>RASHMI SINGH</t>
  </si>
  <si>
    <t>115, MBH BOYS HOSTEL, NICMAR UNIVERSITY, POST OFFICE, 25/1, BALEWADI ROAD, RAM NAGAR, BANER, PUNE, MAHARASHTRA</t>
  </si>
  <si>
    <t>HOUSE NUMBER 119, AVTAR SINGH ROAD, AGRA CANTT, AGRA, UTTAR PRADESH</t>
  </si>
  <si>
    <t>NALANDA ACADEMY ANANTPURA, KOTA, RAJASTHAN</t>
  </si>
  <si>
    <t>CENTRAL BOARD OF SECONDARY EDUCATION, KOTA, RAJASTHAN</t>
  </si>
  <si>
    <t>MAHI INTERNATIONAL SCHOOL, AGRA, UTTAR PRADESH</t>
  </si>
  <si>
    <t>CENTRAL BOARD OF SECONDARY EDUCATION, AGRA, UTTAR PRADESH</t>
  </si>
  <si>
    <t>MS Office,C &amp; C++ PROGRAMMING,ORACLE,PHOTOSHOP,ILLUSTRATOR</t>
  </si>
  <si>
    <t>SRV MEDIA PVT. LTD | DIGITAL MARKETING | 3RD FLOOR, OFFICE NO. 301, NANDAN PROBIZ, NEAR BALEWADI HIGH STREET, LAXMAN NAGAR, BANER, PUNE, MAHARASHTRA 411045 | May 2024 | Jul 2024 | 8 Weeks
Nicmar | Data Analyst  | Online  | Jul 2024 | Sep 2024 | 8 Weeks
UNIVERSITY OF ILLINOIS | FINANCIAL ACCOUNTING WORK THROUGH COURSERA | ONLINE  | May 2025 | Jul 2025 | 8 Weeks
RAJGURU SALES CORPORATION | Business Development | Jaipur | May 2026 | Jul 2026 | 9 Weeks</t>
  </si>
  <si>
    <t>P2201003</t>
  </si>
  <si>
    <t>VIJIT</t>
  </si>
  <si>
    <t>Vijit Yadav</t>
  </si>
  <si>
    <t>vijityadav37@gmail.com</t>
  </si>
  <si>
    <t>p2201003@student.nicmar.ac.in</t>
  </si>
  <si>
    <t>10-Feb-2005</t>
  </si>
  <si>
    <t>ENGLISH AND  HINDI</t>
  </si>
  <si>
    <t>Sports,Yoga,Trekking,Reading,Rubik&amp;#39;s Cube</t>
  </si>
  <si>
    <t>8589 1137 0658</t>
  </si>
  <si>
    <t>GREESH CHANDRA YADAV</t>
  </si>
  <si>
    <t>MANJU LATA</t>
  </si>
  <si>
    <t>NICMAR UNIVERSITY, MBH ROOM NO- 116, 25/1, BALEWADI, NEAR NIA POST OFFICE</t>
  </si>
  <si>
    <t>14/ JASWANT ESTATE COLONY, KOLLAKHA, DEORI ROAD, AGRA, UTTAR PRADESH</t>
  </si>
  <si>
    <t>VIJIT YADAV</t>
  </si>
  <si>
    <t>MS Office,Python (programming language),C (programming language),RDBMS (relational database management system),MS EXCEL,Adobe Photoshop,Adobe Illustrator</t>
  </si>
  <si>
    <t>Bombay Stock Exchange Brokers' Forum | Capital Market Operation | Mumbai | May 2026 | Jul 2026 | 9 Weeks | Campus Internship
SRV MEDIA PVT. LTD | DIGITAL MARKETING  | PUNE | May 2024 | Jul 2024 | 8 Weeks
UNIVERSITY OF ILLINOIS | FINANCIAL ACCOUNTING WORK THROUGH COURSERA | ONLINE | May 2025 | Jul 2025 | 8 Weeks</t>
  </si>
  <si>
    <t>Excel in finance
Python
NISM Fest</t>
  </si>
  <si>
    <t>P2201006</t>
  </si>
  <si>
    <t>ANINDITA</t>
  </si>
  <si>
    <t>JEEVAN</t>
  </si>
  <si>
    <t>Anindita Jeevan</t>
  </si>
  <si>
    <t>aninditaj1234@gmail.com</t>
  </si>
  <si>
    <t>p2201006@student.nicmar.ac.in</t>
  </si>
  <si>
    <t>20-May-2003</t>
  </si>
  <si>
    <t>ENGLISH,HINDI,MALAYALAM,MARATHI,FRENCH</t>
  </si>
  <si>
    <t>Dancing,Painting,Content creation,Journalling,Swimming,Singing,Listening to Music</t>
  </si>
  <si>
    <t>9731 1150 6250</t>
  </si>
  <si>
    <t>JEEVAN KOOLOTHUMKANDY</t>
  </si>
  <si>
    <t>SONA JEEVAN</t>
  </si>
  <si>
    <t>C 902, Vatsalya Vihar, Nagras Road, Aundh,Pune 411007</t>
  </si>
  <si>
    <t>INDIRA NATIONAL SCHOOL</t>
  </si>
  <si>
    <t>CBSE DELHI BOARD(MAHARASHTRA)</t>
  </si>
  <si>
    <t>MS Office,Basics of MS Excel,MYSQL Basics,PYTHON Basics,ILLUSTRATOR Basics,Photoshop basics,Office 365,RDBMS BASICS,C++ basics</t>
  </si>
  <si>
    <t>Dancing Curve Institute | Instructor, Admin | Aundh  | Aug 2021 | Sep 2025 | 4 Years, 1 Months, 19 Days | 2</t>
  </si>
  <si>
    <t>E-Construct | Project Management Intern | Bangalore | May 2026 | Jun 2026 | 8 Weeks | Campus Internship
Millennium Engineers and Contractors | HR INTERN | Balewadi Pune | May 2024 | Jul 2024 | 8 Weeks
Dancing Curve Institute | Marketing , Sales and Administration Executive | Pune | May 2025 | Jul 2025 | 8 Weeks</t>
  </si>
  <si>
    <t>International Business I
Basic Statistics
Inferential Statistics
Qualitative Research Methods
Quantitative methods 
Getting started with MS Office 365
Indian Knowledge System (Swayam, NPTEL)
Yoga and Positive Psychology
Economics of Innovation</t>
  </si>
  <si>
    <t>P2201007</t>
  </si>
  <si>
    <t>BHANGALE</t>
  </si>
  <si>
    <t>Pooja Jayant Bhangale</t>
  </si>
  <si>
    <t>pjbnicmar@gmail.com</t>
  </si>
  <si>
    <t>p2201007@student.nicmar.ac.in</t>
  </si>
  <si>
    <t>21-Jul-2003</t>
  </si>
  <si>
    <t>Music,Badminton,Trekking</t>
  </si>
  <si>
    <t>2527 7626 9526</t>
  </si>
  <si>
    <t>CHARUSHILA</t>
  </si>
  <si>
    <t>B-2 Suyash Row Bunglow, Krushna Park, Panchak, Jail Road, Nashik Road</t>
  </si>
  <si>
    <t>NUTAN VIDYAMANDIR</t>
  </si>
  <si>
    <t>NICMAR UNIVERSITY,. PUNE</t>
  </si>
  <si>
    <t>MS Office,PowerPoint</t>
  </si>
  <si>
    <t>SOBHA LIMITED | HR INTERN | Head Office, Banglore | May 2026 | Jul 2026 | 8 Weeks | Campus Internship
RUCHA GROUP | HR INTERN | SHIVAJI NAGAR, PUNE | May 2024 | Jul 2024 | 8 Weeks
COGNIZEN INNOVATIONS | HR AND MARKETING INTERN  | DELHI-NCR (WORK FROM HOME) | May 2025 | Jul 2025 | 8 Weeks</t>
  </si>
  <si>
    <t>Yoga and Positive Psychology for Managing Career and Life
Hindi Bhasha Bhod
English for research paper writing</t>
  </si>
  <si>
    <t>P2201008</t>
  </si>
  <si>
    <t>ZAKIYA</t>
  </si>
  <si>
    <t>SHAMSHUDDIN</t>
  </si>
  <si>
    <t>MULLA</t>
  </si>
  <si>
    <t>Zakiya Shamshuddin Mulla</t>
  </si>
  <si>
    <t>zakiyamulla08@gmail.com</t>
  </si>
  <si>
    <t>p2201008@student.nicmar.ac.in</t>
  </si>
  <si>
    <t>08-Jul-2004</t>
  </si>
  <si>
    <t>sketching,painting,singing,travelling,learning new languages</t>
  </si>
  <si>
    <t>5174 4560 7081</t>
  </si>
  <si>
    <t>RETIRED STATE GOVERNMENT OFFICER</t>
  </si>
  <si>
    <t>TARANNUM</t>
  </si>
  <si>
    <t>A-403 Mithras Park ,Near Shivar Chowk, Pimple Saudagar</t>
  </si>
  <si>
    <t>D A V PUBLIC SCHOOL</t>
  </si>
  <si>
    <t>S N B P INTERNATIONAL SCHOOL</t>
  </si>
  <si>
    <t>NICMAR UNIVERISTY, PUNE</t>
  </si>
  <si>
    <t>Application of SQL(Queries and Joints), Application of Python, Excel (Dashboards; Data analytics; pivot charts),Strategic Generative AI Research,MS Project, Ms office,PowerBi,Adobe Photoshop and illustrator</t>
  </si>
  <si>
    <t>Econstruct Design and Build Private Limited | Project Management Intern | Bengaluru | May 2026 | Jun 2026 | 8 Weeks | Campus Internship
SRV MEDIA PVT. LTD | DIGITAL MARKETING - INTERN | BALEWADI HIGH STREET, LAXMAN NAGAR, BANER, PUNE, MAHARASHTRA 411045 | May 2024 | Jun 2024 | 7 Weeks
UNIVERSITY OF ILLINOIS | FINANCIAL ACCOUNTING WORK THROUGH COURSERA | ONLINE  | May 2025 | Jul 2025 | 8 Weeks</t>
  </si>
  <si>
    <t>Lean Six Sigma Green Belt Certification Programme by KPMG
Investment Risk Management
Create a Financial Statement using Microsoft Excel
Business Analysis &amp; Process Management
Financial Management
Financial Analysis - Skills  for Success</t>
  </si>
  <si>
    <t>P2201010</t>
  </si>
  <si>
    <t>PRAMIT</t>
  </si>
  <si>
    <t>Pramit - Gupta</t>
  </si>
  <si>
    <t>primepramit@gmail.com</t>
  </si>
  <si>
    <t>p2201010@student.nicmar.ac.in</t>
  </si>
  <si>
    <t>02-Sep-2004</t>
  </si>
  <si>
    <t>Artwork,collecting books,Technology,Simulators,Lego</t>
  </si>
  <si>
    <t>3771 5557 9327</t>
  </si>
  <si>
    <t>SOFTWARE ENGIRNEER,DIRECTOR</t>
  </si>
  <si>
    <t>HOUSEWIFE(PREVIOUSLY HOME TUTOR AND BUSINESS WOMAN)</t>
  </si>
  <si>
    <t>B 601 Golden Trellis ,golden Street,near Madhuban Society Balewadi,pune_x000D_
411045</t>
  </si>
  <si>
    <t>RADCLIFFE</t>
  </si>
  <si>
    <t>THANE</t>
  </si>
  <si>
    <t>BARNES SCHOOL AND JUNIOR COLLEGE</t>
  </si>
  <si>
    <t>NASIK</t>
  </si>
  <si>
    <t>NICMAR UNIVERSITY, PUNE/MAHARASTRA</t>
  </si>
  <si>
    <t>other,powerpoint</t>
  </si>
  <si>
    <t>CANOPUS INFOSYSTEMS PVT. LTD. | MARKET RESEARCHER  | MUNICH, GERMANNY | Jun 2024 | Jul 2024 | 8 Weeks
Coursera (Industry-Recognized Certification Program | Summer Intern (Finance &amp; Business Management via Online Certification | Remote/Online (Partner Universities: University of Pennsylvania, Duke University, University of Illinois Urbana-Champaign | Jun 2025 | Jul 2025 | 8 Weeks</t>
  </si>
  <si>
    <t>P25703001</t>
  </si>
  <si>
    <t>DHANPAL</t>
  </si>
  <si>
    <t>KAWALE</t>
  </si>
  <si>
    <t>Chinmay Dhanpal Kawale</t>
  </si>
  <si>
    <t>chinmayk090401@gmail.com</t>
  </si>
  <si>
    <t>p25703001@student.nicmar.ac.in</t>
  </si>
  <si>
    <t>09-Apr-2001</t>
  </si>
  <si>
    <t>9692 8181 4424</t>
  </si>
  <si>
    <t>DHANPAL KAWALE</t>
  </si>
  <si>
    <t>REKHA KAWALE</t>
  </si>
  <si>
    <t>SKY LINE PG 2, 503, OPPOSITE HIRAI SITAI MANDIR</t>
  </si>
  <si>
    <t>Sai Mauly Colony, Fulchur Peth</t>
  </si>
  <si>
    <t>GUJARATI NATIONAL HIGH SCHOOL, GONDIA-441614</t>
  </si>
  <si>
    <t>MAHARASHTRA STATE BOARD SECONDARY EDUCATION, PUNE, MAHARASHTRA</t>
  </si>
  <si>
    <t>SAKET JR. COLLEGE GONDIA</t>
  </si>
  <si>
    <t>Edsom Fintech Pvt. Ltd. | Finance intern | Pune, Maharashtra, India | May 2026 | Jun 2026 | 7 Weeks | Campus Internship</t>
  </si>
  <si>
    <t>P25703002</t>
  </si>
  <si>
    <t>ROSHNI</t>
  </si>
  <si>
    <t>GODBOLE</t>
  </si>
  <si>
    <t>Roshni Sandeep Godbole</t>
  </si>
  <si>
    <t>roshni.godbole7@gmail.com</t>
  </si>
  <si>
    <t>p25703002@student.nicmar.ac.in</t>
  </si>
  <si>
    <t>07-Sep-2003</t>
  </si>
  <si>
    <t>6498 5713 0324</t>
  </si>
  <si>
    <t>SANDEEP GODBOLE</t>
  </si>
  <si>
    <t>VIDYA GODBOLE</t>
  </si>
  <si>
    <t>Flat No.- 5, Jenika Apt, Near Shivaji Uday Mandal, Tanaji Nagar, Chinchwad, Pune-33.</t>
  </si>
  <si>
    <t>BLOSSOM PUBLIC SCHOOL, TATHAWADE</t>
  </si>
  <si>
    <t>MECHANICAL ENGINEERING</t>
  </si>
  <si>
    <t>GOVERNMENT POLYTECHNIC, PUNE, MAHARASHTRA</t>
  </si>
  <si>
    <t>PIMPRI CHINCHWAD COLLEGE OF ENGINEERING, NIGDI, PUNE-44.</t>
  </si>
  <si>
    <t>AutoCAD,MS Project,Solid Edge,Python,Tableau,SQL,Microsoft Power BI,MS Excel</t>
  </si>
  <si>
    <t>Finnovators Services Pvt Ltd | Operations intern | Pune | May 2026 | Jul 2026 | 8 Weeks | Campus Internship
INTRAINZ INNOVATION PVT LTD. | RESEARCH INTERN  | BENGALURU, KARNATAKA | Feb 2024 | Apr 2024 | 8 Weeks
High Energy Materials Research Laboratory, DRDO, Ministry of Defence. | Design Intern | Sutarwadi, Pune-411021 | May 2024 | Jul 2024 | 10 Weeks</t>
  </si>
  <si>
    <t>emS Stock Market Institute - Basic to Advance (Indian stock market)
CAD DESK- NX CAD
NPTEL - Computer Integrated Manufacturing.
Unstop Brand Management
Coursera Operations Management
Coursera International Business</t>
  </si>
  <si>
    <t>P25703003</t>
  </si>
  <si>
    <t>PRERNA</t>
  </si>
  <si>
    <t>Prerna Kumari</t>
  </si>
  <si>
    <t>prerna840900@gmail.com</t>
  </si>
  <si>
    <t>p25703003@student.nicmar.ac.in</t>
  </si>
  <si>
    <t>11-Oct-2004</t>
  </si>
  <si>
    <t>5937 8786 3732</t>
  </si>
  <si>
    <t>HARENDRA KISHOR PD SINGH</t>
  </si>
  <si>
    <t>RITA KUMARI</t>
  </si>
  <si>
    <t>NICMAR UNIVERSITY, MILLENNIUM GIRL'S HOSTEL, _x000D_
ROOM NO - 801</t>
  </si>
  <si>
    <t>Simra , Parsa Bazar_x000D_</t>
  </si>
  <si>
    <t>DESTINY INTERNATIONAL SCHOOL</t>
  </si>
  <si>
    <t>GYANODAYA GURUKUL</t>
  </si>
  <si>
    <t>PATLIPUTRA UNIVERSITY</t>
  </si>
  <si>
    <t>ARCADE BUSINESS COLLAGE, PATNA</t>
  </si>
  <si>
    <t>MS Office,Tally prime</t>
  </si>
  <si>
    <t>SOBHA Limited India  | HR intern  | BANGALORE  | May 2026 | Jul 2026 | 8 Weeks | Campus Internship</t>
  </si>
  <si>
    <t>Certificate of Completion Advance Diploma In Computer Application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Introduction to Computer Training by Spoken Tutorial Project
Certificate of Completion Communication Skills by Microsoft
Certificate of Completion Digital Productivity  by Microsoft
Certificate of completion Enterpreneurship by Microsoft
Certificate of completion Employability skills by Microsoft
Certificate programme in Banking, Finance and Insurance by Bajaj Finserv Limited</t>
  </si>
  <si>
    <t>P25703004</t>
  </si>
  <si>
    <t>Sneha Kumari</t>
  </si>
  <si>
    <t>snehakumari1592000@gmail.com</t>
  </si>
  <si>
    <t>p25703004@student.nicmar.ac.in</t>
  </si>
  <si>
    <t>15-Sep-2001</t>
  </si>
  <si>
    <t>7065 4965 7148</t>
  </si>
  <si>
    <t>VISHWANATH PRASAD</t>
  </si>
  <si>
    <t>DIMPAL DEVI</t>
  </si>
  <si>
    <t>NICMAR UNIVERSITY, MILLENNIUM GIRL'S HOSTEL, ROOM NO. 801</t>
  </si>
  <si>
    <t>NANDLAL CHHAPRA</t>
  </si>
  <si>
    <t>PREMALOK MISSION SCHOOL</t>
  </si>
  <si>
    <t>AMIRCHAND BALIKA UCHH VIDYALAYA</t>
  </si>
  <si>
    <t>BIHAR BOARD OF OPEN SCHOOLING &amp; EXAMINATION, PATNA</t>
  </si>
  <si>
    <t>ARCADE BUSINESS COLLEGE, PATNA</t>
  </si>
  <si>
    <t>MS Office,Tally Prime</t>
  </si>
  <si>
    <t>SOBHA Limited India | HR Intern | Bangalore | May 2026 | Jul 2026 | 8 Weeks | Campus Internship</t>
  </si>
  <si>
    <t>Certificate for completion of Certified Industrial Accountant (Modular)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Gedit Text Editor training by Spoken Tutorial Project
Certificate for completion of introduction to computer training by Spoken Tutorial Project
Certificate of completion Communication Skills by Microsoft
Certificate of completion of Digital productivity by Microsoft
Certificate of completion Entrepreneurship by Microsoft
Certificate of completion Employbility Skills by Microsoft
Certificate programme  in Banking, finance and Insurance by Bajaj Finserv Limited
HR Workshop Certificate Programme in Banking, Finance and Insurance by Bajaj Finserv Limited</t>
  </si>
  <si>
    <t>P25703005</t>
  </si>
  <si>
    <t>RATH</t>
  </si>
  <si>
    <t>Ayush Rath</t>
  </si>
  <si>
    <t>ayushrathdb@gmail.com</t>
  </si>
  <si>
    <t>p25703005@student.nicmar.ac.in</t>
  </si>
  <si>
    <t>English, Hindi &amp; Odia</t>
  </si>
  <si>
    <t>4501 3198 7662</t>
  </si>
  <si>
    <t>PRAKASH CHANDRA RATHA</t>
  </si>
  <si>
    <t>LAXMIPRIYA MISHRA</t>
  </si>
  <si>
    <t>D2-202, NISARG NIRMITI HOUSING SOCIETY, PIMPLE SAUDAGAR</t>
  </si>
  <si>
    <t>Nuapada Chhak, Madhupatna</t>
  </si>
  <si>
    <t>SNBP INTERNATIONAL SCHOOL</t>
  </si>
  <si>
    <t>Spades Entertainment | Executive Marketing &amp; Business Development | Pune | Jun 2023 | Jun 2025 | 2 Years, 0 Months, 29 Days | 2.88</t>
  </si>
  <si>
    <t>The Backbenchers Digital LLP | Marketing Intern | Baner, Pune | May 2026 | Jul 2026 | 8 Weeks | Campus Internship</t>
  </si>
  <si>
    <t>P25703006</t>
  </si>
  <si>
    <t>VARIMA</t>
  </si>
  <si>
    <t>Varima Tripathi</t>
  </si>
  <si>
    <t>varimatripathi@gmail.com</t>
  </si>
  <si>
    <t>p25703006@student.nicmar.ac.in</t>
  </si>
  <si>
    <t>7804 9253 7674</t>
  </si>
  <si>
    <t>ATUL KANTI TRIPATHI</t>
  </si>
  <si>
    <t>NISHA TRIPATHI</t>
  </si>
  <si>
    <t>20/1, First Floor, West Patel Nagar</t>
  </si>
  <si>
    <t>BR AMBEDKAR UNIVERSITY DELHI</t>
  </si>
  <si>
    <t>AMBEDKAR COLLEGE, NEW DELHI, DELHI</t>
  </si>
  <si>
    <t>Bachelor of Science (B.Sc.)</t>
  </si>
  <si>
    <t>Mathematics</t>
  </si>
  <si>
    <t>MS Office,MS Project,MS Excel,JIRA</t>
  </si>
  <si>
    <t>Ahluwalia Contracts (India) ltd.  | Supply chain and security intern  | Okhla, Delhi NCR  | May 2026 | Jul 2026 | 8 Weeks | Campus Internship
Playhard Academy | Assistant Coach | Delhi | Mar 2025 | Jul 2025 | 17 Weeks
Pamm Advertising and Marketing | Finance Intern | Delhi | Jul 2023 | Jul 2023 | 3 Weeks</t>
  </si>
  <si>
    <t>Methods and statistics in social science- final research project
Qualitative Research Methods
Operations Management
Basic statistics
National level case study competition in supply chain
Advanced Entrepreneurship-Cum Skill Development Programme
TCS Youth Employment Program</t>
  </si>
  <si>
    <t>P25703007</t>
  </si>
  <si>
    <t>Sakshi Jaiswal</t>
  </si>
  <si>
    <t>jaiswalsakshi22062001@gmail.com</t>
  </si>
  <si>
    <t>p25703007@student.nicmar.ac.in</t>
  </si>
  <si>
    <t>9653 3010 7200</t>
  </si>
  <si>
    <t>DHIRENDRA JAISWAL</t>
  </si>
  <si>
    <t>SARITA JAISWAL</t>
  </si>
  <si>
    <t>GEETAPURI CHAURAHA , KHARGAPUR , GOMTINAGAR</t>
  </si>
  <si>
    <t>Durga Mandir Road , Bhatpar Rani</t>
  </si>
  <si>
    <t>Deoria</t>
  </si>
  <si>
    <t>LITTLE FLOWER SCHOOL , SALEMPUR</t>
  </si>
  <si>
    <t>LUCKNOW PUB COL VINAMRA KHAND GOMTI NGR LUCKNOW</t>
  </si>
  <si>
    <t>BABU BANARASI DAS UNIVERSITY</t>
  </si>
  <si>
    <t>BABU BANARASI DAS UNIVERSITY LUCKNOW</t>
  </si>
  <si>
    <t>Sobha Limited | HR | Bangalore | May 2026 | Jul 2026 | 8 Weeks | Campus Internship</t>
  </si>
  <si>
    <t>Product Management
Excel for Beginners
Nisargamitra natural farming and study center
Business Analytics with Excel: Elementary to Advanced
International Business I
Operations Management
Introduction to Marketing
Microsoft office 365
Negotiation fundamentals
India Knowledge System (IKS) and Human Resource Management(HRM):Work, Wisdom, Wellbeing
Qualitative Research Methods
Methods and Statistics in Social Science - Final Research Project
Successful Career Development
English For Career Development 
Inferential Statistics
Basic Statistics
Success with Integrity: Business Ethics Foundation
AI for Productivity
Supply chain Sourcing 
Quantitative Methods
Negotiation, Mediation&amp; Conflict Resolution-Capstone Project</t>
  </si>
  <si>
    <t>P25703008</t>
  </si>
  <si>
    <t>VAIDYA</t>
  </si>
  <si>
    <t>Atharva Sudhir Vaidya</t>
  </si>
  <si>
    <t>atharvavaidya0711@gmail.com</t>
  </si>
  <si>
    <t>p25703008@student.nicmar.ac.in</t>
  </si>
  <si>
    <t>9834 0588 9722</t>
  </si>
  <si>
    <t>SUDHIR RAMBHAU VAIDYA</t>
  </si>
  <si>
    <t>DE</t>
  </si>
  <si>
    <t>RANJANA SUDHIR VAIDYA</t>
  </si>
  <si>
    <t>Plot No. 133, Parvati Nagar, Behind Jeevan School, Nagpur 440027</t>
  </si>
  <si>
    <t>SOMALWAR HIGHSCHOOL NIKALAS BRANCH</t>
  </si>
  <si>
    <t>STATE BOARD NAGPUR/MAHARASHTRA</t>
  </si>
  <si>
    <t>DIPLOMA IN AUTOMOBILE ENGINEERING</t>
  </si>
  <si>
    <t>VISHWAKARMA INSTITUTE OF TECHNOLOGY, PUNE/MAHARASHTRA</t>
  </si>
  <si>
    <t>AutoCAD,MS Office,Powerbi,Fusion 360,Advanced Exel,SQL</t>
  </si>
  <si>
    <t>Metafold Engineering Pvt. Ltd. | ERP Engineer Trainee | Pune, India | Aug 2024 | Apr 2025 | 0 Years, 8 Months, 22 Days | 3.97</t>
  </si>
  <si>
    <t>Edsom Fintech | Finance + B.A. Intern | Pune | May 2026 | Jun 2026 | 7 Weeks | Campus Internship
INDTAMP INDUSTRIES | INTERN | PUNE | Jan 2024 | Jun 2024 | 21 Weeks</t>
  </si>
  <si>
    <t>P25703009</t>
  </si>
  <si>
    <t>Sheetal S</t>
  </si>
  <si>
    <t>sheetalgowda.1216@gmail.com</t>
  </si>
  <si>
    <t>p25703009@student.nicmar.ac.in</t>
  </si>
  <si>
    <t>6369 9604 8642</t>
  </si>
  <si>
    <t>SHIVALINGAIAH</t>
  </si>
  <si>
    <t>#11, Near Sadhana Public School, Ganigarapalya, Talaghattpura Post</t>
  </si>
  <si>
    <t>PRARTHANA CENTRAL SCHOOL</t>
  </si>
  <si>
    <t>CBSE BENGALURU</t>
  </si>
  <si>
    <t>DAYANANDA SAGAR ACADEMY OF TECHNOLOGY AND MANAGEMENT, BENGALURU</t>
  </si>
  <si>
    <t>MS Office, Power BI, MS Project</t>
  </si>
  <si>
    <t>Concentrix | Senior Engineer | Bengaluru | Jul 2019 | Jun 2021 | 1 Years, 10 Months, 13 Days | 2.85
Telus International | Online Data Analyst | Freelance | Dec 2021 | Mar 2025 | 3 Years, 2 Months, 9 Days | 1.5</t>
  </si>
  <si>
    <t>Twikk Sustainability Solutions LLP | Executive - Sustainable Supply Chain | Ahmedabad | May 2026 | Jul 2026 | 9 Weeks | Campus Internship
Bosch Rexroth | Intern | Bengaluru | Jul 2018 | Aug 2018 | 3 Weeks</t>
  </si>
  <si>
    <t>P25703010</t>
  </si>
  <si>
    <t>JORWEKAR</t>
  </si>
  <si>
    <t>Ajinkya Chandrakant Jorwekar</t>
  </si>
  <si>
    <t>ajinkyajorwekar6847@gmail.com</t>
  </si>
  <si>
    <t>p25703010@student.nicmar.ac.in</t>
  </si>
  <si>
    <t>10-May-2002</t>
  </si>
  <si>
    <t>4938 0986 6692</t>
  </si>
  <si>
    <t>CHANDRAKANT JORWEKAR</t>
  </si>
  <si>
    <t>GEETAANJALI JORWEKAR</t>
  </si>
  <si>
    <t>Court Road Gajanannagar Kopargaon</t>
  </si>
  <si>
    <t>MAHARSHI VIDHYA MANDIR</t>
  </si>
  <si>
    <t>CBSE KOPARGAON/MAHARASHTRA</t>
  </si>
  <si>
    <t>2006-Aug</t>
  </si>
  <si>
    <t>SHRI SAI BABA UCCHA MADHYAMIK MAHAVIDHYALAY</t>
  </si>
  <si>
    <t>SPPU, PUNE</t>
  </si>
  <si>
    <t>SANJIVANI COLLEGE OF PHARMACEUTICAL AND RESEARCH KOPARGAON/MAHARASHTRA</t>
  </si>
  <si>
    <t>Bachelor of Pharmacy (B.Pharm.)</t>
  </si>
  <si>
    <t>Pharmacy</t>
  </si>
  <si>
    <t>MS Office,MS Project,RGui,Python</t>
  </si>
  <si>
    <t>Econstruct Design &amp; Build Pvt. Ltd. | Business Development | Bangalore  | May 2026 | Jun 2026 | 8 Weeks | Campus Internship
Advanced Enzymes | Intern | Malegaon MIDC sinnar,Nashik-422113 | Jul 2023 | Aug 2023 | 2 Weeks
Holden Medical Laboratories | Intern | Malegaon MIDC sinnar,Nashik-422113 | Jul 2023 | Aug 2023 | 4 Weeks</t>
  </si>
  <si>
    <t>P25703011</t>
  </si>
  <si>
    <t>VAGISHA</t>
  </si>
  <si>
    <t>Vagisha Kashyap</t>
  </si>
  <si>
    <t>vagishak962@mail.com</t>
  </si>
  <si>
    <t>p25703011@student.nicmar.ac.in</t>
  </si>
  <si>
    <t>19-Mar-2003</t>
  </si>
  <si>
    <t>2225 5907 3135</t>
  </si>
  <si>
    <t>VINOD KUMAR TIWARI</t>
  </si>
  <si>
    <t>GAZETTE VETERINARY DOCTOR</t>
  </si>
  <si>
    <t>NEHA TIWARI</t>
  </si>
  <si>
    <t>H/o Y.N Tiwari , Azad Nagar , Road No 2 , East Lane , Kankarbagh , Patna</t>
  </si>
  <si>
    <t>CARMEL HIGH SCHOOL , PATNA</t>
  </si>
  <si>
    <t>ICSE ,BIHAR</t>
  </si>
  <si>
    <t>ISC , BIHAR</t>
  </si>
  <si>
    <t>Humanities / Arts</t>
  </si>
  <si>
    <t>BANARAS HINDU UNIVERSITY</t>
  </si>
  <si>
    <t>ARYA MAHILA POST GRADUATE COLLEGE , VARANASI</t>
  </si>
  <si>
    <t>Bachelor of Arts (B.A.)</t>
  </si>
  <si>
    <t>MS Office,I HAVE A BACKGRAOUND KNOWLEDGE ON CANVAS</t>
  </si>
  <si>
    <t>Central Coalfields Limited Ranchi Jharkhand  | HR Intern | Ranchi  | May 2026 | Jul 2026 | 9 Weeks</t>
  </si>
  <si>
    <t>4Ps of Marketing Mix
AI for productivity 
Successful career development 
Basic statistics
Supply chain sourcing 
Qualitative research methodology 
Operations management 
Negotiation, Mediation and conflict resolution - capstone project
Negotiation Fundamentals 
International Business 
Introduction of Marketing 
Getting started with Microsoft office 365</t>
  </si>
  <si>
    <t>P25703014</t>
  </si>
  <si>
    <t>Aditya Singh</t>
  </si>
  <si>
    <t>aditya3708@gmail.com</t>
  </si>
  <si>
    <t>p25703014@student.nicmar.ac.in</t>
  </si>
  <si>
    <t>7384 8400 8088</t>
  </si>
  <si>
    <t>BABITA SINGH</t>
  </si>
  <si>
    <t>1st Floor , Cerise Floors , Central Park Flower Valley , Sector 32-33 , Sohna , Gurugram.</t>
  </si>
  <si>
    <t>ARAVALI INTERNATIONAL SCHOOL</t>
  </si>
  <si>
    <t>FARIDABAD / HARYANA</t>
  </si>
  <si>
    <t>J.C BOSE UNIVERSITY OF SCIENCE AND TECHNOLOGY</t>
  </si>
  <si>
    <t>ARAVALI COLLEGE OF ENGINEERING AND MANAGEMENT , FARIDABAD / HARYANA</t>
  </si>
  <si>
    <t>DECATHLON SPORTS INDIA PVT. LTD. | SPORT LEADER | FARIDABAD / HARYANA | Sep 2022 | Jun 2023 | 0 Years, 8 Months, 22 Days | 1.8</t>
  </si>
  <si>
    <t>Simplify Home | Digital Marketing | Hyderabad | May 2026 | Jun 2026 | 8 Weeks | Campus Internship</t>
  </si>
  <si>
    <t>TRAINING OF TRAINERS</t>
  </si>
  <si>
    <t>P25703015</t>
  </si>
  <si>
    <t>SHALIGRAM</t>
  </si>
  <si>
    <t>Atharva Nitin Shaligram</t>
  </si>
  <si>
    <t>atharvashaligram18@gmail.com</t>
  </si>
  <si>
    <t>p25703015@student.nicmar.ac.in</t>
  </si>
  <si>
    <t>5164 7234 6982</t>
  </si>
  <si>
    <t>NITIN SHALIGRAM</t>
  </si>
  <si>
    <t>EXPIRED</t>
  </si>
  <si>
    <t>SAYALI SHALIGRAM</t>
  </si>
  <si>
    <t>Malhar, S.No.16, Plot No.20, Balewadi, Pune-411045</t>
  </si>
  <si>
    <t>DR. KALMADI SHAMARAO HIGH SCHOOL AUNDH</t>
  </si>
  <si>
    <t>DR. KALMADI SHAMARAO JUNIOR COLLEGE</t>
  </si>
  <si>
    <t>MODERN COLLEGE OF ARTS, SCIENCE AND COMMERCE</t>
  </si>
  <si>
    <t>DWS India Private Limited | Senior Analyst | Pune | Jan 2022 | May 2024 | 2 Years, 4 Months, 20 Days | 6.3</t>
  </si>
  <si>
    <t>K&amp;I Wealth Advisors LLP | Finance Intern | Powai, Mumbai | May 2026 | Jul 2026 | 8 Weeks | Campus Internship
PowerMann Consult | Trainee | Pune | Dec 2020 | May 2021 | 25 Weeks
AMFI Registered Mutual Fund Distributor | Intern | Pune | Apr 2020 | Nov 2020 | 34 Weeks</t>
  </si>
  <si>
    <t>P25703016</t>
  </si>
  <si>
    <t>AADRIKA</t>
  </si>
  <si>
    <t>RATHORE</t>
  </si>
  <si>
    <t>Aadrika Rathore</t>
  </si>
  <si>
    <t>anshirathore97@gmail.com</t>
  </si>
  <si>
    <t>p25703016@student.nicmar.ac.in</t>
  </si>
  <si>
    <t>Art and craft,diy,music,cooking,painting</t>
  </si>
  <si>
    <t>6233 5092 1251</t>
  </si>
  <si>
    <t>LATE MITHLESH RATHORE</t>
  </si>
  <si>
    <t>DEEPALI RATHORE</t>
  </si>
  <si>
    <t>F-1204 SILVER GARDENIA SOCIETY BRT ROAD RAVET</t>
  </si>
  <si>
    <t>126 Rohit Nagar Phase 2</t>
  </si>
  <si>
    <t>ST. JOSEPHS CONVENT SR SEC SCHOOL</t>
  </si>
  <si>
    <t>BARKATULLAH UNIVERSITY</t>
  </si>
  <si>
    <t>THE BHOPAL SCHOOL OF SOCIAL SCIENCES, BHOPAL, MADHYA PRADESH</t>
  </si>
  <si>
    <t>EDSOM FIN. TECH | FINANCE INTERN | PUNE | May 2026 | Jun 2026 | 8 Weeks | Campus Internship</t>
  </si>
  <si>
    <t>P25703017</t>
  </si>
  <si>
    <t>NIVAS</t>
  </si>
  <si>
    <t>Harshvardhan Nivas Desai</t>
  </si>
  <si>
    <t>harshnivasdesai@gmail.com</t>
  </si>
  <si>
    <t>p25703017@student.nicmar.ac.in</t>
  </si>
  <si>
    <t>02-Apr-2003</t>
  </si>
  <si>
    <t>2610 4033 9455</t>
  </si>
  <si>
    <t>NIVAS DESAI</t>
  </si>
  <si>
    <t>SANGITA DESAI</t>
  </si>
  <si>
    <t>Saneguruji Vasahat,Kolhapur</t>
  </si>
  <si>
    <t>SHRI V. J. DESHMUKH HIGHSCHOOL,KOLHAPUR</t>
  </si>
  <si>
    <t>KOLHAPUR,MAHARASHTRA</t>
  </si>
  <si>
    <t>THE NEW COLLEGE ,KOLHAPUR</t>
  </si>
  <si>
    <t>E Construct Design And Build Pvt.Ltd | Business Developer | Bangalore  | May 2026 | Jun 2026 | 8 Weeks | Campus Internship</t>
  </si>
  <si>
    <t>P25703020</t>
  </si>
  <si>
    <t>SALGAR</t>
  </si>
  <si>
    <t>Abhishek Atul Salgar</t>
  </si>
  <si>
    <t>abhi.salgar999@gmail.com</t>
  </si>
  <si>
    <t>p25703020@student.nicmar.ac.in</t>
  </si>
  <si>
    <t>5649 1983 9704</t>
  </si>
  <si>
    <t>Sushila Sadan, Juni Bhaji Mandai Road, Near Mantri Wada, Urun Islampur</t>
  </si>
  <si>
    <t>MAHATMA GANDHI VIDYALAYA</t>
  </si>
  <si>
    <t>HUTATMA RAJGURU MAHAVIDYALAYA</t>
  </si>
  <si>
    <t>MAHARASHTRA METRO RAIL CORPORATION LIMITED  | Intern | Pune | May 2026 | Jul 2026 | 9 Weeks | Campus Internship
Gala Habitats LLP | Trainee Engineer | Mumbai | Dec 2022 | Mar 2023 | 12 Weeks</t>
  </si>
  <si>
    <t>MS-CIT
Certificate of Participation
Auto CAD</t>
  </si>
  <si>
    <t>P25703021</t>
  </si>
  <si>
    <t>KISHU</t>
  </si>
  <si>
    <t>Kishu Rajput</t>
  </si>
  <si>
    <t>kishurajput194@gmail.com</t>
  </si>
  <si>
    <t>p25703021@student.nicmar.ac.in</t>
  </si>
  <si>
    <t>9704 0567 0554</t>
  </si>
  <si>
    <t>HARENDRA KUMAR</t>
  </si>
  <si>
    <t>VINEETA DEVI</t>
  </si>
  <si>
    <t>NAGLA PIPAL AKABARPUR KUTUBPUR FIROZABAD</t>
  </si>
  <si>
    <t>SHRI DURGA INT COLL JASRANA FIROZABAD</t>
  </si>
  <si>
    <t>BOARD OF HIGH SCHOOL AND INTERMEDIATE EDUCATION UTTAR PRADESH</t>
  </si>
  <si>
    <t>CHAUDHARY CHARAN SINGH UNIVERSITY MEERUT</t>
  </si>
  <si>
    <t>PRINCE INSTITUTE OF INNOVATIVE TECHNOLOGY, GHAZIABAD</t>
  </si>
  <si>
    <t>Majestic Realties | Digital Marketing and Sales Intern | Pune | May 2026 | Jun 2026 | 7 Weeks | Campus Internship</t>
  </si>
  <si>
    <t>Negotiation, Mediation, and Conflict Resolution  Capstone Project
Salesforce Certificate
International Business
Negotiation Fundamentals
Operations  management
Getting started with Microsoft Office 365
High Performance Collaboration: Leadership, Teamwork, and Negotiation
Business Analytics with Excel: Elementary to Advanced
Marketing Strategy
Introduction to Marketing
Financial Markets
Supply Chain Sourcing
Introduction to Social Media Marketing
Social Media Management
Fundamentals of Social Media Advertising
Digital Marketing
Google Ads for Beginners
Foundations of Digital Marketing and E-commerce</t>
  </si>
  <si>
    <t>P25703022</t>
  </si>
  <si>
    <t>Vaibhavi Pravin Chaudhari</t>
  </si>
  <si>
    <t>vaibhavi.chaudhari@icloud.com</t>
  </si>
  <si>
    <t>p25703022@student.nicmar.ac.in</t>
  </si>
  <si>
    <t>4155 1572 8820</t>
  </si>
  <si>
    <t>PRAVIN CHAUDHARI</t>
  </si>
  <si>
    <t>JYOTI CHAUDHARI</t>
  </si>
  <si>
    <t>Plot No 56, Jay Vishwa Bharati Colony, Aurangabad -431005</t>
  </si>
  <si>
    <t>BHASKARACHARYA ENGLISH SCHOOL</t>
  </si>
  <si>
    <t>DEVGIRI COLLEGE</t>
  </si>
  <si>
    <t>BoxOffice Space | Sales and Marketing Intern | Baner , Pune | May 2026 | Jul 2026 | 8 Weeks | Campus Internship</t>
  </si>
  <si>
    <t>P25703023</t>
  </si>
  <si>
    <t>Siddharth Mani</t>
  </si>
  <si>
    <t>yadavsiddharth0708@gmail.com</t>
  </si>
  <si>
    <t>p25703023@student.nicmar.ac.in</t>
  </si>
  <si>
    <t>07-Aug-2001</t>
  </si>
  <si>
    <t>4709 9761 2096</t>
  </si>
  <si>
    <t>SUSHANT KUMAR YADAV</t>
  </si>
  <si>
    <t>PUBLIC SERVICE</t>
  </si>
  <si>
    <t>S/O- SUSHANT KUMAR YADAV, GRAM - LAXMIPUR BABHANIYAN, BABHANIA, BHAGALPUR, BIHAR - 813204</t>
  </si>
  <si>
    <t>Bhagalpur</t>
  </si>
  <si>
    <t>ST JOSEPH'S SCHOOL NTPC KAHALGAON BHAGALPUR BIHAR</t>
  </si>
  <si>
    <t>VJ INTERNATIONAL SCHOOL LODHIPUR GORADIH ROAD BHAGALPUR BIHAR</t>
  </si>
  <si>
    <t>T.M. BHAGALPUR UNIVERSITY</t>
  </si>
  <si>
    <t>S.S.V. COLLEGE, KAHALGAON, BIHAR</t>
  </si>
  <si>
    <t>BVSM INDIA INSURANCE BROKERS PVT. LTD. | MARKETING &amp; SALES INTERN | BANER, PUNE | May 2026 | Jun 2026 | 7 Weeks | Campus Internship</t>
  </si>
  <si>
    <t>Negotiation Fundamentals
Business Analytics with Excel: Elementary to  Advanced
Introduction to Marketing
International Business I
Operations Management
Getting started with Microsoft Office 365
Negotiation, Mediation, and Conflict Resolution  Capstone Project
Procurement Negotiation</t>
  </si>
  <si>
    <t>P25703024</t>
  </si>
  <si>
    <t>PRITIDEEPA</t>
  </si>
  <si>
    <t>MALLIA</t>
  </si>
  <si>
    <t>Pritideepa Mallia</t>
  </si>
  <si>
    <t>pritideepamallia@gmail.com</t>
  </si>
  <si>
    <t>p25703024@student.nicmar.ac.in</t>
  </si>
  <si>
    <t>04-Feb-2000</t>
  </si>
  <si>
    <t>Odia, English, Hindi</t>
  </si>
  <si>
    <t>6553 1550 4971</t>
  </si>
  <si>
    <t>MANORANJAN MALLIA</t>
  </si>
  <si>
    <t>PRAVATI MALLIA</t>
  </si>
  <si>
    <t>Brundawan Bhawan, Plot No.-1818, Friends Colony, Bhimtangi , Land Mark- Versha Plaza Apartment, Bhubaneswar-2 ,Odisha</t>
  </si>
  <si>
    <t>DAV PUBLIC SCHOOL, POKHARIPUT</t>
  </si>
  <si>
    <t>CBSE, ODISHA/BHUBANESWAR</t>
  </si>
  <si>
    <t>GLOBAL INTERNATIONAL SCHOOL, BHIKANPURA</t>
  </si>
  <si>
    <t>S'O'A NATIONAL INSTITUTE OF LAW, BHUBANESWAR/ODISHA</t>
  </si>
  <si>
    <t>Majestic Realties | Human Resource Management Intern | Kothrud, Pune | May 2026 | Jun 2026 | 7 Weeks | Campus Internship
Orissa High Court | Legal Intern | Cuttack, Odisha | Sep 2022 | Sep 2022 | 4 Weeks
District Court of Bhubaneswar | Legal Intern | Bhubaneswar, Odisha | Aug 2021 | Aug 2021 | 4 Weeks
NALCO | Legal Intern | BHUBANESWAR | Jan 2021 | Feb 2021 | 3 Weeks</t>
  </si>
  <si>
    <t>P25703025</t>
  </si>
  <si>
    <t>PREM</t>
  </si>
  <si>
    <t>ANGALI</t>
  </si>
  <si>
    <t>Prem Chand Angali</t>
  </si>
  <si>
    <t>prem.angali97051@gmail.com</t>
  </si>
  <si>
    <t>p25703025@student.nicmar.ac.in</t>
  </si>
  <si>
    <t>9952 0778 5086</t>
  </si>
  <si>
    <t>RAMESH ANGALI</t>
  </si>
  <si>
    <t>AREA SALES MANAGER</t>
  </si>
  <si>
    <t>NIRMALA ANGALI</t>
  </si>
  <si>
    <t>H.no. 22-449/EP, Road No. 8, Vinayaka Hills, Almasguda</t>
  </si>
  <si>
    <t>HYDERABAD</t>
  </si>
  <si>
    <t>Phoenix Teladoc | Business Development Executive  | Hyderabad | Jun 2024 | Jul 2025 | 1 Years, 1 Months, 8 Days | 3.5</t>
  </si>
  <si>
    <t>Sinplify Home | Marketing intern | Hyderabad  | May 2026 | Jul 2026 | 8 Weeks | Campus Internship</t>
  </si>
  <si>
    <t>P25703026</t>
  </si>
  <si>
    <t>Asmita Tripathi</t>
  </si>
  <si>
    <t>asmitatripathi68@gmail.com</t>
  </si>
  <si>
    <t>p25703026@student.nicmar.ac.in</t>
  </si>
  <si>
    <t>4811 4282 8010</t>
  </si>
  <si>
    <t>SHASHIKANT MANI TRIPATHI</t>
  </si>
  <si>
    <t>Jawahar Navodaya Vidyalaya Dabhasemar Ayodhya</t>
  </si>
  <si>
    <t>JAWAHAR NAVODAYA VIDYALAYA MAHARAJGANJ</t>
  </si>
  <si>
    <t>CBSE  MAHARAJGANJ</t>
  </si>
  <si>
    <t>JAWAHAR NAVODAYA VIDYALAYA DABHASEMAR</t>
  </si>
  <si>
    <t>CBSE  AYODHYA</t>
  </si>
  <si>
    <t>LUCKNOW UNIVERSITY</t>
  </si>
  <si>
    <t>BAPPA SHRI NARAYAN VOCATIONAL PG COLLEGE</t>
  </si>
  <si>
    <t>MS Office,POWER BI,MS EXCEL,POWERPOINT,WORD,OUTLOOK,GOOGLE WORKSPACE,CANVA</t>
  </si>
  <si>
    <t>Vitaly India pvt Ltd | Executive Marketing Manager  | Gorakhpur  | Jun 2023 | Mar 2024 | 0 Years, 9 Months, 29 Days | 3
Nakshatra infrastructure | Human Resource Manager | Nagpur  | Jun 2024 | May 2025 | 0 Years, 11 Months, 30 Days | 4.2</t>
  </si>
  <si>
    <t>Majestic Realties  | Digital Marketing Intern | Pune | May 2026 | Jun 2026 | 7 Weeks | Campus Internship
Prism Johnson limited | HR intern | Varanasi  | Jan 2022 | Mar 2022 | 12 Weeks</t>
  </si>
  <si>
    <t>Zero cost hiring
Preparing to manage human resource
Introduction to Blockchain technology
Introduction to excel
Search Engine Optimization (SEO) with Squarespace
Operation Management
Negotiation,Mediation,and Conflict Resolution
Business Analytics with Excel
International Business
Getting started with Microsoft office 365
Introduction to Marketing
Negotiation fundamental</t>
  </si>
  <si>
    <t>P25703027</t>
  </si>
  <si>
    <t>RICHA</t>
  </si>
  <si>
    <t>Richa Sharma</t>
  </si>
  <si>
    <t>richasharma.dholpur@gmail.com</t>
  </si>
  <si>
    <t>p25703027@student.nicmar.ac.in</t>
  </si>
  <si>
    <t>21-Dec-1994</t>
  </si>
  <si>
    <t>6831 2443 8810</t>
  </si>
  <si>
    <t>SHIVDATT SHARMA</t>
  </si>
  <si>
    <t>MEERA SHARMA</t>
  </si>
  <si>
    <t>Behind Gurudwara, Ashok Vihar Colony</t>
  </si>
  <si>
    <t>JAWAHAR NAVODAYA VIDYALAYA, DHOLPUR (RAJASTHAN)</t>
  </si>
  <si>
    <t>BARKATULLAH VISHWAVIDYALAYA, BHOPAL</t>
  </si>
  <si>
    <t>EXTOL INSTITUTE OF MANAGEMENT, BHOPAL (MP)</t>
  </si>
  <si>
    <t>Biotechnology</t>
  </si>
  <si>
    <t>THE IIS UNIVERSITY, JAIPUR</t>
  </si>
  <si>
    <t>M.Sc</t>
  </si>
  <si>
    <t>Power BI, Tableau, MS Project, MS Office, Python, R, Data Analytics</t>
  </si>
  <si>
    <t>Nexgen Infra Solution | Business Development Associate | Gurugram, Haryana | Jun 2020 | Jul 2022 | 2 Years, 0 Months, 27 Days | 3</t>
  </si>
  <si>
    <t>Maharashtra Metro Rail Corporation Limited | Intern-Planning | Pune | May 2026 | Jul 2026 | 9 Weeks | Campus Internship
Birla Institute of Scientific Research | Research Trainee | Jaipur (Rajasthan) | Jul 2016 | Dec 2016 | 26 Weeks
Madhya Pradesh Vigyan Sabha | Research Trainee | Bhopal (MP) | Mar 2015 | Apr 2015 | 5 Weeks</t>
  </si>
  <si>
    <t>Indian Green Building Council Accredited professional-Associate
Agentblazer Innovator by Salesforce
AI for Productivity by Duke University
International Business by The University of New Maxico
Supply Chain Sourcing by Rutgers The State University of New Jersey
Negotiation, Mediaton, and Conflict Resolution by ESSEC Business School
Operations Management by IESE Business School
Methods and Statistics in Social Science by University of Amsterdam
Effective Business Plan IIM Banglore
Success with Integrity: Business Ethics Foundation</t>
  </si>
  <si>
    <t>P25703028</t>
  </si>
  <si>
    <t>MUNDANE</t>
  </si>
  <si>
    <t>Pavan Raosaheb Mundane</t>
  </si>
  <si>
    <t>shreemundane6@gmail.com</t>
  </si>
  <si>
    <t>p25703028@student.nicmar.ac.in</t>
  </si>
  <si>
    <t>07-Jan-1999</t>
  </si>
  <si>
    <t>Marathi, Hindi , English</t>
  </si>
  <si>
    <t>8979 5197 7383</t>
  </si>
  <si>
    <t>RASOSAHEB MUNDANE</t>
  </si>
  <si>
    <t>RAMA MUNDANE</t>
  </si>
  <si>
    <t>Saurabh Colony Vmv Road House No 29 Raosaheb Keshavrao Mundane</t>
  </si>
  <si>
    <t>SHREE SAMARTH HIGHSCHOOL AMRAVATI</t>
  </si>
  <si>
    <t>MAHARASTRA STATE BOARD EDUCATION</t>
  </si>
  <si>
    <t>P.R.PATIL INSTITUTE OF DIPLOMA AND TECHNOLOGY</t>
  </si>
  <si>
    <t>TSSMS BHIVARABAI SAWANT NARHE PUNE</t>
  </si>
  <si>
    <t xml:space="preserve">SQL , MS Office,MS Project,JIRA,JAVA,SELENIUM,TESTNG, POWER BI , PMS </t>
  </si>
  <si>
    <t>TESTOMTER PVT LTD | QA AUTOMATION TESTER | pune | Nov 2022 | Apr 2025 | 2 Years, 5 Months, 0 Days | 4.2</t>
  </si>
  <si>
    <t>EDSOM FINTECH PVT . LTD  | Finance / Business analytics Intern  | Pune  | May 2026 | Jun 2026 | 7 Weeks | Campus Internship</t>
  </si>
  <si>
    <t>P25703029</t>
  </si>
  <si>
    <t>SHREYA</t>
  </si>
  <si>
    <t>Shreya Suman</t>
  </si>
  <si>
    <t>sumanshreya272000@gmail.com</t>
  </si>
  <si>
    <t>p25703029@student.nicmar.ac.in</t>
  </si>
  <si>
    <t>27-Nov-2000</t>
  </si>
  <si>
    <t>7402 0657 6255</t>
  </si>
  <si>
    <t>SHAMBHU NATH GUPTA</t>
  </si>
  <si>
    <t>ARTI DEVI</t>
  </si>
  <si>
    <t>Kali Sthan Gali, Nathnagar,Bhagalpur</t>
  </si>
  <si>
    <t>SAINT JOSEPH'S SCHOOL</t>
  </si>
  <si>
    <t>INTER SCHOOL SABOUR,BHAGALPUR</t>
  </si>
  <si>
    <t>BIHAR BOARD OF OPEN SCHOOLING AND EXAMINATIONS,PATNA</t>
  </si>
  <si>
    <t>T. M. BHAGALPUR UNIVERSITY</t>
  </si>
  <si>
    <t>MARWARI COLLEGE, BHAGALPUR</t>
  </si>
  <si>
    <t>P25703030</t>
  </si>
  <si>
    <t>HARSHDA</t>
  </si>
  <si>
    <t>Harshda Raut</t>
  </si>
  <si>
    <t>harshuraut879@gmail.com</t>
  </si>
  <si>
    <t>p25703030@student.nicmar.ac.in</t>
  </si>
  <si>
    <t>08-Nov-2001</t>
  </si>
  <si>
    <t>6724 1384 5460</t>
  </si>
  <si>
    <t>GAJANAN T RAUT</t>
  </si>
  <si>
    <t>EX ARMY</t>
  </si>
  <si>
    <t>SUNITA RAUT</t>
  </si>
  <si>
    <t>FLAT NO.101, WING -H, TANISH SRUSHTI GAT NO. 504, ALANDI MARKAL ROAD, CHAROLI KHURD, PUNE -412105</t>
  </si>
  <si>
    <t>ARMY SCHOOL BEG &amp; CENTRE KIRKEE PUNE MR</t>
  </si>
  <si>
    <t>MIT ARTS,COMMERCE &amp; SCIENCE COLLEGE, ALANDI, PUNE</t>
  </si>
  <si>
    <t>Bombay Stock Exchange Broker's Forum | Capital Market Operations Intern | Mumbai  | May 2026 | Jul 2026 | 9 Weeks | Campus Internship
INTERSHIP STUDIO | SALES INTERN | PUNE | May 2022 | Jun 2022 | 4 Weeks
Career Help | Human Resource Intern | Hyderabad  | Sep 2024 | Nov 2024 | 8 Weeks</t>
  </si>
  <si>
    <t>Introduction to Marketing
Negotiation, Mediation, and Conflict Resolution - Capstone Project
Operations Management
International Business I
Getting started with Microsoft Office 365</t>
  </si>
  <si>
    <t>P25703031</t>
  </si>
  <si>
    <t>Harsha S</t>
  </si>
  <si>
    <t>harsha0501s@gmail.com</t>
  </si>
  <si>
    <t>p25703031@student.nicmar.ac.in</t>
  </si>
  <si>
    <t>05-Feb-2001</t>
  </si>
  <si>
    <t>3871 4990 4108</t>
  </si>
  <si>
    <t>SASI K R</t>
  </si>
  <si>
    <t>ANITHAKUMARI M S</t>
  </si>
  <si>
    <t>GURUKRIPA, CHARAMANGALAM, MUHAMMA.P.O, CHERTHALA</t>
  </si>
  <si>
    <t>JAWAHAR NAVODAYA VIDYALAYA</t>
  </si>
  <si>
    <t>CBSE,KERALA</t>
  </si>
  <si>
    <t>ZAKIR HUSAIN DELHI COLLEGE, DELHI</t>
  </si>
  <si>
    <t>other,M S EXCEL</t>
  </si>
  <si>
    <t>BOMBAY STOCK EXCHANGE BROKERS' FORUM(BBF) | Capital Market Operation Intern | MUMBAI | May 2026 | Jul 2026 | 9 Weeks | Campus Internship</t>
  </si>
  <si>
    <t>P25703032</t>
  </si>
  <si>
    <t>KHEDEKAR</t>
  </si>
  <si>
    <t>Yash Vilas Khedekar</t>
  </si>
  <si>
    <t>khedekaryash19@gmail.com</t>
  </si>
  <si>
    <t>p25703032@student.nicmar.ac.in</t>
  </si>
  <si>
    <t>19-Jun-2003</t>
  </si>
  <si>
    <t>4088 8741 3124</t>
  </si>
  <si>
    <t>403, B WING, BLD NO. 3, KADSIDHESHWAR SOCIETY,_x000D_
RAMTEKDI , NR GOPI TAILORS,_x000D_
SEWREE</t>
  </si>
  <si>
    <t>ANTONIO DE SOUZA HIGH SCHOOL</t>
  </si>
  <si>
    <t>MAHARASHTRA STATE BOARD SECONDARY AND SECONDARY EDUCATION,PUNE</t>
  </si>
  <si>
    <t>CHETANA COLLEGE</t>
  </si>
  <si>
    <t>D.G RUPAREL COLLEGE</t>
  </si>
  <si>
    <t>other,MSCIT,TALLY PRIME</t>
  </si>
  <si>
    <t>Majestic Realities | Digital Marketing intern | Pune  | May 2026 | Jun 2026 | 7 Weeks | Campus Internship</t>
  </si>
  <si>
    <t>P25703033</t>
  </si>
  <si>
    <t>MAHARSHI</t>
  </si>
  <si>
    <t>Maharshi Devendra Joshi</t>
  </si>
  <si>
    <t>maharshidjoshi@gmail.com</t>
  </si>
  <si>
    <t>p25703033@student.nicmar.ac.in</t>
  </si>
  <si>
    <t>02-May-2001</t>
  </si>
  <si>
    <t>English, Hindi, Gujarati.</t>
  </si>
  <si>
    <t>5453 9988 5160</t>
  </si>
  <si>
    <t>DEVENDRA JOSHI</t>
  </si>
  <si>
    <t>NEETA JOSHI</t>
  </si>
  <si>
    <t>402 Shreeji App, _x000D_
Patel Col - 4</t>
  </si>
  <si>
    <t>AHMEDABAD UNIVERSITY</t>
  </si>
  <si>
    <t>AHMEDABAD UNIVERSITY, AHMEDABAD, GUJARAT</t>
  </si>
  <si>
    <t>Ahmedabad University | Teaching Assistant | Ahmedabad | Jul 2023 | Oct 2023 | 0 Years, 2 Months, 19 Days | 1.8</t>
  </si>
  <si>
    <t>Ace Infoway Private limited | Marketing Intern | Ahmedabad, Gujarat, India | May 2026 | Jul 2026 | 8 Weeks | Campus Internship
Nayara Energy | Vocational Trainee | Jamnagar, Gujarat | Jun 2022 | Jul 2022 | 8 Weeks</t>
  </si>
  <si>
    <t>P25703034</t>
  </si>
  <si>
    <t>NIHAR</t>
  </si>
  <si>
    <t>PALAV</t>
  </si>
  <si>
    <t>Nihar Tanaji Palav</t>
  </si>
  <si>
    <t>np12122000@gmail.com</t>
  </si>
  <si>
    <t>p25703034@student.nicmar.ac.in</t>
  </si>
  <si>
    <t>12-Dec-2000</t>
  </si>
  <si>
    <t>Marathi, English, Hindi, Kokani</t>
  </si>
  <si>
    <t>9908 4745 6340</t>
  </si>
  <si>
    <t>AVISHA PALAV</t>
  </si>
  <si>
    <t>FLAT NO 408, 4TH FLOOR, B WING, PINNACLE NEELANCHAL, SUS, PUNE</t>
  </si>
  <si>
    <t>Sarvoday Nagar, Teacher's Colony, New Salaiwada, Sawantwadi</t>
  </si>
  <si>
    <t>MILAGRIS HIGH SCHOOL</t>
  </si>
  <si>
    <t>SHREE PANCHAM KHEMRAJ MAHAVIDHYALAI</t>
  </si>
  <si>
    <t>VISHWAKARMA INSTITUE OF INFORMATION TECHNOLOGY</t>
  </si>
  <si>
    <t>AutoCAD,MS Office,Power BI,Tabluea,SQL</t>
  </si>
  <si>
    <t>Trimurthy Construction  | Project Engineer  | Sawantwadi/Kudal, Maharashtra | May 2026 | Jul 2026 | 8 Weeks | Campus Internship
Shree Sai Consultancy Pvt Ltd | Site Engineer | Sawantwadi, Maharashtra | Mar 2024 | Dec 2024 | 43 Weeks
Centrix Project Solutions. Pvt  Ltd | Site Engineer | Powai, Mumbai | Sep 2023 | Jan 2024 | 17 Weeks</t>
  </si>
  <si>
    <t>P25703035</t>
  </si>
  <si>
    <t>WADKAR</t>
  </si>
  <si>
    <t>Siddhi Sachin Wadkar</t>
  </si>
  <si>
    <t>siddhiwadkar25@gmail.com</t>
  </si>
  <si>
    <t>p25703035@student.nicmar.ac.in</t>
  </si>
  <si>
    <t>Reading,Writing poetry,Playing badminton</t>
  </si>
  <si>
    <t>4126 1391 1990</t>
  </si>
  <si>
    <t>SACHIN WADKAR</t>
  </si>
  <si>
    <t>HARSHALA WADKAR</t>
  </si>
  <si>
    <t>SERVICE SECTOR</t>
  </si>
  <si>
    <t>A-801, Kapil Vastu, Above Bank Of India, Near Vitthal Mandir, Navsahydri, Pune</t>
  </si>
  <si>
    <t>ROSARY SCHOOL</t>
  </si>
  <si>
    <t>SINHAGAD COLLEGE OF ARTS AND COMMERCE</t>
  </si>
  <si>
    <t>ABASAHEB GARWARE</t>
  </si>
  <si>
    <t>ABASAHEB GARWARE COLLEGE OF ARTS AND SCIENCE, PUNE/MAHARASHTRA</t>
  </si>
  <si>
    <t>RWTH Aachen University India Office | Marketing Executive | Pune, India | Jun 2024 | Feb 2025 | 0 Years, 8 Months, 0 Days | 2.4</t>
  </si>
  <si>
    <t>P25703037</t>
  </si>
  <si>
    <t>Ashish Ranjan Kumar</t>
  </si>
  <si>
    <t>kumarashishranjan18@gmail.com</t>
  </si>
  <si>
    <t>P25703037@student.nicmar.ac.in</t>
  </si>
  <si>
    <t>10-Mar-1999</t>
  </si>
  <si>
    <t>Basketball</t>
  </si>
  <si>
    <t>7101 5056 4241</t>
  </si>
  <si>
    <t>REKHAN KUMARI</t>
  </si>
  <si>
    <t>RAVI RANJAN, FLAT NO. G-38 , SUGHAM SABUJ COMPLEX , NARENDRAPUR , NEAR LAL GATE</t>
  </si>
  <si>
    <t>OM LANDMARK</t>
  </si>
  <si>
    <t>MOTA CHILODA , GANDHINAGAR , GUJARAT</t>
  </si>
  <si>
    <t>VASANT RAO NAIK</t>
  </si>
  <si>
    <t>AURANGABAD , MAHARASHTRA</t>
  </si>
  <si>
    <t>DYPIEMR</t>
  </si>
  <si>
    <t>HG Infra Engineering Ltd | ASSISTANT ENGINEER (STRUCTURAL ENGINEER) | DELHI , TATANAGAR | Jan 2023 | Sep 2024 | 1 Years, 8 Months, 10 Days | 3.85
Syv Biotech Pvt Ltd . | Accounts and Sales Executive | pune  | Feb 2025 | Jun 2025 | 0 Years, 4 Months, 29 Days | 1.8</t>
  </si>
  <si>
    <t>Pune Metro  | Planning  | pune | May 2026 | Jul 2026 | 9 Weeks | Campus Internship</t>
  </si>
  <si>
    <t>P25703038</t>
  </si>
  <si>
    <t>KISHAN</t>
  </si>
  <si>
    <t>DALMIA</t>
  </si>
  <si>
    <t>Kishan Dalmia</t>
  </si>
  <si>
    <t>kishandalmiais@gmail.com</t>
  </si>
  <si>
    <t>p25703038@student.nicmar.ac.in</t>
  </si>
  <si>
    <t>English, Hindi, Odia, Marwadi</t>
  </si>
  <si>
    <t>7543 2281 3385</t>
  </si>
  <si>
    <t>PRAKASH CHANDRA DALMIA</t>
  </si>
  <si>
    <t>RADHA DALMIA</t>
  </si>
  <si>
    <t>GA 153 Niladri Vihar Chandrasekharpur</t>
  </si>
  <si>
    <t>LOYOLA SCHOOL</t>
  </si>
  <si>
    <t>JAIN COLLEGE, V.V. PURAM</t>
  </si>
  <si>
    <t>BENGALURU CITY UNIVERSITY, BENGALURU</t>
  </si>
  <si>
    <t>MS Office,ZOHO</t>
  </si>
  <si>
    <t>iCOVER Insure | Business and Quality Analyst | Work from Home | Jul 2024 | Nov 2024 | 0 Years, 4 Months, 0 Days | 3.24</t>
  </si>
  <si>
    <t>Edsom Fintech Pvt. Ltd. | HR | Baner, Pune | May 2026 | Jun 2026 | 7 Weeks | Campus Internship
Matix Exports | Export Executive | Bengaluru | Nov 2022 | Mar 2023 | 17 Weeks</t>
  </si>
  <si>
    <t>Project management skills
managing organizational change
Hr communications by HRCI
Hr communications by SHRM</t>
  </si>
  <si>
    <t>P25703039</t>
  </si>
  <si>
    <t>Sneha Prabhakar Meshram</t>
  </si>
  <si>
    <t>snehameshram13012@gmail.com</t>
  </si>
  <si>
    <t>p25703039@student.nicmar.ac.in</t>
  </si>
  <si>
    <t>13-Jan-2002</t>
  </si>
  <si>
    <t>9879 4981 3056</t>
  </si>
  <si>
    <t>PRABHAKAR MESHRAM</t>
  </si>
  <si>
    <t>GOVERNMENT EMPLOYEE (MSECB)</t>
  </si>
  <si>
    <t>BHARATI MESHRAM</t>
  </si>
  <si>
    <t>Shanti Nagar Near Ganvir Hospital Bramhapuri Dist- Chandrapur</t>
  </si>
  <si>
    <t>CENTRAL BOARD OF SECONDARY EDUCATION ,AURANGABAD</t>
  </si>
  <si>
    <t>CHRISTANAND SCHOOL AND JUNIOR COLLEGE  , BRAMHAPURI</t>
  </si>
  <si>
    <t>MAHARASHTRA STATE BOARD OF SECONDARY AND HIGHER SECONDARY EDUCATION, NAGPUR DIVISIONAL BOARD</t>
  </si>
  <si>
    <t>G H RAISONI COLLEGE OF ENGINEERING ,NAGPUR</t>
  </si>
  <si>
    <t>other,EXCEL</t>
  </si>
  <si>
    <t>K&amp;I Wealth Advisory LLP | Digital marketing and strategy intern  | Mumbai | May 2026 | Jul 2026 | 8 Weeks | Campus Internship</t>
  </si>
  <si>
    <t>P25703040</t>
  </si>
  <si>
    <t>JAMDADE</t>
  </si>
  <si>
    <t>SUMIT</t>
  </si>
  <si>
    <t>Jamdade Sumit Shekhar</t>
  </si>
  <si>
    <t>sumiiijamdade03@gmail.com</t>
  </si>
  <si>
    <t>p25703040@student.nicmar.ac.in</t>
  </si>
  <si>
    <t>5497 5578 6066</t>
  </si>
  <si>
    <t>SHEKHAR SHIVAJI JAMDADE</t>
  </si>
  <si>
    <t>SUNITA SHEKHAR JAMDADE</t>
  </si>
  <si>
    <t>NICMAR GATE NO 2, MILLENNIUM BOYS HOSTEL, RAM NAGAR, BALEWADI ROAD, BANER, PUNE</t>
  </si>
  <si>
    <t>295, Dwarkadhish Apartment, Gangapuri, Near Nagar Palika School 5, Wai, Satara</t>
  </si>
  <si>
    <t>BLOSSOM CHILDREN'S ACADEMY, WAI, SATARA</t>
  </si>
  <si>
    <t>MAHARASHTRA STATE BOARD OF SECONDARY AND HIGHER SECONDARY EDUCATION, PUNE (WAI, SATARA/MAHARASHTRA)</t>
  </si>
  <si>
    <t>DHANJAYRAO GADGIL COLLEGE OF COMMERCE, SATARA</t>
  </si>
  <si>
    <t>MAHARASHTRA STATE BOARD OF SECONDARY AND HIGHER SECONDARY EDUCATION, PUNE (SATARA/MAHARASHTRA)</t>
  </si>
  <si>
    <t>SARHAD COLLEGE OF ARTS, COMMERCE AND SCIENCE, KATRAJ, PUNE, MAHARASHTRA</t>
  </si>
  <si>
    <t>MS Office,MS Project,Advanced Excel</t>
  </si>
  <si>
    <t>Majestic Realities | Digital Marketing intern | Pune | May 2026 | Jun 2026 | 7 Weeks | Campus Internship</t>
  </si>
  <si>
    <t>International Business I (University of New Mexico - Coursera)
Operations Management (IESE Business School - Coursera)
Negotiation Fundamentals (ESSEC Business School - Coursera)</t>
  </si>
  <si>
    <t>P25703041</t>
  </si>
  <si>
    <t>ABHYANKAR</t>
  </si>
  <si>
    <t>Vaibhavi Ganesh Abhyankar</t>
  </si>
  <si>
    <t>vaibhaviabhyankar27@gmail.com</t>
  </si>
  <si>
    <t>p25703041@student.nicmar.ac.in</t>
  </si>
  <si>
    <t>27-Nov-2003</t>
  </si>
  <si>
    <t>3978 2207 6391</t>
  </si>
  <si>
    <t>GANESH ABHYANKAR</t>
  </si>
  <si>
    <t>SERVICE(PRIVATE SECTOR)</t>
  </si>
  <si>
    <t>GAYATRI ABHYANKAR</t>
  </si>
  <si>
    <t>A-49, Adarsh Nagar, Kushalpur, Raipur(C.G)</t>
  </si>
  <si>
    <t>KRISHNA PUBLIC SCHOOL</t>
  </si>
  <si>
    <t>CENTRAL BOARD OF SECONDARY EDUCATION,RAIPUR/CHHATTISGARH</t>
  </si>
  <si>
    <t>PT. RAVISHANKAR SHUKLA UNIVERSITY</t>
  </si>
  <si>
    <t>VIVEKANAND MAHAVIDYALAYA, RAIPUR/CHHATTISGARH</t>
  </si>
  <si>
    <t>Finnovators Services Private Limited | Finance Operations Intern | Pune | May 2026 | Jul 2026 | 8 Weeks | Campus Internship</t>
  </si>
  <si>
    <t>Effective Business Plan
Finlatics Financial Market Experience Program.
Finlatics Business Analytics Program
 LOR - FINLATICS
Supply Chain Sourcing
AI IN PRODUCTIVITY
Negotiation, Mediation, and Conflict Resolution - Capstone Project
Negotiation Fundamentals
Getting started with Microsoft Office 365
Methods and Statistics in Social Sciences
International Business I
Certificate of Appreciation - ICCRIP Volunteer
Certificate of Appreciation - NLPGRS 2025 Volunteer
Salesforce - Agentblazor</t>
  </si>
  <si>
    <t>P25703042</t>
  </si>
  <si>
    <t>Pranav Pravin Kadam</t>
  </si>
  <si>
    <t>kadampranav.0103@gmail.com</t>
  </si>
  <si>
    <t>p25703042@student.nicmar.ac.in</t>
  </si>
  <si>
    <t>01-Mar-2003</t>
  </si>
  <si>
    <t>4984 6590 0026</t>
  </si>
  <si>
    <t>PRAVIN BAPURAO KADAM</t>
  </si>
  <si>
    <t>PRIYA PRAVIN KADAM</t>
  </si>
  <si>
    <t>Plot No 11, Maharashtra Nagar, Kalamba Road, Kolhapur</t>
  </si>
  <si>
    <t>DYP'S SHANTINIKETAN SCHOOL</t>
  </si>
  <si>
    <t>DYP'S SHANTINIKETAN JUNIOR COLLEGE</t>
  </si>
  <si>
    <t>AutoCAD,MS Office,Figma,Python</t>
  </si>
  <si>
    <t>Britannia Industries Ltd. | Procurement Intern | Pune District | May 2026 | Jul 2026 | 7 Weeks | Campus Internship
Synergy Green Industries | Intern | Kolhapur | Jun 2024 | Jul 2024 | 4 Weeks
Wilo Mather &amp; Platt Pvt. Ltd. | Inward Quality Intern | Kolhapur | Jan 2025 | Apr 2025 | 15 Weeks</t>
  </si>
  <si>
    <t>Introduction to Data Analysis using Microsoft Excel</t>
  </si>
  <si>
    <t>P25703043</t>
  </si>
  <si>
    <t>ELIAS</t>
  </si>
  <si>
    <t>Elias Eldhose</t>
  </si>
  <si>
    <t>eliaseldhose007@gmail.com</t>
  </si>
  <si>
    <t>p25703043@student.nicmar.ac.in</t>
  </si>
  <si>
    <t>08-Dec-2000</t>
  </si>
  <si>
    <t>CRICKET,OFFROADING,MOVIES,OVERLAND EXPEDITIONS</t>
  </si>
  <si>
    <t>6935 5764 6940</t>
  </si>
  <si>
    <t>ELDHO VARGHESE</t>
  </si>
  <si>
    <t>CINI.P</t>
  </si>
  <si>
    <t>Neduvelikudy House_x000D_
Vaikkara P.O_x000D_
Assamannor_x000D_
Perumbavoor_x000D_
683549</t>
  </si>
  <si>
    <t>ST GEORGE PUBLIC SCHOOL KEEZHILLAM ERNAKULAM</t>
  </si>
  <si>
    <t>MGM H.S.S. KURUPPAMPADY</t>
  </si>
  <si>
    <t>KERALA BOARD</t>
  </si>
  <si>
    <t>MAR ATHANASIUS COLLEGE, KOTHAMANGALAM</t>
  </si>
  <si>
    <t>Economics</t>
  </si>
  <si>
    <t>UNION CHRISTIAN COLLEGE, ALUVA</t>
  </si>
  <si>
    <t>MA</t>
  </si>
  <si>
    <t>MS Office, MS Project, Sales Force</t>
  </si>
  <si>
    <t>Sri Vaarahi Real Assets  | Intern – Marketing Analytics and Digital Strategies  | Hyderabad | May 2026 | Jul 2026 | 8 Weeks | Campus Internship
UNION CHRISTIAN COLLEGE | ADAPTING TO THE NEW NORM: EXPLORING CUSTOMERS ATTITUDE TOWARDS E-BANKING SERVICES IN THE POST COVID SCENARIO | ALUVA | Jan 2023 | Oct 2023 | 39 Weeks</t>
  </si>
  <si>
    <t>Salesforce Innovator
Getting started with Microsoft Office 365
Negotiation, Mediation, and Conflict Resolution - Capstone Project
Operations Management
Introduction to Marketing
International Business</t>
  </si>
  <si>
    <t>P25703044</t>
  </si>
  <si>
    <t>SHRIRAM</t>
  </si>
  <si>
    <t>PALVE</t>
  </si>
  <si>
    <t>Vivek Shriram Palve</t>
  </si>
  <si>
    <t>vickypalve68@gmail.com</t>
  </si>
  <si>
    <t>p25703044@student.nicmar.ac.in</t>
  </si>
  <si>
    <t>31-May-2003</t>
  </si>
  <si>
    <t>4454 3755 6475</t>
  </si>
  <si>
    <t>D-604, 43Privet Drive, Balewadi Near To_x000D_
SBI Bank, Pune</t>
  </si>
  <si>
    <t>CBSE, KHARGHAR-NAVI MUMBAI</t>
  </si>
  <si>
    <t>HSC, PUNE</t>
  </si>
  <si>
    <t>SYMBIOSIS COLLEGE OF ARTS AND COMMERCE, PUNE</t>
  </si>
  <si>
    <t>MS Office,MS Project,MS Excel,python,tally prime,ms powerpoint</t>
  </si>
  <si>
    <t>VCC Express &amp; Logistics | Operations manager | Pune | Aug 2024 | Jul 2025 | 48 Weeks
Younity | Business development &amp; research | Pune | Dec 2022 | Dec 2022 | 2 Weeks</t>
  </si>
  <si>
    <t>Tally
Python</t>
  </si>
  <si>
    <t>P25703045</t>
  </si>
  <si>
    <t>BHUMIKA</t>
  </si>
  <si>
    <t>THAGUNNA</t>
  </si>
  <si>
    <t>Bhumika Thagunna</t>
  </si>
  <si>
    <t>bhumithagunna12@gmail.com</t>
  </si>
  <si>
    <t>p25703045@student.nicmar.ac.in</t>
  </si>
  <si>
    <t>4022 2224 6051</t>
  </si>
  <si>
    <t>PREM SINGH THAGUNNA</t>
  </si>
  <si>
    <t>TAILORING SHOP</t>
  </si>
  <si>
    <t>SHANTA THAGUNNA</t>
  </si>
  <si>
    <t>NESTWORKS PG, HIRAI SITAI ROAD, HINJEWADI</t>
  </si>
  <si>
    <t>Sector No. -7, Near Masjid, Khandu Colony</t>
  </si>
  <si>
    <t>16357 - JAWAHAR NAVODAYA VIDYALAYA, BANSWARA</t>
  </si>
  <si>
    <t>BANSWARA / RAJASTHAN</t>
  </si>
  <si>
    <t>NUTAN SENIOR SECONDARY SCHOOL, BANSWARA</t>
  </si>
  <si>
    <t>BHARATI VIDYAPEETH DEEMED UNIVERSITY, PUNE</t>
  </si>
  <si>
    <t>BHARATI VIDYAPEETH COLLEGE OF ENGINEERING, PUNE</t>
  </si>
  <si>
    <t>Electronics &amp; Communication Engineering</t>
  </si>
  <si>
    <t>MS Office,MS Project,DBMS,SDLC,Operations Management,Python,AI Tools</t>
  </si>
  <si>
    <t>Edsom Fintech Pvt. Ltd. | Business Analyst and Finance Intern | Pune | May 2026 | Jun 2026 | 7 Weeks | Campus Internship
Null Class | IOT Intern | Bangalore | Jun 2023 | Aug 2023 | 8 Weeks</t>
  </si>
  <si>
    <t>Effective Business Plan On-Campus Certification Programme | National B-Plan Championship, E-Cell IIM Bangalore &amp; MakeIntern
Salesforce Certified Agentforce Specialist</t>
  </si>
  <si>
    <t>P25703046</t>
  </si>
  <si>
    <t>PRADHAN</t>
  </si>
  <si>
    <t>Rahul Pradhan</t>
  </si>
  <si>
    <t>rahulpradhan549@gmail.com</t>
  </si>
  <si>
    <t>p25703046@student.nicmar.ac.in</t>
  </si>
  <si>
    <t>8756 1353 9584</t>
  </si>
  <si>
    <t>TEKACHAND PRADHAN</t>
  </si>
  <si>
    <t>BABITA PRADHAN</t>
  </si>
  <si>
    <t>Blue House , Infront Of Purohit Kalyan Mandap_x000D_
Near BSNL Tower, Shantinagar, Padampur</t>
  </si>
  <si>
    <t>VIKASH RESIDENTIAL SCHOOL BARGARH</t>
  </si>
  <si>
    <t>CENTRAL BOARD OF SECONDARY EDUCATION  ODISHA</t>
  </si>
  <si>
    <t>CV RAMAN COLLEGE OF ENGINEERING BHUBANESWAR</t>
  </si>
  <si>
    <t>Computer Science</t>
  </si>
  <si>
    <t>SQL,Operations Research,Operations Management ,Procurement Management,Basic SAP MM,Lean SIX Sigma,Supply Chain Management,MS Excel</t>
  </si>
  <si>
    <t>EZ Realty |  Real Estate Procurement Consultant Intern | Pune,Maharashtra | May 2026 | Jul 2026 | 8 Weeks | Campus Internship</t>
  </si>
  <si>
    <t>Lean Six Sigma Green Belt Certification</t>
  </si>
  <si>
    <t>P25703047</t>
  </si>
  <si>
    <t>SRIYA</t>
  </si>
  <si>
    <t>SAMHITA</t>
  </si>
  <si>
    <t>J Sriya Samhita</t>
  </si>
  <si>
    <t>sriyajammula2004@gmail.com</t>
  </si>
  <si>
    <t>p25703047@student.nicmar.ac.in</t>
  </si>
  <si>
    <t>03-Oct-2004</t>
  </si>
  <si>
    <t>ENGLISH, HINDI, TELUGU, ODIA</t>
  </si>
  <si>
    <t>2151 0546 9274</t>
  </si>
  <si>
    <t>J SRINIVASA RAO</t>
  </si>
  <si>
    <t>J MADHAVI</t>
  </si>
  <si>
    <t>PATRA STREET_x000D_
BIG BAZAAR NEAR KHASPA STREET, BRAHMAPUR</t>
  </si>
  <si>
    <t>ST VINCENT'S CONVENT SCHOOL</t>
  </si>
  <si>
    <t>ICSE BRAHMAPUR</t>
  </si>
  <si>
    <t>SHIKSHA HIGHER DECONDARY SCHOOL</t>
  </si>
  <si>
    <t>CHSE BERHMAPUR</t>
  </si>
  <si>
    <t>KHALLIKOTE UNITARY UNIVERSITY</t>
  </si>
  <si>
    <t>KHALLIKOTE UNITARY UNIVERSITY, BERHAMPUR,ODISHA</t>
  </si>
  <si>
    <t>Honours</t>
  </si>
  <si>
    <t>Maruti Suzuki India Limited | Supply Chain Intern | Gurugram, Haryana | May 2026 | Jul 2026 | 8 Weeks | Campus Internship
Digit Hack Software Solution  | Marketing Analyst Intern | Bengaluru | May 2024 | Jul 2024 | 8 Weeks</t>
  </si>
  <si>
    <t>INTERNATIONAL BUSINESS-1
GETTING STARTED WITH MICROSOFT 365
BUSINESS ANALYTICS WITH EXCEL
NEGOTIATIONS FUNDEMENTALS
NEGOTIATION MEDIATION AND CONFLICT RESOLUTION
OPERATIONS MANAGEMENT
INTRODUCTION TO MARKETING
SALESFORCE (INNOVATOR)</t>
  </si>
  <si>
    <t>P25703048</t>
  </si>
  <si>
    <t>Ayush Verma</t>
  </si>
  <si>
    <t>vayush943@gmail.com</t>
  </si>
  <si>
    <t>p25703048@student.nicmar.ac.in</t>
  </si>
  <si>
    <t>Strength Training,Playing Chess</t>
  </si>
  <si>
    <t>2108 3249 0597</t>
  </si>
  <si>
    <t>RITU RAJ VERMA</t>
  </si>
  <si>
    <t>SUNITA VERMA</t>
  </si>
  <si>
    <t>Tehsil Sunni, Jaili Dhar (143), Shimla, Himachal Pradesh</t>
  </si>
  <si>
    <t>ST. EDWARDS SCHOOL</t>
  </si>
  <si>
    <t>CHITKARA UNIVERSITY, PUNJAB</t>
  </si>
  <si>
    <t>Hospitality Administration</t>
  </si>
  <si>
    <t>Python, MS Excel, MS PowerPoint, MS Word</t>
  </si>
  <si>
    <t>Asset Deals | Sales and Marketing Intern | Pune | May 2026 | Jul 2026 | 8 Weeks | Campus Internship
Hotel Holiday Home | Front Office Trainee | Shimla | Jun 2023 | Oct 2023 | 17 Weeks
THE ST REGIS | F&amp;B Intern | DOHA, QATAR | Sep 2022 | Dec 2022 | 17 Weeks</t>
  </si>
  <si>
    <t>P25703049</t>
  </si>
  <si>
    <t>AJMERA</t>
  </si>
  <si>
    <t>Shweta Ajmera</t>
  </si>
  <si>
    <t>shweta_kabra88@yahoo.com</t>
  </si>
  <si>
    <t>P25703049@student.nicmar.ac.in</t>
  </si>
  <si>
    <t>04-Jan-1987</t>
  </si>
  <si>
    <t>Reading Books</t>
  </si>
  <si>
    <t>6172 6238 4150</t>
  </si>
  <si>
    <t>BADRI AJMERA</t>
  </si>
  <si>
    <t>KRISHNA AJMERA</t>
  </si>
  <si>
    <t>C 904, ROYAL RAHADKI GREENS, OPPOSITE ARENA 29, SHIVRAJ NAGAR LANE NO 1, RAHATANI</t>
  </si>
  <si>
    <t>M LAND CHILDREN ACADEMY SS, TONK</t>
  </si>
  <si>
    <t>BOARD OF SECONDARY EDUCATION, RAJASTHAN</t>
  </si>
  <si>
    <t>2001-Jun</t>
  </si>
  <si>
    <t>TAGORE BAL NIKETAN SR SEC SCH TONK</t>
  </si>
  <si>
    <t>MAHARISHI DAYANAND UNIVERSITY AJMERA</t>
  </si>
  <si>
    <t>GOVT GIRLS COLLEGE TONK</t>
  </si>
  <si>
    <t>MAHARSHI DAYANAND SARASWATI UNIVERSITY, AJMER</t>
  </si>
  <si>
    <t>Tally ERP 9, Winman, Saral, Advance Excel, Python, SQL, R Programming, Financial Modelling</t>
  </si>
  <si>
    <t>Elpro International School | Assistant Manager-Accounts and Finance | Chinchwad, Pune | Oct 2021 | Mar 2025 | 3 Years, 4 Months, 18 Days | 5.8
Proactive Engineering Services | Accounts Manager | Warje,PUNE | Mar 2019 | Oct 2021 | 2 Years, 6 Months, 24 Days | 2.4
DKP Financial Sevices | Associate- Accounts and Tax  | Shahad Thane | Jun 2013 | Feb 2017 | 3 Years, 8 Months, 16 Days | 1.8</t>
  </si>
  <si>
    <t>115 month(s)</t>
  </si>
  <si>
    <t>Edsom Fintech Pvt Ltd | Business Analyst | Baner | May 2026 | Jun 2026 | 7 Weeks | Campus Internship
Vushnu Khandelwal &amp; co | Trainee Article | Jaipur | Nov 2007 | May 2011 | 182 Weeks</t>
  </si>
  <si>
    <t>ESG Job Simulation
Audit Simulation
Career Catalyst: Audit
FINLATICS EQUITY MARKETS ANALYST</t>
  </si>
  <si>
    <t>P25703050</t>
  </si>
  <si>
    <t>Aryan Vinay Hukkeri</t>
  </si>
  <si>
    <t>aryanvhukkeri@gmail.com</t>
  </si>
  <si>
    <t>p25703050@student.nicmar.ac.in</t>
  </si>
  <si>
    <t>16-Aug-2001</t>
  </si>
  <si>
    <t>English, Hindi, Marathi, Sanskrit</t>
  </si>
  <si>
    <t>Singing,Photography,Travel,Cultural activities,Video editing</t>
  </si>
  <si>
    <t>2142 3810 8170</t>
  </si>
  <si>
    <t>VINAY HUKUMCHAND HUKKERI</t>
  </si>
  <si>
    <t>UJWALA VINAY HUKKERI</t>
  </si>
  <si>
    <t>VTP BELAIR, BLUEWATERS TOWNSHIP, PUNE</t>
  </si>
  <si>
    <t>Takari Road Nianai Nagar Near RIT</t>
  </si>
  <si>
    <t>ISLAMPUR HIGH SCHOOL ISLAMPUR 415409</t>
  </si>
  <si>
    <t>VIDYAMANDIR JUNIOR COLLEGE URUN ISLAMPUR</t>
  </si>
  <si>
    <t>MAHARSHTRA STATE BOARD</t>
  </si>
  <si>
    <t>RAJARAMBAPU INSTITUTE OF TECHNOLOGY ISHWARPUR 415409 ,SANGLI</t>
  </si>
  <si>
    <t>MS Office,MS Project,SAP hana,SAP ABAP,Orcad</t>
  </si>
  <si>
    <t>Mundhra Logistics  | Logistics Coordinator  | pune | Feb 2024 | Jul 2025 | 1 Years, 5 Months, 18 Days | 5</t>
  </si>
  <si>
    <t>Mundhra Logistics  | Logistics Coordinator  | J M Road Shivajinagar | May 2026 | Jul 2026 | 9 Weeks | Campus Internship
Eltech Electrodesigns and Solutions Pvt Ltd | R &amp; D Intern  | Shivane  | Jan 2023 | May 2023 | 20 Weeks</t>
  </si>
  <si>
    <t>P25703051</t>
  </si>
  <si>
    <t>SHAGUN</t>
  </si>
  <si>
    <t>Shagun Dogra</t>
  </si>
  <si>
    <t>shagunmahajan2004@gmail.com</t>
  </si>
  <si>
    <t>p25703051@student.nicmar.ac.in</t>
  </si>
  <si>
    <t>28-Jan-2004</t>
  </si>
  <si>
    <t>ENGLISH, HINDI, DOGRI</t>
  </si>
  <si>
    <t>Travelling,Trekking,Reading books,Learning new languages</t>
  </si>
  <si>
    <t>5165 6622 8090</t>
  </si>
  <si>
    <t>JUGAL DOGRA</t>
  </si>
  <si>
    <t>POONAM DOGRA</t>
  </si>
  <si>
    <t>House Number 125, Ward No. 3, Ramnagar</t>
  </si>
  <si>
    <t>Udhampur</t>
  </si>
  <si>
    <t>BHARTIYA VIDYA MANDIR HIGH SCHOOL</t>
  </si>
  <si>
    <t>THE JAMMU &amp; KASHMIR STATE BOARD OF SCHOOL EDUCATION , RAMNAGAR</t>
  </si>
  <si>
    <t>B B S VIDYAPEETH DINA NAGAR</t>
  </si>
  <si>
    <t>CENTRAL BOARD OF SECONDARY EDUCATION, RAMNAGAR</t>
  </si>
  <si>
    <t>SHRI MATA VAISHNO DEVI UNIVERSITY , KATRA</t>
  </si>
  <si>
    <t>Bank of Maharashtra |  Banking and operations | Pune | May 2026 | Jun 2026 | 8 Weeks | Campus Internship
J &amp; K Bank | Summer Intern | Ramnagar, J&amp;K | Jun 2023 | Jul 2023 | 6 Weeks</t>
  </si>
  <si>
    <t>Negotiation, Mediation, and Conflict Resolution - Capstone Project
Negotiation Fundamentals
Business Analytics with Excel
Operations Management
Introduction to Marketing
Get started with Microsoft 365
International Business 1</t>
  </si>
  <si>
    <t>P25703052</t>
  </si>
  <si>
    <t>AMRITESH</t>
  </si>
  <si>
    <t>Amritesh Kumar Shivam</t>
  </si>
  <si>
    <t>amritesh16jan@gmail.com</t>
  </si>
  <si>
    <t>p25703052@student.nicmar.ac.in</t>
  </si>
  <si>
    <t>6920 7552 0862</t>
  </si>
  <si>
    <t>UZWAL KUMAR</t>
  </si>
  <si>
    <t>RENU KUMARI</t>
  </si>
  <si>
    <t>NICMAR UNIVERSITY PLAT NO 251 NIA POST OFFICE BALEWADI , TALUKA HAVELI</t>
  </si>
  <si>
    <t>S/o  Uzwal Kumar Kali Mandir Road  Nepali Nagar Ashiyana Digha</t>
  </si>
  <si>
    <t>DR D RAM DAV PUBLIC SCHOOL</t>
  </si>
  <si>
    <t>PUNE MAHARASTRA</t>
  </si>
  <si>
    <t>Bank of Maharashtra  | Management trainee Intern | Pune , Balewadi  | May 2026 | Jun 2026 | 8 Weeks | Campus Internship</t>
  </si>
  <si>
    <t>FINLATICS EQUITY MARKET ANALYST</t>
  </si>
  <si>
    <t>P25703053</t>
  </si>
  <si>
    <t>Rushikesh Rajendra Deshmukh</t>
  </si>
  <si>
    <t>deshmukhrushi396@gmail.com</t>
  </si>
  <si>
    <t>p25703053@student.nicmar.ac.in</t>
  </si>
  <si>
    <t>11-Apr-2003</t>
  </si>
  <si>
    <t>4066 0255 1166</t>
  </si>
  <si>
    <t>FL,NO 1 KHADKESHWAR Apartament KHADKESHWAR , Aurangabad MAHARASHTRA _x000D_
431001</t>
  </si>
  <si>
    <t>HOLY CROSS ENGLISH HIGH SCHOOL</t>
  </si>
  <si>
    <t>VIVEKANAND ARTS, SARDAR DALIPSINGH COMMERCE &amp; SCIENCE COLLEGE, AURANGABAD</t>
  </si>
  <si>
    <t>DR. BABASAHEB AMBEDKAR MARATHAWAD UNIVERSITY</t>
  </si>
  <si>
    <t>MS Office,EXCEL</t>
  </si>
  <si>
    <t>Address Advisors  | Business Development Intern  | Pune, Maharashtra, India | May 2026 | Jul 2026 | 9 Weeks | Campus Internship</t>
  </si>
  <si>
    <t>P25703054</t>
  </si>
  <si>
    <t>Ketan Milind Patil</t>
  </si>
  <si>
    <t>ketanmpatil2810@gmail.com</t>
  </si>
  <si>
    <t>p25703054@student.nicmar.ac.in</t>
  </si>
  <si>
    <t>Traveling and Exploring,Listening to Music,Watching Movies,Cooking</t>
  </si>
  <si>
    <t>5680 7711 8545</t>
  </si>
  <si>
    <t>NEETA</t>
  </si>
  <si>
    <t>A3 902 MANTRA MONARCH, PATIL WASTI, PATIL NAGAR, BALEWADI, PUNE</t>
  </si>
  <si>
    <t>11, Subhash Colony, Shirpur</t>
  </si>
  <si>
    <t>SMITA PATIL PUBLIC SCHOOL</t>
  </si>
  <si>
    <t>CENTRAL BOARD OF SECONDARY EDUCATION SHIRPUR, MAHARASHTRA</t>
  </si>
  <si>
    <t>R.C.PATEL ENGLISH MEDIUM JUNIOR COLLEGE</t>
  </si>
  <si>
    <t>MAHARASHTRA STATE BOARD OF SECONDARY AND HIGHER SECONDARY EDUCATION, SHIRPUR, MAHARASHTRA</t>
  </si>
  <si>
    <t>NATIONAL COUNCIL OF HOTEL MANAGEMENT AND CATERING TECHNOLOGY</t>
  </si>
  <si>
    <t>INSTITUTE OF HOTEL MANAGEMENT, CATERING TECHNOLOGY &amp; APPLIED NUTRITION, PORVORIM, GOA</t>
  </si>
  <si>
    <t>Bachelor of Hotel Management (BHM)</t>
  </si>
  <si>
    <t>Python,Ms Office,Ms Project,Canva,Trello,</t>
  </si>
  <si>
    <t>Majestic Realties  | Digital Marketing Intern  | Pune | May 2026 | Jun 2026 | 7 Weeks | Campus Internship
Enrise By Sayaji | Intern | Indore | Dec 2021 | Apr 2022 | 15 Weeks
TIP TOP INTERNATIONAL | On Job Trainee Front Office | Pune | Jan 2024 | Apr 2024 | 13 Weeks
Lejhro Technology | Human Resource Associate | Bhubaneswar | Oct 2024 | Feb 2025 | 18 Weeks</t>
  </si>
  <si>
    <t xml:space="preserve">Executive Program in Human Resource Management
KPMG Six Sigma Green Belt </t>
  </si>
  <si>
    <t>P25703055</t>
  </si>
  <si>
    <t>NISCHAY</t>
  </si>
  <si>
    <t>SISODIA</t>
  </si>
  <si>
    <t>Nischay Sisodia</t>
  </si>
  <si>
    <t>gomti.sisodia65@gmail.com</t>
  </si>
  <si>
    <t>p25703055@student.nicmar.ac.in</t>
  </si>
  <si>
    <t>10-Oct-2002</t>
  </si>
  <si>
    <t>Sketching,football,basketball,esports</t>
  </si>
  <si>
    <t>2731 7525 6804</t>
  </si>
  <si>
    <t>R.B. SISODIA</t>
  </si>
  <si>
    <t>GOMTI SISODIA</t>
  </si>
  <si>
    <t>NEHRU NAGAR BHOPAL</t>
  </si>
  <si>
    <t>Nehru Nagar, 23, Gomti Colony</t>
  </si>
  <si>
    <t>BAL BHAWAN SCHOOL</t>
  </si>
  <si>
    <t>CBSE / BHOPAL  / MADHYA PRADESH</t>
  </si>
  <si>
    <t>INSTITUTE FOR EXCELLENCE IN HIGHER EDUCATION ,BHOPAL , MADHYA PRADESH</t>
  </si>
  <si>
    <t>MS Office,I know the basics of excel.</t>
  </si>
  <si>
    <t>The Backbenchers Digital LLP   | Marketing Intern  | Baner , Pune  | May 2026 | Jul 2026 | 8 Weeks | Campus Internship
Moksh Overseas Educon Limited | Digital Marketing Internship | bhopal,india | Mar 2024 | Apr 2024 | 6 Weeks</t>
  </si>
  <si>
    <t>Digital Marketing</t>
  </si>
  <si>
    <t>P25703056</t>
  </si>
  <si>
    <t>SETABJA</t>
  </si>
  <si>
    <t>TARAFDER</t>
  </si>
  <si>
    <t>Setabja Tarafder</t>
  </si>
  <si>
    <t>setabja.tarafder@gmail.com</t>
  </si>
  <si>
    <t>p25703056@student.nicmar.ac.in</t>
  </si>
  <si>
    <t>ENGLISH, HINDI , BENGALI</t>
  </si>
  <si>
    <t>5114 7125 5886</t>
  </si>
  <si>
    <t>LATE BIPLOB TARAFDER</t>
  </si>
  <si>
    <t>SHOVA TARAFDER</t>
  </si>
  <si>
    <t>Sf-1, Sk Heights,miraton Gardens, Chicalim Ground, Vasco Da Gama, Goa</t>
  </si>
  <si>
    <t>NAVY CHILDREN SCHOOL</t>
  </si>
  <si>
    <t>CENTRAL BOARD OF SECONDARY EDUCATION , GOA</t>
  </si>
  <si>
    <t>KENDRIYA VIDYALAYA NO 1</t>
  </si>
  <si>
    <t>CENTRAL BOARD OF SECONDARY EDUCATION, GOA</t>
  </si>
  <si>
    <t>PARVATIBAI CHOWGULE COLLEGE OF ARTS AND SCIENCE</t>
  </si>
  <si>
    <t>Goa Shipyard Limited | Supply chain management intern | VASCO-DA-GAMA , GOA | May 2026 | Jul 2026 | 8 Weeks | Campus Internship</t>
  </si>
  <si>
    <t>P25703057</t>
  </si>
  <si>
    <t>YEOLA</t>
  </si>
  <si>
    <t>Chaitanya Mayur Yeola</t>
  </si>
  <si>
    <t>chaitanyayeola9@gmail.com</t>
  </si>
  <si>
    <t>p25703057@student.nicmar.ac.in</t>
  </si>
  <si>
    <t>Playing Cricket and Reading Books,Singing,Learning a new language</t>
  </si>
  <si>
    <t>4221 4537 5755</t>
  </si>
  <si>
    <t>MAYUR YEOLA</t>
  </si>
  <si>
    <t>SUCHITA YEOLA</t>
  </si>
  <si>
    <t>BUSINESS,HOUSEWIFE</t>
  </si>
  <si>
    <t>Dagaji Ajba Patil Nagar, Chaugaon Road,Satana</t>
  </si>
  <si>
    <t>BES'T ENGLISH MEDIUM SCHOOL,SATANA,NASHIK</t>
  </si>
  <si>
    <t>MAHARASHTRA STATE BOARD OF SECONDARY AND HIGHER SECONDARY EDUCATION,NASHIK</t>
  </si>
  <si>
    <t>B.Y.K COLLEGE OF COMMERCE,NASHIK</t>
  </si>
  <si>
    <t>MODERN COLLEGE OF ARTS,SCIENCE AND COMMERCE,PUNE</t>
  </si>
  <si>
    <t>CA Akshay Rane and Associates | Finance Intern | Nashik | May 2026 | Jul 2026 | 8 Weeks | Campus Internship</t>
  </si>
  <si>
    <t>Business analytics with Excel: Elementary to Advanced
Getting started with Microsoft office 365
SEBI Investor Awareness Test-NISM
Financial Markets-Yale University
JPMorgan Chase – Investment Banking Job Simulation | Forage</t>
  </si>
  <si>
    <t>P25703058</t>
  </si>
  <si>
    <t>CHHAJED</t>
  </si>
  <si>
    <t>Mohit Harshal Chhajed</t>
  </si>
  <si>
    <t>522mohit.chhajed0908@gmail.com</t>
  </si>
  <si>
    <t>p25703058@student.nicmar.ac.in</t>
  </si>
  <si>
    <t>English, Hindi, Marathi, Marwadi, German</t>
  </si>
  <si>
    <t>7650 8995 1069</t>
  </si>
  <si>
    <t>HARSHAL BANSILAL CHHAJED</t>
  </si>
  <si>
    <t>BHARATI HARSHAL CHHAJED</t>
  </si>
  <si>
    <t>PLOT NO: 06, FLAT NO: 101, SHANTAI, CTS2218, VATAN NAGAR, TALEGAON DABHADE, PUNE: 410507</t>
  </si>
  <si>
    <t>KANTILAL SHAH VIDYALAYA</t>
  </si>
  <si>
    <t>NESS WADIA COLLEGE OF COMMERCE, PUNE</t>
  </si>
  <si>
    <t>MS Office, MS Project, Digital Marketing, Power BI, Market Research &amp; Lead Generation, Data Entry and Management, Prompt Engineering, SQL, Python</t>
  </si>
  <si>
    <t>OJASVI LOGISTICS | Business Development Manager | PUNE | Sep 2024 | Aug 2025 | 0 Years, 11 Months, 8 Days | 3
TOOLTECH GLOBAL ENGINEERING PVT LTD | Business Development Associate | PUNE | Jun 2024 | Jul 2024 | 0 Years, 1 Months, 5 Days | 3.8</t>
  </si>
  <si>
    <t>EZ REALTY | BUSINESS ANALYST | PUNE | May 2026 | Jul 2026 | 8 Weeks | Campus Internship
NESS WADIA COLLEGE OF COMMERCE | PLACEMENT COORDINATOR | PUNE | Jun 2022 | May 2024 | 104 Weeks</t>
  </si>
  <si>
    <t>Basic to Advanced Structured Query
Basic to Advanced Microsoft Power BI
Basic to Advanced Microsoft Excel
Digital Marketing
IBM Basics of Business Analysis
Marketing Fundamentals
Operations Management
Negotiations Fundamentals</t>
  </si>
  <si>
    <t>P25703059</t>
  </si>
  <si>
    <t>Divya Ashok Deshmukh</t>
  </si>
  <si>
    <t>deshmukhdivya855@gmail.com</t>
  </si>
  <si>
    <t>p25703059@student.nicmar.ac.in</t>
  </si>
  <si>
    <t>7868 0557 1857</t>
  </si>
  <si>
    <t>ASHOK DESHMUKH</t>
  </si>
  <si>
    <t>NISHA DESHMUKH</t>
  </si>
  <si>
    <t>NICMAR HOSTE PUNE</t>
  </si>
  <si>
    <t>Ram Kuti, Durga Nagar, Nandura</t>
  </si>
  <si>
    <t>ST. ANNS, ENGISH MEDIUM HIGH SCHOOL</t>
  </si>
  <si>
    <t>M. P. KOTHARI JR. COLLEGE , NANDURA</t>
  </si>
  <si>
    <t>MAHATMA PHULE AGRICULTURAL UNIVERSITY</t>
  </si>
  <si>
    <t>SCHOOL OF AGRIBUSINESS MANAGEMENT BARAMATI</t>
  </si>
  <si>
    <t>Bachelor of Science (Honours) (B.Sc. Hons.)</t>
  </si>
  <si>
    <t>Agriculture Business Management</t>
  </si>
  <si>
    <t>MS Excel, MS PowerPoint, Market Research, Data Analysis, Report &amp; Presentation Preparation, CRM &amp; Database Management</t>
  </si>
  <si>
    <t>Syngenta Foundation India  | Banking and Finance Intern  | Pune | May 2026 | Jul 2026 | 8 Weeks | Campus Internship</t>
  </si>
  <si>
    <t>P25703060</t>
  </si>
  <si>
    <t>RAWAL</t>
  </si>
  <si>
    <t>Rawal Jatin Shambhu</t>
  </si>
  <si>
    <t>rawaljatin778@gmail.com</t>
  </si>
  <si>
    <t>p25703060@student.nicmar.ac.in</t>
  </si>
  <si>
    <t>31-Jul-2004</t>
  </si>
  <si>
    <t>Badminton,Cricket,Travel</t>
  </si>
  <si>
    <t>7208 8707 8506</t>
  </si>
  <si>
    <t>SHAMBHU RAWAL</t>
  </si>
  <si>
    <t>KUSUM RAWAL</t>
  </si>
  <si>
    <t>506, Balaji Tower-2, Sutharwad, Vapi</t>
  </si>
  <si>
    <t>SHREE SWAMINARYAN SECONDARY ENGLISH MEDIUM SCHOOL, SALVAV, VAPI</t>
  </si>
  <si>
    <t>ST. FRANCIS' HIGH SCHOOL, VAPI</t>
  </si>
  <si>
    <t>PARUL UNIVERSITY, VADODARA</t>
  </si>
  <si>
    <t>MS Excel, MS Office, MS Project</t>
  </si>
  <si>
    <t>Simplify Home | Marketing Intern | Hyderabad, Telangana | May 2026 | Jun 2026 | 8 Weeks | Campus Internship</t>
  </si>
  <si>
    <t>P25703061</t>
  </si>
  <si>
    <t>ANUP</t>
  </si>
  <si>
    <t>Anup Jaiswal</t>
  </si>
  <si>
    <t>anupjaiswal3969@gmail.com</t>
  </si>
  <si>
    <t>p25703061@student.nicmar.ac.in</t>
  </si>
  <si>
    <t>English and hindi</t>
  </si>
  <si>
    <t>3960 6936 1952</t>
  </si>
  <si>
    <t>DEELIP JAISWAL</t>
  </si>
  <si>
    <t>LATE INDU DEVI</t>
  </si>
  <si>
    <t>Vill + Post Nimej Dist, Buxar Bihar</t>
  </si>
  <si>
    <t>Buxar</t>
  </si>
  <si>
    <t>GYAN JYOTI AWASIYA VIDYALAYA BHOJPUR BIHAR</t>
  </si>
  <si>
    <t>R P S RESIDENTIAL SCHOOL DANAPUR PATNA BIHAR</t>
  </si>
  <si>
    <t>PROF. RAJENDRA SINGH ( RAJJU BHAIYA) UNIVERSITY PRAYAGRAJ UTTAR PRADESH</t>
  </si>
  <si>
    <t>UNITED INSTITUTE OF MANAGEMENT PRAYAGRAJ UTTAR PRADESH</t>
  </si>
  <si>
    <t>Majestic Realties  | Digital Marketing Intern | Pune, Maharashtra  | May 2026 | Jun 2026 | 7 Weeks | Campus Internship</t>
  </si>
  <si>
    <t>Introduction to marketing (university of Pennsylvani - Coursera )
International business (university of new maxico - Coursera)</t>
  </si>
  <si>
    <t>P25703062</t>
  </si>
  <si>
    <t>BANDI</t>
  </si>
  <si>
    <t>Bandi Niharika</t>
  </si>
  <si>
    <t>niharikabandi.01@gmail.com</t>
  </si>
  <si>
    <t>p25703062@student.nicmar.ac.in</t>
  </si>
  <si>
    <t>29-Jan-2002</t>
  </si>
  <si>
    <t>Playing Badminton,Listening to Music,Photography,Creative Designing,Swimming,Reading Books,Exploring new Technologies,Learning new Languages,Traveling,Participating in Cultural Events</t>
  </si>
  <si>
    <t>2792 1625 0403</t>
  </si>
  <si>
    <t>BANDI NAGU BABU</t>
  </si>
  <si>
    <t>BANDI KAMALA RANI</t>
  </si>
  <si>
    <t>53-16-85/3, K.R.M Colony, Maddilapalem, Near Canara Bank ATM</t>
  </si>
  <si>
    <t>BHASHYAM PUBLIC SCHOOL</t>
  </si>
  <si>
    <t>SRIGAYATRI JUNIOR COLLEGE</t>
  </si>
  <si>
    <t>GAYATRI VIDYA PARISHAD COLLEGE OF ENGINEERING</t>
  </si>
  <si>
    <t>Robotics</t>
  </si>
  <si>
    <t>AutoCAD,MS Office,CATIA V5,Adobe Photoshop (PS),Adobe Illustrator (AI),ANSYS,Canva</t>
  </si>
  <si>
    <t>Godrej Properties Limited | Operations - Contracts and Procurement | Chennai - Padur | May 2026 | Jul 2026 | 8 Weeks | Campus Internship</t>
  </si>
  <si>
    <t>Python Basics
AI-ML Virtual Internship
Android Developer Virtual Internship
Robotic Process Automation (RPA)
Al tools and ChatGPT workshop
Salesforce Agentblazer Innovator
Salesforce Agentblazer Champion
Negotiation Fundamentals
Business Analytics with Excel: Elementary to Advanced
Getting started with Microsoft Office 365
International Business I
Operations Management
Negotiation, Mediation, and Conflict Resolution - Capstone Project
Introduction to Marketing</t>
  </si>
  <si>
    <t>P25703063</t>
  </si>
  <si>
    <t>Sneha Singh</t>
  </si>
  <si>
    <t>snehajugnu@gmail.com</t>
  </si>
  <si>
    <t>p25703063@student.nicmar.ac.in</t>
  </si>
  <si>
    <t>18-Dec-2004</t>
  </si>
  <si>
    <t>9056 6798 8487</t>
  </si>
  <si>
    <t>NP SINGH</t>
  </si>
  <si>
    <t>ENGINEERING</t>
  </si>
  <si>
    <t>JUGNU SINGH</t>
  </si>
  <si>
    <t>House No. 16 Maheshpuri Niwaru Road Jhotwara</t>
  </si>
  <si>
    <t>IIS (DEEMED TO BE UNIVERSITY)</t>
  </si>
  <si>
    <t>IIS (DEEMED TO BE UNIVERSITY), JAIPUR, RAJASTHAN</t>
  </si>
  <si>
    <t>Gunarth Infra Pvt. Ltd. | Finance Intern  | Vadodara, Gujarat  | May 2026 | Jul 2026 | 8 Weeks | Campus Internship</t>
  </si>
  <si>
    <t>P25703064</t>
  </si>
  <si>
    <t>TANUJA</t>
  </si>
  <si>
    <t>KARALE</t>
  </si>
  <si>
    <t>Tanuja Machhindra Karale</t>
  </si>
  <si>
    <t>karaletanuja666@gmail.com</t>
  </si>
  <si>
    <t>p25703064@student.nicmar.ac.in</t>
  </si>
  <si>
    <t>English, Hindi , Maratthi</t>
  </si>
  <si>
    <t>Blogging,Reading Books,Fitness Activities,Trekking,Dancing,Capturing &amp; Editing</t>
  </si>
  <si>
    <t>9106 5386 8291</t>
  </si>
  <si>
    <t>Deolali Pravara,_x000D_
Rahuri,Ahmednagar</t>
  </si>
  <si>
    <t>NEW ENGLISH SCHOOL</t>
  </si>
  <si>
    <t>ATMA MALIK INTERNATIONAL SCHOOL</t>
  </si>
  <si>
    <t>BRIHAN MHARASHTRA COLLEGE OF COMMERCE</t>
  </si>
  <si>
    <t>MS Office,MS Project,Google Analytics,Canva,SEMrush,Ahrefs,Hubspot,WordPress,Hootsuite,Biffer,Zoho CRM,EXCEL</t>
  </si>
  <si>
    <t>Edsom Fintech pvt. ltd. | Digital Marketing and Finance Departments | Baner,Pune | May 2026 | Jun 2026 | 7 Weeks | Campus Internship
BESTLA &amp; INDUSTRIES | MANAGED SEO &amp; SOCIAL MEDIA CAMPAIGNS,CREATED MARKETING CONTENT &amp; ANALYZED PERFORMANCE METRICS | PUNE | May 2025 | Aug 2025 | 16 Weeks</t>
  </si>
  <si>
    <t>P25703065</t>
  </si>
  <si>
    <t>BORULE</t>
  </si>
  <si>
    <t>Soham Vilas Borule</t>
  </si>
  <si>
    <t>sohamborule244@gmail.com</t>
  </si>
  <si>
    <t>p25703065@student.nicmar.ac.in</t>
  </si>
  <si>
    <t>3475 6972 6423</t>
  </si>
  <si>
    <t>Cha.sambhaji Maharaj Colony, Lonkar Wasti, Keshav Nagar, Mundhwa,pune36.</t>
  </si>
  <si>
    <t>SANE GURUJI SECONDARY SCHOOL</t>
  </si>
  <si>
    <t>PUNE / MAHARASHTRA</t>
  </si>
  <si>
    <t>HARIBHAI V. DESAI COLLEGE PUNE/MAHARASHTRA</t>
  </si>
  <si>
    <t>MS Project,Tally/ advanced Excel</t>
  </si>
  <si>
    <t>SKY TAPES  | Purchase and procurement  | Manjari Budruk  | May 2026 | Jul 2026 | 9 Weeks | Campus Internship</t>
  </si>
  <si>
    <t>P25703066</t>
  </si>
  <si>
    <t>DEV</t>
  </si>
  <si>
    <t>KAMLESH</t>
  </si>
  <si>
    <t>ASHARA</t>
  </si>
  <si>
    <t>Dev Kamlesh Ashara</t>
  </si>
  <si>
    <t>ashradev8888@gmail.com</t>
  </si>
  <si>
    <t>p25703066@student.nicmar.ac.in</t>
  </si>
  <si>
    <t>25-Mar-2003</t>
  </si>
  <si>
    <t>English, Hindi, Gujarati and Marathi</t>
  </si>
  <si>
    <t>9859 7572 8869</t>
  </si>
  <si>
    <t>KAMLESH ISHWARLAL ASHARA</t>
  </si>
  <si>
    <t>PRITI KAMLESH ASHARA</t>
  </si>
  <si>
    <t>A/003 Dhoop Chav Bldg, Ambadi Road Cross, Near Sai Garden, Vasai West,</t>
  </si>
  <si>
    <t>MOUNT CARMEL JUNIOR COLLEGE</t>
  </si>
  <si>
    <t>B.K. SHROFF COLLEGE OF ARTS AND M.H. SHROFF COLLEGE OF COMMERCE</t>
  </si>
  <si>
    <t>other,Excel</t>
  </si>
  <si>
    <t>Receivables Exchange of India Limited | Operations Intern | Kanjurmarg, Mumbai | May 2026 | Jul 2026 | 8 Weeks | Campus Internship
VANTAGE KNOWLEDGE ACADEMY | BUSINESS DEVELOPMENT EXECUTIVE | ANDHERI, MUMBAI, MAHARASHTRA  | Jan 2025 | Mar 2025 | 8 Weeks</t>
  </si>
  <si>
    <t>Practical Taxation
2D Animation
Life Skills
Ethical Hacking
Investment In Financial Markets Based on Technical Analysis
Microsoft 365
Business Analytics with Excel
Operations Management</t>
  </si>
  <si>
    <t>P25703067</t>
  </si>
  <si>
    <t>SATAKSHI</t>
  </si>
  <si>
    <t>Satakshi Nayak</t>
  </si>
  <si>
    <t>satakshinayak3@gmail.com</t>
  </si>
  <si>
    <t>p25703067@student.nicmar.ac.in</t>
  </si>
  <si>
    <t>17-Sep-2002</t>
  </si>
  <si>
    <t>Yoga / Meditation,Reading books,Research &amp; reading journals,Music (playing an instrument,singing),Creative writing / Poetry,Astrology &amp; Horoscope Study,Numerology Research,Palmistry &amp; Hand Analysis</t>
  </si>
  <si>
    <t>8601 5902 8795</t>
  </si>
  <si>
    <t>VINIT NAYAK</t>
  </si>
  <si>
    <t>SHILPA NAYAK</t>
  </si>
  <si>
    <t>Flat No 306 3rd Floor Ganesh Heritage Swarnjayanti Nagar Bilaspur (C.G)</t>
  </si>
  <si>
    <t>SATAKSHI NAYAK</t>
  </si>
  <si>
    <t>ICSE DURG CHHATTISGARH</t>
  </si>
  <si>
    <t>ATAL BIHARI VAJPAYEE VISHWAVIDHYALA</t>
  </si>
  <si>
    <t>LCIT COLLEGE OF COMMERCE AND SCIENCE</t>
  </si>
  <si>
    <t>ATAL BIHARI VAJPAYEE VISHWAVIDYALAYA BILASPUR</t>
  </si>
  <si>
    <t>Simplify Home | Digital Marketing Intern | Hyderabad | May 2026 | Jun 2026 | 8 Weeks | Campus Internship</t>
  </si>
  <si>
    <t>Business Analytics with Excel : Elementary to Advanced
Introduction to Marketing
Negotiation Fundamentals
Negotiation,Mediation, and Conflict Resolution - Capstone Project</t>
  </si>
  <si>
    <t>P25703069</t>
  </si>
  <si>
    <t>KAKAD</t>
  </si>
  <si>
    <t>Shruti Kishor Kakad</t>
  </si>
  <si>
    <t>shrutikakad2008@gmail.com</t>
  </si>
  <si>
    <t>p25703069@student.nicmar.ac.in</t>
  </si>
  <si>
    <t>english\hindi\marathi</t>
  </si>
  <si>
    <t>7888 4703 9313</t>
  </si>
  <si>
    <t>KISHOR KAKAD</t>
  </si>
  <si>
    <t>ARCHANA KAKAD</t>
  </si>
  <si>
    <t>At Mangul Post Dagadparwa Tq Barshitakli Dist Akola</t>
  </si>
  <si>
    <t>NOEL SCHOOL CBSE AKOLA</t>
  </si>
  <si>
    <t>SMT . MEHERBANU JUNIOR COLLAGE OF SCIENCE AND COMMERCE</t>
  </si>
  <si>
    <t>SHRI SHIVAJI COLLEGE OF ARTS, COMMERCE AND SCIENCE AKOT, MAHARASHTRA</t>
  </si>
  <si>
    <t>other,Advance Excel</t>
  </si>
  <si>
    <t>Basics of Python
Invesment Banking Job Simulation
Advance Excel</t>
  </si>
  <si>
    <t>P25703070</t>
  </si>
  <si>
    <t>Kushagra Singh</t>
  </si>
  <si>
    <t>kushagra.mv@gmail.com</t>
  </si>
  <si>
    <t>p25703070@student.nicmar.ac.in</t>
  </si>
  <si>
    <t>05-Mar-1993</t>
  </si>
  <si>
    <t>8675 2557 5837</t>
  </si>
  <si>
    <t>PRAMOD SINGH</t>
  </si>
  <si>
    <t>PRAMILA SINGH</t>
  </si>
  <si>
    <t>C/o Pramod Singh, Defence Colony, Cantonment, Varanasi</t>
  </si>
  <si>
    <t>OP JINDAL SCHOOL</t>
  </si>
  <si>
    <t>CENTRAL BOARD OF SECONDARY EDUCATION, RAIGARH, CHHATTISGARH</t>
  </si>
  <si>
    <t>BHARATI VIDYAPEETH JAWAHARLAL NEHRU INSTITUTE OF TECHNOLOGY, PUNE, MAHARASHTRA</t>
  </si>
  <si>
    <t>BHARATI VIDYAPEETH</t>
  </si>
  <si>
    <t>COLLEGE OF ENGINEERING PUNE, MAHARASHTRA</t>
  </si>
  <si>
    <t xml:space="preserve">Advance Excel, Power BI </t>
  </si>
  <si>
    <t>VAUTID India Private Limited | Production Engineer, Sales Coordinator | Pune, Maharashtra | Jun 2020 | Jul 2025 | 5 Years, 1 Months, 2 Days | 4.73</t>
  </si>
  <si>
    <t>N. Ranga Rao &amp; Sons Private Limited (Cycle Pure Agarbathies) | Supply Chain Management Intern  | Mysuru, Karnataka | May 2026 | Jul 2026 | 9 Weeks | Campus Internship
Jindal Steel and Power limited | Summer Training | Raigarh, Chhattisgarh | May 2014 | Jun 2014 | 3 Weeks</t>
  </si>
  <si>
    <t>Google: Foundations of Project Management
Lean Six Sigma Green Belt</t>
  </si>
  <si>
    <t>P25703071</t>
  </si>
  <si>
    <t>SHASHIKANTH</t>
  </si>
  <si>
    <t>SINGARE</t>
  </si>
  <si>
    <t>Arjun Shashikanth Singare</t>
  </si>
  <si>
    <t>arjunsingare11@gmail.com</t>
  </si>
  <si>
    <t>p25703071@student.nicmar.ac.in</t>
  </si>
  <si>
    <t>21-Jun-2004</t>
  </si>
  <si>
    <t>5484 7843 8750</t>
  </si>
  <si>
    <t>SHASHIKANTH SINGARE</t>
  </si>
  <si>
    <t>GOVERMENT SERVANT</t>
  </si>
  <si>
    <t>YOGITA SINGARE</t>
  </si>
  <si>
    <t>'Mirai' Plot No 1 . Revati Housing Soceity_x000D_
Itkheda, Paithan Road, Aurangabad</t>
  </si>
  <si>
    <t>AGRASEN VIDYA MANDIR</t>
  </si>
  <si>
    <t>DEOGIRI INSTITUTE OF TECHNOLOGY AND MANAGEMENT STUDIES</t>
  </si>
  <si>
    <t>Maharashtra metro rail corporation limited  | Multi model integration intern  | Pune  | May 2026 | Jul 2026 | 9 Weeks | Campus Internship</t>
  </si>
  <si>
    <t>P25703072</t>
  </si>
  <si>
    <t>ANURAG</t>
  </si>
  <si>
    <t>Anurag Ajit Jadhav</t>
  </si>
  <si>
    <t>anurag.workall@gmail.com</t>
  </si>
  <si>
    <t>p25703072@student.nicmar.ac.in</t>
  </si>
  <si>
    <t>26-Feb-1997</t>
  </si>
  <si>
    <t>Playing Flute,Reading Books,Trekking</t>
  </si>
  <si>
    <t>6638 5568 9354</t>
  </si>
  <si>
    <t>AMITA</t>
  </si>
  <si>
    <t>Room No.1, Kadam Chawl, Jamil Nagar, Bhandup West, Mumbai 400078</t>
  </si>
  <si>
    <t>COSMOS ENGLISH HIGH SCHOOL</t>
  </si>
  <si>
    <t>VPM'S B.N. BANDODKAR COLLEGE OF SCIENCE, THANE</t>
  </si>
  <si>
    <t>ANNASAHEB CHUDAMAN PATIL COLLEGE OF ENGINEERING, KHARGHAR, MAHARASHTRA</t>
  </si>
  <si>
    <t>AutoCAD, MS Office, MS Project, Primavera, SQL, Python, Oracle, Tableau, Salesforce AI Agents</t>
  </si>
  <si>
    <t>WSP Consultants India Private Limited | Asst Consultant - HSE | Noida &amp;amp; Mumbai | May 2024 | Jul 2025 | 1 Years, 1 Months, 5 Days | 10
Sharp Designers &amp; Engineers India Private Limited | HSE Coordinator | Nagaothane &amp; Pune | May 2023 | Dec 2023 | 0 Years, 6 Months, 20 Days | 6
Industrial Energy Solutions | HSE Officer | Jamnagar &amp;amp;amp; Surat | Apr 2022 | Apr 2023 | 1 Years, 0 Months, 0 Days | 5
Coolpack HVAC Systems Private Limited | Safety Engineer | Mumbai | Dec 2021 | Mar 2022 | 0 Years, 3 Months, 12 Days | 2.5
GVK Mumbai International Airport Limited | HSE &amp; Maintenance Trainee | Mumbai | Dec 2019 | Dec 2020 | 1 Years, 0 Months, 0 Days | 1.2</t>
  </si>
  <si>
    <t>Majestic Realties | HR &amp; Project Management Intern | Pune | May 2026 | Jun 2026 | 7 Weeks | Campus Internship
International Architecture Trading and Contracting Company/ ITL Al Amara | HSE Officer | Kingdom Of Saudi Arabia | Dec 2023 | Mar 2024 | 11 Weeks</t>
  </si>
  <si>
    <t>Safety Trade Validation Certification
First Aid and CPR Approved DISH
ISO 45001 LEAD AUDITOR
NEBOSH International General Certificate</t>
  </si>
  <si>
    <t>P25703073</t>
  </si>
  <si>
    <t>Aditya Chandrashekhar Patil</t>
  </si>
  <si>
    <t>adityapatil1761@gmail.com</t>
  </si>
  <si>
    <t>p25703073@student.nicmar.ac.in</t>
  </si>
  <si>
    <t>17-Jun-2001</t>
  </si>
  <si>
    <t>7550 2277 1349</t>
  </si>
  <si>
    <t>CHANDRASHEKHAR PATIL</t>
  </si>
  <si>
    <t>CHETANA PATIL</t>
  </si>
  <si>
    <t>D-405 SARTTHI SKYBAY PHASE 2, BALEWADI, PUNE</t>
  </si>
  <si>
    <t>Civil Line, Nandura Road, Khamgaon</t>
  </si>
  <si>
    <t>ST. ANNS ENGLISH MEDIUM HIGH SCHOOL</t>
  </si>
  <si>
    <t>LATE MAHARSHI BHASKARRAO SHINGNE COLLEGE</t>
  </si>
  <si>
    <t>DR. D. Y. PATIL COLLEGE OF AGRIBUSINESS MANAGEMENT</t>
  </si>
  <si>
    <t>Centrum wealth Ltd.  | Wealth management intern | Pune | May 2026 | Jun 2026 | 8 Weeks | Campus Internship
 Proptranxact ( Surrealt Ventures LLP) | Market Research, Sales and Business Development  | Mumbai, Andheri (E) | Jan 2025 | Jun 2025 | 25 Weeks
Syngenta Foundation India | Intern at IRise Program | Pune | Dec 2023 | Jul 2024 | 32 Weeks</t>
  </si>
  <si>
    <t xml:space="preserve">NISM V-A Mutual Funds Distributor 
NISM XXI-A PMS Distributor </t>
  </si>
  <si>
    <t>P25703075</t>
  </si>
  <si>
    <t>APPA</t>
  </si>
  <si>
    <t>Ashok Appa Jagtap</t>
  </si>
  <si>
    <t>ashokjagtap2441@gmail.com</t>
  </si>
  <si>
    <t>p25703075@student.nicmar.ac.in</t>
  </si>
  <si>
    <t>20-Nov-2001</t>
  </si>
  <si>
    <t>5144 9369 7102</t>
  </si>
  <si>
    <t>APPA JAGTAP</t>
  </si>
  <si>
    <t>10TH</t>
  </si>
  <si>
    <t>ANITA JAGTAP</t>
  </si>
  <si>
    <t>AT.Kanhobachiwadi TQ.Shirur Kasar Dist-Beed</t>
  </si>
  <si>
    <t>SARASWATI VIDYALAY KHADGAON LATUR</t>
  </si>
  <si>
    <t>LATUR-MAHARASHTRA</t>
  </si>
  <si>
    <t>BABUJI AVHAD MAHAVIDYALAY PATHARDI AHEMADNAGAR</t>
  </si>
  <si>
    <t>PATHARDI-AHEMADNAGAR-MAHARASHTRA</t>
  </si>
  <si>
    <t>MAHATMA PHULE KRISHI VIDYAPEETH RAHURI</t>
  </si>
  <si>
    <t>DR.D.Y. PATIL COLLEGE OF AGRICULTURE BUSINESS MANAGEMENT AKURDI ,PUNE</t>
  </si>
  <si>
    <t xml:space="preserve">other,MS-CIT, Excel </t>
  </si>
  <si>
    <t>Majestic Realties | Digital marketing and sales | Pune | May 2026 | Jun 2026 | 7 Weeks | Campus Internship</t>
  </si>
  <si>
    <t>P25703076</t>
  </si>
  <si>
    <t>UPADHYAY</t>
  </si>
  <si>
    <t>Sharad Upadhyay</t>
  </si>
  <si>
    <t>sharadupadhyay52@gmail.com</t>
  </si>
  <si>
    <t>p25703076@student.nicmar.ac.in</t>
  </si>
  <si>
    <t>30-Mar-2003</t>
  </si>
  <si>
    <t>7179 0622 1900</t>
  </si>
  <si>
    <t>DEEPAK UPADHYAY</t>
  </si>
  <si>
    <t>POOJA UPADHYAY</t>
  </si>
  <si>
    <t>Deepapur , Rajatalab , Varanasi , Uttar Pradesh</t>
  </si>
  <si>
    <t>NATIONAL INSTITUTE OF OPEN SCHOOLING , BHADOHI , UTTAR PRADESH</t>
  </si>
  <si>
    <t>M J F PUBLIC SCHOOL</t>
  </si>
  <si>
    <t>MAHATMA GANDHI KASHI VIDYAPITH , VARANASI</t>
  </si>
  <si>
    <t>ASHA MAHAVIDYALAYA , BABATPUR , VARANASI , UTTAR PRADESH</t>
  </si>
  <si>
    <t>Britannia Industries limited | Supply Chain Management Intern | Ranjangaon, Pune, Maharastra | May 2026 | Jul 2026 | 7 Weeks | Campus Internship</t>
  </si>
  <si>
    <t>Operations Management</t>
  </si>
  <si>
    <t>P25703077</t>
  </si>
  <si>
    <t>PREMPRAKASH</t>
  </si>
  <si>
    <t>Prakash Premprakash Choudhary</t>
  </si>
  <si>
    <t>psaran0698@gmail.com</t>
  </si>
  <si>
    <t>p25703077@student.nicmar.ac.in</t>
  </si>
  <si>
    <t>13-May-2003</t>
  </si>
  <si>
    <t>6088 2634 7024</t>
  </si>
  <si>
    <t>KUNNIDEVI</t>
  </si>
  <si>
    <t>B1/201, Prestige Panorama Society, Manjri Road, Keshavnagar, Pune</t>
  </si>
  <si>
    <t>JAYAWANT PUBLIC SCHOOL</t>
  </si>
  <si>
    <t>Retail &amp; E-Commerce Management</t>
  </si>
  <si>
    <t>Revespaces  | Strategic Business Development Intern  | Pune | May 2026 | Jul 2026 | 8 Weeks | Campus Internship
LEEAS NUTRA COSMETICS | Sales and Marketing Intern | Pune | May 2022 | Jul 2022 | 8 Weeks
DECATHLON SPORTS INDIA PRIVATE LIMITED | Stock Management and Merchandising Intern | Pune | Jun 2023 | Aug 2023 | 9 Weeks
BLUESTONE JEWELLERY AND LIFESTYLE PVT. LTD. | Sales and Operations Intern | Pune | Jan 2024 | May 2024 | 19 Weeks</t>
  </si>
  <si>
    <t>P25703078</t>
  </si>
  <si>
    <t>DOULAT</t>
  </si>
  <si>
    <t>Dhanashri Doulat Jadhav</t>
  </si>
  <si>
    <t>jadhavdhanashri7904@gmail.com</t>
  </si>
  <si>
    <t>p25703078@student.nicmar.ac.in</t>
  </si>
  <si>
    <t>Love to serve Animals,Traveling,Bike Riding,Watching movies</t>
  </si>
  <si>
    <t>6299 4766 5932</t>
  </si>
  <si>
    <t>Pusewadi Vasti, A/p Bambawade, Tal-Shirala, Dist-Sangli</t>
  </si>
  <si>
    <t>TAKAVE HIGHSCHOOL, TAKAVE</t>
  </si>
  <si>
    <t>MAHARASHTRA STATE BOARD, KOLHAPUR DIVISIONAL BOARD</t>
  </si>
  <si>
    <t>SHRIMATI KUSUMTAI RAJARAMBAPU PATIL KANYA MAHAVIDYALAYA, ISLAMPUR</t>
  </si>
  <si>
    <t>RAJARAMBAPU INSTITUTE OF TECHNOLOGY, ISLAMPUR MAHARASHTRA</t>
  </si>
  <si>
    <t>MS Office,Excel,Powerpoint,Tally ERP with GST</t>
  </si>
  <si>
    <t>P25703080</t>
  </si>
  <si>
    <t>Siddhesh Sanjay Jadhav</t>
  </si>
  <si>
    <t>siddheshjadhav2324@gmail.com</t>
  </si>
  <si>
    <t>p25703080@student.nicmar.ac.in</t>
  </si>
  <si>
    <t>17-Aug-2003</t>
  </si>
  <si>
    <t>9957 6989 8815</t>
  </si>
  <si>
    <t>JAYSHREE JADHAV</t>
  </si>
  <si>
    <t>Plot No. 27 Padalkar Colony, Kasba Bawda, Kolhapur 416006</t>
  </si>
  <si>
    <t>SHRIMANT MAISAHEB BAVDEKAR VIDYALAYA</t>
  </si>
  <si>
    <t>B. M. ROTE JUNIOR COLLEGE</t>
  </si>
  <si>
    <t>MAHARASHTRA STATE BOARD OF HIGHER SECONDARY EDUCATION, PUNE</t>
  </si>
  <si>
    <t>KOLHAPUR INSTITUTE OF TECHNOLOGY'S COLLEGE OF ENGINEERING KOLHAPUR</t>
  </si>
  <si>
    <t>AutoCAD, MS Office, MS Project, PTC Creo (3d Design)</t>
  </si>
  <si>
    <t>Ecoboard Industries Ltd | Procurement Intern | Pune | May 2026 | Jun 2026 | 8 Weeks | Campus Internship
KIrloskar Oil Engines Ltd. | Design Engineer | Kolhapur | Jan 2025 | Apr 2025 | 12 Weeks</t>
  </si>
  <si>
    <t>P25703036</t>
  </si>
  <si>
    <t>Vishal Rajendra Pawar</t>
  </si>
  <si>
    <t>p25703036@student.nicmar.ac.in</t>
  </si>
  <si>
    <t>22-Jul-2001</t>
  </si>
  <si>
    <t>9687 4978 0368</t>
  </si>
  <si>
    <t>RAJENDRA PAWAR</t>
  </si>
  <si>
    <t>NANDA PAWAR</t>
  </si>
  <si>
    <t>CLOTHING BUSINESS</t>
  </si>
  <si>
    <t>Tulja Heights Ubha Bazar Sawantwadi</t>
  </si>
  <si>
    <t>R.P.D JR COLLEGE SAWANTWADI</t>
  </si>
  <si>
    <t>PES MODERN COLLEGE OF ENGINEERING PUNE</t>
  </si>
  <si>
    <t>AutoCAD,MS Office,MS Project,EXCEL,powerpoint,power bi</t>
  </si>
  <si>
    <t>Shree Enterprises | GET | pune | Sep 2023 | Sep 2024 | 1 Years, 0 Months, 7 Days | 2.16</t>
  </si>
  <si>
    <t>Boxoffice Space | Purchase &amp; Procurement Intern | Baner pune | May 2026 | Jul 2026 | 8 Weeks | Campus Internship</t>
  </si>
  <si>
    <t>P25704001</t>
  </si>
  <si>
    <t>RAMNATH</t>
  </si>
  <si>
    <t>Ramnath Mahesh Nayak</t>
  </si>
  <si>
    <t>rahilnyk.99@gmail.com</t>
  </si>
  <si>
    <t>p25704001@student.nicmar.ac.in</t>
  </si>
  <si>
    <t>5854 5441 9964</t>
  </si>
  <si>
    <t>A-6 Neelkamal Co-op Hsg Scty, Shantinagar, Ponda-Goa</t>
  </si>
  <si>
    <t>A.J.DE ALMEIDA HIGH SCHOOL</t>
  </si>
  <si>
    <t>GOA BOARD OF SECONDARY AND HIGHER SECONDARY EDUCATION, ALTO-BETIM, GOA</t>
  </si>
  <si>
    <t>S.S.SAMITI'S HSS OF SCIENCE</t>
  </si>
  <si>
    <t>AutoCAD,MS Office,Sketchup,Lumion</t>
  </si>
  <si>
    <t>PWD (DIV-XVIII) (Roads) | SURVEYOR 6 (Apprentice) | PWD, Ponda-Goa | Oct 2023 | Oct 2024 | 0 Years, 11 Months, 23 Days | 1.56
AXIODYN CONSULTANTS | JUNIOR ENGINEER/ DESIGNER | Comba, Margao-Goa | May 2023 | Oct 2023 | 0 Years, 4 Months, 7 Days | 1.5</t>
  </si>
  <si>
    <t>Town and Country Planning Department | Urban Planning Intern | Panaji-Goa | May 2026 | Jun 2026 | 7 Weeks | Campus Internship
R.B.S CANDIAPARCAR | Site Engineer | Farmagudi, Ponda-Goa | Mar 2023 | May 2023 | 8 Weeks</t>
  </si>
  <si>
    <t>Introduction to Urban Planning</t>
  </si>
  <si>
    <t>P25704004</t>
  </si>
  <si>
    <t>MALLIKARJUN</t>
  </si>
  <si>
    <t>BILGUNDI</t>
  </si>
  <si>
    <t>Ashish Mallikarjun Bilgundi</t>
  </si>
  <si>
    <t>aahishbilgundi@gmail.com</t>
  </si>
  <si>
    <t>p25704004@student.nicmar.ac.in</t>
  </si>
  <si>
    <t>8742 2404 1273</t>
  </si>
  <si>
    <t>RETIRED BANK OFFICER</t>
  </si>
  <si>
    <t>JAYAMALA</t>
  </si>
  <si>
    <t>PLOT NO 30 KOHINOOR BUILDING JEWARGI COLONY BIDDAPUR ROAD_x000D_
Biaadpur Road</t>
  </si>
  <si>
    <t>SHARANABASAVESWAR RES. HIGH SCHOOL</t>
  </si>
  <si>
    <t>KARNATAKA SECONDARY EDUCATION EXAMINATION BOARD , KALABURAGI</t>
  </si>
  <si>
    <t>S BASAVESWAR RESI PU COLLEGE</t>
  </si>
  <si>
    <t>GOVERNMENT OF KARNATAKA DEPARTMENT OF PRE-UNIVERSITY EDUCATION , KALABURAGI</t>
  </si>
  <si>
    <t>POOJYA DODDAPPA APPA COLLEGE OF ENGINEERING , KALABURAGI</t>
  </si>
  <si>
    <t>NATIONAL INSTITUTE OF URBAN AFFAIRS | intern under the UrbanShift Country Project | Delhi | May 2026 | Jul 2026 | 8 Weeks | Campus Internship
KMV PROJECTS LTD. | INTERN | KALABURAGI | Aug 2022 | Oct 2022 | 8 Weeks</t>
  </si>
  <si>
    <t>NPTEL / INTRODUCTION TO URBAN PLANNING 
SIDDHANTA / INDIAN TOWN PLANNING AND ARCHITECTURE
NPTEL / NATURAL HAZARDS</t>
  </si>
  <si>
    <t>P25704005</t>
  </si>
  <si>
    <t>MADHAV</t>
  </si>
  <si>
    <t>Nitin Madhav Suryawanshi</t>
  </si>
  <si>
    <t>nitinms1802@gmail.com</t>
  </si>
  <si>
    <t>p25704005@student.nicmar.ac.in</t>
  </si>
  <si>
    <t>7793 9379 7935</t>
  </si>
  <si>
    <t>AAU</t>
  </si>
  <si>
    <t>Plot No 37, P/5 N-8, Cidco, Sambhajinagar</t>
  </si>
  <si>
    <t>SHIVCHHATRAPATI COLLEGE AURANGABAD</t>
  </si>
  <si>
    <t>DR.BABASAHEB AMBEDKAR TECHNOLOGICAL UNIVERSITY</t>
  </si>
  <si>
    <t>DEOGIRI INSTITUTE OF ENGINEERING AND MANAGEMENT STUDIES</t>
  </si>
  <si>
    <t>AutoCAD, ArcGIS, Revit</t>
  </si>
  <si>
    <t>Pune municipal corporation  | Intern | Pune | May 2026 | Jul 2026 | 9 Weeks | Campus Internship
CHHATRAPATI SAMBHAJINAGAR MUNICIPAL CORPORATION | TRAINEE | CHH. SAMBHAJINAGAR | Oct 2024 | Jun 2025 | 37 Weeks
K P &amp; Associates | Trainee | Chh. Sambhajinagar | Sep 2023 | Sep 2024 | 52 Weeks
Sara builders | Intern | Chh. Sambhajinagar | Mar 2022 | Jun 2022 | 15 Weeks</t>
  </si>
  <si>
    <t>P25704006</t>
  </si>
  <si>
    <t>GARJE</t>
  </si>
  <si>
    <t>BHAGAWAN</t>
  </si>
  <si>
    <t>Garje Snehal Bhagawan</t>
  </si>
  <si>
    <t>snehalgarje322@gmail.com</t>
  </si>
  <si>
    <t>p25704006@student.nicmar.ac.in</t>
  </si>
  <si>
    <t>9159 5789 5794</t>
  </si>
  <si>
    <t>Sai Niwas, At.post Mohoj Devadhe, Tal.Pathardi, Dist. Ahilyanagar.</t>
  </si>
  <si>
    <t>R.K.M. SECONDARY AND HIGHER SECONDARY SCHOOL, KALWAN, NASHIK.</t>
  </si>
  <si>
    <t>SAVITRIBAI PHULE PUNE UNIVERSITY MAHARASHTRA</t>
  </si>
  <si>
    <t>SHRI PRAMOD PATIL SPPAC JUNIOR COLLEGE</t>
  </si>
  <si>
    <t>SAVITRIBAI PHULE PUNE UNIVERSITY, MAHARASHTRA</t>
  </si>
  <si>
    <t>SINHGAD COLLEGE OF ARCHITECTURE PUNE, MAHARASHTRA</t>
  </si>
  <si>
    <t>AutoCAD,MS Office,Sketchup,Lumion,Photoshop,Powerpoint,ArcGIS</t>
  </si>
  <si>
    <t>Town planning and valuation department  | Intern  | Pune | May 2026 | Jun 2026 | 7 Weeks | Campus Internship
DESIGN CONSORTIUM | INTERN | THANE,MUMBAI. | Jun 2024 | Dec 2024 | 23 Weeks</t>
  </si>
  <si>
    <t>P25704007</t>
  </si>
  <si>
    <t>TIWASKAR</t>
  </si>
  <si>
    <t>Siddhi Sham Tiwaskar</t>
  </si>
  <si>
    <t>siddhitiwaskar6128@gmail.com</t>
  </si>
  <si>
    <t>p25704007@student.nicmar.ac.in</t>
  </si>
  <si>
    <t>27-Mar-2002</t>
  </si>
  <si>
    <t>5810 6710 8431</t>
  </si>
  <si>
    <t>SHAM HARIBHAU TIWASKAR</t>
  </si>
  <si>
    <t>ANAGHA SHAM TIWASKAR</t>
  </si>
  <si>
    <t>129, Shubhamkaroti Apartment, Behind Siddha Ganesh Mandir Buty Plots Laxmi Nagar Nagpur</t>
  </si>
  <si>
    <t>SOMALWAR HIGH SCHOOL-NIKALAS BRANCH, NAGPUR</t>
  </si>
  <si>
    <t>SOMALWAR HIGH SCHOOL &amp; JUNIOR COLLEGE, NIKALAS BRANCH.</t>
  </si>
  <si>
    <t>AutoCAD,MS Office,SKETCHUP,PHOTOSHOP,REVIT,PROCREATE,ENSCAPE,LUMION,CANVA,ArcGIS</t>
  </si>
  <si>
    <t>National Institute of urban affairs (NIUA) | Intern  | Delhi  | May 2026 | Jul 2026 | 8 Weeks | Campus Internship
Beyond Green - Landscape Architecture and Architecture, Pune | Intern  | Pune  | Jun 2024 | Oct 2024 | 17 Weeks</t>
  </si>
  <si>
    <t>NPTL ONLINE CERTIFICATION-URBAN SERVICES PLANNING
Indian Town Planning &amp; Architecture – IKS Certificate
Introduction to Urban Planning – NPTEL Certification</t>
  </si>
  <si>
    <t>P25704008</t>
  </si>
  <si>
    <t>Suyash Singh Chauhan</t>
  </si>
  <si>
    <t>suryashchauhan@gmail.com</t>
  </si>
  <si>
    <t>p25704008@student.nicmar.ac.in</t>
  </si>
  <si>
    <t>10-Feb-2002</t>
  </si>
  <si>
    <t>english,hindi&amp;gujrati</t>
  </si>
  <si>
    <t>6612 4677 8241</t>
  </si>
  <si>
    <t>SANJAY SINGH CHAUHAN</t>
  </si>
  <si>
    <t>DR SHIKHA SINGH</t>
  </si>
  <si>
    <t>MIG-27 HOUSING BOARD COLONY BODA BAGH</t>
  </si>
  <si>
    <t>JYOTI SENIOR SECONDARY SCHOOL</t>
  </si>
  <si>
    <t>CENTRAL BOARD OF SECONDARY EDUCATION MADHYA PRADESH</t>
  </si>
  <si>
    <t>MARUTI HIGHER SECONDARY SCHOOL</t>
  </si>
  <si>
    <t>MADHYA PRADESH BOARD OF SECONDARY EDUCATION MADHYA PRADESH</t>
  </si>
  <si>
    <t>PARUL INSTITUTE OF ENGINEERING AND TECHNOLOGY</t>
  </si>
  <si>
    <t>AutoCAD,MS Office , ArcGIS Pro, Etabs</t>
  </si>
  <si>
    <t>Tanya Construction  | Planning And Site Execution | Bhopal | May 2026 | Jul 2026 | 9 Weeks | Campus Internship</t>
  </si>
  <si>
    <t>NPTEL ONLINE CERTIFICATION</t>
  </si>
  <si>
    <t>P25704010</t>
  </si>
  <si>
    <t>Rutuja Rajaram Patil</t>
  </si>
  <si>
    <t>patilrutuja348@gmail.com</t>
  </si>
  <si>
    <t>p25704010@student.nicmar.ac.in</t>
  </si>
  <si>
    <t>21-Feb-2001</t>
  </si>
  <si>
    <t>Sketching,Photography,Traveling</t>
  </si>
  <si>
    <t>8387 9183 9381</t>
  </si>
  <si>
    <t>RAJARAM ATMARAM PATIL</t>
  </si>
  <si>
    <t>RAJMATI RAJARAM PATIL</t>
  </si>
  <si>
    <t>16 ,RUTURAJ SHAHID BHAGAT SINGH COLONY , SHASTRINAGAR , MALKAPUR ROAD ,KARD</t>
  </si>
  <si>
    <t>AT P. BAHE TAL.WALWA DIS. SANGLI</t>
  </si>
  <si>
    <t>VITHAMATA VIDYALAYA , KARAD</t>
  </si>
  <si>
    <t>LIGADE PATIL JR COLLEGE OF SCIENCE , KARAD</t>
  </si>
  <si>
    <t>BHARATI VIDYAPEETH DEEMED TO BE UNIVERSITY</t>
  </si>
  <si>
    <t>BHARATI VIDYAPEETH COLLEGE OF ARCHITECTURE , PUNE</t>
  </si>
  <si>
    <t>AutoCAD,MS Office,SKETCHUP,LUMION,EDGE,ARCH GIS,PHOTOSHOP,CANVA</t>
  </si>
  <si>
    <t>Designshal Collabarative  | Intern | Pune | May 2026 | Jul 2026 | 7 Weeks | Campus Internship
Anup Oswal Architects | Intern | Pune | Jan 2024 | May 2024 | 20 Weeks</t>
  </si>
  <si>
    <t>P25704011</t>
  </si>
  <si>
    <t>Yash Avinash More</t>
  </si>
  <si>
    <t>p25704011@student.nicmar.ac.in</t>
  </si>
  <si>
    <t>CHESS,CRICKET</t>
  </si>
  <si>
    <t>3390 7048 3549</t>
  </si>
  <si>
    <t>AVINASH MORE</t>
  </si>
  <si>
    <t>AKSHATA MORE</t>
  </si>
  <si>
    <t>AT POST SHIRGAON, NEAR UMRAJ MEDICAL STORE, PALGHAR</t>
  </si>
  <si>
    <t>TWINKLE STAR ENGLISH HIGH SCHOOL PALGHAR</t>
  </si>
  <si>
    <t>MAHARASHTRA STATE BOARD OF EDUCATION AND HIGHER SECONDARY EDUCATION, PUNE</t>
  </si>
  <si>
    <t>ST JOHN COLLEGE OF ENGINEERING AND MANAGEMENT,PALGHAR</t>
  </si>
  <si>
    <t>ST JOHN COLLEGE OF ENGINEERING AND MANAGEMENT, PALGHAR</t>
  </si>
  <si>
    <t>LAXMI RAJ ASSOCIATE | PLANNING | Palghar | May 2026 | Jul 2026 | 0 Years, 2 Months, 0 Days</t>
  </si>
  <si>
    <t>NEST INFRA | Supervising &amp; Designing | PALGHAR | Jan 2022 | Mar 2022 | 8 Weeks</t>
  </si>
  <si>
    <t>STATE LEVEL TECHNICAL PAPER PRESENTATION
INDIA CHAPTER OF AMERICAN INSTITUTE</t>
  </si>
  <si>
    <t>P25704012</t>
  </si>
  <si>
    <t>NAMITA</t>
  </si>
  <si>
    <t>Namita Kiran Pawar</t>
  </si>
  <si>
    <t>namitapawar1206@gmail.com</t>
  </si>
  <si>
    <t>p25704012@student.nicmar.ac.in</t>
  </si>
  <si>
    <t>English, Hindi, Marathi, French</t>
  </si>
  <si>
    <t>6212 9457 3359</t>
  </si>
  <si>
    <t>Arwana Tower, Flat No. 202, Opposite To Golden Petals, Warje Jakat Naka, Bhalekar Wasti, Karve Nagar</t>
  </si>
  <si>
    <t>MAHARASHTRA EDUCATION SOCIETY HIGHSCHOOL</t>
  </si>
  <si>
    <t>MAHARASHTRA EDUCATION SOCIETY HIGHSCHOOL BARAMATI</t>
  </si>
  <si>
    <t>TULJARAM CHATURCHAND COLLEGE</t>
  </si>
  <si>
    <t>BHANUBEN NANAVATI COLLEGE OF ARCHITECTURE PUNE</t>
  </si>
  <si>
    <t>AutoCAD,MS Office,MS Project,Primavera,Photoshop,Revit,Enscape,Lumion</t>
  </si>
  <si>
    <t>National Institute of Urban Affairs | Intern | Pune | May 2026 | Jul 2026 | 9 Weeks | Campus Internship
BEYOND GREEN | INTERN | PUNE | Jun 2024 | Oct 2024 | 18 Weeks</t>
  </si>
  <si>
    <t>P25704014</t>
  </si>
  <si>
    <t>Mayuri Sandeep Yeole</t>
  </si>
  <si>
    <t>mayuriyeole24@gmail.com</t>
  </si>
  <si>
    <t>p25704014@student.nicmar.ac.in</t>
  </si>
  <si>
    <t>9488 3958 0592</t>
  </si>
  <si>
    <t>BHUMICA</t>
  </si>
  <si>
    <t>Yashodeep Plot No. 1103, N-6 Sai Nagar Cidco Chh. Sambhajinagar</t>
  </si>
  <si>
    <t>VIDYADHAM HIGHER SECONDARY SCHOOL</t>
  </si>
  <si>
    <t>JAWAHARLAL NEHRU ENGINEERING COLLEGE, CHH. SAMBHAJINAGAR</t>
  </si>
  <si>
    <t>AutoCAD,MS Office,Photoshop,Sketchup,Enscape,ArcGIS</t>
  </si>
  <si>
    <t>Kushaagra Innovations Foundation | Field internship in Urban Sustainability &amp; Waste Management | Pune | May 2026 | Jul 2026 | 8 Weeks | Campus Internship
IDEAS ARCHITECT | INTERN | JAIPUR | Jun 2024 | Oct 2024 | 18 Weeks</t>
  </si>
  <si>
    <t>P25704015</t>
  </si>
  <si>
    <t>GHANSHAM</t>
  </si>
  <si>
    <t>JONDHALE</t>
  </si>
  <si>
    <t>Pavan Ghansham Jondhale</t>
  </si>
  <si>
    <t>pavanjondhale16@gmail.com</t>
  </si>
  <si>
    <t>p25704015@student.nicmar.ac.in</t>
  </si>
  <si>
    <t>3481 5850 5161</t>
  </si>
  <si>
    <t>Jondhale Bunglow, Shikshak Colony, College Road, Saikheda, Nashik, Maharashtra,422210</t>
  </si>
  <si>
    <t>HORIZON ACADEMY</t>
  </si>
  <si>
    <t>NASHIK PRESIDENCY SCHOOL &amp; JUNIOR COLLEGE</t>
  </si>
  <si>
    <t>K.K. WAGH INSTITUTE OF ENGINEERING EDUCATION &amp; RESEARCH, NASHIK</t>
  </si>
  <si>
    <t>AutoCAD,MS Office,ArcGIS,Revit</t>
  </si>
  <si>
    <t>All India Institute of Local Self Government | Intern  | Nashik | May 2026 | Jul 2026 | 9 Weeks | Campus Internship
Mauli builders &amp; developers | Intern  | College Road, Saikheda | Dec 2023 | Jan 2024 | 4 Weeks</t>
  </si>
  <si>
    <t>P25704016</t>
  </si>
  <si>
    <t>MANKAR</t>
  </si>
  <si>
    <t>Rutuja Suresh Mankar</t>
  </si>
  <si>
    <t>rutujamankar0908@gmail.com</t>
  </si>
  <si>
    <t>p25704016@student.nicmar.ac.in</t>
  </si>
  <si>
    <t>09-Aug-2000</t>
  </si>
  <si>
    <t>8254 8960 6677</t>
  </si>
  <si>
    <t>SURESH VITTHALRAO MANKAR</t>
  </si>
  <si>
    <t>SUREKHA SURESH MANKAR</t>
  </si>
  <si>
    <t>SUNRISE PG, LAXMAN NAGAR, BANER, PUNE</t>
  </si>
  <si>
    <t>Sharda Nagar, S.T Colony Near Yashodip Convent, Wardha</t>
  </si>
  <si>
    <t>BHARAT DNYAN MANDIRAM</t>
  </si>
  <si>
    <t>WARDHA, MAHARASHTRA</t>
  </si>
  <si>
    <t>NEW ENGLISH JUNIOR COLLEGE</t>
  </si>
  <si>
    <t>SINHGAD COLLEGE OF ARCHITECTURE, PUNE, MAHARASHTRA</t>
  </si>
  <si>
    <t>AutoCAD,MS Office,Sketchup,Twinmotion,Lumion,Photoshop,ArcGIS</t>
  </si>
  <si>
    <t>MKDM Studio Private Limited | Junior Architect | Pune | Aug 2023 | Aug 2024 | 1 Years, 0 Months, 0 Days | 1.92</t>
  </si>
  <si>
    <t>KUSHAAGRA INNOVATIONS FOUNDATION | URBAN PLANNING INTERN | Pune | May 2026 | Jul 2026 | 8 Weeks | Campus Internship
AMRTA TURNKEY PROFESSIONALS | ARCHITECTURAL TRAINEE | NAGPUR | May 2022 | Nov 2022 | 26 Weeks</t>
  </si>
  <si>
    <t>The LAP Initiative - PERSONA FEST 2026 
Sustainable Regional Principles, Planning and Transportation
AI &amp; Disaster Management
AVNI Training &amp; Field Data Collection – Shelter Associates</t>
  </si>
  <si>
    <t>P25704017</t>
  </si>
  <si>
    <t>VENKATA VARUN</t>
  </si>
  <si>
    <t>MULUMUDI</t>
  </si>
  <si>
    <t>Vinayaka Venkata Varun Mulumudi</t>
  </si>
  <si>
    <t>venkatavarun131@gmail.com</t>
  </si>
  <si>
    <t>p25704017@student.nicmar.ac.in</t>
  </si>
  <si>
    <t>Telugu,Hindi,English,</t>
  </si>
  <si>
    <t>5719 4647 4575</t>
  </si>
  <si>
    <t>MULUMUDI NAGARAJU</t>
  </si>
  <si>
    <t>MULUMUDI LALITHAMMA</t>
  </si>
  <si>
    <t>HOUSW WIFE</t>
  </si>
  <si>
    <t>1/44 KOTHUR, NELLORE RURAL A.K NAGAR POST SPSR NELLORE DISTRICT ANDHRA PRADESH 524004</t>
  </si>
  <si>
    <t>KENDRIYA VIDYALAYA NELLORE</t>
  </si>
  <si>
    <t>SRI CHANDRASEKHARENDRA SARASWATHI VISWA MAHAVIDYALAYA (SCSVMV)</t>
  </si>
  <si>
    <t>SRI CHANDRASEKHARENDRA SARASWATHI VISWA MAHAVIDYALAYA (SCSVMV) KANCHIPURAM/TAMIL NADU</t>
  </si>
  <si>
    <t>AutoCAD,3d printing,arcgis,revit</t>
  </si>
  <si>
    <t>NATIONAL INSTITUTE OF URBAN AFFAIRS | PLANNING INTERN | PUNE | May 2026 | Jul 2026 | 8 Weeks | Campus Internship
OFFICE OF EXECUTIVE ENGINEER SSLC&amp; SB | GOVERNMENT | NELLORE | Jun 2024 | Jul 2024 | 4 Weeks</t>
  </si>
  <si>
    <t>workshop on ISRO Earth observation data hub- Bhoonidhi
Remote sensing and gis for rural development
3d printing certification course</t>
  </si>
  <si>
    <t>P25704018</t>
  </si>
  <si>
    <t>NIRANJANA</t>
  </si>
  <si>
    <t>SETHUKUMAR</t>
  </si>
  <si>
    <t>Niranjana Sethukumar Nair</t>
  </si>
  <si>
    <t>niranjanasangeeta@gmail.com</t>
  </si>
  <si>
    <t>p25704018@student.nicmar.ac.in</t>
  </si>
  <si>
    <t>6619 2406 0860</t>
  </si>
  <si>
    <t>STATE GOVERNMENTÂ EMPLOYEE</t>
  </si>
  <si>
    <t>HNo. 37, Neelima, Sivamangalam Lane, Pattom, ThiruvananthapuramÂ -Â 695004.</t>
  </si>
  <si>
    <t>CHRIST NAGAR HIGHER SECONDARYÂ SCHOOL</t>
  </si>
  <si>
    <t>ICSE/ ISC KERALA</t>
  </si>
  <si>
    <t>GOVERNMENT ENGINEERING COLLEGE BARTON HILL</t>
  </si>
  <si>
    <t>ArcGIS Pro, MS Office, AutoCAD</t>
  </si>
  <si>
    <t>Regional Town and Country Planning Office, Kozhikode | Summer Intern | Kozhikode, Kerala | May 2026 | Jul 2026 | 9 Weeks | Campus Internship
JCJR PARTNERSHIP | CIVIL ENGINEERING INTERN | THIRUVANANTHAPURAM | May 2025 | Jun 2025 | 6 Weeks
SI PROPERTY (KERALA) PRIVATE LIMITED | INTERN | THIRUVANANTHAPURAM | Jun 2024 | Aug 2024 | 7 Weeks
KERALA WATER AUTHOURITY (KWA) | INTERN | THIRUVANANTHAPURAM | May 2023 | May 2023 | 0 Weeks</t>
  </si>
  <si>
    <t>P25704019</t>
  </si>
  <si>
    <t>DERE</t>
  </si>
  <si>
    <t>Parth Vijay Dere</t>
  </si>
  <si>
    <t>parthvdere@gmail.com</t>
  </si>
  <si>
    <t>p25704019@student.nicmar.ac.in</t>
  </si>
  <si>
    <t>8949 6450 7380</t>
  </si>
  <si>
    <t>DEEPA</t>
  </si>
  <si>
    <t>Atkare Cr., LMD Chowk, Bavdhan Kh., Pune</t>
  </si>
  <si>
    <t>BHARTIYA VIDYA BHAVAN PARANJAPE VIDYA MANDIR, PUNE</t>
  </si>
  <si>
    <t>MAHARASHTRA BOARD OF SECONDARY AND HIGHER SECONDARY EDUCATION, PUNE</t>
  </si>
  <si>
    <t>MAEER'S MIT JR. COLLEGE, PUNE</t>
  </si>
  <si>
    <t>STES SINHGAD COLLEGE OF ARCHITECTURE, PUNE, MAHARASHTRA</t>
  </si>
  <si>
    <t>AutoCAD,MS Office,MS Project,Sketchup,Lumion,Enscape,Arcgis</t>
  </si>
  <si>
    <t>Town planning and valuation department  | Intern | Pune | May 2026 | Jun 2026 | 7 Weeks | Campus Internship
MG ARCHITECTS | INTERN | ERANDWANE, PUNE | Jul 2024 | Dec 2024 | 24 Weeks</t>
  </si>
  <si>
    <t>P25704020</t>
  </si>
  <si>
    <t>Shreyas Vijaykumar Gaikwad</t>
  </si>
  <si>
    <t>gshreyas3351@gmail.com</t>
  </si>
  <si>
    <t>p25704020@student.nicmar.ac.in</t>
  </si>
  <si>
    <t>02-Dec-2002</t>
  </si>
  <si>
    <t>5217 3060 6622</t>
  </si>
  <si>
    <t>VIJAYKUMAR GAURIHAR GAIKWAD</t>
  </si>
  <si>
    <t>PADMA VIJAYKUMAR GAIKWAD</t>
  </si>
  <si>
    <t>177, Suyrawanshi Lane Guruwar Peth Tasgaon, Dist. Sangli 416312</t>
  </si>
  <si>
    <t>SWAMI RAMANAND BHARTI VIDYAMANDIR AND JUNIOR COLLEGE TASGAON</t>
  </si>
  <si>
    <t>AutoCAD,MS Office,ArcGIS,Google earth engine, ArcGIS Urban</t>
  </si>
  <si>
    <t>Kushaagra innovations foundation | Intern | Pune, Maharashtra | May 2026 | Jul 2026 | 8 Weeks | Campus Internship</t>
  </si>
  <si>
    <t>Civil Engineering Job Simulation â€“ John Holland (Forage)
NPTL Online Certification - Introduction to Urban Planning</t>
  </si>
  <si>
    <t>P25704021</t>
  </si>
  <si>
    <t>BAPARDEKAR</t>
  </si>
  <si>
    <t>Chirag Prakash Bapardekar</t>
  </si>
  <si>
    <t>chiragbapardekar@gmail.com</t>
  </si>
  <si>
    <t>p25704021@student.nicmar.ac.in</t>
  </si>
  <si>
    <t>6583 5683 4190</t>
  </si>
  <si>
    <t>PRAKASH KESHAV BAPARDEKAR</t>
  </si>
  <si>
    <t>JYOTI PRAKASH BAPARDEKAR</t>
  </si>
  <si>
    <t>Shivsankalp Hsg. Soc. RH-134, Flat No.: 05, G Block , Near D.Y. Patil School, Shahunagar Chinchwad, Pune-411019.</t>
  </si>
  <si>
    <t>VIDYA NIKETAN ENG. MED. SCHOOL, PIMPRI, PUNE-411018</t>
  </si>
  <si>
    <t>ABHISHEK VIDYALAYAM'S SCIENCE JUNIOR COLLEGE, PUNE-411019</t>
  </si>
  <si>
    <t>SAVITRIBAI PHULE PUNE UNIVERSITY, GANESHKHIND, PUNE-411007</t>
  </si>
  <si>
    <t>MARATHWADA MITRA MANDAL'S COLLEGE OF ARCHITECTURE, PUNE-411004</t>
  </si>
  <si>
    <t>AutoCAD, ArcGIS Pro, Sketchup, Revit, Arhicad, Lumion, Photoshop, MS Office</t>
  </si>
  <si>
    <t>Pune Municipal Corporation (Transportation Department) | Intern | Pune | May 2026 | Jul 2026 | 9 Weeks | Campus Internship
L.J. Purani &amp; Associates | Architectural design, structural engineering, project management, interior design, urban planning | Navrangapura, Ahmedabad - 380009, Gujarat. | Jun 2024 | Oct 2024 | 17 Weeks</t>
  </si>
  <si>
    <t>Certificate in Vastu Shastra
Autodesk Revit &amp; Lumion</t>
  </si>
  <si>
    <t>P25704022</t>
  </si>
  <si>
    <t>SUBHAM</t>
  </si>
  <si>
    <t>NATH</t>
  </si>
  <si>
    <t>Subham Nath</t>
  </si>
  <si>
    <t>subhamnath890@gmail.com</t>
  </si>
  <si>
    <t>p25704022@student.nicmar.ac.in</t>
  </si>
  <si>
    <t>20-Jun-1997</t>
  </si>
  <si>
    <t>3198 0463 4116</t>
  </si>
  <si>
    <t>NARAYAN NATH</t>
  </si>
  <si>
    <t>MANJU LATA NATH</t>
  </si>
  <si>
    <t>QR NO: RD D2, HATISALPADA</t>
  </si>
  <si>
    <t>Balangir</t>
  </si>
  <si>
    <t>House No: 90, Gobardhanpur</t>
  </si>
  <si>
    <t>Balasore</t>
  </si>
  <si>
    <t>SARASWATI VIDYA MANDIR, SECTOR-6</t>
  </si>
  <si>
    <t>CHAITANYA COLLEGE OF EDUCATION</t>
  </si>
  <si>
    <t>COUNSIL OF HIGHER SECONDARY EDUCATION, ODISHA</t>
  </si>
  <si>
    <t>BIJU PATTANAYAK UNIVERSITY</t>
  </si>
  <si>
    <t>ORISSA ENGINEERING COLLEGE, BHUBANESWAR</t>
  </si>
  <si>
    <t>Gayatri Projects Limited | Junior Engineer Executive | Sambalpur, Odisha | Oct 2018 | Jun 2019 | 0 Years, 8 Months, 9 Days | 2.4
B.K CONSTRUCTION CO. | SITE ENGINEER | Balangir, Odisha | Jul 2019 | Feb 2025 | 5 Years, 7 Months, 3 Days | 4.8</t>
  </si>
  <si>
    <t>75 month(s)</t>
  </si>
  <si>
    <t>Pune Municipal Corporation | Intern | pune | May 2026 | Jul 2026 | 9 Weeks | Campus Internship</t>
  </si>
  <si>
    <t>Introduction to Urban Planning
Siddhanta Mooc Test</t>
  </si>
  <si>
    <t>P25704023</t>
  </si>
  <si>
    <t>SONAL</t>
  </si>
  <si>
    <t>SARSANDE</t>
  </si>
  <si>
    <t>Sonal Ajay Sarsande</t>
  </si>
  <si>
    <t>sonalsarsande1184@gmail.com</t>
  </si>
  <si>
    <t>p25704023@student.nicmar.ac.in</t>
  </si>
  <si>
    <t>8525 1428 3768</t>
  </si>
  <si>
    <t>AJAY MAGAN SARSANDE</t>
  </si>
  <si>
    <t>PHOTOGRAPHER</t>
  </si>
  <si>
    <t>MANDA AJAY SARSANDE</t>
  </si>
  <si>
    <t>FLAT NO. 201, PAN CARD CLUB RD, BANER HILLS, BANER, PUNE, MAHARASHTRA</t>
  </si>
  <si>
    <t>Garkheda Parisar Road_x000D_
Plot No 5</t>
  </si>
  <si>
    <t>ST FRANCES DE SALES HIGH SCHOOL</t>
  </si>
  <si>
    <t>JIJAMATA ARTS &amp; SCIENCE JR.COLLEGE</t>
  </si>
  <si>
    <t>AURANGABAD</t>
  </si>
  <si>
    <t>D. BATU UNIVERSITY</t>
  </si>
  <si>
    <t>JAWAHARLAL NEHRU ENGINEERING COLLEGE</t>
  </si>
  <si>
    <t>AutoCAD,MS Office,MS Project,Sketch Up,Lumion,ArcGIS,Photoshop,Rivet,3DS Max,Vray</t>
  </si>
  <si>
    <t>Reflex Architects | Jr. Architect | Baner, Pune | Jan 2025 | Jul 2025 | 0 Years, 6 Months, 3 Days | 1.5</t>
  </si>
  <si>
    <t>DP Design Associates | Urban Planner and Architect | Shreyanagar, Aurangabad | May 2026 | Jul 2026 | 8 Weeks | Campus Internship
Tanishqa architects and planning | Architect | Baner, Pune | Jan 2023 | May 2023 | 19 Weeks</t>
  </si>
  <si>
    <t>3DS Max
Holi Polloi Workshop</t>
  </si>
  <si>
    <t>P25704024</t>
  </si>
  <si>
    <t>Riya Mukesh Jain</t>
  </si>
  <si>
    <t>riiyajain000@gmail.com</t>
  </si>
  <si>
    <t>p25704024@student.nicmar.ac.in</t>
  </si>
  <si>
    <t>HINDI,Marathi,English</t>
  </si>
  <si>
    <t>Music, dancing</t>
  </si>
  <si>
    <t>6558 2567 0073</t>
  </si>
  <si>
    <t>H.n. 833, Mahsurkar Marg, Behind Anup Steel And Beside Kumar Transport, Queta Colony, Nagpur - 440008</t>
  </si>
  <si>
    <t>CENTRAL INDIA PUBLIC SCHOOL, NAGPUR</t>
  </si>
  <si>
    <t>LATE. NIRDHAN PATIL WAGHAYE ART'S &amp; SCIENCE JR. COLLEGE, LAKHNI</t>
  </si>
  <si>
    <t>INSTITUTE OF DESIGN EDUCTAION AND ARCHITECTURAL STUDIES, NAGPUR, MAHARASHTRA</t>
  </si>
  <si>
    <t>AutoCAD,sketchup,power point,photoshop,enscape,ArcGIS,Lumion,Excel,Canva,D5,Revit,AutoCAD,Procreate</t>
  </si>
  <si>
    <t>Nagpur Metropolitan Region Development Authority | Urban Planning Intern | Nagpur | May 2026 | Jun 2026 | 8 Weeks | Campus Internship
Akruti Concept Studio | Architectural Intern | Pune | Jan 2024 | May 2024 | 19 Weeks</t>
  </si>
  <si>
    <t>AI &amp; Disaster Management
Introduction to Urban Planning
IKS Siddhanta: Indian Town Planning &amp; Architecture</t>
  </si>
  <si>
    <t>P25704025</t>
  </si>
  <si>
    <t>MEHARE</t>
  </si>
  <si>
    <t>Shivani Deepak Mehare</t>
  </si>
  <si>
    <t>shivanimehare102@gmail.com</t>
  </si>
  <si>
    <t>p25704025@student.nicmar.ac.in</t>
  </si>
  <si>
    <t>24-Jan-2002</t>
  </si>
  <si>
    <t>5295 6022 0180</t>
  </si>
  <si>
    <t>DEEPAK MEHARE</t>
  </si>
  <si>
    <t>USHA DEEPAK MEHARE</t>
  </si>
  <si>
    <t>RAVI NAGAR, RING ROAD, KAULKHED, AKOLA.</t>
  </si>
  <si>
    <t>THE NOEL ENGLISH SCHOOL, AKOLA</t>
  </si>
  <si>
    <t>AMRAVATI DIVISIONAL BOARD</t>
  </si>
  <si>
    <t>SUDHARKARRAO NAIK ARTS, SCIENCE &amp; UMASHANKAR KHETAN COMMERCE JR. COLLEGE AKOLA</t>
  </si>
  <si>
    <t>AutoCAD, MS Office, Sketchup, Photoshop, Revit</t>
  </si>
  <si>
    <t>DESIGNSHALA COLLBORATIVE | URBAN PLANNING INTERN | Pune | May 2026 | Jul 2026 | 8 Weeks | Campus Internship
ANDSPACES CONSULTANTS PVT. LTD. | ARCHITECTURAL INTERN | PUNE | Jun 2024 | Nov 2024 | 24 Weeks</t>
  </si>
  <si>
    <t>P25704026</t>
  </si>
  <si>
    <t>VASUDHA</t>
  </si>
  <si>
    <t>Vasudha Gajanan Thakur</t>
  </si>
  <si>
    <t>vasudhathakur03@gmail.com</t>
  </si>
  <si>
    <t>p25704026@student.nicmar.ac.in</t>
  </si>
  <si>
    <t>6744 6536 7254</t>
  </si>
  <si>
    <t>GAJANAN JANARDAN THAKUR</t>
  </si>
  <si>
    <t>SUNITA GAJANAN THAKUR</t>
  </si>
  <si>
    <t>H.No.936, Kegaon - Aweda, PO.- Uran, Dist.-Raigad, Maharashtra, 400702</t>
  </si>
  <si>
    <t>URAN EDUCATION SOCIETY'S ENGLISH MEDIUM SCHOOL</t>
  </si>
  <si>
    <t>URAN EDUCATION SOCIETY'S ENGLISH MEDIUM SCHOOL AND JR. COLLEGE</t>
  </si>
  <si>
    <t>BHARATI VIDYAPEETH COLLEGE OF ARCHITECTURE, NAVI MUMBAI</t>
  </si>
  <si>
    <t>AutoCAD,MS Office,GIS,SketchUp,VRay,Photoshop,Enscape,Lumion</t>
  </si>
  <si>
    <t>CIDCO | Intern | Navi Mumbai | May 2026 | Jul 2026 | 8 Weeks | Campus Internship
ASC ARCHITECTS AND INTERIOR DESIGNERS | INTERN | NAVI MUMBAI | Nov 2022 | Mar 2023 | 18 Weeks</t>
  </si>
  <si>
    <t>P25704027</t>
  </si>
  <si>
    <t>KUMAWAT</t>
  </si>
  <si>
    <t>Pranjal Vishnu Kumawat</t>
  </si>
  <si>
    <t>pranjalvkumawat2003@gmail.com</t>
  </si>
  <si>
    <t>p25704027@student.nicmar.ac.in</t>
  </si>
  <si>
    <t>9404 1240 3958</t>
  </si>
  <si>
    <t>VISHNU SHANTARAM KUMAWAT</t>
  </si>
  <si>
    <t>NIRMALA VISHNU KUMAWAT</t>
  </si>
  <si>
    <t>Plot No 47 , Agarkar Mala , Arban Bank Colony , Station Road , Ahmednagar , Maharashtra</t>
  </si>
  <si>
    <t>BHAUSAHEB FIRODIYA HIGH SCHOOL AHMEDNAGAR</t>
  </si>
  <si>
    <t>BHAUSAHEB FIRODIYA JUNIOR COLLEGE , AHMEDNAGAR</t>
  </si>
  <si>
    <t>SAVITRIBAI PHULE UNIVERSITY , PUNE</t>
  </si>
  <si>
    <t>DR. BHANUBEN NANAVATI COLLEGE OF ARCHITECTURE FOR WOMEN , PUNE</t>
  </si>
  <si>
    <t>PTV Visum,PTV Vissim,ArcGIS Pro,AutoCAD,MS Office,Revit,Sketchup,Photoshop</t>
  </si>
  <si>
    <t>Pune Municipal Corporation | Intern | Pune | May 2026 | Jul 2026 | 9 Weeks | Campus Internship
AR AND ASSOCIATES | ARCHITECTURAL INTERN | PANJIM,GOA | Jun 2024 | Nov 2024 | 24 Weeks</t>
  </si>
  <si>
    <t>P25704028</t>
  </si>
  <si>
    <t>DIVESH</t>
  </si>
  <si>
    <t>BHONDAVE</t>
  </si>
  <si>
    <t>Divesh Prakash Bhondave</t>
  </si>
  <si>
    <t>diveshbhondave06@gmail.com</t>
  </si>
  <si>
    <t>p25704028@student.nicmar.ac.in</t>
  </si>
  <si>
    <t>9023 7029 9223</t>
  </si>
  <si>
    <t>PRADNYA BHONDAVE</t>
  </si>
  <si>
    <t>At Post- Abitghar,Tal-Wada,Dist-Palghar</t>
  </si>
  <si>
    <t>A. L. C. JUNIOR COLLEGE</t>
  </si>
  <si>
    <t>SECONDARY AND HIGHER SECONDARY EDUCATION,PUNE,MAHARASHTRA</t>
  </si>
  <si>
    <t>DATTA MEGHE COLLEGE OF ENGINEERING, MUMBAI, MAHARASHTRA</t>
  </si>
  <si>
    <t xml:space="preserve">AutoCAD,MS Office, Arc GIS pro </t>
  </si>
  <si>
    <t>Maharashtra State Road Development Corporation Limited (SPA) | INTERN | Belapur, Navi Mumbai  | May 2026 | Jul 2026 | 8 Weeks | Campus Internship
Richa Building Material Supplier &amp; Developer | Intern | WADA | Jun 2024 | Jul 2024 | 4 Weeks</t>
  </si>
  <si>
    <t>National Programme on Technology Enhanced Learning
Indian Town Planning and Architecture</t>
  </si>
  <si>
    <t>P25704029</t>
  </si>
  <si>
    <t>Sahil Vilas Ingale</t>
  </si>
  <si>
    <t>ingalesahi007@gmail.com</t>
  </si>
  <si>
    <t>p25704029@student.nicmar.ac.in</t>
  </si>
  <si>
    <t>6147 4616 9132</t>
  </si>
  <si>
    <t>FLAT NO 404,G-BUILDING,WHISPERING WINDS PHASE 2,BANER PASHAN LINK ROAD,PASHAN 411021</t>
  </si>
  <si>
    <t>A/P RAJURI, KRUSHNKUNJ HOUSE NEAR RAJLAKSHMI BAZAR,KURAVALIPATI CHOWK RAJURI ,PUNE-PANDHARPUR ROAD,TAL-PHALTAN DIS-SATARA</t>
  </si>
  <si>
    <t>SHANTINIKETAN SEC. AND HIGH SEC. VIDYMANDIR SANGLI</t>
  </si>
  <si>
    <t>DR.CHANDRABHANU SONAVANE JUNIOR COLLEGE,UKKADGOAN,SOLAPUR</t>
  </si>
  <si>
    <t>SINHGAD COLLEGE OF ARCHITECTURE,VADGOAN</t>
  </si>
  <si>
    <t>AutoCAD,MS Office,MS Project,REVIT,SKETCHUP,LUMION,ENSCAPE,ArcGIS,CANVA</t>
  </si>
  <si>
    <t>BHANSALI &amp; ASSOCIATES | JUNIOR ARCHITECT | PUNE | Aug 2024 | Aug 2025 | 1 Years, 0 Months, 0 Days | 2.16</t>
  </si>
  <si>
    <t>All India Institute of Local Self-Government  | INTERN  | Pune | May 2026 | Jul 2026 | 9 Weeks | Campus Internship
UNITECTURE DESIGN SOLUTIONS | INTERN ARCHITECT | Pune | Jun 2023 | Nov 2023 | 24 Weeks</t>
  </si>
  <si>
    <t>AI and Disaster Management
Foundations of Project Management
The LAP Initiative</t>
  </si>
  <si>
    <t>P25704030</t>
  </si>
  <si>
    <t>NUPUR</t>
  </si>
  <si>
    <t>DETHE</t>
  </si>
  <si>
    <t>Nupur Rahul Dethe</t>
  </si>
  <si>
    <t>nupurdethe@gmail.com</t>
  </si>
  <si>
    <t>p25704030@student.nicmar.ac.in</t>
  </si>
  <si>
    <t>7447 7000 2048</t>
  </si>
  <si>
    <t>RAHUL ATMARAM DETHE</t>
  </si>
  <si>
    <t>EMPLOYEEAT WESTERN COAL MINES</t>
  </si>
  <si>
    <t>VAISHALI RAHUL DETHE</t>
  </si>
  <si>
    <t>Choriya Layout Behind Kalpana Marbles_x000D_
Rahul Dethe House</t>
  </si>
  <si>
    <t>MACAROON STUDENTS ACADEMY WADAGAON YAVATMAL</t>
  </si>
  <si>
    <t>SINHGAD COLLEGE OF ARCHITECTURE VADGAON PUNE</t>
  </si>
  <si>
    <t>National Institute of Urban Affairs  | Urban Planning Intern | Delhi | May 2026 | Jul 2026 | 8 Weeks | Campus Internship
Group Consultants | Intern Architect | Pune | Jul 2024 | Oct 2024 | 17 Weeks</t>
  </si>
  <si>
    <t>P25704032</t>
  </si>
  <si>
    <t>Apurv Rajesh Thakur</t>
  </si>
  <si>
    <t>apurv1603@gmail.com</t>
  </si>
  <si>
    <t>p25704032@student.nicmar.ac.in</t>
  </si>
  <si>
    <t>6599 0336 1008</t>
  </si>
  <si>
    <t>HOUSE NO.358, NEAR GANRAJ APPT, MAHATAVLI,NAGAON RD URAN, NEAR ONGC MAIN GATE, URAN, NAVI MUMBAI, 400702</t>
  </si>
  <si>
    <t>Near Vitthal Mandir, Bhendkhal At Post JNPT Uran Navi Mumbai</t>
  </si>
  <si>
    <t>URAN EDUCATION SOCIETY ENGLISH MEDIUM SCHOOL,URAN</t>
  </si>
  <si>
    <t>MAHARASHTRA STATE BOARD OF SECONDARY AND HIGHER SECONDARY EDUCATION MAHARASHTRA</t>
  </si>
  <si>
    <t>URAN EDUCATION SOCIETY ENGLISH MEDIUM SCHOOL &amp; JR. COLLEGE URAN</t>
  </si>
  <si>
    <t>ANJUMAN-I-ISLAM KALSEKAR TECHNICAL CAMPUS PANVEL, MAHARASHTRA</t>
  </si>
  <si>
    <t>AutoCAD,MS Office,GIS,Sktech up,Enscape,Photoshop</t>
  </si>
  <si>
    <t>Maharashtra State Road Development Corporation Limited  (MSRDC) | INTERN | Belapur,Navi Mumbai | May 2026 | Jul 2026 | 8 Weeks | Campus Internship
CITY AND INDUSTRIAL DEVELOPMENT CORPORATION (CIDCO) | ARCHITECTURAL INTERN | BELAPUR- NAVI MUMBAI | Dec 2022 | Apr 2023 | 18 Weeks</t>
  </si>
  <si>
    <t>STRATEGIC MANAGEMENT OF PORT, SHIPPING, AND LOGISTICS ECOSYSTEMS
National Programme of Technology Enhanced Learning
Indian Town Planning and Architecture</t>
  </si>
  <si>
    <t>P25704033</t>
  </si>
  <si>
    <t>WANKHADE</t>
  </si>
  <si>
    <t>Disha Atul Wankhade</t>
  </si>
  <si>
    <t>dishaawankhade3@gmail.com</t>
  </si>
  <si>
    <t>p25704033@student.nicmar.ac.in</t>
  </si>
  <si>
    <t>4347 1724 0559</t>
  </si>
  <si>
    <t>Niwara Construction, Vardhaman Nagar, Drawha- 445202, Dist.- Yavatmal</t>
  </si>
  <si>
    <t>JIJAMATA GIRLS HIGHSCHOOL, DARWHA- 445202, DIST.- YAVATMAL</t>
  </si>
  <si>
    <t>AMRAVATI BOARD, MAHARASHTRA</t>
  </si>
  <si>
    <t>SHRI. SHIVAJI JUNIOR COLLEGE, DARWHA- 445202, DIST.- YAVATMAL</t>
  </si>
  <si>
    <t>SINHGAD COLLEGE OF ARCHITECTURE, PUNE</t>
  </si>
  <si>
    <t>AutoCAD, MS Office, ArcGIS, Photoshop, Indesign</t>
  </si>
  <si>
    <t>Designshala Collaborative | Urban Planning Intern | Pune | May 2026 | Jun 2026 | 7 Weeks | Campus Internship
Ignitus Architectural Studio | Architectural Intern | Ahmedabad | Jul 2024 | Nov 2024 | 21 Weeks</t>
  </si>
  <si>
    <t>P25704034</t>
  </si>
  <si>
    <t>AAYUSHI</t>
  </si>
  <si>
    <t>ANANTA</t>
  </si>
  <si>
    <t>NANDANWAR</t>
  </si>
  <si>
    <t>Aayushi Ananta Nandanwar</t>
  </si>
  <si>
    <t>aayu262001@gmail.com</t>
  </si>
  <si>
    <t>p25704034@student.nicmar.ac.in</t>
  </si>
  <si>
    <t>26-Oct-2001</t>
  </si>
  <si>
    <t>4898 2527 3992</t>
  </si>
  <si>
    <t>ANANTA NANDANWAR</t>
  </si>
  <si>
    <t>RETIRED CLERK</t>
  </si>
  <si>
    <t>ANITA NANDANWAR</t>
  </si>
  <si>
    <t>Plot No.01, Mahavir Colony, Tirora Road, Kudwa, Gondia-441614</t>
  </si>
  <si>
    <t>GUJARATI NATIONAL HIGH SCHOOL, GONDIA</t>
  </si>
  <si>
    <t>S.M. PATEL JUNIOR COLLEGE, GONDIA</t>
  </si>
  <si>
    <t>DR. D.Y. PATIL COLLEGE OF ARCHITECTURE, AKURDI, PUNE</t>
  </si>
  <si>
    <t>AutoCAD,MS Office,MS Project,SketchUp,Lumion,Procreate,Photoshop,Enscape,Revit,ArcGIS</t>
  </si>
  <si>
    <t>TOWN PLANNING AND VALUATION DEPARTMENT, PUNE | Urban Planning Intern | Pune | May 2026 | Jun 2026 | 8 Weeks | Campus Internship
ORIGIN ASSOCIATES | Architecture Firm | BALEWADI, PUNE | Jun 2024 | Nov 2024 | 21 Weeks</t>
  </si>
  <si>
    <t>Software Courses
UX/UI Design Course</t>
  </si>
  <si>
    <t>P25704035</t>
  </si>
  <si>
    <t>BURUNGALE</t>
  </si>
  <si>
    <t>Rushikesh Vinod Burungale</t>
  </si>
  <si>
    <t>rushikeshburungale9913@gmail.com</t>
  </si>
  <si>
    <t>p25704035@student.nicmar.ac.in</t>
  </si>
  <si>
    <t>2028 6131 7665</t>
  </si>
  <si>
    <t>VINOD BURUNGALE</t>
  </si>
  <si>
    <t>RATNAPRABHA BURUNGALE</t>
  </si>
  <si>
    <t>Shivnagar, Malegaon Bk, Baramati, Pune</t>
  </si>
  <si>
    <t>SHARDABAI PAWAR VIDYALAYA, SHIV NAGAR, MALEGAON BK, BARAMATI, PUNE</t>
  </si>
  <si>
    <t>MAHARASHTRA STATE BOARD FOR SECONDARY AND HIGHER SECONDARY EDUCATION, PUNE</t>
  </si>
  <si>
    <t>VIDYA PRATISHTHAN'S ART, SCIENCE, COMMERCE COLLEGE, BARAMATI</t>
  </si>
  <si>
    <t>AutoCAD,MS Office,MS Project,Sketchup,Lumion,Photoshop,Revit,VRay,Enscape,ArcGIS</t>
  </si>
  <si>
    <t>Mahesh Jarad Associates | Junior Draftsman | Baramati | Jul 2018 | Jun 2019 | 0 Years, 11 Months, 29 Days | 1.2
Awishkar Architects | Assistant Architect | Baramati | Jun 2024 | Jun 2025 | 1 Years, 0 Months, 29 Days | 3</t>
  </si>
  <si>
    <t>TOWN PLANNING AND VALUATION DEPARTMENT, PUNE | Urban Planning Intern | Pune | May 2026 | Jun 2026 | 8 Weeks | Campus Internship
AJ Architects and Interior Designers Private Limited | Architectural Firm | Erandawane, Pune | Jun 2023 | Oct 2023 | 19 Weeks</t>
  </si>
  <si>
    <t>NPTEL- Introduction to Urban Planning
Software Courses
Computer-aided Design Course</t>
  </si>
  <si>
    <t>P25704036</t>
  </si>
  <si>
    <t>MAHENDRAKUMAR</t>
  </si>
  <si>
    <t>AYYER</t>
  </si>
  <si>
    <t>Divya Mahendrakumar Ayyer</t>
  </si>
  <si>
    <t>ayyerdivi15@gmail.com</t>
  </si>
  <si>
    <t>p25704036@student.nicmar.ac.in</t>
  </si>
  <si>
    <t>28-May-2002</t>
  </si>
  <si>
    <t>2093 5777 8103</t>
  </si>
  <si>
    <t>MAHENDRA KUMAR AYYER</t>
  </si>
  <si>
    <t>JYOTI M. AYYER</t>
  </si>
  <si>
    <t>C/o Grishma Yadav, Hingna Road ,opp. Balode Layout, Akola</t>
  </si>
  <si>
    <t>CENTRAL BOARD OF SECONDARY EDUCATION , AKOLA, MAHARASTRA</t>
  </si>
  <si>
    <t>MOUNT CARMEL HIGHER SECONDARY SCHOOL</t>
  </si>
  <si>
    <t>BHANUBEN NANAVATI COLLEGE COLLEGE OF ARCHITECTURE</t>
  </si>
  <si>
    <t>AutoCAD,MS Office,Sketchup,photoshop,revit</t>
  </si>
  <si>
    <t>Designshala Collaborative | Urban Planning Intern  | Pune | May 2026 | Jul 2026 | 8 Weeks | Campus Internship
N H ARCHITECTS | ARCHITECTURAL INTERN | AHMEDABAD | Jun 2024 | Dec 2024 | 28 Weeks</t>
  </si>
  <si>
    <t>P25704038</t>
  </si>
  <si>
    <t>Abhishek Arun Patil</t>
  </si>
  <si>
    <t>patilabhishekarun@gmail.com</t>
  </si>
  <si>
    <t>p25704038@student.nicmar.ac.in</t>
  </si>
  <si>
    <t>5228 7523 2164</t>
  </si>
  <si>
    <t>ARUN SHANKAR PATIL</t>
  </si>
  <si>
    <t>MEGHA ARUN PATIL</t>
  </si>
  <si>
    <t>Kegaon Bazarpur Uran 400702</t>
  </si>
  <si>
    <t>URAN EDUCATION SOCIETY ENGLISH MEDIUM SCHOOL</t>
  </si>
  <si>
    <t>URAN EDUCATION SOCIETY ENGLISH MEDIUM SCHOOL &amp; JUNIOR COLLEGE</t>
  </si>
  <si>
    <t>VISHWANIKETAN COLLEGE OF ARCHITECTURE</t>
  </si>
  <si>
    <t>AutoCAD,MS Office,SKETCHUP,REVIT,GIS,ENSCAPE,VRAY,LUMION</t>
  </si>
  <si>
    <t>CITY AND INDUSTRIAL DEVELOPMENT CORPORATION OF MAHARASHTRA LIMITED  | Intern | Belapur, Navi Mumbai | May 2026 | Jul 2026 | 8 Weeks | Campus Internship
CITY  AND INSUSTRIAL DEVELOPMENT CORPORATION (CIDCO) | ARCHITECTURAL INTERN  | BELAPUR  | Nov 2023 | Feb 2024 | 15 Weeks</t>
  </si>
  <si>
    <t>P25704003</t>
  </si>
  <si>
    <t>P25704003@student.nicmar.ac.in</t>
  </si>
  <si>
    <t>P26704002</t>
  </si>
  <si>
    <t>Rutwik</t>
  </si>
  <si>
    <t>Rutwik Rajendra Patil</t>
  </si>
  <si>
    <t>P26704002@student.nicmar.ac.in</t>
  </si>
  <si>
    <t>Marathi,Hindi,English,Turkish</t>
  </si>
  <si>
    <t>yoga,meditation,devotional scriptures reading,listening music,tennis,team sports tactical analysis,crowd management volunteering,team sports,learning a foriegn language</t>
  </si>
  <si>
    <t>Rajshree</t>
  </si>
  <si>
    <t>101,Vatsala Sadan Society,Vishal nagar,Opposite railway colony,Vasai west</t>
  </si>
  <si>
    <t>Nirmal Hriday PG,Lane number 7,Ram nagar,Baner,Pune,Maharashtra</t>
  </si>
  <si>
    <t>St.Peter's High School,Virar east,Vasai taluka,Palghar district,Maharashtra</t>
  </si>
  <si>
    <t>Maharashtra State Board of Secondary &amp; Higher Secondary</t>
  </si>
  <si>
    <t>Thomas Baptista Junior College</t>
  </si>
  <si>
    <t>VIVA School of Architecture,Shirgaon,Virar East,Vasai taluka,Palghar district,Maharashtra</t>
  </si>
  <si>
    <t>AutoCAD,Google sketchup,MS Office,Photoshop,Lumion 3D,D5,ArchGIS,Revit</t>
  </si>
  <si>
    <t>Chirag Mistry &amp; Associates | Architect Intern | Vasai west,Vasai taluka,Palghar district,Maharashtra  | Dec 2023 | Mar 2024 | 15 Weeks | Campus Internship</t>
  </si>
  <si>
    <t>Disaster Management Course Certificate</t>
  </si>
  <si>
    <t>P26704003</t>
  </si>
  <si>
    <t xml:space="preserve">Araju </t>
  </si>
  <si>
    <t>Rajmahamad</t>
  </si>
  <si>
    <t>Araju  Rajmahamad Shaikh</t>
  </si>
  <si>
    <t>arajurs0812@gmail.com</t>
  </si>
  <si>
    <t>P26704003@student.nicmar.ac.in</t>
  </si>
  <si>
    <t xml:space="preserve">Hindi, English ,Marathi </t>
  </si>
  <si>
    <t>Reading, Badmintion</t>
  </si>
  <si>
    <t>5781 7597 0557</t>
  </si>
  <si>
    <t>Rajmahamad Shaikh</t>
  </si>
  <si>
    <t>Nargis Shaikh</t>
  </si>
  <si>
    <t>Nirali Niwas, Shivaji nagar, Sinnar, Nashik</t>
  </si>
  <si>
    <t>Navjeevan Day School, Sinnar</t>
  </si>
  <si>
    <t>SSC, SPPU, Maharashtra</t>
  </si>
  <si>
    <t>RYK College of Science, Nashik</t>
  </si>
  <si>
    <t>HSC, SPPU, Maharashtra</t>
  </si>
  <si>
    <t>Maratha Vidya Prasarak Samaj's Sharadchandraji Pawar College of Architecture, Nashik</t>
  </si>
  <si>
    <t>SPPU, Maharashtra</t>
  </si>
  <si>
    <t>AutoCAD,MS Office,GIS,REVit,Photoshop,Enscape,Lumion,Sketchup</t>
  </si>
  <si>
    <t>Senscape Architects Pvt. Ltd. | Project Architect | Banglore | May 2025 | Jun 2026 | 1 Years, 1 Months, 14 Days | 2.75</t>
  </si>
  <si>
    <t>Abha Narain Lambah Associates | Intern | Mumbai | Jun 2023 | Nov 2023 | 22 Weeks
Madhoor BuildWell | Intern | Nashik | Apr 2022 | Jun 2022 | 11 Weeks
KD Architects, Nashik | Part-time Jr. Architect | Nashik | Jan 2024 | Mar 2024 | 9 Weeks</t>
  </si>
  <si>
    <t>Revit
Bamboo Workshop</t>
  </si>
  <si>
    <t>P26704005</t>
  </si>
  <si>
    <t>Jay Sudhir Patil</t>
  </si>
  <si>
    <t>patiljay3110@gmail.com</t>
  </si>
  <si>
    <t>P26704005@student.nicmar.ac.in</t>
  </si>
  <si>
    <t>31-Oct-2003</t>
  </si>
  <si>
    <t>Marathi,English ,Hindi</t>
  </si>
  <si>
    <t>Playing sports</t>
  </si>
  <si>
    <t>Machine engineer</t>
  </si>
  <si>
    <t>Nilima</t>
  </si>
  <si>
    <t>Nivrutti chwok shivaji peth kolhapur
2406 A ward</t>
  </si>
  <si>
    <t>ST.Xaviers High School Kolhapur</t>
  </si>
  <si>
    <t xml:space="preserve">Maharashtra state board of secondary and higher secondary education pune </t>
  </si>
  <si>
    <t xml:space="preserve">Maharashtrs high school and junior college kolhapur </t>
  </si>
  <si>
    <t>Maharashtra state board of secondary and higher secondary education pune</t>
  </si>
  <si>
    <t xml:space="preserve">Shivaji university kolhapur </t>
  </si>
  <si>
    <t xml:space="preserve">SPSMBH'S  college of architecture kolhapur </t>
  </si>
  <si>
    <t>AutoCAD,Enscape</t>
  </si>
  <si>
    <t>Spacecraft_architect | Architectural intern | Kolhapur | Nov 2024 | May 2025 | 30 Weeks</t>
  </si>
  <si>
    <t>P26704006</t>
  </si>
  <si>
    <t>Sahare</t>
  </si>
  <si>
    <t>Aditi Milind Sahare</t>
  </si>
  <si>
    <t>P26704006@student.nicmar.ac.in</t>
  </si>
  <si>
    <t>03-Oct-2001</t>
  </si>
  <si>
    <t>hindi ,English,Marathi</t>
  </si>
  <si>
    <t>Cooking,Exploring places,Dancing</t>
  </si>
  <si>
    <t>Household</t>
  </si>
  <si>
    <t>Shaniwari Ward Near Hatwar School, Ramtek</t>
  </si>
  <si>
    <t>shriram Kanya Vidhyalaya Ramtek</t>
  </si>
  <si>
    <t>maharashtra</t>
  </si>
  <si>
    <t>shriram  Vidhyalaya Ramtek</t>
  </si>
  <si>
    <t>Anjuman College, Sadar Nagpur</t>
  </si>
  <si>
    <t>AutoCad,revit,Staadpro,ARCGIS</t>
  </si>
  <si>
    <t>Edvercity Cad Centre | CAD Trainer | Nagpur | Jun 2025 | Dec 2025 | 0 Years, 6 Months, 0 Days | 1.5</t>
  </si>
  <si>
    <t>P26704014</t>
  </si>
  <si>
    <t xml:space="preserve">Aditi </t>
  </si>
  <si>
    <t xml:space="preserve">Dnyaneshwar </t>
  </si>
  <si>
    <t>Sorate</t>
  </si>
  <si>
    <t>Aditi  Dnyaneshwar  Sorate</t>
  </si>
  <si>
    <t>sorateaditi1@gmail.com</t>
  </si>
  <si>
    <t>P26704014@student.nicmar.ac.in</t>
  </si>
  <si>
    <t xml:space="preserve">Reading,Running </t>
  </si>
  <si>
    <t>Rajashree</t>
  </si>
  <si>
    <t>Rautwasti,Khandaj,Baramati, Pune</t>
  </si>
  <si>
    <t>P26704015</t>
  </si>
  <si>
    <t>P26704015@student.nicmar.ac.in</t>
  </si>
  <si>
    <t>P26704016</t>
  </si>
  <si>
    <t>Juilee Jitendra Gunjal</t>
  </si>
  <si>
    <t>gunjaljuilee@gmail.com</t>
  </si>
  <si>
    <t>P26704016@student.nicmar.ac.in</t>
  </si>
  <si>
    <t>Exploring,painting, crafting ,listening music</t>
  </si>
  <si>
    <t>7094 4574 1210</t>
  </si>
  <si>
    <t>Jitendra Gunjal</t>
  </si>
  <si>
    <t>Anjali Gunjal</t>
  </si>
  <si>
    <t>Educationist</t>
  </si>
  <si>
    <t>JAIHIND TRADING COM. PVT.LTD, PUNE NASHIK HIGHWAY</t>
  </si>
  <si>
    <t>BADAMI HAUD, SHUKRAWAR PETH, PUNE</t>
  </si>
  <si>
    <t>KUKADI VALLEY PUBLIC SCHOOL</t>
  </si>
  <si>
    <t>guruvarya r.p. sabnis jr.college</t>
  </si>
  <si>
    <t>maharashtra state board of secondary and higher secondary education</t>
  </si>
  <si>
    <t>AUTOCAD,SKETCHUP,ENSCAPE,ADOBE FRESCO,CLIMATE CONSULTANT,POWERPOINT,EXCEL,LUMION,PROCREATE,ARCGIS</t>
  </si>
  <si>
    <t>Design Studio  | Junior Architect | Parvati,Pune - 411009 | Feb 2025 | Dec 2025 | 0 Years, 9 Months, 15 Days | 2.16</t>
  </si>
  <si>
    <t>Chandan Parab Designs | Junior Design Associate | GOA | Jun 2023 | Oct 2023 | 17 Weeks | Campus Internship</t>
  </si>
  <si>
    <t>Geospatial Applications for Disaster Risk 
The Fundamental of Digital Marketing -Google 
Energy Literacy -Energy Swaraj Foundation
Housing Densities and Urban Form</t>
  </si>
  <si>
    <t>P26704022</t>
  </si>
  <si>
    <t>Rutuja</t>
  </si>
  <si>
    <t xml:space="preserve">Mangesh </t>
  </si>
  <si>
    <t>Kharkar</t>
  </si>
  <si>
    <t>Rutuja Mangesh  Kharkar</t>
  </si>
  <si>
    <t>kharkarrutuja01@gmail.com</t>
  </si>
  <si>
    <t>P26704022@student.nicmar.ac.in</t>
  </si>
  <si>
    <t>English,Marathi,hindi</t>
  </si>
  <si>
    <t>Mangesh Ramesh Kharkar</t>
  </si>
  <si>
    <t>GOVT. Job</t>
  </si>
  <si>
    <t>Vrushali Khrakar</t>
  </si>
  <si>
    <t>39, Ashirwad , Mayurban society ,Latur</t>
  </si>
  <si>
    <t>d6 suyog nagar apartments , SB road pune</t>
  </si>
  <si>
    <t>B. WALE New English Medium school , latur</t>
  </si>
  <si>
    <t>Latur, Maharashtra</t>
  </si>
  <si>
    <t>keshavraj mahavidyalay jr college latur</t>
  </si>
  <si>
    <t>Latur, maharashtra</t>
  </si>
  <si>
    <t>Sinhgad college of architecture pune , maharashtra</t>
  </si>
  <si>
    <t>AutoCad, Sketchup, ARCGIS,MS OFFICE,MS WORD,MS PPT,REVIT,LUMINON</t>
  </si>
  <si>
    <t>V vision 7 | Internship | Akurdi, PUNE | Jul 2025 | Oct 2025 | 0 Years, 3 Months, 30 Days</t>
  </si>
  <si>
    <t>P26704027</t>
  </si>
  <si>
    <t>Kushagra</t>
  </si>
  <si>
    <t>Chougule</t>
  </si>
  <si>
    <t>Kushagra Sunil Chougule</t>
  </si>
  <si>
    <t>kushagrrachougule22@gmail.com</t>
  </si>
  <si>
    <t>P26704027@student.nicmar.ac.in</t>
  </si>
  <si>
    <t>Football,Music,Reading,Movies,Gaming</t>
  </si>
  <si>
    <t>Sunil Chougule</t>
  </si>
  <si>
    <t>Kanchana</t>
  </si>
  <si>
    <t>Sawant Colony Shiroli</t>
  </si>
  <si>
    <t>Bappa developers Maan Road Maan,Hinjewadi</t>
  </si>
  <si>
    <t xml:space="preserve">New Model English School </t>
  </si>
  <si>
    <t>Maharashtra state Board</t>
  </si>
  <si>
    <t>Vidhya Mandir Jr College</t>
  </si>
  <si>
    <t>Appasaheb Birnale College Of Architecture ,Sangli</t>
  </si>
  <si>
    <t>AutoCAD,MS Office,MS Project,Photoshop,SketchUP,Lumion,Enscape,ArcGIS,Revit</t>
  </si>
  <si>
    <t>P26704028</t>
  </si>
  <si>
    <t>Bankada</t>
  </si>
  <si>
    <t>Gokul</t>
  </si>
  <si>
    <t>Bankada Gokul</t>
  </si>
  <si>
    <t>P26704028@student.nicmar.ac.in</t>
  </si>
  <si>
    <t>english,hindi,kannada,telugu</t>
  </si>
  <si>
    <t>travelling,motorcycling</t>
  </si>
  <si>
    <t>murali krishna</t>
  </si>
  <si>
    <t>nil</t>
  </si>
  <si>
    <t>jayashree</t>
  </si>
  <si>
    <t xml:space="preserve">housewife </t>
  </si>
  <si>
    <t>anmol aparment 2nd floor f3 sedam road swastik nagar</t>
  </si>
  <si>
    <t>Kendriya Vidayalaya</t>
  </si>
  <si>
    <t>Kalaburgi</t>
  </si>
  <si>
    <t>Mahesh PU College</t>
  </si>
  <si>
    <t>Kalaburgi Karnataka</t>
  </si>
  <si>
    <t>PWD Kalaburgi | Intern | Kalaburgi | Sep 2021 | Nov 2021 | 0 Years, 2 Months, 0 Days | 0</t>
  </si>
  <si>
    <t>P26704029</t>
  </si>
  <si>
    <t>Saee</t>
  </si>
  <si>
    <t>Saee Shailesh Gaikwad</t>
  </si>
  <si>
    <t>saeegaikwad211@gmail.com</t>
  </si>
  <si>
    <t>P26704029@student.nicmar.ac.in</t>
  </si>
  <si>
    <t>Travelling, watching television</t>
  </si>
  <si>
    <t>Shailesh Gaikwad</t>
  </si>
  <si>
    <t>Shobhana Gaikwad</t>
  </si>
  <si>
    <t>Shree clinic, maldad road, Sangamner</t>
  </si>
  <si>
    <t>B.G.P.Sahyadri Vidyalaya, Sangamner</t>
  </si>
  <si>
    <t>Maharashtra state board</t>
  </si>
  <si>
    <t>Mahatma Phule Junior college</t>
  </si>
  <si>
    <t>Maharashtra State board</t>
  </si>
  <si>
    <t>Sanjivani college of Engineering, Kopargaon</t>
  </si>
  <si>
    <t>MS excel</t>
  </si>
  <si>
    <t>P26704030</t>
  </si>
  <si>
    <t>P26704030@student.nicmar.ac.in</t>
  </si>
  <si>
    <t>P26704033</t>
  </si>
  <si>
    <t>P26704033@student.nicmar.ac.in</t>
  </si>
  <si>
    <t>P26704035</t>
  </si>
  <si>
    <t>Srijan</t>
  </si>
  <si>
    <t>Srijan .</t>
  </si>
  <si>
    <t>srijansingh96@gmail.com</t>
  </si>
  <si>
    <t>P26704035@student.nicmar.ac.in</t>
  </si>
  <si>
    <t>20-Mar-1997</t>
  </si>
  <si>
    <t>music</t>
  </si>
  <si>
    <t>Parshuram Singh</t>
  </si>
  <si>
    <t>Madhu Jyoti</t>
  </si>
  <si>
    <t>601, Saraswati 2, Jalalpur city, Ramjaipal Road, Danapur, Patna</t>
  </si>
  <si>
    <t>Srijan Designs  | Priniciple Architect | Patna | Sep 2020 | Jul 2026 | 5 Years, 10 Months, 0 Days | 15</t>
  </si>
  <si>
    <t>70 month(s)</t>
  </si>
  <si>
    <t>P26704036</t>
  </si>
  <si>
    <t>Sahil Ravindra Lad</t>
  </si>
  <si>
    <t>ladsahil36@gmail.com</t>
  </si>
  <si>
    <t>P26704036@student.nicmar.ac.in</t>
  </si>
  <si>
    <t>hindi , english ,marathi</t>
  </si>
  <si>
    <t>traveling and exploring new places , playing sports , fitness,sketching, learining new skills, watching documentries</t>
  </si>
  <si>
    <t>Minakshi</t>
  </si>
  <si>
    <t xml:space="preserve">patilali, dahivali , tal karjat 410201, dist-raigad , maharashtra , </t>
  </si>
  <si>
    <t>elevation architects | internship | karjat , dist- raigad , maharashtra | Nov 2024 | May 2025 | 0 Years, 6 Months, 11 Days</t>
  </si>
  <si>
    <t>P2373007</t>
  </si>
  <si>
    <t>p2373007@student.nicmar.ac.in</t>
  </si>
  <si>
    <t>P26703001</t>
  </si>
  <si>
    <t>Kabil</t>
  </si>
  <si>
    <t>Kabil M</t>
  </si>
  <si>
    <t>P26703001@student.nicmar.ac.in</t>
  </si>
  <si>
    <t>27-Dec-2003</t>
  </si>
  <si>
    <t xml:space="preserve">Tamil, english </t>
  </si>
  <si>
    <t xml:space="preserve">Reading, Editing , Drawing </t>
  </si>
  <si>
    <t>6507 2015 5198</t>
  </si>
  <si>
    <t>Maheswaran C</t>
  </si>
  <si>
    <t xml:space="preserve">Civil Engnieer </t>
  </si>
  <si>
    <t xml:space="preserve">Tamil Selevi M </t>
  </si>
  <si>
    <t>NEW NO 17/6 OLD NO 40/6 , Flat NO 2B, M BLOCK , Second Floor , Anna Nagar East Po: Anna Nagar chennai, Tamil Nadau - 600102</t>
  </si>
  <si>
    <t>Kali and co | HR &amp; Accounting | chennai | Jun 2024 | Jun 2025 | 1 Years, 0 Months, 29 Days | 2.5
J Kumar Infraprojects  | J Kumar Infraprojects – HR &amp; Admin Assistant  | chennai | Aug 2025 | Jun 2026 | 0 Years, 10 Months, 9 Days | 2.5</t>
  </si>
  <si>
    <t>P26703002</t>
  </si>
  <si>
    <t>Lokesh</t>
  </si>
  <si>
    <t>Khirad</t>
  </si>
  <si>
    <t>Lokesh Sunil Khirad</t>
  </si>
  <si>
    <t>P26703002@student.nicmar.ac.in</t>
  </si>
  <si>
    <t>Music,Singing,Dancing,Travelling,Cinematography</t>
  </si>
  <si>
    <t>Rupali</t>
  </si>
  <si>
    <t>Plot no. 68, Tayal's Siddhivinayak Square 1, near Golwadi cricket stadium, front of water tank, Golwadi, Aurangabad, Maharashtra, 431002</t>
  </si>
  <si>
    <t>Chate School</t>
  </si>
  <si>
    <t>Government Polytechnic, Aurangabad</t>
  </si>
  <si>
    <t>JSPM Rajarshi Shahu College Of Engineering , Tathawade, Pune</t>
  </si>
  <si>
    <t>AutoCAD,MS Office,CREO,Excel,CATIA</t>
  </si>
  <si>
    <t>P26703003</t>
  </si>
  <si>
    <t xml:space="preserve">R B </t>
  </si>
  <si>
    <t>Subashri</t>
  </si>
  <si>
    <t>R B  Subashri</t>
  </si>
  <si>
    <t>P26703003@student.nicmar.ac.in</t>
  </si>
  <si>
    <t>19-Jul-2005</t>
  </si>
  <si>
    <t>Tamil, Telugu,Hindi,english</t>
  </si>
  <si>
    <t>Watching Podcasts,Sports,Art,Travel,Fitness</t>
  </si>
  <si>
    <t>Ragulasankiruthiyayan</t>
  </si>
  <si>
    <t>Sea Farer</t>
  </si>
  <si>
    <t>Brindha</t>
  </si>
  <si>
    <t>2/1923,Renuka devi nagar, Byepass road, Kanjanayakkanpatti, Aruppukottai</t>
  </si>
  <si>
    <t>Minerva Public School</t>
  </si>
  <si>
    <t>Central Board Of Secondary Education,Virudhunagar, Tamilnadu</t>
  </si>
  <si>
    <t>Vellore Institute of Technology, Tamilnadu</t>
  </si>
  <si>
    <t>Basics in Powerpoint &amp; Excel</t>
  </si>
  <si>
    <t>Fund Sourcing Techniques
Controllers Job Simulation - Goldman Sachs
Ideathon'24
Wadhwani
YUVA</t>
  </si>
  <si>
    <t>P26703004</t>
  </si>
  <si>
    <t>Pasumarthi</t>
  </si>
  <si>
    <t>Vani Venkata Ramadevi</t>
  </si>
  <si>
    <t>Pasumarthi Vani Venkata Ramadevi</t>
  </si>
  <si>
    <t>P26703004@student.nicmar.ac.in</t>
  </si>
  <si>
    <t>Telugu,English</t>
  </si>
  <si>
    <t xml:space="preserve">Travelling,Gardening,Cooking </t>
  </si>
  <si>
    <t>Pasumarthi Venkateswararao</t>
  </si>
  <si>
    <t>Pasumarthi Venkata Lakshmi</t>
  </si>
  <si>
    <t>3-174 Near Venu Gopala Swami Temple K.Pentapadu Pentapadu Mandalam West Godavari Andhra Pradesh</t>
  </si>
  <si>
    <t>Z.P.P.High School</t>
  </si>
  <si>
    <t>Board Of Secondary Education ,  Andhra Pradesh</t>
  </si>
  <si>
    <t>Aditya Junior College</t>
  </si>
  <si>
    <t>Board Of Intermediate Education , Andhra Pradesh</t>
  </si>
  <si>
    <t>Sasi Institute Of Technology And Engineering , Tadepalligudem ,Andhra Pradesh</t>
  </si>
  <si>
    <t>MS Excel,SQL,Python,HTML,CSS,JS</t>
  </si>
  <si>
    <t>Tightrope Software Technologies | Intern - ASP.NET Developer | Hyderabad | May 2025 | May 2026 | 55 Weeks</t>
  </si>
  <si>
    <t>P26703005</t>
  </si>
  <si>
    <t>VEDANK</t>
  </si>
  <si>
    <t>NANDKUMAR</t>
  </si>
  <si>
    <t>TURE</t>
  </si>
  <si>
    <t>Vedank Nandkumar Ture</t>
  </si>
  <si>
    <t>P26703005@student.nicmar.ac.in</t>
  </si>
  <si>
    <t>06-Apr-2006</t>
  </si>
  <si>
    <t>GYM,SPORTS,EXPLORING,READING COMICS,MUSIC</t>
  </si>
  <si>
    <t>NANDKUMAR TURE</t>
  </si>
  <si>
    <t>PROJECT ENGINEERING MANAGER</t>
  </si>
  <si>
    <t>SUSHMA TURE</t>
  </si>
  <si>
    <t>ST ROAD, SAI NAGAR, LALDONGAR, CHEMBUR, NEAR JAY BAJRANG VYAYAM SHALA.</t>
  </si>
  <si>
    <t>Pen Shikshan Mahila Samiti's English Medium School</t>
  </si>
  <si>
    <t>Maharashtra State Board of Secondary &amp; Higher Secondary Education, Mumbai</t>
  </si>
  <si>
    <t>Guru Nanak Khalsa College of Arts, Science and Commerce</t>
  </si>
  <si>
    <t>Vivekanand Education Society's College of Arts, Science and Commerce, Mumbai</t>
  </si>
  <si>
    <t>MS Excel, MS Word,Python,Sql,ms office</t>
  </si>
  <si>
    <t>IMARTICUS LEARNING | INVESTMENT BANKING OPERATION FUNCTIONS AND FINANCIAL OPERATIONS INTERNSHIP | Thane, Mumbai | May 2025 | Jun 2025 | 3 Weeks</t>
  </si>
  <si>
    <t xml:space="preserve">PYTHON
Structured Query Language (SQL)
Maharashtra State Certificate in Information Technology. (MSCIT)
Excel Basic to Advanced by Trump Excel – Cursa
Chat GPT and Open AI API -online course by freeCodeCamp  Cursa
Living with Climate Change and Water Management  Online Course by Maha Yuva Jal Sanvardhak
Conservation and Climate Action – Online Course by Maha Yuva Jal Sanvardhak </t>
  </si>
  <si>
    <t>P26703006</t>
  </si>
  <si>
    <t>Pournima</t>
  </si>
  <si>
    <t>Pournima Khode</t>
  </si>
  <si>
    <t>P26703006@student.nicmar.ac.in</t>
  </si>
  <si>
    <t>09-Oct-2003</t>
  </si>
  <si>
    <t xml:space="preserve">Sports and Music </t>
  </si>
  <si>
    <t>7794 2898 3982</t>
  </si>
  <si>
    <t>Shrinivas Khode</t>
  </si>
  <si>
    <t xml:space="preserve">Savita Khode </t>
  </si>
  <si>
    <t xml:space="preserve">Buisness Women </t>
  </si>
  <si>
    <t xml:space="preserve">Nashik </t>
  </si>
  <si>
    <t xml:space="preserve">Youthville Balewadi next to Amar Tech Park </t>
  </si>
  <si>
    <t>P26703007</t>
  </si>
  <si>
    <t xml:space="preserve">Radhika </t>
  </si>
  <si>
    <t>Radhika  S</t>
  </si>
  <si>
    <t>sreeradhika28@gmail.com</t>
  </si>
  <si>
    <t>P26703007@student.nicmar.ac.in</t>
  </si>
  <si>
    <t>28-Nov-2003</t>
  </si>
  <si>
    <t>Cooking,painting,travelling</t>
  </si>
  <si>
    <t>Sreekumar T</t>
  </si>
  <si>
    <t>ex- UAE</t>
  </si>
  <si>
    <t>Supriya PV</t>
  </si>
  <si>
    <t>C/O: Sreekumar T
SHREE 
Laxmi Nagar, Kanhangad, Hosdurg
Kasaragod Kerala-</t>
  </si>
  <si>
    <t>301, Third Floor, Onkar Building 
C/O. Satish Khadke
Sr. No.82/2 Vishweshwar Bank Lane 
Near Balewadi Phata, Baner
Pune.</t>
  </si>
  <si>
    <t>Little Flower Girls Higher Secondary School, Kanhangad, Kasaragod.</t>
  </si>
  <si>
    <t>State Board, Kanhangad, Kasaragod</t>
  </si>
  <si>
    <t>GHSS Hosdurg, Kanhangad, Kasaragod</t>
  </si>
  <si>
    <t>Kerala Board, Kanhangad, Kasaragod</t>
  </si>
  <si>
    <t>Hindustan Institute of Technology and Science, Chennai</t>
  </si>
  <si>
    <t>Hindustan Institute of Technology and Science, Padur, Tamil Nadu</t>
  </si>
  <si>
    <t>MS Office,canva</t>
  </si>
  <si>
    <t>P26703009</t>
  </si>
  <si>
    <t>Sri Barathi</t>
  </si>
  <si>
    <t>R D</t>
  </si>
  <si>
    <t>Sri Barathi R D</t>
  </si>
  <si>
    <t>P26703009@student.nicmar.ac.in</t>
  </si>
  <si>
    <t>13-Dec-2002</t>
  </si>
  <si>
    <t>Reading,Dancing ,Music, Travelling</t>
  </si>
  <si>
    <t>Dhanasekaran R</t>
  </si>
  <si>
    <t>Latha D</t>
  </si>
  <si>
    <t>12, Sri Varshini Illam, Kongu Nagar, Panayakurichy, Sircarpalayam, Trichy-620010</t>
  </si>
  <si>
    <t>SRV Matriculation Higher Secondary School</t>
  </si>
  <si>
    <t>Tamil Nadu State Board, Tiruchirappalli, Tamil Nadu</t>
  </si>
  <si>
    <t>Kamala Niketan Montessori School</t>
  </si>
  <si>
    <t>Central Board of Secondary Education, Tamil Nadu</t>
  </si>
  <si>
    <t>Amrita School of Engineering, Coimbatore, Tamil Nadu</t>
  </si>
  <si>
    <t>AutoCAD,Sketchup,MS office</t>
  </si>
  <si>
    <t>VA Tech Wabag | Graduate Engineering Trainee | Chennai | Jun 2025 | Jun 2026 | 1 Years, 0 Months, 0 Days | 4.074</t>
  </si>
  <si>
    <t>P26703010</t>
  </si>
  <si>
    <t xml:space="preserve">Vinod </t>
  </si>
  <si>
    <t>Somwanshi</t>
  </si>
  <si>
    <t>Shravani Vinod  Somwanshi</t>
  </si>
  <si>
    <t>shravanisomwanshi26@gmail.com</t>
  </si>
  <si>
    <t>P26703010@student.nicmar.ac.in</t>
  </si>
  <si>
    <t>19-Apr-2005</t>
  </si>
  <si>
    <t>English 'Hindi 'Marathi</t>
  </si>
  <si>
    <t>Dancing ,Drama</t>
  </si>
  <si>
    <t xml:space="preserve">Vinod somwanshi </t>
  </si>
  <si>
    <t>Mangala</t>
  </si>
  <si>
    <t xml:space="preserve">Dwarka nager akoli rode sai nager amaravati </t>
  </si>
  <si>
    <t xml:space="preserve">Shree sai baba vidyalay </t>
  </si>
  <si>
    <t>Ssc</t>
  </si>
  <si>
    <t>Brijlal Biyani Science College</t>
  </si>
  <si>
    <t>Hsc</t>
  </si>
  <si>
    <t>Sppu</t>
  </si>
  <si>
    <t xml:space="preserve">Choice college of arts and commerce </t>
  </si>
  <si>
    <t>Ms Excel ,Communication</t>
  </si>
  <si>
    <t>P26703011</t>
  </si>
  <si>
    <t>Mohd</t>
  </si>
  <si>
    <t>Zaid</t>
  </si>
  <si>
    <t>Mohd Zaid Ansari</t>
  </si>
  <si>
    <t>P26703011@student.nicmar.ac.in</t>
  </si>
  <si>
    <t>27-Jul-2005</t>
  </si>
  <si>
    <t>Cricket,reading</t>
  </si>
  <si>
    <t>Mohd Paravej Ansari</t>
  </si>
  <si>
    <t>Musarrat Jahan</t>
  </si>
  <si>
    <t>Khurram ali sarai nagina, bijnor</t>
  </si>
  <si>
    <t xml:space="preserve">L.R.S Academy </t>
  </si>
  <si>
    <t>Central board of secondary education Nagina/Uttar Pradesh</t>
  </si>
  <si>
    <t>Mahatma Jyotiba Phule Rohilkhand University, Bareilly</t>
  </si>
  <si>
    <t>North India group of higher education</t>
  </si>
  <si>
    <t>Microsoft Excel,Power BI,Microsoft Word,Power Point Presentation,Inventory Management,Data Analytics</t>
  </si>
  <si>
    <t>Supply Chain Operations
Supply Chain Planning
Supply Chain Sourcing</t>
  </si>
  <si>
    <t>P26703012</t>
  </si>
  <si>
    <t>P26703012@student.nicmar.ac.in</t>
  </si>
  <si>
    <t>P26703013</t>
  </si>
  <si>
    <t>Srushti</t>
  </si>
  <si>
    <t>Srushti Rajendra Pawar</t>
  </si>
  <si>
    <t>P26703013@student.nicmar.ac.in</t>
  </si>
  <si>
    <t xml:space="preserve">Reading and Swimming </t>
  </si>
  <si>
    <t>Rajendra Sahadev Pawar</t>
  </si>
  <si>
    <t>Supriya Rajendra Pawar</t>
  </si>
  <si>
    <t>08, Mangal Ashish building, old katrap road, Near Bank of Baroda, Katrap, Badlapur (East).</t>
  </si>
  <si>
    <t>Amsburg Industries | Procurement Assistant | Remote | Jun 2024 | Jan 2025 | 0 Years, 7 Months, 1 Days | 3
 Avenue Supermarts Ltd (DMART Head Office). | Purchase Assistant.  | Thane | Jan 2025 | Apr 2026 | 1 Years, 2 Months, 12 Days | 2.5</t>
  </si>
  <si>
    <t>P26703014</t>
  </si>
  <si>
    <t>P26703014@student.nicmar.ac.in</t>
  </si>
  <si>
    <t>P26703015</t>
  </si>
  <si>
    <t>DADASO</t>
  </si>
  <si>
    <t>PADALKAR</t>
  </si>
  <si>
    <t>Bhakti Dadaso Padalkar</t>
  </si>
  <si>
    <t>bhaktipadalkar19@gmail.com</t>
  </si>
  <si>
    <t>P26703015@student.nicmar.ac.in</t>
  </si>
  <si>
    <t>HINDI ENGLISH</t>
  </si>
  <si>
    <t>READING</t>
  </si>
  <si>
    <t>PRITI SANGAM SOCIETY ,ROOM NO G192/02 VASHI SECTOR 26 NAVI MUMBAI</t>
  </si>
  <si>
    <t>MODERN SCHOOL VASHI SECTOR 7</t>
  </si>
  <si>
    <t>MAHARASHTRA STATE BOARD EDUCATION /MUMBAI DIVISIONAL BOARD</t>
  </si>
  <si>
    <t>ST.MARY'S JUNIOR COLLEGE VASHI</t>
  </si>
  <si>
    <t xml:space="preserve">DR BABASAHEB AMBEDKAR TECHNOLOGICAL UNIVESITY LONERE </t>
  </si>
  <si>
    <t>SARSAM COLLEGE OF PHARMACY BARAMATI/PUNE</t>
  </si>
  <si>
    <t>HINDUSTAN ANTIBIOTICS  | Learner  | Pimpri chinchwad | Oct 2024 | Nov 2024 | 4 Weeks | Campus Internship</t>
  </si>
  <si>
    <t>P26703016</t>
  </si>
  <si>
    <t>P26703016@student.nicmar.ac.in</t>
  </si>
  <si>
    <t>P26703017</t>
  </si>
  <si>
    <t>KETA</t>
  </si>
  <si>
    <t>Keta Pranay Patel</t>
  </si>
  <si>
    <t>P26703017@student.nicmar.ac.in</t>
  </si>
  <si>
    <t>HINDI ,ENGLISH ,GUJARATI</t>
  </si>
  <si>
    <t>Reading books, listening to music,doing artwork</t>
  </si>
  <si>
    <t>PRANAY PATEL</t>
  </si>
  <si>
    <t>HEMLATA PATEL</t>
  </si>
  <si>
    <t>A-30 DWARKESH BUNGLOW , NEAR CHANNI POLICE STATION , CHANNI, VADODARA</t>
  </si>
  <si>
    <t>Urmi school</t>
  </si>
  <si>
    <t xml:space="preserve">Gseb gujarat </t>
  </si>
  <si>
    <t>My shannen school</t>
  </si>
  <si>
    <t xml:space="preserve">Gseb </t>
  </si>
  <si>
    <t xml:space="preserve">Maharaja sayajirao university of Baroda </t>
  </si>
  <si>
    <t>Autocad staad excel</t>
  </si>
  <si>
    <t>P26703019</t>
  </si>
  <si>
    <t xml:space="preserve">Saranyalakshmi </t>
  </si>
  <si>
    <t>Umesh</t>
  </si>
  <si>
    <t>Saranyalakshmi  Umesh</t>
  </si>
  <si>
    <t>P26703019@student.nicmar.ac.in</t>
  </si>
  <si>
    <t xml:space="preserve">Hindi English Malayalam </t>
  </si>
  <si>
    <t xml:space="preserve">Umesh Kumar </t>
  </si>
  <si>
    <t>Sreeja Unnikrishnan</t>
  </si>
  <si>
    <t>Parayil house villoonni po kottayam kerala-686008</t>
  </si>
  <si>
    <t xml:space="preserve">Kuriakose Elias English Medium School </t>
  </si>
  <si>
    <t xml:space="preserve">Kerala </t>
  </si>
  <si>
    <t xml:space="preserve">Symbiosis Institute of computer studies and Research </t>
  </si>
  <si>
    <t>Information Technology</t>
  </si>
  <si>
    <t>MSExcel salesforce Sap</t>
  </si>
  <si>
    <t>P26703020</t>
  </si>
  <si>
    <t>Gorle Sai</t>
  </si>
  <si>
    <t>Dheeraj</t>
  </si>
  <si>
    <t>Naidu</t>
  </si>
  <si>
    <t>Gorle Sai Dheeraj Naidu</t>
  </si>
  <si>
    <t>P26703020@student.nicmar.ac.in</t>
  </si>
  <si>
    <t>Telugu,Englidh</t>
  </si>
  <si>
    <t>Playing cricket, Music</t>
  </si>
  <si>
    <t>6589 4803 7019</t>
  </si>
  <si>
    <t>G Jagannadham Naidu</t>
  </si>
  <si>
    <t>G Radha</t>
  </si>
  <si>
    <t>flat no 81 sf2 pydimamba residency
revenue colony kl puram</t>
  </si>
  <si>
    <t>Vijnana Vihara Residential School</t>
  </si>
  <si>
    <t>Central Board of Secondary Education.</t>
  </si>
  <si>
    <t>Sasi Junior College</t>
  </si>
  <si>
    <t>Like  Dislike The Board of Intermediate Education Andhra Pradesh</t>
  </si>
  <si>
    <t>Lovely Professional University</t>
  </si>
  <si>
    <t>Lovely Professional University Punjab</t>
  </si>
  <si>
    <t>P26703021</t>
  </si>
  <si>
    <t>Rahul Kumar</t>
  </si>
  <si>
    <t>P26703021@student.nicmar.ac.in</t>
  </si>
  <si>
    <t>29-Oct-1993</t>
  </si>
  <si>
    <t xml:space="preserve">Playing Chess </t>
  </si>
  <si>
    <t>Goverdhan Ram</t>
  </si>
  <si>
    <t>Neelam Kumari</t>
  </si>
  <si>
    <t>H-222 Harmu Housing Colony</t>
  </si>
  <si>
    <t>Accenture  | Associate Software Engineer  | Mumbai, Maharashtra, India  | May 2016 | Sep 2017 | 1 Years, 4 Months, 9 Days | 3.5</t>
  </si>
  <si>
    <t>P26703022</t>
  </si>
  <si>
    <t>P26703022@student.nicmar.ac.in</t>
  </si>
  <si>
    <t>P26703023</t>
  </si>
  <si>
    <t>Nitin</t>
  </si>
  <si>
    <t>Hari</t>
  </si>
  <si>
    <t>Chalak</t>
  </si>
  <si>
    <t>Nitin Hari Chalak</t>
  </si>
  <si>
    <t>thenitinchalak@gmail.com</t>
  </si>
  <si>
    <t>P26703023@student.nicmar.ac.in</t>
  </si>
  <si>
    <t>25-Apr-1997</t>
  </si>
  <si>
    <t>Bhakti Pride, Yashwant Nagar, Talegaon Dabhade</t>
  </si>
  <si>
    <t>Sanskar Vidyalaya Beed</t>
  </si>
  <si>
    <t>Maharashtra State Board of Secondary &amp; Higher Secondary Education, Pune - Aurangabad Division - Beed, Maharashtra, India</t>
  </si>
  <si>
    <t>Diploma In Mechanical Engineering</t>
  </si>
  <si>
    <t xml:space="preserve">Maharashtra State Board of Technical Education, Mumbai - Pune Division - Pune, Maharashtra, India </t>
  </si>
  <si>
    <t>DY Patil University, Ambi, Pune</t>
  </si>
  <si>
    <t>DYPU School of Architecture</t>
  </si>
  <si>
    <t>Urban Infrastructure Planning</t>
  </si>
  <si>
    <t>Autocad,Archicad,Twinmotion,Google Earth Pro,Keynote,Numbers,Excel,Photoshop</t>
  </si>
  <si>
    <t>Acelab Inc | Architectural Technology Associate | Indore, Madhya Pradesh, India | Sep 2025 | Jun 2026 | 0 Years, 8 Months, 28 Days | 3.8</t>
  </si>
  <si>
    <t>Graphisoft BIM Certificate</t>
  </si>
  <si>
    <t>P26703024</t>
  </si>
  <si>
    <t>Mahadev</t>
  </si>
  <si>
    <t>Satam</t>
  </si>
  <si>
    <t>Yash Mahadev Satam</t>
  </si>
  <si>
    <t>P26703024@student.nicmar.ac.in</t>
  </si>
  <si>
    <t>Riding Bikes ,travel,sports</t>
  </si>
  <si>
    <t>Monali</t>
  </si>
  <si>
    <t>B6/603, Rutu enclave, Kasarvadavli, Thane west, 400615, Mumbai, Maharashtra</t>
  </si>
  <si>
    <t>B5/503, Rutu Enclave, Kasarvadavli, Thane west, 400615, Mumbai, Maharashtra</t>
  </si>
  <si>
    <t>St. Xaviers English High School</t>
  </si>
  <si>
    <t>Maharashtra State board of Secondary and Higher Education</t>
  </si>
  <si>
    <t>Automobile Engineering</t>
  </si>
  <si>
    <t xml:space="preserve">Muchhala Polytechnic </t>
  </si>
  <si>
    <t>New Horizon Institute of Technology And Management</t>
  </si>
  <si>
    <t>Excel,MS office</t>
  </si>
  <si>
    <t>Pradman Engineering Services Pvt Ltd | Engineer-Manufacturing | Thane, Mumbai | Aug 2024 | Jun 2026 | 1 Years, 10 Months, 18 Days | 4</t>
  </si>
  <si>
    <t>P26703025</t>
  </si>
  <si>
    <t>P26703025@student.nicmar.ac.in</t>
  </si>
  <si>
    <t>P26703026</t>
  </si>
  <si>
    <t xml:space="preserve">Rajat </t>
  </si>
  <si>
    <t>Rajat  Yadav</t>
  </si>
  <si>
    <t>P26703026@student.nicmar.ac.in</t>
  </si>
  <si>
    <t>7300 5250 2740</t>
  </si>
  <si>
    <t>Business Man, construction</t>
  </si>
  <si>
    <t>Late Anukriti Yadav</t>
  </si>
  <si>
    <t>Anantara Residential Resort,Jabalpur</t>
  </si>
  <si>
    <t>P26703027</t>
  </si>
  <si>
    <t>Shreya .</t>
  </si>
  <si>
    <t>P26703027@student.nicmar.ac.in</t>
  </si>
  <si>
    <t>Travelling, Cooking,Reading</t>
  </si>
  <si>
    <t>Ram Pravesh</t>
  </si>
  <si>
    <t>Govt. employee</t>
  </si>
  <si>
    <t>Rani Devi</t>
  </si>
  <si>
    <t>Kachchi pakki muzaffarpur</t>
  </si>
  <si>
    <t>Dav public school</t>
  </si>
  <si>
    <t>CBSE ,MUZAFFARPUR/BIHAR</t>
  </si>
  <si>
    <t>RESONANCE INTERNATIONAL SCHOOL</t>
  </si>
  <si>
    <t xml:space="preserve">BRABU </t>
  </si>
  <si>
    <t>SNS COLLEGE , MUZAFFARPUR/BIHAR</t>
  </si>
  <si>
    <t>MS office , Advance Spreadsheet Modelling</t>
  </si>
  <si>
    <t>S K FINANCE LIMITED | Finance Intern | Jaipur, Rajasthan | May 2025 | Jul 2025 | 13 Weeks
JustInteriors (Maahiyansh Pvt. Ltd.)  | Management Cordinator | Ahmedabad , gujrat | Mar 2026 | Jun 2026 | 13 Weeks
sushil sharma&amp;co | Management trainee | Muzaffarpur,Bihar | Dec 2024 | Mar 2025 | 12 Weeks</t>
  </si>
  <si>
    <t>Marketing foundation
Corporate foundation
Content marketing foundation
Professional communication
Build personal brand with tech &amp; ai
professional communication phase -2
Infosys - capital markets
Technical analysis workshop
Appreciation certificate</t>
  </si>
  <si>
    <t>P26703028</t>
  </si>
  <si>
    <t>Yash Nitin Pawar</t>
  </si>
  <si>
    <t>P26703028@student.nicmar.ac.in</t>
  </si>
  <si>
    <t>29-Mar-2003</t>
  </si>
  <si>
    <t>Cricket,volleyball,football,Gym</t>
  </si>
  <si>
    <t>2601 8848 7116</t>
  </si>
  <si>
    <t>Nitin Suresh Pawar</t>
  </si>
  <si>
    <t>Mumbai Police</t>
  </si>
  <si>
    <t>Pallavi Nitin Pawar</t>
  </si>
  <si>
    <t xml:space="preserve">H-212 Room no 03 Vaibhav CHS Sector 26Vashi Navi Mumbai </t>
  </si>
  <si>
    <t>St. Lawrence High School Vashi</t>
  </si>
  <si>
    <t xml:space="preserve">Maharashtra State Board Of Secondary and Higher Secondary Education Pune </t>
  </si>
  <si>
    <t xml:space="preserve"> Agnels Polytechnic Mumbai</t>
  </si>
  <si>
    <t>Auto Cad</t>
  </si>
  <si>
    <t>P26703031</t>
  </si>
  <si>
    <t>P26703031@student.nicmar.ac.in</t>
  </si>
  <si>
    <t>P26703032</t>
  </si>
  <si>
    <t>Suneesh</t>
  </si>
  <si>
    <t>Suneesh Sharma</t>
  </si>
  <si>
    <t>suneesh10301@gmail.com</t>
  </si>
  <si>
    <t>P26703032@student.nicmar.ac.in</t>
  </si>
  <si>
    <t>Tech</t>
  </si>
  <si>
    <t>Darshan Sharma</t>
  </si>
  <si>
    <t>Kiran Sudan</t>
  </si>
  <si>
    <t xml:space="preserve">Prem Nagar Miran Sahib Bansultan </t>
  </si>
  <si>
    <t>Padmalaya Pearl Baner Pune</t>
  </si>
  <si>
    <t>P26703033</t>
  </si>
  <si>
    <t>P26703033@student.nicmar.ac.in</t>
  </si>
  <si>
    <t>P26703034</t>
  </si>
  <si>
    <t>Jayant</t>
  </si>
  <si>
    <t>Diksha Jayant Suryawanshi</t>
  </si>
  <si>
    <t>P26703034@student.nicmar.ac.in</t>
  </si>
  <si>
    <t>Dancing,Socializing</t>
  </si>
  <si>
    <t>Jayant Suryawanshi</t>
  </si>
  <si>
    <t>Swati Suryawanshi</t>
  </si>
  <si>
    <t>Nampur</t>
  </si>
  <si>
    <t>Saroj Sadan,Vanaz Corner,Kothrud</t>
  </si>
  <si>
    <t>Rajiv Gandhi International School Nasik MR</t>
  </si>
  <si>
    <t>MIT POLYTECHNIC,PUNE</t>
  </si>
  <si>
    <t>MIT WPU, PUNE</t>
  </si>
  <si>
    <t>MIT WPU,PUNE</t>
  </si>
  <si>
    <t>P26703035</t>
  </si>
  <si>
    <t>P26703035@student.nicmar.ac.in</t>
  </si>
  <si>
    <t>P26703036</t>
  </si>
  <si>
    <t>Awani</t>
  </si>
  <si>
    <t>Awani Ashok Parate</t>
  </si>
  <si>
    <t>awaniparate1902@gmail.com</t>
  </si>
  <si>
    <t>P26703036@student.nicmar.ac.in</t>
  </si>
  <si>
    <t>19-Feb-2005</t>
  </si>
  <si>
    <t xml:space="preserve"> English, Marathi ,Hindi </t>
  </si>
  <si>
    <t>Ashok Parate</t>
  </si>
  <si>
    <t>Bharti Parate</t>
  </si>
  <si>
    <t>57, Om Apartment New Diamond Nagar, Nagpur</t>
  </si>
  <si>
    <t>Eastern Point Convent</t>
  </si>
  <si>
    <t>Secondary and Higher Secondary Education, Pune</t>
  </si>
  <si>
    <t>Prerna Junior College</t>
  </si>
  <si>
    <t>Rashtrasant Tukadoji Maharaj University Nagpur</t>
  </si>
  <si>
    <t>Government College of Engineering, Nagpur</t>
  </si>
  <si>
    <t>AutoCAD, MS excel</t>
  </si>
  <si>
    <t>Dhote &amp; Associates | Intern | Nagpur | Jun 2024 | Jun 2024 | 2 Weeks
Public Work Department | Intern | Nagpur | May 2025 | Jun 2025 | 4 Weeks</t>
  </si>
  <si>
    <t>P26703037</t>
  </si>
  <si>
    <t>P26703037@student.nicmar.ac.in</t>
  </si>
  <si>
    <t>P26703038</t>
  </si>
  <si>
    <t>Arihant</t>
  </si>
  <si>
    <t>Arihant Manoj Jain</t>
  </si>
  <si>
    <t>P26703038@student.nicmar.ac.in</t>
  </si>
  <si>
    <t>28-Oct-2004</t>
  </si>
  <si>
    <t>Hindi,english,marathi,marwadi,gujrati,rajasthani</t>
  </si>
  <si>
    <t>private sector</t>
  </si>
  <si>
    <t>Surekha</t>
  </si>
  <si>
    <t>A/P Hirapur Tal Chalisgaon Dist Jalgaon</t>
  </si>
  <si>
    <t>Plot no 13 dudh dairy chowk jay malhar nagar ahilyanagar</t>
  </si>
  <si>
    <t>GOOD SHEPHERED ACADEMY</t>
  </si>
  <si>
    <t>SSC NASHIK MAHARASHTRA</t>
  </si>
  <si>
    <t>RASHTRIYA VIDYALAYA CHALISGAON</t>
  </si>
  <si>
    <t>HSC NASHIK MAHARASHTRA</t>
  </si>
  <si>
    <t>2023-Feb</t>
  </si>
  <si>
    <t>P26703040</t>
  </si>
  <si>
    <t>P26703040@student.nicmar.ac.in</t>
  </si>
  <si>
    <t>P26703041</t>
  </si>
  <si>
    <t>P26703041@student.nicmar.ac.in</t>
  </si>
  <si>
    <t>P26703042</t>
  </si>
  <si>
    <t>Sarang</t>
  </si>
  <si>
    <t>Sachin</t>
  </si>
  <si>
    <t>Bhiungade</t>
  </si>
  <si>
    <t>Sarang Sachin Bhiungade</t>
  </si>
  <si>
    <t>P26703042@student.nicmar.ac.in</t>
  </si>
  <si>
    <t>29-Mar-2002</t>
  </si>
  <si>
    <t xml:space="preserve">Hindi,English ,Marathi </t>
  </si>
  <si>
    <t>Usha</t>
  </si>
  <si>
    <t>HouseMaker</t>
  </si>
  <si>
    <t>Bhaveshwari, Nagraj Colony, Vishrambag, Sangli.</t>
  </si>
  <si>
    <t xml:space="preserve">Shri A.B Patil English School </t>
  </si>
  <si>
    <t>CBSE,Sangli,Maharashtra</t>
  </si>
  <si>
    <t>GA JUNIOR college</t>
  </si>
  <si>
    <t>SSC,Sangli,Maharashtra</t>
  </si>
  <si>
    <t>Padmabhooshan Vasantraodada Patil Institute of Technology</t>
  </si>
  <si>
    <t>P26703043</t>
  </si>
  <si>
    <t>Faheem</t>
  </si>
  <si>
    <t>Ahmad</t>
  </si>
  <si>
    <t>Faheem Ahmad</t>
  </si>
  <si>
    <t>P26703043@student.nicmar.ac.in</t>
  </si>
  <si>
    <t xml:space="preserve">Photography </t>
  </si>
  <si>
    <t>Md Masih alam</t>
  </si>
  <si>
    <t>Ansari begam</t>
  </si>
  <si>
    <t>N-A</t>
  </si>
  <si>
    <t>Papraur,Begusarai</t>
  </si>
  <si>
    <t>Tribe Moro Saarthi skybay Pune</t>
  </si>
  <si>
    <t xml:space="preserve"> BHARTHOBHARAT M S PIPRADEWAS BARAUNI</t>
  </si>
  <si>
    <t>BIHAR BOARD</t>
  </si>
  <si>
    <t xml:space="preserve">GD College </t>
  </si>
  <si>
    <t>LNMU Darbhanga</t>
  </si>
  <si>
    <t>GD College</t>
  </si>
  <si>
    <t>P26703044</t>
  </si>
  <si>
    <t>Karkare</t>
  </si>
  <si>
    <t>Vishal Subhash  Karkare</t>
  </si>
  <si>
    <t>vkarkare5@gmail.com</t>
  </si>
  <si>
    <t>P26703044@student.nicmar.ac.in</t>
  </si>
  <si>
    <t>English Hindi Marathi Kanada</t>
  </si>
  <si>
    <t>reading and playing sports</t>
  </si>
  <si>
    <t>Subhash Baburao Karkare</t>
  </si>
  <si>
    <t>Asha Subhash Karkare</t>
  </si>
  <si>
    <t xml:space="preserve">Citrine B 603 Sarkar Chowk Marunji Pune </t>
  </si>
  <si>
    <t>P26703045</t>
  </si>
  <si>
    <t xml:space="preserve">Pranav </t>
  </si>
  <si>
    <t xml:space="preserve">Manoj </t>
  </si>
  <si>
    <t xml:space="preserve">Pranav  Manoj  Deshmukh </t>
  </si>
  <si>
    <t>P26703045@student.nicmar.ac.in</t>
  </si>
  <si>
    <t xml:space="preserve">Traveling, Reading Books </t>
  </si>
  <si>
    <t xml:space="preserve">Manoj S Deshmukh </t>
  </si>
  <si>
    <t xml:space="preserve">Government Job </t>
  </si>
  <si>
    <t xml:space="preserve">Varsha M Deshmukh </t>
  </si>
  <si>
    <t>Plot no 34 Kanchan Nagar Near ganpati mandir ambad road old jalna, Jalna Maharashtra</t>
  </si>
  <si>
    <t xml:space="preserve">Podar School Jalna </t>
  </si>
  <si>
    <t xml:space="preserve">Jalna </t>
  </si>
  <si>
    <t xml:space="preserve">Jijau Highersecondary School </t>
  </si>
  <si>
    <t xml:space="preserve">Bhopal </t>
  </si>
  <si>
    <t>Pranav M Deshmukh</t>
  </si>
  <si>
    <t>P26703046</t>
  </si>
  <si>
    <t>Akshita</t>
  </si>
  <si>
    <t>Akshita . .</t>
  </si>
  <si>
    <t>P26703046@student.nicmar.ac.in</t>
  </si>
  <si>
    <t>Hindi english</t>
  </si>
  <si>
    <t>Fashion dancing</t>
  </si>
  <si>
    <t>Koshlander kumar</t>
  </si>
  <si>
    <t>Sujata shahi</t>
  </si>
  <si>
    <t>Flat no 304-A, Samvardhani society, opposite Jalalpur city apartment, Ramjaypal Nagar, Patna, Bihar, pin- 801503</t>
  </si>
  <si>
    <t>Radiant international school</t>
  </si>
  <si>
    <t>Cbse</t>
  </si>
  <si>
    <t>Bharati vidhyapeeth</t>
  </si>
  <si>
    <t xml:space="preserve">Bharati vidhyapeeth pune </t>
  </si>
  <si>
    <t>Python ,powerbi ,tabelu ,data analyst,Cloud computing</t>
  </si>
  <si>
    <t>P26703047</t>
  </si>
  <si>
    <t>P26703047@student.nicmar.ac.in</t>
  </si>
  <si>
    <t>P26703048</t>
  </si>
  <si>
    <t>Reetika</t>
  </si>
  <si>
    <t>Reetika Singh</t>
  </si>
  <si>
    <t>P26703048@student.nicmar.ac.in</t>
  </si>
  <si>
    <t>22-Sep-2006</t>
  </si>
  <si>
    <t>reading music</t>
  </si>
  <si>
    <t>Dharmendra Singh</t>
  </si>
  <si>
    <t>bussiness</t>
  </si>
  <si>
    <t>Poonam Singh</t>
  </si>
  <si>
    <t>hasanpur viron varansi uttarpradesh</t>
  </si>
  <si>
    <t>71354- GDMCAcad vill Gajapur po bankat varanasi up</t>
  </si>
  <si>
    <t xml:space="preserve">Varanasi </t>
  </si>
  <si>
    <t>71310 ss pub sch babatpur varanasi up</t>
  </si>
  <si>
    <t xml:space="preserve">Mahatama gandhi kashi Vidyapeeth varanasi </t>
  </si>
  <si>
    <t xml:space="preserve">Mahatma Gandhi kashi Vidyapeeth varanasi </t>
  </si>
  <si>
    <t>Python , web development,excel</t>
  </si>
  <si>
    <t>The climate agenda  | Intern  | Banaras city | Dec 2025 | Feb 2026 | 12 Weeks</t>
  </si>
  <si>
    <t>P26703049</t>
  </si>
  <si>
    <t>Ajaykumar</t>
  </si>
  <si>
    <t>Shirke</t>
  </si>
  <si>
    <t>Sanika Ajaykumar Shirke</t>
  </si>
  <si>
    <t>P26703049@student.nicmar.ac.in</t>
  </si>
  <si>
    <t>painting</t>
  </si>
  <si>
    <t>Ajaykymar</t>
  </si>
  <si>
    <t>mangal</t>
  </si>
  <si>
    <t>02, Plot No. 51 Behind Midas Suzuki Showroom, Savedi
ahilyanagar</t>
  </si>
  <si>
    <t>crompton greaves | quality manager | ahilyanagar | Dec 2024 | Jan 2025 | 4 Weeks
l&amp;t eletrical automation | project junior engineer | ahilyanagar | Jul 2022 | Aug 2022 | 4 Weeks</t>
  </si>
  <si>
    <t>P26703050</t>
  </si>
  <si>
    <t>Dhekre</t>
  </si>
  <si>
    <t>Gauri Nilesh  Dhekre</t>
  </si>
  <si>
    <t>P26703050@student.nicmar.ac.in</t>
  </si>
  <si>
    <t xml:space="preserve">Hindi, English , Marathi </t>
  </si>
  <si>
    <t>Drawing , coloring ,listening music,Beauty &amp; makeup,Fashion &amp; styling,Beach &amp; sunset outings,Creative project work,Writing/letters</t>
  </si>
  <si>
    <t>Nilesh Dhekre</t>
  </si>
  <si>
    <t xml:space="preserve">Swati Dhekre </t>
  </si>
  <si>
    <t>ganaraya, plot no: 27, tukum chandrapur</t>
  </si>
  <si>
    <t xml:space="preserve">BJM Carmel Academy Chandrapur </t>
  </si>
  <si>
    <t>Central Board of Secondary Education (CBSE), Chandrapur, Maharashtra</t>
  </si>
  <si>
    <t>Janta Mahavidyalaya, Chandrapur, Maharashtra</t>
  </si>
  <si>
    <t>Maharashtra State Board of Secondary and Higher Secondary Education, Nagpur Division, Maharashtra</t>
  </si>
  <si>
    <t xml:space="preserve">D.Y. Patil University Navi Mumbai </t>
  </si>
  <si>
    <t xml:space="preserve">School of Biotechnology and Bioinformatics , Navi Mumbai </t>
  </si>
  <si>
    <t>Python, SQL, R, MATLAB, C, JavaScript, HTML/CSS, MS Excel, MySQL, Pandas,ladder langauge , matlab, java</t>
  </si>
  <si>
    <t>All India Institute of Medical Sciences Nagpur  | Intern | Nagpur  | Dec 2025 | May 2026 | 25 Weeks | Campus Internship
Siemens  | Intern  | Nagpur  | Dec 2024 | Jan 2025 | 4 Weeks | Campus Internship</t>
  </si>
  <si>
    <t>Design Technology and Innovation 
Introduction to Operating System 
Current Regulatory Requirements for Conducting Clinical Trials in India for Investigational New Drugs</t>
  </si>
  <si>
    <t>P26703051</t>
  </si>
  <si>
    <t>P26703051@student.nicmar.ac.in</t>
  </si>
  <si>
    <t>P26703052</t>
  </si>
  <si>
    <t>Niraj</t>
  </si>
  <si>
    <t>Niraj Manoj Kale</t>
  </si>
  <si>
    <t>P26703052@student.nicmar.ac.in</t>
  </si>
  <si>
    <t>Hindi, English , Marathi ,German</t>
  </si>
  <si>
    <t>Manoj Kale</t>
  </si>
  <si>
    <t>Bussinessman</t>
  </si>
  <si>
    <t>Deepmala Kale</t>
  </si>
  <si>
    <t>9/1 shikshak wadi, ring road ,jalgaon</t>
  </si>
  <si>
    <t>P26703054</t>
  </si>
  <si>
    <t>Onkar</t>
  </si>
  <si>
    <t xml:space="preserve">DADASAHEB </t>
  </si>
  <si>
    <t>Sarade</t>
  </si>
  <si>
    <t>Onkar Dadasaheb  Sarade</t>
  </si>
  <si>
    <t>P26703054@student.nicmar.ac.in</t>
  </si>
  <si>
    <t>17-Dec-2003</t>
  </si>
  <si>
    <t xml:space="preserve">HINDI ,ENGLISH ,MARATHI </t>
  </si>
  <si>
    <t xml:space="preserve">TRAVELING ,RIDING ,EXPLORING NEW THINGS,ADVETUR,ADVENTUROUS ACTIVITY </t>
  </si>
  <si>
    <t xml:space="preserve">DADASAHEB SARADE </t>
  </si>
  <si>
    <t>GOVT EMPLOYE</t>
  </si>
  <si>
    <t>ARCHANA SARADE</t>
  </si>
  <si>
    <t>FLAT NO 301 A1 BUILDING
GREEN PARK SOCIETY ,</t>
  </si>
  <si>
    <t xml:space="preserve">ARMY PUBLIC SCHOLL </t>
  </si>
  <si>
    <t xml:space="preserve">WADIA COLLEGE </t>
  </si>
  <si>
    <t xml:space="preserve">MARATHWADA MITRA MANDAL COLLEGE OF ENGINEERING PUNE </t>
  </si>
  <si>
    <t>MS EXCEL ,POWERBI ,PYTHON ,C++ ,JIRA,SAP</t>
  </si>
  <si>
    <t>AURUM JEWELLS  | COFOUNDER  | PUNE | Feb 2025 | Aug 2026 | 1 Years, 6 Months, 24 Days | 4 
NCC | SENIOR CADET  | PUNE | Jun 2023 | Mar 2026 | 2 Years, 8 Months, 9 Days | 0</t>
  </si>
  <si>
    <t>P26703055</t>
  </si>
  <si>
    <t>Tanishq</t>
  </si>
  <si>
    <t>Vasant</t>
  </si>
  <si>
    <t>Madan</t>
  </si>
  <si>
    <t>Tanishq Vasant Madan</t>
  </si>
  <si>
    <t>P26703055@student.nicmar.ac.in</t>
  </si>
  <si>
    <t>English,marathi Hindi</t>
  </si>
  <si>
    <t>Music, Football,Gaming</t>
  </si>
  <si>
    <t>Vasant Madan</t>
  </si>
  <si>
    <t>Extension Officer</t>
  </si>
  <si>
    <t>Sunita Madan</t>
  </si>
  <si>
    <t>159, Mhada Colony Ambad road Jalna</t>
  </si>
  <si>
    <t>501, JD towers, Laxmi Chowk Hinjewadi</t>
  </si>
  <si>
    <t>Podar International School Jalna</t>
  </si>
  <si>
    <t>Jalna Education Society</t>
  </si>
  <si>
    <t>Secondary and higher Secondary Education Pune</t>
  </si>
  <si>
    <t>Savitribai Phule University Pune</t>
  </si>
  <si>
    <t>Sinhagad College of Arts and Commerce narhe</t>
  </si>
  <si>
    <t>Excel Route Cause Analsys Problem Solving Technical Service support</t>
  </si>
  <si>
    <t>Compucom CSI system | Service desk Technician I | Kharadi, Pune | Dec 2023 | Feb 2025 | 1 Years, 1 Months, 27 Days | 2.65</t>
  </si>
  <si>
    <t>P26703056</t>
  </si>
  <si>
    <t>Deepak</t>
  </si>
  <si>
    <t>Nanasaheb</t>
  </si>
  <si>
    <t>Sarade Deepak Nanasaheb</t>
  </si>
  <si>
    <t>deepaksarade.dsp7@gmail.com</t>
  </si>
  <si>
    <t>P26703056@student.nicmar.ac.in</t>
  </si>
  <si>
    <t>Music,Movies,Driving</t>
  </si>
  <si>
    <t>Nanasaheb Rajendra Sarade</t>
  </si>
  <si>
    <t>Pooja Nanasaheb Sarade</t>
  </si>
  <si>
    <t>A/P Kangaon, Near Vitthal Temple, Tal - Daund, Dist - Pune</t>
  </si>
  <si>
    <t>A502, GT Pride, Near Sentosa Resort, Ravet, PCMC</t>
  </si>
  <si>
    <t>Aadarsh Vidyalaya Kangaon</t>
  </si>
  <si>
    <t>State Board, Maharashtra</t>
  </si>
  <si>
    <t xml:space="preserve">Gopinath Jr. College, Varvand  </t>
  </si>
  <si>
    <t>KIT College of Engineering, Kolhapur, Maharashra</t>
  </si>
  <si>
    <t>Microsoft Office 365 (Excel/Word/Powerpoint/Outlook),AutoCAD,SAP Material Management,ERP (WorksWare/PCSoft)</t>
  </si>
  <si>
    <t>Vivian Conveyors Pvt. Ltd. | Purchase In Charge | Pune | Oct 2025 | May 2026 | 0 Years, 7 Months, 15 Days | 4.02
Cee Dee Vacuum Equipment Pvt. Ltd. | Graduate Engineer Trainee - Proposal &amp; Estimation  | Pune | Jan 2024 | Apr 2025 | 1 Years, 3 Months, 1 Days | 3</t>
  </si>
  <si>
    <t>Hemant Precool &amp; Agrotech Pvt. Ltd. | Intern - Material Management | Sangli | Jul 2023 | Jan 2024 | 24 Weeks
J.D. Industries, Belgaum | Intern - Process | Belgaum | Jan 2023 | Apr 2023 | 13 Weeks</t>
  </si>
  <si>
    <t>SAP Material Management
Lean Six Sigma Green Belt
Certified Ready Engineer by Tata Technologies</t>
  </si>
  <si>
    <t>P26703057</t>
  </si>
  <si>
    <t>P26703057@student.nicmar.ac.in</t>
  </si>
  <si>
    <t>P26703058</t>
  </si>
  <si>
    <t>Alaspure</t>
  </si>
  <si>
    <t>Manish Gajanan Alaspure</t>
  </si>
  <si>
    <t>P26703058@student.nicmar.ac.in</t>
  </si>
  <si>
    <t>BADMINTON,ESPORTS,MUSIC,BIKE RIDE</t>
  </si>
  <si>
    <t>GAJANAN ALASPURE</t>
  </si>
  <si>
    <t>SUNITA ALASPURE</t>
  </si>
  <si>
    <t>S/O: Gajanan Alaspure, Bharaswadi, Ward no.2, Nimbhora delwadi, Tivsa</t>
  </si>
  <si>
    <t>CBSE/MAHARASHTRA/AMRAVATI</t>
  </si>
  <si>
    <t xml:space="preserve">SCHOOL OF SCHOLARS </t>
  </si>
  <si>
    <t xml:space="preserve">MIT COLLEGE OF MANAGEMENT PUNE/MAHARASHTRA </t>
  </si>
  <si>
    <t>MS EXCEL</t>
  </si>
  <si>
    <t>Shri Ram Nagari Sahakari Pat Sanstha Maryadit | Marketing Intern | TIVSA | Jun 2024 | Aug 2024 | 8 Weeks</t>
  </si>
  <si>
    <t>P26703059</t>
  </si>
  <si>
    <t>Praval</t>
  </si>
  <si>
    <t xml:space="preserve">Keshav </t>
  </si>
  <si>
    <t>Mittal</t>
  </si>
  <si>
    <t>Praval Keshav  Mittal</t>
  </si>
  <si>
    <t>P26703059@student.nicmar.ac.in</t>
  </si>
  <si>
    <t>03-Jun-2004</t>
  </si>
  <si>
    <t xml:space="preserve">Hindi,english </t>
  </si>
  <si>
    <t>Cricket, gaming ,music '</t>
  </si>
  <si>
    <t>Keshav Mittal</t>
  </si>
  <si>
    <t>Businesman</t>
  </si>
  <si>
    <t>Neetu Mittal</t>
  </si>
  <si>
    <t>168 jiwaji ganj morena</t>
  </si>
  <si>
    <t>P26703060</t>
  </si>
  <si>
    <t>MohammedAdil</t>
  </si>
  <si>
    <t>MohammedAiyub</t>
  </si>
  <si>
    <t>Shaikh Mohammedadil Mohammedaiyub</t>
  </si>
  <si>
    <t>P26703060@student.nicmar.ac.in</t>
  </si>
  <si>
    <t>09-Jun-2006</t>
  </si>
  <si>
    <t>Hindi, English, Gujarati</t>
  </si>
  <si>
    <t>Exploring new things to learn</t>
  </si>
  <si>
    <t>Aiyub shaikh</t>
  </si>
  <si>
    <t>Najma Shaikh</t>
  </si>
  <si>
    <t>42/A, Chirag park, bombay hotel, danilimda road</t>
  </si>
  <si>
    <t>Markaz Public School</t>
  </si>
  <si>
    <t>NCERT</t>
  </si>
  <si>
    <t>Nelson's High School</t>
  </si>
  <si>
    <t>JG University</t>
  </si>
  <si>
    <t>JG University Ahmedabad</t>
  </si>
  <si>
    <t>21 Days PPT With AI Micro Course
Excel</t>
  </si>
  <si>
    <t>P26703061</t>
  </si>
  <si>
    <t>P26703061@student.nicmar.ac.in</t>
  </si>
  <si>
    <t>P26703062</t>
  </si>
  <si>
    <t>P26703062@student.nicmar.ac.in</t>
  </si>
  <si>
    <t>P26703063</t>
  </si>
  <si>
    <t>P26703063@student.nicmar.ac.in</t>
  </si>
  <si>
    <t>P26703064</t>
  </si>
  <si>
    <t>P26703064@student.nicmar.ac.in</t>
  </si>
  <si>
    <t>P26703065</t>
  </si>
  <si>
    <t>P26703065@student.nicmar.ac.in</t>
  </si>
  <si>
    <t>P26703066</t>
  </si>
  <si>
    <t>P26703066@student.nicmar.ac.in</t>
  </si>
  <si>
    <t>P26703067</t>
  </si>
  <si>
    <t>Paresh</t>
  </si>
  <si>
    <t>Varule</t>
  </si>
  <si>
    <t>Vedant  Paresh Varule</t>
  </si>
  <si>
    <t>P26703067@student.nicmar.ac.in</t>
  </si>
  <si>
    <t>English, hindi,marathi,gujrati</t>
  </si>
  <si>
    <t>Reading Book, Listning to music,writting poem/shairy,running and cycling,workout at gym</t>
  </si>
  <si>
    <t>Paresh Varule</t>
  </si>
  <si>
    <t>Civil Engineer, Employed at LnT</t>
  </si>
  <si>
    <t>Vaishali Varule</t>
  </si>
  <si>
    <t>1003, Vitha Govind CHS, Plot no. 3E, Sector 20, Opp DK Tower, Airoli</t>
  </si>
  <si>
    <t>St. Xavier's High School, Airoli</t>
  </si>
  <si>
    <t>Diploma in Mechanical Enginerring</t>
  </si>
  <si>
    <t>K J Somaiya Polytechnic, Vidyvihar</t>
  </si>
  <si>
    <t>Datta Meghe College Of Engineering, Airoli</t>
  </si>
  <si>
    <t>P26703068</t>
  </si>
  <si>
    <t>Kartik</t>
  </si>
  <si>
    <t>Hemantbhai</t>
  </si>
  <si>
    <t>Kartik Hemantbhai Patel</t>
  </si>
  <si>
    <t>P26703068@student.nicmar.ac.in</t>
  </si>
  <si>
    <t>Music,Readind,chess,cricket</t>
  </si>
  <si>
    <t>Hemantbhai Premjibhai Patel</t>
  </si>
  <si>
    <t>Premilaben Hemantbhai Patel</t>
  </si>
  <si>
    <t>Opposite P.H.C., Medhla Faliyu, Karcheliya, Surat, 394240</t>
  </si>
  <si>
    <t>A B School</t>
  </si>
  <si>
    <t>Gujarat Secondary and Higher Secondary Education Board/Navsari</t>
  </si>
  <si>
    <t>Kadi Sarva Vishwavidyalaya</t>
  </si>
  <si>
    <t>LDRP Institute of Technology and Research</t>
  </si>
  <si>
    <t>PHP,JavaScript,MS Office,AI Prompting,Java,Python,Kali Linux</t>
  </si>
  <si>
    <t>Digitattva Technolabs | Intern in Web Devlopment | Surat | Feb 2025 | Apr 2025 | 12 Weeks</t>
  </si>
  <si>
    <t>P26703069</t>
  </si>
  <si>
    <t>P26703069@student.nicmar.ac.in</t>
  </si>
  <si>
    <t>Mula public school</t>
  </si>
  <si>
    <t>Sonai</t>
  </si>
  <si>
    <t>Recidential junior college</t>
  </si>
  <si>
    <t>Ahilyanagar</t>
  </si>
  <si>
    <t xml:space="preserve">Savatribai phule university </t>
  </si>
  <si>
    <t>Sinhgad college of science pune</t>
  </si>
  <si>
    <t>Bachelor of Science (B.Sc. IT)</t>
  </si>
  <si>
    <t>Ms project</t>
  </si>
  <si>
    <t>P26703070</t>
  </si>
  <si>
    <t>P26703070@student.nicmar.ac.in</t>
  </si>
  <si>
    <t>P26703071</t>
  </si>
  <si>
    <t>Gaurang</t>
  </si>
  <si>
    <t>Gajendra</t>
  </si>
  <si>
    <t>Todkar</t>
  </si>
  <si>
    <t>Gaurang Gajendra Todkar</t>
  </si>
  <si>
    <t>P26703071@student.nicmar.ac.in</t>
  </si>
  <si>
    <t>09-Nov-2004</t>
  </si>
  <si>
    <t xml:space="preserve">Playing Hockey , playing cricket </t>
  </si>
  <si>
    <t>Gajendra Sudhakar Todkar</t>
  </si>
  <si>
    <t xml:space="preserve">Savita Gajendra Todkar </t>
  </si>
  <si>
    <t xml:space="preserve">Chandrakant Residency ,Rajarampuri 7th lane, kolhapur </t>
  </si>
  <si>
    <t>CBSE/Kolhapur/Maharashtra</t>
  </si>
  <si>
    <t xml:space="preserve">Shivaji University Kolhapur </t>
  </si>
  <si>
    <t xml:space="preserve">Walchand College Of Engineering Sangli / Sangli /Maharashtra </t>
  </si>
  <si>
    <t>Python , SQL</t>
  </si>
  <si>
    <t>P26703072</t>
  </si>
  <si>
    <t>P26703072@student.nicmar.ac.in</t>
  </si>
  <si>
    <t>P26702001</t>
  </si>
  <si>
    <t>P26702001@student.nicmar.ac.in</t>
  </si>
  <si>
    <t>P26702002</t>
  </si>
  <si>
    <t>P26702002@student.nicmar.ac.in</t>
  </si>
  <si>
    <t>P26702003</t>
  </si>
  <si>
    <t>P26702003@student.nicmar.ac.in</t>
  </si>
  <si>
    <t>P26702004</t>
  </si>
  <si>
    <t>P26702004@student.nicmar.ac.in</t>
  </si>
  <si>
    <t>P26702005</t>
  </si>
  <si>
    <t>P26702005@student.nicmar.ac.in</t>
  </si>
  <si>
    <t>P26702006</t>
  </si>
  <si>
    <t>P26702006@student.nicmar.ac.in</t>
  </si>
  <si>
    <t>P26702007</t>
  </si>
  <si>
    <t>P26702007@student.nicmar.ac.in</t>
  </si>
  <si>
    <t>P26702008</t>
  </si>
  <si>
    <t>P26702008@student.nicmar.ac.in</t>
  </si>
  <si>
    <t>P26702009</t>
  </si>
  <si>
    <t>P26702009@student.nicmar.ac.in</t>
  </si>
  <si>
    <t>P26702010</t>
  </si>
  <si>
    <t>P26702010@student.nicmar.ac.in</t>
  </si>
  <si>
    <t>P26702011</t>
  </si>
  <si>
    <t>P26702011@student.nicmar.ac.in</t>
  </si>
  <si>
    <t>P26702012</t>
  </si>
  <si>
    <t>P26702012@student.nicmar.ac.in</t>
  </si>
  <si>
    <t>P26702013</t>
  </si>
  <si>
    <t>P26702013@student.nicmar.ac.in</t>
  </si>
  <si>
    <t>P26702014</t>
  </si>
  <si>
    <t>P26702014@student.nicmar.ac.in</t>
  </si>
  <si>
    <t>P26702015</t>
  </si>
  <si>
    <t>P26702015@student.nicmar.ac.in</t>
  </si>
  <si>
    <t>P26702016</t>
  </si>
  <si>
    <t>P26702016@student.nicmar.ac.in</t>
  </si>
  <si>
    <t>P26702017</t>
  </si>
  <si>
    <t>P26702017@student.nicmar.ac.in</t>
  </si>
  <si>
    <t>P26702018</t>
  </si>
  <si>
    <t>P26702018@student.nicmar.ac.in</t>
  </si>
  <si>
    <t>P26702019</t>
  </si>
  <si>
    <t>P26702019@student.nicmar.ac.in</t>
  </si>
  <si>
    <t>P26702020</t>
  </si>
  <si>
    <t>P26702020@student.nicmar.ac.in</t>
  </si>
  <si>
    <t>P26702021</t>
  </si>
  <si>
    <t>P26702021@student.nicmar.ac.in</t>
  </si>
  <si>
    <t>P26702022</t>
  </si>
  <si>
    <t>P26702022@student.nicmar.ac.in</t>
  </si>
  <si>
    <t>P26702023</t>
  </si>
  <si>
    <t>P26702023@student.nicmar.ac.in</t>
  </si>
  <si>
    <t>P26702024</t>
  </si>
  <si>
    <t>P26702024@student.nicmar.ac.in</t>
  </si>
  <si>
    <t>P26702025</t>
  </si>
  <si>
    <t>P26702025@student.nicmar.ac.in</t>
  </si>
  <si>
    <t>P26702026</t>
  </si>
  <si>
    <t>P26702026@student.nicmar.ac.in</t>
  </si>
  <si>
    <t>P26702027</t>
  </si>
  <si>
    <t>P26702027@student.nicmar.ac.in</t>
  </si>
  <si>
    <t>P26702028</t>
  </si>
  <si>
    <t>P26702028@student.nicmar.ac.in</t>
  </si>
  <si>
    <t>P26702029</t>
  </si>
  <si>
    <t>P26702029@student.nicmar.ac.in</t>
  </si>
  <si>
    <t>P26702030</t>
  </si>
  <si>
    <t>P26702030@student.nicmar.ac.in</t>
  </si>
  <si>
    <t>P26702031</t>
  </si>
  <si>
    <t>P26702031@student.nicmar.ac.in</t>
  </si>
  <si>
    <t>P26702032</t>
  </si>
  <si>
    <t>P26702032@student.nicmar.ac.in</t>
  </si>
  <si>
    <t>P26702033</t>
  </si>
  <si>
    <t>P26702033@student.nicmar.ac.in</t>
  </si>
  <si>
    <t>P26702034</t>
  </si>
  <si>
    <t>P26702034@student.nicmar.ac.in</t>
  </si>
  <si>
    <t>P26702035</t>
  </si>
  <si>
    <t>P26702035@student.nicmar.ac.in</t>
  </si>
  <si>
    <t>P26702036</t>
  </si>
  <si>
    <t>P26702036@student.nicmar.ac.in</t>
  </si>
  <si>
    <t>P26702037</t>
  </si>
  <si>
    <t>P26702037@student.nicmar.ac.in</t>
  </si>
  <si>
    <t>P26702038</t>
  </si>
  <si>
    <t>P26702038@student.nicmar.ac.in</t>
  </si>
  <si>
    <t>P26702039</t>
  </si>
  <si>
    <t>P26702039@student.nicmar.ac.in</t>
  </si>
  <si>
    <t>P26702040</t>
  </si>
  <si>
    <t>P26702040@student.nicmar.ac.in</t>
  </si>
  <si>
    <t>P26702041</t>
  </si>
  <si>
    <t>P26702041@student.nicmar.ac.in</t>
  </si>
  <si>
    <t>P26702042</t>
  </si>
  <si>
    <t>P26702042@student.nicmar.ac.in</t>
  </si>
  <si>
    <t>P26702043</t>
  </si>
  <si>
    <t>P26702043@student.nicmar.ac.in</t>
  </si>
  <si>
    <t>P26702044</t>
  </si>
  <si>
    <t>P26702044@student.nicmar.ac.in</t>
  </si>
  <si>
    <t>P26702045</t>
  </si>
  <si>
    <t>P26702045@student.nicmar.ac.in</t>
  </si>
  <si>
    <t>P26702046</t>
  </si>
  <si>
    <t>P26702046@student.nicmar.ac.in</t>
  </si>
  <si>
    <t>P26702047</t>
  </si>
  <si>
    <t>P26702047@student.nicmar.ac.in</t>
  </si>
  <si>
    <t>P26702048</t>
  </si>
  <si>
    <t>P26702048@student.nicmar.ac.in</t>
  </si>
  <si>
    <t>P26702049</t>
  </si>
  <si>
    <t>P26702049@student.nicmar.ac.in</t>
  </si>
  <si>
    <t>P26702050</t>
  </si>
  <si>
    <t>P26702050@student.nicmar.ac.in</t>
  </si>
  <si>
    <t>P26702051</t>
  </si>
  <si>
    <t>P26702051@student.nicmar.ac.in</t>
  </si>
  <si>
    <t>P26702052</t>
  </si>
  <si>
    <t>P26702052@student.nicmar.ac.in</t>
  </si>
  <si>
    <t>P26702053</t>
  </si>
  <si>
    <t>P26702053@student.nicmar.ac.in</t>
  </si>
  <si>
    <t>P26702054</t>
  </si>
  <si>
    <t>P26702054@student.nicmar.ac.in</t>
  </si>
  <si>
    <t>P26702055</t>
  </si>
  <si>
    <t>P26702055@student.nicmar.ac.in</t>
  </si>
  <si>
    <t>P26702056</t>
  </si>
  <si>
    <t>P26702056@student.nicmar.ac.in</t>
  </si>
  <si>
    <t>P26702057</t>
  </si>
  <si>
    <t>P26702057@student.nicmar.ac.in</t>
  </si>
  <si>
    <t>P26702058</t>
  </si>
  <si>
    <t>P26702058@student.nicmar.ac.in</t>
  </si>
  <si>
    <t>P26702059</t>
  </si>
  <si>
    <t>P26702059@student.nicmar.ac.in</t>
  </si>
  <si>
    <t>P26702060</t>
  </si>
  <si>
    <t>P26702060@student.nicmar.ac.in</t>
  </si>
  <si>
    <t>P26702061</t>
  </si>
  <si>
    <t>P26702061@student.nicmar.ac.in</t>
  </si>
  <si>
    <t>P26702063</t>
  </si>
  <si>
    <t>P26702063@student.nicmar.ac.in</t>
  </si>
  <si>
    <t>P26702064</t>
  </si>
  <si>
    <t>P26702064@student.nicmar.ac.in</t>
  </si>
  <si>
    <t>P26702065</t>
  </si>
  <si>
    <t>P26702065@student.nicmar.ac.in</t>
  </si>
  <si>
    <t>P26702066</t>
  </si>
  <si>
    <t>P26702066@student.nicmar.ac.in</t>
  </si>
  <si>
    <t>P26702067</t>
  </si>
  <si>
    <t>P26702067@student.nicmar.ac.in</t>
  </si>
  <si>
    <t>P26702068</t>
  </si>
  <si>
    <t>P26702068@student.nicmar.ac.in</t>
  </si>
  <si>
    <t>P26702069</t>
  </si>
  <si>
    <t>P26702069@student.nicmar.ac.in</t>
  </si>
  <si>
    <t>P26702071</t>
  </si>
  <si>
    <t>P26702071@student.nicmar.ac.in</t>
  </si>
  <si>
    <t>P26702072</t>
  </si>
  <si>
    <t>P26702072@student.nicmar.ac.in</t>
  </si>
  <si>
    <t>P26702073</t>
  </si>
  <si>
    <t>P26702073@student.nicmar.ac.in</t>
  </si>
  <si>
    <t>P26702074</t>
  </si>
  <si>
    <t>P26702074@student.nicmar.ac.in</t>
  </si>
  <si>
    <t>P26702075</t>
  </si>
  <si>
    <t>P26702075@student.nicmar.ac.in</t>
  </si>
  <si>
    <t>P26702076</t>
  </si>
  <si>
    <t>P26702076@student.nicmar.ac.in</t>
  </si>
  <si>
    <t>P26702077</t>
  </si>
  <si>
    <t>P26702077@student.nicmar.ac.in</t>
  </si>
  <si>
    <t>P26702078</t>
  </si>
  <si>
    <t>P26702078@student.nicmar.ac.in</t>
  </si>
  <si>
    <t>P26702079</t>
  </si>
  <si>
    <t>P26702079@student.nicmar.ac.in</t>
  </si>
  <si>
    <t>P26702080</t>
  </si>
  <si>
    <t>P26702080@student.nicmar.ac.in</t>
  </si>
  <si>
    <t>P26702081</t>
  </si>
  <si>
    <t>P26702081@student.nicmar.ac.in</t>
  </si>
  <si>
    <t>P26702082</t>
  </si>
  <si>
    <t>P26702082@student.nicmar.ac.in</t>
  </si>
  <si>
    <t>P26702084</t>
  </si>
  <si>
    <t>P26702084@student.nicmar.ac.in</t>
  </si>
  <si>
    <t>P26702085</t>
  </si>
  <si>
    <t>P26702085@student.nicmar.ac.in</t>
  </si>
  <si>
    <t>P26702086</t>
  </si>
  <si>
    <t>P26702086@student.nicmar.ac.in</t>
  </si>
  <si>
    <t>P26702087</t>
  </si>
  <si>
    <t>P26702087@student.nicmar.ac.in</t>
  </si>
  <si>
    <t>P26702088</t>
  </si>
  <si>
    <t>P26702088@student.nicmar.ac.in</t>
  </si>
  <si>
    <t>P26702089</t>
  </si>
  <si>
    <t>P26702089@student.nicmar.ac.in</t>
  </si>
  <si>
    <t>P26702090</t>
  </si>
  <si>
    <t>P26702090@student.nicmar.ac.in</t>
  </si>
  <si>
    <t>P26702091</t>
  </si>
  <si>
    <t>P26702091@student.nicmar.ac.in</t>
  </si>
  <si>
    <t>P26702092</t>
  </si>
  <si>
    <t>P26702092@student.nicmar.ac.in</t>
  </si>
  <si>
    <t>P26702093</t>
  </si>
  <si>
    <t>P26702093@student.nicmar.ac.in</t>
  </si>
  <si>
    <t>P26702094</t>
  </si>
  <si>
    <t>P26702094@student.nicmar.ac.in</t>
  </si>
  <si>
    <t>P26702095</t>
  </si>
  <si>
    <t>P26702095@student.nicmar.ac.in</t>
  </si>
  <si>
    <t>P26702096</t>
  </si>
  <si>
    <t>P26702096@student.nicmar.ac.in</t>
  </si>
  <si>
    <t>P26702097</t>
  </si>
  <si>
    <t>P26702097@student.nicmar.ac.in</t>
  </si>
  <si>
    <t>P26702098</t>
  </si>
  <si>
    <t>P26702098@student.nicmar.ac.in</t>
  </si>
  <si>
    <t>P26702099</t>
  </si>
  <si>
    <t>P26702099@student.nicmar.ac.in</t>
  </si>
  <si>
    <t>P26702100</t>
  </si>
  <si>
    <t>P26702100@student.nicmar.ac.in</t>
  </si>
  <si>
    <t>P26702101</t>
  </si>
  <si>
    <t>P26702101@student.nicmar.ac.in</t>
  </si>
  <si>
    <t>P26702102</t>
  </si>
  <si>
    <t>P26702102@student.nicmar.ac.in</t>
  </si>
  <si>
    <t>P26702103</t>
  </si>
  <si>
    <t>P26702103@student.nicmar.ac.in</t>
  </si>
  <si>
    <t>P26702104</t>
  </si>
  <si>
    <t>P26702104@student.nicmar.ac.in</t>
  </si>
  <si>
    <t>P26702105</t>
  </si>
  <si>
    <t>P26702105@student.nicmar.ac.in</t>
  </si>
  <si>
    <t>P26702106</t>
  </si>
  <si>
    <t>P26702106@student.nicmar.ac.in</t>
  </si>
  <si>
    <t>P26702107</t>
  </si>
  <si>
    <t>P26702107@student.nicmar.ac.in</t>
  </si>
  <si>
    <t>P26702109</t>
  </si>
  <si>
    <t>P26702109@student.nicmar.ac.in</t>
  </si>
  <si>
    <t>P26702110</t>
  </si>
  <si>
    <t>P26702110@student.nicmar.ac.in</t>
  </si>
  <si>
    <t>P26702111</t>
  </si>
  <si>
    <t>P26702111@student.nicmar.ac.in</t>
  </si>
  <si>
    <t>P26702112</t>
  </si>
  <si>
    <t>P26702112@student.nicmar.ac.in</t>
  </si>
  <si>
    <t>P26702113</t>
  </si>
  <si>
    <t>P26702113@student.nicmar.ac.in</t>
  </si>
  <si>
    <t>P26702114</t>
  </si>
  <si>
    <t>P26702114@student.nicmar.ac.in</t>
  </si>
  <si>
    <t>P26702116</t>
  </si>
  <si>
    <t>P26702116@student.nicmar.ac.in</t>
  </si>
  <si>
    <t>P26702117</t>
  </si>
  <si>
    <t>P26702117@student.nicmar.ac.in</t>
  </si>
  <si>
    <t>P26702118</t>
  </si>
  <si>
    <t>P26702118@student.nicmar.ac.in</t>
  </si>
  <si>
    <t>P26702119</t>
  </si>
  <si>
    <t>P26702119@student.nicmar.ac.in</t>
  </si>
  <si>
    <t>P26702120</t>
  </si>
  <si>
    <t>P26702120@student.nicmar.ac.in</t>
  </si>
  <si>
    <t>P26702121</t>
  </si>
  <si>
    <t>P26702121@student.nicmar.ac.in</t>
  </si>
  <si>
    <t>P26702122</t>
  </si>
  <si>
    <t>P26702122@student.nicmar.ac.in</t>
  </si>
  <si>
    <t>P26702123</t>
  </si>
  <si>
    <t>P26702123@student.nicmar.ac.in</t>
  </si>
  <si>
    <t>P26702124</t>
  </si>
  <si>
    <t>P26702124@student.nicmar.ac.in</t>
  </si>
  <si>
    <t>P26702125</t>
  </si>
  <si>
    <t>P26702125@student.nicmar.ac.in</t>
  </si>
  <si>
    <t>P26702126</t>
  </si>
  <si>
    <t>P26702126@student.nicmar.ac.in</t>
  </si>
  <si>
    <t>P26702127</t>
  </si>
  <si>
    <t>P26702127@student.nicmar.ac.in</t>
  </si>
  <si>
    <t>P26702128</t>
  </si>
  <si>
    <t>P26702128@student.nicmar.ac.in</t>
  </si>
  <si>
    <t>P26702130</t>
  </si>
  <si>
    <t>P26702130@student.nicmar.ac.in</t>
  </si>
  <si>
    <t>P26702131</t>
  </si>
  <si>
    <t>P26702131@student.nicmar.ac.in</t>
  </si>
  <si>
    <t>P26702132</t>
  </si>
  <si>
    <t>P26702132@student.nicmar.ac.in</t>
  </si>
  <si>
    <t>P26702133</t>
  </si>
  <si>
    <t>P26702133@student.nicmar.ac.in</t>
  </si>
  <si>
    <t>P26702134</t>
  </si>
  <si>
    <t>P26702134@student.nicmar.ac.in</t>
  </si>
  <si>
    <t>P26702135</t>
  </si>
  <si>
    <t>P26702135@student.nicmar.ac.in</t>
  </si>
  <si>
    <t>P26702136</t>
  </si>
  <si>
    <t>P26702136@student.nicmar.ac.in</t>
  </si>
  <si>
    <t>P26702137</t>
  </si>
  <si>
    <t>P26702137@student.nicmar.ac.in</t>
  </si>
  <si>
    <t>P26702138</t>
  </si>
  <si>
    <t>P26702138@student.nicmar.ac.in</t>
  </si>
  <si>
    <t>P26702139</t>
  </si>
  <si>
    <t>P26702139@student.nicmar.ac.in</t>
  </si>
  <si>
    <t>P26702140</t>
  </si>
  <si>
    <t>P26702140@student.nicmar.ac.in</t>
  </si>
  <si>
    <t>P26702141</t>
  </si>
  <si>
    <t>P26702141@student.nicmar.ac.in</t>
  </si>
  <si>
    <t>P26702142</t>
  </si>
  <si>
    <t>P26702142@student.nicmar.ac.in</t>
  </si>
  <si>
    <t>P26702143</t>
  </si>
  <si>
    <t>P26702143@student.nicmar.ac.in</t>
  </si>
  <si>
    <t>P26702144</t>
  </si>
  <si>
    <t>P26702144@student.nicmar.ac.in</t>
  </si>
  <si>
    <t>P24703013</t>
  </si>
  <si>
    <t>P24703013@student.nicmar.ac.in</t>
  </si>
  <si>
    <t>MBA-SEM</t>
  </si>
  <si>
    <t>P24706002</t>
  </si>
  <si>
    <t>KAUMUDI</t>
  </si>
  <si>
    <t>Bhole Kaumudi Vivek</t>
  </si>
  <si>
    <t>p24706002@student.nicmar.ac.in</t>
  </si>
  <si>
    <t>13-Mar-1999</t>
  </si>
  <si>
    <t>2340 9926 4993</t>
  </si>
  <si>
    <t>VIVEK DATTATRAY BHOLE</t>
  </si>
  <si>
    <t>YOGITA VIVEK BHOLE</t>
  </si>
  <si>
    <t>HOUSE NUMBER 886,887, CHAVDAR TALE, MAHAD, RAIGAD</t>
  </si>
  <si>
    <t>MILLENIUM GIRLS HOSTEL, NICMAR UNIVERSITY, BANER, PUNE</t>
  </si>
  <si>
    <t xml:space="preserve"> KONKAN EDUCATION SOCIETY'S PARVATIBAI MAHADEV THERVAL KANYA VIDYALAYA, MAHAD, RAIGAD</t>
  </si>
  <si>
    <t>SECONDARY SCHOOL CERTIFICATE MAHARASHTRA BOARD</t>
  </si>
  <si>
    <t>LAXMANRAO APTE JUNIOR COLLEGE, SHIVAJINAGAR, PUNE</t>
  </si>
  <si>
    <t>HIGHER SECONDARY CERTIFICATE MAHARASHTRA BOARD</t>
  </si>
  <si>
    <t>MIT WORLD PEACE UNIVERSITY, KOTHRUD, PUNE</t>
  </si>
  <si>
    <t xml:space="preserve"> MIT WORLD PEACE UNIVERSITY, KOTHRUD, PUNE</t>
  </si>
  <si>
    <t>MS Office,Primavera</t>
  </si>
  <si>
    <t>Swastik Edustart | GIS Intern | Delhi | May 2025 | Jul 2025 | 8 Weeks
GIS VISION INDIA | GIS Trainee | Assam | Apr 2023 | Jun 2023 | 12 Weeks</t>
  </si>
  <si>
    <t>P24706005</t>
  </si>
  <si>
    <t>BORRA</t>
  </si>
  <si>
    <t>Ajay Kiran Borra</t>
  </si>
  <si>
    <t>p24706005@student.nicmar.ac.in</t>
  </si>
  <si>
    <t>5690 6461 9810</t>
  </si>
  <si>
    <t>B APPA RAO</t>
  </si>
  <si>
    <t>B AMMAJAMMA</t>
  </si>
  <si>
    <t>H NO 2-2-80/1;Kotturu Narasingrao Peta; Anakapalli Mandalam; Visakhapatnam</t>
  </si>
  <si>
    <t>GOOD SHEPHERD ENGLISH MEDIUM SCHOOL</t>
  </si>
  <si>
    <t>JAWAHARLAL NEHRU TECHNOLOGICAL UNIVERSITY, VIZIANAGARAM</t>
  </si>
  <si>
    <t>BABA INSTITUTE OF TECHNOLOGY &amp; SCIENCES</t>
  </si>
  <si>
    <t>Auto CAD,MS Office,Primavera,C Programming</t>
  </si>
  <si>
    <t>URALUNGAL LABOUR CONTRACT CO-OPERATIVE SOCIETY (ULCCS) LTD | ENERGY MANAGEMENT INTERN | KOZHIKODE,KERALA | May 2025 | Jul 2025 | 8 Weeks</t>
  </si>
  <si>
    <t>Master Class On Python Programming
Manufacturing-CNC-Turning
AutoCAD 2D &amp; 3D</t>
  </si>
  <si>
    <t>P24706012</t>
  </si>
  <si>
    <t>RUCHI</t>
  </si>
  <si>
    <t>MALPANI</t>
  </si>
  <si>
    <t>Ruchi Pravinkumar Malpani</t>
  </si>
  <si>
    <t>p24706012@student.nicmar.ac.in</t>
  </si>
  <si>
    <t>French,Marathi</t>
  </si>
  <si>
    <t>5760 7220 6629</t>
  </si>
  <si>
    <t>PRAVINKUMAR MALPANI</t>
  </si>
  <si>
    <t>ARCHITECT AND INTERIOR DESIGNER</t>
  </si>
  <si>
    <t>SUSHAMA MALPANI</t>
  </si>
  <si>
    <t>Plot No.10 , Omsparshh Momentum Bungalow, Vivekanand Nagar, Behind Madhur Food Plaza, Pipeline Road, Gangapur Road</t>
  </si>
  <si>
    <t>KILBIL ST.JOSEPH'S HIGH SCHOOL</t>
  </si>
  <si>
    <t>MAHARASHTRA STATE BOARD, NASHIK</t>
  </si>
  <si>
    <t>H.P.T ARTS AND R.Y.K SCIENCE COLLEGE</t>
  </si>
  <si>
    <t>MET'S SCHOOL OF ARCHITECTURE AND INTERIOR DESIGN, NASHIK, MAHARASHTRA</t>
  </si>
  <si>
    <t>AutoCAD,Ms Office, Primavera,other</t>
  </si>
  <si>
    <t>Hundreddesigns | Architectural Intern | Surat | Jun 2022 | Nov 2022 | 23 Weeks
PRASURMA DESIGNS | Junior Architect | NASHIK | Jun 2023 | Jun 2024 | 54 Weeks
GRATTITUDE SYNERGY LLP |  SUSTAINABILITY ADVISORY INTERN | PUNE | May 2025 | Jul 2025 | 8 Weeks</t>
  </si>
  <si>
    <t>Linkedin Learning - What is Generative AI ?
Dronalaya - 10 day residential career skills booster program
NPTEL Online Certification - Technologies for Clean and Renewable Energy Production
Energy Audits conducted by Schneider Electric University
NPTEL Online Certification - Design Thinking (IIT Madras)
Council of Architecture (COA) Registration</t>
  </si>
  <si>
    <t>P24706013</t>
  </si>
  <si>
    <t>TEWARI</t>
  </si>
  <si>
    <t>Arpan Tewari</t>
  </si>
  <si>
    <t>p24706013@student.nicmar.ac.in</t>
  </si>
  <si>
    <t>24-Jul-1995</t>
  </si>
  <si>
    <t>Hindi</t>
  </si>
  <si>
    <t>5036 8087 6833</t>
  </si>
  <si>
    <t>ASHWANI TEWARI</t>
  </si>
  <si>
    <t>RETIRED DEPUTY DIRECTOR DGCA</t>
  </si>
  <si>
    <t>MANISHA TEWARI</t>
  </si>
  <si>
    <t>RETIRED JOINT DIRECTOR LOK SABHA</t>
  </si>
  <si>
    <t>D-21, Shyam Vihar Phase 1, Road Number 5, Street Number 7, Najafgarh, NCT Delhi</t>
  </si>
  <si>
    <t>SHANTI GYAN NIKETAN SENIOR SECONDARY PUBLIC SCHOOL</t>
  </si>
  <si>
    <t>LOVELY PROFESSIONAL UNIVERSITY, PUNJAB</t>
  </si>
  <si>
    <t>LOVELY SCHOOL OF ARCHITECTURE AND DESIGN, LOVELY PROFESSIONAL UNIVERSITY, PUNJAB</t>
  </si>
  <si>
    <t>AutoCADMS Office,Primavera,other</t>
  </si>
  <si>
    <t xml:space="preserve"> Chapman Taylor India LLP | Architect and BIM Coordinator | Safdarjung, New Delhi | Aug 2023 | Mar 2024 | 0 Years, 7 Months, 12 Days | 7.92
Tekton Studio | Senior Architect | Daryaganj, New Delhi | Oct 2020 | Dec 2022 | 2 Years, 1 Months, 19 Days | 3
Creative Group LLP | BIM Architect | Description: Roles &amp; Responsibilities: Projects: Gwalior Airport, Faridabad Railway Station, Howrah Railway Station Redevelopment, Rajkot Airport and NIT Patna Prepared architectural and working drawings, coordinated building services, and managed site an | Dec 2022 | Aug 2023 | 0 Years, 7 Months, 21 Days | 4.44</t>
  </si>
  <si>
    <t>Renu Khanna and Associates |  Architecture Internship | Panchkula, Chandigarh | Jan 2019 | May 2019 | 17 Weeks
Ecoboard Industries Limited | Summer Intern | Erandwane, Pune, Maharashtra | May 2025 | Jul 2025 | 8 Weeks</t>
  </si>
  <si>
    <t>Business Analyst
Technologies for Clean and Renewable Energy Production
IIT Madras - Design Thinking
Craste Internship Certification</t>
  </si>
  <si>
    <t>P24706014</t>
  </si>
  <si>
    <t>UKIDAVE</t>
  </si>
  <si>
    <t>Janhavi Girish Ukidave</t>
  </si>
  <si>
    <t>p24706014@student.nicmar.ac.in</t>
  </si>
  <si>
    <t>Hindi,Marathi</t>
  </si>
  <si>
    <t>2080 1494 8980</t>
  </si>
  <si>
    <t>UMA</t>
  </si>
  <si>
    <t>Flat No 4, Bldg No 1, Tapovan CHS, Tapodham Rd,Warje,Pune</t>
  </si>
  <si>
    <t>BHARATIYA VIDYA BHAVAN PARANJAPE VIDYA MANDIR</t>
  </si>
  <si>
    <t>THE MAHARASHTRA STATE BOARD OF SECONDARY &amp; HIGHER SECONDARY EDUCATION</t>
  </si>
  <si>
    <t>DR .B . N. COLLEGE OF ARCHITECTURE, PUNE</t>
  </si>
  <si>
    <t>Studio G+A |  Junior Architect | Pune | Jul 2023 | May 2024 | 0 Years, 10 Months, 7 Days | 2.05</t>
  </si>
  <si>
    <t>Footprints E.A.R.T.H | Architectural Intern | Ahmedabad,Gujrat | May 2022 | Nov 2022 | 26 Weeks
SHASHWAT Green Building Consultants | Green building Intern | Pune | May 2025 | Jul 2025 | 8 Weeks</t>
  </si>
  <si>
    <t>PGD-QSCM</t>
  </si>
  <si>
    <t>2025-2026</t>
  </si>
  <si>
    <t>P25600022</t>
  </si>
  <si>
    <t>Gaurav Sharma</t>
  </si>
  <si>
    <t>p25600022@student.nicmar.ac.in</t>
  </si>
  <si>
    <t>10-Dec-1995</t>
  </si>
  <si>
    <t>4282 7251 5035</t>
  </si>
  <si>
    <t xml:space="preserve">SUDHIR SHARMA </t>
  </si>
  <si>
    <t xml:space="preserve">DOCTOR </t>
  </si>
  <si>
    <t>SUSHMA SHARMA</t>
  </si>
  <si>
    <t xml:space="preserve">TEACHER </t>
  </si>
  <si>
    <t>Rajmahal Colony Kawardha Ward No 09</t>
  </si>
  <si>
    <t>Kabirdham</t>
  </si>
  <si>
    <t xml:space="preserve">THE HOLY KINGDOM </t>
  </si>
  <si>
    <t>CHHATTISGARH</t>
  </si>
  <si>
    <t>THE HOLY KINGDOM</t>
  </si>
  <si>
    <t>RUNGTA ENGINEERING COLLEGE</t>
  </si>
  <si>
    <t>AutoCAD,Ms Office</t>
  </si>
  <si>
    <t>P25600086</t>
  </si>
  <si>
    <t>HARAN</t>
  </si>
  <si>
    <t>Haran Surya S</t>
  </si>
  <si>
    <t>P25600086@student.nicmar.ac.in</t>
  </si>
  <si>
    <t>09-May-1999</t>
  </si>
  <si>
    <t>Tamil,MALAYALAM</t>
  </si>
  <si>
    <t>5894 5536 3088</t>
  </si>
  <si>
    <t>SHAJIMON B</t>
  </si>
  <si>
    <t>SUSAN</t>
  </si>
  <si>
    <t>NURSING ASSISTANT</t>
  </si>
  <si>
    <t>HARANS,MANNANCHERRY, PO ALAPPUZHA</t>
  </si>
  <si>
    <t>ST.JOSEPH' HIGHER SECONDARY SCHOOL PULINKUNNU</t>
  </si>
  <si>
    <t>BOARD OF PUBLIC EXAMINATIONS,KERALA</t>
  </si>
  <si>
    <t>LAJANATHUL MUHAMMADIYA HIGHER SECONDARY SCHOOL ALAPPUZHA</t>
  </si>
  <si>
    <t xml:space="preserve">BOARD OF PUBLIC EXAMINATIONS,KERALA </t>
  </si>
  <si>
    <t xml:space="preserve"> COCHIN UNIVERSITY OF SCIENCE AND TECHNOLOGY</t>
  </si>
  <si>
    <t>COCHIN UNIVERSITY COLLEGE OF ENGINEERING KUTTANADU,ALAPPUZHA</t>
  </si>
  <si>
    <t>Building Information Modeling (BIM)</t>
  </si>
  <si>
    <t>AutoCAD,MS Office,MS Project,Advanced Excel,Calquan</t>
  </si>
  <si>
    <t xml:space="preserve">	IREL(INDIA)LIMITED | Engineer Intern | KOLLAM,KERALA | Sep 2021 | Sep 2021 | 2 Weeks</t>
  </si>
  <si>
    <t>MBA-APM</t>
  </si>
  <si>
    <t>P25701019</t>
  </si>
  <si>
    <t>BONTA</t>
  </si>
  <si>
    <t>Bonta Sanjay</t>
  </si>
  <si>
    <t>sanjay.bonta@gmail.com</t>
  </si>
  <si>
    <t>p25701019@student.nicmar.ac.in</t>
  </si>
  <si>
    <t>Music Production,Photography,Traveling,Educational Videos</t>
  </si>
  <si>
    <t>7639 1896 3363</t>
  </si>
  <si>
    <t>BONTA JAYAKAR</t>
  </si>
  <si>
    <t>CONSULTANCY ENGINEER</t>
  </si>
  <si>
    <t>BONTA SHANTHI PRIYA</t>
  </si>
  <si>
    <t>No.201, Vasishta Enclave, Thota Vari Veedhi 7th Lane, Ajith Singh Nagar, Vijayawada</t>
  </si>
  <si>
    <t>AIR FORCE SCHOOL JORHAT</t>
  </si>
  <si>
    <t>CENTRAL BOARD OF SECONDARY EDUCATION ASSAM</t>
  </si>
  <si>
    <t>DELHI PUBLIC SCHOOL VIJAYAWADA</t>
  </si>
  <si>
    <t>CENTRAL BOARD OF SECONDARY EDUCATION VIJAYAWADA</t>
  </si>
  <si>
    <t>MS Excel, MS Project, PowerBI, Revit, AutoCAD, MS Powerpoint, Canva Designing</t>
  </si>
  <si>
    <t>SPRNG ENERGY PVT. LTD. | PROJECT MANAGEMENT INTERN | Pune, Maharashtra | May 2026 | Jul 2026 | 8 Weeks | Campus Internship
APCO INFRATECH PVT. LTD. (APCO) | TRAINEE ENGINEER  | FARIDABAD, HARYANA | Aug 2023 | Sep 2023 | 4 Weeks</t>
  </si>
  <si>
    <t>Forests and their Management
Entrepreneurship
Transportation, Sustainable Buildings, Green Construction
Product Development using AutoCAD
Construction Project Management</t>
  </si>
  <si>
    <t>P25701079</t>
  </si>
  <si>
    <t>MUHAMMAD ZAIN</t>
  </si>
  <si>
    <t>HASAN</t>
  </si>
  <si>
    <t>V Y</t>
  </si>
  <si>
    <t>Muhammad Zain Hasan V Y</t>
  </si>
  <si>
    <t>hasanzain201@gmail.com</t>
  </si>
  <si>
    <t>p25701079@student.nicmar.ac.in</t>
  </si>
  <si>
    <t>ENGLISH,MALAYALAM,KANNADA,HINDI,URDU,TAMIL,TELUGU,ARABIC</t>
  </si>
  <si>
    <t>Cooking,Teaching,Public Speaking</t>
  </si>
  <si>
    <t>4069 8621 5354</t>
  </si>
  <si>
    <t>MOHAMED YUNUS S H</t>
  </si>
  <si>
    <t>FAHMIDA YUNUS</t>
  </si>
  <si>
    <t>69, 4th Cross Telecom Layout Pipeline Road K.P Agrahara,Vijayanagar,Bengaluru</t>
  </si>
  <si>
    <t>THE NEW CAMBRIDGE ENGLISH SCHOOL</t>
  </si>
  <si>
    <t>COUNCIL FOR THE INDIAN SCHOOL CERTIFICATE EXAMINATIONS,BENGALURU,KARNATAKA.</t>
  </si>
  <si>
    <t>HUDA NATIONAL PU COLLEGE</t>
  </si>
  <si>
    <t>DEPARTMENT OF PRE UNIVERSITY EDUCATION, GOVERNMENT OF KARNATAKA, BENGALURU,KARNATAKA.</t>
  </si>
  <si>
    <t>BMS COLLEGE OF ENGINEERING,BENGALURU,KARNATAKA.</t>
  </si>
  <si>
    <t>AutoCAD,MS Office,MS Project,Primavera,MS Excel,DS Simulia,Power BI</t>
  </si>
  <si>
    <t>Ozen Consultancy | Operations Manager | Bengaluru | Mar 2024 | Jun 2025 | 1 Years, 3 Months, 19 Days | 2.4</t>
  </si>
  <si>
    <t>Sobha Limited  | Planning Intern | BENGALURU | May 2026 | Jul 2026 | 9 Weeks | Campus Internship
Enlightening Trust | Tutor  | Bengaluru | Jun 2020 | Jul 2024 | 213 Weeks
LA FOUNDATION  DASSAULT SYSTEMES | Project Intern | BENGALURU | Jun 2022 | May 2024 | 102 Weeks
Build A Home | Site Engineer | Bengaluru | Sep 2023 | Nov 2023 | 8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</si>
  <si>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</si>
  <si>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P25701096</t>
  </si>
  <si>
    <t>MAGADUM</t>
  </si>
  <si>
    <t>Akshata Bhanudas Magadum</t>
  </si>
  <si>
    <t>ar.akshatamagadum@gmail.com</t>
  </si>
  <si>
    <t>p25701096@student.nicmar.ac.in</t>
  </si>
  <si>
    <t>Reading,Dancing,Cooking,Badminton</t>
  </si>
  <si>
    <t>3868 7095 4202</t>
  </si>
  <si>
    <t>2201, Aishwarya Heights, Mithagar Road, Mulund East</t>
  </si>
  <si>
    <t>HOLY CROSS CONVENT SCHOOL</t>
  </si>
  <si>
    <t>HOLY CROSS CONVENT SCHOOL AND JUNIOR COLLEGE</t>
  </si>
  <si>
    <t>DR. BALIRAM HIRAY COLLEGE OF ARCHITECTURE, BANDRA, MUMBAI</t>
  </si>
  <si>
    <t>AutoCAD,MS Office,MS Project,Primavera,Revit,Photoshop,SPSS,@Risk</t>
  </si>
  <si>
    <t>Suresh Babu and Partners | Architect | Thane | Jul 2023 | May 2025 | 1 Years, 10 Months, 20 Days | 2.16</t>
  </si>
  <si>
    <t>Roshni Udyavar and Associates | Architectural Intern | Mumbai | Nov 2021 | Mar 2022 | 21 Weeks</t>
  </si>
  <si>
    <t>P25701146</t>
  </si>
  <si>
    <t>Jayant Uttarwar</t>
  </si>
  <si>
    <t>jayantuttarwar8@gmail.com</t>
  </si>
  <si>
    <t>p25701146@student.nicmar.ac.in</t>
  </si>
  <si>
    <t>5112 2622 8444</t>
  </si>
  <si>
    <t>MEGHA</t>
  </si>
  <si>
    <t>MOSHI PUNE</t>
  </si>
  <si>
    <t>20/29 Muktai Nagar , Jalgaon , 425001</t>
  </si>
  <si>
    <t>UTTARWAR JAYANT MOHAN</t>
  </si>
  <si>
    <t>GOVERNMENT COLLEGE OF ENGINEERING, JALGAON</t>
  </si>
  <si>
    <t>AutoCAD,MS Office,MS Project,Primavera,SQL,JAVA</t>
  </si>
  <si>
    <t>ER.SUNIL S. BANG REGISTER VALUER, CHARTER ENGINEER | ENGINEER TRAINEE | Jalgaon | Feb 2024 | Dec 2024 | 0 Years, 10 Months, 26 Days | 2.5</t>
  </si>
  <si>
    <t>Systra India | Project Management Office - Intern | Ahmedabad  | May 2026 | Jul 2026 | 8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</si>
  <si>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</si>
  <si>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MBA-ENS</t>
  </si>
  <si>
    <t>P25707001</t>
  </si>
  <si>
    <t>SUHAN</t>
  </si>
  <si>
    <t>Kamble Suhan Jagdish</t>
  </si>
  <si>
    <t>suhankamble62@gmail.com</t>
  </si>
  <si>
    <t>P25707001@student.nicmar.ac.in</t>
  </si>
  <si>
    <t>2829 2472 7740</t>
  </si>
  <si>
    <t>JAGDISH KAMBLE</t>
  </si>
  <si>
    <t>PROJECT LEAD - (PRIVATE SERVICE)</t>
  </si>
  <si>
    <t>SANDHYA KAMBLE</t>
  </si>
  <si>
    <t>Dattakrupa, Vadgaon Road, In Front Of Ram Mandir, Gurudatta Residency, Alandi Rural, Pune</t>
  </si>
  <si>
    <t>PRIYADARSHANI ENGLISH MEDIUM SCHOOL, ALANDI, PUNE</t>
  </si>
  <si>
    <t>DIPLOMA IN CIVIL ENGINEERING.</t>
  </si>
  <si>
    <t>AISSMS COLLEGE OF POLYTECHNIC, PUNE.</t>
  </si>
  <si>
    <t>SAVITRIBAI PHULE PUNE UNIVERSITY (SPPU)</t>
  </si>
  <si>
    <t>DR. D. Y. PATIL INSTITUTE OF TECHNOLOGY, PIMPRI, PUNE.</t>
  </si>
  <si>
    <t>MS Office,Monitoring &amp; Controlling,Teamwork,Microsoft Excel,Microsoft PowerPoint,Microsoft Word,Financial Fundamentals,Basic financial modelling,Integrate artificial intelligence AI,Life Cycle Assessment (LCA),Carbon &amp; GHG Accounting,Energy &amp; Resource Eff</t>
  </si>
  <si>
    <t>Grattitude Synergy LLP | Management Intern | Pune | May 2026 | Jul 2026 | 8 Weeks | Campus Internship
CONSTROLOGIX ENGINEERING &amp; RESEARCH SERVICES PVT. LTD. | JUNIOR QUALITY ENGINEER INTERN | PUNE | Dec 2023 | Jan 2024 | 4 Weeks</t>
  </si>
  <si>
    <t>GHG Accounting &amp; Carbon Accounting
Municipal Solid Waste Management By NPTEL, IIT Guwahati
Career Essentials in Sustainable Tech by Microsoft and LinkedIn
McKinsey Forward Program
SEBI Investor Certification Examination
Water Wastewater Management
Investor Education - Basic
Water and Wastewater Management (SCADA Operating System)</t>
  </si>
  <si>
    <t>P25707002</t>
  </si>
  <si>
    <t>DILIP KUMAR</t>
  </si>
  <si>
    <t>PANDRANKI</t>
  </si>
  <si>
    <t>Dilip Kumar Pandranki</t>
  </si>
  <si>
    <t>dilipkumarpandranki@gmail.com</t>
  </si>
  <si>
    <t>p25707002@student.nicmar.ac.in</t>
  </si>
  <si>
    <t>7349 0033 6944</t>
  </si>
  <si>
    <t>PANDRANKI SURI BABU</t>
  </si>
  <si>
    <t>PANDRANKI NIRMALA</t>
  </si>
  <si>
    <t>8-15, SATTIVANIPALEM VILLAGE, JAGGAYYAPALEM POST, PENDURTHI MANDAL</t>
  </si>
  <si>
    <t>GOVT. POLYTECHNIC-VISHAKHAPATNAM</t>
  </si>
  <si>
    <t>JAWAHARLAL NEHRU TECHNOLOGICAL UNIVERSITY GURAJADA, VIZIANAGARAM</t>
  </si>
  <si>
    <t>VIGNAN'S INSTITUTE OF INFORMATION TECHNOLOGY, VISAKHAPATNAM</t>
  </si>
  <si>
    <t>AutoCAD,MS Office,REVIT,SKETCHUP,V-RAY,SimaPro,OpenLCA</t>
  </si>
  <si>
    <t>GREENEX ENVIRONMENTAL PRIVATE LIMITED | ESG &amp; Sustainability Intern | Pune | May 2026 | Jul 2026 | 8 Weeks | Campus Internship
SAMVID PROJECT SOLUTIONS PRIVATE LIMITED | TRANIEE ENGINEER (CIVIL &amp; STRUCTURAL) | VISAKHAPATNAM | Jul 2023 | Apr 2024 | 36 Weeks</t>
  </si>
  <si>
    <t>AutoCad
Workshop on GHG Accounting &amp; Carbon Accounting - Nicmar University
Introduction to ESG
IGBC Accredited Professional - Associate
Revit Software</t>
  </si>
  <si>
    <t>P25707003</t>
  </si>
  <si>
    <t>DROUPADA</t>
  </si>
  <si>
    <t>MULIK</t>
  </si>
  <si>
    <t>Droupada Babaso Mulik</t>
  </si>
  <si>
    <t>droupadamulik@gmail.com</t>
  </si>
  <si>
    <t>p25707003@student.nicmar.ac.in</t>
  </si>
  <si>
    <t>Volunteering in Social Activities (Social Work),Reading,Travelling,Photography</t>
  </si>
  <si>
    <t>8130 9895 3360</t>
  </si>
  <si>
    <t>BABASO PANDURANG MULIK</t>
  </si>
  <si>
    <t>MEENABAI BABASO MULIK</t>
  </si>
  <si>
    <t>308 Narayan Vastu,Main Road, Shivajinagar, Taluka: Kadegaon</t>
  </si>
  <si>
    <t>401 Parineeta. Lane 5B, Right Bhusari Colony. 38, Kothrud, Pune, PIN 411 038</t>
  </si>
  <si>
    <t>MAHATMA GANDHI VIDYALAYA, KADEGAON</t>
  </si>
  <si>
    <t>TILAK HIGHSCHOOL AND JR. COLLEGE, KARAD</t>
  </si>
  <si>
    <t>AISSMS COLLEGE OF ENGINEERING, PUNE</t>
  </si>
  <si>
    <t xml:space="preserve">MS Excel, MS Word, MS PowerPoint, Primavera P6, Lean Six Sigma, ESG Reporting (GRI), Carbon Accounting, SimaPro, OpenLCA,  </t>
  </si>
  <si>
    <t>Ecosan Services Foundation | Project Associate | Karve Nagar, Pune | Jan 2025 | Jun 2025 | 0 Years, 5 Months, 14 Days | 2.5
Innovela Building Solutions | Jr. Detailer (Trainee) | Koregaon Park, Pune | Apr 2024 | Oct 2024 | 0 Years, 6 Months, 24 Days | 1.92</t>
  </si>
  <si>
    <t>Greenex Environmental | INTERN | Pune | May 2026 | Jul 2026 | 8 Weeks | Campus Internship
TEMBHU LIFT IRRIGATION DEPARTMENT, GOVERNMENT OF MAHARASHTRA, | INTERN | KADEPUR | Jan 2022 | Feb 2022 | 4 Weeks
DESAI INFRA PROJECTS (INDIA) PVT.LTD. | INTERN | KARAD (SURLI) | Nov 2020 | Dec 2020 | 2 Weeks</t>
  </si>
  <si>
    <t>AutoCAD 2D-3D Certificate
McKinsey org forward learning program
GHG Accounting and Carbon Accounting
LEAN SIX SIGMA YELLOW BELT- DMADV (Pursullence)
Safety In Construction Industry 84/100</t>
  </si>
  <si>
    <t>P25707004</t>
  </si>
  <si>
    <t>NEETU</t>
  </si>
  <si>
    <t>VINU</t>
  </si>
  <si>
    <t>KOSHY</t>
  </si>
  <si>
    <t>Neetu Vinu Koshy</t>
  </si>
  <si>
    <t>neetuvkn@gmail.com</t>
  </si>
  <si>
    <t>p25707004@student.nicmar.ac.in</t>
  </si>
  <si>
    <t>05-Feb-1997</t>
  </si>
  <si>
    <t>5411 3084 4474</t>
  </si>
  <si>
    <t>VINU C KOSHY</t>
  </si>
  <si>
    <t>CHIEF ENGINEER</t>
  </si>
  <si>
    <t>SHINY VINU KOSHY</t>
  </si>
  <si>
    <t>48/1862A Grameena Vayensala Road Chalikavattom Vytilla Ernakulam Kochi Kerala-682019</t>
  </si>
  <si>
    <t>TOC-H PUBLIC SCHOOL</t>
  </si>
  <si>
    <t>Aarvee Associates | Trainee Engineer | Kochi | Mar 2023 | May 2024 | 1 Years, 2 Months, 2 Days | 2.7
KEC international Limited | Engineer-Planning | Kochi | May 2022 | Jan 2023 | 0 Years, 8 Months, 12 Days | 3</t>
  </si>
  <si>
    <t>Kochi Metro Rail Limited | student | kochi | Jul 2018 | Jul 2018 | 0 Weeks
L&amp;T India | student | kochi | Jul 2016 | Jul 2016 | 0 Weeks</t>
  </si>
  <si>
    <t>NPTEL</t>
  </si>
  <si>
    <t>P25707005</t>
  </si>
  <si>
    <t>CHUKKI</t>
  </si>
  <si>
    <t>Vishwas Chukki</t>
  </si>
  <si>
    <t>vchukki@gmail.com</t>
  </si>
  <si>
    <t>p25707005@student.nicmar.ac.in</t>
  </si>
  <si>
    <t>4751 8221 8819</t>
  </si>
  <si>
    <t>UMAPATI CHUKKI</t>
  </si>
  <si>
    <t>SUJATHA CHUKKI</t>
  </si>
  <si>
    <t>#2/34 Shivakrupa, Near Eshwara Temple, Sirwar, 584129</t>
  </si>
  <si>
    <t>PSSEMR SCHOOL</t>
  </si>
  <si>
    <t>DAVANAGERE</t>
  </si>
  <si>
    <t>MASVS GURUKUL PU COLLEGE</t>
  </si>
  <si>
    <t>MYSURU</t>
  </si>
  <si>
    <t>MYSURU UNIVERSITY</t>
  </si>
  <si>
    <t>EHSCPL | INTERN | BENGALURU  | Dec 2023 | Apr 2024 | 20 Weeks</t>
  </si>
  <si>
    <t>P25707007</t>
  </si>
  <si>
    <t>HARI VENKATARAO</t>
  </si>
  <si>
    <t>GEDDADA</t>
  </si>
  <si>
    <t>Hari Venkatarao Geddada</t>
  </si>
  <si>
    <t>geddadaharivenkatarao@gmail.com</t>
  </si>
  <si>
    <t>p25707007@student.nicmar.ac.in</t>
  </si>
  <si>
    <t>9746 6407 5076</t>
  </si>
  <si>
    <t>GEDDADA CHAKRAVARTHY</t>
  </si>
  <si>
    <t>GEDDADA SYAMALA</t>
  </si>
  <si>
    <t>HOUSE WIFE9</t>
  </si>
  <si>
    <t>9-104, Geddada Vari Veedhi, Seetharamapuram, Tallarevu Mandal, Koringa(PO)</t>
  </si>
  <si>
    <t>Z P P HIGH SCHOOL</t>
  </si>
  <si>
    <t>VIGNAN'S UNIVERSITY</t>
  </si>
  <si>
    <t>VIGNAN'S FOUNDATION FOR SCIENCE, TECHNOLOGY &amp; RESEARCH, GUNTUR, ANDHRA PRADESH</t>
  </si>
  <si>
    <t>Petroleum Engineering</t>
  </si>
  <si>
    <t xml:space="preserve">MS Office, PowerBI, @RISK, </t>
  </si>
  <si>
    <t>Govardhan EcoVillage | Intern - ESG &amp; Sustainability | Galtare, Palghar, Maharashtra  | May 2026 | Jul 2026 | 9 Weeks | Campus Internship
COROMANDEL INTERNATIONAL LTD | E.H.S INTERN | VISAKHAPATNAM | Jan 2024 | May 2024 | 17 Weeks</t>
  </si>
  <si>
    <t>GHG Accounting and Carbon Accounting - NICMAR UNIVERSITY,Pune
Introduction to ESG - CFI
Introduction to Greenhouse Gas Accounting for IT - CISCO
CSRD FUNDAMENTALS (Level-1) - CSRD INSTITUTE</t>
  </si>
  <si>
    <t>P25707008</t>
  </si>
  <si>
    <t>Sreelakshmi K S</t>
  </si>
  <si>
    <t>sreelakshmiks440@gmail.com</t>
  </si>
  <si>
    <t>p25707008@student.nicmar.ac.in</t>
  </si>
  <si>
    <t>13-Mar-1998</t>
  </si>
  <si>
    <t>8534 4029 5105</t>
  </si>
  <si>
    <t>SOMAN K K</t>
  </si>
  <si>
    <t>LIJI P K</t>
  </si>
  <si>
    <t>Sreelakshmi KS, Pavatte House, P O Polppakkara, Edappal, Malappuram , Kerala</t>
  </si>
  <si>
    <t>A V H S PONNANI</t>
  </si>
  <si>
    <t>GOVERNMENT HIGHER SECONDARY SCHOOL, THRIKKAVU</t>
  </si>
  <si>
    <t>BOARD OF HIGHER SECONDARY EXAMINATIONS, THIRUVANANTHAPURAM / KERALA</t>
  </si>
  <si>
    <t>APJ ABDUL KALAM TECHNOLOGICAL  UNIVERSITY</t>
  </si>
  <si>
    <t>NSS COLLEGE OF ENGINEERING , PALAKKAD</t>
  </si>
  <si>
    <t>Simapro, OpenLCA, OneClickLCA, VSCODE,FIGMA,UI/UX DESIGN</t>
  </si>
  <si>
    <t>Infosys Limited | Technology Analyst | Mysore | Jan 2021 | Apr 2024 | 3 Years, 2 Months, 24 Days | 4.5</t>
  </si>
  <si>
    <t>ClimatEnlighten LLP | Research &amp; Curriculum Development Intern | Remote | May 2026 | Jul 2026 | 9 Weeks | Campus Internship
COSTFORD - CENTRE OF SCIENCE AND TECHNOLOGY FOR RURAL DEVELOPMENT | CIVIL ENGINEERING INTERN | THRISSUR | Jul 2017 | Jul 2017 | 0 Weeks</t>
  </si>
  <si>
    <t>ESG Essentials : Navigating Sustainable Business Practices
NPTEL: Municipal Solid Waste Management
NPTEL-Carbon Accounting and Sustainable Designs in  Product Lifecycle Management
ESG Reporting : TheESGInstitute
ESG Essentials for Sustainable Business Coursera
Skill enhancement workshop on LCA
Introduction to Generative AI in Human Resources
Understanding Research Methods</t>
  </si>
  <si>
    <t>P25707011</t>
  </si>
  <si>
    <t>AVANTHIKA</t>
  </si>
  <si>
    <t>SRIRAM</t>
  </si>
  <si>
    <t>Avanthika Sriram</t>
  </si>
  <si>
    <t>avanthika.3762@gmail.com</t>
  </si>
  <si>
    <t>p25707011@student.nicmar.ac.in</t>
  </si>
  <si>
    <t>English, Hindi, Tamil, German</t>
  </si>
  <si>
    <t>3923 3963 4786</t>
  </si>
  <si>
    <t>S N SRIRAM</t>
  </si>
  <si>
    <t>REGIONAL MANAGER</t>
  </si>
  <si>
    <t>SRIRANJANI SRIRAM</t>
  </si>
  <si>
    <t>78-79,5th Cross Street
Heritage Jayendra Nagar Sembakkam</t>
  </si>
  <si>
    <t>SRI KANCHI MAHASWAMI VIDYA MANDIR</t>
  </si>
  <si>
    <t>CBSE,CHENNAI, TAMIL NADU</t>
  </si>
  <si>
    <t>UNIVERSITY OF MADRAS</t>
  </si>
  <si>
    <t>M.O.P VAISHNAV COLLEGE FOR WOMEN(AUTONOMOUS)</t>
  </si>
  <si>
    <t>MS Office,Python Pandas,PowerBI,Data Analysis</t>
  </si>
  <si>
    <t>Bhoomi Network | Nature Educator, Teach for Nature Fellowship | Bangalore | May 2024 | Mar 2025 | 0 Years, 10 Months, 11 Days | 2.4</t>
  </si>
  <si>
    <t>Superform, UPL | Sustainability Intern | Turbhe, Navi Mumbai | May 2026 | Jul 2026 | 8 Weeks | Campus Internship</t>
  </si>
  <si>
    <t>Foundation Level in Programming and Data Science
Diploma in Data Science
Municipal Solid Waste Management</t>
  </si>
  <si>
    <t>P25707012</t>
  </si>
  <si>
    <t>PANDUCHE</t>
  </si>
  <si>
    <t>Priyanka Subhash Panduche</t>
  </si>
  <si>
    <t>priyankapanduche@gmail.com</t>
  </si>
  <si>
    <t>p25707012@student.nicmar.ac.in</t>
  </si>
  <si>
    <t>24-Jul-2004</t>
  </si>
  <si>
    <t>4583 7880 1469</t>
  </si>
  <si>
    <t>SUBHASH PUNDLIK PANDUCHE</t>
  </si>
  <si>
    <t>SUJATA SUBHASH PANDUCHE</t>
  </si>
  <si>
    <t>Choudhary Wasti Shanti Nagar Kharadi</t>
  </si>
  <si>
    <t>ALL INDIA SHRI SHIVAJI MEMORIAL SOCIETY COLLEGE OF POLYTECHNIC - PUNE</t>
  </si>
  <si>
    <t>D.Y PATIL SCHOOL OF ENGINEERING AND TECHNOLOGY</t>
  </si>
  <si>
    <t>Swiss NeWater  | Sustainability intern | Pune | May 2026 | Jul 2026 | 8 Weeks | Campus Internship
Pune Municipal Corporation | Junior Engineer  | Shivajinagar | Oct 2024 | Mar 2025 | 25 Weeks
Sai Construction | Intern-Junior Site engineer  | Charholi, Lohegaon  | Jan 2024 | Jan 2024 | 4 Weeks</t>
  </si>
  <si>
    <t>Waster and Wastewater Management
GHG accounting and Carbon Accounting</t>
  </si>
  <si>
    <t>P25707013</t>
  </si>
  <si>
    <t>SONAR</t>
  </si>
  <si>
    <t>Shravani Sonar</t>
  </si>
  <si>
    <t>shrovsonar2@gmail.com</t>
  </si>
  <si>
    <t>p25707013@student.nicmar.ac.in</t>
  </si>
  <si>
    <t>11-Jul-2000</t>
  </si>
  <si>
    <t>3227 9594 2431</t>
  </si>
  <si>
    <t>SANJAY KUMAR SONAR</t>
  </si>
  <si>
    <t>PRIVATE JOB SERVICE</t>
  </si>
  <si>
    <t>SUMA SONAR</t>
  </si>
  <si>
    <t>C2/78-C, LAWRENCE ROAD, KESHAV PURAM</t>
  </si>
  <si>
    <t>264/1A, Gali No. 12, Than Singh Nagar, Anand Parvat</t>
  </si>
  <si>
    <t>RAMJAS SCHOOL, ANAND PRAVAT</t>
  </si>
  <si>
    <t>RAMJAS SCHOOL, ANAND PARVAT</t>
  </si>
  <si>
    <t>AMITY SCHOOL OF ARCHITECTURE AND PLANNING</t>
  </si>
  <si>
    <t>MS Office,ArcGIS</t>
  </si>
  <si>
    <t>ClimatEnlighten LLP | Research Intern | wfh | May 2026 | Jul 2026 | 9 Weeks | Campus Internship
Confederation of Indian Industry | Intern | NEW DELHI | Aug 2024 | Oct 2024 | 13 Weeks
Confederation of Indian Industry | Intern | NEW DELHI | Oct 2023 | Mar 2024 | 21 Weeks
Jana Urban Services for Transformation | Intern | NEW DELHI | Jun 2022 | Aug 2022 | 13 Weeks</t>
  </si>
  <si>
    <t>P25707014</t>
  </si>
  <si>
    <t>SUDARSHAN</t>
  </si>
  <si>
    <t>SUKHALAL</t>
  </si>
  <si>
    <t>Sudarshan Sukhalal Desai</t>
  </si>
  <si>
    <t>sudarshandessai1@gmail.com</t>
  </si>
  <si>
    <t>p25707014@student.nicmar.ac.in</t>
  </si>
  <si>
    <t>05-Apr-2003</t>
  </si>
  <si>
    <t>6160 9904 6330</t>
  </si>
  <si>
    <t>SUKHALAL DESAI</t>
  </si>
  <si>
    <t>SHRIMANTINI DESAI</t>
  </si>
  <si>
    <t>House No. 172, Betki Borim Ponda Goa</t>
  </si>
  <si>
    <t>GVM'S PRAGATI VIDYALAYA BORIM</t>
  </si>
  <si>
    <t>GVM'S SHRIMATI NELLY JOILDO AGUIAR HIGHER SECONDARY SCHOOL</t>
  </si>
  <si>
    <t>NATIONAL INSTITUTE OF TECHNOLOGY, GOA</t>
  </si>
  <si>
    <t>ArcGIS Pro, Oracle Primavera P6, openLCA, One Click LCA, SimaPro, AutoCAD, MS Office, MS Project, ETABS</t>
  </si>
  <si>
    <t>HyOn Energy | Sustainability Intern | Remote | May 2026 | Jul 2026 | 8 Weeks | Campus Internship
Aarvee Constructions | Site Engineer Intern | Margao Goa | Jun 2023 | Jul 2023 | 7 Weeks</t>
  </si>
  <si>
    <t>Environmental Impact Assessment
Sustainable Engineering Concepts and Life Cycle Analysis
Municipal Solid Waste Management</t>
  </si>
  <si>
    <t>P25707015</t>
  </si>
  <si>
    <t>Tanishq Rawal</t>
  </si>
  <si>
    <t>tanishqrawal1996@gmail.com</t>
  </si>
  <si>
    <t>p25707015@student.nicmar.ac.in</t>
  </si>
  <si>
    <t>11-Oct-1996</t>
  </si>
  <si>
    <t>8632 1442 5209</t>
  </si>
  <si>
    <t>PHYSICS PROFESSOR</t>
  </si>
  <si>
    <t>ARCHANA SINGH</t>
  </si>
  <si>
    <t>531/9, Jagriti Vihar , Meerut</t>
  </si>
  <si>
    <t>ST MARY'S CONVENT SCHOOL, GAJRAULA , JP NAGAR, UP</t>
  </si>
  <si>
    <t>CBSE , GAJRAULA (JP NAGAR) , UTTAR PRADESH</t>
  </si>
  <si>
    <t>CBSE , GREATER NOIDA GB NAGAR ,UTTAR PRADESH</t>
  </si>
  <si>
    <t>SHIV NADAR UNIVERSITY</t>
  </si>
  <si>
    <t>SHIV NADAR UNIVERSITY , NH-91 , TEHSIL DADRI ,GB NAGAR , UTTAR PRADESH , 201314</t>
  </si>
  <si>
    <t>AutoCAD,MS Office,REVIT 3D,MS EXCEL,MS POWERPOINT</t>
  </si>
  <si>
    <t>Jai Jagannath infratech india private limited | Assistant Engineer  | Bhopal | Jun 2019 | Apr 2020 | 0 Years, 10 Months, 15 Days | 2.64
R. Krishnamurthy and Corporations Engineering Contractors | Site Engineer  | Chennai | Mar 2023 | Feb 2024 | 0 Years, 11 Months, 27 Days | 3.6
Cube highways technologies private limited | Engineer - Technical Due deligence and project management  | Jaipur  | Sep 2024 | Feb 2025 | 0 Years, 4 Months, 14 Days | 5.8</t>
  </si>
  <si>
    <t>Thermax Limited | Supply chain management intern | Pune | May 2026 | Jul 2026 | 8 Weeks | Campus Internship
Cube highways technologies private limited company | Engineer -technical due diligence and project management  | Jaipur | Mar 2024 | Sep 2024 | 27 Weeks</t>
  </si>
  <si>
    <t>P25707016</t>
  </si>
  <si>
    <t>SHRUTHIKA</t>
  </si>
  <si>
    <t>Shruthika Ajith</t>
  </si>
  <si>
    <t>shruthikaajith2003@gmail.com</t>
  </si>
  <si>
    <t>p25707016@student.nicmar.ac.in</t>
  </si>
  <si>
    <t>English, Hindi, Malayalam, Tamil, Korean (Basics), Spanish (Basics)</t>
  </si>
  <si>
    <t>2505 3811 2535</t>
  </si>
  <si>
    <t>AJITH M</t>
  </si>
  <si>
    <t>JOINT CONTROLLER OF PATENTS AND DESIGNS</t>
  </si>
  <si>
    <t>RAGEELA AJITH</t>
  </si>
  <si>
    <t>E54, TVS EMERALD PENINSULA, SN0.3 CAUVERY STREET, MANAPAKKAM, CHENNAI-600125</t>
  </si>
  <si>
    <t>KENDRIYA VIDYALAYA MINAMBAKKAM</t>
  </si>
  <si>
    <t>CBSE, CHENNAI, TAMILNADU</t>
  </si>
  <si>
    <t>NARAYANA E-TECHNO SCHOOL, POONAMALEE</t>
  </si>
  <si>
    <t>SRM EASWARI ENGINEERING COLLEGE, CHENNAI</t>
  </si>
  <si>
    <t>AutoCAD,MS Office,REVIT,TEKLA,ETABS,SAFE,CET EXTENSION,OpenLCA,OneClick LCA,Simapro</t>
  </si>
  <si>
    <t>RIVERSTONE TECH | DESIGN ENGINEER | CHENNAI | May 2024 | Jul 2025 | 1 Years, 2 Months, 30 Days | 3.5</t>
  </si>
  <si>
    <t>NATIONAL INSTITUTE OF TECHNOLOGY, CALICUT | RESEARCH INTERN | CALICUT | Jun 2023 | Jul 2023 | 4 Weeks
Indian Patent Office (CGPDTM) | Intern | online | Nov 2025 | Dec 2025 | 4 Weeks
AUGER ENGINEERS | SUSTAINABILITY INTERN | CHENNAI | Feb 2024 | Apr 2024 | 8 Weeks
Larsen and Toubro | Environmental Intern | Manapakkam, Chennai | May 2026 | Jul 2026 | 9 Weeks</t>
  </si>
  <si>
    <t>Research methodology
Human Resource Management
ESG and sustainable business
Generative AI and ESG
Environmental Protection and sustainability
Economic Environment and business strategy</t>
  </si>
  <si>
    <t>P25707017</t>
  </si>
  <si>
    <t>Karthik R S</t>
  </si>
  <si>
    <t>karthikrs071198@gmail.com</t>
  </si>
  <si>
    <t>p25707017@student.nicmar.ac.in</t>
  </si>
  <si>
    <t>07-Nov-1998</t>
  </si>
  <si>
    <t>6862 5927 2191</t>
  </si>
  <si>
    <t>SHIVAKUMAR R C</t>
  </si>
  <si>
    <t>JAYASHREE G</t>
  </si>
  <si>
    <t>Rajaghatta , Doddaballapur Taluk.</t>
  </si>
  <si>
    <t>CARMEL JYOTHI ENGLISH HIGH SCHOOL</t>
  </si>
  <si>
    <t>VIJAYA BIFR PU COLLEGE</t>
  </si>
  <si>
    <t>DEPARTMENT OF PRE - UNIVERSITY EDUCATION , KARNATAKA</t>
  </si>
  <si>
    <t>R.V. COLLEGE OF ENGINEERING , KARNATAKA</t>
  </si>
  <si>
    <t>MS Office,Advance Excel,Power BI,Python</t>
  </si>
  <si>
    <t>Greenifit | ESG Intern | Mumbai | May 2026 | Jun 2026 | 8 Weeks | Campus Internship
Sambodhi Research and Communications Private Limited | Research Associate | Bengaluru | Nov 2023 | Mar 2024 | 17 Weeks
Rajneethi Management Consultancy | Consultant | Bengaluru | Apr 2024 | Jan 2025 | 41 Weeks</t>
  </si>
  <si>
    <t>Carbon Accounting and Sustainable Designs in Product Lifecycle Management(NPTEL)
Sustainable Engineering Concepts and  Life Cycle Analysis</t>
  </si>
  <si>
    <t>P25707018</t>
  </si>
  <si>
    <t>BIDKAR</t>
  </si>
  <si>
    <t>Sanika Bharat Bidkar</t>
  </si>
  <si>
    <t>sanikabbidkar@gmail.com</t>
  </si>
  <si>
    <t>p25707018@student.nicmar.ac.in</t>
  </si>
  <si>
    <t>Dance,Debating,Traveling,Photography,Team sports,Drawing and Sketching</t>
  </si>
  <si>
    <t>8588 9689 6951</t>
  </si>
  <si>
    <t>C203, Karveer Nagar CHS, S.N.Dubey Road, Rawalpada, Dahisar East, Mumbai-400068</t>
  </si>
  <si>
    <t>ST. THOMAS HIGH SCHOOL, MUMBAI, MAHARASHTRA</t>
  </si>
  <si>
    <t>MAHARASHTRA STATE BOARD OF SECONDARY AND HIGHER SECONDARY EDUCATION, PUNE, MAHARSHTRA</t>
  </si>
  <si>
    <t>BHAVANS COLLEGE, ANDHERI, MUMBAI, MAHARASHTRA</t>
  </si>
  <si>
    <t>SARDAR PATEL COLLEGE OF ENGINEERING, ANDHERI, MUMBAI, MAHARASHTRA</t>
  </si>
  <si>
    <t>AutoCAD,MS Office,SimaPro,OpenLca,OneClickLca</t>
  </si>
  <si>
    <t>Ascendas Firstspace | ESGQ Intern | BKC-Mumbai | May 2026 | Jun 2026 | 8 Weeks | Campus Internship</t>
  </si>
  <si>
    <t>P25707021</t>
  </si>
  <si>
    <t>GULAVANI</t>
  </si>
  <si>
    <t>Ruturaj Manish Gulavani</t>
  </si>
  <si>
    <t>ruturajgulvani99@gmail.com</t>
  </si>
  <si>
    <t>p25707021@student.nicmar.ac.in</t>
  </si>
  <si>
    <t>01-Jul-2002</t>
  </si>
  <si>
    <t>7004 9204 4051</t>
  </si>
  <si>
    <t>MANISH GOPAL GULAVANI</t>
  </si>
  <si>
    <t>SWATI MANISH GULAVANI</t>
  </si>
  <si>
    <t>A/p Majre Karve Tal-chandgad Dist-kolhapur</t>
  </si>
  <si>
    <t>MAHATMA FULE VIDYALAYA KARVE , TAL-CHANDGAD</t>
  </si>
  <si>
    <t>SECONDARY SCHOOL EDUCATION PUNE, MAHARASHTRA</t>
  </si>
  <si>
    <t>GU. M. B. TUPRE JR. COLLEGE KARVE TAL-CHANDGAD</t>
  </si>
  <si>
    <t>HIGHER SECONDARY EDUCATION PUNE, MAHARASHTRA</t>
  </si>
  <si>
    <t>KOLHAPUR INSTITUTE OF TECHNOLOGY ECHNOLOGY KOLHAPUR, MAHARASHTRA</t>
  </si>
  <si>
    <t>MS Office, SimaPro,OneClick, Open LCA</t>
  </si>
  <si>
    <t>Greenex Environmental Private limited | ESG &amp; Sustainable Intern | Pune | May 2026 | Jul 2026 | 8 Weeks | Campus Internship
ANTHEM BIOSCIENCES LIMITED, BANGLORE | INTERN IN ETP | BANGLORE  | Jan 2025 | Mar 2025 | 8 Weeks</t>
  </si>
  <si>
    <t>P25707022</t>
  </si>
  <si>
    <t>ANAKHA</t>
  </si>
  <si>
    <t>Anakha P</t>
  </si>
  <si>
    <t>anakhap2002@gmail.com</t>
  </si>
  <si>
    <t>p25707022@student.nicmar.ac.in</t>
  </si>
  <si>
    <t>26-Nov-2002</t>
  </si>
  <si>
    <t>4608 6754 1715</t>
  </si>
  <si>
    <t>RAJESH P</t>
  </si>
  <si>
    <t>SENIOR VETERINARY SURGEON</t>
  </si>
  <si>
    <t>SUNANDA A</t>
  </si>
  <si>
    <t>Pournami, Sundara Iyer Road, Ottapalam, Palakkad, Kerala 679101</t>
  </si>
  <si>
    <t>NSS COLLEGE OF ENGINEERING, PALAKKAD, KERALA</t>
  </si>
  <si>
    <t>AutoCAD,MS Office,MS Project,SimaPro,QGIS,Staad-Pro,MS Excel</t>
  </si>
  <si>
    <t>HyOn Energy  | Sustainability Intern  | Work from home | May 2026 | Jul 2026 | 8 Weeks | Campus Internship
CENTRE OF SUSTAINABLE TECHNOLOGIES, INDIAN INSTITUTE OF SCIENCE | RESEARCH INTERN | BANGALORE | May 2025 | Jul 2025 | 9 Weeks
SOUTHERN RAILWAYS - PALAKKAD SUB DIVISION | STUDENT INTERN | KERALA | Jun 2024 | Jun 2024 | 0 Weeks
KERALA IRRIGATION DEPARTMENT | STUDENT INTERN | KERALA | May 2023 | May 2023 | 1 Weeks</t>
  </si>
  <si>
    <t>LCA Beginner - Ecochain
Introduction to ESG - Project Management Institute
Sustainability and Corporate ESG â€“ Reliance Foundation Skilling Academy, Skill India Digital Hub
Project Management Fundamentals - IBM
Expertise Design Thinking Practitioner - IBM
ESG and Climate Change - Coursera
Sustainable Transportation Systems- NPTEL, IIT ROORKEE</t>
  </si>
  <si>
    <t>P25707023</t>
  </si>
  <si>
    <t>Tejas Ganesh Sonawane</t>
  </si>
  <si>
    <t>t.sonawane2703@gmail.com</t>
  </si>
  <si>
    <t>p25707023@student.nicmar.ac.in</t>
  </si>
  <si>
    <t>7313 7963 6306</t>
  </si>
  <si>
    <t>GANESH MADHUKAR SONAWANE</t>
  </si>
  <si>
    <t>BHAWANA GANESH SONAWANE</t>
  </si>
  <si>
    <t>SAISIDH HOUSING SOCIETY NEAR MINI MARKET M.PHULE NAGAR CHINCHWAD PUNE</t>
  </si>
  <si>
    <t>49A, Sant Sena Nagar Deopur Dhule Mahashtra</t>
  </si>
  <si>
    <t>SHRI EKVIRA DEVI HIGHSCHOOL DEOPUR DHULE</t>
  </si>
  <si>
    <t>SSVPS BSD POLYTECHNIC DHULE</t>
  </si>
  <si>
    <t>DR. D.Y. PATIL INSTITUTE OF ENGINEERING, MANAGEMENT AND RESEARCH AKURDI PUNE</t>
  </si>
  <si>
    <t>AutoCAD, MS Office, LCA, Primavera</t>
  </si>
  <si>
    <t>BEE Inc. | Jr. Project Engineer | Pimpri, Pune | Jul 2023 | Jul 2025 | 2 Years, 0 Months, 7 Days | 4.7</t>
  </si>
  <si>
    <t>Grattitude Synergy, LLP | Management Intern | Pune | May 2026 | Jul 2026 | 8 Weeks | Campus Internship
HIMALAYA SPARKLE | INTERN | DHULE | May 2019 | Jul 2019 | 8 Weeks
NAOMI MANUFACTURING INDIA PVT. LTD. | INTERN | BHOSARI, PUNE | Dec 2021 | Jan 2022 | 4 Weeks</t>
  </si>
  <si>
    <t>LEED Green Associate</t>
  </si>
  <si>
    <t>P25707024</t>
  </si>
  <si>
    <t>SANKHE</t>
  </si>
  <si>
    <t>Om Roshan Sankhe</t>
  </si>
  <si>
    <t>omsankhe7@gmail.com</t>
  </si>
  <si>
    <t>p25707024@student.nicmar.ac.in</t>
  </si>
  <si>
    <t>4972 3638 1799</t>
  </si>
  <si>
    <t>ROSHAN PRABHAKAR SANKHE</t>
  </si>
  <si>
    <t>RICHA ROSHAN SANKHE</t>
  </si>
  <si>
    <t>LAKSHMI GANAPATI BOYS PG, PATIL WASTI, PATIL NAGAR, BALEWADI, PUNE, MAHARASHTRA 411045</t>
  </si>
  <si>
    <t>At Post - Dapoli (Aambedkar Nagar) Taluka - District - Palghar, 401404</t>
  </si>
  <si>
    <t>MAHARASHTRA STATE BOARD OF SECONDARY AND HIGHER SECONDARY EDUCATION, PALGHAR, MAHARASHTRA</t>
  </si>
  <si>
    <t>ST. JOHN COLLEGE OF TECHNOLOGY AND POLYTECHNIC</t>
  </si>
  <si>
    <t>MS Office,Life Cycle Assessment</t>
  </si>
  <si>
    <t>Listenlights Pvt. Ltd. | ESG Intern | Mumbai | May 2026 | Jul 2026 | 8 Weeks | Campus Internship</t>
  </si>
  <si>
    <t>P25707025</t>
  </si>
  <si>
    <t>SESETTI</t>
  </si>
  <si>
    <t>Teja Sesetti</t>
  </si>
  <si>
    <t>tejasesetti123@gmail.com</t>
  </si>
  <si>
    <t>p25707025@student.nicmar.ac.in</t>
  </si>
  <si>
    <t>22-Mar-2003</t>
  </si>
  <si>
    <t>8425 0279 7211</t>
  </si>
  <si>
    <t>SESETTI SRINIVASA RAO</t>
  </si>
  <si>
    <t>METER READER</t>
  </si>
  <si>
    <t>SESETTI ADILAKSHMI</t>
  </si>
  <si>
    <t>9-9-107/19
MANGAPURAM COLONY ,MADDILIPALEM,</t>
  </si>
  <si>
    <t>RANI MEMORIAL E.M. H.S</t>
  </si>
  <si>
    <t>GOVT.POLYTECHNIC-VISHAKHAPATNAM</t>
  </si>
  <si>
    <t>JAWAHARLAL NEHRU TECHNOLOGICAL UNIVERSITY GURAJADA VIZIANAGARAM</t>
  </si>
  <si>
    <t>RAGHU ENGINEERING COLLEGE VISHAKHAPATNAM</t>
  </si>
  <si>
    <t>National council for cement and building materials | ESG intern | Haryana | May 2026 | Jul 2026 | 8 Weeks | Campus Internship
SDVVL SURVEY AND CONSTRUCTION PVT.LTD | Intern â€“ Advanced AutoCAD 2D &amp; 3D, Revit, and Surveying (Total Station) | Kakinada, Andhra Pradesh | Jun 2023 | Aug 2023 | 6 Weeks</t>
  </si>
  <si>
    <t>Workshop on GHG Accounting &amp; Carbon Accounting - NICMAR University
SURVEYING
CIVIL  AutoCAD &amp; Revit</t>
  </si>
  <si>
    <t>P25707026</t>
  </si>
  <si>
    <t>Nupur Dubey</t>
  </si>
  <si>
    <t>dubeynupur839@gmail.com</t>
  </si>
  <si>
    <t>p25707026@student.nicmar.ac.in</t>
  </si>
  <si>
    <t>swimming</t>
  </si>
  <si>
    <t>6008 9511 4527</t>
  </si>
  <si>
    <t>ANAND DUBEY</t>
  </si>
  <si>
    <t>SHEETAL DUBEY</t>
  </si>
  <si>
    <t xml:space="preserve">614, Sai Kripa Colony, MR-10 </t>
  </si>
  <si>
    <t>NUPUR DUBEY</t>
  </si>
  <si>
    <t>CBSE BOARD, MADHYA PRADESH</t>
  </si>
  <si>
    <t>MP BOARD, MADHYA PRADESH</t>
  </si>
  <si>
    <t>DEVI AHILYA VISHWAVIDYALAYA , INDORE</t>
  </si>
  <si>
    <t>RENAISSANCE COLLEGE OF COMMERCE AND MANAGEMENT,INDORE,MADHYA PRADESH</t>
  </si>
  <si>
    <t>MS Office, Primavera P6 – Project Planning &amp; Scheduling, @RISK – Risk Analysis &amp; Simulation Modeling, GIS (Google Earth Pro) – Spatial Analysis &amp; Mapping, CRM Tools – Proposal Workflow Management, Power BI (Data Visualization &amp; Dashboarding), Sima Pro</t>
  </si>
  <si>
    <t>Grattitude Synergy LLP | Management Intern | Pune | May 2026 | Jul 2026 | 8 Weeks | Campus Internship
JOSHI MAHAJAN &amp; CO  | Finance Intern | Indore | Nov 2023 | Dec 2023 | 8 Weeks
JOSHI MAHAJAN &amp; CO  | Legal &amp; Compliance Intern | Indore | Nov 2024 | Dec 2024 | 8 Weeks</t>
  </si>
  <si>
    <t>Company Secretary (CS Foundation)
Sustainable Engineering Concepts and  Life Cycle Analysis
Waste to Energy Conversion
Municipal Solid Waste Management
ESG Essentials for Sustainable Business
Environmental Protection and Sustainability
Generative AI and ESG
Understanding Research Methods
Introduction to Generative AI in Human Resources
BRSR Series
Systems Change &amp; Behavioural Science for Climate Action – UNSSC (United Nations)</t>
  </si>
  <si>
    <t>P25707027</t>
  </si>
  <si>
    <t>Kushagra Chauhan</t>
  </si>
  <si>
    <t>kushagrachauhan123@gmail.com</t>
  </si>
  <si>
    <t>p25707027@student.nicmar.ac.in</t>
  </si>
  <si>
    <t>Sustainability Magazines, Chess, Badminton</t>
  </si>
  <si>
    <t>7138 7332 0377</t>
  </si>
  <si>
    <t>RAJEEV CHAUHAN</t>
  </si>
  <si>
    <t>URMILA CHAUHAN</t>
  </si>
  <si>
    <t>102/D12, Parivar Apartment,Govindvihar, Govindpuram</t>
  </si>
  <si>
    <t>G K WELHAMS COLLEGE</t>
  </si>
  <si>
    <t>ICSE, MORADABAD, UTTAR PRADESH</t>
  </si>
  <si>
    <t>SHIVOY SCHOOL</t>
  </si>
  <si>
    <t>CBSE, GHAZIABAD, UTTAR PRADESH</t>
  </si>
  <si>
    <t>VIVEKANANDA GLOBAL UNIVERSITY</t>
  </si>
  <si>
    <t>NAEMD, JAIPUR, RAJASTHAN</t>
  </si>
  <si>
    <t>MS Office,SimaPro,OpenLCA,OneClickLCA</t>
  </si>
  <si>
    <t>Fusionpact Inc. | Sustainability and Climate Technology Intern | Remote | May 2026 | Sep 2026 | 17 Weeks | Campus Internship</t>
  </si>
  <si>
    <t>P25707028</t>
  </si>
  <si>
    <t>Akhilesh Manoj Ingale</t>
  </si>
  <si>
    <t>akhileshingale8@gmail.com</t>
  </si>
  <si>
    <t>p25707028@student.nicmar.ac.in</t>
  </si>
  <si>
    <t>6351 9196 1490</t>
  </si>
  <si>
    <t>MANOJ INGALE</t>
  </si>
  <si>
    <t>ANJALI INGALE</t>
  </si>
  <si>
    <t>104 Kanchanganga Apt. Ingale Colony, Shivane, Pune, 411023</t>
  </si>
  <si>
    <t>BALSHIKSHAN MANDIR</t>
  </si>
  <si>
    <t>FERGUSSON COLLEGE PUNE, MAHARASHTRA</t>
  </si>
  <si>
    <t xml:space="preserve">MS Office, MS Excel, SimaPro, ArcGIS </t>
  </si>
  <si>
    <t>Greenex Environmental | LCA and Sustainable Intern | Pune | May 2026 | Jul 2026 | 8 Weeks | Campus Internship</t>
  </si>
  <si>
    <t>Silhouettes Waterpolo Tournament (08/05/2025) - AFMC 1st runner-up at Waterpolo tournament in Pune. Level - District.
SPPU, Intercollegiate Sports Tournament (11/10/2024) - Secured 1st place in Waterpolo amongst colleges all over Pune Level: District.
Laksh 3.0 (16/02/2025) - IIT Indore 1st rank at Waterpolo tournament amongst other IITs and Institutes. Level - National</t>
  </si>
  <si>
    <t>P25707029</t>
  </si>
  <si>
    <t>ONKAR</t>
  </si>
  <si>
    <t>LAHAMAGE</t>
  </si>
  <si>
    <t>Onkar Dipak Lahamage</t>
  </si>
  <si>
    <t>onkarlahamage@gmail.com</t>
  </si>
  <si>
    <t>p25707029@student.nicmar.ac.in</t>
  </si>
  <si>
    <t>7866 0591 5750</t>
  </si>
  <si>
    <t>At Post Adgaon Bk, Tel.: Rahata, Dist.: Ahmednagar</t>
  </si>
  <si>
    <t>DNYANMATA VIDYALAYA , SANGAMNER</t>
  </si>
  <si>
    <t>MAHARASHTRA STATE BOARD OF SECONDARY AND HIGHER SECONDORY EDUCATION , PUNE</t>
  </si>
  <si>
    <t>PADMASHRI VIKHE PATIL JUNIOR COLLEGE, PRAVARANAGAR</t>
  </si>
  <si>
    <t>MAHATMA PHU LE KRISHI VIDYAPEETH, RAHURI</t>
  </si>
  <si>
    <t>COLLEGE OF AGRICULTURAL ENGINEERING AND TECHNOLOGY,MALDAD</t>
  </si>
  <si>
    <t>Swiss NeWater  | Sustainability Intern | pune  | May 2026 | Jul 2026 | 8 Weeks | Campus Internship
Trenex Energy Pvt. Ltd. | Project Executive Trainee | Nashik | Aug 2024 | Apr 2025 | 38 Weeks
ALBEDO FOUNDATION | Trainee | NASHIK | Oct 2023 | Feb 2024 | 19 Weeks
NORTHEN REGION FARM MACHINERY TRAINING &amp; TESTING INSTITUTE | Trainee | HISAR, HARYANA  | Sep 2023 | Sep 2023 | 4 Weeks</t>
  </si>
  <si>
    <t>Sustainability and Corporate ESG</t>
  </si>
  <si>
    <t>P25707030</t>
  </si>
  <si>
    <t>ANSHU</t>
  </si>
  <si>
    <t>Anshu Raj</t>
  </si>
  <si>
    <t>anshuraj375@gmail.com</t>
  </si>
  <si>
    <t>p25707030@student.nicmar.ac.in</t>
  </si>
  <si>
    <t>22-Dec-2000</t>
  </si>
  <si>
    <t>8113 5832 5225</t>
  </si>
  <si>
    <t>RAJENDRA PRASAD DAS</t>
  </si>
  <si>
    <t>BIMLA RANI</t>
  </si>
  <si>
    <t>Flat No. A102/B4, Type-B
Mahalaxmi City, Vihighar</t>
  </si>
  <si>
    <t>RYAN INTERNATIONAL SCHOOL SANPADA</t>
  </si>
  <si>
    <t>SADHU VASWANI JUNIOR COLLEGE</t>
  </si>
  <si>
    <t>JHARKHAND UNIVERSITY OF TECHNOLOGY, RANCHI</t>
  </si>
  <si>
    <t>B.I.T SINDRI, DHANBAD</t>
  </si>
  <si>
    <t>CDP(Carbon disclosure Project), Simapro, OneclickLCA, OpenLCA, MS Office, MS Project and Excel</t>
  </si>
  <si>
    <t>Reliance Industries Limited | Construction Manager | Dahej Manufacturing Plant, Bharuch, Gujarat | Aug 2022 | Dec 2023 | 1 Years, 4 Months, 5 Days | 8.88</t>
  </si>
  <si>
    <t>Reliance Jio Infocomm Limited | CDP and Sustainability Audit Intern | Ghansoli, Navi Mumbai | May 2026 | Jul 2026 | 9 Weeks | Campus Internship
AIESEC | GLOBAL VOLUNTEER  | KANDY, SRI LANKA | Jun 2019 | Jul 2019 | 6 Weeks</t>
  </si>
  <si>
    <t>Climate &amp; ESG Reporting, Financial Risk, and Scenario Analysis (TCFD/CDP/CDSB)
Life Cycle Assessment
Carbon Accounting and Sustainable Designs in  Product Lifecycle Management
Sustainable Corporate Finance
Sustainable Engineering Concepts and  Life Cycle Analysis</t>
  </si>
  <si>
    <t>P25707031</t>
  </si>
  <si>
    <t>Chaitanya Santosh Wagh</t>
  </si>
  <si>
    <t>cwagh718@gmail.com</t>
  </si>
  <si>
    <t>p25707031@student.nicmar.ac.in</t>
  </si>
  <si>
    <t>20-Apr-2004</t>
  </si>
  <si>
    <t>9443 7232 3941</t>
  </si>
  <si>
    <t>SANTOSH CHUNILAL WAGH</t>
  </si>
  <si>
    <t>BHARATI SANTOSH WAGH</t>
  </si>
  <si>
    <t>SERVIE</t>
  </si>
  <si>
    <t>E-8/306, Shree Omkar CHS, Sec 9,
Gharonda, Ghansoli, Navi Mumbai 400701</t>
  </si>
  <si>
    <t>FR. AGNEL'S POLYTECHNIC, VASHI, NAVI MUMBAI</t>
  </si>
  <si>
    <t>SARASWATI COLLEGE OF ENGINEERING, KHARGHAR, RAIGAD</t>
  </si>
  <si>
    <t>Kushaagra Innovations Foundation  | Waste Management Interm | Pune | May 2026 | Jul 2026 | 8 Weeks | Campus Internship
B.G. SHIRKE CONSTRUCTION TECHNOLOGY PVT. LTD. | Intern | Taloja, Navi Mumbai | Aug 2021 | Sep 2021 | 4 Weeks</t>
  </si>
  <si>
    <t>AUTO-CAD
Municipal Solid Waste Management</t>
  </si>
  <si>
    <t>P25707033</t>
  </si>
  <si>
    <t>ADHISHREE</t>
  </si>
  <si>
    <t>GUNDI</t>
  </si>
  <si>
    <t>Adhishree Gundi</t>
  </si>
  <si>
    <t>adhishreegundi0352@gmail.com</t>
  </si>
  <si>
    <t>p25707033@student.nicmar.ac.in</t>
  </si>
  <si>
    <t>22-Jul-2004</t>
  </si>
  <si>
    <t>3572 9321 1503</t>
  </si>
  <si>
    <t>LATE SATISH GUNDI</t>
  </si>
  <si>
    <t>SHALAKA GUNDI</t>
  </si>
  <si>
    <t>FREELANCE HR CONSULTANT AND FACILITATOR</t>
  </si>
  <si>
    <t>FLAT NO 4, 1ST FLOOR, BUILDING A-4, ISHAN NAGARI, WARJE
WARJE</t>
  </si>
  <si>
    <t>A-3, Satin Hills, PVPIT, Bavdhan(Kh), Paud Rd, Pune</t>
  </si>
  <si>
    <t>CBSE, PUNE, MAHARASHTRA</t>
  </si>
  <si>
    <t>MILLENNIUM NATIONAL SCHOOL</t>
  </si>
  <si>
    <t>ST JOSEPH'S UNIVERSITY</t>
  </si>
  <si>
    <t>ST JOSEPH'S UNIVERSITY, BENGALURU, KARNATAKA</t>
  </si>
  <si>
    <t>Multiomics Technologies- Big Data for Biological Sciences</t>
  </si>
  <si>
    <t>P25707034</t>
  </si>
  <si>
    <t>SARAL</t>
  </si>
  <si>
    <t>Saral Chauhan</t>
  </si>
  <si>
    <t>saral27chauhan@gmail.com</t>
  </si>
  <si>
    <t>p25707034@student.nicmar.ac.in</t>
  </si>
  <si>
    <t>27-Jul-2000</t>
  </si>
  <si>
    <t>4232 7786 2894</t>
  </si>
  <si>
    <t>MANOJ KUMAR CHAUHAN</t>
  </si>
  <si>
    <t>LATA CHAUHAN</t>
  </si>
  <si>
    <t>B 22 Ram Ashram Colony Near Taj Banquet Chandra Nagar</t>
  </si>
  <si>
    <t>ST. PAUL’S COLLEGE</t>
  </si>
  <si>
    <t>ICSE MORADABAD, UTTARPRADESH</t>
  </si>
  <si>
    <t>ISC MORADABAD, UTTARPRADESH</t>
  </si>
  <si>
    <t>MAHATMA JYOTI’S PHULE ROHILKHAND UNIVERSITY</t>
  </si>
  <si>
    <t>LAKSHYA COLLEGE OF MANAGEMENT AND TECHNOLOGY, BAGWARA, SEHORA, UTTARPRADESH</t>
  </si>
  <si>
    <t>Earth5R | Market Research Intern  | Remote | Jun 2026 | Sep 2026 | 13 Weeks | Campus Internship</t>
  </si>
  <si>
    <t>NIELIT CCC</t>
  </si>
  <si>
    <t>P25707035</t>
  </si>
  <si>
    <t>Pranjali Pradeep Chavan</t>
  </si>
  <si>
    <t>pranj.li1102@gmail.com</t>
  </si>
  <si>
    <t>p25707035@student.nicmar.ac.in</t>
  </si>
  <si>
    <t>ENGLISH, HINDI, MARATHI AND GERMAN (BASIC)</t>
  </si>
  <si>
    <t>Reading,Working out,Badminton,travelling</t>
  </si>
  <si>
    <t>8550 7886 5875</t>
  </si>
  <si>
    <t>REAL-ESTATE AGENT</t>
  </si>
  <si>
    <t>HOUSEWIFE/PRIVATE HOME TUTOR</t>
  </si>
  <si>
    <t>BANER MHALUNGE ROAD NEAR AMRITA HOTEL, GANRAJ CHOWK, ZUDIO, PUNE - 411045</t>
  </si>
  <si>
    <t>At Post Donje, Taluka Haveli District Pune - 24 Near Krushnai Water Park Singhad Road</t>
  </si>
  <si>
    <t>VENKATESHWARA SCHOOL</t>
  </si>
  <si>
    <t>HUZURPAGA GIRLS HIGHSCHOOL AND JUNIOR COLLEGE</t>
  </si>
  <si>
    <t>SHRI SHIVAJI MAHARASHTRA SOCIETY'S COLLEGE OF ARCHITECTURE PUNE/MAHARASHTRA</t>
  </si>
  <si>
    <t>AutoCAD,MS Office,MS Project,Primavera,Lumion,Sketchup,Photoshop,Canva</t>
  </si>
  <si>
    <t>GNA Architects | Jr. Architect | Bhandarkar Road Shivaji Nagar Pune-411004 | Feb 2024 | May 2025 | 1 Years, 3 Months, 30 Days | 2.16</t>
  </si>
  <si>
    <t>Shapoorji Pallonji Real Estate  | Sustainability Intern | Pune, bavdhan, India  | May 2026 | Jul 2026 | 8 Weeks | Campus Internship
Nikhil Kanthe design studio | Jr. architect/interior designer  | Pune  | Jul 2023 | Dec 2023 | 26 Weeks</t>
  </si>
  <si>
    <t>P25707036</t>
  </si>
  <si>
    <t>MUSALE</t>
  </si>
  <si>
    <t>Ninad Naresh Musale</t>
  </si>
  <si>
    <t>ninadmusale@gmail.com</t>
  </si>
  <si>
    <t>p25707036@student.nicmar.ac.in</t>
  </si>
  <si>
    <t>03-Sep-2003</t>
  </si>
  <si>
    <t>2958 7582 8824</t>
  </si>
  <si>
    <t>NARESH DATTATRAY MUSALE</t>
  </si>
  <si>
    <t>PREETI NARESH MUSALE</t>
  </si>
  <si>
    <t>B-2/12, Ashoka Gardens CHS, Tilak Road, Near Savarkar Chowk, Panvel</t>
  </si>
  <si>
    <t>MAHATMA SCHOOL OF ACADEMICS AND SPORTS, PANVEL</t>
  </si>
  <si>
    <t>MAHARASHTRA STATE BOARD OF SECONDARY AND HIGHER SECONDARY EDUCATION, PUNE/ MAHARASHTRA</t>
  </si>
  <si>
    <t>MAHATMA SCHOOL OF ACADEMICS AND SPORTS AND JUNIOR COLLEGE OF ARTS, COMMERCE AND SCIENCE, PANVEL</t>
  </si>
  <si>
    <t>DATTA MEGHE COLLEGE OF ENGINEERING, AIROLI, NAVI MUMBAI/ MAHARASHTRA</t>
  </si>
  <si>
    <t>AutoCAD,MS Office,Arc GIS,QGIS,STADD Pro,Building Information Modelling(BIM)</t>
  </si>
  <si>
    <t>House of Hiranandani | Intern | Thane | Jun 2024 | Jul 2024 | 4 Weeks
MAN Technologies | Intern | Panvel | Dec 2022 | Jan 2023 | 4 Weeks</t>
  </si>
  <si>
    <t>ESG and Sustainability Literacy
Fundamentals of ESG and Sustainability
Constitution of India and Environmental Governance: Administrative and Adjudicatory Process</t>
  </si>
  <si>
    <t>P25707037</t>
  </si>
  <si>
    <t>Varun Hemant Desai</t>
  </si>
  <si>
    <t>varundesaiv439@gmail.com</t>
  </si>
  <si>
    <t>p25707037@student.nicmar.ac.in</t>
  </si>
  <si>
    <t>English,Germany(Basic), Hindi and Marathi</t>
  </si>
  <si>
    <t>6658 5958 3384</t>
  </si>
  <si>
    <t>HEMANT MANOHAR DESAI</t>
  </si>
  <si>
    <t>ANJALI HEMANT DESAI</t>
  </si>
  <si>
    <t>2784, B Ward, Manglwar Peth, Kolhapur</t>
  </si>
  <si>
    <t>SEVENTH DAY ADVENTIST HIGHER SECONDARY SCHOOL</t>
  </si>
  <si>
    <t>ICSE, DELHI BOARD</t>
  </si>
  <si>
    <t>VIVEKANANDA JR. COLLEGE</t>
  </si>
  <si>
    <t>KOLHAPUR INSTITUTE OF TECHNOLOGY, COLLEGE OF ENGINEERING, KOLHAPUR</t>
  </si>
  <si>
    <t xml:space="preserve">AutoCAD, MS Office, SimaPro, Oneclick, Open LCA </t>
  </si>
  <si>
    <t>Ecoboard Industries  | Summer Intern  | Pune  | May 2026 | Jun 2026 | 8 Weeks | Campus Internship
Shree Datta Shetkari S. S. K. Ltd | Intern under Environment Office  | Kolhapur  | Jan 2024 | Apr 2024 | 14 Weeks</t>
  </si>
  <si>
    <t xml:space="preserve">Introduction to Sustainability
Introduction to Faecal Sludge Mangement
Certificate in ESG Reporting </t>
  </si>
  <si>
    <t>P25707038</t>
  </si>
  <si>
    <t>URMI</t>
  </si>
  <si>
    <t>SINGHA ROY</t>
  </si>
  <si>
    <t>Urmi Singha Roy</t>
  </si>
  <si>
    <t>urmisingharoy06@gmail.com</t>
  </si>
  <si>
    <t>p25707038@student.nicmar.ac.in</t>
  </si>
  <si>
    <t>4859 0421 9521</t>
  </si>
  <si>
    <t>NABENDU SINGHA ROY</t>
  </si>
  <si>
    <t>EX ARMED FORCES</t>
  </si>
  <si>
    <t>BARNALI SINGHA ROY</t>
  </si>
  <si>
    <t>BC126,VAISHNODEVI ABASAN,SAMARPALLI, KESTOPUR</t>
  </si>
  <si>
    <t>KENDRIYA VIDYALA NO.2</t>
  </si>
  <si>
    <t>KOLKATA, WEST BENGAL</t>
  </si>
  <si>
    <t>LMET INTL SCHOOL</t>
  </si>
  <si>
    <t>SOUTH BALARAMPUR MURSHIDABAD</t>
  </si>
  <si>
    <t>ASUTOSH COLLEGE  KOLKATA WB</t>
  </si>
  <si>
    <t>MS Office,LCA,Carbon Accounting &amp;GHG Emissions,ESG Metrics &amp; Sustainable Reporting,Circular Economy Principles</t>
  </si>
  <si>
    <t>GREENEX ENVIRONMENTAL PRIVATE LIMITED | ESG &amp; Sustainability Intern  | Shivajinagar, Pune | May 2026 | Jul 2026 | 8 Weeks | Campus Internship</t>
  </si>
  <si>
    <t>P25707039</t>
  </si>
  <si>
    <t>POORVI</t>
  </si>
  <si>
    <t>SETH</t>
  </si>
  <si>
    <t>Poorvi Seth</t>
  </si>
  <si>
    <t>purvi160423@gmail.com</t>
  </si>
  <si>
    <t>p25707039@student.nicmar.ac.in</t>
  </si>
  <si>
    <t>16-Apr-2003</t>
  </si>
  <si>
    <t>3988 9363 8985</t>
  </si>
  <si>
    <t>ASHWANI KUMAR SETH</t>
  </si>
  <si>
    <t>DOCTOR CONSULTANT</t>
  </si>
  <si>
    <t>GAURI SETH</t>
  </si>
  <si>
    <t>37/2 West Patel Nagar Ground Floor RHS</t>
  </si>
  <si>
    <t>AHLCON INTERNATIONAL SCHOOL</t>
  </si>
  <si>
    <t>CENTRAL BOARD OF SECONDARY EDUCATION CBSE NEW DELHI</t>
  </si>
  <si>
    <t>SHRI MATA VAISHNO DEVI UNIVERSITY</t>
  </si>
  <si>
    <t>SHRI MATA VAISHNO DEVI UNIVERSITY KATRA JAMMU AND KASHMIR</t>
  </si>
  <si>
    <t>MS Office,MS Project,lean management,six sigma,G suite,mendeley,Trello,KANBAN,CMIE,ProwessIQ,CANVA,LCA assessment,MINITAB</t>
  </si>
  <si>
    <t>National Skill Deveopment Corporation NSDC | Research and Development Intern  | New Delhi | May 2026 | Jul 2026 | 8 Weeks | Campus Internship
IMPRI (IMPACT AND POLICY RESEARCH INSTITUTE CAPITAL) | RESEARCH FELLOW | NEW DELHI | Jan 2025 | Apr 2025 | 12 Weeks
RELIANCE JIO | HUMAN RESOURCE INTERN  | NEW DELHI | May 2023 | Jul 2023 | 8 Weeks</t>
  </si>
  <si>
    <t>Foundations of Project Management by Google
Generative AI &amp; ESG
Fundamentals of Data Analysis in Excel
ESG AND CLIMATE RELATED REPORTING FOR ACCOUNTANTS</t>
  </si>
  <si>
    <t>P25706001</t>
  </si>
  <si>
    <t>SAILESH</t>
  </si>
  <si>
    <t>Sailesh Kumar</t>
  </si>
  <si>
    <t>psylesh03@gmail.com</t>
  </si>
  <si>
    <t>p25706001@student.nicmar.ac.in</t>
  </si>
  <si>
    <t>ENGLISH AND TAMIL</t>
  </si>
  <si>
    <t>4448 1365 4021</t>
  </si>
  <si>
    <t>AMBAYIRAM</t>
  </si>
  <si>
    <t>PAINTING CONTRACTOR</t>
  </si>
  <si>
    <t>NIRMALA AMBAYIRAM</t>
  </si>
  <si>
    <t>78, Gandhipuram, Srinivasapuram Road</t>
  </si>
  <si>
    <t>BEST MATRICULATION HIGHER SECONDARY SCHOOL</t>
  </si>
  <si>
    <t>MEENAKSHI COLLEGE OF ENGINEERING</t>
  </si>
  <si>
    <t>AutoCAD,MS Office,MS Project,Primavera,Sketchup,D5 render,Enscape,lumion 12.5,Adobe Photoshop,Open LCA,One click LCA</t>
  </si>
  <si>
    <t>DtoC Associates LLP | Project Management Intern | Chennai | May 2026 | Jul 2026 | 8 Weeks | Campus Internship
Abhilash Architects | Architecture Intern | Kerala | Jul 2022 | Nov 2022 | 17 Weeks</t>
  </si>
  <si>
    <t>Understanding Research Methods
Renewable Energy Projects
Project Valuation
Introduction to Generative AI in Human Resource
Global Environmental Management
Generative AI and ESG
Exploring Renewable Energy Schemes
Renewable Energy Technology Fundamentals
Energy Conversion Technologies (Biomass and Coal)</t>
  </si>
  <si>
    <t>P25706002</t>
  </si>
  <si>
    <t>Siddhi Sureshchandra Gosavi</t>
  </si>
  <si>
    <t>gosavisiddhisuresh@gmail.com</t>
  </si>
  <si>
    <t>p25706002@student.nicmar.ac.in</t>
  </si>
  <si>
    <t>Marathi Hindi English</t>
  </si>
  <si>
    <t>4804 8803 4185</t>
  </si>
  <si>
    <t>PROFESSOR HOD POLYTECHNIC COLLEGE</t>
  </si>
  <si>
    <t>A/103, Rushabh Tower, Suncity, Vasai West, Mumbai, Pin-401202</t>
  </si>
  <si>
    <t>VIDYAVARDHINI'S COLLEGE OF ENGINEERING &amp; TECHNOLOGY</t>
  </si>
  <si>
    <t>Reliance Corporate Park | Intern | Navi Mumbai, Ghansoli | May 2026 | Jul 2026 | 8 Weeks | Campus Internship
EN CON Project Consultants for Architectural &amp; Structural Works | Trainee Engineer  | Mumbai, Vasai | Jun 2023 | Jul 2023 | 2 Weeks
KRISHNA CONCHEM PRODUCT PVT. LTD. | TRAINEE | MUMBAI, VASAI | Jun 2022 | Jul 2022 | 1 Weeks</t>
  </si>
  <si>
    <t>Structural Audit
Total Station
Certificate of Excellence
Dr. FIXIT
Techknowvent 2020</t>
  </si>
  <si>
    <t>P25706003</t>
  </si>
  <si>
    <t>Aditya Praveen Menon</t>
  </si>
  <si>
    <t>27adityamenon@gmail.com</t>
  </si>
  <si>
    <t>p25706003@student.nicmar.ac.in</t>
  </si>
  <si>
    <t>English, Hindi, Malayalam, Tamil, Telugu</t>
  </si>
  <si>
    <t>7416 9229 9414</t>
  </si>
  <si>
    <t>PRAVEEN MOHAN</t>
  </si>
  <si>
    <t>DHIVYA MANATHAZATH</t>
  </si>
  <si>
    <t>Subhasree, Kaipenchery, Aylur P/o, 678510, Palakkad Dist, Kerala</t>
  </si>
  <si>
    <t>DOHA MODERN INDIAN SCHOOL</t>
  </si>
  <si>
    <t>C.B.S.E, DOHA, QATAR</t>
  </si>
  <si>
    <t>NATIONAL INSTITUTE OF TECHNOLOGY TIRUCHIRAPPALLI</t>
  </si>
  <si>
    <t>NATIONAL INSTITUTE OF TECHNOLOGY, TIRUCHIRAPPALLI, TAMIL NADU</t>
  </si>
  <si>
    <t>MS Office, Primavera, Power Bi</t>
  </si>
  <si>
    <t>ClimatEnlighten LLP  | research and curriculum development intern | Remote | May 2026 | Jul 2026 | 9 Weeks | Campus Internship
Al-Balagh Trading and Contracting CO.w.l.l | summer trainee | Lusail, Doha, Qatar | May 2024 | Jul 2024 | 8 Weeks
INDIAN OIL CORPORATION LIMITED | WINTER TRAINEE | GUWAHATI | Dec 2023 | Jan 2024 | 4 Weeks</t>
  </si>
  <si>
    <t>P25706004</t>
  </si>
  <si>
    <t>Janhavi Nimje</t>
  </si>
  <si>
    <t>nimjan2001@gmail.com</t>
  </si>
  <si>
    <t>p25706004@student.nicmar.ac.in</t>
  </si>
  <si>
    <t>26-Sep-2001</t>
  </si>
  <si>
    <t>Oil Painting,Poetry,Trevelling</t>
  </si>
  <si>
    <t>7331 4122 6888</t>
  </si>
  <si>
    <t>SHRIKANT NIMJE</t>
  </si>
  <si>
    <t>MADHURI NIMJE</t>
  </si>
  <si>
    <t>K-MONTILLA, PURANICS, FLAT NO. 901, 9TH FLOOR, BALEWADI, PUNE</t>
  </si>
  <si>
    <t>Sai Bhoomi Apartment, Flat No. B-320, Torwa, Bilaspur, Chhattisgarh</t>
  </si>
  <si>
    <t>KENDRIYA VIDYALAYA S R RLY BILASPUR CG</t>
  </si>
  <si>
    <t>BHARATI VIDYAPEETH COLLEGE OF ARCHITECTURE</t>
  </si>
  <si>
    <t>AutoCAD,MS Office,MS Project,Primavera,Revit,Sketchup,v ray,enscape,Photoshop,SimaPro,OpenLCA,OneClickLCA, Power BI</t>
  </si>
  <si>
    <t>Urban Loci | Junior Architect | Pune | Dec 2024 | May 2025 | 0 Years, 5 Months, 8 Days | 2</t>
  </si>
  <si>
    <t>Agami Realty LLP | Sustainable Energy Management Intern | Mumbai | May 2026 | Jul 2026 | 7 Weeks | Campus Internship
Vaastavya Architects &amp; Interior Designers | Intern | Pune | Jul 2023 | Oct 2023 | 14 Weeks</t>
  </si>
  <si>
    <t>Coursera - Renewable Energy Projects
Coursera - Generative AI and ESG
Coursera - ESG essential for Sustainable Business
IGBC AP - Associate
Professional Revit &amp; BIM Certification Program
Renewable Energy Technology Fundamentals
Project Valuation</t>
  </si>
  <si>
    <t>P25706005</t>
  </si>
  <si>
    <t>PA</t>
  </si>
  <si>
    <t>Kavya Pa</t>
  </si>
  <si>
    <t>kavyaappaiah604@gmail.com</t>
  </si>
  <si>
    <t>p25706005@student.nicmar.ac.in</t>
  </si>
  <si>
    <t>21-Mar-2002</t>
  </si>
  <si>
    <t>6587 9739 5188</t>
  </si>
  <si>
    <t>APPAIAH PK</t>
  </si>
  <si>
    <t>BEENA CB</t>
  </si>
  <si>
    <t>SRIMANGALA VILLAGE AND POST PONNAMPET TALUK KODAGU KARNATAKA</t>
  </si>
  <si>
    <t>Kodagu</t>
  </si>
  <si>
    <t>Police Quarters Meenupete Malabar Road Virajpet Kodagu</t>
  </si>
  <si>
    <t>KAVYA PA</t>
  </si>
  <si>
    <t>YUVARAJA'S COLLEGE</t>
  </si>
  <si>
    <t xml:space="preserve">Power BI ,Primavera, Surfer software, QGIS, </t>
  </si>
  <si>
    <t>Decarbonic global private limited  | Sustainability intern | Hybrid  | May 2026 | Aug 2026 | 13 Weeks | Campus Internship</t>
  </si>
  <si>
    <t>P25706006</t>
  </si>
  <si>
    <t>ZAID</t>
  </si>
  <si>
    <t>Mohammad Zaid Shaikh</t>
  </si>
  <si>
    <t>zaidshaikh8928@gmail.com</t>
  </si>
  <si>
    <t>p25706006@student.nicmar.ac.in</t>
  </si>
  <si>
    <t>ENGLISH, HINDI , MARATHI</t>
  </si>
  <si>
    <t>6169 8638 6022</t>
  </si>
  <si>
    <t>ANIS AHMED</t>
  </si>
  <si>
    <t>INDIAN RAILWAYS</t>
  </si>
  <si>
    <t>RUKHSANA BANO</t>
  </si>
  <si>
    <t>Room No.90, 60 Feet Road Madina Nagar Dharavi Mahim East Mumbai - 400017</t>
  </si>
  <si>
    <t>ELECTRICAL ENGINEERING</t>
  </si>
  <si>
    <t>M.H SABOO SIDDIK POLYTECHNIC</t>
  </si>
  <si>
    <t>SAINT FRANCIS INSTITUTE OF TECHNOLOGY</t>
  </si>
  <si>
    <t>AutoCAD,MS Office,Primavera,matlab</t>
  </si>
  <si>
    <t>KRYFS POWER COMPONENTS LIMITED | Sales &amp; Business Development  | MUMBAI | Jun 2024 | Jul 2025 | 1 Years, 1 Months, 1 Days | 3.88</t>
  </si>
  <si>
    <t>Renewxpert Solutions LLp | Project Management Intern | Pune | May 2026 | Jul 2026 | 9 Weeks | Campus Internship</t>
  </si>
  <si>
    <t>P25706007</t>
  </si>
  <si>
    <t>PETA</t>
  </si>
  <si>
    <t>Satish Reddy Peta</t>
  </si>
  <si>
    <t>satish.14012000@gmail.com</t>
  </si>
  <si>
    <t>p25706007@student.nicmar.ac.in</t>
  </si>
  <si>
    <t>6605 7263 8821</t>
  </si>
  <si>
    <t>PETA PURUSHOTHAM REDDY</t>
  </si>
  <si>
    <t>SR. LIAISON</t>
  </si>
  <si>
    <t>PETA ESWARI</t>
  </si>
  <si>
    <t>7-52/27, Aravinda Enclave, Bolligudem, Chengicherla, Hyderabad.</t>
  </si>
  <si>
    <t>KAMALA MEMORIAL HIGH SCHOOL</t>
  </si>
  <si>
    <t>BOARD OF SECONDARY EDUCATION, TELANGANA STATE, INDIA.</t>
  </si>
  <si>
    <t>VIGNANA BHARATHI INSTITUTE OF TECHNOLOGY HYDERABAD</t>
  </si>
  <si>
    <t>AutoCAD,MS Office,Creo Parametric,SharePoint,SolidWorks</t>
  </si>
  <si>
    <t>Rainbow Engineering &amp; Manufacturing | Mechanical Design Engineer | Hyderabad | Sep 2023 | Feb 2025 | 1 Years, 5 Months, 27 Days | 3.6</t>
  </si>
  <si>
    <t>ClimatEnlighten LLP | Research and curriculum development intern | Remote | May 2026 | Jul 2026 | 9 Weeks | Campus Internship</t>
  </si>
  <si>
    <t>P25706008</t>
  </si>
  <si>
    <t>ARANGA</t>
  </si>
  <si>
    <t>SUBRAMANIAM S</t>
  </si>
  <si>
    <t>Aranga Subramaniam S</t>
  </si>
  <si>
    <t>arangasubramaniam@gmail.com</t>
  </si>
  <si>
    <t>p25706008@student.nicmar.ac.in</t>
  </si>
  <si>
    <t>9480 9558 1867</t>
  </si>
  <si>
    <t>LIMGAMMAL</t>
  </si>
  <si>
    <t>7/310, Sengulam Street, Veerasigamani, Sankarankovil</t>
  </si>
  <si>
    <t>A.V.K INTERNATIONAL RESIDENTIAL SCHOOL</t>
  </si>
  <si>
    <t>VEL'S PUBLIC SCHOOL</t>
  </si>
  <si>
    <t>B. S. ABDUR RAHMAN CRESCENT INSTITUTE OF SCIENCE AND TECHNOLOGY</t>
  </si>
  <si>
    <t>B. S. ABDUR RAHMAN CRESCENT INSTITUTE OF SCIENCE AND TECHNOLOGY,VANDALUR,CHENNAI</t>
  </si>
  <si>
    <t>RenewXpert Solutions Llp | Business Development Trainee | Pune | May 2026 | Jul 2026 | 8 Weeks | Campus Internship</t>
  </si>
  <si>
    <t>P25706009</t>
  </si>
  <si>
    <t>GHATOL</t>
  </si>
  <si>
    <t>Vijaya Subhash Ghatol</t>
  </si>
  <si>
    <t>vijayasghatol@gmail.com</t>
  </si>
  <si>
    <t>p25706009@student.nicmar.ac.in</t>
  </si>
  <si>
    <t>Minimalist Living,Zero-waste Lifestyle,Video Editing,Photography,Classical dance (Bharatnatyam),Sketching,Rangoli,Mehndi,Cooking,Baking</t>
  </si>
  <si>
    <t>3241 1299 9899</t>
  </si>
  <si>
    <t>SUBHASH VISHNU GHATOL</t>
  </si>
  <si>
    <t>ADDITIONAL EXECUTIVE ENGINEER AT MSEDCL (ELECTRICAL ENGINEER)</t>
  </si>
  <si>
    <t>ARADHANA SUBHASH GHATOL</t>
  </si>
  <si>
    <t>TRADER, CONTENT CREATOR AND HOMEMAKER</t>
  </si>
  <si>
    <t>204, 1A-C, SHUBHASHRI RESIDENCY PHASE 3, GANGANAGAR, AKURDI, PIMPRI-CHINCHWAD</t>
  </si>
  <si>
    <t>Sai Leela Heritage, Flat No. 201, Near Chandrabhaga Corner, Ravet</t>
  </si>
  <si>
    <t>CHHATRAPATI SHAHU ACADEMY, SATARA</t>
  </si>
  <si>
    <t>MSBSHSE,PUNE</t>
  </si>
  <si>
    <t>LOKNETE SUBRAO KADAM JR. COLLEGE OF ARTS, COMMERCE AND SCIENCE,Â SATARA</t>
  </si>
  <si>
    <t>AFFILIATED TO SAVITRIBAI PHULE PUNE UNIVERSITY (SPPU)</t>
  </si>
  <si>
    <t>Primavera, ArcGIS, SimaPro, OpenLCA, One Click LCA, @Risk, AutoCAD, MS Office, PVSyst, WaterGEMS, MS Project</t>
  </si>
  <si>
    <t>RenewXpert Solutions LLP | Sustainable Energy Management Intern | Pune | May 2026 | Jul 2026 | 9 Weeks | Campus Internship
KSHIRSAGAR ENTERPRISES PVT. LTD. | RESEARCH SCHOLAR | KSHIRSAGAR ENTERPRISES PVT. LTD. AT POST KALAMB, TAL- AMBEGAON, DIST.- PUNE (410515) | Jun 2024 | Aug 2024 | 12 Weeks</t>
  </si>
  <si>
    <t>Principles of Construction Management- 65/100
Integrated Waste Management for a Smart City- 71/100
Sustainable Engineering Concepts and Life Cycle Analysis- 86/100
Building Materials as a Cornerstone to Sustainability- 94/100
Energy Conversion Technologies (Biomass and Coal)- 66/100
Engineering Aspects of Biofuels and Biomass Conversion Technologies- 90/100</t>
  </si>
  <si>
    <t>P25706010</t>
  </si>
  <si>
    <t>SREEDHARAN</t>
  </si>
  <si>
    <t>Sheetal Sreedharan</t>
  </si>
  <si>
    <t>ssreen2204@gmail.com</t>
  </si>
  <si>
    <t>p25706010@student.nicmar.ac.in</t>
  </si>
  <si>
    <t>English, Hindi, Marathi, Tamil</t>
  </si>
  <si>
    <t>Bharatnatyam,Carnatic vocals,Iyengar Yoga</t>
  </si>
  <si>
    <t>9090 7954 4786</t>
  </si>
  <si>
    <t>N. SREEDHARAN</t>
  </si>
  <si>
    <t>CHITRA SREEDHARAN</t>
  </si>
  <si>
    <t>RETIRED PROFESSOR</t>
  </si>
  <si>
    <t>Flat No 9, Comficentra, 40-A/2, Bhau-Patil Road, Bopodi, Pune.</t>
  </si>
  <si>
    <t>D.A.V PUBLIC SCHOOL, AUNDH, PUNE</t>
  </si>
  <si>
    <t>CBSE BOARD, CITY: PUNE</t>
  </si>
  <si>
    <t>LOYOLA HIGH SCHOOL AND JUNIOR COLLEGE, PASHAN, PUNE</t>
  </si>
  <si>
    <t>HSC BOARD IN PUNE</t>
  </si>
  <si>
    <t>Bachelor of Science</t>
  </si>
  <si>
    <t>MS Office,Python (Beginner level)</t>
  </si>
  <si>
    <t>Conservit Power Solutions  | Business development  | Pune | May 2026 | Jul 2026 | 8 Weeks | Campus Internship</t>
  </si>
  <si>
    <t>P25706011</t>
  </si>
  <si>
    <t>KADU</t>
  </si>
  <si>
    <t>Sakshi Atul Kadu</t>
  </si>
  <si>
    <t>sakshi10kadu@gmail.com</t>
  </si>
  <si>
    <t>p25706011@student.nicmar.ac.in</t>
  </si>
  <si>
    <t>9407 6977 6553</t>
  </si>
  <si>
    <t>ATUL SARDAR KADU</t>
  </si>
  <si>
    <t>SAVITA ATUL KADU</t>
  </si>
  <si>
    <t>Sakshi Villa, Datta Prasad, Housing Society, Lane No.2, Survey No.47/3, Ganesh Nagar, Wadgaonsheri, Pune- 411014</t>
  </si>
  <si>
    <t>PRODIGY PUBLIC SCHOOL, WAGHOLI</t>
  </si>
  <si>
    <t>CBSE, PUNE MAHARASHTRA</t>
  </si>
  <si>
    <t>NOWROSJEE WADIA COLLEGE, PUNE</t>
  </si>
  <si>
    <t>HSC, PUNE MAHARASHTRA</t>
  </si>
  <si>
    <t>MIT ART, DESIGN AND TECHNOLOGY UNIVERSITY,PUNE</t>
  </si>
  <si>
    <t>MIT ART, DESIGN AND TECHNOLOGY UNIVERSITY, PUNE, MAHARASHTRA</t>
  </si>
  <si>
    <t xml:space="preserve">AutoCAD, MS Office, Primavera, Adobe Photoshop, Adobe Illustrator, Adobe InDesign, One Click LCA, Sima Pro, Power BI </t>
  </si>
  <si>
    <t>Sustain And Save Pvt Ltd. | Green Building Analyst Intern | Pune | May 2026 | Jul 2026 | 8 Weeks | Campus Internship
Shree Bramha Architects | Architectural Intern | Wagholi,Pune  | Jan 2024 | Jun 2024 | 21 Weeks</t>
  </si>
  <si>
    <t>GHG Accounting &amp; Carbon Accounting
Sustainable Engineering Concepts and Life Cycle Analysis
Product Engineering and Design Thinking</t>
  </si>
  <si>
    <t>P25706012</t>
  </si>
  <si>
    <t>PATHAK</t>
  </si>
  <si>
    <t>Harsh Pathak</t>
  </si>
  <si>
    <t>harshxpathak@gmail.com</t>
  </si>
  <si>
    <t>p25706012@student.nicmar.ac.in</t>
  </si>
  <si>
    <t>Music,Photography</t>
  </si>
  <si>
    <t>3616 8512 2270</t>
  </si>
  <si>
    <t>VIVEK PATHAK</t>
  </si>
  <si>
    <t>RASHMI PATHAK</t>
  </si>
  <si>
    <t>FLAT G 3,Ground Floor,Malhar Sankul,Baapgaon,Bhiwandi</t>
  </si>
  <si>
    <t>DON BOSCO HIGH SCHOOL</t>
  </si>
  <si>
    <t>K.M AGRAWAL COLLEGE</t>
  </si>
  <si>
    <t>FERGUSSON COLLEGE (AUTONOMOUS),PUNE</t>
  </si>
  <si>
    <t>MS Office, Primavera, Power BI(Data visualization) , openLCA, One Click LCA, SimaPro, Pvsyst, @RISK</t>
  </si>
  <si>
    <t>Govardhan Eco Village | Energy Efficiency Intern | Govardhan Eco Village, Galtare, P.O. Hamrapur, Wada (Taluka), Palghar (District) - 421 303, Maharashtra, India  | May 2026 | Jul 2026 | 9 Weeks | Campus Internship</t>
  </si>
  <si>
    <t>P25706013</t>
  </si>
  <si>
    <t>Laxmikant Yeshwant Deshmukh</t>
  </si>
  <si>
    <t>lddeshmukh802@gmail.com</t>
  </si>
  <si>
    <t>p25706013@student.nicmar.ac.in</t>
  </si>
  <si>
    <t>9377 1595 6286</t>
  </si>
  <si>
    <t>YESHWANTRAO BHAGWANTRAO DESHMUKH</t>
  </si>
  <si>
    <t>JYOTI YESHWANTRAO DESHMUKH</t>
  </si>
  <si>
    <t>65, Panchmukhi Hanuman Mandir Ganesh Nagar Nanded</t>
  </si>
  <si>
    <t>NAGARJUNA PUBLIC SCHOOL NANDED</t>
  </si>
  <si>
    <t>SHRI CHATRAPATI SHIVAJI UCHCH MADHYAMIK VIDYALAYA ADAS</t>
  </si>
  <si>
    <t>MAHARASHTRA STATE BOARD OF SECONDARY &amp;HIGHER SECONDARY EDUCATION PUNE</t>
  </si>
  <si>
    <t>DR. BABASAHEB AMEBEDKAR TECHNOLOGICAL UNIVERSITY</t>
  </si>
  <si>
    <t xml:space="preserve">AutoCAD, MS Office ( Estimate) , primavera , Microsoft Power BI , LCA , </t>
  </si>
  <si>
    <t>Swiss Newater  | Sustainability intern  |  Pimpri-Chinchwad, Maharashtra | May 2026 | Jul 2026 | 8 Weeks | Campus Internship
BALAJI DEVELOPER &amp; VASTU RACHANA ASSOCIATES | CIVIL ENGINEER  | PIMPRI CHINCHWAD | Apr 2025 | Jun 2025 | 12 Weeks</t>
  </si>
  <si>
    <t>P25706014</t>
  </si>
  <si>
    <t>IQRA</t>
  </si>
  <si>
    <t>TAYABA</t>
  </si>
  <si>
    <t>Iqra Tayaba Shaik</t>
  </si>
  <si>
    <t>iqratayaba.shaik@gmail.com</t>
  </si>
  <si>
    <t>p25706014@student.nicmar.ac.in</t>
  </si>
  <si>
    <t>2229 2252 2984</t>
  </si>
  <si>
    <t>SHAIK SHAMEER BASHA</t>
  </si>
  <si>
    <t>STRUCTURAL ENGINEER</t>
  </si>
  <si>
    <t>SHAIK TASNEEM BANU</t>
  </si>
  <si>
    <t>BLOCK B1,FLAT NO.615, SVS PATELS CALLISTO APARTMENTS, AMRUTAHALLI</t>
  </si>
  <si>
    <t>6-3-176,flat No.102,Shiri Avenue Apartments, Ram Nagar</t>
  </si>
  <si>
    <t>AKSHARA INTERNATIONAL SCHOOL</t>
  </si>
  <si>
    <t>ANANTAPUR, ANDHRA PRADESH</t>
  </si>
  <si>
    <t>PINEGROVE JUNIOR COLLEGE</t>
  </si>
  <si>
    <t>HYDERABAD,TELANGANA</t>
  </si>
  <si>
    <t>BM SREENIVASAIAH SCHOOL OF ARCHITECTURE, BANGALORE, KARNATAKA</t>
  </si>
  <si>
    <t>AutoCAD,MS Office,Primavera,Sketchup,Revit,Adobe Photoshop,Enscape</t>
  </si>
  <si>
    <t>Neev Green Building Consultancy | Green Building Analyst | Pune | May 2026 | Jul 2026 | 8 Weeks | Campus Internship</t>
  </si>
  <si>
    <t>9th Zero Energy Mass Custom Home</t>
  </si>
  <si>
    <t>P25706015</t>
  </si>
  <si>
    <t>PRITAL</t>
  </si>
  <si>
    <t>Kamble Prital Vijay</t>
  </si>
  <si>
    <t>pritalvijaykamble20@gmail.com</t>
  </si>
  <si>
    <t>p25706015@student.nicmar.ac.in</t>
  </si>
  <si>
    <t>9077 0751 0612</t>
  </si>
  <si>
    <t>VIJAY KAMBLE</t>
  </si>
  <si>
    <t>GANGA</t>
  </si>
  <si>
    <t>WARD NO-2, KANHAPUR, PO-SUKALI STATION, DIS- WARDHA</t>
  </si>
  <si>
    <t>MATOSHREE RAMABAI MADHAMIK VIDYALAYA, SINDHI (MEGHE), WARDHA</t>
  </si>
  <si>
    <t>D.C JUNIOR COLLAGE , SELOO</t>
  </si>
  <si>
    <t>B.D. COLLAGE OF ENGINEERING SEWAGRAM, WARDHA</t>
  </si>
  <si>
    <t>AutoCAD, MS Office, Primavera, Sketch UP, MS-CIT</t>
  </si>
  <si>
    <t>Ecoboard Industries Limited | Project Management  | Pune | May 2026 | Jun 2026 | 8 Weeks | Campus Internship
M/S D.V. PATEL AND CO. ENGINEERS &amp; CONTRACTORS | SITE ENGINEER | WARDHA | May 2019 | Jun 2019 | 4 Weeks
R &amp; R ASSOCIATES ARCHITECTURE + CONSTRUCTION | SITE ENGINEER | WARDHA | Jan 2024 | Aug 2024 | 34 Weeks
SPD INFRA CONSULTANTS PRIVATE LIMITED | CIVIL ENGINEER | NAGPUR | Oct 2022 | Dec 2023 | 61 Weeks</t>
  </si>
  <si>
    <t>Occupational safety and Dignity of sanitation workers and dry waste man
MS-CIT
AUTO CAD
Energy Conversion Technolgies (Biomass and Coal)</t>
  </si>
  <si>
    <t>P25706016</t>
  </si>
  <si>
    <t>ANU</t>
  </si>
  <si>
    <t>DEEPTHI</t>
  </si>
  <si>
    <t>Anu Deepthi</t>
  </si>
  <si>
    <t>anudeepthiavk@gmail.com</t>
  </si>
  <si>
    <t>p25706016@student.nicmar.ac.in</t>
  </si>
  <si>
    <t>6434 4163 7345</t>
  </si>
  <si>
    <t>SHASHIDHARA K M</t>
  </si>
  <si>
    <t>SHAMITHA</t>
  </si>
  <si>
    <t>#12,sreerampura 2nd Stage, Kandayanagara, Mysore- 570023</t>
  </si>
  <si>
    <t>ACHARYA VIDYA KULA</t>
  </si>
  <si>
    <t>INDIAN CERTIFICATE OF SECONDARY EDUCATION(ICSE)</t>
  </si>
  <si>
    <t>CHAITRA PU COLLEGE</t>
  </si>
  <si>
    <t>KARNATAKA SCHOOL EXAMINATION AND ASSESSMENT BOARD(KSEAB)</t>
  </si>
  <si>
    <t>SRI JAYACHAMARAJENDRA COLLEGE OF ENGINEERING</t>
  </si>
  <si>
    <t>MS Office,Primavera,Simapro,GaBi,Open LCA, One Click LCA</t>
  </si>
  <si>
    <t>Renewxpert Solutions Llp | Business Development  | Pune | May 2026 | Jul 2026 | 8 Weeks | Campus Internship
CIPLA | EHS intern | Bangalore | Aug 2024 | Sep 2024 | 4 Weeks
SABIC | LCA- Sustainability intern | Bangalore | Jan 2025 | Jul 2025 | 25 Weeks</t>
  </si>
  <si>
    <t>P25706017</t>
  </si>
  <si>
    <t>ADHIP</t>
  </si>
  <si>
    <t>RAVIKRISHNAN</t>
  </si>
  <si>
    <t>Adhip Ravikrishnan</t>
  </si>
  <si>
    <t>adhip.ravikrishnan@gmail.com</t>
  </si>
  <si>
    <t>p25706017@student.nicmar.ac.in</t>
  </si>
  <si>
    <t>English, Hindi, Malayalam, Spanish</t>
  </si>
  <si>
    <t>8020 0017 2492</t>
  </si>
  <si>
    <t>DILEEP M KRISHNAN</t>
  </si>
  <si>
    <t>DIVYA R</t>
  </si>
  <si>
    <t>Haven On Hills, Thiruvallom P.O, Thiruvananthapuram</t>
  </si>
  <si>
    <t>CBSE, TRIVANDRUM, KERALA</t>
  </si>
  <si>
    <t>CHRIST NAGAR ENGLISH HIGHER SECONDARY SCHOOL</t>
  </si>
  <si>
    <t>HSE KERALA, KOWDIAR, KERALA</t>
  </si>
  <si>
    <t>MAR BASELIOS COLLEGE OF ENGINEERING AND TECHNOLOGY, NALANCHIRA, KERALA</t>
  </si>
  <si>
    <t>AutoCAD, Primavera, Power Bi</t>
  </si>
  <si>
    <t>K Raheja Corp Real Estate Private Ltd. | ESG Intern | Bandra-Kurla Complex, Navi Mumbai, Maharashtra | May 2026 | Jun 2026 | 7 Weeks | Campus Internship
Chalet Hotels Ltd. | Intern | Westin Mumbai Powai Lake, Saki Vihar Road, Maharashtra, India | Apr 2023 | Apr 2023 | 1 Weeks
AHAM BUILDERS, CONSULTANTS, DEVELOPERS | INTERN | MANGALORE, KAZHAKUTTOM, MANACAUD | Oct 2023 | Oct 2023 | 1 Weeks</t>
  </si>
  <si>
    <t>P25706018</t>
  </si>
  <si>
    <t>Utkarsha Rajesh Bhosale</t>
  </si>
  <si>
    <t>utkarshabhosale00815@gmail.com</t>
  </si>
  <si>
    <t>p25706018@student.nicmar.ac.in</t>
  </si>
  <si>
    <t>Playing badminton,Explore heritage structure</t>
  </si>
  <si>
    <t>3971 5999 0212</t>
  </si>
  <si>
    <t>RAJESH BHOSALE</t>
  </si>
  <si>
    <t>RAILWAY T.E</t>
  </si>
  <si>
    <t>SARALA BHOSALE</t>
  </si>
  <si>
    <t>Khadka Road Chindhu Nemade Colony</t>
  </si>
  <si>
    <t>K.NARKHEDE VIDYALAYA</t>
  </si>
  <si>
    <t>MAHARASHTRA STATE BOARD OF SECONDARY AND HIGHER SECONDARY EDUCATION, NASHIK DIVISIONAL BOARD</t>
  </si>
  <si>
    <t>SINHGAD COLLEGE OF ARCHITECTURE VADGAON, PUNE.</t>
  </si>
  <si>
    <t>AutoCAD,MS Office,Primavera,Sketchup,photoshop,lumion,enscape,SIMA pro,Open LCA,One click LCA, Power BI</t>
  </si>
  <si>
    <t>Greenex Environmental Ltd. | Green building consultant | Pune | May 2026 | Jul 2026 | 8 Weeks | Campus Internship
AIRBORNE INDUSTRIES LLP | ARCHITECT INTERN | PUNE | Jun 2024 | Nov 2024 | 21 Weeks</t>
  </si>
  <si>
    <t>Awareness programme on energy conservation and ECSBC
IGBC-AP certificate
Exploring renewable energy scheme
Generative AI and ESG
Understanding research methods
Project valuation and the capital budgeting process
Renewable energy technology fundamental
Renewable power and electricity system
Renewable energy project
Introduction to generative AI in human resources
ESG essential for sustainable business
Global environmental management</t>
  </si>
  <si>
    <t>P25706019</t>
  </si>
  <si>
    <t>Abhijith S</t>
  </si>
  <si>
    <t>abhijith7737e@gmail.com</t>
  </si>
  <si>
    <t>p25706019@student.nicmar.ac.in</t>
  </si>
  <si>
    <t>ENGLISH,HINDI,MALAYALAM,TAMIL,KANNADA</t>
  </si>
  <si>
    <t>7242 6454 8057</t>
  </si>
  <si>
    <t>SASIDHARAN NAIR</t>
  </si>
  <si>
    <t>AGRI</t>
  </si>
  <si>
    <t>GEETHA P</t>
  </si>
  <si>
    <t>SREEVALSAM PULIMEL PATTOOR PO NOORANAD</t>
  </si>
  <si>
    <t>SREE BUDDHA CENTRAL SCHOOL PATTOOR</t>
  </si>
  <si>
    <t>HIGHER SECONDARY SCHOOL NOORANAD PADANILAM</t>
  </si>
  <si>
    <t>BOARD OF HIGHER SECONDARY EXAMINATION THIRUVANANTHAPURAM</t>
  </si>
  <si>
    <t>APJ ABDUL KALAM TECHNOLOGICAL UNIVERSITY THIRUVANANTHAPURAM KERALA</t>
  </si>
  <si>
    <t>MUSALIAR COLLEGE OF ENGINEERING AND TECHNOLOGY PATHANAMTHITTA</t>
  </si>
  <si>
    <t>MS Office,EXCEL,PYTHON,DATA ANALYTICS</t>
  </si>
  <si>
    <t>Office of Kodikkunnil Suresh MP (LOKSABHA)  | Project Review Committee  |  Keralam | May 2026 | Jul 2026 | 8 Weeks | Campus Internship
TRAINITY | DATA ANALYTICS | . | Jul 2023 | Sep 2023 | 8 Weeks
MATRIX ARCHITECTS AND INTERIORS | PROJECT COORDINATOR | ERNAKULAM | Sep 2021 | Sep 2022 | 53 Weeks
ALMANAC NUTRITION PRIVATE LIMITED | BUSINESS DEVELOPMENT  | BENGALURU  | Jan 2024 | Jan 2025 | 54 Weeks</t>
  </si>
  <si>
    <t>P25706020</t>
  </si>
  <si>
    <t>MOHAMMED ADNAN</t>
  </si>
  <si>
    <t>MOHAMMED ASLAM</t>
  </si>
  <si>
    <t>Mohammed Adnan Mohammed Aslam Shaikh</t>
  </si>
  <si>
    <t>adnanshaikh7796@gmail.com</t>
  </si>
  <si>
    <t>p25706020@student.nicmar.ac.in</t>
  </si>
  <si>
    <t>3066 6927 5066</t>
  </si>
  <si>
    <t>MOHAMMED ASLAM SHAIKH</t>
  </si>
  <si>
    <t>LABOR CONTRACTOR</t>
  </si>
  <si>
    <t>RASHIDA ASLAM SHAIKH</t>
  </si>
  <si>
    <t>Flat No. 202 Building No. 5, Moti Baug CHS. Ltd. Almas Colony Road, Near Shamim Apt. Mumbra, Thane.</t>
  </si>
  <si>
    <t>M. H. SABOO SIDDIK POLYTECHNIC</t>
  </si>
  <si>
    <t>ST. FRANCIS INSTITUTE OF TECHNOLOGY, MUMBAI</t>
  </si>
  <si>
    <t>AutoCAD,MS Office,MS Project,Primavera,Navis,MATLAB Simulink</t>
  </si>
  <si>
    <t>Listenlights | Associate Project Controls Engineer | Mumbai | Jun 2024 | Jul 2025 | 1 Years, 1 Months, 28 Days | 6.1</t>
  </si>
  <si>
    <t>BECIS | Intern - Construction &amp; Project Management  | Pune  | May 2026 | Jul 2026 | 9 Weeks | Campus Internship
DISCOVER TECHNOLOGIES | INTERN | ONLINE | May 2020 | Jun 2020 | 6 Weeks
Central Railway | Intern | Mumbai | Jun 2023 | Jun 2023 | 2 Weeks
BEST | Intern | Mumbai | Dec 2022 | Jan 2023 | 4 Weeks</t>
  </si>
  <si>
    <t>P25706021</t>
  </si>
  <si>
    <t>KHODKE</t>
  </si>
  <si>
    <t>BRAHMA</t>
  </si>
  <si>
    <t>Khodke Brahma Sarang</t>
  </si>
  <si>
    <t>linkmebrahma@gmail.com</t>
  </si>
  <si>
    <t>p25706021@student.nicmar.ac.in</t>
  </si>
  <si>
    <t>5499 6525 3495</t>
  </si>
  <si>
    <t>SARANG KHODKE</t>
  </si>
  <si>
    <t>SARLA KHODKE</t>
  </si>
  <si>
    <t>Flat No 302 3rd  Floor, Ashirwad Solar ASK &amp; COMPANY, Silver Park Apartment, Shivanjali Ln No. 2, Dattanagar, Chowk, Katraj, Pune, Maharashtra 411046</t>
  </si>
  <si>
    <t>JAGRUTHI VIDYALAYA, AKOLA, MAHARASHTRA</t>
  </si>
  <si>
    <t>RASHTRASANT TUKADOJI MAHARAJ NAGPUR UNIVERSITY, MAHARASHTRA</t>
  </si>
  <si>
    <t>G H RAISONI COLLAGE OF ENGINEERING AND MANAGEMENT, NAGPUR, MAHARASHTRA</t>
  </si>
  <si>
    <t>AutoCAD,MS Office,MS Project,Primavera,Power BI,SimaPro,One Click LCA</t>
  </si>
  <si>
    <t>Snil Contractors | Junior Engineer | Pune | Nov 2024 | Jul 2025 | 0 Years, 7 Months, 28 Days | 1.56</t>
  </si>
  <si>
    <t>Salemax Plus Techno Pvt. Ltd. | Real Estate Advisory Intern | Pune | May 2026 | Jul 2026 | 8 Weeks | Campus Internship
Zilla Parishad, Nagpur | Intern | Nagpur | Jun 2023 | Jul 2023 | 4 Weeks
Maharashtra Jeevan Pradhikaran Sub Division Murtizapur | Intern | Murtizapur | Feb 2022 | Feb 2022 | 2 Weeks
A ONE GROUP, Shivajinagar, Pune | Intern | Pune | Dec 2023 | May 2024 | 21 Weeks</t>
  </si>
  <si>
    <t>GCC-TBC English 30wpm
One day awareness Programme on Energy Conservation and ECSBC
McKinsey.org Forward Program
(NPTEL) Building Materials as a Cornerstone to Sustainability
Workshop on GHG Accounting &amp; Carbon Accounting</t>
  </si>
  <si>
    <t>P25706022</t>
  </si>
  <si>
    <t>AASTHA</t>
  </si>
  <si>
    <t>Aastha Atul Shinde</t>
  </si>
  <si>
    <t>aasthashinde08@gmail.com</t>
  </si>
  <si>
    <t>p25706022@student.nicmar.ac.in</t>
  </si>
  <si>
    <t>2873 8238 4479</t>
  </si>
  <si>
    <t>ATUL ANANDA SHINDE</t>
  </si>
  <si>
    <t>VRUSHALI ATUL SHINDE</t>
  </si>
  <si>
    <t>FLAT NO.24 WING A SNEHAL PARK SHASTRI NAGAR KOHAPUR MAHARASHTRA</t>
  </si>
  <si>
    <t>INDIAN CERTIFICATE OF SECONDARY EDUCATION (KOLHAPUR)</t>
  </si>
  <si>
    <t>SHAHU DAYANAND HIGH SCHOOL</t>
  </si>
  <si>
    <t>THE MAHARASHTRA STATE BOARD SECONDARY AND HIGHER SECONDARY EDUCATION (KOLHAPUR)</t>
  </si>
  <si>
    <t>KOLHAPUR INSTITUTE OF TECHNOLOGY'S COLLEGE OF ENGINEERING</t>
  </si>
  <si>
    <t>RenewXpert Solution LLP | Sustainablility project management  | PUNE | May 2026 | Jul 2026 | 9 Weeks | Campus Internship
SURAJ ESTATE DEVELOPERS | INTERN | KOLHAPUR, MAHARASHTRA | Jan 2025 | Jun 2025 | 21 Weeks</t>
  </si>
  <si>
    <t>REVIT
AUTO CAD</t>
  </si>
  <si>
    <t>P25706023</t>
  </si>
  <si>
    <t>AUM</t>
  </si>
  <si>
    <t>ROKADE</t>
  </si>
  <si>
    <t>Aum Rokade</t>
  </si>
  <si>
    <t>aum.rokade@gmaill.com</t>
  </si>
  <si>
    <t>p25706023@student.nicmar.ac.in</t>
  </si>
  <si>
    <t>7633 6529 5051</t>
  </si>
  <si>
    <t>VINOD ROKADE</t>
  </si>
  <si>
    <t>SUNITA KHADASE</t>
  </si>
  <si>
    <t>CAO, HEALTH DEPARTMENT, AKOLA</t>
  </si>
  <si>
    <t>C/O Sunita Khadse, Flat No. A 04, Plot No-36, Shree Bhagirathi Residency, Shahnoorwadi, Aurangabad, Maharashtra.</t>
  </si>
  <si>
    <t>PODAR INTERNATIONAL SCHOOL (CBSE)</t>
  </si>
  <si>
    <t>AURANGABAD, MAHARASHTRA, INDIA</t>
  </si>
  <si>
    <t>Govardhan Eco-Village | Sustainability Intern | Govardhan Eco-Village, Palghar, Mumbai. | May 2026 | Jul 2026 | 9 Weeks | Campus Internship
S.B.S. &amp; ASSOCIATES | INTERN | AURANGABAD  | Mar 2023 | Jun 2023 | 13 Weeks</t>
  </si>
  <si>
    <t>P25706024</t>
  </si>
  <si>
    <t>RAWLE</t>
  </si>
  <si>
    <t>Himanshu Rajendra Rawle</t>
  </si>
  <si>
    <t>himanshurawle@gmail.com</t>
  </si>
  <si>
    <t>p25706024@student.nicmar.ac.in</t>
  </si>
  <si>
    <t>03-Jan-1999</t>
  </si>
  <si>
    <t>Jump Rope,Speed Cubing</t>
  </si>
  <si>
    <t>8928 9031 8764</t>
  </si>
  <si>
    <t>House No.3571, Misal Layout, Behind Old Shiv Temple, Jaripatka, Nagpur_x000D_
Anusaya Niwas</t>
  </si>
  <si>
    <t>BHAVAN'S BHAGWANDAS PUROHIT VIDYA MANDIR CIVIL LINES , NAGPUR</t>
  </si>
  <si>
    <t>CENTRAL BOARD OF SECONDARY EDUCATION , NAGPUR , MAHARASHTRA</t>
  </si>
  <si>
    <t>CENTRE POINT SCHOOL KATOL ROAD , NAGPUR</t>
  </si>
  <si>
    <t>SIR J.J. COLLEGE OF ARCHITECTURE , MUMBAI , MAHARASHTRA</t>
  </si>
  <si>
    <t>AutoCAD,MS Office,MS Project,Primavera,Revit,Naviswork,Photoshop,Lumion,Notion,Sketchup,Twinmotion,Premier Pro,Indesign,Canva</t>
  </si>
  <si>
    <t>Navy Blue Energy Labs PVT. LTD. | Business Development Executive | Pune | May 2026 | Jul 2026 | 8 Weeks | Campus Internship
HABITROO ARCH SPACE PVT LTD | JUNIOR ARCHITECT AND MANAGEMENT INTERN | PUNE | May 2025 | Jul 2025 | 8 Weeks
SPACE DESIGN ARCHITECTS PLANNER AND INTERIOR DESIGNER | JUNIOR ARCHITECT INTERN | NAVI MUMBAI | Jan 2021 | May 2021 | 16 Weeks
EnviroLAB Consulting, | ESD Analyst Intern | Remote | Jun 2026 | Aug 2026 | 8 Weeks</t>
  </si>
  <si>
    <t>Exploring Renewable Energy Schemes
Generative AI and ESG
Global Environment Management
Introduction to Generative AI in Human Resource
Master Microsoft Excel Apply, Analyze &amp; Visualize
Renewable Energy Technology Management
ESG Essentials for Sustainable Business
Google Ads for Beginners Coursera Project Network
Foundations of User Experience (UX) Design Google
Autodesk Revit Certified Professional Certification|Autodesk
Autodesk Naviswork|Autodesk
Successful Negotiation: Essential Strategies and Skills|Coursera|University of Michigan
Sales Representative Certification Program|Reliance Foundation|National Skill Development Corporation
BIM Professional Course for Architects and Engineers|Novatr|National Skill Development Corporation</t>
  </si>
  <si>
    <t>P25706025</t>
  </si>
  <si>
    <t>ROHINI</t>
  </si>
  <si>
    <t>Rohini Tanaji Waghmode</t>
  </si>
  <si>
    <t>rohiniwaghmode13@gmail.com</t>
  </si>
  <si>
    <t>p25706025@student.nicmar.ac.in</t>
  </si>
  <si>
    <t>Marathi , English , Hindi</t>
  </si>
  <si>
    <t>Sports,trekking,traveling,photography,documentation,and organizing team events.</t>
  </si>
  <si>
    <t>5214 2683 1832</t>
  </si>
  <si>
    <t>NEAR WESTEND MALL , AUNDH</t>
  </si>
  <si>
    <t>At Post Tisangi , Taluka - Pandharpur , Dist - Solapur 413304</t>
  </si>
  <si>
    <t>SINHGAD PUBLIC SCHOOL</t>
  </si>
  <si>
    <t>CBSE , PANDHARPUR , MAHARASHTRA</t>
  </si>
  <si>
    <t>ANNASAHEB PATILVA UCCHA VIDYALAY TISANGI , PANDHARPUR , MAHARASHTRA</t>
  </si>
  <si>
    <t>MAHARASHTRA STATE BOARD OF SECONDARY &amp; HIGHER SECONDARY EDUCATION, PANDHARPUR, MAHARASHTRA</t>
  </si>
  <si>
    <t>DR BHANUBEN NANAVATI COLLEGE OF ARCHITECTURE FOR WOMEN</t>
  </si>
  <si>
    <t>Power BI, PVSyst, SimaPro, OpenLCA, One Click LCA, Primavera, MS Project, AutoCAD, Sketch up, Lumion, Enscape, Climate Consultant, Ecotect analysis, Edge Tool,  Canva, MS Office</t>
  </si>
  <si>
    <t>Meraki Architecture | Junior Architect | Pune | Feb 2025 | Aug 2025 | 0 Years, 6 Months, 30 Days | 1.8</t>
  </si>
  <si>
    <t>RenewXpert Solution LLP | Sustainable Energy Management Intern  | Pune  | May 2026 | Jul 2026 | 9 Weeks | Campus Internship
CHANDAN PARAB DESIGNS | INTERN ARCHITECT | GOA | Jun 2023 | Dec 2023 | 26 Weeks
Decathlon Sports India Pvt. Ltd. | Omni Sports Advisor (OSA) – Mountain Sports | Pune | Nov 2025 | May 2026 | 25 Weeks</t>
  </si>
  <si>
    <t>NATURAL MATERIAL HANDS ON WORKSHOP
VOLLEYBALL TOURNAMENT
COA ARCHITECT LICENSE</t>
  </si>
  <si>
    <t>P25706026</t>
  </si>
  <si>
    <t>Manu R</t>
  </si>
  <si>
    <t>manu.rs08113@gmail.com</t>
  </si>
  <si>
    <t>p25706026@student.nicmar.ac.in</t>
  </si>
  <si>
    <t>08-Nov-2003</t>
  </si>
  <si>
    <t>English,Hindi,Tamil,Kannada</t>
  </si>
  <si>
    <t>2725 5502 8732</t>
  </si>
  <si>
    <t>RAJANI R</t>
  </si>
  <si>
    <t>SAVITHA R</t>
  </si>
  <si>
    <t>19/1,15th Cross,4th Main,LN Puram</t>
  </si>
  <si>
    <t>B.M.S COLLEGE OF ENGINEERING</t>
  </si>
  <si>
    <t>ClimatEngligthen LLP | Research Intern | Remote | May 2026 | Jul 2026 | 9 Weeks | Campus Internship
South Western Railway,Office of the Deputy Chief Engineer(Station Development,Construction Organisation), Bengaluru Cantonment | Student Trainee- Station Development and Construction  | Yeshwanthpur Railway Station | Jul 2024 | Aug 2024 | 4 Weeks</t>
  </si>
  <si>
    <t>P25701001</t>
  </si>
  <si>
    <t>RACHANA</t>
  </si>
  <si>
    <t>Rachana Sreekumar</t>
  </si>
  <si>
    <t>rachanascivil@gmail.com</t>
  </si>
  <si>
    <t>p25701001@student.nicmar.ac.in</t>
  </si>
  <si>
    <t>22-May-2003</t>
  </si>
  <si>
    <t>English, Tamil, Malayalam, Hindi</t>
  </si>
  <si>
    <t>8498 1502 2705</t>
  </si>
  <si>
    <t>B SREEKUMAR</t>
  </si>
  <si>
    <t>K P JAYA</t>
  </si>
  <si>
    <t>No.3 Anjana 4th Main Road Vijaya Nagar Velachery Chennai - 600042</t>
  </si>
  <si>
    <t>DAV SCHOOL ADAMBAKKAM</t>
  </si>
  <si>
    <t>CENTRAL BOARD OF SECONDARY EDUCATION (CHENNAI /TAMILNADU)</t>
  </si>
  <si>
    <t>CHETTINAD VIDYASHRAM</t>
  </si>
  <si>
    <t>ANNA UNIVERSITY (CEG CAMPUS)</t>
  </si>
  <si>
    <t>COLLEGE OF ENGINEERING GUINDY, CHENNAI. TAMILNADU</t>
  </si>
  <si>
    <t>KPMG India | Intern - Major Project Advisory (MPA) team | Bangalore | May 2026 | Jun 2026 | 7 Weeks | Campus Internship
BAASHYAAM CONSTRUCTIONS | SITE WORK | Chennai | May 2024 | Jun 2024 | 4 Weeks
INDIAN INSTITUTE OF TECHNOLOGY, MADRAS (IIT-M) | Lab work assistance | Chennai | Jun 2023 | Jul 2023 | 4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</si>
  <si>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</si>
  <si>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P25701002</t>
  </si>
  <si>
    <t>KOTKAR</t>
  </si>
  <si>
    <t>Aniruddha Rajendra Kotkar</t>
  </si>
  <si>
    <t>kotkaraniruddha@gmail.com</t>
  </si>
  <si>
    <t>p25701002@student.nicmar.ac.in</t>
  </si>
  <si>
    <t>14-Jul-2001</t>
  </si>
  <si>
    <t>9307 6764 0442</t>
  </si>
  <si>
    <t>FIRE OFFICER</t>
  </si>
  <si>
    <t>PARNIKA</t>
  </si>
  <si>
    <t>16/B, Damayanti Niwas, Behind Vitthal Mandir, Vitawa Koliwada, Belapur Road, Thane, Post-Kalwa.</t>
  </si>
  <si>
    <t>SHIV SAMARTH VIDYALAYA, THANE.</t>
  </si>
  <si>
    <t>MAHARASHTRA STATE BOARD OF SECONDARY AND HIGHER SECONDARY EDUCATION, PUNE WITH THANE.</t>
  </si>
  <si>
    <t>V.G. VAZE COLLEGE OF ARTS, SCIENCE AND COMMERCE, MULUND EAST, MUMBAI.</t>
  </si>
  <si>
    <t>MAHATMA GANDHI MISSION'S COLLEGE OF ENGINEERING &amp; TECHNOLOGY, KAMOTHE, NAVI MUMBAI.</t>
  </si>
  <si>
    <t>AutoCAD,MS Office,MS Project,STAAD.Pro,ERP,Revit</t>
  </si>
  <si>
    <t>Unique Concrete Technologies Pvt. Ltd. | Site Engineer | Koparkhairane, Navi Mumbai | Jun 2023 | Jan 2025 | 1 Years, 7 Months, 15 Days | 3</t>
  </si>
  <si>
    <t>PSP Projects Limited | Civil Intern | International Airport Terminal 1, Vile Parle Mumbai 400099 | May 2026 | Jul 2026 | 8 Weeks | Campus Internship
G.R. Engineering Pvt. Ltd. | Junior Site Engineer | Piramal Revanta, Mulund, Mumbai | Sep 2022 | May 2023 | 38 Weeks</t>
  </si>
  <si>
    <t>AutoCAD
Maharastra State Certificate in Information Technology (MS-CIT)
Microsoft Project Cource 2016, 2019, 2021 6 PDUs
Coursera- Managing Project Risks and Changes
Coursera- Project Management- The Basics for Sucess
Coursera - Introduction to Corporate Finance</t>
  </si>
  <si>
    <t>P25701003</t>
  </si>
  <si>
    <t>SANDIP</t>
  </si>
  <si>
    <t>THORAT</t>
  </si>
  <si>
    <t>Shreyas Sandip Thorat</t>
  </si>
  <si>
    <t>shreyas.291203@gmail.com</t>
  </si>
  <si>
    <t>p25701003@student.nicmar.ac.in</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</si>
  <si>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</si>
  <si>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</si>
  <si>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</si>
  <si>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</si>
  <si>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</si>
  <si>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</si>
  <si>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</si>
  <si>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</si>
  <si>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PIMPRI CHINCHWAD COLLEGE OF ENGINEERING &amp; RESEARCH, PUNE</t>
  </si>
  <si>
    <t>AutoCAD, MS Office, MS Project, Primavera, Power BI, Matlab Simulink, MS Excel</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</si>
  <si>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</si>
  <si>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</si>
  <si>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P25701004</t>
  </si>
  <si>
    <t>ZAYEEM</t>
  </si>
  <si>
    <t>SHARIEF</t>
  </si>
  <si>
    <t>Zayeem Sharief</t>
  </si>
  <si>
    <t>zayeemsharief@gmail.com</t>
  </si>
  <si>
    <t>p25701004@student.nicmar.ac.in</t>
  </si>
  <si>
    <t>24-May-2002</t>
  </si>
  <si>
    <t>4841 4471 0513</t>
  </si>
  <si>
    <t>MASTAN SHARIEF</t>
  </si>
  <si>
    <t>BUSINESSMAN, LANDLORD AND AGRICULTURIST</t>
  </si>
  <si>
    <t>SYEDA THASNIM BANU</t>
  </si>
  <si>
    <t>Block - A1, Flat No - 1201, Mahaveer Riviera Apartment, 24th Main Road,  J.P Nagar 5th Phase, Bengaluru-560078</t>
  </si>
  <si>
    <t>BISHOP COTTON BOYS' SCHOOL</t>
  </si>
  <si>
    <t>DAYANANDA SAGAR ACADEMY OF TECHNOLOGY AND MANAGEMENT, BENGALURU, KARNATAKA</t>
  </si>
  <si>
    <t>AutoCAD,MS Office,MS Project,Primavera,POWER BI,CANDY,IBM SPSS Statistcs,@RISK</t>
  </si>
  <si>
    <t>Reddy Structures Pvt. Ltd. | Project Development Intern | Bengaluru | May 2026 | Jul 2026 | 8 Weeks | Campus Internship
CUSHMAN AND WAKEFIELD | PROJECT INTERN, SITE ENGINEER | BIRLA ALOKYA, WHITEFILED | Sep 2024 | Nov 2024 | 8 Weeks</t>
  </si>
  <si>
    <t>P25701005</t>
  </si>
  <si>
    <t>KAAVYA</t>
  </si>
  <si>
    <t>MAANSI</t>
  </si>
  <si>
    <t>Kaavya Maansi</t>
  </si>
  <si>
    <t>thisismaansikam20@gmail.com</t>
  </si>
  <si>
    <t>p25701005@student.nicmar.ac.in</t>
  </si>
  <si>
    <t>20-Jul-2001</t>
  </si>
  <si>
    <t>ENGLISH, TAMIL, HINDI</t>
  </si>
  <si>
    <t>2871 5103 1520</t>
  </si>
  <si>
    <t>C MADHAN KUMAR</t>
  </si>
  <si>
    <t>RADHIKA S</t>
  </si>
  <si>
    <t>32 A, Bryant Nagar, 4th Street Middle, Thoothukkudi</t>
  </si>
  <si>
    <t>THE VIKASA SCHOOL, THOOTHUKKUDI</t>
  </si>
  <si>
    <t>COUNCIL FOR INDIAN CERTIFICATE EXAMINATIONS, NEW DELHI</t>
  </si>
  <si>
    <t>INDIAN SCHOOL CERTIFICATE EXAMINATION, NEW DELHI</t>
  </si>
  <si>
    <t>MOHAMED SATHAK A.J. ACADEMY OF ARCHITECTURE, CHENNAI, TAMIL NADU</t>
  </si>
  <si>
    <t>Primavera P6 | Microsoft Project | Microsoft Office | Power BI | AutoCAD | Autodesk Revit | SketchUp | Navisworks Manage | Candy (CCS Candy) | Lumion | Twinmotion | Enscape | Adobe Photoshop | AI Tools</t>
  </si>
  <si>
    <t>ECONSTRUCT DESIGN &amp; BUILD PVT. LTD. | PROJECT MANAGEMENT INTERN &amp; BUSINESS ANALYST | BANGALORE | May 2026 | Jun 2026 | 8 Weeks | Campus Internship
LARSEN AND TOUBRO LIMITED | ARCHITECT | MANAPAKKAM, CHENNAI | Jul 2023 | Nov 2023 | 17 Weeks</t>
  </si>
  <si>
    <t>ANNA UNIVERSITY RANK HOLDER
ALUMINI CERTIFICATE OF ACHIEVEMENT 
COA - CERTIFICATE OF REGISTRATION
NOVATR - BIM PROFESSIONAL COURSE FOR ARCHITECTS
AUTODESK CERTIFICATION - REVIT
AUTODESK CERTIFICATION - NAVISWORKS MANAGE
NSDC Certificate
CHAT GPT @ COURSIV
CLAUDE AI @ COURSIV
JASPER AI @ COURSIV
COURSERA - PROJECT MANAGEMENT: THE BASICS FOR SUCCESS
COURSERA - INTRODUCTION TO CORPORATE FINANCE
NPTEL - MODERN INDIAN ARCHITECTURE
Be 10X WORKSHOP
TASA - CERTIFIED COURSE (SKETCH UP)</t>
  </si>
  <si>
    <t>P25701007</t>
  </si>
  <si>
    <t>Yash Pravin Sonar</t>
  </si>
  <si>
    <t>yashsonar0101@gmail.com</t>
  </si>
  <si>
    <t>p25701007@student.nicmar.ac.in</t>
  </si>
  <si>
    <t>01-Sep-2001</t>
  </si>
  <si>
    <t>3254 5005 3230</t>
  </si>
  <si>
    <t>Flat No. 301, Plot No. 382, Datta Prasanna Apartment Near Datta Mandir, Sai Section,_x000D_
Ambarnath City</t>
  </si>
  <si>
    <t>SMT SUHASINI PRABHAKAR ADHIKARI MADHYAMIK VIDHYALAY</t>
  </si>
  <si>
    <t>MAHARASTRA STATE BOARD OF SECONDARY AND HIGHER SECONDARY EDUCATION, AMBERNATH/MAHARASTRA</t>
  </si>
  <si>
    <t>NEW ENGLISH HIGH SCHOOL AND JUNIOR COLLEGE</t>
  </si>
  <si>
    <t>MAHARASTRA STATE BOARD OF SECONDARY AND HIGHER SECONDARY EDUCATION, ULHASNAGAR/MAHARASTRA</t>
  </si>
  <si>
    <t>S.H. JONDHALE POLYTECHNIC, DOMBIVLI/MAHARASTRA</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</si>
  <si>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</si>
  <si>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</si>
  <si>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 Years, 4 Months, 2 Days | 3.75</t>
  </si>
  <si>
    <t>NEW CONSOLIDATED CONSTRUCTION CO. LTD. | Civil Engineer Intern  | Seawoods, Navi Mumbai  | May 2026 | Jul 2026 | 8 Weeks | Campus Internship
PARANJAPE SCHEMES (CONSTRUCTION) LIMITED | Civil Engineer Intern  | Wakad, Pune  | Feb 2024 | May 2024 | 14 Weeks</t>
  </si>
  <si>
    <t xml:space="preserve">Oracle Primavera P6 
Microsoft Project 
Autodesk AutoCAD </t>
  </si>
  <si>
    <t>P25701008</t>
  </si>
  <si>
    <t>AHAN</t>
  </si>
  <si>
    <t>Ahan Ketan Vaidya</t>
  </si>
  <si>
    <t>architectahanvaidya@gmail.com</t>
  </si>
  <si>
    <t>p25701008@student.nicmar.ac.in</t>
  </si>
  <si>
    <t>4921 3416 8548</t>
  </si>
  <si>
    <t>KETAN PRABHAKAR VAIDYA</t>
  </si>
  <si>
    <t>JAYALI KETAN VAIDYA</t>
  </si>
  <si>
    <t>DENTAL SURGEON</t>
  </si>
  <si>
    <t>B-2001,IMPERIAL HEIGHTS,NEAR BEST COLONY,GOREGAON (WEST),MUMBAI-400104</t>
  </si>
  <si>
    <t>JANKIDEVI PUBLIC SCHOOL</t>
  </si>
  <si>
    <t>SVKM'S MITHIBAI COLLEGE OF ARTS, CHAUHAN INSTITUTE OF SCIENCE AND AMRUTBEN JIVANLAL COLLEGE OF COMMERCE AND ECONOMICS</t>
  </si>
  <si>
    <t>THAKUR SCHOOL OF ARCHITECTURE AND PLANNING, MUMBAI</t>
  </si>
  <si>
    <t>AutoCAD, MS Office, Revit, MS Project, Primavera, Sketchup, Photoshop, Archicad, Lumion</t>
  </si>
  <si>
    <t>Ketan Vaidya Associates |  Architect-Project Planning &amp; Liasoning | MUMBAI | Jun 2023 | May 2025 | 1 Years, 11 Months, 3 Days | 3.84</t>
  </si>
  <si>
    <t>Colliers  | Technical Advisory-Intern | MUMBAI | May 2026 | Jul 2026 | 8 Weeks | Campus Internship
Ingrain | Architectural intern | MUMBAI | Nov 2021 | Apr 2022 | 20 Weeks</t>
  </si>
  <si>
    <t>Real Estate Development and Management</t>
  </si>
  <si>
    <t>P25701009</t>
  </si>
  <si>
    <t>MUKUNDRAJ</t>
  </si>
  <si>
    <t>ANVIKAR</t>
  </si>
  <si>
    <t>Varun Mukundraj Anvikar</t>
  </si>
  <si>
    <t>varun.m.anvikar@gmail.com</t>
  </si>
  <si>
    <t>p25701009@student.nicmar.ac.in</t>
  </si>
  <si>
    <t>27-Oct-1999</t>
  </si>
  <si>
    <t>9150 0745 8762</t>
  </si>
  <si>
    <t>MUKUNDRAJ CHANDRAKANT ANVIKAR</t>
  </si>
  <si>
    <t>MADHURA MUKUNDRAJ ANVIKAR</t>
  </si>
  <si>
    <t>CLINICAL PSYCHOLOGIST</t>
  </si>
  <si>
    <t>401, Sakhamai Sadan, Plot No.51, Behind Green Olive Hotel, Bhagyanagar, Chhatrapati Sambhajinagar</t>
  </si>
  <si>
    <t>CBSE - AURANGABAD/MAHARASHTRA</t>
  </si>
  <si>
    <t>SMEF'S BRICK SCHOOL OF ARCHITECTURE, PUNE/MAHARASHTRA</t>
  </si>
  <si>
    <t>AutoCAD,SketchUp,Photoshop,Rhino,Enscape,Lumion,InDesign,Revit,Primavera,coral,MS Project,Excel,MS Office,V-Ray,Illustrator</t>
  </si>
  <si>
    <t>Kasturi Kulkarni and Associates | Junior Architect | Aurangabad | Apr 2024 | Jun 2025 | 1 Years, 2 Months, 0 Days | 2.52</t>
  </si>
  <si>
    <t>Pidilite Industries Limited | Summer Intern at Pidilite Professional Solutions Division | Pune | May 2026 | Jun 2026 | 7 Weeks | Campus Internship
DAISARIA ASSOCIATES | INTERN ARCHITECT | MUMBAI | Jun 2021 | Nov 2021 | 25 Weeks</t>
  </si>
  <si>
    <t>P25701010</t>
  </si>
  <si>
    <t>Arnav Soni</t>
  </si>
  <si>
    <t>soni.arnav@gmail.com</t>
  </si>
  <si>
    <t>p25701010@student.nicmar.ac.in</t>
  </si>
  <si>
    <t>English, Hindi, German (CEFR A1)</t>
  </si>
  <si>
    <t>7216 3978 6333</t>
  </si>
  <si>
    <t>VISHAL SONI</t>
  </si>
  <si>
    <t>PRABHA SONI</t>
  </si>
  <si>
    <t>36 Pula, Vrij Vihar, Near RK Circle, Udaipur</t>
  </si>
  <si>
    <t>Udaipur</t>
  </si>
  <si>
    <t>MAHARAHA MEWAR PUBLIC SCHOOL</t>
  </si>
  <si>
    <t>CENTRAL BOARD OF SECONDARY EDUCATION, UDAIPUR, RAJASTHAN</t>
  </si>
  <si>
    <t>MAHARANA MEWAR PUBLIC SCHOOL</t>
  </si>
  <si>
    <t>MUGNEERAM BANGUR MEMORIAL UNIVERSITY</t>
  </si>
  <si>
    <t>MUGNEERAM BANGUR MEMORIAL COLLEGE, JODHPUR, RAJASTHAN</t>
  </si>
  <si>
    <t>AutoCAD,MS Office,MS Project,Primavera,Revit,Rhino,Airtable,Navisworks,Recap Pro,SAP</t>
  </si>
  <si>
    <t>Shantanu Sharma and Associates | Junior Architect | Udaipur | Apr 2023 | Apr 2024 | 1 Years, 0 Months, 26 Days | 1.44
Techture Structures Pvt. Ltd. | Junior BIM Architect | Indore | May 2024 | Mar 2025 | 0 Years, 10 Months, 6 Days | 3.33</t>
  </si>
  <si>
    <t>Ahluwalia Contracts (India) Limited | Project Management Intern | Gurugram | May 2026 | Jun 2026 | 8 Weeks | Campus Internship
Venugopal and Associates | Architectural Intern | Udaipur | Oct 2021 | Mar 2022 | 25 Weeks</t>
  </si>
  <si>
    <t>Indian Green Building Council - Accredited Professional
Building Information Modelling - Structure and Architecture
Lean Six Sigma - Green Belt [KPMG]
Applied Statistics and Data Analysis
SAP - Data Analytics - S/4HANA C</t>
  </si>
  <si>
    <t>P25701011</t>
  </si>
  <si>
    <t>Meet Sanjay Patel</t>
  </si>
  <si>
    <t>meetpatel5811@gmail.com</t>
  </si>
  <si>
    <t>p25701011@student.nicmar.ac.in</t>
  </si>
  <si>
    <t>06-Jul-2000</t>
  </si>
  <si>
    <t>ENGLISH, HINDI, MARATHI GUJARATI</t>
  </si>
  <si>
    <t>4698 2626 8026</t>
  </si>
  <si>
    <t>SANJAY PATEL</t>
  </si>
  <si>
    <t>MANISHA PATEL</t>
  </si>
  <si>
    <t>F-2, Silver Leaf Appartment, Tirthrup Nagar, Chawhan Colony, Near W.C.L. Quarter, CHANDRAPUR</t>
  </si>
  <si>
    <t>ST. MICHAELâ€™S SCHOOL, CHANDRAPUR</t>
  </si>
  <si>
    <t>BAJAJ CHANDRAPUR POLYTECHNIC, CHANDRAPUR</t>
  </si>
  <si>
    <t>SINHGAD INSTITUTE OF TECHNOLOGY, LONAVALA</t>
  </si>
  <si>
    <t>Majestic Realties | HR Operations &amp; Project Coordination Intern | pune | May 2026 | Jun 2026 | 7 Weeks | Campus Internship
Hani Enterprises | Operation and Maintenance Executive | Chandrapur | Jul 2022 | Jun 2025 | 154 Weeks</t>
  </si>
  <si>
    <t>P25701013</t>
  </si>
  <si>
    <t>Akanksha Avinash Patil</t>
  </si>
  <si>
    <t>akankshapatil1449@gmail.com</t>
  </si>
  <si>
    <t>p25701013@student.nicmar.ac.in</t>
  </si>
  <si>
    <t>14-Apr-1999</t>
  </si>
  <si>
    <t>English,Hindi,Marathi, Kannada</t>
  </si>
  <si>
    <t>Reading,Traveling</t>
  </si>
  <si>
    <t>5699 3975 1939</t>
  </si>
  <si>
    <t>AVINASH PATIL</t>
  </si>
  <si>
    <t>PADMA A. PATIL</t>
  </si>
  <si>
    <t>103, 18 LATTITUDE PHASE 2 GAIKWAD NAGAR PUNAWALE_x000D_</t>
  </si>
  <si>
    <t>5th Floor Iris Apartment Karandemala Kolhapur</t>
  </si>
  <si>
    <t>NEW MODEL ENGLISH SCHOOL</t>
  </si>
  <si>
    <t>MAHAVEER COLLEGE, KOLHAPUR</t>
  </si>
  <si>
    <t>D.Y. PATIL SCHOOL OF ARCHITECTURE, KOLHAPUR.</t>
  </si>
  <si>
    <t>AutoCAD,MS Office,MS Project,Primavera,Sketchup,Lumion,Twinmotion,3Ds Max,Photoshop,Revit,Naviswork</t>
  </si>
  <si>
    <t>Meinhardt EPCM | Junior Manager Architect | Bengaluru | Aug 2022 | Nov 2024 | 2 Years, 3 Months, 10 Days | 3.5</t>
  </si>
  <si>
    <t>Architecture Rushikesh H. | Project management intern | Pune | May 2026 | Jul 2026 | 9 Weeks | Campus Internship
PRASHANT S HADKAR CONSULTING ENGINEER | ARCHITECT | KOLHAPUR | Apr 2025 | May 2025 | 8 Weeks
SACHIN GAIKWAD ARCHITECT, INTERIOR DESIGNER AND LANDSCAPE CONSULTANT | TRAINEE | KOLHAPUR | Sep 2021 | Jan 2022 | 18 Weeks</t>
  </si>
  <si>
    <t>Introduction to Corporate Finance
Project Management: The Basics for Success</t>
  </si>
  <si>
    <t>P25701014</t>
  </si>
  <si>
    <t>AGAM</t>
  </si>
  <si>
    <t>WADHWA</t>
  </si>
  <si>
    <t>Agam Wadhwa</t>
  </si>
  <si>
    <t>agamwadhwa8@gmail.com</t>
  </si>
  <si>
    <t>p25701014@student.nicmar.ac.in</t>
  </si>
  <si>
    <t>26-May-2002</t>
  </si>
  <si>
    <t>PUNJABI, HINDI, MARATHI, ENGLISH</t>
  </si>
  <si>
    <t>9389 1168 1928</t>
  </si>
  <si>
    <t>BPH 205, PREM NAGAR APARTMENT_x000D_
NEAR JAIN TEMPLE, MALEGAON ROAD, TARODA KH. NANDED</t>
  </si>
  <si>
    <t>Jasmine 131, L&amp;T Serene County, Telecom Nagar, Gachibowli, Hyderabad</t>
  </si>
  <si>
    <t>CENTRAL BOARD OF SECONDARY EDUCATION (NANDED)</t>
  </si>
  <si>
    <t>KIDS' KINGDOM PUBLIC SCHOOL</t>
  </si>
  <si>
    <t>PRESIDENCY UNIVERSITY</t>
  </si>
  <si>
    <t>PRESIDENCY UNIVERSITY BENGALURU</t>
  </si>
  <si>
    <t>MS Office,MS Project,Primavera,Power BI,Tableau,SAP</t>
  </si>
  <si>
    <t>Titus Harris Construction | Project Operations Associate  | Udupi, Karnataka | May 2024 | Jun 2025 | 1 Years, 1 Months, 29 Days | 2.4</t>
  </si>
  <si>
    <t>ONESUBSEA | PMO INTERN | PUNE, MAHARASHTRA | May 2026 | Jul 2026 | 8 Weeks | Campus Internship
Huanar | Marketing Head Intern | Bengaluru | Mar 2023 | Jun 2023 | 13 Weeks</t>
  </si>
  <si>
    <t>P25701015</t>
  </si>
  <si>
    <t>ASHOOTOSH</t>
  </si>
  <si>
    <t>Ashootosh Sanjay Patil</t>
  </si>
  <si>
    <t>ashootoshpatil@gmail.com</t>
  </si>
  <si>
    <t>p25701015@student.nicmar.ac.in</t>
  </si>
  <si>
    <t>Trekking, Bike riding, Esports gaming</t>
  </si>
  <si>
    <t>5524 4223 3623</t>
  </si>
  <si>
    <t>CHARULATA</t>
  </si>
  <si>
    <t>405 Venkatesh Park C Wing,_x000D_
Near Shree Complex, Adharwadi, Kalyan West</t>
  </si>
  <si>
    <t>SACRED HEART SCHOOL, KALYAN</t>
  </si>
  <si>
    <t>SHRI NARAYANDAS TEJKARAN MUNDADA SECONDARY &amp; HIGHER SECONDARY SCHOOL AMALNER</t>
  </si>
  <si>
    <t>LOKMANYA TILAK INSTITUTE OF ARCHITECTURE AND DESIGN STUDIES</t>
  </si>
  <si>
    <t>MS Office, MS Project, Candy, Primavera, Revit, D5, Twinmotion, Lumion, Photoshop, Sketchup, Autocad</t>
  </si>
  <si>
    <t>Nudes Architecture | Intern | Lower Parel, Mumbai | May 2026 | Jul 2026 | 9 Weeks | Campus Internship
ARCHITECT HAFEEZ CONTRACTOR | INTERN ARCHITECT | MUMBAI | Nov 2023 | Mar 2024 | 16 Weeks</t>
  </si>
  <si>
    <t>BIM, PHOTOSHOP, SKETCHUP, LUMION, REVIT, AUTOCAD 2D &amp; 3D</t>
  </si>
  <si>
    <t>P25701016</t>
  </si>
  <si>
    <t>SURABHI</t>
  </si>
  <si>
    <t>Surabhi Singh</t>
  </si>
  <si>
    <t>surabhi.ils13@gmail.com</t>
  </si>
  <si>
    <t>p25701016@student.nicmar.ac.in</t>
  </si>
  <si>
    <t>6507 6908 8264</t>
  </si>
  <si>
    <t>JAI PRAKASH SINGH</t>
  </si>
  <si>
    <t>GUNJAN SINGH</t>
  </si>
  <si>
    <t>C136, San Tropez, Madrid County, Bhayli, Vasna, Vadodara, Gujarat</t>
  </si>
  <si>
    <t>NAVRACHANA INTERNATIONAL SCHOOL BHAYALI VADODARA</t>
  </si>
  <si>
    <t>INDIAN LANGUAGE SCHOOL LAGOS NIGERIA</t>
  </si>
  <si>
    <t>MANIPAL SCHOOL OF ARCHITECTURE AND PLANNING MANIPAL, KARNATAKA</t>
  </si>
  <si>
    <t>AutoCAD, MS Project, MS PowerPoint, Canva, Revit, Twinmotion, MS Exel, PowerBI, Primavera, Candy, Power BI</t>
  </si>
  <si>
    <t>Table space constructions Pvt. Ltd. | Project intern  | Bangalore  | May 2026 | Jul 2026 | 8 Weeks | Campus Internship
Geo Designs And Research PVT. LTD | Professional Trainee | Vadodara, Gujarat | Dec 2023 | May 2024 | 25 Weeks</t>
  </si>
  <si>
    <t>Project Management: The Basics for Success
Introduction to Corporate Finance
Six Sigma Tools for Define and Measure
Quantitative Methods
Project Management - Initiation and Planning
Oracle Primavera P6 – Project Setup and Basic Management
Operations Management
Introduction to Generative AI in Human Resources
Effective Interpersonal Communication for Business
Microeconomics Principles
Corporate Finance Essentials</t>
  </si>
  <si>
    <t>P25701017</t>
  </si>
  <si>
    <t>Rishika Sharma</t>
  </si>
  <si>
    <t>rishika.seju@gmail.com</t>
  </si>
  <si>
    <t>p25701017@student.nicmar.ac.in</t>
  </si>
  <si>
    <t>25-Mar-2000</t>
  </si>
  <si>
    <t>2052 7646 3202</t>
  </si>
  <si>
    <t>SUSHMESH SHARMA</t>
  </si>
  <si>
    <t>POONAM SHARMA</t>
  </si>
  <si>
    <t>A3-103, NYATI ESTEBAN, UNDRI MARG, UNDRI.</t>
  </si>
  <si>
    <t>A5-21, Solace Park, BT Kawade Road</t>
  </si>
  <si>
    <t>THE BISHOP'S CO-ED SCHOOL, UNDRI</t>
  </si>
  <si>
    <t>THE BISHOP'S SCHOOL, CAMP</t>
  </si>
  <si>
    <t>MIT SCHOOL OF MANAGEMENT</t>
  </si>
  <si>
    <t>MS Office,MS Project,Primavera,MS EXCEL,SPSS,MS POWERPOINT,CANDY</t>
  </si>
  <si>
    <t>Scalene Works | Consultant - Capgemini | Pune | Apr 2021 | Feb 2022 | 0 Years, 10 Months, 2 Days | 3
Capgemini | Business Unit Staffing Partner | Pune | Feb 2022 | Oct 2022 | 0 Years, 8 Months, 3 Days | 3.75
Accenture | Talent Fulfillment Associate | Pune | Oct 2022 | Sep 2023 | 0 Years, 10 Months, 29 Days | 6.4
Erecon Spaces | Assistant Manager-Process Integration | Pune | Feb 2024 | Jun 2025 | 1 Years, 3 Months, 30 Days | 7.2</t>
  </si>
  <si>
    <t>Savills India | Project Management Intern | Pune | May 2026 | Jul 2026 | 8 Weeks | Campus Internship</t>
  </si>
  <si>
    <t>P25701018</t>
  </si>
  <si>
    <t>Vedant Anil Mahajan</t>
  </si>
  <si>
    <t>vedant6492@gmail.com</t>
  </si>
  <si>
    <t>p25701018@student.nicmar.ac.in</t>
  </si>
  <si>
    <t>6539 5034 5886</t>
  </si>
  <si>
    <t>NICMAR UNIVERSITY, ULTIMA HOSTEL, N.I.A, BALEWADI RD, RAM NAGAR, BANER, PUNE</t>
  </si>
  <si>
    <t>Dena Nagar Pushpa Appartment Plot No 8 Beside Arihant Appartment Back Side Of Bhole Petrol Pump, Bhusawal.</t>
  </si>
  <si>
    <t>MAHARANA PRATAP VIDYALAYA, BHUSAWAL.</t>
  </si>
  <si>
    <t>MAHARASTRA STATE BOARD OF SECOUNDARY AND HIGHER SECOUNDARY  EDUCATION, PUNE</t>
  </si>
  <si>
    <t>DADASAHEB DEVIDAS NAMDEO BHOLE COLLEGE, BHUSAWAL.</t>
  </si>
  <si>
    <t>MAHARASTRA STATE BOARD OF SECOUNDARY AND HIGHER SECOUNDARY EDUCATION, PUNE</t>
  </si>
  <si>
    <t>SINHGAD COLLEGE OF ENGINEERING, PUNE.</t>
  </si>
  <si>
    <t>AutoCAD,MS Office,MS Project,3d Civil,MS Excel,Revit,Work Breakdown Structure (WBS),Project Scheduling &amp; Tracking,Gantt Charts | Progress Measurement,Risk and Issue Tracking</t>
  </si>
  <si>
    <t>Nyati Group | Project management intern | Pune | May 2026 | Jul 2026 | 8 Weeks | Campus Internship
EVEREST  Constructions &amp; Developers | Intern Site Engineer | Bhusawal | Jul 2024 | Jan 2025 | 30 Weeks
M/S VINODKUMAR MOHANLAL JADAWANI (RAILWAY CONTRACTOR) | Intern  | Bhusawal  | Jan 2023 | Feb 2023 | 3 Weeks</t>
  </si>
  <si>
    <t>Project Management: The Basics for Success
Introduction to Corporate Finance</t>
  </si>
  <si>
    <t>P25701020</t>
  </si>
  <si>
    <t>NIMISHA</t>
  </si>
  <si>
    <t>POWALE</t>
  </si>
  <si>
    <t>Nimisha Shailesh Powale</t>
  </si>
  <si>
    <t>powalenimisha@gmail.com</t>
  </si>
  <si>
    <t>p25701020@student.nicmar.ac.in</t>
  </si>
  <si>
    <t>Theatre and drama performances,Painting and sketching,Networking and interacting with new people,Exploring art and design and market trends,Travel and cultural exploration,Indian history and heritage</t>
  </si>
  <si>
    <t>6760 0170 4045</t>
  </si>
  <si>
    <t>SHAILESH MANOHAR POWALE</t>
  </si>
  <si>
    <t>BHAGYASHREE SHAILESH POWALE</t>
  </si>
  <si>
    <t>PATHOLOGIST</t>
  </si>
  <si>
    <t>B-25/26, Parijat Chs, Gunsagar Nagar Near Station Road, Kalwa West, Thane. 400605</t>
  </si>
  <si>
    <t>JNAN VIKAS MANDAL'S NEW ENGLISH SCHOOL, KALWA, THANE</t>
  </si>
  <si>
    <t>MAHARASHTRA STATE BOARD OF SECONDARY AND HIGHER SECONDARY EDUCATION, PUNE. THANE, MAHARASHTRA</t>
  </si>
  <si>
    <t>SHETH N.K.T.T. COLLEGE OF COMMERCE AND SHETH J.T.T. COLLEGE OF ARTS THANE</t>
  </si>
  <si>
    <t>UNIVERSITY  OF MUMBAI</t>
  </si>
  <si>
    <t>LOKMANYA TILAK INSTITUTE OF ARCHITECTURE AND DESIGN STUDIES, KOPARKHAIRANE, NAVI MUMBAI, MAHARASHTRA.</t>
  </si>
  <si>
    <t>AutoCAD,MS Office,MS Project,Primavera,Candy,@RISK</t>
  </si>
  <si>
    <t>THE ROOM OF ELEMENTS | JUNIOR ARCHITECT | DOMBIVALI, MUMBAI, MAHARASHTRA  | Jul 2024 | Jul 2025 | 1 Years, 0 Months, 0 Days | 1.8</t>
  </si>
  <si>
    <t>Architect Rushikesh. H | Project Management Intern | Pune  | May 2026 | Jul 2026 | 9 Weeks | Campus Internship
ADYTUM DESIGNS PRIVATE LIMITED | ARCHITECTURAL INTERN  | GHATKOPAR, MUMBAI, MAHARASHTRA | Dec 2022 | Apr 2023 | 20 Weeks</t>
  </si>
  <si>
    <t>Project Management:The basics for Success</t>
  </si>
  <si>
    <t>P25701021</t>
  </si>
  <si>
    <t>SUSHIR</t>
  </si>
  <si>
    <t>Prajakta Sanjay Sushir</t>
  </si>
  <si>
    <t>prajaktasushir15@gmail.com</t>
  </si>
  <si>
    <t>p25701021@student.nicmar.ac.in</t>
  </si>
  <si>
    <t>15-Mar-2003</t>
  </si>
  <si>
    <t>4388 9186 2796</t>
  </si>
  <si>
    <t>127, Dattatraya Nagar, Behind NIT Garden, Nagpur, 440024</t>
  </si>
  <si>
    <t>PRAJAKTA SANJAY SUSHIR</t>
  </si>
  <si>
    <t>SMT. JANKIDEVI JAISWAL HIGH SCHOOL &amp; JUNIOR COLLEGE</t>
  </si>
  <si>
    <t>SWARGIYA JAGANNATH JATTEWAR SHIKSHAN SANSTHA'S INSTITUTE OF DESIGN EDUCATION &amp; ARCHITECTURAL STUDIES, NAGPUR</t>
  </si>
  <si>
    <t>AutoCAD,MS Office,MS Project,Primavera,Sketchup,Rhino,Photoshop,Enscape,Vray,Candy</t>
  </si>
  <si>
    <t>Anarock Property Consultancy | Sourcing and Closing Intern | Dombivli West, Mumbai | May 2026 | Jul 2026 | 9 Weeks | Campus Internship
GRAYSTONE PALETTE ARCHITECTS | INTERN | PUNE | Jan 2024 | May 2024 | 17 Weeks</t>
  </si>
  <si>
    <t>Initiating and Planning Projects
Project Management: The Basics for Success</t>
  </si>
  <si>
    <t>P25701022</t>
  </si>
  <si>
    <t>POTDUKHE</t>
  </si>
  <si>
    <t>Samiksha Sunil Potdukhe</t>
  </si>
  <si>
    <t>samiksha96potdukhe@gmail.com</t>
  </si>
  <si>
    <t>p25701022@student.nicmar.ac.in</t>
  </si>
  <si>
    <t>Sustainable Infrastructure,Sketching,Concept visualisation,Problem-solving through creative design</t>
  </si>
  <si>
    <t>3604 4434 9445</t>
  </si>
  <si>
    <t>36, shubhangi gruh nirman society, behind Balaji mandir, besa road, besa, nagpur- 440034</t>
  </si>
  <si>
    <t xml:space="preserve">4D-602 Kul ecoloch, opp. VTP Leonara, mahalunge </t>
  </si>
  <si>
    <t>PODAR INTERNATIONAL SCHOOL, NAGPUR</t>
  </si>
  <si>
    <t>G.H.RAISONI JUNIOR COLLEGE NAGPUR, MAHARASHTRA</t>
  </si>
  <si>
    <t>MAHARASHTRA STATE BOARD OF SECONDARY AND HIGHER SECONDARY EDUCATION, NAGPUR/MAHARASHTRA</t>
  </si>
  <si>
    <t>MKSSS, DR. BHANUBEN NANAVAVATI COLLEGE OF ARCHITECTURE FOR WOMEN, PUNE</t>
  </si>
  <si>
    <t>AutoCAD,MS Office,MS Project,Primavera,phtoshop,sketechup,revit,enscape,lumion,QGIS,procreate,Advanced excel,SPSS, Candy, @Risk</t>
  </si>
  <si>
    <t>GODREJ PROPERTIES LIMITED | Operations- (Planning) Intern | Mumbai | May 2026 | Jul 2026 | 8 Weeks | Campus Internship
Architect Rushikesh H. | intern | mumbai | Jun 2023 | Dec 2023 | 24 Weeks</t>
  </si>
  <si>
    <t>Capturing spatial data by photogrammetry for scanning and documenting Architectural Heritage</t>
  </si>
  <si>
    <t>P25701024</t>
  </si>
  <si>
    <t>KANDUR</t>
  </si>
  <si>
    <t>SRINATH</t>
  </si>
  <si>
    <t>Neha Kandur Srinath</t>
  </si>
  <si>
    <t>neha.kandur@gmail.com</t>
  </si>
  <si>
    <t>p25701024@student.nicmar.ac.in</t>
  </si>
  <si>
    <t>29-Jun-2000</t>
  </si>
  <si>
    <t>English,Kannada,Hindi,German,Telugu</t>
  </si>
  <si>
    <t>Travelling,Trekking,Painting,Dancing</t>
  </si>
  <si>
    <t>2146 7866 6398</t>
  </si>
  <si>
    <t>SRINATH KANDUR</t>
  </si>
  <si>
    <t>LAKSHMI KANDUR</t>
  </si>
  <si>
    <t>4046, 23rd Main, Banashankari 2nd Stage, Bangalore- 560070</t>
  </si>
  <si>
    <t>SRI KUMARAN CHILDREN'S HOME, BANGALORE</t>
  </si>
  <si>
    <t>BMS COLLEGE OF ARCHITECTURE, BANGALORE</t>
  </si>
  <si>
    <t>AutoCAD, Revit, SketchUp, Adobe Illustrator, Adobe Photoshop, Lumion, Enscape, MS PowerBI, MS Project, MS Excel, MS Powerpoint, Primavera P6</t>
  </si>
  <si>
    <t>Pragrup: Architecture and Urbanism | Architect | Bangalore | Sep 2023 | Jun 2025 | 1 Years, 8 Months, 24 Days | 3.36</t>
  </si>
  <si>
    <t>KPMG India | Major Project Advisory (MPA) Intern | Mumbai | May 2026 | Jun 2026 | 7 Weeks | Campus Internship
Mistry Architects | Architectural Intern | Bangalore | Aug 2022 | Dec 2022 | 17 Weeks</t>
  </si>
  <si>
    <t>P25701025</t>
  </si>
  <si>
    <t>PRADYUMNA</t>
  </si>
  <si>
    <t>Deshmukh Pradyumna Nilesh</t>
  </si>
  <si>
    <t>pradyumnadeshmukh1997@gmail.com</t>
  </si>
  <si>
    <t>p25701025@student.nicmar.ac.in</t>
  </si>
  <si>
    <t>8124 2443 9968</t>
  </si>
  <si>
    <t>NILESH DESHMUKH</t>
  </si>
  <si>
    <t>POOJA DESHMUKH</t>
  </si>
  <si>
    <t>F1002, 7 AVENUE, PATIL NAGAR, BALEWADI</t>
  </si>
  <si>
    <t>8, Parag Township, Malu Layout, Ram Nagar, Amravati</t>
  </si>
  <si>
    <t>DNYANMATA HIGH SCHOOL, AMRAVATI</t>
  </si>
  <si>
    <t>PROF. RAM MEGHE INSTITUTE OF TECCHNOLOGY &amp; RESEARCH, BADNERA, MAHARASHTRA</t>
  </si>
  <si>
    <t xml:space="preserve"> Majestic Realties | Project Management Intern | Kothrud, Pune | May 2026 | Jun 2026 | 7 Weeks | Campus Internship</t>
  </si>
  <si>
    <t>P25701026</t>
  </si>
  <si>
    <t>HARSHITH</t>
  </si>
  <si>
    <t>S N</t>
  </si>
  <si>
    <t>Harshith S N</t>
  </si>
  <si>
    <t>harshithsn2001@gmail.com</t>
  </si>
  <si>
    <t>p25701026@student.nicmar.ac.in</t>
  </si>
  <si>
    <t>4972 9597 6681</t>
  </si>
  <si>
    <t>NATARAJ S R</t>
  </si>
  <si>
    <t>RETRED TEACHER</t>
  </si>
  <si>
    <t>SARVAMANGALA S</t>
  </si>
  <si>
    <t>HARSHITH SN S/O NATARAJ SR ,SURENAHALLI ,THOVINAKERE POST CN DURGA HOBLI ,KORATAGERE TALLUK ,TUMKUR (D)</t>
  </si>
  <si>
    <t>J K MEMORIAL CENTRAL SCHOOL TUMKUR KARNATAKA</t>
  </si>
  <si>
    <t>MAHESH PU COLLEGE,KUNIGAL ROAD MARALURU,TUMKUR</t>
  </si>
  <si>
    <t>BANGALURU/KARNATAKA</t>
  </si>
  <si>
    <t>CICON ENGINEERS PVT.LTD | SITE ENGINEER - QC | BANAGLURU | Mar 2024 | Jun 2025 | 1 Years, 3 Months, 0 Days | 2.6</t>
  </si>
  <si>
    <t>Econstruct Design &amp; Build Pvt.ltd | Project Managament Intern | BANGALURU | May 2026 | Jun 2026 | 8 Weeks | Campus Internship
NEW CONSOLIDATED CONSTRUCTION CO.LTD | QC TRAINEE | BANGALURU | Jul 2022 | Aug 2022 | 4 Weeks</t>
  </si>
  <si>
    <t>P25701027</t>
  </si>
  <si>
    <t>Shreya Gupta</t>
  </si>
  <si>
    <t>11shreyainform@gmail.com</t>
  </si>
  <si>
    <t>p25701027@student.nicmar.ac.in</t>
  </si>
  <si>
    <t>ENGLISH, HINDI, BENGALI AND ODIA</t>
  </si>
  <si>
    <t>Travelling,Social Communication,Event Management,Photography,Management,Problem Solving,Decision Making,Designing,Volunteering &amp; Mentorship</t>
  </si>
  <si>
    <t>2758 6559 5379</t>
  </si>
  <si>
    <t>VIKRAM GUPTA</t>
  </si>
  <si>
    <t>DEEPMALA GUPTA</t>
  </si>
  <si>
    <t>15/29 Bose Pukur Road Opposite Bediadanga Post  Office</t>
  </si>
  <si>
    <t>DELHI PUBLIC SCHOOL RUBY PARK KOLKATA</t>
  </si>
  <si>
    <t>BIJU PATNAIK UNIVERSITY OF TECHNOLOGY, ODISHA ROURKELA</t>
  </si>
  <si>
    <t>PILOO MODY COLLEGE OF ARCHITECTURE, ABIT, CUTTACK</t>
  </si>
  <si>
    <t xml:space="preserve"> MS Office, MS Project, Primavera, Power BI, Business Central, Excel, AutoCAD, Photoshop, Sketchup, Lumion</t>
  </si>
  <si>
    <t>Ahluwalia Contracts (India) Limited  | Project Planning  | Kolkata  | May 2026 | Jul 2026 | 8 Weeks | Campus Internship
Studio Raw Design | Architectural Intern  | Gurugram  | Jun 2024 | Oct 2024 | 21 Weeks</t>
  </si>
  <si>
    <t>Project Management: The Basics for Success
Project Management - Initiation and Planning
Six Sigma Tools for Define and Measure
Operations Management
Effective Interpersonal Communication for Business
Microeconomics Principles
Introduction to Generative AI in Human Resources
Corporate Finance Essentials
Laurie Baker Centre For Habitat Studies</t>
  </si>
  <si>
    <t>P25701028</t>
  </si>
  <si>
    <t>MADHURA</t>
  </si>
  <si>
    <t>Madhura Dinesh Bagwe</t>
  </si>
  <si>
    <t>armadhurabagwe@gmail.com</t>
  </si>
  <si>
    <t>p25701028@student.nicmar.ac.in</t>
  </si>
  <si>
    <t>12-Oct-1999</t>
  </si>
  <si>
    <t>9013 4818 5019</t>
  </si>
  <si>
    <t>LOCO-PILOT IN INDIAN RAILWAYS</t>
  </si>
  <si>
    <t>1802,AISHWARYA HEIGHTS,OPP LIC COLONY_x000D_
MITHAGAR ROAD, Mulund East.</t>
  </si>
  <si>
    <t>JAI HIND COLLEGE</t>
  </si>
  <si>
    <t>MS Office, MS Project, AutoCAD,  Power BI, Primavera, Sketchup, Lumion, Enscape, Photoshop, Candy</t>
  </si>
  <si>
    <t>Godrej &amp; Boyce Manufacturing Company Limited | Assistant Manager- studio design for Interio Division | Vikhroli, Mumbai | Sep 2022 | Dec 2024 | 2 Years, 2 Months, 22 Days | 8.45</t>
  </si>
  <si>
    <t>Pidilite Industries Limited  | Summer Intern | Mumbai | May 2026 | Jun 2026 | 7 Weeks | Campus Internship
Daisaria Associates | Intern | Vidyavihar, Mumbai | Jan 2021 | Jun 2021 | 19 Weeks</t>
  </si>
  <si>
    <t>P25701029</t>
  </si>
  <si>
    <t>GANDHARV</t>
  </si>
  <si>
    <t>TIKAM</t>
  </si>
  <si>
    <t>Gandharv Tukaram Tikam</t>
  </si>
  <si>
    <t>gandharv268@gmail.com</t>
  </si>
  <si>
    <t>p25701029@student.nicmar.ac.in</t>
  </si>
  <si>
    <t>DRAWING,SINGING,PLAYING CRICKET,Watching construction podcasts,Reading books</t>
  </si>
  <si>
    <t>4755 5309 8342</t>
  </si>
  <si>
    <t>TUKARAM DHONDU TIKAM</t>
  </si>
  <si>
    <t>TRUSHALI TUKARAM TIKAM</t>
  </si>
  <si>
    <t>B/23 VIHANG DARSHAN PROF N.S PHADKE ROAD SAIWADI ANDHERI_x000D_
(EAST)</t>
  </si>
  <si>
    <t>SHRI MADHAVRAO BHAGWAT HIGH SCHOOL</t>
  </si>
  <si>
    <t>MUMBAI SUBURBAN , MAHARASTRA</t>
  </si>
  <si>
    <t>M.H SABOO SIDDIK COLLEGE OF ENGINEERING, MUMBAI CITY</t>
  </si>
  <si>
    <t>DEEP CONSTRUCTIONS | Site Engineer  | Mumbai  | May 2024 | Jun 2025 | 1 Years, 0 Months, 17 Days | 2.16</t>
  </si>
  <si>
    <t>New Conssolidated Construction Company | Intern-Contracts and Commercials  | Mumbai  | May 2026 | Jul 2026 | 8 Weeks | Campus Internship</t>
  </si>
  <si>
    <t>Advanced Excel
TCS ioN Young Professional Certificate Course
STAAD PRO
AUTOCCAD</t>
  </si>
  <si>
    <t>P25701030</t>
  </si>
  <si>
    <t>GARGI</t>
  </si>
  <si>
    <t>SUCHINT</t>
  </si>
  <si>
    <t>RAJHANSA</t>
  </si>
  <si>
    <t>Gargi Suchint Rajhansa</t>
  </si>
  <si>
    <t>gargi2001rajhansa@gmail.com</t>
  </si>
  <si>
    <t>p25701030@student.nicmar.ac.in</t>
  </si>
  <si>
    <t>Singing,travelling,Cooking</t>
  </si>
  <si>
    <t>4176 7355 8629</t>
  </si>
  <si>
    <t>SUCHINT VISHNUPANT RAJHANSA</t>
  </si>
  <si>
    <t>SERVICE (BESIX CONSTRUCT LLC, DUBAI)</t>
  </si>
  <si>
    <t>SWATI SUCHINT RAJHANSA</t>
  </si>
  <si>
    <t>SERVICE (DISTRICT AND SESSION'S COURT, NAGPUR)</t>
  </si>
  <si>
    <t>'Parijaat' Plot 28, Narkesari Layout, Near Jaitala Post Office, Jaitala, Nagpur</t>
  </si>
  <si>
    <t>Micasa Co-Living, 
6/1, Lane No. 5A, Laxman Nagar, Baner, Pune, Maharashtra 411045</t>
  </si>
  <si>
    <t>CENTRE POINT SCHOOL, DABHA, NAGPUR</t>
  </si>
  <si>
    <t>G.H. RAISONI VIDYA NIKETAN, NAGPUR</t>
  </si>
  <si>
    <t>DR. BHANUBEN NANAVATI COLLEGE OF ARCHITECTURE, PUNE, MAHARASHTRA</t>
  </si>
  <si>
    <t>AutoCAD, MS Office, MS Projects, Primavera, Candy, @Risk, Power BI, Microsoft Dynamics 365 Business Central, Revit, Photoshop, Sketchup, Lumion, Enscape, Illustrator, Canva</t>
  </si>
  <si>
    <t>a'XYKno Capital Services Pvt. Ltd. | Contracts and Transaction Advisory Intern | Nagpur, Maharashtra | May 2026 | Jul 2026 | 8 Weeks | Campus Internship
Shrutika Raut Design Studio | Architecture and Interiors | Prabhat Road, Pune | Jun 2024 | Nov 2024 | 25 Weeks</t>
  </si>
  <si>
    <t>Project Management: The Basics for Success
Introduction to Corporate Finance
Effective Interpersonal Communication for Business
Market Equilibrium, Government Policy &amp; Elasticity
Operations Management
Oracle Primavera P6 – Project Setup and Basic Management
Project Management - Initiation and Planning
Six Sigma Tools for Define and Measure</t>
  </si>
  <si>
    <t>P25701031</t>
  </si>
  <si>
    <t>Akshita Anand Chandak</t>
  </si>
  <si>
    <t>akshitachandak25@gmail.com</t>
  </si>
  <si>
    <t>p25701031@student.nicmar.ac.in</t>
  </si>
  <si>
    <t>09-Nov-2000</t>
  </si>
  <si>
    <t>4476 7855 3727</t>
  </si>
  <si>
    <t>A1-1003, MANTRA MONARCH, PATIL NAGAR, BALEWADI, PUNE</t>
  </si>
  <si>
    <t>19, Zade Layout, Bharat Nagar, Amravati Road, Nagpur</t>
  </si>
  <si>
    <t>BHAVAN'S BHAGWANDAS PUROHIT VIDYA MANDIR, CIVIL LINES, NAGPUR</t>
  </si>
  <si>
    <t>SHRI SHIVAJI SCIENCE COLLEGE, NAGPUR</t>
  </si>
  <si>
    <t>L.S. RAHEJA SCHOOL OF ARCHITECTURE, BANDRA EAST, MUMBAI, MAHARASHTRA</t>
  </si>
  <si>
    <t>AutoCAD,MS Office,MS Project,AutoDesk Revit,Adobe Photoshop</t>
  </si>
  <si>
    <t>HSA-Hiten Sethi and Associates | Junior Architect | Bandra, Mumbai | Aug 2024 | Apr 2025 | 0 Years, 8 Months, 10 Days | 2.4</t>
  </si>
  <si>
    <t>KPMG Global Services | Deal Advisory and Strategy Intern | Mumbai | May 2026 | Jul 2026 | 9 Weeks | Campus Internship
Studio Humane | Intern | Pune | Nov 2022 | Apr 2023 | 19 Weeks
Ideas1 | Intern | Thane, Mumbai | May 2022 | Jun 2022 | 8 Weeks
Rethinking the Future | Editorial Writer- Trainee | Remote | Dec 2024 | Mar 2025 | 15 Weeks</t>
  </si>
  <si>
    <t>Intensive Program on Advance Design Tools
Rethinking the Future- Architectural Writing Training Programme
Project Management Assessment
Post Graduate Certification Programme in Project Management
Certified ScrumMaster
PRINCE2: 7th Edition Foundation and Practitioner Master Class
Primavera P6 Fundamentals
Project Management: The Basics for Success</t>
  </si>
  <si>
    <t>P25701032</t>
  </si>
  <si>
    <t>PANCHAMI</t>
  </si>
  <si>
    <t>GUNDA</t>
  </si>
  <si>
    <t>Panchami Milind Gunda</t>
  </si>
  <si>
    <t>panchamigundastudies@gmail.com</t>
  </si>
  <si>
    <t>p25701032@student.nicmar.ac.in</t>
  </si>
  <si>
    <t>6346 4142 9699</t>
  </si>
  <si>
    <t>MILIND GUNDA</t>
  </si>
  <si>
    <t>PANKAJA GUNDA</t>
  </si>
  <si>
    <t>201, B Wing, Indrapuri Apartment, Opp SBI, Karvenagar, Pune 411052</t>
  </si>
  <si>
    <t>MAHARASHTRA EDUCATION SOCIETY'S ABASAHEB GARWARE COLLEGE</t>
  </si>
  <si>
    <t>AutoCAD, MS Excel, MS Project, Primavera, Sketch Up, Rhinoceros 3D, Enscape</t>
  </si>
  <si>
    <t>Sikachi Incorporation | Junior Architect | Pune, Maharashtra | Dec 2023 | Jun 2025 | 1 Years, 6 Months, 12 Days | 3</t>
  </si>
  <si>
    <t>Godrej Properties Limited | Summer Intern | Pune | May 2026 | Jul 2026 | 8 Weeks | Campus Internship
Indian National Trust for Art and Cultural Heritage | Architectural Intern | Hampi, Karnataka | Jun 2022 | Oct 2022 | 19 Weeks</t>
  </si>
  <si>
    <t>Introduction to Corporate Finance by Coursera
Project Management: The basics for success by Coursera</t>
  </si>
  <si>
    <t>P25701033</t>
  </si>
  <si>
    <t>SANSKAR</t>
  </si>
  <si>
    <t>Sanskar Santosh Mishra</t>
  </si>
  <si>
    <t>mishrasanskar219@gmail.com</t>
  </si>
  <si>
    <t>p25701033@student.nicmar.ac.in</t>
  </si>
  <si>
    <t>Volunteering for Social Causes,Keen interest in global affairs and geopolitics</t>
  </si>
  <si>
    <t>9004 3682 1050</t>
  </si>
  <si>
    <t>NANDITA</t>
  </si>
  <si>
    <t>Ghanshyam Nagar Badnera Road Saturna Amravati</t>
  </si>
  <si>
    <t>TAKHATMAL ENGLISH HIGH SCHOOL</t>
  </si>
  <si>
    <t>MAHARASHTRA STATE BOARD OF SECONDARY AND HIGHER SECONDARY EDUCATION, AMRAVATI</t>
  </si>
  <si>
    <t>BRIJLAL BIYANI SCIENCE COLLEGE</t>
  </si>
  <si>
    <t>BRIJLAL BIYANI SCIENCE COLLEGE, AMRAVATI</t>
  </si>
  <si>
    <t>MS Office,MS Project,Primavera,SPSS,Microsoft Power BI</t>
  </si>
  <si>
    <t>Majestic Realties | Digital Marketing Intern | NIBM, PUNE | May 2026 | Jun 2026 | 7 Weeks | Campus Internship</t>
  </si>
  <si>
    <t>Introduction to corporate finance
Project Management: Basics for success</t>
  </si>
  <si>
    <t>P25701034</t>
  </si>
  <si>
    <t>HARIKRISHNA</t>
  </si>
  <si>
    <t>S Harikrishna</t>
  </si>
  <si>
    <t>sh.ug16.ar@nitp.ac.in</t>
  </si>
  <si>
    <t>p25701034@student.nicmar.ac.in</t>
  </si>
  <si>
    <t>4307 7590 9558</t>
  </si>
  <si>
    <t>S APPALASWAMY</t>
  </si>
  <si>
    <t>RETIRED EMPLOYEE</t>
  </si>
  <si>
    <t>S BABY</t>
  </si>
  <si>
    <t>No. 42, F3 Nithyam Homes, Valmiki Street, East Tambaram</t>
  </si>
  <si>
    <t>CENTRAL BOARD OF SECONDARY EDUCATION AND CHENNAI</t>
  </si>
  <si>
    <t>NATIONAL INSTITUTE OF TECHNOLOGY</t>
  </si>
  <si>
    <t>NATIONAL INSTITUTE OF TECHNOLOGY, PATNA</t>
  </si>
  <si>
    <t>AutoCAD,MS Office,Revit,Sketchup,Lumion,Photoshop,Enscape,Microsoft Project,Primavera P6,Power BI,Microsoft Dynamic 365, RIB Candy</t>
  </si>
  <si>
    <t>Design  Square | Junior Architect | Chennai | Sep 2021 | Mar 2022 | 0 Years, 6 Months, 9 Days | 1.56
Bhartiya Urban Private Limited | Trainee Architect | Bengaluru | Mar 2022 | Aug 2022 | 0 Years, 4 Months, 25 Days | 3.75
FreshBus Private Limited | Junior Architect, Product Specialist | Hyderabad | Dec 2022 | Jun 2025 | 2 Years, 6 Months, 8 Days | 4.5</t>
  </si>
  <si>
    <t>TruBoard Partners | Asset Management Intern | Gurgaon | May 2026 | Jun 2026 | 8 Weeks | Campus Internship
BARA ARCHITECT | Architectural Intern | Chennai | Jul 2020 | Nov 2020 | 18 Weeks</t>
  </si>
  <si>
    <t>P25701035</t>
  </si>
  <si>
    <t>Lata Anil Gupta</t>
  </si>
  <si>
    <t>latagupta1301@gmail.com</t>
  </si>
  <si>
    <t>p25701035@student.nicmar.ac.in</t>
  </si>
  <si>
    <t>13-Jul-2001</t>
  </si>
  <si>
    <t>6493 2819 0431</t>
  </si>
  <si>
    <t>A-202, HILL VIEW CHS, JP ROAD, NEAR NAVRANG CINEMAS, ANDHERI WEST MUMBAI 400058</t>
  </si>
  <si>
    <t>513, Juhu Azad Nagar CHS LTD, CD Barfiwala Road, Andheri West Mumbai-400058</t>
  </si>
  <si>
    <t>SMT. R.S.B. ARYA VIDYA MANDIR, MUMBAI</t>
  </si>
  <si>
    <t>LATE BHAUSAHEB HIRAY S.S. TRUST'S DR. BALIRAM HIRAY COLLEGE OF ARCHITECTURE, MUMBAI</t>
  </si>
  <si>
    <t>AutoCAD,MS Office,Revit,MS Project,Primavera,Adobe Photoshop</t>
  </si>
  <si>
    <t>ARCHITECT RUSHIKESH H. | JUNIOR ARCHITECT | MUMBAI | Oct 2024 | Jun 2025 | 0 Years, 8 Months, 13 Days | 3.09</t>
  </si>
  <si>
    <t>KALPATARU LIMITED | PROJECT INTERN | Santacruz, Mumbai | May 2026 | Jul 2026 | 9 Weeks | Campus Internship
ARCHITECT RUSHIKESH H. | ARCHITECTURAL INTERN | MUMBAI | Dec 2022 | Apr 2023 | 20 Weeks</t>
  </si>
  <si>
    <t>P25701036</t>
  </si>
  <si>
    <t>CHINTALAPATI</t>
  </si>
  <si>
    <t>Archana Chintalapati</t>
  </si>
  <si>
    <t>archi14902@gmail.com</t>
  </si>
  <si>
    <t>p25701036@student.nicmar.ac.in</t>
  </si>
  <si>
    <t>14-Sep-2002</t>
  </si>
  <si>
    <t>English, Hindi And Telugu</t>
  </si>
  <si>
    <t>Carnatic Music,Crochet,Paper Quilling,Custom Rakhi&amp;#39;s,Rangoli,Cooking,Organising,Doodling,Zentangle,Sketching,Water color Painting,Reading Books,Calligraphy,Travelling,Art of Living,Yoga,Dance</t>
  </si>
  <si>
    <t>2638 6342 9076</t>
  </si>
  <si>
    <t>DATTATREYA CHINTALAPATI</t>
  </si>
  <si>
    <t>LAKSHMI SUNEETHA CHINTALAPATI</t>
  </si>
  <si>
    <t>11-39-18, KATURIVARI STREET,_x000D_
ONE TOWN</t>
  </si>
  <si>
    <t>40012 - N ST MATHEW'S PUBLIC SCHOOL, VIJAYAWADA, AP</t>
  </si>
  <si>
    <t>BOARD OF INTERMEDIATE EDUCATION A.P., VIJAYAWADA</t>
  </si>
  <si>
    <t>KONERU LAKSHMAIAH EDUCATION FOUNDATION</t>
  </si>
  <si>
    <t>KONERU LAKSHMAIAH EDUCATION FOUNDATION , VADDESWARAM, GUNTUR</t>
  </si>
  <si>
    <t>AutoCAD,MS Office,MS Project,Autodesk Revit,SketchUp,Lumion,Enscape,Twinmotion,Navisworks,D5,Photoshop,Illustrator,QGIS,Canva,ZWCAD,Forma,Formit,Rhino,Dynamo,Fusion 360,Point Cloud Modelling,DiRoots,BIM Collaborative</t>
  </si>
  <si>
    <t>KPMG | Transformation - Major Project Advisory  | Gurugram | May 2026 | Jun 2026 | 7 Weeks | Campus Internship
INGENIO STUDIO | INTERN | BANGALORE | Jun 2024 | Nov 2024 | 24 Weeks
Hidden Dimension | Summer Intern | Vijayawada | Jun 2023 | Jul 2023 | 3 Weeks</t>
  </si>
  <si>
    <t>Professional REVIT &amp; BIM Certification Program</t>
  </si>
  <si>
    <t>P25701037</t>
  </si>
  <si>
    <t>VARSHA H</t>
  </si>
  <si>
    <t>NAYAR</t>
  </si>
  <si>
    <t>Varsha H Nayar</t>
  </si>
  <si>
    <t>varshahnayar.2001@gmail.com</t>
  </si>
  <si>
    <t>p25701037@student.nicmar.ac.in</t>
  </si>
  <si>
    <t>English,Hindi,Malayalm,Tamil</t>
  </si>
  <si>
    <t>9768 9148 1044</t>
  </si>
  <si>
    <t>HARI P NAIR</t>
  </si>
  <si>
    <t>ADDITIONAL GOVT.SECRETARY RTD</t>
  </si>
  <si>
    <t>ANITHA DEVI S</t>
  </si>
  <si>
    <t>ASST.HR MANAGER AIRPORT AUTHORITY OF INDIA</t>
  </si>
  <si>
    <t>TC 9/2900 Sannidhi _x000D_
Mnaluvilakom House,Kariyvattom _x000D_
Trivandrum Kerala _x000D_</t>
  </si>
  <si>
    <t>MARION VILLA CONVENT ICSE SCHOOL</t>
  </si>
  <si>
    <t>ICSE KERALA</t>
  </si>
  <si>
    <t>MAR GREGROS MEMORIAL CENTRAL PUBLIC SCHOOL</t>
  </si>
  <si>
    <t>CBSE KERALA</t>
  </si>
  <si>
    <t>MAR BASELIOS COLLAGE OF ENGINEERING AND TECHNOLOGY</t>
  </si>
  <si>
    <t>AutoCAD,MS Project,Primavera,REVIT,STAAD Pro,ERP,BIM</t>
  </si>
  <si>
    <t>Godrej Properties  | QA/QC | Banglore | May 2026 | Jul 2026 | 8 Weeks | Campus Internship
Heather constructions | Assistant Project Engineer (Civil Execution)  | Trivandrum  | Apr 2024 | Nov 2024 | 33 Weeks</t>
  </si>
  <si>
    <t>Diploma in BIM and QUANTITY SURVEY</t>
  </si>
  <si>
    <t>P25701038</t>
  </si>
  <si>
    <t>LALIT</t>
  </si>
  <si>
    <t>Lalit Rajput</t>
  </si>
  <si>
    <t>lalitrajput.1112@outlook.com</t>
  </si>
  <si>
    <t>p25701038@student.nicmar.ac.in</t>
  </si>
  <si>
    <t>5197 9192 5528</t>
  </si>
  <si>
    <t>POORAN SINGH</t>
  </si>
  <si>
    <t>MEENA SINGH</t>
  </si>
  <si>
    <t>A-202, EURO APPT, SEC-5, RAJENDRA NAGAR, SAHIBABAD, GHAZIABAD</t>
  </si>
  <si>
    <t>CENTRAL BOARD OF SECONDARY EDUCATION, GHAZIABAD</t>
  </si>
  <si>
    <t>DIWAKAR MODEL SCHOOL</t>
  </si>
  <si>
    <t>UNIVERSITY OF PETROLIUM AND ENERGY STUDIES</t>
  </si>
  <si>
    <t>UPES, DEHRADUN</t>
  </si>
  <si>
    <t>Geo Designs and Research (P) Ltd. | Land Aquisition Assistant | Gujarat | Jan 2022 | Jan 2025 | 3 Years, 0 Months, 0 Days | 2.52</t>
  </si>
  <si>
    <t>Asian Paints | Sales Engineer | Lucknow | May 2026 | Jul 2026 | 8 Weeks | Campus Internship
Intercontinental Consultants and Technologies Pvt. Ltd. | Internship Trainee | Gujarat | Jul 2018 | Jul 2018 | 3 Weeks</t>
  </si>
  <si>
    <t>Project Management Essentials
Leadership Skills
Supply Chain Digitization: Strategy and Design
Comprehensive Relative Valuation Training
Introduction to Corporate Finance</t>
  </si>
  <si>
    <t>P25701040</t>
  </si>
  <si>
    <t>JAPNEET</t>
  </si>
  <si>
    <t>Japneet Singh</t>
  </si>
  <si>
    <t>japneetsingh141@gmail.com</t>
  </si>
  <si>
    <t>p25701040@student.nicmar.ac.in</t>
  </si>
  <si>
    <t>26-Oct-1997</t>
  </si>
  <si>
    <t>English, Hindi &amp; Punjabi</t>
  </si>
  <si>
    <t>2384 7205 6729</t>
  </si>
  <si>
    <t>GURVINDER SINGH</t>
  </si>
  <si>
    <t>NAVNEET KAUR</t>
  </si>
  <si>
    <t>N-60 Sham Nagar</t>
  </si>
  <si>
    <t>SARDAR JASSA SINGH RAMGARHIA PUBLIC SCHOOL</t>
  </si>
  <si>
    <t>CBSE FROM DELHI</t>
  </si>
  <si>
    <t>SALWAN BOYS SENIOR SECONDARY SCHOOL</t>
  </si>
  <si>
    <t>DEENBANDU CHHOTU RAM UNIVERSITY OF SCIENCE &amp; TECHNOLOGY, MURTHAL (SONEPAT)</t>
  </si>
  <si>
    <t>HINDU SCHOOL OF ARCHITECTURE, SONEPAT, HARYANA</t>
  </si>
  <si>
    <t>AutoCAD, MS Office, MS Project, Primavera P6, Revit, Sketchup, Vray, Photoshop, Lumion</t>
  </si>
  <si>
    <t>Confluence | Architect | Delhi | Feb 2025 | Jun 2025 | 0 Years, 4 Months, 24 Days | 7.5
DDF Consultants | Architect | Delhi | Jul 2022 | Jan 2025 | 2 Years, 6 Months, 5 Days | 6</t>
  </si>
  <si>
    <t>Asian Paints | Intern | Panchkula | May 2026 | Jul 2026 | 8 Weeks | Campus Internship
Distrct Town Planner, Gurugram (Planning) | Intern | Gurugram  | Sep 2021 | Oct 2021 | 5 Weeks</t>
  </si>
  <si>
    <t>P25701041</t>
  </si>
  <si>
    <t>Nishant Nandan T</t>
  </si>
  <si>
    <t>nishantnandan3526@gmail.com</t>
  </si>
  <si>
    <t>p25701041@student.nicmar.ac.in</t>
  </si>
  <si>
    <t>ENGLISH,TELUGU,HINDI,ODIA</t>
  </si>
  <si>
    <t>7299 1790 5877</t>
  </si>
  <si>
    <t>T KALI PRASAD</t>
  </si>
  <si>
    <t>T RAJESWARI</t>
  </si>
  <si>
    <t>MAHARANI PETA, JEYPORE, ODISHA</t>
  </si>
  <si>
    <t>Koraput</t>
  </si>
  <si>
    <t>New Street 1st Lane, Jeypore ,koraput , Odisha</t>
  </si>
  <si>
    <t>SRI PRAKASH VIDYANIKETAN</t>
  </si>
  <si>
    <t>BIEAP</t>
  </si>
  <si>
    <t>GITAM DEEMED TO BE UNIVERSITY</t>
  </si>
  <si>
    <t>GITAM VISAKHAPATNAM</t>
  </si>
  <si>
    <t>MS Office,MS Project,Primavera,candy</t>
  </si>
  <si>
    <t>SAROJ CONSTRUCTION | project-in-charge(Engineer) | kakinada  | Jan 2022 | May 2024 | 2 Years, 4 Months, 30 Days | 3.6
BYJU'S | Business Development Trainee | Bhubaneshwar | Nov 2021 | Dec 2021 | 0 Years, 1 Months, 13 Days | 3</t>
  </si>
  <si>
    <t>Zyeta pvt. Ltd. | Project Management  | Bengaluru  | May 2026 | Jul 2026 | 8 Weeks | Campus Internship</t>
  </si>
  <si>
    <t>Engineering Project Management: Initiating and Planning
Renewable Energy and Green Building Entrepreneurship
Municipal Solid Waste Management in Developing Countries
Ethics, Technology and Engineering</t>
  </si>
  <si>
    <t>P25701042</t>
  </si>
  <si>
    <t>SHETTIGAR</t>
  </si>
  <si>
    <t>Shettigar Yash Harish</t>
  </si>
  <si>
    <t>yashshetty44@gmail.com</t>
  </si>
  <si>
    <t>p25701042@student.nicmar.ac.in</t>
  </si>
  <si>
    <t>28-May-1996</t>
  </si>
  <si>
    <t>9077 9783 1968</t>
  </si>
  <si>
    <t>8A-404, Akashdeep CHS, Damodar Park, LBS Marg, Ghatkopar (W), Mumbai - 400 086</t>
  </si>
  <si>
    <t>BOMBAY CAMBRIDGE SCHOOL</t>
  </si>
  <si>
    <t>S.S. &amp; L.S. PATKAR COLLEGE OF ARTS &amp; SCIENCE AND V.P. VARDE COLLEGE OF COMMERCE &amp; ECONOMICS</t>
  </si>
  <si>
    <t>ASMITA COLLEGE OF ARCHITECTURE, THANE, MAHARASHTRA</t>
  </si>
  <si>
    <t>AutoCAD, Sketup Pro, MS Office, MS Project, Primavera, Photoshop, Revit</t>
  </si>
  <si>
    <t>BGM Interior | Project Manager | Bengaluru | Dec 2022 | Jun 2025 | 2 Years, 6 Months, 16 Days | 8.4
Talati &amp; Panthaky Associated Designers LLP / ZRC Associates | Architect | Mumbai | Jan 2020 | Nov 2022 | 2 Years, 9 Months, 25 Days | 3.24</t>
  </si>
  <si>
    <t>Cushman &amp; Wakefield | Project management Intern | Mumbai | May 2026 | Jul 2026 | 8 Weeks | Campus Internship</t>
  </si>
  <si>
    <t>P25701043</t>
  </si>
  <si>
    <t>VIGHNESH</t>
  </si>
  <si>
    <t>BHADSAVLE</t>
  </si>
  <si>
    <t>Vighnesh Vinod Bhadsavle</t>
  </si>
  <si>
    <t>vighneshbhadsavle@gmail.com</t>
  </si>
  <si>
    <t>p25701043@student.nicmar.ac.in</t>
  </si>
  <si>
    <t>02-Oct-1999</t>
  </si>
  <si>
    <t>3556 4402 7575</t>
  </si>
  <si>
    <t>4/113, Khatav Building, Dr. S. S. Rao Road, Lalbaug, Mumbai - 400012</t>
  </si>
  <si>
    <t>ST. PAUL HIGH SCHOOL</t>
  </si>
  <si>
    <t>WILSON COLLEGE</t>
  </si>
  <si>
    <t>B. R. HARNE COLLEGE OF ENGINEERING AND TECHNOLOGY, MAHARASHTRA</t>
  </si>
  <si>
    <t>AutoCAD,MS Office,MS Project,Primavera P6,Lean Six Sigma,Power BI,SPSS,Candy</t>
  </si>
  <si>
    <t>A. R. W Infra Projects Pvt. Ltd. | Project Engineer | Mumbai | Jun 2022 | Jan 2023 | 0 Years, 7 Months, 30 Days | 2.88
Xylem Water Solutions India Pvt. Ltd. | Project Engineer | Mumbai | Feb 2023 | Jul 2025 | 2 Years, 4 Months, 17 Days | 6.9</t>
  </si>
  <si>
    <t>Ahluwalia Contracts India Ltd. | Project Management Intern | Mumbai | May 2026 | Jun 2026 | 8 Weeks | Campus Internship
Central Railway | Mechanical Engineering Intern | Mumbai | Jan 2022 | Jan 2022 | 3 Weeks
Sai Service India | Internship Trainee | Mumbai | Dec 2021 | Jan 2022 | 1 Weeks
Pantechelearning | Mechanical Engineering Intern | Online | Aug 2021 | Sep 2021 | 4 Weeks</t>
  </si>
  <si>
    <t>AutoCAD Essential
Post Graduate Diploma in Piping Design Engineering</t>
  </si>
  <si>
    <t>P25701044</t>
  </si>
  <si>
    <t>Kushagra Gupta</t>
  </si>
  <si>
    <t>kushagragupta668@gmail.com</t>
  </si>
  <si>
    <t>p25701044@student.nicmar.ac.in</t>
  </si>
  <si>
    <t>05-Mar-1999</t>
  </si>
  <si>
    <t>6328 9736 9583</t>
  </si>
  <si>
    <t>LAKSHMAN GUPTA</t>
  </si>
  <si>
    <t>IT SERVICE</t>
  </si>
  <si>
    <t>PRITI GUPTA</t>
  </si>
  <si>
    <t>R-203, Roseland Residency, Gate-4, Pimple Saudagar, Pune</t>
  </si>
  <si>
    <t>CENTRAL BOARD OF SECONDARY EDUCATION, PUNE/MAHARASHTRA</t>
  </si>
  <si>
    <t>THAPAR INSTITUTE OF ENGINEERING AND TECHNOLOGY, PATIALA/PUNJAB</t>
  </si>
  <si>
    <t>AutoCAD,Primavera P6,MS Project,Autodesk Revit,Bentley Staad pro,Autodesk Quantity Takeoff,Navisworks,PowerBI,Candy</t>
  </si>
  <si>
    <t>L&amp;T Construction | Senior Engineer | Mumbai, Kundankulam | Jul 2022 | Oct 2024 | 2 Years, 3 Months, 24 Days | 6
Parthsarthy Infrastructures Pvt Ltd | Manager (Civil &amp; Structural) | Jhansi | Dec 2024 | Jun 2025 | 0 Years, 6 Months, 28 Days | 12</t>
  </si>
  <si>
    <t>KPMG India | MPA Transformation Intern | Mumbai | May 2026 | Jun 2026 | 7 Weeks | Campus Internship
Parag Deshpande Consulting Engineers Pvt Ltd | Design Intern | Pune | Aug 2022 | Dec 2022 | 21 Weeks</t>
  </si>
  <si>
    <t>P25701045</t>
  </si>
  <si>
    <t>PRASANNAKUMAR</t>
  </si>
  <si>
    <t>Dipesh Prasannakumar Mahajan</t>
  </si>
  <si>
    <t>dipesh.mahajan4@gmail.com</t>
  </si>
  <si>
    <t>p25701045@student.nicmar.ac.in</t>
  </si>
  <si>
    <t>27-Apr-2003</t>
  </si>
  <si>
    <t>3850 9482 4933</t>
  </si>
  <si>
    <t>PRASANNAKUMAR MAHAJAN</t>
  </si>
  <si>
    <t>CONTRACTOR/ BUILDER</t>
  </si>
  <si>
    <t>SUVARNA MAHAJAN</t>
  </si>
  <si>
    <t>FL. 10, GOVIND GAURAV APP, RIGHT BHUSARI COLONY, PAUD ROAD, KOTHARUD, PUNE- 411038</t>
  </si>
  <si>
    <t>FL.603, B WING, PRIDE PRISTINE, VASUNDHARA LAYOUT,_x000D_
ELECTRONIC CITY, BANGALURU-560100</t>
  </si>
  <si>
    <t>SHREE SANT DNYANESHWAR MADHYAMIK VIDYALAYA</t>
  </si>
  <si>
    <t>SHRI JAYANTRAO WANJARI JUNIOR COLLEGE</t>
  </si>
  <si>
    <t>AMC ENGINEERING COLLEGE, BENGALURU</t>
  </si>
  <si>
    <t>AutoCAD, PRIMAVERA, MS PROJECT</t>
  </si>
  <si>
    <t>VENKATESH BUILCON  | Intern | PUNE | May 2026 | Jul 2026 | 8 Weeks | Campus Internship
SATYAM BUILDERS AND DEVELOPERS | JUNIOR SITE ENGINEER | BENGALURU | Feb 2025 | May 2025 | 12 Weeks
SATYAM BUILDERS AND DEVELOPERS | JUNIOR SITE ENGINEER | BENGALURU | Mar 2024 | Apr 2024 | 6 Weeks</t>
  </si>
  <si>
    <t>P25701047</t>
  </si>
  <si>
    <t>MELVIN</t>
  </si>
  <si>
    <t>Melvin Mathew</t>
  </si>
  <si>
    <t>mathewmelvin2000@gmail.com</t>
  </si>
  <si>
    <t>p25701047@student.nicmar.ac.in</t>
  </si>
  <si>
    <t>English, Malayalam and Hindi</t>
  </si>
  <si>
    <t>7517 0124 0166</t>
  </si>
  <si>
    <t>T J MATHEW</t>
  </si>
  <si>
    <t>MARY N JOHN</t>
  </si>
  <si>
    <t>KELAMPARAMBIL HOUSE ,UDAYAMPEROOR P O, _x000D_
ERNAKULAM.</t>
  </si>
  <si>
    <t>CHINMAYA VIDYALAYA KANNANKULANGARA</t>
  </si>
  <si>
    <t>CENTRAL BOARD OF SECONDARY EDUCATION, ERNAKULAM</t>
  </si>
  <si>
    <t>MUTHOOT INSTITUE OF TECHNOLOGY AND SCIENCE, ERNAKULAM.</t>
  </si>
  <si>
    <t>KERALA INDUSTRIAL &amp; TECHNICAL CONSULTANCY ORGANISATION Ltd | GRADUATE APPRENTICE | CHENGANNUR, ALAPPUZHA. | Sep 2023 | Sep 2024 | 0 Years, 11 Months, 30 Days | 2.07</t>
  </si>
  <si>
    <t>Sobha Limited | Project Management Intern | GIFT City, Gujarat. | May 2026 | Jul 2026 | 9 Weeks | Campus Internship</t>
  </si>
  <si>
    <t>NPTEL Online Certification
Master in Building Design</t>
  </si>
  <si>
    <t>P25701048</t>
  </si>
  <si>
    <t>BANDARU</t>
  </si>
  <si>
    <t>VANITHA DEVI</t>
  </si>
  <si>
    <t>Bandaru Vanitha Devi</t>
  </si>
  <si>
    <t>vanithadevi20@gmail.com</t>
  </si>
  <si>
    <t>p25701048@student.nicmar.ac.in</t>
  </si>
  <si>
    <t>2487 0243 1017</t>
  </si>
  <si>
    <t>BANDARU RAMESH</t>
  </si>
  <si>
    <t>BANDARU RADHA</t>
  </si>
  <si>
    <t>Devangula Veedhi, Alamanda, Jami Mandal, Vizinagaram District</t>
  </si>
  <si>
    <t>KENDRIYA VIDYALAYA NO1,NAUSENABAUGH VISHAKAPATANAM</t>
  </si>
  <si>
    <t>CENTRAL BOARD OF SECONDARY EDUCATION VISHAKHAPATNAM</t>
  </si>
  <si>
    <t>KENDRIYA VIDYALAYA NO1 , NAUSENABAUGH VISHAKAPATANAM</t>
  </si>
  <si>
    <t>CENTRAL BOARD OF SECONDARY EDUCATION, VISHAKAPATANAM</t>
  </si>
  <si>
    <t>JNTU(GV) VIZIANAGARAM ANDHRA PRADESH</t>
  </si>
  <si>
    <t>MVGR COLLEGE OF ENGINEERING ,VIZIANAGARAM</t>
  </si>
  <si>
    <t>ARCGIS, Autodesk AutoCAD, Candy, MS Office, MS Projects, Power BI, Primavera P6, QGIS, SPSS</t>
  </si>
  <si>
    <t>Asian Paints | Sales Engineer | Hyderabad | May 2026 | Jul 2026 | 8 Weeks | Campus Internship
NATIONAL INSTITUTE OF CONSTRUCTION MANAGEMENT AND RESEARCH | SUMMER INTERN | HYDERBAD | Jun 2024 | Jun 2024 | 2 Weeks</t>
  </si>
  <si>
    <t>Autonomus Drone Development Challenge (ADDC)2024
Six Sigma Tools for Define and Measure
Oracle Primavera P6 – Project Setup and Basic Management
Microeconomics Principles
NPTEL  Integrated Waste Management for a Smart City</t>
  </si>
  <si>
    <t>P25701049</t>
  </si>
  <si>
    <t>SACHAN</t>
  </si>
  <si>
    <t>Rajat Sachan</t>
  </si>
  <si>
    <t>rajatsachan123@gmail.com</t>
  </si>
  <si>
    <t>p25701049@student.nicmar.ac.in</t>
  </si>
  <si>
    <t>09-Jan-2002</t>
  </si>
  <si>
    <t>6303 2253 0094</t>
  </si>
  <si>
    <t>ARVIND SACHAN</t>
  </si>
  <si>
    <t>NEETU SACHAN</t>
  </si>
  <si>
    <t>113 SANJAY GANDHI NAGAR NAUBASTA, KANPUR</t>
  </si>
  <si>
    <t>BNSD SHIKSHA NIKETAN INTER COLLEGE</t>
  </si>
  <si>
    <t>BOARD OF HIGHSCHOOL AND INTERMEDIATE EDUCATION UP, KANPUR NAGAR</t>
  </si>
  <si>
    <t>SYMBIOSIS INSTITUTE OF TECHNOLOGY, PUNE, MAHARASTRA</t>
  </si>
  <si>
    <t>MS Office,MS Project,Primavera, Gov E-file, MS Dynamics 365</t>
  </si>
  <si>
    <t>KPMG Assurance and Consulting Services LLP | INTERN MPA | Transport Bhawan, New Delhi | May 2026 | Jun 2026 | 7 Weeks | Campus Internship
Kanpur Development Authority | Summer Intern | Kanpur  | Jul 2021 | Aug 2021 | 4 Weeks
GODREJ PROPERTIES LTD | OPERATIONS | MUMBAI | Jan 2023 | Jun 2023 | 24 Weeks</t>
  </si>
  <si>
    <t>"Water Quality studies using Hyperspectral Remote Sensing for the Indian Coastal and Inland Waters" by ISRO
â€œGeospatial Modeling Driven Urban Hazard and Risk Analysis" by ISRO
PG Certification Program in Financial Managment</t>
  </si>
  <si>
    <t>P25701050</t>
  </si>
  <si>
    <t>RINKE</t>
  </si>
  <si>
    <t>Abhinav Pramod Rinke</t>
  </si>
  <si>
    <t>abhinav7169@gmail.com</t>
  </si>
  <si>
    <t>p25701050@student.nicmar.ac.in</t>
  </si>
  <si>
    <t>2055 1793 2321</t>
  </si>
  <si>
    <t>PRAMOD RINKE</t>
  </si>
  <si>
    <t>ARCHANA RINKE</t>
  </si>
  <si>
    <t>MORYA PARK LANE NO. 4, PIMPLE GURAV, PUNE</t>
  </si>
  <si>
    <t>Waman Nagar, Khamgaon</t>
  </si>
  <si>
    <t>SARASWATI VIDHYA MANDIR, KHAMGAON</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</si>
  <si>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</si>
  <si>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</si>
  <si>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</si>
  <si>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</si>
  <si>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 Years, 1 Months, 1 Days | 3.49</t>
  </si>
  <si>
    <t>Jyoti Structures Ltd | Management Intern | Pune | May 2026 | Jul 2026 | 8 Weeks | Campus Internship
Thinktech Engineers | Trainee Engineer | Deccan,Pune | Jan 2023 | Jun 2023 | 25 Weeks</t>
  </si>
  <si>
    <t>Tekla Structures Steel Basic Training
Tekla Structures Concrete Basic Training</t>
  </si>
  <si>
    <t>P25701051</t>
  </si>
  <si>
    <t>Om Ravindra Deore</t>
  </si>
  <si>
    <t>deoreom11@gmail.com</t>
  </si>
  <si>
    <t>p25701051@student.nicmar.ac.in</t>
  </si>
  <si>
    <t>5618 7307 3541</t>
  </si>
  <si>
    <t>RAVINDRA DEORE</t>
  </si>
  <si>
    <t>KAVITA DEORE</t>
  </si>
  <si>
    <t>HOUSE WIFE561873073541</t>
  </si>
  <si>
    <t>Bapusadan, Kalanagar, Near Krishna Row House, Dindori Road, Nashik.</t>
  </si>
  <si>
    <t>DON BOSCO SCHOOL AND JUNIOR COLLEGE</t>
  </si>
  <si>
    <t>KRANTIVEER VANSANTRAO NAI SHIKSHAN PRASARAKH</t>
  </si>
  <si>
    <t>SMEF'S BRICK SCHOOL OF ARCHITECTURE.</t>
  </si>
  <si>
    <t>AutoCAD,MS Office,MS Project,Primavera,3d Sketchup,lumion,Photoshop.,InDesign,Twinmotion.,CANDY(CCS),D5 Render</t>
  </si>
  <si>
    <t>Fortress Infracon limited | Project Advisory | Thane | May 2026 | Jul 2026 | 8 Weeks | Campus Internship
Raagin Karman Architects | Intern Architect | Ahemdabad | Jun 2024 | Oct 2024 | 21 Weeks</t>
  </si>
  <si>
    <t>Geometric and Traffic Aspects of Highway
Introduction to Corporate Finance
Project Planning and Execution Management
Project Management: The Basics for Success</t>
  </si>
  <si>
    <t>P25701052</t>
  </si>
  <si>
    <t>PRAGVANSH</t>
  </si>
  <si>
    <t>Pragvansh Praveen Paldewar</t>
  </si>
  <si>
    <t>pppragu@gmail.com</t>
  </si>
  <si>
    <t>p25701052@student.nicmar.ac.in</t>
  </si>
  <si>
    <t>ENGLISH, MARATHI  AND HINDI</t>
  </si>
  <si>
    <t>3747 4129 6983</t>
  </si>
  <si>
    <t>FLAT NO-203 SHROFF SOLENO, RH21, NANDE - BALEWADI RD, MAHALUNGE, PUNE, MAHARASHTRA 411045</t>
  </si>
  <si>
    <t>Plot No -111/112 Vasant Nagar Near Airport Road ,Nanded</t>
  </si>
  <si>
    <t>CENTRAL BOARD OF SECONDARY EDUCATION , NANDED, MAHARASHTRA</t>
  </si>
  <si>
    <t>CAMBRIDGE JUNIOR COLLEGE ,NANDED</t>
  </si>
  <si>
    <t>VELLORE INSTITUTE OF TECHNOLOGY (VIT), VELLORE</t>
  </si>
  <si>
    <t>VELLORE INSTITUTE OF TECHNOLOGY ,  VELLORE, TAMIL NADU</t>
  </si>
  <si>
    <t>AutoCAD,MS Office,MS Project,Primavera,STAAD PRO,CSI ETABS</t>
  </si>
  <si>
    <t>Asian Paints Ltd | Sales Engineering Intern – Industrial Flooring (Project Sales) | Pune | May 2026 | Jul 2026 | 8 Weeks | Campus Internship
Kolte-Patil Integrated Townships ( Pune ) Ltd | Civil Engineering Intern | Pune | Sep 2023 | Dec 2023 | 13 Weeks</t>
  </si>
  <si>
    <t xml:space="preserve">Stakeholder Management
Project Scheduling: Estimate Activity Durations
Introduction to Corporate Finance
Project Management: The Basics for Success
KPMG Lean Six Sigma Green Belt </t>
  </si>
  <si>
    <t>P25701053</t>
  </si>
  <si>
    <t>KEERTI</t>
  </si>
  <si>
    <t>POLICEPATIL</t>
  </si>
  <si>
    <t>Keerti G Policepatil</t>
  </si>
  <si>
    <t>keertipolicepatil04@gmail.com</t>
  </si>
  <si>
    <t>p25701053@student.nicmar.ac.in</t>
  </si>
  <si>
    <t>7781 3871 3529</t>
  </si>
  <si>
    <t>GURURAJ POLICEPATIL</t>
  </si>
  <si>
    <t>SARASWATI G POLICEPATIL</t>
  </si>
  <si>
    <t>#25/27,LINGARAJ NAGAR(SOUTH) ,VIDYANAGAR,HUBLI</t>
  </si>
  <si>
    <t>CHINMAYA  ENGLISH PRIMARY SCHOOL</t>
  </si>
  <si>
    <t>CHETAN  PU SCIENCE COLLEGE</t>
  </si>
  <si>
    <t>KLE TECHNOLOGICAL UNIVERSITY HUBBALLI ,KARNATAKA</t>
  </si>
  <si>
    <t>MS Office,MS Project,Primavera,Microsoft Excel,SAP,Power BI</t>
  </si>
  <si>
    <t>Ahluwalia Contracts(India)Limited | INTERN-Project Coordinator  | BENGALURU,KARNATAKA | May 2026 | Jul 2026 | 8 Weeks | Campus Internship
Brigade Group | Intern In PMG and QMS  Department  | Bengaluru | Jan 2025 | Mar 2025 | 8 Weeks</t>
  </si>
  <si>
    <t xml:space="preserve">PROJECT MANAGEMENT 
SIX SIGMA TOOLS AND MEASURE
CORPORATE FINANCE </t>
  </si>
  <si>
    <t>P25701054</t>
  </si>
  <si>
    <t>JADHAO</t>
  </si>
  <si>
    <t>Samruddhi Surendra Jadhao</t>
  </si>
  <si>
    <t>samruddhisjadhao@gmail.com</t>
  </si>
  <si>
    <t>p25701054@student.nicmar.ac.in</t>
  </si>
  <si>
    <t>7078 6197 8189</t>
  </si>
  <si>
    <t>SURENDRA JADHAO</t>
  </si>
  <si>
    <t>VAISHALI JADHAO</t>
  </si>
  <si>
    <t>15, Sitaram Baba Colony_x000D_
Behind Satysai Center_x000D_
Near Farshi Stop</t>
  </si>
  <si>
    <t>ST. FRANCIS HIGH SCHOOL, AMRAVATI</t>
  </si>
  <si>
    <t>ARTS, COMMERCE, SCIENCE COLLAGE, KIRAN NAGAR, AMRAVATI</t>
  </si>
  <si>
    <t>VISHWAKARMA INSTITUTE OF INFORMATION AND TECHNOLOGY, PUNE</t>
  </si>
  <si>
    <t>AutoCAD,MS Office,MS Project,Project Planning &amp; Scheduling,Cost Estimation &amp; Quantity Surveying,Billing &amp; BOQ Preparation,Urban Infrastructure Fundamentals,Project Controls &amp; Reporting,Earned Value Management (EVM),Risk Management</t>
  </si>
  <si>
    <t>Edsom Fintech Pvt. Ltd. | Project Manager Intern | Pune | May 2026 | Jun 2026 | 7 Weeks | Campus Internship
VISION CIVIL ENGINEER CONTRACTOR &amp; VALUER | Property Valuation Intern | PUNE | Jan 2025 | May 2025 | 19 Weeks</t>
  </si>
  <si>
    <t>P25701055</t>
  </si>
  <si>
    <t>CHANDRAHAS</t>
  </si>
  <si>
    <t>Omkar Chandrahas Shinde</t>
  </si>
  <si>
    <t>ocshinde43@gmail.com</t>
  </si>
  <si>
    <t>p25701055@student.nicmar.ac.in</t>
  </si>
  <si>
    <t>Passionate about trekking and outdoor exploration,cricket</t>
  </si>
  <si>
    <t>5544 8966 5131</t>
  </si>
  <si>
    <t>CHANDRAHAS SHINDE</t>
  </si>
  <si>
    <t>GOVT RETIRED</t>
  </si>
  <si>
    <t>502, A -WING RUNWAL GARDEN_x000D_
NEAR RAUNAK PARK ,POKHARAN RD 2</t>
  </si>
  <si>
    <t>MAHARSHTA STATE BOARD OF SECONDARY AND HIGHER SECONDARY EDUCATION, PUNE</t>
  </si>
  <si>
    <t>MUCHHALA POLYTECHNIC THANE</t>
  </si>
  <si>
    <t>NEW HORIZON INSTITUTE OF TECHNOLOGY AND MANAGEMENT</t>
  </si>
  <si>
    <t xml:space="preserve">AutoCAD,MS Office,Revit Structure, MS Project </t>
  </si>
  <si>
    <t>SHREE SAIBABA GRIHANIRMITI PVT. LTD. | Fitout Engineer | Thane | Jun 2023 | Jul 2024 | 1 Years, 0 Months, 17 Days | 2.17</t>
  </si>
  <si>
    <t>PLANHIGH ARCHITECTS AND PROJECT MANAGEMENT CONSULTANTS  | PROJECT MANAGEMENT/COORDINATION  | Thane | May 2026 | Jul 2026 | 8 Weeks | Campus Internship</t>
  </si>
  <si>
    <t>Programme in Autocad</t>
  </si>
  <si>
    <t>P25701056</t>
  </si>
  <si>
    <t>Neha Rajesh Sawant</t>
  </si>
  <si>
    <t>nehasawant1904@gmail.com</t>
  </si>
  <si>
    <t>p25701056@student.nicmar.ac.in</t>
  </si>
  <si>
    <t>19-Apr-1999</t>
  </si>
  <si>
    <t>7082 2232 2612</t>
  </si>
  <si>
    <t>DEPUTY ENGINEER</t>
  </si>
  <si>
    <t>BANK OFFICER</t>
  </si>
  <si>
    <t>702, Parth CHS, L.T. Nagar, M.G. Road, Goregaon-west, Mumbai- 400104</t>
  </si>
  <si>
    <t>VIVEK VIDYALAYA &amp; JUNIOR COLLEGE   (MUMBAI)</t>
  </si>
  <si>
    <t>M.L. DAHANUKAR COLLEGE OF COMMERCE   (MUMBAI)</t>
  </si>
  <si>
    <t>SIR J. J. COLLEGE OF ARCHITECTURE   (MUMBAI)</t>
  </si>
  <si>
    <t>AutoCAD,MS Office,MS Project,3D Sketchup,3D Rhino,Adobe Photoshop,Adobe Indesign,Canva design,Lumion</t>
  </si>
  <si>
    <t>Samira Rathod Design Atelier | Junior Architect | Prabhadevi, Mumbai | Oct 2021 | Nov 2023 | 2 Years, 1 Months, 5 Days | 3
Serie Architects | Junior Architect | Lower Parel, Mumbai | Feb 2024 | Jun 2025 | 1 Years, 3 Months, 30 Days | 5.4</t>
  </si>
  <si>
    <t>ManAssure - Advisory and Consultancy | Business Development Intern | Remote | May 2026 | Jul 2026 | 8 Weeks | Campus Internship
SAS ARCHITECTS | Intern Architect (Site Coordinator) | MULUND, MUMBAI | Jun 2021 | Oct 2021 | 17 Weeks
ARCHITECT LOKHADWALLA F.T. | Intern | MUMBAI CENTRAL, MUMBAI | Nov 2019 | Mar 2020 | 17 Weeks</t>
  </si>
  <si>
    <t>P25701057</t>
  </si>
  <si>
    <t>PRITHVIRAJ</t>
  </si>
  <si>
    <t>GOSWAMI</t>
  </si>
  <si>
    <t>Prithviraj Goswami</t>
  </si>
  <si>
    <t>prithvirajgoswamilogan@gmail.com</t>
  </si>
  <si>
    <t>p25701057@student.nicmar.ac.in</t>
  </si>
  <si>
    <t>08-Oct-1999</t>
  </si>
  <si>
    <t xml:space="preserve">Reading, music, sports </t>
  </si>
  <si>
    <t>8868 4819 2974</t>
  </si>
  <si>
    <t>ALOK RANJAN GOSWAMI</t>
  </si>
  <si>
    <t>PRATIBHA SHARMA GOSWAMI</t>
  </si>
  <si>
    <t>Flat 1B,Ujan Abhoynagar, Agartala, West Tripura,Tripura-799005</t>
  </si>
  <si>
    <t>SRI KRISHNA MISSION SCHOOL</t>
  </si>
  <si>
    <t>CENTRAL BOARD OF SECONDARY EDUCATION(TRIPURA)</t>
  </si>
  <si>
    <t>NATIONAL INSTITUTE OF TECHNOLOGY AGARTALA</t>
  </si>
  <si>
    <t>KEC International Ltd | Engineer-Projects | Bhopal | Jul 2022 | Jun 2024 | 1 Years, 10 Months, 13 Days | 6.25</t>
  </si>
  <si>
    <t>Aditya Planing And CAD Solutions | Project Planning And Coordination Intern | Agartala | May 2026 | Jul 2026 | 8 Weeks | Campus Internship</t>
  </si>
  <si>
    <t>P25701058</t>
  </si>
  <si>
    <t>MANGLIA</t>
  </si>
  <si>
    <t>Anirudh Singh Manglia</t>
  </si>
  <si>
    <t>manglia.anirudh27@gmail.com</t>
  </si>
  <si>
    <t>p25701058@student.nicmar.ac.in</t>
  </si>
  <si>
    <t>Theatre,Watching Movies,Geography,Playing Cricket and Basketball,Travelling</t>
  </si>
  <si>
    <t>6045 1604 0860</t>
  </si>
  <si>
    <t>JUGAL KISHORE</t>
  </si>
  <si>
    <t>RETIRED UDC</t>
  </si>
  <si>
    <t>PRAVEENA MANGLIA</t>
  </si>
  <si>
    <t>C-225/A, SARASWATI NAGAR, BASNI-Ist PHASE, JODHPUR</t>
  </si>
  <si>
    <t>ST. ANNE'S SR. SEC. SCHOOL</t>
  </si>
  <si>
    <t>MBM UNIVERSITY</t>
  </si>
  <si>
    <t>MBM ENGINEERING COLLEGE JODHPUR</t>
  </si>
  <si>
    <t>AutoCAD,MS Office,MS Project,Primavera,REVIT,EXCEL</t>
  </si>
  <si>
    <t>HGIEL | GET | PAN INDIA | Oct 2023 | Jan 2024 | 0 Years, 3 Months, 6 Days | 3</t>
  </si>
  <si>
    <t>Asian Paints Ltd | Executive I/II Sales Engineering-WP | BHIWADI- RAJASTHAN | May 2026 | Jul 2026 | 8 Weeks | Campus Internship
CPWD | Assistant Engineer | Udaipur, Rajasthan | Jun 2022 | Jul 2022 | 6 Weeks</t>
  </si>
  <si>
    <t>AUTODESK REVIT
Microeconomics Principles
Introduction to Generative AI in Human Resources
Project Management:The basics for Success
Introduction to Corporate Finance</t>
  </si>
  <si>
    <t>P25701059</t>
  </si>
  <si>
    <t>Priyanka S</t>
  </si>
  <si>
    <t>priyankashiremath878@gmail.com</t>
  </si>
  <si>
    <t>p25701059@student.nicmar.ac.in</t>
  </si>
  <si>
    <t>English,Hindi and Kannada</t>
  </si>
  <si>
    <t>9356 7359 6680</t>
  </si>
  <si>
    <t>SATHAYYA B</t>
  </si>
  <si>
    <t>NAGAMMA</t>
  </si>
  <si>
    <t>968 VEERABHADRESHWARA NILAYA , BANASHANKARI 6TH STAGE ,2ND BLOCK KARIYANPALYA</t>
  </si>
  <si>
    <t>#13 20th Main Road  , JC Nagar Kurubarahalli Bangalore 560086</t>
  </si>
  <si>
    <t>PRIYANKA S</t>
  </si>
  <si>
    <t>RNS PRE UNIVERSITY COLLAGE</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</si>
  <si>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</si>
  <si>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</si>
  <si>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 Weeks | Campus Internship
CHETAN INFRATECH CONSULTANTS PVT.LTD | Intern | Banshankari 1st stage, Srinagar | Feb 2025 | Apr 2025 | 11 Weeks
Nagarjuna Construction Company | Intern | HBR layout | Oct 2024 | Jan 2025 | 9 Weeks
RITES | SITE INTERN | CHALLAGHATA, BANGALORE | Nov 2023 | Dec 2023 | 4 Weeks</t>
  </si>
  <si>
    <t>P25701060</t>
  </si>
  <si>
    <t>SANGAM</t>
  </si>
  <si>
    <t>Singh Sangam Shashikant</t>
  </si>
  <si>
    <t>sangamsingh492000@gmail.com</t>
  </si>
  <si>
    <t>p25701060@student.nicmar.ac.in</t>
  </si>
  <si>
    <t>3172 2660 5130</t>
  </si>
  <si>
    <t>SHASHIKANT RAMSURAT SINGH</t>
  </si>
  <si>
    <t>PRIVATE SECTOR JOB</t>
  </si>
  <si>
    <t>SARITA SHASHIKANT SINGH</t>
  </si>
  <si>
    <t>Flat 002, Guruprabha Sankul, Near Mangalvaar Bazaar, Water Supply Road, Kongaon, Kalyan West</t>
  </si>
  <si>
    <t>OXFORD PUBLIC SCHOOL</t>
  </si>
  <si>
    <t>MAHARASHTRA STATE BOARD OF SECONDARY AND HIGHER SECONDARY EDUCATION / MUMBAI</t>
  </si>
  <si>
    <t>THAKUR POLYTECHNIC / MUMBAI</t>
  </si>
  <si>
    <t>UNIVERSAL COLLEGE OF ENGINEERING / MUMBAI</t>
  </si>
  <si>
    <t>DNEG India Media Services Limited | Show Production Coordinator | Mumbai | Sep 2022 | Sep 2024 | 2 Years, 0 Months, 8 Days | 2.4
Freyssinet Menard India Private Limited | Graduate Engineer Trainee | New Delhi, Gurugram, Noida, Mumbai | Oct 2024 | Apr 2025 | 0 Years, 6 Months, 18 Days | 3.25</t>
  </si>
  <si>
    <t>Pidilite Industries Limited | Business Development &amp; Market Intelligence Intern | Mumbai | May 2026 | Jun 2026 | 7 Weeks | Campus Internship
SHRREEYA DEVELOPERS | Junior Engineer | Mumbai | Nov 2019 | Jan 2020 | 6 Weeks
KOSMOS DEVELOPERS | JUNIOR ENGINEER | MUMBAI | Nov 2020 | Feb 2021 | 16 Weeks
VASUDEV C. WADHWA CONSTRUCTION | JUNIOR ENGINEER | MUMBAI | Mar 2021 | Dec 2021 | 42 Weeks</t>
  </si>
  <si>
    <t>P25701061</t>
  </si>
  <si>
    <t>DIPANJAN</t>
  </si>
  <si>
    <t>Dipanjan Ghosh</t>
  </si>
  <si>
    <t>ghoshdipanjan03@gmail.com</t>
  </si>
  <si>
    <t>p25701061@student.nicmar.ac.in</t>
  </si>
  <si>
    <t>3122 3447 7841</t>
  </si>
  <si>
    <t>JOYDIP GHOSH</t>
  </si>
  <si>
    <t>ANJANA GHOSH</t>
  </si>
  <si>
    <t>NICMAR UNIVERSITY, PUNE,25 / 1, BALEWADI, N.I.A. POST OFFICE, PUNE - 411045, MAHARASHTRA</t>
  </si>
  <si>
    <t>Village - Joychandipur_x000D_
P.O. - Bakhrahat_x000D_
District - 24 Pgs (S)_x000D_
Pin - 743377</t>
  </si>
  <si>
    <t>S.L. BAJORIA FOUNDATION HIGH SCHOOL</t>
  </si>
  <si>
    <t>K.E. CARMEL SCHOOL, AMTALA</t>
  </si>
  <si>
    <t>INDIAN SCHOOL CERTIFICATE, NEW DELHI</t>
  </si>
  <si>
    <t>MS Office, MS Project, Primavera, Power BI</t>
  </si>
  <si>
    <t>Aditya Birla Group | Assistant Manager, Civil &amp; Construction | Singrauli, Madhya Pradesh | Aug 2023 | Jun 2025 | 1 Years, 10 Months, 27 Days | 8</t>
  </si>
  <si>
    <t>Grant Thornton Bharat LLP | Client study, research | Work from home | May 2026 | Jul 2026 | 9 Weeks | Campus Internship</t>
  </si>
  <si>
    <t>P25701062</t>
  </si>
  <si>
    <t>CHINCHAWADE</t>
  </si>
  <si>
    <t>Nikhil Anil Chinchawade</t>
  </si>
  <si>
    <t>nikhilanilchin@gmail.com</t>
  </si>
  <si>
    <t>p25701062@student.nicmar.ac.in</t>
  </si>
  <si>
    <t>Traveling,Theatre,Sports,Watching Movies/Shows</t>
  </si>
  <si>
    <t>3178 4471 9185</t>
  </si>
  <si>
    <t>ANIL CHINCHAWADE</t>
  </si>
  <si>
    <t>SR. DGM</t>
  </si>
  <si>
    <t>NANDINI CHINCHAWADE</t>
  </si>
  <si>
    <t>Kurtarkar Nagri, Bld No. 3A, Flat No. S5, Near Forest Office</t>
  </si>
  <si>
    <t>A. J. DE ALMEIDA HIGH SCHOOL</t>
  </si>
  <si>
    <t>S. S. SAMITI'S HIGHER SECONDARY SCHOOL</t>
  </si>
  <si>
    <t>DON BOSCO COLLEGE OF ENGINEERING, FATORDA MARGAO-GOA</t>
  </si>
  <si>
    <t>AutoCAD,MS Office,MS Project, BIM, Primavera,MidasGen</t>
  </si>
  <si>
    <t>Prakash S.P. Lawande Consulting Engineer | Civil Engineer | Ponda Goa | Sep 2023 | Sep 2024 | 1 Years, 0 Months, 0 Days | 2.4
Suraksha Constructions | Civil Engineer | Kundaim-Goa | Feb 2023 | Aug 2023 | 0 Years, 6 Months, 30 Days | 1.8</t>
  </si>
  <si>
    <t>New Consolidated Construction Co. Ltd. (NCCCL) | Project Planning and Execution | Alibag, Maharashtra | May 2026 | Jul 2026 | 8 Weeks | Campus Internship
Techno Art Builder | Civil Engineer | Ponda | Oct 2024 | Apr 2025 | 28 Weeks</t>
  </si>
  <si>
    <t>Financial Literacy  by IITBombayX
English for Oral Communication by  IITBombayX
Diploma in Autocad
Introduction to Generative AI in Human Resources
Introduction to Marketing
Six Sigma Principles
Foundations of Project Management
Microeconomics Principles
Project Management: The Basics for Success
Introduction to Corporate Finance</t>
  </si>
  <si>
    <t>P25701063</t>
  </si>
  <si>
    <t>Sandeep Sahu</t>
  </si>
  <si>
    <t>sahusandeep387@gmail.com</t>
  </si>
  <si>
    <t>p25701063@student.nicmar.ac.in</t>
  </si>
  <si>
    <t>6192 7253 7149</t>
  </si>
  <si>
    <t>SUDHIR KUMAR SAHU</t>
  </si>
  <si>
    <t>DIPMALA SAHU</t>
  </si>
  <si>
    <t>House No - 21, Balaji City, Bargarh, Odisha, 768028</t>
  </si>
  <si>
    <t>VIKASH RESIDENTIAL SCHOOL VIKASENCLAVE BARHAGUDA, BARGARH, ODISHA</t>
  </si>
  <si>
    <t>CENTRAL BOARD OF SECONDAY EDUCATION, BARGARH,ODISHA</t>
  </si>
  <si>
    <t>VIKASH RESIDENTIAL SCHOOL BBSR KHURDA ODISHA</t>
  </si>
  <si>
    <t>CENTRAL BOARD OF SECONDAY EDUCATION, BBSR, ODISHA</t>
  </si>
  <si>
    <t>AutoCAD,MS Office,MS Project,Primavera,Sketchup,lumion,Revit,Navisworks</t>
  </si>
  <si>
    <t>Arconaid Consultants Private Limited | Architecture, Interior Design | Pune | Sep 2024 | Jun 2025 | 0 Years, 8 Months, 22 Days | 1.8</t>
  </si>
  <si>
    <t>ARCHITECT RISHIKESH H. | Project Managemrnt Intern | Pune | May 2026 | Jul 2026 | 9 Weeks | Campus Internship
Kalamiti Design Studio | Architecture, Interior Design | Pune | May 2022 | Jul 2022 | 8 Weeks
Verizon Architects | Architecture, Interior, Landscape, Urban Planning and Design | Ahmedabad | Jun 2023 | Nov 2023 | 23 Weeks</t>
  </si>
  <si>
    <t>P25701064</t>
  </si>
  <si>
    <t>RIJUTA</t>
  </si>
  <si>
    <t>PULLIWAR</t>
  </si>
  <si>
    <t>Rijuta Prasad Pulliwar</t>
  </si>
  <si>
    <t>rijuta.pulliwar20@gmail.com</t>
  </si>
  <si>
    <t>p25701064@student.nicmar.ac.in</t>
  </si>
  <si>
    <t>20-Sep-2001</t>
  </si>
  <si>
    <t>ENGLISH, HINDI, MARATHI, GERMAN</t>
  </si>
  <si>
    <t>8201 2116 2108</t>
  </si>
  <si>
    <t>PRASAD PULLIWAR</t>
  </si>
  <si>
    <t>POOJA PULLIWAR</t>
  </si>
  <si>
    <t>FLAT 1003, A1 WING, MANTRA MONARCH, PATIL NAGAR, BALEWADI, PUNE.</t>
  </si>
  <si>
    <t>Plot 42, Navnirman Colony, Pratap Nagar, Nagpur.</t>
  </si>
  <si>
    <t>SOMALWAR HIGH SCHOOL &amp; JUNIOR COLLEGE, NIKALAS BRANCH, NAGPUR - 440022</t>
  </si>
  <si>
    <t>M K H SANCHETI PUBLIC SCHOOL &amp; JUNIOR COLLEGE, NAGPUR</t>
  </si>
  <si>
    <t>DR. BHANUBEN NANAVATI COLLEGE OF ARCHITECTURE, PUNE.</t>
  </si>
  <si>
    <t>AutoCAD,MS Office,MS Project,Autodesk Revit,Primavera P6,MS Excel,@Risk</t>
  </si>
  <si>
    <t>Studio Adroit Architects | Junior Architect | Nagpur | Nov 2024 | May 2025 | 0 Years, 6 Months, 20 Days | 1.8
PEB Utkarsha Projects Pvt. Ltd. | Junior Architect | Nagpur | May 2024 | Nov 2024 | 0 Years, 6 Months, 0 Days | 1.8</t>
  </si>
  <si>
    <t>KPMG Global Services | DA&amp;S Intern  | Mumbai | May 2026 | Jul 2026 | 9 Weeks | Campus Internship
URBAN TREE ARCHITECTURE | Architectural Intern | PUNE, MAHARASHTRA. | Jun 2023 | Nov 2023 | 24 Weeks
AIESEC IN PUNE | Senior Business Development Manager  | PUNE, MAHARASHTRA. | Aug 2020 | Jul 2021 | 52 Weeks</t>
  </si>
  <si>
    <t>Google Agile Essentials
Project Management - The Basics For Success
Certificate for Energy Literacy
Construction Management Foundations
Rhinoceros 3D and Grasshopper
Certified Associate in Project Management (CAPM)Â®
IIM Nagpur - Post Graduation Certificate Programme in Project Management
CSM - Certified Scrum Master
German Language: A2 Level (Goethe-Institute Certified)
Project Optimization in Primavera P6
Introduction to Corporate Finance</t>
  </si>
  <si>
    <t>P25701065</t>
  </si>
  <si>
    <t>K J</t>
  </si>
  <si>
    <t>Surabhi Chandra K J</t>
  </si>
  <si>
    <t>surabhichandra2003@gmail.com</t>
  </si>
  <si>
    <t>p25701065@student.nicmar.ac.in</t>
  </si>
  <si>
    <t>8416 6006 8802</t>
  </si>
  <si>
    <t>JAYACHANDRAN C K</t>
  </si>
  <si>
    <t>SENIOR DESIGNER</t>
  </si>
  <si>
    <t>DEEPA JAYACHANDRAN</t>
  </si>
  <si>
    <t>TC 10/2018 (4), VILLA A1, BEACON COLORS, PALATHARA, POWDIKONAM, THIRUVANANTHAPURAM, KERALA</t>
  </si>
  <si>
    <t>COTTAKKATTU HOUSE, NARIYAPURAM, VALLICODE, PATHANAMTHITTA, KERALA</t>
  </si>
  <si>
    <t>NAVAJEEVAN BETHANY VIDYALAYA NALANCHIRA</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</si>
  <si>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</si>
  <si>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</si>
  <si>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</si>
  <si>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P25701066</t>
  </si>
  <si>
    <t>Srushti Shah</t>
  </si>
  <si>
    <t>srushti.urmish.shah@gmail.com</t>
  </si>
  <si>
    <t>p25701066@student.nicmar.ac.in</t>
  </si>
  <si>
    <t>4098 2115 6950</t>
  </si>
  <si>
    <t>URMISH SHAH</t>
  </si>
  <si>
    <t>JAYSHRI SHAH</t>
  </si>
  <si>
    <t>702, Bella Wing, Crystal Palace, Sec- 20, S.G. Belapur, SG Patil Marg, CBD Belapur, Navi Mumbai</t>
  </si>
  <si>
    <t>JAIPURIAR SCHOOL NAVI MUMBAI THANE MAHARASHTRA</t>
  </si>
  <si>
    <t>MAHATMA EDUCATION SOCIETY'S PILLAI COLLEGE OF ARCHITECTURE, NEW PANVEL</t>
  </si>
  <si>
    <t>AutoCAD,MS Office,MS Project,Adobe Photoshop,Adobe Illustrator,SketchUp,Lumion</t>
  </si>
  <si>
    <t>Designworks | Junior architect  | Sanpada Navi Mumbai  | Aug 2024 | Jun 2025 | 0 Years, 10 Months, 15 Days | 3</t>
  </si>
  <si>
    <t>Medigence Solutions Pvt Ltd | Project Management Intern  | Ahmedabad | May 2026 | Jul 2026 | 8 Weeks | Campus Internship
Compartment S4 | Intern  | Ahmedabad | Nov 2022 | Apr 2023 | 25 Weeks</t>
  </si>
  <si>
    <t>SMEF's BRICK School of Architecture, Pune - The Pandemic Memorial competition</t>
  </si>
  <si>
    <t>P25701067</t>
  </si>
  <si>
    <t>SHIRBHATE</t>
  </si>
  <si>
    <t>Akshata Anup Shirbhate</t>
  </si>
  <si>
    <t>akshatashirbhate9@gmail.com</t>
  </si>
  <si>
    <t>p25701067@student.nicmar.ac.in</t>
  </si>
  <si>
    <t>Travelling, bike riding,reading  ,designing</t>
  </si>
  <si>
    <t>4067 6622 3648</t>
  </si>
  <si>
    <t>Anup Shirbhate, Opposite Monalisha Apartment Shrikrushna Peth Near Daffrin Hospital Amravati</t>
  </si>
  <si>
    <t>HOLY CROSS CONVENT ENGLISH HIGH AMRAVTI</t>
  </si>
  <si>
    <t>SSC ,PUNE</t>
  </si>
  <si>
    <t>INDEPENDENT JUNIOR COLLEGE RURAL INSTITUTE, AMRAVATI</t>
  </si>
  <si>
    <t>HSC , PUNE</t>
  </si>
  <si>
    <t>AutoCAD,MS Office,MS Project,Primavera,Illustrator,Indesign,Photoshop,Sketchup</t>
  </si>
  <si>
    <t>Godrej Properties  | Project Planning Intern | Mumbai | May 2026 | Jul 2026 | 8 Weeks | Campus Internship
Jawaharlal Nehru Port Authority | Architectural Intern | Navi Mumbai | Nov 2023 | Mar 2024 | 17 Weeks</t>
  </si>
  <si>
    <t>Project Management Foundations  Project Management Foundation
Strategic Project Risk Management
Business Development Foundation
Lean Six Sigma Foundations
Six Sigma - Green Belt</t>
  </si>
  <si>
    <t>P25701068</t>
  </si>
  <si>
    <t>Prathamesh Santosh Kadam</t>
  </si>
  <si>
    <t>prathmeshkadam259@gmail.com</t>
  </si>
  <si>
    <t>p25701068@student.nicmar.ac.in</t>
  </si>
  <si>
    <t>Trekking,swimming,Acting,Fashion,Photography</t>
  </si>
  <si>
    <t>6574 9105 3938</t>
  </si>
  <si>
    <t>SANTOSH KONDIRAM KADAM</t>
  </si>
  <si>
    <t>OFFICE SUPERINTENDENT</t>
  </si>
  <si>
    <t>HEMLATA SANTOSH KADAM</t>
  </si>
  <si>
    <t>MAHALUNGE</t>
  </si>
  <si>
    <t>Deur, Koregaon, Satara</t>
  </si>
  <si>
    <t>ST. ANN'S ENGLISH MEDIUM SCHOOL &amp; JR.COLLAGE</t>
  </si>
  <si>
    <t>MAHARASHTRA STATE BOARD OF SECONDARY AND HIGHER SECONDARY EDUCATION, KOLHAPUR DIVISIONAL BOARD.</t>
  </si>
  <si>
    <t>PRAGNYA JUNIOR COLLEGE OF ARTS, COMMERCE AND SCIENCE</t>
  </si>
  <si>
    <t>MAHARASHTRA STATE BOARD OF SECONDARY AND HIGHER SECONDARY EDUCATION, PUNE DIVISIONAL BOARD.</t>
  </si>
  <si>
    <t>AISSMS COLLAGE OF ENGINEERING, PUNE, MAHARASHTRA</t>
  </si>
  <si>
    <t>Ecoboard industries Ltd | Project management intern | Pune | May 2026 | Jun 2026 | 8 Weeks | Campus Internship
Jain Engineering Pvt. Ltd. | Site execution  | Dombivli east | Dec 2023 | Jan 2024 | 5 Weeks</t>
  </si>
  <si>
    <t>Autocad
Collaborate effectively for professional success
Introduction to Corporate Finance
Project Management: The Basics for Success
NPTL- (Employment communication a lab based course)</t>
  </si>
  <si>
    <t>P25701070</t>
  </si>
  <si>
    <t>TAPASWIN</t>
  </si>
  <si>
    <t>Tapaswin Mishra</t>
  </si>
  <si>
    <t>mishratapaswin@gmail.com</t>
  </si>
  <si>
    <t>p25701070@student.nicmar.ac.in</t>
  </si>
  <si>
    <t>English Odia Hindi</t>
  </si>
  <si>
    <t>5481 6714 3768</t>
  </si>
  <si>
    <t>RABINARAYAN MISHRA</t>
  </si>
  <si>
    <t>SNEHALATA MISHRA</t>
  </si>
  <si>
    <t>Mohaveer Nagar ,  Jaipurkilla , Pipili</t>
  </si>
  <si>
    <t>Puri</t>
  </si>
  <si>
    <t>SRASWATI SISHU VIDYA MANDIR, JAYAPURKILLA, PIPILI</t>
  </si>
  <si>
    <t>JUPITER WOMEN'S SCIENCE HIGHER SECONDARY SCHOOL</t>
  </si>
  <si>
    <t>COUNCIL OF HIGHER SECONDARY  EDUCATION , ODISHA</t>
  </si>
  <si>
    <t>ODISHA UNIVERSITY OF TECHNOLOGY AND RESEARCH, ODISHA</t>
  </si>
  <si>
    <t>MS Office,MS Project,Primavera,Power BI</t>
  </si>
  <si>
    <t>Odisha Power Transmission Corporation Limited  | Project Finance  | Bhubneswar  | May 2026 | Jul 2026 | 9 Weeks | Campus Internship
MINISTRY OF HOUSING AND URBAN AFFAIRS, INDIA | INTERN | BHUBANESWAR | Jul 2022 | Aug 2022 | 5 Weeks</t>
  </si>
  <si>
    <t>Introduction to Corporate Finance
Project Management : The Basic For Success</t>
  </si>
  <si>
    <t>P25701071</t>
  </si>
  <si>
    <t>SADAVARTE</t>
  </si>
  <si>
    <t>Sakshi Avinash Sadavarte</t>
  </si>
  <si>
    <t>sakshi61002@gmail.com</t>
  </si>
  <si>
    <t>p25701071@student.nicmar.ac.in</t>
  </si>
  <si>
    <t>5976 4376 8257</t>
  </si>
  <si>
    <t>303, BARKHA BAHAR, MG ROAD, BESIDE THE FOOD TOWN HOTEL, NAUPADA, THANE WEST</t>
  </si>
  <si>
    <t>B/2 Shri Krishna Govind Prasad, Bhaskar Colony, Naupada, Thane West.</t>
  </si>
  <si>
    <t>SARASWATI VIDYALAYA HIGH SCHOOL &amp; JR. COLLEGE OF SCIENCE, THANE WEST</t>
  </si>
  <si>
    <t>MAHARASHTRA STATE BOARD OF SECONDARY AND HIGHER SECONDARY EDUCATION - MUMBAI</t>
  </si>
  <si>
    <t>Kalpataru Limited  | Sales - Product Development Intern | Mumbai | May 2026 | Jul 2026 | 9 Weeks | Campus Internship
JDesigns | Architectural Intern | Dadar, Mumbai | Nov 2023 | Apr 2024 | 20 Weeks</t>
  </si>
  <si>
    <t>Sales Representative Certification Program by Reliance Foundation Skilling Academy
Coursera - Project Management- The Basics for success
Coursera- Introduction to Corporate Finance
Coursera - Six Sigma Tools for Define &amp; Success
Coursera - Oracle Primavera P6</t>
  </si>
  <si>
    <t>P25701073</t>
  </si>
  <si>
    <t>Anish K J</t>
  </si>
  <si>
    <t>kj.anish31@gmail.com</t>
  </si>
  <si>
    <t>p25701073@student.nicmar.ac.in</t>
  </si>
  <si>
    <t>31-Dec-2001</t>
  </si>
  <si>
    <t>ENGLISH, HINDI, KANNADA, KONKONI</t>
  </si>
  <si>
    <t>8126 1232 4008</t>
  </si>
  <si>
    <t>JOSEPH KV</t>
  </si>
  <si>
    <t>ANITHA JENNIFER</t>
  </si>
  <si>
    <t>#176, Munnekolal, Marathalli</t>
  </si>
  <si>
    <t>AIR FORCE SCHOOL MURGESHPALYA CAMP</t>
  </si>
  <si>
    <t>CENTRAL BOARD OF SECONDARY EDUCATION, BENGALURU/ KARNATAKA</t>
  </si>
  <si>
    <t>GOVERNMENT POLYTECHNIC IMMADIHALLI, BANGALORE/KARNATAKA</t>
  </si>
  <si>
    <t>CMR INSTITUTE OF TECHNOLOGY, BANGALORE/KARNATAKA</t>
  </si>
  <si>
    <t>Revit,AutoCAD,MS Office,MS Project,Primavera,@Risk,Candy,Q-GIS</t>
  </si>
  <si>
    <t>Sowparnika Homes Pvt. Ltd. | Jr. Engineer | Bangalore | Jul 2024 | Jun 2025 | 0 Years, 11 Months, 15 Days | 3.25</t>
  </si>
  <si>
    <t>UNISPACE | Project Management Intern | Bengaluru | May 2026 | Jul 2026 | 8 Weeks | Campus Internship
SALARPURIA SATTVA | CONSTRUCTION MANAGEMENT AND QA/QC | BENGALURU | Aug 2023 | Sep 2023 | 4 Weeks
GOVERNMENT OF KARNATAKA PUBLIC WORKS DEPARTMENT | PROJECT MANAGEMENT | BANGERPET, KARNATAKA | Sep 2021 | Sep 2021 | 2 Weeks</t>
  </si>
  <si>
    <t>P25701074</t>
  </si>
  <si>
    <t>Jaswant Singh R</t>
  </si>
  <si>
    <t>jasusingh001@gmail.com</t>
  </si>
  <si>
    <t>p25701074@student.nicmar.ac.in</t>
  </si>
  <si>
    <t>English,Hindi,Kannada,Tamil,Telugu</t>
  </si>
  <si>
    <t>6256 4386 3517</t>
  </si>
  <si>
    <t>RAVINDRANATH SINGH R</t>
  </si>
  <si>
    <t>RATHNA SINGH R</t>
  </si>
  <si>
    <t>9/1, 1st Main Road, New Guddadahalli, Bangalore, Karnataka 560026</t>
  </si>
  <si>
    <t>BANGALORE HIGH SCHOOL</t>
  </si>
  <si>
    <t>KARNATAKA SECONDARY EDUCATION EXAMINATION BOARD, BENGALURU</t>
  </si>
  <si>
    <t>AUTOMOBILE ENGINEERING</t>
  </si>
  <si>
    <t>PVP POLYTECHNIC, BANGALURU</t>
  </si>
  <si>
    <t>ACHARYA INSTITUTE OF TECHNOLOGY</t>
  </si>
  <si>
    <t>AutoCAD,MS Office,MS Project,Primavera,Matlab,Adobe suite,Solid works,HSE documentation</t>
  </si>
  <si>
    <t>Practice Buzz | Marketing Executive | India | Sep 2023 | Jul 2025 | 1 Years, 10 Months, 6 Days | 3.96
JBM Ogihara Automotive India Limited | Production Engineer | Bangalore | May 2023 | Apr 2024 | 0 Years, 11 Months, 12 Days | 3</t>
  </si>
  <si>
    <t>King's Developers &amp; Infrastructure | Management Trainee  | Bangalore | May 2026 | Jul 2026 | 8 Weeks | Campus Internship
Acharya Institute Of Technology | Digital Marketing Team | Baangalore | Nov 2021 | Oct 2022 | 47 Weeks</t>
  </si>
  <si>
    <t>Electrical Vehicles</t>
  </si>
  <si>
    <t>P25701075</t>
  </si>
  <si>
    <t>BHANUSHALI</t>
  </si>
  <si>
    <t>Varun Amar Bhanushali</t>
  </si>
  <si>
    <t>varunbhanu3@gmail.com</t>
  </si>
  <si>
    <t>p25701075@student.nicmar.ac.in</t>
  </si>
  <si>
    <t>ENGLISH, HINDI, MARATHI, GUJRATI</t>
  </si>
  <si>
    <t>Drama &amp; Playwriting,Running marathons,playing a musical instrument,Listening to podcasts</t>
  </si>
  <si>
    <t>7659 7642 5921</t>
  </si>
  <si>
    <t>Gurukul Nagar,yukta Apartment,flat No 2/3, Kinhavali</t>
  </si>
  <si>
    <t>WISDOM ENGLISH SCHOOL</t>
  </si>
  <si>
    <t>MAHARASHTRA STATE BOARD/MURBAD</t>
  </si>
  <si>
    <t>PACE JUNIOR SCIENCE COLLEGE</t>
  </si>
  <si>
    <t>MAHARASHTRA STATE OF HIGHER AND SECONDARY EDUCATION/THANE</t>
  </si>
  <si>
    <t>SHIVAJIRAO S JONDHLE COLLEGE OF ENGINEERING/MAHARASHTRA</t>
  </si>
  <si>
    <t>AutoCAD,MS Office,MS Project,Primavera,Asana,Candy software,project analytics</t>
  </si>
  <si>
    <t>Pidilite Industries | Business Development &amp; Market Research | Mumbai | May 2026 | Jun 2026 | 7 Weeks | Campus Internship
Manish Construction | Junior Engineer  | Pimpri-Chinchwad  | Jul 2024 | Feb 2025 | 27 Weeks</t>
  </si>
  <si>
    <t>AUTOCAD CIVIL
Equity Market Analyst
Corporate Finance
Business Valuation</t>
  </si>
  <si>
    <t>P25701076</t>
  </si>
  <si>
    <t>RUDRA</t>
  </si>
  <si>
    <t>PHADTARE</t>
  </si>
  <si>
    <t>Rudra Dattatraya Phadtare</t>
  </si>
  <si>
    <t>rudraphadtare2709@gmail.com</t>
  </si>
  <si>
    <t>p25701076@student.nicmar.ac.in</t>
  </si>
  <si>
    <t>Fitness and Gym,Volunteering for Social Causes,Gathering Information about different Countries,Playing cricket &amp; volleyball</t>
  </si>
  <si>
    <t>4085 8597 7971</t>
  </si>
  <si>
    <t>DATTATRAYA PHADTARE</t>
  </si>
  <si>
    <t>RETIRED MECHANICAL ENGINEER</t>
  </si>
  <si>
    <t>RESHMA PHADTARE</t>
  </si>
  <si>
    <t>Chaitrabun Bungalow Pl, No 84 , Vanashree Nagar ,Talegaon Dabhade ,</t>
  </si>
  <si>
    <t>DR.A.C HIGH SCHOOL</t>
  </si>
  <si>
    <t>ASM JR . COLLEGE</t>
  </si>
  <si>
    <t>DY PATIL COLLEGE OF ENGINEERING , AKURDI , PUNE.</t>
  </si>
  <si>
    <t>AutoCAD,MS Office,MS Project,Advanced Excel,STAAD.PRO,Revit</t>
  </si>
  <si>
    <t>HILTI INDIA  | ACCOUNT MANAGER INTERN  | Pune | May 2026 | Jul 2026 | 8 Weeks | Campus Internship
VEDAS AND POLARIS INTERNATIONAL INDUSTRIES DUBAI , UAE . | OPERATIONS INTERN | DUBAI , UAE | Dec 2023 | Jan 2024 | 6 Weeks</t>
  </si>
  <si>
    <t>Project Management : The Basics for Success
Diploma in Building Design
Introduction to corporate finance</t>
  </si>
  <si>
    <t>P25701077</t>
  </si>
  <si>
    <t>SHOURYA</t>
  </si>
  <si>
    <t>Shourya Singh</t>
  </si>
  <si>
    <t>shourya.031.singh@gmail.com</t>
  </si>
  <si>
    <t>p25701077@student.nicmar.ac.in</t>
  </si>
  <si>
    <t>31-Oct-2001</t>
  </si>
  <si>
    <t>5989 6114 9482</t>
  </si>
  <si>
    <t>SAURABH KUMAR</t>
  </si>
  <si>
    <t>PRIYA SINGH</t>
  </si>
  <si>
    <t>Rzf-1 Street 1, Mahavir Enclave Palam, Sec - 1, Dwarka, Delhi - 110045</t>
  </si>
  <si>
    <t>VANADANA INTERNATIONAL SR SEC SCHOOL</t>
  </si>
  <si>
    <t>VANDANA INTERNATIONAL SR SEC SCHOOL</t>
  </si>
  <si>
    <t>Janaadhar Ind Pvt Ltd | Assistant Planning Engineer  | Bangalore | Aug 2022 | Apr 2025 | 2 Years, 8 Months, 9 Days | 6.5</t>
  </si>
  <si>
    <t>Mace Project &amp; Cost Management Pvt. Ltd | Project Management Intern | Noida, Delhi NCR | May 2026 | Jul 2026 | 8 Weeks | Campus Internship
SHANGHAI TUNNEL ENGINEERING COMPANY LTD. | INTERN  | DELHI  | Sep 2021 | Oct 2021 | 6 Weeks</t>
  </si>
  <si>
    <t>P25701078</t>
  </si>
  <si>
    <t>SARAVANAN</t>
  </si>
  <si>
    <t>Avinash Saravanan</t>
  </si>
  <si>
    <t>avinashsaravanan.2000@gmail.com</t>
  </si>
  <si>
    <t>p25701078@student.nicmar.ac.in</t>
  </si>
  <si>
    <t>6765 0235 9747</t>
  </si>
  <si>
    <t>ARTHI</t>
  </si>
  <si>
    <t>3,pilliyar Koil Street, Pulliyambedu_x000D_</t>
  </si>
  <si>
    <t>SWAMYS MATRIC HIGHER SECONDARY SCHOOL</t>
  </si>
  <si>
    <t>STATE BOARD OF EXAMINATIONS, TAMILNADU</t>
  </si>
  <si>
    <t>CRESCENT SCHOOL OF ARCHITECTURE, CHENNAI</t>
  </si>
  <si>
    <t>MS Office,MS Project,Primavera P6, Revit, AutoCAD, Rhino, D5 Render, Photoshop</t>
  </si>
  <si>
    <t>Creative Lab Interiors and Contracting | Interior Architect | Dubai | Sep 2023 | May 2025 | 1 Years, 8 Months, 7 Days | 12.88</t>
  </si>
  <si>
    <t>Ashoka Builders India Private Limited (ASBL Private Limited) | Design Research and Coordination Intern | Hyderabad | May 2026 | Jul 2026 | 8 Weeks | Campus Internship
Shilpa Architects | Intern Architect | Chennai | Jan 2022 | Jun 2022 | 24 Weeks</t>
  </si>
  <si>
    <t>P25701080</t>
  </si>
  <si>
    <t>Vedant Ganesh Sawant</t>
  </si>
  <si>
    <t>work.ar.vedantsawant@gmail.com</t>
  </si>
  <si>
    <t>p25701080@student.nicmar.ac.in</t>
  </si>
  <si>
    <t>9610 8476 9993</t>
  </si>
  <si>
    <t>GANESH SADASHIV SAWANT</t>
  </si>
  <si>
    <t>RETIRED FROM ONGC</t>
  </si>
  <si>
    <t>MADHAVI GANESH SAWANT</t>
  </si>
  <si>
    <t>1103 Terrain Heights, Aaram Society Road, Vakola, Santacruz East, Mumbai -400055</t>
  </si>
  <si>
    <t>PARLE TILAK VIDYALAYA, VILE PARLE EAST, MUMBAI</t>
  </si>
  <si>
    <t>PACE JUNIOR SCIENCE COLLEGE, DADAR</t>
  </si>
  <si>
    <t>THAKUR SCHOOL OF ARCHITECTURE AND PLANNING , MUMBAI</t>
  </si>
  <si>
    <t>AutoCAD,MS Office,MS Project,Primavera,SKETCHUP,PHOTOSHOP,LUMION,SPSS,CANDY,@RISK,REVIT</t>
  </si>
  <si>
    <t>URBAN STUDIO, MUMBAI | ARCHITECT | MUMBAI | Jun 2023 | Jun 2025 | 2 Years, 0 Months, 5 Days | 6.6</t>
  </si>
  <si>
    <t>Architect Rushikesh. H | Project Management Intern | MUMBAI | May 2026 | Jul 2026 | 9 Weeks | Campus Internship
INGRAIN | ARCHITECTURAL INTERN | MUMBAI | Nov 2021 | Apr 2022 | 20 Weeks</t>
  </si>
  <si>
    <t>REAL ESTATE DEVELOPMENT AND MANAGEMENT</t>
  </si>
  <si>
    <t>P25701082</t>
  </si>
  <si>
    <t>KARTIKEYA</t>
  </si>
  <si>
    <t>Kumar Kartikeya</t>
  </si>
  <si>
    <t>kartikeyak2@gmail.com</t>
  </si>
  <si>
    <t>p25701082@student.nicmar.ac.in</t>
  </si>
  <si>
    <t>2047 9541 4130</t>
  </si>
  <si>
    <t>DILIP KUMAR SINGH</t>
  </si>
  <si>
    <t>SARIKA SINGH</t>
  </si>
  <si>
    <t>ROOM NO. - 302, SILVER JUBILEE HOSTEL</t>
  </si>
  <si>
    <t>23/2 Kumar House, Single Mandi_x000D_
Behind Lakshman Vidhyalaya_x000D_
Pathri Bagh</t>
  </si>
  <si>
    <t>SCHOLARS HOME SR SEC SCHOOL</t>
  </si>
  <si>
    <t>S.G.R.R. PATEL NAGAR SCHOOL</t>
  </si>
  <si>
    <t>MECHANICAL</t>
  </si>
  <si>
    <t>SHIVALIK COLLEGE OF ENGINEERING, DEHRA DUN, UTTRAKHAND</t>
  </si>
  <si>
    <t>CHANDIGARH UNIVERSITY, CHANDIGARH, PUNJAB</t>
  </si>
  <si>
    <t>Primavera P6, Power BI, ERM, Advanced Excel, AutoCAD, MS Project Engineering, Drawings Interpretation, Cost Control</t>
  </si>
  <si>
    <t>Proactive Engineering Services  | Project Management Intern. | Pune | May 2026 | Jul 2026 | 8 Weeks | Campus Internship
S.S.R Enterprises  | Planning Engineer | Rajasthan | Oct 2024 | Jun 2025 | 34 Weeks
Ultra vision engineering | Rajasthan | Mechanical engineer | Rajasthan, Barmer | Jan 2024 | Aug 2024 | 31 Weeks
Uttarakhand transport corporation | Mechanical engineer | Dehra dun | Jun 2022 | Jul 2022 | 5 Weeks
Bridge And Roof Corporation LTD. | Assistant Engineer | Bhatinda, Punjab | Jun 2021 | Jul 2021 | 8 Weeks</t>
  </si>
  <si>
    <t>KPMG 6 Sigma Certificate</t>
  </si>
  <si>
    <t>P25701083</t>
  </si>
  <si>
    <t>AADEESH</t>
  </si>
  <si>
    <t>GOBRELE</t>
  </si>
  <si>
    <t>Aadeesh Gobrele</t>
  </si>
  <si>
    <t>aadeesh.gobrele23@gmail.com</t>
  </si>
  <si>
    <t>p25701083@student.nicmar.ac.in</t>
  </si>
  <si>
    <t>2517 0648 3412</t>
  </si>
  <si>
    <t>MANOJ GOBRELE</t>
  </si>
  <si>
    <t>KIRAN GOBRELE</t>
  </si>
  <si>
    <t>A2-102, GULMARG COOPERATIVE HOUSING SOCIETY, GATE NO 2, MOHAN NAGAR</t>
  </si>
  <si>
    <t>House No. 14, Sanjana Park, Bhicholi Mardana</t>
  </si>
  <si>
    <t>ST. ARNOLDâ€™S HIGHER SECONDARY SCHOOL</t>
  </si>
  <si>
    <t>SCHOOL OF ARCHITECTURE, IPS ACADEMY INFORE</t>
  </si>
  <si>
    <t>AutoCAD,MS Office,MS Project,Primavera,Lightroom,revit</t>
  </si>
  <si>
    <t>Anarock | Closing and sourcing intern | NAVI MUMBAI | May 2026 | Jun 2026 | 8 Weeks | Campus Internship
9 SQUARES ARCHITECTS PVT LTD | INTERN | INDORE | Aug 2023 | Dec 2023 | 18 Weeks</t>
  </si>
  <si>
    <t>P25701084</t>
  </si>
  <si>
    <t>rohitkumar19d@gmail.com</t>
  </si>
  <si>
    <t>p25701084@student.nicmar.ac.in</t>
  </si>
  <si>
    <t>3160 9676 8577</t>
  </si>
  <si>
    <t>VIBHUTI KUMAR</t>
  </si>
  <si>
    <t>ANITA KUMARI</t>
  </si>
  <si>
    <t>SOUTH COLONY ANDAL, P.O+P.S-ANDAL, DISTRICT- PASCHIM BARDHAMAN, WEST BENGAL-713321</t>
  </si>
  <si>
    <t>VILLAGE- BAKARPUR NIRPURA, P.O-BISHNUPUR SAID, P.S- RAJAPAKAR THANA BLOCK-RAJAPAKAR, SUB-DIVISION- MAHUA, DISTRICT- VAISHALI, BIHAR- 844115</t>
  </si>
  <si>
    <t>KENDRIYA VIDYALAYA ANDAL</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</si>
  <si>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</si>
  <si>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</si>
  <si>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 Weeks | Campus Internship
M/S GUPTA ENTERPRISE | SUMMER-INTERNSHIP | BELGACHIA VAGAR, HOWRAH | Jul 2023 | Jul 2023 | 3 Weeks
M/S LAXMAN SHARMA |  INTERN  PLANNING ENGINEER | PHULWARISHARIF,PANTA | Aug 2024 | Jan 2025 | 26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</si>
  <si>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</si>
  <si>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P25701085</t>
  </si>
  <si>
    <t>NIRANJAN</t>
  </si>
  <si>
    <t>Kshitij Niranjan Kanade</t>
  </si>
  <si>
    <t>kanadekshitij151@gmail.com</t>
  </si>
  <si>
    <t>p25701085@student.nicmar.ac.in</t>
  </si>
  <si>
    <t>7855 0513 3619</t>
  </si>
  <si>
    <t>Deulwada,near Ballaleshwar Temple,Pali, Tal-Sudhagad, Dist-Raigad</t>
  </si>
  <si>
    <t>PETROCHEMICALS VIDYALAYA</t>
  </si>
  <si>
    <t>CBSE NAGOTHANE MAHARSHTRA</t>
  </si>
  <si>
    <t>Y.B PATIL POLYTECHNIC, AKURDI</t>
  </si>
  <si>
    <t>JSPM NTC, PUNE</t>
  </si>
  <si>
    <t>Advanced MS Excel, Power BI, MS Project Primavera P6, AutoCAD, Project Planning &amp; Scheduling, Business Process Analysis, Data Analysis &amp; Dashboard Development, Risk Assessment &amp; Mitigation Stakeholder Management, Project Monitoring &amp; Control Resource Plan</t>
  </si>
  <si>
    <t>D'quor Spaces | Project-Coordinator | Pune | May 2026 | Jul 2026 | 8 Weeks | Campus Internship
SBP INFRA | Intern  Assistant Engineer  | PALI, SUDHAGAD | Dec 2022 | Jan 2023 | 4 Weeks</t>
  </si>
  <si>
    <t>Auto cad and revit
Lean Six Sigma Green Belt</t>
  </si>
  <si>
    <t>P25701087</t>
  </si>
  <si>
    <t>Vineet H</t>
  </si>
  <si>
    <t>vineethosmani18@gmail.com</t>
  </si>
  <si>
    <t>p25701087@student.nicmar.ac.in</t>
  </si>
  <si>
    <t>2478 3863 8999</t>
  </si>
  <si>
    <t>VENKATESH H</t>
  </si>
  <si>
    <t>VINAYA VENKATESH</t>
  </si>
  <si>
    <t>1027/18, Nisargadhama, Chamarajapuram, JLV Road, Mysuru</t>
  </si>
  <si>
    <t>JSS PUBLIC SCHOOL SIDDARTHA NAGAR MYSORE</t>
  </si>
  <si>
    <t>BASE PU COLLEGE</t>
  </si>
  <si>
    <t>DEAPARTMENT OF PRE-UNIVERSITY EDUCATION, GOVERNMENT OF KARNATAKA</t>
  </si>
  <si>
    <t>JSS SCIENCE &amp; TECHNOLOGY UNIVERSITY</t>
  </si>
  <si>
    <t>AutoCAD,MS Office,REVIT,StaadPRO</t>
  </si>
  <si>
    <t>Tata Consulting Engineers Limited | Senior Engineer | Bengaluru | Aug 2023 | Jun 2025 | 1 Years, 10 Months, 5 Days | 7.99</t>
  </si>
  <si>
    <t>Deloitte Touche Tohmatsu India LLP | Intern - Audit &amp; Assurance | Bengaluru | May 2026 | Jul 2026 | 8 Weeks | Campus Internship
M/S Foundations, Developers and Promoters, Mysuru | Intern | Mysuru | Aug 2022 | Sep 2022 | 4 Weeks</t>
  </si>
  <si>
    <t>P25701088</t>
  </si>
  <si>
    <t>WADEKAR</t>
  </si>
  <si>
    <t>Sanskar Bhaskar Wadekar</t>
  </si>
  <si>
    <t>wadekarsanskar242@gmail.com</t>
  </si>
  <si>
    <t>p25701088@student.nicmar.ac.in</t>
  </si>
  <si>
    <t>6136 0271 7821</t>
  </si>
  <si>
    <t>Gopalpur, Post Palashi_x000D_
Chhatrapati Sambhajinagar (Aurangabad),431008</t>
  </si>
  <si>
    <t>MUKUL MANDIR</t>
  </si>
  <si>
    <t>SHIV CHHATRAPATI COLLEGE</t>
  </si>
  <si>
    <t>DR. BABASAHEB AMBEDKAR TECHNOLOGICAL UNIVERSITY, LONERE, RAIGAD, MAHARASHTRA</t>
  </si>
  <si>
    <t>AutoCAD,MS Office,MS Project,Primavera,Sketchup,Lumion,Adobe Suites,Adobe Photoshop,After Effects,Vray,Enscape,Figma,Media Encoder,Candy,Snaptrude,AI</t>
  </si>
  <si>
    <t>Econiwaran (Way to Sustainable Development) | Junior Architect | Chhatrapati Sambhajinagar (Aurangabad) | Jun 2023 | Jun 2025 | 2 Years, 0 Months, 4 Days | 0.9</t>
  </si>
  <si>
    <t>Veerkar and Associates  | Business Development and Project Coordination Trainee | Aurangabad  | May 2026 | Jul 2026 | 9 Weeks | Campus Internship
SPACE CDA | Junior Architect | Nashik | Jul 2022 | Dec 2022 | 23 Weeks</t>
  </si>
  <si>
    <t>UI UX Design
Professional Course in Stereoscopic Film Making</t>
  </si>
  <si>
    <t>P25701089</t>
  </si>
  <si>
    <t>Darshan Sanjay Kamble</t>
  </si>
  <si>
    <t>darshankamble6838@gmail.com</t>
  </si>
  <si>
    <t>p25701089@student.nicmar.ac.in</t>
  </si>
  <si>
    <t>06-Aug-2003</t>
  </si>
  <si>
    <t>English , Hindi, Marathi</t>
  </si>
  <si>
    <t>6758 3447 6554</t>
  </si>
  <si>
    <t>SANJAY SHIVRAM KAMBLE</t>
  </si>
  <si>
    <t>SUJATA SANJAY KAMBLE</t>
  </si>
  <si>
    <t>C-17,Darshan Nagari,Keshavnagar,Chinchwad,Pune-33</t>
  </si>
  <si>
    <t>BLOSSOM PUBLIC SCHOOL,TATHAWADE</t>
  </si>
  <si>
    <t>JSPM RAJARSHI SHAHU COLLEGE OF ENGINEERING , TATHAWADE</t>
  </si>
  <si>
    <t>IMPACT INFRAHEIGHTS PVT LTD | Quantity surveyor &amp; Site Execution | Pune  | May 2026 | Jul 2026 | 8 Weeks | Campus Internship
RAJ PATH INFRACON PVT.LTD | Junior Engineer  | Amar Business Zone Baner Pune411045 | Sep 2024 | May 2025 | 38 Weeks</t>
  </si>
  <si>
    <t>P25701090</t>
  </si>
  <si>
    <t>AJU</t>
  </si>
  <si>
    <t>Aju M John</t>
  </si>
  <si>
    <t>ajumjohn1998@gmail.com</t>
  </si>
  <si>
    <t>p25701090@student.nicmar.ac.in</t>
  </si>
  <si>
    <t>21-Mar-1998</t>
  </si>
  <si>
    <t>5238 7915 5559</t>
  </si>
  <si>
    <t>JOHN M VARGHESE</t>
  </si>
  <si>
    <t>ALEYAMMA JOHN</t>
  </si>
  <si>
    <t>MADACKAL HOUSE,PRASHANT NAGAR ,KAVIYOOR P.O, TIRUVALLA</t>
  </si>
  <si>
    <t>IMMANUEL MAR THOMA CENTRAL SCHOOL, THIRUVALLA</t>
  </si>
  <si>
    <t>CENTRAL BOARD OF SECONDARY EDUCATION,  KERALA</t>
  </si>
  <si>
    <t>SACRED HEART HIGHER SECONDARY SCHOOL, CHANGANASSERY</t>
  </si>
  <si>
    <t>KERALA BOARD OF HIGHER SECONDARY EDUCATION, KERALA</t>
  </si>
  <si>
    <t>VINAYAKA MISSION'S RESEARCH FOUNDATION</t>
  </si>
  <si>
    <t>AARUPADAI VEEDU INSTITUTE OF TECHNOLOGY, KANCHEEPURAM /TAMIL NADU</t>
  </si>
  <si>
    <t>AutoCAD, MS Office, MS Project, REVIT ARCHITECTURE, Primavera P6, Power BI</t>
  </si>
  <si>
    <t>NOEL HOMES | JUNIOR  PROJECT ENGINEER | ERNAKULAM, KERALA | Apr 2023 | Jun 2025 | 2 Years, 2 Months, 11 Days | 2.4</t>
  </si>
  <si>
    <t>GNY GROUP | Site Engineer | Chhatrapati Sambhajinagar | May 2026 | Jul 2026 | 8 Weeks | Campus Internship
SOLID CAD | CAD ENGINEER | CHANGANASSERY | Jul 2022 | Dec 2022 | 24 Weeks</t>
  </si>
  <si>
    <t>Quantity Surveying
Maintenance and Repair of concrete structures (NPTEL)</t>
  </si>
  <si>
    <t>P25701091</t>
  </si>
  <si>
    <t>SAMAPIKA</t>
  </si>
  <si>
    <t>Swati Samapika Biswal</t>
  </si>
  <si>
    <t>arswatisamapikabiswal@gmail.com</t>
  </si>
  <si>
    <t>p25701091@student.nicmar.ac.in</t>
  </si>
  <si>
    <t>5520 9205 5802</t>
  </si>
  <si>
    <t>GOUTAM BISWAL</t>
  </si>
  <si>
    <t>BAMS</t>
  </si>
  <si>
    <t>HARABATI BISWAL</t>
  </si>
  <si>
    <t>Panesara_x000D_
At/po Loisingha</t>
  </si>
  <si>
    <t>SARASWATI VIDYAMANDIR, MANGAL BAZAR, JHARSUGUDA</t>
  </si>
  <si>
    <t>NEWTON COLLEGE OF +2 SCIENCE, SAMBALPUR</t>
  </si>
  <si>
    <t>AutoCAD,MS Office,MS Project,Primavera,LUMION,SKETCHUP,PHOTOSHOP,VRAY,Candy,@risk</t>
  </si>
  <si>
    <t>BRICK VILLE ARCHITECTS | ARCHITECT | SUNDARGARH, ODISHA | Jun 2023 | Jun 2025 | 2 Years, 0 Months, 7 Days | 2.4</t>
  </si>
  <si>
    <t>Architect Rishikesh. H. | Project management Intern  | Mumbai  | May 2026 | Jul 2026 | 9 Weeks | Campus Internship
A + B , INCORPORATION | INTERN | BHUBANESWAR | Aug 2022 | Dec 2022 | 17 Weeks</t>
  </si>
  <si>
    <t>P25701092</t>
  </si>
  <si>
    <t>SAVITRI</t>
  </si>
  <si>
    <t>Savitri Singh</t>
  </si>
  <si>
    <t>singhsavitri614@gmail.com</t>
  </si>
  <si>
    <t>p25701092@student.nicmar.ac.in</t>
  </si>
  <si>
    <t>26-Sep-1997</t>
  </si>
  <si>
    <t>7537 5351 9941</t>
  </si>
  <si>
    <t>PINKI</t>
  </si>
  <si>
    <t>E-102, D/D Nagar</t>
  </si>
  <si>
    <t>CENTRAL ACADEMY SCHOOL</t>
  </si>
  <si>
    <t>GURU GOBIND SINGH INDRAPRASTHA UNIVERSITY, NEW DELHI</t>
  </si>
  <si>
    <t>MAHAVIR SWAMI INSTITUTE OF TECHNOLOGY/ SONIPAT/HARYANA</t>
  </si>
  <si>
    <t>AutoCAD,MS Office,MS Project,Primavera,Canva,WORDPRESS,SPSS</t>
  </si>
  <si>
    <t>Driffle | Marketing-Executive | Gurugram | Apr 2021 | Nov 2023 | 2 Years, 7 Months, 15 Days | 3.21
91 Squarefeet | Marketing  Executive | Gurugram | Dec 2023 | Oct 2024 | 0 Years, 10 Months, 29 Days | 3.6</t>
  </si>
  <si>
    <t>Spaceioplus | Management Trainee | New Delhi | May 2026 | Jul 2026 | 7 Weeks</t>
  </si>
  <si>
    <t>P25701093</t>
  </si>
  <si>
    <t>AQULINE</t>
  </si>
  <si>
    <t>Aquline C R</t>
  </si>
  <si>
    <t>aqulinesalim4111@gmail.com</t>
  </si>
  <si>
    <t>p25701093@student.nicmar.ac.in</t>
  </si>
  <si>
    <t>9544 7711 0906</t>
  </si>
  <si>
    <t>SALIM C N</t>
  </si>
  <si>
    <t>REHANA SALIM</t>
  </si>
  <si>
    <t>Changethu,Elippakulam P.O Vallikunnam,Mavelikkara,Alappuzha</t>
  </si>
  <si>
    <t>ANGELS ARC ENGLISH MEDIUM SCHOOL</t>
  </si>
  <si>
    <t>TKM SCHOOL OF ARCHITECTURE,KOLLAM</t>
  </si>
  <si>
    <t>AutoCAD,MS Office,MS Project,Primavera,@Risk,Candy,SPSS,Revit,Sketchup,Enscape,Lumion,Adobe Illustrator,Adobe Photoshop,Adobe InDesign,Navisworks,BIM 360,3dsmax,Adobe Premiere Pro,Canva</t>
  </si>
  <si>
    <t>CNS Builders and Developers | Project Architect | Kayamkulam,Kerala | Jan 2024 | Jun 2025 | 1 Years, 5 Months, 20 Days | 0.23</t>
  </si>
  <si>
    <t>PIDILITE INDUSTRIES LTD. | BUSINESS DEVELOPMENT INTERN | Bengaluru | May 2026 | Jun 2026 | 7 Weeks | Campus Internship
VEDIKA | ARCHITECTURAL TRAINEE | CHENNAI,INDIA | Sep 2023 | Jan 2024 | 16 Weeks</t>
  </si>
  <si>
    <t>BIM Certification in Architecture
Certificate of Registration as an Architect</t>
  </si>
  <si>
    <t>P25701094</t>
  </si>
  <si>
    <t>KAWARE</t>
  </si>
  <si>
    <t>Yash Anant Kaware</t>
  </si>
  <si>
    <t>yashkaware13@gmail.com</t>
  </si>
  <si>
    <t>p25701094@student.nicmar.ac.in</t>
  </si>
  <si>
    <t>6679 7639 7770</t>
  </si>
  <si>
    <t>GOVT SERVICES</t>
  </si>
  <si>
    <t>Hari Colony Kthora Naka Amt</t>
  </si>
  <si>
    <t>GOLDEN KIDS MARATHI HIGH SCHOOL</t>
  </si>
  <si>
    <t>VIDHYA BHARTI MAHAVIDHALAYA</t>
  </si>
  <si>
    <t>SANT GADGE BABA UNIVERSITY AMRAVATI</t>
  </si>
  <si>
    <t>AutoCAD,MS Office,MS Project,Primavera,3 d max</t>
  </si>
  <si>
    <t xml:space="preserve"> J. Kumar Infra Projects Ltd. | Project Management Intern | Thane Maharashtra | May 2026 | Jul 2026 | 9 Weeks | Campus Internship
BALAJI STRUCTURAL CONSULTANCY | INTERN | AMRAVATI | Jan 2020 | Mar 2020 | 6 Weeks
BALAJI STRUCTURAL CONSULTANCY | INTERN | Amravati  | Aug 2021 | Sep 2021 | 4 Weeks</t>
  </si>
  <si>
    <t>Autocad 2019
STAAD. Pro V8i</t>
  </si>
  <si>
    <t>P25701095</t>
  </si>
  <si>
    <t>VIDHU</t>
  </si>
  <si>
    <t>Vidhu Krishna</t>
  </si>
  <si>
    <t>vidhuk342@gmail.com</t>
  </si>
  <si>
    <t>p25701095@student.nicmar.ac.in</t>
  </si>
  <si>
    <t>8460 9580 4401</t>
  </si>
  <si>
    <t>BABU K</t>
  </si>
  <si>
    <t>MANAGER AT PRIVATE CONSTRUCTION COMPANY</t>
  </si>
  <si>
    <t>JAYA C</t>
  </si>
  <si>
    <t>Yadukulam,Adukkath Paramba,Madikai(po),Kasaragod</t>
  </si>
  <si>
    <t>GHSS UPPILIKAI</t>
  </si>
  <si>
    <t>A.P.J. ABDUL KALAM TECHNOLOGICAL UNIVERSITY</t>
  </si>
  <si>
    <t>VIMAL JYOTHI ENGINEERING COLLEGE, CHEMPERI</t>
  </si>
  <si>
    <t>AutoCAD,MS Office,MS Project,REVIT,NAVISWORK,SPSS,Candy,@Risk,Primavera,</t>
  </si>
  <si>
    <t>VSL INDIA PRIVATE LIMITED | Site Execution | Chennai | May 2026 | Jul 2026 | 8 Weeks | Campus Internship
MARY MATHA CONSTRUCTIONS | SITE ENGINEER | KALIKKADAVU,KASARAGOD | Jul 2024 | May 2025 | 47 Weeks</t>
  </si>
  <si>
    <t>BIM Certification in Architecture</t>
  </si>
  <si>
    <t>P25701097</t>
  </si>
  <si>
    <t>DIYA</t>
  </si>
  <si>
    <t>KANKAREJ</t>
  </si>
  <si>
    <t>Diya Rajendra Kankarej</t>
  </si>
  <si>
    <t>diyakankarej2003@gmail.com</t>
  </si>
  <si>
    <t>p25701097@student.nicmar.ac.in</t>
  </si>
  <si>
    <t>10-Oct-2003</t>
  </si>
  <si>
    <t>9147 0025 2689</t>
  </si>
  <si>
    <t>RAJENDRA RAMCHANDRA KANKAREJ</t>
  </si>
  <si>
    <t>SEEMA RAJENDRA KANKAREJ</t>
  </si>
  <si>
    <t>67, Ashirwad Konark Nagar -1 , Panchavati Nashik , Maharashtra</t>
  </si>
  <si>
    <t>K.N. KELA HIGH SCHOOL NASHIK MAHARASHTRA</t>
  </si>
  <si>
    <t>MET BHUJBAL KNOWLEDGE CITY NASHIK MAHARASHTRA</t>
  </si>
  <si>
    <t>PIMPRI CHINCHWAD COLLEGE OF ENGINEERING AND RESEARCH CENTRE RAVET PUNE MAHARASHTRA</t>
  </si>
  <si>
    <t>AutoCAD,MS Office,MS Project,Primavera,SPSS,Planning &amp; Scheduling: Primavera P6,MS Project 	â€¢	Design &amp; Drafting: AutoCAD,STAAD.Pro,Fusion 360 	â€¢	Construction ERP: HIT-Office 	â€¢	Data &amp; Reporting: MS Excel,MS Office,SPSS 	â€¢	Core Knowledge: Estimatio</t>
  </si>
  <si>
    <t>Ahluwalia Contracts limited  | Project planning  | Mumbai  | May 2026 | Jun 2026 | 8 Weeks | Campus Internship
KNOW - HOW PRACTICAL EXPOSURE | TRAINEE  | AKURDI , PUNE  | Dec 2023 | Jan 2024 | 3 Weeks</t>
  </si>
  <si>
    <t>P25701098</t>
  </si>
  <si>
    <t>RIDDHI</t>
  </si>
  <si>
    <t>EKAL</t>
  </si>
  <si>
    <t>Riddhi Rajendra Ekal</t>
  </si>
  <si>
    <t>riddhiekal@gmail.com</t>
  </si>
  <si>
    <t>p25701098@student.nicmar.ac.in</t>
  </si>
  <si>
    <t>2869 1093 9579</t>
  </si>
  <si>
    <t>SHANTI</t>
  </si>
  <si>
    <t>401 B Wing Sai Prasad Bldg, Near Sagar Sangam Hotel, Mira Bhy Road East.</t>
  </si>
  <si>
    <t>SARDAR VALLABHBHAI PATEL VIDYALAYA</t>
  </si>
  <si>
    <t>ROYAL COLLEGE OF SCIENCE</t>
  </si>
  <si>
    <t>ADITYA COLLEGE OF ARCHITECTURE</t>
  </si>
  <si>
    <t>MS Project, Primavera P6, @RISK, AutoCAD, Revit, SketchUp, Lumion, MS Office, Adobe Photoshop, CCS CANDY</t>
  </si>
  <si>
    <t>JP INFRA PVT LTD | Junior Project Architect | Mumbai | Jun 2024 | Jun 2025 | 1 Years, 0 Months, 27 Days | 4.8
GK Buildcon (SKG Developers) | Junior Project Architect | Mumbai | Feb 2023 | May 2024 | 1 Years, 3 Months, 25 Days | 2.76
IBA ARCHITECTS | JUNIOR ARCHITECT | MUMBAI | Oct 2021 | Oct 2022 | 1 Years, 0 Months, 0 Days | 1.8</t>
  </si>
  <si>
    <t>CUSHMAN &amp; WAKEFIELD |  Project Management Intern | Mumbai | May 2026 | Jul 2026 | 8 Weeks | Campus Internship
SUDIN PATIL ARCHITECTS | ARCHITECT | THANE | Nov 2019 | Mar 2020 | 18 Weeks</t>
  </si>
  <si>
    <t>IIT Kharaghpur ECell 2k18-19
Kathkuni Architecture by Kaarwan
Earth Construction Training Program Certificate
Course on Autocad For Architects &amp; Civil Engineers
Agile with Atlassian Jira
Introduction to Corporate Finance, University of Pennsylvania
Six Sigma and the Organization Advanced,Kennesaw State University
Asian Paints Smart Idea Competition Winner</t>
  </si>
  <si>
    <t>P25701099</t>
  </si>
  <si>
    <t>Sanket Nagesh Vaidya</t>
  </si>
  <si>
    <t>vaidyasanket005@gmail.com</t>
  </si>
  <si>
    <t>p25701099@student.nicmar.ac.in</t>
  </si>
  <si>
    <t>4037 4029 8460</t>
  </si>
  <si>
    <t>NAGESH VAIDYA</t>
  </si>
  <si>
    <t>SARIKA VAIDYA</t>
  </si>
  <si>
    <t>A-19, RAJYOG COLONY ROAD_x000D_
OPPOSITE RADHE GOVIND APARTMENT NIGDI</t>
  </si>
  <si>
    <t>Rajsarthi Nagar ,svm Colony_x000D_
Tulujai Niwas</t>
  </si>
  <si>
    <t>SVM HIGH SCHOOL KINWAT</t>
  </si>
  <si>
    <t>DEOGIRI COLLEGE OF ENGINEERING</t>
  </si>
  <si>
    <t>DR.D.Y.PATIL COLLEGE OF ENGINEERING AKURDI , PUNE</t>
  </si>
  <si>
    <t>AutoCAD,MS Office,MS Project,Catia,UG NX,Soildworks</t>
  </si>
  <si>
    <t>Moldetk Ltd. | Design Engineer | Pune | Apr 2023 | Apr 2025 | 2 Years, 0 Months, 20 Days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</si>
  <si>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</si>
  <si>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</si>
  <si>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P25701100</t>
  </si>
  <si>
    <t>MAHARAJ</t>
  </si>
  <si>
    <t>Aakanksha Maharaj</t>
  </si>
  <si>
    <t>aakanksha.khushi@yahoo.in</t>
  </si>
  <si>
    <t>p25701100@student.nicmar.ac.in</t>
  </si>
  <si>
    <t>04-Jan-2001</t>
  </si>
  <si>
    <t>Painting,Playing Badminton,Listening to music,Dancing,Baking</t>
  </si>
  <si>
    <t>9095 3456 4035</t>
  </si>
  <si>
    <t>SANJAY KUMAR MAHARAJ</t>
  </si>
  <si>
    <t>MAMTA MAHARAJ</t>
  </si>
  <si>
    <t>C 403, Ispatika Apartments, Plot Number 29, Sector 4, Dwarka 110078</t>
  </si>
  <si>
    <t>DWARKA INTERNATIONAL SCHOOL</t>
  </si>
  <si>
    <t>MS Office, Familiar with following interfaces, AutoCAD, BIM, MS Projects, Candy, Primavera, Revit, Data Scope</t>
  </si>
  <si>
    <t>Adaniconnex | Assistant Manager | Noida | Aug 2022 | Jul 2025 | 2 Years, 11 Months, 4 Days | 10.09</t>
  </si>
  <si>
    <t>HILTI PVT LTD | Intern (Sales) | Mumbai | Jun 2026 | Jul 2026 | 4 Weeks | Campus Internship
L&amp;T | INTERN | MANESAR | May 2021 | Jun 2021 | 5 Weeks</t>
  </si>
  <si>
    <t>P25701101</t>
  </si>
  <si>
    <t>CHAUGULE</t>
  </si>
  <si>
    <t>Atharva Mahendra Chaugule</t>
  </si>
  <si>
    <t>atharvachaugule2501@gmail.com</t>
  </si>
  <si>
    <t>p25701101@student.nicmar.ac.in</t>
  </si>
  <si>
    <t>25-Mar-2001</t>
  </si>
  <si>
    <t>3796 2763 6900</t>
  </si>
  <si>
    <t>MAHENDRA MAHADEO CHAUGULE</t>
  </si>
  <si>
    <t>SHILPA MAHENDRA CHAUGULE</t>
  </si>
  <si>
    <t>19/a/a, Aruna Arthi CHS, Opp. Old Post Office , Near Shankar Mandir , Kalwa West , Thane - 400605</t>
  </si>
  <si>
    <t>NEW ENGLISH SCHOOL KALWA</t>
  </si>
  <si>
    <t>AGNEL POLYTECHNIC, VASHI</t>
  </si>
  <si>
    <t>ALAMURI RATNAMALA INSTITUTE OF ENGINEERING AND TECHNOLOGY , SHAHPUR</t>
  </si>
  <si>
    <t>Purva Contractor and Developers | Site Engineer | Kalwa | Feb 2023 | Jun 2025 | 2 Years, 4 Months, 29 Days | 4.2</t>
  </si>
  <si>
    <t>Prestige Group | Project Planning | Mulund (Mumbai) | May 2026 | Jul 2026 | 8 Weeks | Campus Internship
PURVA CONTRACTOR AND DEVELOPERS | INTERN ENGINEER  | NAVI MUMBAI | May 2019 | Jun 2019 | 5 Weeks</t>
  </si>
  <si>
    <t>Revit
AutoCAD</t>
  </si>
  <si>
    <t>P25701102</t>
  </si>
  <si>
    <t>GUJARATHI</t>
  </si>
  <si>
    <t>Himanshu Jitendra Gujarathi</t>
  </si>
  <si>
    <t>himanshugujarathi99@gmail.com</t>
  </si>
  <si>
    <t>p25701102@student.nicmar.ac.in</t>
  </si>
  <si>
    <t>08-Aug-2000</t>
  </si>
  <si>
    <t>English ,Hindi,Marathi,Gujarathi</t>
  </si>
  <si>
    <t>Reading Books,Vollyball</t>
  </si>
  <si>
    <t>7052 1180 4573</t>
  </si>
  <si>
    <t>JITENDRA VILAS GUJARATHI</t>
  </si>
  <si>
    <t>SARIKA JITENDRA GUJARATHI</t>
  </si>
  <si>
    <t>Sai Samrajya Residency Bungalow No 2 Om Sai, Ahilyadevi Chawk Khandoba Mal,Rajgurunagar,Khed Dist.Pune Maharashtra 410505</t>
  </si>
  <si>
    <t>KTES ENGLISH MEDIUM SCHOOL ,KHED</t>
  </si>
  <si>
    <t>MAHATMA GANDHI MAHAVIDYALAYA,KHED PUNE</t>
  </si>
  <si>
    <t>D.Y. PATIL SCHOOL OF ARCHITECTURE ,AMBI PUNE, MAHARASHTRA</t>
  </si>
  <si>
    <t>AutoCAD,Sketchup,photoshop,lumion,Nscape,Powerpoint,EXCEL,ZWCAD,word, MS Projects</t>
  </si>
  <si>
    <t>PRASHANT DESHMUKH AND ASSOCIATES | JR.ARCHITECT | KATRAJ PUNE | Jun 2023 | Mar 2025 | 1 Years, 8 Months, 21 Days | 3.36
GLOBAL GROUP | JR.ARCHITECT | YERWADA ,PUNE | Mar 2025 | Jul 2025 | 0 Years, 3 Months, 14 Days | 4.75</t>
  </si>
  <si>
    <t>Vidyashree Developers | Project Manager &amp; Sales Executive  | Vadgaon,Sinhagad road | May 2026 | Jul 2026 | 8 Weeks | Campus Internship
PRASHANT DESHMUKH AND ASSOCIATES | TRAINEE ARCHITECT | KATRAJ ,PUNE | Jun 2022 | Oct 2022 | 21 Weeks</t>
  </si>
  <si>
    <t xml:space="preserve">Project Management:- Basics of Success 
Introduction to cooperate finance 
Market Equilibrium,Government Policy and Elasticity 
Six Sigma Rule for Define and Measure
Project Management:-Initialing and Planning </t>
  </si>
  <si>
    <t>P25701106</t>
  </si>
  <si>
    <t>S DEVI</t>
  </si>
  <si>
    <t>S Devi Nanda</t>
  </si>
  <si>
    <t>devinandasmitha@gmail.com</t>
  </si>
  <si>
    <t>p25701106@student.nicmar.ac.in</t>
  </si>
  <si>
    <t>Engish,Malayalam and Hindi</t>
  </si>
  <si>
    <t>7323 9093 3770</t>
  </si>
  <si>
    <t>S HARIKRISHNAN</t>
  </si>
  <si>
    <t>SENIOR SUPERINTENDENT, FOOD SAFETY, GOVT OF KERALA</t>
  </si>
  <si>
    <t>S SMITHA</t>
  </si>
  <si>
    <t>POST MASTER</t>
  </si>
  <si>
    <t>HARINANDANAM ANCHALUMMOODU PERINAD PO KOLLAM</t>
  </si>
  <si>
    <t>LAKE FORD SCHOOL KAVANAD KOLLAM KERALA</t>
  </si>
  <si>
    <t>SREE NARAYANA PUBLIC SCHOOL VADAKKEVILA PO KOLLAM KL</t>
  </si>
  <si>
    <t>GOVT. ENGINEERING COLEGE, BARTON HILL</t>
  </si>
  <si>
    <t>Sobha Limited | Procurement Technical Audit Intern | Bangalore Headquarters | May 2026 | Jul 2026 | 9 Weeks | Campus Internship
KRDCL | INTERN | THIRUVANANTHAPURAM | May 2025 | Jun 2025 | 5 Weeks</t>
  </si>
  <si>
    <t>P25701107</t>
  </si>
  <si>
    <t>GEETHIKA</t>
  </si>
  <si>
    <t>Geethika S S</t>
  </si>
  <si>
    <t>geethikamadothil@gmail.com</t>
  </si>
  <si>
    <t>p25701107@student.nicmar.ac.in</t>
  </si>
  <si>
    <t>4548 8938 9312</t>
  </si>
  <si>
    <t>SHAJU S</t>
  </si>
  <si>
    <t>SUB ENGINEER, KERALA STATE ELECTRICITY BOARD</t>
  </si>
  <si>
    <t>SINDHU V R</t>
  </si>
  <si>
    <t>BANK EMPLOYEE, KERALA STATE COOPERATIVE BANK</t>
  </si>
  <si>
    <t>Mampazhakonathu Madothil, Kachani, Karakulam,Thiruvananthapuram</t>
  </si>
  <si>
    <t>SARASWATHI VIDYALAYA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</si>
  <si>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</si>
  <si>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</si>
  <si>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 Weeks | Campus Internship
KERALA RAIL DEVELOPMENT COOPERATION | INTERN | THIRUVANANTHAPURAM, KERALA | May 2025 | Jun 2025 | 5 Weeks
Kerala Water Authority | Intern | Thiruvananthapuram, Kerala | May 2023 | May 2023 | 0 Weeks</t>
  </si>
  <si>
    <t>P25701108</t>
  </si>
  <si>
    <t>SANVITTI</t>
  </si>
  <si>
    <t>Sanvitti Shetty</t>
  </si>
  <si>
    <t>sanvittishetty@gmail.com</t>
  </si>
  <si>
    <t>p25701108@student.nicmar.ac.in</t>
  </si>
  <si>
    <t>18-Mar-2001</t>
  </si>
  <si>
    <t>ENGLISH, HINDI, TULU</t>
  </si>
  <si>
    <t>Reading,Dancing,Basketball,Yoga</t>
  </si>
  <si>
    <t>5623 7772 2993</t>
  </si>
  <si>
    <t>SATHEESH KUMAR SHETTY</t>
  </si>
  <si>
    <t>SHAYARI S SHETTY</t>
  </si>
  <si>
    <t>C3101,Indis One City,
Kukatpally</t>
  </si>
  <si>
    <t>DELHI PUBLIC SCHOOL NACHARAM</t>
  </si>
  <si>
    <t>AutoCAD, SketchUP, MS Excel, MS Word, MS PowerPoint, EDGE App</t>
  </si>
  <si>
    <t>Cushman and Wakefield  | Project Management Intern  | Hyderabad  | May 2026 | Jul 2026 | 8 Weeks | Campus Internship
NAVEEN ASSOCIATES, LANDSCAPE ARCHITECTS | INTERN ARCHITECT  | HYDERABAD  | Aug 2024 | May 2025 | 43 Weeks
Urban Arts: Architects and Interior Designers | Architectural Intern  | Hyderabad  | May 2023 | Nov 2023 | 26 Weeks
India Lost and Found | Cultural Researcher  | Remote  | Apr 2021 | Sep 2021 | 24 Weeks</t>
  </si>
  <si>
    <t>Architecture Journalism Course
Editorial Writer</t>
  </si>
  <si>
    <t>P25701109</t>
  </si>
  <si>
    <t>DHAYGUDE</t>
  </si>
  <si>
    <t>Siddhi Sunil Dhaygude</t>
  </si>
  <si>
    <t>dhaygudesiddhi14@gmail.com</t>
  </si>
  <si>
    <t>p25701109@student.nicmar.ac.in</t>
  </si>
  <si>
    <t>5748 7125 0475</t>
  </si>
  <si>
    <t>NUTAN</t>
  </si>
  <si>
    <t>Plot No. 26 City Point Society Magarpatta Hadapsar Pune 411028</t>
  </si>
  <si>
    <t>SSC   MAHARASHTRA</t>
  </si>
  <si>
    <t>VISHWAKARMA INSTITUTE OF INFORMATION TECHNOLOGY PUNE</t>
  </si>
  <si>
    <t>MS Excel , MS Project , Primavera , AutoCAD , BIM , Candy .</t>
  </si>
  <si>
    <t>New Consolidated Construction Co. Ltd | Project planning  | Mumbai | May 2026 | Jul 2026 | 8 Weeks | Campus Internship
Progenius Pavements | research intern | Sinhagad  | Jan 2023 | Apr 2024 | 65 Weeks
ZENITH CONSULTANT | SITE INTERN  | BANER | Aug 2024 | Dec 2024 | 20 Weeks</t>
  </si>
  <si>
    <t>P25701110</t>
  </si>
  <si>
    <t>ISHWARSING</t>
  </si>
  <si>
    <t>Gayatri Ishwarsing Rathod</t>
  </si>
  <si>
    <t>gayatri.rathod1283@gmail.com</t>
  </si>
  <si>
    <t>p25701110@student.nicmar.ac.in</t>
  </si>
  <si>
    <t>9308 4455 9534</t>
  </si>
  <si>
    <t>ISHWARSING DAMODAR RATHOD</t>
  </si>
  <si>
    <t>DIPIKA ISHWARSING RATHOD</t>
  </si>
  <si>
    <t>Plot No.709 Shobha Sadan Mahda Colony Pen, Near Red Wood City Plaza, Pen Raigad</t>
  </si>
  <si>
    <t>PEN SHIKSHAN MAHILA SAMITI ENGLISH MEDIUM SCHOOL</t>
  </si>
  <si>
    <t>KHIMJI PALAN CHHEDA JUNIOR COLLEGE OF COMMERCE AND SCIENCE</t>
  </si>
  <si>
    <t>SADAR PATEL COLLEGE OF ENGINEERING, MUMBAI</t>
  </si>
  <si>
    <t>AutoCAD,MS Project,MS Excel,Report Writing</t>
  </si>
  <si>
    <t>Jio Institute  | Planning Intern | Ulwe, Navi Mumbai  | May 2026 | Jul 2026 | 8 Weeks | Campus Internship
JSW STEEL | CIVIL ENGINEERING INTERN | DOLVI VILLAGE, PEN TALUK, RAIGAD DISTRICT, MAHARASHTRA  402107 | Jan 2024 | Jan 2024 | 2 Weeks
TUV SUD SOUTH ASIA PRIVATE LIMITED | CIVIL ENGINEERING INTERN | THANE | Aug 2023 | Aug 2023 | 2 Weeks</t>
  </si>
  <si>
    <t>P25701111</t>
  </si>
  <si>
    <t>ANAGHA</t>
  </si>
  <si>
    <t>Anagha Deepak Patil</t>
  </si>
  <si>
    <t>anaghadeepakpatil@gmail.com</t>
  </si>
  <si>
    <t>p25701111@student.nicmar.ac.in</t>
  </si>
  <si>
    <t>4021 2300 2211</t>
  </si>
  <si>
    <t>DEEPAK PATIL</t>
  </si>
  <si>
    <t>SHUBHANGI PATIL</t>
  </si>
  <si>
    <t>703, B Wing, Jeevanshila CHS, Bandra East, Mumbai - 400051</t>
  </si>
  <si>
    <t>IES MANIK VIDYAMANDIR</t>
  </si>
  <si>
    <t>INDIAN EDUCATION SOCIETY'S JUNIOR COLLEGE</t>
  </si>
  <si>
    <t>NARSEE MONJEE INSTITUTE OF MANAGEMENT STUDIES UNIVERSITY</t>
  </si>
  <si>
    <t>BALWANT SHETH SCHOOL OF ARCHITECTURE, MUMBAI</t>
  </si>
  <si>
    <t>AutoCAD,MS Office,Rhino,Sketchup,Photoshop,Illustrator, Revit</t>
  </si>
  <si>
    <t>Shilp Associates Pvt. Ltd. | Junior Architect | Mumbai | Jun 2024 | Dec 2024 | 0 Years, 6 Months, 12 Days | 3.6
Somani Developers | Junior Architect | Pune/ Mumbai | Jan 2025 | Jun 2025 | 0 Years, 5 Months, 14 Days | 4.8</t>
  </si>
  <si>
    <t>Kalpataru Limited | Business Development Intern | Mumbai | May 2026 | Jul 2026 | 9 Weeks | Campus Internship
Shilp Associates Pvt. Ltd. | Architectural Intern | Mumbai | Mar 2024 | May 2024 | 11 Weeks</t>
  </si>
  <si>
    <t>P25701112</t>
  </si>
  <si>
    <t>Sakshi Rakesh Shah</t>
  </si>
  <si>
    <t>shahsakshi220@gmail.com</t>
  </si>
  <si>
    <t>p25701112@student.nicmar.ac.in</t>
  </si>
  <si>
    <t>Photography and video editing,Volunteering and mentoring,Reading books</t>
  </si>
  <si>
    <t>6531 7393 0779</t>
  </si>
  <si>
    <t>YAMINI</t>
  </si>
  <si>
    <t>BUSINESSWOMAN</t>
  </si>
  <si>
    <t>803, Raj Vaibhav Tower, K.T. Soni Marg, Mahavir Nagar, Kandivali-w, Mumbai-67.</t>
  </si>
  <si>
    <t>SWAMI VIVEKANAND INTERNATIONAL SCHOOL</t>
  </si>
  <si>
    <t>SHRI. T. P. BHATIA COLLEGE OF SCIENCE</t>
  </si>
  <si>
    <t>DR. BALIRAM HIRAY COLLEGE OF ARCHITECTURE, MUMBAI</t>
  </si>
  <si>
    <t xml:space="preserve">Autodesk AutoCAD | Power BI | ERP | MS Office | MS Project | Primavera | Autodesk Revit | Sketchup | Enscape | Rhinoceros 3D | Adobe Photoshop | Tally ERP 9 </t>
  </si>
  <si>
    <t>A.S.Designs | Associate Architect | Andheri | Jun 2023 | Jun 2025 | 2 Years, 0 Months, 25 Days | 2.52</t>
  </si>
  <si>
    <t>Agami Realty | Business Development Intern | Mumbai | May 2026 | Jul 2026 | 7 Weeks | Campus Internship
S.P. SHEVADE &amp; ASSOCIATES | Architectural Intern | MUMBAI-VILE PARLE | Dec 2021 | May 2022 | 24 Weeks
Estilo Designs | Interior Design Intern | Bangalore | Jul 2021 | Aug 2021 | 4 Weeks
TEJAS GURAV ARCHITECTS | Architectural Intern | KOLHAPUR  | Jun 2021 | Sep 2021 | 13 Weeks</t>
  </si>
  <si>
    <t>Indian Green Building Council Certification</t>
  </si>
  <si>
    <t>P25701113</t>
  </si>
  <si>
    <t>BABASAHEB</t>
  </si>
  <si>
    <t>MURTADAK</t>
  </si>
  <si>
    <t>Pranjal Babasaheb Murtadak</t>
  </si>
  <si>
    <t>pranjalmurtadak1221@gamil.com</t>
  </si>
  <si>
    <t>p25701113@student.nicmar.ac.in</t>
  </si>
  <si>
    <t>HINDI, ENGLISH AND MARATHI</t>
  </si>
  <si>
    <t>2856 2010 9715</t>
  </si>
  <si>
    <t>YOGIA</t>
  </si>
  <si>
    <t>Samarthroop Apt. Goldencity, Laxminagar, Sangamner-422605</t>
  </si>
  <si>
    <t>B. G. P. SAHYADRI VIDYALAYA, SANGAMNER</t>
  </si>
  <si>
    <t>MAHARASHTRA STATE BOARD, PUNE</t>
  </si>
  <si>
    <t>B. G. P. SAHYADRI JR. COLLEGE, SANGAMNER</t>
  </si>
  <si>
    <t>MAHARASHTRA STATE BORAD, PUNE</t>
  </si>
  <si>
    <t>AutoCAD,MS Office,Primavera,PowerBI,SQL</t>
  </si>
  <si>
    <t>Plansquare Management Consultancy, Nashik | Planning Engineer | Nashik | Aug 2024 | May 2025 | 0 Years, 9 Months, 14 Days | 1.8</t>
  </si>
  <si>
    <t>CONVENIENT CONSTRUCTION CONSULTANCY Pvt.Ltd. (CCCPL) | Intern- Project Management/Construction Management | Indore | May 2026 | Jul 2026 | 9 Weeks | Campus Internship
SHREE CONSTRUCTION AND ASSOCIATES, SANGAMNER. | SITE ENGINEER | SANGAMNER | Jan 2023 | Feb 2023 | 4 Weeks</t>
  </si>
  <si>
    <t>Excel Using AI Workshop Certificate
PowerBI Workshop Certification
Primavera P6 Professional Certificate</t>
  </si>
  <si>
    <t>P25701114</t>
  </si>
  <si>
    <t>Rohan Rajaram Khairnar</t>
  </si>
  <si>
    <t>rohankhairnar9096@gmail.com</t>
  </si>
  <si>
    <t>p25701114@student.nicmar.ac.in</t>
  </si>
  <si>
    <t>17-Oct-2002</t>
  </si>
  <si>
    <t>6717 0859 7949</t>
  </si>
  <si>
    <t>RAJARAM KHAIRNAR</t>
  </si>
  <si>
    <t>PALLAVI KHAIRNAR</t>
  </si>
  <si>
    <t>50/2 Keshrinandan Housing Society, Bajrang Chowk, N-6 Cidco, Aurangabad</t>
  </si>
  <si>
    <t>STATE BOARD-AURANGABAD,MAHARASHTRA</t>
  </si>
  <si>
    <t>ST.LAWRENCE SUPER THIRTY JR. COLLEGE</t>
  </si>
  <si>
    <t>JAWAHARLAL NEHRU ENGINEERING COLLEGE, AURANGABAD, MAHARASHTRA</t>
  </si>
  <si>
    <t>AutoCAD,MS Office,Resource allocation &amp; planning,Construction materials testing,AutoCAD,MS Project,Reading &amp; interpreting construction drawings,PowerBI,Python,SQL</t>
  </si>
  <si>
    <t>Manik Infra Projects | Site Engineer | Ambad,Jalna Maharashtra | Jul 2024 | Jun 2025 | 0 Years, 11 Months, 29 Days | 1.8</t>
  </si>
  <si>
    <t>M/S.Godavari Construction  | Site Administration and Control - Intern | Chhatrapati Sambhajinagar(Aurangabad) | May 2026 | Jul 2026 | 8 Weeks | Campus Internship
Intellipaat Software Solutions Pvt.Ltd. | Data Scientist - Intern | Work From Home | Dec 2023 | May 2024 | 21 Weeks</t>
  </si>
  <si>
    <t>Power BI Course
PGP in Data Science And Machine Learning
SQL Course</t>
  </si>
  <si>
    <t>P25701115</t>
  </si>
  <si>
    <t>Anjaly Manoj</t>
  </si>
  <si>
    <t>anjalymanoj.ker@gmail.com</t>
  </si>
  <si>
    <t>p25701115@student.nicmar.ac.in</t>
  </si>
  <si>
    <t>English, Hindi, Malayalam, Tamil, Marathi</t>
  </si>
  <si>
    <t>7914 4956 3042</t>
  </si>
  <si>
    <t>MANOJ K.P.</t>
  </si>
  <si>
    <t>SHEEJA P. GEORGE</t>
  </si>
  <si>
    <t>Niketha, TC 69/286, Kamaleswaram, Manacaud P. O.</t>
  </si>
  <si>
    <t>ST. THOMAS RESIDENTIAL SCHOOL, THIRUVANANTHAPURAM</t>
  </si>
  <si>
    <t>COLLEGE OF ENGINEERING TRIVANDRUM, THIRUVANANTHAPURAM, KERALA</t>
  </si>
  <si>
    <t>AutoCAD,MS Office,MS Project,Primavera,Revit,Navisworks,Adobe Photoshop,Power BI,Sketchup Pro,Lumion,Procreate,Autodesk Construction Cloud</t>
  </si>
  <si>
    <t>Inscript Interiors | Junior Architect | Thiruvananthapuram, Kerala | Aug 2021 | Jul 2022 | 0 Years, 11 Months, 29 Days | 1.2
Dar-al-Handassah | Interior Architect | Pune, Maharashtra | Nov 2022 | May 2025 | 2 Years, 5 Months, 25 Days | 8.41</t>
  </si>
  <si>
    <t>Vishwannath Associates | Student Trainee Architect | Bangalore, Karnataka | Jul 2019 | Dec 2019 | 23 Weeks
FEDERAL BANK | Project Management Intern | Kerala | May 2026 | Jul 2026 | 8 Weeks</t>
  </si>
  <si>
    <t>P25701116</t>
  </si>
  <si>
    <t>GOKAK</t>
  </si>
  <si>
    <t>SHIVANAND</t>
  </si>
  <si>
    <t>Gokak Dhanashree Shivanand</t>
  </si>
  <si>
    <t>dhanashreegokak74665@gmail.com</t>
  </si>
  <si>
    <t>p25701116@student.nicmar.ac.in</t>
  </si>
  <si>
    <t>Marathi, English, Hindi ,Kannad</t>
  </si>
  <si>
    <t>3851 4715 2706</t>
  </si>
  <si>
    <t>SHIVANAND SONBA GOKAK</t>
  </si>
  <si>
    <t>DAKSHAYANI SHIVANAND GOKAK</t>
  </si>
  <si>
    <t>Fl.no.58,Anand Park Soc, Ekta Nagari, Anand Nagar, Sinhagad Road</t>
  </si>
  <si>
    <t>PUNE CITY</t>
  </si>
  <si>
    <t>ABASAHEB GARWARE COLLEGE</t>
  </si>
  <si>
    <t>SMT. KASHIBAI NAVALE COLLEGE OF ARCHITECTURE</t>
  </si>
  <si>
    <t>AutoCAD,MS Office,MS Project,Sketchup,lumion,enscape,D5,twin motion</t>
  </si>
  <si>
    <t>Samakalin Design and Infrastructure pvt Ltd | Architectural Intern | Pune  | Jun 2024 | Oct 2024 | 19 Weeks</t>
  </si>
  <si>
    <t>P25701117</t>
  </si>
  <si>
    <t>DAREKAR</t>
  </si>
  <si>
    <t>Sahil Dattatray Darekar</t>
  </si>
  <si>
    <t>sahildarekar7@gmail.com</t>
  </si>
  <si>
    <t>p25701117@student.nicmar.ac.in</t>
  </si>
  <si>
    <t>8201 6022 3345</t>
  </si>
  <si>
    <t>JAYASHRI</t>
  </si>
  <si>
    <t>SAMARTH PURAM SOCITY, NARHE_x000D_
NEAR SWAMINARAYAN TEMPLE</t>
  </si>
  <si>
    <t>Sakewadi, Kolgoan</t>
  </si>
  <si>
    <t>RESIDENTIAL HIGHSCHOOL , AHMEDNAGAR</t>
  </si>
  <si>
    <t>DR. N. J. PAULBUDHE INSTITUTE OF TECHNOLOGY , AHMEDNAGAR, MAHARASHTRA</t>
  </si>
  <si>
    <t>TSSM'S BHIVRABAI SAWANT COLLEGE OF ENGINEERING AND RESEARCH , PUNE</t>
  </si>
  <si>
    <t>AutoCAD,REVIT,CSI ETABS,TEKLA STRUCTURE</t>
  </si>
  <si>
    <t>P25701118</t>
  </si>
  <si>
    <t>SUDEEP</t>
  </si>
  <si>
    <t>Sudeep Roy</t>
  </si>
  <si>
    <t>roysudeep8@gmail.com</t>
  </si>
  <si>
    <t>p25701118@student.nicmar.ac.in</t>
  </si>
  <si>
    <t>ENGLISH, BENGALI &amp; HINDI</t>
  </si>
  <si>
    <t>7129 5962 1442</t>
  </si>
  <si>
    <t>SUBRATA KUMAR ROY</t>
  </si>
  <si>
    <t>EX BSF</t>
  </si>
  <si>
    <t>MALABIKA ROY</t>
  </si>
  <si>
    <t>Shyamnagar More, Shyamnagar, Tehatta, Nadia, West Bengal, 741155</t>
  </si>
  <si>
    <t>VIVEKANANDA ACADEMY</t>
  </si>
  <si>
    <t>JNV GOPALPUR BIRBHUM</t>
  </si>
  <si>
    <t>OM DAYAL GROUP OF INSTITUTIONS</t>
  </si>
  <si>
    <t>AutoCAD, MS Office, MS Project, Primavera P6, Power BI, Tableau, Lumion, Photoshop, Revit, BIM, 3d Modeling</t>
  </si>
  <si>
    <t>RADIANT | ARCHITECT | KOLKATA | Jul 2022 | Jul 2024 | 2 Years, 0 Months, 30 Days | 4.6
ARCH-HUE Consultants | PROJECT ARCHITECT | KOLKATA | Aug 2024 | Jun 2025 | 0 Years, 10 Months, 25 Days | 5.06</t>
  </si>
  <si>
    <t>Kayne Bio Sciences Ltd | Project Execution Intern | HYDERABAD | May 2026 | Jul 2026 | 8 Weeks | Campus Internship
RADIANT | INTERN ARCHITECT | KOLKATA | Jul 2021 | Jan 2022 | 26 Weeks</t>
  </si>
  <si>
    <t>Empaneled Architect , New Town Kolkata Development Authority ( NKDA )
Registered Architect, COUNCIL OF ARCHITECTURE
Urban Service Planning , NPTEL ONLINE CERTIFICATION</t>
  </si>
  <si>
    <t>P25701119</t>
  </si>
  <si>
    <t>ABHIJAY</t>
  </si>
  <si>
    <t>GADEKAR</t>
  </si>
  <si>
    <t>Abhijay Ajay Gadekar</t>
  </si>
  <si>
    <t>abhijayagadekar1980@gmail.com</t>
  </si>
  <si>
    <t>p25701119@student.nicmar.ac.in</t>
  </si>
  <si>
    <t>8295 5297 9840</t>
  </si>
  <si>
    <t>AJAY GADEKAR</t>
  </si>
  <si>
    <t>SHUBHANGI GADEKAR</t>
  </si>
  <si>
    <t>Jasmini Bungalow Plot No.12, Civil Lines, NMV Society, Near RTO.</t>
  </si>
  <si>
    <t>GURUNANAK PUBLIC SCHOOL</t>
  </si>
  <si>
    <t>RASHTRASANT TUKODOJI MAHARAJ UNIVERSITY, NAGPUR</t>
  </si>
  <si>
    <t>PRIYADARSHANI COLLEGE OF ENGINEERING</t>
  </si>
  <si>
    <t>AutoCAD,MS Office,MS Project,Primavera,SPSS,CANDY,@RISK</t>
  </si>
  <si>
    <t>National Highways Authority of India  | Intern  | Malda, West Bengal. | May 2026 | Jul 2026 | 8 Weeks | Campus Internship
Sky Construction | Intern | Nagpur | May 2024 | Jun 2024 | 5 Weeks
Raghukaul Constructions Private Limited | Intern | Nagpur | Jul 2023 | Jul 2023 | 3 Weeks</t>
  </si>
  <si>
    <t>Course in Universal Health</t>
  </si>
  <si>
    <t>P25701120</t>
  </si>
  <si>
    <t>Praveen . K</t>
  </si>
  <si>
    <t>kp966999@gmail.com</t>
  </si>
  <si>
    <t>p25701120@student.nicmar.ac.in</t>
  </si>
  <si>
    <t>18-Jul-2002</t>
  </si>
  <si>
    <t>8729 3896 8010</t>
  </si>
  <si>
    <t>KANNAN.S</t>
  </si>
  <si>
    <t>NIRUBAMA.K</t>
  </si>
  <si>
    <t>175/2 V.O.C Road, NNL Bus Shed Opposite, Karaikudi</t>
  </si>
  <si>
    <t>ALAGAPPA MATRIC HR SEC SCHOOL KARAIKUDI</t>
  </si>
  <si>
    <t>KARAIKUDI MAGARISHI VIDHAYA MANDIR MATRIC HR SEC SCHOOL</t>
  </si>
  <si>
    <t>C.A.R.E SCHOOL OF ARCHITECTURE</t>
  </si>
  <si>
    <t>MS Excel, MS Power Point, MS Project, Power BI, Primavera P6, Revit (BIM), AutoCAD, CANDY, SketchUp, SQL</t>
  </si>
  <si>
    <t>EDSOM FINTECT PVT. LTD | Project Management &amp; Business Analytics | Pune | May 2026 | Jun 2026 | 7 Weeks | Campus Internship
Narshimham Associates | Architecture  | Hyderabad | Jun 2023 | Nov 2023 | 20 Weeks</t>
  </si>
  <si>
    <t>Project Management the Basics for Success Course Certificate
Introduction to Corporate Finance Course Certificate
BIM Course
Six-Sigma Green Belt - KPMG</t>
  </si>
  <si>
    <t>P25701121</t>
  </si>
  <si>
    <t>KAKADE</t>
  </si>
  <si>
    <t>Sourav Suresh Kakade</t>
  </si>
  <si>
    <t>kakade.sourav@gmail.com</t>
  </si>
  <si>
    <t>p25701121@student.nicmar.ac.in</t>
  </si>
  <si>
    <t>15-Mar-1999</t>
  </si>
  <si>
    <t>7148 7721 9866</t>
  </si>
  <si>
    <t>SURESH KAKADE</t>
  </si>
  <si>
    <t>MRIDULA KAKADE</t>
  </si>
  <si>
    <t>E-001/2, Shireen Complex, Manpada Road, Near Sanghavi Garden, Sagaon, Dombivli East</t>
  </si>
  <si>
    <t>ABHINAV VIDYALAY</t>
  </si>
  <si>
    <t>COUNCIL FOR THE INDIAN SCHOOL CERTIFICATE EXAMINATIONS, DOMBIVLI, INDIA</t>
  </si>
  <si>
    <t>RAMNARAIN RUIA COLLEGE</t>
  </si>
  <si>
    <t>SHRI SHIVAJI MARATHA SOCIETY'S COLLEGE OF ARCHITECTURE, PUNE, MAHARASHTRA</t>
  </si>
  <si>
    <t>AutoCAD,MS Office,MS Project,Revit,Photoshop,Sketchup</t>
  </si>
  <si>
    <t>P. G. Patki Architects | Junior Architect-BIM | 1st Floor, Calcot House, 8, Tamarind Ln, Kala Ghoda, Fort, Mumbai, Maharashtra 400001 | May 2023 | Jul 2025 | 2 Years, 1 Months, 25 Days | 3.48</t>
  </si>
  <si>
    <t>ASBL | Design Research &amp; Coordination Intern | Hyderabad | May 2026 | Jul 2026 | 8 Weeks | Campus Internship
Ar. Ninad Vaidya | Intern | Ninad Vaidya Architects, Ground Floor, Rachna Divine, Dombivli, Unit No 1, Tilak Road, Dombivli, Thane, Maharashtra, 421201 | Jul 2021 | Nov 2021 | 18 Weeks
Studio Symetree | Jr Architect | Aundh, Pune | Jun 2022 | Oct 2022 | 21 Weeks</t>
  </si>
  <si>
    <t>P25701122</t>
  </si>
  <si>
    <t>Tejas N</t>
  </si>
  <si>
    <t>tejas.narayanaswamy33@gmail.com</t>
  </si>
  <si>
    <t>p25701122@student.nicmar.ac.in</t>
  </si>
  <si>
    <t>3915 7864 1990</t>
  </si>
  <si>
    <t>NARAYANASWAMY V</t>
  </si>
  <si>
    <t>No. 280, Geetha Bharath Nilaya, 1st Main , 1st Cross ,Vidyaranayapura</t>
  </si>
  <si>
    <t>SRI VIDYA MANDIRA HIGH SCHOOL</t>
  </si>
  <si>
    <t>KARNATAKA SECONDARY EDUCATION EXAMINATION BOARD , BENGALURU , KARNATAKA</t>
  </si>
  <si>
    <t>MES KISHORA KENDRA PU COLLEGE</t>
  </si>
  <si>
    <t>KARNATAKA SECONDARY EDUCATION (PRE-UNIVERSITY) EXAMINATION BOARD , BENGALURU , KARNATAKA</t>
  </si>
  <si>
    <t>BANGALORE INSTITUTE OF TECHNOLOGY , BENGALURU , KARNATAKA</t>
  </si>
  <si>
    <t>AutoCAD,MS Office,MS Project, Primavera, BIM</t>
  </si>
  <si>
    <t>Foxconn Hon Hai Technology India Mega Development Private Limited | Supplier Quality Engineer Trainee | Bengaluru | Oct 2024 | May 2025 | 0 Years, 7 Months, 19 Days | 2.97</t>
  </si>
  <si>
    <t>Bangalore Metro Rail Corporation Limited | Project Management Trainee | Bengaluru | May 2026 | Jul 2026 | 8 Weeks | Campus Internship
Concord United Products Private Limited | Graduate Apprentice Trainee - Blade Manufacturing | Bengaluru | Jun 2024 | Sep 2024 | 16 Weeks
Bharat Electronics Limited | Project Trainee - Strategic Communication &amp; Unmanned Systems | Bengaluru | Aug 2023 | Sep 2023 | 4 Weeks</t>
  </si>
  <si>
    <t>P25701123</t>
  </si>
  <si>
    <t>WAIRAGADE</t>
  </si>
  <si>
    <t>Aditya Ramesh Wairagade</t>
  </si>
  <si>
    <t>vairagadeaditya34@gmail.com</t>
  </si>
  <si>
    <t>p25701123@student.nicmar.ac.in</t>
  </si>
  <si>
    <t>4701 2974 6941</t>
  </si>
  <si>
    <t>RAMESH WAIRAGADE</t>
  </si>
  <si>
    <t>ASHA WAIRAGADE</t>
  </si>
  <si>
    <t>Dashrath Wada, Near Medplus, Jatpura Ward No. 1, Ramnagar Road, Chandrapur.</t>
  </si>
  <si>
    <t>VIDYA NIKETAN HIGH SCHOOL, CHANDRAPUR</t>
  </si>
  <si>
    <t>VIDYA NIKETAN JUNIOR COLLEGE, CHANDRAPUR</t>
  </si>
  <si>
    <t>ST. VINCENT COLLEGE OF ENGINEERING &amp; TECHNOLOGY, NAGPUR</t>
  </si>
  <si>
    <t>MS Office,MS Project,Primavera,Solidworks</t>
  </si>
  <si>
    <t>AK Associates  | Project Coordination  | Chandrapur, Maharashtra  | May 2026 | Jul 2026 | 8 Weeks | Campus Internship
KP Industries | Engineering Trainee | Hingna MIDC, Nagpur | Sep 2021 | Oct 2021 | 2 Weeks
Tristar Cars Private Limited ( Maruti Suzuki) | Engineering Trainee | Chandrapur | Jan 2022 | Jan 2022 | 2 Weeks
CHANDRAPUR FERRO ALLOY PLANT (STEEL AUTHORITY OF INDIA LIMITED) | Engineering Trainee  | CHANDRAPUR | Feb 2022 | Feb 2022 | 3 Weeks</t>
  </si>
  <si>
    <t>Lean Six Sigma Green Belt</t>
  </si>
  <si>
    <t>P25701124</t>
  </si>
  <si>
    <t>SHIBU</t>
  </si>
  <si>
    <t>Aravind Shibu</t>
  </si>
  <si>
    <t>aravindshibu2406@gmail.com</t>
  </si>
  <si>
    <t>p25701124@student.nicmar.ac.in</t>
  </si>
  <si>
    <t>06-Feb-2001</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</si>
  <si>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</si>
  <si>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</si>
  <si>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</si>
  <si>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</si>
  <si>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</si>
  <si>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</si>
  <si>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</si>
  <si>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</si>
  <si>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</si>
  <si>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AutoCAD,MS Office,MS Project,Primavera,CANVA</t>
  </si>
  <si>
    <t>GlobalFair Inc | Project Management Intern  | Bengalore  | May 2026 | Jun 2026 | 8 Weeks | Campus Internship
K-DISC | YIP INTERNSHIP | KOTTAYAM | Jan 2024 | Mar 2024 | 8 Weeks
LIVIT  INTERIORS | MANAGEMENT AND CLIENT COORDINATOR | ERNAKULAM | Jul 2024 | Dec 2024 | 21 Weeks
Kerala Public Works Department | Intern | Kottayam  | May 2023 | May 2023 | 0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</si>
  <si>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</si>
  <si>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P25701125</t>
  </si>
  <si>
    <t>AMIN</t>
  </si>
  <si>
    <t>Pooja Pravin Amin</t>
  </si>
  <si>
    <t>poojjaamin@gmail.com</t>
  </si>
  <si>
    <t>p25701125@student.nicmar.ac.in</t>
  </si>
  <si>
    <t>3291 5634 1858</t>
  </si>
  <si>
    <t>PRAVIN S AMIN</t>
  </si>
  <si>
    <t>JAYA PRAVIN AMIN</t>
  </si>
  <si>
    <t>401/B9, Brahmand Complex PHASE 3, Azad Nagar, Opp Orchid International School, Thane (W)</t>
  </si>
  <si>
    <t>SRI MA VIDYALAYA</t>
  </si>
  <si>
    <t>VIDYA NIKETAN JR COLLEGE OF COMMERCE AND SICENCE</t>
  </si>
  <si>
    <t>DR. DY PATIL COLLEGE OF ARCHITECTURE, NAVI MUMBAI</t>
  </si>
  <si>
    <t>AutoCAD,MS Office,MS Project,Primavera,Archicad,Lumion,Revit,Photoshop</t>
  </si>
  <si>
    <t>GA Design | Junior Architect | Lower Parel, Mumbai | Jan 2024 | Jun 2025 | 1 Years, 4 Months, 29 Days | 2.52</t>
  </si>
  <si>
    <t>Ascendas Firstspace  | Project Intern  | Mumbai  | May 2026 | Jun 2026 | 8 Weeks | Campus Internship
SAAKAAR ARCHITECTS | Junior Architect | THANE, MAHARASHTRA  | Dec 2021 | Apr 2022 | 16 Weeks</t>
  </si>
  <si>
    <t>Business Communication Essential by IIM Bangalore
ISO Certified Software Training Course(S) for Revit, Rhino, Grasshopper, Lumion
Career in Set Design
Architecture Illustration</t>
  </si>
  <si>
    <t>P25701126</t>
  </si>
  <si>
    <t>Priya Krishna Jaiswal</t>
  </si>
  <si>
    <t>jaiswalpriya2903@gmail.com</t>
  </si>
  <si>
    <t>p25701126@student.nicmar.ac.in</t>
  </si>
  <si>
    <t>4645 6127 3961</t>
  </si>
  <si>
    <t>14, 2nd Floor, Krishna Niwas, R. A. Kidwai Road, Wadala (West), Mumbai - 400031</t>
  </si>
  <si>
    <t>SOUTH INDIAN WELFARE SOCIETY SCHOOL</t>
  </si>
  <si>
    <t>SIES COLLEGE OF ARTS, SCIENCE &amp; COMMERCE</t>
  </si>
  <si>
    <t>AutoCAD,MS Office,MS Project,Primavera,Adobe Photoshop,Lumion,SketchUp</t>
  </si>
  <si>
    <t>Ascendas Firstspace  | Project Intern  | BKC, Mumbai | May 2026 | Jun 2026 | 8 Weeks | Campus Internship
S. P. Shevade &amp; Associates | Intern Architect | Vile Parle | Dec 2022 | Apr 2023 | 20 Weeks
Talati and Partners LLP | Architect | Worli, Mumbai  | Jul 2024 | Jun 2025 | 49 Weeks</t>
  </si>
  <si>
    <t>P25701127</t>
  </si>
  <si>
    <t>PONNAM</t>
  </si>
  <si>
    <t>Ponnam Sai Kiran</t>
  </si>
  <si>
    <t>p.saikiran006@gmail.com</t>
  </si>
  <si>
    <t>p25701127@student.nicmar.ac.in</t>
  </si>
  <si>
    <t>06-May-2003</t>
  </si>
  <si>
    <t>English,Hindi,Telugu,Odia</t>
  </si>
  <si>
    <t>8057 8973 1192</t>
  </si>
  <si>
    <t>P.ARUN CHOWDARY</t>
  </si>
  <si>
    <t>P.LAKSHMI SUREKHA</t>
  </si>
  <si>
    <t>Arun Buildings,Oppposite Paramount Automobiles,Devodola,Rayagada,Odisha</t>
  </si>
  <si>
    <t>Rayagada</t>
  </si>
  <si>
    <t>CBSE VISHAKAPATNAM,ANDHRA PRADESH</t>
  </si>
  <si>
    <t>SOA UNIVERSITY</t>
  </si>
  <si>
    <t>INSTITUTE OF TECHNICAL EDUCATION AND RESEARCH,BHUBANESHWAR,ODISHA</t>
  </si>
  <si>
    <t>MS Office,MS Project,Primavera,Python,Java,Adobe Photoshop,Adobe PreimrePro,Data Science,AI ML,Full Stack,Algorithm Design,@RISK,Candy(Basic),Canva,Digital Logic Design,Computer Networking,DBMS</t>
  </si>
  <si>
    <t>Ambica Construction | Management Trainee | Rayagada,Odisha | May 2026 | Jul 2026 | 10 Weeks | Campus Internship</t>
  </si>
  <si>
    <t>P25701128</t>
  </si>
  <si>
    <t>NANDHINI</t>
  </si>
  <si>
    <t>Nandhini N</t>
  </si>
  <si>
    <t>nandhiniar2503@gmail.com</t>
  </si>
  <si>
    <t>p25701128@student.nicmar.ac.in</t>
  </si>
  <si>
    <t>6673 2496 2348</t>
  </si>
  <si>
    <t>NAGARAJAN K</t>
  </si>
  <si>
    <t>LAKSHMI N</t>
  </si>
  <si>
    <t>3/843-A, AMIRTHA NAGAR, ARASANATTI VILLAGE, MOOKANDAPALLI, HOSUR</t>
  </si>
  <si>
    <t>CBSE, HOSUR</t>
  </si>
  <si>
    <t>SCHOOL OF ARCHITECTURE &amp; PLANNING,CHENNAI</t>
  </si>
  <si>
    <t>AutoCAD,MS Office,MS Project,Primavera,SKETCHUP,REVIT,LUMION,D5,ENSCAPE, SPSS</t>
  </si>
  <si>
    <t>A SKETCH ARCHITECTURE + DESIGN | JUNIOR ARCHITECT | bengaluru | Nov 2024 | May 2025 | 0 Years, 6 Months, 16 Days | 3.24</t>
  </si>
  <si>
    <t>Titan company limited  | Project execution intern | Bengaluru  | May 2026 | Jul 2026 | 8 Weeks | Campus Internship
UNKNOWN ARCHITECTS | INTERN ARCHITECT | CHENNAI | Mar 2022 | Jun 2022 | 13 Weeks
UNKNOWN ARCHITECTS | JUNIOR ARCHITECT | CHENNAI | Jul 2023 | Jul 2024 | 56 Weeks</t>
  </si>
  <si>
    <t>P25701129</t>
  </si>
  <si>
    <t>Aditi Jitendra Patil</t>
  </si>
  <si>
    <t>aditi.jpatil28@gmail.com</t>
  </si>
  <si>
    <t>p25701129@student.nicmar.ac.in</t>
  </si>
  <si>
    <t>6390 3912 5999</t>
  </si>
  <si>
    <t>JITENDRA PATIL</t>
  </si>
  <si>
    <t>SHARADA PATIL</t>
  </si>
  <si>
    <t>401,Uttara CHS, Plot No. 11 &amp;12, Sector 50(old), Seawoods, Navi Mumbai- 400706</t>
  </si>
  <si>
    <t>RYAN INTERNATIONAL SCHOOL, GOREGAON(E), MUMBAI</t>
  </si>
  <si>
    <t>ICSE, MUMBAI</t>
  </si>
  <si>
    <t>DNYAN PUSHPA VIDYANIKETAN &amp; JR. COLLEGE , CBD BELAPUR, NAVI MUMBAI</t>
  </si>
  <si>
    <t>HSC,MAHARASHTRA</t>
  </si>
  <si>
    <t>AutoCAD,MS Office,MS Project,Primavera,Adobe Photoshop,Revit,Lumion,Enscape,Sketcheup, Power BI,MS Excel</t>
  </si>
  <si>
    <t>Praveen Awate Architects Pvt.Ltd | Jr. Architect | Dadar(West), Mumbai | Sep 2023 | Apr 2024 | 0 Years, 7 Months, 19 Days | 2.4
Urbann Analysis and Solutions Pvt.Ltd | Jr. Architect | CBD Belapur, Navi Mumbai | May 2024 | Jun 2025 | 1 Years, 1 Months, 11 Days | 3</t>
  </si>
  <si>
    <t>Larsen &amp; Toubro Construction | Project Planning Intern | Kharghar, Navi Mumbai | May 2026 | Jul 2026 | 8 Weeks | Campus Internship
Mobius Architects | Intern Architect | Juhinagar, Navi Mumbai | Nov 2021 | May 2022 | 22 Weeks</t>
  </si>
  <si>
    <t>P25701130</t>
  </si>
  <si>
    <t>SANDU</t>
  </si>
  <si>
    <t>Sandu Rakesh</t>
  </si>
  <si>
    <t>rakeshsandu2003@gmail.com</t>
  </si>
  <si>
    <t>p25701130@student.nicmar.ac.in</t>
  </si>
  <si>
    <t>Sports,Travelling</t>
  </si>
  <si>
    <t>5738 8308 6956</t>
  </si>
  <si>
    <t>SANDU PANDU RANGA RAO</t>
  </si>
  <si>
    <t>COCONUT VENDOR</t>
  </si>
  <si>
    <t>SANDU VENKATARATNAM</t>
  </si>
  <si>
    <t>D/No:65-5-10/2, Darsi Peta-1,Patamata,Vijayawada</t>
  </si>
  <si>
    <t>ACHARYA NAGARJUNA UNIVERSITY, GUNTUR, ANDHRA PRADESH</t>
  </si>
  <si>
    <t>Bangalore Metro Rail Corporation Ltd.  | Project Management Intern | Bengaluru | May 2026 | Jul 2026 | 8 Weeks | Campus Internship
STARC INDIA | SITE ENGINEER INTERN | HYDERABAD | Mar 2025 | Jun 2025 | 13 Weeks</t>
  </si>
  <si>
    <t>P25701131</t>
  </si>
  <si>
    <t>RISHIDHAR</t>
  </si>
  <si>
    <t>Rishidhar M S</t>
  </si>
  <si>
    <t>rishizeth5@gmail.com</t>
  </si>
  <si>
    <t>p25701131@student.nicmar.ac.in</t>
  </si>
  <si>
    <t>Gym,Books,F1,Trading</t>
  </si>
  <si>
    <t>4814 5110 3757</t>
  </si>
  <si>
    <t>MEGAN C</t>
  </si>
  <si>
    <t>SUKUMARI C</t>
  </si>
  <si>
    <t>MATH PROFESSOR</t>
  </si>
  <si>
    <t>17,b Kannagi Street,Muthamil Nagar,M.C.Road,Thanjavur.</t>
  </si>
  <si>
    <t>YAGAPPA MATRICULATION HIGHER SECONDARY SCHOOL</t>
  </si>
  <si>
    <t>THANJAVUR</t>
  </si>
  <si>
    <t>SASTRA DEEMED UNIVERSITY</t>
  </si>
  <si>
    <t>MS Office,MS Project,Primavera,MS Excel,Site Execution,Quantity Estimation,Quality Control</t>
  </si>
  <si>
    <t>Sakkthi Construction | Site Engineer | Trichy | Jul 2024 | Jun 2025 | 0 Years, 11 Months, 29 Days | 2.4</t>
  </si>
  <si>
    <t>Larsen &amp; Toubro | Project Manager  | Chennai  | May 2026 | Jul 2026 | 8 Weeks | Campus Internship
VME Pre-cast | Production Supervisor | Kanchipuram | Jul 2023 | Jul 2023 | 2 Weeks</t>
  </si>
  <si>
    <t>P25701132</t>
  </si>
  <si>
    <t>PRASANNA</t>
  </si>
  <si>
    <t>THAWARE</t>
  </si>
  <si>
    <t>Prasanna Dhananjay Thaware</t>
  </si>
  <si>
    <t>p.thaware@yahoo.com</t>
  </si>
  <si>
    <t>p25701132@student.nicmar.ac.in</t>
  </si>
  <si>
    <t>09-Jul-2000</t>
  </si>
  <si>
    <t>Travelling,Motorcycling,Swimming</t>
  </si>
  <si>
    <t>3991 9190 1714</t>
  </si>
  <si>
    <t>Second Floor, Vedant Apartment, Kohale Layout, Khadgaon Road, Wadi</t>
  </si>
  <si>
    <t>ST. XAVIERS HIGH SCHOOL NAGPUR</t>
  </si>
  <si>
    <t>CENTRAL BOARD OF SECONDARY EDUCATION (CBSE)  NAGPUR MH</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</si>
  <si>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</si>
  <si>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</si>
  <si>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 Years, 6 Months, 18 Days | 8</t>
  </si>
  <si>
    <t>Saint-Gobain India Pvt. Ltd. | Sales &amp; Marketing Intern | Bengaluru | May 2026 | Jul 2026 | 8 Weeks | Campus Internship</t>
  </si>
  <si>
    <t>P25701133</t>
  </si>
  <si>
    <t>Om Rajesh Patil</t>
  </si>
  <si>
    <t>ompatil16122002@gmail.com</t>
  </si>
  <si>
    <t>p25701133@student.nicmar.ac.in</t>
  </si>
  <si>
    <t>16-Dec-2002</t>
  </si>
  <si>
    <t>ENGLISH, HINDI, MARATHI, KANNADA</t>
  </si>
  <si>
    <t>7769 0136 0503</t>
  </si>
  <si>
    <t>RAJESH PATIL</t>
  </si>
  <si>
    <t>GOVERNMENT CONTRACTOR &amp; BUSINESSMAN</t>
  </si>
  <si>
    <t>Rajsheela Building, Ashok Nagar, Nipani, District Belgaum, Karnataka, 591237</t>
  </si>
  <si>
    <t>SANJAY GHODAWAT INTERNATIONAL SCHOOL</t>
  </si>
  <si>
    <t>CAMBRIDGE ASSESSMENT INTERNATIONAL EDUCATION INTERNATIONAL GENERAL CERTIFICATE OF SECONDARY EDUCATION (CAIE IGCSE), KOLHAPUR, MAHARASHTRA</t>
  </si>
  <si>
    <t>INTERNATIONAL BACCALAUREATE DIPLOMA PROGRAM (IBDP), KOLHAPUR, MAHARASHTRA</t>
  </si>
  <si>
    <t>SVKM'S NARSEE MONJEE INSTITUTE OF MANAGEMENT STUDIES (NMIMS UNIVERSITY)</t>
  </si>
  <si>
    <t>PRAVIN DALAL SCHOOL OF ENTREPRENEURSHIP &amp; FAMILY BUSINESS MANAGEMENT</t>
  </si>
  <si>
    <t>MS Office,MS Project,Primavera,Tableau</t>
  </si>
  <si>
    <t>M/s B.R.Patil Engineers &amp; Contractors | Assistant Manager  | Belgaum, karnataka  | Mar 2024 | Jun 2025 | 1 Years, 3 Months, 26 Days | 2.09</t>
  </si>
  <si>
    <t>Asian Paints Project Sales | Sales Engineer  | Mangaluru  | May 2026 | Jul 2026 | 8 Weeks | Campus Internship
GEOLIFE AGRITECH PVT LTD | SALES &amp; DISTRIBUTION INTERN  | MUMBAI | Apr 2023 | Jun 2023 | 10 Weeks
PIOMA CHEMICALS (MAYPHARM LIFE SCIENCES) | PROCUREMENT &amp; PURCHASING INTERN | MUMBAI | May 2022 | Jun 2022 | 6 Weeks
LEAPUS TECHNOLOGIES PVT LTD (PIXIS AI) | CUSTOMER SUCCESS AND PERFORMANCE MARKETER | BENGALURU  | May 2021 | Jul 2021 | 12 Weeks</t>
  </si>
  <si>
    <t>P25701134</t>
  </si>
  <si>
    <t>ASHWINKUMAR</t>
  </si>
  <si>
    <t>VHARAMBALE</t>
  </si>
  <si>
    <t>Priyanka Ashwinkumar Vharambale</t>
  </si>
  <si>
    <t>priyankavharambale91@gmail.com</t>
  </si>
  <si>
    <t>p25701134@student.nicmar.ac.in</t>
  </si>
  <si>
    <t>2427 9649 0093</t>
  </si>
  <si>
    <t>SENIOR PROFESSOR</t>
  </si>
  <si>
    <t>SUCHITRA</t>
  </si>
  <si>
    <t>Plot No. 31,Padma Housing Society,near S.S.C. Board, _x000D_
Rajendra Nagar Ring Road</t>
  </si>
  <si>
    <t>RADHABAI SHINDE ENGLISH MEDIUM SCHOOL</t>
  </si>
  <si>
    <t>MAHARASHTRA STATE BOARD OF SECONDARY AND  HIGHER SECONDARY EDUCATION, PUNE</t>
  </si>
  <si>
    <t>NEW INSTITUTE OF TECHNOLOGY, KOLHAPUR, MAHARASHTRA</t>
  </si>
  <si>
    <t>RAJARAMBAPU INSTITUTE OF TECHNOLOGY, ISLAMPUR, MAHARASHTRA</t>
  </si>
  <si>
    <t>AutoCAD,civil 3d,storm sewer extension and analysis</t>
  </si>
  <si>
    <t>Indovance Pvt. Ltd. | Civil Design Engineer | Pune | Mar 2024 | Jul 2025 | 1 Years, 3 Months, 16 Days | 4</t>
  </si>
  <si>
    <t>Fidesto Projects Private Limited | Project Planning &amp; Scheduling Intern | Pune | May 2026 | Jul 2026 | 8 Weeks | Campus Internship
Indovance Pvt. Ltd. | Trainee Design Engineer | Pune | Jan 2024 | Mar 2024 | 9 Weeks
Pooja Associates | Intern | Islampur | Sep 2022 | Sep 2022 | 2 Weeks</t>
  </si>
  <si>
    <t>P25701135</t>
  </si>
  <si>
    <t>PASAD</t>
  </si>
  <si>
    <t>Jay Anil Pasad</t>
  </si>
  <si>
    <t>jay36pasad@gmail.com</t>
  </si>
  <si>
    <t>p25701135@student.nicmar.ac.in</t>
  </si>
  <si>
    <t>28-Dec-2000</t>
  </si>
  <si>
    <t>Hindi,English,Marathi,Gujarati,Kutchi</t>
  </si>
  <si>
    <t>9703 4998 8081</t>
  </si>
  <si>
    <t>ANIL PASAD</t>
  </si>
  <si>
    <t>LEENA PASAD</t>
  </si>
  <si>
    <t>B/203, Malhar Palace No. 2,_x000D_
Manpada Road, Opp Kasturi Plaza</t>
  </si>
  <si>
    <t>2004-Jul</t>
  </si>
  <si>
    <t>K J SOMAIYA COLLEGE OF SCIENCE &amp; COMMERCE</t>
  </si>
  <si>
    <t>DR. D Y PATIL COLLEGE OF ARCHITECTURE</t>
  </si>
  <si>
    <t>AutoCAD,MS Office,MS Project,Primavera,SketchUp,Enscape,Photoshop,Excel</t>
  </si>
  <si>
    <t>Shree Designs | Jr. Architect | Mumbai | Jul 2023 | Jun 2025 | 1 Years, 11 Months, 13 Days | 3.6</t>
  </si>
  <si>
    <t>Keystone Realtors (Rustomjee) | Project Management Intern | Mumbai | May 2026 | Jul 2026 | 8 Weeks | Campus Internship
Dilip Deshmukh &amp; Associates | Intern | Dombivali | Dec 2021 | Apr 2022 | 18 Weeks</t>
  </si>
  <si>
    <t>P25701136</t>
  </si>
  <si>
    <t>URJA</t>
  </si>
  <si>
    <t>Urja Nitin Chauhan</t>
  </si>
  <si>
    <t>chauhanurja05@gmail.com</t>
  </si>
  <si>
    <t>p25701136@student.nicmar.ac.in</t>
  </si>
  <si>
    <t>English, Marathi, Hindi, Gujarati</t>
  </si>
  <si>
    <t>8746 0737 4195</t>
  </si>
  <si>
    <t>NITIN CHAUHAN</t>
  </si>
  <si>
    <t>SHEETAL CHAUHAN</t>
  </si>
  <si>
    <t>101, Amidhara CHS, Mamlatdarwadi Rd No.4, Near Nandu Medical, Malad West</t>
  </si>
  <si>
    <t>AutoCAD,MS Office,MS Project,Primavera,Photoshop,Sketchup</t>
  </si>
  <si>
    <t>MANISH MEHTA ARCHITECT | ASSISTANT ARCHITECT | MUMBAI | Jun 2023 | Apr 2025 | 1 Years, 10 Months, 29 Days | 3.6</t>
  </si>
  <si>
    <t>JONES LANG LASALLE PROPERTY CONSULTANTS (INDIA) PVT LTD | Intern | Mumbai | May 2026 | Jul 2026 | 8 Weeks | Campus Internship
MANISH MEHTA ARCHITECT | ARCHITECTURAL INTERN | SANTACRUZ, MUMBAI | Dec 2021 | Apr 2022 | 18 Weeks</t>
  </si>
  <si>
    <t>UN Volunteers
Autocad</t>
  </si>
  <si>
    <t>P25701137</t>
  </si>
  <si>
    <t>SALODKAR</t>
  </si>
  <si>
    <t>Dhanashree Arvind Salodkar</t>
  </si>
  <si>
    <t>dsalodkar7875@gmail.com</t>
  </si>
  <si>
    <t>p25701137@student.nicmar.ac.in</t>
  </si>
  <si>
    <t>Performing Arts (Dance),Creative &amp; Experience Design,Visual Arts (Painting &amp; Sketching),Outdoor Exploration &amp; Riding</t>
  </si>
  <si>
    <t>7568 5206 2037</t>
  </si>
  <si>
    <t>MRUNAL</t>
  </si>
  <si>
    <t>Gandhi Nagar, Dhamangaon Road</t>
  </si>
  <si>
    <t>ST. ALOYSIUS ENGLISH MEDIUM HIGH SCHOOL</t>
  </si>
  <si>
    <t>ADARSH SANSKAR JUNIOR COLLEGE , NAGPUR</t>
  </si>
  <si>
    <t>MAHARASHTRA STATE BOARD OF SECONDARY &amp; HIGHER SECONDARY EDUCATION , PUNE</t>
  </si>
  <si>
    <t>PADMASHREE DR. D Y PATIL COLLEGE OF ARCHITECTURE, AKURDI , PUNE</t>
  </si>
  <si>
    <t>AutoCAD,MS Office,MS Project,Sketchup,Lumion,Power BI</t>
  </si>
  <si>
    <t>Figments Experience Lab | Junior Architect | Pune  | Jul 2024 | Jun 2025 | 0 Years, 11 Months, 26 Days | 2.16</t>
  </si>
  <si>
    <t>Rahul S. Sangle  | Project Management Intern  | Yavatmal  | May 2026 | Jul 2026 | 8 Weeks | Campus Internship
Akruti Concept Studio | Intern  | Pune  | Jun 2023 | Oct 2023 | 19 Weeks</t>
  </si>
  <si>
    <t>P25701138</t>
  </si>
  <si>
    <t>SANJALI</t>
  </si>
  <si>
    <t>GANORE</t>
  </si>
  <si>
    <t>Sanjali Sachin Ganore</t>
  </si>
  <si>
    <t>sanjaliganore19@gmail.com</t>
  </si>
  <si>
    <t>p25701138@student.nicmar.ac.in</t>
  </si>
  <si>
    <t>9322 3024 5758</t>
  </si>
  <si>
    <t>SUNAYANA</t>
  </si>
  <si>
    <t>493, Nivrutti Cloth Stores, Telikhunt Chowk, Sangamner, Ahmednagar</t>
  </si>
  <si>
    <t>SIR JJ COLLEGE OF ARCHITECTURE</t>
  </si>
  <si>
    <t>AutoCAD,MS Office,MS Project,Primavera,Sketchup,Photoshop,Vectorworks</t>
  </si>
  <si>
    <t>ANT Associates | Junior Architect | Nashik | Sep 2024 | Jun 2025 | 0 Years, 9 Months, 4 Days | 1.8</t>
  </si>
  <si>
    <t>Kayne Bio Sciences | Project Operations Intern | Hyderabad | May 2026 | Jul 2026 | 8 Weeks | Campus Internship
ABHIKALPAN ARCHITECTS AND PLANNERS | Architectural Intern | MUMBAI | Dec 2022 | Apr 2023 | 20 Weeks</t>
  </si>
  <si>
    <t>P25701139</t>
  </si>
  <si>
    <t>AARTHI MAHALAKSHMI</t>
  </si>
  <si>
    <t>SUBRAMANIAN</t>
  </si>
  <si>
    <t>Aarthi Mahalakshmi . Subramanian</t>
  </si>
  <si>
    <t>aarthimahalakshmi8@gmail.com</t>
  </si>
  <si>
    <t>p25701139@student.nicmar.ac.in</t>
  </si>
  <si>
    <t>27-Oct-2000</t>
  </si>
  <si>
    <t>English, Tamil, Hindi, Marathi</t>
  </si>
  <si>
    <t>3994 7981 0560</t>
  </si>
  <si>
    <t>OFFICE EMPLOYEE</t>
  </si>
  <si>
    <t>THANGAM</t>
  </si>
  <si>
    <t>104, B WING, TIRUPATI ICON, SECTOR 20, KAMOTHE, PANVEL, 410209</t>
  </si>
  <si>
    <t>48, Hem Bhuvan, Vatchraj Lane, Matunga Central, 400019</t>
  </si>
  <si>
    <t>SIES HIGH SCHOOL</t>
  </si>
  <si>
    <t>PRAVIN PATIL POLYTECHNIC, THANE</t>
  </si>
  <si>
    <t>UNIVERSAL COLLEGE OF ENGINEERING,VASAI</t>
  </si>
  <si>
    <t>2027-May</t>
  </si>
  <si>
    <t>MS Office,MS Project,Primavera,Power BI,Data Analysis,Advanced MS Excel</t>
  </si>
  <si>
    <t>HDB Financial Services | Junior Officer | Kanjurmarg Mumbai | Jan 2023 | Apr 2024 | 1 Years, 3 Months, 23 Days | 2.33</t>
  </si>
  <si>
    <t>GUBBI CIVIL ENGINEERS LTD | Project Management Intern | Thane | May 2026 | Jul 2026 | 8 Weeks | Campus Internship</t>
  </si>
  <si>
    <t>Google Business Intelligence
Project Management: The Basics for Success</t>
  </si>
  <si>
    <t>P25701140</t>
  </si>
  <si>
    <t>Rutuja Prashant Patil</t>
  </si>
  <si>
    <t>rutujappatil.05@gmail.com</t>
  </si>
  <si>
    <t>p25701140@student.nicmar.ac.in</t>
  </si>
  <si>
    <t>05-Mar-2002</t>
  </si>
  <si>
    <t>4411 3754 6099</t>
  </si>
  <si>
    <t>10, Zunjar Colony Godoli Housing Society, Satara</t>
  </si>
  <si>
    <t>GURUKUL SECONDARY SCHOOL</t>
  </si>
  <si>
    <t>PARENTS ASSOCIATION ENGLISH SCHOOL &amp; JUNIOR COLLEGE SATARA</t>
  </si>
  <si>
    <t>S B PATIL COLLEGE OF ARCHITECTURE AND DESIGN, MAHARASHTRA, PUNE</t>
  </si>
  <si>
    <t>AutoCAD,MS Office,MS Project,sketchup,photoshop,enscape,Draft sight,Ms Excel</t>
  </si>
  <si>
    <t>Shilpkar Construction private limited  | Project management intern | Delhi | May 2026 | Jun 2026 | 8 Weeks | Campus Internship
RHA &amp; Associates | Intern (architect) | Goa | Jun 2024 | Oct 2024 | 16 Weeks</t>
  </si>
  <si>
    <t>Business Communication Essentials
Project Management: The Basics for Success
Introduction to Corporate Finance</t>
  </si>
  <si>
    <t>P25701141</t>
  </si>
  <si>
    <t>MAYURESH</t>
  </si>
  <si>
    <t>UKALE</t>
  </si>
  <si>
    <t>Mayuresh Manoj Ukale</t>
  </si>
  <si>
    <t>mayurukale8539@gmail.com</t>
  </si>
  <si>
    <t>p25701141@student.nicmar.ac.in</t>
  </si>
  <si>
    <t>18-Feb-2002</t>
  </si>
  <si>
    <t>2605 5903 9624</t>
  </si>
  <si>
    <t>MANOJ GANPAT UKALE</t>
  </si>
  <si>
    <t>ANJALI MANOJ UKALE</t>
  </si>
  <si>
    <t>Near Old DCC Bank And Market Yard Pandhpur Road Sangola</t>
  </si>
  <si>
    <t>SANGOLA VIDYAMANDIR PRASHALA, SANGOLA</t>
  </si>
  <si>
    <t>SANGMESHWAR COLLEGE, SOLAPUR</t>
  </si>
  <si>
    <t>PIMPARI CHINCHWAD COLLEGE OF ENGINEERING, NIGADI, PUNE</t>
  </si>
  <si>
    <t>AutoCAD,MS Office,MS Project,Solidworks,Inventor,Ansys,Fusion360</t>
  </si>
  <si>
    <t>Helical Auto Technology India Pvt Ltd | Senior Engineer | Pune  | Aug 2023 | Jun 2025 | 1 Years, 10 Months, 16 Days | 4.64</t>
  </si>
  <si>
    <t>Asian Paints Limited | Project Sales (Construction Chemicals ) | Pune | May 2026 | Jul 2026 | 8 Weeks | Campus Internship
ENPRO INDUSTRIES PVT LTD | INTERN- R&amp;D | PUNE | Jul 2022 | Jan 2023 | 26 Weeks
PIMPARI CHINCHWAD COLLEGE OF ENGINEERIN (AMBUSH AGROTECH) | DIVISION HEAD- HARVESTING MECHANISM | PUNE | Jan 2022 | Mar 2022 | 12 Weeks</t>
  </si>
  <si>
    <t>P25701142</t>
  </si>
  <si>
    <t>BALIRAM</t>
  </si>
  <si>
    <t>Pranav Baliram Borate</t>
  </si>
  <si>
    <t>pranavborate100@gmail.com</t>
  </si>
  <si>
    <t>p25701142@student.nicmar.ac.in</t>
  </si>
  <si>
    <t>8051 6340 4257</t>
  </si>
  <si>
    <t>At Post Bidal, Tal-Man, Dist- Satara</t>
  </si>
  <si>
    <t>SHALOM INTERNATIONAL SCHOOL, PACHGANI</t>
  </si>
  <si>
    <t>GALAXY ENGLISH MEDIUM SCHOOL &amp; JUNIOR COLLEGE</t>
  </si>
  <si>
    <t>MAHATMA PHULE KRUSHI VIDYAPEETH</t>
  </si>
  <si>
    <t>Bachelor of Science (Agriculture)</t>
  </si>
  <si>
    <t>MS Office,MS Project,SPSS,MS EXCEL</t>
  </si>
  <si>
    <t>Raj Process Equipment and systems Pvt.Ltd. | Project Management Intern | Pune | May 2026 | Jul 2026 | 8 Weeks | Campus Internship</t>
  </si>
  <si>
    <t>P25701143</t>
  </si>
  <si>
    <t>PAMANNAVAR</t>
  </si>
  <si>
    <t>Sahil Ravindra Pamannavar</t>
  </si>
  <si>
    <t>sahilpamannvar@gmail.com</t>
  </si>
  <si>
    <t>p25701143@student.nicmar.ac.in</t>
  </si>
  <si>
    <t>31-Dec-1999</t>
  </si>
  <si>
    <t>5689 1970 3221</t>
  </si>
  <si>
    <t>Near Panchratna Medical Sugar Factory Road, Kabnur, Ichalkaranji 416116</t>
  </si>
  <si>
    <t>MANERE HIGH SCHOOL AND JUNIOR COLLEGE, ICHALKARANJI</t>
  </si>
  <si>
    <t>DR. J. J. MAGDUM POLYTECHNIC, JAYSINGPUR</t>
  </si>
  <si>
    <t>DR. A. D. SHINDE COLLEGE OF ENGINEERING, BHADGAON, MAHARASHTRA</t>
  </si>
  <si>
    <t>AutoCAD,MS Office, Ms Project, Primavera, SPSS, Candy, @RISK</t>
  </si>
  <si>
    <t>Gurudatta Construction | Site Engineer  | Kagal,Kolhapur | Jul 2023 | Jun 2024 | 0 Years, 11 Months, 29 Days | 1.56
Prashant Deshmukh Projects Pvt. Ltd. | Site Engineer  | Chakan,Pune | Jul 2024 | Jul 2025 | 0 Years, 11 Months, 18 Days | 3</t>
  </si>
  <si>
    <t>Prashant Deshmukh &amp; Associates | Trainee Engineer | Pune | May 2026 | Jul 2026 | 8 Weeks | Campus Internship</t>
  </si>
  <si>
    <t>P25701144</t>
  </si>
  <si>
    <t>NANAVATI</t>
  </si>
  <si>
    <t>Siddharth Pankaj Nanavati</t>
  </si>
  <si>
    <t>nanavatisiddharth21@gmail.com</t>
  </si>
  <si>
    <t>p25701144@student.nicmar.ac.in</t>
  </si>
  <si>
    <t>2061 3275 1809</t>
  </si>
  <si>
    <t>PANKAJ VIJAY NANAVATI</t>
  </si>
  <si>
    <t>PRITI PANKAJ NANAVATI</t>
  </si>
  <si>
    <t>A-602,Yashodhan Society, Kapil Nagar, Kondhwa Budruk, Near VIIT College, Pune-48</t>
  </si>
  <si>
    <t>DR. KALMADI SHAMARAO HIGH SCHOOL, PUNE</t>
  </si>
  <si>
    <t>NEW ENGLISH SCHOOL RAMANBAUG,PUNE</t>
  </si>
  <si>
    <t>AAYOJAN SCHOOL OF ARCHITECTURE AND DESIGN, PUNE</t>
  </si>
  <si>
    <t xml:space="preserve">Microsoft Project, Primavera P6, AutoCAD, SketchUp, Microsoft Office (Excel, Word, PowerPoint), Power BI </t>
  </si>
  <si>
    <t>Adani Realty | Intern- Projects Team | Pune | May 2026 | Jul 2026 | 9 Weeks | Campus Internship
SAMYAK C2 INFRA PVT. LTD | Architectural &amp; Project Coordination Intern | KOTHRUD, PUNE | Jun 2024 | Dec 2024 | 25 Weeks</t>
  </si>
  <si>
    <t>Lean Six Sigma Green Belt- KPMG
EDGE Green Building Certification: Excellence in Design for Greater Efficiencies
Airport Infrastructure Development- L&amp;T EduTech
Foundations of Project Management: Google
Certified Associate in Project Management (CAPM)®</t>
  </si>
  <si>
    <t>P25701145</t>
  </si>
  <si>
    <t>RITWIK</t>
  </si>
  <si>
    <t>MUKHERJEE</t>
  </si>
  <si>
    <t>Ritwik Mukherjee</t>
  </si>
  <si>
    <t>swayam9865@gmail.com</t>
  </si>
  <si>
    <t>p25701145@student.nicmar.ac.in</t>
  </si>
  <si>
    <t>05-Dec-1997</t>
  </si>
  <si>
    <t>9732 2418 0560</t>
  </si>
  <si>
    <t>RAM MOHAN MUKHERJEE</t>
  </si>
  <si>
    <t>KANIKA MUKHERJEE</t>
  </si>
  <si>
    <t>A1 Kamal Apartment Durga Mandir Road Hirapur</t>
  </si>
  <si>
    <t>DELHI PUBLIC SCHOOL DHANBAD</t>
  </si>
  <si>
    <t>CBSE JHARKHAND</t>
  </si>
  <si>
    <t>NIOS ISL JHARIA</t>
  </si>
  <si>
    <t>NATIONAL INSTITUTE OF OPEN SCHOOLING JHARKHAND</t>
  </si>
  <si>
    <t>TECHNO INTERNATIONAL NEWTOWN, WEST BENGAL</t>
  </si>
  <si>
    <t>AutoCAD,MS Office,Computer Application certification Course,Advanced excel certification Course</t>
  </si>
  <si>
    <t>Central Public Works Department | Project Intern | IIT ISM DHANBAD, JHARKHAND | May 2026 | Jul 2026 | 9 Weeks | Campus Internship</t>
  </si>
  <si>
    <t>Advanced Diploma in Computer Applications
Advanced Excel</t>
  </si>
  <si>
    <t>P25701147</t>
  </si>
  <si>
    <t>Raut Aniket Santosh</t>
  </si>
  <si>
    <t>aniketsraut@yahoo.com</t>
  </si>
  <si>
    <t>p25701147@student.nicmar.ac.in</t>
  </si>
  <si>
    <t>8624 2307 8375</t>
  </si>
  <si>
    <t>Juhunagar CHS, A/8, Sector-15, Near P.K.C. Hospital, Vashi</t>
  </si>
  <si>
    <t>FR. AGNEL MULTIPURPOSE SCHOOL, VASHI, MAHARASHTRA</t>
  </si>
  <si>
    <t>FR. AGNEL MULTIPURPOSE SCHOOL AND JUNIOR COLLEGE, VASHI, MAHARASHTRA</t>
  </si>
  <si>
    <t>DATTA MEGHE COLLEGE OF ENGINEERING, AIROLI, MAHARASHTRA</t>
  </si>
  <si>
    <t>Primavera (P6), MS Project, Power BI, Advance Excel, MS Office, AutoCAD.</t>
  </si>
  <si>
    <t>RELIANCE INDUSTRIES LIMITED | GRADUATE ENGINEER TRAINEE - CIVIL | PATALGANGA | Aug 2024 | Jun 2025 | 0 Years, 10 Months, 13 Days | 5.5</t>
  </si>
  <si>
    <t>New Consolidated Construction Company Limited (NCCCL) | Project Planning Intern | Navi Mumbai | May 2026 | Jul 2026 | 8 Weeks | Campus Internship
M.S. Enterprises Engineers and Contractors | Civil Engineer Trainee | Mumbai | Jun 2023 | Jul 2023 | 6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</si>
  <si>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</si>
  <si>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P25701148</t>
  </si>
  <si>
    <t>Abhishek Anand</t>
  </si>
  <si>
    <t>meabhi1908@gmail.com</t>
  </si>
  <si>
    <t>p25701148@student.nicmar.ac.in</t>
  </si>
  <si>
    <t>28-Feb-1999</t>
  </si>
  <si>
    <t>Reading Book,Listening Music,Traveling,Cooking,Planting</t>
  </si>
  <si>
    <t>7743 2996 3610</t>
  </si>
  <si>
    <t>TARKESHWAR PANDIT</t>
  </si>
  <si>
    <t>NICMAR UNIVERSITY HOSTEL SJB</t>
  </si>
  <si>
    <t>New Bishunpur Near Hanuman Mandir Road</t>
  </si>
  <si>
    <t>MAULANA ABUL KALAM AZAD UNIVERSITY OF TECHNOLOGY,WESTBENGAL</t>
  </si>
  <si>
    <t>BENGAL COLLEGE OF ENGINEERING&amp;TECHNOLOGY</t>
  </si>
  <si>
    <t>IMPACT INFRA HEIGHT PVT. LTD. | QA/QC &amp; PLANNING | Pune | May 2026 | Jul 2026 | 8 Weeks | Campus Internship
Tata Motor Commercial Vechile Dealer | Auto Electrical And Mechanical Componets | DHANBAD | Sep 2022 | Oct 2022 | 4 Weeks
BHARAT COOKING COAL LIMITED | ENGINE AND TRANSMISION MECHANICAL  | DHANBAD | Mar 2021 | Mar 2021 | 3 Weeks</t>
  </si>
  <si>
    <t>C PROGRAMMING
ADVANCE EXCEL
Advance Diploma in Computer Application</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</si>
  <si>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</si>
  <si>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</si>
  <si>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</si>
  <si>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</si>
  <si>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</si>
  <si>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</si>
  <si>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</si>
  <si>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</si>
  <si>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</si>
  <si>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</si>
  <si>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</si>
  <si>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</si>
  <si>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</si>
  <si>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NALLAM RESIDENDIAL CONCEPT HIGH SCHOOL</t>
  </si>
  <si>
    <t>STATE BOARD,ANDHRA PRADESH</t>
  </si>
  <si>
    <t>RAGHU ENGINEERING COLLEGE</t>
  </si>
  <si>
    <t>AutoCAD,MS Office,MS Project,Primavera,REVIT Arch</t>
  </si>
  <si>
    <t>POWER MECH PROJECTS LIMITED | PROJECT MANAGEMENT INTERN | Hyderabad | May 2026 | Jul 2026 | 8 Weeks | Campus Internship
SDVVL SURVEY AND CONSTRUCTION PRIVATE LIMITED | DESIGN &amp; SURVEY INTERN | KAKINADA | May 2023 | Jul 2023 | 6 Weeks</t>
  </si>
  <si>
    <t>Project Management : The Basics of Success
Master Diploma in Civil CAD</t>
  </si>
  <si>
    <t>P25701151</t>
  </si>
  <si>
    <t>VINDHYAVALLI DEVI</t>
  </si>
  <si>
    <t>V S V S</t>
  </si>
  <si>
    <t>Vindhyavalli Devi V S V S</t>
  </si>
  <si>
    <t>vindhya.vurakaranam@gmail.com</t>
  </si>
  <si>
    <t>p25701151@student.nicmar.ac.in</t>
  </si>
  <si>
    <t>TELUGU, HINDI, ENGLISH, MARATHI</t>
  </si>
  <si>
    <t>5034 3671 9255</t>
  </si>
  <si>
    <t>V S S PRASAD</t>
  </si>
  <si>
    <t>V V SRIDEVI</t>
  </si>
  <si>
    <t>A-304, Saisthaan CHS, Plot-4, Sector-29,  Opposite Cidco Office, Nerul East,</t>
  </si>
  <si>
    <t>DAYANAND ANGLO VEDIC PUBLIC SCHOOL, NERUL</t>
  </si>
  <si>
    <t>PILLAI COLLEGE OF ARCHITECTURE, PANVEL</t>
  </si>
  <si>
    <t>AutoCAD,MS Office,MS Project,Primavera,Photoshop,Sketchup,Lumion,Endscape,Revit,Candy,@Risk</t>
  </si>
  <si>
    <t>Design Works | Junior Architect | Sanpada, Navi Mumbai | Jan 2025 | Jun 2025 | 0 Years, 5 Months, 17 Days | 3</t>
  </si>
  <si>
    <t>Econstruct Design &amp; Build Pvt Ltd | Project Management Intern | Banglore | May 2026 | Jun 2026 | 8 Weeks | Campus Internship
DESIGN WORKS | Intern | SANPADA, NAVI MUMBAI | Nov 2022 | May 2023 | 27 Weeks</t>
  </si>
  <si>
    <t>Best All Rounder in UG College
Anubhuti Head in PiCA Student Council
International Standard of Abacus Mental Arthamatic
Revit for Architectural Design
Introduction to Corporate Finance
Project Management Basics</t>
  </si>
  <si>
    <t>P25701152</t>
  </si>
  <si>
    <t>Siddharth Patel</t>
  </si>
  <si>
    <t>siddharth.okk@gmail.com</t>
  </si>
  <si>
    <t>p25701152@student.nicmar.ac.in</t>
  </si>
  <si>
    <t>8426 6363 2491</t>
  </si>
  <si>
    <t>CHHAGAN PATEL</t>
  </si>
  <si>
    <t>PUNJI PATEL</t>
  </si>
  <si>
    <t>492, Adarsh Colony, Titradi</t>
  </si>
  <si>
    <t>ALOK SEN. SEC. SCHOOL, SEC 11</t>
  </si>
  <si>
    <t>UDAIPUR/ RAJASTHAN</t>
  </si>
  <si>
    <t>VISHWAKARMA INSTITUTE OF INFORMATION AND TECHNOLOGY, PUNE/MAHARASHTRA</t>
  </si>
  <si>
    <t>AutoCAD,MS Office,MS Project,Primavera,@Risk</t>
  </si>
  <si>
    <t>BCC &amp; Co. | Jr. engineer | Udaipur, Rajasthan  | Jul 2024 | Jun 2025 | 0 Years, 11 Months, 26 Days | 1.7</t>
  </si>
  <si>
    <t>RPP INFRA PROJECTS LTD | Planning  | Pune  | May 2026 | Jun 2026 | 8 Weeks | Campus Internship</t>
  </si>
  <si>
    <t>introduction to generative AI in human resource
Project management: the basics of success
Introduction to Corporate Finance</t>
  </si>
  <si>
    <t>P25701103</t>
  </si>
  <si>
    <t>VINIT</t>
  </si>
  <si>
    <t>RANJEET</t>
  </si>
  <si>
    <t>Vinit Ranjeet Kamble</t>
  </si>
  <si>
    <t>vinitk1902@gmail.com</t>
  </si>
  <si>
    <t>p25701103@student.nicmar.ac.in</t>
  </si>
  <si>
    <t>19-Dec-2002</t>
  </si>
  <si>
    <t>Football,Cricket</t>
  </si>
  <si>
    <t>5230 5078 4808</t>
  </si>
  <si>
    <t>RANJEET KAMBLE</t>
  </si>
  <si>
    <t>VAISHALI KAMBLE</t>
  </si>
  <si>
    <t>401, Laxmideep Complex, Veershaiv Nagar</t>
  </si>
  <si>
    <t>LATE V. M. MEHTA HIGH SCHOOL</t>
  </si>
  <si>
    <t>A. D. JOSHI JUNIOR COLLEGE</t>
  </si>
  <si>
    <t>SOLAPUR/MAHARASHTRA</t>
  </si>
  <si>
    <t>Microsoft Excel, Microsoft Power Point, Microsoft project, Power BI</t>
  </si>
  <si>
    <t>ANAROCK Property Consultants  | Project Management &amp; Engineering  | Goa | May 2026 | Jul 2026 | 8 Weeks | Campus Internship
N. K. Orchid College of Engineering and technology | Project Leader | Solapur  | Aug 2023 | Jan 2024 | 21 Weeks
K-TECH CENTRE OF EXCELLENCE IN AEROSPACE AND DEFENCE | TRAINEE ENGINEER | BANGALORE | Feb 2022 | Mar 2022 | 4 Weeks
N. K. ORCHID COLLEGE OF ENGINEERING AND TECHNOLOGY | MARKET RESEARCH &amp; PRODUCT IMPROVEMENT ANALYST | SOLAPUR  | Jul 2021 | Jan 2022 | 26 Weeks</t>
  </si>
  <si>
    <t>Ready Engineer by TATA Technologies 2022-23
Participation in Aerocon 2022
Runner up in SAE convention 2021
Participation in MechaTHON 2024</t>
  </si>
  <si>
    <t>P25701104</t>
  </si>
  <si>
    <t>Ayush Patel</t>
  </si>
  <si>
    <t>ayush9090patel@gmail.com</t>
  </si>
  <si>
    <t>p25701104@student.nicmar.ac.in</t>
  </si>
  <si>
    <t>Reading business books &amp; current affairs,Football &amp; Cricket,Public speaking &amp; debate,Arts &amp; Craft,Traveling &amp; cultural exploration</t>
  </si>
  <si>
    <t>6314 7790 9018</t>
  </si>
  <si>
    <t>RAJESH KUMAR SINGH</t>
  </si>
  <si>
    <t>SURYABALA SINGH</t>
  </si>
  <si>
    <t>SWAPNIL VILLA, ADARSH VIHAR COLONY, AWALESHPUR, VARANASI</t>
  </si>
  <si>
    <t>House.no. 332, Kolana Paschimi, Beside Shri Ram Mandir, Kolana Darbar, Chunar, Mirzapur</t>
  </si>
  <si>
    <t>Mirzapur</t>
  </si>
  <si>
    <t>SUMBEAM SUNCITY BACHHAON RD KARSANA VARANASI UP</t>
  </si>
  <si>
    <t>CBSE, UTTAR PRADESH</t>
  </si>
  <si>
    <t>M M I C BACHCHHAON VARANASI</t>
  </si>
  <si>
    <t>UP BOARD, UTTAR PRADESH</t>
  </si>
  <si>
    <t>Science (Agriculture)</t>
  </si>
  <si>
    <t>ACHARYA NARENDRA DEVA UNIVERSITY OF AGRICULTURE &amp; TECHNOLOGY, AYODHYA, UTTAR PRADESH</t>
  </si>
  <si>
    <t>COLLEGE OF AGRICULTURE, AYODHYA</t>
  </si>
  <si>
    <t>MS Office, MS Project, Primavera, IBM SPSS, Microsoft Power BI,Tableau ,@RISK</t>
  </si>
  <si>
    <t>Sri Vaarahi Real Assets | Marketing Analytics and Digital Strategies  | Hyderabad | May 2026 | Jul 2026 | 8 Weeks | Campus Internship
K. K. INDUSTRIES | MANAGEMENT TRAINEE INTERN (PROJECT &amp; SALES OPERATIONS) | INDUSTRIAL AREA, RAMNAGER, PHASE-1, CHANDUALI, UTTAR PRADESH | Mar 2025 | Apr 2025 | 6 Weeks</t>
  </si>
  <si>
    <t>Six Sigma Green Belt Specialization Kennesaw State University (via Coursera)
Data Analysis and Visualization with Power BI  Microsoft (via Coursera)
The Intersection of Finance, Strategy, and Sustainability  Business School &amp; University of Oxford (via Coursera)
Agriculture 4.0: The Future of Farming Technology &amp; Agripreneurship Development (2022)</t>
  </si>
  <si>
    <t>Test-Program</t>
  </si>
  <si>
    <t>lab1-pc1</t>
  </si>
  <si>
    <t>Lab1</t>
  </si>
  <si>
    <t>PC1</t>
  </si>
  <si>
    <t>Lab1 Pc1</t>
  </si>
  <si>
    <t>lab1-pc1@ncr.nicmar.ac.in</t>
  </si>
  <si>
    <t>12-Aug-2026</t>
  </si>
  <si>
    <t>Late Amorendra kr Dey</t>
  </si>
  <si>
    <t>Irrigation dept</t>
  </si>
  <si>
    <t>Late Gayatri Dey</t>
  </si>
  <si>
    <t>House no 299, holy cross high school,Naojan</t>
  </si>
  <si>
    <t>Kheda</t>
  </si>
  <si>
    <t>Test</t>
  </si>
  <si>
    <t>Test School</t>
  </si>
  <si>
    <t>Test Board</t>
  </si>
  <si>
    <t>Test University</t>
  </si>
  <si>
    <t>Test College</t>
  </si>
  <si>
    <t>Test,MS Office</t>
  </si>
  <si>
    <t>Test Company | Test Role | Test Location | Sep 2022 | Aug 2026 | 3 Years, 11 Months, 16 Days | 3.5</t>
  </si>
  <si>
    <t>Test Company  | Test Intern | Test  | Jun 2025 | Aug 2025 | 10 Weeks</t>
  </si>
  <si>
    <t>lab1-pc2</t>
  </si>
  <si>
    <t>pc2</t>
  </si>
  <si>
    <t>Lab1 Pc2</t>
  </si>
  <si>
    <t>lab1-pc2@ncr.nicmar.ac.in</t>
  </si>
  <si>
    <t>29-Oct-1992</t>
  </si>
  <si>
    <t>ishwar singh</t>
  </si>
  <si>
    <t>farmar</t>
  </si>
  <si>
    <t>Saroj</t>
  </si>
  <si>
    <t>Bahadurgarh</t>
  </si>
  <si>
    <t>Jhajjar</t>
  </si>
  <si>
    <t>10th School Name</t>
  </si>
  <si>
    <t>hbse/haryana</t>
  </si>
  <si>
    <t>hbse</t>
  </si>
  <si>
    <t>testing</t>
  </si>
  <si>
    <t>mdu</t>
  </si>
  <si>
    <t>balor college. Bahadurgarh/haryana</t>
  </si>
  <si>
    <t xml:space="preserve">ms project, ms office,Primavera </t>
  </si>
  <si>
    <t>Quantum Projectinfra Pvt Ltd | Associate - Business Development | BANGLORE | May 2025 | Jun 2026 | 1 Years, 0 Months, 15 Days | 10</t>
  </si>
  <si>
    <t>testing | Associate - Business Development | Amravati | May 2026 | Jul 2026 | 11 Weeks</t>
  </si>
  <si>
    <t>lab1-pc3</t>
  </si>
  <si>
    <t>lab1</t>
  </si>
  <si>
    <t>pc3</t>
  </si>
  <si>
    <t>Lab1 Pc3</t>
  </si>
  <si>
    <t>lab1-pc3@ncr.nicmar.ac.in</t>
  </si>
  <si>
    <t>28-Jun-2000</t>
  </si>
  <si>
    <t>hindfi,English</t>
  </si>
  <si>
    <t>playing Cricket,Music</t>
  </si>
  <si>
    <t>Ishwer Singh</t>
  </si>
  <si>
    <t>bahadurgarh</t>
  </si>
  <si>
    <t>Electrical Engineering</t>
  </si>
  <si>
    <t>Master of Science (M.Sc.)</t>
  </si>
  <si>
    <t>Ms office</t>
  </si>
  <si>
    <t>Skylark | Associate - Business Development | BANGLORE | Jun 2022 | Aug 2026 | 4 Years, 2 Months, 12 Days | 100</t>
  </si>
  <si>
    <t>testing | Associate - Business Development | Amravati | Feb 2022 | May 2022 | 14 Weeks</t>
  </si>
  <si>
    <t>lab1-pc4</t>
  </si>
  <si>
    <t>Lab4</t>
  </si>
  <si>
    <t>PC4</t>
  </si>
  <si>
    <t>Lab4 Pc4</t>
  </si>
  <si>
    <t>lab1-pc4@ncr.nicmar.ac.in</t>
  </si>
  <si>
    <t>19-Aug-2026</t>
  </si>
  <si>
    <t>1111 2222 3333</t>
  </si>
  <si>
    <t>Teset</t>
  </si>
  <si>
    <t>Devbhoomi Dwarka</t>
  </si>
  <si>
    <t>10th Board of Education with City/Stat</t>
  </si>
  <si>
    <t>12th School Name</t>
  </si>
  <si>
    <t>12th Board of Education with City/State</t>
  </si>
  <si>
    <t>Graduation University Name</t>
  </si>
  <si>
    <t>2026-Feb</t>
  </si>
  <si>
    <t>NICMAR Internship | Testing | Noida | Aug 2026 | Aug 2026 | 3 Weeks | Campus Internship</t>
  </si>
  <si>
    <t>lab1-pc5</t>
  </si>
  <si>
    <t>Lab5</t>
  </si>
  <si>
    <t>PC5</t>
  </si>
  <si>
    <t>Lab5 Pc5</t>
  </si>
  <si>
    <t>lab1-pc5@ncr.nicmar.ac.in</t>
  </si>
  <si>
    <t>01-Aug-2026</t>
  </si>
  <si>
    <t>2026-2027</t>
  </si>
  <si>
    <t>P26600001</t>
  </si>
  <si>
    <t xml:space="preserve">Bachate </t>
  </si>
  <si>
    <t xml:space="preserve">Samadhan </t>
  </si>
  <si>
    <t xml:space="preserve">Haridas </t>
  </si>
  <si>
    <t xml:space="preserve">Bachate  Samadhan  Haridas </t>
  </si>
  <si>
    <t>samadhanbachate987@gmail.com</t>
  </si>
  <si>
    <t>P26600001@student.nicmar.ac.in</t>
  </si>
  <si>
    <t>03-Dec-1999</t>
  </si>
  <si>
    <t>Listening music</t>
  </si>
  <si>
    <t>Rukmin</t>
  </si>
  <si>
    <t>Aaj post bheta Tq. Ausa Dist.Latur</t>
  </si>
  <si>
    <t>Warje pune</t>
  </si>
  <si>
    <t xml:space="preserve">Janta vidhya mandir murud </t>
  </si>
  <si>
    <t xml:space="preserve">Purnmal Lahoti Gov polytechnic Latur </t>
  </si>
  <si>
    <t>Pimpri Chinchwad College of engineering and research ravet</t>
  </si>
  <si>
    <t xml:space="preserve">Elementary  </t>
  </si>
  <si>
    <t>P26600002</t>
  </si>
  <si>
    <t xml:space="preserve">Aneeza </t>
  </si>
  <si>
    <t>Aneeza  M</t>
  </si>
  <si>
    <t>P26600002@student.nicmar.ac.in</t>
  </si>
  <si>
    <t>14-May-1992</t>
  </si>
  <si>
    <t>Playing badminton,Gardening,Dancing</t>
  </si>
  <si>
    <t>Abdul Latheef M</t>
  </si>
  <si>
    <t>Retired govt employee</t>
  </si>
  <si>
    <t>Shahida</t>
  </si>
  <si>
    <t>Malluvassery House, Netaji Road, Mananthavady P.O</t>
  </si>
  <si>
    <t>Flat no -906, Elegant Iona, Plot no -103, Sector no -2A ,Karanjade, Panvel P.O</t>
  </si>
  <si>
    <t>MGM Higher Secondary School , Ambukutty, Mananthavady , Wayanad</t>
  </si>
  <si>
    <t>Board Of Public Examination, Kerala</t>
  </si>
  <si>
    <t>GVHSS, Mananthavady, Wayanad</t>
  </si>
  <si>
    <t>Board Of Higher Secondary Examination, Kerala</t>
  </si>
  <si>
    <t>Government Polytechnic College, Meenangadi , Wayanad</t>
  </si>
  <si>
    <t>Mahatma Gandhi University, Kottayam, Kerala</t>
  </si>
  <si>
    <t>Ilahia College Of Engineering &amp; Technology, Muvattupuzha, Kerala</t>
  </si>
  <si>
    <t>AutoCAD,Microsoft( Excel -Word -Powerpoint),strategic ERP</t>
  </si>
  <si>
    <t>Capacit'e Infraprojects Ltd., Mumbai | Junior Engineer | Mumbai | Jan 2024 | Apr 2026 | 2 Years, 2 Months, 15 Days | 3.24</t>
  </si>
  <si>
    <t>Jalanidhi -Jeevana CDSSS | Junior Engineer | Kaniyambatta, Wayanad, Kerala | Oct 2016 | Apr 2017 | 29 Weeks
Krishnamohan Memorial Govt ITI, Kalpetta, Wayanad | Junior Instructor | Kalpetta, Wayanad, Kerala | Apr 2017 | Nov 2017 | 29 Weeks</t>
  </si>
  <si>
    <t>P26600003</t>
  </si>
  <si>
    <t>Abhishek Anant  Joshi</t>
  </si>
  <si>
    <t>abhishekjoshi9057@gmail.com</t>
  </si>
  <si>
    <t>P26600003@student.nicmar.ac.in</t>
  </si>
  <si>
    <t>Music,Cricket,Traveling</t>
  </si>
  <si>
    <t>Anant Joshi</t>
  </si>
  <si>
    <t>Suvarna Joshi</t>
  </si>
  <si>
    <t>Radhe Shyam Nivas, Shirur Tajband, Tq:-Ahmedpur, Dist:- Latur</t>
  </si>
  <si>
    <t xml:space="preserve">Vridavan Elite Pg, Woods regency,Balewadi Rd, Behind Amar Tech Park, Balewadi , Pune, Maharashtra </t>
  </si>
  <si>
    <t>Shri Mahesh Vidyalaya</t>
  </si>
  <si>
    <t xml:space="preserve">Government Polytechnic, Solapur </t>
  </si>
  <si>
    <t>JSPM's Rajarshri Shahu Collage of Engineering</t>
  </si>
  <si>
    <t>Autocad,MS Project,Primavera P6,Advance Excel</t>
  </si>
  <si>
    <t>Krishnae Infrastructure Pvt.Ltd | Jr.Quality Control Engineer | Pune  | Jan 2024 | Apr 2026 | 2 Years, 3 Months, 14 Days | 2.76</t>
  </si>
  <si>
    <t>Pyramid Infraventure LLP | Intern | Pune | Jun 2022 | Dec 2022 | 26 Weeks</t>
  </si>
  <si>
    <t>P26600004</t>
  </si>
  <si>
    <t>G D</t>
  </si>
  <si>
    <t>Gowtham G D</t>
  </si>
  <si>
    <t>totalgowtham@gmail.com</t>
  </si>
  <si>
    <t>P26600004@student.nicmar.ac.in</t>
  </si>
  <si>
    <t>Tamil,English,Hindi</t>
  </si>
  <si>
    <t>Music,Stop Motion Animation</t>
  </si>
  <si>
    <t>GANESAN S</t>
  </si>
  <si>
    <t>Salesman</t>
  </si>
  <si>
    <t>DHANALAKSHMI G</t>
  </si>
  <si>
    <t>2/5 Ondi Muthu Mastri Street, South Veli Street, Madurai - 625001</t>
  </si>
  <si>
    <t>K V T MATRIC HR SEC SCHOOL</t>
  </si>
  <si>
    <t>THE GANDHIGRAM RURAL INSTITUTE - DEEMED TO BE UNIVERSITY</t>
  </si>
  <si>
    <t>THE GANDHIGRAM RURAL INSTITUTE - DEEMED TO BE UNIVERSITY TAMIL NADU</t>
  </si>
  <si>
    <t>AutoCAD,MS Excel,MS Word,MS Powerpoint,MS Project,Primavera</t>
  </si>
  <si>
    <t>Freyssinet Menard India | Junior Engineer | Thane | Nov 2023 | Jun 2026 | 2 Years, 6 Months, 17 Days | 4.04</t>
  </si>
  <si>
    <t>RDC Concrete India Pvt Ltd | Trainee Engineer  | Bengaluru | Dec 2022 | Nov 2023 | 49 Weeks</t>
  </si>
  <si>
    <t>Plastic Wastage Management
Manufacturing of Composites
Create a Project Management Tracker using Microsoft Excel
Foundations of Project Management</t>
  </si>
  <si>
    <t>P26600005</t>
  </si>
  <si>
    <t>MUKUNDH</t>
  </si>
  <si>
    <t>Mani Mukundh</t>
  </si>
  <si>
    <t>P26600005@student.nicmar.ac.in</t>
  </si>
  <si>
    <t>05-Apr-2001</t>
  </si>
  <si>
    <t>PLAYING CRICKET,playing badminton</t>
  </si>
  <si>
    <t>SELVAN</t>
  </si>
  <si>
    <t>GOLD APPRAISOR</t>
  </si>
  <si>
    <t>PUSHPALATHA</t>
  </si>
  <si>
    <t>MANIMAKUDAM HOUSE DEVANGAR STREET PALATHULLY PERUVEMBA PALAKKAD</t>
  </si>
  <si>
    <t>KKMHSS VANDITHAVALAM</t>
  </si>
  <si>
    <t>DHANALAKSHMI COLLEGE OF ENGINEERING</t>
  </si>
  <si>
    <t>autocad,Excel</t>
  </si>
  <si>
    <t>BLUE DALE CONSTRUCTION | SITE SUPERVISOR | COIMBATORE | Jul 2024 | Apr 2026 | 1 Years, 9 Months, 25 Days | 2</t>
  </si>
  <si>
    <t>Advaith Sreedev Architects and Infrastructure Developers | Site supervisor  | Alappuzha  | Sep 2021 | Oct 2021 | 2 Weeks</t>
  </si>
  <si>
    <t>P26600006</t>
  </si>
  <si>
    <t>Shelke</t>
  </si>
  <si>
    <t>Om Ashok Shelke</t>
  </si>
  <si>
    <t>P26600006@student.nicmar.ac.in</t>
  </si>
  <si>
    <t>Sports &amp; Strategy,Outdoor Activities,Organization &amp; Leadership,Community Development,Fitness &amp; Discipline</t>
  </si>
  <si>
    <t>9872 9485 1872</t>
  </si>
  <si>
    <t>Mina</t>
  </si>
  <si>
    <t>House Wife, Farmer</t>
  </si>
  <si>
    <t>At Post Nandur Shingote Tal. Sinnar Dist. Nashik</t>
  </si>
  <si>
    <t>Shri Bramhanand New English School &amp; Jr. College Dodi Bk</t>
  </si>
  <si>
    <t>Maharashtra State Board Secondary &amp; Higher Secondary Education Pune</t>
  </si>
  <si>
    <t>Amrutvahini College of Engineering Sangamner</t>
  </si>
  <si>
    <t>AutoCad,Advance Excel</t>
  </si>
  <si>
    <t>P26600007</t>
  </si>
  <si>
    <t>Udaykumar</t>
  </si>
  <si>
    <t>Atharva Udaykumar Deshmukh</t>
  </si>
  <si>
    <t>P26600007@student.nicmar.ac.in</t>
  </si>
  <si>
    <t>p26600007@student.nicmar.ac.in</t>
  </si>
  <si>
    <t>Travelling &amp; Exploring</t>
  </si>
  <si>
    <t>Uma</t>
  </si>
  <si>
    <t>H N C20 Abhishek Nagar, Taroda BK Road, Nanded</t>
  </si>
  <si>
    <t>Pratibha Niketan Highschool</t>
  </si>
  <si>
    <t>Government Polytechnic College, Nanded</t>
  </si>
  <si>
    <t>PAH Solapur University</t>
  </si>
  <si>
    <t>Walchand Institute of Technology, Solapur Maharashtra</t>
  </si>
  <si>
    <t>Primaverse IDC LLP | Graduate Engineer - Civil | Pune | Aug 2025 | Feb 2026 | 0 Years, 6 Months, 9 Days | 1.68</t>
  </si>
  <si>
    <t>P26600008</t>
  </si>
  <si>
    <t>Ranaware</t>
  </si>
  <si>
    <t>Vaibhav Ravindra Ranaware</t>
  </si>
  <si>
    <t>P26600008@student.nicmar.ac.in</t>
  </si>
  <si>
    <t>p26600008@student.nicmar.ac.in</t>
  </si>
  <si>
    <t>Veterinary Doctor</t>
  </si>
  <si>
    <t>Bharati</t>
  </si>
  <si>
    <t>Ap- Pimpalwadi , Sakharwadi Tel- Phaltan Dist- Satara</t>
  </si>
  <si>
    <t>Mahurgad Apartment, Sanjeevan Hosital, Near Garware College Metro, Erandwane, Pune</t>
  </si>
  <si>
    <t>Sakharwadi Vidyalya Madhyamik Vibhag, Sakharwadi</t>
  </si>
  <si>
    <t>Maharashtra State Board of Secondary and Higher Secondary Education, Pune. Kolhapur Divisional Board</t>
  </si>
  <si>
    <t>Government Polytechnic, Kolhapur</t>
  </si>
  <si>
    <t>G H Raisoni College of Engineering and Management Pune</t>
  </si>
  <si>
    <t>Microsoft Excel</t>
  </si>
  <si>
    <t>Spoken English Level - A2
NPTEL Principles of Construction Management
NPTEL Enhancing Soft skills and Personality</t>
  </si>
  <si>
    <t>P26600009</t>
  </si>
  <si>
    <t xml:space="preserve">Prathamesh </t>
  </si>
  <si>
    <t>Ravikant</t>
  </si>
  <si>
    <t>Bartakke</t>
  </si>
  <si>
    <t>Prathamesh  Ravikant Bartakke</t>
  </si>
  <si>
    <t>prathameshrbartakke@gmail.com</t>
  </si>
  <si>
    <t>P26600009@student.nicmar.ac.in</t>
  </si>
  <si>
    <t>Playing and watching cricket</t>
  </si>
  <si>
    <t>5/132, Main Road, Near  Janata Bank, Bartakke Building, Ichalkaranji-416115</t>
  </si>
  <si>
    <t>Vyankatrao Highschool and Junior College</t>
  </si>
  <si>
    <t>Dr. Babasaheb Ambedkar Technological University, Loner-Raigad</t>
  </si>
  <si>
    <t>Sharad Institute of Technology College of Engineering, Yadrav</t>
  </si>
  <si>
    <t>Auto Cad,MS Office,MS Project,ERP (Quadra)</t>
  </si>
  <si>
    <t>L&amp;W Construction Pvt Ltd | Engineer QS | Pune | Aug 2023 | Jun 2026 | 2 Years, 10 Months, 23 Days | 3.6</t>
  </si>
  <si>
    <t>P26600010</t>
  </si>
  <si>
    <t>Leena</t>
  </si>
  <si>
    <t>Chandrakant</t>
  </si>
  <si>
    <t>Attarde</t>
  </si>
  <si>
    <t>Leena Chandrakant Attarde</t>
  </si>
  <si>
    <t>P26600010@student.nicmar.ac.in</t>
  </si>
  <si>
    <t>p26600010@student.nicmar.ac.in</t>
  </si>
  <si>
    <t>Travelling,Art,Organizing</t>
  </si>
  <si>
    <t>Chandralekha</t>
  </si>
  <si>
    <t>Plot no 21, Devendra Nagar, Behind Aditya Plaza, Mahabal Road, Jalgaon</t>
  </si>
  <si>
    <t>Nandinibai Wamanrao Girls High School, Jalgaon</t>
  </si>
  <si>
    <t>Government Polytechnic, Jalgoan</t>
  </si>
  <si>
    <t>Kavayitri Bahinabai Chaudhari North Maharashtra University, Jalgaon</t>
  </si>
  <si>
    <t>G H Raisoni Institute of Business Management, Jalgaon</t>
  </si>
  <si>
    <t>AutoCAD,SAP MM ,MS Office</t>
  </si>
  <si>
    <t>Godrej Properties Limited | Senior Executive-Billing | Navi Mumbai | Mar 2026 | Jun 2026 | 0 Years, 2 Months, 28 Days | 6.5
Godrej Properties-(Payroll CIEL HR Services Limited  ) | Associate-Billing | Navi Mumbai | Oct 2024 | Mar 2026 | 1 Years, 5 Months, 3 Days | 4.64</t>
  </si>
  <si>
    <t>P26600011</t>
  </si>
  <si>
    <t xml:space="preserve">Shankar </t>
  </si>
  <si>
    <t>Navnath</t>
  </si>
  <si>
    <t>Shankar  Navnath Shinde</t>
  </si>
  <si>
    <t>shankarshinde1710@gmail.com</t>
  </si>
  <si>
    <t>P26600011@student.nicmar.ac.in</t>
  </si>
  <si>
    <t>17-Oct-2001</t>
  </si>
  <si>
    <t>Reading,Swimming</t>
  </si>
  <si>
    <t>Kerabai</t>
  </si>
  <si>
    <t xml:space="preserve">Gourishankar nagar tardal, Ichalkaranji </t>
  </si>
  <si>
    <t xml:space="preserve">Vinayak Highschool Shahapur, Ichalkaranji </t>
  </si>
  <si>
    <t xml:space="preserve">Sharad Institute of Technology (SIT) Polytechnic, Yadrav, Ichalkaranji, Maharashtra </t>
  </si>
  <si>
    <t xml:space="preserve">Sharad Institute of Technology College of Engineering, Yadrav, Ichalkaranji, Maharashtra </t>
  </si>
  <si>
    <t>ERP,Autocad,MS office,MSP,Quantity take-off ,Billing</t>
  </si>
  <si>
    <t>L&amp;W Construction Private Limited | Engineer- QS &amp; Contract  | Mumbai  | Sep 2023 | Jul 2026 | 2 Years, 9 Months, 16 Days | 3.66</t>
  </si>
  <si>
    <t xml:space="preserve"> Advance Diploma in Structural Design &amp; Analysis</t>
  </si>
  <si>
    <t>P26600012</t>
  </si>
  <si>
    <t xml:space="preserve">Meghana </t>
  </si>
  <si>
    <t>Meghana  V R</t>
  </si>
  <si>
    <t>P26600012@student.nicmar.ac.in</t>
  </si>
  <si>
    <t>26-Oct-2002</t>
  </si>
  <si>
    <t>Kannada,English,Hindi,Telugu</t>
  </si>
  <si>
    <t>Sketching,Photography,Listening to Music</t>
  </si>
  <si>
    <t xml:space="preserve">8586 0013 5704 </t>
  </si>
  <si>
    <t>Raghu V N</t>
  </si>
  <si>
    <t>Shanthamma G N</t>
  </si>
  <si>
    <t>Veerammanahalli, Alipur, Gauribidanur, Chikkaballapur, Karnataka - 561213</t>
  </si>
  <si>
    <t>ZAINABIYA HIGHT SCHOOL</t>
  </si>
  <si>
    <t>SARVODAYA PU COLLEGE</t>
  </si>
  <si>
    <t>KARNATAKA BOARD OF THE PRE UNIVERSITY EDUCATION</t>
  </si>
  <si>
    <t>VISVESVARAYA TECHNOLOGICAL UNIVERSITY, BELGAUM</t>
  </si>
  <si>
    <t xml:space="preserve"> SIR M VISVESVARAYA INSTITUTE OF TECHNOLOGY, BENGALURU</t>
  </si>
  <si>
    <t>AutoCAD,Advance MS Excel,Fasvision-ERP</t>
  </si>
  <si>
    <t>Sowparnika Projects  | Jr. Engineer - QS | Bangalore | Oct 2024 | Jun 2026 | 1 Years, 8 Months, 17 Days | 3.37</t>
  </si>
  <si>
    <t>L&amp;T Construction (Building &amp; Factories) | Student Intern  | Bangalore  | Aug 2023 | Sep 2023 | 4 Weeks</t>
  </si>
  <si>
    <t>Academic Excellence during academic year 2021-22
Inter College Cultural Fest (Kalanjali) Volunteering 
Recognition of Outstanding Volunteering for Various Events Organized by Institution</t>
  </si>
  <si>
    <t>P26600013</t>
  </si>
  <si>
    <t>Caetano</t>
  </si>
  <si>
    <t>D'Souza</t>
  </si>
  <si>
    <t>Ashwin Caetano D'souza</t>
  </si>
  <si>
    <t>P26600013@student.nicmar.ac.in</t>
  </si>
  <si>
    <t>Reading,Music,Chess</t>
  </si>
  <si>
    <t>Clariano V. M. D'Souza</t>
  </si>
  <si>
    <t>Yvette Maria D'Souza</t>
  </si>
  <si>
    <t>Porvorim</t>
  </si>
  <si>
    <t>Don Bosco High School</t>
  </si>
  <si>
    <t>Goa Board</t>
  </si>
  <si>
    <t>Don Bosco Higher Secondary School</t>
  </si>
  <si>
    <t>Goa College of Engineering</t>
  </si>
  <si>
    <t>MSP,Primavera P6,Advanced Excel,Power BI,SAP- S4/HANA,MS office applications</t>
  </si>
  <si>
    <t>KEC International Limited | Planning Engineer | Jamshedpur, Jharkand | Oct 2024 | Jun 2026 | 1 Years, 7 Months, 14 Days | 6.5
Morada Spaces | Site Engineer | Goa | Jul 2023 | Jul 2024 | 1 Years, 0 Months, 7 Days | 4.2
Dwelve  Studio | Architectural Engineer | Goa | Feb 2022 | May 2023 | 1 Years, 3 Months, 8 Days | 2.55
D. W. Kamat Architects, Engineers and Valuers | Junior Valuer | Goa | Aug 2020 | Jan 2022 | 1 Years, 5 Months, 11 Days | 2.70</t>
  </si>
  <si>
    <t>IAB Digital Marketing and Media Foundations Certification
Primavera P6 Enterprise Project Portfolio Management Essentials
Diploma In AutoCAD 
Diploma in 3dsMax</t>
  </si>
  <si>
    <t>P26600014</t>
  </si>
  <si>
    <t>Pagar</t>
  </si>
  <si>
    <t>Rushikesh Kishor Pagar</t>
  </si>
  <si>
    <t>P26600014@student.nicmar.ac.in</t>
  </si>
  <si>
    <t>Reading,Driving,Travelling</t>
  </si>
  <si>
    <t>Asha</t>
  </si>
  <si>
    <t>Lilawati Niwas, Behind J.T.K Highschool , Nandgaon, Nashik</t>
  </si>
  <si>
    <t>Ultima Boys Hostel, Nicmar University, Balewadi ,Pune</t>
  </si>
  <si>
    <t>New English school Nandgaon , Nashik</t>
  </si>
  <si>
    <t>Arts , Commerce, and Science College Nandgaon , Nashik</t>
  </si>
  <si>
    <t>Gokhale Education Society's R.H.Sapat College of Engineering , Nashik</t>
  </si>
  <si>
    <t>Tekla,SDS2,AutoCAD,MS Excel</t>
  </si>
  <si>
    <t>Prothious Engineering Services Private Limited | Jr. Tekla Modeler and Checker | Nashik | Jul 2023 | Sep 2025 | 2 Years, 2 Months, 19 Days | 3.31</t>
  </si>
  <si>
    <t>P26600015</t>
  </si>
  <si>
    <t>MAHENDRABABU</t>
  </si>
  <si>
    <t>TEKU</t>
  </si>
  <si>
    <t>Mahendrababu Teku</t>
  </si>
  <si>
    <t>P26600015@student.nicmar.ac.in</t>
  </si>
  <si>
    <t>28-Mar-2003</t>
  </si>
  <si>
    <t>Music,Playing carroms,Yoga and Meditation</t>
  </si>
  <si>
    <t>TEKU SUBBARAO</t>
  </si>
  <si>
    <t>TEKU NARASAMMA</t>
  </si>
  <si>
    <t>3-23/1, Jagannadhapuram, Post Office:Jagannadhapuram</t>
  </si>
  <si>
    <t>3-23/1, Jagannadhapuram, Post Office:Jagannadhapurami</t>
  </si>
  <si>
    <t>D S R Z P P HIGH SCHOOL,PODURU, WEST GODAVARI DISTRICT</t>
  </si>
  <si>
    <t>WEST GODAVARI,ANDHRA PRADESH</t>
  </si>
  <si>
    <t>S.M.V.M. POLYTECHNIC-TANUKU</t>
  </si>
  <si>
    <t>SAGI RAMA KRISHNAM RAJU ENGINEERING COLLEGE, WEST GODAVARI, ANDHRA PRADESH</t>
  </si>
  <si>
    <t>AutoCAD,Advanced MS Excel,MS Office,MS Project,CostX,Revit</t>
  </si>
  <si>
    <t>OPTIVAL HEALTH SOLUTIONS PVT LTD | Project Co-Ordinator | Hyderabad  | May 2025 | Jun 2026 | 1 Years, 0 Months, 26 Days | 3
DESIGNS N FINISHINGS | Jr.Project Engineer | Guntur | Apr 2024 | May 2025 | 1 Years, 0 Months, 12 Days | 2</t>
  </si>
  <si>
    <t>GOVERNMENT OF ANDHRA PRADESH – RWS&amp;S DEPARTMENT | Induatrial Trainee | West Godavari | Apr 2021 | Sep 2021 | 20 Weeks
ASCENT CS GLOBAL | Design and BIM Intern | HYDERABAD | Jul 2022 | Sep 2022 | 8 Weeks
SLV BUILDERS &amp; DEVELOPERS PVT. LTD. | Project Implementation Intern | AMARAVATI | Jun 2023 | Aug 2023 | 8 Weeks
SKILLDZIRE | Structural Design Intern | West Godavari | Dec 2023 | Apr 2024 | 17 Weeks</t>
  </si>
  <si>
    <t>P26600016</t>
  </si>
  <si>
    <t>Panbude</t>
  </si>
  <si>
    <t>Sanket Ravindra Panbude</t>
  </si>
  <si>
    <t>P26600016@student.nicmar.ac.in</t>
  </si>
  <si>
    <t>Chess,Reading philosophy,Exercise</t>
  </si>
  <si>
    <t>Shardha</t>
  </si>
  <si>
    <t>Ward no. 2 near Balaji mandir waigaon nipani wardha Maharashtra India</t>
  </si>
  <si>
    <t>YESHWANT VIDYALAYA WAIGAON (N)</t>
  </si>
  <si>
    <t>ACHARYA SHRIMANNARAYAN POLYTECHNIC, Wardha Maharashtra</t>
  </si>
  <si>
    <t>BAJAJ INSTITUTE OF TECHNOLOGY, Wardha Maharashtra</t>
  </si>
  <si>
    <t>Auto CAD 2D &amp; 3D,MS Excel,Revit Architecture,ETABS</t>
  </si>
  <si>
    <t>Fortress Infracon Ltd | Highway Engineer  | Nashik | Apr 2026 | Jun 2026 | 0 Years, 2 Months, 24 Days | 3.60
City Translink Private Limited | Assessor  |  field-based | Nov 2024 | Dec 2025 | 1 Years, 1 Months, 9 Days | 2.64
Superb Hygienic Disposal India Pvt.Ltd. | Civil Site Engineer  | Wardha | Mar 2024 | Oct 2024 | 0 Years, 7 Months, 10 Days | 1.44</t>
  </si>
  <si>
    <t>ITD Cementation India Limited | Intern | Nagpur | May 2019 | Jun 2019 | 5 Weeks</t>
  </si>
  <si>
    <t xml:space="preserve">Revit Architecture
Introduction to Structural Analysis and Design Software -  ETabs
ExpertsHub Industry Skill  </t>
  </si>
  <si>
    <t>P26600017</t>
  </si>
  <si>
    <t>Bhushan</t>
  </si>
  <si>
    <t>Balkrishna</t>
  </si>
  <si>
    <t>Mahakalkar</t>
  </si>
  <si>
    <t>Bhushan Balkrishna Mahakalkar</t>
  </si>
  <si>
    <t>P26600017@student.nicmar.ac.in</t>
  </si>
  <si>
    <t>Gym,swimming,reading books,cycling</t>
  </si>
  <si>
    <t>Balkrishna Dnyaneshwar Mahakalkar</t>
  </si>
  <si>
    <t>Mechanic</t>
  </si>
  <si>
    <t>Sharada Balkrishna Mahakalkar</t>
  </si>
  <si>
    <t>At. Post Pawnar, Tah. dist. Wardha Hanuman ward no.1 ,Pawnar</t>
  </si>
  <si>
    <t>Baburaoji Bangde Vidhyalaya ,Pawnar</t>
  </si>
  <si>
    <t>Jankidevi Bajaj College of Science ,Wardha</t>
  </si>
  <si>
    <t>Dr. Babasaheb Ambedkar Technological University Lonere, Raigad</t>
  </si>
  <si>
    <t>Bajaj Institute Of Technology, Wardha</t>
  </si>
  <si>
    <t>TULJAI INFRASTRUCTURE  | Site Engineer | Katol,Amaravati | Feb 2024 | Feb 2026 | 2 Years, 0 Months, 26 Days | 2.64</t>
  </si>
  <si>
    <t>Public Works Division Wardha | Site Engineer | Seloo | Feb 2022 | Jul 2022 | 25 Weeks</t>
  </si>
  <si>
    <t>P26600018</t>
  </si>
  <si>
    <t>Tatyarao</t>
  </si>
  <si>
    <t>Murumkar</t>
  </si>
  <si>
    <t>Nikhil Tatyarao Murumkar</t>
  </si>
  <si>
    <t>P26600018@student.nicmar.ac.in</t>
  </si>
  <si>
    <t>10-Jun-1995</t>
  </si>
  <si>
    <t>strategy and team-based games,Music</t>
  </si>
  <si>
    <t xml:space="preserve">Retired Government Civil Engineer </t>
  </si>
  <si>
    <t>Vidhya</t>
  </si>
  <si>
    <t xml:space="preserve">Shantai niwas near datta mandir prakash nagar latur </t>
  </si>
  <si>
    <t>Nicmar boys hostel balewadi road ram nagar baner</t>
  </si>
  <si>
    <t>Saraswati Vidyalay Latur</t>
  </si>
  <si>
    <t>Maharashtra State Board Latur</t>
  </si>
  <si>
    <t>Sandipani Technical Campus Latur</t>
  </si>
  <si>
    <t>JSPM Narhe Technical Campus Pune</t>
  </si>
  <si>
    <t>Autocad Civil</t>
  </si>
  <si>
    <t>P26600019</t>
  </si>
  <si>
    <t>SURVASE</t>
  </si>
  <si>
    <t>Samruddhi Ashok Survase</t>
  </si>
  <si>
    <t>survasesamruddhi@gmail.com</t>
  </si>
  <si>
    <t>P26600019@student.nicmar.ac.in</t>
  </si>
  <si>
    <t>HINDI,English,Marathi</t>
  </si>
  <si>
    <t>Listening Music,Travelling</t>
  </si>
  <si>
    <t>JAYSHREE</t>
  </si>
  <si>
    <t>C/O 3/4 Powai Collorination Housing Society, Vikhroli Jogeshwari Link Road, Opp I.E.E.S School, Powai Sakinaka, Mumbai, Maharshtra 400072</t>
  </si>
  <si>
    <t>A P Shah Institute of Technology Mumbai.</t>
  </si>
  <si>
    <t>Autocad,MS Office,ERP</t>
  </si>
  <si>
    <t>UK Realty | Contracts Engineer | Andheri West | Jan 2026 | Jun 2026 | 0 Years, 5 Months, 12 Days | 3.50
Arkade developers Ltd | Graduate Trainee Engineer | kandivali | Jun 2024 | Dec 2025 | 1 Years, 5 Months, 7 Days | 2.85</t>
  </si>
  <si>
    <t>autocad</t>
  </si>
  <si>
    <t>P26600020</t>
  </si>
  <si>
    <t>Vasudeo</t>
  </si>
  <si>
    <t>Mahesh Vasudeo Patil</t>
  </si>
  <si>
    <t>P26600020@student.nicmar.ac.in</t>
  </si>
  <si>
    <t>Marathi,Hindi,english</t>
  </si>
  <si>
    <t>Photography Shoots</t>
  </si>
  <si>
    <t>Devini</t>
  </si>
  <si>
    <t>Matoshree Ramubai Niwas
Devnagari Society</t>
  </si>
  <si>
    <t xml:space="preserve">SARVAJANIK VIDYAMANDIR AND JUNIOR COLLEGE PEN </t>
  </si>
  <si>
    <t>Pillai HOC College of Engineering &amp; Technology Rasayani/Maharashtra</t>
  </si>
  <si>
    <t>MS Office,MS Project,Autocad</t>
  </si>
  <si>
    <t>Dbafna Developers | Jr. Civil Engineer | Pen-Raigad, Maharashtra | Jun 2023 | Oct 2025 | 2 Years, 4 Months, 17 Days | 2.76</t>
  </si>
  <si>
    <t>P26600021</t>
  </si>
  <si>
    <t>Rakhi</t>
  </si>
  <si>
    <t>Pramod</t>
  </si>
  <si>
    <t>Mahalle</t>
  </si>
  <si>
    <t>Rakhi Pramod Mahalle</t>
  </si>
  <si>
    <t>P26600021@student.nicmar.ac.in</t>
  </si>
  <si>
    <t>Painting,cooking</t>
  </si>
  <si>
    <t>Vandana</t>
  </si>
  <si>
    <t>At.  Kotegaon
Post. Khaspur 
Tah. Anjangaon Surji 
Dist. Amravati</t>
  </si>
  <si>
    <t>Prabodhan Vidyalaya Daryapur</t>
  </si>
  <si>
    <t>Shri Shivaji Science College Amravati</t>
  </si>
  <si>
    <t>Maharashtra State Board Secondary and Higher Secondary Education Pune</t>
  </si>
  <si>
    <t>AutoCAD,SAP,MS Office</t>
  </si>
  <si>
    <t>KEC INTERNATIONAL LIMITED | BILLING ENGINEER | PUNE, MAHARASHTRA | Aug 2024 | Jul 2026 | 1 Years, 11 Months, 7 Days | 4</t>
  </si>
  <si>
    <t>Public Work Department Nagpur | Trainee | Nagpur | Jan 2024 | Jun 2024 | 25 Weeks</t>
  </si>
  <si>
    <t>P26600022</t>
  </si>
  <si>
    <t>Sumit</t>
  </si>
  <si>
    <t>Deokule</t>
  </si>
  <si>
    <t>Sumit Balasaheb Deokule</t>
  </si>
  <si>
    <t>P26600022@student.nicmar.ac.in</t>
  </si>
  <si>
    <t>Reading,sketching,painting</t>
  </si>
  <si>
    <t>2178 6184 9110</t>
  </si>
  <si>
    <t>Balasaheb Tukaram Deokule</t>
  </si>
  <si>
    <t>Goverment Service</t>
  </si>
  <si>
    <t>Hemlata Balasaheb Deokule</t>
  </si>
  <si>
    <t>Phase 1, B/304, Shobha Park Apt, Gandhamnagar, Khadki Cantt Board, Pune</t>
  </si>
  <si>
    <t>Panna English High School</t>
  </si>
  <si>
    <t>Bharat College</t>
  </si>
  <si>
    <t>Dilkap Research Institute Of Engineering &amp; Management  Studies</t>
  </si>
  <si>
    <t>Padmabhooshan Vasantraodada Patil Institute of Technology, Bavdhan</t>
  </si>
  <si>
    <t>P26600023</t>
  </si>
  <si>
    <t xml:space="preserve">Rushikesh </t>
  </si>
  <si>
    <t xml:space="preserve">Bhosale </t>
  </si>
  <si>
    <t xml:space="preserve">Rushikesh  Sunil Bhosale </t>
  </si>
  <si>
    <t>P26600023@student.nicmar.ac.in</t>
  </si>
  <si>
    <t>Marathi English,Hindi</t>
  </si>
  <si>
    <t>Reading books</t>
  </si>
  <si>
    <t xml:space="preserve">Jyoti </t>
  </si>
  <si>
    <t>Ward No. 1 At.Post. Selukate Tah. Wardha 
Dist. Wardha, Maharashtra 442001</t>
  </si>
  <si>
    <t xml:space="preserve">Yashwant High School, Wardha </t>
  </si>
  <si>
    <t>Maharashtra State Board Of Secondary And Higher Secondary Education, Nagpur</t>
  </si>
  <si>
    <t>Om Satya Sai High School, Bhandra</t>
  </si>
  <si>
    <t xml:space="preserve">Bajaj Institute Of Technology </t>
  </si>
  <si>
    <t>P26600024</t>
  </si>
  <si>
    <t>Dileep</t>
  </si>
  <si>
    <t>T L</t>
  </si>
  <si>
    <t>Dileep T L</t>
  </si>
  <si>
    <t>P26600024@student.nicmar.ac.in</t>
  </si>
  <si>
    <t>Kannada,hindi,english</t>
  </si>
  <si>
    <t>Basketball,Movies,music</t>
  </si>
  <si>
    <t>Lingaiah T E</t>
  </si>
  <si>
    <t>Savithramma H B</t>
  </si>
  <si>
    <t>Byraveshwara nilaya, Venkatadri bavane, Belagumba, Tumkur</t>
  </si>
  <si>
    <t>SIDDAGANGA JUNIOR COLLEGE, TUMAKURU</t>
  </si>
  <si>
    <t>Vidyavahini PU college</t>
  </si>
  <si>
    <t>Department of Pre-University Education, Karnataka.</t>
  </si>
  <si>
    <t>SIDDAGANGA POLYTECHNIC TUMKUR</t>
  </si>
  <si>
    <t>ACHARYA INSTITUTE OF TECHNOLOGY, BANGALORE</t>
  </si>
  <si>
    <t>Auto CAD,BBS software,MS office</t>
  </si>
  <si>
    <t>Terra products | Junior Rebar Detailer | BANGLORE | Oct 2023 | May 2026 | 2 Years, 7 Months, 4 Days | 2.99</t>
  </si>
  <si>
    <t>P26600026</t>
  </si>
  <si>
    <t xml:space="preserve">Ashlesha </t>
  </si>
  <si>
    <t>Arunrao</t>
  </si>
  <si>
    <t>Naktode</t>
  </si>
  <si>
    <t>Ashlesha  Arunrao Naktode</t>
  </si>
  <si>
    <t>P26600026@student.nicmar.ac.in</t>
  </si>
  <si>
    <t>17-Mar-1997</t>
  </si>
  <si>
    <t>Playing Flute,Listening Music</t>
  </si>
  <si>
    <t>Arun Ramraoji Naktode</t>
  </si>
  <si>
    <t>Retired Police Sub-Inspector</t>
  </si>
  <si>
    <t>Sandhya Arun Naktode</t>
  </si>
  <si>
    <t>402, Krishna Vatika Appt., Indraprasth Society, Near Kalode College, Omkar Nagar, Nagpur, 440027</t>
  </si>
  <si>
    <t>Vrindavan Elite PG 2 Service, Sai Chowk, Balewadi Road, Behind Tapas Elder Care, Balewadi, Pune, 411045</t>
  </si>
  <si>
    <t>Naktode Ashlesha Arunrao</t>
  </si>
  <si>
    <t>G. H. Raisoni Academy of Engineering and Technology, Nagpur, Maharashtra.</t>
  </si>
  <si>
    <t>AutoCAD,MS Office,WaterGEMS,SewerGEMS,QGIS</t>
  </si>
  <si>
    <t>Choice Consultancy Services Pvt. Ltd. | Supervisor Cum Construction Manager | Nagpur, Maharashtra. | Feb 2023 | May 2026 | 3 Years, 2 Months, 5 Days | 3.76
SD Engineering | Sr. Engineer (C) | Nagpur, Maharashtra. | Nov 2021 | Jan 2023 | 1 Years, 2 Months, 30 Days | 2.04</t>
  </si>
  <si>
    <t>Design of Waste Water System - SEWERGEMS.</t>
  </si>
  <si>
    <t>P26600027</t>
  </si>
  <si>
    <t xml:space="preserve">Nitin </t>
  </si>
  <si>
    <t>Vidyarthi</t>
  </si>
  <si>
    <t>Jha</t>
  </si>
  <si>
    <t>Nitin  Vidyarthi Jha</t>
  </si>
  <si>
    <t>nitin7mishra@gmail.com</t>
  </si>
  <si>
    <t>P26600027@student.nicmar.ac.in</t>
  </si>
  <si>
    <t>31-Jul-1995</t>
  </si>
  <si>
    <t>Bishnukant Mishra</t>
  </si>
  <si>
    <t>Civil Site Supervisor</t>
  </si>
  <si>
    <t>Mala Mishra</t>
  </si>
  <si>
    <t xml:space="preserve">A/404 Bachraj Lifespace YK nagar NX Virar (w) </t>
  </si>
  <si>
    <t>Maharashtra state Board of secondary and Higher secondary Education,</t>
  </si>
  <si>
    <t>Diploma in Construction Technology</t>
  </si>
  <si>
    <t>Bhausaheb Vartak Polytechnic, Palghar, Maharashtra</t>
  </si>
  <si>
    <t>Viva Institute of Technology, Palghar, Maharashtra</t>
  </si>
  <si>
    <t>DBOT Realty Pvt Ltd | Assistant manager - Project Monitoring (Grade - E2) | Mumbai | Mar 2026 | Jun 2026 | 0 Years, 3 Months, 7 Days | 7.47
Lodha Developers  | Site Engineer - Construction Management (Level : 4A) | Mumbai | Jan 2025 | Mar 2026 | 1 Years, 1 Months, 19 Days | 6.00
CONCEPTUAL ADVISORY SERVICES LLP | Site Engineer -  Construction | Mumbai | Jul 2022 | Jan 2025 | 2 Years, 5 Months, 18 Days | 4.95
Shri Chamunda Enterprises | Junior Engineer - Execution and Billing | Mumbai | Jan 2017 | Jul 2019 | 2 Years, 6 Months, 6 Days | 3.50
Kukreja Builders Pvt Ltd | Junior Site Engineer | Mumbai | Jan 2015 | Dec 2016 | 1 Years, 11 Months, 13 Days | 0.68</t>
  </si>
  <si>
    <t>100 month(s)</t>
  </si>
  <si>
    <t>AutoCAD
MS Office
Advance Excel
Microsoft Project
Primavera</t>
  </si>
  <si>
    <t>P26600028</t>
  </si>
  <si>
    <t>Sanket Anil Patil</t>
  </si>
  <si>
    <t>P26600028@student.nicmar.ac.in</t>
  </si>
  <si>
    <t>Marathi,English,Hindhi</t>
  </si>
  <si>
    <t>Exploring new places to understand diverse cultures and local communities.</t>
  </si>
  <si>
    <t>Anil Punju Patil</t>
  </si>
  <si>
    <t>Bus Conductor (MSRTC)</t>
  </si>
  <si>
    <t>Sunita Anil Patil</t>
  </si>
  <si>
    <t>24-B, Sane Guruji Colony, Nimzari Naka, Shirpur, Taluka: Shirpur, District: Dhule.</t>
  </si>
  <si>
    <t>R.C.Patel Secondary School Shirpur</t>
  </si>
  <si>
    <t>Maharashtra State Board Of Secondary And Higher Secondary Pune</t>
  </si>
  <si>
    <t>R.C.Patel Polytechnic Shirpur,Maharashtra</t>
  </si>
  <si>
    <t>Kavayitri Bahinabai Chaudhari North Maharashtra University Jalgaon,Maharashtra</t>
  </si>
  <si>
    <t>SSBT College Of Engineering And Technology, Bambhori, Jalgaon</t>
  </si>
  <si>
    <t>AutoCAD,Concrete Mix Design</t>
  </si>
  <si>
    <t>Pace Digitek limited. | Quality Engineer | Dhule/Nandurbar District  | Feb 2024 | Mar 2026 | 2 Years, 1 Months, 9 Days | 3.86
All India Institute of Local Self-Government | Project Associate | Dhule Municipal Corporation | Jun 2023 | Sep 2023 | 0 Years, 3 Months, 12 Days | 3.0</t>
  </si>
  <si>
    <t>Nashik Municipal Smart City Development Corporation Limited | Civil Intern | Nashik  | Sep 2022 | May 2023 | 37 Weeks</t>
  </si>
  <si>
    <t>AUTO CAD - INDO GERMAN TOOL ROOM AURANGABAD</t>
  </si>
  <si>
    <t>P26600029</t>
  </si>
  <si>
    <t>Siddhi Pradip Deshmukh</t>
  </si>
  <si>
    <t>P26600029@student.nicmar.ac.in</t>
  </si>
  <si>
    <t>15-May-1996</t>
  </si>
  <si>
    <t>Flat No 3802, Vista, Ten X Habitat, Raymond Realty, Pokharan Road N0.1 Thane (W)</t>
  </si>
  <si>
    <t>Nicmar Mellenium Girls Hostel, Ram Nagar, Baner, Pune</t>
  </si>
  <si>
    <t>G V Khade Vidyalaya, Shahapur</t>
  </si>
  <si>
    <t>Maharashtra State Board For Secondary and Higher Secondary Education, Pune</t>
  </si>
  <si>
    <t>Government Polytechnic, Thane</t>
  </si>
  <si>
    <t>MGM College of Engineering and Technology</t>
  </si>
  <si>
    <t>MS Office,MS Project,Advance Excel,AutoCAD</t>
  </si>
  <si>
    <t xml:space="preserve">Papaya Constructions Pvt Ltd | Tendering And Billing Engineer | Matunga Road, Mumbai | Sep 2025 | Jun 2026 | 0 Years, 9 Months, 18 Days | 5 
Land Records Department, Maharashtra State | Surveyor | Vasai, Maharashtra | Aug 2024 | Aug 2025 | 1 Years, 0 Months, 15 Days | 5 </t>
  </si>
  <si>
    <t>P26600030</t>
  </si>
  <si>
    <t>Sanjayrao</t>
  </si>
  <si>
    <t>Gulhane</t>
  </si>
  <si>
    <t>Shreyash Sanjayrao Gulhane</t>
  </si>
  <si>
    <t>P26600030@student.nicmar.ac.in</t>
  </si>
  <si>
    <t>Kanchan</t>
  </si>
  <si>
    <t>Radhakrushna Colony , Morshi , Dis Amravati</t>
  </si>
  <si>
    <t>Shri. Shivaji High School , Morshi</t>
  </si>
  <si>
    <t>Maharashtra State Board of Secondary and Higher Secondary Education , Pune</t>
  </si>
  <si>
    <t>Shri. R.R. Lahoti Science College , Morshi</t>
  </si>
  <si>
    <t>Bajaj Institute of Technology, Wardha</t>
  </si>
  <si>
    <t>Auocad</t>
  </si>
  <si>
    <t>Indu Construction  | Site Engineer Execution | Amravati | Nov 2023 | May 2026 | 2 Years, 6 Months, 26 Days | 2.6</t>
  </si>
  <si>
    <t>P26600031</t>
  </si>
  <si>
    <t>Meghnath</t>
  </si>
  <si>
    <t>Mayekar</t>
  </si>
  <si>
    <t>Sahil Meghnath Mayekar</t>
  </si>
  <si>
    <t>P26600031@student.nicmar.ac.in</t>
  </si>
  <si>
    <t>Reading,Swimming,Cricket Playing</t>
  </si>
  <si>
    <t>Madhavi</t>
  </si>
  <si>
    <t>2/2B, S.P.Kawliwadi, Lady Jamshedgi Road, Opp. Gopi Tank Market, Mahim, Mumbai.</t>
  </si>
  <si>
    <t>I.E.S Mulund</t>
  </si>
  <si>
    <t>V.G. Vaze Kelkar College of Arts, Science and Commerce</t>
  </si>
  <si>
    <t>A. P. Shah Institute of Technology, Thane, Maharashtra</t>
  </si>
  <si>
    <t>MS Project,primavera,Autocad,MS Excel,Revit,PowerBi,Ms Office,CostX,BIM</t>
  </si>
  <si>
    <t>JISCO Construction | Site Engineer | Thane | Jun 2022 | Jan 2023 | 0 Years, 7 Months, 21 Days | 1.68
Amiand Consuting Pvt. Ltd. | Project Engineer cum Business Development | Andheri | Mar 2023 | May 2024 | 1 Years, 2 Months, 9 Days | 1.92
Foundation Engineering Company India Pvt  Ltd. | Site Engineer | Mumbai | Jul 2024 | Nov 2025 | 1 Years, 4 Months, 14 Days | 2.82
M/s Dynasoure Concrete Treatment Pvt Ltd | Tender cum Contracts Executive | Navi Mumbai | Feb 2026 | Jul 2026 | 0 Years, 4 Months, 17 Days | 3.60</t>
  </si>
  <si>
    <t>APSIT SKILLS | INTERN | Thane | Jun 2021 | Aug 2021 | 8 Weeks</t>
  </si>
  <si>
    <t>APSIT SKILLS
Primavera
Quality Achievement Certificate</t>
  </si>
  <si>
    <t>P26600032</t>
  </si>
  <si>
    <t>Audhoot</t>
  </si>
  <si>
    <t>Oshramkar</t>
  </si>
  <si>
    <t>Audhoot Santosh Oshramkar</t>
  </si>
  <si>
    <t>P26600032@student.nicmar.ac.in</t>
  </si>
  <si>
    <t>cricket,Trekking</t>
  </si>
  <si>
    <t>job</t>
  </si>
  <si>
    <t>Vrindavan Bidg No.2,Room no 116,1st Floor.Dr Ambedkar Road, Lalbaug, Parel.</t>
  </si>
  <si>
    <t>Chikitsak Samuha Shirolkar High School</t>
  </si>
  <si>
    <t>Wilson College</t>
  </si>
  <si>
    <t>Thakur Polytechnic</t>
  </si>
  <si>
    <t>Vishwaniketan's Institute of Management Entrepreneurship and Engineering Technology</t>
  </si>
  <si>
    <t>M/S.Vijay Construction Co. | Site Engineer  | Antop Hill, Mumbai | Jun 2024 | Jun 2026 | 2 Years, 0 Months, 7 Days | 3.21</t>
  </si>
  <si>
    <t>P26600033</t>
  </si>
  <si>
    <t>Swapnil Kumar</t>
  </si>
  <si>
    <t>swapnilkumar1995@gmail.com</t>
  </si>
  <si>
    <t>P26600033@student.nicmar.ac.in</t>
  </si>
  <si>
    <t>16-Nov-1996</t>
  </si>
  <si>
    <t>Listening Music,Traveling Abroad,Reading Newspaper</t>
  </si>
  <si>
    <t>SHAILENDRA KUMAR</t>
  </si>
  <si>
    <t>Retd. Executive Engineer</t>
  </si>
  <si>
    <t>ANJU SINHA</t>
  </si>
  <si>
    <t xml:space="preserve">CHASMA CENTRE LANE MAGADH COLONY KURJEE </t>
  </si>
  <si>
    <t>INDRAPURI ROAD NO 6 NEAR SHIV MANDIR HOUSE NO OPPOSITE OF 6/45.</t>
  </si>
  <si>
    <t xml:space="preserve">ST MICHAELS HIGH SCHOOL </t>
  </si>
  <si>
    <t>PATNA</t>
  </si>
  <si>
    <t xml:space="preserve">MAHANT HANUMAN SHARAN COLLEGE </t>
  </si>
  <si>
    <t>MAGADH UNIVERSITY</t>
  </si>
  <si>
    <t xml:space="preserve">R P SHARMA INSTITUTE OF TECHNOLOGY </t>
  </si>
  <si>
    <t>Post Graduate Diploma in Management (PGDM)</t>
  </si>
  <si>
    <t>Quantity Surveying &amp; Valuation</t>
  </si>
  <si>
    <t>GVPR ENGINEERS LIMITED | JUNIOUR ENGINEER LIAISON | BIHAR (MUNGER) | Jul 2025 | Jun 2026 | 0 Years, 11 Months, 11 Days | 2.70
SHANTI BBCPL JV | SITE ENGINEER | BIHAR ( PATNA) | Mar 2024 | May 2025 | 1 Years, 2 Months, 4 Days | 2.16
VIJETA PROJECTS &amp; INFRASTRUCTURES LTD | SITE ENGINEER | BIHAR (JAMUI)  | Jan 2020 | Mar 2024 | 4 Years, 2 Months, 14 Days | 2.04</t>
  </si>
  <si>
    <t>BSRDCL  | TRAINEE INTERNSHIP | BIHAR (PATNA) | Mar 2018 | Mar 2018 | 2 Weeks</t>
  </si>
  <si>
    <t>AUTOCAD
REVIT (ARCHITECTURE)
STAAD PRO V8i
CIVIQ EVENT (NIT PATNA)</t>
  </si>
  <si>
    <t>P26600034</t>
  </si>
  <si>
    <t>Virensingh</t>
  </si>
  <si>
    <t>Gokulsingh</t>
  </si>
  <si>
    <t>Virensingh Gokulsingh Rajput</t>
  </si>
  <si>
    <t>P26600034@student.nicmar.ac.in</t>
  </si>
  <si>
    <t>p26600034@student.nicmar.ac.in</t>
  </si>
  <si>
    <t>14-Jan-1998</t>
  </si>
  <si>
    <t>Riding bike,Reading newspaper,Travelling</t>
  </si>
  <si>
    <t>Jayshree</t>
  </si>
  <si>
    <t>4 shri vrundavan apartment, near sai saya bunglow ,savarkar nagar, sai mandir , gangapur road, nashik</t>
  </si>
  <si>
    <t>Navarachana vidyalaya</t>
  </si>
  <si>
    <t xml:space="preserve">Maharashtra State board of Secondary and higher Secondary education, nashik/maharashtra </t>
  </si>
  <si>
    <t>Hpt arts and ryk science college</t>
  </si>
  <si>
    <t>Savitribai fule Pune University</t>
  </si>
  <si>
    <t xml:space="preserve">Sandeep institute of engineering and management , nashik/maharashtra </t>
  </si>
  <si>
    <t>Autocad,Ms office</t>
  </si>
  <si>
    <t>Mahimtura consultants Pvt.ltd. | QMA | Mumbai | Jun 2025 | Jun 2026 | 1 Years, 0 Months, 29 Days | 4.2
PRIDE INFRA PROJECTS  | Site Engineer | Sinnar , Nashik , Maharashtra  | Nov 2023 | May 2025 | 1 Years, 6 Months, 30 Days | 3
Infosys Limited | Systems Lngineer | Pune / Banglore  | Mar 2022 | Oct 2023 | 1 Years, 6 Months, 18 Days | 3.6</t>
  </si>
  <si>
    <t>P26600035</t>
  </si>
  <si>
    <t>Mane</t>
  </si>
  <si>
    <t>Rahul Ashok Mane</t>
  </si>
  <si>
    <t>P26600035@student.nicmar.ac.in</t>
  </si>
  <si>
    <t>30-Aug-2001</t>
  </si>
  <si>
    <t>English ,hindi,marathi</t>
  </si>
  <si>
    <t>Cricket,travelling</t>
  </si>
  <si>
    <t>Ashok Dattarao Mane</t>
  </si>
  <si>
    <t>Kalpana Ashok Mane</t>
  </si>
  <si>
    <t>78. Ashok Mane At post Baradshewala Tq. Hadgoan Dis. Nanded</t>
  </si>
  <si>
    <t>Sahakar Vidya Prasarak Mandal Secondary School Kalwa, Thane</t>
  </si>
  <si>
    <t>Secondary School Certificate Board ( SSC )</t>
  </si>
  <si>
    <t>Narayanrao Waghmare Mahavidyalaya, Balapur, Hingoli</t>
  </si>
  <si>
    <t>The Maharashtra State Board of Secondary and Higher Secondary Education (MSBSHSE)</t>
  </si>
  <si>
    <t>Maharashtra State Board of Secondary and Higher Secondary Education ( MSBTE )</t>
  </si>
  <si>
    <t>Mumbai University (MU).</t>
  </si>
  <si>
    <t>Panvel</t>
  </si>
  <si>
    <t xml:space="preserve">Nicmar University </t>
  </si>
  <si>
    <t>Post Graduate Diploma (PG Diploma)</t>
  </si>
  <si>
    <t>Contract Management</t>
  </si>
  <si>
    <t>MS Office,AutoCAD Pursuing</t>
  </si>
  <si>
    <t>P26600036</t>
  </si>
  <si>
    <t>Yogesh Kumar Shukla</t>
  </si>
  <si>
    <t>yks12393@gmail.com</t>
  </si>
  <si>
    <t>P26600036@student.nicmar.ac.in</t>
  </si>
  <si>
    <t>16-May-2001</t>
  </si>
  <si>
    <t>CYCLING,MUSIC</t>
  </si>
  <si>
    <t>ANIL KUMAR SHUKLA</t>
  </si>
  <si>
    <t>ASHA DEVI SHUKLA</t>
  </si>
  <si>
    <t>GYANPUR,BHADOHI,UTTAR PRADESH</t>
  </si>
  <si>
    <t>ST. Thomas School Gopiganj</t>
  </si>
  <si>
    <t>ICSE(New Delhi)</t>
  </si>
  <si>
    <t>ISC(New Delhi)</t>
  </si>
  <si>
    <t>Dr. A.P.J. Abdul Kalam Technical University,Lucknow</t>
  </si>
  <si>
    <t>Kashi Institute Of Technology,Varanasi</t>
  </si>
  <si>
    <t>Northern Railway | Summer Training | Lucknow | Jul 2022 | Aug 2022 | 4 Weeks</t>
  </si>
  <si>
    <t>P26600037</t>
  </si>
  <si>
    <t>Bhusari</t>
  </si>
  <si>
    <t>Sumit Amol Bhusari</t>
  </si>
  <si>
    <t>P26600037@student.nicmar.ac.in</t>
  </si>
  <si>
    <t>17-Mar-1999</t>
  </si>
  <si>
    <t xml:space="preserve">English Hindi Marathi </t>
  </si>
  <si>
    <t>Reading Traveling Music</t>
  </si>
  <si>
    <t xml:space="preserve">Hedgewar Layout Near Pri -school Maharudra Colony Arjun Nagar Shivaji Nagar Amravati </t>
  </si>
  <si>
    <t>Shri Ganeshdas Rathi Vidyalaya Amaravti</t>
  </si>
  <si>
    <t>Matoshree Vimalabai Deshmukh Mahavidyalaya Amravati Maharashtra</t>
  </si>
  <si>
    <t>P R Pote Polytechnic College Amravati Maharashtra</t>
  </si>
  <si>
    <t xml:space="preserve">Sant Gadge Baba Amravati University Maharashtra </t>
  </si>
  <si>
    <t>P R Pote Patil Institute of Engineering and Research Amravati Maharashtra</t>
  </si>
  <si>
    <t>Autocad, Excel</t>
  </si>
  <si>
    <t>MSCIT</t>
  </si>
  <si>
    <t>P26600038</t>
  </si>
  <si>
    <t>Arpit Kishor Deshmukh</t>
  </si>
  <si>
    <t>P26600038@student.nicmar.ac.in</t>
  </si>
  <si>
    <t>reading,traveling,food tour</t>
  </si>
  <si>
    <t>Kishor Deshmukh</t>
  </si>
  <si>
    <t>Sangita Deshmukh</t>
  </si>
  <si>
    <t>Dhanraj Nagar, Chandur Railway,Dist. Amravati,Maharashtra</t>
  </si>
  <si>
    <t>Kasar Home, Sanmati colony ,Shegaon Rahatgaon Road ,Amravati</t>
  </si>
  <si>
    <t>Bapusaheb Deshmukh Highschool</t>
  </si>
  <si>
    <t>Maharashtra State Board of Secondary Education, Amravati,Maharashtra</t>
  </si>
  <si>
    <t>P.R Pote Patil Institute of Technology, Amravati, Maharashtra</t>
  </si>
  <si>
    <t>Prof. Ram Meghe Institute Of Technology &amp; Research</t>
  </si>
  <si>
    <t>autocad,excel</t>
  </si>
  <si>
    <t>Oriano Clean Energy  | Project Engineer | Remote | Jun 2024 | Jun 2026 | 2 Years, 0 Months, 14 Days | 3.30
IT Cube Solutions Pvt Ltd. | Back Office Executive | Remote | May 2023 | Apr 2024 | 0 Years, 11 Months, 8 Days | 2.8304</t>
  </si>
  <si>
    <t xml:space="preserve">Quantity Estimation 
BBS
Ms Excel </t>
  </si>
  <si>
    <t>P26600039</t>
  </si>
  <si>
    <t>Galhate</t>
  </si>
  <si>
    <t>Shubham Rahul Galhate</t>
  </si>
  <si>
    <t>shubhamgalhate1@gmail.com</t>
  </si>
  <si>
    <t>P26600039@student.nicmar.ac.in</t>
  </si>
  <si>
    <t>Rahul Galhate</t>
  </si>
  <si>
    <t xml:space="preserve">Vanita Galhate </t>
  </si>
  <si>
    <t>I-13, Shivshankar Colony, Tanaji Chowk, Aurangabad</t>
  </si>
  <si>
    <t>Jai Bhavani Vidya Mandir</t>
  </si>
  <si>
    <t xml:space="preserve">Maharashtra State Board of Secondary and Higher Secondary Education, Pune. </t>
  </si>
  <si>
    <t xml:space="preserve">MGM's Polytechnic </t>
  </si>
  <si>
    <t xml:space="preserve">Savitribai Phule University, Pune </t>
  </si>
  <si>
    <t xml:space="preserve">JSPM, Narhe Technical Campus, Pune </t>
  </si>
  <si>
    <t>ASAP ECOTECH SOLUTIONS  | SITE ENGINEER | Aurangabad  | Dec 2023 | Aug 2025 | 1 Years, 8 Months, 27 Days | 2.4</t>
  </si>
  <si>
    <t>ANNEX CONSULTANT  | Engineer | Aurangabad | May 2019 | Jun 2019 | 5 Weeks</t>
  </si>
  <si>
    <t>P26600040</t>
  </si>
  <si>
    <t>Revathi</t>
  </si>
  <si>
    <t>Revathi Haridas T</t>
  </si>
  <si>
    <t>P26600040@student.nicmar.ac.in</t>
  </si>
  <si>
    <t>18-Jul-1995</t>
  </si>
  <si>
    <t>Music,Cycling</t>
  </si>
  <si>
    <t>Haridasan T</t>
  </si>
  <si>
    <t>Sreedevi D</t>
  </si>
  <si>
    <t>Thekkepat, Vettom Post
Tirur</t>
  </si>
  <si>
    <t>GBHSS, TIRUR</t>
  </si>
  <si>
    <t>KERALA STATE BOARD</t>
  </si>
  <si>
    <t>MMM HSS KUTTAYI</t>
  </si>
  <si>
    <t>CALICUT UNIVERSITY</t>
  </si>
  <si>
    <t>SREE ERNAKULATHAPPAN COLLEGE OF ENGINEERING AND MANAGEMENT, KERALA</t>
  </si>
  <si>
    <t>Afcons Infrastructure Ltd | Senior Quantity Surveyor | Kochi | Feb 2024 | Jun 2026 | 2 Years, 4 Months, 6 Days | 7.13
Kerala State Industrial Development Corporation Ltd | Project Engineer | Kerala | Sep 2022 | Feb 2024 | 1 Years, 4 Months, 28 Days | 5.04
Kunnel Engineers and Contractors Pvt Ltd | Site Engineer | Kerala | Nov 2018 | Aug 2022 | 3 Years, 8 Months, 25 Days | 2.16</t>
  </si>
  <si>
    <t>89 month(s)</t>
  </si>
  <si>
    <t>Mary Sadan Edathala International Pvt Ltd | Quantity Surveyor | Kerala | Oct 2017 | Apr 2018 | 27 Weeks</t>
  </si>
  <si>
    <t>P26600041</t>
  </si>
  <si>
    <t>Ghodke</t>
  </si>
  <si>
    <t>Prajakta Rajesh  Ghodke</t>
  </si>
  <si>
    <t>prajaktarghodke121@gmail.com</t>
  </si>
  <si>
    <t>P26600041@student.nicmar.ac.in</t>
  </si>
  <si>
    <t>Nayana</t>
  </si>
  <si>
    <t>89/9, Bismilla Chawl, Takiya Ward, Market Galli, Kurla West, Mumbai 400070</t>
  </si>
  <si>
    <t>St. Mary's High School</t>
  </si>
  <si>
    <t>State Board of Maharashtra</t>
  </si>
  <si>
    <t>NJBSPM's Shantiniketan Polytechnic</t>
  </si>
  <si>
    <t>Chhatrapati Shivaji Maharaj Institute Of Technology</t>
  </si>
  <si>
    <t>AutoCAD,MS Office,Far Vision ERP</t>
  </si>
  <si>
    <t>Vaswani Projects Pvt Ltd | Sr. Executive- Budgeting, Costing and Billing | Bandra, Mumbai | Aug 2024 | Jul 2026 | 1 Years, 11 Months, 1 Days | 5.356
Sheth Creators Pvt Ltd | Junior Engineer | Malad, Mumbai | Dec 2021 | Jul 2024 | 2 Years, 7 Months, 0 Days | 3.3</t>
  </si>
  <si>
    <t xml:space="preserve">Training course in building constructions 
Project safety certificate </t>
  </si>
  <si>
    <t>P26600042</t>
  </si>
  <si>
    <t>GULIVINDALA</t>
  </si>
  <si>
    <t>DHANUNJAYARAO</t>
  </si>
  <si>
    <t>Gulivindala Dhanunjayarao</t>
  </si>
  <si>
    <t>P26600042@student.nicmar.ac.in</t>
  </si>
  <si>
    <t>05-Jun-2003</t>
  </si>
  <si>
    <t>Farming and agricultural activities,Caring animals,Playing volleyball and cricket,Swimming</t>
  </si>
  <si>
    <t>GULIVINDALA ADINARAYANA</t>
  </si>
  <si>
    <t>GULIVINDALA JAYAMMA</t>
  </si>
  <si>
    <t>2-6,Diguva veedhi, Venkata rangaraya puram, Regidi Amdalavalasa, Srikakulam, Andhra Pradesh - 532122</t>
  </si>
  <si>
    <t>Sri Baba Vidhyanikethan School</t>
  </si>
  <si>
    <t>Board of secondary Education Andhra Pradesh</t>
  </si>
  <si>
    <t>Government polytechnic College Tekkali</t>
  </si>
  <si>
    <t>Acharya Nagarjuna University(ANU) Guntur</t>
  </si>
  <si>
    <t>Bapatla Engineering College Bapatla,Andhra Pradesh</t>
  </si>
  <si>
    <t>MS Project,AutoCAD,Autodesk Revit,MS Office</t>
  </si>
  <si>
    <t>CIDC (Construction industry Deveelopment council) | Civil Intern | Online- New Delhi, India | May 2023 | Jun 2023 | 4 Weeks
CIDC (Construction industry Deveelopment council) | Civil Intern | Online- New Delhi, India | Apr 2024 | May 2024 | 5 Weeks
VAJRAM CONSTRUCTION PVT LTD | Civil Intern | Vishakapatnam | Jul 2020 | Dec 2020 | 24 Weeks</t>
  </si>
  <si>
    <t>National workshop on "Sustainble glazing struturess-Strutural integrity,Safety and Energy"
3d Printing
First prize in Model Exhibo in JNTU kakinada,Andhra Pradesh</t>
  </si>
  <si>
    <t>P26600043</t>
  </si>
  <si>
    <t xml:space="preserve">Nandana </t>
  </si>
  <si>
    <t>Harish</t>
  </si>
  <si>
    <t>Nandana  Harish</t>
  </si>
  <si>
    <t>P26600043@student.nicmar.ac.in</t>
  </si>
  <si>
    <t>Music,Gardening,cooking</t>
  </si>
  <si>
    <t>Harish H</t>
  </si>
  <si>
    <t>Deepa Harish</t>
  </si>
  <si>
    <t>Software Engineer</t>
  </si>
  <si>
    <t>Harinivas Velloor P O Pampady Kottayam</t>
  </si>
  <si>
    <t>B M M English Medium Senior Secondary School</t>
  </si>
  <si>
    <t>Dr. A P J Abdul Kalam Technical University</t>
  </si>
  <si>
    <t>Saintgits College of Engineering</t>
  </si>
  <si>
    <t>AUTOCAD,Revit</t>
  </si>
  <si>
    <t>Airport Authority of India | Trainee | Calicut | Jan 2026 | Feb 2026 | 4 Weeks | Campus Internship
Intern, Vellapalli Constructions | Trainee | Pathanamthitta | Aug 2023 | Aug 2023 | 0 Weeks | Campus Internship
SQ Engineering Contractors | Trainee | Kochi | Jul 2024 | Jul 2024 | 0 Weeks | Campus Internship</t>
  </si>
  <si>
    <t>Project Management
Construction Scheduling
Revit</t>
  </si>
  <si>
    <t>P26600044</t>
  </si>
  <si>
    <t>Anandrao</t>
  </si>
  <si>
    <t>Shelar</t>
  </si>
  <si>
    <t>Pramod Anandrao Shelar</t>
  </si>
  <si>
    <t>pramodshelarhere@gmail.com</t>
  </si>
  <si>
    <t>P26600044@student.nicmar.ac.in</t>
  </si>
  <si>
    <t>16-Sep-2001</t>
  </si>
  <si>
    <t>English,Marathi</t>
  </si>
  <si>
    <t>Anandrao Shelar</t>
  </si>
  <si>
    <t>Shubhangi Shelar</t>
  </si>
  <si>
    <t>Konark Apartment, Flat No. 3, Somwar Peth, Karad</t>
  </si>
  <si>
    <t>Tilak Highschool Karad</t>
  </si>
  <si>
    <t>Creative Academy and Horizon English Medium Pune</t>
  </si>
  <si>
    <t>Smt. Premalatai Chavan Polytechnic Karad</t>
  </si>
  <si>
    <t>Tatyasaheb Kore Institute of Engineering &amp; Technology Warananagar</t>
  </si>
  <si>
    <t>AutoCad,MS Excel</t>
  </si>
  <si>
    <t>Microsoft Power BI Desktop for Business Intelligence</t>
  </si>
  <si>
    <t>P26600045</t>
  </si>
  <si>
    <t xml:space="preserve">Ankit </t>
  </si>
  <si>
    <t>Ankit  Yadav</t>
  </si>
  <si>
    <t>P26600045@student.nicmar.ac.in</t>
  </si>
  <si>
    <t>10-Jul-1999</t>
  </si>
  <si>
    <t>Driving car</t>
  </si>
  <si>
    <t xml:space="preserve">Mannu Singh yadav </t>
  </si>
  <si>
    <t xml:space="preserve">Lilawati yadav </t>
  </si>
  <si>
    <t xml:space="preserve">Vill- Chakjain  khetabpur Ghazipur Uttarpradesh </t>
  </si>
  <si>
    <t xml:space="preserve">JANARDAN K G H S S SARAIYA GHAZIPUR </t>
  </si>
  <si>
    <t>Board of High school and Intermediate Education U.P</t>
  </si>
  <si>
    <t>Diploma Mechanical (Production )</t>
  </si>
  <si>
    <t xml:space="preserve">Ambalika institute of management and technology Lucknow </t>
  </si>
  <si>
    <t xml:space="preserve">Dr A.P.J. Abdul Kalam Technical University,Uttar Pradesh </t>
  </si>
  <si>
    <t>MS advance excel</t>
  </si>
  <si>
    <t>Hansha infrastructure pvt ltd  | Civil engineer  | Lucknow  | Sep 2024 | May 2025 | 0 Years, 7 Months, 24 Days | 2.16</t>
  </si>
  <si>
    <t>P26600047</t>
  </si>
  <si>
    <t>Arabaj</t>
  </si>
  <si>
    <t>Abid</t>
  </si>
  <si>
    <t>Sayyad</t>
  </si>
  <si>
    <t>Arabaj Abid Sayyad</t>
  </si>
  <si>
    <t>arabsayyad07@gmail.com</t>
  </si>
  <si>
    <t>P26600047@student.nicmar.ac.in</t>
  </si>
  <si>
    <t>Bike Riding,Fishing</t>
  </si>
  <si>
    <t>Abid Ismail Sayyad</t>
  </si>
  <si>
    <t>Sultana Abid Sayyad</t>
  </si>
  <si>
    <t>A/P.Chandapuri Tal.Malshiras Dist.Solapur</t>
  </si>
  <si>
    <t xml:space="preserve"> Pratapsinh Vidyalay Chandapuri</t>
  </si>
  <si>
    <t>Shriram Institute Of Engineering &amp; Technology, (Poly), Paniv.</t>
  </si>
  <si>
    <t xml:space="preserve">Savitribai Phule Pune University   </t>
  </si>
  <si>
    <t>Dr. D Y Patil Institute of Engineering, Management &amp; Research, Akurdi Pune</t>
  </si>
  <si>
    <t>MS Office,Auto CAD</t>
  </si>
  <si>
    <t>Y V Mane Constructions Pvt. Ltd. | Jr. Civil Engineer  | Mohol, maharashtra. | Jan 2026 | Jun 2026 | 0 Years, 5 Months, 14 Days | 3.84
Shivansh Associate | jr. Site Engineer Execution | Malshiras, LAVASA, Pune. | Jun 2024 | Dec 2025 | 1 Years, 6 Months, 25 Days | 1.8</t>
  </si>
  <si>
    <t>Knest Manufacturers Pvt Ltd | Jr. Engineer- Execution | Hyderabad  | Mar 2024 | Apr 2024 | 6 Weeks</t>
  </si>
  <si>
    <t>Ice-Cream Stick Bridge Model Making Competition
Winner- Survey Hunt Competition</t>
  </si>
  <si>
    <t>P26600048</t>
  </si>
  <si>
    <t>Pratik</t>
  </si>
  <si>
    <t>Krushnat</t>
  </si>
  <si>
    <t>Pratik Krushnat Salunkhe</t>
  </si>
  <si>
    <t>P26600048@student.nicmar.ac.in</t>
  </si>
  <si>
    <t>Trekking,Runner</t>
  </si>
  <si>
    <t>At/Post : Nerle , Tal.: Walwa , Dist. : Sangli</t>
  </si>
  <si>
    <t>G.C.G. English Medium School</t>
  </si>
  <si>
    <t>SSC Board, Nerle, Maharashtra</t>
  </si>
  <si>
    <t>Government Polytechnic Karad, Maharashtra</t>
  </si>
  <si>
    <t>D.Y. Patil Technical Campus, Talsande, Maharashtra</t>
  </si>
  <si>
    <t>AutoCAD ,MS Excel</t>
  </si>
  <si>
    <t>Royal Metroville Venture | Site Engineer | Balewadi, Pune | Jun 2024 | Jun 2026 | 2 Years, 0 Months, 29 Days | 3</t>
  </si>
  <si>
    <t>P26600049</t>
  </si>
  <si>
    <t>Kalpesh</t>
  </si>
  <si>
    <t>Shrivastava</t>
  </si>
  <si>
    <t>Kalpesh Shrivastava</t>
  </si>
  <si>
    <t>kalpeshshrivastava8@gmail.com</t>
  </si>
  <si>
    <t>P26600049@student.nicmar.ac.in</t>
  </si>
  <si>
    <t>06-Dec-1995</t>
  </si>
  <si>
    <t>Walking</t>
  </si>
  <si>
    <t>Manoj Shrivastava</t>
  </si>
  <si>
    <t>Kalpana Shrivastava</t>
  </si>
  <si>
    <t>H. No. 92, In front of Punjabi Gurudwara, Shiv Ward, Bina</t>
  </si>
  <si>
    <t>Nirmal Jyoti Higher Secondary School</t>
  </si>
  <si>
    <t>Central Board of Secondary Education, Ajmer</t>
  </si>
  <si>
    <t>Bina Public Higher Secondary School</t>
  </si>
  <si>
    <t>Madhya Pradesh Board of Secondary Education, Bhopal</t>
  </si>
  <si>
    <t>Rajiv Gandhi Proudyogiki Vishwavidyalaya, Bhopal</t>
  </si>
  <si>
    <t>Madhav Institute of Technology and Science, Gwalior</t>
  </si>
  <si>
    <t>Punjab University, Chandigarh</t>
  </si>
  <si>
    <t>National Institute of Technical Teachers Training and Research, Chandigarh</t>
  </si>
  <si>
    <t>SAP,MS Office,Auto CAD</t>
  </si>
  <si>
    <t>Dilip Buildcon Limited | Engineer (Operation and Maintenance) | Bhopal (M.P.) | Dec 2023 | Jun 2026 | 2 Years, 5 Months, 28 Days | 5.46</t>
  </si>
  <si>
    <t>Tikamgarh Public Works Department | Intern | Tikamgarh (M.P.) | May 2018 | Jun 2018 | 4 Weeks</t>
  </si>
  <si>
    <t>P26600050</t>
  </si>
  <si>
    <t>Prathmesh</t>
  </si>
  <si>
    <t xml:space="preserve">Londhe </t>
  </si>
  <si>
    <t xml:space="preserve">Prathmesh Rajendra  Londhe </t>
  </si>
  <si>
    <t>P26600050@student.nicmar.ac.in</t>
  </si>
  <si>
    <t>English,hindi</t>
  </si>
  <si>
    <t>Playing Analytical games,Cooking</t>
  </si>
  <si>
    <t xml:space="preserve">Late Rajendra </t>
  </si>
  <si>
    <t>At post Shirur (Ghat ) ta. kaij dist beed 431126</t>
  </si>
  <si>
    <t>Jeevan Pragati vidhaylay nandur (ghat )</t>
  </si>
  <si>
    <t xml:space="preserve"> chhatrapati Sambhajinagar (Aurangabad ) Divisional Board</t>
  </si>
  <si>
    <t>Goverment Polytechnic Beed</t>
  </si>
  <si>
    <t>Gh Raisoni College of Engineering and Management Pune</t>
  </si>
  <si>
    <t>VP Planning and Building Design | Junior Engineer | Loni kalbhor Pune  | Jun 2025 | Dec 2025 | 26 Weeks | Campus Internship</t>
  </si>
  <si>
    <t>NPTEL - Enhancing Soft Skills and Personality</t>
  </si>
  <si>
    <t>P26600051</t>
  </si>
  <si>
    <t>Rohit</t>
  </si>
  <si>
    <t>Namdev</t>
  </si>
  <si>
    <t>Kirte</t>
  </si>
  <si>
    <t>Rohit Namdev Kirte</t>
  </si>
  <si>
    <t>P26600051@student.nicmar.ac.in</t>
  </si>
  <si>
    <t>14-Jan-1999</t>
  </si>
  <si>
    <t>English,Hindi,Marathi,Japanese N4 Level</t>
  </si>
  <si>
    <t>Travelling,Kickboxing,Watching Anime,Reading Current Affairs</t>
  </si>
  <si>
    <t>Ekdant Society, Rajendra Guru Nagar, Room no 201, B wing, 2nd floor, Near Vidyatirth Classes, Neral, Sub Dist. Karjat, Dist. Raigad. 410101.</t>
  </si>
  <si>
    <t>Vidya Vikas Primary and Secondary School, Vangani</t>
  </si>
  <si>
    <t>Mumbai Divisional Board</t>
  </si>
  <si>
    <t>Chandibai Himathmal Mansukhani College, Ulhasnagar</t>
  </si>
  <si>
    <t>MSBTE Civil Engineering</t>
  </si>
  <si>
    <t>G. V. Acharya Polytechnic, Shelu, Karjat, Raigad, Maharashtra</t>
  </si>
  <si>
    <t>B.R. Harne College of Engineering and Technology, Karav, Vangani.</t>
  </si>
  <si>
    <t>Autocad,MS Office,RDASH</t>
  </si>
  <si>
    <t>Ensemble Fitout and Fixtures Private Limited | Junior Executive Contracts | Parel, Mumbai | Oct 2025 | Jun 2026 | 0 Years, 7 Months, 20 Days | 3
Kalyan Dombivli Muncipal Corporation | Junior Engineer | Dombivli | Oct 2024 | Sep 2025 | 0 Years, 10 Months, 30 Days | 1.10</t>
  </si>
  <si>
    <t>P26600052</t>
  </si>
  <si>
    <t>Sudheendra Babu</t>
  </si>
  <si>
    <t>T S Sudheendra Babu</t>
  </si>
  <si>
    <t>sudheendrababuts@gmail.com</t>
  </si>
  <si>
    <t>P26600052@student.nicmar.ac.in</t>
  </si>
  <si>
    <t>Reading,Video Editing,Travelling</t>
  </si>
  <si>
    <t>Sudarsana Babu</t>
  </si>
  <si>
    <t>Retired Sub Inspector Of Police</t>
  </si>
  <si>
    <t>THAMARASSERY HOUSE, INDIA NAGAR 58, KARICODE , KOLLAM</t>
  </si>
  <si>
    <t>T K M Centenary Public school, Karicode, Kollam, Kerala</t>
  </si>
  <si>
    <t>Central Board of Secondary Education (CBSE)  Kollam,Kerala</t>
  </si>
  <si>
    <t>APJ Abdul Kalam Technological University, Thiruvananthapuram, Kerala, India</t>
  </si>
  <si>
    <t>Government Engineering College, Thrissur, Kerala</t>
  </si>
  <si>
    <t>MS Office,AutoCAD,Primavera,MS Project</t>
  </si>
  <si>
    <t>Kulappara Wire Cut Bricks | QA/QC &amp; Sales | Kollam,Kerala | Dec 2022 | Oct 2023 | 42 Weeks
Cubes &amp; Squares |  Interior Fit-outs Intern | Kakkanad, Kerala  | Oct 2023 | Jun 2024 | 35 Weeks</t>
  </si>
  <si>
    <t>NPTEL - Wastewater Treatment and Recycling ( IIT Kharagpur)</t>
  </si>
  <si>
    <t>P26600053</t>
  </si>
  <si>
    <t>Sainath</t>
  </si>
  <si>
    <t>Borawake</t>
  </si>
  <si>
    <t>Tushar Sainath Borawake</t>
  </si>
  <si>
    <t>P26600053@student.nicmar.ac.in</t>
  </si>
  <si>
    <t>Kickboxing</t>
  </si>
  <si>
    <t>Lata</t>
  </si>
  <si>
    <t xml:space="preserve">303 Anad Vihar Building , Mahopor Colony , gondhele nagar , Hadapsar </t>
  </si>
  <si>
    <t>Netaji Subhash Chandra Bose Boys Military School Phulgaon Pune</t>
  </si>
  <si>
    <t>Maharashtra State Board Of Secondary And Higher Secondary Education , Pune</t>
  </si>
  <si>
    <t>Mahadaji Shinde School &amp; Junior College Shrigonda</t>
  </si>
  <si>
    <t xml:space="preserve">Savitribai Phule  Pune University </t>
  </si>
  <si>
    <t>Government College Of Engineering And Research, Avasari Khurd Pune</t>
  </si>
  <si>
    <t>Auto Cad Adavnced Excel</t>
  </si>
  <si>
    <t>Gsource Technologies Private Limited | Junior Quality Checker | pune | Aug 2024 | Jul 2026 | 1 Years, 11 Months, 12 Days | 3.6</t>
  </si>
  <si>
    <t>Divisha Varad Infra  | Intern | pune | Nov 2022 | Feb 2023 | 12 Weeks</t>
  </si>
  <si>
    <t>Irrigation Management
QGIS Lab Training
Scilab Training
Qcad Training</t>
  </si>
  <si>
    <t>P26600054</t>
  </si>
  <si>
    <t>Mundhada</t>
  </si>
  <si>
    <t>Tushar Anirudh Mundhada</t>
  </si>
  <si>
    <t>P26600054@student.nicmar.ac.in</t>
  </si>
  <si>
    <t>04-Mar-2002</t>
  </si>
  <si>
    <t>Scribbling,Travelling,Bike Riding,Listening music</t>
  </si>
  <si>
    <t>Home Builder</t>
  </si>
  <si>
    <t>Urja Narmadda Appt Dighi</t>
  </si>
  <si>
    <t>Noel</t>
  </si>
  <si>
    <t>CBSE Akola Maharashtra</t>
  </si>
  <si>
    <t>Sanjivani K.B.P Polytechnic Kopargaon, Maharashtra</t>
  </si>
  <si>
    <t>AutoCAD,Excel,WaterGems,Revit,E-Tabs</t>
  </si>
  <si>
    <t>Winntus | Technical Sales Engineer | Pune | Jan 2025 | May 2025 | 21 Weeks | Campus Internship</t>
  </si>
  <si>
    <t>P26600055</t>
  </si>
  <si>
    <t>Lalasaheb</t>
  </si>
  <si>
    <t>Rushikesh Lalasaheb Kadam</t>
  </si>
  <si>
    <t>P26600055@student.nicmar.ac.in</t>
  </si>
  <si>
    <t>English Marathi</t>
  </si>
  <si>
    <t>Lalasaheb Bapurao Kadam</t>
  </si>
  <si>
    <t>Saroja Lalasaheb Kadam</t>
  </si>
  <si>
    <t xml:space="preserve">Malumbra,Dist: Ausa </t>
  </si>
  <si>
    <t>Parimal High School latur</t>
  </si>
  <si>
    <t>Vishweshwarayya Polytechinic Almala</t>
  </si>
  <si>
    <t>Sinhgad Academy Of Engineering Kondhwa</t>
  </si>
  <si>
    <t>P26600056</t>
  </si>
  <si>
    <t>Galave</t>
  </si>
  <si>
    <t>Kiran Mahadev Galave</t>
  </si>
  <si>
    <t>kirangalave18@gmail.com</t>
  </si>
  <si>
    <t>P26600056@student.nicmar.ac.in</t>
  </si>
  <si>
    <t xml:space="preserve">Drawing,Trekking </t>
  </si>
  <si>
    <t xml:space="preserve">Mahadev </t>
  </si>
  <si>
    <t>Ex-Army Personal</t>
  </si>
  <si>
    <t>At- Galavewadi post- sonand Tal- sangola Dist- solapur pin-413309</t>
  </si>
  <si>
    <t>Shree Gurukul vidhypeeth rajuri</t>
  </si>
  <si>
    <t>Maharastra state board of secondary and higher secondary education,pune</t>
  </si>
  <si>
    <t>Sanjay Ghodawat Junior College, Atigre</t>
  </si>
  <si>
    <t>Maharastra State Board Of Secondary and Higher Secondary Education , Pune</t>
  </si>
  <si>
    <t>D.Y.Patil College Engineering ,Akurdi</t>
  </si>
  <si>
    <t>AutoCAD,MS-Office</t>
  </si>
  <si>
    <t>M/s. Jai Sai Construction  | Site Civil Engineer | Solapur, Maharashtra | Feb 2024 | Aug 2024 | 0 Years, 6 Months, 30 Days | 1.92
Ammeya Enterprises | Site Engineer  | PUNE | Jun 2023 | Jan 2024 | 0 Years, 7 Months, 19 Days | 1.8
Shraddha Construction Co. | Site Engineer | Pune | May 2025 | Jun 2026 | 1 Years, 0 Months, 25 Days | 4.20</t>
  </si>
  <si>
    <t>Know how | Trainee  | Pune | Mar 2022 | Apr 2022 | 5 Weeks</t>
  </si>
  <si>
    <t>P26600057</t>
  </si>
  <si>
    <t>Raj Ramchandra Jadhav</t>
  </si>
  <si>
    <t>P26600057@student.nicmar.ac.in</t>
  </si>
  <si>
    <t>Running marathon,Playing cricket</t>
  </si>
  <si>
    <t>Rajshri</t>
  </si>
  <si>
    <t>Flat no. 10, Janhvi Apartment, in front of Shani Mandir, Katpur Road, Basweshwar Chowk, Latur</t>
  </si>
  <si>
    <t>Shri Deshikendra Vidyalaya, Latur</t>
  </si>
  <si>
    <t>Puranmal Lahoti Government Polytechnic, Latur, Maharashtra</t>
  </si>
  <si>
    <t>Pimpri Chinchwad College of Engineering and Research, Pune, Maharashtra</t>
  </si>
  <si>
    <t>Nicmar University</t>
  </si>
  <si>
    <t>Millennium Engineers and Contractors Private Limited | Jr Engineer | Pune | Jul 2024 | Jul 2026 | 2 Years, 0 Months, 0 Days | 2.964</t>
  </si>
  <si>
    <t>GT Pride  | Intern | Pune | Feb 2023 | Feb 2023 | 3 Weeks</t>
  </si>
  <si>
    <t>NPTEL: Electronic waste management-issues and challenges</t>
  </si>
  <si>
    <t>P26600058</t>
  </si>
  <si>
    <t>Arjun K M</t>
  </si>
  <si>
    <t>P26600058@student.nicmar.ac.in</t>
  </si>
  <si>
    <t>Reading,Doodling,Cricket,Football</t>
  </si>
  <si>
    <t>MOHANAN K S (Late)</t>
  </si>
  <si>
    <t>REKHA V</t>
  </si>
  <si>
    <t>KATTIANCHIRA HOUSE, ERAVATHODY, KANIYARKODE PO</t>
  </si>
  <si>
    <t>LAKSHMI NARAYANA VIDYANIKETHAN, OTTAPALAM, PALAKKAD</t>
  </si>
  <si>
    <t>CENTRAL BOARD OF SECONDARY EDUCATION, PALAKKAD, KERALA</t>
  </si>
  <si>
    <t>JAWAHARLAL COLLEGE OF ENGINEERING &amp; TECHNOLOGY, PALAKKAD, KERALA</t>
  </si>
  <si>
    <t>AutoCAD,MS Office,Primavera,STAAD Pro,Revit Architecture,3DS Max,Sketchup,Lumion,V-Ray</t>
  </si>
  <si>
    <t>Skyline Foundations and Structures Private Limited | Assistant Engineer | KOCHI | Jan 2026 | Jun 2026 | 0 Years, 4 Months, 13 Days | 3.55
Sobha Limited | Engineer | KOCHI | May 2024 | Jan 2026 | 1 Years, 8 Months, 1 Days | 3.29
Blueline Design &amp; Build | AutoCAD Draughtsman | THRISSUR | Jul 2023 | Apr 2024 | 0 Years, 9 Months, 6 Days | 0.66</t>
  </si>
  <si>
    <t>TORC Infotech Private Limited | Intern | KOCHI | Jun 2022 | Jul 2022 | 2 Weeks</t>
  </si>
  <si>
    <t>QUANTITY SURVEYING
AUTOCAD
REVIT ARCHITECTURE
3DS MAX</t>
  </si>
  <si>
    <t>P26600059</t>
  </si>
  <si>
    <t>Baburao</t>
  </si>
  <si>
    <t>Kolekar</t>
  </si>
  <si>
    <t>Shubham Baburao Kolekar</t>
  </si>
  <si>
    <t>P26600059@student.nicmar.ac.in</t>
  </si>
  <si>
    <t>Bike riding,Trekking</t>
  </si>
  <si>
    <t xml:space="preserve">Maharashtra Government Servent </t>
  </si>
  <si>
    <t>262,Dicholi Babarmachi,tel-Karad,Satara 415105</t>
  </si>
  <si>
    <t>Sai Dham Society, Laxmi nagar,Dhanori pune</t>
  </si>
  <si>
    <t>Netaji Subhashchandra Highschool Koynanagar</t>
  </si>
  <si>
    <t>Maharashtra State Board, Kolhapur</t>
  </si>
  <si>
    <t>SGM ,College Karad</t>
  </si>
  <si>
    <t>TSSM'S BSCOER Pune</t>
  </si>
  <si>
    <t>M.V.CONSTRUCTION | Jr.Engineer | Pune | Sep 2022 | Apr 2024 | 1 Years, 7 Months, 0 Days | 3.6
RAVETKAR GROUP | Jr. Engineer | Pune | May 2024 | May 2026 | 2 Years, 0 Months, 29 Days | 3.6</t>
  </si>
  <si>
    <t>P26600060</t>
  </si>
  <si>
    <t>SRIKANTH</t>
  </si>
  <si>
    <t>GALAM</t>
  </si>
  <si>
    <t>Srikanth Galam</t>
  </si>
  <si>
    <t>srikanthgalam741@gmail.com</t>
  </si>
  <si>
    <t>P26600060@student.nicmar.ac.in</t>
  </si>
  <si>
    <t>ENGLIAH,HINDI,Telugu</t>
  </si>
  <si>
    <t>Listening music,Watching movies,Farming</t>
  </si>
  <si>
    <t>GALAM KOTESWARA RAO</t>
  </si>
  <si>
    <t>Agriculture worker</t>
  </si>
  <si>
    <t>GALAM GOVINDAMMA</t>
  </si>
  <si>
    <t>H NO 4-45, B C Colony, China Uyyalawada</t>
  </si>
  <si>
    <t>GOVT HIGH SCHOOL, CHIMAKURTHY</t>
  </si>
  <si>
    <t>D.A GOVT POLYTECHNIC-ONGOLE</t>
  </si>
  <si>
    <t>ACHARYA NAGARJUNA UNIVERSITY, GUNTUR</t>
  </si>
  <si>
    <t>Bapatla Engineering College, Bapatla</t>
  </si>
  <si>
    <t>Auto CAD,MS Office,MSProject,CYPECAD</t>
  </si>
  <si>
    <t>SITA RAMA INFRA | Industrial Trainee | KURCHEDU | May 2019 | Nov 2019 | 26 Weeks</t>
  </si>
  <si>
    <t xml:space="preserve">Emerging New and Innovation Technologiesin construction
Subsurface Construction </t>
  </si>
  <si>
    <t>P26600061</t>
  </si>
  <si>
    <t>AKSHAYA</t>
  </si>
  <si>
    <t>Akshaya A</t>
  </si>
  <si>
    <t>P26600061@student.nicmar.ac.in</t>
  </si>
  <si>
    <t>English,Malayaalam,Hindi</t>
  </si>
  <si>
    <t>Playing Badminton,Singing</t>
  </si>
  <si>
    <t xml:space="preserve">949338627686 </t>
  </si>
  <si>
    <t>ASOKAN S</t>
  </si>
  <si>
    <t>SICILY V</t>
  </si>
  <si>
    <t xml:space="preserve">Meleveedu, Nedumpallam, Vengodi (PO), Elappully Palakkad </t>
  </si>
  <si>
    <t>Sree Narayana Public School, Kunnachy, Elappully, Palakkad</t>
  </si>
  <si>
    <t>Assisi EMHSS Kanjikode, Palakkad</t>
  </si>
  <si>
    <t>Government of Kerala Board of Higher Secondary Examinations</t>
  </si>
  <si>
    <t>Ahalia School of Engineering &amp; Technology</t>
  </si>
  <si>
    <t>AutoCAD,STAAD.Pro,MS Project,MS Excel,MS Office</t>
  </si>
  <si>
    <t>SA Homes | Junior Engineer - Civil | Koppam, Palakkad | May 2025 | May 2026 | 1 Years, 0 Months, 6 Days | 1.2</t>
  </si>
  <si>
    <t>Mechanics of Materials III: Beam Bending, Coursera
C for Everyone: Programming Fundamentals, Coursera
Autodesk Certified Professional: AutoCAD for Design and Drafting Exam Prep, Coursera
C Programming Tutorial, Sololearn</t>
  </si>
  <si>
    <t>P26600062</t>
  </si>
  <si>
    <t>Praveenkumar</t>
  </si>
  <si>
    <t>Praveenkumar R</t>
  </si>
  <si>
    <t>P26600062@student.nicmar.ac.in</t>
  </si>
  <si>
    <t>26-Aug-1995</t>
  </si>
  <si>
    <t>Cooking,International affairs,Cricket,Gym</t>
  </si>
  <si>
    <t>Rajasekaran</t>
  </si>
  <si>
    <t xml:space="preserve">Sub Inspector of Police </t>
  </si>
  <si>
    <t xml:space="preserve"> Late Pramila </t>
  </si>
  <si>
    <t>3/1010 N.S Nadar Thottam, NGO colony</t>
  </si>
  <si>
    <t>Shri Maharishi Vidya Mandir</t>
  </si>
  <si>
    <t>SMB Matric Higher Secondary School</t>
  </si>
  <si>
    <t>State Board of School Examination Tamilnadu</t>
  </si>
  <si>
    <t>SSM Institute of Engineering and Technology Dindigul</t>
  </si>
  <si>
    <t>Revit Architecture,Ms office,AutoCAD,STAAD Pro</t>
  </si>
  <si>
    <t>Velan Projects  | Site engineer  | Dindigul | Feb 2024 | Jul 2025 | 76 Weeks</t>
  </si>
  <si>
    <t>STAAD Pro V8i
Linux
AWS
Devops
Revit Architecture</t>
  </si>
  <si>
    <t>P26600063</t>
  </si>
  <si>
    <t>Chandan</t>
  </si>
  <si>
    <t>Choudhary</t>
  </si>
  <si>
    <t>Chandan Manoj Choudhary</t>
  </si>
  <si>
    <t>P26600063@student.nicmar.ac.in</t>
  </si>
  <si>
    <t>trekking,cooking,music</t>
  </si>
  <si>
    <t>Manoj Choudhary</t>
  </si>
  <si>
    <t>tecnician</t>
  </si>
  <si>
    <t>Pinki  Choudhary</t>
  </si>
  <si>
    <t>House no 91, Digdoh Near Nagar parishad office, Hingna Road,,Indl.Area Nagpur,440016</t>
  </si>
  <si>
    <t>Yashado Public School</t>
  </si>
  <si>
    <t>Shri Datta Meghe Polytechnic, Nagpur</t>
  </si>
  <si>
    <t>G.H Raisoni Academy of Engineering &amp; Technology, Nagpur</t>
  </si>
  <si>
    <t>MS EXCEL, MS WORD,MS POWERPOINT</t>
  </si>
  <si>
    <t>Orange city water pvt.ltd | Engineer | nagpur | Nov 2022 | May 2026 | 3 Years, 5 Months, 13 Days | 4.09</t>
  </si>
  <si>
    <t>L.G Developers and Builders  | Intern | Nagpur  | May 2018 | Jun 2018 | 4 Weeks</t>
  </si>
  <si>
    <t>Get Set Go Program by  ADCC Academy 
Industrial Motivation Campaign for Youths (IMC-Y) — MSME Technology Centre, Indo-German Tool Room, Nagpur (2020)</t>
  </si>
  <si>
    <t>P26600064</t>
  </si>
  <si>
    <t>JANGA</t>
  </si>
  <si>
    <t xml:space="preserve">SANDEEP </t>
  </si>
  <si>
    <t>Janga Sandeep  Kumar</t>
  </si>
  <si>
    <t>P26600064@student.nicmar.ac.in</t>
  </si>
  <si>
    <t>Personal blogging,Listening podcasts,Bird Watching</t>
  </si>
  <si>
    <t xml:space="preserve">SUBBA RAO </t>
  </si>
  <si>
    <t xml:space="preserve">NARASAMMA </t>
  </si>
  <si>
    <t xml:space="preserve">FARMER </t>
  </si>
  <si>
    <t xml:space="preserve">H. No:1-180, Gamalapadu, Dachepalli </t>
  </si>
  <si>
    <t xml:space="preserve">AP MODEL SCHOOL </t>
  </si>
  <si>
    <t xml:space="preserve">AP MODEL SCHOOL, DACHEPALLI, GUNTUR DISTRICT </t>
  </si>
  <si>
    <t xml:space="preserve">AANM &amp; VVRSR POLYTECHNIC COLLEGE - GUDLAVALLERU </t>
  </si>
  <si>
    <t xml:space="preserve">JNTUK - KAKINADA </t>
  </si>
  <si>
    <t>SAGI RAMA KRISHNAM RAJU ENGINEERING COLLEGE, CHINNA AMIRAM, BHIMAVARAM</t>
  </si>
  <si>
    <t>AutoCAD, MS Office,MS Project,Excel</t>
  </si>
  <si>
    <t>ASCENT CS GLOBAL | Intern | Bhimavaram | Jul 2023 | Sep 2023 | 8 Weeks
SkillDzire | Intern | BHIMAVARAM, ANDHRA PRADESH | Jul 2024 | Sep 2024 | 8 Weeks
SkillDzire | Intern | BHIMAVARAM, ANDHRA PRADESH | Dec 2024 | Apr 2025 | 17 Weeks</t>
  </si>
  <si>
    <t>P26600066</t>
  </si>
  <si>
    <t>SRI HARI</t>
  </si>
  <si>
    <t>BONAM</t>
  </si>
  <si>
    <t>Sri Hari Bonam</t>
  </si>
  <si>
    <t>P26600066@student.nicmar.ac.in</t>
  </si>
  <si>
    <t>Volunteering,Driving,Swimming,Travelling</t>
  </si>
  <si>
    <t>BONAM RAMESH</t>
  </si>
  <si>
    <t>BONAM SANTHA KUMARI</t>
  </si>
  <si>
    <t>H NO 31-63, Sivalayam Street, Cherukuwada, Penugonda Mandal</t>
  </si>
  <si>
    <t>Sri Chaitanya English Medium School, Penugonda</t>
  </si>
  <si>
    <t>Sri Chaitanya Junior College, Palakolu</t>
  </si>
  <si>
    <t>Aditya College Of Engineering and Technology, Andhra Pradesh</t>
  </si>
  <si>
    <t>AutoCAD,Advanced Excel,MS Office,Revit</t>
  </si>
  <si>
    <t>MUMTY CONSTRUCTIONS | Site Enginner Trainee | Yarravaram, Andhra Pradesh | Nov 2025 | May 2026 | 26 Weeks
SKILL DZIRE | Revit Architecture Trainee | Surampalem | Feb 2024 | Apr 2024 | 9 Weeks</t>
  </si>
  <si>
    <t xml:space="preserve">Design of Structural Steel Members </t>
  </si>
  <si>
    <t>P26600067</t>
  </si>
  <si>
    <t>ARYANJALI</t>
  </si>
  <si>
    <t>Aryanjali C R</t>
  </si>
  <si>
    <t>P26600067@student.nicmar.ac.in</t>
  </si>
  <si>
    <t>Reading,Cooking,Listening music,Strength training</t>
  </si>
  <si>
    <t>RAMESAN C R</t>
  </si>
  <si>
    <t xml:space="preserve">PARVATHI P V </t>
  </si>
  <si>
    <t>VAIDOORYAM, OTTAPPALA NAGAR, KARIMBAM PO, TALIPARAMBA, KANNUR, KERALA</t>
  </si>
  <si>
    <t>KENDRIYA VIDYALAYA KELTRON NAGAR</t>
  </si>
  <si>
    <t>MOOTHEDATH HIGHER SECONDARY SCHOOL</t>
  </si>
  <si>
    <t>RAJAGIRI SCHOOL OF ENGINEERING AND TECHNOLOGY KERALA</t>
  </si>
  <si>
    <t>AutoCAD,Primavera,MS Excel</t>
  </si>
  <si>
    <t>OMEGA CONSTRUCTIONS | GRADUATE ENGINEER TRAINEE | KANNUR | Jun 2025 | Jun 2026 | 53 Weeks</t>
  </si>
  <si>
    <t>NPTEL-SUSTAINABLE ENGINEERING CONCEPTS AND LIFE CYCLE ANALYSIS</t>
  </si>
  <si>
    <t>P26600068</t>
  </si>
  <si>
    <t>Kunjilal</t>
  </si>
  <si>
    <t>Bisen</t>
  </si>
  <si>
    <t>Rahul Kunjilal Bisen</t>
  </si>
  <si>
    <t>rahulbisen661@gmail.com</t>
  </si>
  <si>
    <t>P26600068@student.nicmar.ac.in</t>
  </si>
  <si>
    <t>cricket,music</t>
  </si>
  <si>
    <t>Kunjilal Rajaram Bisen</t>
  </si>
  <si>
    <t>bank employee</t>
  </si>
  <si>
    <t>Kunta Kunjilal Bisen</t>
  </si>
  <si>
    <t>Tilak ward, Behind forrest office, Tirora</t>
  </si>
  <si>
    <t>Shahid Mishra high school and junior college</t>
  </si>
  <si>
    <t>maharashtra state board pune,maharashtra</t>
  </si>
  <si>
    <t>Ganesh high school and junior college</t>
  </si>
  <si>
    <t>Maharashtra state board pune,maharashtra</t>
  </si>
  <si>
    <t>Diploma in Civil engineering</t>
  </si>
  <si>
    <t>Government Polytechnic Nagpur,Maharashtra</t>
  </si>
  <si>
    <t>Rashtrasant Tukadoji Maharaj Nagpur,Maharashtra</t>
  </si>
  <si>
    <t>R.V. Parankar college of engineering</t>
  </si>
  <si>
    <t>P26600069</t>
  </si>
  <si>
    <t>Haris</t>
  </si>
  <si>
    <t>ST</t>
  </si>
  <si>
    <t>Haris St</t>
  </si>
  <si>
    <t>harisst2004@gmail.com</t>
  </si>
  <si>
    <t>P26600069@student.nicmar.ac.in</t>
  </si>
  <si>
    <t>04-Nov-2004</t>
  </si>
  <si>
    <t>English,Hindi,Tamil,German</t>
  </si>
  <si>
    <t>Driving,Exploring,Cricket,Cooking,Gym</t>
  </si>
  <si>
    <t xml:space="preserve">E Thiagarajan </t>
  </si>
  <si>
    <t>T Shyamala</t>
  </si>
  <si>
    <t>7/5 Gandhinagar 4th street Tirupur , Tamilnadu - 641603</t>
  </si>
  <si>
    <t>Sri Nachammal Vidyavani Senior Secondary School</t>
  </si>
  <si>
    <t xml:space="preserve">Central Board Of Secondary Education , Tirupur/Tamilnadu </t>
  </si>
  <si>
    <t>Central Board Of Secondary Education , Tirupur/Tamilnadu</t>
  </si>
  <si>
    <t xml:space="preserve">Symbiosis International University </t>
  </si>
  <si>
    <t xml:space="preserve">Symbiosis Institute of Technology ,Pune </t>
  </si>
  <si>
    <t>Autocad,Autodesk Revit,Excel</t>
  </si>
  <si>
    <t>PMK Infra Pvt.LTD  | Civil Engineering Intern | Kozikode, Kerala  | Jan 2026 | Jun 2026 | 21 Weeks</t>
  </si>
  <si>
    <t>Autocad 
Highway Planning Design and Construction offered by L&amp;T EduTech 
German Language A1.1</t>
  </si>
  <si>
    <t>P26600070</t>
  </si>
  <si>
    <t>SANDRA</t>
  </si>
  <si>
    <t>SEIRA</t>
  </si>
  <si>
    <t>Sandra Seira George</t>
  </si>
  <si>
    <t>P26600070@student.nicmar.ac.in</t>
  </si>
  <si>
    <t>06-Oct-1998</t>
  </si>
  <si>
    <t>WALKING,COOKING,WATCHING CRIME DOCUMENTARY,FITNESS &amp; WELLNESS,JOURNALING</t>
  </si>
  <si>
    <t>KURIAN GEORGE</t>
  </si>
  <si>
    <t>SALES MANAGER</t>
  </si>
  <si>
    <t>SHAINI BABY T</t>
  </si>
  <si>
    <t>RETIRED GOVT.EMPLOYEE</t>
  </si>
  <si>
    <t xml:space="preserve">PRATHANA HOUSE,RAMNAGAR 3RD STREET ,PUNKUNNAM,THRISSUR </t>
  </si>
  <si>
    <t xml:space="preserve">KULAPATHI MUNSHI BHAVANS VIDYA MANDIR </t>
  </si>
  <si>
    <t>CBSE- KERALA</t>
  </si>
  <si>
    <t xml:space="preserve">MARTHOMA GIRLS HIGHER SECONDARY SCHOOL </t>
  </si>
  <si>
    <t>SREE ERNAKULATHAPPAN COLLEGE OF ENGINEERING AND MANAGEMENT</t>
  </si>
  <si>
    <t>AUTOCAD,MS EXCEL,MS OFFICE</t>
  </si>
  <si>
    <t>NIRMITHI KENDRA,THRISSUR | INTERN | Thrissur,Kerala,India | Jun 2017 | Jul 2017 | 0 Weeks
PUBLIC WORKS DEPARTMENT  | INTERN | Thrissur,Kerala,India | Jul 2018 | Jul 2018 | 0 Weeks
PB HOMES PVT LTD  | Jr.Site Engineer (Trainee ) | Thrissur,Kerala,India | Feb 2026 | May 2026 | 13 Weeks</t>
  </si>
  <si>
    <t>P26600071</t>
  </si>
  <si>
    <t>Nimbalkar</t>
  </si>
  <si>
    <t>Umesh Rajendra Nimbalkar</t>
  </si>
  <si>
    <t>P26600071@student.nicmar.ac.in</t>
  </si>
  <si>
    <t>10-Jul-1997</t>
  </si>
  <si>
    <t>Learning new software</t>
  </si>
  <si>
    <t>Rajendra Nimbalkar</t>
  </si>
  <si>
    <t>Mangal Nimbalkar</t>
  </si>
  <si>
    <t>Plot n 3 g n 166/1/4 Shivaji maharaj chauk supreem colony midc area jalgaon</t>
  </si>
  <si>
    <t xml:space="preserve">Chakankar niwas, Baner balewadi road ,Chakankar mala, near omkar height pune </t>
  </si>
  <si>
    <t>Zipru Anna Prathamik Madhyamik Vidyalaya jalgaon</t>
  </si>
  <si>
    <t>State Board Of Maharashtra, Jalgaon</t>
  </si>
  <si>
    <t>2013-Oct</t>
  </si>
  <si>
    <t>BGPS' Hi Tech Polytechnic Aurangabad,/ Maharashtra</t>
  </si>
  <si>
    <t>Kavayitri Bahinabai Chaudhari North Maharashtra University</t>
  </si>
  <si>
    <t>G.H. Raisoni Institute Of Engineering &amp; Management jalgaon / Maharashtra</t>
  </si>
  <si>
    <t>Microsoft Excel,Primavera</t>
  </si>
  <si>
    <t>Microsoft Excel
Quantity Surveying Building Estimation And Project Planning
Primavera P6</t>
  </si>
  <si>
    <t>MBA-PEM</t>
  </si>
  <si>
    <t>P26701001</t>
  </si>
  <si>
    <t>Aishwarya Nair</t>
  </si>
  <si>
    <t>P26701001@student.nicmar.ac.in</t>
  </si>
  <si>
    <t>05-Mar-2003</t>
  </si>
  <si>
    <t>ENGLISH, HINDI,MALAYALAM,MARATHI,TAMIL</t>
  </si>
  <si>
    <t>DANCING,PAINTING,LISTENING MUSIC,MOVIES</t>
  </si>
  <si>
    <t>9515 1587 1433</t>
  </si>
  <si>
    <t>SATHEESHKUMAR NAIR</t>
  </si>
  <si>
    <t>SHEELA NAIR</t>
  </si>
  <si>
    <t>B 602, OM PARADISE, VIKASNAGAR, DEHUROAD, PUNE- 412101</t>
  </si>
  <si>
    <t>KENDRIYA VIDYALAYA NO.1, DEHUROAD, PUNE- 412101</t>
  </si>
  <si>
    <t>S B PATIL COLLEGE OF ARCHITECTURE AND DESIGN, AKURDI, PUNE- 411044</t>
  </si>
  <si>
    <t>AUTOCAD, REVIT, BIM, MSP, MS OFFICE,LUMION, SKETCHUP, V RAY, ENSCAPE</t>
  </si>
  <si>
    <t>The Grid Architechets | Architectural Intern | Ahmedabad, Gujarat | Jun 2024 | Dec 2024 | 26 Weeks | Campus Internship</t>
  </si>
  <si>
    <t>P26701007</t>
  </si>
  <si>
    <t>Durva</t>
  </si>
  <si>
    <t>Bhalchandra</t>
  </si>
  <si>
    <t>Narvekar</t>
  </si>
  <si>
    <t>Durva Bhalchandra Narvekar</t>
  </si>
  <si>
    <t>P26701007@student.nicmar.ac.in</t>
  </si>
  <si>
    <t>English, Marathi,Hindi</t>
  </si>
  <si>
    <t>Swimming,Trekking,Adventures</t>
  </si>
  <si>
    <t>Bhavana</t>
  </si>
  <si>
    <t>601, Neha galaxy, sayani road, prabhadevi, mumbai 400025</t>
  </si>
  <si>
    <t>Mahatma Jotiba Phule Kanya Shala Marathi Medium</t>
  </si>
  <si>
    <t>Anjuman-I-Islam's Kalsekar Technical Campus (AIKTC),panvel.</t>
  </si>
  <si>
    <t>MS office,MS project,Autocad,Sketchup,Lumion,Indesign,Excel,Revit</t>
  </si>
  <si>
    <t>Sumedha Gore Architects | Architect | Dadar, mumbai | Apr 2024 | Jun 2026 | 2 Years, 2 Months, 29 Days | 4.2
Vastusiddhi Architects | Junior Architect | Mumbai | Aug 2023 | Feb 2024 | 0 Years, 6 Months, 28 Days | 2.4</t>
  </si>
  <si>
    <t>Scribblers Atelier LLP | Intern Architect | mumbai | Dec 2021 | May 2022 | 23 Weeks</t>
  </si>
  <si>
    <t>Completed GRSF ( Griharmony Redevlopment Stakeholders Federation) course on redevelopment.</t>
  </si>
  <si>
    <t>P26704001</t>
  </si>
  <si>
    <t xml:space="preserve">Priyanka </t>
  </si>
  <si>
    <t>Bobade</t>
  </si>
  <si>
    <t>Priyanka  Bhalchandra Bobade</t>
  </si>
  <si>
    <t>priyankabobade55@gmail.com</t>
  </si>
  <si>
    <t>P26704001@student.nicmar.ac.in</t>
  </si>
  <si>
    <t>Reading,Writing,Painting,Sketching,Crotcheing</t>
  </si>
  <si>
    <t>Bhalchandra Bobade</t>
  </si>
  <si>
    <t>Monika Bobade</t>
  </si>
  <si>
    <t>302, A-wing, Shree Complex, Ahire Gate, Uttamnagar, Shivane, Pune</t>
  </si>
  <si>
    <t>CENTRAL BOARD OF SECONDARY EDUCATION,PUNE</t>
  </si>
  <si>
    <t>SINHAGAD COLLEGE OF ARTS, SCIENCE &amp; COMMERCE (Jr.College)</t>
  </si>
  <si>
    <t>AutoCad,sketchup,D5,Gispro,photoshop,canva</t>
  </si>
  <si>
    <t>Avinash Patil and Associates | Intern | SB Road, Pune | Jun 2025 | Nov 2025 | 24 Weeks | Campus Internship</t>
  </si>
  <si>
    <t>P26704004</t>
  </si>
  <si>
    <t xml:space="preserve">Rashmi </t>
  </si>
  <si>
    <t xml:space="preserve">Abhay </t>
  </si>
  <si>
    <t>Karhade</t>
  </si>
  <si>
    <t>Rashmi  Abhay  Karhade</t>
  </si>
  <si>
    <t>rashmikarhade12@gmail.com</t>
  </si>
  <si>
    <t>P26704004@student.nicmar.ac.in</t>
  </si>
  <si>
    <t xml:space="preserve">Penting, Heritage and Cultural Exploration, Nature Exploration </t>
  </si>
  <si>
    <t>Lt. Abhay</t>
  </si>
  <si>
    <t xml:space="preserve"> Clerk </t>
  </si>
  <si>
    <t xml:space="preserve">Avanti </t>
  </si>
  <si>
    <t xml:space="preserve">At+Po. Aarhernawargoan,Ta. Bramhapuri, District Chandrapur </t>
  </si>
  <si>
    <t xml:space="preserve">Sunrise Girls PG, Laxman nagar, Baner , Pune </t>
  </si>
  <si>
    <t>Dr. Babasaheb Ambedkar School Bramhapuri</t>
  </si>
  <si>
    <t>SSC Maharashtra State board</t>
  </si>
  <si>
    <t>Dr. Babasaheb Abedkar Mahavidyalaya bramhapuri</t>
  </si>
  <si>
    <t xml:space="preserve">HSC Maharashtra state board </t>
  </si>
  <si>
    <t xml:space="preserve">Savitri bai Phule university Pune </t>
  </si>
  <si>
    <t xml:space="preserve">Sinhagd college of Architecture Pune </t>
  </si>
  <si>
    <t>Hiren Gandhi &amp; Associates  | Intern | Ahmedabad | Jun 2023 | Nov 2023 | 0 Years, 4 Months, 15 Days
Lighting Concepts   | Jr. Architect  | Pune | Jul 2024 | Oct 2024 | 0 Years, 3 Months, 11 Days | 2.4
V. K. Associates | Jr. Architect | Nagpur | Dec 2025 | Jun 2026 | 0 Years, 5 Months, 30 Days</t>
  </si>
  <si>
    <t>P26704007</t>
  </si>
  <si>
    <t>Keerti</t>
  </si>
  <si>
    <t>B M</t>
  </si>
  <si>
    <t>Keerti B M</t>
  </si>
  <si>
    <t>bmkeerti72@gmail.com</t>
  </si>
  <si>
    <t>P26704007@student.nicmar.ac.in</t>
  </si>
  <si>
    <t>English, Hindi , Kannada</t>
  </si>
  <si>
    <t>Reading, Cooking,Floral arrangement</t>
  </si>
  <si>
    <t>B M Marularadhya</t>
  </si>
  <si>
    <t>B M Rashmi</t>
  </si>
  <si>
    <t>'Shanth Sadan', Sattur Colony, Vidyagiri</t>
  </si>
  <si>
    <t>Sri Manjunatheshwara Central School, Dharwad</t>
  </si>
  <si>
    <t>Prism PU College</t>
  </si>
  <si>
    <t>Karnataka Board Of The PreUniversity Education, Karnataka</t>
  </si>
  <si>
    <t xml:space="preserve">Savitribai Phule Pune University, Maharashtra </t>
  </si>
  <si>
    <t>Padmashri DR. DY. Patil College of Architecture, Akurdi, Pune</t>
  </si>
  <si>
    <t>MSoffice,SketchUp,D5,Enscape,AutoCAD,Photoshop</t>
  </si>
  <si>
    <t>Envisage | Intern | Bengaluru  | Jun 2025 | Nov 2025 | 23 Weeks</t>
  </si>
  <si>
    <t>P26704008</t>
  </si>
  <si>
    <t>Gaurav Rajendra Sonar</t>
  </si>
  <si>
    <t>argauravsonar@gmail.com</t>
  </si>
  <si>
    <t>P26704008@student.nicmar.ac.in</t>
  </si>
  <si>
    <t>02-Jul-2001</t>
  </si>
  <si>
    <t xml:space="preserve">Trekking, Reading, Politics,Music,History </t>
  </si>
  <si>
    <t>Rajendra Prabhakar Sonar</t>
  </si>
  <si>
    <t>Jyoti Rajendra Sonar</t>
  </si>
  <si>
    <t>301, BLDG NO. 6, CHANAKYA NAGAR, AADHARWADI, UMBARDE ROAD, NEAR SHREE COMPLEX, KALYAN W.</t>
  </si>
  <si>
    <t>Gurunanak English High School</t>
  </si>
  <si>
    <t>KM Agrawal College of Arts, Commerce and Science</t>
  </si>
  <si>
    <t>DR. DY Patil College of Architectutre, Navi Mumbai</t>
  </si>
  <si>
    <t>Autocad, MS Office, Archicad, Photoshop, Revit, Sketchup, Lumion, Enscape, Canva, Arc GIS, Q-GSI</t>
  </si>
  <si>
    <t>Sopan Prabhu Architects and Planners | Jr. Architect | Vashi, Navi MUmbai | Aug 2023 | Mar 2026 | 2 Years, 7 Months, 10 Days | 4.20</t>
  </si>
  <si>
    <t>ARCHITEQN-ICON | Intern Architect | Dombivli, Thane | Nov 2021 | Mar 2022 | 15 Weeks | Campus Internship</t>
  </si>
  <si>
    <t>P26704009</t>
  </si>
  <si>
    <t>Kharade</t>
  </si>
  <si>
    <t>Janhavi Kharade</t>
  </si>
  <si>
    <t>janhavikharade19@gmail.com</t>
  </si>
  <si>
    <t>P26704009@student.nicmar.ac.in</t>
  </si>
  <si>
    <t>Sketching,Gardening,Cooking,Listening Music</t>
  </si>
  <si>
    <t>Gajanan Kharade</t>
  </si>
  <si>
    <t>Vandana Kharade</t>
  </si>
  <si>
    <t>141, A, Unnati Nagar, Kaulkhed, Akola</t>
  </si>
  <si>
    <t>Noel School</t>
  </si>
  <si>
    <t>Z. P. Aagarkar Junior College , Akola</t>
  </si>
  <si>
    <t>Padmabhushan Vasantdada Patil College of Architecture (PVP College of Architecture), Pune,Maharashtra</t>
  </si>
  <si>
    <t>2025-Oct</t>
  </si>
  <si>
    <t>AutoCAD,Sketchup,Lumion,Enscape,ArcGIS,MS Office,Photoshop</t>
  </si>
  <si>
    <t xml:space="preserve">Whitespace | Junior Architect | Kothrud | Nov 2025 | May 2026 | 0 Years, 6 Months, 12 Days | 1.8 </t>
  </si>
  <si>
    <t>Arminio Rebeiro &amp; Associates | Intern  | Panjim,Goa | Jun 2024 | Nov 2024 | 23 Weeks</t>
  </si>
  <si>
    <t>P26704010</t>
  </si>
  <si>
    <t>Kore</t>
  </si>
  <si>
    <t>Sakshi  Shailesh Kore</t>
  </si>
  <si>
    <t>koresakshi01@gmail.com</t>
  </si>
  <si>
    <t>P26704010@student.nicmar.ac.in</t>
  </si>
  <si>
    <t>English,Marathi,Hindi, Kannada</t>
  </si>
  <si>
    <t>Reading,Music, Art</t>
  </si>
  <si>
    <t>Dr. Shailesh Kore</t>
  </si>
  <si>
    <t>Doctor: Radiologist</t>
  </si>
  <si>
    <t>Tr. Roopali Kore</t>
  </si>
  <si>
    <t>Teacher: Coordinator</t>
  </si>
  <si>
    <t>D-4, Savitrinath, 4th Floor, Atharva Vishwa, Pitali Ganpati Marg, Tarabai Park, Kolhapur</t>
  </si>
  <si>
    <t>Srimant Maisaheb Bavadekar Academy, Kolhapur</t>
  </si>
  <si>
    <t>Tatyasaheb Musale Vidyalaya and Junior College, Ichalkaranji</t>
  </si>
  <si>
    <t>School of Architecture, D Y Patil College of Engineering and Technology, Kolhapur</t>
  </si>
  <si>
    <t>AutoCAD,Sketchup,MS Office,Revit,Adobe Photoshop,Architectural Drawing and Documentation,3D Modelling,Visualisation</t>
  </si>
  <si>
    <t>Art N Space Studio, Kolhapur | Intern | Kolhapur | Dec 2023 | Mar 2024 | 11 Weeks
Archland Architects Pvt Ltd | Junior Architect | Kolhapur | Jul 2025 | May 2026 | 44 Weeks</t>
  </si>
  <si>
    <t>P26704011</t>
  </si>
  <si>
    <t>Gandhi</t>
  </si>
  <si>
    <t>Snehal Kiran Gandhi</t>
  </si>
  <si>
    <t>snehalgandhi2002@gmail.com</t>
  </si>
  <si>
    <t>P26704011@student.nicmar.ac.in</t>
  </si>
  <si>
    <t>English,Hindi, Marathi,Marwadi</t>
  </si>
  <si>
    <t>Arts, Craft,Music,Dance,Model making, painting, Sketching</t>
  </si>
  <si>
    <t>Kiran Gokulchand Gandhi</t>
  </si>
  <si>
    <t>Medical Representative</t>
  </si>
  <si>
    <t>Lalita Kiran Gandhi</t>
  </si>
  <si>
    <t>1, Ashtavinayak Colony near Matoshri Udyan, Vinayaknagar, Ahmednnagar</t>
  </si>
  <si>
    <t>Sacred Heart Convent High School</t>
  </si>
  <si>
    <t>Bhausaheb Firodiya High School</t>
  </si>
  <si>
    <t>Dr Bhanuben Nanavati College Of Architecture</t>
  </si>
  <si>
    <t>Autocad 2D,GIS,REVIT,SKETCHUP,PHOTOSHOP,ILLUSTRATOR, INDESIGN,RHINO,TWINMOTION,POWERPOINT,CANVA</t>
  </si>
  <si>
    <t>Sankalp Designers | Intern | Pune | Jun 2025 | Dec 2025 | 26 Weeks</t>
  </si>
  <si>
    <t>P26704012</t>
  </si>
  <si>
    <t>Paidi</t>
  </si>
  <si>
    <t>Paidi Priya Chandrashekhar</t>
  </si>
  <si>
    <t>priyapaidi916@gmail.com</t>
  </si>
  <si>
    <t>P26704012@student.nicmar.ac.in</t>
  </si>
  <si>
    <t>ENGLISH,HINDI, MARATHI,TAMIL</t>
  </si>
  <si>
    <t>TRAVELING, DANCING,LIVE PROTRAIT</t>
  </si>
  <si>
    <t xml:space="preserve">CHANDRASHEKHAR </t>
  </si>
  <si>
    <t xml:space="preserve">SERVICE </t>
  </si>
  <si>
    <t xml:space="preserve">SELVI </t>
  </si>
  <si>
    <t xml:space="preserve">30, C/4 BMC BUILDING, BEHIND RAOLI CAMP FIRE BRIGADE SION KOLIWADA </t>
  </si>
  <si>
    <t xml:space="preserve">S.I.W.S HIGH SCHOOL </t>
  </si>
  <si>
    <t>MAHARASHTRA STATE BOARD OF SECONDARY HIGHER SECONDARY EDUCATION, PUNE MAHARASHTRA</t>
  </si>
  <si>
    <t xml:space="preserve">S.I.W.S JUNIOR COLLEGE </t>
  </si>
  <si>
    <t xml:space="preserve">DR. BALIRAM HIRAY COLLEGE OF ARCHITECTURE </t>
  </si>
  <si>
    <t>AUTOCAD,REVIT, 3DSMAX,MSOFFICE, QGIS,ARCGIS,LUMION,SKETCHUP,PHOTOSHOP</t>
  </si>
  <si>
    <t>KLIC IN GRAPHIC DESIGNING
GIS</t>
  </si>
  <si>
    <t>P26704013</t>
  </si>
  <si>
    <t xml:space="preserve">Dipti </t>
  </si>
  <si>
    <t xml:space="preserve">Kamlakar </t>
  </si>
  <si>
    <t>Dipti  Kamlakar  More</t>
  </si>
  <si>
    <t>diptimore308@gmail.com</t>
  </si>
  <si>
    <t>P26704013@student.nicmar.ac.in</t>
  </si>
  <si>
    <t>Reading,Music,Exploring different cities,Hands-on/craft hobbies,Going to site visits,Physical model making of buildings</t>
  </si>
  <si>
    <t>Kamlakar Anna More</t>
  </si>
  <si>
    <t>Govt.Service</t>
  </si>
  <si>
    <t>Nilima Kamlakar  More</t>
  </si>
  <si>
    <t>Sr.no.204/9,Yashashree Niwas,Bhekrainagar, Phursungi,Pune</t>
  </si>
  <si>
    <t>Sadhana Girls School, Hadapsar</t>
  </si>
  <si>
    <t>Akutai Kalyani Girls Jr College,Hadapsar</t>
  </si>
  <si>
    <t>Sinhgad College Of Architecture, Vadgaon.</t>
  </si>
  <si>
    <t>AutoCAD, SketchUp, Revit, Adobe Photoshop, GIS.</t>
  </si>
  <si>
    <t>Vastuworld INC, Pune | JUNIOR ARCHITECT | Kharadi | Aug 2024 | Jan 2026 | 1 Years, 5 Months, 2 Days
Group Consultants, Pune  | JUNIOR ARCHITECT | Deccan,Pune | Feb 2025 | Jun 2026 | 1 Years, 4 Months, 15 Days</t>
  </si>
  <si>
    <t>REICHAS ARCHITECTS | Intern | Sadashiv Peth, Pune | Jul 2023 | Dec 2023 | 22 Weeks</t>
  </si>
  <si>
    <t>P26704017</t>
  </si>
  <si>
    <t>Indraneel</t>
  </si>
  <si>
    <t>Shahajirao</t>
  </si>
  <si>
    <t>Indraneel Shahajirao Shinde</t>
  </si>
  <si>
    <t>indraneelshinde8@gmail.com</t>
  </si>
  <si>
    <t>P26704017@student.nicmar.ac.in</t>
  </si>
  <si>
    <t>Football, Music, Swimming,Travelling,running</t>
  </si>
  <si>
    <t>Shahajirao Vishnupant Shinde</t>
  </si>
  <si>
    <t>Jayashree Shahajirao Shinde</t>
  </si>
  <si>
    <t>At/po- Borgaon, ward no-2, shri swami samarth path, near ram mandir, tal- walwa</t>
  </si>
  <si>
    <t>7 avenues, c- wing, floor no- 6, flat no- c604, patil nagar, balewadi</t>
  </si>
  <si>
    <t>Vidyaniketan English Medium School, Rajaramnagar</t>
  </si>
  <si>
    <t>Maharashtra State Board of Secondary and Higher Secondary education, Pune</t>
  </si>
  <si>
    <t>Vidyamandir Highschool and Junior College, Islampur</t>
  </si>
  <si>
    <t xml:space="preserve">Marathwada Mitra Mandal’s college of Architecture </t>
  </si>
  <si>
    <t>Autocad, Photoshop, revit, sketchup, lumion, MS Office</t>
  </si>
  <si>
    <t>Yash Architects and Associates | Intern | Pune | Jun 2025 | Nov 2025 | 21 Weeks</t>
  </si>
  <si>
    <t>P26704018</t>
  </si>
  <si>
    <t>Ketaki</t>
  </si>
  <si>
    <t>Sadanand</t>
  </si>
  <si>
    <t>Ketaki Sadanand Kulkarni</t>
  </si>
  <si>
    <t>ar.ketakikulkarni@gmail.com</t>
  </si>
  <si>
    <t>P26704018@student.nicmar.ac.in</t>
  </si>
  <si>
    <t>Reading, Badminton,Music</t>
  </si>
  <si>
    <t xml:space="preserve">Sadanand Nanasaheb Kulkarni </t>
  </si>
  <si>
    <t xml:space="preserve">Archana Sadanand Kulkarni </t>
  </si>
  <si>
    <t>FLAT NO.8 SHRUTI RESIDENCY, VITHAL DARSHAN, NEAR GHAVANE PETROLEUM, ALANDI RD. BHOSARI PUNE 39</t>
  </si>
  <si>
    <t xml:space="preserve">Priyadarshan High School </t>
  </si>
  <si>
    <t xml:space="preserve">Priyadarshani Jr. College </t>
  </si>
  <si>
    <t xml:space="preserve">S. B. Patil College of Architecture &amp; Design, Akurdi </t>
  </si>
  <si>
    <t>AutoCAD, SKETCHUP,Revit,MSoffice,MS project</t>
  </si>
  <si>
    <t>Dezine Lyric  | Jr. Architect  | Pune  | Oct 2025 | Jun 2026 | 0 Years, 8 Months, 2 Days | 3</t>
  </si>
  <si>
    <t>P26704019</t>
  </si>
  <si>
    <t xml:space="preserve">Surabhi </t>
  </si>
  <si>
    <t xml:space="preserve"> Ahirwar</t>
  </si>
  <si>
    <t>Surabhi  Anil  Ahirwar</t>
  </si>
  <si>
    <t>surabhi.ahirwar@gmail.com</t>
  </si>
  <si>
    <t>P26704019@student.nicmar.ac.in</t>
  </si>
  <si>
    <t>Hindi ,English,marathi</t>
  </si>
  <si>
    <t>Painting,Dance</t>
  </si>
  <si>
    <t>Anil Ahirwar</t>
  </si>
  <si>
    <t>Software engineer</t>
  </si>
  <si>
    <t>Ranjana Anil Ahirwar</t>
  </si>
  <si>
    <t>B-102,Saheel's Elegance, Next to MM school, Behind Dmart, Thergaon, Pune</t>
  </si>
  <si>
    <t>Baby's English High School</t>
  </si>
  <si>
    <t>Maharashtra State Board of Secondary and Higher secondary Education</t>
  </si>
  <si>
    <t>Jai Hind Higher Secondary and Jr. College</t>
  </si>
  <si>
    <t>D.Y.Patil College of Architecture, pune</t>
  </si>
  <si>
    <t>Autocad ,Photoshop,ArcGis,Sketchup,MS office</t>
  </si>
  <si>
    <t>P26704020</t>
  </si>
  <si>
    <t>Vivekanand</t>
  </si>
  <si>
    <t>Kambli</t>
  </si>
  <si>
    <t>Sakshi Vivekanand Kambli</t>
  </si>
  <si>
    <t>sakshivkambli09@gmail.com</t>
  </si>
  <si>
    <t>P26704020@student.nicmar.ac.in</t>
  </si>
  <si>
    <t>Reading Books,Music,Playing Musical Instruments</t>
  </si>
  <si>
    <t>9789 2438 1038</t>
  </si>
  <si>
    <t>C/702, Kirtida Apt, M.D.Keni marg, Bhandup East</t>
  </si>
  <si>
    <t>IES Secondary School, Bhandup East</t>
  </si>
  <si>
    <t>KET's V. G. Vaze College of Arts, Science and Commerce, Mulund</t>
  </si>
  <si>
    <t>Rachana Sansad's Academy of Architecture, Mumbai</t>
  </si>
  <si>
    <t>AutoCAD, Rhinocerous,Lumion,Adobe suite,Microsoft office,Vectorworks</t>
  </si>
  <si>
    <t>KUND Per Square Unit | Junior Architect | Dadar, Mumbai | Jan 2024 | Aug 2025 | 1 Years, 6 Months, 10 Days | 3.36</t>
  </si>
  <si>
    <t>Abhikalpan Architects and Planners, Mumbai | Architect Intern | Kanjurmarg, Mumbai | Feb 2022 | Jun 2022 | 16 Weeks</t>
  </si>
  <si>
    <t>P26704021</t>
  </si>
  <si>
    <t>Saste</t>
  </si>
  <si>
    <t>Chaitanya Sanjay  Saste</t>
  </si>
  <si>
    <t>chaitanyasaste1812@gmail.com</t>
  </si>
  <si>
    <t>P26704021@student.nicmar.ac.in</t>
  </si>
  <si>
    <t>18-Dec-2003</t>
  </si>
  <si>
    <t xml:space="preserve">volleyball ,travelling , cricket </t>
  </si>
  <si>
    <t>private employee</t>
  </si>
  <si>
    <t xml:space="preserve">Vaishali </t>
  </si>
  <si>
    <t>girija bungalow, vidya housing soc, behind dist. court , bhigwan road ,Baramati pune</t>
  </si>
  <si>
    <t xml:space="preserve">C- 604 , 7 avenues , paatil nagar , balewadi pune </t>
  </si>
  <si>
    <t>chaitanya's international school, baramati pune</t>
  </si>
  <si>
    <t xml:space="preserve">maharsashtra state board of secoundary and higher secoundary education , pune </t>
  </si>
  <si>
    <t xml:space="preserve">chaitanya's inteernational school , baramati pune </t>
  </si>
  <si>
    <t xml:space="preserve">maharashtra state board of secoundary and higher secoundary education </t>
  </si>
  <si>
    <t xml:space="preserve">marathwada mitra mandal college of architecture , pune </t>
  </si>
  <si>
    <t>auto vad ,skethup , ms-office</t>
  </si>
  <si>
    <t>Dhananjay shinde Design studio  | Intern  | Nashik  | Jun 2025 | Oct 2025 | 18 Weeks</t>
  </si>
  <si>
    <t>P26704023</t>
  </si>
  <si>
    <t xml:space="preserve">Janhavi </t>
  </si>
  <si>
    <t xml:space="preserve">Sudhir </t>
  </si>
  <si>
    <t>Omergekar</t>
  </si>
  <si>
    <t>Janhavi  Sudhir  Omergekar</t>
  </si>
  <si>
    <t>omergekarjanhavi@gmail.com</t>
  </si>
  <si>
    <t>P26704023@student.nicmar.ac.in</t>
  </si>
  <si>
    <t>23/01/2002</t>
  </si>
  <si>
    <t xml:space="preserve">Reading , Dancing , Travelling </t>
  </si>
  <si>
    <t>6656 0070 4771</t>
  </si>
  <si>
    <t xml:space="preserve">Sudhir Omergekar </t>
  </si>
  <si>
    <t xml:space="preserve">Pathology Lab Technician and Farmer </t>
  </si>
  <si>
    <t xml:space="preserve">Nilima Omergekar </t>
  </si>
  <si>
    <t>Flat No. 202/203 Bhagya Appt. Bhagya Nagar, Old Ausa Road, Latur - 413512</t>
  </si>
  <si>
    <t xml:space="preserve">Baswanappa Wale New English Medium School, Latur </t>
  </si>
  <si>
    <t xml:space="preserve">Maharashtra State Board of Secondary and  Higher Secondary Education, Pune </t>
  </si>
  <si>
    <t xml:space="preserve">Keahavraj Uccha Mahavidyalaya, Latur </t>
  </si>
  <si>
    <t xml:space="preserve">Savitribai Phule Pune University, Pune </t>
  </si>
  <si>
    <t xml:space="preserve">Dr. Bhanuben Nanavati College of Architecture for women, Pune </t>
  </si>
  <si>
    <t>AutoCAD, Revit , MS Office , 3DsMAX , Canva</t>
  </si>
  <si>
    <t>VNB Landscape Architects, Pune | Junior Architect | Pune | Jan 2026 | Jun 2026 | 0 Years, 5 Months, 10 Days | 2.28</t>
  </si>
  <si>
    <t>3darcitect, Latur  | Intern  | Latur  | Jun 2024 | Oct 2024 | 16 Weeks</t>
  </si>
  <si>
    <t xml:space="preserve">UNAI DRONES FOR RESILIENCE: JAPAN FLYING LABS IN ACTION
UNAI Capturing spatial data by photogrammetry for scanning and documenting Architectural Heritage, Cape Town
ISDS Green Buildings Certificate </t>
  </si>
  <si>
    <t>P26704024</t>
  </si>
  <si>
    <t>Kor</t>
  </si>
  <si>
    <t>Riya Raghunath Kor</t>
  </si>
  <si>
    <t>riyakor001@gmail.com</t>
  </si>
  <si>
    <t>P26704024@student.nicmar.ac.in</t>
  </si>
  <si>
    <t>09-Dec-2001</t>
  </si>
  <si>
    <t>Painting,Reading</t>
  </si>
  <si>
    <t>Raghunath Kor</t>
  </si>
  <si>
    <t>Ranjana Kor</t>
  </si>
  <si>
    <t>101, H Wing, Mauli Complex, Opp. Goverdhan Enclave, Near RTO, Tawripada, Kalyan (W)</t>
  </si>
  <si>
    <t>Don Bosco School, Kalyan</t>
  </si>
  <si>
    <t>Maharashtra State Board of Secondary &amp; Higher Secondary education, Pune</t>
  </si>
  <si>
    <t>Seth Hirachand Mutha College of Arts, Science &amp; Commerce, Kalyan</t>
  </si>
  <si>
    <t>B. R. Harne College of Architecture, Maharashtra</t>
  </si>
  <si>
    <t>AutoCAD,MS office ,Adobe indesign,Adobe photoshop,Adobe illustrator</t>
  </si>
  <si>
    <t>M/s Creations  | Architect | Mumbai | Jul 2024 | Jun 2026 | 1 Years, 11 Months, 2 Days | 4.50</t>
  </si>
  <si>
    <t>M/s. Creations | Intern Architect | Mumbai | Nov 2022 | Mar 2023 | 17 Weeks</t>
  </si>
  <si>
    <t>P26704025</t>
  </si>
  <si>
    <t>SUBIKSHAA</t>
  </si>
  <si>
    <t>Subikshaa S</t>
  </si>
  <si>
    <t>subikshaasaminathan@gmail.com</t>
  </si>
  <si>
    <t>P26704025@student.nicmar.ac.in</t>
  </si>
  <si>
    <t>19-Oct-2003</t>
  </si>
  <si>
    <t>TRAVEL</t>
  </si>
  <si>
    <t>SAMINATHAN R</t>
  </si>
  <si>
    <t>ARUNADEVI K</t>
  </si>
  <si>
    <t>15 MUNIAPPAN KOVIL THOTTAM,
SEETHARAMPALAYAM PO
TIRUCHENGODE 637209
NAMAKKAL</t>
  </si>
  <si>
    <t>243/1 KATCHERI STREET 
VELUR ROAD EAST
CHB COLONY
TIRUCHENGODE
NAMAKKAL-637211</t>
  </si>
  <si>
    <t>CHENNAI/TAMILNADU</t>
  </si>
  <si>
    <t>KONGU ENGINEERING COLLEGE</t>
  </si>
  <si>
    <t>AutoCAD,revit,staadpro,Arcgis pro</t>
  </si>
  <si>
    <t>P26704026</t>
  </si>
  <si>
    <t>rrahulkr1306@gmail.com</t>
  </si>
  <si>
    <t>P26704026@student.nicmar.ac.in</t>
  </si>
  <si>
    <t>Reading Novels,Playing cricket,Studying current affairs</t>
  </si>
  <si>
    <t>RAJESH KUMAR CHAUDHARY</t>
  </si>
  <si>
    <t>MEETA CHAUDHARY</t>
  </si>
  <si>
    <t>5B/1 VIVEKANAND MARG NORTH SRI KRISHNAPURI PATNA 800013</t>
  </si>
  <si>
    <t>Patna, Bihar</t>
  </si>
  <si>
    <t>ACHARYA INSTITUTE OF TECHNOLOGY, BENGALURU, KARNATAKA</t>
  </si>
  <si>
    <t>AutoCAD, REVIT,ETABS,MS PROJECT</t>
  </si>
  <si>
    <t>HITECH COMPETENT BUILDERS PVT LTD | QUALITY ENGINEER | NEEMRANA  | Jan 2024 | Aug 2025 | 1 Years, 7 Months, 14 Days | 3.6</t>
  </si>
  <si>
    <t>SAAKAAR CONSTRUCTIONS PVT LTD | Junior Site Engineer | Patna, Bihar | Aug 2022 | Sep 2022 | 4 Weeks</t>
  </si>
  <si>
    <t>P26704031</t>
  </si>
  <si>
    <t>BANDU</t>
  </si>
  <si>
    <t>CHANDEKAR</t>
  </si>
  <si>
    <t>Ritika Bandu Chandekar</t>
  </si>
  <si>
    <t>chandekarutika@gmail.com</t>
  </si>
  <si>
    <t>P26704031@student.nicmar.ac.in</t>
  </si>
  <si>
    <t>reading,music,badminton</t>
  </si>
  <si>
    <t>Bandu Bhimaji Chandekar</t>
  </si>
  <si>
    <t>Sulbha Bandu Chandekar</t>
  </si>
  <si>
    <t xml:space="preserve">901/K wing, Jayanti Nagari 7, New Hanuman nagar, Besa Pipla road, Nagpur </t>
  </si>
  <si>
    <t>RITIKA BANDU CHANDEKAR</t>
  </si>
  <si>
    <t>CBSE CHANDRAPUR</t>
  </si>
  <si>
    <t>CTES COLLEGE OF ARCHITECTURE, CHEMBUR, MUMBAI</t>
  </si>
  <si>
    <t>AUTOCAD,SKETCHUP ,REVIT,ARCHCAD,MS OFFICE, PHOTOSHOP</t>
  </si>
  <si>
    <t>Designers Group | Junior Architect | Mumbai | May 2024 | Jun 2026 | 2 Years, 1 Months, 14 Days | 3.24</t>
  </si>
  <si>
    <t>Deepak Architects &amp; Engineers | Intern | Nagpur | Jan 2022 | May 2022 | 20 Weeks</t>
  </si>
  <si>
    <t>P26704032</t>
  </si>
  <si>
    <t>Nisarg</t>
  </si>
  <si>
    <t>Satyappa</t>
  </si>
  <si>
    <t>Hajare</t>
  </si>
  <si>
    <t>Nisarg Satyappa Hajare</t>
  </si>
  <si>
    <t>nisarghajare03@gmail.com</t>
  </si>
  <si>
    <t>P26704032@student.nicmar.ac.in</t>
  </si>
  <si>
    <t xml:space="preserve">Volleyball ,Swimming ,Travelling ,Trekking </t>
  </si>
  <si>
    <t>At/post Panhala , Tal. Panhala , Dist. Kolhapur 416201</t>
  </si>
  <si>
    <t>Panhala Vidya Mandir Panhala</t>
  </si>
  <si>
    <t>Maharashtra State Board Of Secondary &amp; Higher Secondary Education , Pune</t>
  </si>
  <si>
    <t>Vyankatrao Highschool &amp; Junior College , Ichalkaranji</t>
  </si>
  <si>
    <t>Sinhgad College Of Architecture , Pune</t>
  </si>
  <si>
    <t>AutoCAD,Sketchup,MS Office</t>
  </si>
  <si>
    <t>Sanjay A. Adake Architects &amp; Interior Designers , Kolhapur | Intern | Kolhapur | Jun 2025 | Nov 2025 | 21 Weeks</t>
  </si>
  <si>
    <t>P26707001</t>
  </si>
  <si>
    <t>Parth Sharma</t>
  </si>
  <si>
    <t>sharmaparth75053@gmail.com</t>
  </si>
  <si>
    <t>P26707001@student.nicmar.ac.in</t>
  </si>
  <si>
    <t>17-Nov-2004</t>
  </si>
  <si>
    <t xml:space="preserve">Hindi ,English </t>
  </si>
  <si>
    <t>Rakesh kumar Sharma</t>
  </si>
  <si>
    <t>Rekha Sharma</t>
  </si>
  <si>
    <t xml:space="preserve">Ghp Indralok society banipark, Jaipur </t>
  </si>
  <si>
    <t>Aravali Public School</t>
  </si>
  <si>
    <t xml:space="preserve">CBSE Rajasthan </t>
  </si>
  <si>
    <t xml:space="preserve">Delhi Public School </t>
  </si>
  <si>
    <t xml:space="preserve">CBSE, Rajasthan </t>
  </si>
  <si>
    <t xml:space="preserve">Rajasthan University </t>
  </si>
  <si>
    <t xml:space="preserve">St.Xavier College, Rajasthan </t>
  </si>
  <si>
    <t>Advanced Excel, ethical hacking</t>
  </si>
  <si>
    <t>P26707002</t>
  </si>
  <si>
    <t>Vayun</t>
  </si>
  <si>
    <t>Vayun Tiwari</t>
  </si>
  <si>
    <t>varanatiwari@gmail.com</t>
  </si>
  <si>
    <t>P26707002@student.nicmar.ac.in</t>
  </si>
  <si>
    <t xml:space="preserve">Photography, Artwork,Content creation </t>
  </si>
  <si>
    <t>Vareesh Tiwari</t>
  </si>
  <si>
    <t>Dr Anamika Tiwari</t>
  </si>
  <si>
    <t>B 13 shilpi kunj Rewa MP</t>
  </si>
  <si>
    <t>St Joseph s college,  Allahabad UP</t>
  </si>
  <si>
    <t>Council For The Indian School of Certificate Examinations, New Delhi, ICSE BOARD</t>
  </si>
  <si>
    <t>Bal Bharti School, Rewa MP</t>
  </si>
  <si>
    <t>Central Board of Secondary Education, CBSE</t>
  </si>
  <si>
    <t>NIMS UNIVERSITY, JAIPUR, RAJASTHAN</t>
  </si>
  <si>
    <t>NIMS UNIVERSITY, RAJASTHAN</t>
  </si>
  <si>
    <t>P26707003</t>
  </si>
  <si>
    <t xml:space="preserve">Reuben </t>
  </si>
  <si>
    <t xml:space="preserve">Paul </t>
  </si>
  <si>
    <t xml:space="preserve">Santhosh </t>
  </si>
  <si>
    <t xml:space="preserve">Reuben  Paul  Santhosh </t>
  </si>
  <si>
    <t>reubenpaulretrowave@gmail.com</t>
  </si>
  <si>
    <t>P26707003@student.nicmar.ac.in</t>
  </si>
  <si>
    <t>21-Aug-2002</t>
  </si>
  <si>
    <t xml:space="preserve">Trekking , Music ,Badminton </t>
  </si>
  <si>
    <t xml:space="preserve">Santhosh Baby </t>
  </si>
  <si>
    <t>Anu Santhosh</t>
  </si>
  <si>
    <t xml:space="preserve">6/95 D , Panangadan House , Near Cosmos Club , V.R puram P.O ,680722, Chalakudy , Thrissur , Kerala </t>
  </si>
  <si>
    <t>P26707004</t>
  </si>
  <si>
    <t>Amritha</t>
  </si>
  <si>
    <t>Ashokan</t>
  </si>
  <si>
    <t>Amritha Ashokan</t>
  </si>
  <si>
    <t>P26707004@student.nicmar.ac.in</t>
  </si>
  <si>
    <t>English,Hindi,Gujarati,Malayalam</t>
  </si>
  <si>
    <t>Reading,Gaming,Music,Dancing</t>
  </si>
  <si>
    <t>Ashokan Gopalan</t>
  </si>
  <si>
    <t>Suma Ashokan</t>
  </si>
  <si>
    <t>23 B Jivan Apartment, Nr. Gor Na Kuvo, Maninagar East, Ahmedabad - 380008</t>
  </si>
  <si>
    <t xml:space="preserve">Millennium Girls Hostel, NICMAR University, Balewadi, Pune - 411045 </t>
  </si>
  <si>
    <t>Hebron Secondary and Higher Secondary School</t>
  </si>
  <si>
    <t>Gujarat Secondary &amp; Higher Secondary Education Board, Gujarat</t>
  </si>
  <si>
    <t>Edunova Higher Secondary School</t>
  </si>
  <si>
    <t>Gujarat University</t>
  </si>
  <si>
    <t>St. Xavier's College, Ahmedabad, Gujarat</t>
  </si>
  <si>
    <t>MS Office,AutoCAD,Canva,Primavera</t>
  </si>
  <si>
    <t>Avaniruh Nature Services | Botanist | Ahmedabad | Jun 2025 | Jul 2026 | 1 Years, 1 Months, 1 Days | 2.4</t>
  </si>
  <si>
    <t>Intellectual Property Right Training
Organic Farming Workshop
Naturalist Training Program</t>
  </si>
  <si>
    <t>P26707005</t>
  </si>
  <si>
    <t>Koushal</t>
  </si>
  <si>
    <t>Manik</t>
  </si>
  <si>
    <t>Joundal</t>
  </si>
  <si>
    <t>Koushal Manik Joundal</t>
  </si>
  <si>
    <t>Kjoundal@gamil.com</t>
  </si>
  <si>
    <t>P26707005@student.nicmar.ac.in</t>
  </si>
  <si>
    <t>25-May-2002</t>
  </si>
  <si>
    <t xml:space="preserve">Traveling, sport,Reading  </t>
  </si>
  <si>
    <t xml:space="preserve">Joundal mala, Vadanage, Kolhapur, Maharashtra </t>
  </si>
  <si>
    <t>Wood Regency, Behind Amar tech park, balewadhi, Pune</t>
  </si>
  <si>
    <t>Shri Jyotriling vidya Mandir</t>
  </si>
  <si>
    <t xml:space="preserve">Maharashtra state Board / Kolhapur </t>
  </si>
  <si>
    <t>S.M Lohiya Junior College kolhapur.</t>
  </si>
  <si>
    <t xml:space="preserve">Maharashtra state Board of Secondary &amp; Higher Secondary Education   </t>
  </si>
  <si>
    <t xml:space="preserve">Shivaji University </t>
  </si>
  <si>
    <t xml:space="preserve">Kolhapur Institute of Technology's College of Engineering (Autonomous) Kolhapur </t>
  </si>
  <si>
    <t>AutoCAD, MS office ,Degine Builder ,Primavera</t>
  </si>
  <si>
    <t>WEST BEST BUILDCON | Jr. Engineer | Navi Mumbai  | Apr 2024 | May 2025 | 1 Years, 1 Months, 17 Days | 3.2
Sika Solutions pvt.ltd  | Green Building Co-ordinator  | Navi Mumbai  | Aug 2025 | Jun 2026 | 0 Years, 10 Months, 18 Days | 3.12</t>
  </si>
  <si>
    <t>Eco Foot Forward Environmental Consultancy pvt.ltd  | Sustainability Analyst Intern | MUMBAI | Feb 2024 | Mar 2024 | 8 Weeks | Campus Internship</t>
  </si>
  <si>
    <t>P26707006</t>
  </si>
  <si>
    <t xml:space="preserve">Rushali </t>
  </si>
  <si>
    <t>Pralhad</t>
  </si>
  <si>
    <t>Tonge</t>
  </si>
  <si>
    <t>Rushali  Pralhad Tonge</t>
  </si>
  <si>
    <t>P26707006@student.nicmar.ac.in</t>
  </si>
  <si>
    <t>Music,Readingbooks</t>
  </si>
  <si>
    <t>Worker</t>
  </si>
  <si>
    <t>Manjusha</t>
  </si>
  <si>
    <t>ward no. 19 VTC dudhalakala saonga</t>
  </si>
  <si>
    <t xml:space="preserve">New Sunflower English High School,Pipla Narayanwar, Chhindwara </t>
  </si>
  <si>
    <t>Board of secondary Education, Madhya Pradesh, Bhopal</t>
  </si>
  <si>
    <t>Bhalerao Junior college of science Saoner</t>
  </si>
  <si>
    <t>Fire Service Engineering</t>
  </si>
  <si>
    <t>GH Raisoni Insititute of Engineering and Technology Nagpur</t>
  </si>
  <si>
    <t>GH Raisoni University Amravati</t>
  </si>
  <si>
    <t>Nagpur Municipal Corporation, Nagpur Fire and Emergency Service Civil Lines, Nagpur  | Trainee | Nagpur | Sep 2021 | Oct 2021 | 6 Weeks | Campus Internship</t>
  </si>
  <si>
    <t>NPTEL Certifications in Industrial safety Engineering 
Confined Space safety test
Work at Height safety</t>
  </si>
  <si>
    <t>P26707007</t>
  </si>
  <si>
    <t>Vikramsinh</t>
  </si>
  <si>
    <t>Vikramsinh Anil Jadhav</t>
  </si>
  <si>
    <t>P26707007@student.nicmar.ac.in</t>
  </si>
  <si>
    <t>27-Jul-2003</t>
  </si>
  <si>
    <t xml:space="preserve">Playing cricket,Reading ,Travelling </t>
  </si>
  <si>
    <t>Anil Jadhav</t>
  </si>
  <si>
    <t>Asmita Jadhav</t>
  </si>
  <si>
    <t>A/p:- Hingangaon Khurd Tal :-Kadegaon Dist:-Sangli</t>
  </si>
  <si>
    <t>katraj</t>
  </si>
  <si>
    <t>Mahatma Gandhi Highschool Kadegaon</t>
  </si>
  <si>
    <t>Sadguru Gadge Maharaj College Karad</t>
  </si>
  <si>
    <t>Shivaji University,Kolhapur</t>
  </si>
  <si>
    <t>Rajarambapu Institute of Technology Rajaramnagar Islampur</t>
  </si>
  <si>
    <t>MS Office,Python</t>
  </si>
  <si>
    <t>INFOSYS BPM SKILL DEVELOPMENT PROGRAM
NSE Certification</t>
  </si>
  <si>
    <t>P26707008</t>
  </si>
  <si>
    <t>Sidharth</t>
  </si>
  <si>
    <t>Mandke</t>
  </si>
  <si>
    <t>Sidharth Girish Mandke</t>
  </si>
  <si>
    <t>P26707008@student.nicmar.ac.in</t>
  </si>
  <si>
    <t>Yogini</t>
  </si>
  <si>
    <t>Rohan Madhuban ll, Bavdhan, Pune</t>
  </si>
  <si>
    <t xml:space="preserve">Bhartiya Vidya Bhavan </t>
  </si>
  <si>
    <t>State board. Maharashtra</t>
  </si>
  <si>
    <t>New India School and Juniour College</t>
  </si>
  <si>
    <t>SSC. Pune, Maharashtra</t>
  </si>
  <si>
    <t>Abasaheb Garware college. Pune, Maharashtra</t>
  </si>
  <si>
    <t>Basics of GIS</t>
  </si>
  <si>
    <t>BNHS
WNE- India</t>
  </si>
  <si>
    <t>P26707009</t>
  </si>
  <si>
    <t>Maya</t>
  </si>
  <si>
    <t>Ravi</t>
  </si>
  <si>
    <t>Katti</t>
  </si>
  <si>
    <t>Maya Ravi Katti</t>
  </si>
  <si>
    <t>mayarkatti@gmail.com</t>
  </si>
  <si>
    <t>P26707009@student.nicmar.ac.in</t>
  </si>
  <si>
    <t xml:space="preserve">English, Hindi, Kannada,French (A1) </t>
  </si>
  <si>
    <t>Baking, Reading, Birdwatching</t>
  </si>
  <si>
    <t>Ravi N Katti</t>
  </si>
  <si>
    <t>Jahnavi R Katti</t>
  </si>
  <si>
    <t>C3-501, 29 Goldcoast, Lane no 13, Tingre Nagar</t>
  </si>
  <si>
    <t>Air Force School Chandan Nagar Pune</t>
  </si>
  <si>
    <t>Central Board of Secondary Education, Pune</t>
  </si>
  <si>
    <t xml:space="preserve">SMT VP Hanchinmani College </t>
  </si>
  <si>
    <t xml:space="preserve"> Karnataka School Examination and Assessment Board (KSEAB)</t>
  </si>
  <si>
    <t>Indian Institute for Science Research and Education Bhopal</t>
  </si>
  <si>
    <t>MS Excel, Python, R ,C , GIS,MS powerpoint</t>
  </si>
  <si>
    <t>Indian Institute for Human Settlements | Research Intern | Bengaluru | Jan 2026 | Jul 2026 | 25 Weeks
ENS Rennes, France | Masters thesis intern | Rennes, France | Sep 2024 | Mar 2025 | 26 Weeks</t>
  </si>
  <si>
    <t>P26707010</t>
  </si>
  <si>
    <t>Bhaurao</t>
  </si>
  <si>
    <t>Barange</t>
  </si>
  <si>
    <t>Manisha Bhaurao Barange</t>
  </si>
  <si>
    <t>P26707010@student.nicmar.ac.in</t>
  </si>
  <si>
    <t>17-Mar-2000</t>
  </si>
  <si>
    <t>Reading,Dancing,music</t>
  </si>
  <si>
    <t>Bhaurao Barange</t>
  </si>
  <si>
    <t>Jaishri Barange</t>
  </si>
  <si>
    <t>House no 10/c, Sasane Layout, Jaitala, Nagpur, 441106</t>
  </si>
  <si>
    <t>St Claret School</t>
  </si>
  <si>
    <t xml:space="preserve">TIP TOP Convent </t>
  </si>
  <si>
    <t>Fergusson College Pune</t>
  </si>
  <si>
    <t>Environmental Science &amp; Biology</t>
  </si>
  <si>
    <t xml:space="preserve">Fergusson College </t>
  </si>
  <si>
    <t>Autocad, MS office, ARCGIS,Qgis,LCA,Carbon Footprinting ,Google Earth</t>
  </si>
  <si>
    <t>Godrej and Boyce Mfg. co.Ltd | Assistant Manager | Bangalore and Mumbai | Jul 2023 | Feb 2026 | 2 Years, 6 Months, 24 Days | 5.72</t>
  </si>
  <si>
    <t>Pune Municipal Corporation | Intern | Pune  | Jul 2022 | Jun 2023 | 48 Weeks</t>
  </si>
  <si>
    <t>Manisha Barange</t>
  </si>
  <si>
    <t>P26707011</t>
  </si>
  <si>
    <t>Vittanala</t>
  </si>
  <si>
    <t>Vishwa Teja</t>
  </si>
  <si>
    <t>Vittanala Sai Vishwa Teja</t>
  </si>
  <si>
    <t>P26707011@student.nicmar.ac.in</t>
  </si>
  <si>
    <t xml:space="preserve">Telugu , Hindi ,English </t>
  </si>
  <si>
    <t xml:space="preserve">Playing Guitar , Video editing ,Design </t>
  </si>
  <si>
    <t>Vittanala Veera Babu</t>
  </si>
  <si>
    <t>Vittanala Bhavani</t>
  </si>
  <si>
    <t>Receptionist</t>
  </si>
  <si>
    <t xml:space="preserve">1-60, KR Residence </t>
  </si>
  <si>
    <t>Dhatrak Model School</t>
  </si>
  <si>
    <t xml:space="preserve"> TELANGANA STATE BOARD OF INTERMEDIATE EDUCATION</t>
  </si>
  <si>
    <t>VNR Vignana Jyothi Institute of Engineering and Technology</t>
  </si>
  <si>
    <t>AutoCAD,  MS Excel, StAAd pro</t>
  </si>
  <si>
    <t>P26707013</t>
  </si>
  <si>
    <t>Shit</t>
  </si>
  <si>
    <t>Shashwat  Shit</t>
  </si>
  <si>
    <t>sashwat.1320@gmail.com</t>
  </si>
  <si>
    <t>P26707013@student.nicmar.ac.in</t>
  </si>
  <si>
    <t xml:space="preserve">Trekking, travelling, photography, music, exploring </t>
  </si>
  <si>
    <t>Late Kanchan shit</t>
  </si>
  <si>
    <t xml:space="preserve">Advocate </t>
  </si>
  <si>
    <t xml:space="preserve">Arti Kanchan </t>
  </si>
  <si>
    <t xml:space="preserve">Ultratech cement limited, Hirmi, Township f-337, Chattisgarh </t>
  </si>
  <si>
    <t xml:space="preserve">Nicmar University hostel, ultima </t>
  </si>
  <si>
    <t xml:space="preserve">The Aditya Birla public school Hirmi Chattisgarh </t>
  </si>
  <si>
    <t xml:space="preserve">CBSE, Hirmi, Chattisgarh </t>
  </si>
  <si>
    <t xml:space="preserve">The Aditya Birla public school, Rawan, Chattisgarh </t>
  </si>
  <si>
    <t xml:space="preserve">CBSE Grasim vihar Chattisgarh </t>
  </si>
  <si>
    <t xml:space="preserve">Guru Ghasidas Central University Bilaspur Chhattisgarh </t>
  </si>
  <si>
    <t>Forestry</t>
  </si>
  <si>
    <t xml:space="preserve">Fergusson College Pune Maharashtra </t>
  </si>
  <si>
    <t>Environmental Science</t>
  </si>
  <si>
    <t>MS Word, MS Excel ,MS powerpoint ,Canva ,Editing skills ,MS office ,Basics of GIS &amp; Mapping ,Camera traps ,Data management, analysis and interpretation ,Wildlife surveys &amp; ecological field techniques ,EIA ,EHS ,Stakeholder coordination ,Project management</t>
  </si>
  <si>
    <t>The Grasslands Trust, Pune | Project Manager AITE 2026  | Pune, maharashtra  | Dec 2025 | May 2026 | 0 Years, 4 Months, 25 Days
Direct Dialogue initiatives India Private limited  | Outreach Fundraiser  | Pune, maharashtra  | Sep 2024 | Dec 2024 | 0 Years, 3 Months, 3 Days</t>
  </si>
  <si>
    <t>Fergusson College, Pune  | Biodiversity Head  | Ferguson college, Pune  | Sep 2023 | Feb 2024 | 22 Weeks | Campus Internship
Fergusson College, Pune  | Biodiversity Head NAAC audit team  | Ferguson college, Pune  | Mar 2023 | Apr 2023 | 5 Weeks | Campus Internship
Wildlife Institute of India (WII)  | Research Intern | Rajaji National park, Uttarakhand  | Dec 2023 | Dec 2023 | 2 Weeks
NCBS ( National Centre for Biological sciences) Banglore &amp; Wildlife Institute of India (WII)  | Research Intern  | Bandhavgarh Tiger Reserve, Umaria, Madhya Pradesh  | Jan 2021 | Jul 2021 | 27 Weeks
FRLHT (Foundation for Revitalisation of Local Health Traditions), Banglore  | Research Intern  | Achanakmar Tiger Reserve, Bilaspur, Chhattisgarh  | Dec 2020 | Jan 2021 | 3 Weeks
NTCA (National Tiger Conservation Authority) in Achanakmar Tiger Reserve, Forest Department, Chhattisgarh  | Project Lead AITE 2021-2022 | Achanakmar Tiger Reserve, Bilaspur, Chhattisgarh  | Oct 2021 | Oct 2021 | 1 Weeks
KGDM arts, commerce &amp; science College, Niphad, Nashik  | Research Intern under JRF ( Junior Research Fellow) | Ratnagiri, Maharashtra  | Dec 2019 | Jan 2020 | 1 Weeks
WCS India ( Wildlife conservation society ) &amp; HYTICOS ( Hyderabad Tiger conservation society )  | Volunteer  | Ambrabad Tiger Reserve, Nallamala hills, Telangana  | Feb 2020 | Mar 2020 | 3 Weeks
VNC ( Voluntary nature conservancy), Gujarat  | Volunteer  | Vallabh Vidyanagar, Gujarat  | May 2019 | May 2019 | 1 Weeks</t>
  </si>
  <si>
    <t>P26707014</t>
  </si>
  <si>
    <t xml:space="preserve">Keni </t>
  </si>
  <si>
    <t>Shreesh</t>
  </si>
  <si>
    <t>Dilesh</t>
  </si>
  <si>
    <t>Keni  Shreesh Dilesh</t>
  </si>
  <si>
    <t>shreeshkeni575@gmail.com</t>
  </si>
  <si>
    <t>P26707014@student.nicmar.ac.in</t>
  </si>
  <si>
    <t>06-Jun-2004</t>
  </si>
  <si>
    <t>Hindi English Marathi</t>
  </si>
  <si>
    <t xml:space="preserve">Reading books, listening podcasts , gymnasium,adventure sports </t>
  </si>
  <si>
    <t>4464 3040 3025</t>
  </si>
  <si>
    <t xml:space="preserve">Dilesh </t>
  </si>
  <si>
    <t xml:space="preserve">Corporate office </t>
  </si>
  <si>
    <t xml:space="preserve">Late Deepika Dilesh Keni </t>
  </si>
  <si>
    <t>23/401,4th floor,Madhukunj CHS, Kannamwar nagar 1, Vikhroli east</t>
  </si>
  <si>
    <t xml:space="preserve">Udayachal High School </t>
  </si>
  <si>
    <t xml:space="preserve">Secondry and Higher Secondry Education,Pune, Maharashtra </t>
  </si>
  <si>
    <t xml:space="preserve">Diploma in Civil engineering </t>
  </si>
  <si>
    <t xml:space="preserve">Veermata Jijabai Technological Institute, Mumbaj,Maharashtra </t>
  </si>
  <si>
    <t>AP SHAH INSTITUTE of Technology, Thane , Maharashtra</t>
  </si>
  <si>
    <t>Proficient in Autocad Civil</t>
  </si>
  <si>
    <t>P26707015</t>
  </si>
  <si>
    <t>Vighnesh</t>
  </si>
  <si>
    <t>Chakradeo</t>
  </si>
  <si>
    <t>Vighnesh Chakradeo</t>
  </si>
  <si>
    <t>chakradeomvighnesh@gmail.com</t>
  </si>
  <si>
    <t>P26707015@student.nicmar.ac.in</t>
  </si>
  <si>
    <t>12-Apr-2005</t>
  </si>
  <si>
    <t>Reading,listening to music,playing synthesizer</t>
  </si>
  <si>
    <t>Milind Chakradeo</t>
  </si>
  <si>
    <t>Bank Manager</t>
  </si>
  <si>
    <t>Late. Varsha Chakradeo</t>
  </si>
  <si>
    <t>313, Lokmanya Nagar, anjor appartment, Indore [M.P.]</t>
  </si>
  <si>
    <t>P26707016</t>
  </si>
  <si>
    <t>Adhishri</t>
  </si>
  <si>
    <t>Adhishri Vinay Patil</t>
  </si>
  <si>
    <t>adhishripatil0204@gmail.com</t>
  </si>
  <si>
    <t>P26707016@student.nicmar.ac.in</t>
  </si>
  <si>
    <t>02-Apr-2002</t>
  </si>
  <si>
    <t>Jyostna</t>
  </si>
  <si>
    <t>201 Anant Vasaht Kothari Blocks
Bibvewadi Pune</t>
  </si>
  <si>
    <t>A6, 701, Rigved Uptown , Sai Canary Road</t>
  </si>
  <si>
    <t>Sinhagad Spring Dale School</t>
  </si>
  <si>
    <t>BH Chate College</t>
  </si>
  <si>
    <t>Sir JJ College of Architecture</t>
  </si>
  <si>
    <t>AutoCAD, SketchUp, Revit, Lumion, Enscape, Adobe Creative Suite, Microsoft Office, Canva</t>
  </si>
  <si>
    <t>RUA Ecospaces | Junior Green Building Analyst | Mumbai | Jun 2025 | Jun 2026 | 1 Years, 0 Months, 21 Days | 3.36</t>
  </si>
  <si>
    <t>IGBC AP Associate</t>
  </si>
  <si>
    <t>P26707017</t>
  </si>
  <si>
    <t>CHENDIKA</t>
  </si>
  <si>
    <t>SATYA</t>
  </si>
  <si>
    <t>Chendika Rahul Satya</t>
  </si>
  <si>
    <t>satya5rahul@gmail.com</t>
  </si>
  <si>
    <t>P26707017@student.nicmar.ac.in</t>
  </si>
  <si>
    <t>8361 3762 6200</t>
  </si>
  <si>
    <t>Ravi Sri Babu Chendika</t>
  </si>
  <si>
    <t>Surya Kala Chendika</t>
  </si>
  <si>
    <t>202, Subrahmanya Palayamam,KV Rao Street
Labbipet,Vijayawada</t>
  </si>
  <si>
    <t>Sri Chaitanya High School</t>
  </si>
  <si>
    <t>Koneru Lakshmaiah Education Foundation</t>
  </si>
  <si>
    <t>AutoCAD,MS Office,MS Project,primavera,SAP MM,SAP Project systems,STAAD Pro</t>
  </si>
  <si>
    <t>AG&amp;P Pratham | Senior Engineer | Chennai | Jan 2022 | Aug 2024 | 2 Years, 7 Months, 23 Days | 6.85</t>
  </si>
  <si>
    <t>Public Health and Municipal Engineering Department -Govt of AP | Intern | Bhimavaram | May 2019 | Jun 2019 | 4 Weeks
BSCPL Infrastructure limited | Intern | Koppal,Karnataka | Feb 2020 | Mar 2020 | 4 Weeks</t>
  </si>
  <si>
    <t>P26707018</t>
  </si>
  <si>
    <t>Monika</t>
  </si>
  <si>
    <t>Shastry</t>
  </si>
  <si>
    <t>Monika D Shastry</t>
  </si>
  <si>
    <t>monikashastry3@gmail.com</t>
  </si>
  <si>
    <t>P26707018@student.nicmar.ac.in</t>
  </si>
  <si>
    <t>Dancing,Cooking</t>
  </si>
  <si>
    <t>Dayanand Shastry</t>
  </si>
  <si>
    <t>Priya bai</t>
  </si>
  <si>
    <t>SF 03,P.J Residency,near sanjee vani press,Vidya Nagar</t>
  </si>
  <si>
    <t>St.Joseph`s Convent Girls High school</t>
  </si>
  <si>
    <t>Kalaburagi,Karnataka</t>
  </si>
  <si>
    <t>SRI GURU IND PU COLLEGE</t>
  </si>
  <si>
    <t>Sharnbasva University</t>
  </si>
  <si>
    <t>Appa Institute of Engineering and Technology</t>
  </si>
  <si>
    <t>Advanced EXCEL,POWER BI,Solid edge,Python</t>
  </si>
  <si>
    <t>CENTRAL UNIVERSITY OF KARNATAKA | ENERGY ANALYST INTERN | KARNATAKA | Apr 2026 | Jun 2026 | 8 Weeks</t>
  </si>
  <si>
    <t>P26707019</t>
  </si>
  <si>
    <t xml:space="preserve">Kalla </t>
  </si>
  <si>
    <t xml:space="preserve">Neelima </t>
  </si>
  <si>
    <t xml:space="preserve">Priya Aiswarya </t>
  </si>
  <si>
    <t xml:space="preserve">Kalla  Neelima  Priya Aiswarya </t>
  </si>
  <si>
    <t>P26707019@student.nicmar.ac.in</t>
  </si>
  <si>
    <t>12-09-2002</t>
  </si>
  <si>
    <t xml:space="preserve">Telugu, English,Hindi </t>
  </si>
  <si>
    <t>Reading,Music,Dance</t>
  </si>
  <si>
    <t xml:space="preserve">Kalla S N Varaprasad </t>
  </si>
  <si>
    <t xml:space="preserve">Private Employee </t>
  </si>
  <si>
    <t xml:space="preserve">Kalla Vasantha Nagamani </t>
  </si>
  <si>
    <t xml:space="preserve">Domestic Engineer </t>
  </si>
  <si>
    <t xml:space="preserve">14-26-14, Neelakantarao street, Gavarapallem </t>
  </si>
  <si>
    <t xml:space="preserve">Sri Chaitanya English Medium School </t>
  </si>
  <si>
    <t xml:space="preserve">Andhrapradesh </t>
  </si>
  <si>
    <t xml:space="preserve">Sri Chaitanya Junior College </t>
  </si>
  <si>
    <t xml:space="preserve">Board of Intermediate, Andhrapradesh </t>
  </si>
  <si>
    <t xml:space="preserve">Jawaharlal Nehru Technological University Vizayanagaram </t>
  </si>
  <si>
    <t>P26707020</t>
  </si>
  <si>
    <t>Vaishnavi Mane</t>
  </si>
  <si>
    <t>vaishnavimane68330@gmail.com</t>
  </si>
  <si>
    <t>P26707020@student.nicmar.ac.in</t>
  </si>
  <si>
    <t>English, Marathi, Hindi, German</t>
  </si>
  <si>
    <t xml:space="preserve">Reading, Solving puzzles,Following current affairs </t>
  </si>
  <si>
    <t>Electrical engineer</t>
  </si>
  <si>
    <t xml:space="preserve">Bungalow no 7, Shivraj , Gulabnagar society, Dhankawadi, Pune </t>
  </si>
  <si>
    <t xml:space="preserve">Central Board of Secondary Education Pune, Maharashtra </t>
  </si>
  <si>
    <t xml:space="preserve">Muktangan Jr College </t>
  </si>
  <si>
    <t>Abasaheb Garware College</t>
  </si>
  <si>
    <t>Industrial Microbiology</t>
  </si>
  <si>
    <t>MEGA,Autodock,Ms office,  BLAST,Ms excel</t>
  </si>
  <si>
    <t>Brainstorm International  | Teaching Professional  | Tilak road, Pune | Jun 2025 | Mar 2026 | 0 Years, 9 Months, 12 Days | 1</t>
  </si>
  <si>
    <t>Sai baba health care  | Lab Technician  | Pune | Nov 2022 | Jan 2023 | 9 Weeks
Muskurahat Foundation  | Crowdfunding Intern | Mumbai  | Dec 2024 | Jan 2025 | 4 Weeks</t>
  </si>
  <si>
    <t>Microbial Genomics
Y20 model summit</t>
  </si>
  <si>
    <t>P26707021</t>
  </si>
  <si>
    <t xml:space="preserve">Niraj </t>
  </si>
  <si>
    <t xml:space="preserve">Shammikant </t>
  </si>
  <si>
    <t xml:space="preserve">Dorlikar </t>
  </si>
  <si>
    <t xml:space="preserve">Niraj  Shammikant  Dorlikar </t>
  </si>
  <si>
    <t>ndor604@gmail.com</t>
  </si>
  <si>
    <t>P26707021@student.nicmar.ac.in</t>
  </si>
  <si>
    <t>Hindi ,English ,Marathi</t>
  </si>
  <si>
    <t>Reading ,Music,Planting,Gardening</t>
  </si>
  <si>
    <t xml:space="preserve">Shammikant Dorlikar </t>
  </si>
  <si>
    <t xml:space="preserve">Sukeshani Dorlikar </t>
  </si>
  <si>
    <t xml:space="preserve">Near St.Annes High school Behind Budhha Vihar, Vihir Gaon Mul, district. Chandrapur </t>
  </si>
  <si>
    <t xml:space="preserve">St.Annes High School </t>
  </si>
  <si>
    <t xml:space="preserve">Maharashtra State Board of Secondary and Higher Secondary  Education, Pune </t>
  </si>
  <si>
    <t xml:space="preserve">NavBharat Maha Vidyalaya </t>
  </si>
  <si>
    <t xml:space="preserve">Sinhgad College Of Engineering </t>
  </si>
  <si>
    <t>AutoCAD,Revit,Ms Exel,Ms Office</t>
  </si>
  <si>
    <t>Aurra Civil Services | Site Engineer  | Pune  | May 2025 | May 2026 | 1 Years, 0 Months, 3 Days | 3.36</t>
  </si>
  <si>
    <t>P26707022</t>
  </si>
  <si>
    <t>P26707022@student.nicmar.ac.in</t>
  </si>
  <si>
    <t xml:space="preserve">St. Paul's High Secondary School </t>
  </si>
  <si>
    <t>Central Board Of Secondary Education , Indore</t>
  </si>
  <si>
    <t>Indore International School</t>
  </si>
  <si>
    <t>Board Of Secondary Education , Bhopal</t>
  </si>
  <si>
    <t>Rajiv Gandhi Proudyogiki Vishwavidyalaya University</t>
  </si>
  <si>
    <t>Acropolis Institute Of Technology And Research</t>
  </si>
  <si>
    <t>AutoCAD , MS Office</t>
  </si>
  <si>
    <t>P26707023</t>
  </si>
  <si>
    <t>Sitara</t>
  </si>
  <si>
    <t>rose</t>
  </si>
  <si>
    <t>gison</t>
  </si>
  <si>
    <t>Sitara Rose Gison</t>
  </si>
  <si>
    <t>P26707023@student.nicmar.ac.in</t>
  </si>
  <si>
    <t>Malayalam,English,Tamil,Hindi</t>
  </si>
  <si>
    <t>Traveling, trying new food,trying new things ,music,talking</t>
  </si>
  <si>
    <t>Gison T George</t>
  </si>
  <si>
    <t>Maths teacher</t>
  </si>
  <si>
    <t>Merli Gison</t>
  </si>
  <si>
    <t>Nedumkunnam PO</t>
  </si>
  <si>
    <t>All Saints Public School</t>
  </si>
  <si>
    <t>Thiruvananthapuram, Kerala</t>
  </si>
  <si>
    <t>Saintgits College of Engineering, Kottayam, Kerala</t>
  </si>
  <si>
    <t>Autocad, python</t>
  </si>
  <si>
    <t>Calicut Airport Authority  | Engineering Intern  | Calicut Kerala  | Jan 2026 | Feb 2026 | 4 Weeks | Campus Internship
IIT Indore | Research intern | Online  | Dec 2025 | Jan 2026 | 4 Weeks | Campus Internship
Vellapalli Construction  | Construction Intern  | Kozhenjerry | May 2024 | Jun 2024 | 4 Weeks | Campus Internship
Ittoop Construction  | Quantity Surveying Intern  | Taluk Hospital Cherthala | May 2023 | Jun 2024 | 56 Weeks | Campus Internship</t>
  </si>
  <si>
    <t>P26707024</t>
  </si>
  <si>
    <t>SAYYAD</t>
  </si>
  <si>
    <t>RIYAN</t>
  </si>
  <si>
    <t>Sayyad Riyan Javed</t>
  </si>
  <si>
    <t>sayyadriyan88@gmail.com</t>
  </si>
  <si>
    <t>P26707024@student.nicmar.ac.in</t>
  </si>
  <si>
    <t>ENGLISH,HINDI,MARATHI,URDU</t>
  </si>
  <si>
    <t>READING NEWS PAPER,BASKETBALL</t>
  </si>
  <si>
    <t>BUSHRA NIKHAT</t>
  </si>
  <si>
    <t>AT POST MIRAJ, BEHIND SHASTRI CHOWK,KHANAPURE PLOT MRAJ.</t>
  </si>
  <si>
    <t xml:space="preserve"> SANYOOGITA PATIL CAMBRIDGE SCHOOL &amp; JR COLLEGE MIRAJ</t>
  </si>
  <si>
    <t>A.C.S. (AGRI )  JR COLLEGE SIDDHEWADI, TASGOAN</t>
  </si>
  <si>
    <t>AUTOCAD, REVIT</t>
  </si>
  <si>
    <t>RAJKUMAR BHAIRAPPA MORDI  | SITE ENGINEER | JAT, SANGLI | Sep 2025 | May 2026 | 37 Weeks</t>
  </si>
  <si>
    <t>P26707025</t>
  </si>
  <si>
    <t>Atharva Anil Kale</t>
  </si>
  <si>
    <t>atharvakale0504@gmail.com</t>
  </si>
  <si>
    <t>P26707025@student.nicmar.ac.in</t>
  </si>
  <si>
    <t xml:space="preserve">Sports, Music, Exploring new things ,Reading about business and current affairs, Traveling </t>
  </si>
  <si>
    <t>Anil.S.Kale</t>
  </si>
  <si>
    <t>Civil Servant (Principal)</t>
  </si>
  <si>
    <t>Pranita.A.Kale</t>
  </si>
  <si>
    <t>Narayan Nagar near Rukhmini nagar garden Amravati 444606</t>
  </si>
  <si>
    <t xml:space="preserve">CBSE/AMRAVATI/MAHARASHTRA </t>
  </si>
  <si>
    <t>Shri Shivaji Multi Purpose Higher Secondary School</t>
  </si>
  <si>
    <t xml:space="preserve">Maharashtra State Board/Amravati/Maharashtra </t>
  </si>
  <si>
    <t>Panjabrao Deshmukh Krishi Vidhypeeth Akola</t>
  </si>
  <si>
    <t xml:space="preserve">Pr Pote College Of Agriculture Amravati </t>
  </si>
  <si>
    <t>Ms office, excel</t>
  </si>
  <si>
    <t>BASF | Filed Promotional Officer  | Dharni | Jul 2025 | Aug 2025 | 6 Weeks
NAC CROP SCIENCE  | Supervisor  | Amra | Oct 2025 | Nov 2025 | 4 Weeks</t>
  </si>
  <si>
    <t xml:space="preserve">Business Analyst </t>
  </si>
  <si>
    <t>P26707026</t>
  </si>
  <si>
    <t xml:space="preserve">Padma </t>
  </si>
  <si>
    <t>Padma  Sai</t>
  </si>
  <si>
    <t>P26707026@student.nicmar.ac.in</t>
  </si>
  <si>
    <t>19-Jan-2004</t>
  </si>
  <si>
    <t>English, Hindi,Tamil</t>
  </si>
  <si>
    <t>Dancing,Reading books,Cycling</t>
  </si>
  <si>
    <t>Sampathkumar R</t>
  </si>
  <si>
    <t xml:space="preserve">Automobile consultant </t>
  </si>
  <si>
    <t>Deepalakshmi M</t>
  </si>
  <si>
    <t>81, karaneeswarar koil street, Mylapore, Chennai - 04</t>
  </si>
  <si>
    <t>Stanza living waco house, Surya society, Balewadi-411045</t>
  </si>
  <si>
    <t>Naahar Public School</t>
  </si>
  <si>
    <t xml:space="preserve">Meenakshi Sundararajan Engineering College </t>
  </si>
  <si>
    <t>Hochtief | Intern | Chennai | Apr 2025 | Jul 2025 | 17 Weeks | Campus Internship
Airports Authority Of India  | Intern | Chennai | Jul 2024 | Aug 2024 | 1 Weeks | Campus Internship
Southern Railways | Intern | Chennai | Jun 2023 | Jun 2023 | 1 Weeks | Campus Internship</t>
  </si>
  <si>
    <t>P26707027</t>
  </si>
  <si>
    <t>Nishantkumar</t>
  </si>
  <si>
    <t>Bhatt Dhruv Nishantkumar</t>
  </si>
  <si>
    <t>P26707027@student.nicmar.ac.in</t>
  </si>
  <si>
    <t>14-Sep-2005</t>
  </si>
  <si>
    <t>Gujarati,hindi,english</t>
  </si>
  <si>
    <t>Photography,Listening Music,Sports</t>
  </si>
  <si>
    <t>Nishantkumar .G. Bhatt</t>
  </si>
  <si>
    <t>Job in SHCIL</t>
  </si>
  <si>
    <t>Heena .N. Bhatt</t>
  </si>
  <si>
    <t>Housewife and Yoga Teacher</t>
  </si>
  <si>
    <t>A-202 Crystal White Nr. Nilamber Plams, Vasana Bhayli Road, Vadodara</t>
  </si>
  <si>
    <t>C-25 Yoginagar Society, Nr. Aadarsh Park, Chappra Road, Chappra, Navsari</t>
  </si>
  <si>
    <t>Shaishav School</t>
  </si>
  <si>
    <t>State Board, Vadodara/Gujarat</t>
  </si>
  <si>
    <t>Sri Sri University</t>
  </si>
  <si>
    <t>Sri Sri University Cuttack/Odisha</t>
  </si>
  <si>
    <t>MS Power Point, MS Word,MS Excel,C++</t>
  </si>
  <si>
    <t>P26707028</t>
  </si>
  <si>
    <t xml:space="preserve">Ram </t>
  </si>
  <si>
    <t xml:space="preserve">Jawale </t>
  </si>
  <si>
    <t xml:space="preserve">Suraj Ram  Jawale </t>
  </si>
  <si>
    <t>jawalesuraj2020@gmail.com</t>
  </si>
  <si>
    <t>P26707028@student.nicmar.ac.in</t>
  </si>
  <si>
    <t>01-Jun-2002</t>
  </si>
  <si>
    <t xml:space="preserve">Play chess, watch cricket </t>
  </si>
  <si>
    <t xml:space="preserve">Ram Jawale </t>
  </si>
  <si>
    <t xml:space="preserve">Shantabi Ram Jawale </t>
  </si>
  <si>
    <t xml:space="preserve">At post Sakat, tahasil Jamkhed, Dist ahilyanagar </t>
  </si>
  <si>
    <t xml:space="preserve">Shri Nagesh vidyalaya jamkhed, dist ahilyanagar </t>
  </si>
  <si>
    <t>Maharashtra state board of secondary and higher secondary education,pune</t>
  </si>
  <si>
    <t xml:space="preserve">L. N. Hoshing Vidhyalay Jamkhed Dist ahilyanagar </t>
  </si>
  <si>
    <t>Mahatma phule krishi Vidyapeeth ,Rahuri</t>
  </si>
  <si>
    <t xml:space="preserve">Shramshakti college of agriculture Engineering and technology,maldad,tal sangamner, dist ahilyanagar </t>
  </si>
  <si>
    <t>The Strelema  | Senior field excutive  | All Maharastra  | Nov 2025 | Jul 2026 | 0 Years, 7 Months, 20 Days | 3</t>
  </si>
  <si>
    <t>Northern Region Farm Machinery Training and Testing Institutions  | Internship  | Hisar, haryana  | Sep 2023 | Sep 2023 | 3 Weeks
Agrinext consultancy, Pune  | Internship  | Pune | Oct 2023 | Nov 2023 | 4 Weeks
Agrimations pvt ltd | Internship  | Ozar, nashik | Nov 2023 | Feb 2024 | 15 Weeks
ICAR-National institute of abiotic stress management, Malegaon Baramati | Internship  | Malegaon Baramati  | Nov 2022 | Nov 2022 | 4 Weeks</t>
  </si>
  <si>
    <t>P26706001</t>
  </si>
  <si>
    <t xml:space="preserve">Dheeraj </t>
  </si>
  <si>
    <t>Dheeraj  K</t>
  </si>
  <si>
    <t>dheerajkantharaju@gmail.com</t>
  </si>
  <si>
    <t>P26706001@student.nicmar.ac.in</t>
  </si>
  <si>
    <t>English ,Kannada,Hindi</t>
  </si>
  <si>
    <t>Reading books ,Sports</t>
  </si>
  <si>
    <t>Kantharaju M R</t>
  </si>
  <si>
    <t xml:space="preserve">Commercial farmer </t>
  </si>
  <si>
    <t>Sowbhagya A S</t>
  </si>
  <si>
    <t xml:space="preserve">No. 9, mandara, 5th main, 6th cross, sarvaboumanagara, chikkalasandra </t>
  </si>
  <si>
    <t>PRARTHANA HIGH SCHOOL</t>
  </si>
  <si>
    <t>Karnataka Secondary Education Examination Board, Bengaluru</t>
  </si>
  <si>
    <t>Department of Pre-University Education, Bangalore</t>
  </si>
  <si>
    <t>B.M.S College of Engineering, Bangalore</t>
  </si>
  <si>
    <t>AutoCAD,Revit,Primavera,MS Project,MS Excel</t>
  </si>
  <si>
    <t>InCiCon-Ag | Intern | Bangalore | Jul 2024 | Aug 2024 | 4 Weeks</t>
  </si>
  <si>
    <t>P26706002</t>
  </si>
  <si>
    <t xml:space="preserve">Mohd </t>
  </si>
  <si>
    <t xml:space="preserve">Ozair </t>
  </si>
  <si>
    <t>Mohd  Ozair  Khan</t>
  </si>
  <si>
    <t>P26706002@student.nicmar.ac.in</t>
  </si>
  <si>
    <t>Cycling,Swimming,Reading of Holy books</t>
  </si>
  <si>
    <t xml:space="preserve">Museeb Husain Khan </t>
  </si>
  <si>
    <t>Mehraj Khan</t>
  </si>
  <si>
    <t xml:space="preserve">201,Mina Cntr Bldg,Ahmad zakaria nagar A.K.Marg Bandra East Mumbai-51 </t>
  </si>
  <si>
    <t>P26706003</t>
  </si>
  <si>
    <t>Rachit Rajesh Yadav</t>
  </si>
  <si>
    <t>rachityadav2611@gmail.com</t>
  </si>
  <si>
    <t>P26706003@student.nicmar.ac.in</t>
  </si>
  <si>
    <t>17-Aug-2001</t>
  </si>
  <si>
    <t>TREKKING , GYM , TRAVELLING</t>
  </si>
  <si>
    <t>RAJESH KUMAR YADAV</t>
  </si>
  <si>
    <t>GOVERNMENT EMPLOYEE(ENGG)</t>
  </si>
  <si>
    <t>PARVATHI RAJESH YADAV</t>
  </si>
  <si>
    <t xml:space="preserve">60, DWARKA SUMAN VIHAR OPP. AAKSHWANI TOWER KAMPTEE ROAD 
</t>
  </si>
  <si>
    <t xml:space="preserve">106, Nilgiri Apartment, Opposite Automotive Metro Station Kamptee Road Nagpur
</t>
  </si>
  <si>
    <t xml:space="preserve">DELHI PUBLIC SCHOOL </t>
  </si>
  <si>
    <t>NAGPUR/ MAHARASHTRA</t>
  </si>
  <si>
    <t>GH RAISONI COLLEGE OF ENGINEERING NAGPUR/MAHARASHTRA</t>
  </si>
  <si>
    <t>Primavera,autocad</t>
  </si>
  <si>
    <t>Laxmi Civil Engineering Services Pvt Ltd | TRANIEE ENGINEER | MADHYA PRADESH | Jan 2024 | Jun 2024 | 25 Weeks</t>
  </si>
  <si>
    <t>P26706004</t>
  </si>
  <si>
    <t>RITU</t>
  </si>
  <si>
    <t>Ritu Deepak Joshi</t>
  </si>
  <si>
    <t>rj.work0403@gmail.com</t>
  </si>
  <si>
    <t>P26706004@student.nicmar.ac.in</t>
  </si>
  <si>
    <t>MARATHI , ENGLISH, HINDI</t>
  </si>
  <si>
    <t>COOKING,DANCE,MUSIC</t>
  </si>
  <si>
    <t>FLAT NO. 301, BLUEBELL B WING , HIRANANDANI ESTATE, PATLIPADA THANE WEST</t>
  </si>
  <si>
    <t>SRI VANI VIDYSHALA HIGH SCHOOL KALYAN WEST</t>
  </si>
  <si>
    <t>MULUND VIDYAMANDIR</t>
  </si>
  <si>
    <t>MAHARSAHTRA STATE BOARD</t>
  </si>
  <si>
    <t>CTES COLLEGE OF ARCHITECTURE MUMBAI</t>
  </si>
  <si>
    <t>AUTOCAD,PHOTOSHOP,EXCEL,PPT,PRIMAVERA</t>
  </si>
  <si>
    <t>ENVIROSCAPE | JUNIOR ARCHITECT |  Dadar,Mumbai | Oct 2025 | May 2026 | 0 Years, 7 Months, 14 Days</t>
  </si>
  <si>
    <t>ARUNKUMAR DESIGNERS&amp;CONSULTANTS PVT LTD | INTERN | THANE,MAHARASHTRA | Dec 2023 | May 2024 | 22 Weeks | Campus Internship</t>
  </si>
  <si>
    <t>P26706005</t>
  </si>
  <si>
    <t>Harshal Umesh Patil</t>
  </si>
  <si>
    <t>patilharshal2611@gmail.com</t>
  </si>
  <si>
    <t>P26706005@student.nicmar.ac.in</t>
  </si>
  <si>
    <t>Story Writting,Watching Movies</t>
  </si>
  <si>
    <t>Umesh Patil</t>
  </si>
  <si>
    <t xml:space="preserve">22 A, Mahavir Nagar 1, Sakri Tal. Sakri Dist. Dhule 424304 </t>
  </si>
  <si>
    <t>Aadarsh Madhyamic Vidyalaya, Sakri</t>
  </si>
  <si>
    <t>Commerce Management and Computer Science College, Nashik</t>
  </si>
  <si>
    <t>JSPM's Imperial College of Engineering and Research, Pune</t>
  </si>
  <si>
    <t>Mandar Kulkarni &amp; Associates | Civil Engineer Intern | Sakri | Jan 2022 | Feb 2022 | 4 Weeks | Campus Internship</t>
  </si>
  <si>
    <t>Post Graduation Diploma in Advance Computing</t>
  </si>
  <si>
    <t>P26706006</t>
  </si>
  <si>
    <t>Kunal Prakash More</t>
  </si>
  <si>
    <t>morekunal001@gmail.com</t>
  </si>
  <si>
    <t>P26706006@student.nicmar.ac.in</t>
  </si>
  <si>
    <t>Trekking,Travelling,Exploring Nature,Networking,Listening to Music,Reading</t>
  </si>
  <si>
    <t>Prakash More</t>
  </si>
  <si>
    <t>Ranjana More</t>
  </si>
  <si>
    <t>Safai Kamdar</t>
  </si>
  <si>
    <t>Kurar village, Malad East, Mumbai 400097</t>
  </si>
  <si>
    <t>Topi Wala Puspa Park Mahanagar  Palika Madhyamik School</t>
  </si>
  <si>
    <t>DTSS College of Commerce and PD Turakhia Junior College of Commerce and Science</t>
  </si>
  <si>
    <t xml:space="preserve"> VIVA College of Diploma Engineering and Technology, Virar, Maharashtra</t>
  </si>
  <si>
    <t>Viva Institute of Technology, Virar, Maharashtra</t>
  </si>
  <si>
    <t>Neo-Tech Consultants | Site Supervisor | 401-402, The Jewel Apt. (Roxy Cinema Building), Mama Parmanand Marg, Opera House, Charni Road (E) , Mumbai - 400004 | Jan 2025 | Jan 2026 | 1 Years, 0 Months, 30 Days | 3</t>
  </si>
  <si>
    <t>P26706007</t>
  </si>
  <si>
    <t>Vishwajeet</t>
  </si>
  <si>
    <t>Vishwajeet Sudhir Bhosale</t>
  </si>
  <si>
    <t>Vishwajitbhosale11@gmail.com</t>
  </si>
  <si>
    <t>P26706007@student.nicmar.ac.in</t>
  </si>
  <si>
    <t>Reading,playing</t>
  </si>
  <si>
    <t>A/p:-Sakharwadi Tal:-Phaltan Dist:-Satara</t>
  </si>
  <si>
    <t>Tatyasaheb Kore Military Academy,Warananagar.</t>
  </si>
  <si>
    <t>Maharashtra State Board Of Secondary and Higher Secondary Education,Kolhapur</t>
  </si>
  <si>
    <t>Polytechnic Diploma in Electrical Engineering</t>
  </si>
  <si>
    <t>Shivnagar Vidya Prasarak Mandal's  College of Engineering  Malegaon (BK) - Baramati</t>
  </si>
  <si>
    <t>K J College Of Engineering &amp; Management Research, Pune</t>
  </si>
  <si>
    <t>P26706008</t>
  </si>
  <si>
    <t>Mayank Anil Patil</t>
  </si>
  <si>
    <t>P26706008@student.nicmar.ac.in</t>
  </si>
  <si>
    <t>13-Apr-2003</t>
  </si>
  <si>
    <t>Suduku,Learning Rubiks cube</t>
  </si>
  <si>
    <t>Anil Patil</t>
  </si>
  <si>
    <t>Anuja Patil</t>
  </si>
  <si>
    <t>Flat No  1003 , 10th floor,
Jovial Ark Co. Op. Hsg. Socy. Ltd. Near. Kamdhenu Bldg. Eksar road, Bhabai Naka, Borivali (West) Mumbai.400 091</t>
  </si>
  <si>
    <t>N.G.Vartak High School</t>
  </si>
  <si>
    <t>Maharashatra State Board of Secondary and Higher Secondary Education, Pune</t>
  </si>
  <si>
    <t>VIVA College of Science and Commerce</t>
  </si>
  <si>
    <t>Thakur College of Scinece and Commerce</t>
  </si>
  <si>
    <t>Primaver,MS Office</t>
  </si>
  <si>
    <t>Varsha Organics | Junior Project Engineer | Mumbai | Sep 2025 | Apr 2026 | 0 Years, 7 Months, 25 Days | 2</t>
  </si>
  <si>
    <t>Autodesk Cloud Construction | Cloud Support Engineer-Intern | Mumbai | Jul 2024 | Jul 2025 | 54 Weeks
Kaizen India |  Project Management Intern | Mumbai | Feb 2025 | Jun 2025 | 19 Weeks
Turbonet Systems Pvt Ltd | Customer Support Eneginee | Mumbai | Jul 2025 | Aug 2025 | 6 Weeks</t>
  </si>
  <si>
    <t>P26706009</t>
  </si>
  <si>
    <t>P26706009@student.nicmar.ac.in</t>
  </si>
  <si>
    <t>P26706010</t>
  </si>
  <si>
    <t>Gawali</t>
  </si>
  <si>
    <t>Abhishek Bhausaheb Gawali</t>
  </si>
  <si>
    <t>P26706010@student.nicmar.ac.in</t>
  </si>
  <si>
    <t>15-May-2003</t>
  </si>
  <si>
    <t>Riding,travelling</t>
  </si>
  <si>
    <t>Bhausaheb Gawali</t>
  </si>
  <si>
    <t>Kanta Gawali</t>
  </si>
  <si>
    <t>Flat No HA-13 Pride Enigma Phase 3 Sutgirni Chowk Garkheda Aurangabad</t>
  </si>
  <si>
    <t xml:space="preserve">Flat No 6 Floor No 3 Sharmin Apartment, Behind  New Era Bakery Balewadi Banner Pune </t>
  </si>
  <si>
    <t xml:space="preserve"> Council for the Indian School Certificate Examinations</t>
  </si>
  <si>
    <t xml:space="preserve">Deogiri College </t>
  </si>
  <si>
    <t xml:space="preserve">SRM University of Science &amp; Technology </t>
  </si>
  <si>
    <t xml:space="preserve">SRM Institute of Science &amp; Technolgy </t>
  </si>
  <si>
    <t>Electrical &amp; Electronics Engineering</t>
  </si>
  <si>
    <t>Primavera,MS Office,MS Project,Matlab</t>
  </si>
  <si>
    <t>P26706011</t>
  </si>
  <si>
    <t>Disha</t>
  </si>
  <si>
    <t>Disha Mahesh Patil</t>
  </si>
  <si>
    <t>dishampatil04@gmail.com</t>
  </si>
  <si>
    <t>P26706011@student.nicmar.ac.in</t>
  </si>
  <si>
    <t>Hindi, English ,Marathi</t>
  </si>
  <si>
    <t>Watching Movies,Cooking</t>
  </si>
  <si>
    <t>9926 0954 2763</t>
  </si>
  <si>
    <t>Mahesh Namdeo Patil</t>
  </si>
  <si>
    <t xml:space="preserve">Valuer(Real Estate) </t>
  </si>
  <si>
    <t>Sadhana Mahesh Patil</t>
  </si>
  <si>
    <t>F3,Mahalaxmi Complex, Parasnis Colony, Sadar Bazaar, Satara</t>
  </si>
  <si>
    <t>Gurukul School Satara</t>
  </si>
  <si>
    <t>Government Polytechnic, Karad</t>
  </si>
  <si>
    <t>Dr. Babasaheb Ambedkar Technological University, Lonere, Raigad</t>
  </si>
  <si>
    <t>AutoCAD,MS project , Primavera, Excel</t>
  </si>
  <si>
    <t>Disha Valuers | Assistant Valuer | Satara | Aug 2025 | Apr 2026 | 34 Weeks</t>
  </si>
  <si>
    <t>AutoCAD
POSCO Scholarships</t>
  </si>
  <si>
    <t>P26706012</t>
  </si>
  <si>
    <t>Yuvraj</t>
  </si>
  <si>
    <t>Yuvraj Mahesh Jadhav</t>
  </si>
  <si>
    <t>jadhavym30@gmail.com</t>
  </si>
  <si>
    <t>P26706012@student.nicmar.ac.in</t>
  </si>
  <si>
    <t>30-Jul-2001</t>
  </si>
  <si>
    <t xml:space="preserve">English, Marathi,Hindi </t>
  </si>
  <si>
    <t>Maheshkumar Jadhav</t>
  </si>
  <si>
    <t>Anjali Jadhsav</t>
  </si>
  <si>
    <t>At/Post- Umbraj, Tal- Karad, Dist- Satara</t>
  </si>
  <si>
    <t>Global English Medium School and Jr. College, Umbraj</t>
  </si>
  <si>
    <t>Primavera</t>
  </si>
  <si>
    <t>P26706013</t>
  </si>
  <si>
    <t>Aaditya</t>
  </si>
  <si>
    <t>Aaditya Sharma</t>
  </si>
  <si>
    <t>aaditya2005s@gmail.com</t>
  </si>
  <si>
    <t>P26706013@student.nicmar.ac.in</t>
  </si>
  <si>
    <t>09-Sep-2005</t>
  </si>
  <si>
    <t>Sports,Badminton,Music</t>
  </si>
  <si>
    <t>Naveen Kumar</t>
  </si>
  <si>
    <t>Suman Lata</t>
  </si>
  <si>
    <t>C/O: Naveen Kumar, Village Ladher, Post Office Pater, Tehsil Ghumarwin, Ladher (370), PO: Massour, DIST: Bilaspur, Himachal Pradesh, 174026</t>
  </si>
  <si>
    <t>MINERVA SR SEC SCHOOL, GHUMARWIN</t>
  </si>
  <si>
    <t>HIMACHAL PARDESH BOARD OF SCHOOL EDUCATION, HIMACHAL PRADESH</t>
  </si>
  <si>
    <t>JAWAHARLAL NEHRU GOVERNMENT ENGINEERING COLLEGE ,SUNDAR NAGAR ,HIMACHAL PRADESH</t>
  </si>
  <si>
    <t>AutoCAD ,Water GEMS ,STAAD.Pro,Primavera,MS excel,MS PowerPoint</t>
  </si>
  <si>
    <t>P26706014</t>
  </si>
  <si>
    <t>MAKARAND</t>
  </si>
  <si>
    <t>AGAWANE</t>
  </si>
  <si>
    <t>Makarand Dashrath Agawane</t>
  </si>
  <si>
    <t>P26706014@student.nicmar.ac.in</t>
  </si>
  <si>
    <t>English,Marathi,hindi,sanskrit</t>
  </si>
  <si>
    <t>swimming,bike riding ,trekking</t>
  </si>
  <si>
    <t>9503 9665 2364</t>
  </si>
  <si>
    <t xml:space="preserve">Dashrath Agawane </t>
  </si>
  <si>
    <t>Employed</t>
  </si>
  <si>
    <t>Vijaya Agawane</t>
  </si>
  <si>
    <t>RH 25 A/2 Bhavishya Darpan CHS , MIDC PH-2,Near Niwasi Vibhag,Opposite to Shivai Balak mandir Dombivli East</t>
  </si>
  <si>
    <t>IES Chandrakant Patkar Vidyalay</t>
  </si>
  <si>
    <t xml:space="preserve">Maharashtra state board of secondary &amp; higher secondary education </t>
  </si>
  <si>
    <t xml:space="preserve">S.H.Jondhale Polytechnic Dombivli west </t>
  </si>
  <si>
    <t>New Horizon Institute of Technology &amp; Management</t>
  </si>
  <si>
    <t>Thane / Maharashtra</t>
  </si>
  <si>
    <t>BKS Associates  | Junior Enginner | Thane | Nov 2024 | Apr 2025 | 0 Years, 5 Months, 29 Days | 2.5</t>
  </si>
  <si>
    <t>P26706015</t>
  </si>
  <si>
    <t>Ankur</t>
  </si>
  <si>
    <t>Rana</t>
  </si>
  <si>
    <t>Ankur Rana</t>
  </si>
  <si>
    <t>ankur.bhakroi2001@gmail.com</t>
  </si>
  <si>
    <t>P26706015@student.nicmar.ac.in</t>
  </si>
  <si>
    <t>Music,cricket</t>
  </si>
  <si>
    <t>Shiv Kumar Rana</t>
  </si>
  <si>
    <t>Suman Rana</t>
  </si>
  <si>
    <t>40.Vishwa Lakshmi Nagar. Extension
Near Govardhan Chauraha</t>
  </si>
  <si>
    <t>306 Tower B, KM Residency, Near Govardhan Chauraha, Opposite Jamuna Dham</t>
  </si>
  <si>
    <t>Sacred Heart Convent Hr. Sec. School</t>
  </si>
  <si>
    <t>Indian School Certification Examination, Mathura, Uttar Pradesh</t>
  </si>
  <si>
    <t>Rajiv International School</t>
  </si>
  <si>
    <t>Central Board of Secondary Education, Mathura, Uttar Pradesh</t>
  </si>
  <si>
    <t>DIT University, Dehradun, Uttrakhand</t>
  </si>
  <si>
    <t>Autocad 2d,Qgis</t>
  </si>
  <si>
    <t>QGIS</t>
  </si>
  <si>
    <t>P26706016</t>
  </si>
  <si>
    <t>Yashawant</t>
  </si>
  <si>
    <t>Jayebhaye</t>
  </si>
  <si>
    <t>Vaishnavi Yashawant Jayebhaye</t>
  </si>
  <si>
    <t>jayebhayevaishnavi92@gmail.com</t>
  </si>
  <si>
    <t>P26706016@student.nicmar.ac.in</t>
  </si>
  <si>
    <t>Playing Badminton,Drawing &amp; Sketching,Yoga,Cooking,Travelling</t>
  </si>
  <si>
    <t>Yashwant Ramrao Jayebahye</t>
  </si>
  <si>
    <t>Meera</t>
  </si>
  <si>
    <t>AT. Sandol POST Shelgaon DIST Latur</t>
  </si>
  <si>
    <t>Uday Madhymik Vidyalya,Udgir</t>
  </si>
  <si>
    <t>Secondary &amp; Higher Secondary Education, Pune</t>
  </si>
  <si>
    <t>Shivaji Mahavidyalaya, Udgir</t>
  </si>
  <si>
    <t>M.S.Bidve Engineering College, Latur</t>
  </si>
  <si>
    <t>AutoCAD,Primavera,Excel</t>
  </si>
  <si>
    <t>Maharashtra State Electricity Board | Traning | MSEB Branch No.3 Departmental Office | Jul 2024 | Aug 2025 | 56 Weeks
Shreesha Solar System &amp; Elevators | Intern | 112 Gandhi market latur 413512 | Aug 2025 | Aug 2025 | 4 Weeks
EKA Environment Conscious Mobility | Vechicle Flashing(Production) | Pune Ahmednagar Highway, Koregaon Bhima,pune-412216, Maharashtra | Apr 2026 | May 2026 | 5 Weeks</t>
  </si>
  <si>
    <t>P26706017</t>
  </si>
  <si>
    <t>Ankalkote</t>
  </si>
  <si>
    <t>Mahadev Balaji Ankalkote</t>
  </si>
  <si>
    <t>ankalkotemahadev9@gmail.com</t>
  </si>
  <si>
    <t>P26706017@student.nicmar.ac.in</t>
  </si>
  <si>
    <t>19-Mar-2005</t>
  </si>
  <si>
    <t>Travelling, Music,playing cricket</t>
  </si>
  <si>
    <t xml:space="preserve">Balaji </t>
  </si>
  <si>
    <t>Indarthana, Tq.Renapur, Di. Latur, 413512</t>
  </si>
  <si>
    <t>Jankalyan Niwasi Vidhyalay Harangul B, Latur</t>
  </si>
  <si>
    <t xml:space="preserve">Electronics and tele-communication Engineering </t>
  </si>
  <si>
    <t xml:space="preserve">Government Polytechnic Solapur </t>
  </si>
  <si>
    <t>Dr Babasaheb Ambedkar Technological University Lonere - Raigad, Maharashtra</t>
  </si>
  <si>
    <t>M S Bidve Engineering College Latur</t>
  </si>
  <si>
    <t>Autocad,Electrical Autocad, MS Offie</t>
  </si>
  <si>
    <t>Vertex Technosys | Industrial Training  | Solapur | Jul 2022 | Aug 2022 | 6 Weeks</t>
  </si>
  <si>
    <t>P26706018</t>
  </si>
  <si>
    <t>Machale</t>
  </si>
  <si>
    <t>Atharva Ravindra  Machale</t>
  </si>
  <si>
    <t>P26706018@student.nicmar.ac.in</t>
  </si>
  <si>
    <t>11-Feb-2004</t>
  </si>
  <si>
    <t xml:space="preserve">Marathi,Hindi ,English </t>
  </si>
  <si>
    <t xml:space="preserve">Table tennis ,Music,sports </t>
  </si>
  <si>
    <t>Town planner</t>
  </si>
  <si>
    <t xml:space="preserve">Archana machale </t>
  </si>
  <si>
    <t xml:space="preserve">Professor </t>
  </si>
  <si>
    <t xml:space="preserve">411007 aundh pune Maharashtra </t>
  </si>
  <si>
    <t>C.S.A satara</t>
  </si>
  <si>
    <t xml:space="preserve">Satara/ maharashtra </t>
  </si>
  <si>
    <t>Yc college satara</t>
  </si>
  <si>
    <t>Satara/maharashtra</t>
  </si>
  <si>
    <t>Aissms coe (sppu university)</t>
  </si>
  <si>
    <t xml:space="preserve">Pune/ Maharashtra </t>
  </si>
  <si>
    <t>M.Tech-CTM</t>
  </si>
  <si>
    <t>P26709001</t>
  </si>
  <si>
    <t>Sparsh</t>
  </si>
  <si>
    <t>Sparsh Choubey</t>
  </si>
  <si>
    <t>choubeysparsh@gmail.com</t>
  </si>
  <si>
    <t>P26709001@student.nicmar.ac.in</t>
  </si>
  <si>
    <t>Squash,Swimming,Cooking,Travelling,Music</t>
  </si>
  <si>
    <t>Ashok Choubey</t>
  </si>
  <si>
    <t>Sr. GM &amp; State Head – Shree Cement</t>
  </si>
  <si>
    <t>Ranju Choubey</t>
  </si>
  <si>
    <t>D/104, Vaishnavi Hills Apartment, Waxpol Road, Behind Gumla Petrol Pump, Booty More</t>
  </si>
  <si>
    <t xml:space="preserve">Delhi Public School, Greater Ranchi </t>
  </si>
  <si>
    <t>Vikas Vidyalaya, Ranchi</t>
  </si>
  <si>
    <t xml:space="preserve">SRM University </t>
  </si>
  <si>
    <t>SRM Institute of Science and Technology, Kattankulathur</t>
  </si>
  <si>
    <t>Site Analysis,Quality, Market survey, Project Management,autocad,MS Office</t>
  </si>
  <si>
    <t>JK Lakshmi Cement  | Internship Trainee | Delhi | Dec 2025 | Jan 2026 | 4 Weeks
Public Works Department (PWD) | Summer Intern | Imphal, Manipur | May 2025 | Jun 2025 | 4 Weeks
The Ramco Cements Limited  | Engineer Intern | Jayanthipuram, Andhra Pradesh | Dec 2024 | Dec 2024 | 2 Weeks
Larsen &amp; Toubro | Project Intern | Chennai, Tamil Nadu | Jun 2024 | Jul 2024 | 4 Weeks
Ultratech Cement | Project Engineering Intern | Ranchi Jharkhand | Dec 2023 | Dec 2023 | 2 Weeks
Dalmia Cement | Internship Trainee | Dalmiapuram, Trichy, Tamil Nadu | Sep 2023 | Oct 2023 | 1 Weeks
Adani Cement  | Internship Trainee | Ranchi , Jharkhand | Jun 2023 | Jun 2023 | 2 Weeks</t>
  </si>
  <si>
    <t>AI for Management &amp; Management support Specialization
CODETANTRA/ Programming for Problem Solving - 21CSSIOIJ</t>
  </si>
  <si>
    <t>P26709002</t>
  </si>
  <si>
    <t xml:space="preserve">RAVINDRA </t>
  </si>
  <si>
    <t>GOJE</t>
  </si>
  <si>
    <t>Shrihari Ravindra  Goje</t>
  </si>
  <si>
    <t>P26709002@student.nicmar.ac.in</t>
  </si>
  <si>
    <t>RAVINDRA GOJE</t>
  </si>
  <si>
    <t>VIDYA GOJE</t>
  </si>
  <si>
    <t>H. NO 5, GOJE BUILDING INDEPENDENCE ROAD, CAMP, BELAGAVI, KARNATAKA, 590001</t>
  </si>
  <si>
    <t>ST PAULS HIGH SCHOOL BELAGAVI</t>
  </si>
  <si>
    <t>GOVINDRAM SEKSARIA SCIENCE PU COLLEGE</t>
  </si>
  <si>
    <t xml:space="preserve">GOVT OF KARNATAKA DEPARTMENT OF PRE UNIVERSITY EDUCATION </t>
  </si>
  <si>
    <t>Jain College of Engineering Belagavi</t>
  </si>
  <si>
    <t>AutoCAD, MS Office, MS Project,Sktechup</t>
  </si>
  <si>
    <t>P26709003</t>
  </si>
  <si>
    <t>Prashant Yadav</t>
  </si>
  <si>
    <t>prashantyd781@gmail.com</t>
  </si>
  <si>
    <t>P26709003@student.nicmar.ac.in</t>
  </si>
  <si>
    <t>Reading,Gym,Doodling</t>
  </si>
  <si>
    <t>Rajesh Kumar Yadav</t>
  </si>
  <si>
    <t>Surmila Yadav</t>
  </si>
  <si>
    <t>Ashok Nagar Etawah</t>
  </si>
  <si>
    <t>Delhi Public School Etawah</t>
  </si>
  <si>
    <t>Shiv Nadar University</t>
  </si>
  <si>
    <t>AutoCAD, Revit,Staad pro</t>
  </si>
  <si>
    <t>Sanrachna Prahari Pvt Ltd (SPPL India) | Civil Engineering Intern | IIT Delhi | May 2025 | Aug 2025 | 11 Weeks
Cortex Construction Solutions | Civil Engineering Intern | New Delhi | Jan 2025 | Feb 2025 | 5 Weeks</t>
  </si>
  <si>
    <t>Introduction to AI for management professionals</t>
  </si>
  <si>
    <t>P26709004</t>
  </si>
  <si>
    <t>Srivishnu</t>
  </si>
  <si>
    <t>Srivishnu R S</t>
  </si>
  <si>
    <t>srivishnu.official28@gmail.com</t>
  </si>
  <si>
    <t>P26709004@student.nicmar.ac.in</t>
  </si>
  <si>
    <t>Dance,football,snooker,pickle ball</t>
  </si>
  <si>
    <t>Late Sekar K N R</t>
  </si>
  <si>
    <t>Rama P</t>
  </si>
  <si>
    <t>A/51 794, Sekilar street, Vetuvasathi variyam, Kumbakonam thaluka,
Annalagraharam, Tamilnadu-612401</t>
  </si>
  <si>
    <t>Thanjavur, Tamilnadu</t>
  </si>
  <si>
    <t>GIRI HOMES | Site Engineer | KUMBAKONAM | May 2024 | Jun 2024 | 4 Weeks</t>
  </si>
  <si>
    <t>Autodesk Revit - Beginner to Intermediate level</t>
  </si>
  <si>
    <t>P26709005</t>
  </si>
  <si>
    <t>Chandru K</t>
  </si>
  <si>
    <t>P26709005@student.nicmar.ac.in</t>
  </si>
  <si>
    <t>14-Nov-2004</t>
  </si>
  <si>
    <t>4539 1660 4914</t>
  </si>
  <si>
    <t>Kannan S</t>
  </si>
  <si>
    <t>Vasanthi K</t>
  </si>
  <si>
    <t>A1 green park apartment,visalakshipuram,madurai 625014</t>
  </si>
  <si>
    <t>Mahatma Montessori Matriculation Higher Secondary School</t>
  </si>
  <si>
    <t>Mepco Schlenk Engineering College Post, Sivakasi, Virudhunagar District, Tamil Nadu - 626005, India</t>
  </si>
  <si>
    <t>AutoCAD, MS Office, MS Project, Primavera,Excel,staadpro</t>
  </si>
  <si>
    <t>P26709006</t>
  </si>
  <si>
    <t>Anirudh B</t>
  </si>
  <si>
    <t>anirudhbarki@gmail.com</t>
  </si>
  <si>
    <t>P26709006@student.nicmar.ac.in</t>
  </si>
  <si>
    <t>English ,hindi,kannada,telgu</t>
  </si>
  <si>
    <t>Music, fitness</t>
  </si>
  <si>
    <t>RAGHUNATH PRASAD B A</t>
  </si>
  <si>
    <t>MECHNICAL ENGINEER</t>
  </si>
  <si>
    <t>MANJULA B</t>
  </si>
  <si>
    <t>#303, 3rd Floor, Annai Residency, 4th main, T C palya main road, Hoysala nagar, Bangalore, Karnataka -560016</t>
  </si>
  <si>
    <t>AMARA JYOTHI PUBLIC SCHOOL</t>
  </si>
  <si>
    <t>CENTRAL BOARD OF SECONDARY EXAMINATION , DELHI</t>
  </si>
  <si>
    <t>DEPARTMENT OF PRE-UNIVERSITY EDUCATION , KARNATAKA</t>
  </si>
  <si>
    <t>CAMBRIDGE INSTITUTE OF TECHNOLOGY, BANGALORE</t>
  </si>
  <si>
    <t>AUTO CAD ,MS OFFICE,PROJECT MANAGEMENT,REVIT</t>
  </si>
  <si>
    <t>Urban Vault | Project manager | BANGALORE | Jul 2024 | Jun 2026 | 1 Years, 11 Months, 2 Days | 6.5</t>
  </si>
  <si>
    <t>ALCON CONSULTING ENGINEERS (INDIA) PRIVATE LIMITED | INTERN | BANGALORE | Feb 2024 | Mar 2024 | 4 Weeks</t>
  </si>
  <si>
    <t>P26709007</t>
  </si>
  <si>
    <t>Arjun D</t>
  </si>
  <si>
    <t>P26709007@student.nicmar.ac.in</t>
  </si>
  <si>
    <t>07-Jun-2004</t>
  </si>
  <si>
    <t>English,hindi,tamil,telugu,french</t>
  </si>
  <si>
    <t>Reading novels,Music ,football,gym</t>
  </si>
  <si>
    <t>D B Madhusudhan</t>
  </si>
  <si>
    <t>R Sreelekha</t>
  </si>
  <si>
    <t>School Headmistress</t>
  </si>
  <si>
    <t>Block-8, 3B, Asvini Amarisa appts, Kalasathamman Koil street, Ramapuram, Chennai - 89</t>
  </si>
  <si>
    <t xml:space="preserve">Lalaji Memorial Omega International School </t>
  </si>
  <si>
    <t>CBSE, Chennai, Tamil Nadu</t>
  </si>
  <si>
    <t>Shiv Nadar University, Greater Noida, NCR, Uttar Pradesh</t>
  </si>
  <si>
    <t>AutoCAD,Revit,Excel,STAADPro,Python,MS Office</t>
  </si>
  <si>
    <t>Shiv Nadar University | Student Researcher | Greater Noida, NCR, Uttar Pradesh | Aug 2025 | May 2026 | 39 Weeks | Campus Internship
L&amp;T | Summer Intern  | Chennai, Tamil Nadu | May 2025 | Jul 2025 | 9 Weeks
DBM Vircon | Summer Intern | Chennai, India | May 2024 | Jul 2024 | 9 Weeks</t>
  </si>
  <si>
    <t>Construction Project Management
AI for Management &amp; Management support Specialization
NCC
Student Conference on Paris Agreement</t>
  </si>
  <si>
    <t>P26709008</t>
  </si>
  <si>
    <t>Singare</t>
  </si>
  <si>
    <t>Aditya Singare</t>
  </si>
  <si>
    <t>P26709008@student.nicmar.ac.in</t>
  </si>
  <si>
    <t>08-Jan-2004</t>
  </si>
  <si>
    <t xml:space="preserve">Reading, Cricket ,Photography </t>
  </si>
  <si>
    <t>689749656949A</t>
  </si>
  <si>
    <t>Rajkumar Singare</t>
  </si>
  <si>
    <t>Central gov. Officer</t>
  </si>
  <si>
    <t>Sheetal Singare</t>
  </si>
  <si>
    <t>E-404, Gera World of Joy, Upper Kharadi</t>
  </si>
  <si>
    <t xml:space="preserve">St. joseph's convent </t>
  </si>
  <si>
    <t>Bonnie Foi Co-Ed School</t>
  </si>
  <si>
    <t>Rajiv Gandhi Prodyougiki Vishwavidhyala</t>
  </si>
  <si>
    <t>Lakshmi Narain College of Technology</t>
  </si>
  <si>
    <t>AutoCad, MS Office</t>
  </si>
  <si>
    <t>P26709009</t>
  </si>
  <si>
    <t>Koli</t>
  </si>
  <si>
    <t>Koli Aditya Kishor</t>
  </si>
  <si>
    <t>koliaditya303@gmail.com</t>
  </si>
  <si>
    <t>P26709009@student.nicmar.ac.in</t>
  </si>
  <si>
    <t>13-Apr-2004</t>
  </si>
  <si>
    <t>Sports, Cooking</t>
  </si>
  <si>
    <t>Kishor Damodar Koli</t>
  </si>
  <si>
    <t>Civil Contractor ( Deceased )</t>
  </si>
  <si>
    <t>Pooja Kishor Koli</t>
  </si>
  <si>
    <t>Matoshri, At - Koliwada, Tal-Pen, Dist-Raigad, Pen-402107.</t>
  </si>
  <si>
    <t>Carmel High School, Pen</t>
  </si>
  <si>
    <t>Datta Meghe College of Engineering, Airoli, Navi-Mumbai</t>
  </si>
  <si>
    <t>P26709010</t>
  </si>
  <si>
    <t xml:space="preserve">Om </t>
  </si>
  <si>
    <t>Chaudhari</t>
  </si>
  <si>
    <t>Om  Vijay  Chaudhari</t>
  </si>
  <si>
    <t>P26709010@student.nicmar.ac.in</t>
  </si>
  <si>
    <t>Music,bike ride</t>
  </si>
  <si>
    <t>Vijay Dattatrey Chaudhari</t>
  </si>
  <si>
    <t>Minakshi Vijay Chaudhari</t>
  </si>
  <si>
    <t xml:space="preserve">Prerna Housing Society House No. 5 Behind New Bus Stand Bodakenagar Junnar </t>
  </si>
  <si>
    <t>P26709011</t>
  </si>
  <si>
    <t>Ankita Kumari</t>
  </si>
  <si>
    <t>P26709011@student.nicmar.ac.in</t>
  </si>
  <si>
    <t>Sports,Music,Travelling</t>
  </si>
  <si>
    <t>Paras Kumar</t>
  </si>
  <si>
    <t>Madhubala Kumari</t>
  </si>
  <si>
    <t>B103, Vishwanath Apartment, Devimanadap Road, Piska More, Raut Road, Ranchi, 834005</t>
  </si>
  <si>
    <t>DAV Public School</t>
  </si>
  <si>
    <t>Central Board Of Secondary Education, Ranchi/ Jharkhand</t>
  </si>
  <si>
    <t>ST Johns SR Sec School</t>
  </si>
  <si>
    <t>Central Board Of Secondary Education, Kota/ Rajasthan</t>
  </si>
  <si>
    <t>Kalinga Institute OF Industrial Technology, Bhubaneswar/ Odisha</t>
  </si>
  <si>
    <t>MS Office,AutoCAD,Python Language Basic</t>
  </si>
  <si>
    <t>P26709012</t>
  </si>
  <si>
    <t>Sahil Singh</t>
  </si>
  <si>
    <t>P26709012@student.nicmar.ac.in</t>
  </si>
  <si>
    <t>Reading,Playing Cricket</t>
  </si>
  <si>
    <t>Sanjay Kumar</t>
  </si>
  <si>
    <t>Subhashini</t>
  </si>
  <si>
    <t>Rajopatti, Sitamarhi</t>
  </si>
  <si>
    <t>Sitamarhi</t>
  </si>
  <si>
    <t>N.S DAV Public School</t>
  </si>
  <si>
    <t>Haldia Institute of Technology</t>
  </si>
  <si>
    <t>Autocad,M.S Office</t>
  </si>
  <si>
    <t>Haldia Municipality | Site Engineer | Haldia ,(West Bengal) | May 2023 | Jun 2023 | 4 Weeks</t>
  </si>
  <si>
    <t>Proficient in Autocad</t>
  </si>
  <si>
    <t>P26709013</t>
  </si>
  <si>
    <t>Ananya</t>
  </si>
  <si>
    <t xml:space="preserve">K H </t>
  </si>
  <si>
    <t xml:space="preserve">Ananya K H </t>
  </si>
  <si>
    <t>P26709013@student.nicmar.ac.in</t>
  </si>
  <si>
    <t>Kannada, Hindi, English</t>
  </si>
  <si>
    <t xml:space="preserve">Dancing </t>
  </si>
  <si>
    <t xml:space="preserve">Hanumanthappa K P </t>
  </si>
  <si>
    <t>Retired government servant</t>
  </si>
  <si>
    <t>Bharathi Hanumanthappa</t>
  </si>
  <si>
    <t>Shri Manjunatha nilaya, Mahalakshmi nagara 2nd main 2nd cross, Batwadi, Tumakuru. 572103</t>
  </si>
  <si>
    <t>Maruthi International High School</t>
  </si>
  <si>
    <t>Karnataka Secondary Education Examination Board, Karnataka</t>
  </si>
  <si>
    <t>Saptagiri Comp PU college</t>
  </si>
  <si>
    <t>Department of Pre-University education, Karnataka</t>
  </si>
  <si>
    <t>Siddaganga Institute of Technology</t>
  </si>
  <si>
    <t>P26709014</t>
  </si>
  <si>
    <t>Samyak</t>
  </si>
  <si>
    <t>Samyak Shekhar</t>
  </si>
  <si>
    <t>P26709014@student.nicmar.ac.in</t>
  </si>
  <si>
    <t>19-Sep-2004</t>
  </si>
  <si>
    <t>Running,Reading,Hockey,Boxing</t>
  </si>
  <si>
    <t>Birendra Kumar Singh</t>
  </si>
  <si>
    <t>Anjana Kumari</t>
  </si>
  <si>
    <t>House No. 590, Road No. 6, Nehru Nagar, Patliputra Colony, Patna</t>
  </si>
  <si>
    <t>Himalyan International School</t>
  </si>
  <si>
    <t>Aarvee Associates | Summer Intern | Saharnpur | Jun 2025 | Jul 2026 | 58 Weeks | Campus Internship
Public Works Department, Manipur | Intern | Imphal | Jan 2026 | May 2026 | 17 Weeks | Campus Internship</t>
  </si>
  <si>
    <t>P26709015</t>
  </si>
  <si>
    <t xml:space="preserve">Sarang </t>
  </si>
  <si>
    <t>Hitesh</t>
  </si>
  <si>
    <t>Chaniyara</t>
  </si>
  <si>
    <t>Sarang  Hitesh Chaniyara</t>
  </si>
  <si>
    <t>sarangchaniyara993@gmail.com</t>
  </si>
  <si>
    <t>P26709015@student.nicmar.ac.in</t>
  </si>
  <si>
    <t>Workout, Sports</t>
  </si>
  <si>
    <t>Hitesh Bhagvanjibhai Chaniyara</t>
  </si>
  <si>
    <t>Bhavisha Hitesh Chaniyara</t>
  </si>
  <si>
    <t>24, Iscon Greens bunglows, Nr. Iscon Flower, Ghuma</t>
  </si>
  <si>
    <t>The New Tulip International School</t>
  </si>
  <si>
    <t>Pandit Deendayal Energy University, Gandhinagar</t>
  </si>
  <si>
    <t>AutoCAS,EnergyPlus,Solidworks,ProjectLibre</t>
  </si>
  <si>
    <t>P26709016</t>
  </si>
  <si>
    <t>Sanjay Kaarthik</t>
  </si>
  <si>
    <t>Sanjay Kaarthik S</t>
  </si>
  <si>
    <t>P26709016@student.nicmar.ac.in</t>
  </si>
  <si>
    <t>20-Dec-2004</t>
  </si>
  <si>
    <t>Tamil,Hindi,English</t>
  </si>
  <si>
    <t>Cricket,Baking</t>
  </si>
  <si>
    <t>Subramaniam R</t>
  </si>
  <si>
    <t>Road contractor</t>
  </si>
  <si>
    <t>Maheswari S</t>
  </si>
  <si>
    <t>103,Nallappanagar,Mahalingapuram,Pollachi,Coimbatore-642002</t>
  </si>
  <si>
    <t>ARB International School</t>
  </si>
  <si>
    <t>PSG College of Technology</t>
  </si>
  <si>
    <t>Anna University, Chennai</t>
  </si>
  <si>
    <t>AutoCAD,MS excel,Python,MySQL</t>
  </si>
  <si>
    <t>P26709017</t>
  </si>
  <si>
    <t>Fahad</t>
  </si>
  <si>
    <t>Sirajuddin</t>
  </si>
  <si>
    <t>Fahad Sirajuddin Mujawar</t>
  </si>
  <si>
    <t>P26709017@student.nicmar.ac.in</t>
  </si>
  <si>
    <t xml:space="preserve">Mujawar Sirajuddin </t>
  </si>
  <si>
    <t>Expired</t>
  </si>
  <si>
    <t>Mujawar Safiya Sirajuddin</t>
  </si>
  <si>
    <t>102 Vihang Co Operative Hsc Behind Kokan Bank Dudh Naka Kalyan West 421301</t>
  </si>
  <si>
    <t>Alfa English High School</t>
  </si>
  <si>
    <t>Maharashtra State Board of Secondary and Higher Secondary Education Pune Maharashtra</t>
  </si>
  <si>
    <t>Government Polytecnic Thane Maharashtra</t>
  </si>
  <si>
    <t>M.H Saboo Siddik College Of Engineering,Byculla,Mumbai</t>
  </si>
  <si>
    <t>Anjuman I Islam Secretariat Head Office Mumbai | Site Supervisor  | Mumbai | Jul 2025 | May 2026 | 0 Years, 10 Months, 21 Days | 3.6</t>
  </si>
  <si>
    <t>Hindustan Construction Company Hyundai Development Corporation  | Civil Engineer  | Worli Mumbai | Jun 2023 | Jul 2023 | 5 Weeks</t>
  </si>
  <si>
    <t>CIIA 3 (Innovation Project Presentatition)
Smart India Hackathon</t>
  </si>
  <si>
    <t>P26709018</t>
  </si>
  <si>
    <t>P26709018@student.nicmar.ac.in</t>
  </si>
  <si>
    <t>P26709019</t>
  </si>
  <si>
    <t>RAVAL</t>
  </si>
  <si>
    <t>RUCHIK</t>
  </si>
  <si>
    <t>JAYDEEP</t>
  </si>
  <si>
    <t>Raval Ruchik Jaydeep</t>
  </si>
  <si>
    <t>P26709019@student.nicmar.ac.in</t>
  </si>
  <si>
    <t>02-Feb-2005</t>
  </si>
  <si>
    <t>Chess,Photography,Music,Reading,Cricket</t>
  </si>
  <si>
    <t>Jaydeep J Raval</t>
  </si>
  <si>
    <t>Meghna J Raval</t>
  </si>
  <si>
    <t>Block. no. 1, Siddhi Vinayak Appt., Sadguru Colony, Opp. Coach House, Patel Colony, Jamnagar, Gujarat - 361008</t>
  </si>
  <si>
    <t>Shree Satya Sai Vidyalaya</t>
  </si>
  <si>
    <t>Gujarat Secondary and Higher Secondary Board</t>
  </si>
  <si>
    <t>Government Polytechnic Jamnagar, Gujarat</t>
  </si>
  <si>
    <t>Birla Vishwakarma Mahavidyalaya Engineering College, V.V.Nagar, Anand, Gujarat</t>
  </si>
  <si>
    <t>AutoCAD 2D,Revit,Civil 3D,Infraworks,MS Project,MS Office,Primavera,QGIS</t>
  </si>
  <si>
    <t>Gujarat Technological University | Internship - Flyover Bridge Construction | Malaysia | Jul 2025 | Jul 2025 | 2 Weeks
Jamnagar Municipal Corporation  | Internship - Lalpur Bypass Junction Flyover Bridge   | Jamnagar  | May 2025 | Jun 2025 | 2 Weeks</t>
  </si>
  <si>
    <t>P26709020</t>
  </si>
  <si>
    <t>Siddharth Ramdas Shinde</t>
  </si>
  <si>
    <t>P26709020@student.nicmar.ac.in</t>
  </si>
  <si>
    <t>Playing sports reading books</t>
  </si>
  <si>
    <t>Retired Govt officer</t>
  </si>
  <si>
    <t>Sandhya</t>
  </si>
  <si>
    <t>A Wing 201/2 Girija Building Neelkanth Heights Society Pokhran Road No 2 near Upvan Lake Thane West</t>
  </si>
  <si>
    <t>Smt. Sulochanadevi Singhania School</t>
  </si>
  <si>
    <t xml:space="preserve">A.P. Shah Institute of Technology , Thane </t>
  </si>
  <si>
    <t>Autocad MS office StaadPro Revit</t>
  </si>
  <si>
    <t>P26709022</t>
  </si>
  <si>
    <t>Vikash</t>
  </si>
  <si>
    <t>A Vikash</t>
  </si>
  <si>
    <t>vikasha092003@gmail.com</t>
  </si>
  <si>
    <t>P26709022@student.nicmar.ac.in</t>
  </si>
  <si>
    <t>English,Tamil,Hindi,Malayalam</t>
  </si>
  <si>
    <t>Turf football,Gym/Fitness,Writing journals and stories,Travelling and exploring</t>
  </si>
  <si>
    <t>D Arumugam</t>
  </si>
  <si>
    <t>Senior security officer</t>
  </si>
  <si>
    <t>G Manimegalai</t>
  </si>
  <si>
    <t>NO 35, POONTHALIR ILLAM
BALU ENCLAVE , MARAPPALAM</t>
  </si>
  <si>
    <t xml:space="preserve">AIR FORCE SCHOOL </t>
  </si>
  <si>
    <t>COIMBATORE, TN</t>
  </si>
  <si>
    <t>KATHIR VIDYAA MANDHIR</t>
  </si>
  <si>
    <t>Deep excavation and tunneling on L&amp;T EduTech  
 Concreting Techniques and Practices on L&amp;T EduTech
Design of structural steel members on L&amp;T EduTech 
Sustainable design of buildings on L&amp;T EduTech 
Hydropower and irrigation on L&amp;T Edutech</t>
  </si>
  <si>
    <t>P26709023</t>
  </si>
  <si>
    <t xml:space="preserve">Shivkumar </t>
  </si>
  <si>
    <t xml:space="preserve">Kupal </t>
  </si>
  <si>
    <t xml:space="preserve">Vedant  Shivkumar  Kupal </t>
  </si>
  <si>
    <t>vedant211104@gmail.com</t>
  </si>
  <si>
    <t>P26709023@student.nicmar.ac.in</t>
  </si>
  <si>
    <t>21-Nov-2004</t>
  </si>
  <si>
    <t>Hindi,English,Marathi, Telugu</t>
  </si>
  <si>
    <t xml:space="preserve">Government Employee </t>
  </si>
  <si>
    <t xml:space="preserve">Shivranjani </t>
  </si>
  <si>
    <t xml:space="preserve">Bunglow no.96, HERITAGE MANIDHARI EMPIRE, AKKALKOT ROAD </t>
  </si>
  <si>
    <t>Shankarrao Mohite-Patil English School and Junior College, Akluj</t>
  </si>
  <si>
    <t>Maharashtra State Board Of Secondary and Higher Secondary Educatior, Pune</t>
  </si>
  <si>
    <t>D.Y.Patil College of Engineering and Technology</t>
  </si>
  <si>
    <t xml:space="preserve">D.Y.PATIL College of Engineering and Technology, KOLHAPUR </t>
  </si>
  <si>
    <t>P26709024</t>
  </si>
  <si>
    <t>DIWAN</t>
  </si>
  <si>
    <t>Aditi Diwan</t>
  </si>
  <si>
    <t>P26709024@student.nicmar.ac.in</t>
  </si>
  <si>
    <t>DANCE,COOKING</t>
  </si>
  <si>
    <t xml:space="preserve">ADITYA </t>
  </si>
  <si>
    <t>2136 SEC-D SUDAMA NAGAR FUTI KOTHI RING ROAD</t>
  </si>
  <si>
    <t>SH CLOTH MARKET VAISHNAV B M GIRLS SCH INDORE MP</t>
  </si>
  <si>
    <t>CBSE INDORE/MP</t>
  </si>
  <si>
    <t xml:space="preserve">DEVI AHILYA VISHWAVIDYALAYA </t>
  </si>
  <si>
    <t>INSTITUTE OF ENGINEERING AND TECHNOLOGY DEVI AHILYA VISHWAVIDYALAYA INDORE</t>
  </si>
  <si>
    <t>AutoCAD,STAAD pro.</t>
  </si>
  <si>
    <t>JK CEMENT LTD. | GRADUATE ENGINEER TRAINEE | GWALIOR MP | Jun 2025 | Oct 2025 | 0 Years, 4 Months, 8 Days | 4.20</t>
  </si>
  <si>
    <t>Auto CAD
STAAD pro.</t>
  </si>
  <si>
    <t>P26709025</t>
  </si>
  <si>
    <t>Pranav</t>
  </si>
  <si>
    <t>Amar</t>
  </si>
  <si>
    <t>Kusalkar</t>
  </si>
  <si>
    <t>Pranav Amar Kusalkar</t>
  </si>
  <si>
    <t>P26709025@student.nicmar.ac.in</t>
  </si>
  <si>
    <t>23-May-2002</t>
  </si>
  <si>
    <t>Reading,Learning,Sports,Travelling,Adventure</t>
  </si>
  <si>
    <t>Khamundi, Junnar, Pune</t>
  </si>
  <si>
    <t>Thergaon, Pune</t>
  </si>
  <si>
    <t>Priyadarshani School</t>
  </si>
  <si>
    <t>Government Polytechnic</t>
  </si>
  <si>
    <t>MIT Academy of Engineeering</t>
  </si>
  <si>
    <t>Communication,Leadership,3D Modelling,AutoCAD,Revit,Management,ETabs,MS Excel,Python,Decision Making</t>
  </si>
  <si>
    <t>AMS Concrete Consultancy Pvt. Ltd. | Quality Manager | Pune | Feb 2024 | Jul 2024 | 25 Weeks
Vilas Javdekar (VJ) Developer | Civil Engineer | Pune | Jun 2023 | Aug 2023 | 13 Weeks
InFlow Technology | Intern | Pune | Jun 2022 | Jul 2022 | 3 Weeks</t>
  </si>
  <si>
    <t>Autodesk Revit Certificate
Machine Learning
MathWorks MATLAB</t>
  </si>
  <si>
    <t>P26709026</t>
  </si>
  <si>
    <t>Atharv Kishor Patil</t>
  </si>
  <si>
    <t>P26709026@student.nicmar.ac.in</t>
  </si>
  <si>
    <t>25-Mar-2004</t>
  </si>
  <si>
    <t>marathi,English,Hindi</t>
  </si>
  <si>
    <t>Running,badminton</t>
  </si>
  <si>
    <t>Kishor Patil</t>
  </si>
  <si>
    <t>Mithila Patil</t>
  </si>
  <si>
    <t>At Post Sudakoli ,Alibag,Maharastra</t>
  </si>
  <si>
    <t>New English Medium School Pune</t>
  </si>
  <si>
    <t>Maharastra</t>
  </si>
  <si>
    <t>J.S.P.M Polytechnic</t>
  </si>
  <si>
    <t>M.I.T ADT University Pune</t>
  </si>
  <si>
    <t>Primavera,ms excel,autocad</t>
  </si>
  <si>
    <t>Afcons Infrastructure Limited | Planning &amp; Executive Internj | Navi Mumbai | Jan 2026 | May 2026 | 0 Years, 4 Months, 3 Days | 00000000</t>
  </si>
  <si>
    <t>P26709027</t>
  </si>
  <si>
    <t>Mayuresh</t>
  </si>
  <si>
    <t xml:space="preserve">Milind </t>
  </si>
  <si>
    <t>Mayuresh Milind  Mhatre</t>
  </si>
  <si>
    <t>P26709027@student.nicmar.ac.in</t>
  </si>
  <si>
    <t>23-Sep-2003</t>
  </si>
  <si>
    <t>reading</t>
  </si>
  <si>
    <t>pratibha</t>
  </si>
  <si>
    <t>HARI OM SAWLI , FLAT NO 302, OPP TO SIDDHIVINAYAK TEMPLE, OLD PANVEL</t>
  </si>
  <si>
    <t>Mhatre Mayuresh Mhatre</t>
  </si>
  <si>
    <t>maharastra</t>
  </si>
  <si>
    <t>diploma in civil engg</t>
  </si>
  <si>
    <t>mumbai university</t>
  </si>
  <si>
    <t>ritivik  | traine | kharghar  | Jan 2025 | Feb 2025 | 4 Weeks</t>
  </si>
  <si>
    <t>P26709028</t>
  </si>
  <si>
    <t>Ashishkumar</t>
  </si>
  <si>
    <t>Satyam Ashishkumar Shinde</t>
  </si>
  <si>
    <t>P26709028@student.nicmar.ac.in</t>
  </si>
  <si>
    <t>07-May-2004</t>
  </si>
  <si>
    <t>Reading, Archery, riffle shooting</t>
  </si>
  <si>
    <t xml:space="preserve">Ashishkumar Vitthalrao Shinde </t>
  </si>
  <si>
    <t>Civil engineer &amp; architect</t>
  </si>
  <si>
    <t xml:space="preserve">Namrata Ashishkumar Shinde </t>
  </si>
  <si>
    <t>Namrata Shinde, Shinde vasti, Velapur-Akluj Road, LPG gas godown, Malewadi, Akluj, Solapur, Maharashtra, 413101</t>
  </si>
  <si>
    <t>SHANKARRAO MOHITE-PATIL ENGLISH SCHOOL  &amp; JUNIOR COLLEGE , Akluj</t>
  </si>
  <si>
    <t>Maharashtra State Board of Secondary and Higher  Secondary Education Solapur</t>
  </si>
  <si>
    <t>Sadashivrao Mane Vidyalaya, Akluj</t>
  </si>
  <si>
    <t xml:space="preserve">Akluj Solapur Maharashtra </t>
  </si>
  <si>
    <t xml:space="preserve">Government College of engineering karad </t>
  </si>
  <si>
    <t>AutoCAD, MS office, Matlab</t>
  </si>
  <si>
    <t>OM CONSULTANT - Akluj | Project Management Intern | Akluj | Jun 2024 | Jul 2024 | 8 Weeks | Campus Internship
OM CONSULTANT - AKLUJ | Project Management Intern | Akluj | Jun 2025 | Jul 2025 | 8 Weeks | Campus Internship</t>
  </si>
  <si>
    <t>P26709030</t>
  </si>
  <si>
    <t>Satagouda</t>
  </si>
  <si>
    <t>Suraj Satagouda Patil</t>
  </si>
  <si>
    <t>P26709030@student.nicmar.ac.in</t>
  </si>
  <si>
    <t>04-May-2004</t>
  </si>
  <si>
    <t>Chess,Football,Cricket,Mythological shows</t>
  </si>
  <si>
    <t>Satagouda Patil</t>
  </si>
  <si>
    <t>Vidya Patil</t>
  </si>
  <si>
    <t>Khot Galli Shivapurwadi, Nippani, District: Belgaum, State: Karnataka</t>
  </si>
  <si>
    <t>CTE Society's English Medium School Chikodi</t>
  </si>
  <si>
    <t>CLE Society's PU College Chikodi</t>
  </si>
  <si>
    <t>KLS Gogte Institute of Technology Belagavi</t>
  </si>
  <si>
    <t>AutoCAD ,Sketchup,V-ray,Revit,MS Office</t>
  </si>
  <si>
    <t>CSIR-Central Building Research Institute Roorkee | Student Trainee | Roorkee, Uttarakhand | Jan 2025 | May 2025 | 18 Weeks</t>
  </si>
  <si>
    <t>P26709031</t>
  </si>
  <si>
    <t>Naveen</t>
  </si>
  <si>
    <t>Y</t>
  </si>
  <si>
    <t>Naveen Y</t>
  </si>
  <si>
    <t>P26709031@student.nicmar.ac.in</t>
  </si>
  <si>
    <t>12-Mar-2004</t>
  </si>
  <si>
    <t>English,tamil,hindi,kannada</t>
  </si>
  <si>
    <t>Travelling ,reading,sports,music</t>
  </si>
  <si>
    <t>Yuvaraj L</t>
  </si>
  <si>
    <t>Narmadha devi Y</t>
  </si>
  <si>
    <t>147,Bharathi street,Thirumal nagar,Alagapuram</t>
  </si>
  <si>
    <t xml:space="preserve">Holy cross Matriculation Higher Secondary School Salem </t>
  </si>
  <si>
    <t>TamilNadu State Board</t>
  </si>
  <si>
    <t>Anna university</t>
  </si>
  <si>
    <t xml:space="preserve">PSG college of technology Coimbatore </t>
  </si>
  <si>
    <t>AutoCAD,MS office,MS excel ,Sketch up</t>
  </si>
  <si>
    <t>P26709032</t>
  </si>
  <si>
    <t xml:space="preserve">Nitya </t>
  </si>
  <si>
    <t>sharma</t>
  </si>
  <si>
    <t>Nitya  Sharma</t>
  </si>
  <si>
    <t>nikisharma66555@gmail.com</t>
  </si>
  <si>
    <t>P26709032@student.nicmar.ac.in</t>
  </si>
  <si>
    <t>20-Jun-2005</t>
  </si>
  <si>
    <t>boxing ,cricket,music</t>
  </si>
  <si>
    <t>pankaj kumar sharma</t>
  </si>
  <si>
    <t>government job</t>
  </si>
  <si>
    <t>seema suthar</t>
  </si>
  <si>
    <t>subhash colony kanore,udaipur [rajasthan] , pin-313604</t>
  </si>
  <si>
    <t>tulsi amrit senior secondary school , kanore</t>
  </si>
  <si>
    <t>rajasthan board of education</t>
  </si>
  <si>
    <t>P26709033</t>
  </si>
  <si>
    <t>Salmabegum</t>
  </si>
  <si>
    <t>Akki</t>
  </si>
  <si>
    <t>Salmabegum Akki</t>
  </si>
  <si>
    <t>P26709033@student.nicmar.ac.in</t>
  </si>
  <si>
    <t>Kannada,English,Urdu,Hindi,Arabic</t>
  </si>
  <si>
    <t>Reading Litrature non-fiction ,Painting ,Calligrapy,Watching movies,Nerding about History and Daily News,learning new softwares</t>
  </si>
  <si>
    <t xml:space="preserve"> 818915200681</t>
  </si>
  <si>
    <t>Imamsab  Akki</t>
  </si>
  <si>
    <t>Block Education Officer</t>
  </si>
  <si>
    <t>Vaheedabegum Kaladagi</t>
  </si>
  <si>
    <t>I.R Akki, Plot No 781/cc , Surya Nagar , Near Shrinivas Bhavan</t>
  </si>
  <si>
    <t>Sri Rajeshwari Vidayniketan Hulkoti Gadag</t>
  </si>
  <si>
    <t xml:space="preserve">KHPHES Vivekannada PU College, Hulkoti Gadag  </t>
  </si>
  <si>
    <t>Governmaent of Karnataka, Department of Pre-University Education</t>
  </si>
  <si>
    <t xml:space="preserve">KLE Technological University , Hubballi , Karanataka </t>
  </si>
  <si>
    <t>KLE Technological University , Hubballi , Karanataka, INDIA</t>
  </si>
  <si>
    <t>Auto CAD , Primavera,3D Max  ,Sapp,Etabbs,Ms Excel</t>
  </si>
  <si>
    <t>Tree Green Solutions | Intern | Hubli | Jan 2024 | Mar 2024 | 8 Weeks
Span Design and Development  PVT .LTD | Intern | Bengaluru | Dec 2025 | Jun 2026 | 26 Weeks</t>
  </si>
  <si>
    <t>P26709034</t>
  </si>
  <si>
    <t>Tawri</t>
  </si>
  <si>
    <t>Gaurav Tawri</t>
  </si>
  <si>
    <t>P26709034@student.nicmar.ac.in</t>
  </si>
  <si>
    <t>12-May-2004</t>
  </si>
  <si>
    <t>Athletics,Carrom,Table tennis</t>
  </si>
  <si>
    <t>Kamal Kishor Tawri</t>
  </si>
  <si>
    <t>Sumita Tawri</t>
  </si>
  <si>
    <t>5c,5th floor, Avni Enclave, Khandelwal Colony, Durg, Chhattisgarh</t>
  </si>
  <si>
    <t>Sanskruthi Global School</t>
  </si>
  <si>
    <t>CBSE, Andhra Pradesh</t>
  </si>
  <si>
    <t>Sri Sankara Vidyalaya</t>
  </si>
  <si>
    <t>CBSE, Chhattisgarh</t>
  </si>
  <si>
    <t>D.Y. Patil College of Engineering, Maharashtra</t>
  </si>
  <si>
    <t>AutoCAD, Sketchup,MS Office</t>
  </si>
  <si>
    <t>Public Works Department | Intern | Durg | Jan 2025 | Feb 2025 | 4 Weeks | Campus Internship</t>
  </si>
  <si>
    <t>AutoCAD and SketchUp</t>
  </si>
  <si>
    <t>P26709035</t>
  </si>
  <si>
    <t>Aditya Dhananjay Jadhav</t>
  </si>
  <si>
    <t>P26709035@student.nicmar.ac.in</t>
  </si>
  <si>
    <t xml:space="preserve">Treaking ,Travelling ,Learning New Things </t>
  </si>
  <si>
    <t>Shri Sadgurukrupa Nivas , Opposite to Dyandeep Bank Pargaon, Khandala , 
At-Pargaon, Tal- Khandala , Dist- Satara.</t>
  </si>
  <si>
    <t>P26709036</t>
  </si>
  <si>
    <t>Shahbaz Ahmed</t>
  </si>
  <si>
    <t>P26709036@student.nicmar.ac.in</t>
  </si>
  <si>
    <t xml:space="preserve">Reading Books ,Football,Cooking ,Walks </t>
  </si>
  <si>
    <t xml:space="preserve">Shamim Ahmad </t>
  </si>
  <si>
    <t xml:space="preserve">Aisha Banoo </t>
  </si>
  <si>
    <t>Headmaster</t>
  </si>
  <si>
    <t>Drass, kargil</t>
  </si>
  <si>
    <t>Kargil</t>
  </si>
  <si>
    <t>Ladakh</t>
  </si>
  <si>
    <t>BEMINA SRINAGAR</t>
  </si>
  <si>
    <t xml:space="preserve">Minto Circle Senior Secondary School, Srinagar </t>
  </si>
  <si>
    <t>Jammu &amp; Kashmir State Board of School Education</t>
  </si>
  <si>
    <t>Iqbal Memorial Institute, Srinagar</t>
  </si>
  <si>
    <t>Lovely Professional University, Punjab</t>
  </si>
  <si>
    <t>AutoCAD 2D,MS Project,MS Excel,MS PowerPoint,MS Word,STAAD.Pro</t>
  </si>
  <si>
    <t>Angelique International limited  | junior civil engineer  | Kernah, srinagar, J&amp;K | Sep 2024 | Mar 2026 | 1 Years, 6 Months, 30 Days | 2.4</t>
  </si>
  <si>
    <t>CAD Desk India, Jaipur | Civil Engineering Software Intern | Jaipur, Rajasthan | Jun 2022 | Jul 2022 | 4 Weeks</t>
  </si>
  <si>
    <t>P26709037</t>
  </si>
  <si>
    <t>P26709037@student.nicmar.ac.in</t>
  </si>
  <si>
    <t>P26709038</t>
  </si>
  <si>
    <t>KURIAKOSE</t>
  </si>
  <si>
    <t>Jeeva Kuriakose</t>
  </si>
  <si>
    <t>P26709038@student.nicmar.ac.in</t>
  </si>
  <si>
    <t>malayalam,english</t>
  </si>
  <si>
    <t>Reading,playing sports,learning new technologies</t>
  </si>
  <si>
    <t>kuriakose t u</t>
  </si>
  <si>
    <t>rubber tapping</t>
  </si>
  <si>
    <t>jamol k p</t>
  </si>
  <si>
    <t>tailor</t>
  </si>
  <si>
    <t>Thuvanattuthadathil,
Kulayattikkara P O, Arayankavu, Amballur,
Ernakulam, Kerala, 682317</t>
  </si>
  <si>
    <t xml:space="preserve">HSS &amp; VHSS BRAHMAMANGALAM </t>
  </si>
  <si>
    <t>Kerala state education board</t>
  </si>
  <si>
    <t>kshethra pravesanan memorial vocational higher secondary school</t>
  </si>
  <si>
    <t>kerala state education board</t>
  </si>
  <si>
    <t>apj abdul kalam technological university</t>
  </si>
  <si>
    <t>st joseph's college of engineering and technology,palai</t>
  </si>
  <si>
    <t>autocad,ms office,primavera,quantity surveying</t>
  </si>
  <si>
    <t>P26709039</t>
  </si>
  <si>
    <t xml:space="preserve">Chhotu </t>
  </si>
  <si>
    <t xml:space="preserve">More </t>
  </si>
  <si>
    <t xml:space="preserve">Vaibhav Chhotu  More </t>
  </si>
  <si>
    <t>P26709039@student.nicmar.ac.in</t>
  </si>
  <si>
    <t>Playing Chess,Reading Technical &amp; Engineering Articles,Participating in Technical Competitions,Trekking/Hiking</t>
  </si>
  <si>
    <t xml:space="preserve">More Chhotu Uttam </t>
  </si>
  <si>
    <t xml:space="preserve">More Gayatri Chhotu </t>
  </si>
  <si>
    <t>20 A Kunal Nagar SPDM College Road Shingave Shivar Shirpur</t>
  </si>
  <si>
    <t>Mahatma Jyotiba Fule Madhyamik Vidyalay Shirpur, Dhule 425405</t>
  </si>
  <si>
    <t xml:space="preserve">Dhule/Maharashtra </t>
  </si>
  <si>
    <t>Dr. P. R. Ghogare Junior College Shirpur, Dhule 425405</t>
  </si>
  <si>
    <t xml:space="preserve">Jspm's Rajarshi Shahu College of Engineering Tathawade, Pune/Maharashtra </t>
  </si>
  <si>
    <t>AutoCAD,MS Office,MS Project,Primavera,HEC-RAS,WaterGEMS</t>
  </si>
  <si>
    <t>Samarth Infra-Tech Services Pvt. Ltd.  | Trainee Design Engineer  | Pune | Aug 2025 | Dec 2025 | 17 Weeks
Central Water &amp; Power Research Station (CWPRS) | Project Trainee | Pune | Aug 2025 | Jan 2026 | 21 Weeks</t>
  </si>
  <si>
    <t>Construction Project Management
Construction Scheduling
Construction Cost Estimating and Cost Control
AI for Management &amp; Management support
A Practical Introduction to 1D River Modelling using HEC-RAS</t>
  </si>
  <si>
    <t>P26709040</t>
  </si>
  <si>
    <t>Ratnakar</t>
  </si>
  <si>
    <t>Matey</t>
  </si>
  <si>
    <t>Atharv Ratnakar Matey</t>
  </si>
  <si>
    <t>atharvmatey10710@gmail.com</t>
  </si>
  <si>
    <t>P26709040@student.nicmar.ac.in</t>
  </si>
  <si>
    <t>09-Oct-2004</t>
  </si>
  <si>
    <t>Listening music,playing sports</t>
  </si>
  <si>
    <t>Ratnakar Matey</t>
  </si>
  <si>
    <t>Goverment servent</t>
  </si>
  <si>
    <t>Sheetal Matey</t>
  </si>
  <si>
    <t xml:space="preserve">Aanand nagar azamshah layout near sakkardara police station, Nagpur, Maharashtra </t>
  </si>
  <si>
    <t>Aanand vihar borsi blameswari colony,Durg ,Chhattisgarh</t>
  </si>
  <si>
    <t>VISHWADEEP SR.SEC.SCHOOL</t>
  </si>
  <si>
    <t>YASHWANT RAO CHAVAN MAHARASHTRA OPEN UNIVERSITY, MAHARASHTRA</t>
  </si>
  <si>
    <t>AUTOCAD,EXCEL,MS OFFICE</t>
  </si>
  <si>
    <t>LAXMI ASSOCIATES | training | Drug,(C.G) | Jan 2026 | May 2026 | 17 Weeks</t>
  </si>
  <si>
    <t>P26709041</t>
  </si>
  <si>
    <t>Sangappa</t>
  </si>
  <si>
    <t>Biradar</t>
  </si>
  <si>
    <t>Akshay Sangappa Biradar</t>
  </si>
  <si>
    <t>bakshay161@gmail.com</t>
  </si>
  <si>
    <t>P26709041@student.nicmar.ac.in</t>
  </si>
  <si>
    <t>Reading Books,Listening to music,physical fitness</t>
  </si>
  <si>
    <t>C-28,0;2, Panchatara Chs, Sector-15, Airoli. Navi Mumbai.</t>
  </si>
  <si>
    <t>St Xavier's High School.</t>
  </si>
  <si>
    <t>Maharashtra State Board of Secondary and Higher Secondary Education/Navi Mumbai/Maharashtra.</t>
  </si>
  <si>
    <t>Fr Agnel Polytechnic/Navi Mumbai/Maharashtra.</t>
  </si>
  <si>
    <t>Mumbai University.</t>
  </si>
  <si>
    <t>Saraswati college of Engineering/Navi Mumbai/Maharashtra.</t>
  </si>
  <si>
    <t>MS Project,Excel,Autocad</t>
  </si>
  <si>
    <t>P26709042</t>
  </si>
  <si>
    <t>Kenshkumar</t>
  </si>
  <si>
    <t>sanjaybhai</t>
  </si>
  <si>
    <t>Patel Kenshkumar Sanjaybhai</t>
  </si>
  <si>
    <t>patelkensh338@gmail.com</t>
  </si>
  <si>
    <t>P26709042@student.nicmar.ac.in</t>
  </si>
  <si>
    <t>18-Sep-2003</t>
  </si>
  <si>
    <t>Hindi,English,gujrati</t>
  </si>
  <si>
    <t xml:space="preserve">music, movies </t>
  </si>
  <si>
    <t>Sanjay Patel</t>
  </si>
  <si>
    <t>Anita patel</t>
  </si>
  <si>
    <t>108, vaniyad ,Ta:modasa,dist:Aravalli</t>
  </si>
  <si>
    <t>Aravalli</t>
  </si>
  <si>
    <t>chanakya vishvavidhyalaya</t>
  </si>
  <si>
    <t>Gujrat Secondary &amp; Higher Secondary Education Board</t>
  </si>
  <si>
    <t>Nirma University</t>
  </si>
  <si>
    <t>Nirma University , Ahmedabad</t>
  </si>
  <si>
    <t>excel, autocad,MS office</t>
  </si>
  <si>
    <t>Hitech projects  | Graduate trainee Engineer | Ahmedabad | Jan 2025 | Sep 2025 | 0 Years, 8 Months, 19 Days | 3.61</t>
  </si>
  <si>
    <t>project implementation unit | trainee | modasa | Jun 2024 | Jul 2024 | 5 Weeks
hi-tech projects private limited | Graduate trainee Engineer | Ahemedabad | Jan 2025 | Apr 2025 | 15 Weeks</t>
  </si>
  <si>
    <t>P26709043</t>
  </si>
  <si>
    <t>Keni</t>
  </si>
  <si>
    <t>Omkar Rajendra Keni</t>
  </si>
  <si>
    <t>P26709043@student.nicmar.ac.in</t>
  </si>
  <si>
    <t>08-Aug-2004</t>
  </si>
  <si>
    <t>Music ,Drawing</t>
  </si>
  <si>
    <t>Rajendra Keni</t>
  </si>
  <si>
    <t>Nilam Keni</t>
  </si>
  <si>
    <t>301, Krushnabai Niwas, 3rd Floor, Famous Galli, Near Ganpati Maruti Mandir, Bhandup Village, Bhandup East, Mumbai 400042</t>
  </si>
  <si>
    <t>Bhandup Educational Society English High School, Bhandup, Mumbai</t>
  </si>
  <si>
    <t>National Education Society Junior College of Arts, Science and Commerce, Bhandup, Mumbai</t>
  </si>
  <si>
    <t>Datta Meghe College of Engineering, Airoli, Navi Mumbai</t>
  </si>
  <si>
    <t>P26709044</t>
  </si>
  <si>
    <t>Bugalia</t>
  </si>
  <si>
    <t>Prashant Bugalia</t>
  </si>
  <si>
    <t>prashantchoudhary2944@gmail.com</t>
  </si>
  <si>
    <t>P26709044@student.nicmar.ac.in</t>
  </si>
  <si>
    <t>17-Jul-2002</t>
  </si>
  <si>
    <t>Playing Vallyball</t>
  </si>
  <si>
    <t>Suresh Kumar Bugalia</t>
  </si>
  <si>
    <t>Suman Devi</t>
  </si>
  <si>
    <t>Village-Balwantpura Post-Chelasi Teh-Nawalgarh</t>
  </si>
  <si>
    <t>Jhunjhunu</t>
  </si>
  <si>
    <t>Dunndlod Public School Dundlod Jhunjhunu</t>
  </si>
  <si>
    <t>Jhunjhunu Academy Sr Sec School Jhunjhunu</t>
  </si>
  <si>
    <t>Board of Secondary Education Rajasthan</t>
  </si>
  <si>
    <t>Rajasthan Technical University Kota</t>
  </si>
  <si>
    <t>Kautilya Institute Of Technology &amp; Engineering ,Jaipur</t>
  </si>
  <si>
    <t>AutoCAD Civil Arch, Revit Architecture,Staad/pro,Excel</t>
  </si>
  <si>
    <t>Hawa Mahal Construction Company | Internship | Rajasthan , Udaipur | Jul 2023 | Sep 2023 | 6 Weeks</t>
  </si>
  <si>
    <t>COURSERA CERTIFICATE
COURSERA CERTIFICATE
COURSERA CERTIFICATE</t>
  </si>
  <si>
    <t>P26709045</t>
  </si>
  <si>
    <t xml:space="preserve">Vansh </t>
  </si>
  <si>
    <t xml:space="preserve">Gajendra </t>
  </si>
  <si>
    <t>Vansh  Gajendra  Chaudhari</t>
  </si>
  <si>
    <t>P26709045@student.nicmar.ac.in</t>
  </si>
  <si>
    <t>Hindi ,Marathi,English</t>
  </si>
  <si>
    <t>Gajendra Chaudhari</t>
  </si>
  <si>
    <t xml:space="preserve">Self employed </t>
  </si>
  <si>
    <t xml:space="preserve">Bharti Chaudhari </t>
  </si>
  <si>
    <t xml:space="preserve">Shivtirth 17 A  geeta nagar </t>
  </si>
  <si>
    <t xml:space="preserve">Shivtirth 17 A  </t>
  </si>
  <si>
    <t xml:space="preserve">Emerald international school </t>
  </si>
  <si>
    <t>MSBTE  ( kopargaon )</t>
  </si>
  <si>
    <t xml:space="preserve">Dy patil school of engineering and technology </t>
  </si>
  <si>
    <t>Autocad , MS office ,Site execution</t>
  </si>
  <si>
    <t>chaudhari constructions | site ngineer | akola | Oct 2024 | Jun 2026 | 83 Weeks</t>
  </si>
  <si>
    <t>P25709001</t>
  </si>
  <si>
    <t>DIKSHIT</t>
  </si>
  <si>
    <t>MAHESHKUMAR</t>
  </si>
  <si>
    <t>KARELIYA</t>
  </si>
  <si>
    <t>Dikshit Maheshkumar Kareliya</t>
  </si>
  <si>
    <t>dikshitkareliya426@gmail.com</t>
  </si>
  <si>
    <t>p25709001@student.nicmar.ac.in</t>
  </si>
  <si>
    <t>8041 5071 5106</t>
  </si>
  <si>
    <t>MAHESHBHAI VALJIBHAI KARELIYA</t>
  </si>
  <si>
    <t>PRIVET SECTOR</t>
  </si>
  <si>
    <t>REKHABEN MAHESHBHAI KARELIYA</t>
  </si>
  <si>
    <t>'Shagun Beauty Parlour', 431 Kothariya Colony , 80 Feet Main Road, Behind Vikas Dairy Farm , Neteshwar Chowk</t>
  </si>
  <si>
    <t>SHREE SAGAR SECONDARY SCHOOL</t>
  </si>
  <si>
    <t>DARSHAN UNIVERSITY</t>
  </si>
  <si>
    <t>DARSHAN UNIVERSITY, RAJKOT, GUJARAT</t>
  </si>
  <si>
    <t>LADANI ASSOCIATE | TRAINEE ENGINEER | RAJKOT | Dec 2024 | Mar 2025 | 15 Weeks</t>
  </si>
  <si>
    <t>Revit Architecture
Estimation, Costing &amp; Tendering
Construction Supervision Practice</t>
  </si>
  <si>
    <t>P25709002</t>
  </si>
  <si>
    <t>ADIT</t>
  </si>
  <si>
    <t>RINKESH</t>
  </si>
  <si>
    <t>CHHEDA</t>
  </si>
  <si>
    <t>Adit Rinkesh Chheda</t>
  </si>
  <si>
    <t>aditchheda.ac@gmail.com</t>
  </si>
  <si>
    <t>p25709002@student.nicmar.ac.in</t>
  </si>
  <si>
    <t>English, Hindi, Kutchi, Gujarati, Marathi</t>
  </si>
  <si>
    <t>Watching and playing sports,Love to adventure different places and roads</t>
  </si>
  <si>
    <t>8061 5532 1202</t>
  </si>
  <si>
    <t>B/302, Bafna Apartment, Mogul Lane, Matunga West, Mumbai</t>
  </si>
  <si>
    <t>SHISHUVAN</t>
  </si>
  <si>
    <t>PACE DADAR</t>
  </si>
  <si>
    <t>MUKESH PATEL SCHOOL OF TECHNOLOGY MANAGEMENT &amp; ENGINEERING, MUMBAI, MAHARASHTRA</t>
  </si>
  <si>
    <t>AutoCAD,MS Office,Staad.Pro,Revit</t>
  </si>
  <si>
    <t>Basell Polyolefins India Pvt. Ltd. |  1. Civil &amp; Structural - STAAD Analysis,  2. Civil Foundation design  3. Piling Design  4. Adequacy of existing structures | Pirojshanagar, Eastern Express Highway,Vikhroli(East), Mumbai-400079 | Jan 2025 | Jun 2025 | 23 Weeks</t>
  </si>
  <si>
    <t>P25709004</t>
  </si>
  <si>
    <t>BONTHU</t>
  </si>
  <si>
    <t>AMRUTHA</t>
  </si>
  <si>
    <t>Bonthu Amrutha</t>
  </si>
  <si>
    <t>bonthuamrutha2002@gmail.com</t>
  </si>
  <si>
    <t>p25709004@student.nicmar.ac.in</t>
  </si>
  <si>
    <t>Kuchipudi dance,Baking</t>
  </si>
  <si>
    <t>8838 0311 1203</t>
  </si>
  <si>
    <t>BONTHU DILIP KUMAR</t>
  </si>
  <si>
    <t>STONE CRUSHER BUSINESS</t>
  </si>
  <si>
    <t>BONTHU KRISHNA LEELA DEVI</t>
  </si>
  <si>
    <t>H.NO.-6-15/4,INFRONT OF ALASKA PLAY SCHOOL,NEAR 7 HILLS BAR AND RESTAURANT,RAMPALLY</t>
  </si>
  <si>
    <t>PAGE JUNIOR COLLAGE</t>
  </si>
  <si>
    <t>JAWAHARLAL NEHURU TECHNOLOGICAL UNIVERSITY HYDERABAD</t>
  </si>
  <si>
    <t>AutoCAD,MS Office,MS Project,Primavera,MS Word,MS Excel</t>
  </si>
  <si>
    <t>ACE VENTURES PVT.LTD | GRADUATE ENGINEER TRAINEER | HYDERABAD | Apr 2024 | May 2025 | 1 Years, 1 Months, 30 Days | 2.46</t>
  </si>
  <si>
    <t>Internshipwala Careers | Student Intern | Uppal | Sep 2023 | Oct 2023 | 4 Weeks
CREATIVE TECHNOINFRA SOLUTIONS PVT LTD | STUDENT INTERN | GHATKESAR | Aug 2022 | Sep 2022 | 5 Weeks</t>
  </si>
  <si>
    <t>P25709005</t>
  </si>
  <si>
    <t>LODH</t>
  </si>
  <si>
    <t>Lodh Atharva Aniruddha</t>
  </si>
  <si>
    <t>lodhatharva@gmail.com</t>
  </si>
  <si>
    <t>p25709005@student.nicmar.ac.in</t>
  </si>
  <si>
    <t>22-Apr-2000</t>
  </si>
  <si>
    <t>5163 5129 6879</t>
  </si>
  <si>
    <t>AMRUTA</t>
  </si>
  <si>
    <t>2/09, Narmada Building, Chandra Bhushan Complex, Nimkar Naka, Titwala East</t>
  </si>
  <si>
    <t>SHAKUNTALA VIDYALAYA MANDA TITWALA, KALYAN, THANE</t>
  </si>
  <si>
    <t>JEEVANDEEP SHAIKSHNIK SANTHA POI'S ARTS COMMERCE &amp; SCIENCE COLLEGE, GOVELI, TAL- KALYAN, DIST-THANE</t>
  </si>
  <si>
    <t>VIGHNAHARATA TRUST'S SHIVAJIRAO S. JONDHLE COLLEGE OF ENGINEERING &amp; TECHNOLOGY, SHAHAPUR, ASANGAON, DIST-THANE</t>
  </si>
  <si>
    <t>AutoCAD,MS Office,MS Project,Primavera,Staddpro,BIM</t>
  </si>
  <si>
    <t>MUMBAI RAILWAY VIKAS CORPORATION LTD, CHURCHGATE | Apprentice Graduate Engineer (Civil) | PANVEL - KARJAT | Sep 2023 | Sep 2024 | 0 Years, 11 Months, 30 Days | 1.08
RODIC CONSULTANTS PRIVATE LTD. | Site Assistant (Civil) | PNVL - KJT Tunnel | Sep 2024 | Jun 2025 | 0 Years, 9 Months, 7 Days | 3.6</t>
  </si>
  <si>
    <t>K.RAVINDRA GOVT. REGD. CONTRACTOR | INTERN | KHED, RATNAGIRI | Jun 2022 | Aug 2023 | 60 Weeks
REGENCY NIRMAN LIMITED. | INTERN | TITWALA | Dec 2021 | Dec 2021 | 3 Weeks
NAVAYUGA ENGINEERING COMPANY LTD. | INTERN | Shahapur | Jul 2021 | Aug 2021 | 5 Weeks</t>
  </si>
  <si>
    <t>COURSE ON COMPUTER CONCEPTS</t>
  </si>
  <si>
    <t>P25709006</t>
  </si>
  <si>
    <t>ROUT</t>
  </si>
  <si>
    <t>Rakesh Rout</t>
  </si>
  <si>
    <t>rakeshrout8361@gmail.com</t>
  </si>
  <si>
    <t>p25709006@student.nicmar.ac.in</t>
  </si>
  <si>
    <t>12-Dec-2003</t>
  </si>
  <si>
    <t>3501 6875 8486</t>
  </si>
  <si>
    <t>BIJAYA KUMAR ROUT</t>
  </si>
  <si>
    <t>JUNIOR ENGINEER, RWD, GOVT. OF ODISHA</t>
  </si>
  <si>
    <t>PRIYAMBADA SAHOO</t>
  </si>
  <si>
    <t>AWW WORKER, ODISHA</t>
  </si>
  <si>
    <t>BASELIHATA, BALIJHARI</t>
  </si>
  <si>
    <t>DAYANAND ANGLO - VEDIC (DAV) PUBLIC SCHOOL, SEC 6, MARKAT NGR, CUTTACK, OD (08380)</t>
  </si>
  <si>
    <t>CENTRAL BOARD OF SECONDARY EDUCATION (CBSE), CUTTACK</t>
  </si>
  <si>
    <t>OVERALL DEVELOPMENT MODEL (ODM) PUBLIC SCHOOL, BHUBNESWAR, KHURDA, OD (15430)</t>
  </si>
  <si>
    <t>CENTRAL BOARD OF SECONDARY EDUCATION (CBSE), BHUBNESWAR</t>
  </si>
  <si>
    <t>KALINGA INSTITUTE OF INDUSTRIAL TECHNOLOGY (KIIT), BHUBANESWAR, ODISHA</t>
  </si>
  <si>
    <t>NATIONAL BUILDINGS CONSTRUCTION CORPORATION LIMITED (NBCC) | INTERN | CUTTACK, ODISHA | May 2024 | Jun 2024 | 4 Weeks
RURAL WORKS, DIVISION, ANUGUL, GOVERNMENT OF ODISHA | INTERN | ANUGUL, ODISHA | Jun 2023 | Jul 2023 | 4 Weeks</t>
  </si>
  <si>
    <t>P25709007</t>
  </si>
  <si>
    <t>Kiran Sureshbhai Mistry</t>
  </si>
  <si>
    <t>kiranmistry2001@gmail.com</t>
  </si>
  <si>
    <t>p25709007@student.nicmar.ac.in</t>
  </si>
  <si>
    <t>Construction technology and digital tools,Music and creative activities,Travel and cultural exploration,BIM,Sustainable and innovative building practices</t>
  </si>
  <si>
    <t>4486 6610 2618</t>
  </si>
  <si>
    <t>SAVITABEN</t>
  </si>
  <si>
    <t>2595, Matrubhuvan, Opp. Telephone Exchange, Saribujrang, Amalsad, Navsari</t>
  </si>
  <si>
    <t>B-903, ANNEXE, MAGARPATTA CITY, PUNE, MAHARASHTRA - 411036,Â INDIA</t>
  </si>
  <si>
    <t>HDSK, AMALSAD</t>
  </si>
  <si>
    <t>AMALSAD, NAVSARI, GUJARAT</t>
  </si>
  <si>
    <t>HDSM HIGH SCHOOL, AMALSAD</t>
  </si>
  <si>
    <t>DHARMSINH DESAI UNIVERSITY, NADIAD, KHEDA, GUJARAT</t>
  </si>
  <si>
    <t>AutoCAD,MS Office,MS Project,ETABS,SAFE,STAAD PlanWin</t>
  </si>
  <si>
    <t>Struct Bombay Consultants | Jr. Structural Design Engineer | Mumbai, India | Feb 2024 | May 2025 | 1 Years, 3 Months, 16 Days | 3
Safety Security &amp; Instrumentation Engineering Solutions | Project Engineer | Mumbai, India | Mar 2023 | Feb 2024 | 0 Years, 11 Months, 4 Days | 1.8
Sthapati Designers &amp; Consultants Pvt. Ltd. | Jr. Estimation Engineer | Navsari, Gujarat | Jul 2022 | Nov 2022 | 0 Years, 4 Months, 19 Days | 1</t>
  </si>
  <si>
    <t>CS DESIGN LAB | SITE INTERN | NAVSARI, GUJARAT | May 2021 | Jun 2021 | 5 Weeks
Shree Siddheshwar Partheshwar, SP Group. | Site Intern | Vadodara, Gujarat | Dec 2021 | Mar 2022 | 15 Weeks</t>
  </si>
  <si>
    <t>P25709008</t>
  </si>
  <si>
    <t>LEENA CHANDRA</t>
  </si>
  <si>
    <t>MURARI</t>
  </si>
  <si>
    <t>Leena Chandra Murari</t>
  </si>
  <si>
    <t>leenachandra999@gmail.com</t>
  </si>
  <si>
    <t>p25709008@student.nicmar.ac.in</t>
  </si>
  <si>
    <t>5064 5163 2960</t>
  </si>
  <si>
    <t>MURARI KISHORE KUMAR</t>
  </si>
  <si>
    <t>CHITTIBOMMA CHINNAMMA</t>
  </si>
  <si>
    <t>15/546-MIG-2-288, Phase-2, New Housing Board Colony, Bypass Road Circle, Machilipatnam</t>
  </si>
  <si>
    <t>DR.K.K.R'S GOWTHAM HIGH SCHOOL MACHILIPATNAM</t>
  </si>
  <si>
    <t>SRI VASAVI INSTITUTE OF ENGINEERING AND TECHNOLOGY NANDAMURU</t>
  </si>
  <si>
    <t>PRASAD V POTLURI SIDDHARTHA INSTITUTE OF TECHNOLOGY</t>
  </si>
  <si>
    <t>AutoCAD,MS Office,MS Project,Primavera,ARC GIS,REVIT,STAAD.PRO</t>
  </si>
  <si>
    <t>SRI SAI PRASANNA PLANNERS AND ARCHITECTS | SITE ENGINEER | MACHILIPATNAM | Feb 2022 | Aug 2022 | 25 Weeks
PANCHAYAT RAJ DEPARTMENT AVANIGADDA | INTERN TRAINEE | AVANIGADDA | Jun 2023 | Jul 2023 | 3 Weeks
PANCHAYAT RAJ DEPARTMENT AVANIGADDA | INTERN TRAINEE | GUDIVADA | Apr 2024 | May 2024 | 4 Weeks</t>
  </si>
  <si>
    <t>PRIMAVERA P6
BUILDING DRAFTING USING AUTOCAD
ADVANCED TOTAL STATION
REVIT ARCHITECTURE
SUSTAINABLE ENGINEERING CONCEPTS AND LIFE CYCLE ANALYSIS
Design of Building usingETABS</t>
  </si>
  <si>
    <t>P25709009</t>
  </si>
  <si>
    <t>YERUVA</t>
  </si>
  <si>
    <t>TEJA RISHITH</t>
  </si>
  <si>
    <t>Yeruva Teja Rishith Reddy</t>
  </si>
  <si>
    <t>teja.yer123@gmail.com</t>
  </si>
  <si>
    <t>p25709009@student.nicmar.ac.in</t>
  </si>
  <si>
    <t>ENGLISH, TELUGU AND HINDI</t>
  </si>
  <si>
    <t>3728 1855 3037</t>
  </si>
  <si>
    <t>YERUVA MOHAN</t>
  </si>
  <si>
    <t>GADE VASANTHA SWAROOPA</t>
  </si>
  <si>
    <t>8-43/16/15/1 Anthony's Nilayam, Srinivasa Colony,uppal</t>
  </si>
  <si>
    <t>VASAVI COLLEGE OF ENGINEERING, TELANGANA</t>
  </si>
  <si>
    <t>P25709010</t>
  </si>
  <si>
    <t>V VISHWAK</t>
  </si>
  <si>
    <t>SENA</t>
  </si>
  <si>
    <t>V Vishwak Sena Reddy</t>
  </si>
  <si>
    <t>vishwaksenareddy31@gmail.com</t>
  </si>
  <si>
    <t>p25709010@student.nicmar.ac.in</t>
  </si>
  <si>
    <t>6529 4201 5321</t>
  </si>
  <si>
    <t>V LAXMA REDDY</t>
  </si>
  <si>
    <t>V VIJAYA LAXMI</t>
  </si>
  <si>
    <t>H No: 3-51,GOUDAVALLY</t>
  </si>
  <si>
    <t>VILLA NO-176,ASHOKA-A-LA-MAISON,DULAPALLY</t>
  </si>
  <si>
    <t>PALLAVI MODEL SCHOOL</t>
  </si>
  <si>
    <t>CENTRAL BOARD OF SECONDARY EDUCATION,TELANGANA</t>
  </si>
  <si>
    <t>TRIVIDYAA JUNIOR COLLEGE</t>
  </si>
  <si>
    <t>TELANGANA STATE BOARD OF INTERMEDIATE EDUCATION, TELANGANA</t>
  </si>
  <si>
    <t>VALLURUPALLI NAGESWARA RAO VIGNANA JYOTHI INSTITUTE OF ENGINEERING &amp;TECHNOLOGY, TELANGANA</t>
  </si>
  <si>
    <t>Quantity Surveying &amp; Estimation for Road works withÂ AutoCAD
Advanced Training in Surveying Practices using DGPSÂ andÂ Drone
Plumbing Design and Fire Fighting</t>
  </si>
  <si>
    <t>P25709012</t>
  </si>
  <si>
    <t>Ajay Pratap Singh</t>
  </si>
  <si>
    <t>ajaychauhan1504@gmail.com</t>
  </si>
  <si>
    <t>p25709012@student.nicmar.ac.in</t>
  </si>
  <si>
    <t>06-May-2000</t>
  </si>
  <si>
    <t>8038 8625 4292</t>
  </si>
  <si>
    <t>LT. DHANRAJ SINGH</t>
  </si>
  <si>
    <t>USHA DEVI</t>
  </si>
  <si>
    <t>Vill.-dhuviyai,Post-lavedi,Distt.-etawah,</t>
  </si>
  <si>
    <t>S.G.A. INTER COLLEGE LABEDI ETAWAH</t>
  </si>
  <si>
    <t>BOARD OF HIGH SCHOOL AND INTERMEDIATE EDUCATION UP</t>
  </si>
  <si>
    <t>B.S.G.M. INTER COLLEGE BAKEWAR ETAWAH</t>
  </si>
  <si>
    <t>ABES ENGINEERING COLLEGE GHAZIABAD</t>
  </si>
  <si>
    <t>AutoCAD,MS Office,MS Project,EXCEL</t>
  </si>
  <si>
    <t>P25709013</t>
  </si>
  <si>
    <t>SUNIDHI</t>
  </si>
  <si>
    <t>GHALAGI</t>
  </si>
  <si>
    <t>Sunidhi S Ghalagi</t>
  </si>
  <si>
    <t>ghalagisunidhi@gmail.com</t>
  </si>
  <si>
    <t>p25709013@student.nicmar.ac.in</t>
  </si>
  <si>
    <t>3014 2145 3468</t>
  </si>
  <si>
    <t>SANJEEV KUMAR GHALAGI</t>
  </si>
  <si>
    <t>OPERATION MANAGER</t>
  </si>
  <si>
    <t>DIVYA S GHALAGI</t>
  </si>
  <si>
    <t>G11 503 Provident Welworth City Marasandra Doddaballapura Main Road Bengaluru Rural Karnataka 562163</t>
  </si>
  <si>
    <t>ST PHILOMENA'S ENGLISH PRIMARY SCHOOL</t>
  </si>
  <si>
    <t>BOARD : COUNCIL FOR THE INDIAN SCHOOL CERTIFICATE EXAMINATIONS(CISCE/ICSE) , BENGALURU</t>
  </si>
  <si>
    <t>BEL COMPOSITE PU COLLEGE</t>
  </si>
  <si>
    <t>KARNATAKA SECONDARY EDUCATION EXAMINATION BOARD , BENGALURU</t>
  </si>
  <si>
    <t>SAI VIDYA INSTITUTE OF TECHNOLOGY, BENGALURU</t>
  </si>
  <si>
    <t>AutoCAD,MS Office,ARCGIS</t>
  </si>
  <si>
    <t>SATTVA GROUP | INTERN | BENGALURU | Feb 2025 | May 2025 | 14 Weeks
KARNATAKA STATE NATURAL DISASTER MONITORING CENTER | INTERN | BENGALURU | Sep 2024 | Nov 2024 | 9 Weeks</t>
  </si>
  <si>
    <t>P25709014</t>
  </si>
  <si>
    <t>MANIBHARATHI</t>
  </si>
  <si>
    <t>Manibharathi S</t>
  </si>
  <si>
    <t>mailtomanibharathi.s@gmail.com</t>
  </si>
  <si>
    <t>p25709014@student.nicmar.ac.in</t>
  </si>
  <si>
    <t>8218 5198 8389</t>
  </si>
  <si>
    <t>SELVAM T</t>
  </si>
  <si>
    <t>SELVI S</t>
  </si>
  <si>
    <t>172/81,5TH SOUTH STREET_x000D_
VINAYAGAPURAM_x000D_
ATTUR, SALEM</t>
  </si>
  <si>
    <t>BHARATHIYAR MATRI HIGH SCHOOL ATTUR</t>
  </si>
  <si>
    <t>BHARATHIYAR HR SEC SCHOOL ATTUR</t>
  </si>
  <si>
    <t>BANNARI AMMAN INSTITUTE OF TECHNOLOGY, SATHYAMANGALAM</t>
  </si>
  <si>
    <t>AutoCAD,REVIT,SKETCHUP,STAADPRO</t>
  </si>
  <si>
    <t>SAMRAJ CONSTRUCTIONS PVT LTD | SITE MAINTENANCE ENGINEER | 95,BHARATHI PARK ROAD (CROSS 2), SAIBABA COLONY, COIMBATORE-641011 | Feb 2023 | Feb 2023 | 2 Weeks</t>
  </si>
  <si>
    <t>P25709015</t>
  </si>
  <si>
    <t>Harikrishnan B</t>
  </si>
  <si>
    <t>hkrishnanb01@gmail.com</t>
  </si>
  <si>
    <t>p25709015@student.nicmar.ac.in</t>
  </si>
  <si>
    <t>7232 1184 5279</t>
  </si>
  <si>
    <t>HARIDASAN PILLAI R</t>
  </si>
  <si>
    <t>GOVT.EMPLOYEE (RETIRED)</t>
  </si>
  <si>
    <t>BINDHU S</t>
  </si>
  <si>
    <t>HARISREE, DECENT JUNCTION PO</t>
  </si>
  <si>
    <t>S M D PUBLIC SCHOOL</t>
  </si>
  <si>
    <t>ST. JUDE  HIGHER SECONDARY SCHOOL</t>
  </si>
  <si>
    <t>GOVT.OF KERALA BOARD OF HIGHER SECONDARY EXAMINATIONS</t>
  </si>
  <si>
    <t>CUSAT</t>
  </si>
  <si>
    <t>COCHIN UNIVERSITY COLLEGE OF ENGINEERING KUTTANAD (CUCEK),KERALA</t>
  </si>
  <si>
    <t>AutoCAD,MS Office,SAP</t>
  </si>
  <si>
    <t>SOUTH INDIAN Construction private limited | INTERN | TRIVANDRUM  | Jun 2022 | Jun 2022 | 2 Weeks</t>
  </si>
  <si>
    <t>P25709016</t>
  </si>
  <si>
    <t>NATTA</t>
  </si>
  <si>
    <t>CHARAN RAJ</t>
  </si>
  <si>
    <t>Natta Charan Raj</t>
  </si>
  <si>
    <t>charanraj2004@gmail.com</t>
  </si>
  <si>
    <t>p25709016@student.nicmar.ac.in</t>
  </si>
  <si>
    <t>03-Sep-2004</t>
  </si>
  <si>
    <t>8679 4406 5347</t>
  </si>
  <si>
    <t>NATTA RAJU</t>
  </si>
  <si>
    <t>POLICE DEPARTMENT</t>
  </si>
  <si>
    <t>NATTA NAGA RANI</t>
  </si>
  <si>
    <t>3-4-38/96, Nethaji Nagar, Ramanthapur, Hyderabad, Telangana, 500013</t>
  </si>
  <si>
    <t>CENTRAL BOARD OF SECONDARY EDUCATION, HYDERABAD/ TELANGANA.</t>
  </si>
  <si>
    <t>SRI CHAITANYA JUNIOR KALSALA</t>
  </si>
  <si>
    <t>TELANGANA STATE BOARD OF INTERMEDIATE EDUCATION, HYDERABAD/ TELANGANA.</t>
  </si>
  <si>
    <t>SATHYABAMA UNIVERSITY</t>
  </si>
  <si>
    <t>SATHYABAMA INSTITUTE OF SCIENCE AND TECHNOLOGY, CHENNAI/ TAMILNADU</t>
  </si>
  <si>
    <t>P25709017</t>
  </si>
  <si>
    <t>SAMARJEET</t>
  </si>
  <si>
    <t>GHODKE</t>
  </si>
  <si>
    <t>Samarjeet Rajesh Ghodke</t>
  </si>
  <si>
    <t>samarjeetghodke9077@gmail.com</t>
  </si>
  <si>
    <t>p25709017@student.nicmar.ac.in</t>
  </si>
  <si>
    <t>8332 5186 5594</t>
  </si>
  <si>
    <t>ARUNA</t>
  </si>
  <si>
    <t>Plot No.1,Chaya Housing Society , Shastrinagar , Near Fire Station,Kolhapur</t>
  </si>
  <si>
    <t>GOPA KRISHNA GOKALE COLLAGE KOLHAPUR</t>
  </si>
  <si>
    <t>KOLHAPURR INSTITUTE OF TECHNOLOGY'S COLLAGE OF ENGINEERING KOLHAPUR (EMPOWERED AUTONOMOUS)</t>
  </si>
  <si>
    <t>Suraj Estate Developers Promoters and Builders | Site Engineer Trainee | Kolhapur | Jan 2025 | Jun 2025 | 21 Weeks</t>
  </si>
  <si>
    <t>P25709018</t>
  </si>
  <si>
    <t>KHANDAPURE</t>
  </si>
  <si>
    <t>Shishir Manoj Khandapure</t>
  </si>
  <si>
    <t>shishirkhandapure03@gmail.com</t>
  </si>
  <si>
    <t>p25709018@student.nicmar.ac.in</t>
  </si>
  <si>
    <t>TRAVELLING &amp; EXPLORING NEW PLACES</t>
  </si>
  <si>
    <t>8905 1783 9236</t>
  </si>
  <si>
    <t>33 JAY MATA BUNGLOW, B/H DEVLALI GAON POLICE STATION, SUBHADRA EASTATE NASHIK ROAD ,NASHIK.</t>
  </si>
  <si>
    <t>ST PATRICK CONVENT HIGH SCHOOL ,NASHIK</t>
  </si>
  <si>
    <t>GURU GOBIND SINGH  POLYTECHNIC NASHIK ,MAHARASHTRA</t>
  </si>
  <si>
    <t>MET BHUJBAL KNOWLEDGE CITY INSTUTUTE OF ENGINEERING</t>
  </si>
  <si>
    <t>P25709019</t>
  </si>
  <si>
    <t>SAMPRIT</t>
  </si>
  <si>
    <t>Samprit Shetty</t>
  </si>
  <si>
    <t>sampritshetty29@gmail.com</t>
  </si>
  <si>
    <t>p25709019@student.nicmar.ac.in</t>
  </si>
  <si>
    <t>4416 2930 4033</t>
  </si>
  <si>
    <t>SURESH KUMAR SHETTY</t>
  </si>
  <si>
    <t>ROOPALATHA SHETTY</t>
  </si>
  <si>
    <t>UVA GARDENIA APARTMENT 204 2nd Floor. Gopaladi Road_x000D_
Ankadkatte,koteshwara._x000D_
KundapuraÂ taluk._x000D_</t>
  </si>
  <si>
    <t>GM VIDYANIKETAN PUBLIC SCHOOL</t>
  </si>
  <si>
    <t>SRI VENKATARAMANA PRE- UNIVERSITY COLLEGE</t>
  </si>
  <si>
    <t>KARNATAKA BOARD OF THE PRE- UNIVERSITY EDUCATION,KARNATAKA</t>
  </si>
  <si>
    <t>MANIPAL INSTITUTE OF TECHNOLOGY,KARNATAKA</t>
  </si>
  <si>
    <t>P25709020</t>
  </si>
  <si>
    <t>NIKUNJ</t>
  </si>
  <si>
    <t>Nikunj Vijay Rathod</t>
  </si>
  <si>
    <t>niknisrathod@gmail.com</t>
  </si>
  <si>
    <t>p25709020@student.nicmar.ac.in</t>
  </si>
  <si>
    <t>2349 1618 4462</t>
  </si>
  <si>
    <t>MANISHA RATHOD</t>
  </si>
  <si>
    <t>Gopal Bhuvan, Dipmal, Zenda Bazaar, Court Road, Opp. Hanuman Temple, Vasai West, 401201, Dist. Palghar</t>
  </si>
  <si>
    <t>ST. ANTHONY'S CONVENT SCHOOL</t>
  </si>
  <si>
    <t>MET'S BHUJBAL KNOWLEDGE CITY, NASHIK</t>
  </si>
  <si>
    <t>P25709021</t>
  </si>
  <si>
    <t>ASHWAJEET</t>
  </si>
  <si>
    <t>Ashwajeet Harishchandra Pawar</t>
  </si>
  <si>
    <t>ashwajeetpawar04@gmail.com</t>
  </si>
  <si>
    <t>p25709021@student.nicmar.ac.in</t>
  </si>
  <si>
    <t>5547 7845 7993</t>
  </si>
  <si>
    <t>HARISHCHANDRA GENDA PAWAR</t>
  </si>
  <si>
    <t>GOVT JOB</t>
  </si>
  <si>
    <t>REKHA HARISHCHANDRA PAWAR</t>
  </si>
  <si>
    <t>Sonai 10, Shivaji Nagar 2, Sakri.</t>
  </si>
  <si>
    <t>SILVEROAK UNIVERSAL SCHOOL</t>
  </si>
  <si>
    <t>INDIAN CERTIFICATE OF SECONDARY EDUCATION, NASHIK, MAHARASHTRA</t>
  </si>
  <si>
    <t>SHRI PRAMOD PATIL JR. COLLEGE, NASHIK</t>
  </si>
  <si>
    <t>HIGHER SECONDARY CERTIFICATE, NASHIK, MAHARASHTRA</t>
  </si>
  <si>
    <t>MIT ACADEMY OF ENGINEERING, PUNE, MAHARASHTRA</t>
  </si>
  <si>
    <t>Worldwide Total Building Solutions | Trainee Engineer, Consultant Representative | Pune | Dec 2024 | May 2025 | 21 Weeks</t>
  </si>
  <si>
    <t>P25709022</t>
  </si>
  <si>
    <t>Amey Raghunath Shinde</t>
  </si>
  <si>
    <t>amey9100@gmail.com</t>
  </si>
  <si>
    <t>p25709022@student.nicmar.ac.in</t>
  </si>
  <si>
    <t>5103 0924 2801</t>
  </si>
  <si>
    <t>At- Vetawade, Post-Salavan, Tal-Gaganbavda, _x000D_
Dist-Kolhapur</t>
  </si>
  <si>
    <t>TATYASAHEB KORE MILITARY  ACADEMY, PARGON, KOLHAPUR</t>
  </si>
  <si>
    <t>SHREE HANUMANTRAO CHATE  JR COLLEGE, KOLHAPUR</t>
  </si>
  <si>
    <t>Suraj Estate Developers, Kolhapur | Site Engineer | Kolhapur | Jan 2025 | Jun 2025 | 21 Weeks</t>
  </si>
  <si>
    <t>P25709023</t>
  </si>
  <si>
    <t>DHAKREY</t>
  </si>
  <si>
    <t>Sudhanshu Dhakrey</t>
  </si>
  <si>
    <t>sudhanshudhakrey4120@gmail.com</t>
  </si>
  <si>
    <t>p25709023@student.nicmar.ac.in</t>
  </si>
  <si>
    <t>04-Dec-2000</t>
  </si>
  <si>
    <t>2471 9418 3617</t>
  </si>
  <si>
    <t>SUNIL KUMAR SINGH</t>
  </si>
  <si>
    <t>VANDANA DHAKREY</t>
  </si>
  <si>
    <t>83, Prem Anand Kunj, Brij Vihar Police Chowki, Kamla Nagar, Agra</t>
  </si>
  <si>
    <t>ST. ANDREWS PUB SCH BALKESHWAR RD AGRA</t>
  </si>
  <si>
    <t>CENTRAL BOARD OF SECONDARY EDUCATION, AGRA</t>
  </si>
  <si>
    <t>DAYALBAGH EDUCATIONAL INSTITUTE</t>
  </si>
  <si>
    <t>DAYALBAGH EDUCATIONAL INSTITUTE, AGRA</t>
  </si>
  <si>
    <t>Va Tech WABAG | GET | Chennai | Jul 2024 | Jul 2025 | 1 Years, 0 Months, 1 Days | 4.2</t>
  </si>
  <si>
    <t>SHREE RIDDHI SIDDHI BUILDWELL LTD | TRAINEE | DODA, JAMMU &amp; KASHMIR | Apr 2023 | Sep 2023 | 21 Weeks</t>
  </si>
  <si>
    <t>P25709024</t>
  </si>
  <si>
    <t>M Tanishq</t>
  </si>
  <si>
    <t>tanishqvijayan1@gmail.com</t>
  </si>
  <si>
    <t>p25709024@student.nicmar.ac.in</t>
  </si>
  <si>
    <t>English ,Hindi and Tamil</t>
  </si>
  <si>
    <t>6311 5208 6686</t>
  </si>
  <si>
    <t>MUTHUVIJAYAN M</t>
  </si>
  <si>
    <t>TOURISM</t>
  </si>
  <si>
    <t>RADHAVIJAYAN M</t>
  </si>
  <si>
    <t>STOCK VERIFIER , JIPMER</t>
  </si>
  <si>
    <t>Plot No 1, Sun Avenue, Morattandi, Vanur Taluk, Villupuram District</t>
  </si>
  <si>
    <t>Viluppuram</t>
  </si>
  <si>
    <t>CENTRAL BOARD OF SECONDARY EDUCATION WITH PUDUCHERRY</t>
  </si>
  <si>
    <t>KENDRIYA VIDYALAYA NO1</t>
  </si>
  <si>
    <t>UNIVERSITY COLLEGE OF ENGINEERING WITH TAMILNADU</t>
  </si>
  <si>
    <t>AutoCAD,MS Office,sketchup,revit,twinmotion</t>
  </si>
  <si>
    <t>Larsen and Toubro | Intern  | Chennai | Jul 2023 | Aug 2023 | 4 Weeks</t>
  </si>
  <si>
    <t>P25709025</t>
  </si>
  <si>
    <t>LOHITH SAI KUMAR</t>
  </si>
  <si>
    <t>PERLA</t>
  </si>
  <si>
    <t>Lohith Sai Kumar Perla</t>
  </si>
  <si>
    <t>lohithleo2003@gmail.com</t>
  </si>
  <si>
    <t>p25709025@student.nicmar.ac.in</t>
  </si>
  <si>
    <t>English, Hindi and Telugu</t>
  </si>
  <si>
    <t>5668 9997 8074</t>
  </si>
  <si>
    <t>PERLA KIRAN KUMAR</t>
  </si>
  <si>
    <t>PRIVATE LECTURER</t>
  </si>
  <si>
    <t>PERLA ANITHA KUMARI</t>
  </si>
  <si>
    <t>36-1-168 ANKAMMA PALEM NEAR YENUGU CHETTU OLD GOVT HOSPITAL ROAD ONGOLE ANDHRA PRADESH 523001</t>
  </si>
  <si>
    <t>RAVINDRA BHARATHI HIGH SCHOOL</t>
  </si>
  <si>
    <t>DAMACHARLA ANJANEYULU GOVERNMENT POLYTECHNIC ONGOLE</t>
  </si>
  <si>
    <t>SAGI RAMAKRISHNAM RAJU ENGINEERING COLLEGE BHIMAVARAM</t>
  </si>
  <si>
    <t>AutoCAD,MS Office,MS Project,REVIT,ETABS,TEKLA,STAADPRO, Primavera</t>
  </si>
  <si>
    <t>ASCENT CS GLOBAL | INTERN TRAINEE | HYDERABAD | Jun 2023 | Aug 2023 | 8 Weeks
ASCENT CS GLOBAL | INTERN TRAINEE | HYDERABAD | Jul 2022 | Sep 2022 | 8 Weeks</t>
  </si>
  <si>
    <t>ETABS
FIRE AND SAFETY
TYPE WRITING HIGHER
TYPE WRITING LOWER
AUTOCAD
Climate Risk, Adaptation and Sustainable Development</t>
  </si>
  <si>
    <t>P25709026</t>
  </si>
  <si>
    <t>ACHYUT</t>
  </si>
  <si>
    <t>Achyut Kailas Kale</t>
  </si>
  <si>
    <t>achyutkale227@gmail.com</t>
  </si>
  <si>
    <t>p25709026@student.nicmar.ac.in</t>
  </si>
  <si>
    <t>8812 5485 9625</t>
  </si>
  <si>
    <t>RETIRED RAILWAY MANAGER (GUARD)</t>
  </si>
  <si>
    <t>SUVARNA</t>
  </si>
  <si>
    <t>B-201, Omkar Residency , Next To Titwala Railway Station, Titwala West,Kalyan,Thane,Maharashtra - 421605</t>
  </si>
  <si>
    <t>YADAVANAND BUILDING, SANDHAN NAGAR, IN FRONT OF SEVENTH DAY HIGH SCHOOL,_x000D_
LASALGAON -MANMAD HIGHWAY, NIPHAD, MAHARASHTRA -422306</t>
  </si>
  <si>
    <t>SHAKUNTALA VIDYALAYA, TITWALA EAST</t>
  </si>
  <si>
    <t>THE MAHARASHTRA STATE BOARD OF SECONDARY &amp; HIGHER SECONDARY EDUCATION ,PUNE - MUMBAI DIVISIONAL BOARD</t>
  </si>
  <si>
    <t>JEEVANDEEP SHAIKSHNIK SANTHASA POI'S ARTS,COMMERCE,SCIENCE, GOVELI</t>
  </si>
  <si>
    <t>SNJB'S LATE SAU KANTABAI BHAVARLALJI JAIN COLLEGE OF ENGINEERING,CHANDWAD, MAHARASHTRA-423101</t>
  </si>
  <si>
    <t>AutoCAD,MS Office,Staad Pro,ETABS</t>
  </si>
  <si>
    <t>Hitesh Lahoti and Associates | Jr.Design Engineer | Chandwad | Jan 2024 | Jan 2024 | 4 Weeks</t>
  </si>
  <si>
    <t>STAAD.pro CONNECT EDITION</t>
  </si>
  <si>
    <t>P25709027</t>
  </si>
  <si>
    <t>MAROTI</t>
  </si>
  <si>
    <t>TIGULWAD</t>
  </si>
  <si>
    <t>Vishal Maroti Tigulwad</t>
  </si>
  <si>
    <t>vishal.tigulwad@gmail.com</t>
  </si>
  <si>
    <t>p25709027@student.nicmar.ac.in</t>
  </si>
  <si>
    <t>04-Jul-2004</t>
  </si>
  <si>
    <t>MARATHI, ENGLISH, HINDI.</t>
  </si>
  <si>
    <t>4208 9271 9283</t>
  </si>
  <si>
    <t>MAROTI MANIKA TIGULWAD</t>
  </si>
  <si>
    <t>KALPANA MAROTI TIGULWAD</t>
  </si>
  <si>
    <t>B/201, Ratna Enclave, Uttan Road, Near Fish Market, Raigaon, Bhayandar West</t>
  </si>
  <si>
    <t>AMCHA GHAR SCHOOL</t>
  </si>
  <si>
    <t>J. H. PODDAR HIGH SCHOOL &amp; JUNIOR COLLEGE OF COMMERCE &amp; SCIENCE</t>
  </si>
  <si>
    <t>VIVA INSTITUTE OF TECHNOLOGY, VIRAR EAST</t>
  </si>
  <si>
    <t>P25709028</t>
  </si>
  <si>
    <t>ANJAN</t>
  </si>
  <si>
    <t>T K</t>
  </si>
  <si>
    <t>Anjan T K</t>
  </si>
  <si>
    <t>anjantk12@gmail.com</t>
  </si>
  <si>
    <t>p25709028@student.nicmar.ac.in</t>
  </si>
  <si>
    <t>Cricket,Travelling,Adventure Sports,Stock Market</t>
  </si>
  <si>
    <t>7133 4905 5277</t>
  </si>
  <si>
    <t>KRISHNA MURTHY T K</t>
  </si>
  <si>
    <t>ANITHA S R</t>
  </si>
  <si>
    <t>Anjanadri, Basaveshwara Street Hubballi Mutt Opp Tarikere</t>
  </si>
  <si>
    <t>ARADHANA SCHOOL, TARIKERE, CHIKKAMAGALURU, KARNATAKA</t>
  </si>
  <si>
    <t>DACG GOVT POLYTECHNIC, CHIKKAMAGALURU, KARNATAKA</t>
  </si>
  <si>
    <t>DAYANANDA SAGAR COLLEGE OF ENGINEERING, BENGALURU, KARNATAKA</t>
  </si>
  <si>
    <t>AutoCAD , BIM,  Microsoft Office, Microsoft Project,  Power BI,  Primavera P6,  Project Planning &amp; Scheduling , QGIS</t>
  </si>
  <si>
    <t>SIR M.V CONSTRUCTION &amp; CONSULTANTS | CIVIL ENGINEERING INTERN | TARIKERE, KARNATAKA | Aug 2022 | Sep 2022 | 4 Weeks
LARSEN &amp; TOUBRO LIMITED (L&amp;T) | PROJECT MANAGEMENT INTERN | TUMAKURU, KARNATAKA | May 2026 | Jul 2026 | 8 Weeks</t>
  </si>
  <si>
    <t>Centre For Innovation &amp; Leadership, DSCE, Bengaluru
In Plant Training, Chikkamagaluru, 2019
Indian Water works Association, Pune, 2023
Safety in construction and Plastic waste management - NPTEL 2022
Planning &amp; Control with Oracle Primavera PPM Professional - Packt
Project Management in Construction - L&amp;T EduTech
Business Communication - Coursera
Climate Risk, Adaptation and Sustainable Development - NPTEL</t>
  </si>
  <si>
    <t>P25709029</t>
  </si>
  <si>
    <t>ADAVESH</t>
  </si>
  <si>
    <t>BENDIGERI</t>
  </si>
  <si>
    <t>Pranav Adavesh Bendigeri</t>
  </si>
  <si>
    <t>pranavbendigeri21@gmail.com</t>
  </si>
  <si>
    <t>p25709029@student.nicmar.ac.in</t>
  </si>
  <si>
    <t>exploring new places,tekking,photography</t>
  </si>
  <si>
    <t>3170 4979 0097</t>
  </si>
  <si>
    <t>ADAVESH BENDIGERI</t>
  </si>
  <si>
    <t>LEELAVATI BENDIGERI</t>
  </si>
  <si>
    <t>Peth Galli, Balekundri KH, Belagavi</t>
  </si>
  <si>
    <t>B. G. NATIONAL PUBLIC SCHOOL</t>
  </si>
  <si>
    <t>BENGALURU, KARNATAKA</t>
  </si>
  <si>
    <t>SGV MAHESH PU COLLEGE</t>
  </si>
  <si>
    <t>BELAGAVI, KARNATAKA</t>
  </si>
  <si>
    <t>S. G. BALEKUNDRI INSTITITE OF TECHNOLOGY</t>
  </si>
  <si>
    <t>AutoCAD, MS Office, Autodesk Revit, Power BI, MS Projects, Primavera</t>
  </si>
  <si>
    <t>EI TECHNOLOGIES PRIVATE LIMITED | TRAINEE | BENGALURU | Mar 2025 | May 2025 | 11 Weeks</t>
  </si>
  <si>
    <t>Building Materials in Construction field e Soft Skills Applications AutoCADD
National Level Paper Presentation in Recent Trends in Concrete Technology
Design Thinking and Building Design Process
THE 2 WEEKS CERTIFICATION COURSE ON "RAINWATER HARVESTING AND WATERSHED MANACEMENT"
Advitiya - Two Days National level Student's Technical Fest
Construction Scheduling (coursera - Columbia University)
Project Management - Initiation &amp; Planning (coursera - L&amp;TEduTech)
Formwork Practices (coursera - L&amp;T EduTech)
Essential in Revit Architecture</t>
  </si>
  <si>
    <t>P25709030</t>
  </si>
  <si>
    <t>BANKAR</t>
  </si>
  <si>
    <t>Bankar Swaraj Nitin</t>
  </si>
  <si>
    <t>swarajbankar812@gmail.com</t>
  </si>
  <si>
    <t>p25709030@student.nicmar.ac.in</t>
  </si>
  <si>
    <t>08-Dec-2003</t>
  </si>
  <si>
    <t>Sustainability,Research,Project Management,Networking</t>
  </si>
  <si>
    <t>2615 3723 9741</t>
  </si>
  <si>
    <t>Bankar Wasti, Padhegaon.</t>
  </si>
  <si>
    <t>YASHWANT VIDYALAYA, PADHEGAON, SHRIRAMPUR, A'NAGAR</t>
  </si>
  <si>
    <t>ASHOK INSTITUTE OF ENGINEERING &amp; TECHNOLOGY(POLYTECHNIC), SHRIRAMPUR.</t>
  </si>
  <si>
    <t>JAYWANT SHIKSHAN PRASARAK MANDAL'S,RAJARSHI SHAHU COLLEGE OF ENGINEERING, TATHAWADE, PUNE</t>
  </si>
  <si>
    <t>BENTLEY EDUCATION (SUPPORTED BY BENTLEY SYSTEMS) | STRUCTURAL ANALYSIS INTERN (VIRTUAL INTERNSHIP) | ONLINE / VIRTUAL | Apr 2024 | Jun 2024 | 10 Weeks</t>
  </si>
  <si>
    <t>Maharashtra State Council of Vocational Training ELECTRICAL TECHNOLOGY -(92)
Maharashtra State Certificate in Information Technology (MS-CIT)
How to Price and Document Your Delay Claims (AWIW121421)
International Project Development and Construction Risk (AWI112114)
Innovative and Smart Construction: Use of Infrared Thermal Profiling and GPR Pavement Density Scanner (AWI021318)
Quality Management During Design and Construction (AWI072011)
Bentley Education: Recognized Future Professional - STAAD.Pro
Mitigation of Carbon Emissions from Construction Projects (AWI061316)</t>
  </si>
  <si>
    <t>P25709031</t>
  </si>
  <si>
    <t>DIPALI</t>
  </si>
  <si>
    <t>MANJHI</t>
  </si>
  <si>
    <t>Dipali Manjhi</t>
  </si>
  <si>
    <t>manjhidipali411@gmail.com</t>
  </si>
  <si>
    <t>p25709031@student.nicmar.ac.in</t>
  </si>
  <si>
    <t>04-Nov-2001</t>
  </si>
  <si>
    <t>Reading about construction &amp; infrastructure projects, Sketching, Traveling, Playing badminton, Listening to music</t>
  </si>
  <si>
    <t>6938 1588 8709</t>
  </si>
  <si>
    <t>RAJMANI</t>
  </si>
  <si>
    <t>Arun Nagar , Shreeyut Colony , Rewa , Madhya Pradesh, 486001</t>
  </si>
  <si>
    <t>QUEENS' COLLEGE INDORE</t>
  </si>
  <si>
    <t>REVA UNIVERSITY BENGALURU , KARNATAKA</t>
  </si>
  <si>
    <t>AutoCAD, MS Office, Advanced Excel, MS Project, Primavera P6, AutoDesk Revit, Power BI</t>
  </si>
  <si>
    <t>L&amp;T Construction  | Summer Intern - Planning &amp; Project Controls | Bandra (West), Mumbai, Maharashtra | May 2026 | Jul 2026 | 9 Weeks | Campus Internship
Swathi Civil Consultancy | Intern - Site Engineer | Kogilu, Bangalore | Jul 2023 | Aug 2023 | 6 Weeks</t>
  </si>
  <si>
    <t>SketchUp
AutoCAD
Construction Management
Business Communication
Visualization for Data Analysis with Power BI
BIM Fundamentals for Engineers</t>
  </si>
  <si>
    <t>P25709032</t>
  </si>
  <si>
    <t>SUDHARSAN K</t>
  </si>
  <si>
    <t>Sree Sudharsan K</t>
  </si>
  <si>
    <t>sreesudharsan27@gmail.com</t>
  </si>
  <si>
    <t>p25709032@student.nicmar.ac.in</t>
  </si>
  <si>
    <t>4681 5010 9327</t>
  </si>
  <si>
    <t>KANAGAVEL RAJAN M</t>
  </si>
  <si>
    <t>MANAGER IN PRIVATE SECTOR</t>
  </si>
  <si>
    <t>KAVITHA S</t>
  </si>
  <si>
    <t>19, Raju Nagar 3 , Samichettipalayam Road , Jothipuram Post</t>
  </si>
  <si>
    <t>VIDYAA VIKAS MATRIC HIGHER SECONDARY SCHOOL</t>
  </si>
  <si>
    <t>VIDYAA VIKAS INTERNATIONAL SCHOOL</t>
  </si>
  <si>
    <t>P25709033</t>
  </si>
  <si>
    <t>KODCHERWAR</t>
  </si>
  <si>
    <t>Akshay Kumar Kodcherwar</t>
  </si>
  <si>
    <t>kodcherwarakshaykumar@gmail.com</t>
  </si>
  <si>
    <t>p25709033@student.nicmar.ac.in</t>
  </si>
  <si>
    <t>Cooking,Video Editing</t>
  </si>
  <si>
    <t>2307 2643 9053</t>
  </si>
  <si>
    <t>KODCHERWAR SHANKAR</t>
  </si>
  <si>
    <t>KODCHERWAR SUNITHA</t>
  </si>
  <si>
    <t>H.no; 4-3-1/275/36, Shivaji Nagar, Pipri Colony, Bhainsa, Nirmal District</t>
  </si>
  <si>
    <t>VASAVI HIGH SCHOOL</t>
  </si>
  <si>
    <t>AutoCAD,MS Office,Revit,Drawing Reading</t>
  </si>
  <si>
    <t>NAGARJUNA CONSTRUCTION COMPANY LIMITED (NCC LIMITED) | CIVIL ENGINEERING INTERN | AIIMS PROJECT, BIBINAGAR, TELANGANA | Apr 2025 | Jun 2025 | 8 Weeks</t>
  </si>
  <si>
    <t>Autocad Course Completion Certificate by Udemy
Autodesk Revit</t>
  </si>
  <si>
    <t>P25709034</t>
  </si>
  <si>
    <t>Jayesh Sunil Kolhe</t>
  </si>
  <si>
    <t>jayeshsunilkolhe@gmail.com</t>
  </si>
  <si>
    <t>p25709034@student.nicmar.ac.in</t>
  </si>
  <si>
    <t>3548 3208 9172</t>
  </si>
  <si>
    <t>Sr No 11/12 Flat No 4 Siddhkala Society Near Nirmal Park Opp Pune Merchant Bank</t>
  </si>
  <si>
    <t>HUME MC HENRY MEMORIAL HIGHER SECONDARY SCHOOL OF SEVENTH DAY ADVENTIST</t>
  </si>
  <si>
    <t>COUNCIL FOR THE INDIAN SCHOOL CERTIFICATE EXAMINATION PUNE</t>
  </si>
  <si>
    <t>BHARATHI VIDYAPEETH JAWAHARLAL NEHRU INSTITUTE OF TECHNOLOGY PUNE</t>
  </si>
  <si>
    <t>TSSM BHIVRABAI SAWANT COLLEGE OF ENGINEERING AND RESEARCH PUNE.</t>
  </si>
  <si>
    <t xml:space="preserve">AutoCAD, MS Office, MS Project,Primavera,PowerBI, BIM, @Risk </t>
  </si>
  <si>
    <t>Larsen and Toubro | Planning Engineer | Pune | May 2026 | Jul 2026 | 9 Weeks | Campus Internship
Larsen and  Turbro | Planning engineer  | Pune  | May 2026 | Jul 2026 | 9 Weeks</t>
  </si>
  <si>
    <t>Giving Helpful Feedback
Teamwork Skills: Communicating Effectively in Groups
Finance for Non-Financial Managers
Bussiness writing
NPTEL Climate Risk, Adaptation and Sustainable Development
CONSTRUCTION PROJECT MANAGEMENT</t>
  </si>
  <si>
    <t>P25709035</t>
  </si>
  <si>
    <t>Pratham Raj D</t>
  </si>
  <si>
    <t>prathamrajd@gmail.com</t>
  </si>
  <si>
    <t>p25709035@student.nicmar.ac.in</t>
  </si>
  <si>
    <t>3431 2185 2068</t>
  </si>
  <si>
    <t>RAJESH D MAISTRY</t>
  </si>
  <si>
    <t>RENU RAJESH</t>
  </si>
  <si>
    <t>Jayalakshmi Nivas Dandekery Road Yeyyadi Mangalore-575008</t>
  </si>
  <si>
    <t>ST ALOYSIUS HIGH SCHOOL</t>
  </si>
  <si>
    <t>KARNATAKA SECONDARY EXAMINATION BOARD KARANATAKA</t>
  </si>
  <si>
    <t>ST ALOYSIUS PRE UNIVERSITY COLLEGE</t>
  </si>
  <si>
    <t>DEPARTMENT OF PRE-UNIVERSITY EDUCATION-KARNATAKA</t>
  </si>
  <si>
    <t>MANIPAL INSTITUTE OF TECHNOLOGY MANIPAL</t>
  </si>
  <si>
    <t>P25709036</t>
  </si>
  <si>
    <t>POORNA</t>
  </si>
  <si>
    <t>NAGA SAI</t>
  </si>
  <si>
    <t>CHEEDAY</t>
  </si>
  <si>
    <t>Poorna Naga Sai Cheeday</t>
  </si>
  <si>
    <t>poorna7cheeday@gmail.com</t>
  </si>
  <si>
    <t>p25709036@student.nicmar.ac.in</t>
  </si>
  <si>
    <t>Drawing,Gardening,Cricket</t>
  </si>
  <si>
    <t>9940 8233 8725</t>
  </si>
  <si>
    <t>CHEEDAY GANGADHAR RAO</t>
  </si>
  <si>
    <t>CHEEDAY RADHA</t>
  </si>
  <si>
    <t>418/17, FLAT NO-305, 4TH FLOOR, HOLY MOUNT APARTMENT, REST HOUSE ROAD, NEAR RAMALAYAM, BHIMAVARAM, WEST GODAVARI, ANDHRA PRADESH-534201</t>
  </si>
  <si>
    <t>ADITYA (E.M) HIGH SCHOOL</t>
  </si>
  <si>
    <t>Primavera P6, MS Project, Power BI, AutoCAD, MS Office, Revit, SketchUp, V-Ray</t>
  </si>
  <si>
    <t>LARSEN &amp; TOUBRO CONSTRUCTION (WET-IC) | PLANNING DEPARTMENT INTERN | MADP Zone-07, Mandadam, Amaravati, Andhra Pradesh. | May 2026 | Jul 2026 | 9 Weeks | Campus Internship
ASCENT CS GLOBAL | DESIGN ENGINEER INTERN | HYDERABAD | Jul 2022 | Sep 2022 | 8 Weeks
ASCENT CS GLOBAL | DESIGN ENGINEER INTERN | HYDERABAD | Jun 2023 | Aug 2023 | 8 Weeks
SKILLDZIRE in collaboration with ANDHRA PRADESH STATE COUNCIL OF HIGHER EDUCATION | DESIGN ENGINEER INTERN | HYDERABAD | Mar 2024 | Apr 2024 | 6 Weeks</t>
  </si>
  <si>
    <t>Lean Six Sigma Green Belt Certification | KPMG
Construction Project Management Certification | Columbia University | Coursera
Business Communication Certification | University of Colorado Boulder | Coursera
Completed an online certification course on the basics of SketchUp Pro with V-Ray, offered by Deepak Verma.
Completed an online certification course on the basics of AutoCAD, offered by Verzeo.
Completed an online certification course on the basics of Revit, STAAD Pro, and 3ds Max, offered by the R&amp;D Department of Mayinkrish Ventures Pvt. Ltd.</t>
  </si>
  <si>
    <t>P25709037</t>
  </si>
  <si>
    <t>Gowtham S</t>
  </si>
  <si>
    <t>gowthamsunder01@gmail.com</t>
  </si>
  <si>
    <t>p25709037@student.nicmar.ac.in</t>
  </si>
  <si>
    <t>19-Aug-2001</t>
  </si>
  <si>
    <t>English, tamil</t>
  </si>
  <si>
    <t>7253 8873 9585</t>
  </si>
  <si>
    <t>SUNDER P</t>
  </si>
  <si>
    <t>515-A , Om Sakthi Nagar, Vengikkal</t>
  </si>
  <si>
    <t>Tiruvannamalai</t>
  </si>
  <si>
    <t>VIGNESH INTERNATIONAL SCHOOL</t>
  </si>
  <si>
    <t>AutoCAD,Staad Pro,Revit</t>
  </si>
  <si>
    <t>Larsen and Toubro | Intern  | Bangalore  | Aug 2023 | Oct 2023 | 9 Weeks</t>
  </si>
  <si>
    <t>P25709038</t>
  </si>
  <si>
    <t>CHIDURALA</t>
  </si>
  <si>
    <t>ESHWAR</t>
  </si>
  <si>
    <t>Chidurala Eshwar</t>
  </si>
  <si>
    <t>eshwarchidurala1@gmail.com</t>
  </si>
  <si>
    <t>p25709038@student.nicmar.ac.in</t>
  </si>
  <si>
    <t>7353 1101 4778</t>
  </si>
  <si>
    <t>CHIDURALA MADHUSUDHAN</t>
  </si>
  <si>
    <t>CHIDURALA SHIVAHINI</t>
  </si>
  <si>
    <t>406, 4th Floor, Hanuman Towers, Kalyani Nagar, Desaipet Road, Warangal, Telangana</t>
  </si>
  <si>
    <t>ARYABHATTA CONCEPT SCHOOL</t>
  </si>
  <si>
    <t>VMR POLYTECHNIC, WARANGAL URBAN, TELANGANA</t>
  </si>
  <si>
    <t>SR UNIVERSITY</t>
  </si>
  <si>
    <t>SR UNIVERSITY, WARANGAL URBAN, TELANGANA</t>
  </si>
  <si>
    <t>Shivarama Traders | intern - Construction of CC Road | Warangal, Telangana | Jan 2025 | Mar 2025 | 12 Weeks
CSIR â€“ CENTRAL BUILDING RESEARCH INSTITUTE | TRAINEE | ROORKEE, UTTARAKHAND, INDIA | Jun 2024 | Nov 2024 | 24 Weeks</t>
  </si>
  <si>
    <t>E-tab, Primavera, Revit Architecture
Water Resources Management and Policy
Water: an essential resource
ETABS v19 &amp; SAFE v16 in Villa Structural design in UAE+CAD
Planning &amp; Design of Sanitation Systems and  Technologies
Leadership Skills
Engineering of Structures: Tension and  Compression
Construction Scheduling
Construction Project Management
Sustainable Regional Principles, Planning and  Transportation
Construction Cost Estimating and Cost Control</t>
  </si>
  <si>
    <t>P25709039</t>
  </si>
  <si>
    <t>UPPALURI</t>
  </si>
  <si>
    <t>Varun Raj Uppaluri</t>
  </si>
  <si>
    <t>varunrajuppaluri@gmail.com</t>
  </si>
  <si>
    <t>p25709039@student.nicmar.ac.in</t>
  </si>
  <si>
    <t>English, Telugu, Hindi &amp; Kannada</t>
  </si>
  <si>
    <t>Reading books,Chess,Gym,Board games</t>
  </si>
  <si>
    <t>5126 5295 4958</t>
  </si>
  <si>
    <t>UPPALURI VAMSI KRISHNA</t>
  </si>
  <si>
    <t>UPPALURI KAVITHA</t>
  </si>
  <si>
    <t>S-4, Srinivasa Apartment, Venkat Reddy Nagar, Ramanthapur</t>
  </si>
  <si>
    <t>317, JYOTHI CLIQUE APARTMENTS, 4TH B CROSS, ABBHAYAREDDY LAYOUT, KAGGADASAPURA, C V RAMAN NAGAR POST.</t>
  </si>
  <si>
    <t>SRI SATYA SAI VIDYA VIHAR HIGH SCHOOL</t>
  </si>
  <si>
    <t>ST. PATRICK'S JUNIOR COLLEGE</t>
  </si>
  <si>
    <t>S J C INSTITUTE OF TECHNOLOGY</t>
  </si>
  <si>
    <t>P25709041</t>
  </si>
  <si>
    <t>VINESH</t>
  </si>
  <si>
    <t>Varun Vinesh Rathod</t>
  </si>
  <si>
    <t>vaunrathod@gmail.com</t>
  </si>
  <si>
    <t>p25709041@student.nicmar.ac.in</t>
  </si>
  <si>
    <t>English, Hindi and Gujrati</t>
  </si>
  <si>
    <t>9889 5720 7286</t>
  </si>
  <si>
    <t>Shriddhi Vinayak, Jay Geet Society, Street 1, Airport Road, Near Mahakaleshvar Mandir, Rajkot-360007 Rajkot Airport_x000D_
_x000D_
Rajkot - 360007_x000D_
_x000D_
Gujarat</t>
  </si>
  <si>
    <t>RATHOD VARUN VINESH</t>
  </si>
  <si>
    <t>GSEB WITH RAJKOT/GUJARAT</t>
  </si>
  <si>
    <t>UTKARSH SCHOOL OF EXCELLENCE</t>
  </si>
  <si>
    <t>DARSHAN UNIVERSITY RAJKOT/GUJARAT</t>
  </si>
  <si>
    <t>P25709042</t>
  </si>
  <si>
    <t>PARVATHI</t>
  </si>
  <si>
    <t>K C</t>
  </si>
  <si>
    <t>Parvathi K C</t>
  </si>
  <si>
    <t>parvathikc15@gmail.com</t>
  </si>
  <si>
    <t>p25709042@student.nicmar.ac.in</t>
  </si>
  <si>
    <t>12-Feb-2002</t>
  </si>
  <si>
    <t>English , Hindi , Malayalam</t>
  </si>
  <si>
    <t>6239 0588 2900</t>
  </si>
  <si>
    <t>B DINESHAN</t>
  </si>
  <si>
    <t>JISHA KAYAKKAL CHANDROTH</t>
  </si>
  <si>
    <t>Sukrutham Vengaravayal P O Chirakkal Kannur</t>
  </si>
  <si>
    <t>CENTRAL BOARD OF  SECONDARY EDUCATION , KERALA</t>
  </si>
  <si>
    <t>VIMAL JYOTHI ENGINEERING COLLEGE</t>
  </si>
  <si>
    <t>AutoCAD,MS Office,Primavera,STAAD Pro</t>
  </si>
  <si>
    <t>AAVISHKAARA SCHOOL FOR APPLIED PROFESSIONAL TRAINING | SITE ENGINEERING TRAINEE | KOCHI | Sep 2022 | Sep 2022 | 0 Weeks</t>
  </si>
  <si>
    <t>P25709043</t>
  </si>
  <si>
    <t>SEENA</t>
  </si>
  <si>
    <t>BETH</t>
  </si>
  <si>
    <t>Seena Beth</t>
  </si>
  <si>
    <t>seenabeth01@gmail.com</t>
  </si>
  <si>
    <t>p25709043@student.nicmar.ac.in</t>
  </si>
  <si>
    <t>19-Jul-2002</t>
  </si>
  <si>
    <t>4353 4532 3028</t>
  </si>
  <si>
    <t>SPICER SOLOMON</t>
  </si>
  <si>
    <t>CHURCH PASTOR</t>
  </si>
  <si>
    <t>REETHA RANI J L</t>
  </si>
  <si>
    <t>RETIRED DEP. MANAGER OF KSFE</t>
  </si>
  <si>
    <t>Prarthana,JNRA-5A,Jubilee Nagar,Vattapara</t>
  </si>
  <si>
    <t>NIRMALA BHAVAN HIGHER SECONDARY SCHOOL ,KOWDIAR</t>
  </si>
  <si>
    <t>TRIVANDRUM,KERALA</t>
  </si>
  <si>
    <t>ST.GORETTIS HIGHER SECONDARY  SCHOOL,NALANCHIRA</t>
  </si>
  <si>
    <t>MAR BASELIOS COLLEGE OF ENGINEERING,NALANCHIRA</t>
  </si>
  <si>
    <t>AutoCAD,MS Office,MS Project,Primavera,staad pro</t>
  </si>
  <si>
    <t>Public Works Department | Intern | Trivandrum,Kerala | Oct 2023 | Oct 2023 | 1 Weeks</t>
  </si>
  <si>
    <t>P25709044</t>
  </si>
  <si>
    <t>ADISESH</t>
  </si>
  <si>
    <t>SAAYIN</t>
  </si>
  <si>
    <t>Adisesh Saayin S</t>
  </si>
  <si>
    <t>saayinadisesh@gmail.com</t>
  </si>
  <si>
    <t>p25709044@student.nicmar.ac.in</t>
  </si>
  <si>
    <t>English,hindi,malayalam</t>
  </si>
  <si>
    <t>6958 4158 4390</t>
  </si>
  <si>
    <t>SUNDEV N</t>
  </si>
  <si>
    <t>JOINT SECRETARY TO THE GOVT.OF KERALA</t>
  </si>
  <si>
    <t>ANU S</t>
  </si>
  <si>
    <t>PROFFESOR OF ENGLISH</t>
  </si>
  <si>
    <t>Varinjamthodathu,mulluvila,vadakkevila PO</t>
  </si>
  <si>
    <t>SOORYAMSU TC 56. 1478/2_x000D_
KRA C6(3) KARUMOM PO</t>
  </si>
  <si>
    <t>CHRIST NAGAR SENIOR SECONDARY SCHOOL, CHAVARAPURAM, TRIVANDRUM,KL</t>
  </si>
  <si>
    <t>CHINMAYA VIDYALAYA ATTUKAL, MANACAD, TRIVANDRUM, KL</t>
  </si>
  <si>
    <t>AutoCAD,MS Office,Primavera,STAAD PRO</t>
  </si>
  <si>
    <t>P25709045</t>
  </si>
  <si>
    <t>C A</t>
  </si>
  <si>
    <t>Bharath C A</t>
  </si>
  <si>
    <t>ca1389@srmist.edu.in</t>
  </si>
  <si>
    <t>p25709045@student.nicmar.ac.in</t>
  </si>
  <si>
    <t>9933 8808 8339</t>
  </si>
  <si>
    <t>ARUN ARUMUGAM R</t>
  </si>
  <si>
    <t>MENAKA P</t>
  </si>
  <si>
    <t>3/270,C.V.A.HOUSE,CHINNIYAMPALAYAM(post),MODAKKURICHI(via),ERODE-638104,TAMIL NADU.</t>
  </si>
  <si>
    <t>BHARATHI VIDYA BHAVAN MATRIC HR SEC SCHOOL</t>
  </si>
  <si>
    <t>STATE BOARD OF SCHOOL EXAMINATIONS,TAMIL NADU</t>
  </si>
  <si>
    <t>SRM INSTITUTE OF SCIENCE AND TECHNOLOGY,TAMIL NADU</t>
  </si>
  <si>
    <t>AutoCAD,STAAD PRO</t>
  </si>
  <si>
    <t>Lotus construction | civil intern | Erode, Tamil Nadu | Jun 2023 | Jun 2023 | 4 Weeks</t>
  </si>
  <si>
    <t>P25709046</t>
  </si>
  <si>
    <t>VASANTHA KUMAR</t>
  </si>
  <si>
    <t>M Vasantha Kumar</t>
  </si>
  <si>
    <t>m.vasantha2001@gmail.com</t>
  </si>
  <si>
    <t>p25709046@student.nicmar.ac.in</t>
  </si>
  <si>
    <t>english,tamil</t>
  </si>
  <si>
    <t>4675 0120 6576</t>
  </si>
  <si>
    <t>M.RENUKA DEVI</t>
  </si>
  <si>
    <t>No 25 Kallar Street ,T Andipatti,vadipati Taluk ,madurai</t>
  </si>
  <si>
    <t>H NO 34/11E/2 ,MK STORE RATHI RAJAN NAGAR ,NGO,MOHAMMED SHA PURAM 4 TH STREET ,THIRUMANGALAM,MADURAI</t>
  </si>
  <si>
    <t>ADHYAPANA SCHOOL</t>
  </si>
  <si>
    <t>VELAMMAL VIDYALAYA VIRAGANOOR MADURAI</t>
  </si>
  <si>
    <t>KONGU ENGINEERING COLLEGE ERODE TAMILNAUDU</t>
  </si>
  <si>
    <t>P25709047</t>
  </si>
  <si>
    <t>PUROHIT</t>
  </si>
  <si>
    <t>Raju Ram Purohit</t>
  </si>
  <si>
    <t>rajupurohitrudha2004@gmail.com</t>
  </si>
  <si>
    <t>p25709047@student.nicmar.ac.in</t>
  </si>
  <si>
    <t>English, Hindi, Marwadi</t>
  </si>
  <si>
    <t>6123 6828 0206</t>
  </si>
  <si>
    <t>MAGA RAM</t>
  </si>
  <si>
    <t>SATI DEVI</t>
  </si>
  <si>
    <t>Daulatpur, Raniwara, Jalor Rajasthan</t>
  </si>
  <si>
    <t>Jalore</t>
  </si>
  <si>
    <t>SARVAYOG INTERNATIONAL SCHOOL</t>
  </si>
  <si>
    <t>RAJASTHAN</t>
  </si>
  <si>
    <t>FR. AGNEL POLYTECHNIC</t>
  </si>
  <si>
    <t>GEETANJALI INSTITUTE OF TECHNICAL STUDIES, UDAIPUR, RAJASTHAN</t>
  </si>
  <si>
    <t>Himani  Enterprises | Site Engineer  | Udaipur | Jul 2024 | Sep 2024 | 6 Weeks
AD Constructions | Site Engineer  | Udaipur | Jul 2023 | Aug 2023 | 4 Weeks</t>
  </si>
  <si>
    <t>Gits Shining Stars
TECHNOCRATZ
Learn Delta
Bentley Advancing Ifrastructure
Gate Score Card
Effective  Drafting Using AutoCAD
L&amp;T Edutechâ€™s Industry Training Program In â€œCivil  Engineeringâ€
Udemy, Technical report Writing
NPTEL ONLINE CERTIFICATION, Air Pollution and Control
NPTEL ONLINE CERTIFICATION, Basic Construction Materials
NPTEL ONLINE CERTIFICATION, Traffic Engineering
NPTEL ONLINE CERTIFICATION, Sustainable Transportation Systems
NPTEL ONLINE CERTIFICATION, Fluid Mechanics
NPTEL ONLINE CERTIFICATION, Introduction to Civil Engineering Profession
NPTEL ONLINE CERTIFICATION, Wastewater Treatment and Recycling</t>
  </si>
  <si>
    <t>P25709048</t>
  </si>
  <si>
    <t>Vivek Madhukar Deore</t>
  </si>
  <si>
    <t>vivekdeore8053@gmail.com</t>
  </si>
  <si>
    <t>p25709048@student.nicmar.ac.in</t>
  </si>
  <si>
    <t>3696 5229 0359</t>
  </si>
  <si>
    <t>MADHUKAR DEORE</t>
  </si>
  <si>
    <t>LAND DEVELOPER &amp; REAL ESTATE</t>
  </si>
  <si>
    <t>KALPANA DEORE</t>
  </si>
  <si>
    <t>Flat No 10, Harimangal Apartment, Mahatma Nagar ,Nashik 422007</t>
  </si>
  <si>
    <t>SANDIP FOUNDATION, NASHIK</t>
  </si>
  <si>
    <t>LOKNETE GOPINATHJI MUNDE INSTITUTE OF ENGINEERING EDUCATION &amp; RESEARCH, NASHIK</t>
  </si>
  <si>
    <t>P25709049</t>
  </si>
  <si>
    <t>MANGALSING</t>
  </si>
  <si>
    <t>Abhishek Mangalsing Rajput</t>
  </si>
  <si>
    <t>abhishekrajput99177@gmail.com</t>
  </si>
  <si>
    <t>p25709049@student.nicmar.ac.in</t>
  </si>
  <si>
    <t>3162 5340 0535</t>
  </si>
  <si>
    <t>MANGALSING RAJPUT</t>
  </si>
  <si>
    <t>MANISHA RAJPUT</t>
  </si>
  <si>
    <t>D-302,Anmol Nayantara City One,tidke Colony</t>
  </si>
  <si>
    <t>FRAVASHI INTERNATIONAL ACADEMY</t>
  </si>
  <si>
    <t>IGCSE ( NASHIK)</t>
  </si>
  <si>
    <t>K K WAGH POLYTECHNIC (NASHIK)</t>
  </si>
  <si>
    <t>NMIMS</t>
  </si>
  <si>
    <t>MUKESH PATEL SCHOOL OF TECHNOLOGY MANAGEMENT AND ENGINEERING (MUMBAI)</t>
  </si>
  <si>
    <t>AutoCAD,MS Office,Staadtpro,Revit3D</t>
  </si>
  <si>
    <t>P25709050</t>
  </si>
  <si>
    <t>DIVYANSHI</t>
  </si>
  <si>
    <t>Divyanshi Chauhan</t>
  </si>
  <si>
    <t>divyanshi.chauhan0024@gmail.com</t>
  </si>
  <si>
    <t>p25709050@student.nicmar.ac.in</t>
  </si>
  <si>
    <t>4853 2528 0374</t>
  </si>
  <si>
    <t>CHANDRADEEP SINGH CHAUHAN</t>
  </si>
  <si>
    <t>DOLLY CHAUHAN</t>
  </si>
  <si>
    <t>L.I.G.- 260 PADMANABHPUR, DURG (C.G.)</t>
  </si>
  <si>
    <t>DELHI PUBLIC SCHOOL, DURG (C.G.)</t>
  </si>
  <si>
    <t>BHILAI INSTITUTE OF TECHNOLOGY, DURG (C.G.)</t>
  </si>
  <si>
    <t>AutoCAD,MS Office,STAAD.Pro,REVIT ARCHITECTURE</t>
  </si>
  <si>
    <t>PUBLIC WORKS DEPARTMENT, DURG (C.G.) | ROAD CONSTRUCTION AND MAINTENANCE  | DURG, CHHATTISGARH | May 2024 | Jun 2024 | 3 Weeks
SAIL BHILAI STEEL PLANT | STEEL MANUFACTURING AND PRODUCTION  | BHILAI, CHHATTISGARH | Jul 2023 | Aug 2023 | 1 Weeks</t>
  </si>
  <si>
    <t>P25709051</t>
  </si>
  <si>
    <t>MERVIN</t>
  </si>
  <si>
    <t>Mervin Mathew Shibu</t>
  </si>
  <si>
    <t>mervinmathew9@gmail.com</t>
  </si>
  <si>
    <t>p25709051@student.nicmar.ac.in</t>
  </si>
  <si>
    <t>8547 0348 7827</t>
  </si>
  <si>
    <t>SHIBU MATHEW</t>
  </si>
  <si>
    <t>JUBI SHIBU</t>
  </si>
  <si>
    <t>Padinjarapurayil (Hs), Kallooppara, Pathanamthitta</t>
  </si>
  <si>
    <t>THAPOVAN PUBLIC SCHOOL</t>
  </si>
  <si>
    <t>AutoCAD,MS Project,MS Excel,MS Powerpoint,Canva,Etabs</t>
  </si>
  <si>
    <t>PWD Vaikom | INTERN | VAIKOM, KERALA | Jul 2023 | Aug 2023 | 2 Weeks</t>
  </si>
  <si>
    <t>Construction Scheduling
Impacts of the Environment on Global Public Health</t>
  </si>
  <si>
    <t>P25709052</t>
  </si>
  <si>
    <t>SIDDHIVINAYAK</t>
  </si>
  <si>
    <t>Mahajan Siddhivinayak Dhananjay</t>
  </si>
  <si>
    <t>siddhivinayakmahajan601@gmail.com</t>
  </si>
  <si>
    <t>p25709052@student.nicmar.ac.in</t>
  </si>
  <si>
    <t>SINGNING,PLAYING CRICKET,GYMING</t>
  </si>
  <si>
    <t>9105 3913 4231</t>
  </si>
  <si>
    <t>A/1102 Bldg No 36 Pantnagar Saphalya CHS, Near Sahakar Market, Pantnagar Ghatkopar East, Mumbai</t>
  </si>
  <si>
    <t>DOMINIC SAVIO VIDYALAYA</t>
  </si>
  <si>
    <t>S K SOMAIYA VINAY MANDIR</t>
  </si>
  <si>
    <t>RIZVI COLLEGE OF ENGINEERING, MUMBAI, MAHARASHTRA</t>
  </si>
  <si>
    <t>AutoCAD,MS Office,MS Project,Primavera,Power Bi,Revit Basics</t>
  </si>
  <si>
    <t>SUPREME ENGICONS (INDIA) PVT.LTD | SITE ENGINEER INTERN | MUMBAI | Jun 2024 | Dec 2024 | 26 Weeks</t>
  </si>
  <si>
    <t>Course On Construction Planning
IJERSET Final Year Project Publication</t>
  </si>
  <si>
    <t>P25709053</t>
  </si>
  <si>
    <t>Jeevan George Manoj</t>
  </si>
  <si>
    <t>jeevangeorgemanoj@gmail.com</t>
  </si>
  <si>
    <t>p25709053@student.nicmar.ac.in</t>
  </si>
  <si>
    <t>02-Oct-1998</t>
  </si>
  <si>
    <t>9627 0145 8931</t>
  </si>
  <si>
    <t>MANOJ K GEORGE</t>
  </si>
  <si>
    <t>RINI MANOJ</t>
  </si>
  <si>
    <t>Kurikilottil House, Mangattu Kada Junction, Puthenpeedika, Omalloor P.o, Pathanamthitta.</t>
  </si>
  <si>
    <t>MARY MATHA PUBLIC SCHOOL</t>
  </si>
  <si>
    <t>AMAL JYOTHI COLLEGE OF ENGINEERING</t>
  </si>
  <si>
    <t>Matha Constructions | Site Engineer | Pathanamthitta, Kerala. | Aug 2021 | Oct 2024 | 3 Years, 2 Months, 10 Days | 1.8</t>
  </si>
  <si>
    <t>P25709054</t>
  </si>
  <si>
    <t>PARUL</t>
  </si>
  <si>
    <t>GAJBHIYE</t>
  </si>
  <si>
    <t>Parul Surendra Gajbhiye</t>
  </si>
  <si>
    <t>parul.gajbhiyee@gmail.com</t>
  </si>
  <si>
    <t>p25709054@student.nicmar.ac.in</t>
  </si>
  <si>
    <t>5274 8288 8462</t>
  </si>
  <si>
    <t>SURENDRA GAJBHIYE</t>
  </si>
  <si>
    <t>PRADNYA GAJBHIYE</t>
  </si>
  <si>
    <t>E-196, 7th Floor, Raghunath Vihar, Sec-14, Kharghar, Navi Mumbai</t>
  </si>
  <si>
    <t>ALL SAINTS HIGH SCHOOL</t>
  </si>
  <si>
    <t>DELHI PUBLIC SCHOOL, NAVI MUMBAI</t>
  </si>
  <si>
    <t>MUKESH PATEL SCHOOL OF TECHNOLOGY MANAGEMENT AND ENGINEERING</t>
  </si>
  <si>
    <t>AutoCAD,Revit,STAAD.Pro,Primavera P6,MS Project,Power BI,WaterGEMS</t>
  </si>
  <si>
    <t>Shiv BuilCon | Intern | Vikhroli, Mumbai | Dec 2024 | Apr 2025 | 19 Weeks</t>
  </si>
  <si>
    <t xml:space="preserve">Al-Powered Enterprise Excellence Program
Business Communication
Climate Risk, Adaption and Sustainable Development 
Project Admin digiQCAcademy </t>
  </si>
  <si>
    <t>P25709055</t>
  </si>
  <si>
    <t>BISHNOI</t>
  </si>
  <si>
    <t>Anushka Bishnoi</t>
  </si>
  <si>
    <t>bishnoianushka2929@gmail.com</t>
  </si>
  <si>
    <t>p25709055@student.nicmar.ac.in</t>
  </si>
  <si>
    <t>English, Hindi, Rajasthani, Punjabi, Haryanvi</t>
  </si>
  <si>
    <t>7191 5679 2020</t>
  </si>
  <si>
    <t>RAJENDER BISHNOI</t>
  </si>
  <si>
    <t>CONTROLLER OF EXAMINATION</t>
  </si>
  <si>
    <t>VIBHA</t>
  </si>
  <si>
    <t>House No. 28, Street No. 2, Ganpati Nagar , Sri Ganganagar</t>
  </si>
  <si>
    <t>Sri Ganganagar</t>
  </si>
  <si>
    <t>NOSEGAY PUBLIC SCHOOL, SRI GANGANAGAR</t>
  </si>
  <si>
    <t>JINDAL PUBLIC SCHOOL, SRI GANGANAGAR</t>
  </si>
  <si>
    <t>M.B.M UNIVERSITY, JODHPUR</t>
  </si>
  <si>
    <t>AutoCAD,MS Office,QGIS,EPASWMM,SAGA,GRASS</t>
  </si>
  <si>
    <t>NATIONAL HIGHWAY AUTHORITY OF INDIA | RING ROAD | JODHPUR | Jun 2024 | Jul 2024 | 6 Weeks
PWD CITY SUB DN.1, BIKANER | ROAD | BIKANER | Jun 2023 | Jul 2023 | 6 Weeks</t>
  </si>
  <si>
    <t>INDIA ROAD FEDERATION</t>
  </si>
  <si>
    <t>P25709056</t>
  </si>
  <si>
    <t>VISHWANATHARADDI</t>
  </si>
  <si>
    <t>LINGARADDI</t>
  </si>
  <si>
    <t>Vishwanatharaddi M Lingaraddi</t>
  </si>
  <si>
    <t>vishwanathml07@gmail.com</t>
  </si>
  <si>
    <t>p25709056@student.nicmar.ac.in</t>
  </si>
  <si>
    <t>07-Jul-2003</t>
  </si>
  <si>
    <t>HINDI,ENGLISH,KANNADA</t>
  </si>
  <si>
    <t>3961 0789 0159</t>
  </si>
  <si>
    <t>MALLIKARJUN S LINGARADDI</t>
  </si>
  <si>
    <t>UMADEVI</t>
  </si>
  <si>
    <t>MATRU KRUPA, KALAGHATAGI ROAD, SARASWATPUR, DHARWAD</t>
  </si>
  <si>
    <t>JSS PUBLIC SCHOOL KELAGERI CAMPUS DHARWAD</t>
  </si>
  <si>
    <t>DHARWAD/KARNATAKA</t>
  </si>
  <si>
    <t>MAHESH PU COLLEGE, CHAMARAJPET, BANGALORE</t>
  </si>
  <si>
    <t>BANGLORE/KARNATAKA</t>
  </si>
  <si>
    <t>S.D.M COLLEGE OF ENGINEERING AND TECHNOLOGY</t>
  </si>
  <si>
    <t>AutoCAD,MS Office,MS Project,Primavera,REVIT,STAAD PRO,Q GIS,MS PROJECT</t>
  </si>
  <si>
    <t>ASHOK M DESHPANDE ( HDMC CLASS 1 CONTRACTOR ) | INTERN  | MANAGUNDI VILLAGE DHARWAD DISTRICT | Jul 2024 | Aug 2024 | 4 Weeks
NATIONAL HIGHWAY AUTHORITY OF INDIA (NHAI) | INTERN | DHARWAD-BELAGAVI | Jan 2025 | May 2025 | 17 Weeks</t>
  </si>
  <si>
    <t>SUSTAINABLE TRANSPORTATION SYSTEM FROM VTU
WASTE WATER ENGINEERING FROM VTU
MUNICIPAL SOLID WASTE MANAGEMENT FROM VTU
INTEGRATED WASTE MANAGEMENT FOR A SMART CITY FROM VTU
PRINCIPLES OF CONSTRUCTION MANAGEMENT FROM VTU
SUSTAINABLE ENGINEERING CONCEPTS AND LIFE CYCLE ANALYSIS FROM VTU
PROJECT PLANNING AND CONTROL FROM VTU
AUTODESK AUTOCAD 2023
AUTODESK REVIT 2024
STRUCTURAL DRAFTING USING AUTO CAD</t>
  </si>
  <si>
    <t>P25709057</t>
  </si>
  <si>
    <t>PENDOR</t>
  </si>
  <si>
    <t>Mahesh Pendor</t>
  </si>
  <si>
    <t>bheempurmahesh@gmail.com</t>
  </si>
  <si>
    <t>p25709057@student.nicmar.ac.in</t>
  </si>
  <si>
    <t>English, Hindi, Telugu, Marathi, Gondi</t>
  </si>
  <si>
    <t>Travelling and Cultural exploration,Playing badminton,Learning new languages,Cooking and Gardening,Watching Talks and movies</t>
  </si>
  <si>
    <t>2389 4852 0770</t>
  </si>
  <si>
    <t>YAMUNA</t>
  </si>
  <si>
    <t>7-118,BHEEMPUR, MDL:GUDIHATHNOOR, DIST:ADILABAD</t>
  </si>
  <si>
    <t>HINJAWADI PHASE 2 RD, PHASE 1, HINJAWADI RAJIV GANDHI INFOTECH PARK, HINJAWADI, PUNE, PIMPRI-CHINCHWAD, MAHARASHTRA 411057</t>
  </si>
  <si>
    <t>PRAGNA SRI HIGH SCHOOL</t>
  </si>
  <si>
    <t>SR JUNIOR COLLEGE</t>
  </si>
  <si>
    <t>GURU NANAK INSTITUTIONS TECHNICAL CAMPUS</t>
  </si>
  <si>
    <t xml:space="preserve">Primavera P6, MS Project, Power BI, Autodesk Revit, MS Office </t>
  </si>
  <si>
    <t>NPTEL Online Certification</t>
  </si>
  <si>
    <t>P25709058</t>
  </si>
  <si>
    <t>Kadam Yashraj Sanjay</t>
  </si>
  <si>
    <t>yashrajskadam5225@gmail.com</t>
  </si>
  <si>
    <t>p25709058@student.nicmar.ac.in</t>
  </si>
  <si>
    <t>Trekking,Cooking</t>
  </si>
  <si>
    <t>3642 4494 8452</t>
  </si>
  <si>
    <t>VAISHALI KADAM</t>
  </si>
  <si>
    <t>Flat No. 1,Kadam Plaza,line No 3,Jawalkar Nagar, Shrushti Chowk,Pimple Gurav,Pune-61</t>
  </si>
  <si>
    <t>MODERN HIGH SCHOOL,GANESHKHIND,PUNE-16</t>
  </si>
  <si>
    <t>SECONDARY SCHOOL CERTIFICATE MAHARASHTRA</t>
  </si>
  <si>
    <t>DR.D.Y.PATIL ARTS,COMMERCE,SCIENCE COLLEGE,PIMPRI,PUNE-18</t>
  </si>
  <si>
    <t>HIGHER SECONDARY CERTIFICATE MAHARASHTRA</t>
  </si>
  <si>
    <t>DR.D.Y.PATIL INSTITUTE OF TECHNOLOGY, PIMPRI, PUNE-18</t>
  </si>
  <si>
    <t>AutoCAD, QGIS, MS Project, Primavera, Power BI</t>
  </si>
  <si>
    <t>Larsen &amp; Toubro Limited (L&amp;T) - Geostructure IC | Construction Management Intern | GPPL, Pipavav Port, Gujarat | May 2026 | Jul 2026 | 9 Weeks | Campus Internship
BCON CONSTROTECH PVT.LTD | Site Intern  | Dr.D.Y.Patil Hitech Hospital, Pimpri Pune | Dec 2023 | Jan 2024 | 4 Weeks</t>
  </si>
  <si>
    <t>Autocad Certification
Construction Project Management
Finance for Non-Financial Managers
Construction Equipment Maintenance &amp; Safety
Climate Risk, Adaptation and Sustainable Development
Business Communication Specialization
PCERF Membership Certificate</t>
  </si>
  <si>
    <t>M.Tech-IPM</t>
  </si>
  <si>
    <t>P25710001</t>
  </si>
  <si>
    <t>Sarthak Mishra</t>
  </si>
  <si>
    <t>sarthakmishra072000@gmail.com</t>
  </si>
  <si>
    <t>p25710001@student.nicmar.ac.in</t>
  </si>
  <si>
    <t>4099 9509 8527</t>
  </si>
  <si>
    <t>RAJKUMAR MISHRA</t>
  </si>
  <si>
    <t>SUSMITA RATH</t>
  </si>
  <si>
    <t>Biraharekrishnapur, Puri, Odisha, Pin-752002</t>
  </si>
  <si>
    <t>BLESSED SACRAMENT HIGH SCHOOL</t>
  </si>
  <si>
    <t>COUNCIL FOR INDIAN SCHOOL CERTIFICATE EXAMINATION, PURI, ODISHA</t>
  </si>
  <si>
    <t>VEER SURENDRA SAI UNIVERSITY OF TECHNOLOGY, BURLA, SAMBALPUR, ODISHA</t>
  </si>
  <si>
    <t>AutoCAD,MS Office,Revit,Staad Pro.</t>
  </si>
  <si>
    <t>NKC PROJECTS PVT LTD | GET- CIVIL (STRUCTURE) | JABALPUR, MADHYA PRADESH | Jun 2024 | Jan 2025 | 0 Years, 7 Months, 1 Days | 2.16</t>
  </si>
  <si>
    <t>Central Public Works Department (CPWD) | Intern | Bhubaneswar | May 2023 | Jun 2023 | 4 Weeks
Central Public Works Department (CPWD) | Intern | Bhubaneswar | Jun 2022 | Jun 2022 | 4 Weeks</t>
  </si>
  <si>
    <t>Concrete Mix Design
REVIT
STAAD Pro.
AutoCAD</t>
  </si>
  <si>
    <t>P25710002</t>
  </si>
  <si>
    <t>HARSHITHA</t>
  </si>
  <si>
    <t>Harshitha P</t>
  </si>
  <si>
    <t>harshithalrp@gmail.com</t>
  </si>
  <si>
    <t>p25710002@student.nicmar.ac.in</t>
  </si>
  <si>
    <t>English, Kannada, Tamil, Telugu, Hindi</t>
  </si>
  <si>
    <t>7489 1076 5355</t>
  </si>
  <si>
    <t>PRAKASH C M</t>
  </si>
  <si>
    <t>#321, Chinnanna Layout, Guddadhahalli, R T Nagar Post, Bengaluru North</t>
  </si>
  <si>
    <t>STELLA MARIS GIRLS HIGH SCHOOL , BENGALURU</t>
  </si>
  <si>
    <t>KARNATAKA SECONDARY EDUCATION EXAMINATION BOARD , BENGALURU, KARNATAKA</t>
  </si>
  <si>
    <t>ABBS PRE-UNIVERSITY COLLEGE</t>
  </si>
  <si>
    <t>DEPARTMENT OF PRE-UNIVERSITY EDUCATION, BENGALURU, KARNATAKA</t>
  </si>
  <si>
    <t>KARNATAKA BOARD OF PRE-UNIVERSITY AND BENGALURU CITY UNIVERSITY</t>
  </si>
  <si>
    <t>PRESIDENCY UNIVERSITY , BENGALURU, KARNATAKA</t>
  </si>
  <si>
    <t>AutoCAD, MS Project, Primavera, REVIT, BIM, Power BI</t>
  </si>
  <si>
    <t>L&amp;T ENERGY HYDROCARBON - MODULAR FABRICATION FACILITY(MFFK) | PRODUCTION PLANNING INTERN | Kattupalli, Tiruvallur District, Tamil Nadu – 600120 | May 2026 | Jul 2026 | 8 Weeks | Campus Internship
BRIGADE TETRARCH PRIVATE LIMITED | INTERN | BENGALURU | Feb 2022 | May 2022 | 12 Weeks</t>
  </si>
  <si>
    <t>Climate Risk, Adaptation and Sustainable Development_NPTEL Course
Construction Project Management_Coursera
Construction Scheduling_Coursera
Construction Cost Estimating and Cost Control_Coursera
Construction Finance_Coursera
The Construction Industry: The Way Forward_Coursera
Finance for Non-Financial Managers_Coursera
Business Communication_Coursera
Communication Skills_Coursera</t>
  </si>
  <si>
    <t>P25710003</t>
  </si>
  <si>
    <t>MAGDALENE</t>
  </si>
  <si>
    <t>Magdalene Thomas</t>
  </si>
  <si>
    <t>magdalenethomas2@gmail.com</t>
  </si>
  <si>
    <t>p25710003@student.nicmar.ac.in</t>
  </si>
  <si>
    <t>03-Jul-2004</t>
  </si>
  <si>
    <t>ENGLISH,TAMIL.HINDI</t>
  </si>
  <si>
    <t>9527 3624 1045</t>
  </si>
  <si>
    <t>THOMAS VIJAYAN</t>
  </si>
  <si>
    <t>SENIOR PROJECT MANAGER</t>
  </si>
  <si>
    <t>ANITO VIJAYAN</t>
  </si>
  <si>
    <t>Plot No. 176/A1, 7th Cross Street, Vignarajapuram,Santhosapuram, Chennai - 600073</t>
  </si>
  <si>
    <t>ST. PAUL'S MATRICULATION SCHOOL</t>
  </si>
  <si>
    <t>MP &amp; EV ENGLISH MEDIUM SCHOOL</t>
  </si>
  <si>
    <t>CBSE,  VISAKHAPATNAM</t>
  </si>
  <si>
    <t>NOORUL ISLAM CENTRE FOR HIGHER EDUCATION UNIVERSITY</t>
  </si>
  <si>
    <t>NOORUL ISLAM CENTRE FOR HIGHER EDUCATION</t>
  </si>
  <si>
    <t>Tata Projects | Intern | Sriperumbudur, Chennai  | Jun 2023 | Jul 2023 | 8 Weeks</t>
  </si>
  <si>
    <t>P25710004</t>
  </si>
  <si>
    <t>PAREPALLI</t>
  </si>
  <si>
    <t>Ganesh Parepalli</t>
  </si>
  <si>
    <t>ganeshparepalli8@gmail.com</t>
  </si>
  <si>
    <t>p25710004@student.nicmar.ac.in</t>
  </si>
  <si>
    <t>6993 3184 4069</t>
  </si>
  <si>
    <t>VENKATESWARA RAO PAREPALLI</t>
  </si>
  <si>
    <t>NAGAMANI PAREPALLI</t>
  </si>
  <si>
    <t>5-59/1, Chinnabodrai Center, Magallu.</t>
  </si>
  <si>
    <t>BINGIS RESIDENCY, OPPOSITE MLA OFFICE, MLA ROAD, KANCHIKACHERLA</t>
  </si>
  <si>
    <t>RAVINDRA BHARATHI EM HIGH SCHOOL</t>
  </si>
  <si>
    <t>PRASAD V POTLURI SIDDHARTHA INSTITUTE OF  TECHNOLOGY, VIJAYAWADA</t>
  </si>
  <si>
    <t>AutoCAD,MS Office,MS Project,Primavera,staad pro,Revit</t>
  </si>
  <si>
    <t>Skilldzire (In collaboration with Andhra Pradesh State Council of Higher Education) | ETABS Intern | Remote | Nov 2024 | Feb 2025 | 16 Weeks
TERRAFIRMA ENGINEERING SERVICES INDIA PVT LTD. | SUMMER INTERN | BANDLAGUDA, HYDERABAD. | Apr 2024 | Jun 2024 | 5 Weeks
BODHI TECHNOCRATS LLP | Intern | kanigiri, Andhra Pradesh | Jun 2023 | Jul 2023 | 3 Weeks</t>
  </si>
  <si>
    <t>one-week training program on Primavera P6 by CADD Experts
Architectural Conservation and Historic Preservation course by NPTEL
Sustainable Engineering Concepts and Life Cycle Analysis course by NPTEL
3-day workshop on Revit Architecture by Canter CADD
Resilience in Concrete Construction by ICI Vijayawada Chapter
5 days training program on Advanced Total Station course by Ladder Survey Institute of Technology
Building Drafting Using AutoCAD course by APSSDC
Building Drafting and Planning Using AutoCAD by Smartknower</t>
  </si>
  <si>
    <t>P25710005</t>
  </si>
  <si>
    <t>SANDIPKUMAR</t>
  </si>
  <si>
    <t>TARE</t>
  </si>
  <si>
    <t>Harshvardhan Sandipkumar Tare</t>
  </si>
  <si>
    <t>tare.harshvardhan@gmail.com</t>
  </si>
  <si>
    <t>p25710005@student.nicmar.ac.in</t>
  </si>
  <si>
    <t>25-Aug-2003</t>
  </si>
  <si>
    <t>English,Hindi,Marathi,German</t>
  </si>
  <si>
    <t>Cricket,Fitness,Learning &amp; Upskilling,Project Management,Tech Savvy</t>
  </si>
  <si>
    <t>6214 5957 8584</t>
  </si>
  <si>
    <t>Sunrise Residency, Vrindavan Colony, Near Sonai Hospital , Sangli Road ,Ichalkaranji Tal Hatkanangale Dist Kolhapur</t>
  </si>
  <si>
    <t>D.K.T.E. SOCIETY'S ENGLISH MEDIUM HIGHSCHOOL</t>
  </si>
  <si>
    <t>SHARAD INSTITUTE OF TECHNOLOGY</t>
  </si>
  <si>
    <t>SANJAY GHODAWAT UNIVERSITY,KOLHAPUR</t>
  </si>
  <si>
    <t>AutoCAD,MS Office,MS Project,Primavera,Revit,Staad Pro,Sap2000,RCDC,Sketchup,Etabs</t>
  </si>
  <si>
    <t>MILLENIUM ENGINEERS AND CONTRACTORS PVT.LTD. | GRADUATE ENGINEER TRAINEE | PUNE | Feb 2025 | Apr 2025 | 12 Weeks
TRICON INFRA BUILDTECH PVT. LTD | GRADUATE ENGINEER TRAINEE | PUNE | Jan 2025 | Feb 2025 | 5 Weeks</t>
  </si>
  <si>
    <t>ASCE's Advancements in Artificial Intelligence Transforming Infrastructure Systems
CAPMÂ® Certification Course
Construction Scheduling
Green Building Assessment &amp; Certification</t>
  </si>
  <si>
    <t>P25710006</t>
  </si>
  <si>
    <t>CHILUKA</t>
  </si>
  <si>
    <t>OMSAI</t>
  </si>
  <si>
    <t>Chiluka Omsai</t>
  </si>
  <si>
    <t>chilukaomsai6@gmail.com</t>
  </si>
  <si>
    <t>p25710006@student.nicmar.ac.in</t>
  </si>
  <si>
    <t>26-Jun-2003</t>
  </si>
  <si>
    <t>4651 7368 8278</t>
  </si>
  <si>
    <t>CHILUKA BHASKAR</t>
  </si>
  <si>
    <t>CHILUKA CHANDRAKALA</t>
  </si>
  <si>
    <t>H.NO. 1-1-81, Mahalaxmi Naagar, Jagtial</t>
  </si>
  <si>
    <t>SRINIDHI HIGH SCHOOL</t>
  </si>
  <si>
    <t>JAGTIAL, TELANGANA</t>
  </si>
  <si>
    <t>KARIMNAGAR, TELANGANA</t>
  </si>
  <si>
    <t>ANURAG UNIVERSITY</t>
  </si>
  <si>
    <t>HYDERABAD, TELANGANA</t>
  </si>
  <si>
    <t>AutoCAD,MS Office,STAAD Pro,MATLAB</t>
  </si>
  <si>
    <t>VIRAT CONSTRUCTION AND INTERIORS | FIELD ENGINEER INTERN | HYDERABAD, TELANGANA | Jun 2023 | Jun 2023 | 2 Weeks</t>
  </si>
  <si>
    <t>P25710007</t>
  </si>
  <si>
    <t>KHUSHAL</t>
  </si>
  <si>
    <t>Khushal Govind Patel</t>
  </si>
  <si>
    <t>khushal.gpatel@gmail.com</t>
  </si>
  <si>
    <t>p25710007@student.nicmar.ac.in</t>
  </si>
  <si>
    <t>14-Oct-2002</t>
  </si>
  <si>
    <t>English, Hindi, Marathi, Gujarati, Marwari</t>
  </si>
  <si>
    <t>6537 1625 1405</t>
  </si>
  <si>
    <t>GOVIND PATEL</t>
  </si>
  <si>
    <t>HARSHA PATEL</t>
  </si>
  <si>
    <t>Shrinath Residency, 3rd Floor, Flat No.301/302, Ambajogai Road, Behind Honda Showroom, Priya Nagar, Parli Vaijnath.</t>
  </si>
  <si>
    <t>SHRINATH RESIDENCY, 3RD FLOOR, FLAT NO.301/302, AMBAJOGAI ROAD, BEHIND HONDA SHOWROOM, PRIYA NAGAR, PARLI VAIJNATH.</t>
  </si>
  <si>
    <t>HON RATNAKARRAO GUTTE INT SCHOOL PARBHANI DT MR</t>
  </si>
  <si>
    <t>CENTRAL BOARD OF SECONDARY EDUCATION, PARBHANI, MAHARASHTRA</t>
  </si>
  <si>
    <t>VAIDYANATH COLLEGE</t>
  </si>
  <si>
    <t>VAIDYANATH COLLEGE, PARLI-VAIJNATH, MAHARASHTRA.</t>
  </si>
  <si>
    <t>SANJAY GHODAWAT UNIVERSITY, KOLHAPUR, MAHARASHTRA</t>
  </si>
  <si>
    <t>AutoCAD,MS Office,REVIT,STAAD PRO,ETABS</t>
  </si>
  <si>
    <t>INFINITO DEVELOPERS | JR. SITE ENGINEER TRAINEE | PUNE | Jan 2025 | Apr 2025 | 17 Weeks</t>
  </si>
  <si>
    <t>P25710008</t>
  </si>
  <si>
    <t>SAI KRISHNA</t>
  </si>
  <si>
    <t>YADA</t>
  </si>
  <si>
    <t>Sai Krishna Yada</t>
  </si>
  <si>
    <t>saikrishnayada789@gmail.com</t>
  </si>
  <si>
    <t>p25710008@student.nicmar.ac.in</t>
  </si>
  <si>
    <t>4426 7688 3287</t>
  </si>
  <si>
    <t>YADA RAMANAIAH</t>
  </si>
  <si>
    <t>YADA SANTHOSHI</t>
  </si>
  <si>
    <t>Vaddipatla,peddadiserlapally,nalgonda</t>
  </si>
  <si>
    <t>Nalgonda</t>
  </si>
  <si>
    <t>D A V M SCHOOL</t>
  </si>
  <si>
    <t>MATRUSRI ENGINEERING COLLEGE</t>
  </si>
  <si>
    <t>ANJANADRI CONSTRUCTIONS | INTERN TRAINEE | Hyderabad | May 2023 | Jun 2023 | 3 Weeks</t>
  </si>
  <si>
    <t>MICROSOFT OFFICE
Auto CAD , Staad Pro</t>
  </si>
  <si>
    <t>P25710009</t>
  </si>
  <si>
    <t>SAMSANI</t>
  </si>
  <si>
    <t>S V N CHIRANJIVI</t>
  </si>
  <si>
    <t>KARTIKEYA NEHRU</t>
  </si>
  <si>
    <t>Samsani S V N Chiranjivi Kartikeya Nehru</t>
  </si>
  <si>
    <t>karthikeyanehru9@gmail.com</t>
  </si>
  <si>
    <t>p25710009@student.nicmar.ac.in</t>
  </si>
  <si>
    <t>ENGLISH,TELUGU</t>
  </si>
  <si>
    <t>9964 4999 1219</t>
  </si>
  <si>
    <t>SAMSANI SYAM SUNDAR</t>
  </si>
  <si>
    <t>SAMSANI PADMA LATHA</t>
  </si>
  <si>
    <t>69-17-24, SBI OFFICERS COLONY_x000D_
RAJENDRA NAGAR, SARPAVARAM, KAKINADA.</t>
  </si>
  <si>
    <t>DR K K R S GOWTHAM CONCEPT SCHOOL</t>
  </si>
  <si>
    <t>BOARD OF INTERMEDIATE EDUCATION  ANDHRA PRADESH</t>
  </si>
  <si>
    <t>PRAGATI ENGINEERING COLLEGE ANDHRA PRADESH</t>
  </si>
  <si>
    <t>P25710010</t>
  </si>
  <si>
    <t>Garima Sharma</t>
  </si>
  <si>
    <t>garimasharma18112000@gmail.com</t>
  </si>
  <si>
    <t>p25710010@student.nicmar.ac.in</t>
  </si>
  <si>
    <t>18-Nov-2000</t>
  </si>
  <si>
    <t>7070 9673 8615</t>
  </si>
  <si>
    <t>KAMAL KISHORE SHARMA</t>
  </si>
  <si>
    <t>SWARN SHAKTI</t>
  </si>
  <si>
    <t>OPP. K.D. HOSPITAL, BESIDES GURU NANAK MARBLES, MARBLE MARKET, EXT. TRIKUTA NAGAR</t>
  </si>
  <si>
    <t>ARMY PUBLIC SCHOOL KALUCHAK</t>
  </si>
  <si>
    <t>CENTRAL BOARD OF SECONDARY EDUCATION, J&amp;K</t>
  </si>
  <si>
    <t>AutoCAD, MS Office, MS Project, Primavera P6, Power BI, Revit, @Risk, STAAD PRO, BENTLEY OPENROADS DESIGNER</t>
  </si>
  <si>
    <t>L&amp;T ENERGY HYDROCARBON (LTEH) ONSHORE | PROJECT CONTROLS INTERN | VADODARA, GUJARAT | May 2026 | Jul 2026 | 9 Weeks | Campus Internship</t>
  </si>
  <si>
    <t>STAAD PRO TRAINING
HIGHWAY DESIGNING WITH BENTLEY OPENROADS  DESIGNER TRAINING
INTRODUCTION TO ACCOUNTING AND FINANCE FOR CIVIL ENGINEERS
INTRODUCTION TO MULTIMODAL URBAN TRANSPORTATION SYSTEMS
DEVELOPING SOFT SKILLS AND PERSONALITY
BUSINESS COMMUNICATION SPECIALISATION offered by the University of Colorado Boulder
SUSTAINABLE INFRASTRUCTURE SPECIALIZATION offered by the Inter-American Development Bank (IDB).
AI IN PROJECT MANAGEMENT 
PROJECT LEADERSHIP
ADAPTIVE PROJECT LEADERSHIP</t>
  </si>
  <si>
    <t>P25710011</t>
  </si>
  <si>
    <t>NAGABHATLA</t>
  </si>
  <si>
    <t>SREEKARI</t>
  </si>
  <si>
    <t>Nagabhatla Sreekari</t>
  </si>
  <si>
    <t>sreekarinagabhatla2003@gmail.com</t>
  </si>
  <si>
    <t>p25710011@student.nicmar.ac.in</t>
  </si>
  <si>
    <t>25-Dec-2003</t>
  </si>
  <si>
    <t>8749 1549 7747</t>
  </si>
  <si>
    <t>N V S SRINIVASA SHARMA</t>
  </si>
  <si>
    <t>VEDA PANDIT</t>
  </si>
  <si>
    <t>N V S K SURYAKUMARI</t>
  </si>
  <si>
    <t>Door.no 16-548-1_x000D_
Opp.ntr Park_x000D_
Sri Ram Nagar Colony,panagal_x000D_
Srikalahasthi,andhra Pradesh</t>
  </si>
  <si>
    <t>SRI CHAITANYA TALENT (EM) H S, SRIKALAHASTI, CHITTOOR DISTRICT</t>
  </si>
  <si>
    <t>BOARD OF SECONDARY EDUCATION,ANDHRA PRADESH,INDIA</t>
  </si>
  <si>
    <t>THE VELAMMAL INT SCH ,PANCHETTIÂ ,THIRUVALLUR,TAMIL NADU</t>
  </si>
  <si>
    <t>NATIONAL INSTITUTE OF TECNOLOGY,TIRUCHIRAPALLI</t>
  </si>
  <si>
    <t>NATIONAL INSTITUTE OF TECNOLOGY,TIRUCHIRAPALLI,TAMIL NADU</t>
  </si>
  <si>
    <t>AutoCAD,MS Office,MS Project,E-TABS,SAP2000</t>
  </si>
  <si>
    <t>CHRYSO INDIA PRIVATE LIMITED | GRADUATE ENGINEER TRAINEE | BANGALORE | Jun 2024 | Jul 2024 | 7 Weeks</t>
  </si>
  <si>
    <t>P25710012</t>
  </si>
  <si>
    <t>MADKAR</t>
  </si>
  <si>
    <t>Darshan Vishal Madkar</t>
  </si>
  <si>
    <t>darshanmadkar@gmail.com</t>
  </si>
  <si>
    <t>p25710012@student.nicmar.ac.in</t>
  </si>
  <si>
    <t>05-Dec-2001</t>
  </si>
  <si>
    <t>5099 2297 3996</t>
  </si>
  <si>
    <t>MONIKA</t>
  </si>
  <si>
    <t>Sakharwadi , Khamgaon Road , Tal. Phaltan , Dist. Satara</t>
  </si>
  <si>
    <t>SAKHARWADI VIDYALAY MADHYAMIK VIBHAG, SAKHARWADI</t>
  </si>
  <si>
    <t>SSC BOARD , MAHARASHTRA</t>
  </si>
  <si>
    <t>GOVERNMENT POLYTECHNIC KARAD , KARAD, MAHARASHTRA</t>
  </si>
  <si>
    <t>DR.D.Y.PATIL INSTITUTE OF ENGINEERING MANAGEMENT AND RESEARCH, AKURDI, PUNE, MAHARASHTRA</t>
  </si>
  <si>
    <t>AutoCAD,MS Office,REVIT</t>
  </si>
  <si>
    <t>IFS ACADEDMY</t>
  </si>
  <si>
    <t>P25710013</t>
  </si>
  <si>
    <t>PRANOTI</t>
  </si>
  <si>
    <t>KISAN</t>
  </si>
  <si>
    <t>Pranoti Kisan Patil</t>
  </si>
  <si>
    <t>pranotipatil312003@gmail.com</t>
  </si>
  <si>
    <t>p25710013@student.nicmar.ac.in</t>
  </si>
  <si>
    <t>31-Mar-2003</t>
  </si>
  <si>
    <t>8497 1117 0059</t>
  </si>
  <si>
    <t>KISAN AMBAJI PATIL</t>
  </si>
  <si>
    <t>MANGALA KISAN PATIL</t>
  </si>
  <si>
    <t>House No. 323, Sahakar Nagar , At Bhuwaneshwar Post Varse Tal Roha . 402116</t>
  </si>
  <si>
    <t>KISAN PATIL HOUSE , NEAR R.Z.P. SCHOOL , HANUMANPADA , HAMRAPUR , PEN . 402107</t>
  </si>
  <si>
    <t>K.E.S. V.P.T. ENGLISH MEDIUM SCHOOL ROHA RAIGAD .</t>
  </si>
  <si>
    <t>MAHARASHTRA STATE BOARD FOR SECONDARY AND HIGHER SECONDARY EDUCATION .</t>
  </si>
  <si>
    <t>D.G.T.  HIGH SCHOOL AND JUNIOR COLLEGE , KOLAD , ROHA , RAIGAD .</t>
  </si>
  <si>
    <t>RIZVI COLLEGE OF ENGINEERING , BANDRA WEST , MUMBAI .</t>
  </si>
  <si>
    <t>AutoCAD,Revit,PPT,excel</t>
  </si>
  <si>
    <t>JSW Steel Limited , Geetapuram , Dolvi , Tal. Pen , Raigad . 402107 | Intern Engineer  | Dolvi, Pen , Raigad , Maharashtra . 402107 | Jun 2024 | Jul 2024 | 2 Weeks</t>
  </si>
  <si>
    <t>P25710014</t>
  </si>
  <si>
    <t>Jeevan Abraham</t>
  </si>
  <si>
    <t>jeevanpadickal@gmail.com</t>
  </si>
  <si>
    <t>p25710014@student.nicmar.ac.in</t>
  </si>
  <si>
    <t>3520 2165 8891</t>
  </si>
  <si>
    <t>GENIL ABRAHAM</t>
  </si>
  <si>
    <t>ANNAMMA PHILIP</t>
  </si>
  <si>
    <t>Poovanpara House, Karukachal P.O, Kottayam, Kerala</t>
  </si>
  <si>
    <t>GOOD SHEPHERD PUBLIC SCHOOL AND JR COLLEGE</t>
  </si>
  <si>
    <t>AMAL JYOTHI COLLEGE OF ENGINEERING AUTONOMOUS</t>
  </si>
  <si>
    <t>AutoCAD,MS Office,AutoCad 3D,Civil 3d,Advance steel,Naviswork,Revit,Bim 360,Trimble connect,Autodesk Cloud Computing,IFC Builder,Plaxis 2D</t>
  </si>
  <si>
    <t>Paradigm IT Pvt Ltd | Sub Engineer | Kochi, Kerala | Aug 2022 | May 2025 | 2 Years, 8 Months, 21 Days | 3</t>
  </si>
  <si>
    <t>APS Certificate - Academic Evaluation Center
IELTS
Advanced Concrete Technology - Indian Concrete Institute
Practical Application of Generative AI for Project Managers - PMI Institute</t>
  </si>
  <si>
    <t>P25710015</t>
  </si>
  <si>
    <t>VIRAL</t>
  </si>
  <si>
    <t>SUTHAR</t>
  </si>
  <si>
    <t>Viral Suthar</t>
  </si>
  <si>
    <t>sutharviral39@gmail.com</t>
  </si>
  <si>
    <t>p25710015@student.nicmar.ac.in</t>
  </si>
  <si>
    <t>8346 1700 9996</t>
  </si>
  <si>
    <t>PANKAJ SUTHAR</t>
  </si>
  <si>
    <t>ELECTRICAL SUPERVISOR</t>
  </si>
  <si>
    <t>SANGEETA SUTHAR</t>
  </si>
  <si>
    <t>VPO :- Semaliya Ghata, Tehsil :- Galiyakot</t>
  </si>
  <si>
    <t>Dungarpur</t>
  </si>
  <si>
    <t>SPRINGDALES SENIOR SECONDARY  SCHOOL,SAGWARA</t>
  </si>
  <si>
    <t>APEX UNIVERSITY, JAIPUR</t>
  </si>
  <si>
    <t>RAJASTHAN TECHNICAL UNIVERSITY ,KOTA</t>
  </si>
  <si>
    <t>JAIPUR ENGINEERING COLLEGE &amp; RESEARCH CENTRE, JAIPUR</t>
  </si>
  <si>
    <t>SHREE VINAYAK CONSTRUCTION | CIVIL INTERN  | SAGWARA | Jul 2024 | Aug 2024 | 6 Weeks</t>
  </si>
  <si>
    <t>P25710016</t>
  </si>
  <si>
    <t>Rohit Madhu</t>
  </si>
  <si>
    <t>rohitmadhu5555@gmail.com</t>
  </si>
  <si>
    <t>p25710016@student.nicmar.ac.in</t>
  </si>
  <si>
    <t>English, Malayalam, Tamil, Hindi, Telugu</t>
  </si>
  <si>
    <t>Reading,Listening to podcasts,Cycling</t>
  </si>
  <si>
    <t>4727 3297 6731</t>
  </si>
  <si>
    <t>MADHU PURUSHOTHAMAN</t>
  </si>
  <si>
    <t>PRIYA MADHU</t>
  </si>
  <si>
    <t>Madhu Bhavan Pazhavangadi P.O Ranni, 689673</t>
  </si>
  <si>
    <t>SRI ADWAYANANDA PUBLIC SCHOOL</t>
  </si>
  <si>
    <t>ISC KERALA</t>
  </si>
  <si>
    <t>VIT</t>
  </si>
  <si>
    <t>AutoCAD,Profex,Phase2 Origin</t>
  </si>
  <si>
    <t>Kochi Metro Rail Limited | Intern | Kochi | Aug 2023 | Sep 2023 | 3 Weeks</t>
  </si>
  <si>
    <t>DELF A1</t>
  </si>
  <si>
    <t>P25710017</t>
  </si>
  <si>
    <t>NANDU</t>
  </si>
  <si>
    <t>SIVAPRAKASH</t>
  </si>
  <si>
    <t>Nandu Sivaprakash</t>
  </si>
  <si>
    <t>nandhusivaprakash7@gmail.com</t>
  </si>
  <si>
    <t>p25710017@student.nicmar.ac.in</t>
  </si>
  <si>
    <t>English, Malayalam, Tamil and Hindi</t>
  </si>
  <si>
    <t>6188 4785 8175</t>
  </si>
  <si>
    <t>SIVAPRAKASH K G</t>
  </si>
  <si>
    <t>BOBY SIVAPRAKASH</t>
  </si>
  <si>
    <t>Kattathukunnel H,_x000D_
Manjoor P.O,_x000D_
Kottayam</t>
  </si>
  <si>
    <t>ST KURIAKOSE SENIOR SECONDARY SCHOOL, KADUTHURUTHY</t>
  </si>
  <si>
    <t>ST MICHAEL'S HIGHER SECONDARY SCHOOL, KADUTHURUTHY</t>
  </si>
  <si>
    <t>ST JOSEPH'S COLLEGE OF ENGINEERING AND TECHNOLOGY, PALAI</t>
  </si>
  <si>
    <t>AutoCAD,MS Office,Revit,Trimble,Naviswork,Civil 3D,AutoCAD 3D,BIM,ACC,Plaxis,Strakon,Lumion,Sketchup</t>
  </si>
  <si>
    <t>Paradigm IT Private Limited | Sub Engineer (Senior CAD Engineer) | Kochi | Aug 2022 | May 2025 | 2 Years, 9 Months, 1 Days | 3</t>
  </si>
  <si>
    <t>Practical Application of Generative AI for Project Managers (PMI)
IELTS
Akademische PrÃ¼fstelle (Academic Evaluation Centre)</t>
  </si>
  <si>
    <t>P25710018</t>
  </si>
  <si>
    <t>BARTAKKE</t>
  </si>
  <si>
    <t>Bartakke Anish Sachin</t>
  </si>
  <si>
    <t>anish251103@gmail.com</t>
  </si>
  <si>
    <t>p25710018@student.nicmar.ac.in</t>
  </si>
  <si>
    <t>25-Nov-2003</t>
  </si>
  <si>
    <t>English,Marathi,Hindi,French</t>
  </si>
  <si>
    <t>4037 8827 3783</t>
  </si>
  <si>
    <t>Bldg No 29 A Flat No 12 SHYAMKUTIR VRINDAVAN SOCIETY THANE WEST</t>
  </si>
  <si>
    <t>SARASVATI VIDYALAYA HIGH SCHOOL AND JUNIOR COLLEGE OF SCIENCE</t>
  </si>
  <si>
    <t>NARAYANA JUNIOR COLLEGE OF SCIENCE</t>
  </si>
  <si>
    <t>SYMBIOSIS INSTITUTE OF TECHNOLOGY</t>
  </si>
  <si>
    <t>PUNE/MAHARASTRA</t>
  </si>
  <si>
    <t>Rohan Builders Pune | Intern | Pimpri Chinchwad | Jan 2025 | May 2025 | 18 Weeks</t>
  </si>
  <si>
    <t>P25710019</t>
  </si>
  <si>
    <t>ANOKA</t>
  </si>
  <si>
    <t>Anoka Satish Choudhary</t>
  </si>
  <si>
    <t>anokachoudhari@gmail.com</t>
  </si>
  <si>
    <t>p25710019@student.nicmar.ac.in</t>
  </si>
  <si>
    <t>17-Apr-2004</t>
  </si>
  <si>
    <t>5914 5176 1280</t>
  </si>
  <si>
    <t>Shital Hulle, Tale Gali Near Gaanpati Mandir, Mangaon, Kolhapur</t>
  </si>
  <si>
    <t>SSDCT'S SANJAY GHODAWAT POLYTECHNIC, KOLHAPUR</t>
  </si>
  <si>
    <t>P25710020</t>
  </si>
  <si>
    <t>PALVI</t>
  </si>
  <si>
    <t>PHAND</t>
  </si>
  <si>
    <t>Palvi Pramod Phand</t>
  </si>
  <si>
    <t>palviphand.02@gmail.com</t>
  </si>
  <si>
    <t>p25710020@student.nicmar.ac.in</t>
  </si>
  <si>
    <t>2919 1297 3604</t>
  </si>
  <si>
    <t>PRAMOD MOHANRAO PHAND</t>
  </si>
  <si>
    <t>AUDITOR, PWD, PUNE</t>
  </si>
  <si>
    <t>MANISHA PRAMOD PHAND</t>
  </si>
  <si>
    <t>HIRAMAN BARNE COLONY NEAR, HP PETROLEUM, THERGAON, PUNE</t>
  </si>
  <si>
    <t>PARNER PUBLIC SCHOOL</t>
  </si>
  <si>
    <t>PARNER, AHMEDNAGAR, MAHARASHTRA</t>
  </si>
  <si>
    <t>SHREE SAMARTH POLYTECHNIC, PARNER, AHMEDNAGAR, MAHARASHTRA</t>
  </si>
  <si>
    <t>PIMPRI CHINCHWAD COLLEGE OF ENGINEERING AND RESEARCH, RAVET, PUNE, MAHARASHTRA</t>
  </si>
  <si>
    <t>AutoCAD,Revit,Staad Pro,Hit Office</t>
  </si>
  <si>
    <t>KNOW HOW SCHOOL | SITE ENGINNER | PUNE | Dec 2023 | Jan 2024 | 3 Weeks</t>
  </si>
  <si>
    <t>P25710022</t>
  </si>
  <si>
    <t>SUSHOBHAN</t>
  </si>
  <si>
    <t>Sushobhan Chandan Maity</t>
  </si>
  <si>
    <t>sushobhanmaity14@gmail.com</t>
  </si>
  <si>
    <t>P25710022@student.nicmar.ac.in</t>
  </si>
  <si>
    <t>15-Dec-1998</t>
  </si>
  <si>
    <t>English, Hindi, Marathi, Bengali</t>
  </si>
  <si>
    <t>6910 8316 8557</t>
  </si>
  <si>
    <t>CHANDAN MAITY</t>
  </si>
  <si>
    <t>KAVERI MAITY</t>
  </si>
  <si>
    <t>SNEHA PARADISE C-WING FLAT NO. 805, WARJE MALWADI, PUNE</t>
  </si>
  <si>
    <t>SHANKARRAO MOHITE PATIL ENGLISH MEDIUM SCHOOL, AKLUJ</t>
  </si>
  <si>
    <t>MAHARASTRA STATE BOARD OF SECONDARY AND HIGHER SECONDERY EDUCATION, PUNE.</t>
  </si>
  <si>
    <t>MAHARASHTRA VIDYALAY AND JUNIOR COLLAGE</t>
  </si>
  <si>
    <t>ZEAL POLYTECHNIC, PUNE</t>
  </si>
  <si>
    <t>RMD SINHAGAD TECHNICAL INSTITUTE CAMPUS, WARJE</t>
  </si>
  <si>
    <t>MS Office,MS Project,Primavera,@RISK,BIM,REVIT</t>
  </si>
  <si>
    <t>CHANDAN ENTERPRISES | SITE ENGINEER | PUNE | Jul 2018 | Jun 2019 | 0 Years, 11 Months, 28 Days | 3</t>
  </si>
  <si>
    <t>COMPUTER AIDED DESIGN AND MANUFACTURING
WORKING SAFETY AT HEIGHT AND CONFIEND SPACES
Construction Equipment Maintenance and Safety
Finance for Non-Financial Managers</t>
  </si>
  <si>
    <t>P26706019</t>
  </si>
  <si>
    <t>Kirti</t>
  </si>
  <si>
    <t>Kharabe</t>
  </si>
  <si>
    <t>Kirti Narendra Kharabe</t>
  </si>
  <si>
    <t>kharabekirti@gmail.com</t>
  </si>
  <si>
    <t>P26706019@student.nicmar.ac.in</t>
  </si>
  <si>
    <t>PAINTING, DRAWING, VOLLEYBALL,GARLAND ART</t>
  </si>
  <si>
    <t>PLOT NO 90, DHANWANTARI NAGAR, NEAR GANESH, MANDIR, UMRED ROAD, NAGPUR</t>
  </si>
  <si>
    <t>KHARABE KIRTI NARENDRA</t>
  </si>
  <si>
    <t>SSC, NAGPUR, MAHARASHTRA</t>
  </si>
  <si>
    <t>Smt. Manoramabai Mundle College Of Architecture, NAGPUR,  MAHARASHTRA</t>
  </si>
  <si>
    <t>AUTOCAD, PEIMAVERA, BASIC EXCEL</t>
  </si>
  <si>
    <t>SYNECTICS ARCHITECTS | JUNIOR ARCHITECT | NASHIK | Jan 2024 | Apr 2024 | 17 Weeks</t>
  </si>
  <si>
    <t>AUTODESK REVIT COURSE
EMPLOYABLITITY SKILL TRAINING PROGRAM</t>
  </si>
  <si>
    <t>2022-2023</t>
  </si>
  <si>
    <t>P2260001</t>
  </si>
  <si>
    <t>SHIVPRASAD</t>
  </si>
  <si>
    <t>BARAKHURAM</t>
  </si>
  <si>
    <t>Shivprasad Barakhuram Prajapati</t>
  </si>
  <si>
    <t>shivprajapati222@gmail.com</t>
  </si>
  <si>
    <t>p2260001@student.nicmar.ac.in</t>
  </si>
  <si>
    <t>28-Feb-1995</t>
  </si>
  <si>
    <t>5348 9424 5620</t>
  </si>
  <si>
    <t>BARAKHURAM PRAJAPATI</t>
  </si>
  <si>
    <t>BUSINESS / BUILDING PAINTING CONTRACTOR</t>
  </si>
  <si>
    <t>GULJARI PRAJAPATI</t>
  </si>
  <si>
    <t>B/504 JANKI NIWAS SHREE RAM BALAKDAS NAGARI CHS LTD, RANI SATI MARG, MALAD EAST</t>
  </si>
  <si>
    <t>ROOM NO. 913, ULTIMA HOSTEL, NICMAR UNIVERSITY, PUNE 411045</t>
  </si>
  <si>
    <t>ST.GEORGE HIGH SCHOOL, MALAD EAST, MUMBAI 400097</t>
  </si>
  <si>
    <t>BHAVANS COLLEGE, ANDHERI WEST, MUMBAI 400058</t>
  </si>
  <si>
    <t>THEEM COLLEGE OF ENGINEERING, BOISAR (E), PALGHAR, DIST. - THANE, MAHARASHTRA</t>
  </si>
  <si>
    <t>WTP Cost Management India | Quantity Surveyor | Mumbai | Jan 2020 | May 2022 | 2 Years, 4 Months, 28 Days | 4.5
THE MARK ENTERPRISE | Execution Engineer | MUMBAI | May 2017 | Apr 2018 | 0 Years, 11 Months, 27 Days | 1.8</t>
  </si>
  <si>
    <t>P2260002</t>
  </si>
  <si>
    <t>PRAYASH</t>
  </si>
  <si>
    <t>Prayash Prashant Sahoo</t>
  </si>
  <si>
    <t>prayashprashant@gmail.com</t>
  </si>
  <si>
    <t>p2260002@student.nicmar.ac.in</t>
  </si>
  <si>
    <t>19-Mar-1997</t>
  </si>
  <si>
    <t>3266 7779 1229</t>
  </si>
  <si>
    <t>PRASANTA KUMAR SAHOO</t>
  </si>
  <si>
    <t>AUDITOR</t>
  </si>
  <si>
    <t>SNEHAPRAVA SAHOO</t>
  </si>
  <si>
    <t>Plot No 58, Sai Binayak Nagar, Shyamacharanpur, Dhenkanal</t>
  </si>
  <si>
    <t>ROOM NO 930,ULTIMA BOYS HOSTEL, NICMAR UNIVERSITY</t>
  </si>
  <si>
    <t>B B HIGH SCHOOL, DHENKANAL</t>
  </si>
  <si>
    <t>DHENKANAL JUNIOR COLLEGE, DHENKANAL</t>
  </si>
  <si>
    <t>SIKSHA 'O' ANUSANDHAN UNIVERSITY,  BHUBANESWAR,  ODISHA</t>
  </si>
  <si>
    <t>INSTITUE OF TECHNICAL EDUCATION AND RESEARCH,  BHUBANESWAR,  ODISHA</t>
  </si>
  <si>
    <t>Salarpuria Sattva Group | Quantity Surveyor | Bengaluru | Jan 2019 | Jun 2022 | 3 Years, 5 Months, 16 Days | 4.2</t>
  </si>
  <si>
    <t>OFFICE OF THE EXECUTIVE ENGINEER BHUBANESWAR R AND B DIVISION NO IV | TRAINEE  | BHUBANESWAR | May 2017 | Jun 2017 | 4 Weeks</t>
  </si>
  <si>
    <t>P2260003</t>
  </si>
  <si>
    <t>MUHAMED</t>
  </si>
  <si>
    <t>N Muhamed Shah</t>
  </si>
  <si>
    <t>shahmsn3@gmail.com</t>
  </si>
  <si>
    <t>p2260003@student.nicmar.ac.in</t>
  </si>
  <si>
    <t>01-Mar-1999</t>
  </si>
  <si>
    <t>7352 5066 5296</t>
  </si>
  <si>
    <t>NOUSHAD</t>
  </si>
  <si>
    <t>SHEMI</t>
  </si>
  <si>
    <t>VELLAKKAL MS COTTAGE,_x000D_
MANGALAM NAGAR 60A,_x000D_
MANGAD PO,_x000D_
KOLLAM - 691015</t>
  </si>
  <si>
    <t>THANGAL KUNJU MUSALIAR CENTENARY PUBLIC SCHOOL</t>
  </si>
  <si>
    <t>CENTRAL BOARD OF SECONDARY EDUCATION(CBSE), KERALA</t>
  </si>
  <si>
    <t>THANGAL KUNJU MUSALIAR COLLEGE OF ENGINEERING</t>
  </si>
  <si>
    <t>MY HOME BUILDERS | CIVIL INTERN | KOLLAM, KERALA | Aug 2021 | Jul 2022 | 51 Weeks
ABHILASH ARCHITECTS | CIVIL INTERN | KOLLAM, KERALA | Jun 2019 | Jun 2019 | 3 Weeks</t>
  </si>
  <si>
    <t>P2260004</t>
  </si>
  <si>
    <t>LEESHMA</t>
  </si>
  <si>
    <t>Leeshma Prakash</t>
  </si>
  <si>
    <t>leeshmaprakash98@gmail.com</t>
  </si>
  <si>
    <t>p2260004@student.nicmar.ac.in</t>
  </si>
  <si>
    <t>2585 1080 1658</t>
  </si>
  <si>
    <t>PRAKASH R</t>
  </si>
  <si>
    <t>PRAMEELA C S</t>
  </si>
  <si>
    <t>Thumaraparampil, Kallely P.O Konni, Pathanamthitta</t>
  </si>
  <si>
    <t>SREE NARAYANA PUBLIC SCHOOL AND JUNIOR COLLEGE, KONNI</t>
  </si>
  <si>
    <t>CENTRAL BOARD OF SECONDARY EDUCATION /KERALA</t>
  </si>
  <si>
    <t>PSVPM HIGHER SECONDARY SCHOOL, AYRAVON</t>
  </si>
  <si>
    <t>BOARD OF HIGHER SECONDARY EXAMINATION /KERALA</t>
  </si>
  <si>
    <t>AMAL JYOTHI COLLEGE OF ENGINEERING, KOOVAPALLY</t>
  </si>
  <si>
    <t>LOCAL INFRASTRUCTURE DEVELOPMENT AND ENGINEERING WING OF GOVERNMENT OF KERALA | INTERN TRAINEE | KERALA | Feb 2022 | May 2022 | 14 Weeks</t>
  </si>
  <si>
    <t>P2260005</t>
  </si>
  <si>
    <t>Nikhil Kumar K</t>
  </si>
  <si>
    <t>nk.nikhilkumar@yahoo.com</t>
  </si>
  <si>
    <t>p2260005@student.nicmar.ac.in</t>
  </si>
  <si>
    <t>11-Jun-1995</t>
  </si>
  <si>
    <t>8587 5000 0749</t>
  </si>
  <si>
    <t>M KUMARA SWAMY</t>
  </si>
  <si>
    <t>SHARADHA K P</t>
  </si>
  <si>
    <t>4079/c 19th Main Road 7th Cross Road, Vijayanagara 2nd Stage Mysore</t>
  </si>
  <si>
    <t>SVEI HIGH SCHOOL, MYSORE</t>
  </si>
  <si>
    <t>MARIMALLAPPA PU COLLEGE</t>
  </si>
  <si>
    <t>VIVEKANANDA COLLEGE OF ENGINEERING AND TECHNOLOGY, PUTTUR, (DK), KARNATAKA</t>
  </si>
  <si>
    <t>Karnataka Industrial Areas Development Board | Preparing Estimates for Civil works, Execution and Supervision of Civil works in Industrial Area | Tumkur | Apr 2018 | May 2022 | 4 Years, 1 Months, 30 Days | 2.72</t>
  </si>
  <si>
    <t>P2260006</t>
  </si>
  <si>
    <t>ANKUSH</t>
  </si>
  <si>
    <t>Ankush Kumar</t>
  </si>
  <si>
    <t>ankush311096@gmail.com</t>
  </si>
  <si>
    <t>p2260006@student.nicmar.ac.in</t>
  </si>
  <si>
    <t>31-Oct-1996</t>
  </si>
  <si>
    <t>6298 2386 0172</t>
  </si>
  <si>
    <t>MAKHAN LAL</t>
  </si>
  <si>
    <t>TOOL MANAGER</t>
  </si>
  <si>
    <t>INDU BALA</t>
  </si>
  <si>
    <t>R-236 A, Street No.3, Block-R, Mohan Garden, Uttam Nagar, West Delhi, Delhi-110059</t>
  </si>
  <si>
    <t>ROOM NO.1014, ULTIMA HOSTEL, NICMAR UNIVERSITY, 411045</t>
  </si>
  <si>
    <t>MATA S DEVI SANJEEVNI PUBLIC SCHOOL</t>
  </si>
  <si>
    <t>MANAGEMENT EDUCATION AND RESEARCH INSTITUTE</t>
  </si>
  <si>
    <t>Jayesh Enterprises | Site Execution | Delhi | Nov 2018 | Nov 2020 | 2 Years, 0 Months, 8 Days | 1.8</t>
  </si>
  <si>
    <t>DELHI DEVELOPMENT AUTHORITY | INTERN | DELHI | Jun 2017 | Jul 2017 | 5 Weeks
DELHI DEVELOPMENT AUTHORITY |  TRAINEE | DELHI | Jan 2018 | May 2018 | 17 Weeks</t>
  </si>
  <si>
    <t>P2260007</t>
  </si>
  <si>
    <t>ABHISHEK SUNIL</t>
  </si>
  <si>
    <t>Abhishek Sunil Wadkar</t>
  </si>
  <si>
    <t>abhiwadkar55@gmail.com</t>
  </si>
  <si>
    <t>p2260007@student.nicmar.ac.in</t>
  </si>
  <si>
    <t>23-Mar-1995</t>
  </si>
  <si>
    <t>9140 3942 6317</t>
  </si>
  <si>
    <t>SUNIL NARAYAN WADKAR</t>
  </si>
  <si>
    <t>SUNITA SUNIL WADKAR</t>
  </si>
  <si>
    <t>968, PRABHAT KHANAVAL, OLD MOTOR STAND, NIPANI</t>
  </si>
  <si>
    <t>NIPPANI MARATHA MANDAL HIGH SCHOOL, NIPPANI</t>
  </si>
  <si>
    <t>N M TRUST POLYTECHNIC, NIDASOSHI, BELGAUM, KARNATAKA</t>
  </si>
  <si>
    <t>JAIN COLLEGE OF ENGINEERING, BELGAUM, KARNATAKA</t>
  </si>
  <si>
    <t>INFINITY GROUP | PLANNING ENGINEER | BELAGAVI, KARNATAKA | Jul 2019 | Aug 2019 | 3 Weeks</t>
  </si>
  <si>
    <t>P2260008</t>
  </si>
  <si>
    <t>TANMOY</t>
  </si>
  <si>
    <t>PRATIHAR</t>
  </si>
  <si>
    <t>Tanmoy Pratihar</t>
  </si>
  <si>
    <t>tanmoydy197@gmail.com</t>
  </si>
  <si>
    <t>p2260008@student.nicmar.ac.in</t>
  </si>
  <si>
    <t>19-Jul-1996</t>
  </si>
  <si>
    <t>Hinde, English,Bangla</t>
  </si>
  <si>
    <t>7336 5064 0650</t>
  </si>
  <si>
    <t>TARUN KUMAR PRATIHAR</t>
  </si>
  <si>
    <t>MRINALINI PRATIHAR</t>
  </si>
  <si>
    <t>Sairi,simlapal,Bankura</t>
  </si>
  <si>
    <t>RAMKRISHNA MISSION SARADA VIDYAPITH</t>
  </si>
  <si>
    <t>WEST BENGAL BOARD OF SECONDARY EDUCATION. WESTBANGAL</t>
  </si>
  <si>
    <t>VIVEKANANDA POLYTECHNIC SITASONGE</t>
  </si>
  <si>
    <t>MOULANA ABUL KALAM AZAD UNIVERSITY OF TECHNOLOGY, WEST BENGAL</t>
  </si>
  <si>
    <t>INSTITUTE OF SCIENCE AND TECHNOLOGY</t>
  </si>
  <si>
    <t>Rpp Infraproject ltd | Execution  | Uddangudi | Feb 2020 | Aug 2021 | 1 Years, 6 Months, 20 Days | 1.8
Vasant vihar realty Private Limited | Execution  | Solapur | Aug 2021 | Aug 2022 | 0 Years, 11 Months, 14 Days | 2.16</t>
  </si>
  <si>
    <t>P2260009</t>
  </si>
  <si>
    <t>SHARANAPPA</t>
  </si>
  <si>
    <t>RAMPURE</t>
  </si>
  <si>
    <t>Sachin Sharanappa Rampure</t>
  </si>
  <si>
    <t>sachinrampure1@gmail.com</t>
  </si>
  <si>
    <t>p2260009@student.nicmar.ac.in</t>
  </si>
  <si>
    <t>6876 9859 8137</t>
  </si>
  <si>
    <t>SHARANAPPA KASHILING RAMPURE</t>
  </si>
  <si>
    <t>RUPALI SHARANAPPA RAMPURE</t>
  </si>
  <si>
    <t>B-10-31/2:1, Dattaguru Society, Sector-15, Vashi, Navi Mumbai, 400703.</t>
  </si>
  <si>
    <t>INDIAN EDUCATION SOCIETY'S NAVI MUMBAI HIGH SCHOOL, VASHI</t>
  </si>
  <si>
    <t>ANJUMAN I ISLAM'S KALSEKAR TECHNICAL CAMPUS, NEW PANVEL.</t>
  </si>
  <si>
    <t>Technoarch Consultants | Structural Designing | Vashi, Navi Mumbai | Jul 2021 | Jul 2022 | 1 Years, 0 Months, 30 Days | 2.16</t>
  </si>
  <si>
    <t>ANIRUDDHA BUILDERS AND DEVELOPERS | SITE ENGINEER- MANAGE DAY TO DAY ACTIVITIES | NAVI MUMBAI | May 2016 | Jun 2016 | 4 Weeks
Y ARCH DESIGN CELL | DRAFTSMAN- PREPARED ARCHITECTURAL AND WORKING DRAWINGS | HADAPSAR, PUNE | Jun 2019 | Jul 2019 | 2 Weeks</t>
  </si>
  <si>
    <t>P2260010</t>
  </si>
  <si>
    <t>ANUPAMA</t>
  </si>
  <si>
    <t>A Anupama</t>
  </si>
  <si>
    <t>anupama14m@gmail.com</t>
  </si>
  <si>
    <t>p2260010@student.nicmar.ac.in</t>
  </si>
  <si>
    <t>7501 1962 9660</t>
  </si>
  <si>
    <t>ANIL KUMAR N</t>
  </si>
  <si>
    <t>SENIOR MANAGER AT KSFE</t>
  </si>
  <si>
    <t>DIVYA S K</t>
  </si>
  <si>
    <t>Sopanam, Perumon P O, Perinadu, Kollam, Kerala-691601</t>
  </si>
  <si>
    <t>SN. TRUSTS CENTRAL SCHOOL</t>
  </si>
  <si>
    <t>ST.JOHN'S RESIDENTIAL SCHOOL</t>
  </si>
  <si>
    <t>TKM COLLEGE OF ENGINEERING KARICODE/ KERALA</t>
  </si>
  <si>
    <t>South Indian Bank | Overall Banking Management  | Thrisssur | Aug 2021 | Aug 2022 | 0 Years, 11 Months, 27 Days | 7.5</t>
  </si>
  <si>
    <t>P2260011</t>
  </si>
  <si>
    <t>Poonam Pramod Patil</t>
  </si>
  <si>
    <t>poonamppatil30@gmail.com</t>
  </si>
  <si>
    <t>p2260011@student.nicmar.ac.in</t>
  </si>
  <si>
    <t>30-Sep-1993</t>
  </si>
  <si>
    <t>5230 2843 2667</t>
  </si>
  <si>
    <t>GOKUL Civil Line Kela Nagar Near Kela  Godown Dp Road  Khamgaon</t>
  </si>
  <si>
    <t>A K NATIONAL HIGH SCHOOL KHAMGAON</t>
  </si>
  <si>
    <t>MAHARASHTRA STATE BOARD OF SECONDARY AND HIGHER SECONDARY EDUCATION, PUNE / AMRAVATI DIVISION BOARD</t>
  </si>
  <si>
    <t>J.V MEHTA JUNIOR NAVYUG COLLEGE, KHAMGAON</t>
  </si>
  <si>
    <t>G H RAISONI ACADEMY OF ENGINEERING AND TECHNOLOGY, NAGPUR</t>
  </si>
  <si>
    <t>MIT-WPU, KOTHRUD, PUNE</t>
  </si>
  <si>
    <t>NILAWAR LABORATORIES | Technical Manager  | Nagpur | Sep 2019 | Oct 2021 | 2 Years, 1 Months, 29 Days | 3.6</t>
  </si>
  <si>
    <t>P2260012</t>
  </si>
  <si>
    <t>THEJAS</t>
  </si>
  <si>
    <t>Thejas A Jain</t>
  </si>
  <si>
    <t>thejasajain@gmail.com</t>
  </si>
  <si>
    <t>p2260012@student.nicmar.ac.in</t>
  </si>
  <si>
    <t>04-Jan-1997</t>
  </si>
  <si>
    <t>English, Kannada</t>
  </si>
  <si>
    <t>5170 1588 1997</t>
  </si>
  <si>
    <t>ARUN KUMAR JAIN</t>
  </si>
  <si>
    <t>PADMALATHA D</t>
  </si>
  <si>
    <t>Nandyavartha Nilaya, Jain Street, Virajpet, South Coorg</t>
  </si>
  <si>
    <t>ST. ANNE'S COMPOSITE HIGH SCHOOL, VIRAJPET</t>
  </si>
  <si>
    <t>KARNATAKA STATE BOARD, VIRAJPET, KARNATAKA</t>
  </si>
  <si>
    <t>VIDYANIKETHAN P U COLLEGE, GONIKOPPAL, VIRAJPET</t>
  </si>
  <si>
    <t>VIDYA VIKAS INSTITUTE OF ENGINEERING AND TECHNOLOGY, MYSORE, KARNATAKA</t>
  </si>
  <si>
    <t>MANIPAL ACADEMY OF HIGHER EDUCATION, MANIPAL</t>
  </si>
  <si>
    <t>AutoCAD,MS Office,MS Project,Primavera,REVIT ARCHITECTURE, 3DS MAX</t>
  </si>
  <si>
    <t>Coorg Institute of Technology | Teaching and Research | Ponnampet, Kodagu, Karnataka | Oct 2020 | Jun 2022 | 1 Years, 8 Months, 25 Days | 2.88</t>
  </si>
  <si>
    <t>P2260013</t>
  </si>
  <si>
    <t>VARGHESE</t>
  </si>
  <si>
    <t>Tarun K Varghese</t>
  </si>
  <si>
    <t>tarunvarghese@yahoo.com</t>
  </si>
  <si>
    <t>p2260013@student.nicmar.ac.in</t>
  </si>
  <si>
    <t>07-Mar-1993</t>
  </si>
  <si>
    <t>5901 3995 9979</t>
  </si>
  <si>
    <t>K P VARGHESE</t>
  </si>
  <si>
    <t>RTD HEALTH INSPECTOR</t>
  </si>
  <si>
    <t>P G USHAKUMARI</t>
  </si>
  <si>
    <t>RTD ASSISTANT ENGINEER</t>
  </si>
  <si>
    <t>Keerthanam , Ezhipuram , Pepathy</t>
  </si>
  <si>
    <t>NALANDA PUBLIC SCHOOL</t>
  </si>
  <si>
    <t>MAHATMA GANDHI UNIVERSITY, KOTTAYAM</t>
  </si>
  <si>
    <t>HOLY KINGS COLLEGE OF ENGINEERING AND TECHNOLOGY</t>
  </si>
  <si>
    <t>AutoCAD,MS Office,MS Project,SKETCH UP</t>
  </si>
  <si>
    <t>KERALA POLICE HOUSING AND CONSTRUCTION CORPORATION | BUILDING WORKS | ERNAKULAM,KERALA | Feb 2020 | Jul 2022 | 2 Years, 5 Months, 3 Days | 3.04
T.O.ITTOOP &amp; ASSOCIATES | CPWD Building works | IIIT Kottayam | Jul 2017 | Mar 2019 | 1 Years, 8 Months, 1 Days | 1.44</t>
  </si>
  <si>
    <t>P2260014</t>
  </si>
  <si>
    <t>BHASHKARRAO</t>
  </si>
  <si>
    <t>BHATKULKAR</t>
  </si>
  <si>
    <t>Rahul Bhashkarrao Bhatkulkar</t>
  </si>
  <si>
    <t>rahulbhatkulkar@gmail.com</t>
  </si>
  <si>
    <t>p2260014@student.nicmar.ac.in</t>
  </si>
  <si>
    <t>04-Dec-1990</t>
  </si>
  <si>
    <t>9641 0859 2937</t>
  </si>
  <si>
    <t>BHASHKAR M BHATKULKAR</t>
  </si>
  <si>
    <t>JIJA B BHATKULKAR</t>
  </si>
  <si>
    <t>Plot No D14 Himalaya Vishwa Colony</t>
  </si>
  <si>
    <t>LOKVIDYALAY</t>
  </si>
  <si>
    <t>PROFESSOR RAM MEGHE INSTITUTE OF TECHNOLOGY AND RESEARCH BADNERA</t>
  </si>
  <si>
    <t>2013-Sep</t>
  </si>
  <si>
    <t>AutoCAD,MS Office,MS Project,Primavera,QE PRO, STAAD PRO</t>
  </si>
  <si>
    <t>Shree Jagdamba Con. Co. Koradi | Site Engineer | Nagpur | May 2018 | Dec 2021 | 3 Years, 7 Months, 30 Days | 2.4
RBB Constructions | Sole Proprietor | Wardha | Jan 2015 | May 2018 | 3 Years, 4 Months, 0 Days | 3</t>
  </si>
  <si>
    <t>84 month(s)</t>
  </si>
  <si>
    <t>P2260015</t>
  </si>
  <si>
    <t>GRIGARY</t>
  </si>
  <si>
    <t>Aju Grigary</t>
  </si>
  <si>
    <t>ajugrigary@gmail.com</t>
  </si>
  <si>
    <t>p2260015@student.nicmar.ac.in</t>
  </si>
  <si>
    <t>04-Sep-1997</t>
  </si>
  <si>
    <t>3493 8817 4433</t>
  </si>
  <si>
    <t>NG GRIGARY</t>
  </si>
  <si>
    <t>BENY GRIGARY</t>
  </si>
  <si>
    <t>Nelluvelil, Elamannoor PO, Maruthimoodu, Adoor</t>
  </si>
  <si>
    <t>NELLUVELIL, THRIKODITHANAM PO, KODINATTUMKUNNU, CHANGANACHERRY</t>
  </si>
  <si>
    <t>PLACID VIDYA VIHAR SENIOR SECONDARY SCHOOL</t>
  </si>
  <si>
    <t>CBSE KOTTAYAM/KERALA</t>
  </si>
  <si>
    <t>KRISTU JYOTI HIGHER SECONDARY SCHOOL</t>
  </si>
  <si>
    <t>AMAL JYOTHI COLLEGE OF ENGINEERING KOTTAYAM/KERALA</t>
  </si>
  <si>
    <t>AutoCAD,MS Office,MS Project,Primavera,SKETCHUP</t>
  </si>
  <si>
    <t>Greenvalley Builders and Developers | Civil Engineer  | Kottayam,Kerala | May 2021 | Mar 2022 | 0 Years, 10 Months, 28 Days | 1.2</t>
  </si>
  <si>
    <t>KARUNA CONSTRUCTION AND BUILDERS | INTERN | RANNY,KERALA | Jul 2018 | Jul 2018 | 1 Weeks</t>
  </si>
  <si>
    <t>P2260016</t>
  </si>
  <si>
    <t>INDRANEEL</t>
  </si>
  <si>
    <t>Indraneel Rajendra Deshmukh</t>
  </si>
  <si>
    <t>irsd1998@gmail.com</t>
  </si>
  <si>
    <t>p2260016@student.nicmar.ac.in</t>
  </si>
  <si>
    <t>6364 6796 8848</t>
  </si>
  <si>
    <t>G-003 , Shree Suryoday Apts, Rawalpada, Dahisar East</t>
  </si>
  <si>
    <t>CHILDREN'S ACADEMY HIGH SCHOOL</t>
  </si>
  <si>
    <t>AFCONS INFRASTUCTURE LIMITED | TRAINEE ENGINEER | JAFRABAD | Dec 2018 | Jan 2019 | 2 Weeks
AFCONS INFRASTUCTURE LIMITED | TRAINEE ENGINEER | NAGPUR | Jun 2018 | Jun 2018 | 2 Weeks</t>
  </si>
  <si>
    <t>P2260017</t>
  </si>
  <si>
    <t>DHOK</t>
  </si>
  <si>
    <t>Aditya Jagdish Dhok</t>
  </si>
  <si>
    <t>adityadhok99@gmail.com</t>
  </si>
  <si>
    <t>p2260017@student.nicmar.ac.in</t>
  </si>
  <si>
    <t>5974 0873 9428</t>
  </si>
  <si>
    <t>Kunbipura Ward No 3, Near Radha Krishna Mandir, Katol</t>
  </si>
  <si>
    <t>MOUNT CARMEL CONVENT SCHOOL, KATOL</t>
  </si>
  <si>
    <t>NABIRA MAHAVIDYALAYA, KATOL</t>
  </si>
  <si>
    <t>K.D.K. NAGPUR POLYTECHNIC, NAGPUR</t>
  </si>
  <si>
    <t>MAULI GROUP OF INSTITUTIONS COLLEGE OF ENGINEERING AND TECHNOLOGY, SHEGAON</t>
  </si>
  <si>
    <t>P2260018</t>
  </si>
  <si>
    <t>SAKTHI</t>
  </si>
  <si>
    <t>MANOJ T</t>
  </si>
  <si>
    <t>Sakthi Manoj T</t>
  </si>
  <si>
    <t>sakthithiru99@gmail.com</t>
  </si>
  <si>
    <t>p2260018@student.nicmar.ac.in</t>
  </si>
  <si>
    <t>27-Dec-1999</t>
  </si>
  <si>
    <t>3357 0909 2852</t>
  </si>
  <si>
    <t>THIRUGNANAM</t>
  </si>
  <si>
    <t>PHARMASIST</t>
  </si>
  <si>
    <t>POONGODI.T</t>
  </si>
  <si>
    <t>D.no - 97, Girls High School Opposite_x000D_
Main Road, Tittakudi-606106_x000D_
Cuddalore-DT</t>
  </si>
  <si>
    <t>ST. ANDREW'S MATRICULATION HIGHER SECONDARY SCHOOL</t>
  </si>
  <si>
    <t>STATE BOARD  IN PERAMBALUR/TAMIL NADU</t>
  </si>
  <si>
    <t>S R V MATRIC HIGHER SECONDARY SCHOOL</t>
  </si>
  <si>
    <t>STATE BOARD  IN TIRUCHIRAPPALLI/ TAMIL NADU</t>
  </si>
  <si>
    <t>SRI SAIRAM ENGINEERING COLLEGE ,CHENNAI/TAMIL NADU</t>
  </si>
  <si>
    <t>TMT Consultant and Contractors | Assistant Engineer | Chennai | Jun 2021 | Aug 2022 | 1 Years, 2 Months, 30 Days | 1.8</t>
  </si>
  <si>
    <t>P2260020</t>
  </si>
  <si>
    <t>RAJITHA</t>
  </si>
  <si>
    <t>RADHAKRISHNAN</t>
  </si>
  <si>
    <t>Rajitha Radhakrishnan Pillai</t>
  </si>
  <si>
    <t>pillairajitha141@gmail.com</t>
  </si>
  <si>
    <t>p2260020@student.nicmar.ac.in</t>
  </si>
  <si>
    <t>15-Jun-1996</t>
  </si>
  <si>
    <t>English,Hindi,Marathi,Malayalam.</t>
  </si>
  <si>
    <t>7614 7842 4868</t>
  </si>
  <si>
    <t>RADHAKRISHNAN PILLAI</t>
  </si>
  <si>
    <t>USHA PILLAI</t>
  </si>
  <si>
    <t>106,Riddhiraj Appartment, Jagadambha Bhavan Marg,Undri.</t>
  </si>
  <si>
    <t>ST PATRICK'S HIGH SCHOOL</t>
  </si>
  <si>
    <t>MAHARASHTRA STATE BOARD,PUNE</t>
  </si>
  <si>
    <t>2000-Jun</t>
  </si>
  <si>
    <t>ABEDA INAMDAR JUNIOR COLLEGE</t>
  </si>
  <si>
    <t>KJ COLLEGE OF ENGINEERING &amp; MGT. RESEARCH,PUNE,MAHARASHTRA</t>
  </si>
  <si>
    <t>AutoCAD,ETAB,REVIT,MSEXCEL.</t>
  </si>
  <si>
    <t>JaiHind Construction | Estimation &amp; Billing Engineer | Pune | Aug 2018 | Dec 2020 | 2 Years, 4 Months, 14 Days | 3
Swaroop Construction | Quantity Surveying | Pune | Apr 2022 | Aug 2022 | 0 Years, 4 Months, 6 Days | 3.6</t>
  </si>
  <si>
    <t>P2260021</t>
  </si>
  <si>
    <t>Pravin Rajaram Bankar</t>
  </si>
  <si>
    <t>pravinbankar19158@gmail.com</t>
  </si>
  <si>
    <t>p2260021@student.nicmar.ac.in</t>
  </si>
  <si>
    <t>28-Aug-1996</t>
  </si>
  <si>
    <t>English,Hindi ,marathi</t>
  </si>
  <si>
    <t>6383 7287 3048</t>
  </si>
  <si>
    <t>Jagtap Vasti , Vidani, Tal- Phaltan,Dist-Satara</t>
  </si>
  <si>
    <t>MUDHOJI HIGH SCHOOL PHALTAN</t>
  </si>
  <si>
    <t>MAHARASHTRA STATE BOARD OF SECONDAERY AND HIGHER SECONDAERY EDUCATION PUNE</t>
  </si>
  <si>
    <t>YASHWANTRAO CHAVAN HIGH SCHOOL AND JR.COLLEGE PHALTAN</t>
  </si>
  <si>
    <t>SOU. VENUTAI CHAVAN POLYTECHNIC VADGAON PUNE</t>
  </si>
  <si>
    <t>TSSM'S BHIVARABAI SAWANT COLLEGE OF ENGINEERING AND RESEARCH NARHE ,PUNE</t>
  </si>
  <si>
    <t>P2260022</t>
  </si>
  <si>
    <t>AFSANA</t>
  </si>
  <si>
    <t>NAJEEB</t>
  </si>
  <si>
    <t>Afsana S Najeeb</t>
  </si>
  <si>
    <t>afsanasnajeeb26@gmail.com</t>
  </si>
  <si>
    <t>p2260022@student.nicmar.ac.in</t>
  </si>
  <si>
    <t>26-Jun-1998</t>
  </si>
  <si>
    <t>English, Malayam, Hindi</t>
  </si>
  <si>
    <t>7126 0732 6945</t>
  </si>
  <si>
    <t>S NAJEEB</t>
  </si>
  <si>
    <t>SABEENA BEEGUM</t>
  </si>
  <si>
    <t>Santhosh Manzil Karuvatta_x000D_
Adoor</t>
  </si>
  <si>
    <t>ALL SAINTS PUBLIC SCHOOL AND JUNIOR COLLEGE ADOOR</t>
  </si>
  <si>
    <t>CBSE, ADOOR, KERALA</t>
  </si>
  <si>
    <t>TMGHSS PERINGANAD</t>
  </si>
  <si>
    <t>HSE-KERALA</t>
  </si>
  <si>
    <t>AMAL JYOTHI COLLEGE OF ENGINEERING ,KOOVAPALLY PO KANJIRAPALLY, KERALA</t>
  </si>
  <si>
    <t>AutoCAD,MS Office,MS Project,AUTOCAD, MSP, CANDY</t>
  </si>
  <si>
    <t>P2260023</t>
  </si>
  <si>
    <t>Hrishikesh Shashikant Joshi</t>
  </si>
  <si>
    <t>hrishikeshjoshi1556@yahoo.in</t>
  </si>
  <si>
    <t>p2260023@student.nicmar.ac.in</t>
  </si>
  <si>
    <t>24-Jun-1997</t>
  </si>
  <si>
    <t>2196 9078 5119</t>
  </si>
  <si>
    <t>SHASHIKANT M JOSHI</t>
  </si>
  <si>
    <t>VRUSHALI S JOSHI</t>
  </si>
  <si>
    <t>B-103,Achal Leela Khushboo New DP Road , Opposite To Shell Petrol Pump , Vishalnagar, Pimple Nilakh Pune - 411027</t>
  </si>
  <si>
    <t>NEW ENGLISH SCHOOL RAMANBAUG , PUNE</t>
  </si>
  <si>
    <t>MAHARASHTRA STATE BOARD - CITY. PUNE</t>
  </si>
  <si>
    <t>NEW ENGLISH SCHOOL AND JUNIOR COLLEGE, RAMANBAUG PUNE</t>
  </si>
  <si>
    <t>EKLAVYA SHIKSHAN SANSTHA'S POLYTECHNIC , PUNE</t>
  </si>
  <si>
    <t>TRINITY COLLEGE OF ENGINEERING AND RESEARCH , PUNE</t>
  </si>
  <si>
    <t>MIT SCHOOL OF DISTANCE EDUCATION, PUNE</t>
  </si>
  <si>
    <t>Ganadhar Infra Developers Pvt Ltd | Project Department, | Mumbai | Sep 2019 | Jul 2020 | 0 Years, 10 Months, 7 Days | 2.16
I Value Advisory LLP | Valuation | Pune | Aug 2020 | Jul 2022 | 1 Years, 11 Months, 30 Days | 2.4</t>
  </si>
  <si>
    <t>P2260024</t>
  </si>
  <si>
    <t>SHAW</t>
  </si>
  <si>
    <t>Saurav Kumar Shaw</t>
  </si>
  <si>
    <t>sauravshawsjv97@gmail.com</t>
  </si>
  <si>
    <t>p2260024@student.nicmar.ac.in</t>
  </si>
  <si>
    <t>8297 7267 3176</t>
  </si>
  <si>
    <t>HARE KRISHNA SHAW</t>
  </si>
  <si>
    <t>BABITA DEVI SHAW</t>
  </si>
  <si>
    <t>3rd Floor_x000D_
22B, Rani Rashmoni Road</t>
  </si>
  <si>
    <t>KALIPADA NIWAS,_x000D_
48, DR. LAL MOHAN BHATTACHARYA ROAD</t>
  </si>
  <si>
    <t>SHREE JAIN VIDYALAYA</t>
  </si>
  <si>
    <t>DR. MEGHNAD SAHA INSTITUTE OF TECHNOLOGY, HALDIA, WEST BENGAL</t>
  </si>
  <si>
    <t>MAULANA ABUL KALAM AZAD UNIVERSITY OF TECHNOLOGY (MAKAUT) FORMERLY WBUT</t>
  </si>
  <si>
    <t>Paharpur Cooling Towers Ltd. | Project Control &amp; Planning | Jamnagar, Gujarat | Jul 2019 | Jul 2022 | 3 Years, 0 Months, 30 Days | 5.65</t>
  </si>
  <si>
    <t>PUBLIC WORKS DEPARTMENT | TRAINEE | KOLKATA | Jun 2018 | Jun 2018 | 3 Weeks
SIMPLEX INFRASTRUCTURES LIMITED | TRAINEE | KOLKATA | Oct 2015 | Nov 2015 | 3 Weeks</t>
  </si>
  <si>
    <t>P2260025</t>
  </si>
  <si>
    <t>VIVEKANANDA</t>
  </si>
  <si>
    <t>GALATAGE</t>
  </si>
  <si>
    <t>Samarth Vivekananda Galatage</t>
  </si>
  <si>
    <t>samarthgalatage6183@gmail.com</t>
  </si>
  <si>
    <t>p2260025@student.nicmar.ac.in</t>
  </si>
  <si>
    <t>8333 1030 9860</t>
  </si>
  <si>
    <t>VRUNDA</t>
  </si>
  <si>
    <t>BEHAND SOMANATH TEMPLE AKKOL ROAD NIPANI.</t>
  </si>
  <si>
    <t>SHRI ARIHANT MARATHI MED HIGH SCHOOL BORGAON</t>
  </si>
  <si>
    <t>NIPANI/ KARNATAKA</t>
  </si>
  <si>
    <t>KLE GI BAGEWADI PU COLLEGE NIPANI</t>
  </si>
  <si>
    <t>VISVESVARAYA TECHONOLOGICAL UNIVERSITY BELGAVI KARANATAKA</t>
  </si>
  <si>
    <t>VSM SOMASHEKHAR R. KOTHIWALE INSTIUTE OF TECHNOLOGY NIPANI</t>
  </si>
  <si>
    <t>P2260026</t>
  </si>
  <si>
    <t>JINDAL</t>
  </si>
  <si>
    <t>Pranjal Jindal</t>
  </si>
  <si>
    <t>pjpranjal@gmail.com</t>
  </si>
  <si>
    <t>p2260026@student.nicmar.ac.in</t>
  </si>
  <si>
    <t>12-Feb-1994</t>
  </si>
  <si>
    <t>3809 1689 4947</t>
  </si>
  <si>
    <t>PRAMOD JINDAL</t>
  </si>
  <si>
    <t>PRATIBHA JINDAL</t>
  </si>
  <si>
    <t>19, Balkeshwar Kunj_x000D_
Balkeshwar</t>
  </si>
  <si>
    <t>NATIONAL INSTITUTE OF OPEN SCHOOLING/ UTTAR PRADESH</t>
  </si>
  <si>
    <t>JECRC UDML COLLEGE OF ENGINEERING JAIPUR/ RAJASTHAN</t>
  </si>
  <si>
    <t>SS Chain &amp; Infra Pvt. Ltd. | Execution | Delhi | Oct 2017 | May 2019 | 1 Years, 7 Months, 10 Days | 2.28
RCC Infraventures Ltd | Execution | Mumbai | Aug 2019 | Mar 2020 | 0 Years, 7 Months, 9 Days | 4.77
Akashganga Infraventures India Ltd | Planning &amp; Billing | Khurja, Bulandshahr | Aug 2020 | Jul 2022 | 1 Years, 10 Months, 11 Days | 3.84</t>
  </si>
  <si>
    <t>AGRA DEVELOPMENT AUTHORITY AGRA | EXECUTION  | AGRA | May 2016 | Jun 2016 | 8 Weeks</t>
  </si>
  <si>
    <t>P2260027</t>
  </si>
  <si>
    <t>ALEN</t>
  </si>
  <si>
    <t>Alen K John</t>
  </si>
  <si>
    <t>alenkjohn220@gmail.com</t>
  </si>
  <si>
    <t>p2260027@student.nicmar.ac.in</t>
  </si>
  <si>
    <t>6969 5268 5689</t>
  </si>
  <si>
    <t>K M JOHN</t>
  </si>
  <si>
    <t>SOSAMMA JOHN</t>
  </si>
  <si>
    <t>Kuttipalackal House Chenkara PO Pullumedu Idukki 685533</t>
  </si>
  <si>
    <t>GRACE GARDEN PUBLIC SCHOOL</t>
  </si>
  <si>
    <t>CBSE KERALA IDUKKI</t>
  </si>
  <si>
    <t>ST MARYS HIGHER SECONDARY SCHOOL</t>
  </si>
  <si>
    <t>KERALA DHSE  KERALA IDUKKI</t>
  </si>
  <si>
    <t>DREAM SPACE | SITE SUPERVISION | Bangalore | Sep 2021 | Jul 2022 | 0 Years, 10 Months, 30 Days | 2.4</t>
  </si>
  <si>
    <t>P2260028</t>
  </si>
  <si>
    <t>SYED</t>
  </si>
  <si>
    <t>FAIZAN</t>
  </si>
  <si>
    <t>Syed Faizan</t>
  </si>
  <si>
    <t>shafai1095@gmail.com</t>
  </si>
  <si>
    <t>p2260028@student.nicmar.ac.in</t>
  </si>
  <si>
    <t>02-Jun-2000</t>
  </si>
  <si>
    <t>English, Hindi,Urdu, and Kannada.</t>
  </si>
  <si>
    <t>6228 9763 0903</t>
  </si>
  <si>
    <t>SYED ATHAULLA</t>
  </si>
  <si>
    <t>FOUZIA KOUSER</t>
  </si>
  <si>
    <t>Behind KSRTC Bus Stand 1st Cross, Ijoor</t>
  </si>
  <si>
    <t>HOLY CRESCENT ENGLISH SCHOOL</t>
  </si>
  <si>
    <t>KARNATAKA SECONDARY EDUCATION EXAMINATION BOARD, RAMANAGARAM/ KARNATAKA</t>
  </si>
  <si>
    <t>SHANTHINIKETHAN OF PU COLLEGE</t>
  </si>
  <si>
    <t>GHOUSIA COLLEGE OF ENGINEERING, RAMANAGARAM/KARNATAKA</t>
  </si>
  <si>
    <t>SAI CADD | CURRICULUM INTERNSHIP TRAINING | KENGERI SATELLITE TOWN, BANGLORE - 560060. INDIA | Sep 2021 | Oct 2021 | 4 Weeks</t>
  </si>
  <si>
    <t>P2260029</t>
  </si>
  <si>
    <t>MRITUNJAY</t>
  </si>
  <si>
    <t>Mritunjay Sharma</t>
  </si>
  <si>
    <t>ssourabh852@gmail.com</t>
  </si>
  <si>
    <t>p2260029@student.nicmar.ac.in</t>
  </si>
  <si>
    <t>5210 8440 4209</t>
  </si>
  <si>
    <t>JYOTI SHARMA</t>
  </si>
  <si>
    <t>H.no 203 Ward 25 Behind Gayatri Mandir Station Road</t>
  </si>
  <si>
    <t>VISHWADEEP.HR.SEC.SCHOOL</t>
  </si>
  <si>
    <t>SHRI SHANKARACHARYA ENGINEERING COLLEGE, BHILAI, CHHATTISGARH</t>
  </si>
  <si>
    <t>KBS SOLUTIONS LLC | MARKET RESEARCH INTERN | WFH | Mar 2022 | Aug 2022 | 19 Weeks</t>
  </si>
  <si>
    <t>P2260030</t>
  </si>
  <si>
    <t>PAGARE</t>
  </si>
  <si>
    <t>Sarvesh Ramesh Pagare</t>
  </si>
  <si>
    <t>sarveshpagare99@gmail.com</t>
  </si>
  <si>
    <t>p2260030@student.nicmar.ac.in</t>
  </si>
  <si>
    <t>7993 8644 2287</t>
  </si>
  <si>
    <t>Flat No 5, Sarvadhnya Appartment Kamatwade Shivar, Nashik</t>
  </si>
  <si>
    <t>RACHNA VIDYALAYA SHARANPUR ROAD NASHIK</t>
  </si>
  <si>
    <t>HPT.ARTS &amp; R.Y.K AND SCIENCE COLLEGE</t>
  </si>
  <si>
    <t>GOKHLE ENGINEERING SOCIETY COLLEGE OF ENGINEERING NASHIK 5</t>
  </si>
  <si>
    <t>P2260031</t>
  </si>
  <si>
    <t>BHAGWANT</t>
  </si>
  <si>
    <t>SHIRORE</t>
  </si>
  <si>
    <t>Sumit Bhagwant Shirore</t>
  </si>
  <si>
    <t>sumitshirore@gmail.com</t>
  </si>
  <si>
    <t>p2260031@student.nicmar.ac.in</t>
  </si>
  <si>
    <t>24-Dec-1999</t>
  </si>
  <si>
    <t>3699 6598 3780</t>
  </si>
  <si>
    <t>BHAGWANT GAJANAN SHIRORE</t>
  </si>
  <si>
    <t>YOGITA BHAGWANT SHIRORE</t>
  </si>
  <si>
    <t>Guru Datta Kirana, A/P:- Vithewadi, Tal:- Deola, Dist:-Nashik</t>
  </si>
  <si>
    <t>BAGLAN EDUCATION SOCIETY ENGLISH MEDIUM SCHOOL, SATANA</t>
  </si>
  <si>
    <t>DR. D.Y. PATIL SCHOOL OF ENGINEERING AND TECHNOLOGY</t>
  </si>
  <si>
    <t>VRINDAVAN CONSTRUCTION | CONSULTING WITH CONTRACTORS AND ON-SITE ENGINEERS TO MONITOR THE WORK PROGRESS. ESTIMATED QUANTITY AND COST OF MATERIAL AND LABOUR FOR RESOURCE PLANNING AND PROCUREMENT. UNDERSTANDING THE ROLE OF DIFF | NASHIK | May 2019 | Jul 2019 | 11 Weeks
SHIVRAJ ASSOCIATES | VISITED PROJECT SITE DURING CONSTRUCTION TO LEARN ABOUT EXECUTION OF WORK. UNDERSTANDING DIFFERENT SAFETY MEASURES AND ITS IMPORTANCE IN CONSTRUCTION PROJECTS. UNDERSTANDING THE WAY OF USING DRAWINGS  | PUNE | May 2018 | Jun 2018 | 3 Weeks</t>
  </si>
  <si>
    <t>P2260032</t>
  </si>
  <si>
    <t>NICHAL</t>
  </si>
  <si>
    <t>Ganesh Sudhir Nichal</t>
  </si>
  <si>
    <t>ganeshnichal787895@gmail.com</t>
  </si>
  <si>
    <t>P2260032@student.nicmar.ac.in</t>
  </si>
  <si>
    <t>10-Jul-1998</t>
  </si>
  <si>
    <t>2686 7962 0963</t>
  </si>
  <si>
    <t>SR NO 215,LAXAMI COLONY,GANGANAGAR ,FURSUNGI,PUNE</t>
  </si>
  <si>
    <t>SADHANA HIGH SCHOOL HADAPSAR</t>
  </si>
  <si>
    <t>BHIWRABAI SAWANT COLLAGE OF POLYTECHNIC WAGHOLI PUNE</t>
  </si>
  <si>
    <t>PARVATIBAI GENBA SOPANRAO MOZE COLLAGE OF ENGINEERING WAGHOLI PUNE.</t>
  </si>
  <si>
    <t>Sagar skyscrapers LLP | Execution | Pune | Dec 2020 | Dec 2021 | 1 Years, 0 Months, 30 Days | 1.2</t>
  </si>
  <si>
    <t>P2260033</t>
  </si>
  <si>
    <t>TATERAO</t>
  </si>
  <si>
    <t>LANDGE</t>
  </si>
  <si>
    <t>Omkar Taterao Landge</t>
  </si>
  <si>
    <t>omkarlandge555@gmail.com</t>
  </si>
  <si>
    <t>P2260033@student.nicmar.ac.in</t>
  </si>
  <si>
    <t>07-Jun-1997</t>
  </si>
  <si>
    <t>MARATHI, HINDI, ENGLISH, SPANISH</t>
  </si>
  <si>
    <t>7766 9900 6570</t>
  </si>
  <si>
    <t>TATERAO LANDGE</t>
  </si>
  <si>
    <t>RETAIRED</t>
  </si>
  <si>
    <t>MANJUSHA LANDGE</t>
  </si>
  <si>
    <t>Plot No.25, Shivsadhan, Behind Pooja Hospital, Chaitanya Nagar, Nanded</t>
  </si>
  <si>
    <t>FLAT NO.901, WING -B, SILVER WOODS, NEAR POWER HOUSE, PHURSUNGI, PUNE</t>
  </si>
  <si>
    <t>SHRI CHHATRAPATI SHAHU MAHARAJ SAINIKI SCHOOL, UDGIR</t>
  </si>
  <si>
    <t>SHRI CHHATRAPATI SHAHU MAHARAJ SAINIKI JUNIOR COLLEGE, UDGIR</t>
  </si>
  <si>
    <t>GRAMIN POLYTECHNIC VISHNUPURI, NANDED</t>
  </si>
  <si>
    <t>DR. D.Y.PATIL SCHOOL OF ENGINEERING AND TECHNOLOGY, LOHEGAON, PUNE</t>
  </si>
  <si>
    <t>P2260019</t>
  </si>
  <si>
    <t>RAZEEN</t>
  </si>
  <si>
    <t>NADKAR</t>
  </si>
  <si>
    <t>Razeen Ibrahim Nadkar</t>
  </si>
  <si>
    <t>razeennadkar431@gmail.com</t>
  </si>
  <si>
    <t>p2260019@student.nicmar.ac.in</t>
  </si>
  <si>
    <t>24-Feb-2001</t>
  </si>
  <si>
    <t>8732 1968 1567</t>
  </si>
  <si>
    <t>RIDWANA</t>
  </si>
  <si>
    <t>AT &amp; POST SANGLAT TAL:- KHED DIST:- RATNAGIRI</t>
  </si>
  <si>
    <t>LIONS TINY TOTS ENGLISH MEDIUM SCHOOL</t>
  </si>
  <si>
    <t>MAHARASHTRA STATE BOARD OF SECONDARY AND HIGHER SECONDARY EDUCATION , PUNE/ MAHARASHTRA</t>
  </si>
  <si>
    <t>GHARDA INSTITUTE OF TECHNOLOGY</t>
  </si>
  <si>
    <t>P26701002</t>
  </si>
  <si>
    <t>Abhinandan Jha</t>
  </si>
  <si>
    <t>jhanicholson50@gmail.com</t>
  </si>
  <si>
    <t>P26701002@student.nicmar.ac.in</t>
  </si>
  <si>
    <t xml:space="preserve">Hindi, Hindi, Bengali </t>
  </si>
  <si>
    <t xml:space="preserve">Reading, Anime, Sports, eSports, Movies,Music </t>
  </si>
  <si>
    <t>Pran Gopal Jha</t>
  </si>
  <si>
    <t>Sanhita Jha</t>
  </si>
  <si>
    <t>Sambhava Niwas, Lane 1, Lake Garden, Ghorapir, Malda</t>
  </si>
  <si>
    <t>St. Michael,s School</t>
  </si>
  <si>
    <t>Siliguri, West Bengal</t>
  </si>
  <si>
    <t>Pailan World School</t>
  </si>
  <si>
    <t>Kolkata, West Bengal</t>
  </si>
  <si>
    <t>Techno International Newtown</t>
  </si>
  <si>
    <t>MS Office, MATLAB, DaVinci Resolve,C,C++,Python,Java</t>
  </si>
  <si>
    <t>Lauritz Knudsen | Engineering Trainee | Kolkata | Jul 2024 | Aug 2024 | 3 Weeks</t>
  </si>
  <si>
    <t>Ethics in Engineering Practice
Developing Soft Skills and Personality
The Joy of Computing using Python</t>
  </si>
  <si>
    <t>P26701003</t>
  </si>
  <si>
    <t>Jyotsna</t>
  </si>
  <si>
    <t>Rose</t>
  </si>
  <si>
    <t>Joe</t>
  </si>
  <si>
    <t>Jyotsna Rose Joe</t>
  </si>
  <si>
    <t>jyotsnarosejoe14@gmail.com</t>
  </si>
  <si>
    <t>P26701003@student.nicmar.ac.in</t>
  </si>
  <si>
    <t>English ,Malayalam ,Hindi</t>
  </si>
  <si>
    <t>Listening to music,Dance,Athletics,Basketball ,Gym,Art and crafts</t>
  </si>
  <si>
    <t>Joe Joseph</t>
  </si>
  <si>
    <t>Shiny Joe</t>
  </si>
  <si>
    <t>27/2022 C, Rose Villa ,Kochu Kadavanthra,Near Shipyard CISF,Kadavanthra PO,Cochin 20</t>
  </si>
  <si>
    <t>Sacred Heart CMI Public School</t>
  </si>
  <si>
    <t>CBSE, Ernakulam, Kerala</t>
  </si>
  <si>
    <t xml:space="preserve">Christ University </t>
  </si>
  <si>
    <t>Christ University Kengeri Campus,Bangalore,Karnataka</t>
  </si>
  <si>
    <t>Autocad,Sketchup,Lumion,Enscape,Photoshop,Illustrator,GIS,AR/VR Software ,Procreate,Ms Excel,Ms Project</t>
  </si>
  <si>
    <t>Lalichan Zacharias Atelier | Student Intern | Ernakulam,Kerala | Apr 2025 | Sep 2025 | 20 Weeks</t>
  </si>
  <si>
    <t>P26701004</t>
  </si>
  <si>
    <t>Pandhare</t>
  </si>
  <si>
    <t>Yuvraj Mahesh Pandhare</t>
  </si>
  <si>
    <t>yuvraj10.yp@gmail.com</t>
  </si>
  <si>
    <t>P26701004@student.nicmar.ac.in</t>
  </si>
  <si>
    <t>Football,Gaming,Roadtrips,Music</t>
  </si>
  <si>
    <t>Plot No.32, Hingane Home Colony, Karvenagar, Pune-411052</t>
  </si>
  <si>
    <t>MIT Vishwashanti Gurukul School, Pune</t>
  </si>
  <si>
    <t xml:space="preserve">Eklavya Shikshan Sanstha's Polytechnic, Pune </t>
  </si>
  <si>
    <t>AutoCAD,MS Office,MS Project,Solidworks,Python,Data Structure with C,C Programming,AI with MernStack,Web Development</t>
  </si>
  <si>
    <t>Chintamani Engineering Work | Production Supervisor | Shivane, Pune | Mar 2025 | Mar 2026 | 1 Years, 0 Months, 0 Days | 2.16
ADA Tech Solutions | Education Consultant | Swargate, Pune | Mar 2026 | Jun 2026 | 0 Years, 2 Months, 21 Days | 1.68</t>
  </si>
  <si>
    <t>Omkar Engineering | Intern | Dhayari, Pune | Dec 2022 | Jan 2023 | 4 Weeks
Chintamani Engineering Work | Intern | Shivane, Pune | Jun 2021 | Sep 2021 | 13 Weeks</t>
  </si>
  <si>
    <t>AI with Mernstack
C Programming
Data Structure using C
Python Programming (Core,Advance,Sql)</t>
  </si>
  <si>
    <t>P26701005</t>
  </si>
  <si>
    <t>Maria</t>
  </si>
  <si>
    <t>Maria Rose Varghese</t>
  </si>
  <si>
    <t>mariarosev02@gmail.com</t>
  </si>
  <si>
    <t>P26701005@student.nicmar.ac.in</t>
  </si>
  <si>
    <t>22-Oct-2002</t>
  </si>
  <si>
    <t xml:space="preserve">ENGLISH,MALAYALAM,HINDI </t>
  </si>
  <si>
    <t>KARATE,MUSIC,MOVIES,CHESS,BADMINTON,WATER COLOR</t>
  </si>
  <si>
    <t>VARGHESE YOHANNAN</t>
  </si>
  <si>
    <t>SHERLYKUTTY GEORGE</t>
  </si>
  <si>
    <t>NURSE</t>
  </si>
  <si>
    <t>MALIPARAMBIL(H)PARUMALA PO MANNAR PATHANAMTHITTA DIST, KERALA</t>
  </si>
  <si>
    <t xml:space="preserve">ST. MARYS RESIDENTIAL PUBLIC SCHOOL </t>
  </si>
  <si>
    <t>GOOD SHEPHERD PUBLIC SCHOOL,THENGANA</t>
  </si>
  <si>
    <t>AUTOCAD,SKETCHUP,LUMION,ENSCAPE,REVIT,3DSMAX,PHOTOSHOP,ILLUSTRATOR,MS PROJECT,EXCEL, MS WORD</t>
  </si>
  <si>
    <t>Technoarchitecture | Intern Architect  | Bengaluru, karnataka | Jun 2024 | Nov 2024 | 21 Weeks</t>
  </si>
  <si>
    <t>P26701006</t>
  </si>
  <si>
    <t>Ramavadh</t>
  </si>
  <si>
    <t>Rohan Ramavadh Yadav</t>
  </si>
  <si>
    <t>rohanpowai@gmail.com</t>
  </si>
  <si>
    <t>P26701006@student.nicmar.ac.in</t>
  </si>
  <si>
    <t>Motovlogging,Gymming,Playing Flute</t>
  </si>
  <si>
    <t>5389 8861 8526</t>
  </si>
  <si>
    <t>Ramavadh Rajju Yadav</t>
  </si>
  <si>
    <t>Shubhavati Ramavadh Yadav</t>
  </si>
  <si>
    <t>Flat No-2101,Platino-C,Lodha Splendora,Ghodbunder Road</t>
  </si>
  <si>
    <t>ST Lawrence High School</t>
  </si>
  <si>
    <t>Maharashtra State Board of Secondary and Higher Secondary Education  (Mumbai/Maharashtra)</t>
  </si>
  <si>
    <t>Diploma In Electrical Engineering</t>
  </si>
  <si>
    <t>JAWAHAR EDUCATION SOCIETY'S ANNASAHEB CHUDAMAN PATIL COLLEGE OF ENGINEERING (Navi Mumbai/Maharashtra)</t>
  </si>
  <si>
    <t>New Horizon Institute of Technology and Management (Thane/Maharashtra)</t>
  </si>
  <si>
    <t>AutoCAD Electrical ,Revit Electrical</t>
  </si>
  <si>
    <t>P26701008</t>
  </si>
  <si>
    <t>Pratham M Nair</t>
  </si>
  <si>
    <t>manu.pratham11@gmail.com</t>
  </si>
  <si>
    <t>P26701008@student.nicmar.ac.in</t>
  </si>
  <si>
    <t>07-Feb-2004</t>
  </si>
  <si>
    <t xml:space="preserve">Hindi, English , Marathi ,Malayalam </t>
  </si>
  <si>
    <t xml:space="preserve">Reading,dancing  sports </t>
  </si>
  <si>
    <t>Manoj K Nair</t>
  </si>
  <si>
    <t>Jyoti M Nair</t>
  </si>
  <si>
    <t>D206,Ecopark, Marol, Military road, Andheri (E), Mumbai-400059</t>
  </si>
  <si>
    <t>Pawar Public School, Chandivali</t>
  </si>
  <si>
    <t>ICSE, Mumbai, Maharashtra</t>
  </si>
  <si>
    <t>MIT World peace University, Pune , Maharashtra</t>
  </si>
  <si>
    <t>Auto CAD,MS OFFICE,MS PROJECT</t>
  </si>
  <si>
    <t>P26701009</t>
  </si>
  <si>
    <t>Shradha</t>
  </si>
  <si>
    <t>Rotey</t>
  </si>
  <si>
    <t>Shradha Narendra Rotey</t>
  </si>
  <si>
    <t>P26701009@student.nicmar.ac.in</t>
  </si>
  <si>
    <t>marathi hindi english</t>
  </si>
  <si>
    <t>Narendra Vishnu Rotey</t>
  </si>
  <si>
    <t>Electrical Engineer</t>
  </si>
  <si>
    <t>Nilima Narendra Rotey</t>
  </si>
  <si>
    <t>Parmanu Nagar CHS Ltd, Room No. D13, Plot No. 2-7,Vashi, Navi Mumbai.</t>
  </si>
  <si>
    <t>Panchadeep Society CHS, F3 Building, Room No. 301, Vashi, Navi Mumbai</t>
  </si>
  <si>
    <t>Fr. Agnels Multipurpose School</t>
  </si>
  <si>
    <t>Karmveer Bhaurao Patil College</t>
  </si>
  <si>
    <t>Lokmanya Tilak Institute of Architecture and Design Studies, Kopar Khairane</t>
  </si>
  <si>
    <t>Autocad MS office,MSProject,Revit,SPSS</t>
  </si>
  <si>
    <t>PG Patki Partner LLP | Junior Architect | Mumbai | Sep 2024 | Apr 2026 | 1 Years, 6 Months, 18 Days | 2.91</t>
  </si>
  <si>
    <t xml:space="preserve">  Edifice Consultants Pvt. Ltd | Intern Architect | Govandi, Mumbai | Nov 2022 | Apr 2026 | 179 Weeks</t>
  </si>
  <si>
    <t>P26701010</t>
  </si>
  <si>
    <t>AVHAD</t>
  </si>
  <si>
    <t>Jayshree Avhad</t>
  </si>
  <si>
    <t>jaishreeavhad6@gmail.com</t>
  </si>
  <si>
    <t>P26701010@student.nicmar.ac.in</t>
  </si>
  <si>
    <t>READING,TREKKING,BADMINTON,ILLUSTRATION,DIGITAL ART,CYCLING</t>
  </si>
  <si>
    <t>HANSRAJ AVHAD</t>
  </si>
  <si>
    <t>GST DEPARTMENT</t>
  </si>
  <si>
    <t>SANGEETA AVHAD</t>
  </si>
  <si>
    <t>201, AKSHARDIVYA APT, UPNAGAR, NASHIK ROAD NASHIK</t>
  </si>
  <si>
    <t xml:space="preserve">Jayshree Hansraj Avhad </t>
  </si>
  <si>
    <t xml:space="preserve">Kendriya Vidyalaya ISP </t>
  </si>
  <si>
    <t>Savitribai Phule University, Pune</t>
  </si>
  <si>
    <t>Dr. Bhanuben Nanavati College of Architecture, pune</t>
  </si>
  <si>
    <t>AutoCAD, SketchUp, MS project, MS office, Lumion, Escape, Photoshop</t>
  </si>
  <si>
    <t>DSIGNATURE ARCHITECTS | JUNIOR ARCHITECT | PUNE | Jun 2024 | May 2026 | 1 Years, 11 Months, 16 Days | 3</t>
  </si>
  <si>
    <t>VASTU ARCHITECTS | ARCHITECTURAL INTERN | PUNE | Jun 2023 | Oct 2023 | 17 Weeks | Campus Internship</t>
  </si>
  <si>
    <t>P26701011</t>
  </si>
  <si>
    <t>Anushka Parab</t>
  </si>
  <si>
    <t>anushkaparab07@gmail.com</t>
  </si>
  <si>
    <t>P26701011@student.nicmar.ac.in</t>
  </si>
  <si>
    <t>Painting,Music,Badminton</t>
  </si>
  <si>
    <t>3349 1648 8556</t>
  </si>
  <si>
    <t>Bhau Parab</t>
  </si>
  <si>
    <t>Rashmi Parab</t>
  </si>
  <si>
    <t xml:space="preserve">A/101, Sai Regency, Bhoir, Nagar, Mulund East, Mumbai </t>
  </si>
  <si>
    <t>A/101, Sai Regency, Bhoir, Nagar, Mulund East</t>
  </si>
  <si>
    <t xml:space="preserve">IES King George School, Mulund </t>
  </si>
  <si>
    <t>Wamanrao Muranjan Junior College of Science &amp; Commerce</t>
  </si>
  <si>
    <t>Lokmanya Tilak Institute Of Architecture &amp; Design Studies, Navi Mumbai</t>
  </si>
  <si>
    <t>AutoCAD,MS Office,Primavera,Photoshop,Sketchup,Revit,Lumion</t>
  </si>
  <si>
    <t>Interface By Ar. Kunal Barve | Junior Architect | Mulund | Jul 2023 | Nov 2025 | 2 Years, 4 Months, 13 Days | 3.84
SKADA | Junior Architect | Thane | Apr 2026 | Jun 2026 | 0 Years, 2 Months, 29 Days | 4.2</t>
  </si>
  <si>
    <t>Archvision Architects &amp; Interior Designers | Architectural Intern | Thane | Nov 2021 | Apr 2022 | 22 Weeks | Campus Internship</t>
  </si>
  <si>
    <t>Project Management (Using Primavera P6) Live Class, Master of City Planning, IIT Kharagpur</t>
  </si>
  <si>
    <t>P26701012</t>
  </si>
  <si>
    <t>Tanish</t>
  </si>
  <si>
    <t>Rakesh</t>
  </si>
  <si>
    <t>Tanish Rakesh Shinde</t>
  </si>
  <si>
    <t>tshinde313@gmail.com</t>
  </si>
  <si>
    <t>P26701012@student.nicmar.ac.in</t>
  </si>
  <si>
    <t>09-May-2005</t>
  </si>
  <si>
    <t>Gym,Music,Running</t>
  </si>
  <si>
    <t>Rakesh Shinde</t>
  </si>
  <si>
    <t>Jyoti Shinde</t>
  </si>
  <si>
    <t>A/9 Madhur Society, Chicholi Bander Road, Malad West</t>
  </si>
  <si>
    <t>Dr. S. Radhakrishnan International School, Malad West</t>
  </si>
  <si>
    <t>Thakur Polytechnic Mumbai</t>
  </si>
  <si>
    <t>Thakur College of Engineering and Technology Mumbai</t>
  </si>
  <si>
    <t>SHREEJI CONSTRUCTION | Trainee Site Engineer | Orlem, Malad (West) | Nov 2025 | Apr 2026 | 24 Weeks</t>
  </si>
  <si>
    <t>TallyPrime with GST</t>
  </si>
  <si>
    <t>P26701013</t>
  </si>
  <si>
    <t>Pratyush</t>
  </si>
  <si>
    <t>Bhongle</t>
  </si>
  <si>
    <t>Pratyush Rajesh Bhongle</t>
  </si>
  <si>
    <t>pratyushbhongle2@gmail.com</t>
  </si>
  <si>
    <t>P26701013@student.nicmar.ac.in</t>
  </si>
  <si>
    <t>Biking, Track Racing,Football, Reading, Architectural Design</t>
  </si>
  <si>
    <t>Mechanical Engineer</t>
  </si>
  <si>
    <t>Sharwani</t>
  </si>
  <si>
    <t>BCOM Double Graduate</t>
  </si>
  <si>
    <t>1103, Soni Sarovar Tower, Old M.H.B. Colony, Borivali-West, Mumbai-400091</t>
  </si>
  <si>
    <t>Pawar Public School</t>
  </si>
  <si>
    <t xml:space="preserve">ICSE Board/ Delhi </t>
  </si>
  <si>
    <t>St. Rock's Degree College of Commerce and Science</t>
  </si>
  <si>
    <t>Kamla Raheja Vidyanidhi School of Environment and Architecture, Mumbai</t>
  </si>
  <si>
    <t>Autocad,Ms Office,Ms Project,Rhino,Revit,Sketchup,Lumion,Photoshop,Adobe Illustrator, Procreate,Autodesk Forma,Ms Powerpoint,Ms Excel,Mid Journey,D3 Render</t>
  </si>
  <si>
    <t>Kaushik Patel Architects | Trainee Architect/Intern | Kandivali-West Mumbai | Dec 2024 | Apr 2025 | 20 Weeks</t>
  </si>
  <si>
    <t>P26701014</t>
  </si>
  <si>
    <t>Prajapati</t>
  </si>
  <si>
    <t xml:space="preserve">Roshan </t>
  </si>
  <si>
    <t>Lalbihari</t>
  </si>
  <si>
    <t>Prajapati Roshan  Lalbihari</t>
  </si>
  <si>
    <t>roshanprajapatiabc@gmail.com</t>
  </si>
  <si>
    <t>P26701014@student.nicmar.ac.in</t>
  </si>
  <si>
    <t>hindi, English</t>
  </si>
  <si>
    <t>Reading Book, Watching Webseries</t>
  </si>
  <si>
    <t xml:space="preserve">retired </t>
  </si>
  <si>
    <t>Tower 8 Flat no 1506, Sunteck maxxworld, tivri, East, Naigaon East, Naigaon Vasai-Virar, Maharashtra 401208</t>
  </si>
  <si>
    <t>Anudatt Vidyalaya School and Junior College</t>
  </si>
  <si>
    <t>Maharashtra state board of secondary and higher secondary Pune</t>
  </si>
  <si>
    <t>Thakur College of Engineering &amp; Technology, Mumbai</t>
  </si>
  <si>
    <t>Autocad, BIM 360,MS Office,revit</t>
  </si>
  <si>
    <t>Rustomjee | Site Engineer | Bandra West | Feb 2024 | Jun 2026 | 2 Years, 4 Months, 14 Days | 5.5 
Rustomjee | Site Engineer | Bandra West | Feb 2023 | Feb 2024 | 1 Years, 0 Months, 0 Days | 1.8</t>
  </si>
  <si>
    <t>Rustomjee | Site Engineer | Mumbai Bandra west | Nov 2023 | Feb 2024 | 13 Weeks</t>
  </si>
  <si>
    <t>Expert in Building Design</t>
  </si>
  <si>
    <t>P26701015</t>
  </si>
  <si>
    <t>Shantaram</t>
  </si>
  <si>
    <t>Kaustubh Shantaram Khule</t>
  </si>
  <si>
    <t>kaustubhkhule01@gmail.com</t>
  </si>
  <si>
    <t>P26701015@student.nicmar.ac.in</t>
  </si>
  <si>
    <t>26-Jul-2003</t>
  </si>
  <si>
    <t>Travelling ,Reading ,Music</t>
  </si>
  <si>
    <t xml:space="preserve">Aasha </t>
  </si>
  <si>
    <t>Savata Nagar Nehru Chowk</t>
  </si>
  <si>
    <t>Sai shree PG Balewadi Gaon</t>
  </si>
  <si>
    <t>Janata Vidhyala Pawan Nagar</t>
  </si>
  <si>
    <t xml:space="preserve">State Board of Secondary Education </t>
  </si>
  <si>
    <t>K K Wagh Polytechnic Nashik</t>
  </si>
  <si>
    <t>Pimpri Chinchwad College of Engineering and Research Ravet</t>
  </si>
  <si>
    <t>AUTOCAD, MS Project,STAAD PRO,Excel</t>
  </si>
  <si>
    <t>Sgurrenergy Pvt Ltd | Associate Engineer  | Pune | Aug 2024 | Jun 2026 | 1 Years, 9 Months, 15 Days | 5.18</t>
  </si>
  <si>
    <t>Sgurrenergy Pvt Ltd | Trainee Engineer  | Pune | Dec 2023 | Jul 2024 | 32 Weeks
Nashik municipal Coorporation | Trainee | Nashik | Jun 2020 | Jun 2020 | 4 Weeks
GT Associates  | Site Trainee | Pune | Jan 2023 | Feb 2023 | 4 Weeks</t>
  </si>
  <si>
    <t>P26701016</t>
  </si>
  <si>
    <t>Swaraj Rajendra  Patil</t>
  </si>
  <si>
    <t>swrajpatil982@gmail.com</t>
  </si>
  <si>
    <t>P26701016@student.nicmar.ac.in</t>
  </si>
  <si>
    <t xml:space="preserve">Learning and self improvement, Self-Discovery through Reading. Philosophical Inquiry. </t>
  </si>
  <si>
    <t xml:space="preserve">483853629790 </t>
  </si>
  <si>
    <t xml:space="preserve">Government servant </t>
  </si>
  <si>
    <t>Varco city, dhanamgaon road near vadhwani science college, Yavatmal 445001</t>
  </si>
  <si>
    <t xml:space="preserve">Vivekanand vidyalay, Yavatmal </t>
  </si>
  <si>
    <t xml:space="preserve">Secondary and higher secondary education </t>
  </si>
  <si>
    <t xml:space="preserve">Government collage of polytechnic, bramhapuri </t>
  </si>
  <si>
    <t>Savitribai Phule university, Pune</t>
  </si>
  <si>
    <t xml:space="preserve">Sinhagad collage of engineering , Pune, Maharashtra </t>
  </si>
  <si>
    <t>AutoCad, Revit,Sketchup</t>
  </si>
  <si>
    <t>Asian Paints Ltd  | Application engineer.  | Pune | Oct 2025 | May 2026 | 0 Years, 7 Months, 10 Days | 3.68
Urbanroof pvt. Ltd  | Site Engineer  | Pune | Feb 2025 | Oct 2025 | 0 Years, 7 Months, 18 Days | 2.4</t>
  </si>
  <si>
    <t>P26701017</t>
  </si>
  <si>
    <t>Alen</t>
  </si>
  <si>
    <t>Alen Varghese Paul</t>
  </si>
  <si>
    <t>alenvpaul4664@gmail.com</t>
  </si>
  <si>
    <t>P26701017@student.nicmar.ac.in</t>
  </si>
  <si>
    <t>06-Oct-2000</t>
  </si>
  <si>
    <t>Music,Movies,Riding</t>
  </si>
  <si>
    <t>Poulose K V</t>
  </si>
  <si>
    <t>Deepa T I</t>
  </si>
  <si>
    <t>Kulavelil House, Airpuram P.O , Kuttipilly</t>
  </si>
  <si>
    <t>St. George Senior Secondary Public School, Mannoor</t>
  </si>
  <si>
    <t>Central Board of Secondary Education, Kerala</t>
  </si>
  <si>
    <t>Nirmala Public School, Muvattupuzha</t>
  </si>
  <si>
    <t xml:space="preserve"> Viswajyothi College of Engineering and Technology, Kerala</t>
  </si>
  <si>
    <t>MS Office, C++,Python, Java, Autocad</t>
  </si>
  <si>
    <t>Tata Consultancy Services | System Engineer | Kochi | Sep 2023 | Jul 2026 | 2 Years, 10 Months, 15 Days | 3.36
Sapphire Casa Designers and Builders | Site Engineer | Kochi | Aug 2022 | Sep 2023 | 1 Years, 0 Months, 28 Days | 1.2</t>
  </si>
  <si>
    <t>Full Stack Python Django with React
Oracle Cloud Infrastructure 2025 Certified Generative AI Professional 
Oracle Cloud Infrastructure 2025 Certified AI Foundation</t>
  </si>
  <si>
    <t>P26701018</t>
  </si>
  <si>
    <t>Shankar</t>
  </si>
  <si>
    <t>Aditi Shankar Navale</t>
  </si>
  <si>
    <t>P26701018@student.nicmar.ac.in</t>
  </si>
  <si>
    <t>Music,Art,Travel</t>
  </si>
  <si>
    <t>Shankar Navale</t>
  </si>
  <si>
    <t>Bhavana Navale</t>
  </si>
  <si>
    <t>Sr.No.47/5, 'Vatsalya' bungalow, lane no. 7, near new Saibaba temple, Sai Nagari, Chandan Nagar, Pune-411014</t>
  </si>
  <si>
    <t>St. Felix High School</t>
  </si>
  <si>
    <t>Maharashtra Board of Secondary and Higher Secondary Education, Pune</t>
  </si>
  <si>
    <t>St. Mira's College for Girls</t>
  </si>
  <si>
    <t>MKSSS Dr. Bhanuben Nanavati College of Architecture</t>
  </si>
  <si>
    <t>Autocad,Sketchup,Adobe</t>
  </si>
  <si>
    <t>Prashant Deshmukh and Associates | Junior Architect | Pune | Nov 2025 | May 2026 | 0 Years, 6 Months, 3 Days | 2.16</t>
  </si>
  <si>
    <t>P26701019</t>
  </si>
  <si>
    <t>Kolhe</t>
  </si>
  <si>
    <t>Jyoti Rajendra Kolhe</t>
  </si>
  <si>
    <t>jyotikolhe0310@gmail.com</t>
  </si>
  <si>
    <t>P26701019@student.nicmar.ac.in</t>
  </si>
  <si>
    <t>03-Oct-2002</t>
  </si>
  <si>
    <t>English,Hindi,Marathi,German,Kannada</t>
  </si>
  <si>
    <t>Architectural Graphic Design,Photography,Travelling</t>
  </si>
  <si>
    <t>Rajendra Kolhe</t>
  </si>
  <si>
    <t>Business - Daily Essentials store</t>
  </si>
  <si>
    <t>Savita Kolhe</t>
  </si>
  <si>
    <t>Sinhgad Road, Manik Baug, Ganesh Baug, Bldg. No. 1, A wing, Flat No. 24</t>
  </si>
  <si>
    <t>Sinhgad Spring Dale Ambegaon School</t>
  </si>
  <si>
    <t>Central Board of Secondary Education, Pune, Maharashtra</t>
  </si>
  <si>
    <t xml:space="preserve">Marathawada Mitra Mandal's College of Science </t>
  </si>
  <si>
    <t>School of Planning and Architecture, Vijayawada</t>
  </si>
  <si>
    <t>Vijayawada, Andhra Pradesh</t>
  </si>
  <si>
    <t>MS Excell,MS Project,MS office,Primavera P6,Autocad,Revit,IBM SPSS,Adobe Photoshop</t>
  </si>
  <si>
    <t>VISTAAR Architects | Junior Architect | Karvenagar, Pune, Maharashtra | Jun 2025 | Jun 2026 | 0 Years, 11 Months, 25 Days | 2.64</t>
  </si>
  <si>
    <t>Karan Grover and Associates | Intern Architect | Vadodara, Gujarat | May 2023 | Nov 2023 | 26 Weeks
VEDA Architects | Intern Architect | Remote | Aug 2023 | Jun 2025 | 95 Weeks</t>
  </si>
  <si>
    <t>P26701020</t>
  </si>
  <si>
    <t xml:space="preserve">Kulkarni </t>
  </si>
  <si>
    <t xml:space="preserve">Sakshi  Anant  Kulkarni </t>
  </si>
  <si>
    <t>sakshiikulk2002@gmail.com</t>
  </si>
  <si>
    <t>P26701020@student.nicmar.ac.in</t>
  </si>
  <si>
    <t>Reading, Classical music,Photography</t>
  </si>
  <si>
    <t xml:space="preserve">Anant Vishwanath Kulkarni </t>
  </si>
  <si>
    <t xml:space="preserve">Retired Government officer </t>
  </si>
  <si>
    <t xml:space="preserve">Pratiksha Anant Kulkarni </t>
  </si>
  <si>
    <t>Flat no 6, Patil garden building no.8, Charwak chowk, Indira Nagar, Nashik</t>
  </si>
  <si>
    <t>M.R. Sarda Kanya Vidya Mandir, Nashik</t>
  </si>
  <si>
    <t xml:space="preserve">Maharashtra State Board of Secondary and Higher Secondary Education, Pune </t>
  </si>
  <si>
    <t>HPT Arts and RYK science college, Nashik</t>
  </si>
  <si>
    <t xml:space="preserve">Sinhgad college of Architecture, Pune </t>
  </si>
  <si>
    <t>AutoCAD, Sketchup,Vray,Photoshop,MS Office</t>
  </si>
  <si>
    <t xml:space="preserve">Archielecto, Nashik | Junior Architect | Nashik | Jul 2025 | Jun 2026 | 0 Years, 11 Months, 9 Days | 2.35 </t>
  </si>
  <si>
    <t>Environ Planners, Nashik | Architectural Intern | Nashik | Jun 2024 | Oct 2024 | 19 Weeks</t>
  </si>
  <si>
    <t>P26701021</t>
  </si>
  <si>
    <t>Tanzila</t>
  </si>
  <si>
    <t>Tazdin</t>
  </si>
  <si>
    <t>Tanzila Tazdin Kapadia</t>
  </si>
  <si>
    <t>tanzilakapadia3@gmail.com</t>
  </si>
  <si>
    <t>P26701021@student.nicmar.ac.in</t>
  </si>
  <si>
    <t>20-Nov-2003</t>
  </si>
  <si>
    <t>Reading,painting,Sketching</t>
  </si>
  <si>
    <t>Tazdin Kapadia</t>
  </si>
  <si>
    <t>Packaging Employee</t>
  </si>
  <si>
    <t>Shahenaz Kapadia</t>
  </si>
  <si>
    <t>112A, New Baithi Chawl, Mount Road, Hasanabad, Next to DCB Bank, Mazgaon, Mumbai 400010</t>
  </si>
  <si>
    <t>Diamond Jubilee High School</t>
  </si>
  <si>
    <t>Shardashram Vidyamandir Junior College</t>
  </si>
  <si>
    <t>M. H. Saboo Siddik College Of Engineering</t>
  </si>
  <si>
    <t>Larsen And Toubro  | Intern | Mumbai | Jun 2023 | Jul 2023 | 3 Weeks
HCC HDC | Intern | Mumbai | Dec 2023 | Jan 2024 | 3 Weeks
Moontree Solutions LLP | GIS Digitization Excecutive | Remote | Jul 2025 | Oct 2025 | 15 Weeks</t>
  </si>
  <si>
    <t>P26701022</t>
  </si>
  <si>
    <t>PRANTIKA</t>
  </si>
  <si>
    <t>Prantika Sahu</t>
  </si>
  <si>
    <t>prantika.sahu@gmail.com</t>
  </si>
  <si>
    <t>P26701022@student.nicmar.ac.in</t>
  </si>
  <si>
    <t>DANCING,MODELLING</t>
  </si>
  <si>
    <t>PARTHA PRATIM SAHU</t>
  </si>
  <si>
    <t>DALIA SAHU</t>
  </si>
  <si>
    <t>DANCE TEACHER</t>
  </si>
  <si>
    <t>PATNA BAZAR, DAKSHIN PARA,OPPOSITE OF RABI DOCTOR'S CHAMBER,PASCHIM MIDNAPORE,WEST BENGAL,721101</t>
  </si>
  <si>
    <t>DAV PUBLIC SCHOOL, MIDNAPORE</t>
  </si>
  <si>
    <t>BIJJU PATNAIK UNIVERSITY OF TECHNOLOGY,ODISHA</t>
  </si>
  <si>
    <t>PILOO MODI COLLEGE OF ARCHITECTURE, ODISHA</t>
  </si>
  <si>
    <t>AUTOCAD,SKETCHUP,LUMION,POWER POINT PRESENTATION,MS OFFICE,MS PROJECT,SPSS,Adobe Photoshop</t>
  </si>
  <si>
    <t>EASTSIDE OFFICE PVT.LTD | JUNIOR ARCHITECT | KOLKATA | Jul 2025 | Apr 2026 | 0 Years, 9 Months, 18 Days | 2.64</t>
  </si>
  <si>
    <t>AGRAWAL &amp; AGRAWAL ARCHITECTS | INTERN  | KOLKATA | Jun 2024 | Nov 2024 | 23 Weeks</t>
  </si>
  <si>
    <t>P26701023</t>
  </si>
  <si>
    <t>Gollar</t>
  </si>
  <si>
    <t>Akshay Ashok Gollar</t>
  </si>
  <si>
    <t>akshaygollar2001@gmail.com</t>
  </si>
  <si>
    <t>P26701023@student.nicmar.ac.in</t>
  </si>
  <si>
    <t>Painting, Dancing,music ,playing badminton</t>
  </si>
  <si>
    <t>Ashok Gollar</t>
  </si>
  <si>
    <t>Sangeeta Gollar</t>
  </si>
  <si>
    <t>6/604 Parel Sahyadri Chs Bldg No2, Saitej ,Gandhi Nagar, Near Sai Service, D.S Road, worli, mumbai</t>
  </si>
  <si>
    <t>Sacred Heart High School,Mumbai</t>
  </si>
  <si>
    <t>Government Polytechnic, Mumbai</t>
  </si>
  <si>
    <t>M.H. Saboo Siddik College of Engineering,Mumbai</t>
  </si>
  <si>
    <t>AutoCad, Etabs,Bluebeam Revu,SAFE,Revit architecture,Revit structure, Staad pro</t>
  </si>
  <si>
    <t>KPM Design Services  Pvt. Ltd. | Junior Structural Design Engineer | Mumbai,sakinaka | Jul 2023 | Jun 2026 | 2 Years, 11 Months, 16 Days | 5.2</t>
  </si>
  <si>
    <t>CADD Centre – Certificate Course in AutoCAD, Revit Architecture, Revit Structure, STAAD.Pro, ETABS &amp; BEC</t>
  </si>
  <si>
    <t>P26701024</t>
  </si>
  <si>
    <t>Saurabh Sandip Kshirsagar</t>
  </si>
  <si>
    <t>saurabhkshirsagar992000@gmail.com</t>
  </si>
  <si>
    <t>P26701024@student.nicmar.ac.in</t>
  </si>
  <si>
    <t>09-Sep-2000</t>
  </si>
  <si>
    <t>Car &amp; Bike Driving,Travelling,Cricket,Music</t>
  </si>
  <si>
    <t>Kavita</t>
  </si>
  <si>
    <t>Nehru Maidan, Pimpalgaon Hareshwar, Taluka- Pachora, District- Jalgaon</t>
  </si>
  <si>
    <t>Gram Vikas Vidyalaya, Pimpalgaon (Hareshwar)</t>
  </si>
  <si>
    <t>Gram Vikas mandal's Junior College Pimpalgaon (Hareshwar)</t>
  </si>
  <si>
    <t>Dr. D. Y. Patil Institute of Technology, Pimpri, Pune, Maharashtra-411018</t>
  </si>
  <si>
    <t>AutoCad,MS Office</t>
  </si>
  <si>
    <t>Larsen and Toubro Construction Limited | Senior Engineer (Civil) | Jamnagar | Oct 2022 | May 2026 | 3 Years, 7 Months, 20 Days | 8.5</t>
  </si>
  <si>
    <t>P26701025</t>
  </si>
  <si>
    <t>Shivangi</t>
  </si>
  <si>
    <t>Kapoor</t>
  </si>
  <si>
    <t>Shivangi Kapoor</t>
  </si>
  <si>
    <t>kapoorshivangi2412@gmail.com</t>
  </si>
  <si>
    <t>P26701025@student.nicmar.ac.in</t>
  </si>
  <si>
    <t>24-Dec-2000</t>
  </si>
  <si>
    <t>Dance,volunteering,organizing events</t>
  </si>
  <si>
    <t>Mr. Rajinder Kapoor</t>
  </si>
  <si>
    <t>Retired from Govt. Service</t>
  </si>
  <si>
    <t>Mrs. Suman Kapoor</t>
  </si>
  <si>
    <t>1594, Sector 7 Rd
Sector 7</t>
  </si>
  <si>
    <t>St. Theresa's Convent School</t>
  </si>
  <si>
    <t>CBSE Karnal, Haryana</t>
  </si>
  <si>
    <t>Deenbandhu Chhotu Ram University of Science and Technology</t>
  </si>
  <si>
    <t>Gateway College of Architecture and Design, Sonipat</t>
  </si>
  <si>
    <t>Autocad,Photoshop,Microsoft Powerpoint,MS Word,Excel</t>
  </si>
  <si>
    <t xml:space="preserve">SWBI Architects Pvt. Ltd.  | Architect | Gurugram | Aug 2023 | Jun 2026 | 2 Years, 9 Months, 22 Days | 6 </t>
  </si>
  <si>
    <t>SWBI Architects Pvt. Ltd. | Intern | Gurugram | Jan 2022 | Jun 2022 | 24 Weeks</t>
  </si>
  <si>
    <t>P26701026</t>
  </si>
  <si>
    <t>Bangude</t>
  </si>
  <si>
    <t>Atharva Kailas Bangude</t>
  </si>
  <si>
    <t>atharvabangude.work@gmail.com</t>
  </si>
  <si>
    <t>P26701026@student.nicmar.ac.in</t>
  </si>
  <si>
    <t>Playing Video Games,Cricket</t>
  </si>
  <si>
    <t>Kailas Bangude</t>
  </si>
  <si>
    <t>Working Professional</t>
  </si>
  <si>
    <t>Rupali Bangude</t>
  </si>
  <si>
    <t>Flat No 405, Parineeta Society, Lane No 5B, Right Bhusari Colony, Kothrud, Pune</t>
  </si>
  <si>
    <t>P Jog High School</t>
  </si>
  <si>
    <t>SCC, Pune/Maharashtra</t>
  </si>
  <si>
    <t>Eklavya Shikshan Sanstha, Pune/Maharashtra</t>
  </si>
  <si>
    <t>Savitri Bai Phule University Pune</t>
  </si>
  <si>
    <t>Sinhgad Collage of Engineering</t>
  </si>
  <si>
    <t>Autocad,Revit,Naviswork,MS Projects,MS Office,Etabs,StaddPro,Advanced Excel</t>
  </si>
  <si>
    <t>Merlin Bhingarwala Developers LLP | Junior Engineer | Baner, Pune | Jan 2025 | Jun 2026 | 1 Years, 5 Months, 8 Days | 2.64</t>
  </si>
  <si>
    <t>Samishthi Techno Services | Trainee | Kothrud, Pune | Aug 2021 | Sep 2021 | 5 Weeks</t>
  </si>
  <si>
    <t>Structural Design 
Complete BIM Engineering [ ARCH, STRU ]</t>
  </si>
  <si>
    <t>P26701027</t>
  </si>
  <si>
    <t>Afifa</t>
  </si>
  <si>
    <t>Qudsia</t>
  </si>
  <si>
    <t>Afifa Qudsia</t>
  </si>
  <si>
    <t>afifaqudsia@gmail.com</t>
  </si>
  <si>
    <t>P26701027@student.nicmar.ac.in</t>
  </si>
  <si>
    <t>English, Hindi,Kashmiri,Urdu</t>
  </si>
  <si>
    <t>Writing,Reading,Music,Trekking</t>
  </si>
  <si>
    <t>Ajaz Ahmad Khan</t>
  </si>
  <si>
    <t>Retired Physical Director</t>
  </si>
  <si>
    <t>Mehfooza Zargar</t>
  </si>
  <si>
    <t>Retired High School Master</t>
  </si>
  <si>
    <t>105, Sabah Lane, Bota Shah Mohallah, Lal Bazar</t>
  </si>
  <si>
    <t>1104, Millennium Girls Hostel, NICMAR University, Balewadi, Pune</t>
  </si>
  <si>
    <t>Presentation Convent Higher Secondary School, Rajbagh, Srinagar, Jammu and Kashmir</t>
  </si>
  <si>
    <t>Jammu and Kashmir State Board of School Education (JKBOSE)</t>
  </si>
  <si>
    <t>Islamic University of Science and Technology</t>
  </si>
  <si>
    <t>Awantipora, Pulwama, Jammu and Kashmir</t>
  </si>
  <si>
    <t>Indian Institute of Science, Bangalore | Research Intern | Bangalore, Karnataka | Jan 2024 | Feb 2024 | 4 Weeks | Campus Internship
National Institute of Technical Teachers’ Training and Research (NITTTR), Bhopal | Intern | Bhopal, Madhya Pradesh | Jun 2025 | Jun 2025 | 2 Weeks | Campus Internship
Green Crescent Health Services | Intern | Dhaka, Bangladesh | Dec 2025 | Jan 2026 | 2 Weeks | Campus Internship</t>
  </si>
  <si>
    <t>P26701028</t>
  </si>
  <si>
    <t>Hashem</t>
  </si>
  <si>
    <t xml:space="preserve">Zaheer </t>
  </si>
  <si>
    <t>Hashem Zaheer  Sawant</t>
  </si>
  <si>
    <t>hashemsawant@gmail.com</t>
  </si>
  <si>
    <t>P26701028@student.nicmar.ac.in</t>
  </si>
  <si>
    <t>English,Hindi,Urdu,Marathi</t>
  </si>
  <si>
    <t>Sports,Music,Reading</t>
  </si>
  <si>
    <t>Zaheer Abdulrehman Sawant</t>
  </si>
  <si>
    <t>Mechanical Draughtsman</t>
  </si>
  <si>
    <t>Nafisa Zaheer Sawant</t>
  </si>
  <si>
    <t>At-Post Rajewadi, Taluka-Mahad, Dist-Raigad 402309</t>
  </si>
  <si>
    <t>Samarth Ramdas Vidyalaya, Mahad</t>
  </si>
  <si>
    <t>Maharashtra State Board Of Secondary and Higher Secondary Education</t>
  </si>
  <si>
    <t>St.Xavier's Junior College, Shirgaon</t>
  </si>
  <si>
    <t>Anjuman-I-Islams Kalsekar Technical Campus, Panvel</t>
  </si>
  <si>
    <t>MS Office,Autocad,Revit,Primavera,MS Project</t>
  </si>
  <si>
    <t>MS Architectural solutions | Autocad Designer and Estimator | Mumbai | Jul 2024 | Jun 2025 | 0 Years, 11 Months, 15 Days | 2.16</t>
  </si>
  <si>
    <t>Autodesk Autocad
Autodesk Revit
Oracle Primavera</t>
  </si>
  <si>
    <t>P26701029</t>
  </si>
  <si>
    <t>P26701029@student.nicmar.ac.in</t>
  </si>
  <si>
    <t>BuildBig Infracorp Pvt. Ltd | Jr. Architect | Pune | Sep 2024 | Sep 2025 | 1 Years, 0 Months, 15 Days | 1.92</t>
  </si>
  <si>
    <t>P26701030</t>
  </si>
  <si>
    <t xml:space="preserve">Kshiti </t>
  </si>
  <si>
    <t xml:space="preserve">Khot </t>
  </si>
  <si>
    <t xml:space="preserve">Kshiti  Vijay Khot </t>
  </si>
  <si>
    <t>kshitikhot27@gmail.com</t>
  </si>
  <si>
    <t>P26701030@student.nicmar.ac.in</t>
  </si>
  <si>
    <t>Trekking,Table Tennis,Painting</t>
  </si>
  <si>
    <t>Vijay P. Khot</t>
  </si>
  <si>
    <t>Shubhada Vijay Khot</t>
  </si>
  <si>
    <t>D/203,Dahisar Shivangan, Rawalpada, Dahisar(E)</t>
  </si>
  <si>
    <t>Vpm's Vidyamandir Dahisar</t>
  </si>
  <si>
    <t>Mumbai, Maharashtra</t>
  </si>
  <si>
    <t>Sathaye College, Villeparle, Mumbai</t>
  </si>
  <si>
    <t>Rachana Sansad's Academy of Architecture, Prabhadevi, Mumbai, Maharashtra</t>
  </si>
  <si>
    <t>Autocad,Ms Office,Revit,Ms project,Rhino 3d,Sketchup,Adobe Photoshop,Illustrator,Lumion</t>
  </si>
  <si>
    <t>PGAG Architects | Junior Architect | Mumbai | Jul 2025 | Jun 2026 | 0 Years, 10 Months, 6 Days | 2.4</t>
  </si>
  <si>
    <t>PGAG Architects | Intern | Mumbai | Dec 2023 | May 2024 | 25 Weeks</t>
  </si>
  <si>
    <t>Sustainable design processes with focus on cooling web, Centre for Science and Environment, New Delhi</t>
  </si>
  <si>
    <t>P26701031</t>
  </si>
  <si>
    <t>Ishitaa</t>
  </si>
  <si>
    <t>Narsikar</t>
  </si>
  <si>
    <t>Ishitaa Sachin Narsikar</t>
  </si>
  <si>
    <t>narsikar.ishita@gmail.com</t>
  </si>
  <si>
    <t>P26701031@student.nicmar.ac.in</t>
  </si>
  <si>
    <t>08-Sep-2003</t>
  </si>
  <si>
    <t>Watching movies, Dancing,Listening to music</t>
  </si>
  <si>
    <t>Sachin Narsikar</t>
  </si>
  <si>
    <t>Utpal Narsikar</t>
  </si>
  <si>
    <t>Self employeed</t>
  </si>
  <si>
    <t>36, Flat No. 201, Saptagiri Apt., Sena Nagar</t>
  </si>
  <si>
    <t>Chh. Sambhajinagar(Aurangabad), Maharashtra</t>
  </si>
  <si>
    <t>CEPT University</t>
  </si>
  <si>
    <t>Ahmedabad, Gujarat</t>
  </si>
  <si>
    <t>Bachelor of Interior Design</t>
  </si>
  <si>
    <t>AutoCAD,Sketchup,Enscape,Lumion</t>
  </si>
  <si>
    <t>Workshop Inc. | Intern | Ahemdabad | Jan 2025 | Jul 2025 | 26 Weeks</t>
  </si>
  <si>
    <t>P26701032</t>
  </si>
  <si>
    <t>Disha C R</t>
  </si>
  <si>
    <t>ar.disharavi@gmail.com</t>
  </si>
  <si>
    <t>P26701032@student.nicmar.ac.in</t>
  </si>
  <si>
    <t>09-May-2002</t>
  </si>
  <si>
    <t xml:space="preserve">English, Hindi, Kannada </t>
  </si>
  <si>
    <t xml:space="preserve">Reading,Instrumental music ,Badminton </t>
  </si>
  <si>
    <t xml:space="preserve">C B Ravi </t>
  </si>
  <si>
    <t>Proprietor of Networking Analysis Company</t>
  </si>
  <si>
    <t xml:space="preserve">S M Jyothi </t>
  </si>
  <si>
    <t>Organic Agriculturist</t>
  </si>
  <si>
    <t xml:space="preserve">1042, 5th stage, 2nd phase, 3rd cross, BEML layout, Rajarajeshwari Nagar </t>
  </si>
  <si>
    <t xml:space="preserve">Swargarani School </t>
  </si>
  <si>
    <t xml:space="preserve">CISCE, Karnataka </t>
  </si>
  <si>
    <t xml:space="preserve">Excellent PU College </t>
  </si>
  <si>
    <t xml:space="preserve">Karnataka State Board, Karnataka </t>
  </si>
  <si>
    <t xml:space="preserve">Visvesvaraya Technological University </t>
  </si>
  <si>
    <t xml:space="preserve">Mysore Karnataka </t>
  </si>
  <si>
    <t>AutoCAD, sketchup, BIM 360, MS office, Lumion, D5 Render, Adobe Photoshop, Adobe Illustrator, 3Ds Max, Enscape</t>
  </si>
  <si>
    <t>Life Inside Architects  | Jr Architect  | Bangalore  | May 2025 | May 2026 | 1 Years, 0 Months, 0 Days | 1</t>
  </si>
  <si>
    <t>P26701033</t>
  </si>
  <si>
    <t>Vibhuti</t>
  </si>
  <si>
    <t>Vibhuti Vinayak Deshmukh</t>
  </si>
  <si>
    <t>deshmukh.vibhuti30@gmail.com</t>
  </si>
  <si>
    <t>P26701033@student.nicmar.ac.in</t>
  </si>
  <si>
    <t>Travelling,Dancing</t>
  </si>
  <si>
    <t>6300 1533 5806</t>
  </si>
  <si>
    <t>Vinayak Deshmukh</t>
  </si>
  <si>
    <t>Maya Deshmukh</t>
  </si>
  <si>
    <t>Lords apartment, Flat no. 9, Shriram Society, Warje, Pune</t>
  </si>
  <si>
    <t>Abhinava Vidyalaya High School</t>
  </si>
  <si>
    <t>Kalmadi Shamrao Junior College</t>
  </si>
  <si>
    <t>Dr. Bhanuben Nanavati College of Architecture Pune</t>
  </si>
  <si>
    <t>Autocad, Sketchup,Photoshop,Archicad</t>
  </si>
  <si>
    <t>5th Column | Architectural Intern | Vadodara, Gujarat | Jun 2025 | Oct 2025 | 19 Weeks</t>
  </si>
  <si>
    <t>P26701034</t>
  </si>
  <si>
    <t>Baheti</t>
  </si>
  <si>
    <t>Ayush Rahul Baheti</t>
  </si>
  <si>
    <t>ayushrbaheti9@gmail.com</t>
  </si>
  <si>
    <t>P26701034@student.nicmar.ac.in</t>
  </si>
  <si>
    <t>Football and F1</t>
  </si>
  <si>
    <t>Pitruchaya Building, Nehru Chowk, Jalgaon.</t>
  </si>
  <si>
    <t>St. Teresa's Convent English Medium High School, Jalgaon.</t>
  </si>
  <si>
    <t>SSC Nashik</t>
  </si>
  <si>
    <t>Adv. S. A. Baheti Jr. College, Jalgaon.</t>
  </si>
  <si>
    <t>HSC Nashik</t>
  </si>
  <si>
    <t>Kamla Raheja Vidyanidhi Institute for Architecture and Environmental Studies, Mumbai.</t>
  </si>
  <si>
    <t>AutoCAD, MS Office, SketchUp, Lumion, Enscape,Adobe Suite,Rhino</t>
  </si>
  <si>
    <t>U B Architects | Jr. Architect | Mumbai | Jul 2025 | Jul 2026 | 1 Years, 0 Months, 0 Days | 3.12</t>
  </si>
  <si>
    <t>Sunil Patil Associates Pvt. Ltd. | Intern | Pune | Nov 2023 | May 2024 | 23 Weeks</t>
  </si>
  <si>
    <t>P26701035</t>
  </si>
  <si>
    <t>Girish Kumar</t>
  </si>
  <si>
    <t>girish080604@gmail.com</t>
  </si>
  <si>
    <t>P26701035@student.nicmar.ac.in</t>
  </si>
  <si>
    <t>05-Jun-2004</t>
  </si>
  <si>
    <t>Reading,Music,Swimming</t>
  </si>
  <si>
    <t>Vinod Kumar</t>
  </si>
  <si>
    <t>Poonam Devi</t>
  </si>
  <si>
    <t>H.no.-45a
Sector-3(II)</t>
  </si>
  <si>
    <t>Rewari</t>
  </si>
  <si>
    <t>The Sagar School</t>
  </si>
  <si>
    <t>CBSE- Alwar, Rajasthan</t>
  </si>
  <si>
    <t>Amity University UttarPradesh</t>
  </si>
  <si>
    <t>Amity University Uttar Pradesh- Noida, Uttar Pradesh</t>
  </si>
  <si>
    <t>Sarvodya Infracon Pvt. Ltd. | Civil Engineering Intern – Highway Construction &amp; Site Supervision | Rewari | May 2025 | Jul 2025 | 7 Weeks</t>
  </si>
  <si>
    <t>Autodesk AutoCAD
NPTEL- Introduction to Civil Engineering Profession
NPTEL- Municipal Solid Waste Management</t>
  </si>
  <si>
    <t>P26701036</t>
  </si>
  <si>
    <t xml:space="preserve">HARIHARASUDHAN </t>
  </si>
  <si>
    <t>Hariharasudhan  G</t>
  </si>
  <si>
    <t>hariharasudhanganapathi@gmail.com</t>
  </si>
  <si>
    <t>P26701036@student.nicmar.ac.in</t>
  </si>
  <si>
    <t>30-Dec-2001</t>
  </si>
  <si>
    <t>playing,walking,sports , cycling,Reading ,Dance</t>
  </si>
  <si>
    <t xml:space="preserve">GANAPATHI N </t>
  </si>
  <si>
    <t>GOVERMENT SECTOR</t>
  </si>
  <si>
    <t xml:space="preserve">MEENAKSHI G </t>
  </si>
  <si>
    <t>6/8 bharani st, senthamil nagar,
Sivagangai.</t>
  </si>
  <si>
    <t>Vetri Vikaas (B) Higher Secondary School</t>
  </si>
  <si>
    <t>NAMAKKAL/TAMIL NADU</t>
  </si>
  <si>
    <t>Oxford Matriculation Higher Secondary School</t>
  </si>
  <si>
    <t>SIVAGANGAI/TAMIL NADU</t>
  </si>
  <si>
    <t>Mohamed Sathak A.J. Academy of Architecture</t>
  </si>
  <si>
    <t>CHENNAI/TAMIL NADU</t>
  </si>
  <si>
    <t>autocad,sketchup,lumion,d5,enscape,revit,excel,ms project</t>
  </si>
  <si>
    <t xml:space="preserve">REFLECTION MATTERS | Jr. Architect | chennai | Sep 2024 | Dec 2025 | 1 Years, 3 Months, 10 Days | 2.88 </t>
  </si>
  <si>
    <t>FLORA ARCADE CONSULTANCY | INTERN ARCHITECT | BENGALURU | Jul 2023 | Nov 2023 | 18 Weeks</t>
  </si>
  <si>
    <t>P26701037</t>
  </si>
  <si>
    <t>Diwakar</t>
  </si>
  <si>
    <t>Rutuja Laxmikant Diwakar</t>
  </si>
  <si>
    <t>rutudiwakar17@gmail.com</t>
  </si>
  <si>
    <t>P26701037@student.nicmar.ac.in</t>
  </si>
  <si>
    <t>Music,Sketching and Doodling</t>
  </si>
  <si>
    <t>Laxmikant Diwakar</t>
  </si>
  <si>
    <t>Sangita Diwakar</t>
  </si>
  <si>
    <t xml:space="preserve">Malhar Niwas, Samarth Nagar, Dharashiv </t>
  </si>
  <si>
    <t xml:space="preserve">Flat No. 201, Royal Orchid, Mohan Nagar, Baner </t>
  </si>
  <si>
    <t>Shri Shri Ravishankar Vidya Mandir, Dharashiv</t>
  </si>
  <si>
    <t xml:space="preserve">Shripatrao Bhosale Sec. &amp; Higher Sec. School ,Dharashiv </t>
  </si>
  <si>
    <t xml:space="preserve">Savitribai Phule Pune University  </t>
  </si>
  <si>
    <t>Bharati Vidyapeeth Mahila Abhiyantriki Mahavidyalay ,Dhankawadi,Pune</t>
  </si>
  <si>
    <t>Electronics &amp; Telecommunication Engineering</t>
  </si>
  <si>
    <t>Excel ,Tableu,MS Project</t>
  </si>
  <si>
    <t>AASHAY MEASUREMENTS PVT. LTD. | INTERNSHIP TRAINEE | PUNE,MAHARASHTRA | Dec 2023 | Feb 2024 | 8 Weeks</t>
  </si>
  <si>
    <t>P26701038</t>
  </si>
  <si>
    <t>Joshua</t>
  </si>
  <si>
    <t>Sunny</t>
  </si>
  <si>
    <t>Joshua George Sunny</t>
  </si>
  <si>
    <t>joshua.george.sunny098@gmail.com</t>
  </si>
  <si>
    <t>P26701038@student.nicmar.ac.in</t>
  </si>
  <si>
    <t>Reading,Sports,Current Affairs</t>
  </si>
  <si>
    <t>Sunny George</t>
  </si>
  <si>
    <t>Babily Mary Sunny</t>
  </si>
  <si>
    <t>Thannickal House,Vadavathoor PO,Kottayam-686010</t>
  </si>
  <si>
    <t>ST JUDES GLOBAL SCHOOL</t>
  </si>
  <si>
    <t>SFS PUBLIC SCHOOL</t>
  </si>
  <si>
    <t xml:space="preserve"> COLLEGE OF ENGINEERING TRIVANDRUM</t>
  </si>
  <si>
    <t>MS Office,AutoCAD</t>
  </si>
  <si>
    <t>VELLAPALLY CONSTRUCTIONS | SITE ENGINEER | PALA | Jun 2025 | Jun 2025 | 1 Weeks</t>
  </si>
  <si>
    <t>P26701039</t>
  </si>
  <si>
    <t>Prathamesh</t>
  </si>
  <si>
    <t>Prathamesh Mohan Jagtap</t>
  </si>
  <si>
    <t>prathamesh4611@gmail.com</t>
  </si>
  <si>
    <t>P26701039@student.nicmar.ac.in</t>
  </si>
  <si>
    <t>12-May-2001</t>
  </si>
  <si>
    <t>Travelling &amp; Exploring New Places,Reading,Swimming,Exploring Architecture,Internet Surfing</t>
  </si>
  <si>
    <t>5135 1574 3365</t>
  </si>
  <si>
    <t xml:space="preserve">G1 Avdhut residency Amersinh col near water tank Malegaon (Bk), </t>
  </si>
  <si>
    <t>Shivnagar Vidya Prasarak Mandal's English Medium School</t>
  </si>
  <si>
    <t>The Maharashtra State Board of Secondary and Higher Secondary Education, Pune</t>
  </si>
  <si>
    <t>Chaitanya's International School</t>
  </si>
  <si>
    <t>Sinhgad College of Architecture</t>
  </si>
  <si>
    <t>Microsoft Project,Primavera P6,Microsoft Excel,Microsoft Office,AutoCAD,Revit,Navisworks,SketchUp,D5 Render,Lumion,Adobe Photoshop,Enscape</t>
  </si>
  <si>
    <t>Adjs innovations Pvt Ltd. | Junior Architect | Pune | Feb 2025 | Apr 2026 | 1 Years, 2 Months, 1 Days | 2.26</t>
  </si>
  <si>
    <t>Hiren A. Gandhi &amp; Associates | Architecture Intern | Ahmedabad | Jun 2023 | Nov 2023 | 20 Weeks | Campus Internship
Adjs innovations Pvt Ltd. | Internship, Architect | Pune | Nov 2024 | Feb 2025 | 14 Weeks</t>
  </si>
  <si>
    <t>7 months tranning BIM Revit professional course for Architects Novatr 
Revit BIM &amp; Revit Professional course for Architects
Naviswork Manage BIM &amp; Revit Professional course for Architects</t>
  </si>
  <si>
    <t>P26701040</t>
  </si>
  <si>
    <t>Tak</t>
  </si>
  <si>
    <t>Milind Tak</t>
  </si>
  <si>
    <t>milindtak@gmail.com</t>
  </si>
  <si>
    <t>P26701040@student.nicmar.ac.in</t>
  </si>
  <si>
    <t xml:space="preserve">Photography,Cinematography, Music mixing, Basketball,Singing </t>
  </si>
  <si>
    <t>Manmohan Tak</t>
  </si>
  <si>
    <t>Durgesh Tak</t>
  </si>
  <si>
    <t xml:space="preserve">Housemaker </t>
  </si>
  <si>
    <t>BPTP Princess Park, B-801, Near Sai dham mandir, Greater Faridabad, Haryana</t>
  </si>
  <si>
    <t>Aravali International School</t>
  </si>
  <si>
    <t>Faridabad, Haryana</t>
  </si>
  <si>
    <t>Scholar's Pride</t>
  </si>
  <si>
    <t>Swami Keshvanand Institute of Technology, Management &amp; Gramothan</t>
  </si>
  <si>
    <t>AutoCAD, STADD PRO,MS office</t>
  </si>
  <si>
    <t>BRPLK.co | Site Engineer | Jaipur, Rajasthan | Oct 2021 | Apr 2022 | 0 Years, 6 Months, 29 Days | 1.5
Akshat Apartments Pvt Ltd | Quallity control/ Junior Project Engineer | Jaipur, Rajasthan | May 2022 | Jun 2024 | 2 Years, 1 Months, 0 Days | 3
Nspira Management Services | Civil Engineer | Jaipur, Rajasthan | Jun 2024 | Dec 2024 | 0 Years, 6 Months, 0 Days | 4
IIHMR UNIVERSITY | Junior Engineer | Jaipur, Rajasthan | Dec 2024 | Sep 2025 | 0 Years, 9 Months, 0 Days | 6</t>
  </si>
  <si>
    <t>STAAD Pro Training - Certificate of Completion
DUCAT - Autocad Completion
Coursera - Initiating and Planning Projects
Coursera Renewable Energy and Green Building
Coursera - Speak English Professionally In Person, Online &amp;
Coursera- Excel for business</t>
  </si>
  <si>
    <t>P26701041</t>
  </si>
  <si>
    <t xml:space="preserve">Rumen </t>
  </si>
  <si>
    <t xml:space="preserve">Pongener </t>
  </si>
  <si>
    <t xml:space="preserve">Rumen  Pongener </t>
  </si>
  <si>
    <t>P26701041@student.nicmar.ac.in</t>
  </si>
  <si>
    <t>Architecture &amp; design, photography/videography, travelling, playing guitar, singing, fitness/boxing, and exploring music.</t>
  </si>
  <si>
    <t xml:space="preserve">Late. Waluniba Pongener </t>
  </si>
  <si>
    <t xml:space="preserve">Not applicable (deceased) </t>
  </si>
  <si>
    <t>Dr. Watimongla Jamir</t>
  </si>
  <si>
    <t xml:space="preserve">Retired government officer </t>
  </si>
  <si>
    <t xml:space="preserve">H/no. 73, Ward-8, near Police Station, Medziphema Town. </t>
  </si>
  <si>
    <t>Chumukedima</t>
  </si>
  <si>
    <t>Nagaland</t>
  </si>
  <si>
    <t>Livingstone Foundation Higher Secondary School</t>
  </si>
  <si>
    <t>CBSE – Pune, Maharashtra</t>
  </si>
  <si>
    <t>Symbiosis Skills and Professional University, Pune</t>
  </si>
  <si>
    <t>Symbiosis Skills and Professional University, Pune, Maharashtra</t>
  </si>
  <si>
    <t>autocadRevit, SketchUp, D5 Render, BIM,  architectural visualization,msoffice,msproject</t>
  </si>
  <si>
    <t>Design Motiff  | Junior Architect  | Pune, Maharashtra  | Jan 2025 | Jun 2025 | 25 Weeks | Campus Internship
Kapunu Homes  | Design Consultant | Dimapur, Nagaland | May 2024 | Jul 2024 | 8 Weeks | Campus Internship
Eastern Enterprises  | Site Operations  | Dimapur, Nagaland  | Jun 2023 | Jul 2023 | 8 Weeks | Campus Internship
Aiers Construction | Architectural Trainee – Vernacular Construction | Medziphema, Nagaland | Jul 2022 | Aug 2022 | 4 Weeks | Campus Internship</t>
  </si>
  <si>
    <t>P26701042</t>
  </si>
  <si>
    <t>Kusumita</t>
  </si>
  <si>
    <t>Kusumita Sandip Bhosale</t>
  </si>
  <si>
    <t>kusumitabhosale05@gmail.com</t>
  </si>
  <si>
    <t>P26701042@student.nicmar.ac.in</t>
  </si>
  <si>
    <t xml:space="preserve">Hindi, English , marathi </t>
  </si>
  <si>
    <t xml:space="preserve">Cooking, painting, baking </t>
  </si>
  <si>
    <t xml:space="preserve">Sandip Bhosale </t>
  </si>
  <si>
    <t>Private Sector Employee</t>
  </si>
  <si>
    <t xml:space="preserve">Vaishali Bhosale </t>
  </si>
  <si>
    <t xml:space="preserve">C-3, Gobs Avenue, jyotinagar, New SBH colony </t>
  </si>
  <si>
    <t xml:space="preserve">Podar International School, ICSE </t>
  </si>
  <si>
    <t xml:space="preserve">ICSE , Aurangabad, Maharashtra </t>
  </si>
  <si>
    <t xml:space="preserve"> State Board of Secondary and Higher Secondary Education, Aurangabad </t>
  </si>
  <si>
    <t xml:space="preserve">Savitribai Phule Pune university </t>
  </si>
  <si>
    <t xml:space="preserve">SMEF's Brick School Of Architecture, Pune </t>
  </si>
  <si>
    <t>P26701043</t>
  </si>
  <si>
    <t>Aarushi</t>
  </si>
  <si>
    <t>Askhedkar</t>
  </si>
  <si>
    <t>Aarushi Rajesh Askhedkar</t>
  </si>
  <si>
    <t>aarushi.askhedkar@gmail.com</t>
  </si>
  <si>
    <t>P26701043@student.nicmar.ac.in</t>
  </si>
  <si>
    <t xml:space="preserve">Music, Drama, Dance </t>
  </si>
  <si>
    <t>Rajesh Askhedkar</t>
  </si>
  <si>
    <t>Anjali Askhedkar</t>
  </si>
  <si>
    <t>304, Silver Oak Apts., S.No. 96, Right Bhusari Colony, Kothrud, Pune</t>
  </si>
  <si>
    <t>New India School</t>
  </si>
  <si>
    <t>SSC - Pune, Maharashtra</t>
  </si>
  <si>
    <t>Late P. B Jog Junior College</t>
  </si>
  <si>
    <t>HSC - Pune, Maharashtra</t>
  </si>
  <si>
    <t>Dr. Bhanuben Nanavati College of Architecture, Pune, Maharashtra</t>
  </si>
  <si>
    <t>AutoCAD, Sketcup,Revit,MS Office</t>
  </si>
  <si>
    <t>Avesana Associates | Architectural Intern | Pune | Jun 2025 | Nov 2025 | 23 Weeks</t>
  </si>
  <si>
    <t>P26701044</t>
  </si>
  <si>
    <t>Igave</t>
  </si>
  <si>
    <t>Pratham Nitin Igave</t>
  </si>
  <si>
    <t>prathamigave@gmail.com</t>
  </si>
  <si>
    <t>P26701044@student.nicmar.ac.in</t>
  </si>
  <si>
    <t>Dancing,trekking,swimming</t>
  </si>
  <si>
    <t>Padma</t>
  </si>
  <si>
    <t>At.post.khatav.Tal.khatav.dis.satara</t>
  </si>
  <si>
    <t>Laxmi Narayan English School, Khatav</t>
  </si>
  <si>
    <t>Khatav</t>
  </si>
  <si>
    <t>Government Polytechnic Karad</t>
  </si>
  <si>
    <t>Sinhgad College Of Engineering, Vadgaon Bk</t>
  </si>
  <si>
    <t>SIDDHA BIO PETROCHEMICAL LLP | SITE SUPERVISOR | Shirwal | May 2025 | Mar 2026 | 0 Years, 10 Months, 30 Days | 2.3</t>
  </si>
  <si>
    <t>ALADA SOLUTIONS PVT.LTD | LAND DEVELOPMENT | BAVADHAN, PUNE | Dec 2023 | Jan 2024 | 4 Weeks</t>
  </si>
  <si>
    <t>P26701045</t>
  </si>
  <si>
    <t>Vaidehi</t>
  </si>
  <si>
    <t>Kajrolkar</t>
  </si>
  <si>
    <t>Vaidehi Ravindra Kajrolkar</t>
  </si>
  <si>
    <t>vaidehi.kajrolkar@gmail.com</t>
  </si>
  <si>
    <t>P26701045@student.nicmar.ac.in</t>
  </si>
  <si>
    <t>Travelling, Dancing, Painting</t>
  </si>
  <si>
    <t>4301 7241 0909</t>
  </si>
  <si>
    <t>Pravila</t>
  </si>
  <si>
    <t>A18, Amol building, Tambe Nagar, Mulund</t>
  </si>
  <si>
    <t>St.Mary's Convent High School, Mulund, Mumbai</t>
  </si>
  <si>
    <t>KET's Vinayak Ganesh Vaze College of Arts, Science &amp; Commerce, Mumbai</t>
  </si>
  <si>
    <t>L S Raheja School of Architecture, Mumbai</t>
  </si>
  <si>
    <t>Autocad, Sketchup,MS Office, Adobe Phtotoshop,Adobe Indesign,Enscape,Lumion</t>
  </si>
  <si>
    <t>Worksphere Ventures (India) Pvt. Ltd. | Junior Architect | Mumbai | Dec 2024 | May 2026 | 1 Years, 5 Months, 16 Days | 2.4</t>
  </si>
  <si>
    <t>GroupArch Architects &amp; Interior Designers | Architect Intern | Mumbai | Nov 2022 | Mar 2023 | 20 Weeks</t>
  </si>
  <si>
    <t>P26701046</t>
  </si>
  <si>
    <t>Darshan</t>
  </si>
  <si>
    <t>Darshan Devendra Kawade</t>
  </si>
  <si>
    <t>darshandk5117@gmail.com</t>
  </si>
  <si>
    <t>P26701046@student.nicmar.ac.in</t>
  </si>
  <si>
    <t>Bike riding,Travelling,Trekking,Reading</t>
  </si>
  <si>
    <t>Government Service</t>
  </si>
  <si>
    <t>Shamal</t>
  </si>
  <si>
    <t>Prabhavati nagar washi, At post washi, Tq washi, Dist Dharashiv</t>
  </si>
  <si>
    <t>S. M. Secondary Public School, Paranda</t>
  </si>
  <si>
    <t>Paranda / Maharashtra</t>
  </si>
  <si>
    <t>Shri Tripura Junior Science College, Latur</t>
  </si>
  <si>
    <t>Latur / Maharashtra</t>
  </si>
  <si>
    <t>Dr. D. Y. Patil Institute of Engineering, Management And Research Akurdi, Pune / Maharashtra</t>
  </si>
  <si>
    <t>AutoCAD,StaadPRO,Revit,MS project ,Quantity Surveying,Surveying and Levelling,Interpretation of structural Drawings,Site Supervision and execution,RCC and steel Quantity Estimation</t>
  </si>
  <si>
    <t>Bhagirath Narayan Constructions Pvt. Ltd. | Junior Engineer | Badhalwadi, Talegaon Dabhade, pune | Sep 2025 | Jun 2026 | 0 Years, 9 Months, 3 Days | 3.95</t>
  </si>
  <si>
    <t>Unique Contracts Pvt. Ltd. | Intern | Akurdi, Pune | Dec 2023 | Jan 2024 | 4 Weeks
Shourya Construction | Trainee Engineer | Chakan | Jan 2025 | Aug 2025 | 32 Weeks</t>
  </si>
  <si>
    <t>AutoCAD
Financial Literacy
IJRSM Publication Certificate
Principles of Construction Management</t>
  </si>
  <si>
    <t>P26701047</t>
  </si>
  <si>
    <t>Savani</t>
  </si>
  <si>
    <t xml:space="preserve">Sachin </t>
  </si>
  <si>
    <t>Savani Sachin  Navale</t>
  </si>
  <si>
    <t>navalesavani2211@gmail.com</t>
  </si>
  <si>
    <t>P26701047@student.nicmar.ac.in</t>
  </si>
  <si>
    <t>Travelling,Fun games,Dance</t>
  </si>
  <si>
    <t xml:space="preserve">Sachin Dattatray Navale </t>
  </si>
  <si>
    <t xml:space="preserve">Vandana Sachin Navale </t>
  </si>
  <si>
    <t>At.Post.Kuran,Taluka-Junnar,Dist.-Pune</t>
  </si>
  <si>
    <t xml:space="preserve">7 Hills Paying Guest, Opposite to Calfus, Balewadi, Pune  </t>
  </si>
  <si>
    <t>Late Prof. Ramkrushna More English Medium School</t>
  </si>
  <si>
    <t xml:space="preserve">Kukadi Valley Public School &amp; Junior College </t>
  </si>
  <si>
    <t xml:space="preserve">CBSE - Pune, Maharashtra </t>
  </si>
  <si>
    <t xml:space="preserve">Lokmanya Tilak Institute of Architecture and Design Studies - Navi Mumbai, Maharashtra </t>
  </si>
  <si>
    <t>MS Office,MS Project,Autocad,Sketchup,Photoshop,Lumion,Enscape,Vray,canva</t>
  </si>
  <si>
    <t>D B Architects  | Junior Architect  | Narayangaon,Junnar,Pune | Jun 2025 | Jun 2026 | 1 Years, 0 Months, 2 Days | 2</t>
  </si>
  <si>
    <t>Design 11 | Intern  | Pune | Dec 2023 | Apr 2024 | 19 Weeks</t>
  </si>
  <si>
    <t>P26701048</t>
  </si>
  <si>
    <t xml:space="preserve">Atharva </t>
  </si>
  <si>
    <t xml:space="preserve">Prashant </t>
  </si>
  <si>
    <t>Vanjari</t>
  </si>
  <si>
    <t>Atharva  Prashant  Vanjari</t>
  </si>
  <si>
    <t>atharvavanjari@gmail.com</t>
  </si>
  <si>
    <t>P26701048@student.nicmar.ac.in</t>
  </si>
  <si>
    <t xml:space="preserve">Music,badmintion,reading </t>
  </si>
  <si>
    <t xml:space="preserve">Prashant P Vanjari </t>
  </si>
  <si>
    <t xml:space="preserve">Gov.t Job </t>
  </si>
  <si>
    <t xml:space="preserve">Ujwala P Vanjari </t>
  </si>
  <si>
    <t>C-804, MSR Olive society, Datta nagar , jambhulwadi road ,Ambegaon BK, Katraj ,Pune , -46</t>
  </si>
  <si>
    <t xml:space="preserve">Sinhgad Spring Dale Public Schoo; </t>
  </si>
  <si>
    <t xml:space="preserve">CBSE- Pune, Maharashtra </t>
  </si>
  <si>
    <t xml:space="preserve">Pragnya Junior Collage </t>
  </si>
  <si>
    <t xml:space="preserve">HSC - Pune, Maharashtra </t>
  </si>
  <si>
    <t xml:space="preserve">SMEF's Brick School of Architecture, Pune, Maharashtra </t>
  </si>
  <si>
    <t>Autocadd,ms office,ms ecxel,ms project</t>
  </si>
  <si>
    <t>Integrid Design Consultant  | Project Architect  | Pune  | Jul 2024 | Jul 2026 | 2 Years, 0 Months, 9 Days | 3</t>
  </si>
  <si>
    <t>P26701049</t>
  </si>
  <si>
    <t>vipul</t>
  </si>
  <si>
    <t>Vipul Kumar</t>
  </si>
  <si>
    <t>vipultyagi583@gmail.com</t>
  </si>
  <si>
    <t>P26701049@student.nicmar.ac.in</t>
  </si>
  <si>
    <t>26-Jan-1995</t>
  </si>
  <si>
    <t xml:space="preserve">Reading,listining shayri,listening sitar music </t>
  </si>
  <si>
    <t>Trilok chand</t>
  </si>
  <si>
    <t>Rajni</t>
  </si>
  <si>
    <t>village singholi taga,post rataul,district baghpat</t>
  </si>
  <si>
    <t>Baghpat</t>
  </si>
  <si>
    <t>St marys Inter college Rataul Baghpat</t>
  </si>
  <si>
    <t>Board of High School and Intermediate Educationn ,Uttar Pradesh</t>
  </si>
  <si>
    <t>Board of High School and Intermediate Education, Uttar Pradesh</t>
  </si>
  <si>
    <t>Dr. A.P.J. Abdul Kalam Technical University</t>
  </si>
  <si>
    <t>HR Institute of Technology, Ghaziabad</t>
  </si>
  <si>
    <t>MS office,Java ,MS Project,Python,MS excel</t>
  </si>
  <si>
    <t>Inatech India Private Limited | Java Developer II | Gurugram | Oct 2023 | Feb 2024 | 0 Years, 4 Months, 14 Days | 11.62
ICL Systems India Pvt Ltd(Merged with Inatech India) | Java Developer II | Gurugram | Feb 2023 | Sep 2023 | 0 Years, 7 Months, 29 Days | 10.5
Predictive System LLP | Trainee Developer | Gurugram | Jul 2022 | Jan 2023 | 0 Years, 6 Months, 9 Days | 1.44
Giftechies | Technical Support Engineer | Ludhiana | Jul 2018 | Jul 2022 | 4 Years, 0 Months, 3 Days | 2.4</t>
  </si>
  <si>
    <t>P26701050</t>
  </si>
  <si>
    <t>Saji</t>
  </si>
  <si>
    <t>Harish Saji</t>
  </si>
  <si>
    <t>harishsaji20000@gmail.com</t>
  </si>
  <si>
    <t>P26701050@student.nicmar.ac.in</t>
  </si>
  <si>
    <t>Music,Drawing,Swimming,Batmindon,Movies</t>
  </si>
  <si>
    <t>Saji M N</t>
  </si>
  <si>
    <t>Latha Saji</t>
  </si>
  <si>
    <t>Manalichira House, Rackad, Mekkadambu P.O, Muvattupuzha</t>
  </si>
  <si>
    <t>Nirmala Higher Secondary School, Muvattupuzha</t>
  </si>
  <si>
    <t>Secondary School Leaving Certificate, Kerala</t>
  </si>
  <si>
    <t>Fr. Joseph Memorial Higher Secondary School, Puthuppady</t>
  </si>
  <si>
    <t>Board Of Higher Secondary  Examination, Kerala</t>
  </si>
  <si>
    <t>Viswajyothi College of Engineering and Technology, Vazhakulam</t>
  </si>
  <si>
    <t>AutoCad,BIM,SketchUp,Revit, Primavera</t>
  </si>
  <si>
    <t>CoLand Services Private Limited | Site Engineer | Thrissur | Jun 2024 | Jun 2026 | 2 Years, 0 Months, 29 Days | 4
K developers | Site Engineer | Kochi | Dec 2023 | May 2024 | 0 Years, 5 Months, 12 Days | 2.5</t>
  </si>
  <si>
    <t>P26701051</t>
  </si>
  <si>
    <t>Charankar</t>
  </si>
  <si>
    <t>Kartik Vijay Charankar</t>
  </si>
  <si>
    <t>kartikcharankar20@gmail.com</t>
  </si>
  <si>
    <t>P26701051@student.nicmar.ac.in</t>
  </si>
  <si>
    <t>English ,Marathi ,Hindi</t>
  </si>
  <si>
    <t>Creative Writing,Team Sports,Reading</t>
  </si>
  <si>
    <t>Vijay Vinayak Charankar</t>
  </si>
  <si>
    <t>Sneha Vijay Charankar</t>
  </si>
  <si>
    <t>Postal Agency</t>
  </si>
  <si>
    <t>B-602, Venkatesh Bilva, Sr No - 51/2/2B, Dhayari , Pune</t>
  </si>
  <si>
    <t>DSK School</t>
  </si>
  <si>
    <t>ICSE, Pune</t>
  </si>
  <si>
    <t>Mahaveer English Medium School and Junior College</t>
  </si>
  <si>
    <t>HSC, Pune</t>
  </si>
  <si>
    <t>Aayojan School of Architecture and Design, Pune</t>
  </si>
  <si>
    <t>MS Project,AutoCAD,MS Excel,Revit</t>
  </si>
  <si>
    <t>Design 11 | Junior Architect | Pune | Jul 2025 | Jul 2026 | 0 Years, 11 Months, 17 Days | 2.16</t>
  </si>
  <si>
    <t>Amruta Daulatabadkar Architects | Architectural Intern | Chh. Sambhajinagar | Jul 2024 | Nov 2026 | 121 Weeks</t>
  </si>
  <si>
    <t>P26701052</t>
  </si>
  <si>
    <t>Nagpurkar</t>
  </si>
  <si>
    <t>Atharva  Prashant  Nagpurkar</t>
  </si>
  <si>
    <t>Atharvanagpurkar0@gmail.com</t>
  </si>
  <si>
    <t>P26701052@student.nicmar.ac.in</t>
  </si>
  <si>
    <t>03-Feb-1999</t>
  </si>
  <si>
    <t>Hindi , English ,Marathi</t>
  </si>
  <si>
    <t>Music,Gaming,Swimming</t>
  </si>
  <si>
    <t>Prashant Nagpurkar</t>
  </si>
  <si>
    <t>Buissness , Farming</t>
  </si>
  <si>
    <t>Shubhada Nagpurkar</t>
  </si>
  <si>
    <t>58, Gangapuri Shree Ganesha Apartment Wai , Tal Wai , Dist Satara 412803</t>
  </si>
  <si>
    <t>Dravid Highschool Wai</t>
  </si>
  <si>
    <t xml:space="preserve">Maharashtra State Board of Secondary &amp; Higher Secondary Education </t>
  </si>
  <si>
    <t>Zeal Polytechnic Pune</t>
  </si>
  <si>
    <t>Padmabhooshan Vasantdada Patil Institute of Technology</t>
  </si>
  <si>
    <t>Autocad ,staad pro,Excel</t>
  </si>
  <si>
    <t>SR developers | Jr. Engineer  | Wai | Jul 2021 | Jan 2022 | 0 Years, 6 Months, 29 Days | 1.2
Archway Estate | Jr. Engineer  | Pune | Feb 2022 | Aug 2024 | 2 Years, 5 Months, 20 Days | 2.64
Goel Ganga Development | Junior Engineer | Pune | Aug 2024 | Sep 2025 | 1 Years, 0 Months, 22 Days | 3.24
Nyati Builder PVT . LTD | Jr. Engineer  | Pune | Sep 2025 | Jun 2026 | 0 Years, 9 Months, 10 Days | 3.78</t>
  </si>
  <si>
    <t>58 month(s)</t>
  </si>
  <si>
    <t>STAAD Pro
Autocad</t>
  </si>
  <si>
    <t>P26701053</t>
  </si>
  <si>
    <t xml:space="preserve">Vijayalaxmi </t>
  </si>
  <si>
    <t>Meher</t>
  </si>
  <si>
    <t>Aishwarya Vijayalaxmi  Meher</t>
  </si>
  <si>
    <t>aisha10meher@gmail.com</t>
  </si>
  <si>
    <t>P26701053@student.nicmar.ac.in</t>
  </si>
  <si>
    <t>Hindi, English,Odia</t>
  </si>
  <si>
    <t>Dancing , Sketching</t>
  </si>
  <si>
    <t>Achyuta Nanda Meher</t>
  </si>
  <si>
    <t>SERVICE TPWODL ( TATA POWER )</t>
  </si>
  <si>
    <t>Padmini Rani Meher</t>
  </si>
  <si>
    <t>AT/PO Palash, via Mahichala, district Kalahandi</t>
  </si>
  <si>
    <t>Anjali Nagar, Naktiguda, AT/PO Bhawanipatna , district - Kalahandi</t>
  </si>
  <si>
    <t>Mt. Carmel Convent School</t>
  </si>
  <si>
    <t>ICSE Board , Rourkela, Odisha</t>
  </si>
  <si>
    <t>Dr. A.N. Khosla DAV Public School</t>
  </si>
  <si>
    <t>CBSE , Rourkela, Odisha</t>
  </si>
  <si>
    <t>PILOO MODY COLLEGE OF ARCHITECTURE , CUTTACK, ODISHA</t>
  </si>
  <si>
    <t>AutoCAD, SKETCHUP,PHOTOSHOP</t>
  </si>
  <si>
    <t>ADHARSHILA ARCH &amp; ENGINEERS PVT. LTD. | junior architect | Rourkela, Sundargarh , Odisha | Jun 2025 | Jun 2026 | 1 Years, 0 Months, 10 Days | 2.454</t>
  </si>
  <si>
    <t>P26701054</t>
  </si>
  <si>
    <t>Manasi Jagannath Desai</t>
  </si>
  <si>
    <t>manasidesai1700@gmail.com</t>
  </si>
  <si>
    <t>P26701054@student.nicmar.ac.in</t>
  </si>
  <si>
    <t xml:space="preserve">Marathi, Hindi,English </t>
  </si>
  <si>
    <t>Reading, Listening Music ,Learning New Skills</t>
  </si>
  <si>
    <t>Jagannath Desai</t>
  </si>
  <si>
    <t>Jyoti Desai</t>
  </si>
  <si>
    <t>Room No. 1, Shivalaya CHS, Tiwari compound, Milind Nagar, JVLR, Powai, Mumbai 72</t>
  </si>
  <si>
    <t>IES Secondary School, Marol</t>
  </si>
  <si>
    <t>Vivekanand Education Society's Polytechnic college, Chembur</t>
  </si>
  <si>
    <t>Saraswati College of Engineering, Kharghar</t>
  </si>
  <si>
    <t>AutoCAD,Revit,MS Office,MS Project</t>
  </si>
  <si>
    <t>Mihigo Solutions | Design and Sales support executive  | Navi Mumbai | Nov 2024 | May 2025 | 26 Weeks</t>
  </si>
  <si>
    <t>P26701055</t>
  </si>
  <si>
    <t>Deepshikha</t>
  </si>
  <si>
    <t>Samal</t>
  </si>
  <si>
    <t>Deepshikha Samal</t>
  </si>
  <si>
    <t>P26701055@student.nicmar.ac.in</t>
  </si>
  <si>
    <t>English, Hindi,Odia</t>
  </si>
  <si>
    <t>Sketching, photograpgy,swimming,travelling</t>
  </si>
  <si>
    <t>Deepak Kumar Samal</t>
  </si>
  <si>
    <t>Sabita Samal</t>
  </si>
  <si>
    <t>Plot no. 4773/13, Chakeisiani, Rassulgarh, Bhubaneswar</t>
  </si>
  <si>
    <t>Lakshmipat Singhania Public School, Jaykaypur</t>
  </si>
  <si>
    <t>CBSE, Odisha</t>
  </si>
  <si>
    <t>KIIT University, Bhubaneswar</t>
  </si>
  <si>
    <t>Autocad,ms office,Revit,MS Project,sketchup,lumion,photoshop</t>
  </si>
  <si>
    <t>Odisha Bridge &amp; Construction Corporation | Architect | Bhubaneswar | Jul 2022 | Jun 2026 | 3 Years, 11 Months, 9 Days | 5.05</t>
  </si>
  <si>
    <t>P26701056</t>
  </si>
  <si>
    <t>Chinta</t>
  </si>
  <si>
    <t>Sethu</t>
  </si>
  <si>
    <t>Snehitha</t>
  </si>
  <si>
    <t>Chinta Sethu Snehitha</t>
  </si>
  <si>
    <t>chintasnehitha@gmail.com</t>
  </si>
  <si>
    <t>P26701056@student.nicmar.ac.in</t>
  </si>
  <si>
    <t>English,Hindi,Telugu,Tamil</t>
  </si>
  <si>
    <t>Reading books,Dancing,Listening to music</t>
  </si>
  <si>
    <t>CPCL Sreenivasa Rao</t>
  </si>
  <si>
    <t>C Bhargavi</t>
  </si>
  <si>
    <t>H no- 2-20-2/86, Ganesh Nagar, Uppal, Hyderabad 500039</t>
  </si>
  <si>
    <t>Little Flower School</t>
  </si>
  <si>
    <t>Hyderabad, Telangana</t>
  </si>
  <si>
    <t>Little Flower Junior Collage</t>
  </si>
  <si>
    <t>Vellore, Tamilnadu</t>
  </si>
  <si>
    <t>AutoCAD,Revit,Lumion,Sketchup,Photoshop,Excel,Enscape, Microsoft applications</t>
  </si>
  <si>
    <t>Interia | Jr. Architect | Hyderabad | Jul 2025 | May 2026 | 0 Years, 10 Months, 15 Days | 2.88</t>
  </si>
  <si>
    <t>CARPEDIEM  | Architecture Intern | Hyderabad | Jul 2023 | Nov 2023 | 21 Weeks | Campus Internship</t>
  </si>
  <si>
    <t>BIM</t>
  </si>
  <si>
    <t>P26701057</t>
  </si>
  <si>
    <t xml:space="preserve">Dattarao </t>
  </si>
  <si>
    <t>Aniket Dattarao  Jadhav</t>
  </si>
  <si>
    <t>aniketjadhav2457@gmail.com</t>
  </si>
  <si>
    <t>P26701057@student.nicmar.ac.in</t>
  </si>
  <si>
    <t xml:space="preserve">Hindi English Marathi </t>
  </si>
  <si>
    <t>Playing Badminton and Watching web series</t>
  </si>
  <si>
    <t>Dattarao Jadhav</t>
  </si>
  <si>
    <t>Meera Jadhav</t>
  </si>
  <si>
    <t xml:space="preserve">Narendra Dham Society Katpur Road Baseshware chowk Latur </t>
  </si>
  <si>
    <t>Silver Akshay Swapnagri Society Jijamata Chowk Akurdi</t>
  </si>
  <si>
    <t xml:space="preserve">R.N,Motegaonkar Public School Latur </t>
  </si>
  <si>
    <t>State Board Of Maharashtra   ( Latur ,Maharashtra)</t>
  </si>
  <si>
    <t>Chhat Shahu Junior College Nitur Latur</t>
  </si>
  <si>
    <t>State Board Of Maharashtra Latur</t>
  </si>
  <si>
    <t xml:space="preserve">D.Y. Patil College Of Engineering Akurdi </t>
  </si>
  <si>
    <t>Autocad Excel ,Excel</t>
  </si>
  <si>
    <t>Mahalaxmi Construction And Developers  | Site Engineer  | Washim | Jun 2025 | Aug 2025 | 10 Weeks
Preet Pramotors Ravet  | Site Engineer  | Ravet  | Jan 2025 | Feb 2025 | 4 Weeks</t>
  </si>
  <si>
    <t>P26701058</t>
  </si>
  <si>
    <t>srilekha</t>
  </si>
  <si>
    <t>kotha</t>
  </si>
  <si>
    <t>Srilekha Kotha</t>
  </si>
  <si>
    <t>Srilekha.k148@gmail.com</t>
  </si>
  <si>
    <t>P26701058@student.nicmar.ac.in</t>
  </si>
  <si>
    <t>14-Aug-1998</t>
  </si>
  <si>
    <t>Dancing and Art</t>
  </si>
  <si>
    <t>2711 1910 5321</t>
  </si>
  <si>
    <t>RAJENDER</t>
  </si>
  <si>
    <t>LINE INSPECTOR , TSNPDCL</t>
  </si>
  <si>
    <t>K SHARADHA</t>
  </si>
  <si>
    <t>H.NO.3-37/19,BANK COLONY, MADHAVANAGAR, PANGRA, NIZAMABAD.</t>
  </si>
  <si>
    <t>KAKATIYA HIGH SCHOOL</t>
  </si>
  <si>
    <t>GOVT.POLYTECHNIC FOR WOMEN</t>
  </si>
  <si>
    <t>NIZAMABAD,TELANGANA</t>
  </si>
  <si>
    <t>Autocad,Revit</t>
  </si>
  <si>
    <t>AUTOCAD 2D&amp;3D
REVIT ARCHITECTURE</t>
  </si>
  <si>
    <t>P26701059</t>
  </si>
  <si>
    <t>Ratansinh</t>
  </si>
  <si>
    <t>Rajeshirke</t>
  </si>
  <si>
    <t>Ratansinh Rajesh Rajeshirke</t>
  </si>
  <si>
    <t>ratansinhrajeshirke@gmail.com</t>
  </si>
  <si>
    <t>P26701059@student.nicmar.ac.in</t>
  </si>
  <si>
    <t>Travelling,Music,Riding</t>
  </si>
  <si>
    <t>Rajlakshmi</t>
  </si>
  <si>
    <t>Model Colony, Shivaji Nagar, Pune</t>
  </si>
  <si>
    <t>BVB'S Sulochana Natu Vidya Mandir, Pune</t>
  </si>
  <si>
    <t>All India Shri Shivaji Memorial Society, Pune</t>
  </si>
  <si>
    <t>All India Shri Shivaji Memorial Society, College of Engineering Pune</t>
  </si>
  <si>
    <t>AutoCAD,Microsoft Office,HAP SOFTWARE,Edificius 3D software</t>
  </si>
  <si>
    <t>S. N. Joshi Consultants Pvt. Ltd. | Design Engineer - HVAC | Pune | Jun 2024 | Jul 2026 | 2 Years, 1 Months, 0 Days | 4.25</t>
  </si>
  <si>
    <t>Vishwa CNC Technilogies Pvt. Ltd. | Intern Trainee | Pune | May 2019 | Jun 2019 | 5 Weeks | Campus Internship
Raise Machine Tools Pvt. Ltd. | Intern | Pune | Dec 2022 | Feb 2023 | 10 Weeks | Campus Internship
Power Generation Using Exhaust Energy from Industrial Ducts | Project | Pune | Jun 2023 | Mar 2024 | 39 Weeks | Campus Internship</t>
  </si>
  <si>
    <t>P26701060</t>
  </si>
  <si>
    <t>Gia</t>
  </si>
  <si>
    <t>Susan</t>
  </si>
  <si>
    <t>Cheeran</t>
  </si>
  <si>
    <t>Gia Susan Cheeran</t>
  </si>
  <si>
    <t>gia.cheeran@gmail.com</t>
  </si>
  <si>
    <t>P26701060@student.nicmar.ac.in</t>
  </si>
  <si>
    <t>Reading,Crochet, Dancing,Basketball</t>
  </si>
  <si>
    <t>Manoj Z Cheeran</t>
  </si>
  <si>
    <t>Regional Manager Reliance Rt Ltd.</t>
  </si>
  <si>
    <t>Liathu Al Samarth</t>
  </si>
  <si>
    <t>29/1277 Greemanj, Mappilasery Road, Lane 7, Vyttila S.O, Ernakulam, Kerala, 682019</t>
  </si>
  <si>
    <t>Chavara CMI Public School</t>
  </si>
  <si>
    <t>Maulana Azad National Institute of Technology</t>
  </si>
  <si>
    <t>Maulana Azad National Institute of Technology, Bhopal</t>
  </si>
  <si>
    <t>MS Office, Google Earth, MS Project,QGIS</t>
  </si>
  <si>
    <t>Greater Cochin Development Authority | Intern | Kochi, Kerala | Jun 2023 | Jun 2023 | 3 Weeks
KITCO | Intern | Kochi, Kerala | May 2024 | Jun 2024 | 6 Weeks
Chennai Metropolitan Development Authority (CMDA) | Intern | Chennai | Jan 2025 | Mar 2025 | 9 Weeks</t>
  </si>
  <si>
    <t>NPTEL - Environmental Impact Assessment
NPTEL - Urban Services Planning</t>
  </si>
  <si>
    <t>P26701061</t>
  </si>
  <si>
    <t>Kaustubh Pandey</t>
  </si>
  <si>
    <t>khparchi@gmail.com</t>
  </si>
  <si>
    <t>P26701061@student.nicmar.ac.in</t>
  </si>
  <si>
    <t xml:space="preserve">Riding Bike,Playing Musical Instruments </t>
  </si>
  <si>
    <t>Ashutosh Pandey</t>
  </si>
  <si>
    <t>Forest Officer</t>
  </si>
  <si>
    <t>Sudha Pandey</t>
  </si>
  <si>
    <t>Ward no. 10 Gram Gurh, Post Gurh, Tahsil Gurh, Rewa, Madhya Pradesh,486553</t>
  </si>
  <si>
    <t>NICMAR University Hostel, baner, balewadi , 411045</t>
  </si>
  <si>
    <t xml:space="preserve">Rajhans School, Rewa </t>
  </si>
  <si>
    <t>Jawaharlal Nehru College of Technology, Rewa</t>
  </si>
  <si>
    <t>RGPV Bhopal</t>
  </si>
  <si>
    <t>Rewa Engineering College, Rewa, Madhya Pradesh</t>
  </si>
  <si>
    <t>AutoCad,MS Office,MS Project,3ds max,Sketchup,V-ray,Primavera</t>
  </si>
  <si>
    <t>P26701062</t>
  </si>
  <si>
    <t>Anuvab</t>
  </si>
  <si>
    <t>Anuvab Mohanty</t>
  </si>
  <si>
    <t>anuvab.mohanty11@gmail.com</t>
  </si>
  <si>
    <t>P26701062@student.nicmar.ac.in</t>
  </si>
  <si>
    <t>26-Jan-1998</t>
  </si>
  <si>
    <t>Photography,Bike tour,Trekking,E SPORTS</t>
  </si>
  <si>
    <t>Anuru Narayan Mohanty</t>
  </si>
  <si>
    <t>Smita Mohanty</t>
  </si>
  <si>
    <t>Plot No. 21, Badagada BRIT Colony, Badagada, Bhubaneswar</t>
  </si>
  <si>
    <t>DAV Public School, Chandrasekharpur</t>
  </si>
  <si>
    <t>CBSE  Bhubaneswar, Odisha</t>
  </si>
  <si>
    <t>AutoCAD,REVIT,MS Office,MS Projects,PowerBI,MS Excel</t>
  </si>
  <si>
    <t>Tata Projects Limited | Assistant Manager | Mumbai, Talcher | Nov 2019 | Jan 2026 | 6 Years, 2 Months, 16 Days | 6.78</t>
  </si>
  <si>
    <t>74 month(s)</t>
  </si>
  <si>
    <t>Indian Railways | Intern | Talcher | May 2018 | Jun 2018 | 4 Weeks
Jindal Steel and Power Limited | Intern | Angul | May 2017 | Jun 2017 | 4 Weeks</t>
  </si>
  <si>
    <t>AutoCAD
REVIT
Google AI Essentials</t>
  </si>
  <si>
    <t>P26701063</t>
  </si>
  <si>
    <t>Ankita Das</t>
  </si>
  <si>
    <t>ankiitadaas@gmail.com</t>
  </si>
  <si>
    <t>P26701063@student.nicmar.ac.in</t>
  </si>
  <si>
    <t>15-Nov-1996</t>
  </si>
  <si>
    <t>Reading,Music,Dancing,Photography,Travelling,singing</t>
  </si>
  <si>
    <t>Samarendranath Das</t>
  </si>
  <si>
    <t>Dipti Choudhury</t>
  </si>
  <si>
    <t>Flat No. 3/4, Block D1, Hi Tech Plaza, Sundarpada, Bhubaneswar</t>
  </si>
  <si>
    <t>D.A.V. Public School, Unit 8, Bhubaneswar</t>
  </si>
  <si>
    <t>Central Board Of Secondary Education, Odisha</t>
  </si>
  <si>
    <t>Biju Patnaik University of Technology, Rourkela, Odisha</t>
  </si>
  <si>
    <t>College of Engineering &amp; Technology, Bhubaneswar, Odisha</t>
  </si>
  <si>
    <t>Auto Cad, MS Office, Sketch UP,Lumion,Enscape</t>
  </si>
  <si>
    <t>Adecco India Pvt. Ltd. | Project Cosultant | Bhubaneswar | Jan 2026 | Jun 2026 | 0 Years, 5 Months, 10 Days | 7
Quess Corp &amp; Randstad India | Architect-cum-Project Coordinator | Bhubaneswar | Jul 2022 | Jan 2026 | 3 Years, 6 Months, 1 Days | 4.08
Self Employed- Freelancing | Architect-cum-Visual Designer | Bhubaneswar | Sep 2020 | Jul 2022 | 1 Years, 10 Months, 0 Days | 1</t>
  </si>
  <si>
    <t>P26701064</t>
  </si>
  <si>
    <t>Saakshi</t>
  </si>
  <si>
    <t xml:space="preserve">Shivaprakash </t>
  </si>
  <si>
    <t xml:space="preserve">Saakshi Shivaprakash </t>
  </si>
  <si>
    <t>saakshi.p07@gmail.com</t>
  </si>
  <si>
    <t>P26701064@student.nicmar.ac.in</t>
  </si>
  <si>
    <t>07-Apr-2001</t>
  </si>
  <si>
    <t>English ,Hindi,Kannada</t>
  </si>
  <si>
    <t>Paining ,Digital art/ Illustrations,Writing,Sketching,Upcycling and crafts</t>
  </si>
  <si>
    <t>Shivaprakash Goudar</t>
  </si>
  <si>
    <t xml:space="preserve">Deputy General Manager </t>
  </si>
  <si>
    <t>LIG 74, opposite Karanja quarters, KHB colony, Bidar 585401</t>
  </si>
  <si>
    <t>Indian School Sohar, Sultanate of Oman.</t>
  </si>
  <si>
    <t>Central Board of Secondary Education, Indian School Sohar, Sultanate of Oman.</t>
  </si>
  <si>
    <t>Indian School Sohar, Sultanate of Oman</t>
  </si>
  <si>
    <t>Visvesvaraya Technological University (VTU), RV College of Architecture, Bangalore</t>
  </si>
  <si>
    <t>RV College of Architecture, Bangalore</t>
  </si>
  <si>
    <t>Autocad ,Ms office,MS project,Revit,Rhino,Adobe Photoshop,Adobe Illustrator,Adobe InDesign</t>
  </si>
  <si>
    <t>Urbansky Developers PVT LTD | Architect | Hyderabad  | Jul 2024 | May 2026 | 1 Years, 10 Months, 27 Days | 4.968</t>
  </si>
  <si>
    <t>Bhumiputa Architecture  | Intern | Bangalore  | Jan 2024 | May 2024 | 20 Weeks | Campus Internship</t>
  </si>
  <si>
    <t>Winner - Solar Decathelon India.
Urbanscripts_ArchitectureLive!</t>
  </si>
  <si>
    <t>P26701065</t>
  </si>
  <si>
    <t>Sameer</t>
  </si>
  <si>
    <t>Shirsikar</t>
  </si>
  <si>
    <t>Sameer Machindra Shirsikar</t>
  </si>
  <si>
    <t>P26701065@student.nicmar.ac.in</t>
  </si>
  <si>
    <t>English,marath,hindi</t>
  </si>
  <si>
    <t>Badminton,E Sport,running,music,movies,cooking</t>
  </si>
  <si>
    <t>Pranotibala</t>
  </si>
  <si>
    <t>07, Canara Bank Quarter, Law, College Road, Near Nal Stop, Erandwane, Pune, 411004</t>
  </si>
  <si>
    <t>Haribhai Deokarn High school</t>
  </si>
  <si>
    <t>Diploma In civil Engineering</t>
  </si>
  <si>
    <t>AISSMS's Polytechnic, Pune</t>
  </si>
  <si>
    <t>Sinhgad College of Architecture, Pune</t>
  </si>
  <si>
    <t>Autocad,Revit,excel,MS Project,Civil 3D,sketchup</t>
  </si>
  <si>
    <t>Architects United | Junior Architect | Pune | Jun 2025 | Jun 2026 | 0 Years, 11 Months, 30 Days | 2.88
Ahamasmi Architect | Intern  | Banglore | Jun 2024 | Nov 2024 | 0 Years, 5 Months, 16 Days | 1.44</t>
  </si>
  <si>
    <t>P26701066</t>
  </si>
  <si>
    <t>Gollakoti</t>
  </si>
  <si>
    <t>Pavan Kumar</t>
  </si>
  <si>
    <t>Gollakoti Pavan Kumar</t>
  </si>
  <si>
    <t>gollakotipavankumar@gmail.com</t>
  </si>
  <si>
    <t>P26701066@student.nicmar.ac.in</t>
  </si>
  <si>
    <t>Badminton, Table Tennis, Running</t>
  </si>
  <si>
    <t>Gollakoti Srinivasa Rao</t>
  </si>
  <si>
    <t>Daily Worker</t>
  </si>
  <si>
    <t>Gollakoti Dhana Lakshmi</t>
  </si>
  <si>
    <t>2-24/1, poolamokkala vari streer, kovvada, kakinada</t>
  </si>
  <si>
    <t>Mahatma  Gandhi Municipal corporation high school, Gandhi Nagar</t>
  </si>
  <si>
    <t>Board of Secondary education, Andhra Pradesh</t>
  </si>
  <si>
    <t>Ideal Institute of Technology, Kakinada</t>
  </si>
  <si>
    <t>AutoCAD, MS Office,MS Project,Sketchup</t>
  </si>
  <si>
    <t>Teleperformance Global Business Private Limited | Technical Support Executive | Hyderabad | Nov 2023 | Aug 2024 | 0 Years, 9 Months, 15 Days | 2.4</t>
  </si>
  <si>
    <t>P26701067</t>
  </si>
  <si>
    <t>Anushree</t>
  </si>
  <si>
    <t xml:space="preserve">Vidhyanand </t>
  </si>
  <si>
    <t>Anushree Vidhyanand  Khobragade</t>
  </si>
  <si>
    <t>anushreekhobragade16@gmail.com</t>
  </si>
  <si>
    <t>P26701067@student.nicmar.ac.in</t>
  </si>
  <si>
    <t>16-Dec-2004</t>
  </si>
  <si>
    <t xml:space="preserve">English, Hindi , Marathi </t>
  </si>
  <si>
    <t xml:space="preserve">Travelling, Reading </t>
  </si>
  <si>
    <t>Vidhyanand Khobragade</t>
  </si>
  <si>
    <t>Private</t>
  </si>
  <si>
    <t>Sheela Khobragade</t>
  </si>
  <si>
    <t>Prerna nagar, Sawali 2 apt., Flat no. B1, Plot no 24, Katol road, Nagpur</t>
  </si>
  <si>
    <t xml:space="preserve">Saraswati Vidyalaya </t>
  </si>
  <si>
    <t xml:space="preserve">Maharashtra state Board of Secondary and Higher education </t>
  </si>
  <si>
    <t xml:space="preserve">St. Paul Science and Commerce junior college </t>
  </si>
  <si>
    <t>Maharashtra state Board of Secondary and Higher education</t>
  </si>
  <si>
    <t xml:space="preserve">DY Patil College of Engineering, Akurdi, Pune </t>
  </si>
  <si>
    <t>AutoCad, Revit, Excel</t>
  </si>
  <si>
    <t>Nagpur Maha- Metro  | Civil Engineering Intern  | Nagpur  | Jan 2025 | Feb 2025 | 4 Weeks</t>
  </si>
  <si>
    <t>P26701069</t>
  </si>
  <si>
    <t>Dhiraj</t>
  </si>
  <si>
    <t>Watane</t>
  </si>
  <si>
    <t>Aditi Dhiraj Watane</t>
  </si>
  <si>
    <t>aditiwatanework@gmail.com</t>
  </si>
  <si>
    <t>P26701069@student.nicmar.ac.in</t>
  </si>
  <si>
    <t>Reading ,Doodling,organizing</t>
  </si>
  <si>
    <t>Dhiraj Watane</t>
  </si>
  <si>
    <t>Kavita Watane</t>
  </si>
  <si>
    <t>Plot no 4, Shri Vikas Colony, Rukhmini Nagar, Amravati, Maharashtra, 444606</t>
  </si>
  <si>
    <t>H-1004, Phase 7, Puranik Aldea Espanola, Baner Mahalunge Road, Besides Orchid Hotel, Pune, 411045</t>
  </si>
  <si>
    <t>Holy Cross Convent English High School, Amravati</t>
  </si>
  <si>
    <t>Vidyabharati Mahavidyalaya, Amravati</t>
  </si>
  <si>
    <t>Dr. Baliram Hiray College of Architecture, Mumbai, Maharashtra</t>
  </si>
  <si>
    <t>MS Excel,MS Project,Primavera P6,MS Office,IBM SPSS,AutoCAD,Sketchup,Photoshop,Revit,Notion</t>
  </si>
  <si>
    <t>Aniruddha Vaidya and Associates | Architectural Intern | Pune | Dec 2023 | Apr 2024 | 19 Weeks
Shelter Space Architects | Architectural Intern | Amravati | May 2023 | May 2023 | 4 Weeks</t>
  </si>
  <si>
    <t>P26701070</t>
  </si>
  <si>
    <t>Adkar</t>
  </si>
  <si>
    <t>Sakshi Chetan Adkar</t>
  </si>
  <si>
    <t>sakshiadkar8@gmail.com</t>
  </si>
  <si>
    <t>P26701070@student.nicmar.ac.in</t>
  </si>
  <si>
    <t>Music,swimming</t>
  </si>
  <si>
    <t>Chetan Vishwas Adkar</t>
  </si>
  <si>
    <t>Amruta Chetan Adkar</t>
  </si>
  <si>
    <t xml:space="preserve">Madhumalti appartment, Sathbhai lane , Delhi gate, Ahilyanagar (414001), Maharashtra India </t>
  </si>
  <si>
    <t xml:space="preserve">St Michael's School </t>
  </si>
  <si>
    <t xml:space="preserve">CBSE - Ahilyanagr Maharashtra </t>
  </si>
  <si>
    <t xml:space="preserve">Shri Ramkrishra Education Foundation </t>
  </si>
  <si>
    <t xml:space="preserve">Maharashtra Board - Ahilyanagar Maharashtra </t>
  </si>
  <si>
    <t xml:space="preserve">Savitribai phule  Pune University </t>
  </si>
  <si>
    <t xml:space="preserve">Dr Vithalrao Vikhepatil college of engineering - Ahilyanagar Maharashtra </t>
  </si>
  <si>
    <t>Autocad ,MS office,MSP</t>
  </si>
  <si>
    <t>P26701071</t>
  </si>
  <si>
    <t>MD KHUSHNOOD</t>
  </si>
  <si>
    <t>Md Khushnood Alam</t>
  </si>
  <si>
    <t>khushnoodalam124@gmail.com</t>
  </si>
  <si>
    <t>P26701071@student.nicmar.ac.in</t>
  </si>
  <si>
    <t>COOKING,SIGHTSEEING,SOLVING PUZZLES,WATCHING SERIES</t>
  </si>
  <si>
    <t>MD NISHAT ALAM</t>
  </si>
  <si>
    <t>FARIDAH KHATOON</t>
  </si>
  <si>
    <t>Patna City</t>
  </si>
  <si>
    <t>SHAHJAHANABAD APARTMENT, DWARKA SECTOR 11</t>
  </si>
  <si>
    <t>ARYABHATTA KNOWLEDGE UNIVERSITY</t>
  </si>
  <si>
    <t>MACET, PATNA</t>
  </si>
  <si>
    <t>MS OFFICE,AUTOCAD,TEKLA,AVEVAE3D</t>
  </si>
  <si>
    <t>Metron Engineering PVT. LTD. | Site Engineer | Ranchi, Jharkhand | Aug 2022 | Jun 2026 | 3 Years, 10 Months, 22 Days | 4.32</t>
  </si>
  <si>
    <t>Metron Engineering PVT. LTD. | Site Apprentice | Ranchi, Jharkhand | Jun 2021 | Sep 2021 | 9 Weeks</t>
  </si>
  <si>
    <t>Piping Design Engineering
Manufacturing Guidelines for Product Design
Principles of Management
Nature and Properties of Materials
ACE Engineering Academy
Mattra
Summer Training at E &amp; ICT Academy, IIT Kanpur
Internshipwala Careers
Internship on Industrial Machines</t>
  </si>
  <si>
    <t>P26701072</t>
  </si>
  <si>
    <t>Tanmayee</t>
  </si>
  <si>
    <t>Tanmayee Ahire</t>
  </si>
  <si>
    <t>P26701072@student.nicmar.ac.in</t>
  </si>
  <si>
    <t>Organizing games,Dancing,Painting</t>
  </si>
  <si>
    <t>Ramkishan Ahire</t>
  </si>
  <si>
    <t xml:space="preserve">AEES-TGT </t>
  </si>
  <si>
    <t>Anita Ahire</t>
  </si>
  <si>
    <t>Type-2/155 Anudeep colony, Rawatbhata</t>
  </si>
  <si>
    <t>A6-701 Rigved Uptown, Balewadi</t>
  </si>
  <si>
    <t>Atomic Energy Central School No.4, Rawatbhata</t>
  </si>
  <si>
    <t>Sir J.J College of Architecture, Mumbai</t>
  </si>
  <si>
    <t>MS Office,MS Project,AutoCAD,Revit,Sketchup,Adobe Photoshop,Adobe Primiere pro,Lumion,Enscape,ChatGPT</t>
  </si>
  <si>
    <t>Archgroup International | Junior Architect | Dadar, Mumbai | Jul 2025 | May 2026 | 0 Years, 10 Months, 14 Days | 3.6
Arris Design Studio LLP | Intern Architect | Thane | Dec 2023 | Apr 2024 | 0 Years, 4 Months, 11 Days | 0.96</t>
  </si>
  <si>
    <t>SketchUp</t>
  </si>
  <si>
    <t>P26701073</t>
  </si>
  <si>
    <t>Devashree</t>
  </si>
  <si>
    <t>Khopkar</t>
  </si>
  <si>
    <t>Devashree Kishor Khopkar</t>
  </si>
  <si>
    <t>P26701073@student.nicmar.ac.in</t>
  </si>
  <si>
    <t>Reading,Dance,Sketching,Sports</t>
  </si>
  <si>
    <t xml:space="preserve">Kishor </t>
  </si>
  <si>
    <t>Anglo Eastern Shipping Management Group</t>
  </si>
  <si>
    <t xml:space="preserve">Union Bank of India </t>
  </si>
  <si>
    <t>A/302 Maitri Vatika, Chandan Parsik Nagar near Reliance Market, Kalwa Thane.</t>
  </si>
  <si>
    <t>Sou. A.K. Joshi English Medium School, Thane</t>
  </si>
  <si>
    <t>G.E.I.S,M.H. High school and junior college</t>
  </si>
  <si>
    <t>Lokmanya Tilak Institute Of Architecture &amp; Design Studies (LTIADS)</t>
  </si>
  <si>
    <t>AutoCad, Sketchup, Revit, Rhino,Excel, MS Project,Powerpoint</t>
  </si>
  <si>
    <t>skcop Design, Mumbai | Junior Architect | Byculla, Mumbai | Oct 2024 | May 2026 | 1 Years, 6 Months, 17 Days | 3.3
Devika Narain And Company | Junior Designer | Bandra, Mumbai | Jul 2024 | Aug 2024 | 0 Years, 1 Months, 29 Days | 3
Sathya Consultant | Architectural Intern | Bengaluru | Nov 2022 | Apr 2023 | 0 Years, 4 Months, 20 Days | 0.3</t>
  </si>
  <si>
    <t>P26701074</t>
  </si>
  <si>
    <t xml:space="preserve">Rajdeep </t>
  </si>
  <si>
    <t xml:space="preserve">Natha </t>
  </si>
  <si>
    <t>Kalel</t>
  </si>
  <si>
    <t>Rajdeep  Natha  Kalel</t>
  </si>
  <si>
    <t>P26701074@student.nicmar.ac.in</t>
  </si>
  <si>
    <t xml:space="preserve">Travelling, Trekking,Basketball,Badminton,Reading </t>
  </si>
  <si>
    <t>Natha Laxman Kalel</t>
  </si>
  <si>
    <t xml:space="preserve">Mahananda Natha Kalel </t>
  </si>
  <si>
    <t>Bungalow no. 26, Kalel's Villa, Aashiyana Society, Near Sanskruti School, Wakad, Pune - 411057</t>
  </si>
  <si>
    <t>Indira National School</t>
  </si>
  <si>
    <t>Central Board of Secondary Education, Pune/Maharashtra</t>
  </si>
  <si>
    <t xml:space="preserve">Namo Rims Junior College </t>
  </si>
  <si>
    <t xml:space="preserve">Maharashtra State Board of Secondary and Higher Secondary Education, Pune/Maharashta </t>
  </si>
  <si>
    <t xml:space="preserve">Savitribai Phule University </t>
  </si>
  <si>
    <t xml:space="preserve">Pimpri Chinchwad College Of Engineering, Pune/Maharashtra </t>
  </si>
  <si>
    <t>AutoCAD, Ms Office,MS Project,CATIA ,Solidworks</t>
  </si>
  <si>
    <t>Kirloskar Pneumatic Company Limited  | GET - Process Gas Systems Sales  | Hadapsar, Pune  | Jul 2025 | Jun 2026 | 0 Years, 11 Months, 29 Days | 5.04</t>
  </si>
  <si>
    <t>P26701075</t>
  </si>
  <si>
    <t>Pradnyesh</t>
  </si>
  <si>
    <t>Praful</t>
  </si>
  <si>
    <t>Pradnyesh Praful Kothari</t>
  </si>
  <si>
    <t>P26701075@student.nicmar.ac.in</t>
  </si>
  <si>
    <t>Travelling,Reading,Riding</t>
  </si>
  <si>
    <t>Praful Kothari</t>
  </si>
  <si>
    <t>Vandana Kothari</t>
  </si>
  <si>
    <t>HomeMaker</t>
  </si>
  <si>
    <t>15,avdhut nagar manewada road nagpur</t>
  </si>
  <si>
    <t>ST.Paul High school</t>
  </si>
  <si>
    <t xml:space="preserve">CBSE Nagpur Maharashtra </t>
  </si>
  <si>
    <t>ST.PaulHigh School and Junior College</t>
  </si>
  <si>
    <t xml:space="preserve">STATE Nagpur Maharashtra </t>
  </si>
  <si>
    <t xml:space="preserve">Rashtrasant Tukdoji Maharaj University </t>
  </si>
  <si>
    <t xml:space="preserve">ST.Vincent Pallotti College of Engineering </t>
  </si>
  <si>
    <t>Autocad, Etabs,BIM,Excel</t>
  </si>
  <si>
    <t>Ananta Infrastructure  | Junior Engineer | Nagpur | Dec 2023 | Mar 2024 | 13 Weeks</t>
  </si>
  <si>
    <t>P26701076</t>
  </si>
  <si>
    <t>Singh A</t>
  </si>
  <si>
    <t>Shivam Singh A</t>
  </si>
  <si>
    <t>singhshivama156@gmail.com</t>
  </si>
  <si>
    <t>P26701076@student.nicmar.ac.in</t>
  </si>
  <si>
    <t>Hindi, English, Tamil</t>
  </si>
  <si>
    <t>Chess,Books,Badminton</t>
  </si>
  <si>
    <t>Arun Kumar Singh</t>
  </si>
  <si>
    <t>Usha Singh</t>
  </si>
  <si>
    <t>2/65/6, Nachiyamman Nagar, Indira Nagar, Amani Kondalampatti, Kondalampatti</t>
  </si>
  <si>
    <t>Notre Dame of Holy Cross School</t>
  </si>
  <si>
    <t>CBSE/ Salem, Tamil Nadu</t>
  </si>
  <si>
    <t>Vel Tech Rangarajan Dr. Sagunthala R and D Institute of Science and Technology</t>
  </si>
  <si>
    <t>Vel Tech Rangarajan Dr. Sagunthala R and D Institute of Science and Technology/ Chennai, Tamil Nadu</t>
  </si>
  <si>
    <t>SAP MM,MS Office, Python,CFD</t>
  </si>
  <si>
    <t>Easa Salah Al Gurg Group | Assistant Procurement Engineer | Dubai, UAE | Jul 2022 | Feb 2024 | 1 Years, 6 Months, 28 Days | 12</t>
  </si>
  <si>
    <t>Rastriya Ispat Nigma Liited | Intern | Vishakhapatnam | Jan 2022 | Jul 2022 | 25 Weeks | Campus Internship</t>
  </si>
  <si>
    <t>Certified Internation Supply Chain Professional
Certified International Supply Chain Manager</t>
  </si>
  <si>
    <t>P26701077</t>
  </si>
  <si>
    <t>AYUSHMAN</t>
  </si>
  <si>
    <t>MUNSHI</t>
  </si>
  <si>
    <t>Ayushman Munshi</t>
  </si>
  <si>
    <t>P26701077@student.nicmar.ac.in</t>
  </si>
  <si>
    <t>03-Dec-2004</t>
  </si>
  <si>
    <t>ENGLISH, HINDI, BENGALI, GUJARATI</t>
  </si>
  <si>
    <t>MUSIC,BADMINTON,BIKING</t>
  </si>
  <si>
    <t>GOUTAM MUNSHI</t>
  </si>
  <si>
    <t>SUPARNA MUNSHI</t>
  </si>
  <si>
    <t>B-302, SAVVY SOLARIS, MOTERA</t>
  </si>
  <si>
    <t>C-3-24, ONGC COLONY, BANDRA WEST</t>
  </si>
  <si>
    <t>INSTITUTE OF TECHNOLOGY, NIRMA UNIVERSITY, AHMEDABAD</t>
  </si>
  <si>
    <t>Electronics &amp; Instrumentation</t>
  </si>
  <si>
    <t>2226-Jun</t>
  </si>
  <si>
    <t>LARSEN &amp; TOUBRO ENERGY HYDROCARBON | INTERN ENGINEER | Mumbai | Mar 2026 | Apr 2026 | 5 Weeks | Campus Internship
Oil &amp; Natural Gas Corporation Limited | Project Lead Engineer | Mumbai | Dec 2025 | Feb 2026 | 8 Weeks | Campus Internship</t>
  </si>
  <si>
    <t>P26701078</t>
  </si>
  <si>
    <t>Garg</t>
  </si>
  <si>
    <t>Dhruv  Garg</t>
  </si>
  <si>
    <t>gargdhruv0803@gmail.com</t>
  </si>
  <si>
    <t>P26701078@student.nicmar.ac.in</t>
  </si>
  <si>
    <t>08-Mar-2002</t>
  </si>
  <si>
    <t xml:space="preserve">Football, esports ,music </t>
  </si>
  <si>
    <t>5467 8596 1158</t>
  </si>
  <si>
    <t>Vikas Garg</t>
  </si>
  <si>
    <t xml:space="preserve">Bussiness </t>
  </si>
  <si>
    <t xml:space="preserve">Richa Garg </t>
  </si>
  <si>
    <t xml:space="preserve">Plot 119 , Flat FF-1 , Shakti Khand -2 , Indirapuram , </t>
  </si>
  <si>
    <t>United Control Engineers India Pvt. Ltd. | Senior Engineer  | Greater Noida , Uttar Praesh  | Feb 2025 | May 2026 | 1 Years, 3 Months, 28 Days | 8.40</t>
  </si>
  <si>
    <t>Lohum Cleantech Private Limited | Research Assitant  | Greater Noida , Uttar Pradesh | Mar 2024 | Dec 2026 | 142 Weeks | Campus Internship</t>
  </si>
  <si>
    <t>P26701081</t>
  </si>
  <si>
    <t>SIDHARTH</t>
  </si>
  <si>
    <t>RAJAGOPAL</t>
  </si>
  <si>
    <t>Sidharth Rajagopal</t>
  </si>
  <si>
    <t>P26701081@student.nicmar.ac.in</t>
  </si>
  <si>
    <t>30-Dec-2003</t>
  </si>
  <si>
    <t>Hindi,English,malayalam</t>
  </si>
  <si>
    <t>sketching, watching movies</t>
  </si>
  <si>
    <t>K V RAJAGOPALAN</t>
  </si>
  <si>
    <t>KRIPA T M</t>
  </si>
  <si>
    <t>Ram Nivas, P.O Kappad, via Thazhe Chovva</t>
  </si>
  <si>
    <t>D2/304 Kangra CHS, Lokdhara, near Lokgram, Kalyan east</t>
  </si>
  <si>
    <t>KANNUR, KERELA</t>
  </si>
  <si>
    <t>AMS Concrete Consultancy Pvt Ltd | trainee intern | Pune | Jun 2024 | Jul 2024 | 7 Weeks | Campus Internship</t>
  </si>
  <si>
    <t>Autodesk REVIT certification
NPTEL Air pollution and control
Industrial programe certificate
Avishkar Project competition
NICMAR ICCRIP 2025 paper presentation certificate</t>
  </si>
  <si>
    <t>P26701082</t>
  </si>
  <si>
    <t>Srima</t>
  </si>
  <si>
    <t>Srima S Shetty</t>
  </si>
  <si>
    <t>P26701082@student.nicmar.ac.in</t>
  </si>
  <si>
    <t>hindi,english,kannada,tulu</t>
  </si>
  <si>
    <t>dancing</t>
  </si>
  <si>
    <t>Madamakki Shashidhara shetty</t>
  </si>
  <si>
    <t>Sahana S Shetty</t>
  </si>
  <si>
    <t>2-16, 'Srima', near govt school Kumbragodu, Handady, Brahmavara, Udupi</t>
  </si>
  <si>
    <t>Little Rock Indian School</t>
  </si>
  <si>
    <t>CBSE - Karnataka</t>
  </si>
  <si>
    <t>Vidyodaya Pre University College</t>
  </si>
  <si>
    <t>Karnataka State Board</t>
  </si>
  <si>
    <t>Manipal School of Architecture and Planning</t>
  </si>
  <si>
    <t>AutoCAD,MS Project,MS Excel,Revit</t>
  </si>
  <si>
    <t>Thomas Associates | Architect | Bangalore | Jul 2022 | Sep 2025 | 3 Years, 2 Months, 0 Days | 7.2</t>
  </si>
  <si>
    <t>P26701083</t>
  </si>
  <si>
    <t xml:space="preserve">Prashanth </t>
  </si>
  <si>
    <t>NE</t>
  </si>
  <si>
    <t>Prashanth  Ne</t>
  </si>
  <si>
    <t>P26701083@student.nicmar.ac.in</t>
  </si>
  <si>
    <t>English,Hindi,kannada,telugu,Tamil,Malyalam</t>
  </si>
  <si>
    <t>Playing Cricket,Badminton, Running,Trekking,Reading business books</t>
  </si>
  <si>
    <t>Eshwarareddy M</t>
  </si>
  <si>
    <t>Venkataravanamma</t>
  </si>
  <si>
    <t xml:space="preserve">M. Nallagutlapalli, Bagepalli Taluk, venkatapura post, </t>
  </si>
  <si>
    <t>Room No:530, Ultima boys hostel, Nicmar University, Ramnagar Baner.</t>
  </si>
  <si>
    <t>MANAS HIGH SCHOOL</t>
  </si>
  <si>
    <t>Karnataka Secondary Education Examination Board, Chelur, Bagepalli Taluk, karnataka-563124</t>
  </si>
  <si>
    <t>SHRI MARUTHI PU COLLEGE</t>
  </si>
  <si>
    <t>DEPARTMENT OF PRE-UNIVERSITY EDUCATION, HOSKOTE, KARNATAKA-562114</t>
  </si>
  <si>
    <t>University Visvesvaraya College of Engineering, Banglore, Karnataka</t>
  </si>
  <si>
    <t>Auto CAD,MS Excel,MS powerpoint,MS Project</t>
  </si>
  <si>
    <t>LARSEN &amp; TOUBRO | ASSISTANTCONSTRUCTION MANAGER-CIVIL | KARWAR | Oct 2022 | Jul 2026 | 3 Years, 8 Months, 22 Days | 10.62</t>
  </si>
  <si>
    <t>Larsen &amp; Toubro Construction | Graduate Trainee | Prestige Finsbury park, Bagaluru, Banglore | Feb 2022 | Apr 2022 | 6 Weeks</t>
  </si>
  <si>
    <t>P26701084</t>
  </si>
  <si>
    <t xml:space="preserve">Rudraksh </t>
  </si>
  <si>
    <t xml:space="preserve">Kakde </t>
  </si>
  <si>
    <t xml:space="preserve">Rudraksh  Kakde </t>
  </si>
  <si>
    <t>P26701084@student.nicmar.ac.in</t>
  </si>
  <si>
    <t xml:space="preserve">Hindi ,English ,Marathi </t>
  </si>
  <si>
    <t xml:space="preserve">Dance ,Travel </t>
  </si>
  <si>
    <t xml:space="preserve">Late Vivek Kakde </t>
  </si>
  <si>
    <t xml:space="preserve">Shweta Kakde </t>
  </si>
  <si>
    <t xml:space="preserve">130, Shivom Estate Dewas </t>
  </si>
  <si>
    <t>Dewas</t>
  </si>
  <si>
    <t xml:space="preserve">Vindhyanchal Academy </t>
  </si>
  <si>
    <t>CBSE , Dewas , Madhya Pradesh</t>
  </si>
  <si>
    <t xml:space="preserve">Madhav Institute of Technology &amp; Science </t>
  </si>
  <si>
    <t xml:space="preserve">Madhav Institute of Technology &amp; Science Gwalior , Madhya Pradesh </t>
  </si>
  <si>
    <t>AutoCAD,sketchup,lumion,d5,photoshop,ms project,enscape</t>
  </si>
  <si>
    <t>NPTEL Online Certification
NPTEL Online Certification 2024
IPE Global
Udbhav Utsav 2022</t>
  </si>
  <si>
    <t>P26701085</t>
  </si>
  <si>
    <t>Abhishek Ajay Mairal</t>
  </si>
  <si>
    <t>mairalabhishek03@gmail.com</t>
  </si>
  <si>
    <t>P26701085@student.nicmar.ac.in</t>
  </si>
  <si>
    <t>27-Mar-2000</t>
  </si>
  <si>
    <t xml:space="preserve">MARATHI, ENGLISH,HINDI </t>
  </si>
  <si>
    <t>AJAY MAIRAL</t>
  </si>
  <si>
    <t>ARCHANA MAIRAL</t>
  </si>
  <si>
    <t>E/704, GOKUL RESIDENCY, THAKUR VILLAGE, KANDIVALI EAST</t>
  </si>
  <si>
    <t xml:space="preserve">THAKUR VIDYA MANDIR HIGH SCHOOL AND JUNIOR COLLEGE </t>
  </si>
  <si>
    <t>THAKUR COLLEGE OF SCIENCE, COMMERCE AND ARTS</t>
  </si>
  <si>
    <t>Dr. BALIRAM HIRAY COLLEGE OF ARCHITECTURE</t>
  </si>
  <si>
    <t>AUTOCAD,SKETCHUP,MS OFFICE,PHOTOSHOP</t>
  </si>
  <si>
    <t>BARAI ARCHITECTS | JUNIOR ARCHITECTS | FORT, MUMBAI | Jun 2024 | Jun 2026 | 2 Years, 0 Months, 0 Days | 3</t>
  </si>
  <si>
    <t>P26701086</t>
  </si>
  <si>
    <t>Shefali</t>
  </si>
  <si>
    <t>vilas</t>
  </si>
  <si>
    <t>Mule</t>
  </si>
  <si>
    <t>Shefali Vilas Mule</t>
  </si>
  <si>
    <t>P26701086@student.nicmar.ac.in</t>
  </si>
  <si>
    <t>13-Aug-1998</t>
  </si>
  <si>
    <t>Trekking, GYM,DANCE,SPORTS</t>
  </si>
  <si>
    <t>Retired BEST employee</t>
  </si>
  <si>
    <t>202,2a, Nisarg hsc society, Tata Power House, Borivali east, Mumbai -400066</t>
  </si>
  <si>
    <t>ST. JOHNS HIGH SCHOOL</t>
  </si>
  <si>
    <t>Sardar Vallabhbhai Patel Polytechnic</t>
  </si>
  <si>
    <t>Shree. L. R. Tiwari College of Engineering</t>
  </si>
  <si>
    <t>AutoCAD,Rivet,ETABS,RCDC,SAFE,MS Office</t>
  </si>
  <si>
    <t>Dr. Kelkar's Designs Pvt. Ltd. | Structural Design Engineer | BKC, MUMBAI | Jan 2024 | Jul 2026 | 2 Years, 6 Months, 9 Days | 6.6
Nia Infra pvt.ltd | Billing Engineer | Borivali , Mumbai | Oct 2020 | Feb 2021 | 0 Years, 4 Months, 14 Days | 2
Finulent Solutions  | Design Engineer | Navi Mumbai | Apr 2023 | Nov 2023 | 0 Years, 7 Months, 1 Days | 2.4
Aqua Lab all building material testing lab | Testing Engineer | Mira raod, Thane | Apr 2022 | Sep 2023 | 1 Years, 5 Months, 19 Days | 2.4</t>
  </si>
  <si>
    <t>P26701087</t>
  </si>
  <si>
    <t>Madhumanti</t>
  </si>
  <si>
    <t>Samaddar</t>
  </si>
  <si>
    <t>Madhumanti Samaddar</t>
  </si>
  <si>
    <t>P26701087@student.nicmar.ac.in</t>
  </si>
  <si>
    <t>19-Sep-1985</t>
  </si>
  <si>
    <t>Dance,Singing,music,clapbox,reading,movie,travel,long drive,pets</t>
  </si>
  <si>
    <t>Dipak K Samaddar</t>
  </si>
  <si>
    <t>Late</t>
  </si>
  <si>
    <t>Bithi Samaddar</t>
  </si>
  <si>
    <t>E/38, Mitracompound, Sekpura, Church Road, Shiv Mandir Gali, Medinipur, Paschim Medinipur, West Bengal - 721101</t>
  </si>
  <si>
    <t>Mission Girls High School</t>
  </si>
  <si>
    <t>1999-Aug</t>
  </si>
  <si>
    <t>2001-Jul</t>
  </si>
  <si>
    <t>2001-Aug</t>
  </si>
  <si>
    <t>2003-Jul</t>
  </si>
  <si>
    <t>Bengal Engineering and Science University, Shibpur</t>
  </si>
  <si>
    <t>Bengal Engineering College Shibpur West Bengal</t>
  </si>
  <si>
    <t>Institute of Management Technology Ghaziabad</t>
  </si>
  <si>
    <t>2013-Dec</t>
  </si>
  <si>
    <t>MS Office,AutoCAD,msproject,SPSS,minitab</t>
  </si>
  <si>
    <t>Bharat Electronics Limited | Senior Engineer E-III Civil | Ghaziabad | Dec 2015 | Nov 2018 | 2 Years, 10 Months, 26 Days | 18
Bengal Tools Ltd. | DGM Projects | Kolkata | Apr 2009 | Jul 2012 | 3 Years, 3 Months, 30 Days | 8
High Ground Ent. Ltd. | DGM Projects | Noida | Aug 2013 | Dec 2015 | 2 Years, 4 Months, 11 Days | 9
Jessop and Co. Ltd. | Design Engineer | Kolkata | Aug 2007 | Mar 2009 | 1 Years, 7 Months, 30 Days | 3</t>
  </si>
  <si>
    <t>123 month(s)</t>
  </si>
  <si>
    <t>Bengal Shrachi Housing Development Ltd. | Summer Internship | Kolkata | Jun 2005 | Jun 2005 | 2 Weeks | Campus Internship</t>
  </si>
  <si>
    <t>P26701088</t>
  </si>
  <si>
    <t>ASUTOSH</t>
  </si>
  <si>
    <t>Asutosh Choudhury</t>
  </si>
  <si>
    <t>P26701088@student.nicmar.ac.in</t>
  </si>
  <si>
    <t>Hindi,English ,Odia</t>
  </si>
  <si>
    <t>Gym,Dancing ,badminton</t>
  </si>
  <si>
    <t>Krushna Choudhury</t>
  </si>
  <si>
    <t>Electrical contractor and Supervisor</t>
  </si>
  <si>
    <t>Sujata Choudhury</t>
  </si>
  <si>
    <t>Alkapuri 3rd lane, Engineering School Road, Berhampur</t>
  </si>
  <si>
    <t>De Paul School</t>
  </si>
  <si>
    <t>Berhampur</t>
  </si>
  <si>
    <t xml:space="preserve"> Diploma in Electrical Engineering</t>
  </si>
  <si>
    <t>Gandhi Polytechnic</t>
  </si>
  <si>
    <t>Biju Pattnaik University of Technology</t>
  </si>
  <si>
    <t>Government College of Engineering Kalahandi</t>
  </si>
  <si>
    <t>Post Diploma in Industrial Safety,Certified First Aider ,Certified Firefighter ,Plc Programmer</t>
  </si>
  <si>
    <t>Faurecia Clean Mobility | Safety Officer | Chakan, Pune | Nov 2024 | Jul 2026 | 1 Years, 7 Months, 23 Days | 4.47</t>
  </si>
  <si>
    <t>plc, fire safety, first aid</t>
  </si>
  <si>
    <t>P26701089</t>
  </si>
  <si>
    <t>Ankitha</t>
  </si>
  <si>
    <t>Ankitha V</t>
  </si>
  <si>
    <t>ankithavijaykumar04@gmail.com</t>
  </si>
  <si>
    <t>P26701089@student.nicmar.ac.in</t>
  </si>
  <si>
    <t>Sports,Dance,Photography</t>
  </si>
  <si>
    <t>Vijaya Kumar B S</t>
  </si>
  <si>
    <t>Shirastedar at Family Court</t>
  </si>
  <si>
    <t>Veena V</t>
  </si>
  <si>
    <t>Deputy Manager at SBI</t>
  </si>
  <si>
    <t>#Lakshmi Nilaya, 2nd Cross, Ashoka Nagara</t>
  </si>
  <si>
    <t>Mandara Jnanadayini School, Shimoga, Karnataka</t>
  </si>
  <si>
    <t>Central Board of Secondary Education, Shimoga, Karnataka</t>
  </si>
  <si>
    <t>Sri Aurobindo Independent PU College, Javalli, Shimoga</t>
  </si>
  <si>
    <t>Department of Pre-University Education, Karnataka</t>
  </si>
  <si>
    <t>Nitte School of Architecture Planning &amp; Design, Bangalore</t>
  </si>
  <si>
    <t>AutoCAD, SketchUp,Lumion,Enscape,Photoshop,Revit</t>
  </si>
  <si>
    <t>Praman Constructions | Project Architect | Bengaluru, Karnataka | Dec 2025 | Jun 2026 | 0 Years, 6 Months, 3 Days | 2.76</t>
  </si>
  <si>
    <t>The Brown Canvas | Intern Architect | Bengaluru, Karnataka | Jan 2024 | Apr 2024 | 15 Weeks | Campus Internship
Civil Sutra Associates | Intern Architect | Bengaluru, Karnataka | Jun 2025 | Nov 2025 | 25 Weeks</t>
  </si>
  <si>
    <t>P26701090</t>
  </si>
  <si>
    <t>Sandeep</t>
  </si>
  <si>
    <t>Sandeep .</t>
  </si>
  <si>
    <t>patilsandeep393@gmail.com</t>
  </si>
  <si>
    <t>P26701090@student.nicmar.ac.in</t>
  </si>
  <si>
    <t>06-Sep-1999</t>
  </si>
  <si>
    <t>English,Hindi,Kannada,Telugu,tamil,marathi</t>
  </si>
  <si>
    <t>Trekking,Bike riding,photography,sports</t>
  </si>
  <si>
    <t>Uday Kumar Patil</t>
  </si>
  <si>
    <t xml:space="preserve">Sunita </t>
  </si>
  <si>
    <t>Plot No-19, Sy No. 52/2, Basava Nilaya, Laxmi Nagar, Sedam Road, Kalaburagi</t>
  </si>
  <si>
    <t>Sharanabasaveswar Residential High School</t>
  </si>
  <si>
    <t>Sharanabasaveswar Residential PU College</t>
  </si>
  <si>
    <t>Bangalore Institute Of Technology</t>
  </si>
  <si>
    <t>AutoCad,MS office,MS Excel,MS Power Point,Basics of Python</t>
  </si>
  <si>
    <t>Larsen &amp; Toubro Construction (L&amp;T) | ASSISTANT CONSTRUCTION MANAGER-CIVIL | INDIAN NAVAL BASE, Project Seabird, KARWAR | Oct 2022 | Jul 2026 | 3 Years, 9 Months, 8 Days | 10.62</t>
  </si>
  <si>
    <t>Aviin Architects &amp; Assocoates | Intern | Kalaburagi | Aug 2021 | Sep 2021 | 4 Weeks</t>
  </si>
  <si>
    <t>Tunnel Engineer's Certification Program Level-1
Certification Of Appreciation</t>
  </si>
  <si>
    <t>P26701091</t>
  </si>
  <si>
    <t>Muhammad Arham</t>
  </si>
  <si>
    <t>Zahiruddin</t>
  </si>
  <si>
    <t>Malik</t>
  </si>
  <si>
    <t>Muhammad Arham Zahiruddin Malik</t>
  </si>
  <si>
    <t>arhammalik4@gmail.com</t>
  </si>
  <si>
    <t>P26701091@student.nicmar.ac.in</t>
  </si>
  <si>
    <t>Zahiruddin Malik</t>
  </si>
  <si>
    <t>Real Estate Broker</t>
  </si>
  <si>
    <t>Heena Kausar Malik</t>
  </si>
  <si>
    <t>room no 16, gajanan niwas,shastri nagar l.b.s. road, bhandup (w)</t>
  </si>
  <si>
    <t>Make O Healthcare and Technologies | GET Operations | Mumbai | Aug 2024 | Jun 2025 | 0 Years, 10 Months, 25 Days | 2.40000
IdeaForge Technologies Pvt. Ltd | SQA Analyst | Mumbai | Jan 2026 | Jul 2026 | 0 Years, 5 Months, 27 Days | 3.07</t>
  </si>
  <si>
    <t>P26701092</t>
  </si>
  <si>
    <t>TAMRAKAR</t>
  </si>
  <si>
    <t>Dhananjay Kumar Tamrakar</t>
  </si>
  <si>
    <t>P26701092@student.nicmar.ac.in</t>
  </si>
  <si>
    <t>sports,movies,dance,acting</t>
  </si>
  <si>
    <t>Vimal Kumar Tamrakar</t>
  </si>
  <si>
    <t>Agriculturist</t>
  </si>
  <si>
    <t>Nisha Tamrakar</t>
  </si>
  <si>
    <t>H no. 80 Tamer para, killa mandir road, durg</t>
  </si>
  <si>
    <t>Brighton International School Nardaha Raipur</t>
  </si>
  <si>
    <t xml:space="preserve">Raipur/Chhattisgarh </t>
  </si>
  <si>
    <t>Sri sankara vidyalaya Sec X Bhilai Durg</t>
  </si>
  <si>
    <t xml:space="preserve">Durg / Chhattisgarh </t>
  </si>
  <si>
    <t>Chhattisgarh Swami Vivekanand Technical University, Bhilai C.G</t>
  </si>
  <si>
    <t xml:space="preserve">Bhilai institute of technology/Chhattisgarh </t>
  </si>
  <si>
    <t>Dristi Multipurpose | Site Engineer | Chhattisgarh | Apr 2025 | Jun 2026 | 1 Years, 2 Months, 15 Days</t>
  </si>
  <si>
    <t>DRISTI MULTIPURPOSE | TRANIEE | TILDA | May 2024 | Jun 2024 | 6 Weeks</t>
  </si>
  <si>
    <t>P26701093</t>
  </si>
  <si>
    <t>Chandresh</t>
  </si>
  <si>
    <t>Kalla</t>
  </si>
  <si>
    <t>Chandresh Kalla</t>
  </si>
  <si>
    <t>P26701093@student.nicmar.ac.in</t>
  </si>
  <si>
    <t>19-Feb-1999</t>
  </si>
  <si>
    <t>Hindu,English,Marwari</t>
  </si>
  <si>
    <t>Football,Swiming,Cricket</t>
  </si>
  <si>
    <t>Ajay kalla</t>
  </si>
  <si>
    <t>Retd. Aen jdvvnl</t>
  </si>
  <si>
    <t>Asha kalla</t>
  </si>
  <si>
    <t>Family pensioner</t>
  </si>
  <si>
    <t>427 opp khemji ki pol jalap mohalla</t>
  </si>
  <si>
    <t>Central academy sr sec school</t>
  </si>
  <si>
    <t>CENTRAL BOARD OF EDUCATION</t>
  </si>
  <si>
    <t>Shree Mahatma Gandhi sr sec school</t>
  </si>
  <si>
    <t xml:space="preserve">BOARD OF EDUCATION,RAJASTHAN </t>
  </si>
  <si>
    <t>JODHPUR INSTITUTE OF ENGINEERING AND TECHNOLOGY</t>
  </si>
  <si>
    <t>AUTOCAD.,MS OFFICE,MSPROJECTS,PRIMAVERA</t>
  </si>
  <si>
    <t>JIET UNIVERSE | SITE ENGINEER | JODHPUR (RAJASTHAN) | Aug 2025 | May 2026 | 0 Years, 8 Months, 24 Days | 100</t>
  </si>
  <si>
    <t>DATA SCIENCE AND MACHINE LEARNING</t>
  </si>
  <si>
    <t>P26701094</t>
  </si>
  <si>
    <t>VETRIVEL</t>
  </si>
  <si>
    <t>Rohan Kumar Vetrivel</t>
  </si>
  <si>
    <t>P26701094@student.nicmar.ac.in</t>
  </si>
  <si>
    <t>READING,MUSIC</t>
  </si>
  <si>
    <t>VETRIVEL K</t>
  </si>
  <si>
    <t>VIDHYAVATHI V</t>
  </si>
  <si>
    <t>NO 99 A SCHOOL STREET RASAPETTAI,KUDIKADU</t>
  </si>
  <si>
    <t>P26701095</t>
  </si>
  <si>
    <t>Chanchal</t>
  </si>
  <si>
    <t>Madhukar</t>
  </si>
  <si>
    <t>Chanchal Madhukar Shirke</t>
  </si>
  <si>
    <t>chanchalshirke222@gmail.com</t>
  </si>
  <si>
    <t>P26701095@student.nicmar.ac.in</t>
  </si>
  <si>
    <t>Painting,fitness/wellness</t>
  </si>
  <si>
    <t xml:space="preserve">Madhukar </t>
  </si>
  <si>
    <t>72 ,new gandhi layout behind jafar nagar, near Dawat lawn,</t>
  </si>
  <si>
    <t>Freelance Architect | Freelance Architect | Nagpur | Aug 2022 | Dec 2023 | 1 Years, 4 Months, 0 Days
CUREGO PHARMA | Business Development and Operations | Nagpur | Jan 2024 | May 2026 | 2 Years, 4 Months, 30 Days</t>
  </si>
  <si>
    <t>P26701096</t>
  </si>
  <si>
    <t>Pranoti</t>
  </si>
  <si>
    <t>Narhari</t>
  </si>
  <si>
    <t>Arendeshwarkar</t>
  </si>
  <si>
    <t>Pranoti Narhari Arendeshwarkar</t>
  </si>
  <si>
    <t>P26701096@student.nicmar.ac.in</t>
  </si>
  <si>
    <t>Photography</t>
  </si>
  <si>
    <t>Narhari Arendeshwarkar</t>
  </si>
  <si>
    <t>Area Manager at pharma marketing</t>
  </si>
  <si>
    <t>Anita Dharasurkar</t>
  </si>
  <si>
    <t>Laxmi-Nirsimha, Sinhagad Colony, Near Tuljai Chowk, Behind Asha Talkies, Beed</t>
  </si>
  <si>
    <t>Swa. Savarkar Vidyalaya Beed.</t>
  </si>
  <si>
    <t>Beed, Maharashtra.</t>
  </si>
  <si>
    <t>Mrs. Kesharbhai Sonajirao Kshirsagar Arts, Science and commerce college.</t>
  </si>
  <si>
    <t>M.G.M. UNIVERSITY</t>
  </si>
  <si>
    <t>Jawarharlal Nehru Engineering College, Chh.Sambhajinagar, Maharashtra.</t>
  </si>
  <si>
    <t>AutoCAD, MS Office,SketchUP, Photoshop, Revit</t>
  </si>
  <si>
    <t>Meraki Architecture | Architectural Intern | Pune | Jun 2025 | Nov 2025 | 22 Weeks | Campus Internship</t>
  </si>
  <si>
    <t>P26701098</t>
  </si>
  <si>
    <t xml:space="preserve">Mahendra </t>
  </si>
  <si>
    <t>Madvi</t>
  </si>
  <si>
    <t>Pranjal Mahendra  Madvi</t>
  </si>
  <si>
    <t>P26701098@student.nicmar.ac.in</t>
  </si>
  <si>
    <t>Reading, Music, Writting,Sketching</t>
  </si>
  <si>
    <t>Mahendra Dattaram Madvi</t>
  </si>
  <si>
    <t xml:space="preserve">Oncologist </t>
  </si>
  <si>
    <t>Indrayani Mahendra Madvi</t>
  </si>
  <si>
    <t>Walmiki Chowk
Worli</t>
  </si>
  <si>
    <t>DAV Public School, New Panvel</t>
  </si>
  <si>
    <t>Rachana Sansad Academy of Architecture, Mumbai, Maharashtra</t>
  </si>
  <si>
    <t>AutoCAD,SketchUP, MS Office</t>
  </si>
  <si>
    <t>Architect Hafeez Contractor  | Jr. Architect | Fort(CSMT), Mumbai | Jun 2025 | Jun 2026 | 1 Years, 0 Months, 7 Days | 3</t>
  </si>
  <si>
    <t>YASHASWINI APTE architecture + design | Intern | Mahim (W), Mumbai | Nov 2023 | Apr 2024 | 23 Weeks | Campus Internship</t>
  </si>
  <si>
    <t>P26701099</t>
  </si>
  <si>
    <t>Kapil</t>
  </si>
  <si>
    <t>Kapil Milind Gaikwad</t>
  </si>
  <si>
    <t>P26701099@student.nicmar.ac.in</t>
  </si>
  <si>
    <t>14-Nov-2003</t>
  </si>
  <si>
    <t>English, Hindi,Marathi,German</t>
  </si>
  <si>
    <t>Acting, Cooking,Music</t>
  </si>
  <si>
    <t>Milind K. Gaikwad</t>
  </si>
  <si>
    <t>Madhura M. Gaikwad</t>
  </si>
  <si>
    <t>370/1, Tirupati Apartment, Near Sambhav Medico, Bhawani Peth, Pune 411002.</t>
  </si>
  <si>
    <t>St. Vincent's High School, Pune-01</t>
  </si>
  <si>
    <t>Cusrow Wadia Institute of Technology, Pune-01</t>
  </si>
  <si>
    <t>AISSMS College of Engineering, Pune-01</t>
  </si>
  <si>
    <t>Civil 3d</t>
  </si>
  <si>
    <t>Indovance Pvt.Ltd | Trainee Design Engineer | Pune | May 2025 | Aug 2025 | 0 Years, 3 Months, 7 Days | 0
UltraTech RMC | Apprentice- Sales Executive | Pune | Sep 2025 | Jun 2026 | 0 Years, 9 Months, 5 Days | 0</t>
  </si>
  <si>
    <t>Millenium Engineers &amp; Contractors | Trainee Intern | Pune | Dec 2024 | Jan 2025 | 4 Weeks | Campus Internship</t>
  </si>
  <si>
    <t>P26701100</t>
  </si>
  <si>
    <t>Kardile</t>
  </si>
  <si>
    <t>Rutuja Pramod Kardile</t>
  </si>
  <si>
    <t>P26701100@student.nicmar.ac.in</t>
  </si>
  <si>
    <t xml:space="preserve">English,Marathi,Hindi </t>
  </si>
  <si>
    <t>Music,travelling ,dance</t>
  </si>
  <si>
    <t>Pramod Kardile</t>
  </si>
  <si>
    <t xml:space="preserve">Manisha Kardile </t>
  </si>
  <si>
    <t>Near Patel Highschool, Purnvad Nagar, Ward no.7 , Shrirampur -413709</t>
  </si>
  <si>
    <t>Radhika enclave, Wakad, 411057</t>
  </si>
  <si>
    <t>B.R.K.K. Vidyalaya, Shrirampur</t>
  </si>
  <si>
    <t xml:space="preserve">Maharashtra State Board of secondary and higher secondary education </t>
  </si>
  <si>
    <t>Pravara Kanya Vidya Mandir, Loni</t>
  </si>
  <si>
    <t>P.D.V.V.P Institute of technology, Loni</t>
  </si>
  <si>
    <t>Autocad,Ms office,MS project,Excel</t>
  </si>
  <si>
    <t>P26701101</t>
  </si>
  <si>
    <t>Kavya M</t>
  </si>
  <si>
    <t>P26701101@student.nicmar.ac.in</t>
  </si>
  <si>
    <t>15-Feb-2003</t>
  </si>
  <si>
    <t>Writing,Dancing,Listening to music,Athletics</t>
  </si>
  <si>
    <t>G MANOHARAN</t>
  </si>
  <si>
    <t>WELDER</t>
  </si>
  <si>
    <t>PP SHYNA</t>
  </si>
  <si>
    <t>GOVERNMENT SERVANT-NURSE</t>
  </si>
  <si>
    <t>GOPA NIVAS,KALLEPADAM PO</t>
  </si>
  <si>
    <t>BHAVANS VIDYA MANDIR, MANNAPRA</t>
  </si>
  <si>
    <t>PALAKKAD, KERALA</t>
  </si>
  <si>
    <t>GOVERNMENT HIGHER SECONDARY SCHOOL, PAZHAYANNUR</t>
  </si>
  <si>
    <t>THRISSUR, KERALA</t>
  </si>
  <si>
    <t>GOVERNMENT ENGINEERING COLLEGE, THRISSUR, KERALA</t>
  </si>
  <si>
    <t>AutoCAD,Autodesk Revit,D5 Render,Adobe Photoshop,MS Excel,MS Project,Adobe Indesign</t>
  </si>
  <si>
    <t>Encasa Arch Studio | Student Intern | Kozhikode | Jun 2024 | Nov 2024 | 19 Weeks | Campus Internship</t>
  </si>
  <si>
    <t>P26701102</t>
  </si>
  <si>
    <t>PATNAIK</t>
  </si>
  <si>
    <t>Ritika Patnaik</t>
  </si>
  <si>
    <t>ritikapatnaik12@gmail.com</t>
  </si>
  <si>
    <t>P26701102@student.nicmar.ac.in</t>
  </si>
  <si>
    <t>Odia, Hindi,English</t>
  </si>
  <si>
    <t>Dancing,Volleyball,Badminton</t>
  </si>
  <si>
    <t>Raimohan Patnaik</t>
  </si>
  <si>
    <t>Santwana Patnaik</t>
  </si>
  <si>
    <t>Fresco 2 103 Uniworld City
Newtown</t>
  </si>
  <si>
    <t>Lakshmipat Singhania Academy</t>
  </si>
  <si>
    <t>CBSE Kolkata/West Bengal</t>
  </si>
  <si>
    <t>Amity University Kolkata</t>
  </si>
  <si>
    <t>Amity University School of Planning and Architecture Kolkata/West Bengal</t>
  </si>
  <si>
    <t>Autocad, SketchUp, Lumion,Twinmotion,Microsoft Presentation</t>
  </si>
  <si>
    <t>Practice Design | Junior Architect | Kolkata | Mar 2023 | Apr 2025 | 2 Years, 1 Months, 17 Days | 3</t>
  </si>
  <si>
    <t>Homx Design Studio | Intern Architect | Bhubaneswar | Jul 2021 | Dec 2021 | 23 Weeks | Campus Internship</t>
  </si>
  <si>
    <t>P26701103</t>
  </si>
  <si>
    <t>Vaidya</t>
  </si>
  <si>
    <t>Vaidya Aniket Milind</t>
  </si>
  <si>
    <t>P26701103@student.nicmar.ac.in</t>
  </si>
  <si>
    <t>Playing badminton,Playing football,Swimming</t>
  </si>
  <si>
    <t xml:space="preserve">Milind Vaidya </t>
  </si>
  <si>
    <t>Archana Vaidya</t>
  </si>
  <si>
    <t xml:space="preserve">Nandadeep bunglow, motha mhasoba maidan karink road, Kalyan west </t>
  </si>
  <si>
    <t xml:space="preserve">D-901 Aangan Enclave Zadeshwar, Bharuch </t>
  </si>
  <si>
    <t>Amity School</t>
  </si>
  <si>
    <t>SBJ Junior college</t>
  </si>
  <si>
    <t>Maharashtra board, Mumbai</t>
  </si>
  <si>
    <t xml:space="preserve">Parul University </t>
  </si>
  <si>
    <t xml:space="preserve">Parul Institute of Engineering and Technology </t>
  </si>
  <si>
    <t>AutoCAD, ms office</t>
  </si>
  <si>
    <t>Indofil Industries Limited Unit-3 | Intern | Dahej, Gujarat | May 2023 | May 2023 | 2 Weeks | Campus Internship
Indofil Industries Limited Unit-1 | Intern | Dahej,Gujarat | May 2024 | May 2024 | 2 Weeks | Campus Internship
Indofil Industries Limited Unit-1 | Intern | Dahej, Gujarat | Jan 2025 | Mar 2025 | 11 Weeks | Campus Internship</t>
  </si>
  <si>
    <t>P26701104</t>
  </si>
  <si>
    <t>Greeshma</t>
  </si>
  <si>
    <t>Greeshma Girish</t>
  </si>
  <si>
    <t>greeshmagirish019@gmail.com</t>
  </si>
  <si>
    <t>P26701104@student.nicmar.ac.in</t>
  </si>
  <si>
    <t>Hindi,English ,Malayalam</t>
  </si>
  <si>
    <t>Reading,Music, Exploring new places</t>
  </si>
  <si>
    <t>Girish Chandran R</t>
  </si>
  <si>
    <t>Senior Bank Manager</t>
  </si>
  <si>
    <t xml:space="preserve">U Kanchana </t>
  </si>
  <si>
    <t>Anayadiyil house ,162,Venkulangara Nagar,Meenam,
Kavanad P. O, Kollam</t>
  </si>
  <si>
    <t>Anayadiyil house ,162,Venkulangara Nagar,Meenam,
Kavanad , Kollam</t>
  </si>
  <si>
    <t>Lake Ford School</t>
  </si>
  <si>
    <t>CBSE,Kollam,Kerala</t>
  </si>
  <si>
    <t xml:space="preserve">TKM College of Engineering , Kollam , Kerala </t>
  </si>
  <si>
    <t>AutoCad,Staad.Pro,Primavera,MS Project</t>
  </si>
  <si>
    <t>Artech | Intern | Kerala | May 2023 | May 2023 | 0 Weeks | Campus Internship
ULCCS | Intern | Kerala | Jun 2025 | Jun 2025 | 0 Weeks | Campus Internship</t>
  </si>
  <si>
    <t>NPTEL
Revit Workshop
AutoCad Workshop
Ethical Hacking workshop</t>
  </si>
  <si>
    <t>P26701105</t>
  </si>
  <si>
    <t xml:space="preserve">S </t>
  </si>
  <si>
    <t>Gopika</t>
  </si>
  <si>
    <t>Krishnan</t>
  </si>
  <si>
    <t>S  Gopika Krishnan</t>
  </si>
  <si>
    <t>P26701105@student.nicmar.ac.in</t>
  </si>
  <si>
    <t>Music, Reading,travelling</t>
  </si>
  <si>
    <t>R Radhakrishna Pillai</t>
  </si>
  <si>
    <t>Rtd. Central Govt Employee</t>
  </si>
  <si>
    <t>V Sreelatha</t>
  </si>
  <si>
    <t>KRISHNASREE, MSRA-146
OLAYIL, THEVALLY
PO KOLLAM</t>
  </si>
  <si>
    <t>CBSE, Kollam, Kerala</t>
  </si>
  <si>
    <t>Thangal Kunju Musaliar College of Engineering, Kollam, Kerala</t>
  </si>
  <si>
    <t>AutoCAD,MS Excel,MS Project,STAAD,PRIMAVERA</t>
  </si>
  <si>
    <t>Artech Realtors Private Limited | Intern | Thiruvananthapuram, Kerala | May 2023 | May 2023 | 0 Weeks | Campus Internship</t>
  </si>
  <si>
    <t>NPTEL SWAYAM
Autodesk Revit Architecture
CAD Workshop
Mix Design</t>
  </si>
  <si>
    <t>P26701106</t>
  </si>
  <si>
    <t>Aman</t>
  </si>
  <si>
    <t>Aman Anand Yadav</t>
  </si>
  <si>
    <t>P26701106@student.nicmar.ac.in</t>
  </si>
  <si>
    <t>Playing Volleyball,Riding</t>
  </si>
  <si>
    <t>Anand Tulsiram Yadav</t>
  </si>
  <si>
    <t>Ranjita Anand Yadav</t>
  </si>
  <si>
    <t>PLOT NO. 106 VIKAS NAGAR KHADGOAN ROAD WADI</t>
  </si>
  <si>
    <t>The Chanda Devi Saraf School</t>
  </si>
  <si>
    <t>Nagpur, Maharashtra</t>
  </si>
  <si>
    <t>Dharmpeth Tarkunde High school and Junior College</t>
  </si>
  <si>
    <t>Government College of Engineering, Nagpur, Maharashtra</t>
  </si>
  <si>
    <t>AutoCAD,Revit Arch, Revit Structure, Naviswork, Quantity takeoffs,MS Office</t>
  </si>
  <si>
    <t>Techfinity Infraspace | Graduate Engineer Trainee | Nagpur | Jul 2025 | Apr 2026 | 0 Years, 9 Months, 2 Days | 3</t>
  </si>
  <si>
    <t>PwD Nagpur | Engineering Trainee | Nagpur | Jul 2023 | Jul 2023 | 1 Weeks | Campus Internship
imaGIS Engineering Solutions Pvt. Ltd. | Intern | Nagpur | May 2024 | Jul 2024 | 8 Weeks | Campus Internship</t>
  </si>
  <si>
    <t>P26701107</t>
  </si>
  <si>
    <t>Harshad</t>
  </si>
  <si>
    <t>Vhatkar</t>
  </si>
  <si>
    <t>Harshad Ravindra Vhatkar</t>
  </si>
  <si>
    <t>P26701107@student.nicmar.ac.in</t>
  </si>
  <si>
    <t>Music ,Cooking</t>
  </si>
  <si>
    <t>Ravindra Hulgappa Vhatkar</t>
  </si>
  <si>
    <t>Kalpana Ravindra Vhatkar</t>
  </si>
  <si>
    <t>Home-maker</t>
  </si>
  <si>
    <t>102, Samaj Mandir CHS, Shell Colony, Sahakar Nagar, Chembur, Mumbai.</t>
  </si>
  <si>
    <t xml:space="preserve">Swami Vivekanand High School </t>
  </si>
  <si>
    <t xml:space="preserve">Mumbai Junior College of Arts, Commerce &amp; Science </t>
  </si>
  <si>
    <t>Thakur College of Engineering and Technology</t>
  </si>
  <si>
    <t>AutoCAD,MS Office,MS Project,Google Sketchup</t>
  </si>
  <si>
    <t>GAA Advisory | Associate Valuation  | Mumbai | Dec 2025 | Jun 2026 | 0 Years, 6 Months, 16 Days | 4.8
Kalpataru Ltd.  | Assistant Engineer  | Thane | Jan 2024 | Dec 2025 | 1 Years, 10 Months, 19 Days | 3.52</t>
  </si>
  <si>
    <t>Pradhan Mantri Kaushal Vikas Yojana | Associate Bar Bender And Steel Fixer | Kandivali | Apr 2023 | Jul 2023 | 13 Weeks | Campus Internship
CIDCO Ltd. | Site Engineer | Navi Mumbai | Jun 2022 | Jul 2022 | 4 Weeks</t>
  </si>
  <si>
    <t>Remote Sensing and GIS
An Introduction to Artificial Intelligence
Basic construction materials
Essential Mathematics for Machine Learning
Introduction to Multimodal Urban Transportation Systems (MUTS)
Urban Transportation Systems Planning
Urban governance and Development Management (UGDM)
Retrofitting and Rehabilitation of Civil Infrastructure
Bar Bending and Scheduling</t>
  </si>
  <si>
    <t>P26701108</t>
  </si>
  <si>
    <t>Gracy</t>
  </si>
  <si>
    <t>Maladhari</t>
  </si>
  <si>
    <t>Gracy Ashok Maladhari</t>
  </si>
  <si>
    <t>P26701108@student.nicmar.ac.in</t>
  </si>
  <si>
    <t>Music,Travelling,Writing,Skiting, Sketching</t>
  </si>
  <si>
    <t>Ashok Maladhari</t>
  </si>
  <si>
    <t>Arachana Maladhari</t>
  </si>
  <si>
    <t>Shivram nagar dahegaon road new chankapur khaperkheda nagpur maharashtra - 441102</t>
  </si>
  <si>
    <t>St. joseph's convent high school , Nagpur</t>
  </si>
  <si>
    <t>Maharashtra State Board of Secondary and Higher Secondary Pune</t>
  </si>
  <si>
    <t>Saraswati Junior College , Koradi Road, Bokhara, Nagpur</t>
  </si>
  <si>
    <t xml:space="preserve"> IDEAS - Institue of design education and architectural studies, Hudkeshwar Road, Nagpur, Maharashtra</t>
  </si>
  <si>
    <t>AutoCAD,Sketchup, rhino,lumion,MS Project, MS Excel,Photoshop, Revit</t>
  </si>
  <si>
    <t>Scarlett Designs Private Limited | Intern | Ahemdabad | Jan 2025 | May 2025 | 20 Weeks</t>
  </si>
  <si>
    <t>P26701109</t>
  </si>
  <si>
    <t>Vetal</t>
  </si>
  <si>
    <t>Shubham Shashikant Vetal</t>
  </si>
  <si>
    <t>P26701109@student.nicmar.ac.in</t>
  </si>
  <si>
    <t>Playing sports,Working out,Music</t>
  </si>
  <si>
    <t>Shashikant Vetal</t>
  </si>
  <si>
    <t>Bharati Vetal</t>
  </si>
  <si>
    <t>726 wing C
Savitribai Phule CHS S road
Lal Dongar Chembur Mumbai</t>
  </si>
  <si>
    <t>Chembur English High School</t>
  </si>
  <si>
    <t>Maharashtra State board of Secondary &amp; Higher secondary Education, Pune</t>
  </si>
  <si>
    <t>Thakur College of Engineering &amp; Technology, Mumbai,</t>
  </si>
  <si>
    <t>AutoCAD, MS office,MS Project</t>
  </si>
  <si>
    <t>Kalpataru Limited | Assistant Engineer | Thane | Jan 2024 | Jul 2026 | 2 Years, 5 Months, 17 Days | 4.35</t>
  </si>
  <si>
    <t>Ministry of Education initiative, under AICTE "Jal Dharohar Sangrakhshan" | Trainee | Mumbai | Jan 2023 | Mar 2023 | 6 Weeks | Campus Internship</t>
  </si>
  <si>
    <t>P26701110</t>
  </si>
  <si>
    <t xml:space="preserve">Vaishnavi </t>
  </si>
  <si>
    <t>Vitthal</t>
  </si>
  <si>
    <t>Vaishnavi  Vitthal Bhosale</t>
  </si>
  <si>
    <t>bhosale123vaishnavi@gmail.com</t>
  </si>
  <si>
    <t>P26701110@student.nicmar.ac.in</t>
  </si>
  <si>
    <t xml:space="preserve">Painting,Swimming,Lawn Tennis </t>
  </si>
  <si>
    <t>P.no-95, H-Sector, N-4 , Sambhajinagar ( Aurangabad),Maharashtra.</t>
  </si>
  <si>
    <t xml:space="preserve">P.S.B.A English School </t>
  </si>
  <si>
    <t xml:space="preserve">C.B.S.E </t>
  </si>
  <si>
    <t>BSGM Junior College</t>
  </si>
  <si>
    <t>Maharashtra State Board of Secondary and Higher Secondary Education, Pune, Maharashtra.</t>
  </si>
  <si>
    <t xml:space="preserve"> MGM University</t>
  </si>
  <si>
    <t xml:space="preserve"> MGM University, N-6, CIDCO, Chh. Sambhajinagar, Maharashtra</t>
  </si>
  <si>
    <t>Autocad,sketchup,MS Office</t>
  </si>
  <si>
    <t>The Design Alley  | Intern | Chhatrapati Sambhajinagar (Aurangabad), Maharashtra | Jun 2025 | Nov 2025 | 26 Weeks</t>
  </si>
  <si>
    <t>P26701111</t>
  </si>
  <si>
    <t>RAHMAN</t>
  </si>
  <si>
    <t>Abdul Rahman</t>
  </si>
  <si>
    <t>arahman827299@gmail.com</t>
  </si>
  <si>
    <t>P26701111@student.nicmar.ac.in</t>
  </si>
  <si>
    <t>29-Dec-1999</t>
  </si>
  <si>
    <t>Hindi,English,Urdu, Bengali</t>
  </si>
  <si>
    <t>MASOOD ALAM</t>
  </si>
  <si>
    <t>MASARAT KANIJ</t>
  </si>
  <si>
    <t>18 LOOT BAGAN, KAMARHATI, NORTH 24 PARGANAS</t>
  </si>
  <si>
    <t>Bholananda National Vidyalaya, Barrackpore</t>
  </si>
  <si>
    <t>JADAVPUR UNIVERSITY, KOLKATA</t>
  </si>
  <si>
    <t>Mageba Bridge Products | Assistant Manager - Technical | KOLKATA | Jul 2024 | Jun 2026 | 1 Years, 11 Months, 2 Days | 6.43</t>
  </si>
  <si>
    <t>P26701112</t>
  </si>
  <si>
    <t>Ritesh</t>
  </si>
  <si>
    <t>Suhas</t>
  </si>
  <si>
    <t>Shingote</t>
  </si>
  <si>
    <t>Ritesh Suhas Shingote</t>
  </si>
  <si>
    <t>P26701112@student.nicmar.ac.in</t>
  </si>
  <si>
    <t>Tracking ,Traveling</t>
  </si>
  <si>
    <t>A-501,Mahavir Tower CHS Ltd, Plot No-25, Sector No-6 Ghansoli, Navi Mumbai, Thane Maharashtra - 400701.</t>
  </si>
  <si>
    <t>MS Project, AutoCAD</t>
  </si>
  <si>
    <t>Burns and McDonnell India | Structural Engineer-OGC (Multidisciplinary) | Vikhroli, Mumbai | Feb 2025 | Jun 2026 | 1 Years, 4 Months, 0 Days | 7.5
Epicons Consultants Pvt. Ltd | Junior Engineer | Thane | Sep 2024 | Jan 2025 | 0 Years, 4 Months, 6 Days | 2.52
Namo Namokar Engineering | Trainee Engineer | Sanpada, Navi Mumbai, Maharashtra | Mar 2024 | Aug 2024 | 0 Years, 4 Months, 29 Days | 1.44</t>
  </si>
  <si>
    <t>Entech consultancy | Intern  | Wagle Industrial Estate, Thane (West) - 400 604 | Jun 2023 | Jul 2023 | 4 Weeks | Campus Internship
Geoinfo Services | Intern | Millennium Business Park, Mahape, Navi Mumbai400701 | Dec 2022 | Jan 2023 | 3 Weeks | Campus Internship
Generic Engineering Construction and Projects Ltd | Intern | Kailash Esplanande, Ghatkopar (W), Opp. Shreyas Cinema, LB.S. Marg, Mumbai - 400086 | Jun 2022 | Jul 2022 | 4 Weeks | Campus Internship</t>
  </si>
  <si>
    <t>P26701113</t>
  </si>
  <si>
    <t>Badgujar</t>
  </si>
  <si>
    <t>Piyush</t>
  </si>
  <si>
    <t>Badgujar Piyush Dipak</t>
  </si>
  <si>
    <t>P26701113@student.nicmar.ac.in</t>
  </si>
  <si>
    <t>Hindi,Marathi,Gujarati,English</t>
  </si>
  <si>
    <t>Music,Movies,drawing,Cycling,Travelling</t>
  </si>
  <si>
    <t>Dipak Badgujar</t>
  </si>
  <si>
    <t>Shubhangi D Badgujar</t>
  </si>
  <si>
    <t>A-148 Vallabh Duplex, Nr ravi park, Novino tarsali road Vadodara Gujarat,390009</t>
  </si>
  <si>
    <t xml:space="preserve">BARODA HIGH SCHOOL ONGC </t>
  </si>
  <si>
    <t>Gujarat secondary and higher secondary board, Vadodara,Gujarat</t>
  </si>
  <si>
    <t>BARODA HIGH SCHOOL ONGC</t>
  </si>
  <si>
    <t>Dharamsinh Desai University, Nadiad, Gujarat</t>
  </si>
  <si>
    <t>Dharamsinh Desai Institute of Technology, Nadiad, Gujarat</t>
  </si>
  <si>
    <t>Six Sigma SCM, AI, IoT, Python Programming, PM Tools, CAD, RCA, Problem Solving, Mechanical Fundamentals, IT Foundational Skills ,Machine learning,Excel,Microsoft-MSP</t>
  </si>
  <si>
    <t>MG MOTORS | Graduate Engineering Trainee | Halol,Gujarat | Jul 2025 | Apr 2026 | 0 Years, 9 Months, 29 Days | 7.00</t>
  </si>
  <si>
    <t>SIEMENS ENERGY PVT LTD | Manufacturing Intern | Vadodara Gujarat | May 2024 | Jul 2024 | 10 Weeks
SIEMENS ENERGY PVT LTD | PM,OM,SCM Intern | Vadodara Gujarat | Feb 2025 | Mar 2025 | 7 Weeks</t>
  </si>
  <si>
    <t>Lean Six Sigma-ASCB
 AI &amp; ML Course by Code Unnati Powered by SAP Inc
Getting Started with Enterprise Data Science (IBM) 
Getting Started with Enterprise Grade AI (IBM)
IT Foundation Skills (TCS ION) 
AI Base Camp</t>
  </si>
  <si>
    <t>P26701114</t>
  </si>
  <si>
    <t>Sowjanya</t>
  </si>
  <si>
    <t>Chikkala</t>
  </si>
  <si>
    <t>Sowjanya Chikkala</t>
  </si>
  <si>
    <t>P26701114@student.nicmar.ac.in</t>
  </si>
  <si>
    <t>Crocheting,Badminton,Crafts,Chess</t>
  </si>
  <si>
    <t>Chikkala Jagadeesh</t>
  </si>
  <si>
    <t>Loco Pilot (Railways)</t>
  </si>
  <si>
    <t>Chikkala Lova Rani</t>
  </si>
  <si>
    <t>HIG-22, 39-33-32, Madhavadhara Vuda Colony, Phase-1</t>
  </si>
  <si>
    <t xml:space="preserve">Sri Prakash Vidyaniketan </t>
  </si>
  <si>
    <t>C.B.S.E , Visakhapatnam</t>
  </si>
  <si>
    <t>SSC, Andhra Pradesh</t>
  </si>
  <si>
    <t xml:space="preserve">Jawaharlal Nehru Technology University </t>
  </si>
  <si>
    <t>Gayatri Vidya Parishad College of Engineering</t>
  </si>
  <si>
    <t>python,HTML,CSS,MS WORD,M.S EXCEL ,M.S POWER POINT</t>
  </si>
  <si>
    <t>AICTE | Robotic Process Automation (RPA) | Online | Jul 2024 | Sep 2024 | 8 Weeks | Campus Internship
AICTE | Artificial Intelligence and Machine Learning (AI-ML) | Online | May 2023 | Jul 2023 | 8 Weeks | Campus Internship
AICTE | Android Developer Virtual Internship | Online | Jan 2024 | Mar 2024 | 8 Weeks | Campus Internship</t>
  </si>
  <si>
    <t>P26701115</t>
  </si>
  <si>
    <t>JIVIKA</t>
  </si>
  <si>
    <t>Jivika K</t>
  </si>
  <si>
    <t>P26701115@student.nicmar.ac.in</t>
  </si>
  <si>
    <t>21-Oct-2003</t>
  </si>
  <si>
    <t xml:space="preserve">Dance, ART , SPORTS </t>
  </si>
  <si>
    <t>Kungumaraju P</t>
  </si>
  <si>
    <t>Regional Manager</t>
  </si>
  <si>
    <t xml:space="preserve">Buvaneswari Devi N </t>
  </si>
  <si>
    <t>4K SRI KUMARAN NAGAR
SIVANANDHA MILL ROAD</t>
  </si>
  <si>
    <t xml:space="preserve">PSG PUBLIC SCHOOLS </t>
  </si>
  <si>
    <t xml:space="preserve">CBSE/COIMBATORE/TAMILNADU </t>
  </si>
  <si>
    <t xml:space="preserve">PSG INSTITUTE OF TECHNOLOGY AND APPLIED RESEARCH </t>
  </si>
  <si>
    <t>AUTOCAD,SKETCHUP,ENSCAPE,PHOTOSHOP,ILLUSTRATOR</t>
  </si>
  <si>
    <t>STUDIO DESIGN HARMONY  | INTERN ARCHITECT  | BANGALORE  | Jun 2025 | Oct 2025 | 17 Weeks
WEBE DESIGN LAB | INTERN ARCHITECT  | COIMBATORE  | Nov 2025 | Dec 2025 | 7 Weeks</t>
  </si>
  <si>
    <t>P26701116</t>
  </si>
  <si>
    <t xml:space="preserve">Varshini </t>
  </si>
  <si>
    <t>Padmanaban</t>
  </si>
  <si>
    <t>Varshini  Padmanaban</t>
  </si>
  <si>
    <t>P26701116@student.nicmar.ac.in</t>
  </si>
  <si>
    <t>Journaling,Music ,Clay craft</t>
  </si>
  <si>
    <t>Padmanaban S</t>
  </si>
  <si>
    <t>Lead technology transfer Manager</t>
  </si>
  <si>
    <t>Suchitra S</t>
  </si>
  <si>
    <t>17, Athullya garden, Dhanam nagar phase 2, Mylampatti post, Coimbatore.</t>
  </si>
  <si>
    <t>SSVM World School</t>
  </si>
  <si>
    <t>Coimbatore, Tamilnadu</t>
  </si>
  <si>
    <t>SSVM WORLD SCHOOL</t>
  </si>
  <si>
    <t>AutoCAD,Sketchup,Revit,Navisworks,Enscape</t>
  </si>
  <si>
    <t>RGB Architecture Studio | Intern | Kochi, Kerala | Jul 2025 | Nov 2025 | 20 Weeks | Campus Internship</t>
  </si>
  <si>
    <t>P26701117</t>
  </si>
  <si>
    <t>Tejesh</t>
  </si>
  <si>
    <t>Haware</t>
  </si>
  <si>
    <t>Tejesh Gajanan Haware</t>
  </si>
  <si>
    <t>P26701117@student.nicmar.ac.in</t>
  </si>
  <si>
    <t>Exploring,Gym,Running,cooking,Trekking</t>
  </si>
  <si>
    <t>Working pvt bank</t>
  </si>
  <si>
    <t>Ganesh ali tal shriwardhan</t>
  </si>
  <si>
    <t>Susheel Utkarsh,sec-17,plot-21,khanda colony,panvel</t>
  </si>
  <si>
    <t>Mahatma School Of Academics &amp; Sports Junior College of Arts, Science &amp; Commerce</t>
  </si>
  <si>
    <t xml:space="preserve">Maharashtra state board of secondary and higher secondary education </t>
  </si>
  <si>
    <t>Civil engineering</t>
  </si>
  <si>
    <t>Agnel Polytechnic</t>
  </si>
  <si>
    <t xml:space="preserve">University of mumbai </t>
  </si>
  <si>
    <t>Saraswati college of engineering kharghar,navi mumbai</t>
  </si>
  <si>
    <t>Excel,AutoCAD</t>
  </si>
  <si>
    <t>Susmit Enterprises ltd. | Site Engineer | Bhokarpada,panvel,navi mumbai,Maharashtra 410207 | Jun 2025 | Jul 2026 | 1 Years, 1 Months, 0 Days | 3</t>
  </si>
  <si>
    <t>Gurudatta construction | intern | Thane | Jun 2022 | Jul 2022 | 4 Weeks</t>
  </si>
  <si>
    <t>P26701118</t>
  </si>
  <si>
    <t>Shrigandh</t>
  </si>
  <si>
    <t>Malavade</t>
  </si>
  <si>
    <t>Shrigandh Rohit Malavade</t>
  </si>
  <si>
    <t>P26701118@student.nicmar.ac.in</t>
  </si>
  <si>
    <t>Reading, Writing, Dance,Skecthes</t>
  </si>
  <si>
    <t>Rohit Malavade</t>
  </si>
  <si>
    <t>IT Professional</t>
  </si>
  <si>
    <t>Prajakta Malavade</t>
  </si>
  <si>
    <t>Flat no. 102, Sai nisarg park phase 2 building B, A wing, pimple saudagar, pune.</t>
  </si>
  <si>
    <t xml:space="preserve">Royaal World School </t>
  </si>
  <si>
    <t>CBSE, Pune</t>
  </si>
  <si>
    <t>SMEF's Brick School of Architecture</t>
  </si>
  <si>
    <t>AutoCad,sketchup, photoshop, indesign, twinmotion,enscape, archicad, msoffice</t>
  </si>
  <si>
    <t>MetaArch | Jr.Architect | Pune | Aug 2025 | Dec 2025 | 0 Years, 4 Months, 13 Days | 3.6</t>
  </si>
  <si>
    <t>Design Building Workshop  | Intern | Pune | Aug 2024 | Dec 2024 | 19 Weeks | Campus Internship</t>
  </si>
  <si>
    <t>P26701119</t>
  </si>
  <si>
    <t xml:space="preserve">Saloni </t>
  </si>
  <si>
    <t xml:space="preserve">Jaiprakash </t>
  </si>
  <si>
    <t xml:space="preserve">Poddar </t>
  </si>
  <si>
    <t xml:space="preserve">Saloni  Jaiprakash  Poddar </t>
  </si>
  <si>
    <t>P26701119@student.nicmar.ac.in</t>
  </si>
  <si>
    <t>Anchoring , dancing  ,extra curricular activity</t>
  </si>
  <si>
    <t>Jaiprakash Poddar</t>
  </si>
  <si>
    <t xml:space="preserve">Finance Manager </t>
  </si>
  <si>
    <t>Sunita Poddar</t>
  </si>
  <si>
    <t xml:space="preserve">Poddar niwas ,Kshtriya nagar  Bavdhan Patil nagar Pune </t>
  </si>
  <si>
    <t>Suryadatta national School</t>
  </si>
  <si>
    <t>CBSE Pune Maharastra</t>
  </si>
  <si>
    <t>Savitribai phule University</t>
  </si>
  <si>
    <t xml:space="preserve">JSPM Rajarshi Shaho College of Engineering </t>
  </si>
  <si>
    <t>AutoCAD,Advance Excel , SAP</t>
  </si>
  <si>
    <t>Dmart Avenue supermart Lmt | MEP Qyantity Surveyor | Mumbai | Feb 2025 | Jul 2026 | 1 Years, 4 Months, 27 Days | 5.00</t>
  </si>
  <si>
    <t>P26701120</t>
  </si>
  <si>
    <t>Nandanwar</t>
  </si>
  <si>
    <t>Akshata Sanjay Nandanwar</t>
  </si>
  <si>
    <t>P26701120@student.nicmar.ac.in</t>
  </si>
  <si>
    <t>Reading,Cooking, Music, Dance,Sketching</t>
  </si>
  <si>
    <t>Sanjay Nandanwar</t>
  </si>
  <si>
    <t>Malti Nandanwar</t>
  </si>
  <si>
    <t>Infront of Sharda Pandey School, Wardha- Nagpur Highway, Seloo</t>
  </si>
  <si>
    <t>Ira International School Butibori</t>
  </si>
  <si>
    <t>Gandhi Gram Jr. College</t>
  </si>
  <si>
    <t xml:space="preserve">Maharashtra State Board Of Secondary and Higher Secondary Education </t>
  </si>
  <si>
    <t xml:space="preserve">Symbiosis Skills And Professional University </t>
  </si>
  <si>
    <t>Symbiosis Skills And Professional University, Pune</t>
  </si>
  <si>
    <t>AutoCAD,MS Office,MS Project,Sketchup,Photoshop,MS Excel,Lumion,V-Ray</t>
  </si>
  <si>
    <t>M/S SHRI GURUKRIPA BUILDER | Intern | Wardha | Jun 2023 | Jul 2023 | 8 Weeks
SIVEEK CONSTRUCTION | Intern | Wardha | May 2024 | Jul 2024 | 8 Weeks
CMETRICA DESIGNERS LLP. | Intern | Pune | Jan 2025 | Jul 2025 | 25 Weeks</t>
  </si>
  <si>
    <t>Construction Skill Development Council of India - Know How
Tata Bluescope Steel - NutureQuest Competition</t>
  </si>
  <si>
    <t>P26701121</t>
  </si>
  <si>
    <t>PARIKH</t>
  </si>
  <si>
    <t>Vanshika Parikh</t>
  </si>
  <si>
    <t>P26701121@student.nicmar.ac.in</t>
  </si>
  <si>
    <t>03-Feb-2001</t>
  </si>
  <si>
    <t>ENGLISH, HINDI, GUJARATI, MARATHI (UNDERSTANDS)</t>
  </si>
  <si>
    <t>reading,Music,Dancing,Sports,Yoga,Sketching</t>
  </si>
  <si>
    <t>Alok Parikh</t>
  </si>
  <si>
    <t>Jyoti Parikh</t>
  </si>
  <si>
    <t>Business partner &amp; homemaker</t>
  </si>
  <si>
    <t>B-2/2, VINAYKUNJ, C-5, CHANRIKA NAGAR COLONY, SIGRA, VARANASI (221010)</t>
  </si>
  <si>
    <t>Delhi Public School, Varanasi</t>
  </si>
  <si>
    <t>Little Flower House</t>
  </si>
  <si>
    <t>Smef's Brick School of Architecture</t>
  </si>
  <si>
    <t>AutoCAD, Sketchup, Lumion, Photoshop, PowerPoint, Excel,Revit, Rhino3D, Grasshopper, Enscape ,MS Project</t>
  </si>
  <si>
    <t>Roomstory AI | Technical designer | Gurgaon | Jun 2024 | Dec 2024 | 0 Years, 6 Months, 16 Days | 1.8
Tula by Aka | Project Architect | Varanasi | Mar 2025 | Feb 2026 | 0 Years, 11 Months, 0 Days | 3
Freelance Projects &amp; Woven Creations | Project architect for my own projects, Content creator, finance and common platform for family business | Varanasi, Remote | Feb 2026 | May 2026 | 0 Years, 3 Months, 21 Days | 3.5</t>
  </si>
  <si>
    <t>Edifice Consultants Pvt. Ltd.  | Intern | Mumbai | Jun 2023 | Oct 2023 | 19 Weeks | Campus Internship
Whitespace Architects, Varanasi | Technical Writer | Remote | Feb 2023 | Oct 2023 | 38 Weeks</t>
  </si>
  <si>
    <t>P26701123</t>
  </si>
  <si>
    <t>Viren</t>
  </si>
  <si>
    <t>Wanekar</t>
  </si>
  <si>
    <t>Viren Wanekar</t>
  </si>
  <si>
    <t>P26701123@student.nicmar.ac.in</t>
  </si>
  <si>
    <t>19-Aug-2000</t>
  </si>
  <si>
    <t>Trekking,Fitness</t>
  </si>
  <si>
    <t>N-1,C-329, Cidco</t>
  </si>
  <si>
    <t>Stepping Stones High School</t>
  </si>
  <si>
    <t>Vidhydham Science Jr College</t>
  </si>
  <si>
    <t>Vishwakarma Institute of Technology Pune</t>
  </si>
  <si>
    <t>MS Project,Project Planning &amp; Scheduling,Advanced MS Excel,Engineering Project Management,MS Office,Agile Project Management</t>
  </si>
  <si>
    <t>Qualys Security Pvt Ltd | Software Engineer | Baner, Pune | Aug 2023 | May 2025 | 1 Years, 9 Months, 13 Days | 7.2</t>
  </si>
  <si>
    <t>Qualys Security Pvt Ltd | Site Reliabilty Engineer | Baner,Pune | Feb 2023 | Jul 2023 | 25 Weeks | Campus Internship</t>
  </si>
  <si>
    <t>P26701124</t>
  </si>
  <si>
    <t>Murlidhar</t>
  </si>
  <si>
    <t>Shubham Murlidhar Chaudhari</t>
  </si>
  <si>
    <t>P26701124@student.nicmar.ac.in</t>
  </si>
  <si>
    <t>Exlporing,Reading Manga</t>
  </si>
  <si>
    <t>Murlidhar Magan Chaudhari</t>
  </si>
  <si>
    <t>Kavita Murlidhar Chaudhari</t>
  </si>
  <si>
    <t xml:space="preserve">H no 32 Sitabai Niwas Temghar Pipeline Kalyan Road Bhiwandi </t>
  </si>
  <si>
    <t>Dr Omprakash Agarwal English High School</t>
  </si>
  <si>
    <t xml:space="preserve">Maharashtra State Board of Secondary and Higher Education </t>
  </si>
  <si>
    <t>ARMIET Shahpur</t>
  </si>
  <si>
    <t>Datta Meghe College of Engineering Navi Mumbai</t>
  </si>
  <si>
    <t>MS Office, MS Project,AutoCAD</t>
  </si>
  <si>
    <t>Burns &amp; McDonnell | Civil-Structural Enginner | Vikhroli ,Mumbai | Jul 2024 | Jul 2026 | 2 Years, 0 Months, 2 Days | 7.5</t>
  </si>
  <si>
    <t>NAVAYUGA ENGINNERING COMPPANY LTD | Civil Engineer  | Shahpur | Jun 2022 | Jul 2022 | 5 Weeks | Campus Internship</t>
  </si>
  <si>
    <t>P26701125</t>
  </si>
  <si>
    <t>Mitesh Mahendra Patil</t>
  </si>
  <si>
    <t>P26701125@student.nicmar.ac.in</t>
  </si>
  <si>
    <t>12-Nov-2001</t>
  </si>
  <si>
    <t>Swimming,badminton,Cricket</t>
  </si>
  <si>
    <t>Mahendra Kamlakar Patil</t>
  </si>
  <si>
    <t xml:space="preserve">Principle </t>
  </si>
  <si>
    <t>Sneha Mahendra Patil</t>
  </si>
  <si>
    <t>F25/02 Sagar Soc CHS Sector 10 Airoli Navi Mumbai</t>
  </si>
  <si>
    <t xml:space="preserve">A Wing 101 Mahavir Galaxy Mulund West </t>
  </si>
  <si>
    <t>St Xavier's high School, Airoli Navi Mumbai</t>
  </si>
  <si>
    <t>Father Agnel Of Engineering College</t>
  </si>
  <si>
    <t>Vashi, Navi Mumbai</t>
  </si>
  <si>
    <t>Datta Meghe College of Engineering, Airoli</t>
  </si>
  <si>
    <t>Eclerx's | Data Analyst | Airoli Navi Mumbai | May 2025 | Dec 2025 | 0 Years, 7 Months, 10 Days | 2.4
Accenture | Trust &amp; Safety New Associate | Airoli Navi Mumbai | Feb 2026 | Jul 2026 | 0 Years, 4 Months, 15 Days</t>
  </si>
  <si>
    <t>CIPET: Centre for Skilling and Technical Support (CSTS), Aurangabad | Industrial Training Intern – SolidWorks | Aurangabad, Maharashtra | Jun 2020 | Jul 2020 | 3 Weeks
Central Railway Loco Workshop, Parel, Mumbai | Mechanical Engineering Intern | Parel, Mumbai, Maharashtra | Jan 2023 | Feb 2023 | 2 Weeks</t>
  </si>
  <si>
    <t>P26701126</t>
  </si>
  <si>
    <t>P26701126@student.nicmar.ac.in</t>
  </si>
  <si>
    <t>P26701127</t>
  </si>
  <si>
    <t>Neel Nitin Kulkarni</t>
  </si>
  <si>
    <t>P26701127@student.nicmar.ac.in</t>
  </si>
  <si>
    <t>27-Jan-2004</t>
  </si>
  <si>
    <t>Badminton,Tennis,Trekking</t>
  </si>
  <si>
    <t>Nitin Balkrishna Kulkarni</t>
  </si>
  <si>
    <t>Gauri Nitin Kulkarni</t>
  </si>
  <si>
    <t>C-104, Springfields Society, Near Mahesh Vidyalaya, Kothrud, Pune-411038</t>
  </si>
  <si>
    <t>MES Bal Shikshan Mandir English Medium School</t>
  </si>
  <si>
    <t>Kannada Sangha's Dr. Kalmadi Shamarao Junior College</t>
  </si>
  <si>
    <t>MIT World Peace University, Pune</t>
  </si>
  <si>
    <t>P26701128</t>
  </si>
  <si>
    <t>Amish</t>
  </si>
  <si>
    <t>Umar</t>
  </si>
  <si>
    <t>Amish Umar</t>
  </si>
  <si>
    <t>P26701128@student.nicmar.ac.in</t>
  </si>
  <si>
    <t>07-Mar-1997</t>
  </si>
  <si>
    <t>Cricket,Badminton,Volleyball</t>
  </si>
  <si>
    <t>Md Aquil Umar</t>
  </si>
  <si>
    <t>Rana Nishat</t>
  </si>
  <si>
    <t>Quazi Nagar, Near Church, Phulwarisharif, Patna</t>
  </si>
  <si>
    <t>08250 St Karen's Sec School PO Danapur Cantt Patna BR</t>
  </si>
  <si>
    <t>C.B.S.E Patna, Bihar</t>
  </si>
  <si>
    <t>08240 DAV Public School BSEB Colony</t>
  </si>
  <si>
    <t>DIT University</t>
  </si>
  <si>
    <t>DIT University Dehradun, Uttrakhand</t>
  </si>
  <si>
    <t>MS Office,MS Project,Primavera,Programming Languages</t>
  </si>
  <si>
    <t>HCL Technologies Ltd. | Software Engineer | Lucknow | Feb 2021 | Jul 2023 | 2 Years, 5 Months, 29 Days | 2.85
Capanicus | Frontend Engineer | Mohali, Punjab | Feb 2024 | Aug 2025 | 1 Years, 6 Months, 30 Days | 3</t>
  </si>
  <si>
    <t>P26701129</t>
  </si>
  <si>
    <t xml:space="preserve">UJWAL </t>
  </si>
  <si>
    <t>GOWDA HD</t>
  </si>
  <si>
    <t>Ujwal  Gowda Hd</t>
  </si>
  <si>
    <t>P26701129@student.nicmar.ac.in</t>
  </si>
  <si>
    <t>02-Mar-2001</t>
  </si>
  <si>
    <t>ENGLISH,HINDI,KANNADA</t>
  </si>
  <si>
    <t>TRAVELLING,music,sports,reading</t>
  </si>
  <si>
    <t>Agricultrist</t>
  </si>
  <si>
    <t>Vidyavati B</t>
  </si>
  <si>
    <t>beautician</t>
  </si>
  <si>
    <t xml:space="preserve">Nanjundeshwara nilaya salgame road near old presidency clg , bagaderakoppalu hassan </t>
  </si>
  <si>
    <t>POORNA PRAJNA ENGLISH MEDIUM HIGH SCHOOL</t>
  </si>
  <si>
    <t>KSEEB CHIKKAMAGALUR</t>
  </si>
  <si>
    <t>BRIGADE PU COLLEGE</t>
  </si>
  <si>
    <t>KSEEB HASSAN</t>
  </si>
  <si>
    <t xml:space="preserve">VISVESVARAYA TECHNOLOGICAL UNIVERSITY  </t>
  </si>
  <si>
    <t>JSS ACADEMY OF TECHNICAL EDUCATION  BEGALURU</t>
  </si>
  <si>
    <t>AutoCAD, MS OFFICE ,MS PROJECT</t>
  </si>
  <si>
    <t>P26701130</t>
  </si>
  <si>
    <t>Athul</t>
  </si>
  <si>
    <t>Athul S Nair</t>
  </si>
  <si>
    <t>athulsep9@gmail.com</t>
  </si>
  <si>
    <t>P26701130@student.nicmar.ac.in</t>
  </si>
  <si>
    <t>English,tamil,hindi,malayalam</t>
  </si>
  <si>
    <t>Badminton,trekking,travelling</t>
  </si>
  <si>
    <t>V M Sajjad</t>
  </si>
  <si>
    <t>Manju Mohan</t>
  </si>
  <si>
    <t>House No.10, Makayiram, K P Lane, Aramkallu, Karakulam p.o. , tvm</t>
  </si>
  <si>
    <t>ST THOMAS CENTRAL SCHOOL MUKKOLAKKAL TRIVANDRUM</t>
  </si>
  <si>
    <t>CENTRAL BOARD OF SECONDARY EDUCATION , TRIVANDRUM , KERALA</t>
  </si>
  <si>
    <t>ST THOMAS HIGHER SECONDARY SCHOOL MUKKOLAKKAL TRIVANDRUM</t>
  </si>
  <si>
    <t>KERALA BOARD OF HIGHER SECONDARY EDUCATION</t>
  </si>
  <si>
    <t>MAR BASELIOS COLLEGE OF ENGINEERING AND TECHNOLOGY TRIVANDRUM KERALA</t>
  </si>
  <si>
    <t>Primavera,Navisworks,Revit MEP,Solid Works,AutoCAD Mechanical</t>
  </si>
  <si>
    <t>YAMAHA | Student | Trivandrum | Nov 2021 | Nov 2021 | 0 Weeks | Campus Internship</t>
  </si>
  <si>
    <t>Master Diploma in Mechanical CAD</t>
  </si>
  <si>
    <t>P26701131</t>
  </si>
  <si>
    <t>Anushka Singh</t>
  </si>
  <si>
    <t>P26701131@student.nicmar.ac.in</t>
  </si>
  <si>
    <t>19-Apr-2002</t>
  </si>
  <si>
    <t>Lawn Tennis, Badminton,Watching Movies,Cricket,Dancing,Cycling</t>
  </si>
  <si>
    <t xml:space="preserve">Ganesh Kumar Singh </t>
  </si>
  <si>
    <t xml:space="preserve">Hemlata Devi </t>
  </si>
  <si>
    <t xml:space="preserve">A-51 Utkrash Vihar Road, Mhow-Neemuch Road, Mhow, Indore, Madhya Pradesh </t>
  </si>
  <si>
    <t xml:space="preserve">Indore Public School </t>
  </si>
  <si>
    <t xml:space="preserve">Indore, Madhya Pradesh </t>
  </si>
  <si>
    <t xml:space="preserve">Maheshwari H S School Mhow, Indore </t>
  </si>
  <si>
    <t xml:space="preserve">Mhow, Indore, Madhya Pradesh </t>
  </si>
  <si>
    <t xml:space="preserve">Sage University </t>
  </si>
  <si>
    <t xml:space="preserve">Sage University, Indore, Madhya Pradesh </t>
  </si>
  <si>
    <t>Autocad, Sketchup,Revit,MS Power Point, MS Word,Excel,Lumion ,Twin Motion,D5 Render,Vray,Navisworks</t>
  </si>
  <si>
    <t>Acelab  | Architectural Technology Associate  | Indore, Madhya Pradesh  | Jul 2025 | Jun 2026 | 0 Years, 11 Months, 9 Days | 3.36</t>
  </si>
  <si>
    <t>Prophetic Project Solutions PVT LTD | Intern Architect  | Indore, Madhya Pradesh  | Jul 2024 | Dec 2024 | 22 Weeks | Campus Internship
STUDIO AANGAN PVT LTD.  | Intern Architect  | Indore, Madhya Pradesh  | Dec 2024 | May 2025 | 21 Weeks</t>
  </si>
  <si>
    <t xml:space="preserve">Bim And Revit Professional Course 
Bim And Revit Professional Course C-11
BIM And Revit Professional Course for Architects And Engineers </t>
  </si>
  <si>
    <t>P26701132</t>
  </si>
  <si>
    <t>SAMIDHA</t>
  </si>
  <si>
    <t>Samidha Mohan Tambe</t>
  </si>
  <si>
    <t>P26701132@student.nicmar.ac.in</t>
  </si>
  <si>
    <t>Sports-Badminton, Painting,Poetry</t>
  </si>
  <si>
    <t>MOHAN MADHUKAR TAMBE</t>
  </si>
  <si>
    <t>NISHA MOHAN TAMBE</t>
  </si>
  <si>
    <t>TIRTHRAJ CHS., PL5B/5/6, SECTOR-9, KHANDA COLONY, NEW PANVEL-WEST, PANVEL</t>
  </si>
  <si>
    <t>CHANGU KANA THAKUR VIDYALAYA, NEW PANVEL</t>
  </si>
  <si>
    <t>MAHARASHTRA STATE BOARD OF SECONDARY AND HIGHER SECONDARY EDUCATION,PUNE/MAHARASHTRA</t>
  </si>
  <si>
    <t>CHANGU KANA THAKUR ARTS,COMMERCE &amp; SCIENCE JUNIOR COLLEGE, NEW PANVEL</t>
  </si>
  <si>
    <t>PILLAI HOC COLLEGE OF ARCHITECTURE, RASAYANI / MAHARASHTRA</t>
  </si>
  <si>
    <t>AutoCAD,MS Office,Photoshop,Sketchup,MS Project</t>
  </si>
  <si>
    <t>Spiro Designs | Intern Architect | Lonavala | Jan 2024 | Apr 2024 | 15 Weeks</t>
  </si>
  <si>
    <t>Euforia 2022 (College Fest/Event)
Prayog 2022 - EurekArch
GIS Maping
Rhino Software</t>
  </si>
  <si>
    <t>P26701133</t>
  </si>
  <si>
    <t>Rushabh</t>
  </si>
  <si>
    <t>Ulhas</t>
  </si>
  <si>
    <t>Gurao</t>
  </si>
  <si>
    <t>Rushabh Ulhas Gurao</t>
  </si>
  <si>
    <t>P26701133@student.nicmar.ac.in</t>
  </si>
  <si>
    <t>Traveling,swimming,kabaddi</t>
  </si>
  <si>
    <t>Ulhas Gurao</t>
  </si>
  <si>
    <t>Uma Gurao</t>
  </si>
  <si>
    <t>1/13 Mahakali Mandir Chawl, Bhatwadi, Ghatkopar (w), Mumbai 400084</t>
  </si>
  <si>
    <t>SIES (DR APJ Abdul Kalam Memorial) High school.</t>
  </si>
  <si>
    <t>Maharashtra Board of Higher and secondary high school</t>
  </si>
  <si>
    <t>KJ Somaiya Polytechnic</t>
  </si>
  <si>
    <t>AutoCAD,MS office, MS project</t>
  </si>
  <si>
    <t>Dr. Kelkar Designs Pvt.Ltd | Structural Engineer | Mumbai | Feb 2025 | Aug 2026 | 1 Years, 6 Months, 4 Days | 5.4</t>
  </si>
  <si>
    <t>SRI Harsh Developers | Junior Trainee Engineer | Mumbai  | Nov 2020 | Jan 2021 | 8 Weeks | Campus Internship</t>
  </si>
  <si>
    <t>P26701134</t>
  </si>
  <si>
    <t xml:space="preserve">Parikshit </t>
  </si>
  <si>
    <t>Pundlik</t>
  </si>
  <si>
    <t>Bhoyar</t>
  </si>
  <si>
    <t>Parikshit  Pundlik Bhoyar</t>
  </si>
  <si>
    <t>P26701134@student.nicmar.ac.in</t>
  </si>
  <si>
    <t xml:space="preserve">Sports,Sketching ,Music </t>
  </si>
  <si>
    <t>Pundlik Bhoyar</t>
  </si>
  <si>
    <t>Priti Bhoyar</t>
  </si>
  <si>
    <t>SBI bank building, Gadchiroli road, Armori</t>
  </si>
  <si>
    <t>Megapolis Saffron,Phase 3, Hinjewadi</t>
  </si>
  <si>
    <t>School of Scholars</t>
  </si>
  <si>
    <t>CBSE, Gadchiroli,</t>
  </si>
  <si>
    <t>CBSE, Gadchiroli</t>
  </si>
  <si>
    <t xml:space="preserve">Bharati Vidyapeth </t>
  </si>
  <si>
    <t>Bharati Vidyapeeth College of Engineering, Pune</t>
  </si>
  <si>
    <t>MATLAB,Cisco Packet Tracer,Xilinx Vivado,Arduino ,IOT</t>
  </si>
  <si>
    <t>IFB Refrigerations | Quality Control Intren | Ranjhangoan | Jun 2025 | Jul 2025 | 0 Years, 1 Months, 7 Days</t>
  </si>
  <si>
    <t>An Introduction to Information Theory</t>
  </si>
  <si>
    <t>P26701135</t>
  </si>
  <si>
    <t>Tejasvi</t>
  </si>
  <si>
    <t>Lamkane</t>
  </si>
  <si>
    <t>Tejasvi Navnath Lamkane</t>
  </si>
  <si>
    <t>P26701135@student.nicmar.ac.in</t>
  </si>
  <si>
    <t>portrait sketch ,dancing,Spending time with animals ,Learning new skills,Listening to music ,Cooking</t>
  </si>
  <si>
    <t xml:space="preserve">Navnath Nagnath Lamkane </t>
  </si>
  <si>
    <t xml:space="preserve">project manager </t>
  </si>
  <si>
    <t xml:space="preserve">Swati Navnath Lamkane </t>
  </si>
  <si>
    <t xml:space="preserve">sr.no 54/3,baliraj colony 2,harinandan apartment, flat no:301,near nisarg hardik phase 1,rahatani,pune 17
</t>
  </si>
  <si>
    <t>(Maharashtra state board of secondary and higher secondary education) Pune</t>
  </si>
  <si>
    <t>Cusrow Wadia Institute Of Technology, pune</t>
  </si>
  <si>
    <t>imperial college of engineering and research pune</t>
  </si>
  <si>
    <t>AutoCAD,MS project,basic revit</t>
  </si>
  <si>
    <t>P26701137</t>
  </si>
  <si>
    <t>Upadhye</t>
  </si>
  <si>
    <t>Siddhi Abhijit Upadhye</t>
  </si>
  <si>
    <t>siddhiupadhye1504@gmail.com</t>
  </si>
  <si>
    <t>P26701137@student.nicmar.ac.in</t>
  </si>
  <si>
    <t xml:space="preserve">English, marathi, hindi </t>
  </si>
  <si>
    <t>Drama, films, reading, painting</t>
  </si>
  <si>
    <t>Abhijit Vijay Upadhye</t>
  </si>
  <si>
    <t>Avanti Abhijit Upadhye</t>
  </si>
  <si>
    <t>Bharatkunj society no. 2 erandwana pune parijat building 1st floor near khs college</t>
  </si>
  <si>
    <t>BVB's Paranjpe Vidya Mandir</t>
  </si>
  <si>
    <t>ssc board, pune city</t>
  </si>
  <si>
    <t>Modern college of arts science and commerce, Shivajinagar Pune</t>
  </si>
  <si>
    <t>hsc board,pune city</t>
  </si>
  <si>
    <t>Aayojan school of architecture and design, pune</t>
  </si>
  <si>
    <t>autocad,ms office,sketchup,photoshop,illustrator,indesign,ms projects</t>
  </si>
  <si>
    <t>Mitimitra Consultants pvt ltd. | Junior Architect | PUNE | Apr 2022 | Jul 2023 | 1 Years, 3 Months, 3 Days | 2.16
Integrid design consultants | Architect | PUNE | Sep 2024 | Jun 2026 | 1 Years, 9 Months, 21 Days | 3.24</t>
  </si>
  <si>
    <t>P26701138</t>
  </si>
  <si>
    <t>Gautam</t>
  </si>
  <si>
    <t>Sakshi Gautam</t>
  </si>
  <si>
    <t>P26701138@student.nicmar.ac.in</t>
  </si>
  <si>
    <t>Singing, Dancing,Writing,Reading,Exploring hobbies</t>
  </si>
  <si>
    <t>Ajay Kumar Gautam</t>
  </si>
  <si>
    <t>Sharda Gautam</t>
  </si>
  <si>
    <t>Krishna Nagar, Alambagh, Lucknow, Uttar Pradesh</t>
  </si>
  <si>
    <t>Riverside society, Phase 2, Near Chatrapati shivaji sports complex, National Games Park, Mahalunge.</t>
  </si>
  <si>
    <t>Lucknow Public College, Rajajipuram, Lucknow, Uttar Pradesh</t>
  </si>
  <si>
    <t>Council For The Indian Certificate of Secondary Education, New Delhi</t>
  </si>
  <si>
    <t>DY Patil University, Ambi</t>
  </si>
  <si>
    <t>DY Patil University School of Architecture, Ambi, Pune, Maharashtra</t>
  </si>
  <si>
    <t>Autocad, MS Office, MS Project,Sketchup,D5 Render</t>
  </si>
  <si>
    <t>Studio Bariqi | Junior Architect | Work From Home | Oct 2025 | Mar 2026 | 0 Years, 5 Months, 30 Days | 1.2</t>
  </si>
  <si>
    <t>BowerBird LAb | Intern Architect | Porvorim, Goa | Feb 2025 | Aug 2025 | 25 Weeks | Campus Internship</t>
  </si>
  <si>
    <t>Certificate of Appreciation
Certificate of Appreciation, Zonal Event, NASAIndia</t>
  </si>
  <si>
    <t>P26701139</t>
  </si>
  <si>
    <t>Konchada</t>
  </si>
  <si>
    <t>Srikar</t>
  </si>
  <si>
    <t>Konchada Srikar</t>
  </si>
  <si>
    <t>P26701139@student.nicmar.ac.in</t>
  </si>
  <si>
    <t>English,Hindi,oriya,telugu</t>
  </si>
  <si>
    <t>Video Editing, Photography, Drone Piloting, Coding, Videography, Aerial Photography, Graphic Design, Tech Tinkering</t>
  </si>
  <si>
    <t>Konchada Ramachandra Rao Subudhi</t>
  </si>
  <si>
    <t>Konchada Madhavi</t>
  </si>
  <si>
    <t xml:space="preserve">DESIBEHERA STREET,BIG BAZAAR </t>
  </si>
  <si>
    <t>Sri Prakash Vidyaniketan</t>
  </si>
  <si>
    <t>cbse,vishakapatanam</t>
  </si>
  <si>
    <t>Sai internation school</t>
  </si>
  <si>
    <t>CBSE,BHUBANESHWAR</t>
  </si>
  <si>
    <t>KIIT UNIVERSITY,BHUBANESHWAR,ODISHA</t>
  </si>
  <si>
    <t>PYTHON,C++,PHOTOSHOP,SQL, Java,Power BI, Tableau</t>
  </si>
  <si>
    <t>Iopex Technologies | Data Analyst Intern | Chennai | May 2025 | Jun 2025 | 0 Years, 1 Months, 0 Days | 6</t>
  </si>
  <si>
    <t>P26701140</t>
  </si>
  <si>
    <t>Vikrant</t>
  </si>
  <si>
    <t>Charjan</t>
  </si>
  <si>
    <t>Vikrant Sachin Charjan</t>
  </si>
  <si>
    <t>P26701140@student.nicmar.ac.in</t>
  </si>
  <si>
    <t>cricket,music,badminton,stock market</t>
  </si>
  <si>
    <t>Vrushali</t>
  </si>
  <si>
    <t>juni vasti rahatgaon</t>
  </si>
  <si>
    <t>Golden kids englisgh high school</t>
  </si>
  <si>
    <t>Shri Shivaji Science collage</t>
  </si>
  <si>
    <t>Sant Gadge baba amravati university</t>
  </si>
  <si>
    <t>AUTOCAD,excel,ms project</t>
  </si>
  <si>
    <t>Shri prabhu construction company | Supervisor | Amravti | Jun 2025 | Jul 2025 | 4 Weeks | Campus Internship</t>
  </si>
  <si>
    <t>P26701141</t>
  </si>
  <si>
    <t>Ved Rajesh Patil</t>
  </si>
  <si>
    <t>vrpsvnps.79@gmail.com</t>
  </si>
  <si>
    <t>P26701141@student.nicmar.ac.in</t>
  </si>
  <si>
    <t>Trekking,Camping</t>
  </si>
  <si>
    <t>Station Superintendent</t>
  </si>
  <si>
    <t>Jyoti House, Behind Hindustan Lab, Vijay Nagar Mahim Rd. Palghar.</t>
  </si>
  <si>
    <t>Anand Ashram English High School</t>
  </si>
  <si>
    <t>Maharashtra State Board Of Secondary and higher Secondary Education, Pune</t>
  </si>
  <si>
    <t>Pace Jr. Science College</t>
  </si>
  <si>
    <t>Savitribai Phule pune University</t>
  </si>
  <si>
    <t>D.R. D.Y. Patil Institute Of Technology, Pimpri, Pune</t>
  </si>
  <si>
    <t>P26701142</t>
  </si>
  <si>
    <t>JIDNYASA</t>
  </si>
  <si>
    <t>Jidnyasa Jitendra Sawant</t>
  </si>
  <si>
    <t>jidnyasa.sawant01@gmail.com</t>
  </si>
  <si>
    <t>P26701142@student.nicmar.ac.in</t>
  </si>
  <si>
    <t>English, hindi,marathi</t>
  </si>
  <si>
    <t>painting,writing,Trekking &amp; nature exploration,Badminton or fitness</t>
  </si>
  <si>
    <t>7104 4905 0115</t>
  </si>
  <si>
    <t>Jitendra Harischandra Sawant</t>
  </si>
  <si>
    <t>mechanical engineer</t>
  </si>
  <si>
    <t>Hemlata Jitendra Sawant</t>
  </si>
  <si>
    <t>House-wife</t>
  </si>
  <si>
    <t>E- 336A HERAMB SADAN GARAD SAWANTWADI</t>
  </si>
  <si>
    <t>MILAGRIS HIGH SCHOOL, SAWANTWADI</t>
  </si>
  <si>
    <t>Maharashtra State Board of Secondary and Higher Secondary Education,Pune Maharashta</t>
  </si>
  <si>
    <t>Rani Parvati Devi College of Arts &amp; Commerce, Sawantwadi</t>
  </si>
  <si>
    <t>Appasaheb Brinale College of Architecture,sangli,Maharashtra</t>
  </si>
  <si>
    <t>Autocad, MS Office,photoshop,sketchup,MS project</t>
  </si>
  <si>
    <t>Kundan V Prabhu | Student Intern | Goa | Jan 2023 | Jun 2023 | 21 Weeks</t>
  </si>
  <si>
    <t>MBA-FBE</t>
  </si>
  <si>
    <t>P26708001</t>
  </si>
  <si>
    <t>P26708001@student.nicmar.ac.in</t>
  </si>
  <si>
    <t>P26708002</t>
  </si>
  <si>
    <t>P26708002@student.nicmar.ac.in</t>
  </si>
  <si>
    <t>P26708003</t>
  </si>
  <si>
    <t>P26708003@student.nicmar.ac.in</t>
  </si>
  <si>
    <t>P26708004</t>
  </si>
  <si>
    <t>P26708004@student.nicmar.ac.in</t>
  </si>
  <si>
    <t>P26708005</t>
  </si>
  <si>
    <t>P26708005@student.nicmar.ac.in</t>
  </si>
  <si>
    <t>P26708007</t>
  </si>
  <si>
    <t>P26708007@student.nicmar.ac.in</t>
  </si>
  <si>
    <t>P26708008</t>
  </si>
  <si>
    <t>P26708008@student.nicmar.ac.in</t>
  </si>
  <si>
    <t>B.Tech-Civil</t>
  </si>
  <si>
    <t>2023-2027</t>
  </si>
  <si>
    <t>P2366001</t>
  </si>
  <si>
    <t>P2366001@student.nicmar.ac.in</t>
  </si>
  <si>
    <t>P2366002</t>
  </si>
  <si>
    <t>P2366002@student.nicmar.ac.in</t>
  </si>
  <si>
    <t>P2366003</t>
  </si>
  <si>
    <t>P2366003@student.nicmar.ac.in</t>
  </si>
  <si>
    <t>P2366004</t>
  </si>
  <si>
    <t>P2366004@student.nicmar.ac.in</t>
  </si>
  <si>
    <t>P2366005</t>
  </si>
  <si>
    <t>Sant</t>
  </si>
  <si>
    <t>Yash Yogesh Sant</t>
  </si>
  <si>
    <t>yashsant54@gmail.com</t>
  </si>
  <si>
    <t>P2366005@student.nicmar.ac.in</t>
  </si>
  <si>
    <t>01-Apr-2005</t>
  </si>
  <si>
    <t>Reading, Badminton</t>
  </si>
  <si>
    <t>Yogesh Sant</t>
  </si>
  <si>
    <t>Amruta Sant</t>
  </si>
  <si>
    <t>26/6, Sant Gadi Karkhana, Indraprabha Niwas, Hingne Khurd, Sinhgad Road, Lane-4</t>
  </si>
  <si>
    <t xml:space="preserve">Sinhgad Spring Dale School </t>
  </si>
  <si>
    <t>MTES Junior College</t>
  </si>
  <si>
    <t>Nicmar University, Pune</t>
  </si>
  <si>
    <t>2027-Apr</t>
  </si>
  <si>
    <t>AutoCAD, Revit, MS Office, MS Project,Primavera</t>
  </si>
  <si>
    <t>Saideep Enterprises | Site engineer  | Pune | May 2025 | Jun 2025 | 6 Weeks</t>
  </si>
  <si>
    <t>Finlatics Business Analyst Program
Financial Institutions and Markets
An Introduction to Microeconomics 
IGS Student Chapter Membership 
ICI Student Chapter Membership
Concrete Trivia Quiz - ICI Student Chapter &amp; Aakaar, IIT Bombay</t>
  </si>
  <si>
    <t>P2366006</t>
  </si>
  <si>
    <t>P2366006@student.nicmar.ac.in</t>
  </si>
  <si>
    <t>P2366007</t>
  </si>
  <si>
    <t>P2366007@student.nicmar.ac.in</t>
  </si>
  <si>
    <t>P2366008</t>
  </si>
  <si>
    <t>P2366008@student.nicmar.ac.in</t>
  </si>
  <si>
    <t>P2366009</t>
  </si>
  <si>
    <t xml:space="preserve">Rajnandini </t>
  </si>
  <si>
    <t>Mundhe</t>
  </si>
  <si>
    <t>Rajnandini  Sanjay  Mundhe</t>
  </si>
  <si>
    <t>rajnandinimunde05@gmail.com</t>
  </si>
  <si>
    <t>P2366009@student.nicmar.ac.in</t>
  </si>
  <si>
    <t>05-Aug-2005</t>
  </si>
  <si>
    <t xml:space="preserve">Hindi,English, marathi </t>
  </si>
  <si>
    <t xml:space="preserve">Traveling, listening songs,badminton </t>
  </si>
  <si>
    <t>Sanjay kishanrao mundhe</t>
  </si>
  <si>
    <t xml:space="preserve">Government officer </t>
  </si>
  <si>
    <t xml:space="preserve">Surekha Sanjay mundhe </t>
  </si>
  <si>
    <t xml:space="preserve">National insurance academy, Balewadi, Pune </t>
  </si>
  <si>
    <t xml:space="preserve">New vision public school </t>
  </si>
  <si>
    <t xml:space="preserve">Ambajogai/maharashtra </t>
  </si>
  <si>
    <t xml:space="preserve">Yashwantrao Chavan arts,commerce and science college </t>
  </si>
  <si>
    <t xml:space="preserve">Pune/maharashtra </t>
  </si>
  <si>
    <t>AutoCAD,MS Office,MS Project,Primavera,Excel,Staad pro,Revit,MATLAB,Python</t>
  </si>
  <si>
    <t>AVT infrastructure PVT.LTD | Civil Engineering Intern | Olympic Bhavan,Balewadi, pune | Jun 2025 | Jun 2025 | 4 Weeks</t>
  </si>
  <si>
    <t>P2366010</t>
  </si>
  <si>
    <t>Madhav</t>
  </si>
  <si>
    <t>Goel</t>
  </si>
  <si>
    <t>Madhav Goel</t>
  </si>
  <si>
    <t>madhav.goel2112@gmail.com</t>
  </si>
  <si>
    <t>P2366010@student.nicmar.ac.in</t>
  </si>
  <si>
    <t>21-Dec-2005</t>
  </si>
  <si>
    <t>Cooking,Hardware Prototyping</t>
  </si>
  <si>
    <t>Vikas Gupta</t>
  </si>
  <si>
    <t>Shalu Gupta</t>
  </si>
  <si>
    <t>Flat No. 254, Bock D, Vijay Veer Awaas, Sector 18A, Dwarka</t>
  </si>
  <si>
    <t>The Indian Heights School</t>
  </si>
  <si>
    <t>CBSE, New Delhi, Delhi</t>
  </si>
  <si>
    <t>St Johns Convent Sr Sec School</t>
  </si>
  <si>
    <t>MS Office,MS Project,Primavera,AutoCAD,Revit,Solidworks,Staad.Pro,Python,MATLAB</t>
  </si>
  <si>
    <t>CK Birla Healthcare Pvt. Ltd. | Civil Engineering Intern | New Delhi, Delhi, India | May 2025 | Jul 2025 | 9 Weeks
DLF Home Developers Limited | Civil Engineering Intern | Gurugram, Haryana, India | May 2026 | Jun 2026 | 6 Weeks</t>
  </si>
  <si>
    <t>P2366012</t>
  </si>
  <si>
    <t>Mayank Ram Joshi</t>
  </si>
  <si>
    <t>P2366012@student.nicmar.ac.in</t>
  </si>
  <si>
    <t>English , marathi ,Hindi</t>
  </si>
  <si>
    <t>Gym ,guitar ,reading</t>
  </si>
  <si>
    <t>Ram Joshi</t>
  </si>
  <si>
    <t>Retired government officer</t>
  </si>
  <si>
    <t>Ranjana Joshi</t>
  </si>
  <si>
    <t>4th flor bakul heights narendra nagar , shree nagar , Nagpur</t>
  </si>
  <si>
    <t>Bhavans trimurti nagar, Nagpur</t>
  </si>
  <si>
    <t>CBSE , Nagpur</t>
  </si>
  <si>
    <t xml:space="preserve">Dr Ambedkar College </t>
  </si>
  <si>
    <t xml:space="preserve">State board , Nagpur , Maharastra </t>
  </si>
  <si>
    <t>NICMAR University pune</t>
  </si>
  <si>
    <t xml:space="preserve">Pune , Maharashtra </t>
  </si>
  <si>
    <t>Auto cad ,MS Office,MS project,primavera</t>
  </si>
  <si>
    <t>P2366013</t>
  </si>
  <si>
    <t>P2366013@student.nicmar.ac.in</t>
  </si>
  <si>
    <t>P2366014</t>
  </si>
  <si>
    <t>P2366014@student.nicmar.ac.in</t>
  </si>
  <si>
    <t>P2366016</t>
  </si>
  <si>
    <t xml:space="preserve">SHEIKH </t>
  </si>
  <si>
    <t>FAAEZ</t>
  </si>
  <si>
    <t>Sheikh  Faaez Ahmed</t>
  </si>
  <si>
    <t>P2366016@student.nicmar.ac.in</t>
  </si>
  <si>
    <t>05-May-2002</t>
  </si>
  <si>
    <t>READING , MUSIC , TRAVELLING, GAMES</t>
  </si>
  <si>
    <t>SHEIKH ELIYAS AHMED</t>
  </si>
  <si>
    <t>PSU</t>
  </si>
  <si>
    <t>ASIFUNNISHA SHEIKH</t>
  </si>
  <si>
    <t>Q.NO. 3/B, STREET 3, SECTOR 1, BHILAI</t>
  </si>
  <si>
    <t>Sri Sankara Vidayalaya, Sector 10, Bhilai, Chhattisgarh</t>
  </si>
  <si>
    <t>Central Board Of Secondary Education, Bhilai, Chhattisgarh</t>
  </si>
  <si>
    <t>Sri Sanakra Vidayalaya, Sector 10, Bhilai, Chhattisgarh</t>
  </si>
  <si>
    <t>Shri Shanakaracharya Technical campus, Bhilai, Chhattisgarh</t>
  </si>
  <si>
    <t>National Institute Of Construction management and Research, Pune , Maharashtra</t>
  </si>
  <si>
    <t>AutoCAD, Revit, Civil 3D, STAAD.Pro, and 3ds Max.,Integration of sensors,MATLAB,Interior Decoration and Design,Microsoft project,Planning and Project Management,Primavera,MS Office,Python,VS Code,Arduino Uno</t>
  </si>
  <si>
    <t>Public Works Department, Durg | Trainee | Durg, Chhattisgarh | May 2022 | Jun 2022 | 4 Weeks | Campus Internship</t>
  </si>
  <si>
    <t>Revit Architecture
STAAD. Pro V8i Fundamentals under STADD Engineers, Mumbai
NICMAR UNIVERSITY, PUNE IGS STUDENT CHAPTER
NICMAR UNIVERSITY, PUNE ICI STUDENT CHAPTER
PROFESSIONAL AUTOCAD 2020
3D-CIVIL ARCHITECTURE
Research Proposal: Initiating Research, Coursera</t>
  </si>
  <si>
    <t>P2366017</t>
  </si>
  <si>
    <t>Sahil Raj</t>
  </si>
  <si>
    <t>coolsahilraaj@gmail.com</t>
  </si>
  <si>
    <t>P2366017@student.nicmar.ac.in</t>
  </si>
  <si>
    <t>01-Feb-2005</t>
  </si>
  <si>
    <t>Travel &amp; Cultural Exploration,Music Appreciation</t>
  </si>
  <si>
    <t>Mithlesh Kumar Ray</t>
  </si>
  <si>
    <t>Sarita Kumari</t>
  </si>
  <si>
    <t>Naya Tola Madhopur, Bakhtiyarpur, Patna</t>
  </si>
  <si>
    <t>Mount litera Zee School Achuara Barh Patna Bihar</t>
  </si>
  <si>
    <t>Central Board of Secondary Education Patna Bihar</t>
  </si>
  <si>
    <t>Ganga Memorial College of Polytechnic, Harnaut Bihar</t>
  </si>
  <si>
    <t>Autocad,Python,Autodesk Revit,BIM,Primavera,MS Office,MATLAB</t>
  </si>
  <si>
    <t>MGR CONSTRUCTIONS | Civil Engineering Trainee | Harnaut, Bihar | Jan 2023 | Feb 2023 | 4 Weeks
MONTE CARLO HIGHWAY PRIVATE LIMITED | Civil Engineering Trainee | Munger, Bihar  | May 2026 | May 2026 | 4 Weeks
PATNA METRO RAIL CORPORATION LTD. | Civil Engineering Intern – Elevated Stations | Patna, Bihar | Jun 2026 | Jun 2026 | 4 Weeks</t>
  </si>
  <si>
    <t>Achieving Sustainable Development Goals on Water and Sanitation</t>
  </si>
  <si>
    <t>P2366018</t>
  </si>
  <si>
    <t>Kokane</t>
  </si>
  <si>
    <t>Om Ashok Kokane</t>
  </si>
  <si>
    <t>P2366018@student.nicmar.ac.in</t>
  </si>
  <si>
    <t>10-May-2005</t>
  </si>
  <si>
    <t>marathi ,english,hindi</t>
  </si>
  <si>
    <t>Playing sports,Playing Dhool,Swimming</t>
  </si>
  <si>
    <t>ASHOK SAMPAT KOKANE</t>
  </si>
  <si>
    <t>NIRMALA ASHOK KOKANE</t>
  </si>
  <si>
    <t xml:space="preserve">Prabhu Ranga Row House No.1 , Behind Dhanwantari Medical Collage, Kamatwada ,Nashik </t>
  </si>
  <si>
    <t>Boys Town Public School</t>
  </si>
  <si>
    <t>Maharashtra State Board of Secondary and Higher Secondary Education , Nashik Divisional board</t>
  </si>
  <si>
    <t>Guru Gobind Singh Polytechnic ,Nashik</t>
  </si>
  <si>
    <t>National Institute Of Construction Management and Research</t>
  </si>
  <si>
    <t>National Institute Of Construction Management and Research , Pune ,Maharashtra</t>
  </si>
  <si>
    <t>Autocad,stadpro,primevera p6,MSP,BIM</t>
  </si>
  <si>
    <t>P2366019</t>
  </si>
  <si>
    <t>Jayesh Vijay Gunjal</t>
  </si>
  <si>
    <t>P2366019@student.nicmar.ac.in</t>
  </si>
  <si>
    <t>17-Feb-2005</t>
  </si>
  <si>
    <t>Travelling,Bike riding,event &amp; teamwork,music,photography</t>
  </si>
  <si>
    <t>Vijay Mahadeo Gunjal</t>
  </si>
  <si>
    <t>Businessmen</t>
  </si>
  <si>
    <t>Indumati Vijay Gunjal</t>
  </si>
  <si>
    <t>Gitai naiwas, Jaihind Trading Company,narayangaon , pune,Maharashtra - 410504</t>
  </si>
  <si>
    <t>CBSE YEDGAON</t>
  </si>
  <si>
    <t>JAIHIND POLYTECHNIC, KURAN MAHARASTRA</t>
  </si>
  <si>
    <t>NICMAR UNIVERSITY , PUNE</t>
  </si>
  <si>
    <t>NICMAR UNIVERSITY, PUNE MAHARASTRA</t>
  </si>
  <si>
    <t>AutoCAD,MS Office,tallyERP,Tally Prime,Primavera,revit,staad pro,matlab</t>
  </si>
  <si>
    <t>Jaihind Properties | Assistant Engineer | NARAYANGAON | May 2026 | Jul 2026 | 8 Weeks</t>
  </si>
  <si>
    <t>Designer's Notebook: Energy (Fenestration) [DN-15b]
ICI STUDENT CHAPTER
IGS STUDENT CHAPTER
DIPLOMA TOPPER
ABACUS</t>
  </si>
  <si>
    <t>P2366020</t>
  </si>
  <si>
    <t>P2366020@student.nicmar.ac.in</t>
  </si>
  <si>
    <t>P2366021</t>
  </si>
  <si>
    <t>Aman Irfan Bagwan</t>
  </si>
  <si>
    <t>aman.b7ich@gmail.com</t>
  </si>
  <si>
    <t>P2366021@student.nicmar.ac.in</t>
  </si>
  <si>
    <t>21-Jan-2005</t>
  </si>
  <si>
    <t>BADMINTON,BASKETBALL,VIDEO GAMES</t>
  </si>
  <si>
    <t>IRFAN BAGWAN</t>
  </si>
  <si>
    <t>AFRIN BAGWAN</t>
  </si>
  <si>
    <t>plot no. 15, bagwan houe, priy darshani colony, mu.po.yadrav, Yadrav, omkareshwar mandir javal, Yadrav, Kolhapur, Maharashtra,
416146</t>
  </si>
  <si>
    <t>18th Floor, B 1803, Equilife Homes, 5/3, Shitaladevi Nagar, National Games Park, Mahalunge, Pune-411045</t>
  </si>
  <si>
    <t>PODAR INTERNATIONAL SCHOOL, ICHALKARANJI</t>
  </si>
  <si>
    <t>CENTRAL BOARD OF SECONDARY EDUCATION , ICHALKARANJI</t>
  </si>
  <si>
    <t>SANJAY GHODAWAT POLYTECHNIC,ATIGRE</t>
  </si>
  <si>
    <t>AutoCAD,staad pro,Microsoft Project,Revit,primavera,python,vscode,matlab,msoffice,edrawmax,googlesketchup,5d planner,Auditing,3d lidar</t>
  </si>
  <si>
    <t>VITTHAL TODKAR &amp; ASSOCIATES | INTERN | BIJAPUR | Jun 2025 | Jul 2025 | 4 Weeks</t>
  </si>
  <si>
    <t>P2366022</t>
  </si>
  <si>
    <t xml:space="preserve">Yogendra </t>
  </si>
  <si>
    <t xml:space="preserve">Prabhakar </t>
  </si>
  <si>
    <t xml:space="preserve">Jiskar </t>
  </si>
  <si>
    <t xml:space="preserve">Yogendra  Prabhakar  Jiskar </t>
  </si>
  <si>
    <t>P2366022@student.nicmar.ac.in</t>
  </si>
  <si>
    <t>12-Dec-2005</t>
  </si>
  <si>
    <t xml:space="preserve">PLAYING GAMES </t>
  </si>
  <si>
    <t xml:space="preserve">Xray Technician </t>
  </si>
  <si>
    <t xml:space="preserve">Plot no. 50 ,new rathi nagar ,dhamangaon rly </t>
  </si>
  <si>
    <t xml:space="preserve">FLAT NO.901 , SAARTHI SKYBAY , MAHALUNGE  , PUNE </t>
  </si>
  <si>
    <t xml:space="preserve">SFL HIGHSCHOOL &amp; JUNIOR COLLEGE </t>
  </si>
  <si>
    <t xml:space="preserve">MAHARASHTRA STATE BOARD OF SECONDARY AND HIGHER SECONDARY EDUCATION , AMRAVATI DIVISIONAL BOARD </t>
  </si>
  <si>
    <t xml:space="preserve">DIPLOMA IN CIVIL AND RURAL ENGINEERING </t>
  </si>
  <si>
    <t xml:space="preserve">DR. Panjabrao Deshmukh Polytechnic Collage, Amravati </t>
  </si>
  <si>
    <t>National Institute of Construction Management and Research</t>
  </si>
  <si>
    <t xml:space="preserve">National Institute of Construction Management and Research,Pune, Maharashtra </t>
  </si>
  <si>
    <t>AUTOCAD ,STAD PRO,PRIMAVERA P6,Revit Structure,Revit Architectur,EXCEL ,MSP ,BIM</t>
  </si>
  <si>
    <t>Toshiba Water Solutions Private Limited | SITE ENGINEER | 25 MLD BANER  | Jun 2026 | Jun 2026 | 4 Weeks</t>
  </si>
  <si>
    <t xml:space="preserve">AUTOCAD 
REVIT SRCHITECTURE 
REVIT ARCHITECTURE </t>
  </si>
  <si>
    <t>P2366023</t>
  </si>
  <si>
    <t>P2366023@student.nicmar.ac.in</t>
  </si>
  <si>
    <t>P2366024</t>
  </si>
  <si>
    <t xml:space="preserve">Shrikant </t>
  </si>
  <si>
    <t>Savane</t>
  </si>
  <si>
    <t>Atharva Shrikant  Savane</t>
  </si>
  <si>
    <t>nicmaratharva24@gmail.com</t>
  </si>
  <si>
    <t>P2366024@student.nicmar.ac.in</t>
  </si>
  <si>
    <t>25-Nov-2005</t>
  </si>
  <si>
    <t xml:space="preserve">Hindi, English,Marathi  </t>
  </si>
  <si>
    <t>Instrumental Music, Gymnasium</t>
  </si>
  <si>
    <t xml:space="preserve">Shrikant Shriniwas Savane </t>
  </si>
  <si>
    <t xml:space="preserve">Retired ( From PCMC as Chief Engineer) </t>
  </si>
  <si>
    <t xml:space="preserve">Vaishali Shrikant Savane </t>
  </si>
  <si>
    <t xml:space="preserve">Indraprastha, Sec No. 27, Plot No. 476, Behind ICICI Bank, Opposite to Asha Heights Building.  </t>
  </si>
  <si>
    <t xml:space="preserve">St Ursula High School </t>
  </si>
  <si>
    <t xml:space="preserve">State Board Pune, Maharashtra </t>
  </si>
  <si>
    <t xml:space="preserve">Pimpri Chinchwad Polytechnic Pune, Maharashtra </t>
  </si>
  <si>
    <t>Auto CAD, Primavera,MS Project</t>
  </si>
  <si>
    <t>Know How School  | Intern (On Field &amp; Office work)  | Pune.  | Jun 2023 | Aug 2023 | 8 Weeks</t>
  </si>
  <si>
    <t xml:space="preserve">Architectural Precast Versatality(2023) 
Pre-Cast Offsite Construction 
Generative AI 
Research Proposal Initial </t>
  </si>
  <si>
    <t>P2366026</t>
  </si>
  <si>
    <t>P2366026@student.nicmar.ac.in</t>
  </si>
  <si>
    <t>P2366027</t>
  </si>
  <si>
    <t>P2366027@student.nicmar.ac.in</t>
  </si>
  <si>
    <t>P2366028</t>
  </si>
  <si>
    <t>P2366028@student.nicmar.ac.in</t>
  </si>
  <si>
    <t>P2366029</t>
  </si>
  <si>
    <t>P2366029@student.nicmar.ac.in</t>
  </si>
  <si>
    <t>I-MBA</t>
  </si>
  <si>
    <t>2023-2028</t>
  </si>
  <si>
    <t>P2201004</t>
  </si>
  <si>
    <t>KASHINATH</t>
  </si>
  <si>
    <t>PATEKAR</t>
  </si>
  <si>
    <t>Swati Kashinath Patekar</t>
  </si>
  <si>
    <t>swatipatekar88@gmail.com</t>
  </si>
  <si>
    <t>p2201004@student.nicmar.ac.in</t>
  </si>
  <si>
    <t>6705 7701 6212</t>
  </si>
  <si>
    <t>KASHINATH EKNATH PATEKAR</t>
  </si>
  <si>
    <t>SHASHIKALA KASHINATH PATEKAR</t>
  </si>
  <si>
    <t>"Manglai", Bajoria Layout,  Hingna Fata,  Kaulkhed Road, Akola, 444004</t>
  </si>
  <si>
    <t>WING B ,104, PAVILLION RESIDENCY, NEAR SURYA MUKHI GANESH MANDIR, MAHALUNGE , 411045</t>
  </si>
  <si>
    <t>NOEL SCHOOL</t>
  </si>
  <si>
    <t>SMT. MAHERBANU COLLEGE OF SCIENCE AND COMMERCE</t>
  </si>
  <si>
    <t>MS Office,MS Excel,Python,Wordpress</t>
  </si>
  <si>
    <t>A RAY OF HOPE CHARITABLE TRUST | INTERN, COMMUNITY ENGAGEMENT | PUNE, MAHARASHTRA | Jun 2024 | Jul 2024 | 4 Weeks</t>
  </si>
  <si>
    <t>Sardar Unity Trinity Quiz- Samriddh Bharat
Yoga and Positive Psychology for Managing Career and Life
Interactive Skills
Business Writing
Maharashtra State Certificate in Information Technology
Improve Buisness Performance with Microsoft Forms
Fundamentals of Management</t>
  </si>
  <si>
    <t>P2367001</t>
  </si>
  <si>
    <t>WAKDE</t>
  </si>
  <si>
    <t>Tanishq Suresh Wakde</t>
  </si>
  <si>
    <t>tanishqwakde033@gmail.com</t>
  </si>
  <si>
    <t>p2367001@student.nicmar.ac.in</t>
  </si>
  <si>
    <t>4808 4259 2236</t>
  </si>
  <si>
    <t>SURESH LAHANUJI WAKDE</t>
  </si>
  <si>
    <t>TECHNICIAN, NPCIL</t>
  </si>
  <si>
    <t>RUPALI SURESH WAKDE</t>
  </si>
  <si>
    <t>TYPE-3, 39 K ANUPRATAP COLONY, RAWATBHATA, RAJASTHAN, VIA KOTA</t>
  </si>
  <si>
    <t>ATOMIC ENERGY CENTRAL SCHOOL NO-4, RAWATBHATA, RAJ</t>
  </si>
  <si>
    <t>CBSE RAWATBHATA, RAJASTHAN</t>
  </si>
  <si>
    <t>ATOMIC ENERGY CENTRAL SCHOOL NO-3, RAWATBHATA, RAJ</t>
  </si>
  <si>
    <t>MS Office,Python (Beginner)</t>
  </si>
  <si>
    <t>Charbhuja Muktidham Evam Paryavaran Vikas Samiti, Rawatbhata | Volunteer | Rawatbhata, Rajasthan | Jun 2024 | Jul 2024 | 3 Weeks
Blubrick Realty | Intern Executive (Pre- Sales) | 626, Vision One Office Towers, Near Decathlon, Vision One Mall, Tathawade, PCMC-411033 | May 2025 | Jul 2025 | 8 Weeks</t>
  </si>
  <si>
    <t>P2367002</t>
  </si>
  <si>
    <t>SANDIPANI</t>
  </si>
  <si>
    <t>Dhruv Sandipani Gaikwad</t>
  </si>
  <si>
    <t>gaikwaddhruv657@gmail.com</t>
  </si>
  <si>
    <t>p2367002@student.nicmar.ac.in</t>
  </si>
  <si>
    <t>4882 8109 0081</t>
  </si>
  <si>
    <t>VETERINARY DOCTOR</t>
  </si>
  <si>
    <t>RUPANJALI</t>
  </si>
  <si>
    <t>HEAD OF DEPARTMENT (EDUCATIONAL INSTITUTE)</t>
  </si>
  <si>
    <t>405, Chintamani Swaroop Behind Chintamani Dnyanpeeth, Ambegaon Pathar.</t>
  </si>
  <si>
    <t>NAVSAHYADRI GURUKUL ENGLISH MEDIUM SCHOOL, NAIGAON</t>
  </si>
  <si>
    <t>MS Office,MS Excel,Analytical Thinking,Leadership &amp; Teamwork</t>
  </si>
  <si>
    <t>Brickfolio Pvt. Ltd | Digital Marketing Intern | Pune | May 2025 | Jul 2025 | 8 Weeks</t>
  </si>
  <si>
    <t>P2367003</t>
  </si>
  <si>
    <t>MARULKAR</t>
  </si>
  <si>
    <t>Om Rahul Marulkar</t>
  </si>
  <si>
    <t>ommarulkar@gmail.com</t>
  </si>
  <si>
    <t>p2367003@student.nicmar.ac.in</t>
  </si>
  <si>
    <t>Marathi</t>
  </si>
  <si>
    <t>3922 8844 0998</t>
  </si>
  <si>
    <t>RAHUL MARULKAR</t>
  </si>
  <si>
    <t>SHWETA MARULKAR</t>
  </si>
  <si>
    <t>755 Kasba Peth, Opp Sattoti Police Station, Rajas Apt, Flat No.201, Pune</t>
  </si>
  <si>
    <t>KALMADI SHAMARAO HIGH SCHOOL AND JR COLLEGE</t>
  </si>
  <si>
    <t>HSE PUNE MAHARASHTRA</t>
  </si>
  <si>
    <t>other,Leadership,MS Excel,Communication skills,Teamwork</t>
  </si>
  <si>
    <t>Social Responsibility | Volunteer  | Pune | Jun 2024 | Jul 2024 | 4 Weeks
Blubrick Reality | Sales Executive | Punr | May 2025 | Jul 2025 | 8 Weeks</t>
  </si>
  <si>
    <t>P2367004</t>
  </si>
  <si>
    <t>SHAKTI</t>
  </si>
  <si>
    <t>Ishita Shakti</t>
  </si>
  <si>
    <t>ishitashakti24@gmail.com</t>
  </si>
  <si>
    <t>p2367004@student.nicmar.ac.in</t>
  </si>
  <si>
    <t>24-Apr-2005</t>
  </si>
  <si>
    <t>ENGLISH, HINDI, MARATHI, FRENCH</t>
  </si>
  <si>
    <t>3236 7718 4576</t>
  </si>
  <si>
    <t>SHAKTI SOMU</t>
  </si>
  <si>
    <t>IT REGIONAL MANAGER</t>
  </si>
  <si>
    <t>ISHA SINHA</t>
  </si>
  <si>
    <t>SECONDARY TEACHER</t>
  </si>
  <si>
    <t>002/A2 Building._x000D_
The Rutu Estate. Patlipada._x000D_
Ghodbundar Road, Thane (W)</t>
  </si>
  <si>
    <t>UNIVERSAL HIGH SCHOOL</t>
  </si>
  <si>
    <t>THANE/MAHARASHTRA</t>
  </si>
  <si>
    <t>AKSHAR PAAUL NGO | INTERN | SR. NO. 97/8, KOTHRUD DEPOT, C-2/10, DHANLAXMI PARK, PAUD ROAD, BHUSARI COLONY, PUNE, MAHARASHTRA 411038 | Jun 2024 | Jul 2024 | 4 Weeks
SHREE RAMESHWAR GLASS GLAZING LLP | PRODUCTION COORDINATION INTERN | EARTH RESIDENCY, A-702, D.N. DUBEY ROAD, RATAN NAGAR, DAHISAR (E), MUMBAI- 400068, INDIA | May 2025 | Jul 2025 | 7 Weeks</t>
  </si>
  <si>
    <t>Marathi
French
German-1
Karate</t>
  </si>
  <si>
    <t>P2367005</t>
  </si>
  <si>
    <t>SHIVIKA</t>
  </si>
  <si>
    <t>Shivika Saxena</t>
  </si>
  <si>
    <t>ashnashivi@gmail.com</t>
  </si>
  <si>
    <t>p2367005@student.nicmar.ac.in</t>
  </si>
  <si>
    <t>08-Mar-2005</t>
  </si>
  <si>
    <t>3006 8047 9444</t>
  </si>
  <si>
    <t>KUMAR SAURABH</t>
  </si>
  <si>
    <t>VICE PRESIDENT @ SOCIETE GENERALE</t>
  </si>
  <si>
    <t>ANJU VARSHNEY</t>
  </si>
  <si>
    <t>#1014 Tower 1, Andrina, Prestige Lakeside Habitat, Near Varthur Police Station , Whitefield</t>
  </si>
  <si>
    <t>GATE NO 2, NICMAR UNIVERSITY, NEAR N.I.A ACADEMY, BANER, BALEWADI , PUNE</t>
  </si>
  <si>
    <t>DELHI PUBLIC SCHOOL BANGALORE EAST</t>
  </si>
  <si>
    <t>CBSE, BANGALORE, KARANTAKA</t>
  </si>
  <si>
    <t>SRI RAM GLOBAL SCHOOL (OMR)</t>
  </si>
  <si>
    <t>CBSE, BANGALORE, KARNATAKA</t>
  </si>
  <si>
    <t>MS Office,MAXQDA,MS-EXCEL,MS-PPT,ADOBE ILLUSTRATOR,PYTHON,MS -ACCESS</t>
  </si>
  <si>
    <t>AMERICAN INDIA FOUNDATION (AIF) | INTERN | BANGALORE | Jun 2024 | Jul 2024 | 4 Weeks
CloudSEK | Compliance Intern | Bangalore | May 2025 | Jul 2025 | 8 Weeks</t>
  </si>
  <si>
    <t>Qualitative Data Analysis using MAXQDA and Academic Writing
Ethical Use of AI Tools in Academic Writing and Research</t>
  </si>
  <si>
    <t>P2367007</t>
  </si>
  <si>
    <t>SARAH</t>
  </si>
  <si>
    <t>Sarah Fatima Sheikh</t>
  </si>
  <si>
    <t>sarah.sheikhh15@gmail.com</t>
  </si>
  <si>
    <t>p2367007@student.nicmar.ac.in</t>
  </si>
  <si>
    <t>5875 3219 1066</t>
  </si>
  <si>
    <t>LATE. JAVED AHMED</t>
  </si>
  <si>
    <t>MRS. ANISA SHEIKH</t>
  </si>
  <si>
    <t>TEACHING</t>
  </si>
  <si>
    <t>A-40 Naushad Ali, _x000D_
Vardhaman Green Park _x000D_
80 Ft Road, Ashoka Garden _x000D_
Bhopal  _x000D_
462023</t>
  </si>
  <si>
    <t>CHANDERBALA MODI ACADEMY</t>
  </si>
  <si>
    <t>CBSE ANKLESHWAR,GUJARAT</t>
  </si>
  <si>
    <t>MS Office,Python,MySQL,JavaSript,MS Excel,Adobe Illustrator</t>
  </si>
  <si>
    <t>ARUSHI | INTERN | BHOPAL,MP | Jun 2024 | Jun 2024 | 3 Weeks
DAINIK BHASKAR CORPORATION LTD. | FINANCE INTERN | BHOPAL | May 2025 | Jul 2025 | 8 Weeks</t>
  </si>
  <si>
    <t>French 1 PARLER DE SOI
French Exchanger</t>
  </si>
  <si>
    <t>P2367008</t>
  </si>
  <si>
    <t>Dhruv Rahul Gaikwad</t>
  </si>
  <si>
    <t>dhruvgaikwad9@gmail.com</t>
  </si>
  <si>
    <t>p2367008@student.nicmar.ac.in</t>
  </si>
  <si>
    <t>2136 3355 9081</t>
  </si>
  <si>
    <t>RAHUL GAIKWAD</t>
  </si>
  <si>
    <t>MRUDULA GAIKWAD</t>
  </si>
  <si>
    <t>Bella Casa Society, Baner-Sus, Pune, 411021</t>
  </si>
  <si>
    <t>HIGH VISION INTERNATIONAL SCHOOL</t>
  </si>
  <si>
    <t>CBSE PUNE, MAHARASHTRA</t>
  </si>
  <si>
    <t>other,Python,MS Access,MS Excel</t>
  </si>
  <si>
    <t>S. GAUTAM AND ASSOCIATES LLP | FINANCE INTERN | PUNE | May 2025 | Jul 2025 | 8 Weeks</t>
  </si>
  <si>
    <t>P2367009</t>
  </si>
  <si>
    <t>FIRAKE</t>
  </si>
  <si>
    <t>Shreya Abhay Firake</t>
  </si>
  <si>
    <t>shreya.firake@gmail.com</t>
  </si>
  <si>
    <t>p2367009@student.nicmar.ac.in</t>
  </si>
  <si>
    <t>21-Jun-2005</t>
  </si>
  <si>
    <t>6792 7257 7256</t>
  </si>
  <si>
    <t>ABHAY FIRAKE</t>
  </si>
  <si>
    <t>MINAL FIRAKE</t>
  </si>
  <si>
    <t>B - 604, Golden Trellis, Golden Street, Near Palazzo, Balewadi, Pune City, Pune, Maharashtra.</t>
  </si>
  <si>
    <t>NEW ERA HIGH SCHOOL PANCHGANI</t>
  </si>
  <si>
    <t>M.P. INTERNATIONAL SCHOOL AND JUNIOR COLLEGE</t>
  </si>
  <si>
    <t>HIGHER SECONDARY CLASS</t>
  </si>
  <si>
    <t>MS Office,Python,Adobe Illustrator</t>
  </si>
  <si>
    <t>Bal Kalyan Sanstha | Intern  | Aundh,Pune | Jun 2024 | Jul 2024 | 4 Weeks
Capri Global Capital Ltd. | Intern - Credit - CF  | Fergusson College Road,Pune  | May 2025 | Jul 2025 | 8 Weeks</t>
  </si>
  <si>
    <t>French 1</t>
  </si>
  <si>
    <t>P2367010</t>
  </si>
  <si>
    <t>BHATTACHARYYA</t>
  </si>
  <si>
    <t>Arpan Bhattacharyya</t>
  </si>
  <si>
    <t>arpanb1729@gmail.com</t>
  </si>
  <si>
    <t>p2367010@student.nicmar.ac.in</t>
  </si>
  <si>
    <t>12-Sep-2005</t>
  </si>
  <si>
    <t>7914 2083 6829</t>
  </si>
  <si>
    <t>PANKOJ KUMAR BHATTACHARYYA</t>
  </si>
  <si>
    <t>SUSHMITA BHATTACHARYYA</t>
  </si>
  <si>
    <t>D3, Finolex Housing Colony, Zadgaon</t>
  </si>
  <si>
    <t>DELHI PUBLIC SCHOOL, BOPAL</t>
  </si>
  <si>
    <t>CENTRAL BOARD OF SECONDARY EDUCATION, AHMEDABAD</t>
  </si>
  <si>
    <t>MS Office,Python,SQL,HTML,CSS</t>
  </si>
  <si>
    <t>Mukul Madhav Foundation (CSR of Finolex) | CSR Intern | Ratnagiri, Maharastra | Jun 2024 | Jun 2024 | 3 Weeks
NSE Clearings Limited | Business Analyst Intern | Mumbai | May 2025 | Jul 2025 | 7 Weeks</t>
  </si>
  <si>
    <t>Responsive Web Design
SWAYAM Proficiency Course in French</t>
  </si>
  <si>
    <t>P2367011</t>
  </si>
  <si>
    <t>SUNRUT</t>
  </si>
  <si>
    <t>NANOTI</t>
  </si>
  <si>
    <t>Sunrut Harshvardhan Nanoti</t>
  </si>
  <si>
    <t>sunrutnanoti@gmail.com</t>
  </si>
  <si>
    <t>p2367011@student.nicmar.ac.in</t>
  </si>
  <si>
    <t>2779 2206 3169</t>
  </si>
  <si>
    <t>HARSHVARDHAN NANOTI</t>
  </si>
  <si>
    <t>MANJUSHA NANOTI</t>
  </si>
  <si>
    <t>202, Abhinav Residency, B1, Laxmi Nagar, Nagpur</t>
  </si>
  <si>
    <t>CENTRAL BOARD OF SECONDARY EDUCATION, NAGPUR, MAHARSHTRA</t>
  </si>
  <si>
    <t>DHANWATE NATIONAL COLLEGE</t>
  </si>
  <si>
    <t>MAHARASHTRA STATE BOARD OF SECONDARY AND HIGHER  SECONDARY EDUCATION, PUNE, MAHARSHTRA</t>
  </si>
  <si>
    <t>other,Generative AI Tools</t>
  </si>
  <si>
    <t>RECEIVABLES EXCHANGE OF INDIA LIMITED | INTERN | MUMBAI | May 2025 | Jul 2025 | 8 Weeks</t>
  </si>
  <si>
    <t>P2367012</t>
  </si>
  <si>
    <t>SHREYA JAISWAL</t>
  </si>
  <si>
    <t>SHYAMASRE</t>
  </si>
  <si>
    <t>Shreya Jaiswal Shyamasre Jaiswal</t>
  </si>
  <si>
    <t>shrej2604@gmail.com</t>
  </si>
  <si>
    <t>p2367012@student.nicmar.ac.in</t>
  </si>
  <si>
    <t>7396 4131 7218</t>
  </si>
  <si>
    <t>SHYAMASRE JAISWAL</t>
  </si>
  <si>
    <t>MEENA JAISWAL</t>
  </si>
  <si>
    <t>Plot No. 34, Tapovan Road, Behind Sadguru Tower,savedi ,Ahmednagar</t>
  </si>
  <si>
    <t>KENDRIYA VIDYALAYA KARIAPPA ROAD AHMEDNAGAR</t>
  </si>
  <si>
    <t>DR. BALASAHEB VIKHE PATIL JUNIOR COLLEGE</t>
  </si>
  <si>
    <t>other,Adobe Illustrator,Ms excel,Canva,Lightroom,ms access,Ms powerpoint,Ms word</t>
  </si>
  <si>
    <t>BALGHAR PRAKALPH | SOCIAL WORK INTERN | AHMEDNAGAR, MAHARASHTRA | Jun 2024 | Jun 2024 | 4 Weeks
YES MONEY SERVICES | INTERN  | AHMEDNAGAR, MAHARASHTRA  | May 2025 | Jul 2025 | 8 Weeks</t>
  </si>
  <si>
    <t>P2367013</t>
  </si>
  <si>
    <t>MUKTASREE</t>
  </si>
  <si>
    <t>Muktasree Das</t>
  </si>
  <si>
    <t>muktasreedas09@gmail.com</t>
  </si>
  <si>
    <t>p2367013@student.nicmar.ac.in</t>
  </si>
  <si>
    <t>09-Mar-2006</t>
  </si>
  <si>
    <t>ENGLISH HINDI BENGALI</t>
  </si>
  <si>
    <t>8021 0969 2985</t>
  </si>
  <si>
    <t>MONOJ DAS</t>
  </si>
  <si>
    <t>MOON MOON DAS</t>
  </si>
  <si>
    <t>2/167 A Rupniketan Kalakendra , Regent Estate</t>
  </si>
  <si>
    <t>NICMAR UNIVERSITY, BANER, BALEWADI</t>
  </si>
  <si>
    <t>G.D.BIRLA CENTRE FOR EDUCATION</t>
  </si>
  <si>
    <t>ICSE KOLKATA</t>
  </si>
  <si>
    <t>ISC KOLKATA</t>
  </si>
  <si>
    <t>MS Office,ADOBE ILLUSTRATOR,VISUAL STUDIO CODE,CANVA,BlueJ,MS Excel,PowerPoint</t>
  </si>
  <si>
    <t>Arogya Sandhan Charitable Trust | Intern | Kolkata | Jun 2024 | Jul 2024 | 4 Weeks
BRICKFOLIO PVT. LTD. | HR RECRUITER | PUNE | May 2025 | Jul 2025 | 8 Weeks</t>
  </si>
  <si>
    <t>Dance Utsaav Completition Certificate
Senior Choreo Utsaav Competition
Student Ambassador
Junior Choreo Utsaav Competition</t>
  </si>
  <si>
    <t>P2367014</t>
  </si>
  <si>
    <t>PEDDI</t>
  </si>
  <si>
    <t>Anagha Kumar Peddi</t>
  </si>
  <si>
    <t>peddianagha888@gmail.com</t>
  </si>
  <si>
    <t>p2367014@student.nicmar.ac.in</t>
  </si>
  <si>
    <t>13-Jan-2005</t>
  </si>
  <si>
    <t>Singing,Organizing,Learning Languages,Travelling,Interior Designing</t>
  </si>
  <si>
    <t>9082 2225 1112</t>
  </si>
  <si>
    <t>KUMAR PEDDI</t>
  </si>
  <si>
    <t>SHARADA PEDDI</t>
  </si>
  <si>
    <t>N3 CIDCO Plot No. 297, Above Central Bank Of India</t>
  </si>
  <si>
    <t>NICMAR UNIVERISTY, GATE NO.2  BANER, BALEWADI,</t>
  </si>
  <si>
    <t>ICSE, AURANGABAD, MAHARASHTRA</t>
  </si>
  <si>
    <t>STATE BOARD, AURANGABAD, MAHARASHTRA</t>
  </si>
  <si>
    <t>MS Office,MS Excel,MS Powerpoint,Visual Studio Code,Canva</t>
  </si>
  <si>
    <t>SAVITRIBAI PHULE MAHILA EKATMA SAMAJ MANDAL | INTERN | AURANGABAD | Jun 2024 | Jul 2024 | 4 Weeks
NIWAS HOUSING FINANCE PVT. LTD. | CREDIT INTERN  | AURANGABAD | May 2025 | Jul 2025 | 8 Weeks</t>
  </si>
  <si>
    <t>Student Ambassador Course</t>
  </si>
  <si>
    <t>P2367016</t>
  </si>
  <si>
    <t>ADVAIT</t>
  </si>
  <si>
    <t>Advait Prashant Deshpande</t>
  </si>
  <si>
    <t>deshpandeadvait13@gmail.com</t>
  </si>
  <si>
    <t>p2367016@student.nicmar.ac.in</t>
  </si>
  <si>
    <t>13-May-2005</t>
  </si>
  <si>
    <t>Reading Books,Listening Music</t>
  </si>
  <si>
    <t>9479 5175 6766</t>
  </si>
  <si>
    <t>PRASHANT RENUKADAS DESHPANDE</t>
  </si>
  <si>
    <t>MRUNALINI PRASHANT DESHPANDE</t>
  </si>
  <si>
    <t>151, Near Angels Paradise School, Samarth Nagar.</t>
  </si>
  <si>
    <t>ORCHIDS THE INTERNATIONAL SCHOOL</t>
  </si>
  <si>
    <t>CBSE THANE/MAHARASHTRA</t>
  </si>
  <si>
    <t>CBSE AURANGABAD/MAHARASHTRA</t>
  </si>
  <si>
    <t>Savitribai Phule Mahila Ekatma Samaj Mandal | Intern | Aurangabad | Jun 2024 | Jun 2024 | 4 Weeks
Niwas Housing Finance Pvt Ltd | Credit Intern | Plot no 22, Gurukurpa housing society, Shahnurwadi village, Chhatrapati Sambhaji Nagar, Maharashtra, 431003 | May 2025 | Jul 2025 | 8 Weeks</t>
  </si>
  <si>
    <t>NPTEL Online Certification  German - I</t>
  </si>
  <si>
    <t>P2367017</t>
  </si>
  <si>
    <t>Aryan Pandey</t>
  </si>
  <si>
    <t>pandeyaryan0012@gmail.com</t>
  </si>
  <si>
    <t>p2367017@student.nicmar.ac.in</t>
  </si>
  <si>
    <t>18-Aug-2003</t>
  </si>
  <si>
    <t>7321 7816 8039</t>
  </si>
  <si>
    <t>BINAY KUMAR PANDEY</t>
  </si>
  <si>
    <t>JOSNI PANDEY</t>
  </si>
  <si>
    <t>PRIVATE PRACTICE</t>
  </si>
  <si>
    <t>A-2 Param Manoram Kunj B-145, Buddha Colony, Near Chowdhary Market</t>
  </si>
  <si>
    <t>POST OFFICE, 25/1, GATE NO-2, NICMAR UNIVERSITY, N.I.A, BALEWADI RD, RAM NAGAR, BANER,</t>
  </si>
  <si>
    <t>LOYOLA HIGH SCHOOL, KURJI, PATNA-10</t>
  </si>
  <si>
    <t>State Institute of Health and Family Welfare | Intern | Patna | Jun 2024 | Jul 2024 | 4 Weeks
HONDA MOTORCYCLE &amp; SCOOTERS INDIA PVT. LTD. | INTERN | TAPUKARA | May 2025 | Jul 2025 | 7 Weeks</t>
  </si>
  <si>
    <t>P2367018</t>
  </si>
  <si>
    <t>KANAV</t>
  </si>
  <si>
    <t>Kanav Singh</t>
  </si>
  <si>
    <t>realkanavv@gmail.com</t>
  </si>
  <si>
    <t>p2367018@student.nicmar.ac.in</t>
  </si>
  <si>
    <t>7555 0379 8218</t>
  </si>
  <si>
    <t>MR.DEVESH KUMAR</t>
  </si>
  <si>
    <t>SERVICE(PRIVATE)</t>
  </si>
  <si>
    <t>MRS.POOJA SINGH</t>
  </si>
  <si>
    <t>38, New Sector E, Firoz Gandhi Colony, Aliganj, Lucknow_x000D_
House</t>
  </si>
  <si>
    <t>RANI LAXMI BAI MEMORIAL SCHOOL, SECTOR-3, VIKAS NAGAR, LUCKNOW</t>
  </si>
  <si>
    <t>CENTRAL BOARD OF SECONDARY EDUCATION (LUCKNOW,UTTAR PRADESH)</t>
  </si>
  <si>
    <t>CENTRAL BOARD OF SECONDARY EDUCATION (LUCKNOW, UTTAR PRADESH)</t>
  </si>
  <si>
    <t>MS Office,PYTHON,ADOBE ILLUSTRATOR,ADOBE PHOTOSHOP,CANVA</t>
  </si>
  <si>
    <t>HelpAge India | INTERN | Lucknow | Jun 2024 | Jul 2024 | 4 Weeks
Brickfolio Solutions Private Ltd | Human Resources Intern | Pune | May 2025 | Jul 2025 | 8 Weeks</t>
  </si>
  <si>
    <t>Course On Computer Basics
Student Ambassador</t>
  </si>
  <si>
    <t>P2367019</t>
  </si>
  <si>
    <t>Hrushikesh Ajay Chaudhari</t>
  </si>
  <si>
    <t>hrushichaudhari21@gmail.com</t>
  </si>
  <si>
    <t>p2367019@student.nicmar.ac.in</t>
  </si>
  <si>
    <t>21-Nov-2005</t>
  </si>
  <si>
    <t>english, marathi, hindi</t>
  </si>
  <si>
    <t>7451 3569 7590</t>
  </si>
  <si>
    <t>AJAY CHAUDHARI</t>
  </si>
  <si>
    <t>ANURADHA CHAUDHARI</t>
  </si>
  <si>
    <t>102, Ujwal Regalia Beside Prabhavee Tech Park Baner, Pune - 411045</t>
  </si>
  <si>
    <t>P2367020</t>
  </si>
  <si>
    <t>Devansh Gaur</t>
  </si>
  <si>
    <t>gaurdevansh04@gmail.com</t>
  </si>
  <si>
    <t>p2367020@student.nicmar.ac.in</t>
  </si>
  <si>
    <t>6537 3952 4438</t>
  </si>
  <si>
    <t>MANEESH GAUR</t>
  </si>
  <si>
    <t>POORVA GAUR</t>
  </si>
  <si>
    <t>D-702 ,AMRAPALI EDEN PARK, F 27 SECTOR-50,NOIDA UTTAR PRADESH 201301</t>
  </si>
  <si>
    <t>RYAN INTERNATIONAL SCH SECT-39 NOIDA G B NGR UP</t>
  </si>
  <si>
    <t>CENTRAL BOARD OF SECONDARY EDUCATION.(NOIDA, UTTAR PRADESH)</t>
  </si>
  <si>
    <t>Indo-Global Social Service Society | Intern | H6QH+G6M, Bhishma Pitamah Marg, Gokalpuri, Institutional Area, Lodi Colony, New Delhi, Delhi 110003 | Jun 2024 | Jul 2024 | 3 Weeks
ORIX CORPORATION INDIA LIMITED | INTERN | D-71/2, RAMA RD, MOTI NAGAR, BLOCK B, BLOCK C, NAJAFGARH ROAD INDUSTRIAL AREA, NEW DELHI, DELHI, 110015, INDIA | May 2025 | Jul 2025 | 8 Weeks</t>
  </si>
  <si>
    <t>Beginner to Pro in Excel: Financial Modeling and Valuation
The Complete Python Bootcamp From Zero to Hero in Python
German</t>
  </si>
  <si>
    <t>P2367021</t>
  </si>
  <si>
    <t>LAAVANYA</t>
  </si>
  <si>
    <t>SRIVASTAV</t>
  </si>
  <si>
    <t>Laavanya Srivastav</t>
  </si>
  <si>
    <t>laavanyasrivastav@gmail.com</t>
  </si>
  <si>
    <t>p2367021@student.nicmar.ac.in</t>
  </si>
  <si>
    <t>25-Mar-2005</t>
  </si>
  <si>
    <t>2367 1584 1904</t>
  </si>
  <si>
    <t>R K SHRIVASTAVA</t>
  </si>
  <si>
    <t>SERVICE (PRIVATE)</t>
  </si>
  <si>
    <t>PRATIMA SRIVASTAVA</t>
  </si>
  <si>
    <t>C2/10, Godrej Park, Godrej Hill, Khadakpada, Kalyan West</t>
  </si>
  <si>
    <t>STELLA MARIS INTER COLLEGE</t>
  </si>
  <si>
    <t>ICSE, LUCKNOW, UTTAR PRADESH</t>
  </si>
  <si>
    <t>ST. TERESA'S COLLEGE</t>
  </si>
  <si>
    <t>ISC, LUCKNOW, UTTAR PRADESH</t>
  </si>
  <si>
    <t>MS Office,Python,Canva,Adobe Illustrator,Social Media Co-Ordinator of Genesis Club</t>
  </si>
  <si>
    <t>Sankalp Foundation | Intern | Thane | Jun 2024 | Jun 2024 | 3 Weeks
Receivables Exchange of India (RXIL) | Hr Intern | Kanjurmarg, Mumbai, Maharashtra | May 2025 | Jul 2025 | 8 Weeks</t>
  </si>
  <si>
    <t>BSLÂ­001: Basics of Spanish Language and CultureÂ­ - I</t>
  </si>
  <si>
    <t>P2367022</t>
  </si>
  <si>
    <t>ANSHIKA</t>
  </si>
  <si>
    <t>Anshika Srivastava</t>
  </si>
  <si>
    <t>anshika.kanha1212@gmail.com</t>
  </si>
  <si>
    <t>p2367022@student.nicmar.ac.in</t>
  </si>
  <si>
    <t>2461 3366 7532</t>
  </si>
  <si>
    <t>AVINASH SRIVASTAVA</t>
  </si>
  <si>
    <t>FINANCIAL ADVISER</t>
  </si>
  <si>
    <t>NIDHI SRIVASTAVA</t>
  </si>
  <si>
    <t>73,Amrapali Residency Novino Tarsali Road</t>
  </si>
  <si>
    <t>KENDRIYA VIDYALAYA MALANJKHAND</t>
  </si>
  <si>
    <t>CBSE MALANJKHAND MADHYA PRADESH</t>
  </si>
  <si>
    <t>MS Office,Visual studio code,Python,Canva,Adobe illustrator</t>
  </si>
  <si>
    <t>Martial arts -Karate
Technikala annual fest
Community services</t>
  </si>
  <si>
    <t>p2367023</t>
  </si>
  <si>
    <t>Akshat Jain</t>
  </si>
  <si>
    <t>akashakshat122@gmail.com</t>
  </si>
  <si>
    <t>p2367023@student.nicmar.ac.in</t>
  </si>
  <si>
    <t>14-Dec-2005</t>
  </si>
  <si>
    <t>4852 9299 0757</t>
  </si>
  <si>
    <t>MAHENDRA JAIN</t>
  </si>
  <si>
    <t>RASHMI JAIN</t>
  </si>
  <si>
    <t>1204, Celestial Comfort Condominium , GH-27 , Sector-4 , Vaishali , Ghaziabad</t>
  </si>
  <si>
    <t>ST.TERESA SCHOOL</t>
  </si>
  <si>
    <t>P2367024</t>
  </si>
  <si>
    <t>SOWMITRI SHARMA</t>
  </si>
  <si>
    <t>MALLADI</t>
  </si>
  <si>
    <t>Sowmitri Sharma Malladi</t>
  </si>
  <si>
    <t>sarma.sowmi3@gmail.com</t>
  </si>
  <si>
    <t>p2367024@student.nicmar.ac.in</t>
  </si>
  <si>
    <t>05-Oct-2005</t>
  </si>
  <si>
    <t>2731 4284 2980</t>
  </si>
  <si>
    <t>CHANDRASEKHAR MALLADI</t>
  </si>
  <si>
    <t>MEDICAL REPRESENTATIVE</t>
  </si>
  <si>
    <t>SAILAJA DEVI LANKA</t>
  </si>
  <si>
    <t>25/133,Near Telephone Exchange ,R R Peta, Nuzvid.</t>
  </si>
  <si>
    <t>12485-RAVINDRA BHARATHI SCHOOL</t>
  </si>
  <si>
    <t>SRI SARADA JUNIOR COLLEGE</t>
  </si>
  <si>
    <t>BOARD OF INTERMEDIATE  EDUCATION ANDHRA PRADESH.</t>
  </si>
  <si>
    <t>MS Office,Adobe Illustrator,Python,sql</t>
  </si>
  <si>
    <t>NAVAJEEVAN BALABHAVAN SOCIETY |  VOLUNTEER | PONSANAPALLI,NEAR NUZVID, ANDHRAPRADESH | Jun 2024 | Jul 2024 | 3 Weeks
BluBrick Reality | Pre-Sales | pune | May 2025 | Jul 2025 | 8 Weeks</t>
  </si>
  <si>
    <t>Design Thinking and Community-Based Design
Diploma in Computer Application</t>
  </si>
  <si>
    <t>P2367025</t>
  </si>
  <si>
    <t>RITUJA</t>
  </si>
  <si>
    <t>Rituja Sahu</t>
  </si>
  <si>
    <t>ritujasahu04@gmail.com</t>
  </si>
  <si>
    <t>p2367025@student.nicmar.ac.in</t>
  </si>
  <si>
    <t>04-Oct-2005</t>
  </si>
  <si>
    <t>4771 8792 2943</t>
  </si>
  <si>
    <t>NEERAJ SAHU</t>
  </si>
  <si>
    <t>NEELAM SAHU</t>
  </si>
  <si>
    <t>J3 Meheranchal, Radha Gali Kachnar City, Vijay Nagar</t>
  </si>
  <si>
    <t>MOUNT LITERA ZEE SCHOOL</t>
  </si>
  <si>
    <t>CENTRAL BOARD OF SECONDARY EDUCATION JABALPUR</t>
  </si>
  <si>
    <t>STEMFIELD INTERNATIONAL SCHOOL</t>
  </si>
  <si>
    <t>other,MS excell,MS powerpoint,Python</t>
  </si>
  <si>
    <t>P2367028</t>
  </si>
  <si>
    <t>Sejal Santosh Jagtap</t>
  </si>
  <si>
    <t>ssjagtap04@gmail.com</t>
  </si>
  <si>
    <t>p2367028@student.nicmar.ac.in</t>
  </si>
  <si>
    <t>19-May-2006</t>
  </si>
  <si>
    <t>English, Hindi , Marathi ,French</t>
  </si>
  <si>
    <t>8685 0061 3015</t>
  </si>
  <si>
    <t>PVT SERVICE</t>
  </si>
  <si>
    <t>Flat No. A8, NS Residency, Sambhajinagar, Near Railkar Hospital, Kadam Wakwasti, Lonikalbhor</t>
  </si>
  <si>
    <t>INNOVERA SCHOOL LONIKALBHOR</t>
  </si>
  <si>
    <t>CBSE LONIKALBHOR PUNE MAHARASHTRA</t>
  </si>
  <si>
    <t>J.K. COLLEGE OF SCIENCE, COMMERCE AND ARTS</t>
  </si>
  <si>
    <t>MS Office,Python,Canva,Adobe Illustrator</t>
  </si>
  <si>
    <t>TARA MOBILE CRECHES PUNE | INTERN | PUNE | Jun 2024 | Jul 2024 | 4 Weeks
GODREJ PROPERTIES LIMITED | SALES INTERN | GODREJ RIVERGREENS PROJECT OFFICE - MANJARI BUDRUK IN AWHALWADI, PUNE, | May 2025 | Jul 2025 | 8 Weeks</t>
  </si>
  <si>
    <t>BFLI 001: PARLER DE SOI / Talking About Oneself (French)
BFLIÂ­002: FRENCH Exchanger / Interactions (French)</t>
  </si>
  <si>
    <t>PGP-ACM</t>
  </si>
  <si>
    <t>2021-2023</t>
  </si>
  <si>
    <t>AB21001</t>
  </si>
  <si>
    <t>AASHIMA</t>
  </si>
  <si>
    <t>Aashima Jain</t>
  </si>
  <si>
    <t>aashimaj94.aj@gmail.com</t>
  </si>
  <si>
    <t>ab21001@ms.nicmar.ac.in</t>
  </si>
  <si>
    <t>22-Jul-1998</t>
  </si>
  <si>
    <t>6099 5909 4309</t>
  </si>
  <si>
    <t>AJAY JAIN</t>
  </si>
  <si>
    <t>ANITA JAIN</t>
  </si>
  <si>
    <t>#237,SECTOR-7, Ambala City, Haryana_x000D_
Ambala City</t>
  </si>
  <si>
    <t>S.A. JAIN SENIOR MODEL SCHHOOL</t>
  </si>
  <si>
    <t>CENTRAL BOARD OF SECONDARY EDUCATION, AMBALA CITY</t>
  </si>
  <si>
    <t>S.A. JAIN SENIOR MODEL SCHOOL</t>
  </si>
  <si>
    <t>CHITKARA SCHOOL OF PLANNING AND ARCHITECTURE</t>
  </si>
  <si>
    <t>CHERRY HILLS INTERIORS | PROJECT ARCHITECT INTERN | DELHI | Apr 2022 | Jul 2022 | 12 Weeks | Campus Internship</t>
  </si>
  <si>
    <t>AB21002</t>
  </si>
  <si>
    <t>BHARDWAJ</t>
  </si>
  <si>
    <t>Atul Atul Bhardwaj</t>
  </si>
  <si>
    <t>atulb25498@gmail.com</t>
  </si>
  <si>
    <t>ab21002@ms.nicmar.ac.in</t>
  </si>
  <si>
    <t>25-Apr-1998</t>
  </si>
  <si>
    <t>4258 2911 0033</t>
  </si>
  <si>
    <t>BRIJ MOHAN DASS</t>
  </si>
  <si>
    <t>P-25 First Floor Vijay Vihar_x000D_
Uttam Nagar</t>
  </si>
  <si>
    <t>AMBIENCE PUBLIC SCHOOL</t>
  </si>
  <si>
    <t>IMS ENGINEERING MANAGEMENT TECHNICAL CAMPUS UTTAR PRADESH</t>
  </si>
  <si>
    <t>NIMCAR</t>
  </si>
  <si>
    <t>LIVSPACE | SOURCING TEAM | DELHI | Apr 2022 | Jul 2022 | 12 Weeks | Campus Internship</t>
  </si>
  <si>
    <t>AB21003</t>
  </si>
  <si>
    <t>Nishant Mahajan</t>
  </si>
  <si>
    <t>nishantm1997@gmail.com</t>
  </si>
  <si>
    <t>ab21003@ms.nicmar.ac.in</t>
  </si>
  <si>
    <t>04-Feb-1997</t>
  </si>
  <si>
    <t>2912 4614 6249</t>
  </si>
  <si>
    <t>VINEET MAHAJAN</t>
  </si>
  <si>
    <t>BHARTI MAHAJAN</t>
  </si>
  <si>
    <t>29-D Ram Nagar, Pahar Ganj, New Delhi</t>
  </si>
  <si>
    <t>BAL BHARATI PUBLIC SCHOOL, GANGA RAM HOSPITAL MARG</t>
  </si>
  <si>
    <t>2001-Apr</t>
  </si>
  <si>
    <t>MBS SCHOOL OF PLANNING &amp; ARCHITECTURE, NEW DELHI</t>
  </si>
  <si>
    <t>AutoCAD,MS Office,MS Project,Primavera,ADOBE PHOTOSHOP, ADOBE INDESIGN, SKETCHUP, RHINOCEROS, GRASSHOPPER, REVIT, ARCHITECTURAL DESIGN, GRAPHIC DESIGN, DRAFTING, MODEL MAKING</t>
  </si>
  <si>
    <t>DELOITTE TOUCHE TOHMATSU LIMITED | INTERN, RISK ADVISORY: INTERNAL AUDIT | NEW DELHI | Apr 2022 | Jul 2022 | 12 Weeks | Campus Internship</t>
  </si>
  <si>
    <t>AB21004</t>
  </si>
  <si>
    <t>JOYADATTA</t>
  </si>
  <si>
    <t>Joyadatta Nandi</t>
  </si>
  <si>
    <t>joyanandi97@gmail.com</t>
  </si>
  <si>
    <t>ab21004@ms.nicmar.ac.in</t>
  </si>
  <si>
    <t>18-Aug-1997</t>
  </si>
  <si>
    <t>English Hindi and Bengali</t>
  </si>
  <si>
    <t>3252 8851 6698</t>
  </si>
  <si>
    <t>HARI NARAYAN NANDI</t>
  </si>
  <si>
    <t>GOVERNMENT SERVICE (RETAIRED)</t>
  </si>
  <si>
    <t>MANJU DEBBARMA NANDI</t>
  </si>
  <si>
    <t>Tata Kali Bari Road, Chandrapur, Reshambagan.</t>
  </si>
  <si>
    <t>AGARTALA/TRIPURA</t>
  </si>
  <si>
    <t>BIJU PATNAIK UNIVERSITY OF TECHNOLOGY.</t>
  </si>
  <si>
    <t>GANDHI INSTITUTE FOR EDUCATION AND TECHNOLOGY</t>
  </si>
  <si>
    <t>Byjus | Business Development | Work from home | Apr 2022 | Aug 2022 | 0 Years, 4 Months, 18 Days | 4.3
Byjus | Business Development | Work from home | Apr 2022 | Aug 2022 | 0 Years, 4 Months, 18 Days | 4.3</t>
  </si>
  <si>
    <t>LIVSPACE | VENDOR ONBOARDING PROGRAM | DELHI | Apr 2022 | Jul 2022 | 12 Weeks</t>
  </si>
  <si>
    <t>AB21005</t>
  </si>
  <si>
    <t>Nishant Nishant Nishant</t>
  </si>
  <si>
    <t>nishantmoyal02@gmail.com</t>
  </si>
  <si>
    <t>ab21005@ms.nicmar.ac.in</t>
  </si>
  <si>
    <t>7215 7275 5877</t>
  </si>
  <si>
    <t>MR.PAWAN KUMAR</t>
  </si>
  <si>
    <t>MAYA DEVI</t>
  </si>
  <si>
    <t>Cinema Road Rawatsar Word No.22(new)(old-15) Distric Hanumangarh State Rajasthan Pin Code335524</t>
  </si>
  <si>
    <t>Hanumangarh</t>
  </si>
  <si>
    <t>NEHRU MEMORIAL SEC SCHOOL</t>
  </si>
  <si>
    <t>GURUKUL SHIKSHA SAMITI SR SEC SCH,RAWATSAR (HANUMANGARH</t>
  </si>
  <si>
    <t>RAJASTHAN TECHNICAL UNIVERSITY KOTA</t>
  </si>
  <si>
    <t>SHEKHAWATI INSTITUTE OF ENGINEERING AND TECHNOLOGY ,SIKER</t>
  </si>
  <si>
    <t>SWADESHI CIVIL INFRASTRUCTURE PRIVATE LIMITED NEW DELHI | PROJECT SITE SUPERVISION IN SWADESHI CIVIL INFRASTRUCTURE PRIVATE LIMITED NEW DELHI | DEHLI | May 2019 | Jul 2019 | 6 Weeks
LIVSPACE INTERIOR DESIGN COMPANY BENGLURU | VENDOR SELECTION FOR COMMERCIAL RESION AND BOQ SHARING AND VENDOR ON BOARDING/DEVIATION MATCHING AND NEOGOCIATION WITH THE VENDOR FOR WORK IN THE COMPANY TARGET RATE . THIS IS MY JOB IN LIVSPACE COMPA | BENGLURU  | Apr 2022 | Jul 2022 | 13 Weeks</t>
  </si>
  <si>
    <t>AB21006</t>
  </si>
  <si>
    <t>Sumit Sharma</t>
  </si>
  <si>
    <t>sumitsharma0124.ss@gmail.com</t>
  </si>
  <si>
    <t>ab21006@ms.nicmar.ac.in</t>
  </si>
  <si>
    <t>6038 6698 0274</t>
  </si>
  <si>
    <t>AJAY DEV</t>
  </si>
  <si>
    <t>ASHA RANI</t>
  </si>
  <si>
    <t>Hno. 788/31, Laxman Vihar, Phase 2, Gali No.4</t>
  </si>
  <si>
    <t>COLONEL'S CENTRAL ACADEMY</t>
  </si>
  <si>
    <t>THE NORTHCAP UNIVERSITY, HARYANA/GURUGRAM</t>
  </si>
  <si>
    <t>AB21007</t>
  </si>
  <si>
    <t>Kuhar</t>
  </si>
  <si>
    <t>Preeti Kuhar</t>
  </si>
  <si>
    <t>ab21007@ms.nicmar.ac.in</t>
  </si>
  <si>
    <t>01-Jan-1970</t>
  </si>
  <si>
    <t>AB21008</t>
  </si>
  <si>
    <t>rohitkumar1551998@gmail.com</t>
  </si>
  <si>
    <t>ab21008@ms.nicmar.ac.in</t>
  </si>
  <si>
    <t>15-May-1998</t>
  </si>
  <si>
    <t>2038 4989 9047</t>
  </si>
  <si>
    <t>KAMAKHYA NARAYAN PRASAD</t>
  </si>
  <si>
    <t>HOMEKER</t>
  </si>
  <si>
    <t>B - 755 G.D, Colony Mayur Vihar Phase - 3, East Delhi, DELHI 110096.</t>
  </si>
  <si>
    <t>GOVERNMENT BOY'S SECONDARY SCHOOL, DELHI</t>
  </si>
  <si>
    <t>GOVERNMENT BOY'S SENIOR SECONDARY SCHOOL, DELHI</t>
  </si>
  <si>
    <t>JAGANNATH UNIVERSITY</t>
  </si>
  <si>
    <t>JAGANNATH UNIVERSITY, HARYANA</t>
  </si>
  <si>
    <t>M/s Prem kumar Pvt. Ltd | Site Engineer | Bihar | Jun 2020 | Aug 2021 | 1 Years, 2 Months, 30 Days | 4.2
M/s Prem kumar Pvt. Ltd | Site Engineer | Bihar | Jun 2020 | Aug 2021 | 1 Years, 2 Months, 30 Days | 4.2</t>
  </si>
  <si>
    <t>AAKRITI GROUP | PLANNING AND BILLING DEPARTMENT | DELHI | May 2022 | Jul 2022 | 13 Weeks | Campus Internship</t>
  </si>
  <si>
    <t>AB21009</t>
  </si>
  <si>
    <t>NEGI</t>
  </si>
  <si>
    <t>Atul Negi</t>
  </si>
  <si>
    <t>atulnegi26096@gmail.com</t>
  </si>
  <si>
    <t>ab21009@ms.nicmar.ac.in</t>
  </si>
  <si>
    <t>26-Oct-1996</t>
  </si>
  <si>
    <t>5525 5233 4969</t>
  </si>
  <si>
    <t>NARENDER SINGH</t>
  </si>
  <si>
    <t>EX-SERVICEMEN</t>
  </si>
  <si>
    <t>MADHU NEGI</t>
  </si>
  <si>
    <t>Plot No.12 G-Block Qutub Vihar-1 Near Dwarka Sec-19</t>
  </si>
  <si>
    <t>KENDRIYA VIDYALAYA JANAKPURI</t>
  </si>
  <si>
    <t>AB21010</t>
  </si>
  <si>
    <t>BONHISIKHA</t>
  </si>
  <si>
    <t>BANERJEE</t>
  </si>
  <si>
    <t>Bonhisikha Banerjee</t>
  </si>
  <si>
    <t>banhishikha17@gmail.com</t>
  </si>
  <si>
    <t>ab21010@ms.nicmar.ac.in</t>
  </si>
  <si>
    <t>09-Jun-1991</t>
  </si>
  <si>
    <t>9624 9942 3304</t>
  </si>
  <si>
    <t>LT. BIDYUT KUMAR BANERJEE</t>
  </si>
  <si>
    <t>RAMA BANERJEE</t>
  </si>
  <si>
    <t>Old Police Line, Ward 24, Jalpaiguri</t>
  </si>
  <si>
    <t>HOLY CHILD SCHOOL</t>
  </si>
  <si>
    <t>INDIAN CERTIFICATE OF SECONDARY EDUCATION, JALPAIGURI, WEST BENGAL</t>
  </si>
  <si>
    <t>S M HIGH SCHOOL</t>
  </si>
  <si>
    <t>CENTRAL BOARD OF SECONDARY EDUCATION, SILIGURI, WEST BENGAL</t>
  </si>
  <si>
    <t>NATIONAL INSTITUTE OF CONSTRUCTION MANAGEMENT AND RESEARCH UNIVERSITY</t>
  </si>
  <si>
    <t>Arcadis India Private Limited | Project Management | Hyderabad | Sep 2016 | Aug 2021 | 4 Years, 11 Months, 3 Days | 3.6
Arcadis India Private Limited | Project Management | Hyderabad | Sep 2016 | Aug 2021 | 4 Years, 11 Months, 3 Days | 3.6</t>
  </si>
  <si>
    <t>118 month(s)</t>
  </si>
  <si>
    <t>DELOITTE | SUMMER INTERN IN RISK ADVISORY | BENGALURU | Apr 2022 | Jul 2022 | 12 Weeks | Campus Internship</t>
  </si>
  <si>
    <t>AB21011</t>
  </si>
  <si>
    <t>Arpita Raj</t>
  </si>
  <si>
    <t>arpitaraj99@gmail.com</t>
  </si>
  <si>
    <t>ab21011@ms.nicmar.ac.in</t>
  </si>
  <si>
    <t>19-Jan-1993</t>
  </si>
  <si>
    <t>7994 5277 5652</t>
  </si>
  <si>
    <t>MAYA SINGH</t>
  </si>
  <si>
    <t>Moti Kunj, Jora Talab Road, Bariatu, Ranchi</t>
  </si>
  <si>
    <t>D.A.V PUBLIC SCHOOL, BARIATU</t>
  </si>
  <si>
    <t>CBSE - RANCHI, JHARKHAND</t>
  </si>
  <si>
    <t>CBSE -RANCHI, JHARKHAND</t>
  </si>
  <si>
    <t>BIJU PATTNAIK UNIVERSITY OF TECHNOLOGY (BPUT), ODISHA</t>
  </si>
  <si>
    <t>2011-Sep</t>
  </si>
  <si>
    <t>FWD ARCHITECTS | DESIGNING | BANGALORE | Jan 2019 | May 2020 | 1 Years, 4 Months, 23 Days | 3
FWD ARCHITECTS | DESIGNING | BANGALORE | Jan 2019 | May 2020 | 1 Years, 4 Months, 23 Days | 3</t>
  </si>
  <si>
    <t>COLLIERS INTERNATIONAL PROPERTY SERVICE PRIVATE LIMITED | INTERN IN PROJECT MANAGEMENT CONSULTANCY  | GURUGRAM | Apr 2022 | Jul 2022 | 12 Weeks | Campus Internship
DDF CONSULTANTS PRIVATE LIMITED | TRAINEE ARCHITECT | NEW DELHI | Jun 2015 | Nov 2015 | 23 Weeks</t>
  </si>
  <si>
    <t>AB21012</t>
  </si>
  <si>
    <t>KUSH</t>
  </si>
  <si>
    <t>KANT</t>
  </si>
  <si>
    <t>LAVANIA</t>
  </si>
  <si>
    <t>Kush Kant Lavania</t>
  </si>
  <si>
    <t>kklavania4321@gmail.com</t>
  </si>
  <si>
    <t>ab21012@ms.nicmar.ac.in</t>
  </si>
  <si>
    <t>12-Jan-1998</t>
  </si>
  <si>
    <t>6029 3202 5123</t>
  </si>
  <si>
    <t>PRAMOD KANT LAVANIA</t>
  </si>
  <si>
    <t>ANITA LAVANIA</t>
  </si>
  <si>
    <t>Sec-3A/108 Vaishali Ghaziabad</t>
  </si>
  <si>
    <t>CAMBRIDGE SCHOOL INDIRAPURAM</t>
  </si>
  <si>
    <t>UTTAR PRADESH</t>
  </si>
  <si>
    <t>NUTAN VIDYA MANDIR SSS DILSHAD GARGEN DELHI</t>
  </si>
  <si>
    <t>DR.A.P.J.ABDUL KALAM TECHNICAL UNIVERSITY</t>
  </si>
  <si>
    <t>ACCURATE INSTITUTE OF MANAGEMENT AND TECHNOLOGY</t>
  </si>
  <si>
    <t>CHERRY HILLS INTERIORS | PROJECT MANAGER  | GURUGRAM | Apr 2022 | Jul 2022 | 12 Weeks | Campus Internship</t>
  </si>
  <si>
    <t>AB21013</t>
  </si>
  <si>
    <t>Ravi Prakash</t>
  </si>
  <si>
    <t>ab21013@ms.nicmar.ac.in</t>
  </si>
  <si>
    <t>AB21014</t>
  </si>
  <si>
    <t>Rishabh Prakash</t>
  </si>
  <si>
    <t>jkm.rishabh21@gmail.com</t>
  </si>
  <si>
    <t>ab21014@ms.nicmar.ac.in</t>
  </si>
  <si>
    <t>21-May-1996</t>
  </si>
  <si>
    <t>3565 6253 8585</t>
  </si>
  <si>
    <t>CHANDRA PRAKASH NARAYAN</t>
  </si>
  <si>
    <t>KIRAN KUMARI</t>
  </si>
  <si>
    <t>404-A, RKM Tower, RPS, Danapur</t>
  </si>
  <si>
    <t>MD COLLEGE</t>
  </si>
  <si>
    <t>BSEB</t>
  </si>
  <si>
    <t>ARYABHATT KNOWLEDGE UNIVERSITY</t>
  </si>
  <si>
    <t>NSIT</t>
  </si>
  <si>
    <t>AutoCAD,MS Office,MS Project,Primavera,DELAY ANALYSIS</t>
  </si>
  <si>
    <t>JKM Infra Projects Ltd | Contract Manager &amp; Arbitration  | Patna | Jun 2019 | Aug 2021 | 2 Years, 2 Months, 30 Days | 3
JKM Infra Projects Ltd | Contract Manager &amp; Arbitration  | Patna | Jun 2019 | Aug 2021 | 2 Years, 2 Months, 30 Days | 3</t>
  </si>
  <si>
    <t>DELHI INTEGRATED MULTIMODAL TRANSIT SYSTEM | CONTRACTS RAILWAYS  | DELHI  | Apr 2022 | Aug 2022 | 16 Weeks | Campus Internship</t>
  </si>
  <si>
    <t>AB21016</t>
  </si>
  <si>
    <t>Prashant Sharma</t>
  </si>
  <si>
    <t>prashant01011@gmail.com</t>
  </si>
  <si>
    <t>ab21016@ms.nicmar.ac.in</t>
  </si>
  <si>
    <t>7756 0756 5726</t>
  </si>
  <si>
    <t>SHYAM SWAROOP SHARMA</t>
  </si>
  <si>
    <t>SUDHA SHARMA</t>
  </si>
  <si>
    <t>H.no A-24 Guru Nanak Nagar ,dampier Nagar Station Road Mathura</t>
  </si>
  <si>
    <t>AMAR NATH VIDYA ASHRAM SENIOR SECONDARY SCHOOL</t>
  </si>
  <si>
    <t>F.S.H.S SCHOOL MATHURA</t>
  </si>
  <si>
    <t>NOIDA INTERNATIONAL UNIVERSITY, GREATER NOIDA</t>
  </si>
  <si>
    <t>AutoCAD,MS Office,MS Project,Primavera,GOOGLE EARTH, QGIS</t>
  </si>
  <si>
    <t>Rama Civil India Construction Private Limited | Civil engineer  | Ghaziabad | Dec 2019 | Dec 2021 | 1 Years, 11 Months, 15 Days | 3.65
Rama Civil India Construction Private Limited | Civil engineer  | Ghaziabad | Dec 2019 | Dec 2021 | 1 Years, 11 Months, 15 Days | 3.65</t>
  </si>
  <si>
    <t>DIMTS | PROJECT COORDINATOR TRAINEE | DELHI | Apr 2022 | Aug 2022 | 16 Weeks | Campus Internship</t>
  </si>
  <si>
    <t>AB21017</t>
  </si>
  <si>
    <t>ALIND</t>
  </si>
  <si>
    <t>Alind Sharma</t>
  </si>
  <si>
    <t>alindsharma97@gmail.com</t>
  </si>
  <si>
    <t>ab21017@ms.nicmar.ac.in</t>
  </si>
  <si>
    <t>04-Jun-1997</t>
  </si>
  <si>
    <t>4015 1138 7174</t>
  </si>
  <si>
    <t>TRIBHUVAN KUMAR SHARMA</t>
  </si>
  <si>
    <t>SEEMA SHARMA</t>
  </si>
  <si>
    <t>Leiah Apartment, Vasundhara Enclave</t>
  </si>
  <si>
    <t>EVERGREEN PUBLIC SCHOOL</t>
  </si>
  <si>
    <t>AutoCAD,MS Office,MS Project,Primavera,POWER BI</t>
  </si>
  <si>
    <t>Tirupati Cement Products Pvt. Ltd. | Planning, Piping, Pipe laying, Site Execution, Construction, Piling, Quality Assurance, Quality control, Documentation  | Delhi | Jul 2019 | Aug 2021 | 2 Years, 1 Months, 30 Days | 3.6
Tirupati Cement Products Pvt. Ltd. | Planning, Piping, Pipe laying, Site Execution, Construction, Piling, Quality Assurance, Quality control, Documentation  | Delhi | Jul 2019 | Aug 2021 | 2 Years, 1 Months, 30 Days | 3.6</t>
  </si>
  <si>
    <t>NIPPON JOGESUIDO SEKKEI ENGINEERS INDIA | CONSULTANCY, EXECUTION MONITORING, BILLING CHECK, SCHEDULE MONITORING, ADVICE ON RESOURCE ALLOCATION, REHABILITATION OF OLD SEWER LINE, LINING OF OLD SEWER LINE, CCTV MONITORING OF RCC PIPES   | DELHI | May 2022 | Jul 2022 | 10 Weeks | Campus Internship</t>
  </si>
  <si>
    <t>AB21018</t>
  </si>
  <si>
    <t>ab21018@ms.nicmar.ac.in</t>
  </si>
  <si>
    <t>AB21019</t>
  </si>
  <si>
    <t>TALWAR</t>
  </si>
  <si>
    <t>Namita Talwar</t>
  </si>
  <si>
    <t>namitatalwar16@gmail.com</t>
  </si>
  <si>
    <t>ab21019@ms.nicmar.ac.in</t>
  </si>
  <si>
    <t>16-Jan-1996</t>
  </si>
  <si>
    <t>6974 8558 1175</t>
  </si>
  <si>
    <t>SURESH TALWAR</t>
  </si>
  <si>
    <t>REKHA TALWAR</t>
  </si>
  <si>
    <t>4/62, 1st Floor, Old Rajendar Nagar</t>
  </si>
  <si>
    <t>MBS SCHOOL OF PLANNING AND ARCHITECTURE DELHI</t>
  </si>
  <si>
    <t>SDM Architects | Architect | Delhi NCR | Oct 2020 | Aug 2021 | 0 Years, 10 Months, 12 Days | 3.84
4th Dimension | Architect | Delhi NCR | Sep 2019 | Oct 2020 | 1 Years, 1 Months, 6 Days | 2.4
SDM Architects | Architect | Delhi NCR | Oct 2020 | Aug 2021 | 0 Years, 10 Months, 12 Days | 3.84
4th Dimension | Architect | Delhi NCR | Sep 2019 | Oct 2020 | 1 Years, 1 Months, 6 Days | 2.4</t>
  </si>
  <si>
    <t>DELOITTE TOUCHE TOHMATSU INDIA LLP | INTERNAL AUDIT | GURUGRAM | Apr 2022 | Jul 2022 | 12 Weeks | Campus Internship
FOURTH DIMENSION | ARCHITECTURAL INTERN | NEW DELHI | Jun 2018 | Mar 2019 | 40 Weeks</t>
  </si>
  <si>
    <t>AB21020</t>
  </si>
  <si>
    <t>SHANU</t>
  </si>
  <si>
    <t>Shanu Sourabh</t>
  </si>
  <si>
    <t>shanusri99@gmail.com</t>
  </si>
  <si>
    <t>ab21020@ms.nicmar.ac.in</t>
  </si>
  <si>
    <t>07-Mar-1995</t>
  </si>
  <si>
    <t>7567 0125 4902</t>
  </si>
  <si>
    <t>SANTOSH KUMAR</t>
  </si>
  <si>
    <t>ARTI SINHA</t>
  </si>
  <si>
    <t>C/o Santosh Kumar, Saraswati Nagar Colony_x000D_
Behind Laxmi Dharam Katta, Bhithari Bhattha</t>
  </si>
  <si>
    <t>JEEVANDEEP PUBLIC SCHOOL</t>
  </si>
  <si>
    <t>CENTRAL BOARD OF SECONDARY EDUCATION WITH VARANASI/ UTTAR PRADESH</t>
  </si>
  <si>
    <t>ADARSH A.S.S. SISWAR KHURD RASRA BALLIA</t>
  </si>
  <si>
    <t>BOARD OF HIGH SCHOOL AND INTERMEDIATE EDUCATION U.P WITH RASRA BALLIA/ UTTAR PRADESH</t>
  </si>
  <si>
    <t>SRM INSTITUTE OF SCIENCE AND TECHNOLOGY WITH CHENNAI, KATTANKULATHUR/ TAMIL NADU</t>
  </si>
  <si>
    <t>NATIONAL INSTITUTE OF CONSTRUCTION MANAGEMENT AND RESEARCH</t>
  </si>
  <si>
    <t>MS Office,MS Project,Primavera,ADOBE PREMIERE PRO</t>
  </si>
  <si>
    <t>AB21022</t>
  </si>
  <si>
    <t>DUNA</t>
  </si>
  <si>
    <t>NEEL KAMAL</t>
  </si>
  <si>
    <t>RAO</t>
  </si>
  <si>
    <t>Duna Neel Kamal Rao</t>
  </si>
  <si>
    <t>neelkamal255@gmail.com</t>
  </si>
  <si>
    <t>ab21022@ms.nicmar.ac.in</t>
  </si>
  <si>
    <t>20-Feb-1998</t>
  </si>
  <si>
    <t>English, Hindi, Odia, Telugu</t>
  </si>
  <si>
    <t>5359 9940 1537</t>
  </si>
  <si>
    <t>DUNA SURENDRA RAO</t>
  </si>
  <si>
    <t>EX-DEFENCE PERSONAL</t>
  </si>
  <si>
    <t>DUNA YAMUNA</t>
  </si>
  <si>
    <t>Sub Maj D.S Rao,SM, D K Niwas, Near Hanuman Statue, Village-Badaputi</t>
  </si>
  <si>
    <t>ARMY PUBLIC SCHOOL, BHUJ</t>
  </si>
  <si>
    <t>CBSE, BHUJ, GUJRAT</t>
  </si>
  <si>
    <t>SRI CHAITANYA VIDYA NIKETAN, VISAKHAPATNAM</t>
  </si>
  <si>
    <t>CBSE,VISAKHAPATNAM,ANDHRA PRADESH</t>
  </si>
  <si>
    <t>NATIONAL INSTITUTE OF SCIENCE AND TECHNOLOGY, BERHAMPUR,ODISHA</t>
  </si>
  <si>
    <t>COLLIERS INTERNATIONAL PROPERTY SERVICES PRIVATE LIMITED | INTERN IN PROJECT MANAGEMENT CONSULTANCY | GURUGRAM | Apr 2022 | Jul 2022 | 11 Weeks | Campus Internship</t>
  </si>
  <si>
    <t>AB21023</t>
  </si>
  <si>
    <t>RAUTELA</t>
  </si>
  <si>
    <t>Amit Rautela</t>
  </si>
  <si>
    <t>amitrautela23@gmail.com</t>
  </si>
  <si>
    <t>ab21023@ms.nicmar.ac.in</t>
  </si>
  <si>
    <t>23-May-1998</t>
  </si>
  <si>
    <t>4671 1989 5764</t>
  </si>
  <si>
    <t>DIWAN SINGH RAUTELA</t>
  </si>
  <si>
    <t>AGRICULTURE DEPARTMENT</t>
  </si>
  <si>
    <t>KAMLA RAUTELA</t>
  </si>
  <si>
    <t>Rautela Cottage Dhungdhara Almora, Uttarakhand</t>
  </si>
  <si>
    <t>KOORMANCHAL ACADEMY</t>
  </si>
  <si>
    <t>INDIAN CERTIFICATE OF SECONDARY EDUCATION EXAMINATION, ALMORA</t>
  </si>
  <si>
    <t>LAL BAHADUR SHASTRI SR. SEC. SCHOOL</t>
  </si>
  <si>
    <t>SHARDA UNIVERSITY</t>
  </si>
  <si>
    <t>AutoCAD,MS Office,MS Project,Primavera,3DS MAX, AUTOCAD REVIT, ADOBE PHOTOSHOP, RHINO, GRASSHOPPER, SKETCHUP</t>
  </si>
  <si>
    <t>SUNSHINE STRUCTURE | DESIGN | GREATER NOIDA | Jan 2020 | May 2020 | 20 Weeks
CUSHMAN AND WAKEFIELD | STRATEGIC CONSULTING | GURGAON | Apr 2022 | Jul 2022 | 13 Weeks</t>
  </si>
  <si>
    <t>AB21024</t>
  </si>
  <si>
    <t>GOBINDA</t>
  </si>
  <si>
    <t>BARIK</t>
  </si>
  <si>
    <t>Gobinda Barik</t>
  </si>
  <si>
    <t>gobindabarik50@gmail.com</t>
  </si>
  <si>
    <t>ab21024@ms.nicmar.ac.in</t>
  </si>
  <si>
    <t>19-Feb-1996</t>
  </si>
  <si>
    <t>8468 8213 0116</t>
  </si>
  <si>
    <t>BIMAL BARIK</t>
  </si>
  <si>
    <t>KAJAL BARIK</t>
  </si>
  <si>
    <t>GAMADULI, DAISAI, MARISHDA</t>
  </si>
  <si>
    <t>Purba Medinipur</t>
  </si>
  <si>
    <t>PARULIA MODERN HIGH SCHOOL</t>
  </si>
  <si>
    <t>IIE,KALYANI</t>
  </si>
  <si>
    <t>DIMTS LIMITED | ESTIMATION &amp; COSTING, ALIGNMENT DESIGNING | DELHI | Apr 2022 | Jun 2022 | 8 Weeks | Campus Internship</t>
  </si>
  <si>
    <t>AG21002</t>
  </si>
  <si>
    <t>DIVE</t>
  </si>
  <si>
    <t>Anant Pradip Dive</t>
  </si>
  <si>
    <t>anantdive117@gmail.com</t>
  </si>
  <si>
    <t>ag21002@ms.nicmar.ac.in</t>
  </si>
  <si>
    <t>11-Jul-1997</t>
  </si>
  <si>
    <t>8852 1999 1541</t>
  </si>
  <si>
    <t>PRADIP DIVE</t>
  </si>
  <si>
    <t>ANITA DIVE</t>
  </si>
  <si>
    <t>12, Gurukrupa, Sant Gadge Nagar Hingna Road Nagpur 440036</t>
  </si>
  <si>
    <t>HADAS HIGH SCHOOL</t>
  </si>
  <si>
    <t>NAGPUR / MAHARASHTRA</t>
  </si>
  <si>
    <t>JAWAHAR NAVODAYA VIDYALAYA BABULGAON AKOLA</t>
  </si>
  <si>
    <t>AKOLA / MAHARASHTRA</t>
  </si>
  <si>
    <t>MEGHA ENGINEERING AND INFRASTRUCTURES LTD | SITE MANAGER TRANEE | JAMMU &amp; KASHMIR  | Apr 2022 | Jul 2022 | 10 Weeks | Campus Internship</t>
  </si>
  <si>
    <t>AG21006</t>
  </si>
  <si>
    <t>SAKET</t>
  </si>
  <si>
    <t>TIKKAS</t>
  </si>
  <si>
    <t>Saket Prabhakar Tikkas</t>
  </si>
  <si>
    <t>sakettikkas07@gmail.com</t>
  </si>
  <si>
    <t>ag21006@ms.nicmar.ac.in</t>
  </si>
  <si>
    <t>22-Jun-2000</t>
  </si>
  <si>
    <t>3693 6723 2906</t>
  </si>
  <si>
    <t>PRABHAKAR TIKKAS</t>
  </si>
  <si>
    <t>NIRMALA</t>
  </si>
  <si>
    <t>591, YASHAMINI, NEW SUBHEDAR LAYOUT, THAWARE COLONY, NEAR UDAY NAGAR GARDEN, NAGPUR-440024</t>
  </si>
  <si>
    <t>MONTFORT SR. SEC. SCHOOL</t>
  </si>
  <si>
    <t>RASHTRASANT TUKDOJI MAHARAJ UNIVERSITY</t>
  </si>
  <si>
    <t>RAISONI COLLEGE OF ENGINEERING AND TECHNOLOGY, NAGPUR, MAHARASHTRA</t>
  </si>
  <si>
    <t>AutoCAD,MS Office,MS Project,Primavera,REVIT, ETABS, PM WEB</t>
  </si>
  <si>
    <t>MS ADITYA CONSTRUCTION COMPANY | WORKED AS AN INTERN AND STUDIED AND OVERVIEWED CONSTRUCTION OF NEW RTO BUILDING IN NAGPUR | NAGPUR | Nov 2019 | Dec 2019 | 4 Weeks
CMM INFRAPROJECTS PVT LTD | PROGRESS MONITORING &amp; TRACKING AND IDENTIFYING PROJECT CONSTRAINTS &amp; ISSUES, PREPARATON OF PROGRESS REPORTS (DAILY, WEEKLY &amp; MONTHLY), PACKAGE- WISE MAN POWER REPORT, WORK IN PROGRESS REPORT, ANALYSIN | NAGPUR | Dec 2020 | Jun 2021 | 26 Weeks
ARTIZEN INTERIORS PVT LTD | DOCUMENTATION OF PROJECT, PLANNING, QUALITY ASSURANCE AND QUALITY CONTROL, EXECUTION AND QUANTIFICATION. | BENGALURU | May 2022 | Jul 2022 | 12 Weeks</t>
  </si>
  <si>
    <t>AG21013</t>
  </si>
  <si>
    <t>VIKRANT</t>
  </si>
  <si>
    <t>MALAME</t>
  </si>
  <si>
    <t>Vikrant Rajkumar Malame</t>
  </si>
  <si>
    <t>vikrantmalame700@gmail.com</t>
  </si>
  <si>
    <t>ag21013@ms.nicmar.ac.in</t>
  </si>
  <si>
    <t>02-Jul-1997</t>
  </si>
  <si>
    <t>8602 5450 3878</t>
  </si>
  <si>
    <t>RAJKUMAR MALAME</t>
  </si>
  <si>
    <t>MAYA MALAME</t>
  </si>
  <si>
    <t>TRIMURTINAGAR AMGAON ROAD DEORI DIST-GONDIA</t>
  </si>
  <si>
    <t>ST. XAVIER'S HIGH SCHOOL GONDIA</t>
  </si>
  <si>
    <t>DR. ABEDKAR COLLEGE NAGPUR</t>
  </si>
  <si>
    <t>GH RAISONI ACADEMY OF ENGINEERING AND TECHNOLOGY</t>
  </si>
  <si>
    <t>ARTIZEN INTERIORS PVT LTD | FLOOR MANAGER TRAINEE | BANGLORE | May 2022 | Jul 2022 | 12 Weeks | Campus Internship</t>
  </si>
  <si>
    <t>AG21015</t>
  </si>
  <si>
    <t>KARBHARI</t>
  </si>
  <si>
    <t>Amit Anilkumar Karbhari</t>
  </si>
  <si>
    <t>amitkarbhari149@gmail.com</t>
  </si>
  <si>
    <t>ag21015@ms.nicmar.ac.in</t>
  </si>
  <si>
    <t>12-Mar-1998</t>
  </si>
  <si>
    <t>2839 6312 0838</t>
  </si>
  <si>
    <t>Karbhari Nivas, Virat Hanuman Nagar, Rajiv Gandhi Chowk</t>
  </si>
  <si>
    <t>KARBHARI NIVAS, VIRAT HANUMAN NAGAR, RAJIV GANDHI CHOWK</t>
  </si>
  <si>
    <t>RAJMATA JIJAMATA COLLEGE, LATUR</t>
  </si>
  <si>
    <t>RATMATA JIJAMATA COLLEGE, LATUR</t>
  </si>
  <si>
    <t>SWAMI RAMANAND TEERTH MARATHWADA UNIVERSITY, NANDED</t>
  </si>
  <si>
    <t>M. S. BIDVE ENGINEERING COLLEGE, LATUR</t>
  </si>
  <si>
    <t>ARTIZEN INTERIOR PVT LTD | QUANTITY SURVEYOR, VENDOR FOLLOW-UP | BANGLORE | May 2022 | Jul 2022 | 12 Weeks | Campus Internship</t>
  </si>
  <si>
    <t>AP21001</t>
  </si>
  <si>
    <t>THORAVE</t>
  </si>
  <si>
    <t>Yogesh Machhindra Thorave</t>
  </si>
  <si>
    <t>THORAVE90@GMAIL.COM</t>
  </si>
  <si>
    <t>ap21001@ms.nicmar.ac.in</t>
  </si>
  <si>
    <t>21-Jul-1994</t>
  </si>
  <si>
    <t>ENGLISH,MARATHI, HINDI.</t>
  </si>
  <si>
    <t>5115 8128 5897</t>
  </si>
  <si>
    <t>MACHHINDRA BHIMAJI THORAVE</t>
  </si>
  <si>
    <t>SUMAN MACHHINDRA THORAVE</t>
  </si>
  <si>
    <t>506, 5TH FLOOR, TAMANNA CHS, YASHODHAN NAGAR, THANE WEST</t>
  </si>
  <si>
    <t>506, 5TH FLOOR,TAMANNA CHS, YASHODHAN NAGAR, THANE WEST</t>
  </si>
  <si>
    <t>SARASWATI EDUCATION SOCIETY'S HIGH SCHOOL AND JUNIOR COLLEGE, THANE WEST</t>
  </si>
  <si>
    <t>MAHARASHTRA STATE BOARD OF HIGHER SECONDARY EDUCATION</t>
  </si>
  <si>
    <t>SHREERAM POLYTECHNIC AIROLI, NAVI MUMBAI</t>
  </si>
  <si>
    <t>JSPM IMPERIAL COLLEGE OF ENGINEERING AND RESEARCH  WAGHOLI, PUNE</t>
  </si>
  <si>
    <t>KALPATARU PROPERTIES PVT. LTD | EXECUTION | Thane | Oct 2018 | Aug 2021 | 2 Years, 10 Months, 9 Days | 2.6
KALPATARU PROPERTIES PVT. LTD | EXECUTION | Thane | Oct 2018 | Aug 2021 | 2 Years, 10 Months, 9 Days | 2.6</t>
  </si>
  <si>
    <t>KALPATARU PROPERTIES PVT LTD | 1. EXECUTION AND MAKING OF LAYOUT OF EXCAVATION DRAWINGS. (EXECUTION OF 5 TOWERS &amp; LAYOUT OF 10 TOWERS WITH PODIUM AREA | THANE | Jul 2018 | Oct 2018 | 13 Weeks
RAYMOND REALITY | EXECUTION, PLANNING AND CO-ORDINATION | THANE | May 2022 | Jul 2022 | 11 Weeks</t>
  </si>
  <si>
    <t>AP21002</t>
  </si>
  <si>
    <t>Shailesh G M</t>
  </si>
  <si>
    <t>SHYLOO17@GMAIL.COM</t>
  </si>
  <si>
    <t>ap21002@ms.nicmar.ac.in</t>
  </si>
  <si>
    <t>22-Mar-1997</t>
  </si>
  <si>
    <t>2153 3177 9714</t>
  </si>
  <si>
    <t>MAHENDRA N G</t>
  </si>
  <si>
    <t>CLASS ONE  ELECTRICAL CONTRACTOR</t>
  </si>
  <si>
    <t>UMA D H</t>
  </si>
  <si>
    <t>H.NO. 2035/157,12TH CORSS, ANJENEYA BADAWANE</t>
  </si>
  <si>
    <t>Davangere</t>
  </si>
  <si>
    <t>H.NO. 2035/157, 12TH CROSS, ANJENEYA BADAWANE</t>
  </si>
  <si>
    <t>SRI TARALABALU JAGADGURU CENTRAL SCHOOL</t>
  </si>
  <si>
    <t>CENTRAL SCHOOL OF SECONDARY EDUCATION</t>
  </si>
  <si>
    <t>SRI TARALABALU JAGADGURU COMP. PRE UNIVERSITY COLLEGE</t>
  </si>
  <si>
    <t>VISVESRAYA TECHNOLOGICAL UNIVERESITY</t>
  </si>
  <si>
    <t>BAPUJI INSTITUTE OF ENGINEERING AND TECHNOLOGY</t>
  </si>
  <si>
    <t>FORUM OF PRACTISING ARCHITECTS AND COUSULTING CIVIL ENGINEERS DAVNAGERE | INTERN | DAVANAGERE | Jul 2019 | Aug 2019 | 4 Weeks
REDDYSTRUCTURES PRIVATE LIMITED MAHAVEER GROUPS | PROJECT CO-ORDINATION, SITE EXECUTION AND QUALITY CONTROL | BANGLORE | Apr 2022 | Jul 2022 | 12 Weeks</t>
  </si>
  <si>
    <t>AP21003</t>
  </si>
  <si>
    <t>BHARGAV</t>
  </si>
  <si>
    <t>Uday Bhargav</t>
  </si>
  <si>
    <t>udaymsd7@gmail.com</t>
  </si>
  <si>
    <t>ap21003@ms.nicmar.ac.in</t>
  </si>
  <si>
    <t>29-Oct-1997</t>
  </si>
  <si>
    <t>7160 5420 6846</t>
  </si>
  <si>
    <t>SV MARUTHI RAMA SARMA</t>
  </si>
  <si>
    <t>SENIOR MANAGER</t>
  </si>
  <si>
    <t>S USHA</t>
  </si>
  <si>
    <t>05-02-04, SHRIRAM SAMEEKSJA, NEAR GANGAMMA GUDI POLICE STATION, JALHALLI EAST</t>
  </si>
  <si>
    <t>05-02-04, SHRIRAM SAMEEKSHA , NEAR GANGAMMA GUDI POLICE STATION , JALAHALLI EAST</t>
  </si>
  <si>
    <t>Bengaluru</t>
  </si>
  <si>
    <t>LRG VIDYALAYAM</t>
  </si>
  <si>
    <t>SINDHI PU COLLEGE</t>
  </si>
  <si>
    <t>BMS INSTITUTE OF TECHNOLOGY AND MANAGEMENT</t>
  </si>
  <si>
    <t>SOVERIGN DEVELOPERS AND INFRASTRUCTURE LTD | INTERN | BENGALURU | Jan 2019 | Feb 2019 | 2 Weeks
DECCAN ENGINEERING INDIA | INTERN | BENGALURU | Jul 2019 | Aug 2019 | 4 Weeks
AACP INFRASTRUCTURE  SYSTEMS PRIVATE LIMITED | TRAINEE ENGINEER  | BENGULURU | Apr 2022 | Jun 2022 | 8 Weeks</t>
  </si>
  <si>
    <t>AP21004</t>
  </si>
  <si>
    <t>RUCHITA</t>
  </si>
  <si>
    <t>BONDE</t>
  </si>
  <si>
    <t>Ruchita Ruchita Bonde</t>
  </si>
  <si>
    <t>ruchitabonde97@gmail.com</t>
  </si>
  <si>
    <t>ap21004@ms.nicmar.ac.in</t>
  </si>
  <si>
    <t>MARATHI, HINDI, ENGLISH, GUJARATI</t>
  </si>
  <si>
    <t>8544 5191 2228</t>
  </si>
  <si>
    <t>RAJESH GOVINDRAO BONDE</t>
  </si>
  <si>
    <t>MANISHA RAJESH BONDE</t>
  </si>
  <si>
    <t>A-1, SUN RESIDENCY, B/H GAYATRI PETROL PUMP, IPCL ROAD, GORWA, VADODARA-390016</t>
  </si>
  <si>
    <t>ITM SCHOOL OF ART, ARCHITECTURE AND DESIGN</t>
  </si>
  <si>
    <t>AutoCAD,MS Office,MS Project,PHOTOSHOP, SKETCHUP</t>
  </si>
  <si>
    <t>LONE OAK SOLUTIONS LLP | DESIGN SERVICES | VADODARA | Jul 2021 | Sep 2021 | 0 Years, 1 Months, 29 Days | 3.12
LONE OAK SOLUTIONS LLP | DESIGN SERVICES | VADODARA | Jul 2021 | Sep 2021 | 0 Years, 1 Months, 29 Days | 3.12</t>
  </si>
  <si>
    <t>SUNTECK REALTY | ARCHITECTURE &amp; DESIGN | VILE PARLE, MUMBAI | May 2022 | Jul 2022 | 7 Weeks</t>
  </si>
  <si>
    <t>AP21005</t>
  </si>
  <si>
    <t>Sakshi Raut</t>
  </si>
  <si>
    <t>sakshi22091999@gmail.com</t>
  </si>
  <si>
    <t>ap21005@ms.nicmar.ac.in</t>
  </si>
  <si>
    <t>22-Jul-1999</t>
  </si>
  <si>
    <t>9580 3916 9660</t>
  </si>
  <si>
    <t>SUBHASH RAMKRISHNA RAUT</t>
  </si>
  <si>
    <t>BHARTI SUBHASH RAUT</t>
  </si>
  <si>
    <t>93 MOHAN NAGAR, NEAR VRUNDAWAN GARDEN, MOHADI ROAD</t>
  </si>
  <si>
    <t>NANDINIBAI WAMANRAO MULINCHE VIDYALAYA, JALGAON</t>
  </si>
  <si>
    <t>KHANDESH COLLEGE EDUCATION SOCIETYS MOOLJI JAITHA COLLEGE</t>
  </si>
  <si>
    <t>DR. VISHWANATH KARAD MAHARASHTRA INSTITUTE OF TECHNOLOGY WORLD PEACE UNIVERSITY</t>
  </si>
  <si>
    <t>PUBLIC WORKS DEPARTMENT | SITE OBSERVATION WORK. | JALGAON | Jun 2019 | Jul 2019 | 2 Weeks
BEETA ASSOCIATES PRIVATE LIMITED | ASSISTING SITE ENGINEER | JALGAON | Jan 2021 | Mar 2021 | 12 Weeks
SUNTECK REALTY LIMITED | SITE EXECUTION TRAINEE | MUMBAI | May 2022 | Jun 2022 | 7 Weeks</t>
  </si>
  <si>
    <t>AP21006</t>
  </si>
  <si>
    <t>Aditya Rajkumar Nagulwar</t>
  </si>
  <si>
    <t>nagulwaraditya@gmail.com</t>
  </si>
  <si>
    <t>ap21006@ms.nicmar.ac.in</t>
  </si>
  <si>
    <t>6956 5052 1015</t>
  </si>
  <si>
    <t>RAJKUMAR BHAURAO NAGULWAR</t>
  </si>
  <si>
    <t>VARSHA RAJKUMAR NAGULWAR</t>
  </si>
  <si>
    <t>FLAT NO 101,NAGULWAR COMPLEX MANEWADA ROAD,OPPOSITE SHAHU GARDEN SCHOOL,MAHALAKSHMI NAGAR NO 1</t>
  </si>
  <si>
    <t>KENDRIYA VIDYALAYA AJNI NAGPUR</t>
  </si>
  <si>
    <t>ST.PAUL JUNIOR COLLEGE</t>
  </si>
  <si>
    <t>YESHWANTRAO CHAVAN COLLEGE OF ENGINNERING</t>
  </si>
  <si>
    <t>AutoCAD,MS Office,MS Project,Primavera,STAAD.PRO , REVIT ARCHITECTURE</t>
  </si>
  <si>
    <t>TIRUPATI GROUP | SERVED AS AN INTERN UNDER PROJECT MANAGER AND SUPERVISOR AND DELIVERED DAILY TASKS . | NAGPUR | Jun 2021 | Sep 2021 | 12 Weeks
CBRE SOUTH ASIA PRIVATE LIMITED | INTERN IN THE PROJECT MANAGEMENT DEPARTMENT CBRE PERFORMED ACTIVITIES LIKE DOCUMENTATION AND MONITORING OF SITE ACTIVITIES. | PUNE | Apr 2022 | Jul 2022 | 11 Weeks</t>
  </si>
  <si>
    <t>AP21007</t>
  </si>
  <si>
    <t>RAHULSINGH.IUD@GMAIL.COM</t>
  </si>
  <si>
    <t>ap21007@ms.nicmar.ac.in</t>
  </si>
  <si>
    <t>12-Aug-1995</t>
  </si>
  <si>
    <t>8973 2297 9330</t>
  </si>
  <si>
    <t>POLICE OFFICER</t>
  </si>
  <si>
    <t>LILAWATI DEVI</t>
  </si>
  <si>
    <t>H. NO. 48, VILL- BARIYARCHAK - RAJAPUR, P.O- NAYAGAON</t>
  </si>
  <si>
    <t>Sonepur</t>
  </si>
  <si>
    <t>N.L.S. HIGH SCHOOL</t>
  </si>
  <si>
    <t>BIHAR STATE EDUCATIONAL BOARD</t>
  </si>
  <si>
    <t>THE ICFAI UNIVERSITY, DEHRADUN</t>
  </si>
  <si>
    <t>AutoCAD,MS Office,MS Project,Primavera,BIM, TABLEAU, POWER BI, STADD PRO</t>
  </si>
  <si>
    <t>MEMBRANE FILTERS (I) PVT LTD | SITE EXECUTION | PURNEA, BIHAR | Nov 2016 | Dec 2018 | 2 Years, 1 Months, 15 Days | 2
FREIGHT WINGS PRIVATE LIMITED | SITE EXECUTION | PATNA, BIHAR | Jan 2019 | Dec 2019 | 0 Years, 10 Months, 23 Days | 3.5
BRIGHT SOLAR LIMITED &amp; SARASIYA SOLAR LIMITED | PROJECT MANAGEMENT | BEGUSARAI, BIHAR | Dec 2019 | Aug 2021 | 1 Years, 8 Months, 15 Days | 5.64
MEMBRANE FILTERS (I) PVT LTD | SITE EXECUTION | PURNEA, BIHAR | Nov 2016 | Dec 2018 | 2 Years, 1 Months, 15 Days | 2
FREIGHT WINGS PRIVATE LIMITED | SITE EXECUTION | PATNA, BIHAR | Jan 2019 | Dec 2019 | 0 Years, 10 Months, 23 Days | 3.5
BRIGHT SOLAR LIMITED &amp; SARASIYA SOLAR LIMITED | PROJECT MANAGEMENT | BEGUSARAI, BIHAR | Dec 2019 | Aug 2021 | 1 Years, 8 Months, 15 Days | 5.64</t>
  </si>
  <si>
    <t>113 month(s)</t>
  </si>
  <si>
    <t>SLIPCO CONSTRUCTIONS PRIVATE LIMITED | CONSTRUCTION OF RAW COAL SILOS USING SLIPFORM TECHNIQUE. | DHANBAD, JHARKHAND | Dec 2015 | Oct 2016 | 44 Weeks
SHAH TECHNICAL CONSULTANTS PRIVATE LIMITED | PREPERATION OF TECHNICAL &amp; FINANCIAL BID UNDER CONTRACTS &amp; BUSINESS DEVELOPMENT TEAM FOR THE WATER SUPPLY &amp; SEWARAGE PROJECTS BASED IN REPUBLIC OF NIGER, BURKINA FASO, FIJI ISLANDS, RWANDA &amp; BOTSWANA | MUMBAI | Apr 2022 | Jul 2022 | 9 Weeks
BSC CC JV | CONSTRUCTION OF 28 KM LONG 2 LANE STATE HIGHWAY | MUZAFFARPUR, BIHAR | May 2014 | Jul 2014 | 7 Weeks</t>
  </si>
  <si>
    <t>AP21008</t>
  </si>
  <si>
    <t>DIGHORIKAR</t>
  </si>
  <si>
    <t>Kaustubh Pandurang Dighorikar</t>
  </si>
  <si>
    <t>kaustubhdighorikar10@gmail.com</t>
  </si>
  <si>
    <t>ap21008@ms.nicmar.ac.in</t>
  </si>
  <si>
    <t>10-May-1997</t>
  </si>
  <si>
    <t>8881 6665 8407</t>
  </si>
  <si>
    <t>PANDURANG LALAJI DIGHORIKAR</t>
  </si>
  <si>
    <t>KIRAN PANDURANG DIGHORIKAR</t>
  </si>
  <si>
    <t>101, &amp; 102, P. NO. R-157, RESHIMBAGH LAYOUT, N/R CORPORATION, GARDEN, NAGPUR</t>
  </si>
  <si>
    <t>BHAVAN'S BHAGWANDAS PUROHIT VIDYA MANDIR</t>
  </si>
  <si>
    <t>DINANATH JUNIOR COLLEGE</t>
  </si>
  <si>
    <t>PRIYADARSHINI INDIRA GANDHI COLLEGE OF ENGINEERING</t>
  </si>
  <si>
    <t>KAUSTUBH DEVELOPERS | SUMMER INTERN | NAGPUR | May 2018 | Jun 2018 | 4 Weeks
KAUSTUBH DEVELOPERS | SUMMER INTERN | NAGPUR | Jun 2019 | Jul 2019 | 4 Weeks
NANDI HOUSING PRIVATE LIMITED | SITE ENGINEER | BENGALURU | Apr 2022 | Jun 2022 | 9 Weeks</t>
  </si>
  <si>
    <t>AP21009</t>
  </si>
  <si>
    <t>ALAVALA VENKATA SAI</t>
  </si>
  <si>
    <t>Alavala Venkata Sai Vamsi Krishna</t>
  </si>
  <si>
    <t>venkatasaivamsikrishna@gmail.com</t>
  </si>
  <si>
    <t>ap21009@ms.nicmar.ac.in</t>
  </si>
  <si>
    <t>05-Dec-1999</t>
  </si>
  <si>
    <t>ENGLISH,HINDI,TELUGU,TAMIL</t>
  </si>
  <si>
    <t>8159 5741 1462</t>
  </si>
  <si>
    <t>ALAVALA BHASKAR RAO</t>
  </si>
  <si>
    <t>ALAVALA HEMAMALINI</t>
  </si>
  <si>
    <t>9-9-56 PANDURANGA STREET.</t>
  </si>
  <si>
    <t>Sulurpeta</t>
  </si>
  <si>
    <t>9-9-56 PANDURANGA STREET</t>
  </si>
  <si>
    <t>SRI CHAITANYA ENGLISH MEDIUM HIGH SCHOOL</t>
  </si>
  <si>
    <t>ANDHRA PRADESH BOARD OF SECONDARY EDUCATION. SULLURUPETA/ ANDHRA PRADESH</t>
  </si>
  <si>
    <t>2014-Jul-07</t>
  </si>
  <si>
    <t>2015-Apr-10</t>
  </si>
  <si>
    <t>ANDHRA PRADESH BOARD OF INTERMEDIATE EDUCATION. THIRUPAHI/ ANDHRA PRADESH</t>
  </si>
  <si>
    <t>2016-Jun-08</t>
  </si>
  <si>
    <t>2017-Apr-19</t>
  </si>
  <si>
    <t>PANIMALAR ENGINEERING COLLEGE</t>
  </si>
  <si>
    <t>2017-Aug-28</t>
  </si>
  <si>
    <t>2021-Aug-09</t>
  </si>
  <si>
    <t>AutoCAD,MS Project,REVIT , STADDPRO.</t>
  </si>
  <si>
    <t>MADHURE INFRA ENGINEERING PVT LTD | SITE EXECUTION TRAINEE | PUNE | Apr 2022 | Jul 2022 | 12 Weeks</t>
  </si>
  <si>
    <t>AP21010</t>
  </si>
  <si>
    <t>Kurma Vikas</t>
  </si>
  <si>
    <t>kurma.vikas@gmail.com</t>
  </si>
  <si>
    <t>ap21010@ms.nicmar.ac.in</t>
  </si>
  <si>
    <t>8855 2006 1509</t>
  </si>
  <si>
    <t>KURMA SRIRAMULU</t>
  </si>
  <si>
    <t>KURMA VARALAXMI</t>
  </si>
  <si>
    <t>FREELANCER</t>
  </si>
  <si>
    <t>H.NO.1-76,MIRJAGUDA,C.B.I.T POST</t>
  </si>
  <si>
    <t>Ranga Reddy district</t>
  </si>
  <si>
    <t>JAWAHARLAL NEHRU TECHNOLOGICAL UNIVERSITY,HYDERABD</t>
  </si>
  <si>
    <t>MAHATMA GANDHI INSTITUTE OF TECHNOLOGY</t>
  </si>
  <si>
    <t>DESIGN ARC | SITE ENGINEER | HYDERABAD | Feb 2021 | Aug 2021 | 25 Weeks
BHARAT HEAVY ELECTRICALS LIMITED | ESTIMATION OF CIVIL QUANTITIES | HYDERABAD | Jun 2018 | Jul 2018 | 2 Weeks
MAHAVEER GROUP | SITE EXECUTION | BANGALORE | Apr 2022 | Jun 2022 | 7 Weeks</t>
  </si>
  <si>
    <t>AP21011</t>
  </si>
  <si>
    <t>RUDRAGOUDA</t>
  </si>
  <si>
    <t>Patil Rohit Rudragouda</t>
  </si>
  <si>
    <t>ROHITPATIL485@GMAIL.COM</t>
  </si>
  <si>
    <t>ap21011@ms.nicmar.ac.in</t>
  </si>
  <si>
    <t>6786 0736 9900</t>
  </si>
  <si>
    <t>RUDRAGOUDA M PATIL</t>
  </si>
  <si>
    <t>BUSINESS MANAGER</t>
  </si>
  <si>
    <t>SUREKHA R PATIL</t>
  </si>
  <si>
    <t>NO 19 PRIYADHARSHINI SHIVNAGAR SWATANTRA COLONY NEAR AKKI HOSPITAL TORVI ROAD VIJYAPURA</t>
  </si>
  <si>
    <t>Bijapur</t>
  </si>
  <si>
    <t>NICMAR HOSTEL, BALEWADI</t>
  </si>
  <si>
    <t>KENDRIYA VIDYALAYA BIJAPUR</t>
  </si>
  <si>
    <t>EXPERT PRE UNIVERSITY COLLEGE</t>
  </si>
  <si>
    <t>KARNATAKA STATE BOARD</t>
  </si>
  <si>
    <t>SHRIYA PROPERTIES | SITE EXECUTION | HUBBALLI | Jan 2020 | Mar 2020 | 11 Weeks
SAMRUDDHI | SITE EXECUTION, DRAFTING AND DESIGNING INTERN | BANGALORE | Apr 2022 | Jun 2022 | 7 Weeks</t>
  </si>
  <si>
    <t>AP21012</t>
  </si>
  <si>
    <t>BENDRE</t>
  </si>
  <si>
    <t>Bendre Prasad Anil</t>
  </si>
  <si>
    <t>PRASADBENDRE11@GMAIL.COM</t>
  </si>
  <si>
    <t>ap21012@ms.nicmar.ac.in</t>
  </si>
  <si>
    <t>8494 8631 2928</t>
  </si>
  <si>
    <t>ANIL JAGANNATH BENDRE</t>
  </si>
  <si>
    <t>MONIKA ANIL BENDRE</t>
  </si>
  <si>
    <t>FLAT NO-1705, ORCHID SUBURBIA, TOWER-A, OFF MG ROAD LINK ROAD, OPP DAHANUKARWADI, KANDIVALI WEST</t>
  </si>
  <si>
    <t>SHETH CONSTRUCTION CO ENGINEERS AND CONTRACTORS | INTERN | MUMBAI | Jun 2019 | Jul 2019 | 4 Weeks
TREMCO CPG INDIA PRIVATE LIMITED | MARKETING &amp; SALES: WATERPROOFING | MUMBAI, MAHARASHTRA | Apr 2022 | Jul 2022 | 9 Weeks</t>
  </si>
  <si>
    <t>AP21013</t>
  </si>
  <si>
    <t>SARAVANA</t>
  </si>
  <si>
    <t>Saravana Sidharth</t>
  </si>
  <si>
    <t>SSIDHARTH50@GMAIL.COM</t>
  </si>
  <si>
    <t>ap21013@ms.nicmar.ac.in</t>
  </si>
  <si>
    <t>09-May-1998</t>
  </si>
  <si>
    <t>6750 6571 3559</t>
  </si>
  <si>
    <t>THANGA SELVARAJ</t>
  </si>
  <si>
    <t>ANITHA</t>
  </si>
  <si>
    <t>5/18/5G, SVKM SIVANAYAGI NAGAR, POSTAL COLONY,</t>
  </si>
  <si>
    <t>Aruppukkottai</t>
  </si>
  <si>
    <t>A12, AKASH BUILDING, TMB OFFICERS QUARTERS, CHINNA CHOKKIKULAM</t>
  </si>
  <si>
    <t>SBK HIGHER SECONDARY SCHOOL</t>
  </si>
  <si>
    <t>THE SIVAKASI LIONS MATRICULATION SCHOOL</t>
  </si>
  <si>
    <t>SRM VALLIAMMAI ENGINEERING COLLEGE</t>
  </si>
  <si>
    <t>AutoCAD,MS Office,MS Project,Primavera,CLIENT COMMUNICATION, ANALYSIS &amp; DESIGN, BOQ-QUANTIFICATION, BOQ-RA, DPR COMPOSITION, CONDITIONAL ASSESSMENT, GFC DETAILING, TENDERING SPECIFICATION, PROGRESS MONITORING, SITE INVESTIGATION, TECHNO-FEASIBILITY STUDY</t>
  </si>
  <si>
    <t>INDIAN INSTITUTE OF TECHNOLOGY BOMBAY | CONSULTANT | MUMBAI | May 2019 | Sep 2021 | 2 Years, 3 Months, 21 Days | 4.5
INDIAN INSTITUTE OF TECHNOLOGY BOMBAY | CONSULTANT | MUMBAI | May 2019 | Sep 2021 | 2 Years, 3 Months, 21 Days | 4.5</t>
  </si>
  <si>
    <t>EPMCR AN IIT MADRAS INCUBATED COMPANY | PROJECT MANAGEMENT INTERN | CHENNAI | May 2022 | Jun 2022 | 7 Weeks
JEHOVAH CONSTRUCTIONS | STRUCTURAL DESIGN &amp; EXECUTION | CHENNAI | Dec 2017 | Dec 2017 | 0 Weeks
ARUN EXCELLO | SITE EXECUTION TRAINEE | CHENNAI | Nov 2017 | Nov 2017 | 1 Weeks</t>
  </si>
  <si>
    <t>AP21014</t>
  </si>
  <si>
    <t>VENKITESH</t>
  </si>
  <si>
    <t>Venkitesh R Chandran</t>
  </si>
  <si>
    <t>venkiteshr2015@gmail.com</t>
  </si>
  <si>
    <t>ap21014@ms.nicmar.ac.in</t>
  </si>
  <si>
    <t>13-Jul-1995</t>
  </si>
  <si>
    <t>5085 4814 0556</t>
  </si>
  <si>
    <t>RAMACHANDRAN M G</t>
  </si>
  <si>
    <t>SAJITHA S</t>
  </si>
  <si>
    <t>SREEMOOLAM, NJEKKADU,VADASSERIKONAM P.O, CHEMMARUTHY, NEAR KONATH TEMPLE</t>
  </si>
  <si>
    <t>Varkala</t>
  </si>
  <si>
    <t>SREEMOOLAM, NJEKKADU VADASSERIKONAM P.O, CHEMMARUTHY</t>
  </si>
  <si>
    <t>MAHATMA GANDHI MEMORIAL MODEL SCHOOL</t>
  </si>
  <si>
    <t>RAJADHANI INSTITUTE OF ENGINEERING AND TECHNOLOGY</t>
  </si>
  <si>
    <t>SUN PROJECTS PVT LTD | CONSTRUCTION | THIRUVANANTHAPURAM | Aug 2020 | Oct 2021 | 1 Years, 2 Months, 2 Days | 2.16
SUN PROJECTS PVT LTD | CONSTRUCTION | THIRUVANANTHAPURAM | Aug 2020 | Oct 2021 | 1 Years, 2 Months, 2 Days | 2.16</t>
  </si>
  <si>
    <t>HABITAT TECHNOLOGY GROUP | PROFESSIONAL TRAINEE | THIRUVANANTHAPURAM | Jun 2017 | Jun 2017 | 1 Weeks
PIDILITE INDUSTRIES LIMITED | MEETING WITH THE NUMBER OF STAKE HOLDERS, MAJOR PLAYERS IN DATA CENTER PROJECTS, RESEARCH WORK | MUMBAI | May 2022 | Jul 2022 | 7 Weeks</t>
  </si>
  <si>
    <t>AP21015</t>
  </si>
  <si>
    <t>Arun Kumar Saravanan</t>
  </si>
  <si>
    <t>ap21015@ms.nicmar.ac.in</t>
  </si>
  <si>
    <t>01-Apr-2022</t>
  </si>
  <si>
    <t>English tamil Hindi</t>
  </si>
  <si>
    <t>2340 8806 0059</t>
  </si>
  <si>
    <t>SARAVANAN A N</t>
  </si>
  <si>
    <t>AKILA S</t>
  </si>
  <si>
    <t>No-5/11,Duraisamy Garden,Nanganallur</t>
  </si>
  <si>
    <t>NO-5/11,DURAISAMY GARDEN,NANGANALLUR</t>
  </si>
  <si>
    <t>NSN MATRICULATION HIGH SECONDARY SCHOOL</t>
  </si>
  <si>
    <t>2014-Jun-06</t>
  </si>
  <si>
    <t>2014-May-05</t>
  </si>
  <si>
    <t>ASHRAM SCHOOL</t>
  </si>
  <si>
    <t>2015-Jun-10</t>
  </si>
  <si>
    <t>2016-Apr-06</t>
  </si>
  <si>
    <t>SATHYABAMA INSTITUTE OF SCIENCE AND TECHNOLOGY</t>
  </si>
  <si>
    <t>2016-Aug-11</t>
  </si>
  <si>
    <t>2020-May-05</t>
  </si>
  <si>
    <t>Think and learn pvt ltd (BYJUS) | Sales and marketing  | Coimbatore | Sep 2020 | Aug 2021 | 0 Years, 11 Months, 12 Days | 7
Think and learn pvt ltd (BYJUS) | Sales and marketing  | Coimbatore | Sep 2020 | Aug 2021 | 0 Years, 11 Months, 12 Days | 7</t>
  </si>
  <si>
    <t>HOMOSPHERE | SALES AND MARKETING  | CHENNAI (WFH) | May 2022 | Jul 2022 | 8 Weeks | Campus Internship
AMACE PROJECTS PVT LTD | ENGINEER TRAINEE  | CHENNAI  | Nov 2017 | Dec 2017 | 4 Weeks
LARSEN AND TURBO | INTERN TRAINEE | ROURKELA  | May 2019 | Jun 2019 | 1 Weeks</t>
  </si>
  <si>
    <t>AP21016</t>
  </si>
  <si>
    <t>SHINKAR</t>
  </si>
  <si>
    <t>Aniket Chandrakant Shinkar</t>
  </si>
  <si>
    <t>aniketshinkar373@gmail.com</t>
  </si>
  <si>
    <t>ap21016@ms.nicmar.ac.in</t>
  </si>
  <si>
    <t>5998 7548 0316</t>
  </si>
  <si>
    <t>CHANDRAKANT PUNJU SHINKAR</t>
  </si>
  <si>
    <t>PLANNING ENGINNER</t>
  </si>
  <si>
    <t>MANISHA CHANDRAKANT SHINKAR</t>
  </si>
  <si>
    <t>ABHISHEK LOTUS GARDEN NO 6,OPP MATALE MANGAL KARYALAY,LAXMI NAGER, KAMTWADA</t>
  </si>
  <si>
    <t>VIDYA PROBHODHINI PRASHALA</t>
  </si>
  <si>
    <t>GOVERNMENT POLYTECHNIC NASHIK</t>
  </si>
  <si>
    <t>SARDAR PATEL COLLEGE OF ENGINEERING</t>
  </si>
  <si>
    <t>AutoCAD,MS Office,MS Project,Primavera,POWER BI, SIX SIGMA</t>
  </si>
  <si>
    <t>BHAGYASHRI DEVELOPER | SITE ENGINEER | NASHIK | May 2017 | May 2017 | 4 Weeks
SHREE GAJANAN GEOTECHNICAL CONSULTANCY | PREPARING REPORTS, COLLECTION OF SAMPLES | THANE | Nov 2019 | Dec 2019 | 3 Weeks
CBRE | PLANNING ENGINEER  | PUNE | Apr 2022 | Jul 2022 | 10 Weeks</t>
  </si>
  <si>
    <t>AP21017</t>
  </si>
  <si>
    <t>MAHARSH</t>
  </si>
  <si>
    <t>Maharsh Patel</t>
  </si>
  <si>
    <t>maharshpatel.cie17@gmail.com</t>
  </si>
  <si>
    <t>ap21017@ms.nicmar.ac.in</t>
  </si>
  <si>
    <t>8859 6801 9463</t>
  </si>
  <si>
    <t>JATINKUMAR PATEL</t>
  </si>
  <si>
    <t>DIPTI PATEL</t>
  </si>
  <si>
    <t>SUNDARAM BUNGLOW, KAMRAJ COLONY, B.H. KANYA CHATRALAYA</t>
  </si>
  <si>
    <t>Unjha</t>
  </si>
  <si>
    <t>1, HARMONY PEARL, CIMS HOSPITAL ROAD, SCIENCE CITY, SOLA</t>
  </si>
  <si>
    <t>TAPOVAN INTERNATIONAL SCHOOL</t>
  </si>
  <si>
    <t>NIRMA VIDYAVIHAR</t>
  </si>
  <si>
    <t>KNIGHT FRANK INDIA PVT LTD | TECHNICAL ADVISORY SERVICES | MUMBAI, MAHARASHTRA | May 2022 | Jun 2022 | 8 Weeks | Campus Internship
JAYESH CONSTRUCTION COMPANY | SITE EXECUTION OF LAYING AND LINKING OF RAILS | VADNAGAR, GUJARAT | Dec 2019 | Jan 2020 | 4 Weeks
PATEL INFRASTRUCTURE | SITE EXECUTION AND CONTRACT MANAGEMENT | BHARUCH, GUJARAT | Jun 2019 | Jul 2019 | 3 Weeks</t>
  </si>
  <si>
    <t>AP21018</t>
  </si>
  <si>
    <t>RUCHA</t>
  </si>
  <si>
    <t>Rucha Sanjay Tambe</t>
  </si>
  <si>
    <t>RUCHA1696@GMAIL.COM</t>
  </si>
  <si>
    <t>ap21018@ms.nicmar.ac.in</t>
  </si>
  <si>
    <t>16-Sep-1996</t>
  </si>
  <si>
    <t>4290 1335 5062</t>
  </si>
  <si>
    <t>SANJAY GOPALKRISHNA TAMBE</t>
  </si>
  <si>
    <t>ROOPSHREE SANJAY TAMBE</t>
  </si>
  <si>
    <t>31, ANAND APARTMENTS , GROUND FLOOR , MODERN HOUSING SOCIETY , PRATAP NAGAR ,</t>
  </si>
  <si>
    <t>SANDIPANI SCHOOL</t>
  </si>
  <si>
    <t>AutoCAD,MS Office,MS Project,PHOTOSHOP , SKETCHUP , ENSCAPE , VRAY</t>
  </si>
  <si>
    <t>Godrej &amp; Boyce Mfg. Co. Ltd. | Architecture , Interiors  | Mumbai | Jun 2019 | Dec 2020 | 1 Years, 6 Months, 0 Days | 5.5
Godrej &amp; Boyce Mfg. Co. Ltd. | Architecture , Interiors  | Mumbai | Jun 2019 | Dec 2020 | 1 Years, 6 Months, 0 Days | 5.5</t>
  </si>
  <si>
    <t>STUDIO GLOOM | PARTNER ARCHITECT | NAGPUR , MUMBAI  | Dec 2020 | Jan 2022 | 56 Weeks
SUBHA ARCHITECTS | ARCHITECTURAL INTERN | PUNE | Dec 2017 | Aug 2018 | 34 Weeks
INDIAN INSTITUTE OF MANAGEMENT BANGALORE | REAL ESTATE RESEARCH INITIATIVE - DATA RESEARCH ANALYST AND ADVISORY  | BANGALORE  | Apr 2022 | Jul 2022 | 11 Weeks</t>
  </si>
  <si>
    <t>AP21019</t>
  </si>
  <si>
    <t>SHINGADE</t>
  </si>
  <si>
    <t>Aishwarya Ashok Shingade</t>
  </si>
  <si>
    <t>AISHWARYASHINGADE12@GMAIL.COM</t>
  </si>
  <si>
    <t>ap21019@ms.nicmar.ac.in</t>
  </si>
  <si>
    <t>08-Feb-1996</t>
  </si>
  <si>
    <t>3486 3988 9549</t>
  </si>
  <si>
    <t>ASHOK VITTHAL SHINGADE</t>
  </si>
  <si>
    <t>SUMATI ASHOK SHINGADE</t>
  </si>
  <si>
    <t>H-15/601, ABHIMAN HOUSING SOCIETY, PRESS ENCLAVE NEAR PRATIKSHA NAGAR BUS DEPOT</t>
  </si>
  <si>
    <t>D.S.HIGH SCHOOL</t>
  </si>
  <si>
    <t>MAHARASHTRA STATE BOARD OF  HIGHER SECONDARY EDUCATION</t>
  </si>
  <si>
    <t>D.G. RUPAREL COLLEGE OF ARTS, SCIENCE AND COMMERCE .</t>
  </si>
  <si>
    <t>RACHNA SANSAD ACADEMY OF ARCHITECTURE</t>
  </si>
  <si>
    <t>AutoCAD,MS Office,MS Project,Primavera,SKETCHUP, PHOTOSHOP, LUMION</t>
  </si>
  <si>
    <t>KSA | ARCHITECT | Mumbai | Sep 2019 | Apr 2021 | 1 Years, 7 Months, 21 Days | 1.8
KSA | ARCHITECT | Mumbai | Sep 2019 | Apr 2021 | 1 Years, 7 Months, 21 Days | 1.8</t>
  </si>
  <si>
    <t>SDG | ROLE AS A TRAINEE ARCHITECT | MUMBAI | Nov 2017 | Mar 2018 | 17 Weeks
KSA | JR.ARCHITECT | MUMBAI | May 2022 | Jul 2022 | 11 Weeks</t>
  </si>
  <si>
    <t>AP21020</t>
  </si>
  <si>
    <t>JANIT</t>
  </si>
  <si>
    <t>Janit Sharma</t>
  </si>
  <si>
    <t>js682839@gmail.com</t>
  </si>
  <si>
    <t>ap21020@ms.nicmar.ac.in</t>
  </si>
  <si>
    <t>05-Jun-1999</t>
  </si>
  <si>
    <t>5574 2291 3402</t>
  </si>
  <si>
    <t>MAYA CHAND</t>
  </si>
  <si>
    <t>BABITA SHARMA</t>
  </si>
  <si>
    <t>DA/6C, DA-BLOCK</t>
  </si>
  <si>
    <t>MODERN CONVENT SCHOOL</t>
  </si>
  <si>
    <t>DRONACHARYA COLLEGE OF ENGINEERING</t>
  </si>
  <si>
    <t>AutoCAD,MS Office,MS Project,Primavera,POWER BI, MINITAB</t>
  </si>
  <si>
    <t>LARSEN AND TOUBRO REALTY | MANAGEMENT INTERN (PLANNING &amp; EXECUTION)|| PROGRESS MONITORING; QA QC; PRODUCTIVITY ANALYSIS; CLAIMS &amp; RECONCILIATION; ASSISTANCE IN STRUCTURE AUDIT &amp; ESG AUDIT | MUMBAI | Apr 2022 | Jul 2022 | 13 Weeks
DREAM MAKER CONSTRUCTION PVT LTD | ENGINEER INTERN|| MANAGING PARTS OF PROJECT; QUANTITY ESTIMATION; PREPARATION OF BBS &amp; POUR CARD; DAILY PROGRESS REPORT; QUALITY CONTROL, DELAY ANALYSIS; VETTING OF DIMENSIONS, ADMINISTER SURVEY | GURUGRAM | Mar 2021 | Jul 2021 | 17 Weeks
DREAM MAKER CONSTRUCTION PVT LTD | ENGINEER INTERN|| EXECUTION OF BUILDING WORKS; QUALITY INSPECTION; VETTING OF DIMENSIONS; DAILY SITE VISIT; PREPARATION OF DAILY LABOUR REPORT (DLR) | GURUGRAM | Jun 2019 | Jul 2019 | 5 Weeks</t>
  </si>
  <si>
    <t>AP21021</t>
  </si>
  <si>
    <t>Shubham Shrivastava</t>
  </si>
  <si>
    <t>SHUBHAMSHRIVASTAVA877@GMAIL.COM</t>
  </si>
  <si>
    <t>ap21021@ms.nicmar.ac.in</t>
  </si>
  <si>
    <t>4742 6210 7472</t>
  </si>
  <si>
    <t>SUNIL KUMAR SHRIVASTAVA</t>
  </si>
  <si>
    <t>CONSLTUANT ENGINEER</t>
  </si>
  <si>
    <t>INDIRA SHRIVASTAVA</t>
  </si>
  <si>
    <t>H. NO. 1578/1, SHIVAJI NAGAR, NEAR GANGA HOSPITAL</t>
  </si>
  <si>
    <t>MODERN SCHOOL</t>
  </si>
  <si>
    <t>COUNCIL FOR THE INDIAN SCHOOL CERTIFICATE EXAMINATIONS</t>
  </si>
  <si>
    <t>VELLORE INSTITUTE OF TECHNOLOGY DEEMED TO BE UNIVERSITY</t>
  </si>
  <si>
    <t>GAYATRI PROJECTS LIMITED | SUMMER INTERN | JHANSI, UTTAR PRADESH | May 2018 | May 2018 | 1 Weeks
KRISHNA CONSTRUCTION | SUMMER INTERN | PANWARI, UTTAR PRADESH | May 2019 | May 2019 | 4 Weeks
CONVENIENT CONSTRUCTION CONSULTANCY PVT LTD | SITE EXECUTION INTERN | BHARATPUR, RAJASTHAN | Apr 2022 | Jul 2022 | 12 Weeks</t>
  </si>
  <si>
    <t>AP21022</t>
  </si>
  <si>
    <t>KASIM</t>
  </si>
  <si>
    <t>VIDYA SAGAR</t>
  </si>
  <si>
    <t>Bandaru Kasim Vidya Sagar</t>
  </si>
  <si>
    <t>KASIMVIDYASAGAR2000@GMAIL.COM</t>
  </si>
  <si>
    <t>ap21022@ms.nicmar.ac.in</t>
  </si>
  <si>
    <t>7195 3320 4701</t>
  </si>
  <si>
    <t>BANDARU CHINA HASSAN</t>
  </si>
  <si>
    <t>BANDARU VENKATA ARUNA KUMARI</t>
  </si>
  <si>
    <t>2-349, VILLA NO-07, GREEN MEADOWS, GADALA,KORUKONDA MANDALAM</t>
  </si>
  <si>
    <t>Rajahmundry</t>
  </si>
  <si>
    <t>DR KKR GOWTHAM INTERNATIONAL SCHOOL</t>
  </si>
  <si>
    <t>ANDHRA PRADESH STATE BOARD OF HIGHER SECONDARY EDUCATION</t>
  </si>
  <si>
    <t>SRI CHAITANYA JR. KALASALA</t>
  </si>
  <si>
    <t>AutoCAD,MS Office,Primavera,SKECTUP</t>
  </si>
  <si>
    <t>ANJ TURKNEY PROJECTS | Ã¢â‚¬Â¢ QUANTITY TAKE-OFF FROM GFC LAYOUTS AND PREPARATION OF MATERIAL INSPECTION REPORT (MIS)							 Ã¢â‚¬Â¢ PREPARING WORK BREAKDOWN STRUCTURE							 Ã¢â‚¬Â¢ PROJECT PLANNING AND PREPARING SCHEDULE USING MSP			 | HYDERABAD | Jun 2022 | Jul 2022 | 4 Weeks | Campus Internship
GOVERNMENT OF ANDHRA PRADESH | SITE EXECUTION | POLAVARAM | Jun 2019 | Jul 2019 | 2 Weeks</t>
  </si>
  <si>
    <t>AP21023</t>
  </si>
  <si>
    <t>Saroj Kumar</t>
  </si>
  <si>
    <t>sarojkumar.singh420@gmail.com</t>
  </si>
  <si>
    <t>ap21023@ms.nicmar.ac.in</t>
  </si>
  <si>
    <t>25-Oct-1997</t>
  </si>
  <si>
    <t>8096 7906 6955</t>
  </si>
  <si>
    <t>YOGENDRA KUMAR</t>
  </si>
  <si>
    <t>MITHILESH DEVI</t>
  </si>
  <si>
    <t>H.NO.99/14,PURANI BAZAR TEGHRA</t>
  </si>
  <si>
    <t>RSDS HS SIMARIA</t>
  </si>
  <si>
    <t>HALDIA INSTITUTE OF TECHNOLOGY</t>
  </si>
  <si>
    <t>AutoCAD,MS Office,MS Project,Primavera,STAND PRO,BIM,SPSS,CANDY,@RISK</t>
  </si>
  <si>
    <t>Bygging India Limited | SITE EXECUTION | SINDRI,DHANBAD,JHARKHAND | Jan 2019 | Aug 2021 | 2 Years, 7 Months, 7 Days | 2.94
Bygging India Limited | SITE EXECUTION | SINDRI,DHANBAD,JHARKHAND | Jan 2019 | Aug 2021 | 2 Years, 7 Months, 7 Days | 2.94</t>
  </si>
  <si>
    <t>LARSEN AND TOUBRO | TRAINING ENGINEER | MOHANIA BIHAR | Jun 2018 | Jul 2018 | 4 Weeks
SOMA ENTERPRISE LIMITED | TRAINING ENGINEER | MOHANIA BIHAR | Dec 2017 | Jan 2018 | 3 Weeks
HINDUSTAN CONSTRUCTION CO LTD | MANAGEMENT TRANING | VPHEP CHAMOLI UTTARAKHAND | Apr 2022 | Jul 2022 | 9 Weeks</t>
  </si>
  <si>
    <t>AP21024</t>
  </si>
  <si>
    <t>MEWADA</t>
  </si>
  <si>
    <t>Shantanu Dipakbhai Mewada</t>
  </si>
  <si>
    <t>s.d.mewada@gmail.com</t>
  </si>
  <si>
    <t>ap21024@ms.nicmar.ac.in</t>
  </si>
  <si>
    <t>03-Jan-1998</t>
  </si>
  <si>
    <t>5818 8972 6243</t>
  </si>
  <si>
    <t>DIPAKBHAI AMRUTLAL MEWADA</t>
  </si>
  <si>
    <t>HARSHABEN DIPAKBHAI MEWADA</t>
  </si>
  <si>
    <t>A-36, SWAGAT CITY, ADALAJ</t>
  </si>
  <si>
    <t>C-1001,7 AVENUES, PATIL NAGAR</t>
  </si>
  <si>
    <t>SHRI VARDHAMAN VIDHYALAYA</t>
  </si>
  <si>
    <t>GUJRAT SECONDARY AND HIGHER SECONDARY EDUCATION BOARD</t>
  </si>
  <si>
    <t>AJAY INFRASTRUCTURE | SITE ENGINEER | AHEMDABAD | Jun 2018 | Jun 2018 | 2 Weeks
KUNAL STRUCTURE | SITE ENGINEER | AHEMDABAD | Dec 2018 | Dec 2018 | 2 Weeks
PACIFICA COMPANIES | ENGINEER- QS&amp;CONTRACTS | AHEMDABAD | Apr 2022 | Jul 2022 | 12 Weeks</t>
  </si>
  <si>
    <t>AP21025</t>
  </si>
  <si>
    <t>MULEY</t>
  </si>
  <si>
    <t>Muley Gayatri Jayant</t>
  </si>
  <si>
    <t>gayatrimuley9@gmail.com</t>
  </si>
  <si>
    <t>ap21025@ms.nicmar.ac.in</t>
  </si>
  <si>
    <t>21-Oct-1995</t>
  </si>
  <si>
    <t>3922 2139 1626</t>
  </si>
  <si>
    <t>JAYANT VASANT MULEY</t>
  </si>
  <si>
    <t>HARSHAL JAYANT MULEY</t>
  </si>
  <si>
    <t>FLAT NO. 301, SNEHAL APARTMENT, FIRST BUS STOP, GOPAL NAGAR</t>
  </si>
  <si>
    <t>22, BUILDING 5C, VISAVA GHARKUL, DP ROAD, AUNDH,</t>
  </si>
  <si>
    <t>DILASAGRAM CONVENT HIGH SCHOOL</t>
  </si>
  <si>
    <t>HISLOP JR COLLEGE CHANDRAPUR</t>
  </si>
  <si>
    <t>AutoCAD,MS Office,MS Project,REVIT ARCHITECTURE</t>
  </si>
  <si>
    <t>Neilsoft Pvt. Ltd. | Bim modeller | Pune | Jul 2019 | Jul 2021 | 2 Years, 0 Months, 21 Days | 3.13
Neilsoft Pvt. Ltd. | Bim modeller | Pune | Jul 2019 | Jul 2021 | 2 Years, 0 Months, 21 Days | 3.13</t>
  </si>
  <si>
    <t>SUBHA ARCHITECTS AND INTERIOR DESIGNERS | I GOT MY HANDS ON WORKING DRAWINGS, LANDSCAPE DRAWINGS, MUNICIPAL DRAWINGS AND PRESENTATION DRAWINGS  | PUNE | Dec 2017 | Aug 2018 | 34 Weeks
HOSMAC INDIA PVT LTD | MEP - BIM MODELING | MUMBAI | Apr 2022 | Jul 2022 | 13 Weeks</t>
  </si>
  <si>
    <t>AP21026</t>
  </si>
  <si>
    <t>Vaibhav Tyagi</t>
  </si>
  <si>
    <t>VAIBHAV123TYAGI@GMAIL.COM</t>
  </si>
  <si>
    <t>ap21026@ms.nicmar.ac.in</t>
  </si>
  <si>
    <t>03-Aug-1996</t>
  </si>
  <si>
    <t>8901 6768 3329</t>
  </si>
  <si>
    <t>KULDEEP TYAGI</t>
  </si>
  <si>
    <t>ANSHU TYAGI</t>
  </si>
  <si>
    <t>H.NO 49, RADHAKUNJ 2, NANDGRAM, GHAZIABAD</t>
  </si>
  <si>
    <t>H.NO 154, RADHAKUNJ 1, NANDGRAM, GHAZIABAD</t>
  </si>
  <si>
    <t>ST. JOSEPH'S ACADEMY</t>
  </si>
  <si>
    <t>INDIAN COUNCIL OF SENIOR SECONDARY EDUCATION</t>
  </si>
  <si>
    <t>Hindustan Construction Company | Execution Civil | Mayapur, Chamoli, Uttarakhand | Dec 2019 | Jul 2021 | 1 Years, 7 Months, 7 Days | 3.25
Hindustan Construction Company | Execution Civil | Mayapur, Chamoli, Uttarakhand | Dec 2019 | Jul 2021 | 1 Years, 7 Months, 7 Days | 3.25</t>
  </si>
  <si>
    <t>DELHI METRO RAIL CORPORATION LTD | SITE EXECUTION  | NAJAFGARH METRO | Jun 2018 | Jan 2022 | 186 Weeks
HINDUSTAN CONSTRUCTION COMPANY | SITE EXECUTION | VISHNUGAD PIPALKOTI HYDRO ELECTRIC PROJECT, CHAMOLI, UTTARAKHAND | Apr 2022 | Jul 2022 | 9 Weeks</t>
  </si>
  <si>
    <t>AP21027</t>
  </si>
  <si>
    <t>JAI VALLABH</t>
  </si>
  <si>
    <t>Jai Vallabh Sharma</t>
  </si>
  <si>
    <t>JAIVALLABH.SHARMA37@GMAIL.COM</t>
  </si>
  <si>
    <t>ap21027@ms.nicmar.ac.in</t>
  </si>
  <si>
    <t>7722 2606 2024</t>
  </si>
  <si>
    <t>SURESH SHARMA</t>
  </si>
  <si>
    <t>CIVIL CONTRACTOR AND BUILDER</t>
  </si>
  <si>
    <t>SANGEETA SHARMA</t>
  </si>
  <si>
    <t>48,SHRADDHA SHREE COLONY MR-9 ROAD NEAR BARFANI DHAM,INDORE</t>
  </si>
  <si>
    <t>BHAVAN'S PROMINENT SCHOOL</t>
  </si>
  <si>
    <t>BHAVANS PROMINENT SCHOOL</t>
  </si>
  <si>
    <t>MEDI-CAPS UNIVERSITY INDORE</t>
  </si>
  <si>
    <t>DECORATO MEDIA PVT LTD | MARKETING INTERN  | PUNE | Apr 2022 | Jul 2022 | 13 Weeks</t>
  </si>
  <si>
    <t>AP21028</t>
  </si>
  <si>
    <t>ANANYA</t>
  </si>
  <si>
    <t>Ananya Das</t>
  </si>
  <si>
    <t>ananya.das8799@gmail.com</t>
  </si>
  <si>
    <t>ap21028@ms.nicmar.ac.in</t>
  </si>
  <si>
    <t>8890 3696 9406</t>
  </si>
  <si>
    <t>KISHORE DAS</t>
  </si>
  <si>
    <t>PAMELA DAS</t>
  </si>
  <si>
    <t>H. NO. 252, GREEN TOWER, PLOT NO. 7C, SECTOR 23, DWARKA</t>
  </si>
  <si>
    <t>MOUNT CARMEL SCHOOL</t>
  </si>
  <si>
    <t>LARSEN AND TOUBRO | SITE ENGINEER  | DELHI  | May 2019 | Jun 2019 | 4 Weeks
TRANSVEN CONSULTING PRIVATE LIMITED | MEP AUDIT AND ANALYSIS  | MUMBAI | Apr 2022 | Jul 2022 | 11 Weeks</t>
  </si>
  <si>
    <t>AP21029</t>
  </si>
  <si>
    <t>SHREYASHI</t>
  </si>
  <si>
    <t>Shreyashi Saha</t>
  </si>
  <si>
    <t>SHREYASHISAHA957@GMAIL.COM</t>
  </si>
  <si>
    <t>ap21029@ms.nicmar.ac.in</t>
  </si>
  <si>
    <t>7149 8035 2346</t>
  </si>
  <si>
    <t>SUMIT SAHA</t>
  </si>
  <si>
    <t>PAMPA SAHA</t>
  </si>
  <si>
    <t>1/3A VIVEKNAGAR,JHEEL ROAD, JADAVPUR</t>
  </si>
  <si>
    <t>HOLY FAMILY CONVENT HIGHER SECONDARY SCHOOL</t>
  </si>
  <si>
    <t>NETALI SUBHASH ENGINEERING COLLEGE, A TECHNO INDIA GROUP</t>
  </si>
  <si>
    <t>BRIDGE AND ROOF CO. (INDIA) LTD., PSU | PLANNING AND BILLING WITH SITE EXECUTION | Kolkata | Jun 2018 | May 2019 | 0 Years, 11 Months, 3 Days | 2.4
BRIDGE AND ROOF CO. (INDIA) LTD., PSU | PLANNING AND BILLING WITH SITE EXECUTION | Kolkata | Jun 2018 | May 2019 | 0 Years, 11 Months, 3 Days | 2.4</t>
  </si>
  <si>
    <t>SIMPLEX INFRASTRUCTURE LIMITED | SITE ENGINEER | SODEPUR | Jan 2017 | Feb 2017 | 2 Weeks
BRIDGE AND ROOF COMPANY INDIA LIMITED | SITE ENGINEER | KOLKATA | Jul 2017 | Jul 2017 | 4 Weeks
SHAPOORJI PALLONJI ENGINEERING AND CONSTRUCTION | SITE ENGINEER | NEWTOWN, WEST BENGAL | Apr 2022 | Jun 2022 | 8 Weeks</t>
  </si>
  <si>
    <t>AP21030</t>
  </si>
  <si>
    <t>AWASTHI</t>
  </si>
  <si>
    <t>Gaurav Awasthi</t>
  </si>
  <si>
    <t>GAURAVAWASTHI1797@GMAIL.COM</t>
  </si>
  <si>
    <t>ap21030@ms.nicmar.ac.in</t>
  </si>
  <si>
    <t>17-Aug-1997</t>
  </si>
  <si>
    <t>8907 5508 1799</t>
  </si>
  <si>
    <t>RAJESH KUMAR AWASTHI</t>
  </si>
  <si>
    <t>NAMITA AWASTHI</t>
  </si>
  <si>
    <t>HOUSE NO. 2, G BLOCK, YAMUNA COLONY</t>
  </si>
  <si>
    <t>MALLIKARJUN SR. SEC. SCHOOL</t>
  </si>
  <si>
    <t>SCHOLARS HOME SR. SEC. SCHOOL</t>
  </si>
  <si>
    <t>UTTARAKHAND TECHNICAL UNIVERSITY DEHRADUN</t>
  </si>
  <si>
    <t>THDC INSTITUTE OF HYDROPOWER ENGINEERING AND TECHNOLOGY</t>
  </si>
  <si>
    <t>UTTARAKHAND JAL SANSTHAN DEHRADUN | INTERN. RESPONSIBLE FOR WATER QUALITY TESTING AS PER IS 10500. DETERMINATION OF FLUORIDE CONTENT IN WATER USING INSTRUMENT DR 5000 &amp; SPANDS SOLUTION. | DEHRADUN | May 2019 | May 2019 | 2 Weeks
UTTARAKHAND JAL VIDYUT NIGAM LIMITED DEHRADUN | SITE INTERN ENGINEER | DAKPATHAR (DEHRADUN) | Jun 2018 | Jul 2018 | 4 Weeks
MADHURE INFRA ENGINEERING PRIVATE LIMITED | TRAINEE ENGINEER. RESPONSIBLE FOR ESTIMATION OF THE QUANTITY OF CONCRETE AND STEEL ON SITE.  CHECKING THE REINFORCEMENT BEFORE FINAL CHECKING IS GIVEN TO CLIENT. MONITORING SOLING PROCESS ON SITE. | PUNE | Apr 2022 | Jul 2022 | 12 Weeks</t>
  </si>
  <si>
    <t>AP21031</t>
  </si>
  <si>
    <t>KASARLA</t>
  </si>
  <si>
    <t>PRANATHI</t>
  </si>
  <si>
    <t>Kasarla Sai Pranathi</t>
  </si>
  <si>
    <t>ap21031@ms.nicmar.ac.in</t>
  </si>
  <si>
    <t>09-Sep-1999</t>
  </si>
  <si>
    <t>3370 2622 0849</t>
  </si>
  <si>
    <t>KASARLA NARESH RAO</t>
  </si>
  <si>
    <t>MULA RADHA DEVI</t>
  </si>
  <si>
    <t>H NO 10-14-1870/1, Seetaram Nagar Colony, Nizamabad.</t>
  </si>
  <si>
    <t>H NO 10-14-1870/1, SEETARAM NAGAR COLONY, NIZAMABAD.</t>
  </si>
  <si>
    <t>VIJAY HIGH SCHOOL</t>
  </si>
  <si>
    <t>BOARD OF SECONDARY EDUCATION: TELANGANA STATE</t>
  </si>
  <si>
    <t>ST. MARTINS ENGINEERING COLLEGE, HYDERABAD</t>
  </si>
  <si>
    <t>TREMCO CPG INDIA | MARKETING INTERN | VASHI, NAVI MUMBAI | Apr 2022 | Jul 2022 | 9 Weeks
LALIMBER | MARKETING COORDINATOR | WORK FROM HOME | Aug 2022 | Sep 2022 | 4 Weeks
SRC CONSTRUCTIONS PVT LTD | SITE WORK | NIZAMABAD | Jun 2021 | Aug 2021 | 8 Weeks</t>
  </si>
  <si>
    <t>AP21032</t>
  </si>
  <si>
    <t>SHIVDEEP</t>
  </si>
  <si>
    <t>Shivdeep Prakash Patil</t>
  </si>
  <si>
    <t>spatil461@gmail.com</t>
  </si>
  <si>
    <t>ap21032@ms.nicmar.ac.in</t>
  </si>
  <si>
    <t>6505 3478 1806</t>
  </si>
  <si>
    <t>PRAKASH SHIVAJIRAO BODKHE PATIL</t>
  </si>
  <si>
    <t>SHARDA PRAKASH BODKHE PATIL</t>
  </si>
  <si>
    <t>3,BEHIND PATIL ACCIDENT HOSPITAL,GOVIND NAGAR,NANDURA ROAD,KHAMGAON</t>
  </si>
  <si>
    <t>Khamgaon</t>
  </si>
  <si>
    <t>603,VERTICAL ORIANA,KESHAV NAGAR, MUNDWA</t>
  </si>
  <si>
    <t>ST ANN'S ENGLISH MEDIUM HIGH SCHOOL</t>
  </si>
  <si>
    <t>MAHARATRA STATE BOARD OF HIGHER SECONDARY EDUCATION</t>
  </si>
  <si>
    <t>G.S COLLEGE</t>
  </si>
  <si>
    <t>K.C.T LT G.N SAPKAL COLLEGE OF ENGINEERING</t>
  </si>
  <si>
    <t>MAHAVEER GROUP | CONTRACT MANAGEMENT TRAINEE | BANGALORE | Apr 2022 | Jun 2022 | 7 Weeks</t>
  </si>
  <si>
    <t>AP21033</t>
  </si>
  <si>
    <t>BARIA</t>
  </si>
  <si>
    <t>Baria Nishant Ganesh</t>
  </si>
  <si>
    <t>BARIANISHANT143@GMAIL.COM</t>
  </si>
  <si>
    <t>ap21033@ms.nicmar.ac.in</t>
  </si>
  <si>
    <t>3574 1863 9162</t>
  </si>
  <si>
    <t>GANESH RAMABHAI BARI</t>
  </si>
  <si>
    <t>BUILDER CONTRACTOR</t>
  </si>
  <si>
    <t>NAYNABEN GANESH BARI</t>
  </si>
  <si>
    <t>236 BARIAWAD UMBERGAON TOWN</t>
  </si>
  <si>
    <t>Umbergaon</t>
  </si>
  <si>
    <t>236 BARIYAWAD,UMBERGAON TOWN</t>
  </si>
  <si>
    <t>SHREE SWAMINARAYAN GURUKUL SURAT</t>
  </si>
  <si>
    <t>GUJARAT STATE BOARD</t>
  </si>
  <si>
    <t>SHREE SWAMINARAYAN GURUKUL</t>
  </si>
  <si>
    <t>SILVER OAK INSTITUTE OF TECHNOLOGY</t>
  </si>
  <si>
    <t>ADITYA SILVER OAK INSTITUTE OF TECHNOLOGY</t>
  </si>
  <si>
    <t>SILVER OAK COLLEGE OF ENGINEERING &amp; TECHNOLOGY | JR-SITE ENGINEER | AHMEDABAD | Sep 2019 | Mar 2020 | 0 Years, 6 Months, 3 Days | 12
SILVER OAK COLLEGE OF ENGINEERING &amp; TECHNOLOGY | JR-SITE ENGINEER | AHMEDABAD | Sep 2019 | Mar 2020 | 0 Years, 6 Months, 3 Days | 12</t>
  </si>
  <si>
    <t>PACIFICA COMPANIES | SITE EXECUTION, MANAGEMENT  | VADODARA GUJARAT  | Apr 2022 | Jul 2022 | 12 Weeks</t>
  </si>
  <si>
    <t>AP21034</t>
  </si>
  <si>
    <t>ADARSHA</t>
  </si>
  <si>
    <t>Adarsha Ravindra Kakade</t>
  </si>
  <si>
    <t>ARKAKADE1998@GMAIL.COM</t>
  </si>
  <si>
    <t>ap21034@ms.nicmar.ac.in</t>
  </si>
  <si>
    <t>11-Sep-1998</t>
  </si>
  <si>
    <t>6383 3989 8951</t>
  </si>
  <si>
    <t>RAVINDRA KASHINATH KAKADE</t>
  </si>
  <si>
    <t>MERCHANT NAVY</t>
  </si>
  <si>
    <t>SEEMA RAVINDRA KAKADE</t>
  </si>
  <si>
    <t>HOUSE 93, INDRAPRASTHA SOCIETY PHASE-1, NEAR AKASHWANI, HADAPSAR</t>
  </si>
  <si>
    <t>PAWAR PUBLIC SCHOOL, AMANORA</t>
  </si>
  <si>
    <t>MODERN JUNIOR COLLEGE, SHIVAJINAGAR</t>
  </si>
  <si>
    <t>SMEFS BRICK SCHOOL OF ARCHITECTURE</t>
  </si>
  <si>
    <t>HARSHAL ROKADE AND ASSOCIATES PUNE | ASSISTANT ARCHITECT					 | PUNE | Jun 2020 | Oct 2020 | 21 Weeks
SHREE CONSTRUCTIONS | SITE SUPERVISOR | HADAPSAR  | May 2022 | Jul 2022 | 9 Weeks</t>
  </si>
  <si>
    <t>AP21035</t>
  </si>
  <si>
    <t>Jeevan V</t>
  </si>
  <si>
    <t>jeevanv2019@gmail.com</t>
  </si>
  <si>
    <t>ap21035@ms.nicmar.ac.in</t>
  </si>
  <si>
    <t>ENGLISH, HINDI, KANNADA, TELUGU</t>
  </si>
  <si>
    <t>9039 2335 4537</t>
  </si>
  <si>
    <t>VIDYADHARA D</t>
  </si>
  <si>
    <t>JYOTHI G</t>
  </si>
  <si>
    <t>H. NO. 380/90-91, B BLOCK, DCM TOWNSHIP</t>
  </si>
  <si>
    <t>SANJEEVANA NILAYA , 2ND CROSS , ADISHAKTHI NAGARA , JAIL ROAD , CHALLAKERE TOLLGATE</t>
  </si>
  <si>
    <t>VIDYAVIKASA ENGLISH MEDIUM HIGH SCHOOL</t>
  </si>
  <si>
    <t>AUROBINDO INDP PU COLLEGE</t>
  </si>
  <si>
    <t>AutoCAD,MS Office,MS Project,Primavera,SKETCHUP , LUMION , STAAD PRO</t>
  </si>
  <si>
    <t>FORUM OF PRACTICING ARCHITECTS AND CONSULTING CIVIL ENGINEERS | INTERN | DAVANAGERE, KARNATAKA | Jul 2018 | Aug 2018 | 4 Weeks
GREEN ECOMES SOLUTIONS PRIVATE LIMITED | STRATEGIC BUSINESS DEVELOPMENT - BIM | PUNE , MAHARASHTRA | May 2022 | Jul 2022 | 8 Weeks</t>
  </si>
  <si>
    <t>AP21036</t>
  </si>
  <si>
    <t>MEGHA SYAM</t>
  </si>
  <si>
    <t>Bhoopathi Megha Syam</t>
  </si>
  <si>
    <t>bhoopathimegashyam@gmail.com</t>
  </si>
  <si>
    <t>ap21036@ms.nicmar.ac.in</t>
  </si>
  <si>
    <t>17-Jul-1999</t>
  </si>
  <si>
    <t>TELUGU, ENGISH, HINDI</t>
  </si>
  <si>
    <t>6375 0246 6397</t>
  </si>
  <si>
    <t>2-11-208/1/401 HARI HARA TOWERS KUC X ROAD VIDYARANYAPURI</t>
  </si>
  <si>
    <t>ST.GABRIEL'S HIGH SCHOOL</t>
  </si>
  <si>
    <t>BOARD OF SECONDARY EDUCATION TELANAGNA STATE</t>
  </si>
  <si>
    <t>VMR POLYTECHNIC COLLEGE</t>
  </si>
  <si>
    <t>SR ENGINEERING COLLEGE</t>
  </si>
  <si>
    <t>AutoCAD,MS Office,MS Project,STADD PRO (BEGINNER LEVEL)</t>
  </si>
  <si>
    <t>CHALLA INFRA PROJECTS PRIVATE LIMITED | INTERN | WARANGAL | Dec 2020 | Mar 2021 | 15 Weeks
ARHAM CONSTROTECH PVT LTD | TRAINEE ENGINEER | HYDERABAD, PUNE | Apr 2022 | Jun 2022 | 8 Weeks</t>
  </si>
  <si>
    <t>AP21037</t>
  </si>
  <si>
    <t>Aman Kumar</t>
  </si>
  <si>
    <t>3010.AMAN@GMAIL.COM</t>
  </si>
  <si>
    <t>ap21037@ms.nicmar.ac.in</t>
  </si>
  <si>
    <t>27-Jul-1995</t>
  </si>
  <si>
    <t>ENGLISH, HINDI, BHOJPURI</t>
  </si>
  <si>
    <t>2844 6320 9401</t>
  </si>
  <si>
    <t>LATE UPENDRA PRASAD ROY</t>
  </si>
  <si>
    <t>INDRA DEVI</t>
  </si>
  <si>
    <t>FLAT NO.-301, SAI HERITAGE PHASE-01,PURNENDUNAGAR, ANISHABAAD</t>
  </si>
  <si>
    <t>C/O U.N RAI, VILLAGE-RUSTAMPUR,P.O-RUSTAMPUR,DIST-VASHALI,PIN-844508</t>
  </si>
  <si>
    <t>DELHI PUBLIC SCHOOL, JAMSHEDPUR</t>
  </si>
  <si>
    <t>TEMPLECITY INSTITUTE OF TECHNOLOGY AND ENGINEERING</t>
  </si>
  <si>
    <t>Daewoo-L&amp;T JV | Execution | Patna | Dec 2017 | Sep 2021 | 3 Years, 8 Months, 14 Days | 2.68
Daewoo-L&amp;T JV | Execution | Patna | Dec 2017 | Sep 2021 | 3 Years, 8 Months, 14 Days | 2.68</t>
  </si>
  <si>
    <t>88 month(s)</t>
  </si>
  <si>
    <t>BIHAR RAJYA PUL NIRAAMAN NIGAM LIMITED | DPR REPORTING, SITE SUPERVISION,BBS &amp; DRAWING STUDYING | PATNA | Jun 2016 | Jul 2016 | 3 Weeks
HINDUSTAN CONSTRUCTION COMPANY LIMITED | WORKED UNDER PLANNING &amp; CONTRACT DEPARTMENT AT VPHEP PROJECT IN HCC | VPHEP, CHAMOLI, UTTARAKHAND  | Apr 2022 | Jul 2022 | 9 Weeks</t>
  </si>
  <si>
    <t>AP21038</t>
  </si>
  <si>
    <t>SUBHASHISH</t>
  </si>
  <si>
    <t>Subhashish Srivastava</t>
  </si>
  <si>
    <t>subhashish.arch@gmail.com</t>
  </si>
  <si>
    <t>ap21038@ms.nicmar.ac.in</t>
  </si>
  <si>
    <t>25-Dec-1992</t>
  </si>
  <si>
    <t>3525 7162 5013</t>
  </si>
  <si>
    <t>ASHISH KUMAR SRIVASTAVA</t>
  </si>
  <si>
    <t>POONAM SRIVASTAVA</t>
  </si>
  <si>
    <t>S-6/111-A, KACHEHARI, GOL GHAR</t>
  </si>
  <si>
    <t>ST. ATULANAND CONVENT SCHOOL</t>
  </si>
  <si>
    <t>SUNBEAM SCHOOL</t>
  </si>
  <si>
    <t>BUNDELKHAND UNIVERSITY</t>
  </si>
  <si>
    <t>INSTITUTE OF ARCHITECTURE AND TOWN PLANNING</t>
  </si>
  <si>
    <t>AEIFORIA CONSTRUCTION PVT. LTD | PROJECT MANAGEMENT | BENGALURU | Sep 2019 | Apr 2021 | 1 Years, 7 Months, 28 Days | 5.94
NOVUS ARC DESIGN PVT. LTD. | DESIGN &amp; PROJECT COORDINATION | BHUBANESWAR | Feb 2018 | Jun 2019 | 1 Years, 4 Months, 24 Days | 2.28
AEIFORIA CONSTRUCTION PVT. LTD | PROJECT MANAGEMENT | BENGALURU | Sep 2019 | Apr 2021 | 1 Years, 7 Months, 28 Days | 5.94
NOVUS ARC DESIGN PVT. LTD. | DESIGN &amp; PROJECT COORDINATION | BHUBANESWAR | Feb 2018 | Jun 2019 | 1 Years, 4 Months, 24 Days | 2.28</t>
  </si>
  <si>
    <t>73 month(s)</t>
  </si>
  <si>
    <t>ACE ARCHITECTS AND ASSOCIATES | TRAINEE ARCHITECT | JHANSI | Jul 2015 | Feb 2016 | 34 Weeks
ARCHITECT HAFEEZ CONTRACTOR | TRAINEE ARCHITECT | MUMBAI | Apr 2017 | Aug 2017 | 21 Weeks
SPACE MATRIX DESIGN CONSULTANTS PVT LTD | PROJECT MANAGEMENT - INTERN | MUMBAI | Apr 2022 | Jun 2022 | 8 Weeks</t>
  </si>
  <si>
    <t>AP21039</t>
  </si>
  <si>
    <t>MURALI</t>
  </si>
  <si>
    <t>SUPPALA</t>
  </si>
  <si>
    <t>Murali Krishna Suppala</t>
  </si>
  <si>
    <t>MURALIKRISHNA.SUPPALA@GMAIL.COM</t>
  </si>
  <si>
    <t>ap21039@ms.nicmar.ac.in</t>
  </si>
  <si>
    <t>ENGLISH, TELUGU, HINDI.</t>
  </si>
  <si>
    <t>8029 2687 5996</t>
  </si>
  <si>
    <t>SUPPALA PANDARI</t>
  </si>
  <si>
    <t>SUPPALA VANI</t>
  </si>
  <si>
    <t>H.NO. 13-4-759/1, KARWAN SAHU, OPP MARKHANDAYA BHAVAN</t>
  </si>
  <si>
    <t>DRS INTERNATIONAL SCHOOL</t>
  </si>
  <si>
    <t>CENTRAL  BOARD OF SECONDARY EDUCATION</t>
  </si>
  <si>
    <t>GOKARAJU RANGARJU INSTITUTE OF ENGINEERING AND TECHNOLOGY</t>
  </si>
  <si>
    <t>KPC PROJECTS LTD | TRAINEE ENGINEER | HYDERABAD | Dec 2019 | Jan 2020 | 4 Weeks
ANUHAR HOMES PVT LTD | PROCESS DESIGNING &amp; DOCUMENTATION | HYDERABAD | Apr 2022 | Jul 2022 | 13 Weeks</t>
  </si>
  <si>
    <t>AP21040</t>
  </si>
  <si>
    <t>VISVEISH</t>
  </si>
  <si>
    <t>BABU G K</t>
  </si>
  <si>
    <t>Visveish Babu G K</t>
  </si>
  <si>
    <t>visveishofficial@gmail.com</t>
  </si>
  <si>
    <t>ap21040@ms.nicmar.ac.in</t>
  </si>
  <si>
    <t>21-Dec-1996</t>
  </si>
  <si>
    <t>7968 1458 1608</t>
  </si>
  <si>
    <t>KAMARAJ G</t>
  </si>
  <si>
    <t>DOCUMENT WRITER</t>
  </si>
  <si>
    <t>SHEEBA MEENAKSHI K</t>
  </si>
  <si>
    <t>NO.1 AND 2, SIVA SIVA BLOCK, VALAR NAGAR, UTHANGUDI</t>
  </si>
  <si>
    <t>NO.12, SIVA MEENAKSHI BLOCK, VALAR NAGAR, UTHANGUDI</t>
  </si>
  <si>
    <t>LAKSHMI CHORDIA MEMORIAL MATRICULATION HIGHER SECONDARY SCHOOL</t>
  </si>
  <si>
    <t>TAMIL NADU STATE BOARD OF EDUCATION</t>
  </si>
  <si>
    <t>K.L.N. COLLEGE OF INFORMATION TECHNOLOGY, TAMIL NADU</t>
  </si>
  <si>
    <t>LARSEN AND TOUBRO CONSTRUCTION | 1) ROLE: CONSTRUCTION MANAGEMENT INTERN 2) RESPONSIBILITIES: ASSISTED IN DAY-TO-DAY SUPERVISED ACTIVITIES ALONG WITH THE CONSTRUCTION MANAGER. ASSISTED IN FORWARDING SUBMITTAL FORMS TO THE CLIENT FOR  | MUMBAI | Jun 2022 | Aug 2022 | 8 Weeks</t>
  </si>
  <si>
    <t>AP21041</t>
  </si>
  <si>
    <t>OMASE</t>
  </si>
  <si>
    <t>Aditi Dnyaneshwar Omase</t>
  </si>
  <si>
    <t>ap21041@ms.nicmar.ac.in</t>
  </si>
  <si>
    <t>AP21042</t>
  </si>
  <si>
    <t>AMEER</t>
  </si>
  <si>
    <t>HAMZA</t>
  </si>
  <si>
    <t>Ameer Hamza</t>
  </si>
  <si>
    <t>AMEERHAMZA2106@GMAIL.COM</t>
  </si>
  <si>
    <t>ap21042@ms.nicmar.ac.in</t>
  </si>
  <si>
    <t>06-Dec-1998</t>
  </si>
  <si>
    <t>9066 6655 4016</t>
  </si>
  <si>
    <t>NASEEM AHMED</t>
  </si>
  <si>
    <t>SHABANA PARVEEN</t>
  </si>
  <si>
    <t>J-11 EXTN,STREET NO-12, EXTENSION PART 2, GALI NO 12, NEAR ABDULLA MASJID, RAMESH PARK, LAXMI NAGAR</t>
  </si>
  <si>
    <t>SNEH INTERNATIONAL SCHOOL</t>
  </si>
  <si>
    <t>KCC INSTITUTE OF TECHNOLOGY AND MANAGEMENT,GREATER NOIDA</t>
  </si>
  <si>
    <t>PUBLIC WORKS DEPARTMENT | SITE MANAGEMENT, QUANTITY CALCULATION | DELHI | Jun 2019 | Aug 2019 | 7 Weeks
MAGNATE ARCHITECTURAL AUXILIARY SERVICES | BUSINESS OPERATIONS &amp; MARKET RESEARCH | BANGALORE | Apr 2022 | Jun 2022 | 8 Weeks</t>
  </si>
  <si>
    <t>AP21043</t>
  </si>
  <si>
    <t>DHAWANKAR</t>
  </si>
  <si>
    <t>ARCHIT</t>
  </si>
  <si>
    <t>Dhawankar Archit Mukesh</t>
  </si>
  <si>
    <t>arcdhawankar@gmail.com</t>
  </si>
  <si>
    <t>ap21043@ms.nicmar.ac.in</t>
  </si>
  <si>
    <t>22-Jun-1996</t>
  </si>
  <si>
    <t>8689 9198 6424</t>
  </si>
  <si>
    <t>MUKESH SHANKAR DHAWANKAR</t>
  </si>
  <si>
    <t>PRATIBHA MUKESH DHAWANKAR</t>
  </si>
  <si>
    <t>PLOT NO.143,CHOCKS COLONY ,NEAR TIRPUDE HOSPITAL</t>
  </si>
  <si>
    <t>PLOT NO 180, CHOCKS COLONY KAMPTEE ROAD NAGPUR</t>
  </si>
  <si>
    <t>BISHOP COTTON SCHOOL</t>
  </si>
  <si>
    <t>SINDI HINDI JUNIOR COLLEGE</t>
  </si>
  <si>
    <t>RASHTRASANT TUKADOJI MAHARAJ NAGPUR  UNIVERSITY</t>
  </si>
  <si>
    <t>GOVINDRAO WANJARI COLLEGE OF ENGINEERING NAGPUR</t>
  </si>
  <si>
    <t>AG CONSTRUCTION | JUNIOR SITE ENGINEER | NAGPUR | Oct 2018 | Dec 2020 | 2 Years, 2 Months, 14 Days | 1.8
AG CONSTRUCTION | JUNIOR SITE ENGINEER | NAGPUR | Oct 2018 | Dec 2020 | 2 Years, 2 Months, 14 Days | 1.8</t>
  </si>
  <si>
    <t>VARDHAN CONSULTING ENGINEERS | PROJECT MANAGEMENT OF INFRASTRUCTURE PROJECT  | JAISALMER | Jul 2021 | Sep 2021 | 8 Weeks
MAHIM ARCHITECTS | SITE ENGINEER  | SURAT | Apr 2022 | Jun 2022 | 8 Weeks</t>
  </si>
  <si>
    <t>AP21044</t>
  </si>
  <si>
    <t>PRAJNAN</t>
  </si>
  <si>
    <t>PARTHASARATHI</t>
  </si>
  <si>
    <t>Prajnan Parthasarathi</t>
  </si>
  <si>
    <t>prajnan1998@gmail.com</t>
  </si>
  <si>
    <t>ap21044@ms.nicmar.ac.in</t>
  </si>
  <si>
    <t>01-Mar-1998</t>
  </si>
  <si>
    <t>3419 0538 9677</t>
  </si>
  <si>
    <t>PARTHA SARATHI BARUAH</t>
  </si>
  <si>
    <t>RIJU BARUAH</t>
  </si>
  <si>
    <t>H. NO. 170, A.T. ROAD, TARAJAN, BY LANE 1</t>
  </si>
  <si>
    <t>Jorhat</t>
  </si>
  <si>
    <t>ROOM NO.: 717, ULTIMA BOYS HOSTEL, NICMAR, N.I.A. POST OFFICE, 25/1, BALEWADI ROAD, BANER</t>
  </si>
  <si>
    <t>NORTH EASTERN REGIONAL INSTITUTE OF SCIENCE AND TECHNOLOGY ITANAGAR</t>
  </si>
  <si>
    <t>AutoCAD,MS Office,MS Project,PROJECT MANAGEMENT, LEAN SIX SIGMA</t>
  </si>
  <si>
    <t>GUWAHATI BUILDERS PRIVATE LIMITED | PART-TIME PAID INTERN | NIRJULI, ARUNACHAL PRADESH | Sep 2018 | Aug 2020 | 102 Weeks
MEGHALAYA ENERGY CORPORATION LIMITED | SUMMER INTERN | UMIAM, MEGHALAYA | Jun 2019 | Jul 2019 | 4 Weeks
JC VALUERS AND ADVISORS PVT LTD | ASSET VALUATION INTERN | PUNE, MAHARASHTRA | Apr 2022 | Jul 2022 | 13 Weeks</t>
  </si>
  <si>
    <t>AP21045</t>
  </si>
  <si>
    <t>GORAKSHNATH</t>
  </si>
  <si>
    <t>CHINE</t>
  </si>
  <si>
    <t>Pratik Gorakshnath Chine</t>
  </si>
  <si>
    <t>12PRATIKCHINE@GMAIL.COM</t>
  </si>
  <si>
    <t>ap21045@ms.nicmar.ac.in</t>
  </si>
  <si>
    <t>12-Mar-2000</t>
  </si>
  <si>
    <t>8530 6830 8168</t>
  </si>
  <si>
    <t>GORAKSHNATH PANDHARINATH CHINE</t>
  </si>
  <si>
    <t>SAVITA GORAKSHNATH CHINE</t>
  </si>
  <si>
    <t>PLOT NO. 152, KHUTWAD NAGAR, NASHIK 422008</t>
  </si>
  <si>
    <t>MARATHA HIGH SCHOOL</t>
  </si>
  <si>
    <t>KARMAVIR RAOSAHEB THORAT ARTS, BHAUSAHEB HIRE COMMERCE,  ANNASAHEB MURKUTE SCIENCE COLLEGE NASHIK</t>
  </si>
  <si>
    <t>NASHIK DISTRICT MARATHA VIDYA PRASARAK SAMAJAS KARMAVIR ADVOCATE BABURAO GANAPATRAO THAKARE COLLEGE OF ENGINEERING NASHIK</t>
  </si>
  <si>
    <t>DHAKATE AND ASSOCIATES | SUPERVISION &amp; ESTIMATION  | NASHIK | Jun 2021 | Aug 2021 | 8 Weeks
JOSHI CONSULTANTS PRIVATE LTD | ASSET VALUER | PUNE | Apr 2022 | Jun 2022 | 8 Weeks
CBRE | PLANNING AND EXECUTION | PUNE | Jul 2022 | Aug 2022 | 5 Weeks</t>
  </si>
  <si>
    <t>AP21046</t>
  </si>
  <si>
    <t>Shivani Sarkar</t>
  </si>
  <si>
    <t>shivanisarkar.o319@gmail.com</t>
  </si>
  <si>
    <t>ap21046@ms.nicmar.ac.in</t>
  </si>
  <si>
    <t>ENGLISH, HINDI,  BENGALI, FRENCH.</t>
  </si>
  <si>
    <t>5723 6641 5965</t>
  </si>
  <si>
    <t>SANJAY SARKAR</t>
  </si>
  <si>
    <t>SUNITA SARKAR</t>
  </si>
  <si>
    <t>MIG-777, VISHWA BANK COLONY, DHACHA BHAWAN, KURUD</t>
  </si>
  <si>
    <t>MIG-777,KAILASH NAGAR, DHACHA BHAWAN KURUD BHILAI</t>
  </si>
  <si>
    <t>AutoCAD,MS Office,PHOTOSHOP,SKETCH-UP,LUMION</t>
  </si>
  <si>
    <t>DIWAKIRTI RAO ASSOCIATE AND PRIVATE LIMITED | ARCHITECT | RAIPUR | Nov 2020 | Aug 2021 | 0 Years, 9 Months, 24 Days | 0.96
DIWAKIRTI RAO ASSOCIATE AND PRIVATE LIMITED | ARCHITECT | RAIPUR | Nov 2020 | Aug 2021 | 0 Years, 9 Months, 24 Days | 0.96</t>
  </si>
  <si>
    <t>KAPADIA AND ASSOCIATES | PLANNING AND DESIGNING  | RAIPUR | Jan 2019 | Apr 2022 | 170 Weeks
S COUNSULTANTS | PLANNING AND DESIGNING  | RAIPUR | Jul 2019 | Nov 2019 | 17 Weeks
LAXMI BUILDCON | WORK UNDER THE GUIDANCE OF HEAD MANAGER. | DURG | Jun 2022 | Jul 2022 | 7 Weeks</t>
  </si>
  <si>
    <t>AP21047</t>
  </si>
  <si>
    <t>PUJAR</t>
  </si>
  <si>
    <t>Rohan Ajay Pujar</t>
  </si>
  <si>
    <t>ROHANPUJAR@GMAIL.COM</t>
  </si>
  <si>
    <t>ap21047@ms.nicmar.ac.in</t>
  </si>
  <si>
    <t>7163 3305 6504</t>
  </si>
  <si>
    <t>AJAY CHENNAYYA PUJAR</t>
  </si>
  <si>
    <t>MADHUMATI PUJAR</t>
  </si>
  <si>
    <t>DENTIST</t>
  </si>
  <si>
    <t>SHIVAM CTS 7685 MAHANTESHNAGAR</t>
  </si>
  <si>
    <t>AVIESHA APARTMENTS, BALEWADI</t>
  </si>
  <si>
    <t>ST PAULS HIGH SCHOOL</t>
  </si>
  <si>
    <t>KARNATKA SECONDARY EDUCATION EXAMINATION BOARD</t>
  </si>
  <si>
    <t>RAJA LAKHAMAGOUDA PU COLLEGE</t>
  </si>
  <si>
    <t>SHASHI DEVELOPERS | TRAINEE ENGINEER  | BELAGAVI  | Jun 2020 | Aug 2020 | 8 Weeks
PURAVANKARA LIMITED | PROJECT PLANNING &amp; EXECUTION, PROJECT DESIGN FEASIBILITY,PROJECT COMMERCIAL FEASIBILITY ANALYSIS, CONTRACTS MANAGEMENT &amp; QS | BANGALORE  | Apr 2022 | Jun 2022 | 9 Weeks</t>
  </si>
  <si>
    <t>AP21048</t>
  </si>
  <si>
    <t>SHELKI</t>
  </si>
  <si>
    <t>Shelki Rakesh Ramesh</t>
  </si>
  <si>
    <t>RAKESHELKI@GMAIL.COM</t>
  </si>
  <si>
    <t>ap21048@ms.nicmar.ac.in</t>
  </si>
  <si>
    <t>ENGLISH, HINDI, KANNADA, MARATHI.</t>
  </si>
  <si>
    <t>3006 5259 0012</t>
  </si>
  <si>
    <t>RAMESH GUNDAPPA SHELKI</t>
  </si>
  <si>
    <t>KAMESHWARI RAMESH SHELKI</t>
  </si>
  <si>
    <t>RAJGHAD CHS C-6/7 , SEC-48 A, SEAWOODS, NEAR GAYMUKH POLICE CHOWK</t>
  </si>
  <si>
    <t>Navi Mumbai</t>
  </si>
  <si>
    <t>A P SHAH INSTITUTE OF TECHNOLOGY, THANE</t>
  </si>
  <si>
    <t>AutoCAD,STADD PRO</t>
  </si>
  <si>
    <t>HIRANANDANI GROUP OF COMPANIES | TRAINEE SITE ENGINEER | THANE, MAHARASHTRA | Mar 2021 | Aug 2021 | 26 Weeks
SUNTECK REALTY LIMITED | TRAINEE SITE ENGINEER | ANDHERI, MAHARASHTRA | May 2022 | Jun 2022 | 7 Weeks</t>
  </si>
  <si>
    <t>AP21050</t>
  </si>
  <si>
    <t>SENAPATHI</t>
  </si>
  <si>
    <t>Senapathi Prasanna Lakshmi</t>
  </si>
  <si>
    <t>SENAPATHI.PRASANNA@GMAIL.COM</t>
  </si>
  <si>
    <t>ap21050@ms.nicmar.ac.in</t>
  </si>
  <si>
    <t>14-Aug-1996</t>
  </si>
  <si>
    <t>3746 6265 3596</t>
  </si>
  <si>
    <t>SENAPATHI SANKARA RAO</t>
  </si>
  <si>
    <t>SENAPATHI VASANTHA</t>
  </si>
  <si>
    <t>H. NO 10-150/5 SAVITRI NAGAR, CHINAMUSHIDIWADA</t>
  </si>
  <si>
    <t>BOARD OF SECONDARY EDUCATION ANDHRA PRADESH INDIA</t>
  </si>
  <si>
    <t>JAWAHARLAL NEHRU TECNOLOGICAL UNIVERSITY, KAKINADA</t>
  </si>
  <si>
    <t>GMR INSTITUTE OF TECHNOLOGY</t>
  </si>
  <si>
    <t>AutoCAD,MS Office,MS Project,Primavera,SRAAD PRO</t>
  </si>
  <si>
    <t>GMR AIRPORT DEVELOPERS LIMITED | Project Management | Hyderabad | Jul 2017 | Dec 2020 | 3 Years, 5 Months, 1 Days | 4.28
GMR AIRPORT DEVELOPERS LIMITED | Project Management | Hyderabad | Jul 2017 | Dec 2020 | 3 Years, 5 Months, 1 Days | 4.28</t>
  </si>
  <si>
    <t>82 month(s)</t>
  </si>
  <si>
    <t>GREATER VISAKHAPATNAM MUNICIPLE CORPORATION | MONITORING OF CIVIL WORKS | VISAKHAPATNAM | Dec 2014 | Jan 2015 | 4 Weeks
OPEL CONSTRUCTION PRIVATE LIMITED | MONITORING OF CIVIL WORKS | VISAKHAPATNAM | Nov 2016 | Mar 2017 | 17 Weeks
MORGAN STANLEY | 1. COLLABORATE WITH VARIOUS WORKING GROUP STAKEHOLDERS TO PROACTIVELY TRACK PROJECTS FOR PROGRESS 2. SUPPORT PROPERTY MANAGEMENT TEAM TO DEVELOP TOOLS AND DASHBOARDS FOR STAKEHOLDER REPORTING, MEETING | BENGALURU | May 2022 | Aug 2022 | 14 Weeks</t>
  </si>
  <si>
    <t>AP21052</t>
  </si>
  <si>
    <t>KHANDEKAR</t>
  </si>
  <si>
    <t>Gunjan Satish Khandekar</t>
  </si>
  <si>
    <t>khandekar.gunjan29@gmail.com</t>
  </si>
  <si>
    <t>ap21052@ms.nicmar.ac.in</t>
  </si>
  <si>
    <t>29-Jan-1998</t>
  </si>
  <si>
    <t>6387 4912 4535</t>
  </si>
  <si>
    <t>SATISH MANOHAR KHANDEKAR</t>
  </si>
  <si>
    <t>SHUBHANGI SATISH KHANDEKAR</t>
  </si>
  <si>
    <t>KUMUDINI, NEAR LIJJAT PAPAD CENTER, AMBAPETH</t>
  </si>
  <si>
    <t>MANIBAI GUJARATI HIGH SCHOOL</t>
  </si>
  <si>
    <t>2012-Jun-26</t>
  </si>
  <si>
    <t>2013-Jun-07</t>
  </si>
  <si>
    <t>2014-Jun-09</t>
  </si>
  <si>
    <t>2015-May-27</t>
  </si>
  <si>
    <t>2015-Jul-06</t>
  </si>
  <si>
    <t>2020-Dec-04</t>
  </si>
  <si>
    <t>AutoCAD,MS Office,MS Project,GOOGLE SKETCHUP, REVIT, LUMION</t>
  </si>
  <si>
    <t>SUSTAIN AND SAVE PRIVATE LIMITED | BUSINESS DEVELOPMENT INTERN -1.PERFORMED MARKET RESEARCH, SOCIAL MEDIA BROADCASTING, CONTENT CREATION. 2.PERFORMED SUSTAINABLE TASKS. | PUNE | Sep 2020 | Sep 2020 | 4 Weeks
PESHAVE AND ASSOCIATES | ARCHITECTURAL INTERN -1.COLLABORATED WITH PRINCIPAL AND SENIOR ARCHITECTS. 2 MONITORED MONTHLY PROGRESS OF WORK DURING SITE VISITS | PUNE | Feb 2019 | Sep 2019 | 34 Weeks
LARSEN TOUBRO REALTY | SUMMER INTERN -DESIGN COORDINATION IN ENGINEERING AND DESIGN DEPARTMENT | MUMBAI | Apr 2022 | Jul 2022 | 13 Weeks</t>
  </si>
  <si>
    <t>AP21053</t>
  </si>
  <si>
    <t>RANIT</t>
  </si>
  <si>
    <t>MONDAL</t>
  </si>
  <si>
    <t>Ranit Mondal</t>
  </si>
  <si>
    <t>ranitmondal623@gmail.com</t>
  </si>
  <si>
    <t>ap21053@ms.nicmar.ac.in</t>
  </si>
  <si>
    <t>2594 7625 5909</t>
  </si>
  <si>
    <t>BISWAJIT MONDAL</t>
  </si>
  <si>
    <t>TAMALI MONDAL</t>
  </si>
  <si>
    <t>23 J.N.CHATTERJEE LANE, UKIL PARA</t>
  </si>
  <si>
    <t>Krishnanagar</t>
  </si>
  <si>
    <t>KRISHNAGAR COLLEGIATE SCHOOL</t>
  </si>
  <si>
    <t>2014-Jan-06</t>
  </si>
  <si>
    <t>2015-May-05</t>
  </si>
  <si>
    <t>2016-May-09</t>
  </si>
  <si>
    <t>2017-May-30</t>
  </si>
  <si>
    <t>2017-Jul-17</t>
  </si>
  <si>
    <t>2021-Jul-22</t>
  </si>
  <si>
    <t>AutoCAD,MS Office,MS Project,STAAD.PRO, IITPAVE</t>
  </si>
  <si>
    <t>MEGHNAD SAHA INSTITUTE OF TECHNOLOGY | WORK UNDER THE GUIDANCE OF ASSISTANT PROFESSOR WORK ON DESIGN OF FLEXIBLE PAVEMENT AS PER IRC-37,2018 USING IITPAVE SOFTWARE | KOLKATA | Apr 2021 | Apr 2021 | 3 Weeks
COUNCIL OF INDUSTRIAL ENGINEERING AND MANAGEMENT | WORK UNDER THE GUIDANCE OF ASSISTANT PROFESSOR WORK ON DRAFTING ON AUTOCAD | KOLKATA | Jun 2018 | Jul 2018 | 4 Weeks
SUNTECK REALTY LIMITED | SUMMER INTERN - COST ESTIMATION DEPARTMENT | MUMBAI | May 2022 | Jun 2022 | 7 Weeks</t>
  </si>
  <si>
    <t>AP21054</t>
  </si>
  <si>
    <t>MANDAPATI</t>
  </si>
  <si>
    <t>Mandapati Rohit Varma</t>
  </si>
  <si>
    <t>ROHITVARMA1357@GMAIL.COM</t>
  </si>
  <si>
    <t>ap21054@ms.nicmar.ac.in</t>
  </si>
  <si>
    <t>8633 8401 6608</t>
  </si>
  <si>
    <t>MANDAPATI RAMAKRISHNA RAJU</t>
  </si>
  <si>
    <t>MANDAPATI KRISHNA VENI</t>
  </si>
  <si>
    <t>NF-119,TOWER NO-8  HILL VIEW COLONY, PATRAPALI,  JSPL, RAIGARH</t>
  </si>
  <si>
    <t>Raigarh</t>
  </si>
  <si>
    <t>NF-119, TOWER-8 HILL VIEW COLONY, PATRAPALI,  JSPL, RAIGARH</t>
  </si>
  <si>
    <t>OM PRAKASH JINDAL SCHOOL</t>
  </si>
  <si>
    <t>SRI KASI VISVESWARA RAO CONSTRUCTIONS | TRAINEE | VISAKHAPATNAM | Jun 2019 | Jul 2019 | 6 Weeks
SUNTECK REALITY | EXECUTION SUPERVISION | MUMBAI | May 2022 | Jun 2022 | 7 Weeks</t>
  </si>
  <si>
    <t>AP21055</t>
  </si>
  <si>
    <t>CHALKE</t>
  </si>
  <si>
    <t>Swaraj Santosh Chalke</t>
  </si>
  <si>
    <t>swarajschalke@gmail.com</t>
  </si>
  <si>
    <t>ap21055@ms.nicmar.ac.in</t>
  </si>
  <si>
    <t>09-Jan-1999</t>
  </si>
  <si>
    <t>8400 5088 8132</t>
  </si>
  <si>
    <t>SANTOSH LAXMAN CHALKE</t>
  </si>
  <si>
    <t>SHUBHADA SANTOSH CHALKE</t>
  </si>
  <si>
    <t>SAWALI , DERVAN ROAD A.P. SAWARDE</t>
  </si>
  <si>
    <t>Chiplun</t>
  </si>
  <si>
    <t>E 404 VANASHREE SOCIETY NEAR AMANORA PARK TOWN</t>
  </si>
  <si>
    <t>GOVINDRAO NIKAM SEC. AND HIGHER SEC. SCHOOL SAWARDE</t>
  </si>
  <si>
    <t>DNYANDEEP VIDYAMANDIR KHED</t>
  </si>
  <si>
    <t>ALL INDIA SHRI SHIVAJI MEMORIAL SOCIETY COLLEGE OF ENGINEERING PUNE 01</t>
  </si>
  <si>
    <t>AutoCAD,MS Office,MS Project,Primavera,@RISK SOFTWARE</t>
  </si>
  <si>
    <t>SUNANDA CONSTRUCTIONS | SITE EXECUTION AND QUALITY CONTROL | TAL. DEVRUKH DIST. RATNAGIRI STATE - MAHARASHTRA | Apr 2021 | May 2022 | 57 Weeks
CBRE GROUP | PROJECT MANAGEMENT &amp; SITE EXECUTION. | PUNE | Jun 2022 | Aug 2022 | 8 Weeks</t>
  </si>
  <si>
    <t>AP21056</t>
  </si>
  <si>
    <t>SENAPATI</t>
  </si>
  <si>
    <t>Rashmi Rekha Senapati</t>
  </si>
  <si>
    <t>rashmirg97@gmail.com</t>
  </si>
  <si>
    <t>ap21056@ms.nicmar.ac.in</t>
  </si>
  <si>
    <t>23-Apr-1997</t>
  </si>
  <si>
    <t>2524 9563 2830</t>
  </si>
  <si>
    <t>KASINATH SENAPATI</t>
  </si>
  <si>
    <t>BILLING MANAGER</t>
  </si>
  <si>
    <t>SUNITA SENAPATI</t>
  </si>
  <si>
    <t>PLOT NO-1085,LANE-10A,SATABDI NAGAR,BARAMUNDA</t>
  </si>
  <si>
    <t>PLOT  NO-1085,LANE10-A,SATABDI NAGAR,BARAMUNDA</t>
  </si>
  <si>
    <t>DAV PUBLIC SCHOOL,UNIT VIII</t>
  </si>
  <si>
    <t>CENTRAL BOARD OF SECONDARY EDUCATION,BHUBANESWAR,ODISHA</t>
  </si>
  <si>
    <t>DAV PUBLIC SCHOOL ,UNIT VIII</t>
  </si>
  <si>
    <t>AutoCAD,MS Office,MS Project,3DS MAX, SKETCH UP, LUMION, ADOBE PHOTOSHOP</t>
  </si>
  <si>
    <t>NOTION | ARCHITECT | BHUBANESWAR | Aug 2020 | Aug 2021 | 1 Years, 0 Months, 30 Days | 1.2
NOTION | ARCHITECT | BHUBANESWAR | Aug 2020 | Aug 2021 | 1 Years, 0 Months, 30 Days | 1.2</t>
  </si>
  <si>
    <t>Z ESTATES PRIVATE LIMITED | PROFESSIONAL TRAINING | BHUBANESHWAR,ODISHA | May 2018 | Jun 2018 | 4 Weeks
VASTUKAR ARCHITECTS AND PROJECT CONSULTANT | PROFESSIONAL TRAINING | BHUBANESHWAR, ODISHA | May 2019 | Dec 2019 | 27 Weeks
SEEDTREE COLLABORATIVE PVT LTD | PROJECT DEVELOPER | SURAT | Apr 2022 | Jul 2022 | 11 Weeks</t>
  </si>
  <si>
    <t>AP21057</t>
  </si>
  <si>
    <t>BHOR</t>
  </si>
  <si>
    <t>Sanket Subhash Bhor</t>
  </si>
  <si>
    <t>sanketbhor13@gmail.com</t>
  </si>
  <si>
    <t>ap21057@ms.nicmar.ac.in</t>
  </si>
  <si>
    <t>09-Jan-1998</t>
  </si>
  <si>
    <t>4236 6638 7891</t>
  </si>
  <si>
    <t>SUBHASH BHIVAJI BHOR</t>
  </si>
  <si>
    <t>SAVITA SUBHASH BHOR</t>
  </si>
  <si>
    <t>SR.NO.34/1, ROAD NO.11-D, FLAT NO-1, LAXMI HEIGHTS, VIDYANAGAR, PUNE-411032</t>
  </si>
  <si>
    <t>SR.NO.34/1,ROAD NO.11-D,FLAT NO-1,LAXMI HEIGHTS,VIDYANAGAR,PUNE-411032</t>
  </si>
  <si>
    <t>GENBA SOPANRAO MOZE PRASHALA</t>
  </si>
  <si>
    <t>SHRI SHIVAJI PREPARATORY MILITARY SCHOOL</t>
  </si>
  <si>
    <t>MAHARASHTRA ACADEMY OF ENGINEERING, ALANDI</t>
  </si>
  <si>
    <t>TINGRE CONSTRUCTION | SITE EXECUTION &amp; SUPERVISION | PUNE | Apr 2022 | Jun 2022 | 8 Weeks</t>
  </si>
  <si>
    <t>AP21058</t>
  </si>
  <si>
    <t>RUNGTA</t>
  </si>
  <si>
    <t>Ashutosh Rungta</t>
  </si>
  <si>
    <t>RUNGTA.ASHU@GMAIL.COM</t>
  </si>
  <si>
    <t>ap21058@ms.nicmar.ac.in</t>
  </si>
  <si>
    <t>24-Feb-1998</t>
  </si>
  <si>
    <t>6366 5077 9357</t>
  </si>
  <si>
    <t>MAHESH KUMAR RUNGTA</t>
  </si>
  <si>
    <t>SANGITA RUNGTA</t>
  </si>
  <si>
    <t>TOWER-3, 11-G, SOUTH CITY RESIDENCE, 375 PRINCE ANWAR SHAH ROAD, NEAR SOUTH CITY MALL</t>
  </si>
  <si>
    <t>SOUTH CITY INTERNATIONAL SCHOOL</t>
  </si>
  <si>
    <t>INTERNATIONAL GENERAL CERTIFICATE OF SECONDARY EDUCATION</t>
  </si>
  <si>
    <t>THE HERITAGE SCHOOL</t>
  </si>
  <si>
    <t>INDIAN SCHOOL CERTIFICATE EXAMINATIONS</t>
  </si>
  <si>
    <t>MADHURE INFRA ENGINEERING PVT LTD | QUANTITY AND BILLING  | PUNE | Apr 2022 | Jul 2022 | 12 Weeks</t>
  </si>
  <si>
    <t>AP21059</t>
  </si>
  <si>
    <t>KANANI</t>
  </si>
  <si>
    <t>VATSAL</t>
  </si>
  <si>
    <t>ARVINDBHAI</t>
  </si>
  <si>
    <t>Kanani Vatsal Arvindbhai</t>
  </si>
  <si>
    <t>VATSALKANANI01@GMAIL.COM</t>
  </si>
  <si>
    <t>ap21059@ms.nicmar.ac.in</t>
  </si>
  <si>
    <t>28-Apr-1998</t>
  </si>
  <si>
    <t>6924 9220 8537</t>
  </si>
  <si>
    <t>ARVINDBHAI DHANJIBHAI KANANI</t>
  </si>
  <si>
    <t>VILASBEN ARVINDBHAI KANANI</t>
  </si>
  <si>
    <t>BUNGLOW NO. KH 150,NEAR SHOPPING CENTER,SECTOR 19</t>
  </si>
  <si>
    <t>BHULKA BHAVAN  SCHOOL</t>
  </si>
  <si>
    <t>GUJARAT STATE EDUCATION BOARD</t>
  </si>
  <si>
    <t>BHULKA BHAVAN SCHOOL</t>
  </si>
  <si>
    <t>G H PATEL COLLEGE OF ENGINEERING AND TECHNOLOGY</t>
  </si>
  <si>
    <t>RR Infra Projects Pvt Ltd. | Site Engineer | Surat | Aug 2020 | Aug 2021 | 1 Years, 0 Months, 15 Days | 1.8
RR Infra Projects Pvt Ltd. | Site Engineer | Surat | Aug 2020 | Aug 2021 | 1 Years, 0 Months, 15 Days | 1.8</t>
  </si>
  <si>
    <t>PACIFICA COMPANIES | QUANTITY SURVEYING , BUDGETING, PROJECT CONTROL AND MONITORING , CONTRACTS , BUDGETING    | AHMEDABAD | Apr 2022 | Jul 2022 | 12 Weeks</t>
  </si>
  <si>
    <t>AP21060</t>
  </si>
  <si>
    <t>MANDHANI</t>
  </si>
  <si>
    <t>Jayesh Mandhani</t>
  </si>
  <si>
    <t>mandhanijayesh97@gmail.com</t>
  </si>
  <si>
    <t>ap21060@ms.nicmar.ac.in</t>
  </si>
  <si>
    <t>ENGLISH,HINDI,MARATHI,TELUGU,MARWADI</t>
  </si>
  <si>
    <t>8311 3475 0350</t>
  </si>
  <si>
    <t>KAMAL NARAYAN MANDHANI</t>
  </si>
  <si>
    <t>ANITA MANDHANI</t>
  </si>
  <si>
    <t>SRI ONKAR COTTON AGRO INDUSTRIES,ASOLA</t>
  </si>
  <si>
    <t>CBSE IN HYDERABAD/TELANGANA.</t>
  </si>
  <si>
    <t>2022-Jun-02</t>
  </si>
  <si>
    <t>2014-May-29</t>
  </si>
  <si>
    <t>TELANGANA STATE BOARD IN HYDERABAD/TELANGANA.</t>
  </si>
  <si>
    <t>2014-Jul-01</t>
  </si>
  <si>
    <t>2016-May-30</t>
  </si>
  <si>
    <t>SRM INSTITUTE OF SCIENCE AND TECHNOLOGY.</t>
  </si>
  <si>
    <t>SRM INSTITUTE OF SCIENCE AND TECHNOLOGY IN CHENNAI/TAMIL NADU.</t>
  </si>
  <si>
    <t>2016-Jul-02</t>
  </si>
  <si>
    <t>2020-May-28</t>
  </si>
  <si>
    <t>M/S GOVINDRAJ ENGINEERS AND CONTRACTORS | SITE ENGINEER | NANDED | May 2020 | Sep 2021 | 1 Years, 3 Months, 4 Days | 1.98
M/S GOVINDRAJ ENGINEERS AND CONTRACTORS | SITE ENGINEER | NANDED | May 2020 | Sep 2021 | 1 Years, 3 Months, 4 Days | 1.98</t>
  </si>
  <si>
    <t>MADHURE INFRA ENGINEERING PVT LTD | JUNIOR SITE ENGINEER | PUNE | Apr 2022 | Jul 2022 | 12 Weeks
VEDA AND SHAH VENTURES | ASSISTANT SITE ENGINEER | PUNE | Jun 2018 | Jun 2018 | 3 Weeks
SAI AKASH INFRASTRUCTURES | ASSISTANT SITE ENGINEER | SILIGURI | Jun 2019 | Jun 2019 | 3 Weeks</t>
  </si>
  <si>
    <t>AP21061</t>
  </si>
  <si>
    <t>MAHALING</t>
  </si>
  <si>
    <t>KAMATE</t>
  </si>
  <si>
    <t>Girish Mahaling Kamate</t>
  </si>
  <si>
    <t>girishmkamate@gmail.com</t>
  </si>
  <si>
    <t>ap21061@ms.nicmar.ac.in</t>
  </si>
  <si>
    <t>22-Aug-1998</t>
  </si>
  <si>
    <t>2744 8264 7781</t>
  </si>
  <si>
    <t>MAHALING BUDDAPPA KAMATE</t>
  </si>
  <si>
    <t>UMA MAHALING KAMATE</t>
  </si>
  <si>
    <t>PLOT NO. 1007 RAMTIRTH NAGAR, BELGAUM.</t>
  </si>
  <si>
    <t>WOODSVILLE PHASE 2, PH NO E 403, BHORADEWADI, MOSHI, PUNE 412105, MAHARASHTRA</t>
  </si>
  <si>
    <t>UDAY ENGLISH MEDIUM HIGH SCHOOL.</t>
  </si>
  <si>
    <t>KARNATAK SECONDARY EDUCATION EXAMINATION BOARD</t>
  </si>
  <si>
    <t>GOMATESH POLYTECHNIC BELGAUM</t>
  </si>
  <si>
    <t>VISVESVARAYA TECHNOLOGICAL UNIVERSITY BELAGAVI KARNATAKA INDIA</t>
  </si>
  <si>
    <t>KLE DR.M.S. SHESHGIRI COLLEGE OF ENGINEERING AND TECHNOLOGY BELGAUM</t>
  </si>
  <si>
    <t>CLASSIQUE TRADERS | SITE EXECUTION | BELGAUM | Feb 2021 | Jul 2021 | 25 Weeks
PURAVANKARA LTD | PROJECT DESIGN FEASIBILITY ,PROJECT COMMERCIAL FEASIBILITY, CONTRACTS &amp; QS ,PROJECT PLANNING &amp; EXECUTION | BANGLORE  | Apr 2022 | Jun 2022 | 9 Weeks</t>
  </si>
  <si>
    <t>AP21062</t>
  </si>
  <si>
    <t>MANDATI</t>
  </si>
  <si>
    <t>CHIDVILAS</t>
  </si>
  <si>
    <t>Mandati Chidvilas Reddy</t>
  </si>
  <si>
    <t>CHIDVILASMANDATI@GMAIL.COM</t>
  </si>
  <si>
    <t>ap21062@ms.nicmar.ac.in</t>
  </si>
  <si>
    <t>6447 3755 2787</t>
  </si>
  <si>
    <t>MANDATI RAM REDDY</t>
  </si>
  <si>
    <t>MANDATI SAMPOORNA</t>
  </si>
  <si>
    <t>H. NO. 19-62/2, REDDY COLONY, KHUSHAL NAGAR</t>
  </si>
  <si>
    <t>Siddipet</t>
  </si>
  <si>
    <t>MAHINDRA ECOLE CENTRALE</t>
  </si>
  <si>
    <t>AutoCAD,MS Office,MS Project,Primavera,STAAD PRO, ETABS</t>
  </si>
  <si>
    <t>IRRIGATION AND CAD DEPARTMENT GOVERNMENT OF TELANGANA | INTERN | MEDIGADDA | Jun 2018 | Jun 2018 | 4 Weeks
UNIVERSITI TEKNOLOGI MALAYSIA | RESEARCH INTERN | JOHOR BAHRU, MALAYSIA | Jun 2019 | Jul 2019 | 4 Weeks
ENGINEERING PROJECT MANAGEMENT CONSULTANCY AND RESEARCH | TRAINEE ENGINEER | CHENNAI | May 2022 | Jul 2022 | 8 Weeks</t>
  </si>
  <si>
    <t>AP21063</t>
  </si>
  <si>
    <t>Omkar Dattatraya Karale</t>
  </si>
  <si>
    <t>omkarkarale.1999@gmail.com</t>
  </si>
  <si>
    <t>ap21063@ms.nicmar.ac.in</t>
  </si>
  <si>
    <t>09-Jul-1999</t>
  </si>
  <si>
    <t>5738 2976 6116</t>
  </si>
  <si>
    <t>DATTATRAYA RAJARAM KARALE</t>
  </si>
  <si>
    <t>IPS OFFICER</t>
  </si>
  <si>
    <t>DIPTI DATTATRAYA KARALE</t>
  </si>
  <si>
    <t>25/C, SKYLINE, COSMOS HORIZON, THANE WEST</t>
  </si>
  <si>
    <t>5/C, SKYLINE, COSMOS HORIZON, THANE WEST</t>
  </si>
  <si>
    <t>SHRIMATI SULOCHANADEVI SINGHANIA SCHOOL</t>
  </si>
  <si>
    <t>INDIAN CERTIFICATE OF SECONDARY EDUCATION EXAMINATIONS</t>
  </si>
  <si>
    <t>DHANAJI NANA CHAUDHARY COLLEGE</t>
  </si>
  <si>
    <t>CUSHMAN AND WAKEFIELD | STRATEGIC CONSULTING INTERN - I HAD TO WORK ON MULTIPLE REAL ESTATE ASSET CLASSES, WORK ON THE HIGHEST AND BEST FIT STUDIES OF THE CLIENT'S LAND PARCEL. I BRIEFLY STUDIED 3 ASSET CLASSES - COMMERCIAL, | PUNE | May 2022 | Jul 2022 | 8 Weeks
MUMBAI METRO RAIL CORPORATION LIMITED | TRAINEE ON SITE | MUMBAI | Dec 2019 | Dec 2019 | 2 Weeks
SUYASH DEVELOPERS | SITE SUPERVISION, LIASONING WITH GOVERNMENT AUTHORITIES | VASHI, NAVI MUMBAI | Jul 2021 | Sep 2021 | 7 Weeks</t>
  </si>
  <si>
    <t>AP21064</t>
  </si>
  <si>
    <t>Abhijit Singh</t>
  </si>
  <si>
    <t>ABHIJEETMAILBOX6@GMAIL.COM</t>
  </si>
  <si>
    <t>ap21064@ms.nicmar.ac.in</t>
  </si>
  <si>
    <t>28-Jul-1994</t>
  </si>
  <si>
    <t>ENGLISH, HINDI, ODIA, BENGALI</t>
  </si>
  <si>
    <t>3419 5640 2473</t>
  </si>
  <si>
    <t>AJIT KUMAR SINGH</t>
  </si>
  <si>
    <t>ANIMA SINGH</t>
  </si>
  <si>
    <t>CHANDAMA KANHEIPUR, LABOUR, JAJPUR ROAD</t>
  </si>
  <si>
    <t>HAPPY HOME SCHOOL</t>
  </si>
  <si>
    <t>BHUBANESWAR INSTITUTE OF INDUSTRIAL TECHNOLOGY</t>
  </si>
  <si>
    <t>TATA PROJECTS LIMITED | CIVIL | AMBALA | Jul 2017 | Jul 2018 | 1 Years, 0 Months, 21 Days | 3.49
TATA PROJECTS LIMITED | CIVIL | AMBALA | Jul 2017 | Jul 2018 | 1 Years, 0 Months, 21 Days | 3.49</t>
  </si>
  <si>
    <t>KRISHNA ENTERPRISES | SITE EXECUTION | MODI NAGAR, UTTAR PRADESH | May 2022 | Jul 2022 | 8 Weeks</t>
  </si>
  <si>
    <t>AP21065</t>
  </si>
  <si>
    <t>SEEMAKURTHI</t>
  </si>
  <si>
    <t>SRI SATYA</t>
  </si>
  <si>
    <t>Seemakurthi Sri Satya Koushik</t>
  </si>
  <si>
    <t>koushiksss116@gmail.com</t>
  </si>
  <si>
    <t>ap21065@ms.nicmar.ac.in</t>
  </si>
  <si>
    <t>14-Aug-2000</t>
  </si>
  <si>
    <t>ENGLISH,TELUGU.</t>
  </si>
  <si>
    <t>2121 7810 0551</t>
  </si>
  <si>
    <t>SEEMAKURTHI VENKATA NAGA SURYA HANUMANTHA KUMAR</t>
  </si>
  <si>
    <t>SEEMAKURTHI RADHIKA</t>
  </si>
  <si>
    <t>Godavari Gattu ,veerasalingam Pantulu Street,rajahmundry,andhra Pradesh_x000D_
Rajahmundry</t>
  </si>
  <si>
    <t>GODAVARI GATTU,VEERESALINGAM PANTULU STREET, RAJAHMUNDRY</t>
  </si>
  <si>
    <t>TIRUMALA PROACTIVE (EM) HIGH SCHOOL</t>
  </si>
  <si>
    <t>SATHYABAMA  UNIVERSITY</t>
  </si>
  <si>
    <t>SATHYABAMA INSTITUTION OF SCIENCE AND TECHNOLOGY</t>
  </si>
  <si>
    <t>SHABDA INFRASTRUCTURE | SITE ENGINEER | RAJAHMUNDRY | Dec 2019 | Dec 2019 | 2 Weeks
SHABDA INFRA STRUCTURES | SITE ENGINEER | RAJAHMUNDRY | May 2019 | May 2019 | 2 Weeks
ENGINEERING PROJECT MANAGEMENT CONSULTANCY AND RESEARCH | TRAINEE ENGINEER &amp; DAILY AND WEEKLY REPORT OF UPDATING AND TRACKING  PROGRESS ACTIVITIES OF MAJOR WORKS, SAFETY AND QUALITY CHECKS, SCHEDULING OF ACTIVITIES, ESTIMATING THE DURATION OF ACTIVITIES, ASS | OLUNDHIYAPATU | May 2022 | Jun 2022 | 7 Weeks</t>
  </si>
  <si>
    <t>AP21066</t>
  </si>
  <si>
    <t>Shinde Divya Shivaji</t>
  </si>
  <si>
    <t>divya.shinde06@gmail.com</t>
  </si>
  <si>
    <t>ap21066@ms.nicmar.ac.in</t>
  </si>
  <si>
    <t>06-Apr-1997</t>
  </si>
  <si>
    <t>MARATHI, ENGLISH,HINDI</t>
  </si>
  <si>
    <t>5099 4215 1016</t>
  </si>
  <si>
    <t>SHIVAJI LILADHAR SHINDE</t>
  </si>
  <si>
    <t>VIDYA SHIVAJI SHINDE</t>
  </si>
  <si>
    <t>7/203,SHALIBHADRA GRAM,KASHIMIRA, MIRA-BHAYANDAR ROAD, THANE</t>
  </si>
  <si>
    <t>CASAPOLI D BUILDING, SHEKH VASTI, WAKAD, 411057</t>
  </si>
  <si>
    <t>VIDYA MANDIR SCHOOL</t>
  </si>
  <si>
    <t>NIRMALA MEMORIAL FOUNDATION COLLEGE</t>
  </si>
  <si>
    <t>SINHGAD INSTITUTE OF SCIENCE AND TECHNOLOGY</t>
  </si>
  <si>
    <t>Shraddha Land Developers and Builders | Site Engineer | Nashik | Aug 2020 | Aug 2021 | 1 Years, 0 Months, 0 Days | 1.2
Om Promoters and Builders | Site Supervisor | Pune | Nov 2018 | Mar 2020 | 1 Years, 4 Months, 29 Days | 0.96
Shraddha Land Developers and Builders | Site Engineer | Nashik | Aug 2020 | Aug 2021 | 1 Years, 0 Months, 0 Days | 1.2
Om Promoters and Builders | Site Supervisor | Pune | Nov 2018 | Mar 2020 | 1 Years, 4 Months, 29 Days | 0.96</t>
  </si>
  <si>
    <t>NYATI GROUP | INTERN | PUNE | May 2017 | Jun 2017 | 4 Weeks
SINHGAD INSTITUTE OF TECHNOLOGY AND SCIENCE | PROJECT WORK  | PUNE | Oct 2017 | Apr 2018 | 25 Weeks
MADHURE INFRA ENGINEERING PRIVATE LIMITED | INTERN | PUNE | Apr 2022 | Jul 2022 | 12 Weeks</t>
  </si>
  <si>
    <t>AP21067</t>
  </si>
  <si>
    <t>Vaishnavi Sunil Shinde</t>
  </si>
  <si>
    <t>VAISHNAVISHINDE247@GMAIL.COM</t>
  </si>
  <si>
    <t>07-Jun-1999</t>
  </si>
  <si>
    <t>6048 9735 2112</t>
  </si>
  <si>
    <t>SUNIL RAMCHANDRA SHINDE</t>
  </si>
  <si>
    <t>ANJALI SUNIL SHINDE</t>
  </si>
  <si>
    <t>PLOT NO.72, SAINAGAR COLONY ,ALMGIR,BHINGAR,AHMEDNAGAR</t>
  </si>
  <si>
    <t>A.E.S.S BHINGAR HIGH SCHOOL</t>
  </si>
  <si>
    <t>2014-Jun-01</t>
  </si>
  <si>
    <t>PEMRAJ SARDA COLLEGE</t>
  </si>
  <si>
    <t>2015-Jul-16</t>
  </si>
  <si>
    <t>2016-Jun-01</t>
  </si>
  <si>
    <t>PIMPRI CHINCHWAD COLLEGE OF ENGINEERING , NIGDI, PUNE</t>
  </si>
  <si>
    <t>2016-Jul-16</t>
  </si>
  <si>
    <t>2020-Jun-01</t>
  </si>
  <si>
    <t>SAMRUDHHI CONSTRUCTIONS | DURING THE INTERNSHIP I PREPARE THE ESTIMATE OF WORK , DETAILED PROJECT REPORT , VARIOUS REPORTS REGARDING EXCAVATION OTHER CONSTRUCTION PRACTICES .  | AHMEDNAGAR | Jun 2021 | Aug 2021 | 13 Weeks
MADHURE INFRA ENGINEERING | DEPARTMENT -TENDERING AND CONTRACTS DEPARTMENT,ROLES - MAKE WORK ORDERS, CALCULATION OF QUANTITIES OF CONSTRUCTION ITEMS LIKE BEAM,COLUMN, BEAM &amp;FOOTING ,STUDY THE TENDER DOCUMENTS,CALCULATE OVERHEAD  | NANA PETH, PUNE  | Apr 2022 | Jul 2022 | 12 Weeks</t>
  </si>
  <si>
    <t>AP21068</t>
  </si>
  <si>
    <t>CHAUDHARY</t>
  </si>
  <si>
    <t>Prachet Nitin Chaudhary</t>
  </si>
  <si>
    <t>chaudharyprachet756@gmail.com</t>
  </si>
  <si>
    <t>ap21068@ms.nicmar.ac.in</t>
  </si>
  <si>
    <t>ENGLISH,HINDI,MARATHI.</t>
  </si>
  <si>
    <t>3234 0402 4092</t>
  </si>
  <si>
    <t>NITIN MADANLAL CHAUDHARY</t>
  </si>
  <si>
    <t>ROAD CONTRACTOR</t>
  </si>
  <si>
    <t>NIKITA NITIN CHAUDHARY</t>
  </si>
  <si>
    <t>FLAT NO-704 MAYFAIR APARTMENT ULKANAGRI AURANGABAD</t>
  </si>
  <si>
    <t>STEPPING STONE HIGH SCHOOL</t>
  </si>
  <si>
    <t>CENTRAL BOARD SECONDARY EDUCATION</t>
  </si>
  <si>
    <t>PALSIDDHA CONSTRUCTION | SITE SUPERVISION | LONAR (BULDHANA DISTRICT) | Mar 2019 | Jun 2019 | 13 Weeks
J M MHATRE INFRA PVT LTD | SITE SUPERVISION | CHIKHALI (BULDHANA DISTRICT) | Dec 2018 | Feb 2019 | 9 Weeks
VP SETHI CONSTRUCTION | SITE ENGINEER AND BILLING SECTION | MANMAD | Apr 2022 | Jul 2022 | 13 Weeks</t>
  </si>
  <si>
    <t>AP21069</t>
  </si>
  <si>
    <t>PATWARDHAN</t>
  </si>
  <si>
    <t>Patwardhan Prathmesh Makarand</t>
  </si>
  <si>
    <t>PRATHMESHPATWARDHAN@GMAIL.COM</t>
  </si>
  <si>
    <t>ap21069@ms.nicmar.ac.in</t>
  </si>
  <si>
    <t>9898 3680 6639</t>
  </si>
  <si>
    <t>MAKARAND VISHNU PATWARDHAN</t>
  </si>
  <si>
    <t>MRUNAL MAKARAND PATWARDHAN</t>
  </si>
  <si>
    <t>MAHAVIR NAGAR KATRAJ KONDHWA ROAD</t>
  </si>
  <si>
    <t>MAHARASHTRA STATE BOARD OF SECONDARY AND HIGHER SECONDARY EDCUATION</t>
  </si>
  <si>
    <t>SOU. VENUTAI CHAVAN POLYTECHNIC</t>
  </si>
  <si>
    <t>TRINITY COLLEGE OF ENGINEERING AND RESEARCH, PUNE</t>
  </si>
  <si>
    <t>CBRE | PROJECT PLANNING AND CONTROL &amp; SITE EXECUTION.							 | PUNE | Apr 2022 | Jul 2022 | 9 Weeks</t>
  </si>
  <si>
    <t>AP21070</t>
  </si>
  <si>
    <t>PALIWAL</t>
  </si>
  <si>
    <t>Purva Paliwal</t>
  </si>
  <si>
    <t>purva14paliwal@gmail.com</t>
  </si>
  <si>
    <t>ap21070@ms.nicmar.ac.in</t>
  </si>
  <si>
    <t>14-Nov-1995</t>
  </si>
  <si>
    <t>4388 1320 2520</t>
  </si>
  <si>
    <t>DINESH KUMAR PALIWAL</t>
  </si>
  <si>
    <t>NEETA PALIWAL</t>
  </si>
  <si>
    <t>C-15, INDRAPURI, NARMADA ROAD</t>
  </si>
  <si>
    <t>FLAT C-602_x000D_
SR. NO. 128(P), 129(P), 130(P), 131(P, DP RD, RAHATANI GAON, PAWANA NAGAR,</t>
  </si>
  <si>
    <t>SHRI AGRASEN VIDYALAYA</t>
  </si>
  <si>
    <t>BOARD OF SECONDARY EDUCATION MADHYA PRADESH</t>
  </si>
  <si>
    <t>SMT. DHAIRYA PRABHADEVI SOJATIA,  INDORE/  MADHYAPRADESH</t>
  </si>
  <si>
    <t>2018-May-31</t>
  </si>
  <si>
    <t>Kapil Jain and Associates | Designer | Indore | Jul 2019 | Dec 2019 | 0 Years, 5 Months, 20 Days | 1.2
Rupal Sanghvi and Associates | Designer | Indore | Jul 2018 | Jun 2019 | 0 Years, 11 Months, 14 Days | 1.2
Kapil Jain and Associates | Designer | Indore | Jul 2019 | Dec 2019 | 0 Years, 5 Months, 20 Days | 1.2
Rupal Sanghvi and Associates | Designer | Indore | Jul 2018 | Jun 2019 | 0 Years, 11 Months, 14 Days | 1.2</t>
  </si>
  <si>
    <t>MAHAVEER GROUP | PROJECT MANAGEMENT TRAINEE | BANGALORE | Apr 2022 | Jun 2022 | 7 Weeks
ARCHIMEDES INDIA ASSOCIATES | TRAINEE ARCHITECT  | AHMEDABAD | Aug 2017 | Nov 2017 | 14 Weeks
LS VASWANI ARCHITECTS PVT LTD | TRAINEE ARCHITECT  | INDORE | Dec 2017 | Apr 2018 | 19 Weeks</t>
  </si>
  <si>
    <t>AP21071</t>
  </si>
  <si>
    <t>RAJATH</t>
  </si>
  <si>
    <t>KUMBAR</t>
  </si>
  <si>
    <t>Rajath R Kumbar</t>
  </si>
  <si>
    <t>rajathrudrappa1999@gmail.com</t>
  </si>
  <si>
    <t>ap21071@ms.nicmar.ac.in</t>
  </si>
  <si>
    <t>24-Jun-1999</t>
  </si>
  <si>
    <t>ENGLISH, KANNADA, TAMIL, TELUGU, HINDI</t>
  </si>
  <si>
    <t>7909 9926 2241</t>
  </si>
  <si>
    <t>RUDRAPPA KUMBARA MAHADEVAPPA</t>
  </si>
  <si>
    <t>JNANAMBA KONANUR DODDALINGAIAH</t>
  </si>
  <si>
    <t>1962/114 1ST MAIN, 5TH CROSS, NEAR VINAYAKA TEMPLE, VINAYAKA BADAVANE</t>
  </si>
  <si>
    <t>NICMAR ULTIMA BOYS HOSTEL</t>
  </si>
  <si>
    <t>BAPUJI HIGHER PRIMARY ENGLISH MEDIUM SCHOOL, DAVANAGERE, KARNATAKA</t>
  </si>
  <si>
    <t>STJ COMPOSITE PU COLLEGE, DAVANAGERE, KARNATAKA</t>
  </si>
  <si>
    <t>VISHVESHVARAIH TECHNOLOGICAL UNIVERSITY</t>
  </si>
  <si>
    <t>MAGNATE ARCHITECTURAL AUXILIARY SERVICES | BUSINESS OPERATIONS &amp; MARKET RESEARCH | BENGALURU | Apr 2022 | Jun 2022 | 8 Weeks</t>
  </si>
  <si>
    <t>AP21072</t>
  </si>
  <si>
    <t>WALUNJ</t>
  </si>
  <si>
    <t>Soham Rajendra Walunj</t>
  </si>
  <si>
    <t>er.sohamwalunj047@gmail.com</t>
  </si>
  <si>
    <t>ap21072@ms.nicmar.ac.in</t>
  </si>
  <si>
    <t>ENGLISH, ARABIC, HINDI, MARATHI, GUJARATI</t>
  </si>
  <si>
    <t>2641 3793 7396</t>
  </si>
  <si>
    <t>RAJENDRA KESHAV WALUNJ</t>
  </si>
  <si>
    <t>MANISHA RAJENDRA WALUNJ</t>
  </si>
  <si>
    <t>G1-502, AMRUT GANGA SOCIETY, MANIK BAUGH, SINHGAD ROAD.</t>
  </si>
  <si>
    <t>ASIAN INTERNATIONAL PRIVATE SCHOOL</t>
  </si>
  <si>
    <t>NATIONAL INSTITUTE OF TECHNOLOGY, SURAT</t>
  </si>
  <si>
    <t>SARDAR VALLABHBHAI NATIONAL INSTITUTE OF TECHNOLOGY, SURAT</t>
  </si>
  <si>
    <t>Shree Infrastructure | site execution | pune | Jun 2019 | Sep 2021 | 2 Years, 3 Months, 0 Days | 2.01
Shree Infrastructure | site execution | pune | Jun 2019 | Sep 2021 | 2 Years, 3 Months, 0 Days | 2.01</t>
  </si>
  <si>
    <t>DHABI CONTRACTING LLC | HSE ENGINEER | ABU DHABI, UAE | Dec 2016 | Dec 2016 | 2 Weeks
MADHAV LIMAYE CONSULTING LLP | PROJECT COORDINATOR, MICRO &amp; MACRO TRACKING OF ACTIVITIES, FORMULATION OF PLANNING REPORTS IN MSP AND MS EXCEL. MONITORING AND AIDING PROJECT ACTIVITIES WITH ERP SYSTEM.  | MAHALUNGE, PUNE | Apr 2022 | Jul 2022 | 13 Weeks</t>
  </si>
  <si>
    <t>AP21073</t>
  </si>
  <si>
    <t>TAMBOLKAR</t>
  </si>
  <si>
    <t>Atharva Ashish Tambolkar</t>
  </si>
  <si>
    <t>ATHARVA99TAMBOLKAR@GMAIL.COM</t>
  </si>
  <si>
    <t>ap21073@ms.nicmar.ac.in</t>
  </si>
  <si>
    <t>ENGLISH, MARATHI,HINDI</t>
  </si>
  <si>
    <t>5976 5416 1343</t>
  </si>
  <si>
    <t>ASHISH PRABHAKAR TAMBOLKAR</t>
  </si>
  <si>
    <t>CORPORATE BANK SERVICE</t>
  </si>
  <si>
    <t>SEEMA ASHISH TAMBOLKAR</t>
  </si>
  <si>
    <t>NEAR BIG RAM MANDIR, KARANJA LAD</t>
  </si>
  <si>
    <t>Karanja</t>
  </si>
  <si>
    <t>JINVARSA CHAWARE HIGH SCHOOL, KARANJA LAD</t>
  </si>
  <si>
    <t>JYOTI JANOLKAR VIDYALAYA, AKOLA</t>
  </si>
  <si>
    <t>MS Office,MS Project,STADD PRO</t>
  </si>
  <si>
    <t>MAHAVEER GROUP | BILL OF QUANTITIES,SITE EXECUTION | BANGALORE | Apr 2022 | Jun 2022 | 7 Weeks</t>
  </si>
  <si>
    <t>AP21074</t>
  </si>
  <si>
    <t>JATANIA</t>
  </si>
  <si>
    <t>DEVANG</t>
  </si>
  <si>
    <t>Jatania Devang Pareshbhai</t>
  </si>
  <si>
    <t>jataniadevang@gmail.com</t>
  </si>
  <si>
    <t>ap21074@ms.nicmar.ac.in</t>
  </si>
  <si>
    <t>7806 1632 0599</t>
  </si>
  <si>
    <t>PARESHBHAI CHUNILAL JATANIA</t>
  </si>
  <si>
    <t>KIRANBEN PARESHBHAI JATANIA</t>
  </si>
  <si>
    <t>JALIYAN, SHANTI BUNGALOWS 9, SAMRUDDHI SOCIETY 1, BH. AALAP GREEN CITY, RAIYA ROAD</t>
  </si>
  <si>
    <t>SAINT MARY'S SCHOOL</t>
  </si>
  <si>
    <t>ATMIYA INSTITUTE OF TECHNOLOGY AND SCIENCE FOR DIPLOMA STUDIES</t>
  </si>
  <si>
    <t>ATMIYA INSTITUTE OF TECHNOLOGY AND SCIENCE</t>
  </si>
  <si>
    <t>FOUNTAINHEAD PROJECT MANAGEMENT PVT. LTD. | COORDINATE AND MANAGE SITE TEAM | RAJKOT, GUJARAT | Sep 2020 | Aug 2021 | 0 Years, 11 Months, 30 Days | 2.16
FOUNTAINHEAD PROJECT MANAGEMENT PVT. LTD. | COORDINATE AND MANAGE SITE TEAM | RAJKOT, GUJARAT | Sep 2020 | Aug 2021 | 0 Years, 11 Months, 30 Days | 2.16</t>
  </si>
  <si>
    <t>SPACE MATRIX DESIGN CONSULTANTS PVT LTD | INTERN - PROJECT MANAGEMENT | MUMBAI | Apr 2022 | Jun 2022 | 8 Weeks</t>
  </si>
  <si>
    <t>AP21075</t>
  </si>
  <si>
    <t>HODBE</t>
  </si>
  <si>
    <t>Tushar Vijay Hodbe</t>
  </si>
  <si>
    <t>tusharhodbe1@gmail.com</t>
  </si>
  <si>
    <t>ap21075@ms.nicmar.ac.in</t>
  </si>
  <si>
    <t>21-Aug-1996</t>
  </si>
  <si>
    <t>4243 5731 9097</t>
  </si>
  <si>
    <t>VIJAY VISHRAM HODBE</t>
  </si>
  <si>
    <t>BMC EMPLOYEE</t>
  </si>
  <si>
    <t>CHHAYA VIJAY HODBE</t>
  </si>
  <si>
    <t>202, PRATHAMESH CO HSG, PLOT NO 1, NEAR LIBERTY GARDEN, MALAD WEST</t>
  </si>
  <si>
    <t>ST. XAVIER'S HIGH SCHOOL, ANDHERI EAST.</t>
  </si>
  <si>
    <t>ISMAIL YUSUF COLLEGE OF ARTS, SCIENCE AND COMMERCE, JOGESHWARI EAST.</t>
  </si>
  <si>
    <t>VIDYA PRASARAK MANDAL,S THANE,S MAHARSHI PARSHURAM COLLEGE OF ENGINEERING</t>
  </si>
  <si>
    <t>JAYESH JAGRUTI DEVELOPERS PVT LTD | EXECUTON | KANDIVALI, MUMBAI. | Aug 2018 | Aug 2021 | 3 Years, 0 Months, 1 Days | 2.64
JAYESH JAGRUTI DEVELOPERS PVT LTD | EXECUTON | KANDIVALI, MUMBAI. | Aug 2018 | Aug 2021 | 3 Years, 0 Months, 1 Days | 2.64</t>
  </si>
  <si>
    <t>72 month(s)</t>
  </si>
  <si>
    <t>ANJ TPPL | EXECUTE AND CO ORDINATE PROJECT, MONITOR PROGRESS OF PROJECT. | BKC, MUMBAI | Apr 2022 | Jul 2022 | 13 Weeks</t>
  </si>
  <si>
    <t>AP21076</t>
  </si>
  <si>
    <t>DAFTARY</t>
  </si>
  <si>
    <t>PRIYANK</t>
  </si>
  <si>
    <t>SANDIPBHAI</t>
  </si>
  <si>
    <t>Daftary Priyank Sandipbhai</t>
  </si>
  <si>
    <t>PRIYANKDAFTARY8@GMAIL.COM</t>
  </si>
  <si>
    <t>ap21076@ms.nicmar.ac.in</t>
  </si>
  <si>
    <t>08-Jan-1999</t>
  </si>
  <si>
    <t>8966 6030 3919</t>
  </si>
  <si>
    <t>SANDIP CHANDRAKANT DAFTARY</t>
  </si>
  <si>
    <t>KAJAL SANDIP DAFTARY</t>
  </si>
  <si>
    <t>TAPUBHAI NO DELO, DAFTARY STREET, NR. RAJCHANDRA TEMPLE.</t>
  </si>
  <si>
    <t>Morbi</t>
  </si>
  <si>
    <t>C-1301, COZY COURTYARD, OPP. SPEED WELL PARTY PLOT, NANA MUVA</t>
  </si>
  <si>
    <t>SAINT MARRY'S HIGHER SECONDARY SCHOOL</t>
  </si>
  <si>
    <t>DARSHAN INSTITUTE OF ENGINEERING AND TECHNOLOGY</t>
  </si>
  <si>
    <t>ADANI TOWNSHIP AND REAL ESTATE CO PVT LTD | SITE SUPERVISION, QUALITY CHECK | AHMEDABAD | Jun 2019 | Jul 2019 | 4 Weeks
UDAY BUILDCON PVT LTD | SITE SUPERVISION, QUALITY CHECK &amp; BILLING PROCEDURE | AHMEDABAD | Oct 2020 | Jan 2021 | 13 Weeks
DHARMADEV INFRASTRUCTURE LIMITED | PROJECT PLANNING  | AHMEDABAD | Apr 2022 | Jun 2022 | 7 Weeks</t>
  </si>
  <si>
    <t>AP21077</t>
  </si>
  <si>
    <t>Akshay Dipak Kadam</t>
  </si>
  <si>
    <t>AKSHAYKADAM59@GMAIL.COM</t>
  </si>
  <si>
    <t>ap21077@ms.nicmar.ac.in</t>
  </si>
  <si>
    <t>02-Nov-1996</t>
  </si>
  <si>
    <t>2891 2156 3216</t>
  </si>
  <si>
    <t>DIPAK SURESH KADAM</t>
  </si>
  <si>
    <t>ANITA DIPAK KADAM</t>
  </si>
  <si>
    <t>10/D-1/FLAT NO 606, GANESH DARSHAN SOC., CHANDIVALI FARM ROAD, SANGHARSH NAGAR, ANDHERI EAST</t>
  </si>
  <si>
    <t>SAMATA VIDYA MANDIR PRIMARY AND SECONDARY SCHOOL</t>
  </si>
  <si>
    <t>CHANDRABHAN SHARMA COLLEGE OF ARTS, SCIENCE AND COMMERCE</t>
  </si>
  <si>
    <t>ANANTRAO PAWAR COLLEGE OF ENGINEERING AND RESEARCH</t>
  </si>
  <si>
    <t>Tech Mahindra | Technical Support | Noida | Nov 2020 | Sep 2021 | 0 Years, 9 Months, 14 Days | 2.23
Tech Mahindra | Technical Support | Noida | Nov 2020 | Sep 2021 | 0 Years, 9 Months, 14 Days | 2.23</t>
  </si>
  <si>
    <t>CENTRAL WATER AND POWER RESEARCH STATION | TRAINEE | KHADAKWASLA DAM, PUNE | Jul 2017 | Jun 2018 | 49 Weeks
KOLTE PATIL DEVELOPERS PVT LTD | INTERN, PROJECT MANAGEMENT CONSULTANCY DEPARTMENT | LIFE REPUBLIC PUNE | Apr 2022 | Jul 2022 | 12 Weeks</t>
  </si>
  <si>
    <t>AP21078</t>
  </si>
  <si>
    <t>VIGNESH</t>
  </si>
  <si>
    <t>Vignesh M</t>
  </si>
  <si>
    <t>VIGNESHM1778@GMAIL.COM</t>
  </si>
  <si>
    <t>ap21078@ms.nicmar.ac.in</t>
  </si>
  <si>
    <t>16-Nov-1997</t>
  </si>
  <si>
    <t>9675 7564 2444</t>
  </si>
  <si>
    <t>MATHIYAZHAGAN S</t>
  </si>
  <si>
    <t>VANITHA M</t>
  </si>
  <si>
    <t>H. NO. 29, BANGLOPARAMBU, PUZHAPALAM</t>
  </si>
  <si>
    <t>NSS COLLEGE OF ENGINEERING PALAKKAD</t>
  </si>
  <si>
    <t>AutoCAD,MS Office,MS Project,Primavera,REVIT ARCHITECTURE, 3DS MAX, ETABS</t>
  </si>
  <si>
    <t>PWD KERALA | SUPERVISOR | PALAKKAD | Jul 2018 | Jul 2018 | 0 Weeks
AFCONS INFRASTUCTURE LIMITED | INTERN | BHAGALPUR, BIHAR | May 2022 | Jul 2022 | 10 Weeks</t>
  </si>
  <si>
    <t>AP21079</t>
  </si>
  <si>
    <t>Himanshu Verma</t>
  </si>
  <si>
    <t>vhimanshu26@gmail.com</t>
  </si>
  <si>
    <t>ap21079@ms.nicmar.ac.in</t>
  </si>
  <si>
    <t>26-Apr-1998</t>
  </si>
  <si>
    <t>HINDI,ENGLISH,AWADHI</t>
  </si>
  <si>
    <t>6184 1040 5361</t>
  </si>
  <si>
    <t>RAJESH KUMAR VERMA</t>
  </si>
  <si>
    <t>ACCOUNTS OFFICER IN SUGAR MILL</t>
  </si>
  <si>
    <t>SHEELA VERMA</t>
  </si>
  <si>
    <t>VILL MADHAVPUR MASODHA</t>
  </si>
  <si>
    <t>7/7/173 G NEW COLONY LALBAGH</t>
  </si>
  <si>
    <t>TINY TOTS SCHOOL</t>
  </si>
  <si>
    <t>J B ACADEMY</t>
  </si>
  <si>
    <t>RURAL ENGINEERING DEPARTMENT UTTAR PRADESH | SITE ASSISTANT | BARABANKI | May 2019 | Jul 2019 | 8 Weeks
JS INFRASTRUCTURE CONSULTANTS PVT LTD | PROJECT MANAGEMENT INTERN | GURUGRAM | May 2022 | Jul 2022 | 13 Weeks</t>
  </si>
  <si>
    <t>AP21080</t>
  </si>
  <si>
    <t>VE</t>
  </si>
  <si>
    <t>Gowtham Ve</t>
  </si>
  <si>
    <t>gowthamvetrivel@gmail.com</t>
  </si>
  <si>
    <t>ap21080@ms.nicmar.ac.in</t>
  </si>
  <si>
    <t>30-May-1998</t>
  </si>
  <si>
    <t>8050 4798 8682</t>
  </si>
  <si>
    <t>VETRIVEL M</t>
  </si>
  <si>
    <t>MADESWARI S</t>
  </si>
  <si>
    <t>40/112, THANGA SENGODAN STREET, AMMAPET</t>
  </si>
  <si>
    <t>TAMILNADU STATE BOARD OF HIGHER SECONDARY EDUCATION</t>
  </si>
  <si>
    <t>SRI VIDYA MANDIR MATRICULATION HIGHER SECONDARY SCHOOL</t>
  </si>
  <si>
    <t>AutoCAD,MS Office,MS Project,Primavera,ADVANCED CONCRETE TECHNOLOGY, CEMENT CHEMISTRY</t>
  </si>
  <si>
    <t>CENTRAL PUBLIC WORKS DEPARTMENT | TRAINING ON THE TUNNEL FORM TECHNOLOGY AND PREPARATION OF TRAINING MATERIALS | CHENNAI | Dec 2019 | Mar 2020 | 15 Weeks
PIDILITE INDUSTRIES LIMITED | MARKET RESEARCH AND BUSINESS DEVELOPMENT | CHENNAI | May 2022 | Jul 2022 | 7 Weeks</t>
  </si>
  <si>
    <t>AP21081</t>
  </si>
  <si>
    <t>TINA</t>
  </si>
  <si>
    <t>KURIAN</t>
  </si>
  <si>
    <t>Tina Maria Kurian</t>
  </si>
  <si>
    <t>mtinu12@gmail.com</t>
  </si>
  <si>
    <t>ap21081@ms.nicmar.ac.in</t>
  </si>
  <si>
    <t>13-Apr-1997</t>
  </si>
  <si>
    <t>9769 2433 0571</t>
  </si>
  <si>
    <t>RETD CENTRAL GOVERNMENT EMPLOYEE</t>
  </si>
  <si>
    <t>MARY</t>
  </si>
  <si>
    <t>H. NO. 55, MOOLAN H, JANATHA NAGAR, KOKKUNU, MOOKKANNOOR</t>
  </si>
  <si>
    <t>H. NO. 55, MOOLAN H,  JANATHA NAGAR, KOKKUNU, MOOKKANNOOR</t>
  </si>
  <si>
    <t>KENDRIYA VIDYALAYA KADAVANTRA</t>
  </si>
  <si>
    <t>SACRED HEART HIGHER SECONDARY SCHOOL</t>
  </si>
  <si>
    <t>GOVERNMENT OF KERALA BOARD OF HIGHER SECONDARY EXAMINATION</t>
  </si>
  <si>
    <t>AutoCAD,MS Office,MS Project,Primavera,QUANTITY ESTIMATION</t>
  </si>
  <si>
    <t>POWERTECH ENGINEERS | EFFECTIVE LABOUR MANAGEMENT, QUANTITY SURVEYING, BASICS OF PROJECT SCHEDULING  | TRIVANDRUM | Jun 2020 | Jul 2021 | 1 Years, 1 Months, 30 Days | 2.16
POWERTECH ENGINEERS | EFFECTIVE LABOUR MANAGEMENT, QUANTITY SURVEYING, BASICS OF PROJECT SCHEDULING  | TRIVANDRUM | Jun 2020 | Jul 2021 | 1 Years, 1 Months, 30 Days | 2.16</t>
  </si>
  <si>
    <t>MECONE CONSTRUCTION CONTRACTORS | INTERN | KOCHI | Oct 2019 | Mar 2020 | 24 Weeks
MORGAN STANLEY | PROPERTY MANAGEMENT INTERN | MUMBAI | May 2022 | Aug 2022 | 14 Weeks</t>
  </si>
  <si>
    <t>AP21082</t>
  </si>
  <si>
    <t>UTTAMRAO</t>
  </si>
  <si>
    <t>GAKHARE</t>
  </si>
  <si>
    <t>Sarang Uttamrao Gakhare</t>
  </si>
  <si>
    <t>SGAKHARE0@GMAIL.COM</t>
  </si>
  <si>
    <t>ap21082@ms.nicmar.ac.in</t>
  </si>
  <si>
    <t>04-Mar-1997</t>
  </si>
  <si>
    <t>8605 4050 8814</t>
  </si>
  <si>
    <t>UTTAMRAO RAMKRUSHNAJI GAKHARE</t>
  </si>
  <si>
    <t>SUNANDA UTTAMRAO GAKHARE</t>
  </si>
  <si>
    <t>PLOT.NO.23 PATIL LAYOUT SWAWALAMBI NAGAR NAGPUR</t>
  </si>
  <si>
    <t>23,PATIL LAYOUT SWAWLAMBI NAGAR NAGPUR</t>
  </si>
  <si>
    <t>VIMALTAI TIDKE CONVENT</t>
  </si>
  <si>
    <t>M.K.H SANCHETI PUBLIC SCHOOL AND JR.COLLEGE.</t>
  </si>
  <si>
    <t>MAHARASHTRA STATE BOARD OF SECONDARY AND HIGHER SECONDARY EDUCATION PUNE.</t>
  </si>
  <si>
    <t>MAHIM ARCHITECTS | BUSINESS DEVELOPMENT EXECUTIVE,SITE ENGINEER AND ESTIMATION WORK,PROJECT AND SALES MANAGEMENT  | SURAT | Apr 2022 | Jun 2022 | 8 Weeks</t>
  </si>
  <si>
    <t>AP21083</t>
  </si>
  <si>
    <t>SHIREN</t>
  </si>
  <si>
    <t>HARCHANDANI</t>
  </si>
  <si>
    <t>Shiren Haresh Harchandani</t>
  </si>
  <si>
    <t>shirenharchandani98@gmail.com</t>
  </si>
  <si>
    <t>ap21083@ms.nicmar.ac.in</t>
  </si>
  <si>
    <t>3971 2625 2002</t>
  </si>
  <si>
    <t>HARESH DHARAMDAS HARCHANDANI</t>
  </si>
  <si>
    <t>MALA HARESH HARCHANDANI</t>
  </si>
  <si>
    <t>BKNO1101/9,OT SECTION, NEAR KAILASH APARTMENT</t>
  </si>
  <si>
    <t>Ulhasnagar</t>
  </si>
  <si>
    <t>ST. JOSEPH BETHANY CONVENT HIGH SCHOOL</t>
  </si>
  <si>
    <t>GV ACHARYA INSTITUTE OF ENGINEERING AND TECHNOLOGY</t>
  </si>
  <si>
    <t>DILKAP RESEARCH INSTITUTE OF ENGINEERING AND MANAGEMENT STUDIES</t>
  </si>
  <si>
    <t>AMI INFRA | MY RESPONSIBILITY WAS TO SUPERVISE THE ACTIVITIES  | AMBERNATH | Jan 2020 | Jan 2020 | 3 Weeks
DONGRE PROJECT MANAGEMENT CONSULTANTS | ROLE- PLANNING AND SITE EXECUTION; RESPONSIBILITY -MY RESPONSIBILITY WAS TO SUPERVISE THE ACTIVITIES WHICH IS GOING ON THE SITE. PREPARE FOR FOR THE SAME AND CHECK THE QUALITY OF WORK DONE AND SAFETY. | JOGESHWARI (EAST) MUMBAI | Apr 2022 | Jun 2022 | 8 Weeks</t>
  </si>
  <si>
    <t>AP21084</t>
  </si>
  <si>
    <t>TRANKATWAR</t>
  </si>
  <si>
    <t>Vaishnav Suryakant Trankatwar</t>
  </si>
  <si>
    <t>VAISHNAV11ST@GMAIL.COM</t>
  </si>
  <si>
    <t>ap21084@ms.nicmar.ac.in</t>
  </si>
  <si>
    <t>11-Mar-1997</t>
  </si>
  <si>
    <t>6267 7082 7268</t>
  </si>
  <si>
    <t>SURYAKANT SHANKARAPPA TRANKATWAR</t>
  </si>
  <si>
    <t>ASEEM SURYAKANT TRANKATWAR</t>
  </si>
  <si>
    <t>B1-802, 10ELITE KADAM JAGTAP ASSOCIATES BHAUSAHEB KADAM NAGAR, PIMPLE GURAV</t>
  </si>
  <si>
    <t>FLAT NO.204 SHISHIR SOCIETY, HAPPY COLONY LANE NO.03, KOTHRUD</t>
  </si>
  <si>
    <t>NAVJEEVAN DNYANPEETH ENGLISH MEDIUM SCHOOL, PUSAD</t>
  </si>
  <si>
    <t>MAHARASHTRA STATE BOARD OF HIGHER SECONDARY AND HIGHER SECONDARY EDUCATION</t>
  </si>
  <si>
    <t>PHULSINGH NAIK MAHAVIDYALAYA, PUSAD</t>
  </si>
  <si>
    <t>SKYONE LANDMARK | SITE EXECUTION | MAMURDI AND HINJAWADI,PUNE | Aug 2020 | Aug 2021 | 1 Years, 0 Months, 30 Days | 1.44
AADHAR CONSTRUCTION | SITE EXECUTION | PUSAD | Jul 2019 | Jul 2020 | 1 Years, 0 Months, 25 Days | 0.44
SKYONE LANDMARK | SITE EXECUTION | MAMURDI AND HINJAWADI,PUNE | Aug 2020 | Aug 2021 | 1 Years, 0 Months, 30 Days | 1.44
AADHAR CONSTRUCTION | SITE EXECUTION | PUSAD | Jul 2019 | Jul 2020 | 1 Years, 0 Months, 25 Days | 0.44</t>
  </si>
  <si>
    <t>MAHIM ARCHITECT | VALUATION, BUSINESS DEVELOPMENT EXECUTIVE, TENDERING  | SURAT | Apr 2022 | Jun 2022 | 8 Weeks
URBANROOF PVT LTD | SALES INTERN, SITE INSPECTOR FOR IDENTIFYING LEAKAGE  | PUNE  | Feb 2022 | Apr 2022 | 6 Weeks
BUILDER ASSOCIATION OF INDIA | JUNIOR ENGINEER | PUNE | Dec 2018 | Dec 2018 | 4 Weeks</t>
  </si>
  <si>
    <t>AP21085</t>
  </si>
  <si>
    <t>Shivam Tyagi</t>
  </si>
  <si>
    <t>STYAGI2503@GMAIL.COM</t>
  </si>
  <si>
    <t>ap21085@ms.nicmar.ac.in</t>
  </si>
  <si>
    <t>25-Mar-1999</t>
  </si>
  <si>
    <t>4962 5435 2302</t>
  </si>
  <si>
    <t>UMESH TYAGI</t>
  </si>
  <si>
    <t>CHINTAMANI</t>
  </si>
  <si>
    <t>MAHMOODPUR BHIKKA, NEHTAUR,BIJNOR</t>
  </si>
  <si>
    <t>Nihtaur</t>
  </si>
  <si>
    <t>BALRAMPUR CHINI MILL</t>
  </si>
  <si>
    <t>Balrampur</t>
  </si>
  <si>
    <t>R.R MORARKA PUBLIC SCHOOL</t>
  </si>
  <si>
    <t>GALGOTIA COLLEGE OF ENGINEERING  TECHNOLOGY GREATER NOIDA</t>
  </si>
  <si>
    <t>A T TECHNOLEGGAL COMBINE PVT LTD | SITE TRAINEE | NOIDA | Jun 2019 | Jul 2019 | 4 Weeks
CIVILGURUJI CIVIL ENGINEERING TRAINING INSTITUTE | SITE TRAINEE | GREATER NOIDA | Dec 2020 | Feb 2021 | 12 Weeks
KKC NIRMAN INDIA LTD | ASSIST SITE TEAM , REINFORCEMENT CHECKING BEFORE CONCRETING  | BALRAMPUR  | May 2022 | Jul 2022 | 10 Weeks</t>
  </si>
  <si>
    <t>AP21086</t>
  </si>
  <si>
    <t>singhshubham23212321@gmail.com</t>
  </si>
  <si>
    <t>ap21086@ms.nicmar.ac.in</t>
  </si>
  <si>
    <t>9155 4845 5919</t>
  </si>
  <si>
    <t>MUNNA SINGH</t>
  </si>
  <si>
    <t>RUBY SINGH</t>
  </si>
  <si>
    <t>B-6/ 41 3RD FLOOR , NEAR PRESTIGE CONVENT SCHOOL</t>
  </si>
  <si>
    <t>RAJA RAM MOHAN ROY PUBLIC SCHOOL</t>
  </si>
  <si>
    <t>YUVA SHAKTI MODEL SCHOOL</t>
  </si>
  <si>
    <t>MAHARISHI DAYANAND UNIVERSITY</t>
  </si>
  <si>
    <t>EDUNGURU SAHARA INDIA | CONTENT MANAGING | GURUGRAM | Apr 2019 | Nov 2019 | 0 Years, 6 Months, 17 Days | 3
EDUNGURU SAHARA INDIA | CONTENT MANAGING | GURUGRAM | Apr 2019 | Nov 2019 | 0 Years, 6 Months, 17 Days | 3</t>
  </si>
  <si>
    <t>LIKHITHA INFRASTRUCTURE PRIVATE LIMITED | TRAINEE | BANGLORE | Jun 2018 | Jul 2018 | 6 Weeks
QUALITY BUILDCON PRIVATE LIMITED | SITE ENGIINEER | BAHADURGARH , HARYANA | Jan 2019 | Apr 2019 | 17 Weeks
PCS MANAGEMENT CONSULTANCY PRIVATE LIMITED | BUISNESS EXECUTIVE TRAINEE | LUCKNOW | Apr 2022 | Jun 2022 | 8 Weeks</t>
  </si>
  <si>
    <t>AP21087</t>
  </si>
  <si>
    <t>RAJA</t>
  </si>
  <si>
    <t>VIGNESH S</t>
  </si>
  <si>
    <t>Raja Vignesh S</t>
  </si>
  <si>
    <t>ap21087@ms.nicmar.ac.in</t>
  </si>
  <si>
    <t>23-Oct-1997</t>
  </si>
  <si>
    <t>2287 4815 9124</t>
  </si>
  <si>
    <t>SEETHARAMAN V</t>
  </si>
  <si>
    <t>SATHIYABAMA S</t>
  </si>
  <si>
    <t>1/94,MIDDLE STREET,, KARISALPATTI,, SATTUR(TK).</t>
  </si>
  <si>
    <t>C.K.T MATRICULATION HIGHER SECONDARY SCHOOL</t>
  </si>
  <si>
    <t>2012-Jun-06</t>
  </si>
  <si>
    <t>2013-May-31</t>
  </si>
  <si>
    <t>2014-Jun-04</t>
  </si>
  <si>
    <t>2015-May-07</t>
  </si>
  <si>
    <t>KALASALINGAM INSTITUTE OF TECHNOLOGY, KRISHNANKOIL, TAMIL NADU</t>
  </si>
  <si>
    <t>2015-Jul-08</t>
  </si>
  <si>
    <t>2019-Nov-06</t>
  </si>
  <si>
    <t>CADD CENTRE | Training and Interior Design | Chennai | Sep 2019 | Nov 2020 | 1 Years, 2 Months, 2 Days | 1.32
CADD CENTRE | Training and Interior Design | Chennai | Sep 2019 | Nov 2020 | 1 Years, 2 Months, 2 Days | 1.32</t>
  </si>
  <si>
    <t>VGN INFRA PRIVATE LIMITED | SITE ENGINEER | CHENNAI | Jun 2018 | Jun 2018 | 1 Weeks
VGN INFRA PRIVATE LIMITED | SITE ENGINEER | CHENNAI | Nov 2017 | Dec 2017 | 1 Weeks
INTENTO ASSOCIATES | INTERN-PLANNING | WORK FROM HOME | Apr 2022 | Jun 2022 | 9 Weeks</t>
  </si>
  <si>
    <t>AP21088</t>
  </si>
  <si>
    <t>Archit Singh</t>
  </si>
  <si>
    <t>ARCHIT97SINGH@GMAIL.COM</t>
  </si>
  <si>
    <t>ap21088@ms.nicmar.ac.in</t>
  </si>
  <si>
    <t>05-May-1997</t>
  </si>
  <si>
    <t>9532 5498 4730</t>
  </si>
  <si>
    <t>VINOD KUMAR SINGH</t>
  </si>
  <si>
    <t>MEENU SINGH</t>
  </si>
  <si>
    <t>C-11, OFFICERS COLONY, SECL</t>
  </si>
  <si>
    <t>D.A.V. PUBLIC SCHOOL</t>
  </si>
  <si>
    <t>SRI RAMASWAMY MEMORIAL INSTITUTE OF SCIENCE AND TECHNOLOGY</t>
  </si>
  <si>
    <t>SRI RAMASWAMY MEMORIAL INSTITUTE OF SCIENCE AND TECHNOLOGY, RAMAPURAM</t>
  </si>
  <si>
    <t>RK GURUDEV BUILDERS | QUANTITY SURVEYING AND SUPPLY MANAGEMENT | CHENNAI | Jun 2019 | Sep 2019 | 13 Weeks
MAGNATE ARCHITECTURAL AUXILIARY SERVICES | MARKET RESEARCH &amp; BUSINESS OPERATIONS | BANGLORE | Apr 2022 | Jun 2022 | 8 Weeks</t>
  </si>
  <si>
    <t>AP21089</t>
  </si>
  <si>
    <t>KOLGE</t>
  </si>
  <si>
    <t>Ankit Ganpat Kolge</t>
  </si>
  <si>
    <t>ANKITKOLAGE7@GMAIL.COM</t>
  </si>
  <si>
    <t>ap21089@ms.nicmar.ac.in</t>
  </si>
  <si>
    <t>3606 6085 6661</t>
  </si>
  <si>
    <t>GANPAT RAMBHAU KOLGE</t>
  </si>
  <si>
    <t>SANJIVANI GANPAT KOLGE</t>
  </si>
  <si>
    <t>RAM NIWAS KESHEGAON</t>
  </si>
  <si>
    <t>FLAT NO. 204 SHISHIR SOCIETY HAPPY COLONY KOTHRUD</t>
  </si>
  <si>
    <t>SHRIPATRAO BHOSALE HIGHSCHOOL OSMANABAD</t>
  </si>
  <si>
    <t>GOVERMENT POLYTECHNIC COLLEGE, OSMANABAD</t>
  </si>
  <si>
    <t>PIMPRI CHINCHAWAD COLLEGE OF ENGINEERING AKURDI, PUNE</t>
  </si>
  <si>
    <t>APAHA TRAINERS AND CONSULTANTS | QUANTITY SURVEYOR | ONLINE | May 2020 | May 2020 | 1 Weeks
WALPLAST PVT LTD | SALES AND MARKETING  | PUNE | May 2022 | Jul 2022 | 8 Weeks
URBANROOF PVT LTD | SALES AND MARKETING  | PUNE | Feb 2022 | Apr 2022 | 6 Weeks</t>
  </si>
  <si>
    <t>AP21090</t>
  </si>
  <si>
    <t>Surabhi Yadav</t>
  </si>
  <si>
    <t>SURABHICON@GMAIL.COM</t>
  </si>
  <si>
    <t>ap21090@ms.nicmar.ac.in</t>
  </si>
  <si>
    <t>3468 8826 1192</t>
  </si>
  <si>
    <t>LAL MANI YADAV</t>
  </si>
  <si>
    <t>SHOBHA YADAV</t>
  </si>
  <si>
    <t>2A SECOND FLOOR SUNDARAM ENCLAVE DRUMMOND ROAD</t>
  </si>
  <si>
    <t>Allahabad</t>
  </si>
  <si>
    <t>UNITED COLLEGE OF ENGINEERING AND RESEARCH</t>
  </si>
  <si>
    <t>PUBLIC WORKS DEPARTMENT | TRAINEE | PRAYAGRAJ | Jun 2018 | Jul 2018 | 3 Weeks
INTERNSHALA | CAMPUS AMBASSADOR | PRAYAGRAJ | Jun 2018 | Aug 2018 | 12 Weeks
SHAPOORJI PALLONJI | TRAINEE | HINJEWADI, PUNE | May 2022 | Jul 2022 | 7 Weeks</t>
  </si>
  <si>
    <t>AP21091</t>
  </si>
  <si>
    <t>SATVIK</t>
  </si>
  <si>
    <t>TALLAM</t>
  </si>
  <si>
    <t>Satvik Tallam</t>
  </si>
  <si>
    <t>tallamsatvik@gmail.com</t>
  </si>
  <si>
    <t>ap21091@ms.nicmar.ac.in</t>
  </si>
  <si>
    <t>18-Oct-1998</t>
  </si>
  <si>
    <t>2443 6788 1769</t>
  </si>
  <si>
    <t>TALLAM PADMA RAO</t>
  </si>
  <si>
    <t>TALLAM MADHAVI</t>
  </si>
  <si>
    <t>1-8-700/2/A,PADMACOLONY,SHANKARMUTT,NALLAKUNTA.</t>
  </si>
  <si>
    <t>SRI GURUDATTA HIGH SCHOOL</t>
  </si>
  <si>
    <t>SATHVIK JUNIOR COLLEGE</t>
  </si>
  <si>
    <t>AutoCAD,MS Office,MS Project,Primavera,SITE EXECUTION, QUALITY CONTROL, QUANTITY ESTIMATION.</t>
  </si>
  <si>
    <t>NILAYA ARCHITECTS STRUCTURAL CONSULTANTS | INTERN | HYDERABAD | May 2018 | Jun 2018 | 4 Weeks
MUPPA PROJECT INDIA PRIVATE LIMITED | SITE EXECUTIVE TRAINEE  | HYDERABAD | Jan 2021 | Apr 2021 | 12 Weeks
ANJ TURNKEY PROJECTS PRIVATE LIMITED | PROJECT COORDINATOR  | HYDERABAD | Apr 2022 | Jul 2022 | 13 Weeks</t>
  </si>
  <si>
    <t>AP21093</t>
  </si>
  <si>
    <t>RAMISH</t>
  </si>
  <si>
    <t>RAVISH</t>
  </si>
  <si>
    <t>MAJID</t>
  </si>
  <si>
    <t>Ramish Ravish Majid</t>
  </si>
  <si>
    <t>ramish123786@gmail.com</t>
  </si>
  <si>
    <t>ap21093@ms.nicmar.ac.in</t>
  </si>
  <si>
    <t>21-Nov-1996</t>
  </si>
  <si>
    <t>8890 6557 8359</t>
  </si>
  <si>
    <t>RAVISH RAFIUDDIN MAJID</t>
  </si>
  <si>
    <t>NAZISH RAVISH MAJID</t>
  </si>
  <si>
    <t>MD. AMIN MANZIL, ANNA SAHEB VARTAK ROAD, DR. ANSARI CHOWK</t>
  </si>
  <si>
    <t>Kalyan</t>
  </si>
  <si>
    <t>MUHAMMADIYA ENGLISH HIGH SCHOOL</t>
  </si>
  <si>
    <t>K. M. AGRAWAL JUNIOR COLLEGE OF ARTS COMMERCE AND SCIENCE</t>
  </si>
  <si>
    <t>ANJUMAN-I-ISLAMS KALSEKAR TECHNICAL CAMPUS</t>
  </si>
  <si>
    <t>AutoCAD,MS Office,MS Project,Primavera,STAAD PRO, ADSEC, SOFISTIK, @RISK</t>
  </si>
  <si>
    <t>SPECTRUM TECHNO CONSULTANTS PRIVATE LIMITED | STRUCTURAL ENGINEER | VASHI, NAVI MUMBAI, MAHARASHTRA | Oct 2018 | Aug 2021 | 2 Years, 10 Months, 16 Days | 4.2
SPECTRUM TECHNO CONSULTANTS PRIVATE LIMITED | STRUCTURAL ENGINEER | VASHI, NAVI MUMBAI, MAHARASHTRA | Oct 2018 | Aug 2021 | 2 Years, 10 Months, 16 Days | 4.2</t>
  </si>
  <si>
    <t>PRIME CONSULTANTS | DESIGN INTERN - DESIGN OF RESIDENTIAL STRUCTURES | KALYAN, MAHARASHTRA | Jun 2018 | Aug 2018 | 8 Weeks
SILA PROJECT MANAGEMENT SERVICES PRIVATE LIMITED | PROJECT MANAGEMENT INTERN - BOQ REVIEW, MPR, WPR &amp; MIS PREPARATION, PAYMENT CERTIFICATIONS, MARKET RESEARCH FOR VIABLE OPTIONS OF INVESTMENT | MUMBAI, MAHARASHTRA  | May 2022 | Jun 2022 | 8 Weeks</t>
  </si>
  <si>
    <t>AP21094</t>
  </si>
  <si>
    <t>Himanshu Pal</t>
  </si>
  <si>
    <t>HIMANSHUPALCR07@GMAIL.COM</t>
  </si>
  <si>
    <t>ap21094@ms.nicmar.ac.in</t>
  </si>
  <si>
    <t>ENGLISH, HINDI.</t>
  </si>
  <si>
    <t>4871 1812 1343</t>
  </si>
  <si>
    <t>JAWAHAR PAL</t>
  </si>
  <si>
    <t>REKHA PAL</t>
  </si>
  <si>
    <t>1003, 10TH FLOOR, J BLOCK, RAPTI APARTMENT, GOMTI NAGAR</t>
  </si>
  <si>
    <t>RISHITA DEVELOPERS | TRAINEE ENGINEER | LUCKNOW | Jun 2018 | Jul 2018 | 4 Weeks
REGIONAL CENTRE FOR URBAN AND ENVIRONMENTAL STUDIES | AS A TRAINEE ENGINEER SURVEY OF DATA FOR COLLECTION AND MAKING OF DPR FOR THE TWO DISTRICTS PILIBHIT AND SHAMLI | LUCKNOW | Jun 2019 | Jul 2019 | 6 Weeks
TRICON INFRA BUILDTECH PVT LTD | PLANNING ENGINEER. WAS PART OF PLANNING DEPARTMENT IN TRICON | PUNE | May 2022 | Jul 2022 | 11 Weeks</t>
  </si>
  <si>
    <t>AP21095</t>
  </si>
  <si>
    <t>ARIJIT</t>
  </si>
  <si>
    <t>BISWAS</t>
  </si>
  <si>
    <t>Arijit Biswas</t>
  </si>
  <si>
    <t>ARI.BISWAS00@GMAIL.COM</t>
  </si>
  <si>
    <t>ap21095@ms.nicmar.ac.in</t>
  </si>
  <si>
    <t>3940 7790 9332</t>
  </si>
  <si>
    <t>AMAL CHANDRA BISWAS</t>
  </si>
  <si>
    <t>NILIMA BISWAS</t>
  </si>
  <si>
    <t>346/1, BISHARPARA KODALIA STATION ROAD, NEW BARRACKPORE, WARD NO 20, NORTH 24 PARGANAS</t>
  </si>
  <si>
    <t>NEW BARRACKPORE COLONY BOYS HIGH SCHOOL</t>
  </si>
  <si>
    <t>ADAMAS INSTITUTE OF TECHNOLOGY</t>
  </si>
  <si>
    <t>MS Office,MS Project,Primavera,MICROSOFT POWER BI</t>
  </si>
  <si>
    <t>L&amp;T HYDROCARBON ENGINEERING LIMITED | PROJECT CONTROL | PARADIP | Apr 2019 | May 2021 | 2 Years, 1 Months, 19 Days | 3.95
APEX LOGISTICS (L&amp;T HYDROCARBON ENGINEERING LIMITED) | PROJECT CONTROL | RAJASTHAN | May 2018 | Feb 2019 | 0 Years, 8 Months, 14 Days | 1.8
L&amp;T HYDROCARBON ENGINEERING LIMITED | PROJECT CONTROL | PARADIP | Apr 2019 | May 2021 | 2 Years, 1 Months, 19 Days | 3.95
APEX LOGISTICS (L&amp;T HYDROCARBON ENGINEERING LIMITED) | PROJECT CONTROL | RAJASTHAN | May 2018 | Feb 2019 | 0 Years, 8 Months, 14 Days | 1.8</t>
  </si>
  <si>
    <t>SIMPLEX INFRASTRUCTURES LIMITED | SITE ENGINEER TRAINEE | KOLKATA | Jun 2014 | Jul 2014 | 4 Weeks
PAHARPUR COOLING TOWERS LIMITED | PROJECT PLANNING | KOLKATA | Apr 2022 | Jul 2022 | 10 Weeks</t>
  </si>
  <si>
    <t>AP21096</t>
  </si>
  <si>
    <t>SIRAPARAPU</t>
  </si>
  <si>
    <t>Siraparapu Divya</t>
  </si>
  <si>
    <t>sdivyakkd@gmail.com</t>
  </si>
  <si>
    <t>ap21096@ms.nicmar.ac.in</t>
  </si>
  <si>
    <t>TELUGU, HINDI, ENGLISH</t>
  </si>
  <si>
    <t>8693 6219 3246</t>
  </si>
  <si>
    <t>SIVA SANKARA PRASAD SIRAPARAPU</t>
  </si>
  <si>
    <t>SURYA KUMARI KILAPARTHI</t>
  </si>
  <si>
    <t>D.NO 8-131, ABHAYA ANJANEYA STREET, NEAR OLD ZP HIGH SCHOOL, INDRAPALEM</t>
  </si>
  <si>
    <t>ADITYA PUBLIC HIGH SCHOOL</t>
  </si>
  <si>
    <t>AKHIL JUNIOR COLLEGE</t>
  </si>
  <si>
    <t>SRI CHANDRASEKHARENDRA SARASWATHI VISWA MAHAVIDYALAYA UNIVERSITY</t>
  </si>
  <si>
    <t>SRI CHANDRASEKHARENDRA SARASWATHI VISWA MAHAVIDYALAYA</t>
  </si>
  <si>
    <t>SRK CONSTRUCTIONS AND PROJECTS PVT LTD | QUALITY CONTROL INTERN | MADANAPALLI | Jun 2019 | Jun 2019 | 2 Weeks
BECHTEL INDIA PVT LTD | PROJECT CONTROL INTERN | GURGAON | Jun 2022 | Jul 2022 | 7 Weeks</t>
  </si>
  <si>
    <t>AP21097</t>
  </si>
  <si>
    <t>adityagrawal0198@gmail.com</t>
  </si>
  <si>
    <t>ap21097@ms.nicmar.ac.in</t>
  </si>
  <si>
    <t>7109 8231 6801</t>
  </si>
  <si>
    <t>NARAYAN LAL AGARWAL</t>
  </si>
  <si>
    <t>BEENA AGRAWAL</t>
  </si>
  <si>
    <t>B201 VALLABH EMPIRE NEW NAVRATAN COMPLEX</t>
  </si>
  <si>
    <t>DR. DY PATIL INSTITUTE OF TECHNOLOGY, PIMPRI</t>
  </si>
  <si>
    <t>UMESH CONSTRUCTION COMPANY | WORKING AS A TRAINEE ENGINEER AT NITIN SPINNERS LIMITED | BEGUN (RAJASTHAN) | Dec 2019 | Jan 2020 | 3 Weeks
HOMEOSPHERE PRIVATE LIMITED | FINANCE/ WEALTH MANAGEMENT TRANIEE | GURUGRAM | May 2022 | Jul 2022 | 9 Weeks</t>
  </si>
  <si>
    <t>AP21098</t>
  </si>
  <si>
    <t>SWETHA</t>
  </si>
  <si>
    <t>Swetha Kannan</t>
  </si>
  <si>
    <t>SWETHAKANNAN@YAHOO.COM</t>
  </si>
  <si>
    <t>ap21098@ms.nicmar.ac.in</t>
  </si>
  <si>
    <t>30-Jan-1997</t>
  </si>
  <si>
    <t>ENGLISH, MALAYALAM, TAMIL, HINDI</t>
  </si>
  <si>
    <t>6858 8683 0306</t>
  </si>
  <si>
    <t>KANNAN JAYARAMAN</t>
  </si>
  <si>
    <t>WEALTH MANAGER</t>
  </si>
  <si>
    <t>MAHESWARI KANNAN</t>
  </si>
  <si>
    <t>9/29-A2, VIYA GARDENIA, SOCIETY ROAD, MARADU</t>
  </si>
  <si>
    <t>CHINMAYA VIDYALAYA TRIPUNITHURA</t>
  </si>
  <si>
    <t>UNIVERSITY OF KERALA</t>
  </si>
  <si>
    <t>AutoCAD,MS Office,MS Project,SKETCHUP, ADOBE CREATIVE SUITE</t>
  </si>
  <si>
    <t>STUDIO PROMADA | ARCHITECTURE INTERN | KOCHI | Jul 2018 | Nov 2018 | 20 Weeks
READING GROUNDS | LANDSCAPE ARCHITECTURE INTERN | BENGALURU | Feb 2020 | Jun 2020 | 20 Weeks
ENGINEERING CONSORTIUM CONSULTING ENGINEERS | INTERN | DUBAI | May 2022 | Jul 2022 | 7 Weeks</t>
  </si>
  <si>
    <t>AP21099</t>
  </si>
  <si>
    <t>BHADRA</t>
  </si>
  <si>
    <t>Mahesh Bharat Bhadra</t>
  </si>
  <si>
    <t>MAHESH.BHADRA28@GMAIL.COM</t>
  </si>
  <si>
    <t>ap21099@ms.nicmar.ac.in</t>
  </si>
  <si>
    <t>ENGLISH, HINDI, MARATHI, GUJARATI, KUTCHI</t>
  </si>
  <si>
    <t>8718 7071 4250</t>
  </si>
  <si>
    <t>BHARAT LAXMIDAS BHADRA</t>
  </si>
  <si>
    <t>APMC SERVICE</t>
  </si>
  <si>
    <t>NEETA BHARAT BHADRA</t>
  </si>
  <si>
    <t>303, GAURIHER CHS, M.P ROAD, NEAR BHOIR GYM KHANA,</t>
  </si>
  <si>
    <t>Dombivli</t>
  </si>
  <si>
    <t>KAI SAU ASHATAI BHANUSHALI MADHYAMIK VIDHALAYA</t>
  </si>
  <si>
    <t>SHRI S K SOMAIYA VINAYMANDIR JUNIOR COLLEGE</t>
  </si>
  <si>
    <t>RAJLAXMI DEVELOPERS | SITE ENGINEER | DOMBIVLI EAST | Feb 2019 | Mar 2019 | 0 Years, 1 Months, 30 Days | 3
ELLORA MEGA BUILDING PROJECTS | SITE ENGINEER | VASHI, NAVI MUMBAI | Jun 2018 | Jun 2019 | 1 Years, 0 Months, 14 Days | 2.16
RAJLAXMI DEVELOPERS | SITE ENGINEER | DOMBIVLI EAST | Feb 2019 | Mar 2019 | 0 Years, 1 Months, 30 Days | 3
ELLORA MEGA BUILDING PROJECTS | SITE ENGINEER | VASHI, NAVI MUMBAI | Jun 2018 | Jun 2019 | 1 Years, 0 Months, 14 Days | 2.16</t>
  </si>
  <si>
    <t>DILKAP RESEARCH INSTITUTE OF ENGINEERING AND MANAGEMENT STUDIES | TEAM MEMBER  | NERAL &amp; BADLAPUR | Aug 2017 | Feb 2018 | 30 Weeks
KOLTE PATIL DEVELOPERS LIMITED | PROJECT PLANNING, MONITORING  AND  COORDINATION | HINJEWADI PUNE | Apr 2022 | Jul 2022 | 12 Weeks</t>
  </si>
  <si>
    <t>AP21100</t>
  </si>
  <si>
    <t>KOTECHA</t>
  </si>
  <si>
    <t>Yash Vijay Kotecha</t>
  </si>
  <si>
    <t>kokuyash@gmail.com</t>
  </si>
  <si>
    <t>ap21100@ms.nicmar.ac.in</t>
  </si>
  <si>
    <t>17-Sep-1999</t>
  </si>
  <si>
    <t>ENGLISH, HINDI, MARWADI, MARATHI</t>
  </si>
  <si>
    <t>4247 2363 0227</t>
  </si>
  <si>
    <t>VIJAY HIRALAL KOTECHA</t>
  </si>
  <si>
    <t>RASHMI VIJAY KOTECHA</t>
  </si>
  <si>
    <t>1/5 BHANDARI COMPLEX, MAGH SECTOR, NEAR DECCAN PETROL PUMP, MUMBAI ROAD</t>
  </si>
  <si>
    <t>ASHOKA UNIVERSAL SCHOOL</t>
  </si>
  <si>
    <t>KARMAVEER KAKASAHEB WAGH POLYTECHNIC NASHIK</t>
  </si>
  <si>
    <t>MALPANI ESTATES | MANAGEMENT INTERN | NASHIK | Jul 2022 | Jul 2022 | 4 Weeks | Campus Internship
THE AVENUE BUSINESS AND DEVELOPERS | SITE EXECUTION AND SUPERVISION | NASHIK | Oct 2020 | Nov 2020 | 8 Weeks
PAVETECH CONSULTANCY | SITE EXECUTION AND SUPERVISION | PUNE | Apr 2022 | Jun 2022 | 9 Weeks</t>
  </si>
  <si>
    <t>AP21101</t>
  </si>
  <si>
    <t>SHANBHAG</t>
  </si>
  <si>
    <t>Vaibhav Damodar Shanbhag</t>
  </si>
  <si>
    <t>vaibhavshanbhag777@gmail.com</t>
  </si>
  <si>
    <t>ap21101@ms.nicmar.ac.in</t>
  </si>
  <si>
    <t>ENGLISH , KANNADA , HINDI , KONKANI</t>
  </si>
  <si>
    <t>9708 6405 8354</t>
  </si>
  <si>
    <t>DAMODAR RANGA SHANBHAG</t>
  </si>
  <si>
    <t>SARASWATI</t>
  </si>
  <si>
    <t>AT KADKOD , POST NAGUR , TALUQ KUMTA , UTTARKANNADA, KARNATAKA</t>
  </si>
  <si>
    <t>Kumta</t>
  </si>
  <si>
    <t>SARASWATHI VIDYA KENDRA</t>
  </si>
  <si>
    <t>SARASWATHI PU COLLEGE</t>
  </si>
  <si>
    <t>JAWAHARLAL NEHRU NATIONAL COLLAGE OF ENGINEERING</t>
  </si>
  <si>
    <t>SSNEC | SITE ENGINEER | BELGAUM | Jul 2019 | Aug 2019 | 4 Weeks
REDDY STRUCTURES PVT LTD MAHAVEER GROUP | SITE EXECUTION  | BANGALORE | Apr 2022 | Jun 2022 | 7 Weeks</t>
  </si>
  <si>
    <t>AP21102</t>
  </si>
  <si>
    <t>NIKHIT</t>
  </si>
  <si>
    <t>Nelli Nikhit Kumar</t>
  </si>
  <si>
    <t>NIKITHBARTUNOORI@GMAIL.COM</t>
  </si>
  <si>
    <t>ap21102@ms.nicmar.ac.in</t>
  </si>
  <si>
    <t>08-May-2000</t>
  </si>
  <si>
    <t>2261 6375 6437</t>
  </si>
  <si>
    <t>RAVI KUMAR NELLI</t>
  </si>
  <si>
    <t>SHOBHA RANI NELLI</t>
  </si>
  <si>
    <t>H NO-3-6-527,FLAT NO.104, HIGHNESS RESIDENCY, STREET NO.7,HIMAYATHNAGAR</t>
  </si>
  <si>
    <t>MEDJEE GURU JUNIOR COLLEGE</t>
  </si>
  <si>
    <t>CHAITANYA BHARATHI INSTITUTE OF TECHNOLOGY</t>
  </si>
  <si>
    <t>MAHAVEER GROUP | SITE EXECUTION  | BANGLORE  | Apr 2022 | Jun 2022 | 7 Weeks</t>
  </si>
  <si>
    <t>AP21103</t>
  </si>
  <si>
    <t>PARANJAPE</t>
  </si>
  <si>
    <t>Shardul Dhananjay Paranjape</t>
  </si>
  <si>
    <t>SHARDULPARANJAPE21@GMAIL.COM</t>
  </si>
  <si>
    <t>ap21103@ms.nicmar.ac.in</t>
  </si>
  <si>
    <t>2785 0573 1658</t>
  </si>
  <si>
    <t>DHANANJAY GANESH PARANJAPE</t>
  </si>
  <si>
    <t>NEHA DHANANJAY PARANJAPE</t>
  </si>
  <si>
    <t>1832, JIVHALA, SHIVAJI ROAD, NEAR CHAUDAR TALE</t>
  </si>
  <si>
    <t>Mahad</t>
  </si>
  <si>
    <t>M1-808, AMRUT GANGA SOCIETY, MANIK BAUG, SINHAGAD ROAD</t>
  </si>
  <si>
    <t>KES DAGDUSHET PARTE ENGLISH MEDIUM SCHOOL</t>
  </si>
  <si>
    <t>ASHOK VIDYALAYA AND JUNIOR COLLEGE</t>
  </si>
  <si>
    <t>AutoCAD,MS Office,MS Project,STAAD.PRO</t>
  </si>
  <si>
    <t>STRUCTCON DESIGNS PRIVATE LIMITED | BRIDGE DESIGN INTERN | NAVI MUMBAI | Jun 2019 | Jun 2019 | 2 Weeks
CUSHMAN AND WAKEFIELD INDIA PRIVATE LIMITED | PROJECT SCHEDULING. PROJECT COORDINATION AND TRACKING. SUPERVISING CONTRACTORÃ¢â‚¬â„¢S SAFETY PRACTICES. DELAY ANALYSIS. | AHMEDABAD | May 2022 | Jul 2022 | 8 Weeks</t>
  </si>
  <si>
    <t>AP21104</t>
  </si>
  <si>
    <t>SOBHITH</t>
  </si>
  <si>
    <t>CHITTOORY</t>
  </si>
  <si>
    <t>Sobhith Chittoory</t>
  </si>
  <si>
    <t>sobhithchittoory@gmail.com</t>
  </si>
  <si>
    <t>ap21104@ms.nicmar.ac.in</t>
  </si>
  <si>
    <t>TELUGU, ENGLISH, HINDI.</t>
  </si>
  <si>
    <t>8993 4429 0420</t>
  </si>
  <si>
    <t>SOBHITH CHITTOORY</t>
  </si>
  <si>
    <t>LALITHA KUMARI CHITTOORY</t>
  </si>
  <si>
    <t>H.NO. 23-7-20, SRI BHANU APARTMENTS, FLAT NO. 204, DUGGIRALA STREET, FREZER PETA</t>
  </si>
  <si>
    <t>LITTLE WOODS SCHOOL</t>
  </si>
  <si>
    <t>CENTERAL BOARD OF SECONDARY EDUCATION</t>
  </si>
  <si>
    <t>SRI SAI ADITYA JUNIOR COLLEGE</t>
  </si>
  <si>
    <t>VARAHA COLLEGE OF ARCHITECTURE AND PLANNING</t>
  </si>
  <si>
    <t>Transform architects | Desining | Hyderabad | Jan 2019 | Mar 2020 | 1 Years, 2 Months, 30 Days | 2.4
Transform architects | Desining | Hyderabad | Jan 2019 | Mar 2020 | 1 Years, 2 Months, 30 Days | 2.4</t>
  </si>
  <si>
    <t>SHABNAM PATEL ARCHITECTS | ASST.JR.ARCHITECT | VISAKHAPATNAM | Jan 2018 | Oct 2018 | 40 Weeks
SEEDTREE COLLABORATIVE | PROJECT DEVELOPER | SURAT  | Apr 2022 | Jul 2022 | 11 Weeks</t>
  </si>
  <si>
    <t>AP21105</t>
  </si>
  <si>
    <t>JAGGI</t>
  </si>
  <si>
    <t>Piyush Jaggi</t>
  </si>
  <si>
    <t>PIYUSHJAGGI123@GMAIL.COM</t>
  </si>
  <si>
    <t>ap21105@ms.nicmar.ac.in</t>
  </si>
  <si>
    <t>6347 0135 2735</t>
  </si>
  <si>
    <t>VIKAS JAGGI</t>
  </si>
  <si>
    <t>MALA JAGGI</t>
  </si>
  <si>
    <t>HIG C-34, SHAILENDRA NAGAR</t>
  </si>
  <si>
    <t>HOLY CROSS S.S. SCHOOL</t>
  </si>
  <si>
    <t>NMIMS MUKESH PATEL SCHOOL OF TECHNOLOGY MANAGEMENT AND ENGINEERING, MUMBAI MAHARASHTRA</t>
  </si>
  <si>
    <t>ANJ TURNKEY PROJECTS PRIVATE LIMITED | PROJECT MANAGEMENT (INTERN) | KOLKATA | Apr 2022 | Jul 2022 | 13 Weeks | Campus Internship
BLOSSOM CONSTRUWELL | TRAINEE ENGINEER | NASHIK | May 2019 | Jul 2019 | 8 Weeks
RISHABH BUILDERS | CONSTRUCTION MANAGEMENT (INTERN) | RAIPUR CHHATTISGARH | Jun 2021 | Jul 2021 | 6 Weeks</t>
  </si>
  <si>
    <t>AP21106</t>
  </si>
  <si>
    <t>Danish Khan</t>
  </si>
  <si>
    <t>KHAN36DANISH@GMAIL.COM</t>
  </si>
  <si>
    <t>ap21106@ms.nicmar.ac.in</t>
  </si>
  <si>
    <t>13-Jul-1996</t>
  </si>
  <si>
    <t>4300 4489 3655</t>
  </si>
  <si>
    <t>ABDUL AHAD KHAN</t>
  </si>
  <si>
    <t>ABIDA KHATOON</t>
  </si>
  <si>
    <t>A 35/38 DX1 JALALIPURA ,LALKUAN ,VARANASI</t>
  </si>
  <si>
    <t>RAJ ENGLISH SCHOOL</t>
  </si>
  <si>
    <t>CENTRAL BOARD OF SECONDARY EDUCATIONS</t>
  </si>
  <si>
    <t>HAPPY HOME ENGLISH SCHOOL</t>
  </si>
  <si>
    <t>SIMPLEX INFRASTRUCTURES LIMITED | SITE AND BILLING ENGINEER | MUMBAI | Jun 2018 | Nov 2020 | 2 Years, 5 Months, 13 Days | 2.82
SIMPLEX INFRASTRUCTURES LIMITED | SITE AND BILLING ENGINEER | MUMBAI | Jun 2018 | Nov 2020 | 2 Years, 5 Months, 13 Days | 2.82</t>
  </si>
  <si>
    <t>PUBLIC WORK DEPARTMENT | SITE EXECUTION | SONEBHADRA,UTTAR PRADESH | May 2016 | Jun 2016 | 4 Weeks
KNIGHT FRANK INDIA PRIVATE LIMITED | MARKET RESEARCH OF TECHNICAL DUE DILIGENCE ON TECHNICAL ADVISORY | GURUGRAM | Apr 2022 | Jun 2022 | 8 Weeks</t>
  </si>
  <si>
    <t>AP21107</t>
  </si>
  <si>
    <t>THELA</t>
  </si>
  <si>
    <t>Anusha Thela</t>
  </si>
  <si>
    <t>ANUSHA.THELA@GMAIL.COM</t>
  </si>
  <si>
    <t>ap21107@ms.nicmar.ac.in</t>
  </si>
  <si>
    <t>12-Apr-1997</t>
  </si>
  <si>
    <t>9786 7440 1710</t>
  </si>
  <si>
    <t>ANUSHA THELA</t>
  </si>
  <si>
    <t>SARITHA THELA</t>
  </si>
  <si>
    <t>H. NO. 1-10-215/3, STREET NO. 6 ASHOKNAGAR</t>
  </si>
  <si>
    <t>NARAYANA OLYMPIAD HIGH SCHOOL ASHOKNAGAR</t>
  </si>
  <si>
    <t>NARAYANA JUNIOR COLLEGE NARAYANGUDA</t>
  </si>
  <si>
    <t>NATIONAL INSTITUTE OF TECHNOLOGY CALICUT</t>
  </si>
  <si>
    <t>AutoCAD,MS Office,MS Project,Primavera,REVIT ARCHITECTURE, SKETCHUP, 3DS MAX, MICROSOFT OFFICE, PHOTOSHOP, BEXEL MANAGER</t>
  </si>
  <si>
    <t>SEP ARCHITECTS PRIVATE LIMITED | BIM COORDINATOR | HYDERABAD | Aug 2019 | Aug 2021 | 2 Years, 0 Months, 22 Days | 2.16
SEP ARCHITECTS PRIVATE LIMITED | BIM COORDINATOR | HYDERABAD | Aug 2019 | Aug 2021 | 2 Years, 0 Months, 22 Days | 2.16</t>
  </si>
  <si>
    <t>SEP ARCHITECTS PRIVATE LIMITED | DESIGN COORDINATION AND BIM MODELLING | HYDERABAD | May 2018 | Nov 2018 | 24 Weeks
BEXEL INDIA CONSULTING | BUSINESS DEVELOPMENT, PROJECT MANAGEMENT | WORK FROM HOME | May 2022 | Jul 2022 | 8 Weeks</t>
  </si>
  <si>
    <t>AP21108</t>
  </si>
  <si>
    <t>DIVY</t>
  </si>
  <si>
    <t>DUSHYANTKUMAR</t>
  </si>
  <si>
    <t>Divy Dushyantkumar Patel</t>
  </si>
  <si>
    <t>pateldivy71@gmail.com</t>
  </si>
  <si>
    <t>ap21108@ms.nicmar.ac.in</t>
  </si>
  <si>
    <t>4926 5539 5910</t>
  </si>
  <si>
    <t>DUSHYANTKUMAR GUNVANTLAL PATEL</t>
  </si>
  <si>
    <t>PINKI DUSHYANTBHAI PATEL</t>
  </si>
  <si>
    <t>5/vakilwadi, Opp. L. G. Hospital, Near Nidhi Flat, Maninagar</t>
  </si>
  <si>
    <t>5/VAKILWADI, OPP. L. G. HOSPITAL, NEAR NIDHI FLAT, MANINAGAR</t>
  </si>
  <si>
    <t>DIWAN BALLUBHAI SCHOOL</t>
  </si>
  <si>
    <t>LOK JAGRUTI POLYTECHNIC COLLEGE</t>
  </si>
  <si>
    <t>MAHIKA INFRASTRCURE | INTERN | AHMEDABAD | Jan 2020 | Mar 2020 | 8 Weeks
ADANI DAHANU THERMAL POWER PLANT | INDUSTRIAL TRAINING  | MAHARASHTRA | Aug 2019 | Aug 2019 | 0 Weeks
DHARMADEV INFRASTRUCTURE LLP | 1. PROJECT PLANNING    2. QUANTITY ESTIMATION     3. SITE EXECUTION  | AHMEDABAD | Apr 2022 | Jun 2022 | 7 Weeks</t>
  </si>
  <si>
    <t>AP21109</t>
  </si>
  <si>
    <t>BEHERA</t>
  </si>
  <si>
    <t>Prateek Kumar Behera</t>
  </si>
  <si>
    <t>PRATEEKKUMAR1030@GMAIL.COM</t>
  </si>
  <si>
    <t>ap21109@ms.nicmar.ac.in</t>
  </si>
  <si>
    <t>10-Aug-1996</t>
  </si>
  <si>
    <t>7512 0510 8805</t>
  </si>
  <si>
    <t>RAJ KUMAR BEHERA</t>
  </si>
  <si>
    <t>RETD GOVERNMENT EMPLOYEE</t>
  </si>
  <si>
    <t>PUSPANJALI BEHERA</t>
  </si>
  <si>
    <t>SRI SAI COLONY, DEULASAHI, TULSIPUR</t>
  </si>
  <si>
    <t>DHANESWAR RATH INSTITUTE OF ENGINEERING AND MANAGEMENT STUDIES</t>
  </si>
  <si>
    <t>NATIONAL INSTITUTE OF SCIENCE AND TECHNOLOGY</t>
  </si>
  <si>
    <t>Larsen and toubro construction | Site Execution | Keonjhar, Odisha | Oct 2019 | Dec 2020 | 1 Years, 2 Months, 8 Days | 2.7
Mishra Engineers | Site Execution | Jajpur, Odisha | Jan 2021 | Aug 2021 | 0 Years, 7 Months, 27 Days | 1.98
Larsen and toubro construction | Site Execution | Keonjhar, Odisha | Oct 2019 | Dec 2020 | 1 Years, 2 Months, 8 Days | 2.7
Mishra Engineers | Site Execution | Jajpur, Odisha | Jan 2021 | Aug 2021 | 0 Years, 7 Months, 27 Days | 1.98</t>
  </si>
  <si>
    <t>INDIAN RARE EARTHS LIMITED | SITE INSPECTION | BERHAMPUR | Jun 2018 | Jul 2018 | 4 Weeks
TATA STEEL | SITE EXECUTION, MAINTENANCE OF OLD STRUCTURE  | JAMSHEDPUR | Apr 2018 | May 2018 | 4 Weeks
MAHAVEER GROUPS | SITE EXECUTION, QUALITY ASSURANCE AND QUALITY CONTROL | BANGALORE | Apr 2022 | Jun 2022 | 7 Weeks</t>
  </si>
  <si>
    <t>AP21110</t>
  </si>
  <si>
    <t>Mansi Ravindra Thorat</t>
  </si>
  <si>
    <t>mansithorat96@gmail.com</t>
  </si>
  <si>
    <t>ap21110@ms.nicmar.ac.in</t>
  </si>
  <si>
    <t>26-Nov-1998</t>
  </si>
  <si>
    <t>6260 7154 4552</t>
  </si>
  <si>
    <t>RAVINDRA PRABHAKAR THORAT</t>
  </si>
  <si>
    <t>NUTAN RAVINDRA THORAT</t>
  </si>
  <si>
    <t>J 402 PARKSYDE HOMES OPP TO BALIMANDIR NEAR RASBIHARI INTERNATIONAL SCHOOL AMRUTDHAM PANCHAVTI NASHIK</t>
  </si>
  <si>
    <t>C-803 REGALIA APARTMENT, DATTA MANDIR ROAD, YAMUNA NAGAR WAKAD PUNE</t>
  </si>
  <si>
    <t>RENUKABAI BHAUSAHEB HIRE KANYA VIDYALAYA</t>
  </si>
  <si>
    <t>MAHARASHTRA STATE BOARD OF SECONDARY AND HIGHER  SECONDARY EDUCATION</t>
  </si>
  <si>
    <t>MAHARAJA SAYAJIRAO GAIKWAD ARTS, SCIENCE AND COMMERCE JUNIOR COLLEGE</t>
  </si>
  <si>
    <t>KEDAR ASSOCIATES PUNE | INTERN | PUNE | Dec 2020 | Dec 2020 | 2 Weeks
APAHA TRAINERS AND CONSULTANCE PRIVATE LIMITED PUNE | INTERN-PROJECT PLANNING AND MANAGEMENT USING MICROSOFT PROJECT | PUNE | Dec 2020 | Dec 2020 | 2 Weeks
PIDILITE INDUSTRIES LIMITED | 1. IDENTIFICATION OF MARKET SHARE THROUGH MARKET SURVEY. 2.COLLECTION AND UPDATION OF  COMPETITIVE DATA.  3.PREPARE GTM ON THE BASIS OF RESEARCH INSIGHTS AND FINDINGS. | PUNE | May 2022 | Jul 2022 | 7 Weeks</t>
  </si>
  <si>
    <t>AP21111</t>
  </si>
  <si>
    <t>Jay Prashant Pathak</t>
  </si>
  <si>
    <t>jay.pathak9@gmail.com</t>
  </si>
  <si>
    <t>ap21111@ms.nicmar.ac.in</t>
  </si>
  <si>
    <t>8518 8039 4924</t>
  </si>
  <si>
    <t>PRASHANT SUDHAR PATHAK</t>
  </si>
  <si>
    <t>RAJASHREE PRASHANT PATHAK</t>
  </si>
  <si>
    <t>46-469, DR. S. K. PATHAK RD. NEAR GARDEN PANNALAL NAGAR, AMRAVATI</t>
  </si>
  <si>
    <t>PROF. RAM MEGHE INSTITUTE OF TECHNOLOGY AND RESEARCH</t>
  </si>
  <si>
    <t>CONSTECH ENGINEERS | QUANTITY SURVEY, COST ANALYSIS  | AMRAVATI, MAHASRASHTRA | May 2022 | Jul 2022 | 10 Weeks
BALAJI STRUCTURAL CONSULTANCY | TRAINEE | AMRAVATI | Jul 2019 | Sep 2019 | 8 Weeks</t>
  </si>
  <si>
    <t>AP21112</t>
  </si>
  <si>
    <t>GHADGE</t>
  </si>
  <si>
    <t>Aditya Anil Ghadge</t>
  </si>
  <si>
    <t>aditya.ghadge46@gmail.com</t>
  </si>
  <si>
    <t>ap21112@ms.nicmar.ac.in</t>
  </si>
  <si>
    <t>02-Aug-1998</t>
  </si>
  <si>
    <t>6967 3649 4681</t>
  </si>
  <si>
    <t>ANIL P GHADGE</t>
  </si>
  <si>
    <t>KALPANA ANIL GHADGE</t>
  </si>
  <si>
    <t>G-03, OM SAI C.H.S., SECTOR -3</t>
  </si>
  <si>
    <t>Navi Mumbai Panvel</t>
  </si>
  <si>
    <t>FATHER AGNEL POLYTECHNIC</t>
  </si>
  <si>
    <t>JM MHATRE INFRA PRIVATE LIMITED | SITE HANDLING | PANVEL, NAVI MUMBAI | May 2016 | May 2016 | 4 Weeks
CORECRATE GLOBAL SERVICES PRIVATE LIMITED | JUNIOR ENGINEER. | TALOJA, NAVI MUMBAI. | Jan 2021 | Jul 2021 | 26 Weeks
BANGALORE METRO RAIL CORPORATION LIMITED | INTERNSHIP TRAINEE | BANGALORE, KARNATAKA | Apr 2022 | Jul 2022 | 9 Weeks</t>
  </si>
  <si>
    <t>AP21113</t>
  </si>
  <si>
    <t>Vishal Choudhury</t>
  </si>
  <si>
    <t>CHOUDHURYV42@GMAIL.COM</t>
  </si>
  <si>
    <t>ap21113@ms.nicmar.ac.in</t>
  </si>
  <si>
    <t>20-Jul-1995</t>
  </si>
  <si>
    <t>4287 8789 6775</t>
  </si>
  <si>
    <t>BISHWAJIT CHOUDHURY</t>
  </si>
  <si>
    <t>UMA CHOUDHURY</t>
  </si>
  <si>
    <t>3/4 AASTHA VIJAY , ULIYAN MAIN ROAD , KADMA</t>
  </si>
  <si>
    <t>Jamshedpur</t>
  </si>
  <si>
    <t>KERALA SAMAJAM MODEL SCHOOL</t>
  </si>
  <si>
    <t>INDIAN CERTIFICATE OF SECONDARY EUCATION</t>
  </si>
  <si>
    <t>JAGADGURU SRI SHIVARATHREESHWARA ACADEMY OF TECHNICAL EDUCATION</t>
  </si>
  <si>
    <t>TRF LIMITED | SITE ENGINEER | JAMSHEDPUR | Jan 2019 | Jan 2019 | 2 Weeks
JAMSHEDPUR UTILITY SERVICES COMPANY LIMITED | SITE ENGINEER | JAMSHEDPUR | Jul 2018 | Aug 2018 | 4 Weeks
SPACEIFY TECHNOLOGIES PVT LTD STPL | BUSINESS ANALYST | AHMEDABAD | Apr 2022 | Jul 2022 | 13 Weeks</t>
  </si>
  <si>
    <t>AP21114</t>
  </si>
  <si>
    <t>JITHAS</t>
  </si>
  <si>
    <t>Jithas Prabhu</t>
  </si>
  <si>
    <t>jithasprabhu@gmail.com</t>
  </si>
  <si>
    <t>ap21114@ms.nicmar.ac.in</t>
  </si>
  <si>
    <t>4309 5859 1440</t>
  </si>
  <si>
    <t>MOHANAN K</t>
  </si>
  <si>
    <t>RETIRED ASSISTANT EXECUTIVE ENGINEER LSGD</t>
  </si>
  <si>
    <t>SAIRABHAI R K</t>
  </si>
  <si>
    <t>7/332, KUNNUMBRON HOUSE, GANDHINAGAR, KAINATTY, KALPETTA NORTH P O</t>
  </si>
  <si>
    <t>Kalpetta</t>
  </si>
  <si>
    <t>KUNNUMBRON HOUSE, GANDHINAGAR, KAINATTY, KALPETTA NORTH PO</t>
  </si>
  <si>
    <t>ST VINCENT PALLOTTI CENTRAL SCHOOL</t>
  </si>
  <si>
    <t>ST THOMAS COLLEGE OF ENGINEERING AND TECHNOLOGY</t>
  </si>
  <si>
    <t>ASCENT ARCHITECTURE KUTHUPARAMBA | GRADUATE ENGINEER TRAINEE | KUTHUPARAMBA | Jan 2020 | Aug 2021 | 82 Weeks
INSCALE CONSTRUCTIONS KASARGOD | GRADUATE ENGINEER TRAINEE | KASARGOD | Jul 2020 | Apr 2021 | 41 Weeks
DESIGN BUILD INC | INTERN PROJECT ENGINEER | BANGALORE | Apr 2022 | Jul 2022 | 11 Weeks</t>
  </si>
  <si>
    <t>AP21115</t>
  </si>
  <si>
    <t>Niranjana R</t>
  </si>
  <si>
    <t>NIRANJANARAGHUNATH16@GMAIL.COM</t>
  </si>
  <si>
    <t>ap21115@ms.nicmar.ac.in</t>
  </si>
  <si>
    <t>16-Feb-1999</t>
  </si>
  <si>
    <t>8800 6293 8473</t>
  </si>
  <si>
    <t>RAGHUNATH N</t>
  </si>
  <si>
    <t>LATHA V</t>
  </si>
  <si>
    <t>6, SREEKETHAM, NETHAJI NAGAR, OPPOSITE MALABAR ORTHO HOSPITAL, OLAVAKKODE</t>
  </si>
  <si>
    <t>KENDRIYA VIDYALAYA KANJIKODE</t>
  </si>
  <si>
    <t>NSS COLLEGE OF ENGINEERING</t>
  </si>
  <si>
    <t>AutoCAD,MS Office,MS Project,Primavera,REVIT, 3DSMAX</t>
  </si>
  <si>
    <t>BUILTECH BUILDERS AND DESIGNERS | SITE ENGINEER | PALAKKAD,KERALA | Jul 2017 | Jul 2017 | 0 Weeks
MALABAR CEMENTS LIMITED | INTERN  | PALAKKAD,KERALA | Jul 2019 | Jul 2019 | 0 Weeks
MADHURE INFRA ENGINEERING PVT LTD | PROJECT PLANNING | PUNE | Apr 2022 | Jul 2022 | 12 Weeks</t>
  </si>
  <si>
    <t>AP21116</t>
  </si>
  <si>
    <t>POTNIS</t>
  </si>
  <si>
    <t>Anuj Atul Potnis</t>
  </si>
  <si>
    <t>anujpotnis@gmail.com</t>
  </si>
  <si>
    <t>ap21116@ms.nicmar.ac.in</t>
  </si>
  <si>
    <t>28-May-1998</t>
  </si>
  <si>
    <t>7670 8626 1924</t>
  </si>
  <si>
    <t>ATUL KRISHNANATH POTNIS</t>
  </si>
  <si>
    <t>SHRUTI ATUL POTNIS</t>
  </si>
  <si>
    <t>PLOT NO. 45, VEER BAJIPRABHU SOCIETY, SAHAKAR NAGAR NO.1</t>
  </si>
  <si>
    <t>DES SECONDARY SCHOOL</t>
  </si>
  <si>
    <t>SINHGAD INSTITUTE OF TECHNOLOGY AND SCIENCE</t>
  </si>
  <si>
    <t>BHATE &amp; RAJE CONSTRUCTION COMPANY PVT. LTD. | SITE EXECUTION | PUNE | Apr 2021 | Sep 2021 | 0 Years, 5 Months, 2 Days | 2.4
BHATE &amp; RAJE CONSTRUCTION COMPANY PVT. LTD. | SITE EXECUTION | PUNE | Apr 2021 | Sep 2021 | 0 Years, 5 Months, 2 Days | 2.4</t>
  </si>
  <si>
    <t>BHATE AND RAJE CONSTRUCTION COMPANY PVT LTD | 1) PREPARATION OF DPR AND DLR, 2) BILLING WORK (LABOUR/SUB-CONTRACTOR BILLS AND RUNNING ACCOUNT BILLS), 3) PROJECT SCHEDULING AND MONITORING, 4) PREPARING BBS FOR STEEL RECONCILIATION, 5) SUBMISSION O | VIMAN NAGAR, PUNE | May 2022 | Jul 2022 | 10 Weeks</t>
  </si>
  <si>
    <t>AP21117</t>
  </si>
  <si>
    <t>NARAPOGU</t>
  </si>
  <si>
    <t>Swetha Narapogu</t>
  </si>
  <si>
    <t>swethanarapogu1995@gmail.com</t>
  </si>
  <si>
    <t>ap21117@ms.nicmar.ac.in</t>
  </si>
  <si>
    <t>11-Dec-1995</t>
  </si>
  <si>
    <t>6603 2647 9821</t>
  </si>
  <si>
    <t>NARAPOGU SHANKER</t>
  </si>
  <si>
    <t>NARAPOGU KAVITHA</t>
  </si>
  <si>
    <t>H.NO.4-5-100, PRAKASH NAGAR</t>
  </si>
  <si>
    <t>Khammam</t>
  </si>
  <si>
    <t>3-1-197/3/1, ALANKAR</t>
  </si>
  <si>
    <t>HARVEST PUBLIC SCHOOL</t>
  </si>
  <si>
    <t>2010-Jun-12</t>
  </si>
  <si>
    <t>2011-May-21</t>
  </si>
  <si>
    <t>KRISHNAVENI COOPERATIVE JUNIOR COLLEGE</t>
  </si>
  <si>
    <t>2012-Jun-15</t>
  </si>
  <si>
    <t>2013-Apr-26</t>
  </si>
  <si>
    <t>KAKATIYA UNIVERSITY WARANGAL</t>
  </si>
  <si>
    <t>KAKATIYA INSTITUTE OF TECHNOLOGY AND SCIENCE WARANGAL</t>
  </si>
  <si>
    <t>2013-Oct-05</t>
  </si>
  <si>
    <t>2017-Jul-08</t>
  </si>
  <si>
    <t>RELIANCE INDUSTRIES LIMITED RPMG | PROJECT PLANNING &amp; COST CONTROL ENGINEER | RELIANCE CORPORATE PARK (WFH) | Apr 2022 | Jun 2022 | 8 Weeks | Campus Internship
IRRIGATION AND CAD DEPARTMENT | OBSERVER | WARANGAL | Jun 2016 | Jul 2016 | 2 Weeks</t>
  </si>
  <si>
    <t>AP21118</t>
  </si>
  <si>
    <t>TAMHANE</t>
  </si>
  <si>
    <t>Omkar Sanjay Tamhane</t>
  </si>
  <si>
    <t>ap21118@ms.nicmar.ac.in</t>
  </si>
  <si>
    <t>7970 6140 1143</t>
  </si>
  <si>
    <t>SR.No.33/2,Hirkamal Bungalow,Plot No.15,Samarth Colony,New PanCard Club Rd.,Baner,Pune</t>
  </si>
  <si>
    <t>SR.NO.33/2,HIRKAMAL BUNGALOW,PLOT NO.15,SAMARTH COLONY,NEW PANCARD CLUB RD.,BANER,PUNE</t>
  </si>
  <si>
    <t>HORIZON ENGLISH MEDIUM SCHOOL &amp; JR. COLLEGE</t>
  </si>
  <si>
    <t>2013-Mar-04</t>
  </si>
  <si>
    <t>2014-Mar-03</t>
  </si>
  <si>
    <t>PUSHPADEVI DUGAD JR.COLLEGE OF ARTS,SCIENCE AND COMMERCE</t>
  </si>
  <si>
    <t>2014-Jun-02</t>
  </si>
  <si>
    <t>2016-Feb-01</t>
  </si>
  <si>
    <t>RAJARSHI SHAHU SCHOOL OF ENGINEERING AND RESEARCH , NARHE</t>
  </si>
  <si>
    <t>2016-Jul-04</t>
  </si>
  <si>
    <t>2020-Nov-12</t>
  </si>
  <si>
    <t>WAKADKAR VINODE ASSOCIATES | MANAGEMENT TRAINEE | HINJAWADI PUNE | May 2022 | Jul 2022 | 8 Weeks</t>
  </si>
  <si>
    <t>AP21119</t>
  </si>
  <si>
    <t>JEFREY</t>
  </si>
  <si>
    <t>JONE</t>
  </si>
  <si>
    <t>Jefrey Jone C</t>
  </si>
  <si>
    <t>JONEJEFREY@GMAIL.COM</t>
  </si>
  <si>
    <t>ap21119@ms.nicmar.ac.in</t>
  </si>
  <si>
    <t>5938 4551 9188</t>
  </si>
  <si>
    <t>CHARLES JOSEPH A</t>
  </si>
  <si>
    <t>AROCKIA MARY A</t>
  </si>
  <si>
    <t>H.NO 564,DR.MALLIGA ARJUNAN NAGAR,ARIYAKUDI MAIN ROAD,KARAIKUDI.630202</t>
  </si>
  <si>
    <t>Karaikkudi</t>
  </si>
  <si>
    <t>ALAGAPPA MATRICULATION HIGHER SECONDARY SCHOOL</t>
  </si>
  <si>
    <t>TAMIL NADU STATE BOARD OF HIGHER SECONDARY EDUCATION</t>
  </si>
  <si>
    <t>JEPPIAAR ENGINEERING COLLEGE</t>
  </si>
  <si>
    <t>AutoCAD,REVIT ARCHITECTURE,BUILDING INFORMATION MODELING</t>
  </si>
  <si>
    <t>INTENTO ASSOCIATES | INTERN-PLANNING | WORK FROM HOME | Apr 2022 | Jun 2022 | 9 Weeks</t>
  </si>
  <si>
    <t>AP21120</t>
  </si>
  <si>
    <t>RADHIKA</t>
  </si>
  <si>
    <t>Radhika Atul Dube</t>
  </si>
  <si>
    <t>radhikadube97@gmail.com</t>
  </si>
  <si>
    <t>ap21120@ms.nicmar.ac.in</t>
  </si>
  <si>
    <t>16-Jun-1997</t>
  </si>
  <si>
    <t>7832 6297 0746</t>
  </si>
  <si>
    <t>ATUL DUBE</t>
  </si>
  <si>
    <t>SHOBHA DUBE</t>
  </si>
  <si>
    <t>HOUSE ROOM NO. H/701/B, PUMP HOUSE, MUMBAI, JOGESHWARI EAST</t>
  </si>
  <si>
    <t>2004, WADHWA SOLITAIRE C, KOLSHET ROAD, NEAR EVEREST WORLD</t>
  </si>
  <si>
    <t>RAJHANS VIDYALAYA</t>
  </si>
  <si>
    <t>INDIRA COLLEGE OF ARCHITECTURE AND DESIGN, PUNE, MAHARASHTRA</t>
  </si>
  <si>
    <t>RETHINKING THE FUTURE | EDITORIAL INTERN, WRITING ONE ARTICLE PER WEEK | WORK FROM HOME  | Aug 2020 | Nov 2020 | 15 Weeks
ABHIKALPAN ARCHITECTS AND PLANNERS | ARCHITECTURAL TRAINEE, RESPONSIBLE FOR WORKING ON SEVERAL STAGES (SCHEMATIC DESIGN, LANDSCAPE , MUNICIPAL &amp; WORKING DRAWING) FOR Q RESIDENCES, AURUM, GHANSOLI | MUMBAI  | May 2019 | Nov 2019 | 26 Weeks
LIGHTHOUSE LEARNING PRIVATE LIMITED | INTERN AT PROJECT &amp; EXPANSION DEPARTMENT, SUGGESTIONS FOR CURRENT SCHOOLS, BRAND MANUAL FOR EUROSCHOOL | MUMBAI  | Apr 2022 | Jul 2022 | 12 Weeks</t>
  </si>
  <si>
    <t>AP21121</t>
  </si>
  <si>
    <t>UMENDRA</t>
  </si>
  <si>
    <t>Aniket Umendra Singh</t>
  </si>
  <si>
    <t>aniket.umendra.singh@gmail.com</t>
  </si>
  <si>
    <t>ap21121@ms.nicmar.ac.in</t>
  </si>
  <si>
    <t>06-Aug-1998</t>
  </si>
  <si>
    <t>3330 6248 2967</t>
  </si>
  <si>
    <t>UMENDRA PRASAD SINGH</t>
  </si>
  <si>
    <t>SARITA SINGH</t>
  </si>
  <si>
    <t>FLT NO. 308, KRISHNA GANGA COMPLEX,GITTIKHADAN</t>
  </si>
  <si>
    <t>D-5,229,BALAJI CEMENT WORKS,P.B NO.9_x000D_
SURVEY NO.99,BUDAWADA,JAGGAIAHPET_x000D_
DISTRICT-KRISHNA</t>
  </si>
  <si>
    <t>Jaggayyapeta</t>
  </si>
  <si>
    <t>THE ADITYA BIRLA PUBLIC SCHOOL</t>
  </si>
  <si>
    <t>SHRI RAMDEOBABA COLEGE OF ENGINEERING AND MANAGEMENT</t>
  </si>
  <si>
    <t>Nirmaan Works Private Limited | Site Execution | Balaji Cement Works,Budawada (A.P.) | Oct 2020 | Aug 2021 | 0 Years, 10 Months, 22 Days | 1.8
Nirmaan Works Private Limited | Site Execution | Balaji Cement Works,Budawada (A.P.) | Oct 2020 | Aug 2021 | 0 Years, 10 Months, 22 Days | 1.8</t>
  </si>
  <si>
    <t>ULTRA TECH CEMENT LIMITED | SITE LEVELLING, LABOUR HANDLING | BALAJI CEMENT WORKS, BUDAWADA (A.P.) | Jan 2020 | Jun 2020 | 21 Weeks
MAHAVEER GROUP | PROCUREMENT, INVENTORY MANAGEMENT, SITE EXECUTION | BENGALURU, KARNATAKA | Apr 2022 | Jun 2022 | 7 Weeks</t>
  </si>
  <si>
    <t>AP21122</t>
  </si>
  <si>
    <t>SARDA</t>
  </si>
  <si>
    <t>Rakesh Ramesh Sarda</t>
  </si>
  <si>
    <t>rakeshsarda91@gmail.com</t>
  </si>
  <si>
    <t>ap21122@ms.nicmar.ac.in</t>
  </si>
  <si>
    <t>RAMESH RAMLAL SARDA</t>
  </si>
  <si>
    <t>REKHA RAMESH SARDA</t>
  </si>
  <si>
    <t>C/806,GOLD COAST, NEAR GREEN PARK HOTEL, SOMESHWARWADI, PASHAN</t>
  </si>
  <si>
    <t>NEW ENGLISH SCHOOL RAMANBAUG</t>
  </si>
  <si>
    <t>NEW ENGLISH SCHOOL JUNIOR COLLEGE RAMANBAUG</t>
  </si>
  <si>
    <t>MIT POLYTECHNIC</t>
  </si>
  <si>
    <t>ALL INDIA SHRI SHIVAJI MEMORIAL SOCIETYS COLLEGE OF ENGINEERING</t>
  </si>
  <si>
    <t>AP21123</t>
  </si>
  <si>
    <t>GALLA</t>
  </si>
  <si>
    <t>Pavan Kumar Galla</t>
  </si>
  <si>
    <t>sivaprasadgalla@gmail.com</t>
  </si>
  <si>
    <t>ap21123@ms.nicmar.ac.in</t>
  </si>
  <si>
    <t>07-May-1999</t>
  </si>
  <si>
    <t>ENGLISH, TELUGU.</t>
  </si>
  <si>
    <t>2392 4787 2411</t>
  </si>
  <si>
    <t>GALLA SATYA SIVA PRASAD</t>
  </si>
  <si>
    <t>GALLA VENKATA LAXMI</t>
  </si>
  <si>
    <t>H.NO. S2, PLOT NO 31, LORVEN RESIDENCY, KIRLAMPUDI LAYOUT, YMCA BACKLANE.</t>
  </si>
  <si>
    <t>KOTAK SALESIAN SCHOOL</t>
  </si>
  <si>
    <t>MANIPAL INSTITUTE OF TECHNOLOGY | PROJECT WORK. BLACKSPOT ANALYSIS ON NH-66(KUNDAPUR-SURATHKAL) | MANIPAL | Mar 2021 | Sep 2021 | 26 Weeks
NATIONAL HIGHWAYS AUTHORITY OF INDIA | STUDENT INTERN.BLACKSPOT ANALYSIS ON NH-66(KUNDAPUR-SURATHKAL) | MANGLORE | Mar 2021 | May 2021 | 8 Weeks
BANGALORE METRO RAIL CORPORATION LIMITED | PROJECT MANAGEMENT INTERN | BANGALORE | Apr 2022 | Jul 2022 | 9 Weeks</t>
  </si>
  <si>
    <t>AP21124</t>
  </si>
  <si>
    <t>KRITESH</t>
  </si>
  <si>
    <t>Kritesh Singh</t>
  </si>
  <si>
    <t>kriteshsingh0314@gmail.com</t>
  </si>
  <si>
    <t>ap21124@ms.nicmar.ac.in</t>
  </si>
  <si>
    <t>14-Mar-1997</t>
  </si>
  <si>
    <t>7210 2191 1584</t>
  </si>
  <si>
    <t>KUNWAR SINGH</t>
  </si>
  <si>
    <t>KIRAN SINGH</t>
  </si>
  <si>
    <t>BEHIND SARASWATI KIRANA STORE, NANDINI ROAD, CAMP-2</t>
  </si>
  <si>
    <t>Champa</t>
  </si>
  <si>
    <t>BEHIND SARASWATI KIRANA STORE, _x000D_
NANDINI ROAD, CAMP-2</t>
  </si>
  <si>
    <t>INDU I T SCHOOL</t>
  </si>
  <si>
    <t>DR. A.P.J.ABDUL KALAM TECHNICAL UNIVERSITY, UP</t>
  </si>
  <si>
    <t>GREATER NOIDA INSTITUTE OF TECHNOLOGY, GREATER NOIDA, G.B.NAGAR</t>
  </si>
  <si>
    <t>Samkit Engineers | Engineer | Delhi | Dec 2020 | Jun 2021 | 0 Years, 6 Months, 0 Days | 1.44
UBS Construction | Engineer | Nagaland | Jun 2019 | Jun 2020 | 1 Years, 0 Months, 23 Days | 1.44
Samkit Engineers | Engineer | Delhi | Dec 2020 | Jun 2021 | 0 Years, 6 Months, 0 Days | 1.44
UBS Construction | Engineer | Nagaland | Jun 2019 | Jun 2020 | 1 Years, 0 Months, 23 Days | 1.44</t>
  </si>
  <si>
    <t>MAHAVEER GROUP | QUANTITY SURVEY &amp; PLANNING- BOQ, BBS, SCHEDULING, DOCUMENTATION | BANGALORE | Apr 2022 | Jun 2022 | 7 Weeks</t>
  </si>
  <si>
    <t>AP21125</t>
  </si>
  <si>
    <t>SUDIPTO</t>
  </si>
  <si>
    <t>Sudipto Banerjee</t>
  </si>
  <si>
    <t>SUDIPTOBANERJEE26@GMAIL.COM</t>
  </si>
  <si>
    <t>ap21125@ms.nicmar.ac.in</t>
  </si>
  <si>
    <t>6883 1380 0093</t>
  </si>
  <si>
    <t>BUDDHADEV BANERJEE</t>
  </si>
  <si>
    <t>SONALI BANERJEE</t>
  </si>
  <si>
    <t>HOUSE NO. 17/8, NEW BUDIMAI COLONY, DAROGAMURA</t>
  </si>
  <si>
    <t>RELIANCE PROJECT MANAGEMENT GROUP | PROJECT CONTROLS INTERN | WORK FROM HOME | Apr 2022 | Jun 2022 | 8 Weeks</t>
  </si>
  <si>
    <t>AP21126</t>
  </si>
  <si>
    <t>CHALLA</t>
  </si>
  <si>
    <t>Ashok Reddy Challa</t>
  </si>
  <si>
    <t>CHASHOKREDDY965@GMAIL.COM</t>
  </si>
  <si>
    <t>ap21126@ms.nicmar.ac.in</t>
  </si>
  <si>
    <t>14-May-1996</t>
  </si>
  <si>
    <t>2707 5242 3848</t>
  </si>
  <si>
    <t>CHALLA SRINIVASA REDDY</t>
  </si>
  <si>
    <t>CHALLA BHULAKSHMI</t>
  </si>
  <si>
    <t>4-65, GUNDLAPALLI VILLAGE, NEKARIKALLU MANDAL</t>
  </si>
  <si>
    <t>SAI ADITHYA HIGH SCHOOL</t>
  </si>
  <si>
    <t>NEBULA COMPANIES | SITE EXECUTION | HYDERABAD | Sep 2017 | Jan 2020 | 2 Years, 4 Months, 11 Days | 2.16
GREENPARK HOTELS AND RESORTS LIMITED | QS | HYDERABAD | Jan 2020 | Feb 2021 | 1 Years, 0 Months, 24 Days | 3.01
AAKRITI CONSTRUCTIONS AND DEVELOPERS PRIVATE LIMITED | BILLING  | HYDERABAD | Mar 2021 | Sep 2021 | 0 Years, 5 Months, 26 Days | 3.84
NEBULA COMPANIES | SITE EXECUTION | HYDERABAD | Sep 2017 | Jan 2020 | 2 Years, 4 Months, 11 Days | 2.16
GREENPARK HOTELS AND RESORTS LIMITED | QS | HYDERABAD | Jan 2020 | Feb 2021 | 1 Years, 0 Months, 24 Days | 3.01
AAKRITI CONSTRUCTIONS AND DEVELOPERS PRIVATE LIMITED | BILLING  | HYDERABAD | Mar 2021 | Sep 2021 | 0 Years, 5 Months, 26 Days | 3.84</t>
  </si>
  <si>
    <t>94 month(s)</t>
  </si>
  <si>
    <t>BANGALORE METRO RAIL CORPORATION LIMITED | MANAGEMENT INTERN | BANGALORE | Apr 2022 | Jul 2022 | 9 Weeks</t>
  </si>
  <si>
    <t>AP21127</t>
  </si>
  <si>
    <t>SAHTIH</t>
  </si>
  <si>
    <t>PEDDAPELLY</t>
  </si>
  <si>
    <t>Sahtih Peddapelly</t>
  </si>
  <si>
    <t>sahithleo85@gmail.com</t>
  </si>
  <si>
    <t>ap21127@ms.nicmar.ac.in</t>
  </si>
  <si>
    <t>29-Apr-1995</t>
  </si>
  <si>
    <t>9086 8087 9932</t>
  </si>
  <si>
    <t>PEDDAPELLY VENKATESWARA SWAMY</t>
  </si>
  <si>
    <t>RETIRED CENTRAL GOVERNMENT EMPLOYEE</t>
  </si>
  <si>
    <t>PEDDAPELLY VANAJA</t>
  </si>
  <si>
    <t>31-3-1814 JAWAHAR COLONY CROSS ROAD 100 FEET ROAD WADDEPALLY</t>
  </si>
  <si>
    <t>FLAT NO 402, PLOT NO 834, BESIDE HABITAT HEAVEN, GOPALNAGAR SOCIETY HAFEEZPET KPHB</t>
  </si>
  <si>
    <t>ST PETER'S CHRISTU JYOTHI SCHOOL</t>
  </si>
  <si>
    <t>NAVA VIGNANA BHARATHI JUNIOR COLLEGE</t>
  </si>
  <si>
    <t>KAKATIYA INSTITUTE OF TECHNOLOGY AND SCIENCE</t>
  </si>
  <si>
    <t>THE ARCHITECTURAL FIRM OF CPR | EXECUTION | WARANGAL TELANGANA | Oct 2017 | Nov 2020 | 3 Years, 1 Months, 25 Days | 3.12
THE ARCHITECTURAL FIRM OF CPR | EXECUTION | WARANGAL TELANGANA | Oct 2017 | Nov 2020 | 3 Years, 1 Months, 25 Days | 3.12</t>
  </si>
  <si>
    <t>CLOVE TECHNOLOGIES | CONSTRUCTION MONITORING TRAINEE - ENSURING PLANS (INPUTS FROM CLIENT) ARE ACCURATE AND EASY TO INTERPRET, COORDINATING WITH MODELING TEAM, VISUALIZE AS PLANNED VS AS BUILT DATA BY COMPARING SIDE BY SI | HYDERABAD | May 2022 | Jul 2022 | 11 Weeks</t>
  </si>
  <si>
    <t>AP21128</t>
  </si>
  <si>
    <t>MOHMMAD MAAZ</t>
  </si>
  <si>
    <t>M IRFAN</t>
  </si>
  <si>
    <t>MALIK</t>
  </si>
  <si>
    <t>Mohmmad Maaz M Irfan Malik</t>
  </si>
  <si>
    <t>malikmaaz24@gmail.com</t>
  </si>
  <si>
    <t>ap21128@ms.nicmar.ac.in</t>
  </si>
  <si>
    <t>ENGLISH, HINDI, GUJARATI.</t>
  </si>
  <si>
    <t>6329 0841 4069</t>
  </si>
  <si>
    <t>MOHAMMAD IRFAN HABIBKHAN MALIK</t>
  </si>
  <si>
    <t>AZMINA MOHAMMAD IRFAN MALIK</t>
  </si>
  <si>
    <t>H. NO. 18, MAYURKUNJ SOCIETY, NEAR SONAL CINEMA, MAKTUMPURA</t>
  </si>
  <si>
    <t>MAHENDRA KANAIYALAL SECONDARY AND HIGHER  SECONDARY SCHOOL</t>
  </si>
  <si>
    <t>FLORESCENT PUBLIC SCHOOL</t>
  </si>
  <si>
    <t>LOK JAGRUTI INSTITUTE OF ENGINEERING AND TECHNOLOGY</t>
  </si>
  <si>
    <t>PIDILITE | MARKETING AND BUSINESS DEVELOPMENT  | AHMEDABAD  | May 2022 | Jul 2022 | 7 Weeks</t>
  </si>
  <si>
    <t>AP21130</t>
  </si>
  <si>
    <t>BHISIKAR</t>
  </si>
  <si>
    <t>Aakanksha Naresh Bhisikar</t>
  </si>
  <si>
    <t>aakanksha.bhisikar520@gmail.com</t>
  </si>
  <si>
    <t>ap21130@ms.nicmar.ac.in</t>
  </si>
  <si>
    <t>2871 2187 1999</t>
  </si>
  <si>
    <t>NARESH MADHAORAO BHISIKAR</t>
  </si>
  <si>
    <t>VAISHALI NARESH BHISIKAR</t>
  </si>
  <si>
    <t>A/503, BLDG NO.1, SONIGARA AANGAN, RAVET, NEAR ISCKON TEMPLE</t>
  </si>
  <si>
    <t>SHRI MHALSAKANT SECONDARY AND HIGHER SECONDARY SCHOOL</t>
  </si>
  <si>
    <t>D. Y. PATIL SCHOOL OF ARCHITECTURE, AMBI</t>
  </si>
  <si>
    <t>AutoCAD,MS Office,MS Project,REVIT ARCHITECTURE, LUMION, ADOBE PHOTOSHOP</t>
  </si>
  <si>
    <t>Kymera Design Studio | Planning and Management | Aundh, Pune | Mar 2021 | Aug 2021 | 0 Years, 5 Months, 30 Days | 1.2
Kymera Design Studio | Planning and Management | Aundh, Pune | Mar 2021 | Aug 2021 | 0 Years, 5 Months, 30 Days | 1.2</t>
  </si>
  <si>
    <t>EARTHENHIVE ARCHITECTS | INTERN, PLANNING AND MANAGEMENT (RESOURCE AND HUMAN RESOURCE) | BANGALORE | May 2019 | Oct 2019 | 21 Weeks
ESTHETE DESIGNERS AND BUILDERS PRIVATE LIMITED | PROJECT MANAGEMENT INTERN | BANGALORE | Apr 2022 | Jun 2022 | 7 Weeks</t>
  </si>
  <si>
    <t>AP21131</t>
  </si>
  <si>
    <t>Revanth Kale</t>
  </si>
  <si>
    <t>revanthsai217@gmail.com</t>
  </si>
  <si>
    <t>ap21131@ms.nicmar.ac.in</t>
  </si>
  <si>
    <t>21-Jul-1999</t>
  </si>
  <si>
    <t>2256 6286 3375</t>
  </si>
  <si>
    <t>KALE SRINIVASA RAO</t>
  </si>
  <si>
    <t>KALE HEMAMALINI</t>
  </si>
  <si>
    <t>D NO 6-72, VINAYAKA NAGAR,CHATAPARRU ROAD, NEAR ST.JOHNS SCHOOL</t>
  </si>
  <si>
    <t>SASI EDUCATIONAL INSTITUTION</t>
  </si>
  <si>
    <t>KONERU LAKSHMAIAH EDUCATIONAL FOUNDATION</t>
  </si>
  <si>
    <t>KONERU LAKSHMAIAH DEEMED TO BE UNIVERSITY</t>
  </si>
  <si>
    <t>AutoCAD,MS Office,MS Project,REVIT, ETABS</t>
  </si>
  <si>
    <t>PRISM JOHNSON LIMITED | ENGINEER AT RMC PLANT &amp; TESTS DONE ON CONCRETE, CEMENT, AGGREGATES | HYDERABAD | May 2018 | Jun 2018 | 4 Weeks
MEGHA ENGINEERING AND INFRASTRUCTURE LIMITED | STRUCTURAL DESIGNER &amp; DESIGNING OF WATER TREATMENT PLANT PUMPHOUSE | HYDERABAD | Dec 2019 | Apr 2020 | 17 Weeks
SPACE MATRIX DESIGN CONSULTANTS PRIVATE LIMITED | PROJECT MANAGEMENT INTERN | MUMBAI | Apr 2022 | Jun 2022 | 8 Weeks</t>
  </si>
  <si>
    <t>AP21132</t>
  </si>
  <si>
    <t>PRABHUPAD</t>
  </si>
  <si>
    <t>SHRINIWAS</t>
  </si>
  <si>
    <t>ARKAL</t>
  </si>
  <si>
    <t>Prabhupad Shriniwas Arkal</t>
  </si>
  <si>
    <t>ARAKALPRABHUPAD@GMAIL.COM</t>
  </si>
  <si>
    <t>ap21132@ms.nicmar.ac.in</t>
  </si>
  <si>
    <t>23-Oct-1999</t>
  </si>
  <si>
    <t>ENGLISH, TELUGU, MARATHI, HINDI</t>
  </si>
  <si>
    <t>4262 5984 0553</t>
  </si>
  <si>
    <t>SHRINIWAS ASHYYA ARAKAL</t>
  </si>
  <si>
    <t>MAMTA SHRINIWAS ARAKAL</t>
  </si>
  <si>
    <t>266/3, GAYATRI BUILDING, RAVIWAR PETH</t>
  </si>
  <si>
    <t>SANGAMESHWAR COLLEGE</t>
  </si>
  <si>
    <t>WALCHAND INSTITUTE  OF TECHNOLOGY</t>
  </si>
  <si>
    <t>PIDILITE | BUSINESS DEVELOPMENT | PUNE | May 2022 | Jul 2022 | 7 Weeks</t>
  </si>
  <si>
    <t>AP21133</t>
  </si>
  <si>
    <t>CHANDRAMANI</t>
  </si>
  <si>
    <t>Chandramani Kumar</t>
  </si>
  <si>
    <t>CHANDRAMANI.KUMAR.501@GMAIL.COM</t>
  </si>
  <si>
    <t>ap21133@ms.nicmar.ac.in</t>
  </si>
  <si>
    <t>3591 2648 0294</t>
  </si>
  <si>
    <t>BACHCHA SINGH</t>
  </si>
  <si>
    <t>REENA DEVI</t>
  </si>
  <si>
    <t>WARD 10 BHAWAL</t>
  </si>
  <si>
    <t>Ramnagar</t>
  </si>
  <si>
    <t>GITA NIKETAN AWASIYA VIDYALAYA</t>
  </si>
  <si>
    <t>GURU HARKRISHAN PUBLIC SCHOOL</t>
  </si>
  <si>
    <t>Bygging India Ltd. | Billing Engineer | New Delhi | Jan 2019 | Aug 2021 | 2 Years, 7 Months, 1 Days | 2.94
Bygging India Ltd. | Billing Engineer | New Delhi | Jan 2019 | Aug 2021 | 2 Years, 7 Months, 1 Days | 2.94</t>
  </si>
  <si>
    <t>INDIAN OIL CORPORATION LIMITED HALDIA | TRAINEE | HALDIA | Jun 2018 | Jul 2018 | 4 Weeks
CE TESTING COMPANY PRIVATE LIMITED KOLKATA | TRAINEE | KOLKATA | Dec 2017 | Jan 2018 | 4 Weeks
SPACE MATRIX DESIGN CONSULTANTS PVT LTD | PROJECT MANAGEMENT  | MUMBAI | Apr 2022 | Jun 2022 | 8 Weeks</t>
  </si>
  <si>
    <t>AP21134</t>
  </si>
  <si>
    <t>Harish Pandharinath Wagh</t>
  </si>
  <si>
    <t>harishwagh2597@gmail.com</t>
  </si>
  <si>
    <t>ap21134@ms.nicmar.ac.in</t>
  </si>
  <si>
    <t>25-Sep-1997</t>
  </si>
  <si>
    <t>8878 4884 7092</t>
  </si>
  <si>
    <t>PANDHARINATH NATTHU WAGH</t>
  </si>
  <si>
    <t>JAYASHREE PANDHARINATH WAGH</t>
  </si>
  <si>
    <t>PLOT NO 14 VANASHRI SHRAMSAPHALYA COLONY,GONDUR ROAD,DHULE</t>
  </si>
  <si>
    <t>CHAVARA HIGH SCHOOL WALWADI DHULE</t>
  </si>
  <si>
    <t>ALL INDIA SHRI SHIVAJI MEMORIAL SOCIETYS COLLEGE OF ENGINEERING PUNE</t>
  </si>
  <si>
    <t>AutoCAD,MS Office,MS Project,Primavera,Ã¢â‚¬Â¢ POWER BI Ã¢â‚¬Â¢	REVIT Ã¢â‚¬Â¢	NAVISWORKS</t>
  </si>
  <si>
    <t>NA | NA | NA | Jan 2022 | Jan 2022 | 0 Years, 0 Months, 3 Days | 0.01
NA | NA | NA | Jan 2022 | Jan 2022 | 0 Years, 0 Months, 3 Days | 0.01</t>
  </si>
  <si>
    <t>N M SONAWANE | SITE EXECUTION | DHULE | Jan 2020 | May 2021 | 68 Weeks
APS GROUP | SITE EXECUTION | DHULE | Oct 2020 | Dec 2020 | 9 Weeks
MASIN PROJECTS PRIVATE LIMITED | Ã¢â‚¬Â¢	COMMUNICATING WITH THE STAKEHOLDERS, NEGOTIATING AND PROVIDING SOLUTIONS TO COMPLEX CHALLENGES AND BUSINESS DEVELOPMENT Ã¢â‚¬Â¢	ANALYSE LOSS OF PRODUCTIVITY, DEFICIENT PROJECT MANAGEMENT PERFORMANCE,  | MUMBAI | Apr 2022 | Jul 2022 | 12 Weeks</t>
  </si>
  <si>
    <t>AP21135</t>
  </si>
  <si>
    <t>SWARUP</t>
  </si>
  <si>
    <t>Swarup Krishna S</t>
  </si>
  <si>
    <t>swarupkrishna99@gmail.com</t>
  </si>
  <si>
    <t>ap21135@ms.nicmar.ac.in</t>
  </si>
  <si>
    <t>19-May-1999</t>
  </si>
  <si>
    <t>ENGLISH, TAMIL, TELUGU</t>
  </si>
  <si>
    <t>4754 5612 9012</t>
  </si>
  <si>
    <t>N SUKUMAR</t>
  </si>
  <si>
    <t>S SANTHAMANI</t>
  </si>
  <si>
    <t>136/1, KPR LAYOUT, SINGANALLUR</t>
  </si>
  <si>
    <t>SRINIVASAN ASSOCIATES PRIVATE LIMITED | STUDENT INTERN | COIMBATORE | May 2019 | Jun 2019 | 5 Weeks
NIKETA CONSTRUCTION | STUDENT INTERN | COIMBATORE | Jul 2021 | Aug 2021 | 8 Weeks
BANGALORE METRO RAIL CORPORATION LIMITED | INTERN | BENGALURU | Apr 2022 | Jul 2022 | 9 Weeks</t>
  </si>
  <si>
    <t>AP21136</t>
  </si>
  <si>
    <t>PATRO</t>
  </si>
  <si>
    <t>Sagar Kumar Patro</t>
  </si>
  <si>
    <t>skpatro.098@gmail.com</t>
  </si>
  <si>
    <t>ap21136@ms.nicmar.ac.in</t>
  </si>
  <si>
    <t>ENGLISH, HINDI, ODIA, TELUGU</t>
  </si>
  <si>
    <t>4154 6259 9778</t>
  </si>
  <si>
    <t>SANTOSH KUMAR PATRO</t>
  </si>
  <si>
    <t>SUKANYA PATRO</t>
  </si>
  <si>
    <t>PLOT NO 41, SPECTRUM COLONY EAST, GANDHI NAGAR</t>
  </si>
  <si>
    <t>PLOT NO 41, SPECTRUM COLONY EAST, GANDHINAGAR</t>
  </si>
  <si>
    <t>SARASWATI SISHU VIDYA MANDIR, NEELAKANTHA NAGAR</t>
  </si>
  <si>
    <t>BOARD OF SECONDARY EDUCATION ODISHA</t>
  </si>
  <si>
    <t>KHALLIKOTE JUNIOR COLLEGE, BERHAMPUR</t>
  </si>
  <si>
    <t>AutoCAD,MS Office,MS Project,STAADPRO, SAP</t>
  </si>
  <si>
    <t>NANDI HOUSING PRIVATE LIMITED | SITE ENGINEER | BANGALORE | Apr 2022 | Jun 2022 | 9 Weeks
ANUSHA PROJECTS PRIVATE LTD | SITE ENGINEER | KORAPUT | Jun 2019 | Jun 2019 | 2 Weeks
EAST COAST RAILWAYS KORAPUT | SITE SUPERVISOR | JEYPORE | Dec 2018 | Dec 2018 | 2 Weeks</t>
  </si>
  <si>
    <t>AP21137</t>
  </si>
  <si>
    <t>MANTRALA</t>
  </si>
  <si>
    <t>SRI HARSHA</t>
  </si>
  <si>
    <t>Mantrala Sri Harsha</t>
  </si>
  <si>
    <t>HARSHA3598@GMAIL.COM</t>
  </si>
  <si>
    <t>ap21137@ms.nicmar.ac.in</t>
  </si>
  <si>
    <t>03-May-1998</t>
  </si>
  <si>
    <t>3703 7383 3336</t>
  </si>
  <si>
    <t>MANTRALA S BALA SUBRAHMANYAM</t>
  </si>
  <si>
    <t>ASTROLOGER</t>
  </si>
  <si>
    <t>MANTRALA SRI DEVI</t>
  </si>
  <si>
    <t>DRNO 26 26 12, NRP ROAD, GANDHINAGAR</t>
  </si>
  <si>
    <t>Vijayawada</t>
  </si>
  <si>
    <t>SRI VIJNANA VIHARA ENGLISH MEDIUM SCHOOL</t>
  </si>
  <si>
    <t>SYSTRA MVA CONSULTING INDIA PRIVATE LIMITED | CIVIL ENGINEER | BAPATLA | Jun 2019 | Jul 2021 | 2 Years, 1 Months, 3 Days | 4.36
SYSTRA MVA CONSULTING INDIA PRIVATE LIMITED | CIVIL ENGINEER | BAPATLA | Jun 2019 | Jul 2021 | 2 Years, 1 Months, 3 Days | 4.36</t>
  </si>
  <si>
    <t>TVR CONSULTANCY | ESTIMATION AND COSTING OF BUILDING | VISHAKHAPATNAM, ANDHRAPRADESH | Apr 2018 | May 2018 | 4 Weeks
VELAGAPUDI RAMAKRISHNA SIDDHARTHA ENGINEERING COLLEGE | PROJECT MEMBER/TEAM LEADER | VIJAYAWADA  | Jan 2019 | Apr 2019 | 12 Weeks
CIA GLOCAL VENTURE LLP | STRATEGIC BUSINESS DEVELOPMENT INTERN | MUMBAI, MAHARASHTRA | May 2022 | Jul 2022 | 7 Weeks</t>
  </si>
  <si>
    <t>AP21138</t>
  </si>
  <si>
    <t>Aparna Sinha</t>
  </si>
  <si>
    <t>AP21138@MS.NICMAR.AC.IN</t>
  </si>
  <si>
    <t>30-Jun-1995</t>
  </si>
  <si>
    <t>ENGLISH, HINDI AND BENGALI</t>
  </si>
  <si>
    <t>4172 9635 2836</t>
  </si>
  <si>
    <t>LATE SHRI A K SINHA</t>
  </si>
  <si>
    <t>REENA SINHA</t>
  </si>
  <si>
    <t>NURSING SUPERVISOR</t>
  </si>
  <si>
    <t>QR. NO.-3/B, STREET-37,SECTOR-10, DURG</t>
  </si>
  <si>
    <t>SENIOR SECONDARY SCHOOL SECTOR-7</t>
  </si>
  <si>
    <t>CENTRAL BOARD OF SECONDARY EDUCATION, BHILAI NAGAR, CHHATTISGARH</t>
  </si>
  <si>
    <t>2010-Apr-05</t>
  </si>
  <si>
    <t>2011-Jun-04</t>
  </si>
  <si>
    <t>2012-Apr-02</t>
  </si>
  <si>
    <t>2013-May-27</t>
  </si>
  <si>
    <t>VELTECH DR.RR &amp; DR.SR TECHNICAL UNIVERSITY</t>
  </si>
  <si>
    <t>VELTECH DR.RR &amp; DR.SR TECHNICAL UNIVERSITY, CHENNAI, TAMIL NADU</t>
  </si>
  <si>
    <t>2013-Aug-06</t>
  </si>
  <si>
    <t>2017-Jun-10</t>
  </si>
  <si>
    <t>PLANEX ASSOCIATES | PLANNING &amp; DESIGNING | BHILAI | Sep 2017 | Dec 2019 | 2 Years, 3 Months, 30 Days | 1.8
CIMEC TECHNOLOGIES PRIVATE LIMITED | CRD ENGINEER (LTC)-MATERIAL LABORATORY TESTING FIRM | AHMEDABAD | Jan 2020 | Jul 2021 | 1 Years, 6 Months, 22 Days | 2.32
PLANEX ASSOCIATES | PLANNING &amp; DESIGNING | BHILAI | Sep 2017 | Dec 2019 | 2 Years, 3 Months, 30 Days | 1.8
CIMEC TECHNOLOGIES PRIVATE LIMITED | CRD ENGINEER (LTC)-MATERIAL LABORATORY TESTING FIRM | AHMEDABAD | Jan 2020 | Jul 2021 | 1 Years, 6 Months, 22 Days | 2.32</t>
  </si>
  <si>
    <t>93 month(s)</t>
  </si>
  <si>
    <t>DAVID ADAMSON INDIA PVT LTD | CONSTRUCTION PROJECT MANAGEMENT AND COST MANAGEMENT INTERN &amp; RESPONSIBILITIES ARE TO GATHER THE INFORMATION REGARDING PLANNING, SCHEDULING &amp; COSTING. | NOIDA | May 2022 | Jul 2022 | 11 Weeks
INSTITUTE OF SEISMOLOGICAL RESEARCH | TRAINEE &amp; RESPONSIBILITIES ARE TO LEARN ABOUT SOIL AND ITS VARIOUS INVESTIGATIONS. | GANDHI NAGAR | Jan 2016 | Jan 2016 | 1 Weeks
RAJPARIS CIVIL CONSTRUCTION SITE | TRAINEE &amp; RESPONSIBILITIES ARE STRUCTURAL DESIGN DETAILING AND ESTIMATION OF RESIDENTIAL BUILDING | CHENNAI | Jan 2017 | Apr 2017 | 15 Weeks</t>
  </si>
  <si>
    <t>AP21139</t>
  </si>
  <si>
    <t>LAKHMAPURE</t>
  </si>
  <si>
    <t>Prasanna Bhaskar Lakhmapure</t>
  </si>
  <si>
    <t>PRASANNALAKHMAPURE9@GMAIL.COM</t>
  </si>
  <si>
    <t>ap21139@ms.nicmar.ac.in</t>
  </si>
  <si>
    <t>18-May-1998</t>
  </si>
  <si>
    <t>5183 1382 7079</t>
  </si>
  <si>
    <t>BHASKAR GAJANAN LAKHMAPURE</t>
  </si>
  <si>
    <t>CASHIER, GOVERNMENT EMPLOYEE</t>
  </si>
  <si>
    <t>KALPANA LAKHMAPURE</t>
  </si>
  <si>
    <t>FLAT NO.201, PLOT NO.25,126, CHIRANJEEVI APT, CHIRANJEEVI NAGAR, NARENDRA NAGAR</t>
  </si>
  <si>
    <t>MANOHARBHAI PATEL MILITARY SCHOOL</t>
  </si>
  <si>
    <t>STATE BOARD OF HIGHER SECONDARY EDUCATION</t>
  </si>
  <si>
    <t>VIMALTAI TIDKE JUNIOR COLLEGE</t>
  </si>
  <si>
    <t>MAHAVEER GROUPS | SITE EXECUTION | BANGALORE  | Apr 2022 | Jun 2022 | 7 Weeks</t>
  </si>
  <si>
    <t>AP21140</t>
  </si>
  <si>
    <t>WARGHUDE</t>
  </si>
  <si>
    <t>Mayur Sunil Warghude</t>
  </si>
  <si>
    <t>mayurwarghude26@gmail.com</t>
  </si>
  <si>
    <t>ap21140@ms.nicmar.ac.in</t>
  </si>
  <si>
    <t>26-Jan-1997</t>
  </si>
  <si>
    <t>9834 4981 8836</t>
  </si>
  <si>
    <t>SUNIL NIVRUTTI WARGHUDE</t>
  </si>
  <si>
    <t>SUNITA SUNIL WARGHUDE</t>
  </si>
  <si>
    <t>H-wing, Flat No. 103, YASHWANTNAGAR, BEHIND ADD MART MALL, SHIVANE</t>
  </si>
  <si>
    <t>H-WING, FLAT NO. 103, YASHWANTNAGAR, BEHIND ADD MART MALL, SHIVANE</t>
  </si>
  <si>
    <t>KENDRIYA VIDYALAYA NDA KHADAKWASLA</t>
  </si>
  <si>
    <t>CENTRAL BOARD OF CENTRAL EDUCATION</t>
  </si>
  <si>
    <t>SINGHANIA BUILDCON PRIVATE LIMITED | SUPERVISING THE PROJECT AND COORDINATING WITH WORKERS. ENSURING CONSTRUCTION AND SITE SAFETY. QUALITY CHECKING AND MAKING SCHEDULES. | RAIPUR | May 2022 | Jul 2022 | 8 Weeks
MAULI CONSTRUCTION | SITE ENGINEER | PUNE | Jun 2020 | Nov 2020 | 26 Weeks</t>
  </si>
  <si>
    <t>AP21141</t>
  </si>
  <si>
    <t>DEVRAM</t>
  </si>
  <si>
    <t>Ankit Devram Jagtap</t>
  </si>
  <si>
    <t>ANKIT.JAGTAP114@GMAIL.COM</t>
  </si>
  <si>
    <t>ap21141@ms.nicmar.ac.in</t>
  </si>
  <si>
    <t>04-Nov-1996</t>
  </si>
  <si>
    <t>8848 5118 8662</t>
  </si>
  <si>
    <t>DEVRAM KARBHARI JAGTAP</t>
  </si>
  <si>
    <t>SUNANDA DEVRAM JAGTAP</t>
  </si>
  <si>
    <t>703, D5, ANAND CHS, CHARKOP, SECTOR-7, KANDIVALI WEST</t>
  </si>
  <si>
    <t>ST. THOMAS ACADEMY</t>
  </si>
  <si>
    <t>PATKAR VARDE COLLEGE</t>
  </si>
  <si>
    <t>AutoCAD,MS Office,MS Project,DATA VISUALIZATION, FINANCIAL MODELING</t>
  </si>
  <si>
    <t>NARANG REALTY PVT LTD | PROJECT WORKS | MUMBAI | Aug 2018 | Feb 2021 | 2 Years, 6 Months, 15 Days | 3.05
SHIVAM PARIVAR PVT LTD | PROJECT WORKS | MUMBAI | Feb 2021 | Aug 2021 | 0 Years, 6 Months, 29 Days | 4.29
NARANG REALTY PVT LTD | PROJECT WORKS | MUMBAI | Aug 2018 | Feb 2021 | 2 Years, 6 Months, 15 Days | 3.05
SHIVAM PARIVAR PVT LTD | PROJECT WORKS | MUMBAI | Feb 2021 | Aug 2021 | 0 Years, 6 Months, 29 Days | 4.29</t>
  </si>
  <si>
    <t>INDIABULLS ASSET MANAGEMENT COMPANY LIMITED | LEASE MANAGEMENT | NEW DELHI | Apr 2022 | Jul 2022 | 11 Weeks</t>
  </si>
  <si>
    <t>AP21142</t>
  </si>
  <si>
    <t>GOUR</t>
  </si>
  <si>
    <t>Hardik Gour</t>
  </si>
  <si>
    <t>HARDIKGOUR2711@GMAIL.COM</t>
  </si>
  <si>
    <t>ap21142@ms.nicmar.ac.in</t>
  </si>
  <si>
    <t>2993 0133 8689</t>
  </si>
  <si>
    <t>BHUPENDRA KUMAR GOUR</t>
  </si>
  <si>
    <t>SHASHI GOUR</t>
  </si>
  <si>
    <t>90, DAIMOND COLONY, DHARNAKA</t>
  </si>
  <si>
    <t>Mhow</t>
  </si>
  <si>
    <t>LITTLE ANGELS HIGHER SECONDARY SCHOOL</t>
  </si>
  <si>
    <t>VIKRANT INSTITUTE OF TECHNOLOGY AND MANAGEMENT, INDORE</t>
  </si>
  <si>
    <t>CONVENIENT CONSTRUCTION CONSULTANCY PRIVATE LIMITED | SITE EXECUTION AND PROJECT MANAGEMENT | INDORE | Apr 2022 | Jul 2022 | 12 Weeks</t>
  </si>
  <si>
    <t>AP21144</t>
  </si>
  <si>
    <t>SHWETABH</t>
  </si>
  <si>
    <t>Shwetabh</t>
  </si>
  <si>
    <t>SHWETABHPRINCEBOKARO@GMAIL.COM</t>
  </si>
  <si>
    <t>ap21144@ms.nicmar.ac.in</t>
  </si>
  <si>
    <t>09-Feb-1999</t>
  </si>
  <si>
    <t>4703 6407 7806</t>
  </si>
  <si>
    <t>A K  CHOUDHARY</t>
  </si>
  <si>
    <t>MILITARY OFFICER</t>
  </si>
  <si>
    <t>PRIYAMVADA PRITY</t>
  </si>
  <si>
    <t>WARD NO.-15,S/O ARJUN KUMAR CHOUDHARY, VILL- AHIRAULIYA, TOLA- MAUJEY , PO- RAMGARHWA</t>
  </si>
  <si>
    <t>Motihari</t>
  </si>
  <si>
    <t>Achalpur</t>
  </si>
  <si>
    <t>KENDRIYA VIDYALAYA TRIMULGHERRY</t>
  </si>
  <si>
    <t>2013-Apr-05</t>
  </si>
  <si>
    <t>2014-May-19</t>
  </si>
  <si>
    <t>2015-Apr-08</t>
  </si>
  <si>
    <t>2016-May-21</t>
  </si>
  <si>
    <t>2016-Jun-15</t>
  </si>
  <si>
    <t>2020-Sep-18</t>
  </si>
  <si>
    <t>RCC INFRA VENTURES LTD | INTERN  | HEAVY VEHICLE FACTORY (HVF) , AVADI, CHENNAI   | Dec 2018 | Dec 2018 | 2 Weeks
BANGALORE METRO RAIL CONSTRUCTION LTD | SITE EXECUTION INTERN  | BANGALORE  | Apr 2022 | Jul 2022 | 9 Weeks</t>
  </si>
  <si>
    <t>AP21145</t>
  </si>
  <si>
    <t>SARFARAJ</t>
  </si>
  <si>
    <t>Sarfaraj A J</t>
  </si>
  <si>
    <t>97sarfrazaj@gmail.com</t>
  </si>
  <si>
    <t>ap21145@ms.nicmar.ac.in</t>
  </si>
  <si>
    <t>03-Dec-1997</t>
  </si>
  <si>
    <t>ENGLISH, KANNADA , HINDI</t>
  </si>
  <si>
    <t>7634 0023 5397</t>
  </si>
  <si>
    <t>A ZAKEER HUSSAIN</t>
  </si>
  <si>
    <t>AABIDA</t>
  </si>
  <si>
    <t>D.NO.847, 9TH WARD, S L CHOUKI , 2ND CROSS, HOSPET</t>
  </si>
  <si>
    <t>Hospet</t>
  </si>
  <si>
    <t>DEEPAYANA ENGLISH MEDIUM HIGH SCHOOL</t>
  </si>
  <si>
    <t>NATIONAL COMPOSITE PRE-UNIVERSITY COLLEGE</t>
  </si>
  <si>
    <t>AutoCAD,MS Office,Primavera,SAP 2000</t>
  </si>
  <si>
    <t>MAHAVEER GROUPS PVT LTD | SITE EXECUTION, QUALITY CONTROL AND PROCUREMENT | BANAGALORE | Apr 2022 | Jun 2022 | 7 Weeks</t>
  </si>
  <si>
    <t>AP21146</t>
  </si>
  <si>
    <t>MANJULKAR</t>
  </si>
  <si>
    <t>Shubham Raju Manjulkar</t>
  </si>
  <si>
    <t>manjulkar77@gmail.com</t>
  </si>
  <si>
    <t>ap21146@ms.nicmar.ac.in</t>
  </si>
  <si>
    <t>7906 1352 2987</t>
  </si>
  <si>
    <t>RAJU RAMDAS MANJULKAR</t>
  </si>
  <si>
    <t>BUSINESSES</t>
  </si>
  <si>
    <t>ASHA RAJU MANJULKAR</t>
  </si>
  <si>
    <t>HANUMANTH NAGAR, CHACHONDI ROAD , JAMODKAR LAYOUT , MOTHI UMARI AKOLA</t>
  </si>
  <si>
    <t>VIVEKANAND ENGLISH HIGH SCHOOL</t>
  </si>
  <si>
    <t>MILLENNIUM ENGINEERS AND CONTRACTORS LTD | EXECUTION, PLANNING &amp; QUANTITY SURVEY | PUNE | Apr 2022 | Jun 2022 | 9 Weeks</t>
  </si>
  <si>
    <t>AP21147</t>
  </si>
  <si>
    <t>BHOWMICK</t>
  </si>
  <si>
    <t>Ankush Bhowmick</t>
  </si>
  <si>
    <t>ankush.bhowmic@gmail.com</t>
  </si>
  <si>
    <t>ap21147@ms.nicmar.ac.in</t>
  </si>
  <si>
    <t>ENGLISH, HINDI, BENGALI.</t>
  </si>
  <si>
    <t>ARUP KUMAR BHOWMICK</t>
  </si>
  <si>
    <t>KETAKI BHOWMICK</t>
  </si>
  <si>
    <t>100A, SANCHITA PARK, BIDHANNAGAR</t>
  </si>
  <si>
    <t>NSHM KNOWLEDGE CAMPUS</t>
  </si>
  <si>
    <t>AP21148</t>
  </si>
  <si>
    <t>WANI</t>
  </si>
  <si>
    <t>Dhananjay Prakash Wani</t>
  </si>
  <si>
    <t>DHANANJAYWANI26@GMAIL.COM</t>
  </si>
  <si>
    <t>ap21148@ms.nicmar.ac.in</t>
  </si>
  <si>
    <t>4307 0864 8022</t>
  </si>
  <si>
    <t>PRAKASH MURALIDHAR WANI</t>
  </si>
  <si>
    <t>SULAKSHANA PRAKASH WANI</t>
  </si>
  <si>
    <t>PLOT NO 17, GURUDATTA COLONY, NEAR SBI SHIV COLONY BRANCH</t>
  </si>
  <si>
    <t>RAOSAHEB RUPCHAND VIDYALAYA , JALGAON</t>
  </si>
  <si>
    <t>MAHARASTRA STATE BOARD OF HIGHER SECONDARY EDUCATION</t>
  </si>
  <si>
    <t>MOOLJI JAITHA COLLEGE, JALGAON</t>
  </si>
  <si>
    <t>D. Y. PATIL COLLEGE OF ENGINEERING, AKURDI, PUNE</t>
  </si>
  <si>
    <t>KNOW HOW SCHOOLS PUNE | EXECUTIVE ENGINEER | PUNE | Dec 2018 | Dec 2018 | 2 Weeks
SHAH AND TALATI | PROJECT COORDINATOR  (PROJECT PLANNING &amp; SCHEDULING, TENDERING &amp; CONTRACTS, ESTIMATION &amp; BUDGETING) | VADODARA, GUJARAT | Apr 2022 | Jun 2022 | 9 Weeks</t>
  </si>
  <si>
    <t>AP21149</t>
  </si>
  <si>
    <t>MAROTRAO</t>
  </si>
  <si>
    <t>Disha Marotrao Bhoyar</t>
  </si>
  <si>
    <t>yashodisha@gmail.com</t>
  </si>
  <si>
    <t>AP21149@ms.nicmar.ac.in</t>
  </si>
  <si>
    <t>16-May-1997</t>
  </si>
  <si>
    <t>7108 5583 2401</t>
  </si>
  <si>
    <t>MAROTRAO BHOYAR</t>
  </si>
  <si>
    <t>ASHA BHOYAR</t>
  </si>
  <si>
    <t>PLOT NO 20, AYODHYA NAGAR ,OPPOSITE OF LAXMI KIRANA STORE,NAGPUR</t>
  </si>
  <si>
    <t>PANDIT BACHHRAJ VYAAS VIDYALAYA</t>
  </si>
  <si>
    <t>MAHARASHTRA STATE BOARD OF SECONDARY  AND HIGHER SECONDARY EDUCATION,PUNE</t>
  </si>
  <si>
    <t>MAROTRAO MUDE HIGH SCHOOL &amp; JR COLLEGE</t>
  </si>
  <si>
    <t>RASHTRASANT TUKDOJI MAHRAJ UNIVERSITY, NAGPUR</t>
  </si>
  <si>
    <t>YESHWANT RAO CHAVHAN COLLEGE OF ENGINEERING , NAGPUR</t>
  </si>
  <si>
    <t>AutoCAD,MS Office,MS Project,Primavera,MS-CIT</t>
  </si>
  <si>
    <t>AXYKNO CAPITAL SERVICES PVT LTD | MANAGEMENT INTERN | NAGPUR | Apr 2022 | Jun 2022 | 7 Weeks</t>
  </si>
  <si>
    <t>AP21150</t>
  </si>
  <si>
    <t>PRANANJ</t>
  </si>
  <si>
    <t>Shah Prananj Hitesh</t>
  </si>
  <si>
    <t>PRANANJ4@GMAIL.COM</t>
  </si>
  <si>
    <t>ap21150@ms.nicmar.ac.in</t>
  </si>
  <si>
    <t>ENGLISH , HINDI , GUJARATI</t>
  </si>
  <si>
    <t>4717 7568 0146</t>
  </si>
  <si>
    <t>HITESH BIPINCHANDRA SHAH</t>
  </si>
  <si>
    <t>MEGHANA HITESH SHAH</t>
  </si>
  <si>
    <t>4 ,JAY SOMESHWAR SOCIETY ,  ISANPUR ROAD, POST GHODASAR</t>
  </si>
  <si>
    <t>BEST HIGHER SECONDARY SCHOOL</t>
  </si>
  <si>
    <t>CHANDUBHAI S PATEL INSTITUTE OF TECHNOLGY</t>
  </si>
  <si>
    <t>AutoCAD,MS Office,MS Project,Primavera,TALLY ERP</t>
  </si>
  <si>
    <t>VRAJ DEVELOPERS | SITE SUPERVISOR | AHMEDABAD | May 2019 | Jun 2019 | 3 Weeks
PACIFICA COMPANIES | PROJECT PLANNING ,MONITORING AND QS | AHMEDABAD | Apr 2022 | Jul 2022 | 12 Weeks</t>
  </si>
  <si>
    <t>AP21151</t>
  </si>
  <si>
    <t>Shashank S R</t>
  </si>
  <si>
    <t>shashankgubbi07@gmail.com</t>
  </si>
  <si>
    <t>ap21151@ms.nicmar.ac.in</t>
  </si>
  <si>
    <t>14-Jun-1998</t>
  </si>
  <si>
    <t>8148 4301 2173</t>
  </si>
  <si>
    <t>RANGARAJU S E</t>
  </si>
  <si>
    <t>PALLAVI S</t>
  </si>
  <si>
    <t>CHANDANA NILAYA,NEAR VAMSHARUKSHA HOSPITAL,BALAJI NAGARA,SIRA</t>
  </si>
  <si>
    <t>Sira</t>
  </si>
  <si>
    <t>RANGANATHA NILAYA,VIDYA NAGARA,SIRA</t>
  </si>
  <si>
    <t>COUNCIL FOR INDIAN SCHOOL CERTIFICATE EXAMINATION</t>
  </si>
  <si>
    <t>PRESIDENCY PRE UNIVERSITY COLLEGE</t>
  </si>
  <si>
    <t>RAJARAJESHWARI COLLEGE OF ENGINEERING</t>
  </si>
  <si>
    <t>SPACE CKRAFTERS | TRAINEE SITE ENGINEER | BANGALORE | Jul 2019 | Aug 2019 | 4 Weeks
PRASHASTI CIVIL SOLUTIONS | TRAINEE SITE ENGINEER | MALUR,KARNATAKA | Jan 2020 | Feb 2020 | 3 Weeks
REDDY STRUCTURES PRIVATE LIMITED | SITE EXECUTION | BANGALORE | Apr 2022 | Jun 2022 | 7 Weeks</t>
  </si>
  <si>
    <t>AP21152</t>
  </si>
  <si>
    <t>Archit Asati</t>
  </si>
  <si>
    <t>architasati786@gmail.com</t>
  </si>
  <si>
    <t>ap21152@ms.nicmar.ac.in</t>
  </si>
  <si>
    <t>21-Oct-1998</t>
  </si>
  <si>
    <t>3075 8920 5720</t>
  </si>
  <si>
    <t>OMPRAKASH ASATI</t>
  </si>
  <si>
    <t>REKHA ASATI</t>
  </si>
  <si>
    <t>H.NO 133P, CHOUBEY COLONY BEHIND MARIA MATA</t>
  </si>
  <si>
    <t>QUEEN MARYS HIGHER SECONDARY SCHOOL</t>
  </si>
  <si>
    <t>MADHYA PRADESH BOARD OF SECONDARY EDUCATION</t>
  </si>
  <si>
    <t>RAJIV GANDHI PROUDYOGIKI VISHWAVIDHYALAYA</t>
  </si>
  <si>
    <t>SAGAR INSTITUTE OF RESEARCH TECHNOLOGY SCIENCE BHOPAL</t>
  </si>
  <si>
    <t>AutoCAD,MS Office,MS Project,3DS MAX , ETABS</t>
  </si>
  <si>
    <t>PUBLIC WORK DEPARTMENT  PIU BHOPAL | SITE ENGINEER TRAINEE | BHOPAL | Jun 2019 | Jun 2019 | 2 Weeks
VARDHAN CONSULTING ENGINEERS | MANAGEMENT INTERN | ONLINE | Jun 2021 | Aug 2021 | 8 Weeks
LARSEN AND TOUBRO REALTY | PLANNING AND EXECUTION | MUMBAI | Apr 2022 | Jul 2022 | 13 Weeks</t>
  </si>
  <si>
    <t>AP21153</t>
  </si>
  <si>
    <t>TATYASO</t>
  </si>
  <si>
    <t>Omkar Tatyaso Dhumal</t>
  </si>
  <si>
    <t>domkar977@gmail.com</t>
  </si>
  <si>
    <t>ap21153@ms.nicmar.ac.in</t>
  </si>
  <si>
    <t>2727 6492 7205</t>
  </si>
  <si>
    <t>TATYASO UTTAMRAO DHUMAL</t>
  </si>
  <si>
    <t>EMPLOYEE  TATA MOTORS</t>
  </si>
  <si>
    <t>SEEMA TATYASO DHUMAL</t>
  </si>
  <si>
    <t>E 48 , GOKUL PARK HOUSING SOCIETY , TELCO KUDALWADI ROAD , RH 91/2 , SHAHUNAGAR</t>
  </si>
  <si>
    <t>Chinchwad</t>
  </si>
  <si>
    <t>VIDYA NIKETAN ENGLISH MEDIUM SCHOOL</t>
  </si>
  <si>
    <t>SHRI MHALSAKANT SECONDARY AND HIGHER SECONDARY SCHOOL, AKURDI</t>
  </si>
  <si>
    <t>RAJARSHI SHAHU COLLEGE OF ENGINEERING</t>
  </si>
  <si>
    <t>PAVETECH CONSULTANTS | SITE EXECUTION  | PUNE | Apr 2022 | Jun 2022 | 9 Weeks</t>
  </si>
  <si>
    <t>AP21154</t>
  </si>
  <si>
    <t>K P</t>
  </si>
  <si>
    <t>Anjana K P</t>
  </si>
  <si>
    <t>ANJANAKP779@GMAIL.COM</t>
  </si>
  <si>
    <t>ap21154@ms.nicmar.ac.in</t>
  </si>
  <si>
    <t>5936 6200 1280</t>
  </si>
  <si>
    <t>PREMAN K R</t>
  </si>
  <si>
    <t>SHEELA PREMAN</t>
  </si>
  <si>
    <t>ACSRA-46, PAVAKULAM LANE, ASHOKA ROAD, KALOOR, KOCHI -17, NEAR ACS SCHOOL KALOOR</t>
  </si>
  <si>
    <t>BHAVAN'S VIDYA MANDIR, EROOR</t>
  </si>
  <si>
    <t>BHAVANS VIDYA MANDIR EROOR</t>
  </si>
  <si>
    <t>AutoCAD,MS Office,MS Project,STAAD.PRO, STRAKON, C++</t>
  </si>
  <si>
    <t>NOEL VILLAS AND APARTMENTS | SITE EXECUTION INTERN | KOCHI  | Jul 2017 | Jul 2017 | 0 Weeks
SOBHA LIMITED | SITE EXECUTION INTERN | ERNAKULAM | Jul 2019 | Jul 2019 | 0 Weeks
SPML INFRA LTD | PROJECT PLANNING AND CO-ORDINATION | BANGLORE | Apr 2022 | Jun 2022 | 8 Weeks</t>
  </si>
  <si>
    <t>AP21155</t>
  </si>
  <si>
    <t>Anjana A S</t>
  </si>
  <si>
    <t>ANJU61184@GMAIL.COM</t>
  </si>
  <si>
    <t>ap21155@ms.nicmar.ac.in</t>
  </si>
  <si>
    <t>27-Sep-1997</t>
  </si>
  <si>
    <t>4281 4025 7760</t>
  </si>
  <si>
    <t>SATHEESAN A G</t>
  </si>
  <si>
    <t>BIJI M K</t>
  </si>
  <si>
    <t>MEPPILLIL HOUSE, KACHAPPILLY ROAD, VYTTILA P O, KOCHI 19, NEAR EVM HONDA SHOWROOM</t>
  </si>
  <si>
    <t>AutoCAD,MS Office,MS Project,REVIT ARCHITECTURE, STRAKON, C++</t>
  </si>
  <si>
    <t>SOBHA LIMITED | SITE EXECUTION | KOCHI, KERALA | Jul 2019 | Jul 2019 | 0 Weeks
NOEL VILLAS AND APARTMENTS | SITE EXECUTION | KOCHI, KERALA | Jul 2017 | Jul 2017 | 0 Weeks
ENGINEERING PROJECT MANAGEMENT CONSULTANCY AND RESEARCH PVT LTD | PROJECT MANAGEMENT INTERN | CHENNAI | May 2022 | Jun 2022 | 7 Weeks</t>
  </si>
  <si>
    <t>AP21156</t>
  </si>
  <si>
    <t>TALDI</t>
  </si>
  <si>
    <t>Akash Kumar Taldi</t>
  </si>
  <si>
    <t>akashkumartaldi@gmail.com</t>
  </si>
  <si>
    <t>ap21156@ms.nicmar.ac.in</t>
  </si>
  <si>
    <t>26-Aug-1997</t>
  </si>
  <si>
    <t>5192 4486 0071</t>
  </si>
  <si>
    <t>ARUP KUMAR TALDI</t>
  </si>
  <si>
    <t>MANASI TALDI</t>
  </si>
  <si>
    <t>EB-245, BADAGADA BRIT COLONY, BHUBANESWAR</t>
  </si>
  <si>
    <t>KENDRIYA VIDYALAYA NO. 1 CUTTACK</t>
  </si>
  <si>
    <t>CENTRAL BOARD OF SECONDARY EDUCATION, CUTTACK , ODISHA</t>
  </si>
  <si>
    <t>KENDRIYA VIDYALAYA NO.1 CUTTACK</t>
  </si>
  <si>
    <t>CENTRAL BOARD OF SECONDARY EDUCATION. CUTTACK, ODISHA</t>
  </si>
  <si>
    <t>INDIRA GANDHI INSTITUTE OF TECHNOLOGY, SARANG, ODISHA</t>
  </si>
  <si>
    <t>GK SINGH &amp; ASSOCIATES | SITE ENGINEER | CUTTACK | Jun 2019 | Apr 2021 | 1 Years, 10 Months, 13 Days | 1.5
GK SINGH &amp; ASSOCIATES | SITE ENGINEER | CUTTACK | Jun 2019 | Apr 2021 | 1 Years, 10 Months, 13 Days | 1.5</t>
  </si>
  <si>
    <t>ENGINEER IN CHIEF WATER RESOURCES | DATA ANALYST | BHUBANESWAR | May 2018 | Jun 2018 | 4 Weeks
OFFICE OF THE EXECUTIVE ENGEERING ROAD AND BUILDING | SITE OBSERVATION | BHUBANESWAR | Jun 2017 | Jun 2017 | 4 Weeks
SHUBHAM DEVELOPERS | SITE EXECUTION | AHMEDABAD | Apr 2022 | Jul 2022 | 12 Weeks</t>
  </si>
  <si>
    <t>AP21157</t>
  </si>
  <si>
    <t>GADGIL</t>
  </si>
  <si>
    <t>Varad Umesh Gadgil</t>
  </si>
  <si>
    <t>VARADGADGIL08@GMAIL.COM</t>
  </si>
  <si>
    <t>ap21157@ms.nicmar.ac.in</t>
  </si>
  <si>
    <t>4408 4901 3967</t>
  </si>
  <si>
    <t>UMESH RAMCHANDRA GADGIL</t>
  </si>
  <si>
    <t>SUPRIYA UMESH GADGIL</t>
  </si>
  <si>
    <t>8, RADHAKRUSHNA APT, GADGIL WADA, BRAHMIN ALI, PAPDY VASAI WEST</t>
  </si>
  <si>
    <t>Vasai</t>
  </si>
  <si>
    <t>DR. M. G. PARULEKAR MITRAMANDAL SCHOOL</t>
  </si>
  <si>
    <t>NEW ENGLISH SCHOOL AND JUNIOR COLLEGE</t>
  </si>
  <si>
    <t>AutoCAD,MS Office,MS Project,Primavera,ADOBE PREMIER PRO, ADOBE PHOTOSHOP, ADOBE AFTER EFFECT,MICROSOFT EXCEL</t>
  </si>
  <si>
    <t>HELIK INDUSTRIES | SALES AND MARKETING							 | NASHIK | Apr 2021 | Jul 2021 | 16 Weeks
ANANYA ENTERPRISE | PROJECT HEAD | MUMBAI | Jan 2021 | Jan 2021 | 4 Weeks
AIRPORTS AUTHORITY OF INDIA | PROJECT CONTROL AND PROJECT EXECUTION | SAFDARJUNG AIRPORT, NEW DELHI | Apr 2022 | Jun 2022 | 7 Weeks</t>
  </si>
  <si>
    <t>AP21158</t>
  </si>
  <si>
    <t>Abhishek Sanjay Muley</t>
  </si>
  <si>
    <t>abhishekmuley97@gmail.com</t>
  </si>
  <si>
    <t>ap21158@ms.nicmar.ac.in</t>
  </si>
  <si>
    <t>27-Dec-1997</t>
  </si>
  <si>
    <t>4147 0163 3910</t>
  </si>
  <si>
    <t>SANJAY PRABHAKAR MULEY</t>
  </si>
  <si>
    <t>RETD GOOVERMENT EMOLOYEE</t>
  </si>
  <si>
    <t>NEHA SANJAY MULEY</t>
  </si>
  <si>
    <t>FLAT A-104, RAM JANKI APARTMENT, GANGAPUR ROAD NASHIK</t>
  </si>
  <si>
    <t>NAFLAT A-104, RAM JANKI APARTMENT, GANGAPUR ROAD NASHIK</t>
  </si>
  <si>
    <t>NAVRACHNA HIGHSCHOOL NASHIK</t>
  </si>
  <si>
    <t>K.V.N. NAIK INSTITUTE OF POLYTECHNIC NASHIK</t>
  </si>
  <si>
    <t>GURU GOBIND SINGH COLLEGE OF ENGINEERING AND RESEARCH CENTER, NASHIK</t>
  </si>
  <si>
    <t>GAMMON INDIA LIMITED | PLANNING , EXECUTION &amp; BRIDGE WORK  | VASCO DA GAMA , GOA  | May 2022 | Jul 2022 | 8 Weeks</t>
  </si>
  <si>
    <t>AP21159</t>
  </si>
  <si>
    <t>KAVITI</t>
  </si>
  <si>
    <t>BHANU CHAITANYA</t>
  </si>
  <si>
    <t>Kaviti Bhanu Chaitanya</t>
  </si>
  <si>
    <t>BHANUCHAITANYA007@GMAIL.COM</t>
  </si>
  <si>
    <t>ap21159@ms.nicmar.ac.in</t>
  </si>
  <si>
    <t>19-Jul-1997</t>
  </si>
  <si>
    <t>ENGLISH,TELUGU,HINDI,TAMIL</t>
  </si>
  <si>
    <t>3653 7662 9008</t>
  </si>
  <si>
    <t>KAVATI KUMARA SWAMY</t>
  </si>
  <si>
    <t>KAVATI VANAJAKSHI</t>
  </si>
  <si>
    <t>DOOR NO 50-12-11/3 SEETHAMAPETA NEAR DURGA GANAPATHI TEMPLE</t>
  </si>
  <si>
    <t>VELLORE INSTITUTE OF TECHONOLOGY</t>
  </si>
  <si>
    <t>AutoCAD,MS Office,MS Project,3DS MAX</t>
  </si>
  <si>
    <t>QUALITY BUILDERS AND DEVELOPERS | SITE ENGINEER  | ONGLOE  | Jun 2018 | Jul 2018 | 4 Weeks
HOUSE WISE | OPERATIONS ASSOCIATE  | HYDERABAD  | Apr 2022 | Jul 2022 | 11 Weeks</t>
  </si>
  <si>
    <t>AP21160</t>
  </si>
  <si>
    <t>SHRISHA</t>
  </si>
  <si>
    <t>PATLOLLA</t>
  </si>
  <si>
    <t>Shrisha Reddy Patlolla</t>
  </si>
  <si>
    <t>patlollashrishareddy@gmail.com</t>
  </si>
  <si>
    <t>ap21160@ms.nicmar.ac.in</t>
  </si>
  <si>
    <t>6877 9327 5546</t>
  </si>
  <si>
    <t>SRINIVAS REDDY PATLOLLA</t>
  </si>
  <si>
    <t>SHANTI REDDY PATLOLLA</t>
  </si>
  <si>
    <t>H. NO. 6-3-1099/2, RAJ BHAVAN ROAD, SOMAJIGUDA</t>
  </si>
  <si>
    <t>GITANJALI SENIOR SCHOOL</t>
  </si>
  <si>
    <t>VIJAYA RATNA JUNIOR COLLEGE</t>
  </si>
  <si>
    <t>SOUTH CENTRAL RAILWAYS | SITE INTERN | HYDERABAD | Jun 2019 | Jun 2019 | 2 Weeks
BANGALORE METRO RAIL CORPORATION LIMITED | INTERNSHIP TRAINEE | BANGALORE, KARNATAKA | Apr 2022 | Jul 2022 | 9 Weeks</t>
  </si>
  <si>
    <t>AP21161</t>
  </si>
  <si>
    <t>Akshay P S</t>
  </si>
  <si>
    <t>AKSHAY.PS999.AP@GMAIL.COM</t>
  </si>
  <si>
    <t>ap21161@ms.nicmar.ac.in</t>
  </si>
  <si>
    <t>09-Nov-1997</t>
  </si>
  <si>
    <t>ENGLISH,MALAYALAM,HINDI.</t>
  </si>
  <si>
    <t>3522 5930 4741</t>
  </si>
  <si>
    <t>SAMOD P S</t>
  </si>
  <si>
    <t>HDFC CREDIT CARD LIMITED</t>
  </si>
  <si>
    <t>RESMI V A</t>
  </si>
  <si>
    <t>CENTRAL GOVERNMENT EMPLOYEE DEFENCE</t>
  </si>
  <si>
    <t>14/1339, PUTHENPURAYIL HOUSE, VELLEZHATHU LANE,PALLURUTHY P O, NEAR SREE NARYANA GURU STATUE</t>
  </si>
  <si>
    <t>Kochi</t>
  </si>
  <si>
    <t>KENDRIYA VIDYALAYA SANGATHAN INS DRONACHARYA</t>
  </si>
  <si>
    <t>SDPY HIGHER SECONDARY SCHOOL</t>
  </si>
  <si>
    <t>TOCH INSTITUTE OF SCIENCE AND TECHNOLOGY</t>
  </si>
  <si>
    <t>CLASSIC BUILDERS | SITE EXECUTION | ERNAKULAM | Jul 2017 | Jul 2017 | 2 Weeks
LERA CONSULTANTS | OFFICE MANAGEMENT | ERNAKULAM | Oct 2020 | Aug 2021 | 41 Weeks
MAHAVEER GROUP | SITE EXECUTION | BANGALORE | Apr 2022 | Jun 2022 | 7 Weeks</t>
  </si>
  <si>
    <t>AP21162</t>
  </si>
  <si>
    <t>VIMAL</t>
  </si>
  <si>
    <t>Shah Abhishek Vimal</t>
  </si>
  <si>
    <t>ABHISHEKSHAH77523@GMAIL.COM</t>
  </si>
  <si>
    <t>ap21162@ms.nicmar.ac.in</t>
  </si>
  <si>
    <t>2045 5480 3473</t>
  </si>
  <si>
    <t>VIMAL BHUPENDRABHAI SHAH</t>
  </si>
  <si>
    <t>NIDHI VIMAL SHAH</t>
  </si>
  <si>
    <t>A/1,KIRAT PARK SOCIETY,OPP GOKUL SOCIETY,SINDHWAI MATA ROAD,NEAR KANDOIWADI,PRATAPNAGAR</t>
  </si>
  <si>
    <t>CHANDUBHAI S PATEL INSTITUTE OF TECHNOLOGY</t>
  </si>
  <si>
    <t>AutoCAD,MS Office,MS Project,Primavera,REVIT, NAVISWORKS, @RISK, CANDY, ERP</t>
  </si>
  <si>
    <t>PAINT CORPORATION | PROJECT ENGINEER | VADODARA | May 2019 | Jun 2019 | 4 Weeks
DARSHANAM GROUP | PROJECT ENGINEER | VADODARA | Feb 2021 | Mar 2021 | 2 Weeks
SHAH AND TALATI | PROJECT COORDINATOR (PROJECT PLANNING &amp; SCHEDULING , TENDERING &amp; CONTRACTS,ESTIMATION &amp; BUDGETING) | VADODARA ,GUJARAT | Apr 2022 | Jun 2022 | 9 Weeks</t>
  </si>
  <si>
    <t>AP21163</t>
  </si>
  <si>
    <t>Varsha Pandey</t>
  </si>
  <si>
    <t>VARSHAPANDEY542@YAHOO.IN</t>
  </si>
  <si>
    <t>ap21163@ms.nicmar.ac.in</t>
  </si>
  <si>
    <t>18-Mar-1998</t>
  </si>
  <si>
    <t>9345 1515 4343</t>
  </si>
  <si>
    <t>RAMKINKAR PANDEY</t>
  </si>
  <si>
    <t>INDIAN AIR FORCE</t>
  </si>
  <si>
    <t>ARADHANA PANDEY</t>
  </si>
  <si>
    <t>302, 7-1-3/1, SATHI REDDY COLONY</t>
  </si>
  <si>
    <t>KENDRIYA VIDYALAYA VAYUSENA NAGAR</t>
  </si>
  <si>
    <t>RASHTRASANT TUKADOJI MAHARAJ NAGPUR MAHARASHTRA</t>
  </si>
  <si>
    <t>RAMDEOBABA COLLEGE OF ENGINEERING AND MANAGEMENT</t>
  </si>
  <si>
    <t>2015-Aug-24</t>
  </si>
  <si>
    <t>2019-May-13</t>
  </si>
  <si>
    <t>NA | NA | NA | Jan 2022 | Jan 2022 | 0 Years, 0 Months, 1 Days | NA
NA | NA | NA | Jan 2022 | Jan 2022 | 0 Years, 0 Months, 1 Days | NA</t>
  </si>
  <si>
    <t>F SIX SOLUTIONS | BIM MODELLER | NAGPUR | Jan 2019 | May 2019 | 19 Weeks
LARSEN AND TOUBRO REALTY | Ã¢â‚¬Â¢ INVOLVED IN PLANNING AND SCHEDULING OF  CONSTRUCTION ACTIVITIES Ã¢â‚¬Â¢ COLLABORATING WITH COLLEAGUES IN RECORDING MEASUREMENT ON SITE TO PROCESS CERTIFICATION OF RA BILL Ã¢â‚¬Â¢ ASSISTED IN CREATION OF P | MUMBAI | Apr 2022 | Jul 2022 | 13 Weeks</t>
  </si>
  <si>
    <t>AP21164</t>
  </si>
  <si>
    <t>V H</t>
  </si>
  <si>
    <t>Janhavi V H</t>
  </si>
  <si>
    <t>JANHAVIVH@GMAIL.COM</t>
  </si>
  <si>
    <t>ap21164@ms.nicmar.ac.in</t>
  </si>
  <si>
    <t>KANNADA, HINDI, ENGLISH</t>
  </si>
  <si>
    <t>7053 2667 3928</t>
  </si>
  <si>
    <t>HEMANNA GOWDA</t>
  </si>
  <si>
    <t>VEENA A N</t>
  </si>
  <si>
    <t>H.NO. 5936, VIJAYANAGAR 2ND STAGE, OPP PUSHKARNI SCHOOL</t>
  </si>
  <si>
    <t>B K S V B HIGH SCHOOL</t>
  </si>
  <si>
    <t>SVEI COMP PU COLLEGE</t>
  </si>
  <si>
    <t>VIDYA VARDHAKA COLLEGE OF ENGINEERING</t>
  </si>
  <si>
    <t>DEEP CONSULTANTS | PROJECT MANAGEMENT TRAINEE  | MYSORE  | Mar 2021 | Apr 2021 | 4 Weeks
PRESTIGE GROUP | PROJECT CO-ORDINATOR  | BENGALURU  | Apr 2022 | Jun 2022 | 8 Weeks</t>
  </si>
  <si>
    <t>AP21165</t>
  </si>
  <si>
    <t>BOSMIYA</t>
  </si>
  <si>
    <t>NAVINCHANDRA</t>
  </si>
  <si>
    <t>Bosmiya Tejas Navinchandra</t>
  </si>
  <si>
    <t>BOSMIYATEJAS@GMAIL.COM</t>
  </si>
  <si>
    <t>ap21165@ms.nicmar.ac.in</t>
  </si>
  <si>
    <t>5826 9257 6520</t>
  </si>
  <si>
    <t>NAVINCHANDRA GANGARAM BOSMIYA</t>
  </si>
  <si>
    <t>SAREE PRINTING BUSINESS</t>
  </si>
  <si>
    <t>VARSHABEN NAVINCHANDRA BOSMIYA</t>
  </si>
  <si>
    <t>VARSHA, GOVERDHAN NAGAR SOCIETY, SHREENATHJI MARG, OLD PANCHPIPLA ROAD</t>
  </si>
  <si>
    <t>Jetpur</t>
  </si>
  <si>
    <t>SAINT FRANCIS SCHOOL</t>
  </si>
  <si>
    <t>KULDEEP BHALANI ARCHITECTS | SITE EXECUTION | SURAT, GUJARAT | Sep 2020 | Aug 2021 | 0 Years, 11 Months, 7 Days | 1.08
KULDEEP BHALANI ARCHITECTS | SITE EXECUTION | SURAT, GUJARAT | Sep 2020 | Aug 2021 | 0 Years, 11 Months, 7 Days | 1.08</t>
  </si>
  <si>
    <t>SPML INFRA LTD | PROJECT PLANNING, SCHEDULING AND QUANTITY ESTIMATION  | GANDHINAGAR, GUJARAT | Apr 2022 | Jun 2022 | 8 Weeks</t>
  </si>
  <si>
    <t>AP21166</t>
  </si>
  <si>
    <t>Ankit Dash</t>
  </si>
  <si>
    <t>ankitdash124@gmail.com</t>
  </si>
  <si>
    <t>ap21166@ms.nicmar.ac.in</t>
  </si>
  <si>
    <t>9730 7579 4618</t>
  </si>
  <si>
    <t>ASHOK KUMAR DASH</t>
  </si>
  <si>
    <t>ANURADHA DASH</t>
  </si>
  <si>
    <t>124 A, PRASANTI NILAYAM, SATYANAGAR</t>
  </si>
  <si>
    <t>DAV PUBLIC SCHOOL UNIT 8</t>
  </si>
  <si>
    <t>SIKSHA O ANUSANDHAN UNIVERSITY</t>
  </si>
  <si>
    <t>INSTITUTE OF TECHNICAL EDUCATION AND RESEARCH</t>
  </si>
  <si>
    <t>AutoCAD,MS Office,CATIA, AUTOMATION ANYWHERE, SOLIDWORKS</t>
  </si>
  <si>
    <t>Timestamp Technologies Private Limited | Digital Marketing | Bhubaneswar, Odisha | Jul 2020 | Aug 2021 | 1 Years, 0 Months, 25 Days | 1.8
TTEC India, Ahmedabad, Gujurat | Business process outsourcing | Ahmedabad, Gujurat | Jul 2018 | Aug 2019 | 1 Years, 0 Months, 27 Days | 2.7
Timestamp Technologies Private Limited | Digital Marketing | Bhubaneswar, Odisha | Jul 2020 | Aug 2021 | 1 Years, 0 Months, 25 Days | 1.8
TTEC India, Ahmedabad, Gujurat | Business process outsourcing | Ahmedabad, Gujurat | Jul 2018 | Aug 2019 | 1 Years, 0 Months, 27 Days | 2.7</t>
  </si>
  <si>
    <t>CARRIAGE REPAIR WORKSHOP EAST COST RAILWAY | INDUSTRIAL TRAINING &amp; PROJECT WORK | BHUBANESWAR, ODISHA | May 2017 | Jun 2017 | 4 Weeks
LARSEN AND TOUBRO CONSTRUCTION | SITE EXECUTION | BHUBANESWAR, ODISHA | Jul 2022 | Jul 2022 | 4 Weeks
PCS MANAGEMENT CONSULTANCY PRIVATE LIMITED | BUSINESS EXECUTIVE TRAINEE | LUCKNOW | Apr 2022 | Jun 2022 | 8 Weeks</t>
  </si>
  <si>
    <t>AP21168</t>
  </si>
  <si>
    <t>Akhilesh</t>
  </si>
  <si>
    <t>AKHILESH.MAHAR123@GMAIL.COM</t>
  </si>
  <si>
    <t>ap21168@ms.nicmar.ac.in</t>
  </si>
  <si>
    <t>23-Nov-1997</t>
  </si>
  <si>
    <t>8597 0362 2325</t>
  </si>
  <si>
    <t>MOHAN LAL MAHAR</t>
  </si>
  <si>
    <t>SUMITRA MAHAR</t>
  </si>
  <si>
    <t>SENIOR TEACHER</t>
  </si>
  <si>
    <t>H. NO. 514, SHAKTI NAGAR, MAIN ROAD, OLD ABADI</t>
  </si>
  <si>
    <t>Sriganganagar</t>
  </si>
  <si>
    <t>SACRED HEART CONVENT SCHOOL</t>
  </si>
  <si>
    <t>AAYOJAN SCHOOL OF ARCHITECTURE</t>
  </si>
  <si>
    <t>AutoCAD,MS Office,MS Project,SKETCH UP, LUMION, V RAY, REVIT</t>
  </si>
  <si>
    <t>X DESIGN | INTERN | PUNE | Jan 2019 | Jun 2019 | 20 Weeks
TURNSTONE REALTY | MONITORING, QUALITY CONTROL AND BUILDING SERVICE MANAGEMENT | MOHALI, PUNJAB, INDIA | Apr 2022 | Jul 2022 | 12 Weeks</t>
  </si>
  <si>
    <t>AP21169</t>
  </si>
  <si>
    <t>THARUNIKA</t>
  </si>
  <si>
    <t>S B</t>
  </si>
  <si>
    <t>Tharunika S B</t>
  </si>
  <si>
    <t>PRIYARBS1201@GMAIL.COM</t>
  </si>
  <si>
    <t>ap21169@ms.nicmar.ac.in</t>
  </si>
  <si>
    <t>ENGLISH, HINDI, TAMIL</t>
  </si>
  <si>
    <t>3980 7947 7774</t>
  </si>
  <si>
    <t>R BALASUBRAMANIAN</t>
  </si>
  <si>
    <t>BRANCH MANAGER AT DEXTRA INDIA PVT LTD</t>
  </si>
  <si>
    <t>B SANKARI</t>
  </si>
  <si>
    <t>PLOT NO. 8 A, DOOR NO. 3/2102, MS NAGAR EXTN, 3RD CROSS STREET, MADHANANDHAPURAM, MUGALIVAKKAM</t>
  </si>
  <si>
    <t>LALAJI MEMORIAL OMEGA INTERNATIONAL SCHOOL</t>
  </si>
  <si>
    <t>2015-May-28</t>
  </si>
  <si>
    <t>DEVI ACADEMY SENIOR SECONDARY SCHOOL</t>
  </si>
  <si>
    <t>2016-Jun-06</t>
  </si>
  <si>
    <t>2017-May-28</t>
  </si>
  <si>
    <t>2017-Jul-10</t>
  </si>
  <si>
    <t>2021-Jul-28</t>
  </si>
  <si>
    <t>AutoCAD,MS Project,Primavera,REVIT ARCHITECTURE</t>
  </si>
  <si>
    <t>LARSEN AND TOUBRO WATER AND EFFLUENT TREATMENT IC EDRC | INTERN | CHENNAI | Jun 2019 | Jul 2019 | 4 Weeks
LARSEN AND TOUBRO BUILDINGS AND FACTORIES IC | STRATEGIC PLANNING INTERN | CHENNAI | Dec 2020 | Apr 2021 | 20 Weeks
LARSEN AND TOUBRO REALTY | MULTIPLE - PLANNING, SITE EXECUTION, QUANTITY ESTIMATION &amp; BILLING | GHATKOPAR (E), MUMBAI | Apr 2022 | Jul 2022 | 13 Weeks</t>
  </si>
  <si>
    <t>AP21170</t>
  </si>
  <si>
    <t>KISHORCHANDRA</t>
  </si>
  <si>
    <t>PANKHANIA</t>
  </si>
  <si>
    <t>Jay Kishorchandra Pankhania</t>
  </si>
  <si>
    <t>jay-pankhania@hotmail.co.uk</t>
  </si>
  <si>
    <t>ap21170@ms.nicmar.ac.in</t>
  </si>
  <si>
    <t>8384 8364 2184</t>
  </si>
  <si>
    <t>KISHORCHANDRA PANKHANIA</t>
  </si>
  <si>
    <t>HANSAGAURI PANKHANIA</t>
  </si>
  <si>
    <t>A/5, AKSHARDHAM SOCIETY, NIRNAYNAGAR, NAVA VADAJ, BEHIND MADHAVBAUG SOCIETY</t>
  </si>
  <si>
    <t>2014-Apr-03</t>
  </si>
  <si>
    <t>2015-Apr-15</t>
  </si>
  <si>
    <t>2016-Apr-03</t>
  </si>
  <si>
    <t>SARDAR VALLABHBHAI NATIONAL INSTITUTE OF TECHNOLOGY</t>
  </si>
  <si>
    <t>JARO EDUCATION | BUSINESS DEVELOPMENT |  MUMBAI | May 2020 | Jun 2020 | 6 Weeks
AL RAWAHI INTERNATIONAL | INTERNSHIP TRAINEE | MUSCAT, OMAN | May 2019 | Jun 2019 | 4 Weeks
PACIFICA COMPANIES | PLANNING, CONTROLLING AND MONITORING THE PROJECTS AT VADODARA, AHMEDABAD &amp; HYDERABAD. VENDOR DEVELOPMENT AND NEGOTIATION WITH CONTRACTORS. CREATING WORK ORDERS AND COORDINATING WITH THE SITE TEAM AND  | AHMEDABAD  | Apr 2022 | Jul 2022 | 12 Weeks</t>
  </si>
  <si>
    <t>AP21171</t>
  </si>
  <si>
    <t>RAKASI</t>
  </si>
  <si>
    <t>ROOPINI</t>
  </si>
  <si>
    <t>Rakasi Roopini Reddy</t>
  </si>
  <si>
    <t>RBVROOPINI@GMAIL.COM</t>
  </si>
  <si>
    <t>ap21171@ms.nicmar.ac.in</t>
  </si>
  <si>
    <t>4570 6144 4000</t>
  </si>
  <si>
    <t>RAKASI BASUVARDHAN REDDY</t>
  </si>
  <si>
    <t>RAKASI SHOBHA RANI</t>
  </si>
  <si>
    <t>FLAT.NO.403, BLOCK-1, SRI SAI PARADISE APARTMENTS, SRI SAI NAGAR, STREET.NO.8, HABSIGUDA, HYDERABAD, 500007</t>
  </si>
  <si>
    <t>JOHNSON GRAMMAR SCHOOL</t>
  </si>
  <si>
    <t>RBV AND ASSOCIATES | SITE ENGINEER | HYDERABAD | Dec 2020 | Mar 2021 | 17 Weeks
SINGHANIA GROUP | CONSTRUCTION MANAGEMENT TRAINEE | RAIPUR | May 2022 | Jul 2022 | 8 Weeks</t>
  </si>
  <si>
    <t>AP21172</t>
  </si>
  <si>
    <t>SATYADEV</t>
  </si>
  <si>
    <t>Satyadev Singh Yadav</t>
  </si>
  <si>
    <t>RITESH18135@GMAIL.COM</t>
  </si>
  <si>
    <t>ap21172@ms.nicmar.ac.in</t>
  </si>
  <si>
    <t>7214 4957 9253</t>
  </si>
  <si>
    <t>TEJU SINGH YADAV</t>
  </si>
  <si>
    <t>SADHANA YADAV</t>
  </si>
  <si>
    <t>442/125 JANARAILGANJ NEAR BALAGANJ, HARDOI ROAD</t>
  </si>
  <si>
    <t>LUCKNOW PUBLIC SCHOOL</t>
  </si>
  <si>
    <t>COUNCIL FOR THE INDIAN SCHOOL CERTIFICATE EXAMINATION</t>
  </si>
  <si>
    <t>GLA UNIVERSITY</t>
  </si>
  <si>
    <t>AutoCAD,MS Office,MS Project,Primavera,MICROSOFT PROJECT</t>
  </si>
  <si>
    <t>PUBLIC WORKS DEPARTMENT | SUMMER INTERN | AMETHI | Jun 2017 | Jul 2017 | 4 Weeks
UTTAR PRADESH RAJKIYA NIRMAN NIGAM LIMITED | SUMMER TRAINEE AND SITE ENGINEER | LUCKNOW | Jun 2018 | Jul 2018 | 4 Weeks
SHUBHAM DEVELOPERS LLP | SITE EXECUTION AND CONTROL | AHMEDABAD | Apr 2022 | Jul 2022 | 12 Weeks</t>
  </si>
  <si>
    <t>AP21173</t>
  </si>
  <si>
    <t>SRISHTI</t>
  </si>
  <si>
    <t>DAGAR</t>
  </si>
  <si>
    <t>Srishti Dagar</t>
  </si>
  <si>
    <t>DAGARSRISHTI9@GMAIL.COM</t>
  </si>
  <si>
    <t>ap21173@ms.nicmar.ac.in</t>
  </si>
  <si>
    <t>20-Jan-2022</t>
  </si>
  <si>
    <t>7091 2900 6315</t>
  </si>
  <si>
    <t>OM PRAKASH CHOUDHARY</t>
  </si>
  <si>
    <t>GULAB DEVI JAT</t>
  </si>
  <si>
    <t>WARD NO. 14, SARPANCH KI DHANI, CHEETHWARI, JAIPUR, CHOMU</t>
  </si>
  <si>
    <t>PLOT NO. 27, RAJSHREE VIHAR, MORIZA ROAD, CHOMU</t>
  </si>
  <si>
    <t>VIDYA GRAM INTERNATIONAL SCHOOL</t>
  </si>
  <si>
    <t>UNIVERSITY TEACHING DEPARTMENT, RAJASTHAN TECHNICAL UNIVERSITY</t>
  </si>
  <si>
    <t>UNIVERSITY TEACHING DEPARTMENT OF RAJASTHAN TECHNICAL UNIVERSITY KOTA | FINAL YEAR PROJECT ON DESIGNING OF STUDENT ACTIVITY CENTRE FOR RTU KOTA CAMPUS | KOTA  | Apr 2021 | Jul 2021 | 14 Weeks
INDIAN GREEN BUILDING COUNCIL | TRAINEE  | JAIPUR | May 2020 | Jul 2020 | 8 Weeks
PURE VALUE FINANCIAL AND RESEARCH SOLUTIONS PVT LTD | ANALYST, VALUATION OF A STARTUP, FINANCIAL MODELLING, FINTECH RESEARCH, GAP ANALYSIS, FINANCIAL AND LEGAL DUE DILIGENCE,  PREPARING SPECIAL REPORTS AND OTHER RESEARCH SUPPORT | WORK FROM HOME | Apr 2022 | Jul 2022 | 13 Weeks</t>
  </si>
  <si>
    <t>AP21174</t>
  </si>
  <si>
    <t>VIDHYADHAR</t>
  </si>
  <si>
    <t>Pranjali Vidhyadhar Sankhe</t>
  </si>
  <si>
    <t>pranjali0100@gmail.com</t>
  </si>
  <si>
    <t>ap21174@ms.nicmar.ac.in</t>
  </si>
  <si>
    <t>17-Nov-1998</t>
  </si>
  <si>
    <t>2587 6169 3441</t>
  </si>
  <si>
    <t>VIDHYADHAR DEVRAO SANKHE</t>
  </si>
  <si>
    <t>EX GOVERNMENT AUDITOR</t>
  </si>
  <si>
    <t>SUSHAMA VIDHYADHAR SANKHE</t>
  </si>
  <si>
    <t>B-202, M.V. SUPER MARKET KACHERI ROAD NEAR PANCHBATTI</t>
  </si>
  <si>
    <t>R P WAGH COLLEGE OF SCIENCE</t>
  </si>
  <si>
    <t>ST JOHN COLLEGE OF ENGINEERING AND MANAGEMENT</t>
  </si>
  <si>
    <t>GREEN ECOMES SOLUTIONS PRIVATE LIMITED | DEVELOPING 3D REVIT BUILDING MODELS AS A BIM INTERN, DELEGATING AND REVIEWING WORK BEING DONE BY THE BIM PROFESSIONALS, MAINTAINING AND UPDATING CONTRACT DRAWINGS, WRITING BLOG POST FOR THE COMPANY. | WORK FROM HOME | May 2022 | Jul 2022 | 8 Weeks</t>
  </si>
  <si>
    <t>AP21175</t>
  </si>
  <si>
    <t>Shubham Prakash Sankhe</t>
  </si>
  <si>
    <t>shubham.sannke@gmail.com</t>
  </si>
  <si>
    <t>ap21175@ms.nicmar.ac.in</t>
  </si>
  <si>
    <t>9817 2169 8726</t>
  </si>
  <si>
    <t>PRAKASH VITTHAL SANKHE</t>
  </si>
  <si>
    <t>PRANALI PRAKASH SANKHE</t>
  </si>
  <si>
    <t>YASHODEEP BUNGALOW,  ADARSHA NAGAR, NEAR SAI SERVICE, PALGHAR WEST</t>
  </si>
  <si>
    <t>ANAND ASHRAM ENGLISH HIGH SCHOOL PALGHAR</t>
  </si>
  <si>
    <t>DOONGARSEE GANJI RUPAREL COLLEGE OF ARTS, SCIENCE AND COMMERCE</t>
  </si>
  <si>
    <t>ST.JOHN COLLEGE OF ENGINEERING AND MANAGEMENT</t>
  </si>
  <si>
    <t>DONGRE PROJECT MANAGEMENT CONSULTANTS PRIVATE LIMITED | MONITORING AND CONDUCTING ON-SITE INVESTIGATIONS, MAINTAINING DAILY PROJECT REPORTS (DPR), ASSISTED SENIOR PLANNING ENGINEER IN THE PLANNING OF THE PROJECT AS A TRAINEE, DOCUMENTATION OF THE PROJECT. |  BANDRA, MUMBAI | Apr 2022 | Jun 2022 | 8 Weeks</t>
  </si>
  <si>
    <t>AP21176</t>
  </si>
  <si>
    <t>KHILLARI</t>
  </si>
  <si>
    <t>Pratik Devram Khillari</t>
  </si>
  <si>
    <t>pratikkhillari101@gmail.com</t>
  </si>
  <si>
    <t>ap21176@ms.nicmar.ac.in</t>
  </si>
  <si>
    <t>05-Dec-1996</t>
  </si>
  <si>
    <t>6904 5781 7187</t>
  </si>
  <si>
    <t>DEVRAM MAHADU KHILLARI</t>
  </si>
  <si>
    <t>SUMITRA DEVRAM KHILLARI</t>
  </si>
  <si>
    <t>003, NEW AMBER CHS, OLD DOMBIVLI, GIRIJAMATA MANDIR</t>
  </si>
  <si>
    <t>S H JONDHALE VIDYAMANDIR</t>
  </si>
  <si>
    <t>S H JONDHALE POLYTECHNIC</t>
  </si>
  <si>
    <t>AARYAN STRUCTCON PVT LTD | Project Coordination | Mumbai | Jul 2019 | Feb 2020 | 0 Years, 7 Months, 17 Days | 1.8
L&amp;T STEC JV | Construction | Mumbai | Mar 2020 | Aug 2021 | 1 Years, 5 Months, 29 Days | 3.28
AARYAN STRUCTCON PVT LTD | Project Coordination | Mumbai | Jul 2019 | Feb 2020 | 0 Years, 7 Months, 17 Days | 1.8
L&amp;T STEC JV | Construction | Mumbai | Mar 2020 | Aug 2021 | 1 Years, 5 Months, 29 Days | 3.28</t>
  </si>
  <si>
    <t>GEM ENGSERV PVT LTD | PROJECT PLANNING | MUMBAI/PUNE | Apr 2022 | Jul 2022 | 13 Weeks</t>
  </si>
  <si>
    <t>AP21177</t>
  </si>
  <si>
    <t>DIVAM</t>
  </si>
  <si>
    <t>Tatiya Divam Vinod</t>
  </si>
  <si>
    <t>DIVAMTATIYA333@GMAIL.COM</t>
  </si>
  <si>
    <t>ap21177@ms.nicmar.ac.in</t>
  </si>
  <si>
    <t>5461 6172 8579</t>
  </si>
  <si>
    <t>VINOD PREMCHAND TATIYA</t>
  </si>
  <si>
    <t>KAVITA VINOD TATIYA</t>
  </si>
  <si>
    <t>VIMAL-PREM, VIMAL PLAZA, NEAR CHANDRAKANT MANGALKARYLAY, DHULE-SAKRI ROAD, SAKRI.</t>
  </si>
  <si>
    <t>Sakri</t>
  </si>
  <si>
    <t>VIMAL PREM, FLOOR-1, VIMAL-PLAZA, NEAR CHANDRAKANT MANGALKARYALAY, SAKRI</t>
  </si>
  <si>
    <t>HON. SHARAD PAWAR PUBLIC SCHOOL,KALWAN</t>
  </si>
  <si>
    <t>LATE DEORAO SONU PATIL SECONDARY AND HIGHER SECONDARY SCHOOL, DAHIVEL</t>
  </si>
  <si>
    <t>2021-Jun-17</t>
  </si>
  <si>
    <t>GHV INDIA PRIVATE LIMITED | INTERN | FAGNE | Jun 2019 | Jun 2019 | 2 Weeks
SUNTECK REALTY | INTERN | MUMBAI | May 2022 | Jun 2022 | 7 Weeks</t>
  </si>
  <si>
    <t>AP21178</t>
  </si>
  <si>
    <t>J P</t>
  </si>
  <si>
    <t>Prajwal J P</t>
  </si>
  <si>
    <t>PRAJWALSHETTY5656@GMAIL.COM</t>
  </si>
  <si>
    <t>ap21178@ms.nicmar.ac.in</t>
  </si>
  <si>
    <t>ENGLISH,HINDI,KANNADA,TULU</t>
  </si>
  <si>
    <t>6458 4453 6719</t>
  </si>
  <si>
    <t>JAYA PRAKASH L</t>
  </si>
  <si>
    <t>SRI RUKMINI NILAYA ,LAMBANI HATTI ROAD,NEAR BHARATH PETROL BUNK,HOLALKERE</t>
  </si>
  <si>
    <t>Holalkere</t>
  </si>
  <si>
    <t>SANDEEPANI INTERNATIONAL RESIDENTIAL SCHOOL, HOLALKERE</t>
  </si>
  <si>
    <t>SRS PU COLLEGE,CHITRADURGA</t>
  </si>
  <si>
    <t>VISHVESVARAYA TECHNOLOGICAL UNIVERSITY,BELAGAVI</t>
  </si>
  <si>
    <t>T JOHN INSTITUTE OF TECHNOLOGY,BANGALORE</t>
  </si>
  <si>
    <t>VISHAL AND KHUSHAL DEVELOPERS | SITE ENGINEER, SITE EXECUTION | BANGALORE | Mar 2021 | Apr 2021 | 5 Weeks
MAHAVEER REDDY STRUCTURES PRIVATE LIMITED |  PROJECT CO-ORDINATION, QUALITY CONTROL, SITE EXECUTION | BANGALORE URBAN | Apr 2022 | Jun 2022 | 7 Weeks</t>
  </si>
  <si>
    <t>AP21179</t>
  </si>
  <si>
    <t>KANAMARLAPUDI</t>
  </si>
  <si>
    <t>VASISHTA</t>
  </si>
  <si>
    <t>Kanamarlapudi Sri Sai Vasishta</t>
  </si>
  <si>
    <t>VASI7813@GMAIL.COM</t>
  </si>
  <si>
    <t>ap21179@ms.nicmar.ac.in</t>
  </si>
  <si>
    <t>2382 0187 4532</t>
  </si>
  <si>
    <t>KANAMARLAPUDI NAGESWARA RAO</t>
  </si>
  <si>
    <t>KANAMARLAPUDI KANTHI REKHA</t>
  </si>
  <si>
    <t>C4, SUVARCHALA HEIGHTS, SECTOR 1 ROAD NO 2 LOTUS LANDMARK</t>
  </si>
  <si>
    <t>NALANDA VIDYA NIKETAN</t>
  </si>
  <si>
    <t>SRI BHASKARA PLANNERS | SITE EXECUTION | VIJAYAWADA | May 2019 | Jun 2019 | 3 Weeks
DESIGN PLUS ARCHITECTS | SITE SUPERVISION | VIJAYAWADA | Jan 2021 | Jul 2021 | 29 Weeks
ANUHAR HOMES PVT LTD | PROCESS DESIGNING &amp; DOCUMENTATION | HYDERABAD | Apr 2022 | Jul 2022 | 13 Weeks</t>
  </si>
  <si>
    <t>AP21180</t>
  </si>
  <si>
    <t>RUDRESH</t>
  </si>
  <si>
    <t>MALL</t>
  </si>
  <si>
    <t>Rudresh Mall</t>
  </si>
  <si>
    <t>MALL.RUDRESH@GMAIL.COM</t>
  </si>
  <si>
    <t>ap21180@ms.nicmar.ac.in</t>
  </si>
  <si>
    <t>31-Jul-1998</t>
  </si>
  <si>
    <t>6684 6697 2611</t>
  </si>
  <si>
    <t>AJAY MALL</t>
  </si>
  <si>
    <t>SANTOSH MALL</t>
  </si>
  <si>
    <t>D-3 KRISHNA GANGA APARTEMNT, CIVIL LINES</t>
  </si>
  <si>
    <t>2014-May-07</t>
  </si>
  <si>
    <t>SHRI MATHURADAS MOHOTA COLLEGE OF SCIENCE</t>
  </si>
  <si>
    <t>2016-Jul-01</t>
  </si>
  <si>
    <t>2017-Jan-21</t>
  </si>
  <si>
    <t>SRMIST, KTR</t>
  </si>
  <si>
    <t>SRM INSTITUTE OF SCIENCE AND TECHNOLOGY, KTR</t>
  </si>
  <si>
    <t>2017-Jul-13</t>
  </si>
  <si>
    <t>2021-Jun-23</t>
  </si>
  <si>
    <t>MALL CONSTRUCTIONS | SAFETY MANAGEMENT AT SITE | KALYANI NAGAR, PUNE, MAHARASHTRA  | May 2022 | Jul 2022 | 8 Weeks</t>
  </si>
  <si>
    <t>AP21181</t>
  </si>
  <si>
    <t>NIVENA</t>
  </si>
  <si>
    <t>Nivena Dubey</t>
  </si>
  <si>
    <t>nivenadubey@gmail.com</t>
  </si>
  <si>
    <t>ap21181@ms.nicmar.ac.in</t>
  </si>
  <si>
    <t>29-Mar-1996</t>
  </si>
  <si>
    <t>6422 3259 4042</t>
  </si>
  <si>
    <t>RAJESH DUBEY</t>
  </si>
  <si>
    <t>MADHU DUBEY</t>
  </si>
  <si>
    <t>H. NO. 1, SATYAM COLONY NEAR CTO BAIRAGARH</t>
  </si>
  <si>
    <t>HOLY FAMILY CONVENT SR SEC SECONDARY SCHOOL</t>
  </si>
  <si>
    <t>CENTRAL BOARD OF SECONDARY EDUCATION ,BHOPAL (M.P)</t>
  </si>
  <si>
    <t>SARDAR VALLABH POLYTECHNIC, COLLEGE BHOPAL (M.P)</t>
  </si>
  <si>
    <t>TRUBA INSTITUTE OF ENGG. AND INFORMATION TECHNOLOGY, BHOPAL</t>
  </si>
  <si>
    <t>CENTRAL PUBLIC WORK DEPARTMENT | INTERN | BHOPAL | Jan 2016 | Feb 2016 | 2 Weeks
WEST CENTRAL RAILWAYS | INTERN | BHOPAL | Jun 2018 | Jun 2018 | 2 Weeks
DILIP BUILDCON LIMITED | MANAGEMENT TRAINEE | BHOPAL | May 2022 | Jul 2022 | 9 Weeks</t>
  </si>
  <si>
    <t>AP21182</t>
  </si>
  <si>
    <t>A S Aswin</t>
  </si>
  <si>
    <t>ASWINSREEKUMAR2622@GMAIL.COM</t>
  </si>
  <si>
    <t>ap21182@ms.nicmar.ac.in</t>
  </si>
  <si>
    <t>02-Nov-1997</t>
  </si>
  <si>
    <t>7762 9868 6280</t>
  </si>
  <si>
    <t>R SREEKUMAR</t>
  </si>
  <si>
    <t>ASHA V</t>
  </si>
  <si>
    <t>SREEBHAVAN,NEAR INDIAN COFFEE HOUSE,THANDRAMPOYIKA,VENJARAMOODU P O</t>
  </si>
  <si>
    <t>SREE GOKULAM PUBLIC SCHOOL</t>
  </si>
  <si>
    <t>ST JOHNS HIGHER SECONDARY SCHOOL</t>
  </si>
  <si>
    <t>BOARD OF HIGHER SECONDARY EXAMINATION</t>
  </si>
  <si>
    <t>BAVA CONSTRUCTIONS | SITE EXECUTION | THIRUVANANTHAPURAM | Jun 2021 | Sep 2021 | 0 Years, 3 Months, 20 Days | 0.1
BAVA CONSTRUCTIONS | SITE EXECUTION | THIRUVANANTHAPURAM | Jun 2021 | Sep 2021 | 0 Years, 3 Months, 20 Days | 0.1</t>
  </si>
  <si>
    <t>UNIVERSAL CONSTRUCTIONS | CHECKING PLANS,DRAWINGS AND QUANTITIES FOR ACCURACY OF CALCULATION,ENSURING THAT ALL MATERIALS USED ARE AS PER SPECIFICATIONS,OBSERVING  HEALTH AND SAFETY STANDARDS | THIRUVANANTHAPURAM | Jul 2018 | Jul 2018 | 0 Weeks
NRC CONSTRUCTIONS | ENSURING SITE FACILITIES BEFORE THE WORK,PREPARING REPORTS ABOUT THE DAY TO DAY WORK,ASSISTED SUPERVISOR IN CONCRETE WORKS | THIRUVANANTHAPURAM | Sep 2021 | Dec 2021 | 12 Weeks
A ADVANI PROPERTIES LLP | TO COMPLETE REVIT STRUCTURAL DESIGN AND MEP DESIGN OF A COMMERCIAL HIGH RISE BUILDING | PUNE | Apr 2022 | Jun 2022 | 9 Weeks</t>
  </si>
  <si>
    <t>AP21183</t>
  </si>
  <si>
    <t>Satyam Arun</t>
  </si>
  <si>
    <t>SATYAMARUN349@GMAIL.COM</t>
  </si>
  <si>
    <t>ap21183@ms.nicmar.ac.in</t>
  </si>
  <si>
    <t>4643 8038 3768</t>
  </si>
  <si>
    <t>ARUN KUMAR</t>
  </si>
  <si>
    <t>SEEMA ARUN</t>
  </si>
  <si>
    <t>PRAGATI NIWAS, PRAGATI ENCLAVE, NEW ALKAPURI, BEHIND DPS SCHOOL, BYE PASS ROAD, DORANDA</t>
  </si>
  <si>
    <t>2502 TOWER 10, BLUE RIDGE, HINJEWADI, PHASE - 1,</t>
  </si>
  <si>
    <t>APOLLO INTERNATIONAL SCHOOL</t>
  </si>
  <si>
    <t>SWARAJAYA SENIOR SECONDRY SCHOOL</t>
  </si>
  <si>
    <t>THE CREATORS | 1.DEALING WITH GOVERNMENT CLIENTS. 2. MANAGING THE TEAM OF ESTIMATORS. 3. MEETING ALL THE SLA'S. 4. MANAGING ALL THE STAFF AND CLIENT RELATIONS. 5. PROOF CHECKING OF ALL THE WORKING DONE. | RANCHI | May 2021 | Jul 2021 | 12 Weeks
NAGARJUNA CONTRUCTION COMPANY | 1. FINAL QUALITY CHECK OF THE FLAT BEFORE HANDING OVER TO THE CLIENT. 2. SLAB CASTING 3. SUPERVISION ON DAY TO DAY ACTIVITIES OF LABOURS. | RANCHI | Jun 2019 | Jun 2019 | 3 Weeks
ICBHAI INDUSTRIES PRIVATE LIMITED | JUNIOR SITE ENGINEER | GURGAON (SOHNA) | May 2022 | Jul 2022 | 8 Weeks</t>
  </si>
  <si>
    <t>AP21184</t>
  </si>
  <si>
    <t>PRANIL</t>
  </si>
  <si>
    <t>CHILAP</t>
  </si>
  <si>
    <t>Pranil Dattatray Chilap</t>
  </si>
  <si>
    <t>PRANILCHILAP4316@GMAIL.COM</t>
  </si>
  <si>
    <t>ap21184@ms.nicmar.ac.in</t>
  </si>
  <si>
    <t>3258 3339 8571</t>
  </si>
  <si>
    <t>DATTATRAY BANDU CHILAP</t>
  </si>
  <si>
    <t>NAYANA DATTATRAY CHILAP</t>
  </si>
  <si>
    <t>INDIRA PLAZA 2ND FLOOR,SHANKARPURA PETH JUNNAR,TAL-JUNNAR</t>
  </si>
  <si>
    <t>SHRI ANANTRAO KULKARNI ENGLISH MEDIUM SCHOOL NARAYANGOAN</t>
  </si>
  <si>
    <t>JAIHIND POLYTECHNIC KURAN</t>
  </si>
  <si>
    <t>JAIHIND COLLEGE OF ENGINNERING KURAN</t>
  </si>
  <si>
    <t>AP21185</t>
  </si>
  <si>
    <t>PRIYANSHU</t>
  </si>
  <si>
    <t>Priyanshu Priyanshu</t>
  </si>
  <si>
    <t>kpriyanshu87@gmail.com</t>
  </si>
  <si>
    <t>ap21185@ms.nicmar.ac.in</t>
  </si>
  <si>
    <t>2936 5823 7961</t>
  </si>
  <si>
    <t>PRABHAT KUMAR ROY</t>
  </si>
  <si>
    <t>NEERU ROY</t>
  </si>
  <si>
    <t>RZF-762/28, STREET NO- 4, RAJ NAGAR, PART- 2, PALAM COLONY</t>
  </si>
  <si>
    <t>FLAT NO: 2502, TOWER 10 BLUE RIDGE _x000D_
HINJEWADI, PHASE 1</t>
  </si>
  <si>
    <t>S.T MARY'S SCHOOL</t>
  </si>
  <si>
    <t>NAGARJUNA CONSTRUCTION COMPANY | JUNIOR SITE ENGINEER | NGHC KHEL GAON, HOTWAR,RANCHI, JHARKHAND | Jun 2019 | Jun 2019 | 3 Weeks
ESTHETE DESIGNERS AND BUILDERS PVT LTD | PROJECT MANAGEMENT INTERN | BENGALURU, KARNATAKA | Apr 2022 | Jun 2022 | 7 Weeks</t>
  </si>
  <si>
    <t>AP21186</t>
  </si>
  <si>
    <t>RHITAM</t>
  </si>
  <si>
    <t>CHAKROBORTY</t>
  </si>
  <si>
    <t>Rhitam Chakroborty</t>
  </si>
  <si>
    <t>RHITAMCHAKROBORTY@GMAIL.COM</t>
  </si>
  <si>
    <t>ap21186@ms.nicmar.ac.in</t>
  </si>
  <si>
    <t>24-Sep-1999</t>
  </si>
  <si>
    <t>ENGLISH,BENGALI,HINDI</t>
  </si>
  <si>
    <t>3645 5913 6356</t>
  </si>
  <si>
    <t>ATANU CHAKROBORTY</t>
  </si>
  <si>
    <t>INDEPENDENT CONSULTANT</t>
  </si>
  <si>
    <t>SHARMISTHA CHAKROBORTY</t>
  </si>
  <si>
    <t>FLAT NO. 4, R-54/IV , BAISHNABGHATA PATULI TOWNSHIP , OPPOSITE TO SATYAJIT RAY PARK</t>
  </si>
  <si>
    <t>ROOM 622 , SILVER JUBILEE HOSTEL , NICMAR,PUNE</t>
  </si>
  <si>
    <t>WELLANDGOULDSMITH SCHOOL</t>
  </si>
  <si>
    <t>DELHI PUBLIC SCHOOL, RUBY PARK</t>
  </si>
  <si>
    <t>R.V. COLLEGE OF ENGINEERING</t>
  </si>
  <si>
    <t>AutoCAD,MS Office,MS Project,PIPE FLOW EXPERT , PYTHON, MS EXCEL, GIS</t>
  </si>
  <si>
    <t>SATPURA INFRACON PVT LTD | ESTIMATION AND MANAGEMENT TRAINEE | JABALPUR | Apr 2022 | Jun 2022 | 7 Weeks | Campus Internship
BIGCLOUT MEDIA LLP | WOKED AS A TRAINEE IN ANALYTICS | KOLKATA | May 2020 | Jul 2020 | 8 Weeks
ITDCEMJV | WAS A TRAINEE AT SITE | KOLKATA | Jun 2019 | Jun 2019 | 3 Weeks</t>
  </si>
  <si>
    <t>AP21187</t>
  </si>
  <si>
    <t>Shravan Shrenik Mehta</t>
  </si>
  <si>
    <t>SHRAVAN51197@GMAIL.COM</t>
  </si>
  <si>
    <t>ap21187@ms.nicmar.ac.in</t>
  </si>
  <si>
    <t>05-Nov-1997</t>
  </si>
  <si>
    <t>ENGLISH, HINDI,MARATHI,GUJRATI</t>
  </si>
  <si>
    <t>5206 8504 6169</t>
  </si>
  <si>
    <t>SHRENIK RASIKLAL MEHTA</t>
  </si>
  <si>
    <t>PRAGATI SHRENIK MEHTA</t>
  </si>
  <si>
    <t>409,SHANIWAR PETH MARKET YARD FLAT VASA PLAZA FLAT NO. 102</t>
  </si>
  <si>
    <t>BANER ROAD GOODLAND PG SERVICES BEHIND DOMINOS PIZZA</t>
  </si>
  <si>
    <t>KRISHNA SCHOOL AND JUNIOR COLLEGE</t>
  </si>
  <si>
    <t>SANJAY GHODAWAT POLYTECHNIC</t>
  </si>
  <si>
    <t>CRG Infratech Pvt. Ltd. | site execution | Sangli | Jan 2021 | Aug 2021 | 0 Years, 7 Months, 19 Days | 1.8
CRG Infratech Pvt. Ltd. | site execution | Sangli | Jan 2021 | Aug 2021 | 0 Years, 7 Months, 19 Days | 1.8</t>
  </si>
  <si>
    <t>ARIHANT CONSTRUCTIONS | SITE EXECUTION | PUNE | Dec 2018 | Dec 2018 | 2 Weeks
CHIRAYU CONSTRUCTION CONSULTANT | OFFICE WORK | SOLAPUR | Jun 2019 | Jun 2019 | 2 Weeks
AFCONS INFRASTRUCTURE LIMITED | SITE EXECUTION AND PLANNING  | MOKAMA, PATNA, BIHAR TV | May 2022 | Jul 2022 | 10 Weeks</t>
  </si>
  <si>
    <t>AP21188</t>
  </si>
  <si>
    <t>ABISHEKGANESH</t>
  </si>
  <si>
    <t>Abishekganesh B S</t>
  </si>
  <si>
    <t>ABISHEKGANESH801KING@GMAIL.COM</t>
  </si>
  <si>
    <t>ap21188@ms.nicmar.ac.in</t>
  </si>
  <si>
    <t>ENGLISH,TAMIL.</t>
  </si>
  <si>
    <t>3387 7138 4497</t>
  </si>
  <si>
    <t>BALASUBRAMANIAN</t>
  </si>
  <si>
    <t>CIVIL PROJECT MANAGER</t>
  </si>
  <si>
    <t>CHITHRA</t>
  </si>
  <si>
    <t>PLOT NO.168, 1ST EAST STREET,UDAYA NAGAR EXTN, NGO B COLONY, PALAYAMKOTTAI</t>
  </si>
  <si>
    <t>Tirunelveli</t>
  </si>
  <si>
    <t>ROSE MARY MATRIC HIGHER SECONDARY SCHOOL</t>
  </si>
  <si>
    <t>TAMILNADU STATE BOARD OF SCHOOL EDUCATION</t>
  </si>
  <si>
    <t>KINGS MATRIC HIGHER SECONDARY SCHOOL</t>
  </si>
  <si>
    <t>ANNA UNIVERCITY CHENNAI</t>
  </si>
  <si>
    <t>VELAMMAL COLLEGE OF ENGINEERING AND TECHNOLOGY</t>
  </si>
  <si>
    <t>S K CONSTRUCTION | SITE SUPERVISING AND PROJECT EXECUTION | TIRUNELVELI | Sep 2020 | Sep 2022 | 108 Weeks
LARSEN AND TOUBRO LIMITED CONSTRUCTION | UNDERSTAND THE PROJECT SPECIFICATION, SCOPE OF WORK, AND SITE EXECUTION. | CHENNAI | Nov 2019 | Dec 2019 | 1 Weeks
PACIFICA COMPANIES | PLANNING, MONITORING &amp; QUANTITY SURVEY DEPARTMENT  | CHENNAI | Apr 2022 | Jul 2022 | 12 Weeks</t>
  </si>
  <si>
    <t>AP21189</t>
  </si>
  <si>
    <t>GOPANI</t>
  </si>
  <si>
    <t>BIREN</t>
  </si>
  <si>
    <t>Gopani Harsh Biren</t>
  </si>
  <si>
    <t>HARSHGOPANI78@GMAIL.COM</t>
  </si>
  <si>
    <t>ap21189@ms.nicmar.ac.in</t>
  </si>
  <si>
    <t>GUJARATI, ENGLISH, HINDI</t>
  </si>
  <si>
    <t>8175 9671 8213</t>
  </si>
  <si>
    <t>BIREN SHARADCHANDRA GOPANI</t>
  </si>
  <si>
    <t>SONAL BIREN GOPANI</t>
  </si>
  <si>
    <t>16, RAJHANS APPARTMENT, AMBAWADI, NEAR HIRABAG RAILWAY CROSSING</t>
  </si>
  <si>
    <t>SHETH CHIMANLAL NAGINDAS VIDYALAYA</t>
  </si>
  <si>
    <t>2013-Jun-01</t>
  </si>
  <si>
    <t>2014-Mar-31</t>
  </si>
  <si>
    <t>2015-Jun-01</t>
  </si>
  <si>
    <t>2016-Apr-30</t>
  </si>
  <si>
    <t>GANDHINAGAR INSTITUTE OF TECHNOLOGY, GANDHINAGAR, GUJARAT</t>
  </si>
  <si>
    <t>2016-Aug-04</t>
  </si>
  <si>
    <t>2020-Aug-19</t>
  </si>
  <si>
    <t>BHAVNA PROPERTY DEVELOPERS LTD | SITE EXECUTION | GANDHINAGAR | Jun 2020 | Aug 2021 | 1 Years, 2 Months, 30 Days | 3.6
BHAVNA PROPERTY DEVELOPERS LTD | SITE EXECUTION | GANDHINAGAR | Jun 2020 | Aug 2021 | 1 Years, 2 Months, 30 Days | 3.6</t>
  </si>
  <si>
    <t>RELIANCE INDUSTRIES LIMITED | PROJECT CONTROL ( PROJECT PLANNING AND SCHEDULING; PROJECT COST ESTIMATING AND CONTROLLING) | NAVI MUMBAI (WFH)  | Apr 2022 | Jun 2022 | 8 Weeks</t>
  </si>
  <si>
    <t>AP21190</t>
  </si>
  <si>
    <t>RAMAKISHOR</t>
  </si>
  <si>
    <t>MALAPANI</t>
  </si>
  <si>
    <t>Bharat Ramakishor Malapani</t>
  </si>
  <si>
    <t>BHARATHMALPANI@GMAIL.COM</t>
  </si>
  <si>
    <t>ap21190@ms.nicmar.ac.in</t>
  </si>
  <si>
    <t>17-Apr-1996</t>
  </si>
  <si>
    <t>ENGLISH,HINDI,KANNADA,MARWADI.</t>
  </si>
  <si>
    <t>7810 1376 5579</t>
  </si>
  <si>
    <t>LALITA</t>
  </si>
  <si>
    <t>GOVARDHANLALJI MALPANI,SARAF BAZARA,NEAR RATHI MEDICAL.</t>
  </si>
  <si>
    <t>Guledgudda</t>
  </si>
  <si>
    <t>RATHI AND KAVADE ENGLISH MEDIUM SCHOOL</t>
  </si>
  <si>
    <t>VAGDEVI PU SCIENCE COLLEGE</t>
  </si>
  <si>
    <t>AMBIANT ASSOCIATES ARCHITECTS &amp; INTERIOR | SITE EXECUTION | BANGALORE | May 2018 | Jan 2020 | 1 Years, 8 Months, 16 Days | 1.86
BRICKANDBOLT | SITE EXECUTION,SITE PLANNING,QUANTITYANDESTIMATION,MATERIAL PLANNING | BANGALORE | Feb 2020 | May 2021 | 1 Years, 3 Months, 29 Days | 2.71
AMBIANT ASSOCIATES ARCHITECTS &amp; INTERIOR | SITE EXECUTION | BANGALORE | May 2018 | Jan 2020 | 1 Years, 8 Months, 16 Days | 1.86
BRICKANDBOLT | SITE EXECUTION,SITE PLANNING,QUANTITYANDESTIMATION,MATERIAL PLANNING | BANGALORE | Feb 2020 | May 2021 | 1 Years, 3 Months, 29 Days | 2.71</t>
  </si>
  <si>
    <t>ELEGANT CONSTRUCTION | TRAINEE SITE ENGINEER AND SITE PLANNING,MATERIAL MANAGEMENT,LABOUR MANAGEMENT | BANGALORE | May 2017 | Jul 2017 | 6 Weeks
JC VALUERS AND ADVISORS PVT LTD | ROLE: VALUATION INTERN &amp; RESPONSIBILITIES: DOCUMENTS COLLECTION, CHECKING SANCTION PLANS AND PREPARING REPORT. SITE VISIT ETC. | PUNE | Apr 2022 | Jun 2022 | 8 Weeks</t>
  </si>
  <si>
    <t>AP21191</t>
  </si>
  <si>
    <t>Satyam Govind Salunke</t>
  </si>
  <si>
    <t>satyamsalunke43@gmail.com</t>
  </si>
  <si>
    <t>ap21191@ms.nicmar.ac.in</t>
  </si>
  <si>
    <t>02-Mar-1998</t>
  </si>
  <si>
    <t>5422 2731 9316</t>
  </si>
  <si>
    <t>GOVIND VASANT SALUNKE</t>
  </si>
  <si>
    <t>PROFFESOR</t>
  </si>
  <si>
    <t>KIRTI GOVIND SALUNKE</t>
  </si>
  <si>
    <t>HEADMASTRESS</t>
  </si>
  <si>
    <t>SAMARTH NIWAS,SHIVAJI NAGAR,BARSHI ROAD,BEED</t>
  </si>
  <si>
    <t>SANSKAR VIDYALAYA,BEED</t>
  </si>
  <si>
    <t>SHRI GAJANAN JUNIOR COLLEGE,RAJURI N,BEED</t>
  </si>
  <si>
    <t>DR. D Y PATIL INSTITUTE OF TECHNOLOGY PUNE</t>
  </si>
  <si>
    <t>NIRMITI ASSOCIATES | PLANNING, DESIGNING, SUPERVISION | BEED, MAHARASHTRA | Jun 2020 | Dec 2020 | 27 Weeks
HOMOESPHERE | FINANCIAL ADVISOR | GURGAON/WFH | May 2022 | Jul 2022 | 8 Weeks</t>
  </si>
  <si>
    <t>AP21192</t>
  </si>
  <si>
    <t>PODDAR</t>
  </si>
  <si>
    <t>Ritwik Poddar</t>
  </si>
  <si>
    <t>ritwikpoddar123@gmail.com</t>
  </si>
  <si>
    <t>ap21192@ms.nicmar.ac.in</t>
  </si>
  <si>
    <t>2929 3658 5109</t>
  </si>
  <si>
    <t>RAJESH PODDAR</t>
  </si>
  <si>
    <t>APARNA PODDAR</t>
  </si>
  <si>
    <t>NILABH NILAYAM, 1ST FLOOR, DALAIPARA, KADAMGALI</t>
  </si>
  <si>
    <t>ST. JOSEPH'S CONVENT HIGHER SECONDARY SCHOOL</t>
  </si>
  <si>
    <t>COUNCIL FOR THE INDIAN SCHOOL CERTIFICATE EXAMINATION SAMBALPUR</t>
  </si>
  <si>
    <t>CENTRAL BOARD OF SECONDARY EDUCATION VISAKHAPATNAM</t>
  </si>
  <si>
    <t>ROADS AND BUILDINGS GOVERNMENT OF ODISHA WORKS DEPARTMENT | SITE EXECUTION | ODIASHA | Jun 2019 | Jul 2019 | 4 Weeks
LARSEN AND TOUBRO | SITE EXECUTION | ODISHA | May 2019 | Jun 2019 | 2 Weeks
HOWL INDIA | MARKETING ACTIVITIES, MAKE CALLINGS | PUNE | Apr 2022 | Jun 2022 | 7 Weeks</t>
  </si>
  <si>
    <t>AP21193</t>
  </si>
  <si>
    <t>DUDDALWAR</t>
  </si>
  <si>
    <t>Sanika Duddalwar</t>
  </si>
  <si>
    <t>SANIKADUDDALWAR@GMAIL.COM</t>
  </si>
  <si>
    <t>ap21193@ms.nicmar.ac.in</t>
  </si>
  <si>
    <t>8355 5814 3995</t>
  </si>
  <si>
    <t>SUDHIR MADHAVRAO DUDDALWAR</t>
  </si>
  <si>
    <t>NEETA SUDHIR DUDDALWAR</t>
  </si>
  <si>
    <t>21,MOUNT CASTLE,HINDUSTAN COLONY,AMRVATI ROAD</t>
  </si>
  <si>
    <t>BHARTIYA VIDYA BHAVAN</t>
  </si>
  <si>
    <t>NUTAN BHARAT SCHOOL AND JUNIOR COLLEGE</t>
  </si>
  <si>
    <t>SMT MANORAMABAI MUNDLE COLLEGE OF ARCHITECTURE NAGPUR</t>
  </si>
  <si>
    <t>AutoCAD,REVIT,SKETCHUP</t>
  </si>
  <si>
    <t>DESIGN CELL | INTERN  | NAGPUR | Jan 2020 | Mar 2020 | 12 Weeks
ACORP CONSULTANTS | PROCUREMENT AND PROJECT COORDINATION | BANGLORE | Apr 2022 | Jun 2022 | 9 Weeks</t>
  </si>
  <si>
    <t>AP21194</t>
  </si>
  <si>
    <t>MIMANSA</t>
  </si>
  <si>
    <t>BANCHHOR</t>
  </si>
  <si>
    <t>Mimansa Banchhor</t>
  </si>
  <si>
    <t>MIMANSABANCHHOR1998@GMAIL.COM</t>
  </si>
  <si>
    <t>ap21194@ms.nicmar.ac.in</t>
  </si>
  <si>
    <t>3753 7739 5234</t>
  </si>
  <si>
    <t>ARVIND KUMAR BANCHHOR</t>
  </si>
  <si>
    <t>KIRAN BANCHHOR</t>
  </si>
  <si>
    <t>H. NO. 4/C, STREET-29, SECTOR-5,BHILAI,DURG,CG</t>
  </si>
  <si>
    <t>QR NO.- 4/C, STREET-29,SECTOR-5,BHILAI NAGAR,DURG,CG</t>
  </si>
  <si>
    <t>ENGLISH MEDIUM SENIOR SECONDARY SCHOOL SECTOR IV</t>
  </si>
  <si>
    <t>BSP SENIOR SECONDARY SCHOOL SECTOR-VII</t>
  </si>
  <si>
    <t>SHRI SHANKARACHARYA GROUP OF INSTITUTIONS</t>
  </si>
  <si>
    <t>AutoCAD,MS Office,MS Project,C, C++, CIVIL 3D, REVIT, STAAD PRO</t>
  </si>
  <si>
    <t>KUNAL BUILDERS | JUNIOR PROJECT MANAGER | BHILAI, CHHATTISGARH | Oct 2020 | Jan 2021 | 13 Weeks
WATER SUPPLY MUNICIPAL CORPORATION | SUMMER INTERN | BHILAI, CHHATTISGARH | Jun 2019 | Jul 2019 | 4 Weeks
KNIGHT FRANK INDIA PVT LTD | ASSOCIATE CONSULTANT INTERN | PRABHADEVI, MUMBAI | May 2022 | Jun 2022 | 8 Weeks</t>
  </si>
  <si>
    <t>AP21195</t>
  </si>
  <si>
    <t>Aryan Aryan</t>
  </si>
  <si>
    <t>aaryankashyap38@gmail.com</t>
  </si>
  <si>
    <t>ap21195@ms.nicmar.ac.in</t>
  </si>
  <si>
    <t>6292 5890 9624</t>
  </si>
  <si>
    <t>RAM PRAVESH KUMAR</t>
  </si>
  <si>
    <t>REENA SINGH</t>
  </si>
  <si>
    <t>Flat No 3A, B-block, Sita Niket Apartment, Dam Side Road, Kanke Road</t>
  </si>
  <si>
    <t>CBSE, JHARKHAND</t>
  </si>
  <si>
    <t>MAHARANI GEETA PRABHAT S/S(+2) SCHOOL</t>
  </si>
  <si>
    <t>BIHAR SCHOOL EXAMINATION BOARD, BIHAR</t>
  </si>
  <si>
    <t>AutoCAD,MS Office,MS Project,@RISK</t>
  </si>
  <si>
    <t>HARIOM BUILDERS | TRAINEE SITE ENGINEER  | RASAYANI, RAIGAD | Apr 2022 | Jul 2022 | 9 Weeks | Campus Internship</t>
  </si>
  <si>
    <t>AP21196</t>
  </si>
  <si>
    <t>ROMPALLY</t>
  </si>
  <si>
    <t>Rompally Ram Reddy</t>
  </si>
  <si>
    <t>RRAMREDDY666@GMAIL.COM</t>
  </si>
  <si>
    <t>ap21196@ms.nicmar.ac.in</t>
  </si>
  <si>
    <t>08-Jan-1998</t>
  </si>
  <si>
    <t>7552 4547 1672</t>
  </si>
  <si>
    <t>ROMPALLY DASHARATH REDDY</t>
  </si>
  <si>
    <t>ROMPALLY SRIDEVI</t>
  </si>
  <si>
    <t>H.NO-1/11/1,NEAR HANUMAN TEMPLE , CHENNARAM VILLAGE, YALAL MANDAL</t>
  </si>
  <si>
    <t>Tandur</t>
  </si>
  <si>
    <t>Amarpur</t>
  </si>
  <si>
    <t>SRI KRISHNAVENI TALENT SCHOOL</t>
  </si>
  <si>
    <t>SIDDHARTHA JUNIOR COLLEGE</t>
  </si>
  <si>
    <t>JAWAHARLAL NEHRU TECHNOLOGICAL UNIVERCITY HYDERABAD</t>
  </si>
  <si>
    <t>BHARATH INSTITUTE OF ENGINEERING AND TECHNOLOGY</t>
  </si>
  <si>
    <t>PALAMURU RANGA REDDY LIFT IRRIGATION | SITE EXECUTION | KOLLAPUR, NAGARKURNOOL DISTRICT, TELANGANA | Jun 2019 | Jul 2019 | 4 Weeks
RAMI REDDY CONSTRUCTION | SITE EXECUTION AND CONTROL DEPARTMENT | ATTAPUR, HYDERABAD. | Apr 2022 | Jun 2022 | 8 Weeks</t>
  </si>
  <si>
    <t>AP21197</t>
  </si>
  <si>
    <t>KHUSHBU</t>
  </si>
  <si>
    <t>Khushbu Sanjiv Shah</t>
  </si>
  <si>
    <t>KHUSHBUSHAH.15.1999@GMAIL.COM</t>
  </si>
  <si>
    <t>ap21197@ms.nicmar.ac.in</t>
  </si>
  <si>
    <t>ENGLISH, HINDI, MARATHI, KUTCHI</t>
  </si>
  <si>
    <t>8594 2965 8936</t>
  </si>
  <si>
    <t>SANJIV JADAVJI SHAH</t>
  </si>
  <si>
    <t>CONTRACTING AND CONSULTANCY IN CONSTRUCTION</t>
  </si>
  <si>
    <t>MANJRI SANJIV SHAH</t>
  </si>
  <si>
    <t>ELECTRICAL DISTRIBUTOR</t>
  </si>
  <si>
    <t>441/3 SHANIWAR PETH, BEHIND PURANIK HOSPITAL</t>
  </si>
  <si>
    <t>Karad</t>
  </si>
  <si>
    <t>RAJARAMBAPU INSTITUTE OF TECHNOLOGY</t>
  </si>
  <si>
    <t>AutoCAD,MS Office,MS Project,Primavera,CONTRACT AND CLAIMS MANAGEMENT. PLANNING  AND SCHEDULING. ADVANCE EXCEL. POWER BI.</t>
  </si>
  <si>
    <t>PATIL SHAH HOUSING COMPANY | SITE INSPECTION AND SUPERVISION | NASHIK | Mar 2021 | Aug 2021 | 0 Years, 4 Months, 22 Days | 0.07
DIMENSION CONSTRUCTION | SITE INSPECTION AND SUPERVISION | Karad | Nov 2020 | Jan 2021 | 0 Years, 2 Months, 30 Days | 0.1
PATIL SHAH HOUSING COMPANY | SITE INSPECTION AND SUPERVISION | NASHIK | Mar 2021 | Aug 2021 | 0 Years, 4 Months, 22 Days | 0.07
DIMENSION CONSTRUCTION | SITE INSPECTION AND SUPERVISION | Karad | Nov 2020 | Jan 2021 | 0 Years, 2 Months, 30 Days | 0.1</t>
  </si>
  <si>
    <t>MASIN PROJECTS PRIVATE LIMITED | TRAINEE | GURGAON | Apr 2022 | Jul 2022 | 12 Weeks | Campus Internship
SHREE KAMAL DEVELOPERS | SITE INSPECTION AND SUPERVISION | PUNE | Dec 2018 | Dec 2018 | 4 Weeks
AJIT GIJARE AND ASSOCIATES | JUNIOR DESIGNER FOR RCC AND STEEL STRUCTURES | PUNE | Dec 2019 | May 2021 | 75 Weeks</t>
  </si>
  <si>
    <t>AP21198</t>
  </si>
  <si>
    <t>Abhishek Goyal</t>
  </si>
  <si>
    <t>GOYALABHI141999@OUTLOOK.COM</t>
  </si>
  <si>
    <t>ap21198@ms.nicmar.ac.in</t>
  </si>
  <si>
    <t>6418 0477 5627</t>
  </si>
  <si>
    <t>MAHESH KUMAR GOYAL</t>
  </si>
  <si>
    <t>SUNITA GOYAL</t>
  </si>
  <si>
    <t>JUDGE</t>
  </si>
  <si>
    <t>WARD NO. 31, NAYA PANNA NAKA, CHATRASAL NAGAR</t>
  </si>
  <si>
    <t>JUDGE COLONY , NEAR COLLECTORATE , JHANSI ROAD</t>
  </si>
  <si>
    <t>Tikamgarh</t>
  </si>
  <si>
    <t>VIJAY ADHUNIK VIDALAYA</t>
  </si>
  <si>
    <t>RAJIV GANDHI PROUDYOGIKI VISHWAVIDALAYA BHOPAL</t>
  </si>
  <si>
    <t>LAKSHMI NARAIN COLLEGE OF TECHNOLOGY AND SCIENCE</t>
  </si>
  <si>
    <t>SUNTECK REALTY LTD | INTERN SITE ENGINEER | MUMBAI | May 2022 | Jun 2022 | 7 Weeks
SOFTCAD AUTOMATION LLP BHOPAL ONLINE MODE | SOFTWARE TRAINEE | ONLINE | May 2020 | Jun 2020 | 6 Weeks
MP RURAL ROAD DEVELOPMENT AUTHORITY CHHATARPUR | INTERN SITE ENGINEER | CHHATARPUR | Jan 2019 | Jan 2019 | 2 Weeks</t>
  </si>
  <si>
    <t>AP21199</t>
  </si>
  <si>
    <t>SHENDARKAR</t>
  </si>
  <si>
    <t>KALIDAS</t>
  </si>
  <si>
    <t>Shendarkar Ajinkya Kalidas</t>
  </si>
  <si>
    <t>ajinkyashendarkar7@gmail.com</t>
  </si>
  <si>
    <t>ap21199@ms.nicmar.ac.in</t>
  </si>
  <si>
    <t>15-Aug-1997</t>
  </si>
  <si>
    <t>6476 8388 6339</t>
  </si>
  <si>
    <t>KALIDAS VISHWANATH SHENDARKAR</t>
  </si>
  <si>
    <t>SAVITA KALIDAS SHENDARKAR</t>
  </si>
  <si>
    <t>1-9-1163 SWATANTRA SAINIK COLONY,NEAR SHOBHA NAGAR</t>
  </si>
  <si>
    <t>DHANAKWADI ,PUNE</t>
  </si>
  <si>
    <t>UNIVERSAL ENGLISH MEDIUM SCHOOL</t>
  </si>
  <si>
    <t>KUSUMTAI HIGH SCHOOL</t>
  </si>
  <si>
    <t>SINHGAD INSTITUTE OF TECHNOLOGY AND SCIENCE,NARHE AMBEGAON</t>
  </si>
  <si>
    <t>AutoCAD,MS Office,MS Project,Primavera,FINANCIAL MODELLING , VALUATION (DCF,ETC)</t>
  </si>
  <si>
    <t>MILLENNIUM ENGINEERS AND CONTRACTORS |  INTERN | PUNE | Dec 2018 | Jan 2019 | 2 Weeks
VARDHAN CONSULTING ENGINEERS | FINANCE INTERN (FINANCIAL MODELLING AND ANALYSIS) | REMOTE | Jul 2022 | Jul 2022 | 4 Weeks
L  ONE SUPPLY NETWORKS PRIVATE LIMITED | STRATEGIC,BUSINESS DEVELOPMENT AND DATA ANALYTICS | HYDERABAD | Apr 2022 | Jun 2022 | 9 Weeks</t>
  </si>
  <si>
    <t>AP21200</t>
  </si>
  <si>
    <t>SUNAND</t>
  </si>
  <si>
    <t>Sunand Mahajan</t>
  </si>
  <si>
    <t>sunandmahajan00@gmail.com</t>
  </si>
  <si>
    <t>ap21200@ms.nicmar.ac.in</t>
  </si>
  <si>
    <t>23-Jun-1997</t>
  </si>
  <si>
    <t>8671 4877 0821</t>
  </si>
  <si>
    <t>RAJEEV KUMAR</t>
  </si>
  <si>
    <t>LATE RAMA RANI</t>
  </si>
  <si>
    <t>LECTURAR</t>
  </si>
  <si>
    <t>H. NO.298, C/O MAHAJAN FLOUR MILL, DHAKKI, NEAR AIRFORCE STATION</t>
  </si>
  <si>
    <t>Pathankot</t>
  </si>
  <si>
    <t>CHRIST THE KING CONVENT SCHOOL</t>
  </si>
  <si>
    <t>BHAVANS S.L. PUBLIC SCHOOL</t>
  </si>
  <si>
    <t>CENTRAL BOARD FOR SECONDARY EDUCATION</t>
  </si>
  <si>
    <t>AB CONSULTANTS | INTERN | PATNA | Sep 2019 | Nov 2019 | 10 Weeks
SAVIOUR SYSTEMS CONSULTANTS | INTERN | MOHALI | Jul 2019 | Sep 2019 | 10 Weeks
AMALGUS | PROJECT CORDINATION, BUSINESS DEVELOPEMENT | SURAT | Apr 2022 | Jul 2022 | 9 Weeks</t>
  </si>
  <si>
    <t>AP21201</t>
  </si>
  <si>
    <t>JOANNE</t>
  </si>
  <si>
    <t>JULIET</t>
  </si>
  <si>
    <t>Joanne Juliet George</t>
  </si>
  <si>
    <t>joannejuliet21@gmail.com</t>
  </si>
  <si>
    <t>ap21201@ms.nicmar.ac.in</t>
  </si>
  <si>
    <t>21-Feb-1999</t>
  </si>
  <si>
    <t>4090 1398 6565</t>
  </si>
  <si>
    <t>DR GEORGE MATHEW</t>
  </si>
  <si>
    <t>RANI J JOHN</t>
  </si>
  <si>
    <t>NELLICKAL ,KUTTAPUZHA P.O , THIRUVALLA</t>
  </si>
  <si>
    <t>BELIEVERS CHURCH RESIDENTIAL SCHOOL</t>
  </si>
  <si>
    <t>CHRIST CENTRAL SCHOOL</t>
  </si>
  <si>
    <t>CADD CENTRE | COURSE ON AUTOCAD FOR ARCHITECTS AND CIVIL ENGINEERS WAS COMPLETED | THIRUVALLA,PATHANAMTHITTA,KERALA | Jun 2018 | Jul 2018 | 4 Weeks
CONVENIENT CONSTRUCTION CONSULTANCY PVT LTD | EXECUTION INTERN (SITE EXECUTION AND PROJECT MANAGEMENT)  | BANGALORE | Apr 2022 | Jul 2022 | 12 Weeks</t>
  </si>
  <si>
    <t>AP21202</t>
  </si>
  <si>
    <t>Sayali Sharma</t>
  </si>
  <si>
    <t>sayalisharma68@gmail.com</t>
  </si>
  <si>
    <t>ap21202@ms.nicmar.ac.in</t>
  </si>
  <si>
    <t>13-Sep-1995</t>
  </si>
  <si>
    <t>6151 4764 9146</t>
  </si>
  <si>
    <t>DEONARAYAN SHARMA</t>
  </si>
  <si>
    <t>VASU CONSULTANT CIVIL ENGINEER</t>
  </si>
  <si>
    <t>NEELU SHARMA</t>
  </si>
  <si>
    <t>YOGA TRAINER</t>
  </si>
  <si>
    <t>35/96,BRAHMAN PARA AZAD CHOWK</t>
  </si>
  <si>
    <t>LALAJI MEMEORIAL OMEGA INTERNATIONAL SCHOOL</t>
  </si>
  <si>
    <t>AutoCAD,MS Office,MS Project,PHOTOSHOP</t>
  </si>
  <si>
    <t>Pilliwar &amp; Associates | Junior Architect  | Raipur | Oct 2019 | Dec 2020 | 1 Years, 2 Months, 20 Days | 1.8
Pilliwar &amp; Associates | Junior Architect  | Raipur | Oct 2019 | Dec 2020 | 1 Years, 2 Months, 20 Days | 1.8</t>
  </si>
  <si>
    <t>NZ ASSOCIATES | INTERN  | NAGPUR | Jul 2018 | Nov 2018 | 19 Weeks
VISION INFRA CREATIONS PVT LTD | INTERN  | AHMEDABAD  | Jan 2019 | Jul 2019 | 25 Weeks
ECOFIRST SERVICE LIMITED | BUSINESS DEVELOPMENT, MARKETING AND BRANDING   | MUMBAI  | Apr 2022 | Jul 2022 | 13 Weeks</t>
  </si>
  <si>
    <t>AP21203</t>
  </si>
  <si>
    <t>VEERANNA</t>
  </si>
  <si>
    <t>PETEMANI</t>
  </si>
  <si>
    <t>Pooja Veeranna Petemani</t>
  </si>
  <si>
    <t>poojaapte9@gmail.com</t>
  </si>
  <si>
    <t>AP21203@ms.nicmar.ac.in</t>
  </si>
  <si>
    <t>23-Dec-1995</t>
  </si>
  <si>
    <t>ENGLISH , HINDI,MARATHI AND KANNADA</t>
  </si>
  <si>
    <t>2395 5145 0941</t>
  </si>
  <si>
    <t>VEERANNA PETEMANI</t>
  </si>
  <si>
    <t>ELECTRONIC ENGINEER</t>
  </si>
  <si>
    <t>ANNAPURNA PETEMANI</t>
  </si>
  <si>
    <t>C/O Apte,SR NO 282,LAXMI COLONY,CANARY NEST BUILDING,FLAT NO 6,NEAR GURUDATT FLOOR MILL,PUNE SOLAPUR ROAD,HADAPSAR,PUNE28.</t>
  </si>
  <si>
    <t>C/O APTE,SR NO 282,LAXMI COLONY,CANARY NEST BUILDING,FLAT NO 6,NEAR GURUDATT FLOOR MILL,PUNE SOLAPUR ROAD,HADAPSAR,PUNE28.</t>
  </si>
  <si>
    <t>SADHANA ENGLISH MEDIUM SCHOOL</t>
  </si>
  <si>
    <t>R.R SHINDE JR.COLLEGE</t>
  </si>
  <si>
    <t>AutoCAD,MS Office,MS Project,V- RAY</t>
  </si>
  <si>
    <t>INTACH PUNE CHAPTER | TEAM LEADER ,TEAM PLAYER, DOCUMENTATION OF PROJECTS WITH SITE VISTS							 | PUNE | Apr 2019 | Sep 2019 | 23 Weeks
ESTHETE DESIGNERS AND BUILDERS PVT LTD | PROJECT MANAGEMENT INTERN | BANGALORE | May 2022 | Jun 2022 | 3 Weeks</t>
  </si>
  <si>
    <t>AP21204</t>
  </si>
  <si>
    <t>Siddhant Rajkumar Sawant</t>
  </si>
  <si>
    <t>SAWANT.SIDDHANT.R@GMAIL.COM</t>
  </si>
  <si>
    <t>ap21204@ms.nicmar.ac.in</t>
  </si>
  <si>
    <t>27-Nov-1997</t>
  </si>
  <si>
    <t>6045 0182 3717</t>
  </si>
  <si>
    <t>RAJKUMAR SOPANRAO SAWANT</t>
  </si>
  <si>
    <t>SWARUPA RAJKUMAR SAWANT</t>
  </si>
  <si>
    <t>C 307, STAND VIEW C.H.S, LOKMANYANAGAR, PANVEL</t>
  </si>
  <si>
    <t>ST JOSEPHS HIGH SCHOOL</t>
  </si>
  <si>
    <t>CHANGU KANA THAKUR JUNIOR COLLEGE</t>
  </si>
  <si>
    <t>AutoCAD,MS Office,MS Project,TABLEAU, POWER BI, ETABS, SAFE, SAP2000, REVIT, STAADPRO, ARCGIS, PYTHON, SQL</t>
  </si>
  <si>
    <t>AMIAND CONSULTING PVT LTD | BUSINESS DEVELOPMENT INTERN | MUMBAI | Jul 2021 | Oct 2021 | 13 Weeks
VESTIAN GLOBAL WORKPLACE SERVICES PVT LTD | INVESTMENT AND CONSULTANCY INTERN | BANGALORE | May 2022 | Jul 2022 | 12 Weeks</t>
  </si>
  <si>
    <t>AP21205</t>
  </si>
  <si>
    <t>PARITOSH</t>
  </si>
  <si>
    <t>VASANT</t>
  </si>
  <si>
    <t>Pawar Paritosh Vasant</t>
  </si>
  <si>
    <t>paritoshpawar90@gmail.com</t>
  </si>
  <si>
    <t>ap21205@ms.nicmar.ac.in</t>
  </si>
  <si>
    <t>5314 0453 5430</t>
  </si>
  <si>
    <t>VASANT LAXMAN PAWAR</t>
  </si>
  <si>
    <t>GOVERNMENT SERVICE POLICE INSPECTOR</t>
  </si>
  <si>
    <t>ARCHANA VASANT PAWAR</t>
  </si>
  <si>
    <t>FLAT NO 13, RAJINI SUDHA APARTMENT, NASHIK-PUNE ROAD, NEAR RTO COLONY, BEHIND BODHLE NAGAR, UTTARA NAGAR</t>
  </si>
  <si>
    <t>FLAT NO 501, TYPE 3 BUILDING, NEW POLICE QUARTERS , NEAR JUHU GARDEN, LINKING ROAD, SANTACRUZ WEST, MUMBAI</t>
  </si>
  <si>
    <t>DON BOSCO</t>
  </si>
  <si>
    <t>SANDIP POLYTECHNIC, SANDIP FOUNDATION</t>
  </si>
  <si>
    <t>MADHURE INFRA ENGINEERING AND PRIVATE LIMITED | PLANNING &amp; SITE EXECUTION | PUNE | Apr 2022 | Jul 2022 | 12 Weeks</t>
  </si>
  <si>
    <t>AP21206</t>
  </si>
  <si>
    <t>AMANDEEP</t>
  </si>
  <si>
    <t>ASWAL</t>
  </si>
  <si>
    <t>Amandeep Aswal</t>
  </si>
  <si>
    <t>AMAN.ASWAL3@GMAIL.COM</t>
  </si>
  <si>
    <t>ap21206@ms.nicmar.ac.in</t>
  </si>
  <si>
    <t>8193 4571 3736</t>
  </si>
  <si>
    <t>JABAR SINGH ASWAL</t>
  </si>
  <si>
    <t>SUNITA ASWAL</t>
  </si>
  <si>
    <t>WARD NO.4, MORI ROAD, PUROLA</t>
  </si>
  <si>
    <t>Uttarkashi</t>
  </si>
  <si>
    <t>SHRI GURU RAM RAI PUBLIC SCHOOL, VIKASNAGAR, DEHRADUN</t>
  </si>
  <si>
    <t>GRAPHIC ERA UNIVERSITY</t>
  </si>
  <si>
    <t>N S ASSOCIATES PVT LMT | CIVIL ENGINEER | DEHRADUN | Jun 2018 | Jul 2018 | 6 Weeks
JAIPRAKASH ASSOCIATES LIMITED | CIVIL ENGINEER IN EXECUTION | MORI, UTTARKASHI, UTTARAKHAND | Apr 2022 | Jun 2022 | 9 Weeks</t>
  </si>
  <si>
    <t>AP21207</t>
  </si>
  <si>
    <t>NAJAH</t>
  </si>
  <si>
    <t>JABIR</t>
  </si>
  <si>
    <t>NALAKATH</t>
  </si>
  <si>
    <t>Najah Jabir Nalakath</t>
  </si>
  <si>
    <t>nalakathnajah@gmail.com</t>
  </si>
  <si>
    <t>ap21207@ms.nicmar.ac.in</t>
  </si>
  <si>
    <t>15-Nov-1998</t>
  </si>
  <si>
    <t>ENGLISH,MALAYALAM,HINDI,ARABIC</t>
  </si>
  <si>
    <t>4776 1638 4176</t>
  </si>
  <si>
    <t>JABIR NALAKATH</t>
  </si>
  <si>
    <t>NABEELA CHETTIYAN THODI</t>
  </si>
  <si>
    <t>NALAKATH HOUSE,THEKKINCHUVADU,AREEKODE,NEAR HILLFORT AUDITORIUM</t>
  </si>
  <si>
    <t>DAYAPURAM RESIDENTIAL SCHOOL</t>
  </si>
  <si>
    <t>SCHOOL OF ENGINEERING COCHIN,KERALA</t>
  </si>
  <si>
    <t>CYFER DIGITAL SOLUTIONS LLP | INTERN | CALICUT | May 2017 | Jun 2017 | 4 Weeks
REAL HOME BUILDERS | INTERN | MANJERI | Jun 2018 | Jun 2018 | 4 Weeks
DHIPL PROJECTS PVT LTD | INTERN IN BILLING, SITE EXECUTION, | MUMBAI (JIO WORLD CENTRE) | May 2022 | Jun 2022 | 5 Weeks</t>
  </si>
  <si>
    <t>AP21208</t>
  </si>
  <si>
    <t>Ninad Kishor Joshi</t>
  </si>
  <si>
    <t>NINADRACH03091997@GMAIL.COM</t>
  </si>
  <si>
    <t>ap21208@ms.nicmar.ac.in</t>
  </si>
  <si>
    <t>03-Sep-1997</t>
  </si>
  <si>
    <t>4611 5090 1743</t>
  </si>
  <si>
    <t>KISHOR MOHAN JOSHI</t>
  </si>
  <si>
    <t>RAJASHREE KISHOR JOSHI</t>
  </si>
  <si>
    <t>B-203,BHAGYASHREE HOU. SOCIETY, NEAR SANE GURUJI SCHOOL,SINHAGAD ROAD,PUNE.</t>
  </si>
  <si>
    <t>NEW ENGLISH SCHOOL,TILAK ROAD,PUNE.</t>
  </si>
  <si>
    <t>MAHARASHTRA  STATE BOARD OF SECONDARY AND HIGHER SECONDARY EDUCATION</t>
  </si>
  <si>
    <t>SIR PARASHURAMBHAU COLLEGE,PUNE.</t>
  </si>
  <si>
    <t>INDIRA COLLEGE OF ARCHITECTURE AND DESIGN,TATHAWADE,PUNE.</t>
  </si>
  <si>
    <t>AutoCAD,MS Office,MS Project,SKETCHUP 3D , LUMION , PHOTOSHOP</t>
  </si>
  <si>
    <t>Nikhil Patil Architects | Junior Architect | PUNE | Sep 2020 | Jun 2021 | 0 Years, 9 Months, 5 Days | 0.84
Nikhil Patil Architects | Junior Architect | PUNE | Sep 2020 | Jun 2021 | 0 Years, 9 Months, 5 Days | 0.84</t>
  </si>
  <si>
    <t>URCON CONSULTANTS | INTERN JUNIOR ARCHITECT | PUNE | Apr 2019 | Sep 2019 | 23 Weeks
KNIGHT FRANK | ADVISORY SERVICES (TECHNICAL DUE DILIGENCE) | GURGAON, INDIA | Apr 2022 | Jun 2022 | 8 Weeks</t>
  </si>
  <si>
    <t>AP21209</t>
  </si>
  <si>
    <t>SHARVIN</t>
  </si>
  <si>
    <t>Sharvin Sunil Rane</t>
  </si>
  <si>
    <t>SHARVINRANE@GMAIL.COM</t>
  </si>
  <si>
    <t>ap21209@ms.nicmar.ac.in</t>
  </si>
  <si>
    <t>9258 3820 6612</t>
  </si>
  <si>
    <t>SUNIL DATTATRAY RANE</t>
  </si>
  <si>
    <t>ANITA SUNIL RANE</t>
  </si>
  <si>
    <t>502 VISTA GREENS KARVE ROAD VISHNU NAGAR NEAR SHRIDHAR MHATRE WADI</t>
  </si>
  <si>
    <t>CHANDRAKANT PATKAR VIDYALAYA</t>
  </si>
  <si>
    <t>AGNEL POLYTECHNIC</t>
  </si>
  <si>
    <t>YADAVRAO TASGAONKAR INSTITUTE OF ENGINEERING AND TECHNOLOGY</t>
  </si>
  <si>
    <t>CAPACITE INFRAPROJECTS LIMITED | 1) VISITING SITE AND OVERVIEWING WORK DONE FOR THAT PARTICULAR DAY. 2) PREPARATION OF DAILY PROGRESS REPORT 3) SCHEDULING OF ACTIVITIES. 4) QUALITY CHECKING AT SITE. 5) QUANTITY SURVEYING AND BILLING. | THANE | May 2022 | Jul 2022 | 9 Weeks</t>
  </si>
  <si>
    <t>AP21210</t>
  </si>
  <si>
    <t>DAMY</t>
  </si>
  <si>
    <t>JOSE</t>
  </si>
  <si>
    <t>Damy Jose</t>
  </si>
  <si>
    <t>DAMYJK@GMAIL.COM</t>
  </si>
  <si>
    <t>ap21210@ms.nicmar.ac.in</t>
  </si>
  <si>
    <t>7606 7099 3499</t>
  </si>
  <si>
    <t>JOSE K C</t>
  </si>
  <si>
    <t>REEBY JOSE</t>
  </si>
  <si>
    <t>KAVUMPURATH HOUSE, THRIKKARIYOOR P.O, THANKALAM</t>
  </si>
  <si>
    <t>SOBHANA PUBLIC SCHOOL</t>
  </si>
  <si>
    <t>2013-Jun-03</t>
  </si>
  <si>
    <t>2015-May-01</t>
  </si>
  <si>
    <t>VISWAJYOTHI COLLEGE OF ENGINEERING AND TECHNOLOGY</t>
  </si>
  <si>
    <t>DELHI METRO RAIL CORPORATION LTD | SITE INVESTIGATIONS | KOCHI,KERALA | Jun 2017 | Jun 2017 | 0 Weeks
GREEN ECOMES SOLUTIONS PVT LTD | BUSINESS DEVELOPMENT INTERN | WORK FROM HOME | May 2022 | Jul 2022 | 8 Weeks</t>
  </si>
  <si>
    <t>AP21211</t>
  </si>
  <si>
    <t>Rohan Vats</t>
  </si>
  <si>
    <t>VATSROHAN10@OUTLOOK.COM</t>
  </si>
  <si>
    <t>ap21211@ms.nicmar.ac.in</t>
  </si>
  <si>
    <t>SANSKRIT, HINDI, ENGLISH,GERMAN</t>
  </si>
  <si>
    <t>9240 6009 3414</t>
  </si>
  <si>
    <t>VINOD KUMAR VATS</t>
  </si>
  <si>
    <t>VANDNA VATS</t>
  </si>
  <si>
    <t>CHANDHAT, BALWAL, FARIDABAD,HARYANA</t>
  </si>
  <si>
    <t>Palwal</t>
  </si>
  <si>
    <t>FLAT NO - B 202, GREAT VALUE SHARANAM, SECTOR - 107, NOIDA</t>
  </si>
  <si>
    <t>Noida</t>
  </si>
  <si>
    <t>SUNBEAM SCHOOL VARUNA</t>
  </si>
  <si>
    <t>LARSEN AND TOUBRO LIMITED | EXCECUTION | NEW DELHI | Apr 2020 | May 2020 | 6 Weeks
LARSEN AND TOUBRO LIMITED | QUALITY CONTROL AND MATERIAL TESTING | NEW DELHI | Jun 2019 | Jul 2019 | 5 Weeks
PIDILITE | INDUSTRY RESEARCH, LARGE USER BUSINESS | NOIDA | May 2022 | Jul 2022 | 7 Weeks</t>
  </si>
  <si>
    <t>AP21212</t>
  </si>
  <si>
    <t>SHREEJATA</t>
  </si>
  <si>
    <t>SIKDAR</t>
  </si>
  <si>
    <t>Shreejata Sikdar</t>
  </si>
  <si>
    <t>SHREEJATA.SIKDAR23@GMAIL.COM</t>
  </si>
  <si>
    <t>ap21212@ms.nicmar.ac.in</t>
  </si>
  <si>
    <t>8542 7119 7185</t>
  </si>
  <si>
    <t>PRALAYA KUMAR SIKDAR</t>
  </si>
  <si>
    <t>RETIRED BANK MANAGER</t>
  </si>
  <si>
    <t>RUPALI SIKDAR</t>
  </si>
  <si>
    <t>119 KSHUDIRAM SARANI, NEPALIPARA</t>
  </si>
  <si>
    <t>Balurghat</t>
  </si>
  <si>
    <t>ATREYEE DAV PUBLIC SCHOOL</t>
  </si>
  <si>
    <t>SPML INFRA LIMITED | PROJECT PLANNING | KOLKATA HEAD OFFICE | Apr 2022 | Jul 2022 | 10 Weeks</t>
  </si>
  <si>
    <t>AP21213</t>
  </si>
  <si>
    <t>SANGHI</t>
  </si>
  <si>
    <t>Tejas Sanghi</t>
  </si>
  <si>
    <t>tejassanghi99@gmail.com</t>
  </si>
  <si>
    <t>ap21213@ms.nicmar.ac.in</t>
  </si>
  <si>
    <t>8251 8568 7387</t>
  </si>
  <si>
    <t>SUSHIL SANGHI</t>
  </si>
  <si>
    <t>PROJECT MANAGEMENT CONSULTANT</t>
  </si>
  <si>
    <t>MAMTA SANGHI</t>
  </si>
  <si>
    <t>56, SHIVAJI NAGAR OPP. GANDHI NAGAR CORPORATION SCHOOL</t>
  </si>
  <si>
    <t>SANGHI CONSULTING ENGINEERS | PROJECT ESTIMATION , SITE SUPERVISION, SCHEDULING ON MICROSOFT PROJECT | NAGPUR | Apr 2022 | Jul 2022 | 13 Weeks</t>
  </si>
  <si>
    <t>AP21214</t>
  </si>
  <si>
    <t>EKNATH</t>
  </si>
  <si>
    <t>KAWADE</t>
  </si>
  <si>
    <t>Onkar Eknath Kawade</t>
  </si>
  <si>
    <t>onkarkawade14@gmail.com</t>
  </si>
  <si>
    <t>ap21214@ms.nicmar.ac.in</t>
  </si>
  <si>
    <t>28-Sep-1999</t>
  </si>
  <si>
    <t>3882 4992 4489</t>
  </si>
  <si>
    <t>EKNATH KAWADE</t>
  </si>
  <si>
    <t>SUNITA KAWADE</t>
  </si>
  <si>
    <t>Flat No Q-2 Pal Paradise N-2 CIDCO</t>
  </si>
  <si>
    <t>PURANIKS ALDEA ESPAÃƒÂ±OLA BALEWADI PUNE</t>
  </si>
  <si>
    <t>DR Y.S. KHEDKAR INTERNATIONAL SCHOOL</t>
  </si>
  <si>
    <t>CHATE COLLEGE</t>
  </si>
  <si>
    <t>BATU LONERE RAIGAD</t>
  </si>
  <si>
    <t>MGMS JAWAHARLAL NEHRU ENGINEERING COLLEGE</t>
  </si>
  <si>
    <t>NABHRAJ CONSTRUCTION | I WAS APPOINTED AS ASSISTANT SITE ENGINEER AND THEREFORE MY RESPONSIBILITIES WERE TO LOOK INTO COMPLETING QUALITY ASSURANCE  | AURANGABAD, MAHARASHTRA  | May 2022 | Jul 2022 | 10 Weeks</t>
  </si>
  <si>
    <t>AP21215</t>
  </si>
  <si>
    <t>ILLA</t>
  </si>
  <si>
    <t>SAIKUMAR</t>
  </si>
  <si>
    <t>Illa Saikumar</t>
  </si>
  <si>
    <t>SAIKUMAR.ILLA@GMAIL.COM</t>
  </si>
  <si>
    <t>ap21215@ms.nicmar.ac.in</t>
  </si>
  <si>
    <t>05-Feb-1996</t>
  </si>
  <si>
    <t>ENGLISH, HINDI, TELUGU.</t>
  </si>
  <si>
    <t>2023 4731 1586</t>
  </si>
  <si>
    <t>ILLA CHANDRA SEKHARAM</t>
  </si>
  <si>
    <t>ILLA SUJATHA</t>
  </si>
  <si>
    <t>301, ANJANI TOWERS, NEXT TO UNION BANK, BALKAMPET</t>
  </si>
  <si>
    <t>SRI RAMASWAMY MEMORIAL UNIVERSITY</t>
  </si>
  <si>
    <t>MS Office,MS Project,SDS/2</t>
  </si>
  <si>
    <t>GAYATRI PROJECTS LTD. | QUALITY ASSURANCE/ QUALITY CONTROL | ANAND, GUJARAT | Aug 2017 | Aug 2018 | 1 Years, 0 Months, 5 Days | 2
OVATION SERVICES PRIVATE LIMITED | DETAILER  | HYDERABAD, TELANGANA | Sep 2018 | Aug 2021 | 2 Years, 10 Months, 24 Days | 2.24
GAYATRI PROJECTS LTD. | QUALITY ASSURANCE/ QUALITY CONTROL | ANAND, GUJARAT | Aug 2017 | Aug 2018 | 1 Years, 0 Months, 5 Days | 2
OVATION SERVICES PRIVATE LIMITED | DETAILER  | HYDERABAD, TELANGANA | Sep 2018 | Aug 2021 | 2 Years, 10 Months, 24 Days | 2.24</t>
  </si>
  <si>
    <t>SS DESIGNERS AND PLANNERS | SITE INTERN | HYDERABAD | Jun 2016 | Jun 2016 | 2 Weeks
SREE RAMASWAMY MEMORIAL | SOIL SURVEY AND LAB TESTING | CHENNAI | Jan 2017 | May 2017 | 16 Weeks
VICEROY PROPERTIES | QUANTITY SURVEYING &amp; BILLING | MUMBAI | May 2022 | Jul 2022 | 11 Weeks</t>
  </si>
  <si>
    <t>AP21216</t>
  </si>
  <si>
    <t>QUADIR</t>
  </si>
  <si>
    <t>Abdul Quadir Khan</t>
  </si>
  <si>
    <t>quadirk29@gmail.com</t>
  </si>
  <si>
    <t>ap21216@ms.nicmar.ac.in</t>
  </si>
  <si>
    <t>02-Jul-1995</t>
  </si>
  <si>
    <t>3773 7922 9072</t>
  </si>
  <si>
    <t>ABDUL RAFEEQ KHAN</t>
  </si>
  <si>
    <t>RUKHSANA KHAN</t>
  </si>
  <si>
    <t>H. NO. - 01, NAGAR NIGAM COLONY, BERASIA ROAD</t>
  </si>
  <si>
    <t>DELHI PUBLIC SCHOOL BHOPAL</t>
  </si>
  <si>
    <t>TRINITY INSTITUTE OF TECHNOLOGY &amp; RESEARCH</t>
  </si>
  <si>
    <t>RK INFRACON PVT LTD | EXECUTION, SUPERVISION, QUALITY AND SAFETY CHECKS | BHOPAL | Jun 2018 | Jul 2019 | 1 Years, 1 Months, 27 Days | 2
RK INFRACON PVT LTD | EXECUTION, SUPERVISION, QUALITY AND SAFETY CHECKS | BHOPAL | Jun 2018 | Jul 2019 | 1 Years, 1 Months, 27 Days | 2</t>
  </si>
  <si>
    <t>GAMMON INDIA PVT LTD | TRAINEE | BHOPAL | Jul 2016 | Jul 2016 | 2 Weeks
SP SINGLA CONSTRUCTION PVT LTD | TRAINEE | BHOPAL | Aug 2016 | Aug 2016 | 2 Weeks
SPACE MATRIX DESIGN CONSULTANTS PVT LTD | PROJECT MANAGEMENT INTERN | MUMBAI | Apr 2022 | Jun 2022 | 8 Weeks</t>
  </si>
  <si>
    <t>AP21217</t>
  </si>
  <si>
    <t>SAJ</t>
  </si>
  <si>
    <t>Aakash N Saj</t>
  </si>
  <si>
    <t>AAKASHNSAJ16@GMAIL.COM</t>
  </si>
  <si>
    <t>ap21217@ms.nicmar.ac.in</t>
  </si>
  <si>
    <t>16-Dec-1995</t>
  </si>
  <si>
    <t>ENGLISH, TAMIL, MALAYALAM, HINDI</t>
  </si>
  <si>
    <t>7188 2178 3803</t>
  </si>
  <si>
    <t>KM SAJIMON</t>
  </si>
  <si>
    <t>LALY SAJIMON</t>
  </si>
  <si>
    <t>H. NO. 28B, BHARATH STREET, BALAIYAH GARDEN, MADIPAKKAM, CHENNAI-91, NEAR INDIAN OIL PETROL BUNK.</t>
  </si>
  <si>
    <t>HOLY FAMILY CONVENT MATRICULATION HIGHER SECONDARY SCHOOL</t>
  </si>
  <si>
    <t>ENGINEERING PROJECT MANAGEMENT CONSULTANCY AND RESEARCH PRIVATE LIMITED | PROJECT MANAGEMENT AND PLANNING | SRM UNIVERSITY, RAMAPURAM, CHENNAI | May 2022 | Jun 2022 | 7 Weeks</t>
  </si>
  <si>
    <t>AP21218</t>
  </si>
  <si>
    <t>DWARAPUREDDY</t>
  </si>
  <si>
    <t>MADHUR</t>
  </si>
  <si>
    <t>Dwarapureddy Madhur Maharshi</t>
  </si>
  <si>
    <t>madhurmaharshi9999@gmail.com</t>
  </si>
  <si>
    <t>ap21218@ms.nicmar.ac.in</t>
  </si>
  <si>
    <t>4622 7992 1626</t>
  </si>
  <si>
    <t>DWARAPUREDDY DHANUNJAYA RAO</t>
  </si>
  <si>
    <t>DWARAPUREDDY RAJINI</t>
  </si>
  <si>
    <t>2-18, KOTHURU, OPPOSITE RAMA MANDIR</t>
  </si>
  <si>
    <t>VELLORE INSTITUTE OF TECHNOLOGY | PREPARED A REPORT ON GROUND WATER INTRUSION INTO AQUIFERS OF VISAKHAPATNAM | VISAKHAPATNAM | Dec 2020 | Jun 2021 | 26 Weeks
ANUHAR HOMES | PROCESS DESIGNING AND DOCUMENTATION | HYDERABAD | Apr 2022 | Jul 2022 | 13 Weeks</t>
  </si>
  <si>
    <t>AP21219</t>
  </si>
  <si>
    <t>ANAMIKA</t>
  </si>
  <si>
    <t>Anamika Bhattacharya</t>
  </si>
  <si>
    <t>BHATTACHARYAANAMIKA7@GMAIL.COM</t>
  </si>
  <si>
    <t>ap21219@ms.nicmar.ac.in</t>
  </si>
  <si>
    <t>3943 2827 1606</t>
  </si>
  <si>
    <t>AMIT KUMAR BHATTACHARYA</t>
  </si>
  <si>
    <t>RUNA BHATTACHARYA</t>
  </si>
  <si>
    <t>FLAT NO. G1004, ELITE HOMZ, SECTOR 77 NOIDA, NEAR NORTH EYE</t>
  </si>
  <si>
    <t>DR. A P J ABDUL KALAM TECHNICAL UNIVERSITY</t>
  </si>
  <si>
    <t>INDERPRASTHA ENGINEERING COLLEGE</t>
  </si>
  <si>
    <t>AutoCAD,MS Office,MS Project,Primavera,STAAD.PRO, REVIT (BASIC), ETABS (BASIC), TENDERING</t>
  </si>
  <si>
    <t>Cais Engineering Services Pvt Ltd | Tendering and Estimation Department | Noida | Sep 2020 | Aug 2021 | 0 Years, 11 Months, 30 Days | 1.2
Cais Engineering Services Pvt Ltd | Tendering and Estimation Department | Noida | Sep 2020 | Aug 2021 | 0 Years, 11 Months, 30 Days | 1.2</t>
  </si>
  <si>
    <t>KALPATARU POWER TRANSMISSION LIMITED | DESIGN DEPARTMENT | NOIDA | Jun 2018 | Jul 2018 | 5 Weeks
KALPATARU POWER TRANSMISSION LIMITED | DESIGN DEPARTMENT | NOIDA | Jun 2019 | Jul 2019 | 6 Weeks
SUNTECK REALTY LIMITED | WORKED IN CONTRACTS DEPARTMENT. Ã¢â‚¬Â¢	HANDLED VARIOUS VENDOR INTERACTIONS AND DATABASE UPDATION. Ã¢â‚¬Â¢	COMPLETED AND REVIEWED PENDING WORK ORDERS OF THE VARIOUS ONGOING PROJECTS OF THE COMPANY.  | MUMBAI | May 2022 | Jun 2022 | 7 Weeks</t>
  </si>
  <si>
    <t>AP21220</t>
  </si>
  <si>
    <t>Hrishikesh Tiwari</t>
  </si>
  <si>
    <t>hrishikesh.t.10@gmail.com</t>
  </si>
  <si>
    <t>ap21220@ms.nicmar.ac.in</t>
  </si>
  <si>
    <t>10-Aug-1998</t>
  </si>
  <si>
    <t>ENGLISH, HINDI, BHOJPURI, MARATHI</t>
  </si>
  <si>
    <t>2387 4927 8262</t>
  </si>
  <si>
    <t>NILKANTH TRISHULNATH TIWARI</t>
  </si>
  <si>
    <t>GAMALA NILKANTH TIWARI</t>
  </si>
  <si>
    <t>FLAT NO.38, MAHALAKSHMI APARTMENT, BEHIND TRIMURTI GARDEN, VADAGAON BUDRUK, PUNE CITY</t>
  </si>
  <si>
    <t>M.E.S BOYS HIGHSCHOOL</t>
  </si>
  <si>
    <t>BHIVARABAI SAWANT COLLEGE OF ENGINEERING AND RESEARCH</t>
  </si>
  <si>
    <t>TRINITY ACADEMY OF ENGINEERING PUNE</t>
  </si>
  <si>
    <t>OS Designer | Execution | Pune | Jun 2019 | Aug 2021 | 2 Years, 2 Months, 5 Days | 2.4
OS Designer | Execution | Pune | Jun 2019 | Aug 2021 | 2 Years, 2 Months, 5 Days | 2.4</t>
  </si>
  <si>
    <t>NTRM INTERIORS PRIVET LIMITED | SITE EXECUTION | PUNE | Jun 2019 | Jun 2019 | 2 Weeks
ECOFIRST SERVICES LIMITED | PROJECT PLANNING AND COORDINATION  | COLABA, MUMBAI  | Apr 2022 | Jul 2022 | 9 Weeks</t>
  </si>
  <si>
    <t>AP21221</t>
  </si>
  <si>
    <t>SAI SURAJ</t>
  </si>
  <si>
    <t>S Sai Suraj Reddy</t>
  </si>
  <si>
    <t>saisuraj86@gmail.com</t>
  </si>
  <si>
    <t>ap21221@ms.nicmar.ac.in</t>
  </si>
  <si>
    <t>27-Feb-1999</t>
  </si>
  <si>
    <t>ENGLISH , HINDI ,KANNADA</t>
  </si>
  <si>
    <t>2608 2557 8421</t>
  </si>
  <si>
    <t>S SHRIDAR REDDY</t>
  </si>
  <si>
    <t>CLASS ONE CONTRACTOR</t>
  </si>
  <si>
    <t>YESHODA S REDDY</t>
  </si>
  <si>
    <t>H. NO. 14376, KALYAN NAGAR, NEAR SBI</t>
  </si>
  <si>
    <t>Dharwar</t>
  </si>
  <si>
    <t>H. NO. 14376, KALYAN NAGAR, NEAR SB</t>
  </si>
  <si>
    <t>SMT. PARVATHAMA SHAMNUR SHIVASHANKARAPPA ENGLISH MEDIUM RESIDENTIAL SCHOOL</t>
  </si>
  <si>
    <t>KLESOCIETY S SMT. CHANABASAMMA ISHWARAPPA MUNAVALLI POLYTECHNIC</t>
  </si>
  <si>
    <t>Er Jayprakash V Sunkad Consulting Civil Engineer | site engineer | Dharwad ,Karnataka | Jun 2020 | Aug 2021 | 1 Years, 2 Months, 29 Days | 1.8
Er Jayprakash V Sunkad Consulting Civil Engineer | site engineer | Dharwad ,Karnataka | Jun 2020 | Aug 2021 | 1 Years, 2 Months, 29 Days | 1.8</t>
  </si>
  <si>
    <t>B G SHIRKE CONSTRUCTION TECHNOLOGY PVT LTD  PUNE | SITE ENGINEER | DHARWAD,KARNATAKA | Jan 2020 | Apr 2020 | 15 Weeks
DECOR HOMES INDIA PVT LTD | MANAGEMENT TRANIEE | JWC BKC MUMBAI | May 2022 | Jun 2022 | 8 Weeks</t>
  </si>
  <si>
    <t>AP21222</t>
  </si>
  <si>
    <t>AADARSH</t>
  </si>
  <si>
    <t>SONKAR</t>
  </si>
  <si>
    <t>Aadarsh Sonkar</t>
  </si>
  <si>
    <t>aadarsh02sonkar@gmail.com</t>
  </si>
  <si>
    <t>ap21222@ms.nicmar.ac.in</t>
  </si>
  <si>
    <t>HINDI, ENGLISH, CHHATTISHGARHI.</t>
  </si>
  <si>
    <t>7586 1982 1812</t>
  </si>
  <si>
    <t>NITYANAND SONKAR</t>
  </si>
  <si>
    <t>MAMTA SONKAR</t>
  </si>
  <si>
    <t>4/1143,RAMKUND, SAMTA COLONY, RAIPUR C.G.</t>
  </si>
  <si>
    <t>SARASWATI SHISHU MANDIR HIGHER SECONDARY SCHOOL SARASWATI VIHAR RAIPUR</t>
  </si>
  <si>
    <t>CHHATTISHGARH BOARD OF SECONDARY EDUCATION</t>
  </si>
  <si>
    <t>SARASWATI SHISHU MANDIR H S SCHOOL SARASWATI VIHAR RAIPUR</t>
  </si>
  <si>
    <t>CHHATTISGARH SWAMI VIVEKANAD TECHNICAL UNIVERSITY, BHILAI</t>
  </si>
  <si>
    <t>PUBLIC WORK DEPARTMENT DIVISION TWO RAIPUR | VOCATIONAL TRAINING | RAIPUR | Jun 2017 | Jul 2017 | 4 Weeks
PUBLIC WORK DEPARTMENT DIVISION TWO RAIPUR | FOLLOWING UP GROUND STAFF FOR SMOOTH RUNNING OF TASK | RAIPUR | Jun 2018 | Jul 2018 | 4 Weeks
RISHABH BUILDERS INDIA PVT LTD | CONSTRUCTION MANAGEMENT TRAINEE | RAIPUR | May 2022 | Jul 2022 | 8 Weeks</t>
  </si>
  <si>
    <t>AP21223</t>
  </si>
  <si>
    <t>Varghese S Paul</t>
  </si>
  <si>
    <t>VARGHESESPAUL@GMAIL.COM</t>
  </si>
  <si>
    <t>ap21223@ms.nicmar.ac.in</t>
  </si>
  <si>
    <t>2638 6161 1795</t>
  </si>
  <si>
    <t>SAJI PAUL</t>
  </si>
  <si>
    <t>ANNA LEYA VARGHESE</t>
  </si>
  <si>
    <t>KUZHIKKATTUKUNNEL HOUSE, KALLAPARA, ATHANI P. O, ALUVA, NEDUMBASSERY</t>
  </si>
  <si>
    <t>Aluva</t>
  </si>
  <si>
    <t>VISWAJYOTHI CMI PUBLIC SCHOOL</t>
  </si>
  <si>
    <t>AutoCAD,MS Office,MS Project,STAAD.PRO V8I AND STAAD.FOUNDATION V8I</t>
  </si>
  <si>
    <t>MAHAVEER GROUP OF CONSTRUCTIONS | SITE EXECUTION | BANGALORE, KARNATAKA | Apr 2022 | Jun 2022 | 7 Weeks
SKYLINE FOUNDATIONS AND STRUCTURES | INTERN | ERNAKULAM, KERALA | Jul 2019 | Jul 2019 | 0 Weeks</t>
  </si>
  <si>
    <t>AP21224</t>
  </si>
  <si>
    <t>BOJE</t>
  </si>
  <si>
    <t>Aditya Balasaheb Boje</t>
  </si>
  <si>
    <t>adityab.sun@gmail.com</t>
  </si>
  <si>
    <t>19-Oct-1997</t>
  </si>
  <si>
    <t>3802 1261 5107</t>
  </si>
  <si>
    <t>BALASAHEB TUKARAM BOJE</t>
  </si>
  <si>
    <t>UMADEVI BALASAHEB BOJE</t>
  </si>
  <si>
    <t>A-502, Bharati Vihar Society, Opp. PICT College, Katraj, Pune.</t>
  </si>
  <si>
    <t>A-502, BHARATI VIHAR SOCIETY, OPP. PICT COLLEGE, KATRAJ, PUNE.</t>
  </si>
  <si>
    <t>CENTRAL BOARD OF SECONDARY EDUCATION, SURAT/GUJARAT</t>
  </si>
  <si>
    <t>AutoCAD,MS Office,MS Project,Primavera,PHOTOSHOP(LIGHTROOM)</t>
  </si>
  <si>
    <t>SINGHANIA BUILDCON PRIVATE LIMITED | PROJECT MANAGEMENT, SITE INSPECTION, QUANTITY SURVEY | RAIPUR, CHHATTISGARH | May 2022 | Jul 2022 | 8 Weeks</t>
  </si>
  <si>
    <t>AP21241</t>
  </si>
  <si>
    <t>APRATIM</t>
  </si>
  <si>
    <t>Apratim Srivastava</t>
  </si>
  <si>
    <t>APRATIM.SRIVASTAVA5@GMAIL.COM</t>
  </si>
  <si>
    <t>05-Apr-1997</t>
  </si>
  <si>
    <t>4859 3310 2484</t>
  </si>
  <si>
    <t>KIRTI KUMARI</t>
  </si>
  <si>
    <t>READERS QUARTER-05, B.R.A.B. UNIVERSITY CAMPUS</t>
  </si>
  <si>
    <t>HOLY MISSION SENIOR SECONDARY SCHOOL</t>
  </si>
  <si>
    <t>CENTRAL BOARD OF SECONDARY EDUCATION , MUZAFFARPUR, BIHAR</t>
  </si>
  <si>
    <t>VISHUN ROY COLLEGE</t>
  </si>
  <si>
    <t>SAVITRI BAI PHULE PUNE UNIVERSITY</t>
  </si>
  <si>
    <t>MAHARASHTRA INSTITUTE OF TECHNOLOGY, PUNE, MAHARASHTRA</t>
  </si>
  <si>
    <t>AutoCAD,MS Office,MS Project,Primavera,MS EXCEL, PHOTOSHOP, WONDERSHARE FILMORA</t>
  </si>
  <si>
    <t>TRANSVEN CONSULTING PRIVATE LIMITED | BUSINESS DEVELOPMENT  | MUMBAI | Apr 2022 | Jul 2022 | 11 Weeks
ASHWANI ENTERPRISES PRIVATE LIMITED | FOLLOW-UP OF SITE EXECUTION | PATNA | Feb 2021 | May 2021 | 17 Weeks
ASHWANI ENTERPRISES PRIVATE LIMITED | FOLLOW-UP OF SITE EXECUTION | PATNA | Jan 2019 | Apr 2019 | 13 Weeks</t>
  </si>
  <si>
    <t>AP21340</t>
  </si>
  <si>
    <t>RAJA VASIREDDY</t>
  </si>
  <si>
    <t>VENKATADRI</t>
  </si>
  <si>
    <t>Raja Vasireddy Venkatadri Naidu</t>
  </si>
  <si>
    <t>RVVENKAT45@GMAIL.COM</t>
  </si>
  <si>
    <t>05-Jan-1997</t>
  </si>
  <si>
    <t>ENGLISH,HINDI AND TELUGU</t>
  </si>
  <si>
    <t>9398 2359 9550</t>
  </si>
  <si>
    <t>RAJA VASIREDDY HARINDRA PRAMODH</t>
  </si>
  <si>
    <t>RAJA VASIREDDY SREE LAKSHMI</t>
  </si>
  <si>
    <t>5-87-130, LAKSHMIPURAM 2ND LANE</t>
  </si>
  <si>
    <t>GOWTHAM CONCEPT SCHOOL, GUDIVADA</t>
  </si>
  <si>
    <t>2010-Jun-07</t>
  </si>
  <si>
    <t>2012-May-24</t>
  </si>
  <si>
    <t>SRI CHAITANYA BOYS JUNIOR COLLEGE</t>
  </si>
  <si>
    <t>2012-Jul-09</t>
  </si>
  <si>
    <t>2014-May-03</t>
  </si>
  <si>
    <t>VASIREDDY VENKATADRI INSTITUTE OF TECHNOLOGY</t>
  </si>
  <si>
    <t>VASIREDDY VENKATADARI INSTITUTE OF TECHNOLOGY</t>
  </si>
  <si>
    <t>2016-Aug-08</t>
  </si>
  <si>
    <t>2020-Sep-21</t>
  </si>
  <si>
    <t>VASIREDDY VENKATADRI INSTITUTE OF TECHNOLOGY | TEAM MEMBER IN MY FINAL YEAR PROJECT | GUNTUR | Nov 2019 | Apr 2020 | 19 Weeks</t>
  </si>
  <si>
    <t>AP21346</t>
  </si>
  <si>
    <t>RISA</t>
  </si>
  <si>
    <t>MANNA</t>
  </si>
  <si>
    <t>Risa Manna</t>
  </si>
  <si>
    <t>ap21346@ms.nicmar.ac.in</t>
  </si>
  <si>
    <t>06-Jul-1993</t>
  </si>
  <si>
    <t>BENGALI,ENGLISH, HINDI,</t>
  </si>
  <si>
    <t>5061 2641 7894</t>
  </si>
  <si>
    <t>SAMARENDRA NATH MANNA</t>
  </si>
  <si>
    <t>BANANI MANNA</t>
  </si>
  <si>
    <t>246,_x000D_
VILL- CHANDIPUR, _x000D_
P.O.-MATH CHANDIPUR,_x000D_
 DISTRICT- EAST MEDINIPUR</t>
  </si>
  <si>
    <t>KALIKAKHALI SARADESWARI BALIKA VIDYAPITH</t>
  </si>
  <si>
    <t>WEST BENGAL BOARD OF SECONDARY EDUCATION, EAST MEDINIPUR/WEST BENGAL</t>
  </si>
  <si>
    <t>ISWARPUR BIPIN MEMORIAL ACADEMY</t>
  </si>
  <si>
    <t>MAULANA ABUL KALAM AZAD UNIVERSITY OF TECHNOLOY, WEST BENGAL</t>
  </si>
  <si>
    <t>OMDAYAL GROUP OF INSTITUTIONS, ULUBERIA/HOWRAH/WEST BENGAL</t>
  </si>
  <si>
    <t>NAVEEN MERICO ENGG. CO. PVT. LTD | PROJECT CONTROLLING, CLIENT DEALING AND OTHERS | KOLKATA, HALDIA | Nov 2019 | Nov 2021 | 2 Years, 0 Months, 3 Days | 2.52
UNIVERSAL CONTRUCTION | PLANNING, DOCUMENTATION WORKS | KOLKATA | Jul 2018 | Oct 2019 | 1 Years, 3 Months, 22 Days | 1.32
NAVEEN MERICO ENGG. CO. PVT. LTD | PROJECT CONTROLLING, CLIENT DEALING AND OTHERS | KOLKATA, HALDIA | Nov 2019 | Nov 2021 | 2 Years, 0 Months, 3 Days | 2.52
UNIVERSAL CONTRUCTION | PLANNING, DOCUMENTATION WORKS | KOLKATA | Jul 2018 | Oct 2019 | 1 Years, 3 Months, 22 Days | 1.32</t>
  </si>
  <si>
    <t>LARSEN TOUBRO | PLANNING &amp; CONTRACTS | NEW DELHI | Apr 2022 | Jul 2022 | 9 Weeks</t>
  </si>
  <si>
    <t>AP21350</t>
  </si>
  <si>
    <t>DHIRAJ</t>
  </si>
  <si>
    <t>Dhiraj Vijay Pakhale</t>
  </si>
  <si>
    <t>AP21350@MS.NICMAR.AC.IN</t>
  </si>
  <si>
    <t>9799 2855 4882</t>
  </si>
  <si>
    <t>PRERNA SOCIETY, SHRIPAT NAGAR, CHALISAGAON</t>
  </si>
  <si>
    <t>Chalisgaon</t>
  </si>
  <si>
    <t>ANANDI BAI BANKAT BOYS HIGH SCHOOL</t>
  </si>
  <si>
    <t>MAHARSHTRA SECONDARY AND HIGHER SECONDARY EDUCATION</t>
  </si>
  <si>
    <t>2012-Jun-11</t>
  </si>
  <si>
    <t>2013-Jun-10</t>
  </si>
  <si>
    <t>2013-Aug-12</t>
  </si>
  <si>
    <t>2017-Dec-22</t>
  </si>
  <si>
    <t>2018-Aug-20</t>
  </si>
  <si>
    <t>2021-Jul-29</t>
  </si>
  <si>
    <t>PRABHA CONSULTING ENGINEERS PUNE | ASSISTANT STAAD PRO SOFTWARE TRAINER | Pune | Jun 2017 | Jun 2018 | 1 Years, 0 Months, 20 Days | 1.32
PRABHA CONSULTING ENGINEERS PUNE | ASSISTANT STAAD PRO SOFTWARE TRAINER | Pune | Jun 2017 | Jun 2018 | 1 Years, 0 Months, 20 Days | 1.32</t>
  </si>
  <si>
    <t>AP21385</t>
  </si>
  <si>
    <t>Shubham Upadhyay</t>
  </si>
  <si>
    <t>AP21385@MS.NICMAR.AC.IN</t>
  </si>
  <si>
    <t>30-Mar-1992</t>
  </si>
  <si>
    <t>7676 2399 6379</t>
  </si>
  <si>
    <t>NARENDRA UPADHYAY</t>
  </si>
  <si>
    <t>RETIRED DISTRICT CO-OPERATIVE BANK MANAGER</t>
  </si>
  <si>
    <t>MAMTA UPADHYAY</t>
  </si>
  <si>
    <t>18/1, MAA MANABAI NIWAS, KAHARWADI_x000D_
RAMGHAT MARG, UJJAIN</t>
  </si>
  <si>
    <t>SANT MEERA CONVENT H.S. SCHOOL</t>
  </si>
  <si>
    <t>2007-Jul-02</t>
  </si>
  <si>
    <t>2008-Mar-31</t>
  </si>
  <si>
    <t>2009-Jul-01</t>
  </si>
  <si>
    <t>2010-Apr-01</t>
  </si>
  <si>
    <t>PRASHANTI INSTITUTE OF TECHNOLOGY AND SCIENCE UJJAIN</t>
  </si>
  <si>
    <t>2010-Aug-02</t>
  </si>
  <si>
    <t>2014-Jun-30</t>
  </si>
  <si>
    <t>2017-Aug-01</t>
  </si>
  <si>
    <t>2020-Feb-24</t>
  </si>
  <si>
    <t>MAHAKAL INSTITUTE OF TECHNOLOGY UJJAIN | TEACHING | UJJAIN | Jul 2015 | Aug 2021 | 6 Years, 1 Months, 9 Days | 2.1
MAHAKAL INSTITUTE OF TECHNOLOGY UJJAIN | TEACHING | UJJAIN | Jul 2015 | Aug 2021 | 6 Years, 1 Months, 9 Days | 2.1</t>
  </si>
  <si>
    <t>146 month(s)</t>
  </si>
  <si>
    <t>SHUBHAM DEVELOPERS | SITE EXECUTION AND CONTROL | AHMEDABAD | Apr 2022 | Jul 2022 | 12 Weeks
UJJAIN MUNICIPAL CORPORATION UJJAIN | SITE ENGINEER | UJJAIN | Jun 2013 | Jul 2013 | 4 Weeks</t>
  </si>
  <si>
    <t>AP21394</t>
  </si>
  <si>
    <t>Shivani Purushottam Raut</t>
  </si>
  <si>
    <t>ap21394@ms.nicmar.ac.in</t>
  </si>
  <si>
    <t>5000 9581 7332</t>
  </si>
  <si>
    <t>PURUSHOTTAM RAUT</t>
  </si>
  <si>
    <t>JYOTSNA RAUT</t>
  </si>
  <si>
    <t>23, Shahane Layout, Trimurti Nagar, Nagpur</t>
  </si>
  <si>
    <t>23, SHAHANE LAYOUT, TRIMURTI NAGAR, NAGPUR</t>
  </si>
  <si>
    <t>SOMALWAR RAMDASPETH HIGH SCHOOL, NAGPUR</t>
  </si>
  <si>
    <t>COLLIERS | INDUSTRIAL LOGISTICS  | PUNE | Apr 2022 | Jun 2022 | 7 Weeks</t>
  </si>
  <si>
    <t>AP21507</t>
  </si>
  <si>
    <t>AASHRITH</t>
  </si>
  <si>
    <t>G B</t>
  </si>
  <si>
    <t>Aashrith Kushal G B</t>
  </si>
  <si>
    <t>ap21507@ms.nicmar.ac.in</t>
  </si>
  <si>
    <t>ENGLISH, HINDI, TELUGU, KANNADA</t>
  </si>
  <si>
    <t>2145 6746 2454</t>
  </si>
  <si>
    <t>G BADARINATH</t>
  </si>
  <si>
    <t>MINING CONSULTANT</t>
  </si>
  <si>
    <t>G SHAILAJA</t>
  </si>
  <si>
    <t>#101, Ambica Avenue Apartments, 2nd Cross, Panduranga Nagar</t>
  </si>
  <si>
    <t>Hindupur</t>
  </si>
  <si>
    <t>#101, AMBICA AVENUE APARTMENTS, 2ND CROSS, PANDURANGA NAGAR</t>
  </si>
  <si>
    <t>HINDUPUR</t>
  </si>
  <si>
    <t>2014-Jun-11</t>
  </si>
  <si>
    <t>2015-Apr-07</t>
  </si>
  <si>
    <t>FIITJEE</t>
  </si>
  <si>
    <t>HYDERABAD / TELANGANA</t>
  </si>
  <si>
    <t>2015-May-11</t>
  </si>
  <si>
    <t>2017-Apr-10</t>
  </si>
  <si>
    <t>NAGARJUNA COLLEGE OF ENGINEERING AND TECHNOLOGY, BANGALORE</t>
  </si>
  <si>
    <t>RAMI REDDY CONSTRUCTIONS | SITE EXECUTION  | ATTAPUR, HYDERABAD  | Apr 2022 | Jun 2022 | 8 Weeks</t>
  </si>
  <si>
    <t>AP21232</t>
  </si>
  <si>
    <t>Harikrishna K S</t>
  </si>
  <si>
    <t>KRISHNAKSHARI10@GMAIL.COM</t>
  </si>
  <si>
    <t>ap21232@ms.nicmar.ac.in</t>
  </si>
  <si>
    <t>8199 0587 1003</t>
  </si>
  <si>
    <t>SAJU K S</t>
  </si>
  <si>
    <t>SINDHU</t>
  </si>
  <si>
    <t>KRISHNA BHAVAN, POOTHOTTA P.O.,</t>
  </si>
  <si>
    <t>BHAVANS NEWSPRINT VIDYALAYA, VELLOOR</t>
  </si>
  <si>
    <t>KSHETHRA PRAVESHANA MEMORIAL HIGHER SECONDARY SCHOOL, MANAKUNNAM</t>
  </si>
  <si>
    <t>BOARD OF HIGHER SECONDARY EXAMINATION, THIRUVANANTHAPURAM</t>
  </si>
  <si>
    <t>RAJAGIRI SCHOOL OF ENGINEERING AND TECHNOLOGY, KAKKANAD</t>
  </si>
  <si>
    <t>KELTRON | WAS GIVEN THE RESPONSBILITY OF SETTING OUT A PART OF THE LAND. | KOCHI | Jul 2018 | Jul 2018 | 0 Weeks
EXPERTS HUB INDUSTRY SKILL DEVELOPMENT CENTER | MEASURED AND RECORDED OPENINGS AND DISTANCES WHERE CONSTRUCTION WAS CARRIED OUT. | BANGALORE | Jan 2019 | Jan 2019 | 0 Weeks
SHUBHAM DEVELOPERS | SITE EXECUTION AND CONTROL | AHMEDABAD, GUJARAT  | Apr 2022 | Jul 2022 | 12 Weeks</t>
  </si>
  <si>
    <t>AP21233</t>
  </si>
  <si>
    <t>TILWANI</t>
  </si>
  <si>
    <t>Nupur Tilwani</t>
  </si>
  <si>
    <t>NUPURTILWANI01@GMAIL.COM</t>
  </si>
  <si>
    <t>ap21233@ms.nicmar.ac.in</t>
  </si>
  <si>
    <t>3932 0817 4388</t>
  </si>
  <si>
    <t>DILIP KUMAR TILWANI</t>
  </si>
  <si>
    <t>VIJYANTI TILWANI</t>
  </si>
  <si>
    <t>A-302,SAMRAT SWASTIK SOCIETY, OPP. TO SHANKARMATH TEMPLE, VAIDWADI CHOWK, HADAPSAR</t>
  </si>
  <si>
    <t>ALL SAINTS SENIOR SECONDARY SCHOOL</t>
  </si>
  <si>
    <t>2013-May-30</t>
  </si>
  <si>
    <t>2015-May-25</t>
  </si>
  <si>
    <t>YASHWANTRAO CHAVAN MAHARASHTRA OPEN UNIVERSITY</t>
  </si>
  <si>
    <t>ALLANA COLLEGE OF ARCHITECTURE</t>
  </si>
  <si>
    <t>AutoCAD,MS Project,PHOTOSHOP, REVIT, SKETCHUP, ARCHICAD</t>
  </si>
  <si>
    <t>AC&amp;DS (RENIAAG) | DESIGN CONSULTANT | Pune | Feb 2021 | Jun 2021 | 0 Years, 4 Months, 8 Days | 2.14
AC&amp;DS (RENIAAG) | DESIGN CONSULTANT | Pune | Feb 2021 | Jun 2021 | 0 Years, 4 Months, 8 Days | 2.14</t>
  </si>
  <si>
    <t>NISAR PATHAN AND ASSOCIATES | ARCHITECTURAL INTERN | PUNE | Aug 2019 | Nov 2019 | 16 Weeks
ECOFIRST SERVICES LIMITED | ARCHITECTURAL INTERN | PUNE | Dec 2019 | Jun 2020 | 26 Weeks
MAHINDRA LIFESPACE DEVELOPERS LTD | PROJECT INTERN | KALYAN  | Apr 2022 | Jul 2022 | 10 Weeks</t>
  </si>
  <si>
    <t>AP21234</t>
  </si>
  <si>
    <t>Abhinav Tripathi</t>
  </si>
  <si>
    <t>atabhinav79@gmail.com</t>
  </si>
  <si>
    <t>ap21234@ms.nicmar.ac.in</t>
  </si>
  <si>
    <t>07-Sep-1995</t>
  </si>
  <si>
    <t>2898 6947 8645</t>
  </si>
  <si>
    <t>RAJENDRA TRIPATHI</t>
  </si>
  <si>
    <t>MAMTA TRIPATHI</t>
  </si>
  <si>
    <t>H. NO.- 64,SARASWATI NAGAR, NEAR SARASWATI SHISHU MANDIR</t>
  </si>
  <si>
    <t>Gaurela</t>
  </si>
  <si>
    <t>H.NO.-64, SARASWATI NAGAR, NEAR SARASWATI SHISHU MANDIR</t>
  </si>
  <si>
    <t>CHHATTISGARH BOARD OF SECONDARY EDUCATION</t>
  </si>
  <si>
    <t>BANSAL INSTITUTE OF SCIENCE AND TENCHNOLOGY</t>
  </si>
  <si>
    <t>2017-Dec-01</t>
  </si>
  <si>
    <t>SRISHTI INFRABUILD PRIVATE LIMITED | SITE EXECUTIVE | BILASPUR, CHHATTISGARH  | Dec 2020 | Sep 2021 | 39 Weeks
RISHABH BUILDTECH INDIA PRIVATE LIMITED | CONSTRUCTION MANAGEMENT TRAINEE | RAIPUR, CHHATTISGARH  | May 2022 | Jul 2022 | 8 Weeks</t>
  </si>
  <si>
    <t>AP21235</t>
  </si>
  <si>
    <t>VENKATA SAI KRISHNA TEJA</t>
  </si>
  <si>
    <t>VADDADI</t>
  </si>
  <si>
    <t>Venkata Sai Krishna Teja Vaddadi</t>
  </si>
  <si>
    <t>SAIKRISHNATEJA.V.V@GMAIL.COM</t>
  </si>
  <si>
    <t>ap21235@ms.nicmar.ac.in</t>
  </si>
  <si>
    <t>6728 3610 6015</t>
  </si>
  <si>
    <t>VADDADI VENKATA RAVI KUMAR</t>
  </si>
  <si>
    <t>OFFICE  BOY</t>
  </si>
  <si>
    <t>VADDADI GITHA MEENA DEVI</t>
  </si>
  <si>
    <t>GF-4, BLOCK NO-4, TYPE-1, YSR NAGAR, KOMMADI</t>
  </si>
  <si>
    <t>9-170, ASHTALAKSHMI TEMPLE, OPPOSITE SIRI NIVAS APARTMENT, NEAR GAYATRI ENGINEERING COLLEGE, KOMMADI</t>
  </si>
  <si>
    <t>SRI VENKATESWARA VIDYA PEETH</t>
  </si>
  <si>
    <t>CHAITANYA ENGINEERING COLLEGE</t>
  </si>
  <si>
    <t>GAYATRI VIDYA PARISHAD COLLEGE  FOR DEGREE AND PG COURSES SCHOOL OF ENGINEERING</t>
  </si>
  <si>
    <t>AutoCAD,MS Office,MS Project,TABLEAU</t>
  </si>
  <si>
    <t>MARK FACILITY MANAGEMENT SERVICE | SITE EXECUTION-CIVIL | KOCHI, KERALA | Jan 2020 | Jul 2021 | 1 Years, 6 Months, 11 Days | 3
HINDUSTAN CONSTRUCTION COMPANY | SITE EXECUTION | MUMBAI, MAHARASHTRA | May 2018 | Jan 2020 | 1 Years, 8 Months, 3 Days | 2.7
MARK FACILITY MANAGEMENT SERVICE | SITE EXECUTION-CIVIL | KOCHI, KERALA | Jan 2020 | Jul 2021 | 1 Years, 6 Months, 11 Days | 3
HINDUSTAN CONSTRUCTION COMPANY | SITE EXECUTION | MUMBAI, MAHARASHTRA | May 2018 | Jan 2020 | 1 Years, 8 Months, 3 Days | 2.7</t>
  </si>
  <si>
    <t>76 month(s)</t>
  </si>
  <si>
    <t>GREATER VISAKHAPATNAM MUNICIPAL CORPORATION | INTERNSHIP TRAINEE- SUPERVISION OF CONSTRUCTION AND REPAIR WORKS AT A MUNICIPALITY | VISAKHAPATNAM | May 2017 | May 2017 | 3 Weeks
VISAKHAPATNAM PORT TRUST | MONITORING MAINTENANCE AND CONSTRUCTION OF VARIOUS STRUCTURES, ASSISTING JUNIOR ENGINEER FOR QUANTITY ESTIMATION OF PROPOSED STRUCTURES,  CALCULATING QUANTITY OF DEBRIS/EARTH TO REMOVE FOR ROAD LAYING | VISAKHAPATNAM | Dec 2014 | Jun 2015 | 25 Weeks
BANGALORE METRO RAIL CORPORATION LTD | PROJECT MANAGEMENT INTERN | BENGALURU | Apr 2022 | Jul 2022 | 9 Weeks</t>
  </si>
  <si>
    <t>AP21236</t>
  </si>
  <si>
    <t>PARETA</t>
  </si>
  <si>
    <t>Dheeraj Pareta</t>
  </si>
  <si>
    <t>dpareta82@gmail.com</t>
  </si>
  <si>
    <t>ap21236@ms.nicmar.ac.in</t>
  </si>
  <si>
    <t>9717 0031 2750</t>
  </si>
  <si>
    <t>TRILOK CHAND PARETA</t>
  </si>
  <si>
    <t>HEMLATA PARETA</t>
  </si>
  <si>
    <t>139, BHILO KA MOHALLA, RANPUR</t>
  </si>
  <si>
    <t>C-37 ,SUBHASH NAGAR 2ND, RANGBARI</t>
  </si>
  <si>
    <t>ADARSH BAL NIKETAN SENIOR SECONDARY SCHOOL</t>
  </si>
  <si>
    <t>GOVERNMENT ENGINEERING COLLEGE, JHALAWAR</t>
  </si>
  <si>
    <t>AutoCAD,MS Office,MS Project,Primavera,ADVANCED EXCEL</t>
  </si>
  <si>
    <t>NATIONAL INSTITUTE OF TECHNOLOGY KARNATAKA SURATKAL | STUDENT | SURATKAL  | Jun 2018 | Jul 2018 | 4 Weeks
KGV  INFRA PRIVATE LIMITED | SITE ENGINEER | KOTA (RAJASTHAN) | May 2019 | Jun 2019 | 8 Weeks
SANGINI GROUP | SITE EXECUTION, MATERIAL PROCUREMENT | SURAT , GUJARAT,INDIA | Apr 2022 | Jul 2022 | 9 Weeks</t>
  </si>
  <si>
    <t>AP21237</t>
  </si>
  <si>
    <t>HARSHIL</t>
  </si>
  <si>
    <t>PARSANA</t>
  </si>
  <si>
    <t>Harshil Sanjay Parsana</t>
  </si>
  <si>
    <t>HARSHILPARSANA@GMAIL.COM</t>
  </si>
  <si>
    <t>ap21237@ms.nicmar.ac.in</t>
  </si>
  <si>
    <t>4038 0374 0328</t>
  </si>
  <si>
    <t>SANJAYBHAI HARIBHAI PARSANA</t>
  </si>
  <si>
    <t>CONSULTING CIVIL ENGINEER</t>
  </si>
  <si>
    <t>HINABEN SANJAYBHAI PARSANA</t>
  </si>
  <si>
    <t>URJA, 4- CHITRAKUTEDHAM SOC., OPP. 7- PANCHVATI SOC., AKSHAR MARG, RAJKOT</t>
  </si>
  <si>
    <t>PANDIT DEENDAYAL PETROLEUM UNIVERSITY</t>
  </si>
  <si>
    <t>PANDIT DEENDAYAL PETROLEUM UNIVERSITY SCHOOL OF TECHNOLOGY</t>
  </si>
  <si>
    <t>PATEL INFRASTRUCTURE LIMITED | INDUSTRIAL TRAINEE | AHMEDABAD | Dec 2019 | Mar 2020 | 12 Weeks
PATEL INFRASTRUCTURE LIMITED | JUNIOR ENGINEER  | GANDHINAGAR  | Apr 2022 | Jun 2022 | 8 Weeks</t>
  </si>
  <si>
    <t>AP21238</t>
  </si>
  <si>
    <t>Deshmukh Sohan Suhas</t>
  </si>
  <si>
    <t>sohand1811@gmail.com</t>
  </si>
  <si>
    <t>ap21238@ms.nicmar.ac.in</t>
  </si>
  <si>
    <t>7324 6873 7669</t>
  </si>
  <si>
    <t>SUHAS RAGHUNATH DESHMUKH</t>
  </si>
  <si>
    <t>INDIAN CUSTOMS OFFICER</t>
  </si>
  <si>
    <t>PRATIBHA SUHAS DESHMUKH</t>
  </si>
  <si>
    <t>B-05, ROOM NO.-01, GOKURNA SOCIETY,MAHARANA PRATAP ROAD, NEAR TALOKA POLICE STATION, PATEL PARK PARDESHI ALI.</t>
  </si>
  <si>
    <t>KONKAN EDUCATION SOCIETY'S INDUBAI A. WAJEKAR ENGLISH MEDIUM SECONDARY SCHOOL, PANVEL</t>
  </si>
  <si>
    <t>PILLAI HOC POLYTECHNIC, RASAYANI</t>
  </si>
  <si>
    <t>PILLAI HOC COLLEGE OF ENGINEERING AND TECHNOLOGY , RASAYANI.</t>
  </si>
  <si>
    <t>AutoCAD,MS Office,MS Project,Primavera,TABLEAU , ADOBE LIGHTROOM.</t>
  </si>
  <si>
    <t>PUBLIC WORKS DEPARTMENT PANVEL DIVISION | SUPERVISOR | PANVEL - NAVI MUMBAI  | Dec 2019 | Jan 2020 | 4 Weeks
THREE HUNDRED AND SIXTY BUILDERS AND DEVELOPERS | SUPERVISOR | PANVEL - NAVI MUMBAI  | Apr 2021 | Jul 2021 | 13 Weeks
DONGRE PROJECT MANAGEMENT CONSULTANTS PVT LTD | MANAGEMENT TRAINEE | MUMBAI - VILE PARLE  | Apr 2022 | Jun 2022 | 8 Weeks</t>
  </si>
  <si>
    <t>AP21239</t>
  </si>
  <si>
    <t>DAGA</t>
  </si>
  <si>
    <t>Harshal Daga</t>
  </si>
  <si>
    <t>HARSHALDAGA.CE@GMAIL.COM</t>
  </si>
  <si>
    <t>ap21239@ms.nicmar.ac.in</t>
  </si>
  <si>
    <t>7781 8748 0972</t>
  </si>
  <si>
    <t>NATWAR</t>
  </si>
  <si>
    <t>RAJESHREE</t>
  </si>
  <si>
    <t>1-2-234/13/10/A/1,FLAT NO-504, LEGEND RAM APT, ARAVIND NAGAR,DOMALGUDA,HIMAYATHNAGAR</t>
  </si>
  <si>
    <t>HOWARD PUBLIC SCHOOL</t>
  </si>
  <si>
    <t>MALLA REDDY ENGINEERING COLLEGE - AUTONOMOUS, HYDERABAD</t>
  </si>
  <si>
    <t>MALLA REDDY ENGINEERING COLLEGE - AUTONOMOUS , HYDERABAD</t>
  </si>
  <si>
    <t>GAR PROPERTY DEVELOPMENT SERCICES PVT. LTD. | GET - STRUCTURES | KOKAPET, HYDERABAD | Jan 2020 | Feb 2021 | 1 Years, 0 Months, 20 Days | 1.92
GAR PROPERTY DEVELOPMENT SERCICES PVT. LTD. | GET - STRUCTURES | KOKAPET, HYDERABAD | Jan 2020 | Feb 2021 | 1 Years, 0 Months, 20 Days | 1.92</t>
  </si>
  <si>
    <t>J KUMAR INFRAPROJECTS LTD | QUALITY TESTS FOR MUMBAI METRO PROJECT | BANDRA KURLA COMPLEX, MUMBAI | Jun 2018 | Jul 2018 | 4 Weeks
JSW BPSL | PURCHASE AND PROCUREMENT INTERN | JHARSUGUDA, ODISHA | May 2022 | Jun 2022 | 8 Weeks</t>
  </si>
  <si>
    <t>AP21242</t>
  </si>
  <si>
    <t>PADHI</t>
  </si>
  <si>
    <t>Ronak Padhi</t>
  </si>
  <si>
    <t>ronak.y98@gmail.com</t>
  </si>
  <si>
    <t>ap21242@ms.nicmar.ac.in</t>
  </si>
  <si>
    <t>06-Oct-1999</t>
  </si>
  <si>
    <t>2509 9787 4014</t>
  </si>
  <si>
    <t>SIBA PRASAD PADHI</t>
  </si>
  <si>
    <t>SUNANDA PADHI</t>
  </si>
  <si>
    <t>B1/9, LINGARAJVIHAR POKHARIPUT BHUBANESWAR ODISHA 751020</t>
  </si>
  <si>
    <t>UCPL, JAGANNATH COLONY, BURLA</t>
  </si>
  <si>
    <t>MANIPAL INSITIUTE OF TECHNOLOGY</t>
  </si>
  <si>
    <t>AutoCAD,MS Office,BIM, SKETCHUP</t>
  </si>
  <si>
    <t>UDRA CONSTRUCTIONS | TRAINEE | MANGALORE  | May 2022 | Jul 2022 | 10 Weeks</t>
  </si>
  <si>
    <t>AP21243</t>
  </si>
  <si>
    <t>CHANDRASHEKAR</t>
  </si>
  <si>
    <t>Chandrashekar K</t>
  </si>
  <si>
    <t>kcs271997@gmail.com</t>
  </si>
  <si>
    <t>ap21243@ms.nicmar.ac.in</t>
  </si>
  <si>
    <t>2000 8294 4156</t>
  </si>
  <si>
    <t>KABILAN K</t>
  </si>
  <si>
    <t>VETRISELVI ERN</t>
  </si>
  <si>
    <t>220/A ,TNHB, AVADI,BEHIND SHIVA VISHNU TEMPLE.</t>
  </si>
  <si>
    <t>DAYANAND ANGLO VEDIC BOYS SENIOR SECONDARY SCHOOL</t>
  </si>
  <si>
    <t>DAYANAND ANGLO VEDIC SCHOOL BOYS SENIOR SECONDARY SCHOOL</t>
  </si>
  <si>
    <t>AutoCAD,MS Office,MS EXCEL , REVIT ARCHITECTURE</t>
  </si>
  <si>
    <t>ENGINEERING PROJECT MANAGEMENT CONSULTANCY AND RESEARCH PVT LTD | 1)SCHEDULING OF ACTIVITIES 2)PREPARATION OF SITE REPORT 3)ASSISTING PROJECT MANAGERS AND ENGINEERS IN SAFETY AND QUALITY CHECKS 4) IMPLEMENTING LEAN TECHNIQUES IN SITE EXECUTION | SRM-RAMAPURAM CHENNAI | May 2022 | Jun 2022 | 7 Weeks</t>
  </si>
  <si>
    <t>AP21244</t>
  </si>
  <si>
    <t>APOORVA</t>
  </si>
  <si>
    <t>NAIVEDYAM</t>
  </si>
  <si>
    <t>Apoorva Naivedyam</t>
  </si>
  <si>
    <t>APOORVA.NAIVEDYAM@GMAIL.COM</t>
  </si>
  <si>
    <t>ap21244@ms.nicmar.ac.in</t>
  </si>
  <si>
    <t>13-Jun-1996</t>
  </si>
  <si>
    <t>7499 5524 0934</t>
  </si>
  <si>
    <t>KUMAR NAVIN</t>
  </si>
  <si>
    <t>REAL ESTATE BUSINESSMAN</t>
  </si>
  <si>
    <t>BINDU SHARMA</t>
  </si>
  <si>
    <t>GAURI BHAWAN, SHIVPURI, ROAD NO 2, NEAR RAJDHANI GAS GODOWN</t>
  </si>
  <si>
    <t>DAV PUBLIC SCHOOL BSEB</t>
  </si>
  <si>
    <t>L&amp;T Construction Private Limited | QA/QC Department | Ahmedabad, Gujarat | Jul 2019 | Dec 2019 | 0 Years, 5 Months, 28 Days | 6.5
L&amp;T Construction Private Limited | QA/QC Department | Ahmedabad, Gujarat | Jul 2019 | Dec 2019 | 0 Years, 5 Months, 28 Days | 6.5</t>
  </si>
  <si>
    <t>GAMMON INDIA LIMITED | QA/QC DEPARTMENT | PATNA | May 2017 | Jun 2017 | 4 Weeks
BIHAR STATE ROAD DEVELOPMENT CORPORATION LIMITED | QA/QC AND SITE EXECUTION | PATNA | May 2018 | Jun 2018 | 3 Weeks
APEX GROUP OF COMPANIES | Ã¢â‚¬Â¢	WORKED AS A BUSINESS ANALYST IN THE STRATEGY DEPARTMENT OF THE COMPANY, CLOSELY WORKING WITH THE DECISION MAKERS OF VARIOUS PROJECTS Ã¢â‚¬Â¢	HANDLED INITIATION PART OF GO2INDIA AND AHILYA PROJECTS Ã¢â‚¬Â¢ | MUMBAI, INDIA | Apr 2022 | Jul 2022 | 11 Weeks</t>
  </si>
  <si>
    <t>AP21245</t>
  </si>
  <si>
    <t>ABISHAKE</t>
  </si>
  <si>
    <t>T Abishake</t>
  </si>
  <si>
    <t>ABISHAKE5@HOTMAIL.COM</t>
  </si>
  <si>
    <t>ap21245@ms.nicmar.ac.in</t>
  </si>
  <si>
    <t>2960 2091 8935</t>
  </si>
  <si>
    <t>THIRUVENKADAM</t>
  </si>
  <si>
    <t>NO.27, 2ND CROSS STREET, VGP MURPHY SQUARE, ALANDUR</t>
  </si>
  <si>
    <t>THE PSBB MILLENNIUM SCHOOL</t>
  </si>
  <si>
    <t>2016-Jun-02</t>
  </si>
  <si>
    <t>2017-Aug-09</t>
  </si>
  <si>
    <t>2021-Jun-29</t>
  </si>
  <si>
    <t>EXPERTSHUB | GROUP PROJECT TO BE SUBMITTED AT THE END OF INTERNSHIP. | HYDERABAD | Dec 2019 | Dec 2019 | 0 Weeks
PUBLIC WORKS DEPARTMENT | SITE INSPECTIONS. MODELLING OF ADMIN BLOCK. PLANNING AND MODELLING STP. | UDHAGAMANDALAM | Dec 2020 | Mar 2021 | 12 Weeks
ARRR CONSTRUCTIONS CHENNAI PRIVATE LIMITED | SITE INSPECTIONS, SALES AND MARKETING, RESOURCE PLANNING &amp; SCHEDULING | CHENNAI | May 2022 | Jun 2022 | 8 Weeks</t>
  </si>
  <si>
    <t>AP21246</t>
  </si>
  <si>
    <t>SANKPAL</t>
  </si>
  <si>
    <t>Satyam Sachin Sankpal</t>
  </si>
  <si>
    <t>SATYAMSANKPAL3842@GMAIL.COM</t>
  </si>
  <si>
    <t>ap21246@ms.nicmar.ac.in</t>
  </si>
  <si>
    <t>ENGLISH, HINDHI ,MARATHI.</t>
  </si>
  <si>
    <t>5053 7378 6702</t>
  </si>
  <si>
    <t>SACHIN VASANTRAO SANKPAL</t>
  </si>
  <si>
    <t>SIDDHI SACHIN SANKPAL</t>
  </si>
  <si>
    <t>ASSISTANT COMMISSIONER GST</t>
  </si>
  <si>
    <t>740/1 PLOT NO. 3 , SHRI KRISHNA COLONY , SAMBHAJI NAGAR STAND ROAD , NEAR KRISHNA HOSPITAL</t>
  </si>
  <si>
    <t>1703 B, BHAVYA DARSHAN APARTMENT, D.N. SINGH ROAD NO 2 ,HATTIBAUGH , LOVE LANE ,MAZGAON</t>
  </si>
  <si>
    <t>KOLHAPUR PUBLIC SCHOOL</t>
  </si>
  <si>
    <t>K.J.SOMAIYA POLYTECNIC</t>
  </si>
  <si>
    <t>RUPAREL REALTY | SITE EXECUTION | WADALA, MUMBAI | Mar 2021 | Jul 2021 | 0 Years, 3 Months, 12 Days | 0.6
RUPAREL REALTY | SITE EXECUTION | WADALA, MUMBAI | Mar 2021 | Jul 2021 | 0 Years, 3 Months, 12 Days | 0.6</t>
  </si>
  <si>
    <t>CENTRAL RAILWAY GOVERNMENT OF INDIA | TRAINEE ENGINEER | MUMBAI | Jun 2019 | Jul 2019 | 4 Weeks
PADECO CONSULTANT PVT LTD | TRAINEE ENGINEER | MUMBAI | Dec 2018 | Jan 2019 | 4 Weeks
LARSEN AND TOUBRO REALTY | SUMMER INTERN | POWAI, MUMBAI | Apr 2022 | Jul 2022 | 13 Weeks</t>
  </si>
  <si>
    <t>AP21247</t>
  </si>
  <si>
    <t>Tarun Singh</t>
  </si>
  <si>
    <t>TARUN.DPS97@GMAIL.COM</t>
  </si>
  <si>
    <t>ap21247@ms.nicmar.ac.in</t>
  </si>
  <si>
    <t>8887 3594 2036</t>
  </si>
  <si>
    <t>NAVEEN KUMAR SINGH</t>
  </si>
  <si>
    <t>PRIVATE JOB EMPLOYEE</t>
  </si>
  <si>
    <t>A2/48 TAGORE ENCLAVE ,TAGORE TOWN</t>
  </si>
  <si>
    <t>UDRA CONSTRUCTION | SITE TRAINEE | MANGALORE | Oct 2020 | Dec 2020 | 10 Weeks
PNC INFRATECH | TRAINEE | UNNAO, UTTAR PRADESH | Jun 2022 | Aug 2022 | 8 Weeks</t>
  </si>
  <si>
    <t>AP21248</t>
  </si>
  <si>
    <t>SAKHARE</t>
  </si>
  <si>
    <t>Vedant Diliprao Sakhare</t>
  </si>
  <si>
    <t>VEDANTSAKHARE07@GMAIL.COM</t>
  </si>
  <si>
    <t>ap21248@ms.nicmar.ac.in</t>
  </si>
  <si>
    <t>07-May-1998</t>
  </si>
  <si>
    <t>6897 5988 7597</t>
  </si>
  <si>
    <t>DILIP RUPRAO SAKHARE</t>
  </si>
  <si>
    <t>CHARUSHILA DILIP SAKHARE</t>
  </si>
  <si>
    <t>61, DR. PANJABRAO DESHMUKH COLONY, KATHORA NAKA.</t>
  </si>
  <si>
    <t>GOLDEN KIDS ENGLISH HIGH SCHOOL</t>
  </si>
  <si>
    <t>INDEPENDENT JR. COLLEGE OF OF SCIENCE , RURAL INSTITUTE, AMRAVATI</t>
  </si>
  <si>
    <t>INSTITUTE OF DESIGN EDUCATION AND ARCHITECTURE STUDIES NAGPUR</t>
  </si>
  <si>
    <t>AutoCAD,MS Office,MS Project,Primavera,LUMION, SKETCH UP, PHOTOSHOP, REVIT.</t>
  </si>
  <si>
    <t>DSIGNATURE AIG | ARCHITECTURAL INTERN , PLANNING COORDINATOR , SITE COORDINATOR | PUNE | Jan 2020 | Aug 2020 | 31 Weeks
ECOFIRST SERVICE LIMITED A TATA ENTERPRISE | DESIGN AND PMC COORDINATION (INTERIOR FIT-OUT). | PUNE | Apr 2022 | Jul 2022 | 9 Weeks</t>
  </si>
  <si>
    <t>AP21249</t>
  </si>
  <si>
    <t>Aakash Srivastav</t>
  </si>
  <si>
    <t>aakashsrivastav@gmail.com</t>
  </si>
  <si>
    <t>ap21249@ms.nicmar.ac.in</t>
  </si>
  <si>
    <t>15-Aug-1996</t>
  </si>
  <si>
    <t>5365 6969 1003</t>
  </si>
  <si>
    <t>BACHCHAN PRASAD SRIVASTAV</t>
  </si>
  <si>
    <t>RETD FROM PODDAR PROJRCT LTD</t>
  </si>
  <si>
    <t>PINKI SRIVASTAV</t>
  </si>
  <si>
    <t>VILL MAKHPA POST CHIRAILI TEHATI GAYA</t>
  </si>
  <si>
    <t>106 MUNDESHWARIS PUSHPANJALI APARTMENT DANAPUR KHAGUL ROAD DANAPUR</t>
  </si>
  <si>
    <t>JAI HIND PUBLIC SCHOOL</t>
  </si>
  <si>
    <t>RP SHARMA INSTITUTE OF TECHNOLOGY</t>
  </si>
  <si>
    <t>AutoCAD,MS Office,MS Project,Primavera,@RISK</t>
  </si>
  <si>
    <t>DALMIA BHARAT CEEMNT LIMITED(TEAMLEASE SERVICES LIMITED) | TECHNICAL SERVICE ENGINEER | KATIHAR | Aug 2018 | Mar 2020 | 1 Years, 7 Months, 14 Days | 3.39
AMBUJA CEMENT LIMITED | TECHNICAL SERVICE ENGINEER | PATNA | Feb 2021 | May 2021 | 0 Years, 3 Months, 30 Days | 1.81
DALMIA BHARAT CEEMNT LIMITED(TEAMLEASE SERVICES LIMITED) | TECHNICAL SERVICE ENGINEER | KATIHAR | Aug 2018 | Mar 2020 | 1 Years, 7 Months, 14 Days | 3.39
AMBUJA CEMENT LIMITED | TECHNICAL SERVICE ENGINEER | PATNA | Feb 2021 | May 2021 | 0 Years, 3 Months, 30 Days | 1.81</t>
  </si>
  <si>
    <t>GAMMON INDIA LIMITED | SITE ENGINEEER | PATNA | Jan 2016 | Feb 2016 | 4 Weeks
BIHAR STATE ROAD DEVELOPMENT CORPORATION LIMITED | SITE ENGINEEER | PATNA | Dec 2015 | Jan 2016 | 4 Weeks
HINDALCO INDUSTRIES LIMITED | PROJECT SCHEDULING AND CONSTRUCTION | SILVASSA | May 2022 | Jul 2022 | 9 Weeks</t>
  </si>
  <si>
    <t>AP21250</t>
  </si>
  <si>
    <t>NIRVIK</t>
  </si>
  <si>
    <t>Nirvik Roy</t>
  </si>
  <si>
    <t>roynirvik.99@gmail.com</t>
  </si>
  <si>
    <t>ap21250@ms.nicmar.ac.in</t>
  </si>
  <si>
    <t>BENGALI,ENGLISH,HINDI</t>
  </si>
  <si>
    <t>9818 2393 0293</t>
  </si>
  <si>
    <t>SWAPAN KUMAR ROY</t>
  </si>
  <si>
    <t>SWATI ROY</t>
  </si>
  <si>
    <t>WEST APCAR GARDEN GT ROAD, ASANSOL</t>
  </si>
  <si>
    <t>Asansol</t>
  </si>
  <si>
    <t>ST PATRICKS HS SCHOOL</t>
  </si>
  <si>
    <t>2014-Apr-01</t>
  </si>
  <si>
    <t>2015-May-18</t>
  </si>
  <si>
    <t>2016-Apr-01</t>
  </si>
  <si>
    <t>ASANSOL ENGINEERING COLLEGE</t>
  </si>
  <si>
    <t>GAMMON INDIA AND CONTACTORS PVT LTD | VOCATIONAL TRAINING | KOLKATA | Jan 2020 | Feb 2020 | 2 Weeks
SINGHANIA BUILDCON PRIVATE LIMITED | CONSTRUCTION MANAGEMENT TRAINEE | RAIPUR | May 2022 | Jul 2022 | 8 Weeks</t>
  </si>
  <si>
    <t>AP21251</t>
  </si>
  <si>
    <t>YATA RAJ</t>
  </si>
  <si>
    <t>Yata Raj Sandeep</t>
  </si>
  <si>
    <t>raj.sandeep.2412@gmail.com</t>
  </si>
  <si>
    <t>ap21251@ms.nicmar.ac.in</t>
  </si>
  <si>
    <t>12-Sep-1999</t>
  </si>
  <si>
    <t>5145 3830 4426</t>
  </si>
  <si>
    <t>YATA VEERA VENKATA VARA PRASAD</t>
  </si>
  <si>
    <t>YATA PADMAVATHI</t>
  </si>
  <si>
    <t>PLOT NO.81, 6TH CROSS ROAD, MOTHERAJKUMAR NAGAR, PATHEBADA</t>
  </si>
  <si>
    <t>2017-Aug-07</t>
  </si>
  <si>
    <t>S R ASHOK AND ASSOCIATES PRIVATE LIMITED | SITE ENGINEER | HYDERABAD | Dec 2019 | Dec 2019 | 2 Weeks
KARTHIKEYAN ASSOCIATES | SITE ENGINEER | CHENNAI | Feb 2021 | Apr 2021 | 7 Weeks
SUNTECK REALTY LTD | PLANNING INTERN | MUMBAI | May 2022 | Jun 2022 | 7 Weeks</t>
  </si>
  <si>
    <t>AP21252</t>
  </si>
  <si>
    <t>SHRUSHTI</t>
  </si>
  <si>
    <t>Shrushti Ajay Patil</t>
  </si>
  <si>
    <t>shrushtipatil9099@gmail.com</t>
  </si>
  <si>
    <t>ap21252@ms.nicmar.ac.in</t>
  </si>
  <si>
    <t>11-Mar-1998</t>
  </si>
  <si>
    <t>ENGLISH, HINDI, TELUGU, MARATHI</t>
  </si>
  <si>
    <t>7997 5360 2142</t>
  </si>
  <si>
    <t>AJAY RAMRAO PATIL</t>
  </si>
  <si>
    <t>PRIYA  AJAY PATIL</t>
  </si>
  <si>
    <t>NEAR ZILA MADHVARI BANK, LOKMANYA TILAK WARD</t>
  </si>
  <si>
    <t>Pandhakarwada</t>
  </si>
  <si>
    <t>JAWAHARALAL DARDA ENGLISH MEDIUM SCHOOL AND JUNIOR COLLEGE</t>
  </si>
  <si>
    <t>INSTITUTE OF DESIGN EDUCATION AND ARCHITECTURAL STUDIES.</t>
  </si>
  <si>
    <t>AutoCAD,MS Office,MS Project,Primavera,LUMION, PHOTOSHOP, REVIT, SKETCHUP.</t>
  </si>
  <si>
    <t>SUHAS PURI AND ASSOCIATES | ARCHITECTURAL INTERN AND SITE CO-ORDINATION | YAVATMAL | Jun 2020 | Oct 2020 | 19 Weeks
VENUGOPAL AND ASSOCIATES | ARCHITECTURAL INTERN AND PLANNING CO-ORDINATION | UDAIPUR | Jan 2020 | May 2020 | 19 Weeks
ECOFIRST SERVICES LIMITED A TATA ENTERPRISE | DESIGN AND PMC COORDINATION INCLUDING INTERIOR FIT-OUT  | PUNE | Apr 2022 | Jul 2022 | 9 Weeks</t>
  </si>
  <si>
    <t>AP21253</t>
  </si>
  <si>
    <t>BALLAL</t>
  </si>
  <si>
    <t>Ajinkya Bhushan Ballal</t>
  </si>
  <si>
    <t>BALLALAJINKYA777@GMAIL.COM</t>
  </si>
  <si>
    <t>ap21253@ms.nicmar.ac.in</t>
  </si>
  <si>
    <t>5033 1227 5473</t>
  </si>
  <si>
    <t>BHUSHAN HARISH BALLAL</t>
  </si>
  <si>
    <t>VIJAYA BHUSHAN BALLAL</t>
  </si>
  <si>
    <t>TORANA APARTMENT FLAT NO 2, OPPOSITE TO SANCHAR PRESS BEHIND SL HOSPITAL, HOTAGI ROAD.</t>
  </si>
  <si>
    <t>VASTU BUILDERS AND DEVELOPERS | SITE ENGINEER | MUMBAI | Dec 2019 | Jan 2020 | 1 Weeks
SHREE GANESH ENTERPRISES | SITE ENGINEER | MUMBAI | Sep 2020 | Oct 2020 | 4 Weeks
MAHAVEER GROUP | SITE EXECUTION AND MANAGEMENT INTERN | BANGALORE  | Apr 2022 | Jun 2022 | 7 Weeks</t>
  </si>
  <si>
    <t>AP21254</t>
  </si>
  <si>
    <t>Aniket Shinde</t>
  </si>
  <si>
    <t>shindeaniket820@gmail.com</t>
  </si>
  <si>
    <t>ap21254@ms.nicmar.ac.in</t>
  </si>
  <si>
    <t>30-Mar-1998</t>
  </si>
  <si>
    <t>English, Marathi and HIndi</t>
  </si>
  <si>
    <t>3967 6573 2660</t>
  </si>
  <si>
    <t>DADARAO BAJIRAO SHINDE</t>
  </si>
  <si>
    <t>CRPF PERSONNEL</t>
  </si>
  <si>
    <t>USHA DADARAO SHINDE</t>
  </si>
  <si>
    <t>Plot No. 337, Near Hanuman Temple, Jijamata Nagar</t>
  </si>
  <si>
    <t>PLOT NO. 337, NEAR HANUMAN TEMPLE, JIJAMATA NAGAR</t>
  </si>
  <si>
    <t>MANIK MEMORIAL ARYAN HIGH SCHOOL</t>
  </si>
  <si>
    <t>YASHWANT MAHAVIDYALAY</t>
  </si>
  <si>
    <t>AutoCAD,MS Office,MS Project,Primavera,BIM, BLUEBEAM, SQL</t>
  </si>
  <si>
    <t>RAGHUKUL CONSTRUCTIONS PRIVATE LIMITED | STUDENT INTERN. ASSIST WITH DAILY FIELD OPERATIONS AND TAKE DIRECTIONS FROM SITE ENGINEERS FOR DAY TO DAY TASK. MAINTAIN DAILY LOG OF ACTIVITIES ON JOBSITE. | NAGPUR, MAHARASHTRA | Jun 2018 | Jul 2018 | 4 Weeks
KONKAN RAILWAY CORPORATION LIMITED | STUDENT INTERN. ACTIVE PARTICIPATION IN THE SUPERVISION AND COORDINATION OF SITE ACTIVITIES  AND OFFICE WORK ALONG WITH REPORTING TO SENIOR ENGINEER. | RAIGAD, MAHARASHTRA | Dec 2018 | Jan 2019 | 3 Weeks</t>
  </si>
  <si>
    <t>AP21255</t>
  </si>
  <si>
    <t>IFAN</t>
  </si>
  <si>
    <t>Mohammed Ayub Ifan</t>
  </si>
  <si>
    <t>AYUB.IFAN99@GMAIL.COM</t>
  </si>
  <si>
    <t>ap21255@ms.nicmar.ac.in</t>
  </si>
  <si>
    <t>ENGLISH, HINDI, URDU</t>
  </si>
  <si>
    <t>8971 8310 8794</t>
  </si>
  <si>
    <t>MOHAMMED GHOUSE</t>
  </si>
  <si>
    <t>REAL ESTATE DEVELOPER</t>
  </si>
  <si>
    <t>RAFATH SULTANA</t>
  </si>
  <si>
    <t>13-6-434/D/2 JYOTI NAGAR COLONY, RING ROAD, NEAR KINARA GRAND</t>
  </si>
  <si>
    <t>DELHI SCHOOL OF EXCELLENCE</t>
  </si>
  <si>
    <t>CENTRAL BOARD OF SECONARY EDUCATION</t>
  </si>
  <si>
    <t>AIESEC IN HYDERABAD | SENIOR MANAGER, UNIVERSITY RELATIONS | HYDERABAD | Feb 2018 | Mar 2019 | 56 Weeks
MAHINDRA ECOLE CENTRALE | RESEARCH INTERN | HYDERABAD | Dec 2019 | Aug 2021 | 90 Weeks
PACIFICA COMPANIES | PLANNING, MONITORING AND QS INTERN | HYDERABAD | Apr 2022 | Jul 2022 | 12 Weeks</t>
  </si>
  <si>
    <t>AP21256</t>
  </si>
  <si>
    <t>MOHITKUMAR</t>
  </si>
  <si>
    <t>BHAGAWAT</t>
  </si>
  <si>
    <t>Patil Mohitkumar Bhagawat</t>
  </si>
  <si>
    <t>mpatil1997@gmail.com</t>
  </si>
  <si>
    <t>ap21256@ms.nicmar.ac.in</t>
  </si>
  <si>
    <t>06-Aug-1997</t>
  </si>
  <si>
    <t>7570 5014 3028</t>
  </si>
  <si>
    <t>BHAGAWAT PITAMBAR CHAVAN</t>
  </si>
  <si>
    <t>VIDYA BHAGAWAT CHAVAN</t>
  </si>
  <si>
    <t>33, SHIVNERI, SWAMI SAMARTH NAGAR, KORIT ROAD</t>
  </si>
  <si>
    <t>SMT. HIRIBEN GOVINDDAS SHROFF HIGH SCHOOL</t>
  </si>
  <si>
    <t>GAJMAL TULSHIRAM PATIL COLLEGE</t>
  </si>
  <si>
    <t>SANJIVANI COLLEGE OF ENGINEERING, KOPARGAON</t>
  </si>
  <si>
    <t>MAHESH INFRASTRUCTURE | SITE ENGINEER | NANDURBAR | Jul 2020 | Dec 2020 | 22 Weeks
SINGHANIA BUILDCON PRIVATE LIMITED | CONSTRUCTION MANAGEMENT TRAINEE | RAIPUR | May 2022 | Jul 2022 | 8 Weeks</t>
  </si>
  <si>
    <t>AP21257</t>
  </si>
  <si>
    <t>PRABHAT</t>
  </si>
  <si>
    <t>Borse Prabhat Madhukar</t>
  </si>
  <si>
    <t>prabhatborse26@gmail.com</t>
  </si>
  <si>
    <t>ap21257@ms.nicmar.ac.in</t>
  </si>
  <si>
    <t>2077 0728 3387</t>
  </si>
  <si>
    <t>MADHUKAR UTTAMRAO BORSE</t>
  </si>
  <si>
    <t>TARKESHWARI MADHUKAR BORSE</t>
  </si>
  <si>
    <t>PLOT NO.11,MADHAV NAGAR,SAKRI,TAL.SAKRI,DIST.DHULE</t>
  </si>
  <si>
    <t>NEW ENGLISH SCHOOL,SAKRI</t>
  </si>
  <si>
    <t>K.R.T. ARTS, B.H. COMMERCE AND A.M. SCIENCE COLLEGE,NASHIK</t>
  </si>
  <si>
    <t>RAJARSHI SHAHU SCHOOL OF ENGINEERING AND RESEARCH,NARHE</t>
  </si>
  <si>
    <t>POSTEN INFRATECH INDIA PVT LTD | MANAGEMENT TRAINEE | NASHIK | May 2022 | Jul 2022 | 8 Weeks</t>
  </si>
  <si>
    <t>AP21258</t>
  </si>
  <si>
    <t>NAYAN</t>
  </si>
  <si>
    <t>Nayan Gupta</t>
  </si>
  <si>
    <t>NAYANSHUB99@GMAIL.COM</t>
  </si>
  <si>
    <t>ap21258@ms.nicmar.ac.in</t>
  </si>
  <si>
    <t>3010 2412 6733</t>
  </si>
  <si>
    <t>UMESH CHANDRA GUPTA</t>
  </si>
  <si>
    <t>BEENA GUPTA</t>
  </si>
  <si>
    <t>WARD NO 12, RAM KRISHNA NAGAR</t>
  </si>
  <si>
    <t>Dibiyapur</t>
  </si>
  <si>
    <t>ST. JOSEPH'S SENIOR SECONDARY SCHOOL</t>
  </si>
  <si>
    <t>ST. JOSEPHS SENIOR SECONDARY SCHOOL</t>
  </si>
  <si>
    <t>AutoCAD,MS Office,MS Project,MS ACCESS, REVIT, STAAD PRO, MX ROAD, CONTEXT CAPTURE</t>
  </si>
  <si>
    <t>SIMPLEX INFRASTRUCTURE LIMITED | SITE EXECUTION | BARASAT AND KOLKATA | Jun 2019 | Dec 2019 | 0 Years, 6 Months, 21 Days | 1.2
SIMPLEX INFRASTRUCTURE LIMITED | SITE EXECUTION | BARASAT AND KOLKATA | Jun 2019 | Dec 2019 | 0 Years, 6 Months, 21 Days | 1.2</t>
  </si>
  <si>
    <t>PUNJ LLOYD LIMITED | SITE EXECUTION | KAPSADA, RAIPUR. | Jun 2017 | Jul 2017 | 4 Weeks
GANNON DUNKERLEY AND COMPANY LIMITED | SITE EXECUTION | SURATGARH | May 2017 | Jun 2017 | 4 Weeks
SPACEIFY TECHNOLOGIES PRIVATE LIMITED | RESEARCH ANALYST - TO CONDUCT RESEARCH ON DIGITAL TOOLS/SOFTWARE USED IN CONSTRUCTION PROJECT MANAGEMENT ESPECIALLY QUALITY MANAGEMENT ALONG WITH A NEW SCHEDULING METHOD (LOCATION BASED SCHEDULING) AN | SURAT | Apr 2022 | Jul 2022 | 13 Weeks</t>
  </si>
  <si>
    <t>AP21259</t>
  </si>
  <si>
    <t>SATWIK</t>
  </si>
  <si>
    <t>Satwik Dey</t>
  </si>
  <si>
    <t>SATWIKDEY6131@GMAIL.COM</t>
  </si>
  <si>
    <t>ap21259@ms.nicmar.ac.in</t>
  </si>
  <si>
    <t>09-May-1997</t>
  </si>
  <si>
    <t>7335 5174 1361</t>
  </si>
  <si>
    <t>SUBRATA DEY</t>
  </si>
  <si>
    <t>SARMISTHA DEY</t>
  </si>
  <si>
    <t>4B,AASTHA BHANU DHARNIDHAR APARTMENT,JC MALLICK ROAD,HIRAPUR,NEAR BJP OFFICE</t>
  </si>
  <si>
    <t>CALCUTTA INSTITUTE OF ENGINEERING AND MANAGEMENT,KOLKATA</t>
  </si>
  <si>
    <t>PUBLIC WORKS DEPARTMENT | VOCATIONAL TRAINING | BALURGHAT | Jun 2017 | Jul 2017 | 2 Weeks
PUBLIC HEALTH ENGINEERING DIRECTORATE | VOCATIONAL TRAINING |  KOLKATA | Jul 2018 | Jul 2018 | 1 Weeks
REDDY STRUCTURES PVT LTD | SITE EXECUTION | BENGALURU | Apr 2022 | Jun 2022 | 7 Weeks</t>
  </si>
  <si>
    <t>AP21260</t>
  </si>
  <si>
    <t>Karmore Atharva Anil</t>
  </si>
  <si>
    <t>karmoreatharva@gmail.com</t>
  </si>
  <si>
    <t>ap21260@ms.nicmar.ac.in</t>
  </si>
  <si>
    <t>5689 0663 5037</t>
  </si>
  <si>
    <t>ANIL RAMDAS KARMORE</t>
  </si>
  <si>
    <t>KALPANA ANIL KARMORE</t>
  </si>
  <si>
    <t>68,SWAMI VIVEKANAND COLONY,NEW YASHWANT NAGAR</t>
  </si>
  <si>
    <t>Hinganghat</t>
  </si>
  <si>
    <t>NICMAR BOYS HOSTEL</t>
  </si>
  <si>
    <t>CENRAL BOARD OF SECONDARY EDUCATION</t>
  </si>
  <si>
    <t>2014-Jul-04</t>
  </si>
  <si>
    <t>2016-Apr-22</t>
  </si>
  <si>
    <t>D.Y. PATIL COLLEGE OF ENGINEERING,PUNE</t>
  </si>
  <si>
    <t>PAVETECH CONSULTANTS | SITE EXECUTION AND SUPERVISION | MIDC BHOSARI | Apr 2022 | Jun 2022 | 9 Weeks</t>
  </si>
  <si>
    <t>AP21261</t>
  </si>
  <si>
    <t>ELAKYA</t>
  </si>
  <si>
    <t>Elakya V</t>
  </si>
  <si>
    <t>elakyav28@gmail.com</t>
  </si>
  <si>
    <t>ap21261@ms.nicmar.ac.in</t>
  </si>
  <si>
    <t>2051 9238 9268</t>
  </si>
  <si>
    <t>VANCHIMUTHU T</t>
  </si>
  <si>
    <t>DEEPA JOTHI G</t>
  </si>
  <si>
    <t>NO. 50, C.S.RATHINASABAPATHI STREET, K.K.PUDUR</t>
  </si>
  <si>
    <t>BHARATHI MATRIC HIGHER SECONDARY SCHOOL</t>
  </si>
  <si>
    <t>TAMIL NADU BOARD OF SECONDARY EDUCATION</t>
  </si>
  <si>
    <t>AutoCAD,MS Office,MS Project,MS ACCESS, STAAD PRO</t>
  </si>
  <si>
    <t>L AND T CONSTRUCTIONS BUILDINGS AND FACTORIES | ASSISTING THE PROJECT MANAGERS, PROJECT ENGINEERS AND OTHER MANAGING TEAM | BANGALORE | Jun 2019 | Jun 2019 | 3 Weeks
TVM ENGINEERING CONSTRUCTION | PLANNING AND SCHEDULING, QUANTITY SURVEYING, QUALITY CHECKING  | COIMBATORE, TAMILNADU. | Jan 2021 | Sep 2021 | 34 Weeks
PACIFICA COMPANIES | QUANTITY SURVEYING, PLANNING AND MONITORING | CHENNAI | Apr 2022 | Jul 2022 | 12 Weeks</t>
  </si>
  <si>
    <t>AP21262</t>
  </si>
  <si>
    <t>TOKEKAR</t>
  </si>
  <si>
    <t>Gouri Tokekar</t>
  </si>
  <si>
    <t>GOURITOKEKAR555@GMAIL.COM</t>
  </si>
  <si>
    <t>ap21262@ms.nicmar.ac.in</t>
  </si>
  <si>
    <t>4127 4557 4900</t>
  </si>
  <si>
    <t>PRASHANT TOKEKAR</t>
  </si>
  <si>
    <t>DEEPA TOKEKAR</t>
  </si>
  <si>
    <t>LIG 374 JANTA MARKET ROAD, PADMANABHPUR</t>
  </si>
  <si>
    <t>BSP SSS 10 BHILAI</t>
  </si>
  <si>
    <t>RASHTRASANT TUKADOJI MAHARAJ NAGPUR</t>
  </si>
  <si>
    <t>NILESH DESAI DESIGN STUDIO | INTERN ARCHITECT | PUNE, MAHARASHTRA | Jan 2020 | Jun 2020 | 23 Weeks
MODERN CONSULTANTS | INTERN ARCHITECT | BHILAI, CHHATTISGARH | Jun 2020 | Jan 2021 | 29 Weeks
PIDILITE INDUSTRIES LIMITED | MANAGEMENT INTERN | MUMBAI, MAHARASHTRA | May 2022 | Jul 2022 | 7 Weeks</t>
  </si>
  <si>
    <t>AP21263</t>
  </si>
  <si>
    <t>UGALE</t>
  </si>
  <si>
    <t>Shantanu Sudhakar Ugale</t>
  </si>
  <si>
    <t>shantanuu10@gmail.com</t>
  </si>
  <si>
    <t>ap21263@ms.nicmar.ac.in</t>
  </si>
  <si>
    <t>18-Nov-1997</t>
  </si>
  <si>
    <t>7193 1964 6848</t>
  </si>
  <si>
    <t>SUDHAKAR BHAURAO UGALE</t>
  </si>
  <si>
    <t>GOVERNMENT RETIRED EMPLOYEE</t>
  </si>
  <si>
    <t>RANJANA SUDHAKAR UGALE</t>
  </si>
  <si>
    <t>H.NO.284,OM NIVAS, NEAR GANAPATI MANDIR, BARAGOAN PIMPRI ,TAL-SINNAR</t>
  </si>
  <si>
    <t>SRI VIJAYA GANAPATI PG , NEAR MOZE COLLEGE GIRLS HOSTEL,BALEWADI,PUNE.</t>
  </si>
  <si>
    <t>GURUVARYA MAMASAHEB DANDEKAR ARTS, BHAGWANTRAO WAJE COMMERCE AND SCIENCE COLLEGE</t>
  </si>
  <si>
    <t>SINGHANIA BUIDCON PRIVATE LIMITED | SITE EXECUTION,QUANTITY SURVEYING,PROJECT PLANNING &amp; SCHEDULING. | RAIPUR | May 2022 | Jul 2022 | 8 Weeks | Campus Internship
VSN | AS A SITE SUPERVISIOR AT BITUMINOUS ROAD CONSTRUCTION. | NASHIK | Mar 2021 | Mar 2021 | 3 Weeks</t>
  </si>
  <si>
    <t>AP21264</t>
  </si>
  <si>
    <t>UPHADE</t>
  </si>
  <si>
    <t>Rishikesh Ramesh Uphade</t>
  </si>
  <si>
    <t>RISHIKESHUPHADE34@GMAIL.COM</t>
  </si>
  <si>
    <t>ap21264@ms.nicmar.ac.in</t>
  </si>
  <si>
    <t>02-May-1996</t>
  </si>
  <si>
    <t>8025 5265 4577</t>
  </si>
  <si>
    <t>RAMESH DATTATRAYA UPHADE</t>
  </si>
  <si>
    <t>MEGHA RAMESH UPHADE</t>
  </si>
  <si>
    <t>GOVERNMENT AIDED SCHOOL TEACHER</t>
  </si>
  <si>
    <t>C/O RAMESH UPHADE, NEAR BIG RAM MANDIR, BHARTIPURA</t>
  </si>
  <si>
    <t>GOKHALE HIGHER SECONDARY SCHOOL OF SCIENCE, AKOLA</t>
  </si>
  <si>
    <t>G.H.RAISONI COLLEGE OF ENGINEERING, NAGPUR</t>
  </si>
  <si>
    <t>SGI Studio Galli Ingegneria India Pvt. Ltd | Project Management &amp; Billing | Pune | May 2018 | Nov 2019 | 1 Years, 5 Months, 17 Days | 1.44
DRA Consultants Ltd | Project Management &amp; Billing | Pune | Nov 2019 | Aug 2021 | 1 Years, 9 Months, 10 Days | 2.64
SGI Studio Galli Ingegneria India Pvt. Ltd | Project Management &amp; Billing | Pune | May 2018 | Nov 2019 | 1 Years, 5 Months, 17 Days | 1.44
DRA Consultants Ltd | Project Management &amp; Billing | Pune | Nov 2019 | Aug 2021 | 1 Years, 9 Months, 10 Days | 2.64</t>
  </si>
  <si>
    <t>77 month(s)</t>
  </si>
  <si>
    <t>SGI STUDIO GALLI INGEGNERIA INDIA PVT LTD | MANAGEMENT TRAINEE | PUNE | Nov 2017 | Apr 2018 | 23 Weeks
MADHURE INFRA ENGINEERING PRIVATE LIMITED | SITE EXECUTION &amp; PLANNING | PUNE | Apr 2022 | Jul 2022 | 12 Weeks</t>
  </si>
  <si>
    <t>AP21265</t>
  </si>
  <si>
    <t>ANKIL</t>
  </si>
  <si>
    <t>NAHATE</t>
  </si>
  <si>
    <t>Ankil Chetan Nahate</t>
  </si>
  <si>
    <t>ankiln3006@gmail.com</t>
  </si>
  <si>
    <t>ap21265@ms.nicmar.ac.in</t>
  </si>
  <si>
    <t>30-Jun-1998</t>
  </si>
  <si>
    <t>7857 6965 6304</t>
  </si>
  <si>
    <t>CHETAN TOMDEO NAHATE</t>
  </si>
  <si>
    <t>KALINDI CHETAN NAHATE</t>
  </si>
  <si>
    <t>DIRECTOR NAHATE PRESCHOOL</t>
  </si>
  <si>
    <t>63,MHADA COLONY, NARENDRA NAGAR</t>
  </si>
  <si>
    <t>SOMALWAR HIGH SCHOOL, RAMDASPETH, NAGPUR.</t>
  </si>
  <si>
    <t>KAMLA NEHRU MAHAVIDYALAYA, NAGPUR.</t>
  </si>
  <si>
    <t>RASHTRASANT TUKADOJI MAHARAJ NAGPUR UNIVERSITY, NAGPUR.</t>
  </si>
  <si>
    <t>B G SHIRKE CONSTRUCTION TECHNOLOGY PRIVATE LIMITED | INTERN | NAGPUR | Dec 2019 | Mar 2020 | 13 Weeks
R JAGTAP AND ASSOCIATES | TRAINEE ENGINEER | NAGPUR | Mar 2021 | Aug 2021 | 26 Weeks
AIRPORTS AUTHORITY OF INDIA | PROJECT SCHEDULING, PROJECT MONITORING, PROJECT CONTROL, BILLING, QUALITY CONTROL | SAFDARJUNG AIRPORT, NEW DELHI | Apr 2022 | Jun 2022 | 7 Weeks</t>
  </si>
  <si>
    <t>AP21266</t>
  </si>
  <si>
    <t>Arjun Saxena</t>
  </si>
  <si>
    <t>arjthesmart@gmail.com</t>
  </si>
  <si>
    <t>ap21266@ms.nicmar.ac.in</t>
  </si>
  <si>
    <t>4619 8038 1984</t>
  </si>
  <si>
    <t>ATUL KUMAR SAXENA</t>
  </si>
  <si>
    <t>VANDANA SAXENA</t>
  </si>
  <si>
    <t>HOUSE NUMBER 200, ELDECO GREENS, GOMTI NAGAR</t>
  </si>
  <si>
    <t>DELHI PUBLIC SCHOOL INDIRA NAGAR</t>
  </si>
  <si>
    <t>AutoCAD,MS Office,MS Project,Primavera,LOGIC PRO</t>
  </si>
  <si>
    <t>NATIONAL HIGHWAY AUTHORITY OF INDIA | RESEARCH INTERN | MANGALORE | Mar 2021 | Apr 2021 | 8 Weeks
LULU INDIA SHOPPING MALL | TRAINEE IN CIVIL DEPARTMENT OF PROJECT ENGINEERING | LUCKNOW | May 2019 | Jun 2019 | 4 Weeks
DELHI LAND AND FINANCE DLF | QUALITY INCHARGE, SAFETY INCHARGE, BILLING INCHARGE, PLANNING TRAINEE, INVENTORY MANAGEMENT | GURUGRAM  | May 2022 | Jul 2022 | 8 Weeks</t>
  </si>
  <si>
    <t>AP21267</t>
  </si>
  <si>
    <t>Likith K S</t>
  </si>
  <si>
    <t>lupithlikith@gmail.com</t>
  </si>
  <si>
    <t>ap21267@ms.nicmar.ac.in</t>
  </si>
  <si>
    <t>9076 9086 6882</t>
  </si>
  <si>
    <t>SRINIVASA K R</t>
  </si>
  <si>
    <t>PREMA B L</t>
  </si>
  <si>
    <t>PADMASHREE NILAYA,VIDYA NAGARA,HOUSING BOARD,KUNIGAL</t>
  </si>
  <si>
    <t>Kunigal</t>
  </si>
  <si>
    <t>SARVODAYA SCHOOL ROAD,HOUSING BOARD,KUNIGAL</t>
  </si>
  <si>
    <t>GNANADEEPA ACADEMY HIGH SCHOOL</t>
  </si>
  <si>
    <t>VIDHYAASHRAM INDEPENDENT PRE UNIVERSITY COLLEGE</t>
  </si>
  <si>
    <t>R N SHETTY INSTITUTE OF TECHNOLOGY</t>
  </si>
  <si>
    <t>SIR M V INSTITUTE OF ENGINEERING SKILLS | SITE SUPERVISOR AND TEAM LEADER | NAGARABHAVI MAIN ROAD,BENGALURU | Jul 2019 | Aug 2019 | 4 Weeks
SHATHAYU CONSTRUCTIONS AND CONSULTANTS | SITE ENGINEER ,MEMBER IN PRESENT MARKET MATERIALS RESEARCH TEAM, LEARNING HOW TO FILE A CONTRACT DOCUMENT BETWEEN CLIENT AND COMPANY. | MYSORE, KARNATAKA | Jun 2022 | Jul 2022 | 7 Weeks</t>
  </si>
  <si>
    <t>AP21268</t>
  </si>
  <si>
    <t>SATHYANAND</t>
  </si>
  <si>
    <t>Sathyanand R</t>
  </si>
  <si>
    <t>sathyanand6796@gmail.com</t>
  </si>
  <si>
    <t>ap21268@ms.nicmar.ac.in</t>
  </si>
  <si>
    <t>06-Jul-1996</t>
  </si>
  <si>
    <t>ENGLISH,TAMIL,FRENCH</t>
  </si>
  <si>
    <t>5082 9669 6053</t>
  </si>
  <si>
    <t>RAJASEKARAN R</t>
  </si>
  <si>
    <t>PRIVATE TRANSPORT DRIVER</t>
  </si>
  <si>
    <t>1/209, VELLALAR STREET, MALAYAMBAKKAM, VIA NAZARTHPET, CHENNAI-600 123</t>
  </si>
  <si>
    <t>Kundrathur</t>
  </si>
  <si>
    <t>ST.JOSEPH.MAT.HR.SEC.SCHOOL</t>
  </si>
  <si>
    <t>ST JOHN MAT HR SEC SCHOOL</t>
  </si>
  <si>
    <t>SRI VENKATESWARA COLLEGE OF ENGINEERING AND TECHNOLOGY</t>
  </si>
  <si>
    <t>AutoCAD,MS Project,Primavera,REVIT, STAAD PRO</t>
  </si>
  <si>
    <t>Mars Synergy Geo-Tech PVT LTD | Geotechnical Engineering | RAMANATHAPURAM | Aug 2017 | Jan 2018 | 0 Years, 5 Months, 4 Days | 1
Mars Synergy Geo-Tech PVT LTD | Geotechnical Engineering | RAMANATHAPURAM | Aug 2017 | Jan 2018 | 0 Years, 5 Months, 4 Days | 1</t>
  </si>
  <si>
    <t>ENGINEERING PROJECT MANANGEMENT CONSULTANCY AND RESEARCH PVT LTD | PROJECT SCHEDULING, SAFETY &amp; QUALITY AUDIT AND REPORTING TO PROJECT MANAGERS AND SITE ENGINEERS. SITE HOUSE KEEPING MONITORING, UPDATING COMPLETED TASK IN PROGRESS UPDATE SHEETS | VALASARAVAKKAM, PORUR | May 2022 | Jun 2022 | 7 Weeks</t>
  </si>
  <si>
    <t>AP21269</t>
  </si>
  <si>
    <t>Shruti Sinha</t>
  </si>
  <si>
    <t>AR.SHRUTI10@GMAIL.COM</t>
  </si>
  <si>
    <t>ap21269@ms.nicmar.ac.in</t>
  </si>
  <si>
    <t>10-Feb-1995</t>
  </si>
  <si>
    <t>2188 6147 5372</t>
  </si>
  <si>
    <t>JAY NARAYAN SINGH</t>
  </si>
  <si>
    <t>RAMBHA SINHA</t>
  </si>
  <si>
    <t>RAJ NIWAS, C/O JAY NARAYAN SINGH, ROAD NO- 18B, RAJEEV NAGAR, NEAR VEER KUNWAR SINGH CHOWK</t>
  </si>
  <si>
    <t>ST. JOSEPH'S CONVENT HIGH SCHOOL</t>
  </si>
  <si>
    <t>INDIAN SCHOOL OF SECONDARY EDUCATION</t>
  </si>
  <si>
    <t>S.R.P. COLLEGE</t>
  </si>
  <si>
    <t>NATIONAL INSTITUTE OF TECHNOLOGY PATNA</t>
  </si>
  <si>
    <t>AutoCAD,MS Office,MS Project,Primavera,PHOTOSHOP, SKETCHUP, LUMION, REVIT</t>
  </si>
  <si>
    <t>Space Developers | Interior and Architectural Work | Pune | Jun 2019 | Aug 2021 | 2 Years, 2 Months, 28 Days | 2.4
Space Developers | Interior and Architectural Work | Pune | Jun 2019 | Aug 2021 | 2 Years, 2 Months, 28 Days | 2.4</t>
  </si>
  <si>
    <t>UDBHAV ARCHITECTS | INTERN AND I WAS A PART OF DRAFTING TEAM. | PATNA | May 2017 | Jul 2017 | 6 Weeks
SPACE DEVELOPERS | INTERN AND I WAS A PART OF THE LIASONING, DESIGNING AND DRAFTING TEAM. | PUNE | Jun 2018 | Nov 2018 | 23 Weeks
INDIAN INSTITUTE OF MANAGEMENT BANGALORE | DATA RESEARCH ANALYST AND ADVISORY  | BANGALORE  | Apr 2022 | Jul 2022 | 11 Weeks</t>
  </si>
  <si>
    <t>AP21270</t>
  </si>
  <si>
    <t>KUNDU</t>
  </si>
  <si>
    <t>Soham Kundu</t>
  </si>
  <si>
    <t>KUNDUSOHAM273@GMAIL.COM</t>
  </si>
  <si>
    <t>ap21270@ms.nicmar.ac.in</t>
  </si>
  <si>
    <t>23-Oct-1992</t>
  </si>
  <si>
    <t>6866 0009 4287</t>
  </si>
  <si>
    <t>PRASANTA KUNDU</t>
  </si>
  <si>
    <t>MANIKA KUNDU</t>
  </si>
  <si>
    <t>BLOCK 2, FLAT 1C, REGENT COURT HOUSING COMPLEX, VIP ROAD, RAGHUNATHPUR, KOLKATA</t>
  </si>
  <si>
    <t>MAULANA ABUL KALAM AZAD UNIVERSITY, FORMERLY KNOWN AS WEST BENGAL UNIVERSITY OF TECHNOLOGY</t>
  </si>
  <si>
    <t>Xplorer Consultancy Services Private Limited | Engineer | Kolkata, Gurgaon | May 2016 | Mar 2021 | 4 Years, 9 Months, 22 Days | 4.2
Xplorer Consultancy Services Private Limited | Engineer | Kolkata, Gurgaon | May 2016 | Mar 2021 | 4 Years, 9 Months, 22 Days | 4.2</t>
  </si>
  <si>
    <t>PUBLIC WORKS ROADS DIRECTORATE GOVERNMENT OF WEST BENGAL | TRAINEE | KOLKATA | Jun 2014 | Jul 2014 | 4 Weeks
GEM ENGSERV PRIVATE LIMITED | INTERNSHIP TRAINEE | BELAPUR, NAVI MUMBAI | Apr 2022 | Jul 2022 | 10 Weeks</t>
  </si>
  <si>
    <t>AP21271</t>
  </si>
  <si>
    <t>K PAVAN</t>
  </si>
  <si>
    <t>K Pavan Kalyan</t>
  </si>
  <si>
    <t>KALYANSID77@GMAIL.COM</t>
  </si>
  <si>
    <t>ap21271@ms.nicmar.ac.in</t>
  </si>
  <si>
    <t>9381 8747 1786</t>
  </si>
  <si>
    <t>K V PARDHA SARADHI</t>
  </si>
  <si>
    <t>K UMA DEVI</t>
  </si>
  <si>
    <t>2,SVSK NIVAS,ROAD.NO.2,ANNAPURNA ENCLAVE,CHANDANAGAR</t>
  </si>
  <si>
    <t>KESHAVA REDDY CONCEPT SCHOOL</t>
  </si>
  <si>
    <t>2014-Jun-10</t>
  </si>
  <si>
    <t>2017-Apr-16</t>
  </si>
  <si>
    <t>INSTITUTE OF AERONAUTICAL ENGINEERING</t>
  </si>
  <si>
    <t>2021-May-24</t>
  </si>
  <si>
    <t>ORDNANCE FACTORY MEDAK | TRAINEE ENGINEER | ORDNANCE FACTORY ESTATE , SANGAREDDY | Jun 2019 | Jul 2019 | 2 Weeks
SUNTECK REALTY LTD | SITE EXECUTION  | MUMBAI | May 2022 | Jun 2022 | 7 Weeks</t>
  </si>
  <si>
    <t>AP21272</t>
  </si>
  <si>
    <t>SAIKAT</t>
  </si>
  <si>
    <t>Saikat Chakraborty</t>
  </si>
  <si>
    <t>162SAIKATCHAKRABORTY@GMAIL.COM</t>
  </si>
  <si>
    <t>ap21272@ms.nicmar.ac.in</t>
  </si>
  <si>
    <t>29-Jan-1995</t>
  </si>
  <si>
    <t>3168 9300 5875</t>
  </si>
  <si>
    <t>TARIT KUMAR CHAKRABORTY</t>
  </si>
  <si>
    <t>RETIRED SERVICEMEN,GOVERNMENT</t>
  </si>
  <si>
    <t>MOUSUMI CHAKRABORTY</t>
  </si>
  <si>
    <t>4 NEW SREEMA MAHALAKSHMI PARK FULJHORE</t>
  </si>
  <si>
    <t>Durgapur</t>
  </si>
  <si>
    <t>KENDRIYA VIDYALAYA CRPF CAMPUS</t>
  </si>
  <si>
    <t>CENTRAL BOARD OF SECONDRY EDUCATION</t>
  </si>
  <si>
    <t>BENGAL COLLEGE OF ENGINEERING AND TECHNOLOGY</t>
  </si>
  <si>
    <t>MARS CONSTRUCTION | EXECUTION &amp; BILLING | DURGAPUR | Nov 2016 | Feb 2020 | 3 Years, 3 Months, 8 Days | 1.8
CHOUHAN &amp; CO | EXECUTION &amp; BILLING | DURGAPUR | Jul 2020 | Jul 2021 | 1 Years, 0 Months, 24 Days | 1.8
MARS CONSTRUCTION | EXECUTION &amp; BILLING | DURGAPUR | Nov 2016 | Feb 2020 | 3 Years, 3 Months, 8 Days | 1.8
CHOUHAN &amp; CO | EXECUTION &amp; BILLING | DURGAPUR | Jul 2020 | Jul 2021 | 1 Years, 0 Months, 24 Days | 1.8</t>
  </si>
  <si>
    <t>104 month(s)</t>
  </si>
  <si>
    <t>NATIONAL HIGHWAYS AUTHORITY OF INDIA | VOCATIONAL TRAINEE | DURGAPUR WEST BENGAL | Jun 2015 | Jul 2015 | 4 Weeks
CHITTARANJAN LOCOMOTIVE WORKS | PRACTICAL TRAINING | CHITTARANJAN WEST BENGAL | Jun 2014 | Jul 2014 | 3 Weeks
MADHURE INFRA ENGINEERING PVT LTD | QUANTITY SURVEYING AND BILLING | PUNE | Apr 2022 | Jul 2022 | 12 Weeks</t>
  </si>
  <si>
    <t>AP21273</t>
  </si>
  <si>
    <t>Mukesh Prasad</t>
  </si>
  <si>
    <t>prasadjimukesh007@gmail.com</t>
  </si>
  <si>
    <t>ap21273@ms.nicmar.ac.in</t>
  </si>
  <si>
    <t>24-Feb-1997</t>
  </si>
  <si>
    <t>3119 4811 2380</t>
  </si>
  <si>
    <t>ASHOK KR PRASAD</t>
  </si>
  <si>
    <t>PUNAM DEVI</t>
  </si>
  <si>
    <t>H.NO.344, CONTRACTOR COLONY, MAIN ROAD GEVRA BASTI, KUSMUNDA</t>
  </si>
  <si>
    <t>KENDRIYA VIDYALAYA SECL KUSMUNDA PROJECT KORBA</t>
  </si>
  <si>
    <t>PRIYADARSHINI JUNIOR COLLEGE VISAKHAPATNAM</t>
  </si>
  <si>
    <t>ANDHARA PRADESH BOARD OF INTERMEDIATE EDUCATION</t>
  </si>
  <si>
    <t>CHHATTISGARH SWAMI VIVEKANAND TECHNICAL UNIVERSITY BHILAI</t>
  </si>
  <si>
    <t>INSTITUTE OF TECHNOLOGY KORBA</t>
  </si>
  <si>
    <t>AutoCAD,MS Office,MS Project,TENDERING, QUANTITY SURVEY, SITE EXECUTION</t>
  </si>
  <si>
    <t>RISHABH BUILDTECH INDIA PVT LTD | CONSTRUCTION MANAGEMENT TRAINEE | RAIPUR | May 2022 | Jul 2022 | 8 Weeks
PWD DIVISION KORBA | TRAINEE ENGINEER | KORBA | Jun 2019 | Jul 2019 | 4 Weeks
CHHATTISGARG STATE POWER GENERATION COMPANY LIMITED | TRAINEE ENGINEER | KORBA | Jun 2018 | Jul 2018 | 4 Weeks</t>
  </si>
  <si>
    <t>AP21274</t>
  </si>
  <si>
    <t>RAMEEZ</t>
  </si>
  <si>
    <t>MUJAWAR</t>
  </si>
  <si>
    <t>Rameez Ayub Mujawar</t>
  </si>
  <si>
    <t>rameezmujawar78612@gmail.com</t>
  </si>
  <si>
    <t>ap21274@ms.nicmar.ac.in</t>
  </si>
  <si>
    <t>13-Sep-1996</t>
  </si>
  <si>
    <t>7451 0514 9320</t>
  </si>
  <si>
    <t>AYUB MOHAMMAD KASIM MUJAWAR</t>
  </si>
  <si>
    <t>HASINA AYUB MUJAWAR</t>
  </si>
  <si>
    <t>3/91,TRIVENI CO-OP SOCIETY MHB COLONY,NEAR TATANAGAR,SION- CHUNABHATTI , MUMBAI-22</t>
  </si>
  <si>
    <t>1111-D WING, NEW MHADA COLONY, SWADESHI MILL ROAD, SION- CHUNABHATTI , MUMBAI-22</t>
  </si>
  <si>
    <t>MAHARASHTRA STATE BOARD OF SECONDARY AND  HIGHER SECONDARY EDUCATION</t>
  </si>
  <si>
    <t>INDERDEEP CONSTRUCTION COMPANY | BILLING AND PLANNING | MUMBAI | Jun 2019 | Oct 2021 | 2 Years, 4 Months, 21 Days | 3.98
INDERDEEP CONSTRUCTION COMPANY | BILLING AND PLANNING | MUMBAI | Jun 2019 | Oct 2021 | 2 Years, 4 Months, 21 Days | 3.98</t>
  </si>
  <si>
    <t>CBRE | PROJECT MANAGEMENT INTERN | PUNE- KHARADI | Apr 2022 | Jul 2022 | 11 Weeks</t>
  </si>
  <si>
    <t>AP21275</t>
  </si>
  <si>
    <t>RAGHUVANSHI</t>
  </si>
  <si>
    <t>Prashant Singh Raghuvanshi</t>
  </si>
  <si>
    <t>prashantsr38@gmail.com</t>
  </si>
  <si>
    <t>ap21275@ms.nicmar.ac.in</t>
  </si>
  <si>
    <t>03-Mar-1999</t>
  </si>
  <si>
    <t>4686 2688 7985</t>
  </si>
  <si>
    <t>PANKAJ SINGH RAGHUVANSHI</t>
  </si>
  <si>
    <t>CHINTA SINGH RAGHUVANSHI</t>
  </si>
  <si>
    <t>54/4, NEAR R.I.T. COLLAGE, REWA M.P.</t>
  </si>
  <si>
    <t>GANDHI ADARSH HIGH SCHOOL</t>
  </si>
  <si>
    <t>LOK NAYAK HIGHER SECONDARY SCHOOL</t>
  </si>
  <si>
    <t>JAWAHARLAL NEHRU COLLEGE OF TECHNOLOGY REWA</t>
  </si>
  <si>
    <t>DILIP BUIDCON LIMITED | SITE EXECUTION  | BARSAITA, REWA, MADHYA PRADESH | Jul 2019 | Jul 2019 | 3 Weeks
SHAPOORJI PALLONJI AND COMPANY PRIVATE LIMITED |  SITE CO-ORDINATION UNDER THE SUPERVISION OF TOWER INCHARGE | KANJURMARG, MUMBAI, MAHARASHTRA. | Jul 2019 | Sep 2019 | 8 Weeks
SATPURA INFRACON PRIVATE LIMITED | SITE EXECUTION, QUANTITY ESTIMATION. | JABALPUR, MADHYA PRADESH. | Apr 2022 | Jun 2022 | 7 Weeks</t>
  </si>
  <si>
    <t>AP21276</t>
  </si>
  <si>
    <t>MEHUL</t>
  </si>
  <si>
    <t>Mehul Patel</t>
  </si>
  <si>
    <t>mehulptl1998@gmail.com</t>
  </si>
  <si>
    <t>ap21276@ms.nicmar.ac.in</t>
  </si>
  <si>
    <t>ENGLISH, HINDI, GUJRATI.</t>
  </si>
  <si>
    <t>6816 3429 2953</t>
  </si>
  <si>
    <t>LATE SHANKAR PATEL</t>
  </si>
  <si>
    <t>MANJULA PATEL</t>
  </si>
  <si>
    <t>HOUSE NO.-82, SONPUR ROAD, CHANDNI CHOWK, NARAYANPUR</t>
  </si>
  <si>
    <t>Jagdalpur</t>
  </si>
  <si>
    <t>ASHAPURA HOMES, B-202, BHANPURI, RAIPUR</t>
  </si>
  <si>
    <t>BHONSALA MILITARY SCHOOL</t>
  </si>
  <si>
    <t>MAJOR HEMANT JAKATE INSTITUTE OF SCIENCE AND TECHNOLOGY</t>
  </si>
  <si>
    <t>SHRI SHANKARACHARYA TECHNICAL CAMPUS</t>
  </si>
  <si>
    <t>PUBLIC WORK DEPARTMENT | SITE SUPERVISOR | NARAYANPUR | Jun 2019 | Jul 2019 | 4 Weeks
PUBLIC WORK DEPARTMENT | SITE SUPERVISOR | NARAYANPUR | Jun 2018 | Jun 2018 | 4 Weeks
SINGHANIA BUILDCON PRIVATE LIMITED | PROJECT MANAGEMENT INTERN | RAIPUR | May 2022 | Jul 2022 | 8 Weeks</t>
  </si>
  <si>
    <t>AP21277</t>
  </si>
  <si>
    <t>Nikhil Dhananjay Suryawanshi</t>
  </si>
  <si>
    <t>NIKHISURYAWANSHI1996@GMAIL.COM</t>
  </si>
  <si>
    <t>ap21277@ms.nicmar.ac.in</t>
  </si>
  <si>
    <t>10-Dec-1996</t>
  </si>
  <si>
    <t>6180 5099 1796</t>
  </si>
  <si>
    <t>DHANANJAY KHANDERAO SURYAWANSHI</t>
  </si>
  <si>
    <t>SUSHAMA DHANANJAY  SURYAWANSHI</t>
  </si>
  <si>
    <t>PLOT NO 16 DHEKHU ROAD GULMOHAR COLONY AMALNER</t>
  </si>
  <si>
    <t>Amalner</t>
  </si>
  <si>
    <t>STEERLING BLOOMS RAHATANI</t>
  </si>
  <si>
    <t>GS HIGHSCHOOL</t>
  </si>
  <si>
    <t>SANDIP POLYTECHNIC</t>
  </si>
  <si>
    <t>SANDIP UNIVERSITY OF ENG AND MANGEMENT</t>
  </si>
  <si>
    <t>B B LAHAMANGE CONSTRUCTION VAIJAPUR | SITE EXECUTION  /SITE SUPERVISOR | VAIJAPUR | Aug 2020 | Sep 2020 | 6 Weeks
AMAR MADHWAI ASSOCIATES | PROJECT MANANGEMENT | NASHIK | Jul 2022 | Jul 2022 | 3 Weeks
NANDI HOUSING PRIVATE LIMITED | SITE EXECUTION &amp; PROJECT MANAGEMENT | BANGLORE | Apr 2022 | Jun 2022 | 9 Weeks</t>
  </si>
  <si>
    <t>AP21278</t>
  </si>
  <si>
    <t>Abhishek Sinha</t>
  </si>
  <si>
    <t>sinhaabhishek913@gmail.com</t>
  </si>
  <si>
    <t>ap21278@ms.nicmar.ac.in</t>
  </si>
  <si>
    <t>28-Apr-2000</t>
  </si>
  <si>
    <t>5585 9926 6088</t>
  </si>
  <si>
    <t>PRADIP KUMAR SINHA</t>
  </si>
  <si>
    <t>SANCHITA SINHA</t>
  </si>
  <si>
    <t>NEAR POST OFFICE MORE, DEBINAGAR, RAIGANJ</t>
  </si>
  <si>
    <t>Raiganj</t>
  </si>
  <si>
    <t>2502, T-10, BLUE RIDGE, HINJEWADI, PHASE-I, PUNE</t>
  </si>
  <si>
    <t>2015-May-16</t>
  </si>
  <si>
    <t>2016-Mar-14</t>
  </si>
  <si>
    <t>2017-May-05</t>
  </si>
  <si>
    <t>2017-Jun-06</t>
  </si>
  <si>
    <t>2021-May-27</t>
  </si>
  <si>
    <t>UTTAR DINAJPUR ZILLA PARISHAD | ESTIMATION, MANAGING CONSTRUCTION PROJECT, OVERSEEING BUILDING WORK AND SURVEYING SITES | KARNOJORA, RAIGANJ, UTTAR DINAJPUR, WEST BENGAL | Jun 2019 | Jul 2019 | 4 Weeks
LONE SUPPLY NETWORK PRIVATE LIMITED | SOURCING, PROCUREMENT, BUSINESS ANALYST &amp; BUSINESS DEVELOPEMENT | HYDERABAD | May 2022 | Jul 2022 | 13 Weeks</t>
  </si>
  <si>
    <t>AP21279</t>
  </si>
  <si>
    <t>SHETH</t>
  </si>
  <si>
    <t>URVIL</t>
  </si>
  <si>
    <t>PRADIPKUMAR</t>
  </si>
  <si>
    <t>Sheth Urvil Pradipkumar</t>
  </si>
  <si>
    <t>urvilsheth99@gmail.com</t>
  </si>
  <si>
    <t>ap21279@ms.nicmar.ac.in</t>
  </si>
  <si>
    <t>7912 1193 0475</t>
  </si>
  <si>
    <t>PRADIP RASIKLAL SHETH</t>
  </si>
  <si>
    <t>JAYSHREE PRADIPKUMAR SHETH</t>
  </si>
  <si>
    <t>37, KALAYAN SOCIETY, MALPUR ROAD,MODASA,ARVALLI</t>
  </si>
  <si>
    <t>Modasa</t>
  </si>
  <si>
    <t>K.N.SHAH MODASA HIGH SCHOOL</t>
  </si>
  <si>
    <t>BRIGHT JUNIOR SCIENCE COLLEGE</t>
  </si>
  <si>
    <t>G.H.PATEL COLLEGE OF ENGINEERING AND TECHNOLOGY</t>
  </si>
  <si>
    <t>AutoCAD,MS Project,REVIT , STAAD PRO</t>
  </si>
  <si>
    <t>PATEL INFRASTRUCTURE LIMITED | INDUSTRIAL TRAINEE | AJMER ,KGBOT_1_RAJASTHAN | Jun 2019 | Jun 2019 | 1 Weeks
PACIFICA COMPANIES | SITE EXECUTION, PLANNING, QS, ERP(BILLING) | AHMEDABAD | Apr 2022 | Jul 2022 | 12 Weeks</t>
  </si>
  <si>
    <t>AP21280</t>
  </si>
  <si>
    <t>Deepesh Singh</t>
  </si>
  <si>
    <t>deepesh.singhh23@gmail.com</t>
  </si>
  <si>
    <t>ap21280@ms.nicmar.ac.in</t>
  </si>
  <si>
    <t>23-Apr-1999</t>
  </si>
  <si>
    <t>3131 1976 7714</t>
  </si>
  <si>
    <t>DEEPESH SINGH</t>
  </si>
  <si>
    <t>TULSI DEVI</t>
  </si>
  <si>
    <t>EWS-288, MP NAGAR</t>
  </si>
  <si>
    <t>LIG-107, MP NAGAR</t>
  </si>
  <si>
    <t>NEW ERA PROGRESSIVE SCHOOL</t>
  </si>
  <si>
    <t>ST. XAVIERS PUBLIC SCHOOL</t>
  </si>
  <si>
    <t>ORIENTAL COLLEGE OF TECHNOLOGY</t>
  </si>
  <si>
    <t>MK GUPTA AND COMPANY | SITE EXECUTION | KORBA | Jun 2019 | Jul 2019 | 4 Weeks
SPACE MATRIX DESIGN CONSULTANTS PVT LTD | PROJECT MANAGEMENT INTERN | KORBA | Apr 2022 | Jun 2022 | 8 Weeks</t>
  </si>
  <si>
    <t>AP21281</t>
  </si>
  <si>
    <t>ISHANI</t>
  </si>
  <si>
    <t>Ishani Sudhakar Salve</t>
  </si>
  <si>
    <t>salve.ishani1998@gmail.com</t>
  </si>
  <si>
    <t>ap21281@ms.nicmar.ac.in</t>
  </si>
  <si>
    <t>9361 2760 9039</t>
  </si>
  <si>
    <t>SUDHAKAR SALVE</t>
  </si>
  <si>
    <t>SULBHA SALVE</t>
  </si>
  <si>
    <t>10-POOJA, GANESH NAGAR, NEAR RADHA KRISHNA TALKIES, TUKUM.</t>
  </si>
  <si>
    <t>10- POOJA, GANESH NAGAR, TUKUM</t>
  </si>
  <si>
    <t>BJM CARMEL ACADEMY</t>
  </si>
  <si>
    <t>IRA INTERNATIONAL SCHOOL</t>
  </si>
  <si>
    <t>SRM INSTITUTE OF SCIENCE AND TECHNOLOGY, CHENNAI.</t>
  </si>
  <si>
    <t>2016-Jul-29</t>
  </si>
  <si>
    <t>2020-Jun-20</t>
  </si>
  <si>
    <t>SINGHANIA BUILDCON PRIVATE LIMITED | MANAGEMENT TRAINEE  | RAIPUR, CHHATTISGARH  | May 2022 | Jul 2022 | 8 Weeks
PUBLIC WORKS DEPARTMENT | SITE ENGINEER | CHANDRAPUR, MAHARASHTRA | Jun 2019 | Jun 2019 | 2 Weeks
DSK GROUP | SITE ENGINEER | CHANDRAPUR, MAHARASHTRA | Jun 2021 | Aug 2021 | 13 Weeks</t>
  </si>
  <si>
    <t>AP21282</t>
  </si>
  <si>
    <t>YERAWAR</t>
  </si>
  <si>
    <t>Soham Ajay Yerawar</t>
  </si>
  <si>
    <t>sohamyerawar001@gmail.com</t>
  </si>
  <si>
    <t>ap21282@ms.nicmar.ac.in</t>
  </si>
  <si>
    <t>07-Oct-1998</t>
  </si>
  <si>
    <t>ENGLISH,HINDA,MARATHI</t>
  </si>
  <si>
    <t>5494 9242 5806</t>
  </si>
  <si>
    <t>AJAY DINKAR YERAWAR</t>
  </si>
  <si>
    <t>PRANITA AJAY YERAWAR</t>
  </si>
  <si>
    <t>H. NO 611,MAHAVEER WARD, NEAR JAIN TEMPLE SONAR LINE PUSAD</t>
  </si>
  <si>
    <t>Pusad</t>
  </si>
  <si>
    <t>H. NO 611, MAHAVEER WARD NEAR JAIN TEMPLE PUSAD</t>
  </si>
  <si>
    <t>NAVJEEVAN DNYANPEETH ENGLISH MEDIUM SCHOOL PUSAD</t>
  </si>
  <si>
    <t>MAHARASHTRA STATE BOARD OF  SECONDARY AND HIGHER SECONDARY EDUCATION</t>
  </si>
  <si>
    <t>SHRISAIBABA MADHYAMIK  UCHA MADHYAMIK VIDYALAYA TEMBHI</t>
  </si>
  <si>
    <t>SWAMI RAMANAND TEERTH MARATHWADA UNIVERSITY</t>
  </si>
  <si>
    <t>SHRI GURU GOBIND SINGHJI INSTITUTE OF ENGINEERING AND TECHNOLOGY VISHNUPURI NANDED</t>
  </si>
  <si>
    <t>AutoCAD,MS Office,MS Project,Primavera,REVIT,@RISK</t>
  </si>
  <si>
    <t>EAGLE INFRA INDIA LTD | ESTABLISHMENT OF LEVEL AND SURVEY CONTROL AND TESTING OF MATERIAL AND PREPARATION OF REPORT | PUSAD | Jan 2021 | May 2021 | 14 Weeks
SPACE  MATRIX DESIGN CONSULTANT PVT LTD | VENDOR COORDINATION, MONITORING SITE PROGRESS,PREPARATION OF WEEKLY PROGRESS REPORT,QUALITY AND SAFETY INSPECTION ,DE-SNAGGING ,PENDING LIST  PREPARATION WITH CRITICALITY INDICATOR ,PROJECT SCHEDULING | MUMBAI | Apr 2022 | Jun 2022 | 8 Weeks</t>
  </si>
  <si>
    <t>AP21283</t>
  </si>
  <si>
    <t>BANSILAL</t>
  </si>
  <si>
    <t>MEHROLIA</t>
  </si>
  <si>
    <t>Adarsh Bansilal Mehrolia</t>
  </si>
  <si>
    <t>adarshmehrolia444@gmail.com</t>
  </si>
  <si>
    <t>ap21283@ms.nicmar.ac.in</t>
  </si>
  <si>
    <t>8349 4328 6729</t>
  </si>
  <si>
    <t>BANSILAL CHOTELAL MEHROLIA</t>
  </si>
  <si>
    <t>GANGA BANSILAL MEHROLIA</t>
  </si>
  <si>
    <t>58 , ADARSH NAGAR, RANALA, KAMPTEE</t>
  </si>
  <si>
    <t>SAINT JOSEPH'S CONVENT HIGH SCHOOL</t>
  </si>
  <si>
    <t>SINGHANIA BUILDCON PVT LTD | SITE EXECUTIVE | RAIPUR | May 2022 | Jul 2022 | 8 Weeks</t>
  </si>
  <si>
    <t>AP21284</t>
  </si>
  <si>
    <t>Akanksha Dhananjay Joshi</t>
  </si>
  <si>
    <t>akankshajoshi1311999@gmail.com</t>
  </si>
  <si>
    <t>ap21284@ms.nicmar.ac.in</t>
  </si>
  <si>
    <t>13-Jan-1999</t>
  </si>
  <si>
    <t>ENGLISH, MARATHI, HINDI.</t>
  </si>
  <si>
    <t>5021 0003 6491</t>
  </si>
  <si>
    <t>DHANANJAY ANANT JOSHI</t>
  </si>
  <si>
    <t>BABITA DHANANJAY JOSHI</t>
  </si>
  <si>
    <t>PLOT NO. 2, JANTA CO. OP. SOC., DINDAYAL NAGAR, NEAR RADHE MANGAL KARYALAY</t>
  </si>
  <si>
    <t>SOMALWAR HIGH SCHOOL, NIKALAS BRANCH</t>
  </si>
  <si>
    <t>M. K. H. SANCHETI JUNIOR COLLEGE</t>
  </si>
  <si>
    <t>PPS Tech LLP | CHECKER | PUNE | Oct 2020 | Aug 2021 | 0 Years, 10 Months, 30 Days | 3
PPS Tech LLP | CHECKER | PUNE | Oct 2020 | Aug 2021 | 0 Years, 10 Months, 30 Days | 3</t>
  </si>
  <si>
    <t>MSRDC | INTERN | NAGPUR | May 2019 | Jun 2019 | 4 Weeks
PPS TECH LLP | REVIEWING THE DETAILING OF VARIOUS PRECAST COMPONENTS, DOCUMENTATION FOR QUALITY CONTROL.				 | PUNE | Jan 2020 | Mar 2020 | 9 Weeks
SUNTECK REALTY LIMITED | I WAS INTERNING IN THE CONTRACTS DEPARTMENT. WORKED ON CREATING COMPARATIVES, WORK ORDERS, AMENDMENT ORDER. ALSO COORDINATED WITH THE VENDORS FOR QUOTATION. | MUMBAI | May 2022 | Jun 2022 | 7 Weeks</t>
  </si>
  <si>
    <t>AP21285</t>
  </si>
  <si>
    <t>RAJNISH</t>
  </si>
  <si>
    <t>Rajnish Kumar</t>
  </si>
  <si>
    <t>RAJNISH1507PANDEY@GMAIL.COM</t>
  </si>
  <si>
    <t>ap21285@ms.nicmar.ac.in</t>
  </si>
  <si>
    <t>12-Jul-1990</t>
  </si>
  <si>
    <t>7471 4362 2872</t>
  </si>
  <si>
    <t>ANIL PANDEY</t>
  </si>
  <si>
    <t>NILAM PANDEY</t>
  </si>
  <si>
    <t>34 PANDEY NIWAS NEAR HOTEL MANTRI RESIDENCY PISKA MORE ITKI ROAD</t>
  </si>
  <si>
    <t>BISHOP WESTCOTT BOYS' SCHOOL,RANCHI</t>
  </si>
  <si>
    <t>OXFORD PUBLIC SCHOOL , RANCHI</t>
  </si>
  <si>
    <t>BIJU PATNAIK UNIVERSITY OF TECHNOLOGY , ODISHA</t>
  </si>
  <si>
    <t>ORISSA ENGINEERING COLLEGE BHUBANESWAR</t>
  </si>
  <si>
    <t>BHUSHAN POWER &amp; STEEL | PLANNING AND EXCUTION | JHARSUGUDA ORISSA | Aug 2013 | May 2015 | 1 Years, 9 Months, 5 Days | 2.67
BHUSHAN POWER &amp; STEEL | PLANNING AND EXCUTION | JHARSUGUDA ORISSA | Aug 2013 | May 2015 | 1 Years, 9 Months, 5 Days | 2.67</t>
  </si>
  <si>
    <t>BHUBANESWAR DEVELOPMENT AUTHORITY | QUALITY CONTROL , DOCUMENTATION WORK | POKHARIPUT DIVISION NO-2 BHUBANESWAR | Mar 2012 | Mar 2012 | 4 Weeks
MAHAVEER GROUP | MANAGEMENT TRAINEE ,EXECUTION | BENGALURU | Apr 2022 | Jun 2022 | 7 Weeks</t>
  </si>
  <si>
    <t>AP21286</t>
  </si>
  <si>
    <t>Rushikesh Vijay Patil</t>
  </si>
  <si>
    <t>patilrushikesh046@gmail.com</t>
  </si>
  <si>
    <t>ap21286@ms.nicmar.ac.in</t>
  </si>
  <si>
    <t>08-Nov-1998</t>
  </si>
  <si>
    <t>ENGISH, HINDI, MARATHI</t>
  </si>
  <si>
    <t>4956 6367 0736</t>
  </si>
  <si>
    <t>VIJAY PRALHAD PATIL</t>
  </si>
  <si>
    <t>KIRAN VIJAY PATIL</t>
  </si>
  <si>
    <t>PLOT N- 27/6, SECTOR C-3, TOWN CENTER, CIDCO, AURANGABAD</t>
  </si>
  <si>
    <t>VASANTRAO NAIK COLLEGE</t>
  </si>
  <si>
    <t>2016-Feb-05</t>
  </si>
  <si>
    <t>AutoCAD,MS Office,MS Project,SKETCHUP, REVIT</t>
  </si>
  <si>
    <t>PRIMUS CONSTRUCTIONS | SITE INTERN | AURANGABAD | Dec 2018 | Jan 2019 | 2 Weeks
BUILDMYINFRA | PROJECT MANAGEMENT INTERN (SOLUTION DESIGN TEAM) | GURUGRAM, HARYANA | Apr 2022 | Jun 2022 | 8 Weeks</t>
  </si>
  <si>
    <t>AP21328</t>
  </si>
  <si>
    <t>Aniket Kailas Gadekar</t>
  </si>
  <si>
    <t>aniket.gadekar1998@gmail.com</t>
  </si>
  <si>
    <t>ap21328@ms.nicmar.ac.in</t>
  </si>
  <si>
    <t>KAILAS SHRIPATRAO GADEKAR</t>
  </si>
  <si>
    <t>ALKA KAILAS GADEKAR</t>
  </si>
  <si>
    <t>FLAT NO.A-4 , MANORAMA PARK BUILDING,INFRONT OF S.P.I., MAYUR NAGAR, N-11, HUDCO, AURANGABAD.</t>
  </si>
  <si>
    <t>S.B.O.A. PUBLIC SCHOOL</t>
  </si>
  <si>
    <t>VASANTRAO NAIK MAHAVIDYALAYA, AURANGABAD.</t>
  </si>
  <si>
    <t>DR.D.Y.PATIL INSTITUTE OF TECHNOLOGY, PIMPRI.</t>
  </si>
  <si>
    <t>AP21369</t>
  </si>
  <si>
    <t>MANCHALA</t>
  </si>
  <si>
    <t>Teja Manchala</t>
  </si>
  <si>
    <t>tejamanchala91@gmail.com</t>
  </si>
  <si>
    <t>ap21369@ms.nicmar.ac.in</t>
  </si>
  <si>
    <t>MANCHALA VEERA VASANTHA RAO</t>
  </si>
  <si>
    <t>MANCHALA VIJAYA LAKSHMI</t>
  </si>
  <si>
    <t>NEAR POST OFFICE,HUSSAIN NAGAR</t>
  </si>
  <si>
    <t>SRI KAKATIYA HIGH SCHOOL</t>
  </si>
  <si>
    <t>RAYAPATI VENKATA RANGARAO JAGARLAMUDI CHANDRAMOULI COLLEGE OF ENGINEERING</t>
  </si>
  <si>
    <t>AP21396</t>
  </si>
  <si>
    <t>CHARITH</t>
  </si>
  <si>
    <t>Charith B Shetty</t>
  </si>
  <si>
    <t>charithshetty1999@gmail.com</t>
  </si>
  <si>
    <t>ap21396@ms.nicmar.ac.im</t>
  </si>
  <si>
    <t>ENGLISH, KANNADA, TULU, HINDI</t>
  </si>
  <si>
    <t>BHUJANG M SHETTY</t>
  </si>
  <si>
    <t>SULAKSHANA B SHETTY</t>
  </si>
  <si>
    <t>H NO. 33/B, VINAYAK NAGAR, KELEGERI ROAD, NEAR SAI TEMPLE</t>
  </si>
  <si>
    <t>SMT VP HANCHINMANI PU COLLEGE</t>
  </si>
  <si>
    <t>PRE UNIVERSITY EDUCATION KARNATAKA</t>
  </si>
  <si>
    <t>TATA PROJECTS LIMITED | SITE EXECUTION AND PLANNING  | PUNE  | Jun 2022 | Jul 2022 | 8 Weeks</t>
  </si>
  <si>
    <t>AP21458</t>
  </si>
  <si>
    <t>UDAI</t>
  </si>
  <si>
    <t>Udai Pratap Singh</t>
  </si>
  <si>
    <t>udaydv30@gmail.com</t>
  </si>
  <si>
    <t>ap21458@ms.nicmar.ac.in</t>
  </si>
  <si>
    <t>HINDI,ENGLISH.</t>
  </si>
  <si>
    <t>J P S YADAV</t>
  </si>
  <si>
    <t>GOVENMENT EMPLOYEE</t>
  </si>
  <si>
    <t>UMA DEVI YADAV</t>
  </si>
  <si>
    <t>5/7 AASTHAN DEVIDAYAL ENCLAVE TELIPURA  ROAD RAMNAGAR</t>
  </si>
  <si>
    <t>MATHURADAS PRASADILAL HINDU INTER COLLEGE</t>
  </si>
  <si>
    <t>UTTARAKHAND BOARD</t>
  </si>
  <si>
    <t>GRAPHIC ERA HIIL UNIVERSITY BHIMTAL</t>
  </si>
  <si>
    <t>AP21287</t>
  </si>
  <si>
    <t>KOTHARI</t>
  </si>
  <si>
    <t>Sakshi Jitendra Kothari</t>
  </si>
  <si>
    <t>sakshi.kothari19@gmail.com</t>
  </si>
  <si>
    <t>ap21287@ms.nicmar.ac.in</t>
  </si>
  <si>
    <t>6967 3281 4754</t>
  </si>
  <si>
    <t>JITENDRA KOTHARI</t>
  </si>
  <si>
    <t>SWETA KOTHARI</t>
  </si>
  <si>
    <t>PLOT NO. 634, NEAR MANGAL MURTI, SECTOR 8/B</t>
  </si>
  <si>
    <t>VANSHREE TRUST | INTERN | GANDHINAGAR | Jun 2018 | Jul 2018 | 2 Weeks
SUYASH INFRACON | TRAINEE ENGINEER | GANDHINAGAR | Jan 2021 | Jun 2021 | 21 Weeks
DHARMADEV INFRASTRUCTURE LIMITED | 1) PROJECT PLANNING 2) ESTIMATION 3) SITE EXECUTION | AHMEDABAD | Apr 2022 | Jun 2022 | 7 Weeks</t>
  </si>
  <si>
    <t>AP21288</t>
  </si>
  <si>
    <t>GOURIKAR</t>
  </si>
  <si>
    <t>Suraj Suresh Gourikar</t>
  </si>
  <si>
    <t>SURAJGOURIKAR@GMAIL.COM</t>
  </si>
  <si>
    <t>ap21288@ms.nicmar.ac.in</t>
  </si>
  <si>
    <t>3972 7315 7495</t>
  </si>
  <si>
    <t>SURESH KISANJI GOURIKAR</t>
  </si>
  <si>
    <t>NALINI SURESH GOURIKAR</t>
  </si>
  <si>
    <t>RH-26, NIRMAL NAGARI, UMRED ROAD, NANDANWAN, NAGPUR - 440024</t>
  </si>
  <si>
    <t>TEJSWINI VIDYA MANDIR HIGH SCHOOL</t>
  </si>
  <si>
    <t>DR. AMBEDKAR COLLEGE</t>
  </si>
  <si>
    <t>2016-Apr-29</t>
  </si>
  <si>
    <t>AutoCAD,MS Office,MS Project,STAAD PRO, REVIT ARCHITECTURE</t>
  </si>
  <si>
    <t>S K CONSTRUCTIONS | RESPONSIBLE FOR MONITORING AND OPTIMISING OVERALL CIVIL CONSTRUCTION PROJECT WITHIN STIPULATED TIMELINES AND STANDARDS. | NAGPUR | Jun 2021 | Aug 2021 | 9 Weeks
CUSHMAN AND WAKEFIELD | REAL ESTATE ADVISORY AND BUSINESS ANALYTICS IN STRATEGIC CONSULTING TEAM | BANGALORE | Apr 2022 | Jul 2022 | 12 Weeks</t>
  </si>
  <si>
    <t>AP21289</t>
  </si>
  <si>
    <t>Hrishikesh Nandu Jadhav</t>
  </si>
  <si>
    <t>HRISHIKESHNJADHAV7711@GMAIL.COM</t>
  </si>
  <si>
    <t>ap21289@ms.nicmar.ac.in</t>
  </si>
  <si>
    <t>5550 4598 2521</t>
  </si>
  <si>
    <t>NANDU GOVINDRAO JADHAV</t>
  </si>
  <si>
    <t>NALINI NANDU JADHAV</t>
  </si>
  <si>
    <t>GAVTHAN, ASHOKNAGAR, NIPANI WADGAON, AHMEDNAGAR</t>
  </si>
  <si>
    <t>SWAPANAPURTI APARTMENTS 401 BALEVADI PUNE</t>
  </si>
  <si>
    <t>MAHATMA GANDHI VIDYALAYA PRAVARANAGAR</t>
  </si>
  <si>
    <t>MAHATMA GANDHI COLLEGE PRAVARANAGAR</t>
  </si>
  <si>
    <t>AutoCAD,MS Office,MS Project,Primavera,Ã¢â‚¬Â¢ MS EXCEL, MS POWER POINT Ã¢â‚¬Â¢ MS WORLD MS-CIT</t>
  </si>
  <si>
    <t>AMOL DESHPANDE AND ASSOCIATES | SITE ENGINEERING TRAINEE | SHIRDI | Jun 2019 | Jun 2019 | 3 Weeks
SATPURA INFRACON PRIVATE LIMITED | PROJECT CO-ORDINATION AND SITE EXECUTION | JABALPUR | Apr 2022 | Jun 2022 | 7 Weeks</t>
  </si>
  <si>
    <t>AP21290</t>
  </si>
  <si>
    <t>SOJWAL</t>
  </si>
  <si>
    <t>RAMKISHOR</t>
  </si>
  <si>
    <t>AMRODIYA</t>
  </si>
  <si>
    <t>Sojwal Ramkishor Amrodiya</t>
  </si>
  <si>
    <t>amrodiyasojwal@gmail.com</t>
  </si>
  <si>
    <t>ap21290@ms.nicmar.ac.in</t>
  </si>
  <si>
    <t>7864 2689 0265</t>
  </si>
  <si>
    <t>RAMKISHOR AMRODIYA</t>
  </si>
  <si>
    <t>RAGINI AMRODIYA</t>
  </si>
  <si>
    <t>29, MANISH SOCIETY, BORNALA, NEAR MAHDA COLONY, KATOL ROAD</t>
  </si>
  <si>
    <t>BHAVAN'S BHAGWANDAS PUROHIT VIDYA MANDIR, ASHTI,NAGPUR</t>
  </si>
  <si>
    <t>AutoCAD,MS Office,MS Project,Primavera,STAAD.PRO, 3D'S MAX</t>
  </si>
  <si>
    <t>JEEVAN PRAKASH BUILDERS AND DEVELOPERS | INTERN | NAGPUR,MAHARASHTRA | Nov 2020 | Jun 2021 | 27 Weeks
PUNE PRIZM CONSTRUCTION MANAGEMENT PRIVATE LIMITED | INTERN | PUNE, MAHARASHTRA | Nov 2019 | May 2020 | 26 Weeks
GENSYS TECHNOLOGIES PVT LTD | PROJECT MANAGEMENT &amp; PLANNING | PUNE, MAHARASHTRA | Apr 2022 | Jun 2022 | 7 Weeks</t>
  </si>
  <si>
    <t>AP21291</t>
  </si>
  <si>
    <t>MOHD.</t>
  </si>
  <si>
    <t>FARUK</t>
  </si>
  <si>
    <t>MANSUREE</t>
  </si>
  <si>
    <t>Mohd. Faruk Mansuree</t>
  </si>
  <si>
    <t>MF.MANSUREE@GMAIL.COM</t>
  </si>
  <si>
    <t>ap21291@ms.nicmar.ac.in</t>
  </si>
  <si>
    <t>ENGLISH, HINDI, MALVI</t>
  </si>
  <si>
    <t>5932 7483 7104</t>
  </si>
  <si>
    <t>JAKIR HUSAIN MANSURI</t>
  </si>
  <si>
    <t>SHAMIM MANSURI</t>
  </si>
  <si>
    <t>257, WARD 12, BOLIYA ROAD PAWTI</t>
  </si>
  <si>
    <t>Garoth</t>
  </si>
  <si>
    <t>257, WARD 12,  BOLIYA ROAD PAWTI</t>
  </si>
  <si>
    <t>CHOITHRAM INTERNATIONAL</t>
  </si>
  <si>
    <t>2015-Apr-01</t>
  </si>
  <si>
    <t>EMMANUEL MISSION SR SEC SCHOOL</t>
  </si>
  <si>
    <t>SHRI G.S. INSTITUTE OF TECH. AND SCIENCE</t>
  </si>
  <si>
    <t>2017-Aug-14</t>
  </si>
  <si>
    <t>2021-Jul-02</t>
  </si>
  <si>
    <t>KETI CONSTRUCTION | TRAINEE | INDORE | May 2019 | May 2019 | 2 Weeks
INDIAN INSTITUTE OF MANAGEMENT | RESEARCH INTERN | INDORE | May 2019 | Jul 2019 | 8 Weeks
TRANSVEN CONSULTING PRIVATE LIMITED | INTERN-MEP AUDIT &amp; ANALYSIS | MUMBAI | Apr 2022 | Jul 2022 | 11 Weeks</t>
  </si>
  <si>
    <t>AP21292</t>
  </si>
  <si>
    <t>MRAGENDRA</t>
  </si>
  <si>
    <t>SHANKHPALE</t>
  </si>
  <si>
    <t>Mragendra Madhav Shankhpale</t>
  </si>
  <si>
    <t>maddykumar97@gmail.com</t>
  </si>
  <si>
    <t>ap21292@ms.nicmar.ac.in</t>
  </si>
  <si>
    <t>09-Sep-1997</t>
  </si>
  <si>
    <t>7465 2241 3583</t>
  </si>
  <si>
    <t>MADHAV SHANKHPALE</t>
  </si>
  <si>
    <t>SANGEETA SHANKHPALE</t>
  </si>
  <si>
    <t>RAJENDRA NAGAR,MATOSHRI NIVAS,PLOT NO.36,YASHWANT COLLEGE ROAD,NANDED.</t>
  </si>
  <si>
    <t>501,20 REGENT CLASSIC,BALEWADI HIGH STREET,OPPOSITE SIEMENS,PUNE.</t>
  </si>
  <si>
    <t>PODAR INTERNATIONAL SCHOOL,NERUL (W),NAVI MUMBAI</t>
  </si>
  <si>
    <t>INDIAN CERTIFICATE OF SECONDARY EXAMINATION</t>
  </si>
  <si>
    <t>2012-Mar-05</t>
  </si>
  <si>
    <t>2013-May-17</t>
  </si>
  <si>
    <t>2014-Apr-07</t>
  </si>
  <si>
    <t>DATTAMEGHE COLLEGE OF ENGINEERING AIROLI NAVI MUMBAI.</t>
  </si>
  <si>
    <t>2015-Jun-08</t>
  </si>
  <si>
    <t>2019-Jul-11</t>
  </si>
  <si>
    <t>ASHWINI INFRADEVELOPEMENTS PVT LTD | SITE EXECUTION | VASHI (NAVI MUMBAI) | Apr 2022 | Jul 2022 | 9 Weeks</t>
  </si>
  <si>
    <t>AP21293</t>
  </si>
  <si>
    <t>DEVARSH</t>
  </si>
  <si>
    <t>KINNAR</t>
  </si>
  <si>
    <t>Shah Devarsh Kinnar</t>
  </si>
  <si>
    <t>devarsh_shah@yahoo.co.in</t>
  </si>
  <si>
    <t>ap21293@ms.nicmar.ac.in</t>
  </si>
  <si>
    <t>12-May-1999</t>
  </si>
  <si>
    <t>6151 9334 8861</t>
  </si>
  <si>
    <t>KINNAR GAUTTAMBHAI SHAH</t>
  </si>
  <si>
    <t>MEGHNA KINNAR SHAH</t>
  </si>
  <si>
    <t>14,DEVAM, BALGAYATRI SOC-2, NR. SHYAMALL CROSS ROAD, OPP. PAREKHS HOSPITAL, SATELLITE,AHMEDABAD</t>
  </si>
  <si>
    <t>ST.KABIR HIGH SCHOOL</t>
  </si>
  <si>
    <t>NIRMAN HIGH SCHOOL</t>
  </si>
  <si>
    <t>AutoCAD,MS Office,AUTODESK REVIT</t>
  </si>
  <si>
    <t>HI TECH PROJECTS PVT LTD | TRAINEE | AHMEDABAD | Jan 2020 | Jun 2020 | 21 Weeks
AARYA CHARITABLE TRUST | TRAINEE | AHMEDABAD | Jun 2018 | Jun 2018 | 2 Weeks
PACIFICA CONSTRUCTION COMPANY | PLANNING, MONITORING AND QS | AHMEDABD | Apr 2022 | Jul 2022 | 12 Weeks</t>
  </si>
  <si>
    <t>AP21294</t>
  </si>
  <si>
    <t>Shailendra Shrivastava</t>
  </si>
  <si>
    <t>NEELNARUTO.SHRIVASTAVA@GMAIL.COM</t>
  </si>
  <si>
    <t>ap21294@ms.nicmar.ac.in</t>
  </si>
  <si>
    <t>26-Feb-1998</t>
  </si>
  <si>
    <t>8975 8155 5960</t>
  </si>
  <si>
    <t>JAIMAL KUMAR SHRIVASTAVA</t>
  </si>
  <si>
    <t>ALPANA SHRIVASTAVA</t>
  </si>
  <si>
    <t>SR-1 405 RUDRAKSH PARK PHASE -1 BAWADIAKALAN, HUZUR</t>
  </si>
  <si>
    <t>APPARTMENT 402 SHYAM VIHAR APPARTMENTS, TEACHERS COLONY, EAST MARREDPALLY, SECUNDRABAD</t>
  </si>
  <si>
    <t>SAGAR PUBLIC SCHOOL GANDHI NAGAR</t>
  </si>
  <si>
    <t>SAGAR PUBLIC SCHOOL SAKET NAGAR</t>
  </si>
  <si>
    <t>VELLORE INSTITUTE OF TECHNOLOGY VELLORE</t>
  </si>
  <si>
    <t>VELLORE INSTITUDE OF TECHNOLOGY VELLORE</t>
  </si>
  <si>
    <t>Compass Engineering | Planning and Quantity Estimation | Hyderabad | Nov 2020 | Aug 2021 | 0 Years, 8 Months, 25 Days | 1.44
Compass Engineering | Planning and Quantity Estimation | Hyderabad | Nov 2020 | Aug 2021 | 0 Years, 8 Months, 25 Days | 1.44</t>
  </si>
  <si>
    <t>INDIAN RAILWAY STATION DEVELOPMENT CORPORATION LIMITED BHOPAL | ENGINEER TRAINEE  | BHOPAL | May 2018 | Jun 2018 | 5 Weeks
RELIANCE INDUSTRIES LIMITED | NICMAR SUMMER INTERN  | JAMNAGAR | Apr 2022 | Jun 2022 | 8 Weeks</t>
  </si>
  <si>
    <t>AP21295</t>
  </si>
  <si>
    <t>BHUTADA</t>
  </si>
  <si>
    <t>Chetan Prashant Bhutada</t>
  </si>
  <si>
    <t>chetanbhutada099@gmail.com</t>
  </si>
  <si>
    <t>ap21295@ms.nicmar.ac.in</t>
  </si>
  <si>
    <t>26-Jan-1996</t>
  </si>
  <si>
    <t>2663 2842 3081</t>
  </si>
  <si>
    <t>PRASHANT KANAHAIYALAL BHUTADA</t>
  </si>
  <si>
    <t>MOHINI PRASHANT BHUTADA</t>
  </si>
  <si>
    <t>QTR.NO.-17, BIRLA B COLONY, JATHARPETH</t>
  </si>
  <si>
    <t>MVPM BANER BOYS HOSTEL, BALEWADI PHATA , BANER</t>
  </si>
  <si>
    <t>HAPPY HOURS SCHOOL</t>
  </si>
  <si>
    <t>SMT. MAHERBANU JUNIOR COLLEGE OF SCIENCE AND COMMERCE</t>
  </si>
  <si>
    <t>ALL INDIA SHREE SHIVAJI MEMORIAL SOCIETY COLLEGE OF ENGINEERING PUNE</t>
  </si>
  <si>
    <t>AutoCAD,MS Office,MS Project,SAP- MATERIALS PR AND PO</t>
  </si>
  <si>
    <t>Kolte Patil Developers Limited | Coordinate the day to day construction activities on site with contractors and reporting to senior engineer and manager, to reconsile the various activities on site with billing engineer, to work on SAP software for materials request and purchase | Pune | Dec 2018 | Aug 2021 | 2 Years, 8 Months, 5 Days | 3.03
Kolte Patil Developers Limited | Coordinate the day to day construction activities on site with contractors and reporting to senior engineer and manager, to reconsile the various activities on site with billing engineer, to work on SAP software for materials request and purchase | Pune | Dec 2018 | Aug 2021 | 2 Years, 8 Months, 5 Days | 3.03</t>
  </si>
  <si>
    <t>YASHRAJ INFRACON | TO UNDERSTAND THE ROAD WORK ACTIVITY ON SITE , TO UNDERSTAND THE VARIOUS RELATED DRAWINGS RECIEVED ON SITE  | PUNE | Dec 2017 | Dec 2017 | 0 Weeks
KOLTE PATIL DEVELOPERS LIMITED | TO STUDY THE DRAWINGS RECIEVED ON SITE AND EXECUTION OF THE SAME, TO WORK ON SAP FOR MATERIALS REQUISIT AND RELEASE AS PER REQUIREMENT ON SITE. | PUNE | Aug 2018 | Oct 2018 | 8 Weeks
INDIABULLS ASSET MANAGEMENT COMPANY LIMITED | ASSISTANCE ON TENANT COORDINATION, ANALYTICS OF THE PERFORMANCEOF VARIOUS SERVICE PROVIDERS FOR RESPONDING TO TENANT REQUIREMENTS AND CONDUCTING SITE VISITS AT VARIOUS ONGOING CAPEX WORKS. | GURGAON | Apr 2022 | Jul 2022 | 11 Weeks</t>
  </si>
  <si>
    <t>AP21296</t>
  </si>
  <si>
    <t>PHAKATKAR</t>
  </si>
  <si>
    <t>Sanket Dnyaneshwar Phakatkar</t>
  </si>
  <si>
    <t>SANKETPHAKATKAR007@GMAIL.COM</t>
  </si>
  <si>
    <t>ap21296@ms.nicmar.ac.in</t>
  </si>
  <si>
    <t>7250 1469 6194</t>
  </si>
  <si>
    <t>DNYANESHWAR DATTATRAY PHAKATKAR</t>
  </si>
  <si>
    <t>CHHAYA DNYANESHWAR PHAKATKAR</t>
  </si>
  <si>
    <t>365/2, MAHATMA GANDHI ROAD, NEAR JANATA SAHAKARI BANK, HOLI CHOWK</t>
  </si>
  <si>
    <t>Junnar</t>
  </si>
  <si>
    <t>SWAPNPURTI APARTMENT, FLAT NO-401, BALEWADI, PUNE, 411045</t>
  </si>
  <si>
    <t>CHAITANYA VIDYALAYA OTUR</t>
  </si>
  <si>
    <t>RMD SINHGAD TECHNICAL INSTITUTE CAMPUS WARJE</t>
  </si>
  <si>
    <t>AutoCAD,MS Office,MS Project,Primavera,REVIT STRUCTURE</t>
  </si>
  <si>
    <t>PAVETECH CONSULTANTS | SITE EXECUTION, CONTRACTS | PUNE | Apr 2022 | Jun 2022 | 9 Weeks</t>
  </si>
  <si>
    <t>AP21297</t>
  </si>
  <si>
    <t>Varun Sunil Jadhav</t>
  </si>
  <si>
    <t>VARUNJADHAV02@GMAIL.COM</t>
  </si>
  <si>
    <t>ap21297@ms.nicmar.ac.in</t>
  </si>
  <si>
    <t>4715 4084 5931</t>
  </si>
  <si>
    <t>SUNIL SARJERAO JADHAV</t>
  </si>
  <si>
    <t>MANISHA SUNIL JADHAV</t>
  </si>
  <si>
    <t>PLOT NO. 27/9, SECTOR C-3, TOWN CENTER, CIDCO</t>
  </si>
  <si>
    <t>ST. LAWRENCE HIGH SCHOOL</t>
  </si>
  <si>
    <t>MAHATMA GANDHI MISSIONS POLYTECHNIC, AURANGABAD</t>
  </si>
  <si>
    <t>CSMSS, CHH. SHAHU COLLEGE OF ENGINEERING, AURANGABAD</t>
  </si>
  <si>
    <t>SARVADNYA CONSTRUCTIONS | TRAINEE SITE ENGINEER | AURANGABAD | Jan 2021 | Jun 2021 | 25 Weeks
ELLORA CONSTRUCTION PVT LTD | TRAINEE SITE ENGINEER | AURANGABAD | May 2017 | Jun 2017 | 4 Weeks
AMALGUS UNIT OF ESSTEAM DESIGN SERVICES LLP | PROJECT CO-ORDINATION INTERN | SURAT | Apr 2022 | Jul 2022 | 9 Weeks</t>
  </si>
  <si>
    <t>AP21298</t>
  </si>
  <si>
    <t>JACKSON</t>
  </si>
  <si>
    <t>PJ</t>
  </si>
  <si>
    <t>Jackson Pj</t>
  </si>
  <si>
    <t>payyapillyjackson@gmail.com</t>
  </si>
  <si>
    <t>ap21298@ms.nicmar.ac.in</t>
  </si>
  <si>
    <t>08-Jun-1993</t>
  </si>
  <si>
    <t>7276 1959 7381</t>
  </si>
  <si>
    <t>JOY PD</t>
  </si>
  <si>
    <t>RETIRED POLICE OFFICER</t>
  </si>
  <si>
    <t>JULIAT JOY</t>
  </si>
  <si>
    <t>PAYYAPILLY (H),KURUVILASSERY PO,VALIYAPARAMBU.</t>
  </si>
  <si>
    <t>HOLY CHILD ENGLISH MEDIUM SCHOOL,SNEHAGIRI,MALA,KERALA</t>
  </si>
  <si>
    <t>KERALA STATE BOARD OF SECONDARY SCHOOL EDUCATION</t>
  </si>
  <si>
    <t>ST.ANTONY HIGHER SECONDARY SCHOOL MALA.</t>
  </si>
  <si>
    <t>THANGAL KUNJU MUSALIAR COLLEGE OF ENGINEERING,KOLLAM</t>
  </si>
  <si>
    <t>AutoCAD,MS Office,MS Project,REVIT,ARCHICAD,SKETCH UP,LUMION,PHOTOSHOP.</t>
  </si>
  <si>
    <t>RGB Architecture Design Studio | During this term,I was associated with the following category of RGB projects, which includes Campuses,Villaments and Residences .The scope of the work included from preparing of concepts to execcution.							 							 | Ernakulam,Kerala | Jul 2018 | Aug 2021 | 3 Years, 1 Months, 25 Days | 3
RGB Architecture Design Studio | During this term,I was associated with the following category of RGB projects, which includes Campuses,Villaments and Residences .The scope of the work included from preparing of concepts to execcution.							 							 | Ernakulam,Kerala | Jul 2018 | Aug 2021 | 3 Years, 1 Months, 25 Days | 3</t>
  </si>
  <si>
    <t>STAPATI ARCHITECTS | DURING THIS TERM,I WAS ASSOCIATED WITH THE FOLLOWING CATEGORY OF STAPATI PROJECTS, WHICH INCLUDES VILLAMENTS AND RESIDENCES .THE SCOPE OF THE TRAINING INCLUDED PREPARING OF WORKING DRAWINGS ,DESIGNING | CALICUT,KERALA | Jun 2015 | Nov 2015 | 22 Weeks
L AND T GEOSTRUCTURE | 1.QUANTITY SURVEY. 2. UPDATING OF DAILY PROJECT REPORT (DPR), WPR, MPR. 3PHOTO AND VIDEO DOCUMENTATION ALONG WITH CLIENT BILL. 4 DAILY PROJECT MONITORING. Ã¯â€šÂ· SORTING OF RFIS AND PREPARATION OF CLIENT | CHENNAI | Apr 2022 | Jun 2022 | 9 Weeks</t>
  </si>
  <si>
    <t>AP21299</t>
  </si>
  <si>
    <t>MANDLOI</t>
  </si>
  <si>
    <t>Mayank Mandloi</t>
  </si>
  <si>
    <t>mayankm22@gmail.com</t>
  </si>
  <si>
    <t>ap21299@ms.nicmar.ac.in</t>
  </si>
  <si>
    <t>2447 7014 6114</t>
  </si>
  <si>
    <t>ANIL MANDLOI</t>
  </si>
  <si>
    <t>RAJNI MANDLOI</t>
  </si>
  <si>
    <t>MANDLOI NIWAS , MAIN ROAD BANAPURA , SEONI MALWA</t>
  </si>
  <si>
    <t>Hoshangabad</t>
  </si>
  <si>
    <t>KENDRIYA VIDYALAYA SEONI MALWA</t>
  </si>
  <si>
    <t>INTERNATIONAL PUBLIC SCHOOL MISROD BHOPAL</t>
  </si>
  <si>
    <t>LAKSHMI NARAIN COLLEGE OF TECHNOLOGY EXCELLENCE</t>
  </si>
  <si>
    <t>OFFICE OF THE DIVISIONAL PROJECT ENGINEER PWD PIU JABALPUR | TRAINEE IN CC ROAD AND BUILDING CONSTRUCTION WORK | JABALPUR | Jul 2022 | Jul 2022 | 2 Weeks
AGRAWAL BUILDERS AND COLONIZERS SAGAR GROUP | PROJECT PLANNING , BILLING &amp; SITE EXECUTION  | MISROD , BHOPAL | Apr 2022 | Jun 2022 | 7 Weeks</t>
  </si>
  <si>
    <t>AP21300</t>
  </si>
  <si>
    <t>KHARATE</t>
  </si>
  <si>
    <t>Shweta Sunil Kharate</t>
  </si>
  <si>
    <t>skharate105@gmail.com</t>
  </si>
  <si>
    <t>ap21300@ms.nicmar.ac.in</t>
  </si>
  <si>
    <t>3351 2052 8257</t>
  </si>
  <si>
    <t>SUNIL KHARATE</t>
  </si>
  <si>
    <t>SHOBHA KHARATE</t>
  </si>
  <si>
    <t>AT POST-AWANKHED, TAL-DINDORI</t>
  </si>
  <si>
    <t>#104 C, KRISHNA SKY APPARTMENT, NEAR RTO OFFICE, MERI,NASHIK</t>
  </si>
  <si>
    <t>JANATA ENGLISH SCHOOL, DINDORI</t>
  </si>
  <si>
    <t>LOKNETE VYANKATRAO HIRAY ARTS SCIENCE AND COMMERSE COLLEGE, PANCHAVATI, NASHIK</t>
  </si>
  <si>
    <t>SUNTECK REALTY LTD | EPC- PURCHASE (PROCUREMENT) | VILE PARLE, MUMBAI  | May 2022 | Jun 2022 | 7 Weeks</t>
  </si>
  <si>
    <t>AP21301</t>
  </si>
  <si>
    <t>ANISHA</t>
  </si>
  <si>
    <t>Anisha Patro</t>
  </si>
  <si>
    <t>anisha.patro99@gmail.com</t>
  </si>
  <si>
    <t>ap21301@ms.nicmar.ac.in</t>
  </si>
  <si>
    <t>ENGLISH, HINDI, ODIYA</t>
  </si>
  <si>
    <t>3182 8517 6266</t>
  </si>
  <si>
    <t>PATNALA NAGESWAR PATRO</t>
  </si>
  <si>
    <t>SUJATA PATRO</t>
  </si>
  <si>
    <t>108 METERO ELEGANZSA APT., RHB COLONY, OPP. PHOENIX MALL</t>
  </si>
  <si>
    <t>F1102, SHRIRAM SIGNIA APT., NEELADRI ROAD, ELECTRONIC CITY PHASE 1</t>
  </si>
  <si>
    <t>DELHI PUBLIC SCHOOL, BANGALORE EAST</t>
  </si>
  <si>
    <t>MANIKUDI VENKATARAMAN JAYARAMAN POLYTECHNIC</t>
  </si>
  <si>
    <t>REVA UNIVERSITY BENGALURU</t>
  </si>
  <si>
    <t>SUNTECK REALTY LIMITED | SITE EXECUTION | GOREGAON, MUMBAI | May 2022 | Jun 2022 | 7 Weeks</t>
  </si>
  <si>
    <t>AP21302</t>
  </si>
  <si>
    <t>DHOOT</t>
  </si>
  <si>
    <t>Prasanna Satish Dhoot</t>
  </si>
  <si>
    <t>prasanna.dhoot4@gmail.com</t>
  </si>
  <si>
    <t>ap21302@ms.nicmar.ac.in</t>
  </si>
  <si>
    <t>4593 5612 5686</t>
  </si>
  <si>
    <t>SATISH DHOOT</t>
  </si>
  <si>
    <t>JAYA DHOOT</t>
  </si>
  <si>
    <t>18TH JAISHRIKRISHNA BUNGLOW, GAJPANTH SOCIETY, DINDORI ROAD, MHASRUL NASHIK</t>
  </si>
  <si>
    <t>B202, SWISS COUNTY, THERGAON, PUNE</t>
  </si>
  <si>
    <t>RASBIHARI INTERNATIONAL SCHOOL</t>
  </si>
  <si>
    <t>ST. LAWRENCE HIGH SCHOOL AND JUNIOR COLLEGE</t>
  </si>
  <si>
    <t>MARATHA VIDYA PARASARAK SAMAJS KARMAVEER BABURAO GANPATRAO THAKARE COLLEGE OF ENGINEERING</t>
  </si>
  <si>
    <t>NYATI GROUP | QUALITY CHECK | PUNE | Oct 2020 | Aug 2021 | 0 Years, 10 Months, 12 Days | 0.2
HI TECH INFRA | MANAGING THE SITE AND TESTING OF MATERIAL AND QUALITY CHECKING | AURANGABAD | Apr 2020 | Oct 2020 | 0 Years, 6 Months, 4 Days | 1.8
NYATI GROUP | QUALITY CHECK | PUNE | Oct 2020 | Aug 2021 | 0 Years, 10 Months, 12 Days | 0.2
HI TECH INFRA | MANAGING THE SITE AND TESTING OF MATERIAL AND QUALITY CHECKING | AURANGABAD | Apr 2020 | Oct 2020 | 0 Years, 6 Months, 4 Days | 1.8</t>
  </si>
  <si>
    <t>DREAMSHELTOR DEVELOPERS LLP | JUNIOR SITE ENGINEER AND LOOKING AFTER STE EXECUTION | NASHIK | Dec 2018 | Jan 2019 | 4 Weeks
NYATI GROUP | JUNIOR SITE ENGINEER AND LOOKING AFTER STE EXECUTION | PUNE | Oct 2019 | Mar 2020 | 24 Weeks
TRANSVEN CONSULTING PRIVATE LIMITED | MEP ANALYTICS, BUSINESS DEVELOPMENT, GREEN BUILDING(SUSTAINABILITY) | MUMBAI | Apr 2022 | Jul 2022 | 13 Weeks</t>
  </si>
  <si>
    <t>AP21303</t>
  </si>
  <si>
    <t>PARAMESWARAN</t>
  </si>
  <si>
    <t>Parameswaran J S</t>
  </si>
  <si>
    <t>PARAMESWARANJS2000@GMAIL.COM</t>
  </si>
  <si>
    <t>ap21303@ms.nicmar.ac.in</t>
  </si>
  <si>
    <t>3577 6265 8581</t>
  </si>
  <si>
    <t>SALAISUBRAMANIAM J</t>
  </si>
  <si>
    <t>JAYANTHI N S</t>
  </si>
  <si>
    <t>6/591-L KAMARAJAR NAGAR, POIYERIKARAI</t>
  </si>
  <si>
    <t>BHARATHI HIGHER SECONDARY SCHOOL</t>
  </si>
  <si>
    <t>BHARATHI VIDHYALAYA MATRIC HIGHER SECONDARY SCHOOL</t>
  </si>
  <si>
    <t>GOVERNMENT COLLEGE OF TECHNOLOGY</t>
  </si>
  <si>
    <t>NIKETA CONSTRUCTIONS | SITE ENGINEER | COIMBATORE | Apr 2019 | May 2019 | 2 Weeks
MADHURE INFRA ENGINEERING | SITE EXECUTION | PUNE | Apr 2022 | Jul 2022 | 12 Weeks</t>
  </si>
  <si>
    <t>AP21304</t>
  </si>
  <si>
    <t>southend802@gmail.com</t>
  </si>
  <si>
    <t>ap21304@ms.nicmar.ac.in</t>
  </si>
  <si>
    <t>7230 1415 7216</t>
  </si>
  <si>
    <t>YOGESH SHARMA</t>
  </si>
  <si>
    <t>ANJALI SHARMA</t>
  </si>
  <si>
    <t>S-80 II FLOOR, UPPAL SOUTHEND, SECTOR-49, SOHNA ROAD</t>
  </si>
  <si>
    <t>Gurgaon</t>
  </si>
  <si>
    <t>UNIVERSITY INSTITUTE OF ENGINEERING</t>
  </si>
  <si>
    <t>Shivanjali Homes and Structure LLP | Site Execution &amp; Monitoring | Gurgaon, Harayana | Jul 2020 | Aug 2021 | 1 Years, 1 Months, 30 Days | 2.4
Shivanjali Homes and Structure LLP | Site Execution &amp; Monitoring | Gurgaon, Harayana | Jul 2020 | Aug 2021 | 1 Years, 1 Months, 30 Days | 2.4</t>
  </si>
  <si>
    <t>COLLIERS INTERNATIONAL INDIA PROPERTY SERVICES PRIVATE LIMITED | Ã¢â‚¬Â¢MANAGEMENT TRAINEE Ã¢â‚¬Â¢ DRAFTING THE CONTRACTS Ã¢â‚¬Â¢ STRATEGIC ADVISORY FOR CLIENTS Ã¢â‚¬Â¢ ASSISTANCE WITH INDUSTRIAL TRANSACTIONS  | GURUGRAM | Apr 2022 | Jun 2022 | 7 Weeks | Campus Internship
SHIVALAYA CONSTRUCTION PRIVATE LIMITED |  CONSTRUCTION OF MADHYA PRADESH BHAWAN, NEW DELHI STRUCTURE, PREPARATION OF DPR, MONITORED AND RECORDED SITE PROGRESS TO ASSESS THE PROGRESS , BBS PREPARATION   | NEW DELHI | Jun 2019 | Jun 2019 | 2 Weeks</t>
  </si>
  <si>
    <t>AP21305</t>
  </si>
  <si>
    <t>AVEEPSA</t>
  </si>
  <si>
    <t>Aveepsa .</t>
  </si>
  <si>
    <t>AR.AVEEPSAPADHI@GMAIL.COM</t>
  </si>
  <si>
    <t>ap21305@ms.nicmar.ac.in</t>
  </si>
  <si>
    <t>04-Jul-1996</t>
  </si>
  <si>
    <t>ENGLISH, HINDI, ODIYA, BENGALI</t>
  </si>
  <si>
    <t>6243 7014 9368</t>
  </si>
  <si>
    <t>AJIT KUMAR PADHI</t>
  </si>
  <si>
    <t>ADMINISTRATIVE OFFICER AT LIC</t>
  </si>
  <si>
    <t>CHINMAYEE DASH</t>
  </si>
  <si>
    <t>H. NO- 01,SAI COMPLEX 21, PANCHASAKHA NAGAR, NEAR ITER COLLEGE, JAGAMARA</t>
  </si>
  <si>
    <t>STUDIO- A ARCHITECTS | ARCHITECT | VISAKHAPATNAM | Jul 2019 | Aug 2021 | 2 Years, 0 Months, 27 Days | 3.6
STUDIO- A ARCHITECTS | ARCHITECT | VISAKHAPATNAM | Jul 2019 | Aug 2021 | 2 Years, 0 Months, 27 Days | 3.6</t>
  </si>
  <si>
    <t>AAKAR ARCHITECTS | ARCHITECTURAL INTERN  | BHUBANESWAR | Jan 2019 | Apr 2019 | 16 Weeks
SPACECUBE | ARCHITECTURAL INTERN  | BHUBANESWAR | Jul 2018 | Dec 2018 | 26 Weeks
MORGAN STANLEY | PROPERTY MANAGEMENT INTERN | MUMBAI | May 2022 | Aug 2022 | 14 Weeks</t>
  </si>
  <si>
    <t>AP21306</t>
  </si>
  <si>
    <t>MUNNARWAR</t>
  </si>
  <si>
    <t>Rahul Sanjay Munnarwar</t>
  </si>
  <si>
    <t>munnarwar.rahul@gmail.com</t>
  </si>
  <si>
    <t>ap21306@ms.nicmar.ac.in</t>
  </si>
  <si>
    <t>7865 4648 8893</t>
  </si>
  <si>
    <t>SANJAY RAMRAO MUNNARWAR</t>
  </si>
  <si>
    <t>GOVERNMENT ENGINEER</t>
  </si>
  <si>
    <t>MADHURI SANJAY MUNNARWAR</t>
  </si>
  <si>
    <t>'RAMTIRTHA', JIJAU NAGAR, NEAR CHINTAMANI TILES, DIGRAS, YAVATMAL, MAHARASHTRA</t>
  </si>
  <si>
    <t>Digras</t>
  </si>
  <si>
    <t>'RAMTIRTHA', JIJAU NAGAR, NEAR CHINTAMANI TILES, DIGRAS , YAVATMAL, MAHARASHTRA</t>
  </si>
  <si>
    <t>DINBAI VIDYALAYA DIGRAS</t>
  </si>
  <si>
    <t>R L T COLLEGE OF SCIENCE AKOLA</t>
  </si>
  <si>
    <t>RASHTRASANTA TUKDOJI MAHARAJ NAGPUR UNIVERSITY</t>
  </si>
  <si>
    <t>AutoCAD,MS Office,MS Project,STADD PRO</t>
  </si>
  <si>
    <t>IRCON INTERNATIONAL LIMITED | PROJECT COORDINATION WITH CONTRACTORS, SITE SUPERVISOR, QUALITY CHECK | JAGDALPUR, CHATTISGARH | Jun 2022 | Oct 2022 | 17 Weeks | Campus Internship
SPDD INFRA PRIVATE LIMITED CHANDIGARH | SITE SUPERVISOR | JAGDALPUR, CHATTISGARH | Jun 2019 | Nov 2019 | 22 Weeks</t>
  </si>
  <si>
    <t>AP21307</t>
  </si>
  <si>
    <t>TAGALPALLEWAR</t>
  </si>
  <si>
    <t>Shivam Gajanan Tagalpallewar</t>
  </si>
  <si>
    <t>SHIVAMTAGH7@GMAIL.COM</t>
  </si>
  <si>
    <t>ap21307@ms.nicmar.ac.in</t>
  </si>
  <si>
    <t>05-Jun-1998</t>
  </si>
  <si>
    <t>7371 4177 6163</t>
  </si>
  <si>
    <t>GAJANAN EKNATH TAGALPALLEWAR</t>
  </si>
  <si>
    <t>SADHANA GAJANAN TAGALPALLEWAR</t>
  </si>
  <si>
    <t>CHAUBARA CHOWK, MAHAVEER WARD, PUSAD</t>
  </si>
  <si>
    <t>NAVJEEVAN DNYANPEETH ENGLISH MEDIUM SCHOOL</t>
  </si>
  <si>
    <t>DR NP HIRANI INSTITUTE OF POLYTECHNIC</t>
  </si>
  <si>
    <t>MIT ACADEMY OF ENGINEERING PUNE</t>
  </si>
  <si>
    <t>SPACE MATRIX DESIGN CONSULTANTS PVT LTD | PROJECT MANAGEMENT ,PREPARATION OF DAILY PROGRESS REPORTS ,ASSURING HEALTH AND SAFETY STANDARDS ,CO-ORDINATION WITH VENDORS AND LABOURS ,MONITORING PROGRESS OF SITE  | MUMBAI | Apr 2022 | Jun 2022 | 8 Weeks | Campus Internship
MS PALSIDDHA CONSTRUCTION PVT LTD | SITE SUPERVISOR , MONITORING THE PROGRESS OF WORK, | BULDHANA | Jun 2020 | Jul 2020 | 4 Weeks
SHRI BALAJI CONSTRUCTIONS | SITE SUPERVISOR , PREPARATION OF DAILY REPORTS AND SCHEDULES , MONITORING THE PROGRESS OF WORK | AMRAVATI | Jun 2019 | Jul 2019 | 6 Weeks</t>
  </si>
  <si>
    <t>AP21308</t>
  </si>
  <si>
    <t>Akshay Tyagi</t>
  </si>
  <si>
    <t>AKSHAYTYAGI104@GMAIL.COM</t>
  </si>
  <si>
    <t>ap21308@ms.nicmar.ac.in</t>
  </si>
  <si>
    <t>ENGLISH, HINDI, SPANISH</t>
  </si>
  <si>
    <t>6868 0252 4629</t>
  </si>
  <si>
    <t>ASHOK KUMAR TYAGI</t>
  </si>
  <si>
    <t>MANJU TYAGI</t>
  </si>
  <si>
    <t>82-D, POCKET-B, EXPRESS VIEW APARTMENTS, SECTOR-105</t>
  </si>
  <si>
    <t>LARSEN AND TOUBRO LIMITED | SITE EXECUTION AND COST ACCOUNTING | NEW DELHI | Apr 2020 | May 2020 | 6 Weeks
LARSEN AND TOUBRO LIMITED | QUALITY CONTROL ASSISTANT | NEW DELHI | Jun 2019 | Jul 2019 | 5 Weeks
AIRPORTS AUTHORITY OF INDIA | PROJECT EXECUTION, PROJECT CONTROL, BILLING, QUALITY CONTROL | SAFDARJUNG AIRPORT, NEW DELHI  | Apr 2022 | Jun 2022 | 7 Weeks</t>
  </si>
  <si>
    <t>AP21309</t>
  </si>
  <si>
    <t>Anup Prakash Tiwari</t>
  </si>
  <si>
    <t>anupprakashtiwari@gmail.com</t>
  </si>
  <si>
    <t>ap21309@ms.nicmar.ac.in</t>
  </si>
  <si>
    <t>3186 6265 0120</t>
  </si>
  <si>
    <t>RAKESH KUMAR TIWARI</t>
  </si>
  <si>
    <t>BINDU TIWARI</t>
  </si>
  <si>
    <t>ROOM NO. 4, GAGANGIRI NAGAR, GREEN VILLAGE</t>
  </si>
  <si>
    <t>ROOM NO. 4 GAGANGIRI NAGAR NEAR MINAKSHI NAGAR, GREEN VILLAGE, KASHIGAON, KASHIMIRA, MIRA ROAD(E), THANE 401107</t>
  </si>
  <si>
    <t>SRIMATI JANKI RAMPAL INTERMEDIATE COLLEGE,  BHANNAUR</t>
  </si>
  <si>
    <t>UTTAR PRADESH BOARD</t>
  </si>
  <si>
    <t>SRIMATI JANKI RAMPAL INTERMEDIATE COLLEGE, BHANNAUR</t>
  </si>
  <si>
    <t>DR. APJ ABDUL KALAM TECHNICAL UNIVERSITY,  LUCKNOW</t>
  </si>
  <si>
    <t>UNITED COLLEGE OF ENGINEERING AND MANAGEMENT,  PRAYAGRAAJ</t>
  </si>
  <si>
    <t>Ravi Development | Execution Engineer | Mira Road, Thane, Maharastra | Jul 2019 | Aug 2021 | 2 Years, 1 Months, 8 Days | 2.16
Ravi Development | Execution Engineer | Mira Road, Thane, Maharastra | Jul 2019 | Aug 2021 | 2 Years, 1 Months, 8 Days | 2.16</t>
  </si>
  <si>
    <t>SILA GROUP | REAL ESTATE ADVISOR | MUMBAI | May 2022 | Jun 2022 | 8 Weeks</t>
  </si>
  <si>
    <t>AP21310</t>
  </si>
  <si>
    <t>MUKESHBHAI</t>
  </si>
  <si>
    <t>KHAKHIWALA</t>
  </si>
  <si>
    <t>Sanket Mukeshbhai Khakhiwala</t>
  </si>
  <si>
    <t>sanketkhakhiwala@gmail.com</t>
  </si>
  <si>
    <t>ap21310@ms.nicmar.ac.in</t>
  </si>
  <si>
    <t>HINDI, ENGLISH, GUJARATI.</t>
  </si>
  <si>
    <t>7978 3683 1912</t>
  </si>
  <si>
    <t>MUKESH CHANDULAL KHAKHIWALA</t>
  </si>
  <si>
    <t>NISHA MUKESHBHAI KHAKHIWALA</t>
  </si>
  <si>
    <t>102 SAI DARSHAN APPARTMENT, DESAI STREET, SAGRAMPURA</t>
  </si>
  <si>
    <t>CHANDULAL CHHAGANLAL SHAH SARVAJANIK ENGLISH HIGH SCHOOL</t>
  </si>
  <si>
    <t>DHARMSINH DESAI INSTITUTE OF TECHNOLOGY, NADIAD</t>
  </si>
  <si>
    <t>MS Office,MS Project,Primavera,STAAD-PRO</t>
  </si>
  <si>
    <t>NIRMA LIMITED | SITE EXECUTION AND BILLING | PORBANDAR | Jun 2019 | Jun 2021 | 2 Years, 0 Months, 28 Days | 2.67
NIRMA LIMITED | SITE EXECUTION AND BILLING | PORBANDAR | Jun 2019 | Jun 2021 | 2 Years, 0 Months, 28 Days | 2.67</t>
  </si>
  <si>
    <t>PIRAMYD GROUP | SITE EXECUTION | SURAT | Dec 2018 | Mar 2019 | 15 Weeks
DHARMADEV INFRASTRUCTURE LIMITED | 1) PROJECT PLANNING  2) SITE EXECUTION 3) QUALITY CONTROL | AHMEDABAD | Apr 2022 | Jun 2022 | 7 Weeks</t>
  </si>
  <si>
    <t>AP21311</t>
  </si>
  <si>
    <t>URVAL</t>
  </si>
  <si>
    <t>Shah Urval Rajeshkumar</t>
  </si>
  <si>
    <t>URVALS3@GMAIL.COM</t>
  </si>
  <si>
    <t>ap21311@ms.nicmar.ac.in</t>
  </si>
  <si>
    <t>15-Mar-1997</t>
  </si>
  <si>
    <t>4566 8858 3817</t>
  </si>
  <si>
    <t>RAJESHKUMAR JAYANTILAL SHAH</t>
  </si>
  <si>
    <t>PROPERTY CONSULTANT</t>
  </si>
  <si>
    <t>PINA RAJESHKUMAR SHAH</t>
  </si>
  <si>
    <t>B-21/07, NEW SIDDHIVINAYAK C.H.S.L, M.G. COMPLEX, SECTOR-14, VASHI, NAVI MUMBAI - 400703</t>
  </si>
  <si>
    <t>ST. MARY'S MULTIPURPOSE HIGH SCHOOL</t>
  </si>
  <si>
    <t>2012-Jun-04</t>
  </si>
  <si>
    <t>2013-Jul-22</t>
  </si>
  <si>
    <t>2016-Jul-20</t>
  </si>
  <si>
    <t>A.P. SHAH INSTITUTE OF TECHNOLOGY, THANE</t>
  </si>
  <si>
    <t>2016-Sep-09</t>
  </si>
  <si>
    <t>2020-Feb-17</t>
  </si>
  <si>
    <t>APAHA TRAINERS AND CONSULTANTS PRIVATE LIMITED | GRADUATE TRAINEE INTERN | VASHI, NAVI MUMBAI | Jul 2019 | Aug 2019 | 7 Weeks
SHAPOORJI PALLONJI CONSTRUCTIONS PRIVATE LIMITED | GRADUATE TRAINEE INTERN | KANJURMARG, MUMBAI | Jun 2018 | Jul 2018 | 4 Weeks
ANJ TURNKEY PROJECTS PRIVATE LIMITED | PROJECT MANAGEMENT INTERN | MAHAPE, NAVI MUMBAI | Apr 2022 | Jul 2022 | 13 Weeks</t>
  </si>
  <si>
    <t>AP21312</t>
  </si>
  <si>
    <t>PAVAN KALYAN REDDY</t>
  </si>
  <si>
    <t>VELLANKI</t>
  </si>
  <si>
    <t>Pavan Kalyan Reddy Vellanki</t>
  </si>
  <si>
    <t>VELLANKIPAVANKALYAN@GMAIL.COM</t>
  </si>
  <si>
    <t>ap21312@ms.nicmar.ac.in</t>
  </si>
  <si>
    <t>9112 3869 8448</t>
  </si>
  <si>
    <t>VELLANKI MACHENDER REDDY</t>
  </si>
  <si>
    <t>SELF BUSINESS</t>
  </si>
  <si>
    <t>VELLANKI SWARNALATHA</t>
  </si>
  <si>
    <t>H.NO.6-32/7, SAI AISHWARYA RESIDENCY COLONY, ROAD NO 9, PARVATHAPUR, MEDIPALLY</t>
  </si>
  <si>
    <t>SAINT PAUL'S HIGH SCHOOL</t>
  </si>
  <si>
    <t>ANDHRA PRADESH BOARD OF SECONDARY EDUCATION, HYDERABAD,TELANGANA</t>
  </si>
  <si>
    <t>JAWAHARLAL NEHRU TECHNOOGICAL UNIVERSITY HYDERABAD</t>
  </si>
  <si>
    <t>ACE ENGINEERING COLLEGE, HYDERABAD, TELANGANA</t>
  </si>
  <si>
    <t>PALLA INFRATECH | SITE EXECUTION | HYDERABAD | Jun 2019 | Sep 2020 | 1 Years, 3 Months, 20 Days | 1.8
PALLA INFRATECH | SITE EXECUTION | HYDERABAD | Jun 2019 | Sep 2020 | 1 Years, 3 Months, 20 Days | 1.8</t>
  </si>
  <si>
    <t>SINGHANIA BUILDCON PRIVATE LIMITED | ENGINEERING TRAINEE | RAIPUR, CHATTISGARH | May 2022 | Jul 2022 | 8 Weeks</t>
  </si>
  <si>
    <t>AP21313</t>
  </si>
  <si>
    <t>JEFRIN</t>
  </si>
  <si>
    <t>JAMES</t>
  </si>
  <si>
    <t>Jefrin James</t>
  </si>
  <si>
    <t>jj.jefrinjames109@gmail.com</t>
  </si>
  <si>
    <t>ap21313@ms.nicmar.ac.in</t>
  </si>
  <si>
    <t>10-Sep-1997</t>
  </si>
  <si>
    <t>7247 9419 5623</t>
  </si>
  <si>
    <t>VARGHESE MT</t>
  </si>
  <si>
    <t>PRIVATE CONTRACTOR</t>
  </si>
  <si>
    <t>LISSY</t>
  </si>
  <si>
    <t>MANAPPATHUPARAMBIL HOUSE, CHARAL PO, CHARAL, IRITTY</t>
  </si>
  <si>
    <t>Mattannur</t>
  </si>
  <si>
    <t>CMI CHRIST SCHOOL</t>
  </si>
  <si>
    <t>KERALA STATE BOARD OF HIGHER SECONDARY EDUCATION, KERALA</t>
  </si>
  <si>
    <t>TKM COLLEGE OF ENGINEERING,KOLLAM , KERALA</t>
  </si>
  <si>
    <t>EARTHITECTS | ASSISTED IN AUTOCAD DRAWINGS, ASSISTED IN SETTING OUT OF PLAN, ASSISTED SITE EXECUTION DEPARTMENT.  | BANGALORE | Jul 2017 | Jul 2017 | 1 Weeks
SUNTECK REALTY LIMITED | INTERN IN SITE EXECUTION DEPARTMENT | NAIGAON EAST, MUMBAI | May 2022 | Jun 2022 | 7 Weeks</t>
  </si>
  <si>
    <t>AP21314</t>
  </si>
  <si>
    <t>RITVIK</t>
  </si>
  <si>
    <t>JADON</t>
  </si>
  <si>
    <t>Ritvik Singh Jadon</t>
  </si>
  <si>
    <t>jadon.ritvik@gmail.com</t>
  </si>
  <si>
    <t>ap21314@ms.nicmar.ac.in</t>
  </si>
  <si>
    <t>13-Sep-1999</t>
  </si>
  <si>
    <t>9483 7740 8116</t>
  </si>
  <si>
    <t>PRAKASH SINGH JADON</t>
  </si>
  <si>
    <t>BEERMALA SINGH</t>
  </si>
  <si>
    <t>H. NO. 199, JANAKPURI, MALA ROAD</t>
  </si>
  <si>
    <t>501, 20-CLASSIC REGENT, BANER-BALEWADI, PUNE</t>
  </si>
  <si>
    <t>SAINT PAUL'S SENIOR SECONDARY SCHOOL</t>
  </si>
  <si>
    <t>SAINT PAULS SENIOR SECONDARY SCHOOL</t>
  </si>
  <si>
    <t>AutoCAD,MS Office,FILMORA X</t>
  </si>
  <si>
    <t>EL SALAM REAL ESTATE DEVELOPMENT | TRAINEE ENGINEER | EGYPT | Jun 2019 | Jul 2019 | 6 Weeks
SJ CONTRACTS PVT LTD | SITE ENGINEER | PUNE | Dec 2019 | May 2020 | 21 Weeks
SANGINI GROUP | SITE EXECUTION &amp; MATERIAL PROCUREMENT | SURAT, GUJARAT | Apr 2022 | Jul 2022 | 9 Weeks</t>
  </si>
  <si>
    <t>AP21315</t>
  </si>
  <si>
    <t>HIREN</t>
  </si>
  <si>
    <t>Desai Vidhi Hiren</t>
  </si>
  <si>
    <t>DESAIVIDHI1998@GMAIL.COM</t>
  </si>
  <si>
    <t>ap21315@ms.nicmar.ac.in</t>
  </si>
  <si>
    <t>09-Oct-1998</t>
  </si>
  <si>
    <t>2788 1239 8068</t>
  </si>
  <si>
    <t>DESAI VIDHI HIREN</t>
  </si>
  <si>
    <t>ESHA HIREN DESAI</t>
  </si>
  <si>
    <t>1001, RIVERA TOWER NO-7, NEAR SWAMINARAYAN TEMPLE, ADAJAN ROAD, SURAT.</t>
  </si>
  <si>
    <t>SMT. V. D. DESAI (WADIWALA) SECONDARY SCHOOL</t>
  </si>
  <si>
    <t>UKA TARSADIA UNIVERCITY</t>
  </si>
  <si>
    <t>CHHOTUBHAI GOPALBHAI PATEL INSTITUTE OF TECHNOLOGY</t>
  </si>
  <si>
    <t>DHARMADEV INFRASTRUCTURE LIMITED | 1) PROJECT PLANNING 2)SITE EXECUTION  3) QUALITY CONTROL | AHMEDABAD | Apr 2022 | Jun 2022 | 7 Weeks
BHUMI RESEARCH CENTER | INTERN | SURAT | Apr 2018 | May 2018 | 7 Weeks</t>
  </si>
  <si>
    <t>AP21316</t>
  </si>
  <si>
    <t>Chandak Krishna Sanjay</t>
  </si>
  <si>
    <t>KRISHNACHANDAK880@GMAIL.COM</t>
  </si>
  <si>
    <t>ap21316@ms.nicmar.ac.in</t>
  </si>
  <si>
    <t>8336 5821 7132</t>
  </si>
  <si>
    <t>SANJAY CHOTHMAL CHANDAK</t>
  </si>
  <si>
    <t>ENGINEER AND VALUER</t>
  </si>
  <si>
    <t>KIRAN SANJAY CHANDAK</t>
  </si>
  <si>
    <t>H. NO. 150, SARDAR PATEL ROAD, KACCHI BAZAR</t>
  </si>
  <si>
    <t>AURBINDO AKSHAR JYOTI ENGLISH SCHOOL</t>
  </si>
  <si>
    <t>DAYANAND SCIENCE JUNIOR COLLEGE, LATUR</t>
  </si>
  <si>
    <t>KOTHARI CONSTRUCTION | SITE EXECUTION &amp; PLANNING. | PARBHANI. | Jan 2021 | Jul 2021 | 25 Weeks
SINGHANIA BUILDCON PRIVATE LIMITED | SITE EXECUTION, CONTRACTS AND LEGAL. | RAIPUR, CHHATTISGARH | May 2022 | Jul 2022 | 8 Weeks</t>
  </si>
  <si>
    <t>AP21317</t>
  </si>
  <si>
    <t>PHANINDRA</t>
  </si>
  <si>
    <t>YAKKALI</t>
  </si>
  <si>
    <t>Phanindra Kumar Yakkali</t>
  </si>
  <si>
    <t>phani.yakkali@gmail.com</t>
  </si>
  <si>
    <t>ap21317@ms.nicmar.ac.in</t>
  </si>
  <si>
    <t>6940 9439 5073</t>
  </si>
  <si>
    <t>PULLA RAO YAKKALI</t>
  </si>
  <si>
    <t>NAGAMANI YAKKALI</t>
  </si>
  <si>
    <t>2-171-3-A, BRAHAM GARI TEMPLE STREET, MAIN ROAD</t>
  </si>
  <si>
    <t>LOYOLA PUBLIC SCHOOL</t>
  </si>
  <si>
    <t>AutoCAD,MS Office,MS Project,STAAD.PRO, SAAP2000</t>
  </si>
  <si>
    <t>PROMARG CONSULTANTS PRIVATE LIMITED | DESIGN  | HYDERABAD | Aug 2020 | Aug 2021 | 1 Years, 0 Months, 10 Days | 1.2
PROMARG CONSULTANTS PRIVATE LIMITED | DESIGN  | HYDERABAD | Aug 2020 | Aug 2021 | 1 Years, 0 Months, 10 Days | 1.2</t>
  </si>
  <si>
    <t>RAMI REDDY CONSTRUCTIONS | 1. PROJECT PLANNING 2. SITE EXECUTION 3.QUALITY CONTROL | HYDERABAD | Apr 2022 | Jun 2022 | 8 Weeks
THAKUR INFRAPROJECTS PRIVATE LIMITED | INTERN | MUMBAI | May 2019 | Jun 2019 | 4 Weeks
MUKESH AND ASSOCIATES | INTERN | IMPHAL | Jun 2018 | Jun 2018 | 3 Weeks</t>
  </si>
  <si>
    <t>AP21318</t>
  </si>
  <si>
    <t>PRASANN</t>
  </si>
  <si>
    <t>Prasann Singh Raghuwanshi</t>
  </si>
  <si>
    <t>prasannsinghraghuwanshi@gmail.com</t>
  </si>
  <si>
    <t>ap21318@ms.nicmar.ac.in</t>
  </si>
  <si>
    <t>15-Aug-1998</t>
  </si>
  <si>
    <t>9222 0138 0769</t>
  </si>
  <si>
    <t>RAM SINGH RAGHUWANSHI</t>
  </si>
  <si>
    <t>JYOTI RAGHUWANSHI</t>
  </si>
  <si>
    <t>H.NO. E-231 SANJAY NAGAR JDA COLONY RANJHI JABALPUR</t>
  </si>
  <si>
    <t>DELHI PUBLIC SCHOOL MANDLA ROAD NEEMKHEDA JABALPUR MP</t>
  </si>
  <si>
    <t>GYAN GANGA INSTITUTE OF TECHNOLOGY AND SCIENCE JABALPUR</t>
  </si>
  <si>
    <t>APEX STRUCTURE PRIVATE LIMITED INDORE | SITE EXECUTION | JABALPUR | Jun 2021 | Aug 2021 | 8 Weeks
OFFICE  OF  THE DIVISIONAL PROJECT ENGINEER PWD PIU JABALPUR | SITE EXECUTION | JABALPUR | May 2020 | Aug 2022 | 118 Weeks
SUNTECK REALTY LTD | SITE EXECUTION | MUMBAI | May 2022 | Jun 2022 | 7 Weeks</t>
  </si>
  <si>
    <t>AP21319</t>
  </si>
  <si>
    <t>Khushi Kumari</t>
  </si>
  <si>
    <t>KHUSHIKUMARI2711@GMAIL.COM</t>
  </si>
  <si>
    <t>ap21319@ms.nicmar.ac.in</t>
  </si>
  <si>
    <t>25-Nov-1999</t>
  </si>
  <si>
    <t>5922 4027 5287</t>
  </si>
  <si>
    <t>MADHU DEVI</t>
  </si>
  <si>
    <t>404/A, VALLABH SADAN APARTMENT, PEACE ROAD, LALPUR</t>
  </si>
  <si>
    <t>B.N. SAHA DAYANAND ANGLO VEDIC PUBLIC SCHOOL</t>
  </si>
  <si>
    <t>AutoCAD,MS Office,MS Project,Primavera,STAAD.PRO, REVIT, MS EXCEL, POWER BI, MS OFFICE</t>
  </si>
  <si>
    <t>HEAVY ENGINEERING CORPORATION LIMITED | LEARNING ABOUNT FUNCTIONING OF WATER TREATMENT PLANT AND CIVIL MAINTENANCE WORK | RANCHI | May 2018 | Jun 2018 | 4 Weeks
JHARKHAND INDUSTRIAL INFRASTRUCTURE DEVELOPMENT CORPORATION | LEARNING ABOUT OPERATION AND MAINTENANCE OF ROAD | RANCHI | Jun 2018 | Jul 2018 | 4 Weeks
SHAPOORJI PALLONJI AND COMPANY PRIVATE LIMITED | ASSISTING CONTRACTS ADMINISTRATION DEPARTMENT FOR REDEVELOPMENT OF ITPO COMPLEX INTO INTEGRATED  EXHIBITION CUM CONVENTION CENTRE (IECC) AT PRAGATI MAIDAN, NEW DELHI. | NEW DELHI | Apr 2022 | Jul 2022 | 9 Weeks</t>
  </si>
  <si>
    <t>AP21320</t>
  </si>
  <si>
    <t>Vishal Vijay Shinde</t>
  </si>
  <si>
    <t>vshinde007353@gmail.com</t>
  </si>
  <si>
    <t>ap21320@ms.nicmar.ac.in</t>
  </si>
  <si>
    <t>5242 1114 6528</t>
  </si>
  <si>
    <t>VIJAY SANDIPAN SHINDE</t>
  </si>
  <si>
    <t>PRATIBHA VIJAY SHINDE</t>
  </si>
  <si>
    <t>FLAT NO 408/B2 WING,SHIRODE ROAD,NEW SANGVI,NEAR SANGVI POLICE STATION</t>
  </si>
  <si>
    <t>SHANTIDEVI JAISINGH HUJA GURUNANAK HIGH SCHOOL</t>
  </si>
  <si>
    <t>2013-Mar-15</t>
  </si>
  <si>
    <t>NCL JUNIOR COLLEGE</t>
  </si>
  <si>
    <t>2015-Feb-15</t>
  </si>
  <si>
    <t>RAJENDRA SHINDE AND ASSOCIATES | SITE SUPERVISION TRAINEE | KHED SHIVAPUR,PUNE | Jan 2021 | Jan 2021 | 4 Weeks
PAVETECH CONSULTANTS | SITE SUPERVISION TRAINEE | CHARHOLI,PUNE | Oct 2020 | Nov 2020 | 8 Weeks
ECOFIRST SERVICES LIMITED | PROJECT PLANNING AND COORDINATION FOR THE HERITAGE PMC BUSINESS AND  PREPARATION OF HERITAGE PMC SERVICES BLUE BOOK | MUMBAI,MAHARASHTRA | Apr 2022 | Jul 2022 | 9 Weeks</t>
  </si>
  <si>
    <t>AP21321</t>
  </si>
  <si>
    <t>BENIWAL</t>
  </si>
  <si>
    <t>Rahul Beniwal</t>
  </si>
  <si>
    <t>RHL.BNWL99@GMAIL.COM</t>
  </si>
  <si>
    <t>ap21321@ms.nicmar.ac.in</t>
  </si>
  <si>
    <t>28-Jul-1998</t>
  </si>
  <si>
    <t>3236 4184 2419</t>
  </si>
  <si>
    <t>JAI SINGH BENIWAL</t>
  </si>
  <si>
    <t>SILLOCHANA BENIWAL</t>
  </si>
  <si>
    <t>3 DPN</t>
  </si>
  <si>
    <t>Bhadra</t>
  </si>
  <si>
    <t>HOUSE NUMBER 283, SECTOR 15-A ,HISAR,HARYANA</t>
  </si>
  <si>
    <t>G D GOENKA UNIVERSITY</t>
  </si>
  <si>
    <t>YFC PROJECTS PRIVATE LIMITED | SITE EXECUTION | DELHI | Jun 2019 | Jul 2019 | 4 Weeks
GAWAR CONSTRUCTION LIMITED | DURING MY INTERNSHIP AS A MANAGEMENT TRAINEE, I HAD A JOURNAL AND TOOK NOTES EVERY DAY ABOUT NEW THINGS I LEARNED, FEEDBACK I WAS GIVEN BY MY MANAGER, STRENGTHS AND WEAKNESSES I NOTICED, AND THINGS I  | GURUGRAM | May 2022 | Jul 2022 | 12 Weeks</t>
  </si>
  <si>
    <t>AP21322</t>
  </si>
  <si>
    <t>NANDLALBHAI</t>
  </si>
  <si>
    <t>VEKARIYA</t>
  </si>
  <si>
    <t>Parth Nandlalbhai Vekariya</t>
  </si>
  <si>
    <t>AR.PARTHVEKARIYA@GMAIL.COM</t>
  </si>
  <si>
    <t>ap21322@ms.nicmar.ac.in</t>
  </si>
  <si>
    <t>3156 9172 2756</t>
  </si>
  <si>
    <t>NANDLALBHAI NARANBHAI VEKARIYA</t>
  </si>
  <si>
    <t>SHARDABEN NANDLALBHAI VEKARIYA</t>
  </si>
  <si>
    <t>B-202, RIVERA HEIGHTS, MARUTI CHOWK, SATELLITE ROAD, NEAR LAJAMANI CHOWK, MOTA VARACHHA, SURAT, GUJARAT</t>
  </si>
  <si>
    <t>P. P. SAVANI CHAITANYA VIDYA SANKUL</t>
  </si>
  <si>
    <t>CENTRAL BOARD OF SECONDARY EDUCATION, GUJARAT</t>
  </si>
  <si>
    <t>D. C. PATEL SCHOOL OF ARCHITECTURE, ARVINDBHAI PATEL INSTITUTE OF ENVIRONMENTAL DESIGN, ANAND, GUJARAT</t>
  </si>
  <si>
    <t>ADDA ARCHITECTS AND URBAN DESIGNERS | ARCHITECTURAL INTERN | SURAT | Jun 2018 | Nov 2018 | 21 Weeks
LARSEN AND TOUBRO CONSTRUCTION HEAVY CIVIL INFRASTRUCTURE | PROJECT MANAGEMENT INTERN | SURAT | Apr 2022 | Jul 2022 | 10 Weeks</t>
  </si>
  <si>
    <t>AP21323</t>
  </si>
  <si>
    <t>Kartik Mohan Kansal</t>
  </si>
  <si>
    <t>KARTIKKANSAL21@GMAIL.COM</t>
  </si>
  <si>
    <t>ap21323@ms.nicmar.ac.in</t>
  </si>
  <si>
    <t>8923 5741 2478</t>
  </si>
  <si>
    <t>KRISHAN MOHAN KANSAL</t>
  </si>
  <si>
    <t>SHIKHA KANSAL</t>
  </si>
  <si>
    <t>399 AVAS VIKAS COLONY ROORKEE</t>
  </si>
  <si>
    <t>Roorkee</t>
  </si>
  <si>
    <t>ARMY PUBLIC SCHOOL NO.2, ROORKEE, UTTARAKHAND</t>
  </si>
  <si>
    <t>ADARSH BAL NIKETAN, IIT ROORKEE, UTTARAKHAND</t>
  </si>
  <si>
    <t>COLLEGE OF ENGINEERING ROORKEE, UTTARAKHAND</t>
  </si>
  <si>
    <t>AutoCAD,MS Office,MS Project,AUTO CAD, HEC-RAS,  ARCGIS, MS PROJECT, AGISOFT METASHAPE, ERDAS,  REVIT, STAAD PRO, MS OFFICE (WORD, EXCEL, ETC)</t>
  </si>
  <si>
    <t>INDIAN INSTITUTE OF TECHNOLOGY ROORKEE (I.I.T.R) | CONSULTANCY | ROORKEE | Jan 2021 | Mar 2021 | 0 Years, 2 Months, 30 Days | 2.4
M/S ARUN CONSTRUCTION | SITE EXECUTION | BIJNOR | Mar 2020 | Dec 2020 | 0 Years, 9 Months, 30 Days | 1.14
INDIAN INSTITUTE OF TECHNOLOGY ROORKEE (I.I.T.R) | CONSULTANCY | ROORKEE | Jan 2021 | Mar 2021 | 0 Years, 2 Months, 30 Days | 2.4
M/S ARUN CONSTRUCTION | SITE EXECUTION | BIJNOR | Mar 2020 | Dec 2020 | 0 Years, 9 Months, 30 Days | 1.14</t>
  </si>
  <si>
    <t>ELITE CONSULTANT | STUDY OF GIS, DRONE SURVING, AND MAPPING	 | ROORKEE, UTTRAKHAND | Jun 2019 | Aug 2019 | 11 Weeks
IRRIGATION AND WATER RESOURCES DEPARTMENT | TRAINING  ON WORKING OF BRANCH FEEDER CHANNEL AND PREPARATION OF EXCAVATION ESTIMATES | DEOBAND, UP | Aug 2019 | Oct 2019 | 10 Weeks
CSIR CENTRAL BUILDING RESEARCH INSTITUTE ROORKEE INDIA | SUPERVISION AND PREPARATION OF ESTIMATES OF REPAIRS, RESTORATION &amp; REHABILITATION WORK OF BUILDINGS  | ROORKEE, INDIA | Jun 2022 | Aug 2022 | 9 Weeks</t>
  </si>
  <si>
    <t>AP21324</t>
  </si>
  <si>
    <t>TEJAL</t>
  </si>
  <si>
    <t>Shinde Tejal Nandkishor</t>
  </si>
  <si>
    <t>tejalshinde1305@gmail.com</t>
  </si>
  <si>
    <t>ap21324@ms.nicmar.ac.in</t>
  </si>
  <si>
    <t>13-May-1997</t>
  </si>
  <si>
    <t>7669 9298 1866</t>
  </si>
  <si>
    <t>NANDKISHOR KISHANRAO SHINDE</t>
  </si>
  <si>
    <t>PRIYANJALI NANDKISHOR SHINDE</t>
  </si>
  <si>
    <t>SR NO 17/C, JAYABHAWANI NAGAR, PAUD ROAD, NEAR SAI MANDIR, KOTHRUD</t>
  </si>
  <si>
    <t>PADMAJA, SR. NO. 27/1 BEHIND LOTUS COURT, OLD MUNDHWA ROAD, KHARADI</t>
  </si>
  <si>
    <t>K C THAKERAY VIDYA NIKETAN ENGLISH MEDIUM SCHOOL</t>
  </si>
  <si>
    <t>2013-Mar-07</t>
  </si>
  <si>
    <t>RAJIV GANDHI ACADEMY OF E-LEARNING SCHOOL AND JUNIOR COLLEGE OF SCIENCE</t>
  </si>
  <si>
    <t>A I S S MEMORIAL SOCIETYS COLLEGE OF ENGINEERING</t>
  </si>
  <si>
    <t>ANZA SERVICES LLP | CONVEYANCING | BANGALORE | Jun 2020 | Dec 2020 | 0 Years, 6 Months, 9 Days | 2.29
ANZA SERVICES LLP | CONVEYANCING | BANGALORE | Jun 2020 | Dec 2020 | 0 Years, 6 Months, 9 Days | 2.29</t>
  </si>
  <si>
    <t>RAJENDRA SHINDE AND ASSOCIATES | TRAINEE CIVIL ENGINEER | KHED SHIVAPUR PUNE | Jan 2021 | Jan 2021 | 4 Weeks
MAHAVEER GROUP | CONTRACT MANAGEMENT TRAINEE | BENGALURU | Apr 2022 | Jun 2022 | 7 Weeks</t>
  </si>
  <si>
    <t>AP21325</t>
  </si>
  <si>
    <t>PRAJNA</t>
  </si>
  <si>
    <t>Prajna B</t>
  </si>
  <si>
    <t>praggub@gmail.com</t>
  </si>
  <si>
    <t>ap21325@ms.nicmar.ac.in</t>
  </si>
  <si>
    <t>18-Jul-1999</t>
  </si>
  <si>
    <t>ENGLISH, TELUGU, KANNADA, HINDI</t>
  </si>
  <si>
    <t>4929 1633 8974</t>
  </si>
  <si>
    <t>BASAVESHWARA BADAVANE3RD CROSS 1ST MAIN</t>
  </si>
  <si>
    <t>BASAWESHWARA BADAWANE,3RD CROSS, 1ST MAIN</t>
  </si>
  <si>
    <t>T.M.A.E.S DAV PUBLIC SCHOOL</t>
  </si>
  <si>
    <t>NATIONAL COMPOSITE PU COLLEGE</t>
  </si>
  <si>
    <t>VISHVESHWARAYA TECHNOLOGICAL UNIVERSITY</t>
  </si>
  <si>
    <t>MS RAMAIAH INSTITUTE OF TECHNOLOGY</t>
  </si>
  <si>
    <t>AutoCAD,REVIT, 3DSMAX</t>
  </si>
  <si>
    <t>NINTHMILE CONSTRUCTIONS | INTERN | BANGALORE | Mar 2021 | May 2021 | 8 Weeks
HUNDRED PILLARS CONSTRUCTIONS | PROJECT MANAGEMENT AND SALES | BANGALORE | Apr 2022 | Jun 2022 | 8 Weeks</t>
  </si>
  <si>
    <t>AP21326</t>
  </si>
  <si>
    <t>Vaibhav Yadav</t>
  </si>
  <si>
    <t>72singhyadav@gmail.com</t>
  </si>
  <si>
    <t>ap21326@ms.nicmar.ac.in</t>
  </si>
  <si>
    <t>13-Dec-1997</t>
  </si>
  <si>
    <t>9416 4438 6654</t>
  </si>
  <si>
    <t>RAJINDER SINGH</t>
  </si>
  <si>
    <t>ARMY OFFICER</t>
  </si>
  <si>
    <t>SANYOGITA YADAV</t>
  </si>
  <si>
    <t>Hno519_x000D_
Gali No 1_x000D_
Hans Nagar</t>
  </si>
  <si>
    <t>H.NO 2834FF_x000D_
NEW HOUSING BOARD COLONY_x000D_
SECTOR 23, SONIPAT</t>
  </si>
  <si>
    <t>CBSE , ROORKEE, UTTRAKHAND</t>
  </si>
  <si>
    <t>2013-Apr-01</t>
  </si>
  <si>
    <t>2014-Apr-02</t>
  </si>
  <si>
    <t>JKP POLYTECHNIC, SONIPAT,HARYANA</t>
  </si>
  <si>
    <t>DEEN BANDHU CHOTU RAM UNIVERSITY OF SCIENCE AND TECHNOLOGY</t>
  </si>
  <si>
    <t>HINDU COLLEGE OF ENGINEERING</t>
  </si>
  <si>
    <t>SACHIN CONSTRUCTION | SITE ENGINNER | SONIPAT , HARYANA | Jun 2018 | Jul 2018 | 4 Weeks
BG SHIRKE | PROJECT MANAGEMENT TRANIEE | NARELA , DELHI  | Apr 2022 | Jun 2022 | 5 Weeks</t>
  </si>
  <si>
    <t>AP21327</t>
  </si>
  <si>
    <t>SHASHWAT</t>
  </si>
  <si>
    <t>KHARE</t>
  </si>
  <si>
    <t>Shashwat Khare</t>
  </si>
  <si>
    <t>shashwatsk09@gmail.com</t>
  </si>
  <si>
    <t>ap21327@ms.nicmar.ac.in</t>
  </si>
  <si>
    <t>3521 0592 7524</t>
  </si>
  <si>
    <t>NARENDRA KUMAR KHARE</t>
  </si>
  <si>
    <t>BABITA KHARE</t>
  </si>
  <si>
    <t>HOUSE NO.686,WARD NO.9, DHAM MOHALLA, NEAR NEW KANPUR SWEET</t>
  </si>
  <si>
    <t>PURANICS ALDEA ESPANOLA PHASE 1, MAHALUNGE, NEAR ORCHID HOTEL</t>
  </si>
  <si>
    <t>NARVADA CONSTRUCTION COMPANY | JUNIOR SITE ENGINEER | PANNA | Jul 2020 | Jul 2020 | 2 Weeks
JKCEMENT | PROJECT MANAGEMENT AND PLANNING INTERN | PANNA, MADHYA PRADESH  | May 2022 | Jul 2022 | 10 Weeks</t>
  </si>
  <si>
    <t>AP21329</t>
  </si>
  <si>
    <t>P Subham Patro</t>
  </si>
  <si>
    <t>subhampatro09@gmail.com</t>
  </si>
  <si>
    <t>ap21329@ms.nicmar.ac.in</t>
  </si>
  <si>
    <t>5948 7567 0015</t>
  </si>
  <si>
    <t>P SURYANARAYAN PATRO</t>
  </si>
  <si>
    <t>P JAYAPRAVA PATRO</t>
  </si>
  <si>
    <t>Bimala Nagar, Near Housing Board, Berhampur</t>
  </si>
  <si>
    <t>SANKALP SENIOR SECONDARY SCHOOL</t>
  </si>
  <si>
    <t>KALINGA INSTITUTE OF INDUSTRIAL TECHNOLOGY, BHUBANESWAR</t>
  </si>
  <si>
    <t>AECS | SITE EXCUTIVE | BHUBANESWAR | Apr 2022 | Jul 2022 | 13 Weeks | Campus Internship</t>
  </si>
  <si>
    <t>AP21330</t>
  </si>
  <si>
    <t>Piyush Rajendra Chaudhari</t>
  </si>
  <si>
    <t>PIYUSHC718@GMAIL.COM</t>
  </si>
  <si>
    <t>ap21330@ms.nicmar.ac.in</t>
  </si>
  <si>
    <t>14-Mar-1998</t>
  </si>
  <si>
    <t>2109 2484 9199</t>
  </si>
  <si>
    <t>RAJENDRA DODHU CHAUDHARI</t>
  </si>
  <si>
    <t>BEBI RAJENDRA CHAUDHARI</t>
  </si>
  <si>
    <t>SAMARTHA APPT 4, PROFESSOR COLONY, RANPISE NAGAR</t>
  </si>
  <si>
    <t>HOLY CROSS CONVENT HIGH SCHOOL, AKOLA</t>
  </si>
  <si>
    <t>DR. PANJABRAO DESHMUKH POLYTECHNIC, AMRAVATI</t>
  </si>
  <si>
    <t>DR D.Y PATIL INSTITUTE OF TECHNOLOGY, PIMPRI</t>
  </si>
  <si>
    <t>NEILSOFT PRIVATE LIMITED | ASSET MANAGEMENT &amp; ENGINEERING PROCUREMENT SERVICES | Pune | Nov 2020 | Aug 2021 | 0 Years, 9 Months, 7 Days | 2.5
NEILSOFT PRIVATE LIMITED | ASSET MANAGEMENT &amp; ENGINEERING PROCUREMENT SERVICES | Pune | Nov 2020 | Aug 2021 | 0 Years, 9 Months, 7 Days | 2.5</t>
  </si>
  <si>
    <t>GARGATE AND SONS PUNE BUILDERS ASSOCIATION OF INDIA INTERNSHIP | SITE EXECUTION | PUNE | Jun 2018 | Jun 2018 | 2 Weeks
LARSEN TOUBRO REALTY | SITE EXECUTION | POWAI, MUMBAI | Apr 2022 | Aug 2022 | 14 Weeks</t>
  </si>
  <si>
    <t>AP21331</t>
  </si>
  <si>
    <t>NAMPALLI</t>
  </si>
  <si>
    <t>Nampalli Sai Kumar</t>
  </si>
  <si>
    <t>saikumar95427@gmail.com</t>
  </si>
  <si>
    <t>ap21331@ms.nicmar.ac.in</t>
  </si>
  <si>
    <t>05-Aug-1999</t>
  </si>
  <si>
    <t>7928 0072 9912</t>
  </si>
  <si>
    <t>NAMPALLI SRINIVAS</t>
  </si>
  <si>
    <t>NAMPALLI SHOBHA</t>
  </si>
  <si>
    <t>H.NO 5-1\2 , VEMULAWADA</t>
  </si>
  <si>
    <t>Sircilla</t>
  </si>
  <si>
    <t>H.NO 5-1\2, VEMULAWADA</t>
  </si>
  <si>
    <t>SIDDHARTHA HIGH SCHOOL</t>
  </si>
  <si>
    <t>TRINITY  JUNIOR COLLEGE</t>
  </si>
  <si>
    <t>JAWAHARLA NEHRU TECHNOLOGICAL UNIVERSITY HYDERABAD</t>
  </si>
  <si>
    <t>SRI INDU COLLEGE OF ENGINEERING AND TECHNOLOGY</t>
  </si>
  <si>
    <t>Prashanth sai builders and construction | Site Execution | Hyderabad | Mar 2021 | Aug 2021 | 0 Years, 5 Months, 13 Days | 1.8
Prashanth sai builders and construction | Site Execution | Hyderabad | Mar 2021 | Aug 2021 | 0 Years, 5 Months, 13 Days | 1.8</t>
  </si>
  <si>
    <t>SRI INDU COLLEGE OF ENGINEERING AND TECHNOLOGY | TEAM LEADER OF PROJECT | SHERIGUDA,RANGAREDDY DISTRICT | Dec 2019 | Jan 2020 | 4 Weeks
CONVENIENT CONSTRUCTION CONSULTANCY PRIVATE LIMITED | SITE EXECUTION | INDORE | Apr 2022 | Jul 2022 | 12 Weeks</t>
  </si>
  <si>
    <t>AP21332</t>
  </si>
  <si>
    <t>VAMSEEKRISHNA</t>
  </si>
  <si>
    <t>PRATHIPATI</t>
  </si>
  <si>
    <t>Vamseekrishna Prathipati</t>
  </si>
  <si>
    <t>vamseekrishnaprathipati@gmail.com</t>
  </si>
  <si>
    <t>AP21332@ms.nicmar.ac.in</t>
  </si>
  <si>
    <t>4751 7583 4459</t>
  </si>
  <si>
    <t>RAMAKOTESWARARAO PRATHIPATI</t>
  </si>
  <si>
    <t>ARUNA PRATHIPATI</t>
  </si>
  <si>
    <t>D.NO:6-74/1, KROSURI BAZAR, PONUGUPADU(PO), PHIRANGIPURAM(M), GUNTUR(D)</t>
  </si>
  <si>
    <t>Z.P. HIGH SCHOOL PONUGUPADU</t>
  </si>
  <si>
    <t>2012-Jun-14</t>
  </si>
  <si>
    <t>SRI CHAITANYA JUNIOR COLLEGE, VISAKHAPATNAM</t>
  </si>
  <si>
    <t>BOARD OF INTERMEDIATE EDUCATION, A.P</t>
  </si>
  <si>
    <t>2013-Jun-12</t>
  </si>
  <si>
    <t>2015-Mar-18</t>
  </si>
  <si>
    <t>NARASARAOPETA ENGINEERING COLLEGE, NARASARAOPET</t>
  </si>
  <si>
    <t>2015-Sep-03</t>
  </si>
  <si>
    <t>AutoCAD,MS Office,MS Project,3DS MAX, STAAD PRO</t>
  </si>
  <si>
    <t>INDIS APPA TWO PROJECTS PRIVATE LIMITED | PROJECT CO-ORDINATION, SITE EXECUTION | HYYDERABAD | May 2022 | Jul 2022 | 8 Weeks</t>
  </si>
  <si>
    <t>AP21333</t>
  </si>
  <si>
    <t>DAMIREDDY</t>
  </si>
  <si>
    <t>Damireddy Harshith Preetham</t>
  </si>
  <si>
    <t>AP21333@MS.NICMAR.AC.IN</t>
  </si>
  <si>
    <t>ap21333@ms.nicmar.ac.in</t>
  </si>
  <si>
    <t>TELUGU, HINDI, TELUGU</t>
  </si>
  <si>
    <t>7914 5331 1837</t>
  </si>
  <si>
    <t>DAMIREDDY PRATAP RAVI KUMAR</t>
  </si>
  <si>
    <t>DAMIREDDY GYANESHWARI</t>
  </si>
  <si>
    <t>H, NO.2-4-19, BODRAI BAZAR, NEAR MADHU GAS</t>
  </si>
  <si>
    <t>Suryapet</t>
  </si>
  <si>
    <t>CITY TALENT HIGH SCHOOL</t>
  </si>
  <si>
    <t>JAWAHARLALNEHRU TECHNOLOGICAL UNIVERSITY HYDERABAD</t>
  </si>
  <si>
    <t>GURU NANAK INSTITUTIONS TECHNICAL CAMPUS IBRAHIMPATNAM</t>
  </si>
  <si>
    <t>AutoCAD,MS Office,MS Project,Primavera,PLANNING AND ESTIMATION</t>
  </si>
  <si>
    <t>KHAGA Interiors Private Limited | Maintaining and Supervision the Works | Hyderabad | Jul 2019 | Aug 2021 | 2 Years, 1 Months, 11 Days | 1.8
KHAGA Interiors Private Limited | Maintaining and Supervision the Works | Hyderabad | Jul 2019 | Aug 2021 | 2 Years, 1 Months, 11 Days | 1.8</t>
  </si>
  <si>
    <t>L ONE SUPPLY NETWORKS PRIVATE LIMITED | BUSINESSY ANALYST &amp; VENDOR MANAGEMENT  /NEGOTIONS | HYDERABAD | May 2022 | Jul 2022 | 13 Weeks
GURU NANAK INSTITUTIONS TECHNICAL CAMPUS | DESIGN AND ANALYSIS  | IBRAHIMPATNAM | Nov 2018 | Apr 2019 | 24 Weeks</t>
  </si>
  <si>
    <t>AP21334</t>
  </si>
  <si>
    <t>Khyati .</t>
  </si>
  <si>
    <t>RADHI.SOLANKI13@GMAIL.COM</t>
  </si>
  <si>
    <t>ap21334@ms.nicmar.ac.in</t>
  </si>
  <si>
    <t>08-Feb-1997</t>
  </si>
  <si>
    <t>ENGLISH, HINDI, GUJRATI, KANNADA, MARATHI.</t>
  </si>
  <si>
    <t>6297 8160 9934</t>
  </si>
  <si>
    <t>BHUPENDRA SOLANKI</t>
  </si>
  <si>
    <t>KOKILA B SOLANKI</t>
  </si>
  <si>
    <t>H. NO. 1-1-115, UDAY NAGAR, STATION ROAD, BESIDES RAM MANDIR, RAICHUR.</t>
  </si>
  <si>
    <t>ST. MARY'S CONVENT HIGH SCHOOL</t>
  </si>
  <si>
    <t>KARNATAKA STATE BOARD OF HIGHER SECONDARY EDUCATION</t>
  </si>
  <si>
    <t>VIDYA BHARATHI PU COLLEGE</t>
  </si>
  <si>
    <t>AutoCAD,MS Office,MS Project,Primavera,SKETCHUP, ADOBE PHOTOSHOP, ADOBE LIGHTROOM</t>
  </si>
  <si>
    <t>Shruti Gupta &amp; Associates (SGA) | Designing and Execution | Nashik | Sep 2020 | Mar 2021 | 0 Years, 5 Months, 13 Days | 0.8
Shruti Gupta &amp; Associates (SGA) | Designing and Execution | Nashik | Sep 2020 | Mar 2021 | 0 Years, 5 Months, 13 Days | 0.8</t>
  </si>
  <si>
    <t>ESPEEVEE ARCHITECTS AND INTERIOR DESIGNERS | ARCHITECTURAL INTERN | RAICHUR | Aug 2019 | Nov 2019 | 17 Weeks
AMS PROJECT CONSULTANTS PRIVATE LIMITED | PROJECT MANAGEMENT INTERN | PUNE | Apr 2022 | Jul 2022 | 13 Weeks</t>
  </si>
  <si>
    <t>AP21335</t>
  </si>
  <si>
    <t>RAJI</t>
  </si>
  <si>
    <t>Naveen Koshy Raji</t>
  </si>
  <si>
    <t>NAVEENRAJI9669@GMAIL.COM</t>
  </si>
  <si>
    <t>ap21335@ms.nicmar.ac.in</t>
  </si>
  <si>
    <t>16-Jan-1997</t>
  </si>
  <si>
    <t>3331 3737 3520</t>
  </si>
  <si>
    <t>RAJI P KOSHY</t>
  </si>
  <si>
    <t>RETIRED  GOVERNMENT EMPLOYEE</t>
  </si>
  <si>
    <t>SUNU P RAJI</t>
  </si>
  <si>
    <t>PUTHENKANDATHIL , NEDUMON PO, EZHAMKULAM , PATHANAMTHITTA</t>
  </si>
  <si>
    <t>Adoor</t>
  </si>
  <si>
    <t>SARASWATHI VIDYANIKETHAN PUBLIC SCHOOL</t>
  </si>
  <si>
    <t>BHARATI VIDYAPEETH COLLEGE OF ENGINEERING PUNE</t>
  </si>
  <si>
    <t>other,AUTOSCAN AND AUTOSTEEL ;HIT OFFICE</t>
  </si>
  <si>
    <t>CBRE | PROJECT MANAGEMENT INTERN | PUNE | Apr 2022 | Jul 2022 | 10 Weeks</t>
  </si>
  <si>
    <t>AP21336</t>
  </si>
  <si>
    <t>Sudipto Bhattacharjee</t>
  </si>
  <si>
    <t>ITSMESUDIP.BHATTACHARYA@GMAIL.COM</t>
  </si>
  <si>
    <t>ap21336@ms.nicmar.ac.in</t>
  </si>
  <si>
    <t>18-Aug-1995</t>
  </si>
  <si>
    <t>7365 6187 0070</t>
  </si>
  <si>
    <t>PRADIP KUMAR BHATTACHARJEE</t>
  </si>
  <si>
    <t>KANA BHATTACHARJEE</t>
  </si>
  <si>
    <t>B-16-124 UCIL COLONY TURAMDIH JAMSHEDPUR JHARKHAND</t>
  </si>
  <si>
    <t>ATOMIC ENERGY CENTRAL SCHOOL NARWAPAHAR</t>
  </si>
  <si>
    <t>CENTRA BOARD OF SECONDARY EDUCATION</t>
  </si>
  <si>
    <t>ATOMIC ENERGY CENTRAL SCHOOL JADUGUDA</t>
  </si>
  <si>
    <t>VINOBA BHAVE UNIVERSITY HAZARIBAGH</t>
  </si>
  <si>
    <t>BIRSA INSTITUTE OF TECHNOLOGY SINDRI DHANBAD</t>
  </si>
  <si>
    <t>AutoCAD,MS Office,MS Project,STAAD PRO , 3DS MAX</t>
  </si>
  <si>
    <t>Aditya Construction | Project Management Consultant (PMC) | Agra | Nov 2019 | Aug 2021 | 1 Years, 8 Months, 30 Days | 3.18
Aashi Reality Private Limited | Structure Designer / Site Execution | Jamshedpur | Dec 2017 | Oct 2019 | 1 Years, 10 Months, 4 Days | 3
Aditya Construction | Project Management Consultant (PMC) | Agra | Nov 2019 | Aug 2021 | 1 Years, 8 Months, 30 Days | 3.18
Aashi Reality Private Limited | Structure Designer / Site Execution | Jamshedpur | Dec 2017 | Oct 2019 | 1 Years, 10 Months, 4 Days | 3</t>
  </si>
  <si>
    <t>86 month(s)</t>
  </si>
  <si>
    <t>JHARKHAND ROAD PROJECTS IMPLEMENTATION COMPANY LIMITED | ROAD DEVELOPMENT OF STATE HIGHWAYS | RANCHI , JHARKHAND | Oct 2015 | Nov 2015 | 4 Weeks
QUICK REACH INC | STRATEGIC BUSINESS DEVELOPMENT AND MARKET RESEARCH | PHILLIPINES | Apr 2022 | Jul 2022 | 13 Weeks</t>
  </si>
  <si>
    <t>AP21337</t>
  </si>
  <si>
    <t>Shivam Parashar</t>
  </si>
  <si>
    <t>SHIVAMPARASHAR77@GMAIL.COM</t>
  </si>
  <si>
    <t>ap21337@ms.nicmar.ac.in</t>
  </si>
  <si>
    <t>10-Nov-1997</t>
  </si>
  <si>
    <t>3878 2747 8513</t>
  </si>
  <si>
    <t>SANTOSH PARASHAR</t>
  </si>
  <si>
    <t>SARLA PARASHAR</t>
  </si>
  <si>
    <t>BR APARTMENT F1 515- SURESH NAGAR THATIPUR GWALIOR</t>
  </si>
  <si>
    <t>RAMAKRISHNA VIDYA MANDIR</t>
  </si>
  <si>
    <t>ITM GROUP OF INSTITUTIONS</t>
  </si>
  <si>
    <t>AutoCAD,MS Office,MS Project,Primavera,REVIT,STAAD.PRO</t>
  </si>
  <si>
    <t>RURAL ENGINEERING SERVICE GOV | ESTIMATION ,LAB TESTING, SITE SURVEY | GWALIOR | Jun 2018 | Jul 2018 | 4 Weeks
CIVIL SOLUTION AND SURVEYING SERVICES | SITE SURVEY, MAPPING &amp;PLOTTING, DPR WORK | GWALIOR | Feb 2021 | Jul 2021 | 20 Weeks
AGRAWAL BUILDERS AND COLONIZERS CO | 1. PROJECT PLANNING 2. BILLING 3. SITE EXECUTION | BHOPAL | Apr 2022 | Jun 2022 | 7 Weeks</t>
  </si>
  <si>
    <t>AP21338</t>
  </si>
  <si>
    <t>Pranay Parmar</t>
  </si>
  <si>
    <t>PPRANAY786786@GMAIL.COM</t>
  </si>
  <si>
    <t>ap21338@ms.nicmar.ac.in</t>
  </si>
  <si>
    <t>22-Jul-1996</t>
  </si>
  <si>
    <t>3421 7230 3655</t>
  </si>
  <si>
    <t>RAJESH KUMAR PAMAR</t>
  </si>
  <si>
    <t>MANISHA PARMAR</t>
  </si>
  <si>
    <t>SHRI SAI DHAM MARUTI NAGAR SECTOR 4 PROFESSOR COLONY</t>
  </si>
  <si>
    <t>HOLY HEARTS EDUCATIONAL ACADEMY</t>
  </si>
  <si>
    <t>SHRI SHANKARACHARYA INSTITUTE OF ENGINEERING AND TECHNOLOGY</t>
  </si>
  <si>
    <t>AutoCAD,MS Office,MS Project,Primavera,AUTOCAD, STAAD.PRO, SKETCHUP</t>
  </si>
  <si>
    <t>RURAL DEVELOPMENT DIVISION | INTERN | DURG | May 2017 | Jun 2017 | 4 Weeks
ACC LIMITED | INTERN | BHILAI | May 2017 | Jun 2017 | 4 Weeks
VESTIAN GLOBAL WORKPLACE SERVICE PVT LTD | INTERN | BANGLORE | May 2022 | Jul 2022 | 12 Weeks</t>
  </si>
  <si>
    <t>AP21339</t>
  </si>
  <si>
    <t>RAMARAJU PHANI</t>
  </si>
  <si>
    <t>SRUTHI</t>
  </si>
  <si>
    <t>Ramaraju Phani Sai Sruthi</t>
  </si>
  <si>
    <t>ramarajusruthi81@gmail.com</t>
  </si>
  <si>
    <t>ap21339@ms.nicmar.ac.in</t>
  </si>
  <si>
    <t>4548 8775 9640</t>
  </si>
  <si>
    <t>RAMARAJU PREM KUMAR</t>
  </si>
  <si>
    <t>RAMARAJU NAGA PADMA LAKSHMI KUMARI</t>
  </si>
  <si>
    <t>D/O PREM KUMAR, 5-25-71, 3/10 LINE, BRODIPETA, GUNTUR, GUNTUR, ANDHRA PRADESH - 522002</t>
  </si>
  <si>
    <t>SRI VENKATESWARA BALA KUTEER</t>
  </si>
  <si>
    <t>ANDHRA PRADESH STATE BOARD OF SECONDARY EDUCATION</t>
  </si>
  <si>
    <t>SRI CHAITANYA VIDYALAYA</t>
  </si>
  <si>
    <t>AutoCAD,MS Office,AUTO CAD, GEO 5</t>
  </si>
  <si>
    <t>ARHAM CONSTROTECH PVT LTD | TRAINEE ENGINEER | HYDERABAD, PUNE | Apr 2022 | Jun 2022 | 8 Weeks
NUCLEAR POWER CORPORATION OF INDIA LIMITED | SITE EXPOSURE OF KUDANKULAM NUCLEAR POWER PROJECT 3 &amp; 4 UNITS | TIRUNELEVLI, KANYAKUMARI | Jun 2019 | Jun 2019 | 2 Weeks
LARSEN AND TOUBRO LIMITED | SITE EXPOSURE  | KARAKAT ROAD, AMARAVATI, ANDHRA PRADESH | May 2019 | Jun 2019 | 3 Weeks</t>
  </si>
  <si>
    <t>AP21341</t>
  </si>
  <si>
    <t>SWARN</t>
  </si>
  <si>
    <t>Swarn Pratap Singh</t>
  </si>
  <si>
    <t>swarnsdl@gmail.com</t>
  </si>
  <si>
    <t>ap21341@ms.nicmar.ac.in</t>
  </si>
  <si>
    <t>7166 8450 5401</t>
  </si>
  <si>
    <t>SHAMBHU SINGH</t>
  </si>
  <si>
    <t>RADHIKA SINGH</t>
  </si>
  <si>
    <t>H.NO 6/36 NEAR SARASWATI SCHOOL PANDAV NAGAR SHAHDOL</t>
  </si>
  <si>
    <t>ALDEA ESPANOLA PHASE 1 FLAT NO.701 A4 BLOCK NEARBY MAHALUNGE SUS POLICE STATION</t>
  </si>
  <si>
    <t>GOOD SHEPHERD CONVENT SENIOR SECONDARY SCHOOL SHAHDOL</t>
  </si>
  <si>
    <t>SHIV JYOTI SENIOR SECONDARY SCHOOL KOTA</t>
  </si>
  <si>
    <t>RAJASTHAN BOARD OF SECONDARY EDUCATION</t>
  </si>
  <si>
    <t>DAYANANDA SAGAR COLLEGE OF ENGINEERING BANGALORE VISVESVARAYA TECHNOLOGICAL UNIVERSITY AFFILIATE AUTONOMOUS INSTITUTE</t>
  </si>
  <si>
    <t>DAYANANDA SAGAR COLLEGE OF ENGINEERING BANGALORE</t>
  </si>
  <si>
    <t>AutoCAD,MS Office,MS Project,Primavera,SKETCHUP,REVIT,ARCMAP</t>
  </si>
  <si>
    <t>LIVIT TECHNOLOGIES PRIVATE LIMITED | SALES AND MARKETING INTERN  | PUNE | Apr 2022 | Jun 2022 | 7 Weeks | Campus Internship
RELIANCE INDUSTRIES LIMITED | PROJECT INTERN CIVIL  | SHAHDOL MADHYA PRADESH | Jul 2022 | Aug 2022 | 4 Weeks | Campus Internship
TIRUPATHI BUILDCON PRIVATE LIMITED | TRAINEE ENGINEER (SITE EXECUTION AND QUALITY CONTROL) | UMARIA  | Mar 2021 | Jun 2021 | 13 Weeks</t>
  </si>
  <si>
    <t>AP21342</t>
  </si>
  <si>
    <t>SIDDHARTHA</t>
  </si>
  <si>
    <t>Siddhartha Sarkar</t>
  </si>
  <si>
    <t>siddharthasarkar5188@gmail.com</t>
  </si>
  <si>
    <t>ap21342@ms.nicmar.ac.in</t>
  </si>
  <si>
    <t>9215 1436 9712</t>
  </si>
  <si>
    <t>GOPINATH SARKAR</t>
  </si>
  <si>
    <t>JAYANTI SARKAR</t>
  </si>
  <si>
    <t>A-31,MEGHMALLAR SARANI,SECTOR-2C,BIDHANNAGAR,DURGAPUR-713212</t>
  </si>
  <si>
    <t>ST.XAVIER'S SCHOOL</t>
  </si>
  <si>
    <t>HEM SHEELA MODEL SCHOOL</t>
  </si>
  <si>
    <t>JMRRP JV | SITE EXECUTION | KOLKATA | Jun 2019 | Jun 2019 | 3 Weeks
MASIN PROJECTS PRIVATE LIMITED | INTERN-CONTRACTS &amp; CLAIMS | GURGAON | Apr 2022 | Jul 2022 | 12 Weeks</t>
  </si>
  <si>
    <t>AP21344</t>
  </si>
  <si>
    <t>INJARAPU</t>
  </si>
  <si>
    <t>CHAARVIKA</t>
  </si>
  <si>
    <t>Injarapu Chaarvika</t>
  </si>
  <si>
    <t>chaarvika2806@gmail.com</t>
  </si>
  <si>
    <t>ap21344@ms.nicmar.ac.in</t>
  </si>
  <si>
    <t>5792 4619 8045</t>
  </si>
  <si>
    <t>INJARAPU VENKATA SIVA SURYA SRINIVASA RAO</t>
  </si>
  <si>
    <t>INJARAPU SUJATHA</t>
  </si>
  <si>
    <t>12-82/1/1, GODHASRINIVASAM, SAINAGAR, NEAR SATYA NAGAR WATER TANK, CHINAMUSHIDIWADA, VISAKHAPATNAM</t>
  </si>
  <si>
    <t>ROADS AND BUILDINGS DEPARTMENT OF ANDHRA PRADESH | INTERNSHIP | VISAKHAPATNAM | Jun 2019 | Jun 2019 | 2 Weeks
ANDHRA PRADESH EDUCATION ND WELFARE INFRASRTUCTURE DEVELOPMENT CORPORATION | INTERNSHIP | VISAKHAPATANAM | Jun 2018 | Jun 2018 | 3 Weeks
NAVAYUGA ENGINEERING COMPANY LTD | PROJECT MONITORING AND QUANTITY SURVEYING | HYDERABAD, TELANGANA | May 2022 | Jul 2022 | 9 Weeks</t>
  </si>
  <si>
    <t>AP21345</t>
  </si>
  <si>
    <t>SAIVENKATAPATHI</t>
  </si>
  <si>
    <t>GIRIDHAR</t>
  </si>
  <si>
    <t>Saivenkatapathi K Giridhar</t>
  </si>
  <si>
    <t>k.saipat999@gmail.com</t>
  </si>
  <si>
    <t>ap21345@ms.nicmar.ac.in</t>
  </si>
  <si>
    <t>29-Mar-1998</t>
  </si>
  <si>
    <t>9704 6593 9153</t>
  </si>
  <si>
    <t>KATAMANENI GIRIDHAR</t>
  </si>
  <si>
    <t>S/O K GIRIDHAR, #768,  HAMMIGI, MUNDARGI TQ.</t>
  </si>
  <si>
    <t>Mundargi</t>
  </si>
  <si>
    <t>C D O JAIN ENGLISH MED HIGH SCHOOL</t>
  </si>
  <si>
    <t>2014-May-01</t>
  </si>
  <si>
    <t>AutoCAD,MS Project,Primavera,REVIT - ARCHITECTURE</t>
  </si>
  <si>
    <t>LARSEN AND TOUBRO CONSTRUCTION PRIVATE LIMITED | INTERN | BANGALORE | Jul 2019 | Jul 2019 | 4 Weeks
NAVAYUGA RVR JV | PROJECT TRAINING INTERN | JADCHERLA, TELANGANA | Dec 2020 | Aug 2021 | 39 Weeks
RVR PROJECTS PRIVATE LIMITED | PROJECT MONITORING AND CONTROLLING  | LONAVALA | May 2022 | Jul 2022 | 13 Weeks</t>
  </si>
  <si>
    <t>AP21347</t>
  </si>
  <si>
    <t>Vivek Kumar</t>
  </si>
  <si>
    <t>VIVEKKHATKAR1998@GMAIL.COM</t>
  </si>
  <si>
    <t>ap21347@ms.nicmar.ac.in</t>
  </si>
  <si>
    <t>7441 5382 9363</t>
  </si>
  <si>
    <t>RENU BALA</t>
  </si>
  <si>
    <t>A-1702 HERITAGE-MAX, NEAR DWARKA EXPRESSWAY, SECTOR-102, HARYANA</t>
  </si>
  <si>
    <t>D.A.V CENTENARY PUBLIC SCHOOL ROHTAK, HARYANA</t>
  </si>
  <si>
    <t>ANSAL UNIVERSITY, GURGAON</t>
  </si>
  <si>
    <t>AutoCAD,MS Office,MS Project,Primavera,STAAD PRO, BUILDING ESTIMATION, DRAFTING OF BLUE PRINTS</t>
  </si>
  <si>
    <t>J KUMAR INFRAPROJECTS LIMITED | PLANNING AND EXECUTION OF WORKS AS PER DESIGN &amp; DRAWING, MAINTAINING QUALITY STANDARDS FOR ALL THE STRUCTURAL WORKS, PREPARATION OF DAILY, WEEKLY, MONTHLY REPORTS ON WORK PROGRESS, DAILY SITE SUPERVIS | DELHI | May 2022 | Jul 2022 | 11 Weeks | Campus Internship</t>
  </si>
  <si>
    <t>AP21348</t>
  </si>
  <si>
    <t>PARVATHY</t>
  </si>
  <si>
    <t>Parvathy Panicker L</t>
  </si>
  <si>
    <t>parvathypanicker98@gmail.com</t>
  </si>
  <si>
    <t>ap21348@ms.nicmar.ac.in</t>
  </si>
  <si>
    <t>21-Apr-1998</t>
  </si>
  <si>
    <t>9944 0070 1908</t>
  </si>
  <si>
    <t>RAJIV PANICKER M</t>
  </si>
  <si>
    <t>LEKHA S</t>
  </si>
  <si>
    <t>VISHNU NIVAS, AMBALAPUZHA P O ALAPPUZHA</t>
  </si>
  <si>
    <t>LOURDES MATHA HIGHER SECONDARY SCHOOL</t>
  </si>
  <si>
    <t>KERALA STATE BOARD OF HIGHER SECONDARY EDUCATION</t>
  </si>
  <si>
    <t>THANGAL KUNJU MUSALIAR COLLEGE OF ENGINEERING, KOLLAM, KERALA</t>
  </si>
  <si>
    <t>AutoCAD,MS Office,MS Project,STAAD PRO, QGIS</t>
  </si>
  <si>
    <t>POONAM GRAH NIRMAN PRIVATE LIMITED | INTERN, TESTING MATERIALS AND SURVEYING | NEDUMBASSERY, ERNAKULAM, KERALA | Jun 2019 | Jun 2019 | 0 Weeks
KERALA PUBLIC WORKS DEPARTMENT | INTERN, WORKED IN VARIOUS SITES AT VANDANAM MEDICAL COLLEGE  | VANDANAM,ALAPPUZHA,KERALA | Jul 2018 | Jul 2018 | 0 Weeks
SUNTECK REALTY LIMITED | INTERN IN CONTRACTS DEPARTMENT | VILE PARLE EAST, MUMBAI | May 2022 | Jun 2022 | 7 Weeks</t>
  </si>
  <si>
    <t>AP21349</t>
  </si>
  <si>
    <t>PINJALA</t>
  </si>
  <si>
    <t>TEJHA</t>
  </si>
  <si>
    <t>Pinjala Ravi Tejha</t>
  </si>
  <si>
    <t>TEJHARAVI4@GMAIL.COM</t>
  </si>
  <si>
    <t>ap21349@ms.nicmar.ac.in</t>
  </si>
  <si>
    <t>22-Feb-1992</t>
  </si>
  <si>
    <t>5285 7541 2162</t>
  </si>
  <si>
    <t>PINJALA SUBRAMANYAM</t>
  </si>
  <si>
    <t>PINJALA SAILAJA</t>
  </si>
  <si>
    <t>P RAVI TEJHA S/O P SUBRAMANYAM, DOOR NO 2-14, PUDIPATLA, TITUPATHI RURAL, CHITTOOR DIST.,</t>
  </si>
  <si>
    <t>Tirupati</t>
  </si>
  <si>
    <t>B302, 3RD FLOOR, JEEVAN KAVERI LIC QUARTERS, JEEVAN BHIMA NAGAR</t>
  </si>
  <si>
    <t>KENDRIYA VIDYALAYA RAMNAGAR AREA TIRUPATHI</t>
  </si>
  <si>
    <t>GANDHI INSTITUTE OF TECHNOLOGY AND MANAGEMENT,  VISAKHAPATNAM/ ANDHRA PRADESH</t>
  </si>
  <si>
    <t>TATA PROJECTS LIMITED | PROJECT PLANNING &amp; QS  | RAMANAGARA | Dec 2018 | Aug 2021 | 2 Years, 8 Months, 0 Days | 6.87
LARSEN &amp; TOUBRO CONSTRUCTION LIMITED | PROJECT PLANNING &amp; QS | DHOLERA | Mar 2018 | Dec 2018 | 0 Years, 8 Months, 25 Days | 5.05
GENIUS INFRASTRUCTURE  BRO  GENIUS INFRASTRUCTURE | PROJECT PLANNING &amp; QS | JODHPUR   TENGA VALLEY  BARAN | Aug 2014 | Mar 2018 | 3 Years, 7 Months, 20 Days | 3
TATA PROJECTS LIMITED | PROJECT PLANNING &amp; QS  | RAMANAGARA | Dec 2018 | Aug 2021 | 2 Years, 8 Months, 0 Days | 6.87
LARSEN &amp; TOUBRO CONSTRUCTION LIMITED | PROJECT PLANNING &amp; QS | DHOLERA | Mar 2018 | Dec 2018 | 0 Years, 8 Months, 25 Days | 5.05
GENIUS INFRASTRUCTURE  BRO  GENIUS INFRASTRUCTURE | PROJECT PLANNING &amp; QS | JODHPUR   TENGA VALLEY  BARAN | Aug 2014 | Mar 2018 | 3 Years, 7 Months, 20 Days | 3</t>
  </si>
  <si>
    <t>169 month(s)</t>
  </si>
  <si>
    <t>B TECH PROJECT TITLE FIBRE REINFORCED CONCRETE AT ELEVATED TEMPERATURE | GROUP LEAD | VISAKHAPATNAM | Jul 2013 | Feb 2014 | 34 Weeks
CIA GLOCAL VENTURE LLP | SECTORAL STUDY, STRATEGIC PLANNING AND BUSINESS DEVELOPMENT. | MUMBAI | Apr 2022 | Jul 2022 | 11 Weeks</t>
  </si>
  <si>
    <t>AP21351</t>
  </si>
  <si>
    <t>Sneha Susan John</t>
  </si>
  <si>
    <t>snhssjhn@gmail.com</t>
  </si>
  <si>
    <t>ap21351@ms.nicmar.ac.in</t>
  </si>
  <si>
    <t>8890 3696 1547</t>
  </si>
  <si>
    <t>JOHN CHACKO</t>
  </si>
  <si>
    <t>BUSINESS CONSULTANT</t>
  </si>
  <si>
    <t>BINDU J CHACKO</t>
  </si>
  <si>
    <t>28/2976B CALEEKKAL SUNOJ VILLA, ELENJERI ROAD, KADAVANTHARA, NEAR ANIL K NAYAR FCA</t>
  </si>
  <si>
    <t>GE, ASSET PORTICO-1, MUTTATHIL LANE, KADAVANTHARA, OPP. LOTUS EYE HOSPITAL</t>
  </si>
  <si>
    <t>TOC H PUBLIC SCHOOL</t>
  </si>
  <si>
    <t>FEDERAL INSTITITE OF SCIENCE AND TECHNOLOGY</t>
  </si>
  <si>
    <t>WhiteHat Education Technology Private Limited | Educator | Kochi | Oct 2020 | Aug 2021 | 0 Years, 10 Months, 15 Days | 6
WhiteHat Education Technology Private Limited | Educator | Kochi | Oct 2020 | Aug 2021 | 0 Years, 10 Months, 15 Days | 6</t>
  </si>
  <si>
    <t>COCHIN SHIPYARD LIMITED | INTERN | KOCHI | Jun 2017 | Jun 2017 | 1 Weeks
TOTAL ENVIRONMENT BUILDING SYSTEMS | 1. CREATING A PROJECT TRACKER TEMPLATE FOR THE PROJECT TAPESTRY AND COORDINATING WITH THE SITE TEAM AT US. 3. CREATING REPORTS AND DASHBOARDS ON SALESFORCE. 4. VOLUNTEER FOR "ALL HANDS ON DECK" PROGRA | WHITEFIELD, BENGALURU, KARNATAKA | May 2022 | Aug 2022 | 13 Weeks</t>
  </si>
  <si>
    <t>AP21352</t>
  </si>
  <si>
    <t>MHAISNE</t>
  </si>
  <si>
    <t>Dhananjay Sanjay Mhaisne</t>
  </si>
  <si>
    <t>DHANUMHAISNE24@GMAIL.COM</t>
  </si>
  <si>
    <t>ap21352@ms.nicmar.ac.in</t>
  </si>
  <si>
    <t>8601 7308 9332</t>
  </si>
  <si>
    <t>SANJAY BHAURAO MHAISNE</t>
  </si>
  <si>
    <t>ARCHANA SANJAY MHAISNE</t>
  </si>
  <si>
    <t>DEVESH NIWAS, OPP. ADV THAKRE HOUSE, RENUKA NAGAR, DABKI ROAD, AKOLA.</t>
  </si>
  <si>
    <t>PRABHAT KIDS SCHOOL, AKOLA</t>
  </si>
  <si>
    <t>2014-Jun-26</t>
  </si>
  <si>
    <t>LATE JYOTI JANORLKAR JUNIOR COLLEGE, AKOLA</t>
  </si>
  <si>
    <t>2016-May-02</t>
  </si>
  <si>
    <t>2017-Jun-09</t>
  </si>
  <si>
    <t>DR VISHWANATH KARAD MIT WORLD PEACE UNIVERSITY PUNE</t>
  </si>
  <si>
    <t>MAHARASHTRA INSTITUTE OF TECHNOLOGY WORLD PEACE UNIVERSITY</t>
  </si>
  <si>
    <t>2017-Jul-07</t>
  </si>
  <si>
    <t>2021-May-22</t>
  </si>
  <si>
    <t>SINGHANIA BUILDCON PRIVATE LIMITED | PROJECT MANAGEMENT TRAINEE  | RAIPUR, CHHATTISGARH | May 2022 | Jul 2022 | 8 Weeks</t>
  </si>
  <si>
    <t>AP21353</t>
  </si>
  <si>
    <t>SHAMEER</t>
  </si>
  <si>
    <t>MANSOORI</t>
  </si>
  <si>
    <t>Shameer Mansoori</t>
  </si>
  <si>
    <t>SHAMEERMANSOORI796@GMAIL.COM</t>
  </si>
  <si>
    <t>ap21353@ms.nicmar.ac.in</t>
  </si>
  <si>
    <t>8020 9369 3453</t>
  </si>
  <si>
    <t>ANWAR MANSOORI</t>
  </si>
  <si>
    <t>SHABNAM MANSOORI</t>
  </si>
  <si>
    <t>H.NO.13/132,CAT ROAD,WARD NO 13,BOHARA MASJID KE PASS, RAU</t>
  </si>
  <si>
    <t>ST NORBERT SCHOOL RAU</t>
  </si>
  <si>
    <t>CENTRAL BAORD OF SECONDARY EDUCATION</t>
  </si>
  <si>
    <t>MEDICAPS UNIVERSITY | DESIGN ENGINEER  | INDORE | Jul 2020 | Aug 2020 | 3 Weeks
BANSAL CONSTRUCTION WORKS PRIVATE LIMITED | SITE EXECUTION | BHOPAL | Jan 2021 | Apr 2021 | 17 Weeks
SANGINI GROUP | SITE EXECUTION AND MATERIAL PROCUREMENT | SURAT | Apr 2022 | Jul 2022 | 9 Weeks</t>
  </si>
  <si>
    <t>AP21354</t>
  </si>
  <si>
    <t>GADHAWALE</t>
  </si>
  <si>
    <t>Tanay Gajanan Gadhawale</t>
  </si>
  <si>
    <t>tanay.gadhawale90@gmail.com</t>
  </si>
  <si>
    <t>ap21354@ms.nicmar.ac.in</t>
  </si>
  <si>
    <t>2849 2369 3789</t>
  </si>
  <si>
    <t>GAJANAN NANA GADHAWALE</t>
  </si>
  <si>
    <t>HARSHA GAJANAN GADHAWALE</t>
  </si>
  <si>
    <t>EMERALD PARK, B WING, FLAT NO 1001, KOYTE WASTI CHOWK , PUNAWALE</t>
  </si>
  <si>
    <t>J. D. CHAWARE VIDYAMANDIR KARANJA LAD.</t>
  </si>
  <si>
    <t>BHAGYASHREE COLLEGE AMRAVATI</t>
  </si>
  <si>
    <t>DR. D. Y. PATIL COLLEGE OF ENGINEERING AKURDI, PUNE</t>
  </si>
  <si>
    <t>KNOW HOW INSTITUTE |  SITE EXECUTION TRAINEE | PUNE | Jan 2021 | Apr 2021 | 11 Weeks
LARSEN TOUBRO REALTY | EXECUTION, PLANNING AND CONTRACTS | MUMBAI | Apr 2022 | Aug 2022 | 16 Weeks</t>
  </si>
  <si>
    <t>AP21355</t>
  </si>
  <si>
    <t>Suraj Ramesh Pawar</t>
  </si>
  <si>
    <t>SURAJPAWAR45.SP@GMAIL.COM</t>
  </si>
  <si>
    <t>ap21355@ms.nicmar.ac.in</t>
  </si>
  <si>
    <t>ENGLISH , HINDI, MARATHI</t>
  </si>
  <si>
    <t>9900 8464 0623</t>
  </si>
  <si>
    <t>RAMESH TULASHIRAM PAWAR</t>
  </si>
  <si>
    <t>ARMY VETERAN</t>
  </si>
  <si>
    <t>SUVARNA RAMESH PAWAR</t>
  </si>
  <si>
    <t>PAWAR VASTI, AT KOTHALE PO SOHALE, TAL MOHOL</t>
  </si>
  <si>
    <t>301, ABOVE CARS PLANET PADALE BUILDING , PATIL NAGAR, BALEWADI</t>
  </si>
  <si>
    <t>COLLEGE OF ENGINEERING POLYTECHNIC, PANDHARPUR</t>
  </si>
  <si>
    <t>WALCHAND INSTITUTE OF TECHNOLOGY , SOLAPUR</t>
  </si>
  <si>
    <t>SMT INFRASTRUCTURE | GRADUATE INTERN | PUNE | Apr 2019 | May 2019 | 5 Weeks
SHALIMAR CORP LTD | PROJECT PLANNING  AND COORDINATION | LUCKNOW | Jun 2022 | Jul 2022 | 7 Weeks</t>
  </si>
  <si>
    <t>AP21356</t>
  </si>
  <si>
    <t>Kartik Chandrashekhar Pawar</t>
  </si>
  <si>
    <t>kartikpawar0410@gmail.com</t>
  </si>
  <si>
    <t>ap21356@ms.nicmar.ac.in</t>
  </si>
  <si>
    <t>04-Oct-1997</t>
  </si>
  <si>
    <t>6444 9796 1725</t>
  </si>
  <si>
    <t>CHANDRASHEKHAR BHANUDAS PAWAR</t>
  </si>
  <si>
    <t>BHAGYASHREE CHANDRASHEKHAR PAWAR</t>
  </si>
  <si>
    <t>B-113,Nisarg Darshan_x000D_
Sec-26,Nigdi-pradhikaran</t>
  </si>
  <si>
    <t>B-113,NISARG DARSHAN_x000D_
SEC-26,NIGDI-PRADHIKARAN</t>
  </si>
  <si>
    <t>PUNE DISTRICT EDUCATION ASSOCIATION SCHOOL</t>
  </si>
  <si>
    <t>Y.B PATIL POLYTECHNIC, AKURDI, PUNE</t>
  </si>
  <si>
    <t>G.S. MOZE COLLEGE OF ENGINEERING</t>
  </si>
  <si>
    <t>SHRADDHA CONSTRUCTIONS  CIVIL CONTRACTOR | SITE EXECUTION TRAINEE | MOSHI, PUNE | Dec 2020 | Apr 2021 | 19 Weeks
ANJ TURNKEY PROJECTS PVT LTD | PROJECT ENGINEER, PROJECT COORDINATOR  | PUNE | Apr 2022 | Jul 2022 | 13 Weeks</t>
  </si>
  <si>
    <t>AP21357</t>
  </si>
  <si>
    <t>DEVESH</t>
  </si>
  <si>
    <t>Devesh Kumar</t>
  </si>
  <si>
    <t>DEVESHSINGHH@GMAIL.COM</t>
  </si>
  <si>
    <t>ap21357@ms.nicmar.ac.in</t>
  </si>
  <si>
    <t>ENGLISH,HINDI,BHOJPURI,MARATHI,GUJARATI</t>
  </si>
  <si>
    <t>3685 4095 6978</t>
  </si>
  <si>
    <t>LATE SANJAY PRATAP SINGH</t>
  </si>
  <si>
    <t>PRAMILA DEVI</t>
  </si>
  <si>
    <t>KACHAWAHA KOTHI, GANDHI NAGAR, NEAR SHIV MANDIR</t>
  </si>
  <si>
    <t>Dehri</t>
  </si>
  <si>
    <t>A-503 SAI PREM PARK PIMPLE SAUDAGAR</t>
  </si>
  <si>
    <t>AMBE VIDYALAYA</t>
  </si>
  <si>
    <t>P-JOG JR COLLEGE</t>
  </si>
  <si>
    <t>SURESH GYAN VIHAR UNIVERSITY</t>
  </si>
  <si>
    <t>HINDUSTAN CONSTRUCTION COMPANY | Q.A/Q.C | MUMBAI | Aug 2018 | Jun 2021 | 2 Years, 10 Months, 27 Days | 2.9
HINDUSTAN CONSTRUCTION COMPANY | Q.A/Q.C | MUMBAI | Aug 2018 | Jun 2021 | 2 Years, 10 Months, 27 Days | 2.9</t>
  </si>
  <si>
    <t>SUPERIOR HITECH CONTRACTORS PVT LTD | CIVIL EXECUTION WORK | JAIPUR | Jun 2017 | Jul 2017 | 6 Weeks
ULCCS LTD | PROJECT COORDINATOR FOR EXPRESSWAY PROJECT | KASARAGOD  | Apr 2022 | Jun 2022 | 7 Weeks</t>
  </si>
  <si>
    <t>AP21358</t>
  </si>
  <si>
    <t>Omkar Sandip Zagade</t>
  </si>
  <si>
    <t>omkarz2266@gmail.com</t>
  </si>
  <si>
    <t>ap21358@ms.nicmar.ac.in</t>
  </si>
  <si>
    <t>6484 3564 4333</t>
  </si>
  <si>
    <t>SANDIP JAGANNATH ZAGADE</t>
  </si>
  <si>
    <t>ROHINEE SANDIP ZAGADE</t>
  </si>
  <si>
    <t>NEAR GOKUL HOTEL, LAVTHALESHWAR</t>
  </si>
  <si>
    <t>Jejuri</t>
  </si>
  <si>
    <t>PUNYASHLOK AHILYADEVI VIDYA MANDIR, JEJURI</t>
  </si>
  <si>
    <t>MAHARASHTRA STATE BOARD OF HIGHER SECONDARY EDUCATION PUNE</t>
  </si>
  <si>
    <t>B. H. CHATE ENGLISH MEDIUM SCHOOL AND JUNIOR COLLEGE, GAUD-DARA</t>
  </si>
  <si>
    <t>SINHGAD INSTITUTE OF TECHNOLOGY AND SCIENCE, NARHE</t>
  </si>
  <si>
    <t>LUNKAD REALTY | SITE ENGINEER | PUNE | Dec 2017 | Jan 2018 | 2 Weeks
OJASVIHA DESIGN AND CONSTRUCTION | PROJECT MANAGER  | BANGLORE  | Apr 2022 | Jul 2022 | 9 Weeks</t>
  </si>
  <si>
    <t>AP21359</t>
  </si>
  <si>
    <t>Tejas Pravin Yeola</t>
  </si>
  <si>
    <t>TEJAS.YEOLA3@GMAIL.COM</t>
  </si>
  <si>
    <t>ap21359@ms.nicmar.ac.in</t>
  </si>
  <si>
    <t>09-Jul-1998</t>
  </si>
  <si>
    <t>6335 1902 0692</t>
  </si>
  <si>
    <t>PRAVIN ASHOK YEOLA</t>
  </si>
  <si>
    <t>VAISHALI PRAVIN YEOLA</t>
  </si>
  <si>
    <t>A-503, BANSAL PLAZA, DY PATIL COLLEGE ROAD,  RAVET</t>
  </si>
  <si>
    <t>LOKNETE PANDIT DHARMA PATIL MARATHA ENGLISH SCHOOL</t>
  </si>
  <si>
    <t>MODERN COLLEGE OF ARTS COMMERCE AND SCIENCE</t>
  </si>
  <si>
    <t>DR. D. Y. PATIL INSTITUTE OF ENGINEERING MANAGEMENT AND RESEARCH</t>
  </si>
  <si>
    <t>AutoCAD,MS Office,MS Project,REVIT-ARCH</t>
  </si>
  <si>
    <t>SHREE CONSULTANT | PROJECT PLANNING INTERN | NASHIK | Jun 2022 | Jul 2022 | 5 Weeks
MAHAVEER CONSTRUCTIONS | PROJECT MANAGEMENT INTERN | BANGALORE | Apr 2022 | Jun 2022 | 7 Weeks</t>
  </si>
  <si>
    <t>AP21360</t>
  </si>
  <si>
    <t>YATIRAJ</t>
  </si>
  <si>
    <t>Yatiraj Uttam Patil</t>
  </si>
  <si>
    <t>YATIRAJPATIL143@GMAIL.COM</t>
  </si>
  <si>
    <t>ap21360@ms.nicmar.ac.in</t>
  </si>
  <si>
    <t>13-May-1995</t>
  </si>
  <si>
    <t>6912 9008 5673</t>
  </si>
  <si>
    <t>UTTAM PRABHAKAR PATIL</t>
  </si>
  <si>
    <t>AT POST PATIL VASTI,YEOTI-PENNUR ROAD,YEOTI.</t>
  </si>
  <si>
    <t>301,CARS PLANET,PADALE BUILDING,PATIL NAGAR,BALEWADI,PUNE.</t>
  </si>
  <si>
    <t>MAHARASHTRA STATE BOARD OF HIGHER SECONDARY EDUACATION</t>
  </si>
  <si>
    <t>SHREE VITHAL EDUCATION AND RESEARCH INSTITUTE COLLEGE OF ENGINEERING AND POLYTECHNIC</t>
  </si>
  <si>
    <t>DR. D. Y. PATIL PRATISHTHANS COLLEGE OF ENGINEERING KOLHAPUR</t>
  </si>
  <si>
    <t>UNIVERSAL POWER CONTROL | EXECUTION | SOLAPUR | Jul 2020 | Aug 2021 | 1 Years, 1 Months, 30 Days | 1.38
SHREE VENKATESH BUILDCON PRIVATE LIMITED | EXECUTION | Pune | Jan 2020 | May 2020 | 0 Years, 4 Months, 29 Days | 0.96
UNIVERSAL POWER CONTROL | EXECUTION | SOLAPUR | Jul 2020 | Aug 2021 | 1 Years, 1 Months, 30 Days | 1.38
SHREE VENKATESH BUILDCON PRIVATE LIMITED | EXECUTION | Pune | Jan 2020 | May 2020 | 0 Years, 4 Months, 29 Days | 0.96</t>
  </si>
  <si>
    <t>DILIP PATIL BUILDERS AND DEVELOPERS | ENGINEERING INTERN | KOLHAPUR | May 2018 | Jun 2018 | 2 Weeks
SMT INFRASTRUCTURE | GRADUATE INTERN | PUNE | Sep 2019 | Dec 2019 | 12 Weeks
SPACE MATRIX DESIGN CONSULTANTS PVT LTD | A INTERN - PROJECT MANAGEMENT  | MUMBAI | Apr 2022 | Jun 2022 | 8 Weeks</t>
  </si>
  <si>
    <t>AP21361</t>
  </si>
  <si>
    <t>Raj Rahul Sonawane</t>
  </si>
  <si>
    <t>rajsonawaners29@gmail.com</t>
  </si>
  <si>
    <t>ap21361@ms.nicmar.ac.in</t>
  </si>
  <si>
    <t>29-Feb-2000</t>
  </si>
  <si>
    <t>4245 8216 6630</t>
  </si>
  <si>
    <t>RAHUL BALKRISHNA SONAWANE</t>
  </si>
  <si>
    <t>GOVERNMENT CONTRACTOR , PRIVATE DEVELOPERS</t>
  </si>
  <si>
    <t>TRUPTI RAHUL SONAWANE</t>
  </si>
  <si>
    <t>20 MANORAMA PROFESSOR COLONY DEOPUR</t>
  </si>
  <si>
    <t>JAIHIND HIGHSCHOOL</t>
  </si>
  <si>
    <t>SHRI NANASO. ZULAL BHILAJIRAO PATIL SECONDARY AND HIGHER SECONDARY SCHOOL</t>
  </si>
  <si>
    <t>VIJAY CONSTRUCTION CO | SITE MANAGEMENT | AMALNER JALGOAN | Jan 2021 | Sep 2021 | 34 Weeks
MADHURE INFRA ENGINEERING PRIVATE LIMITED | SITE ENGINEER  | PUNE  | Apr 2022 | Jul 2022 | 12 Weeks</t>
  </si>
  <si>
    <t>AP21362</t>
  </si>
  <si>
    <t>ABHIRAJ</t>
  </si>
  <si>
    <t>NANASAHEB</t>
  </si>
  <si>
    <t>Abhiraj Nanasaheb Wagh</t>
  </si>
  <si>
    <t>abhirajwagh1998@gmail.com</t>
  </si>
  <si>
    <t>ap21362@ms.nicmar.ac.in</t>
  </si>
  <si>
    <t>5428 1543 7913</t>
  </si>
  <si>
    <t>NANASAHEB KASHINATH WAGH</t>
  </si>
  <si>
    <t>SAVITA NANASAHEB WAGH</t>
  </si>
  <si>
    <t>LANE NO. 2 GOVIND NAGAR ,SANGAMNER</t>
  </si>
  <si>
    <t>Sangamner</t>
  </si>
  <si>
    <t>GOVIND NAGAR LANE NO.2 SANGAMNER, 422605</t>
  </si>
  <si>
    <t>BGP SAHYADRI VIDYALAYA SANGAMNER</t>
  </si>
  <si>
    <t>B.G.P SAHYADRI JUNIOR COLLEGE SANGAMNER</t>
  </si>
  <si>
    <t>M/S Katore And Company | Site Engineer | Sangamner | Nov 2020 | May 2021 | 0 Years, 6 Months, 4 Days | 0.6
M/S Katore And Company | Site Engineer | Sangamner | Nov 2020 | May 2021 | 0 Years, 6 Months, 4 Days | 0.6</t>
  </si>
  <si>
    <t>GUNJAL PATIL BUILDER AND DEVELOPER | SITE ENGINEER | SANGAMNER | Jan 2020 | Jan 2020 | 0 Weeks
SWAPNASHILP ENGINEER | SITE ENGINEER | SANGAMNER | Jun 2019 | Jul 2019 | 0 Weeks
MAHAVEER GROUP | SITE EXECUTION AND CONTROL | BANGALORE  | Apr 2022 | Jun 2022 | 7 Weeks</t>
  </si>
  <si>
    <t>AP21363</t>
  </si>
  <si>
    <t>Sagar Sanjay Bankar</t>
  </si>
  <si>
    <t>BANKARSAGAR8@GMAIL.COM</t>
  </si>
  <si>
    <t>ap21363@ms.nicmar.ac.in</t>
  </si>
  <si>
    <t>15-Oct-1997</t>
  </si>
  <si>
    <t>4755 3424 9065</t>
  </si>
  <si>
    <t>SANJAY SHIVAJIRAO BANKAR</t>
  </si>
  <si>
    <t>SANGITA SANJAY BANKAR</t>
  </si>
  <si>
    <t>SHRI RAM APT FLAT NO.1, BEHIND DR KARANDE HOSPITAL, CHIMAN SHA MALA BARAMATI</t>
  </si>
  <si>
    <t>Baramati</t>
  </si>
  <si>
    <t>INSPIRA HOUSING SOCIETY 'A' WING, FLAT NO. 701, OPPOSITE TO UTSAV BANQUETS, PUNYADHAM ASHRAM RD, KONDHWA BUDRUK, PUNE.</t>
  </si>
  <si>
    <t>MAHARASHTRA EDUCATION SOCIETY HIGH SCHOOL BARAMATI</t>
  </si>
  <si>
    <t>MAHARASHTA STATE BOARD OF SECONDARY AND HIGHER SECONDARY EDUCATION PUNE</t>
  </si>
  <si>
    <t>ANEKANT EDUCATION SOCIETYS TULJARAM CHATURCHAND COLLEGE BARAMATI</t>
  </si>
  <si>
    <t>SOU VENUTAI CHAVAN POLYTECHNIC COLLEGE PUNE</t>
  </si>
  <si>
    <t>RAJARSHI SHAHU SCHOOL OF ENG AND RESEARCH NARHE</t>
  </si>
  <si>
    <t>ARYAN DEVELOPERS AND BUILDERS | SITE EXECUTION | BARAMATI (M CL) | Jun 2019 | Jul 2019 | 4 Weeks
DOGMA CONSTRUCTIONS | SITE MANAGEMENT AND EXECUTION | PUNE | Nov 2020 | Mar 2021 | 16 Weeks
METBUILD INFRA PVT LTD | BUSINESS ANALYST | AHMEDABAD, GUJARAT | Apr 2022 | Jul 2022 | 11 Weeks</t>
  </si>
  <si>
    <t>AP21364</t>
  </si>
  <si>
    <t>VASU</t>
  </si>
  <si>
    <t>REPAKA</t>
  </si>
  <si>
    <t>Vasu Repaka</t>
  </si>
  <si>
    <t>vasurepaka2854@gmail.com</t>
  </si>
  <si>
    <t>ap21364@ms.nicmar.ac.in</t>
  </si>
  <si>
    <t>11-Apr-2000</t>
  </si>
  <si>
    <t>9943 5896 9348</t>
  </si>
  <si>
    <t>VENKATA RAMANA</t>
  </si>
  <si>
    <t>VIJAYA LAKSHMI</t>
  </si>
  <si>
    <t>D.NO-2-19,RAMALAYAM STREET,ANNAVARAM EAST GODAVARI 533406</t>
  </si>
  <si>
    <t>East Godavari Dist.</t>
  </si>
  <si>
    <t>SRI SATHYA SAI VIDHYA VIHAR</t>
  </si>
  <si>
    <t>SIDDARTHA JUNIOR COLLEGE</t>
  </si>
  <si>
    <t>SRI CHANDRA SEKHARENDRA SARASWATHI VISWA MAHA VIDHYALAYA</t>
  </si>
  <si>
    <t>AutoCAD,MS Office,MS Project,MS EXCEL</t>
  </si>
  <si>
    <t>SAHITI ELEVATING LIFESTYLES | REINFORCEMENT DETAILING AND DESIGNING | VIJAYAWADA | Dec 2019 | Jan 2020 | 2 Weeks
RAKI AVENUES PRIVATE LIMITED | SITE ENGINEER | RAJAHMUNDRY | Feb 2021 | Apr 2021 | 12 Weeks
CBRE | INTERIOR FITOUTS  | PUNE | May 2022 | Jul 2022 | 12 Weeks</t>
  </si>
  <si>
    <t>AP21365</t>
  </si>
  <si>
    <t>AABID</t>
  </si>
  <si>
    <t>Mohammad Aabid</t>
  </si>
  <si>
    <t>aabidshehzadano.1@gmail.com</t>
  </si>
  <si>
    <t>ap21365@ms.nicmar.ac.in</t>
  </si>
  <si>
    <t>05-Oct-1998</t>
  </si>
  <si>
    <t>2509 7090 3605</t>
  </si>
  <si>
    <t>MOHAMMAD AYUB</t>
  </si>
  <si>
    <t>SHAHINA PARVEEN</t>
  </si>
  <si>
    <t>H. NO. 1235/1, DEHRADOON ROAD RAMPUR CHUNGI ,ROORKEE</t>
  </si>
  <si>
    <t>GALGOTIAS UNIVERSITY GREATER NOIDA UTTAR PRADESH</t>
  </si>
  <si>
    <t>AutoCAD,MS Office,MS Project,Primavera,MICROSOFT EXCEL</t>
  </si>
  <si>
    <t>GALGOTIAS UNIVERSITY | PARTICIPANT | GREATER NOIDA | Jan 2021 | Mar 2021 | 10 Weeks
SPACE MATRIX | PROJECT MANAGEMENT INTERN | MUMBAI | May 2022 | Jul 2022 | 8 Weeks</t>
  </si>
  <si>
    <t>AP21366</t>
  </si>
  <si>
    <t>SREE SAI</t>
  </si>
  <si>
    <t>PADMANABHAM</t>
  </si>
  <si>
    <t>BOMMULA</t>
  </si>
  <si>
    <t>Sree Sai Padmanabham Bommula</t>
  </si>
  <si>
    <t>saipadmanabham999@gmail.com</t>
  </si>
  <si>
    <t>ap21366@ms.nicmar.ac.in</t>
  </si>
  <si>
    <t>2697 7472 9326</t>
  </si>
  <si>
    <t>BOMMULA SRINIVASA MURALI ARAVALA RAO DATTU</t>
  </si>
  <si>
    <t>BOMMULA VENKATA RAMANA</t>
  </si>
  <si>
    <t>DR.NO 19-3-15/1,R R PETA, KAMBALA TANK, RAJAHMUNDRY,EAST GODAVARI DISTRICT, ANDHRA PRADESH 533101</t>
  </si>
  <si>
    <t>SRI GOWTHAMI EM H SCHOOL</t>
  </si>
  <si>
    <t>CHECKSPACE CONSTRUCTION PRIVATE LIMITED | JUNIOR ENGINEER | GUNTUR | Feb 2021 | Sep 2021 | 0 Years, 7 Months, 7 Days | 1.44
CHECKSPACE CONSTRUCTION PRIVATE LIMITED | JUNIOR ENGINEER | GUNTUR | Feb 2021 | Sep 2021 | 0 Years, 7 Months, 7 Days | 1.44</t>
  </si>
  <si>
    <t>VISHAKHAPATNAM PORT TRUST | CIVIL ENGINEER | VISHAKHAPATNAM | Jun 2019 | Jun 2019 | 1 Weeks
RAKI AVENUES PRIVATE LIMITED | SITE ENGINEER | RAJAHMUNDRY | Nov 2020 | Jan 2021 | 13 Weeks
CBRE | INTERIOR FITOUTS  | PUNE | May 2022 | Jul 2022 | 12 Weeks</t>
  </si>
  <si>
    <t>AP21367</t>
  </si>
  <si>
    <t>KOYANDE</t>
  </si>
  <si>
    <t>Animesh Sharad Koyande</t>
  </si>
  <si>
    <t>animeshkoyande.ak@gmail.com</t>
  </si>
  <si>
    <t>ap21367@ms.nicmar.ac.in</t>
  </si>
  <si>
    <t>03-May-2000</t>
  </si>
  <si>
    <t>7823 4631 4231</t>
  </si>
  <si>
    <t>SHARAD JAGANNATH KOYANDE</t>
  </si>
  <si>
    <t>PROJECT FINANCE DEPT AT BPCL PVT LTD</t>
  </si>
  <si>
    <t>ASHLESHA KOYANDE</t>
  </si>
  <si>
    <t>SUPERITENDENT AT AMITY UNIVERSITY MUMBAI EXAM SECTION</t>
  </si>
  <si>
    <t>112 JYESHTHA , TARANGAN COMPLEX, SAMATA NAGAR , THANE</t>
  </si>
  <si>
    <t>PACE JUNIOR SCIENCE COLLEGE, POWAI</t>
  </si>
  <si>
    <t>RAJASTHAN STATE PRIVATE UNIVERSITY</t>
  </si>
  <si>
    <t>AutoCAD,MS Office,MS Project,PLANNING AND CONTRACTS</t>
  </si>
  <si>
    <t>TECNIMONT PVT LTD | ENGINEERING INTERN | MUMBAI METROPOLITAN REGION | Dec 2019 | Jan 2020 | 2 Weeks
LOUIS BERGER WSP MUMBAI METRO LINE III | GENERAL CONTRACTOR - EXECUTION &amp; PLANT | MUMBAI METROPOLITAN REGION | Jan 2021 | Jun 2021 | 20 Weeks
ESTHETE DESIGNERS AND BUILDERS PVT LTD | PROJECT MANAGEMENT INTERN | BENGALURU, KARNATAKA | Apr 2022 | Jun 2022 | 7 Weeks</t>
  </si>
  <si>
    <t>AP21368</t>
  </si>
  <si>
    <t>RAMAKRISHNAM RAJU</t>
  </si>
  <si>
    <t>PERICHERLA</t>
  </si>
  <si>
    <t>Ramakrishnam Raju Pericherla</t>
  </si>
  <si>
    <t>ramakrishnam.pericherla@gmail.com</t>
  </si>
  <si>
    <t>ap21368@ms.nicmar.ac.in</t>
  </si>
  <si>
    <t>09-Feb-2000</t>
  </si>
  <si>
    <t>5158 1671 0195</t>
  </si>
  <si>
    <t>PERICHERLA SRINIVASA CHAKRAVARTHI</t>
  </si>
  <si>
    <t>JUNIOR ASSISTANT  APEPDCL</t>
  </si>
  <si>
    <t>PERICHERLA SRIDEVI</t>
  </si>
  <si>
    <t>10-123, S/O P.S.CHAKRAVARTHI, MAREMMA GUDI STREET, NEAR MAREMMA TEMPLE, GANAPAVARAM, WESTGODAVARI DISTRICT</t>
  </si>
  <si>
    <t>West Godavari Dist.</t>
  </si>
  <si>
    <t>107, SAI RAGHAVA TOWERS, YOUTH CLUB ROAD, NEAR K CONVENTION HALL, PEDDAMIRAM, BHIMAVARAM, WEST GODAVARI DISTRICT</t>
  </si>
  <si>
    <t>Bhimavaram</t>
  </si>
  <si>
    <t>SRI CHAITANYA EM SCHOOL</t>
  </si>
  <si>
    <t>BML MUNJAL UNIVERSITY</t>
  </si>
  <si>
    <t>other,Ã¢â‚¬Â¢STRATEGIC CONSULTING Ã¢â‚¬Â¢VALUATION &amp; ADVISORY Ã¢â‚¬Â¢FINANCIAL MODELING Ã¢â‚¬Â¢RISK MANAGEMENT Ã¢â‚¬Â¢ FEASIBILITY STUDIES Ã¢â‚¬Â¢REPORT WRITING</t>
  </si>
  <si>
    <t>SELLITE BUILDTECH PRIVATE LIMITED | QUALITY CONTROL, HSE, ADMINISTRATION AND EXECUTION  | BHIMAVARAM | Jan 2021 | May 2021 | 17 Weeks
BML MUNJAL UNIVERSITY | SMART CITIES IN INDIA: INITIATIVES, TRENDS AND OPPORTUNITIES | GURGAON | Jan 2020 | Jun 2020 | 23 Weeks
CUSHMAN AND WAKEFIELD INDIA PRIVATE LIMITED | GC STRATEGIC CONSULTING | BANGALORE | Apr 2022 | Jul 2022 | 13 Weeks</t>
  </si>
  <si>
    <t>AP21370</t>
  </si>
  <si>
    <t>VEKARIA</t>
  </si>
  <si>
    <t>Sushil Arvind Vekaria</t>
  </si>
  <si>
    <t>SUSHILVEKARIA2012@GMAIL.COM</t>
  </si>
  <si>
    <t>ap21370@ms.nicmar.ac.in</t>
  </si>
  <si>
    <t>4876 4077 9618</t>
  </si>
  <si>
    <t>ARVIND SHIVJI VEKARIA</t>
  </si>
  <si>
    <t>AMRUT ARVIND VEKARIA</t>
  </si>
  <si>
    <t>OPP.GRAM PANCHAYAT, ABOVE SBI ATM,NAVAVAS,SUKHPAR,BHUJ, KUTCH</t>
  </si>
  <si>
    <t>Bhuj</t>
  </si>
  <si>
    <t>SANSKAR SCHOOL AND COLLEGE</t>
  </si>
  <si>
    <t>SARJAN SCIENCE SCHOOL</t>
  </si>
  <si>
    <t>L.J INSTITUTE OF ENGINEERING AND TECHNOLOGY</t>
  </si>
  <si>
    <t>AutoCAD,MS Office,MS Project,Primavera,PHOTOSHOP</t>
  </si>
  <si>
    <t>VPAN CIVIL CONSULTANT | SITE EXECUTION | AHMEDABAD  | Apr 2022 | Jul 2022 | 9 Weeks</t>
  </si>
  <si>
    <t>AP21371</t>
  </si>
  <si>
    <t>Sarath P</t>
  </si>
  <si>
    <t>sarath.periyat95@gmail.com</t>
  </si>
  <si>
    <t>ap21371@ms.nicmar.ac.in</t>
  </si>
  <si>
    <t>09-Dec-1995</t>
  </si>
  <si>
    <t>ENGLISH, MALAYALAM, HINDI, TAMIL.</t>
  </si>
  <si>
    <t>3305 1342 4357</t>
  </si>
  <si>
    <t>SADANANDAN T M</t>
  </si>
  <si>
    <t>SARADA P</t>
  </si>
  <si>
    <t>SREELAKSHMI NIVAS, PERUL VARIKKACHAL</t>
  </si>
  <si>
    <t>P E S VIDYALAYA</t>
  </si>
  <si>
    <t>GOVERNMENT HIGHER SECONDARY SCHOOL MATHIL</t>
  </si>
  <si>
    <t>FEDERAL INSTITUTE OF SCIENCE AND TECHNOLOGY ANGAMALY</t>
  </si>
  <si>
    <t>Provident Housing Limited(Puravankara Construction Limited) | Project Engineer | Bangalore | Sep 2018 | Apr 2021 | 2 Years, 7 Months, 9 Days | 3.15
Provident Housing Limited(Puravankara Construction Limited) | Project Engineer | Bangalore | Sep 2018 | Apr 2021 | 2 Years, 7 Months, 9 Days | 3.15</t>
  </si>
  <si>
    <t>KANNUR INTERNATIONAL AIRPORT | SITE ENGINEER INTERN | KANNUR | Jul 2016 | Jul 2016 | 0 Weeks
BUILDERS INDIA ENGINEERS AND BUILDERS | SITE ENGINEER INTERN | CALICUT | Dec 2016 | Dec 2016 | 1 Weeks
COLLIERS INTERNATIONAL | INDUSTRIAL LOGISTICS AND SERVICES INTERN | BENGALURU | Apr 2022 | Jun 2022 | 7 Weeks</t>
  </si>
  <si>
    <t>AP21373</t>
  </si>
  <si>
    <t>RAGHUNATHAN</t>
  </si>
  <si>
    <t>Vivek Raghunathan Pillai</t>
  </si>
  <si>
    <t>vivekpillai20@gmail.com</t>
  </si>
  <si>
    <t>ap21373@ms.nicmar.ac.in</t>
  </si>
  <si>
    <t>11-Sep-1996</t>
  </si>
  <si>
    <t>5111 2046 5530</t>
  </si>
  <si>
    <t>RAGHUNATHAN BHARGAVAN PILLAI</t>
  </si>
  <si>
    <t>SHEELA R PILLAI</t>
  </si>
  <si>
    <t>FLAT NO 123/C, GINA APARTMENT, SASMOLLEM, BAINA</t>
  </si>
  <si>
    <t>Vasco</t>
  </si>
  <si>
    <t>KENDRIYA VIDYALAYA NO.1</t>
  </si>
  <si>
    <t>VM Salgaocar Corporation Pvt. Ltd. | Site Execution | Goa | Nov 2018 | May 2021 | 2 Years, 6 Months, 19 Days | 2.8
VM Salgaocar Corporation Pvt. Ltd. | Site Execution | Goa | Nov 2018 | May 2021 | 2 Years, 6 Months, 19 Days | 2.8</t>
  </si>
  <si>
    <t>GAMMON INDIA LIMITED | INTERN | GOA | Jun 2016 | Jul 2016 | 1 Weeks
SUSHEELA HOMES AND PROPERTIES PVT LTD | INTERN | GOA | Jul 2017 | Jul 2017 | 1 Weeks
AFCONS INFRASTRUCTURE LIMITED | PLANNING &amp; EXECUTION INTERN | MOKAMA, BIHAR | May 2022 | Jul 2022 | 10 Weeks</t>
  </si>
  <si>
    <t>AP21374</t>
  </si>
  <si>
    <t>Sumit Singh Negi</t>
  </si>
  <si>
    <t>sumitsinghnegirmvm@gmail.com</t>
  </si>
  <si>
    <t>ap21374@ms.nicmar.ac.in</t>
  </si>
  <si>
    <t>15-Nov-1997</t>
  </si>
  <si>
    <t>4196 1881 1138</t>
  </si>
  <si>
    <t>ARJUN SINGH NEGI</t>
  </si>
  <si>
    <t>SARITA NEGI</t>
  </si>
  <si>
    <t>H.NO. 1217, SECTOR-6, H.B. DHARUHERA</t>
  </si>
  <si>
    <t>Dharuhera</t>
  </si>
  <si>
    <t>RAMAN MUNJAL VIDYA MANDIR</t>
  </si>
  <si>
    <t>I.K. GUJRAL PUNJAB TECHNICAL UNIVERSITY</t>
  </si>
  <si>
    <t>INSTITUTE OF ENGINEERING AND TECHNOLOGY, BHADDAL</t>
  </si>
  <si>
    <t>AutoCAD,MS Office,MS Project,Primavera,PHOTOSHOP, LUMION</t>
  </si>
  <si>
    <t>SSA ARCHITECTS | INTERN ARCHITECT | NOIDA, UP | Jun 2018 | Dec 2018 | 26 Weeks
DELHI DEVELOPMENT AUTHORITY | SITE EXECUTION | DWARKA, NEW DELHI | Apr 2022 | Jul 2022 | 10 Weeks</t>
  </si>
  <si>
    <t>AP21376</t>
  </si>
  <si>
    <t>AANCHAL</t>
  </si>
  <si>
    <t>Aanchal Aanchal</t>
  </si>
  <si>
    <t>aanchalc3@gmail.com</t>
  </si>
  <si>
    <t>ap21376@ms.nicmar.ac.in</t>
  </si>
  <si>
    <t>6252 6623 8573</t>
  </si>
  <si>
    <t>KRISHNA PAL</t>
  </si>
  <si>
    <t>ANITA VERMA</t>
  </si>
  <si>
    <t>A-1 MAHENDRA PARK PANKHA ROAD, JANAK PURI C-1, UTTAM NAGAR, DK MOHAN GARDEN, WEST DELHI</t>
  </si>
  <si>
    <t>KENDRIYA VIDYALAYA C-2 JANAKPURI NEW DELHI</t>
  </si>
  <si>
    <t>BHAGWAN MAHAVIR SCHOOL OF ARCHITECTURE</t>
  </si>
  <si>
    <t>AutoCAD,MS Office,MS Project,Primavera,Ã¢â‚¬Â¢FINANCIAL MODELING Ã¢â‚¬Â¢MARKET STUDY Ã¢â‚¬Â¢FINANCIAL FEASIBILITY Ã¢â‚¬Â¢VALUATIONS</t>
  </si>
  <si>
    <t>ECOFIRST A TATA ENTERPRISE | Ã¢â‚¬Â¢REAL ESTATE ADVISORY INTERN Ã¢â‚¬Â¢ANALYSIS OF BUILDING CODES FOR REDEVELOPMENT:DCPR 2034 AND RERA ACT Ã¢â‚¬Â¢MADE FEASIBILITY REPORT AND PROPOSAL FOR A REAL-ESTATE PROJECT  | AIROLI, NAVI MUMBAI, MUMBAI | Apr 2022 | Jul 2022 | 13 Weeks | Campus Internship
ARCHOHM CONSULTS | Ã¢â‚¬Â¢ARCHITECTURAL INTERN Ã¢â‚¬Â¢PERFORMED COMPLEX ARCHITECTURAL AND DESIGN ASSIGNMENTS, APPLYING INNOVATIVE ARCHITECTURAL DESIGN CONCEPTS AND ADVANCED PROFESSIONAL KNOWLEDGE Ã¢â‚¬Â¢CONDUCTED PRE-PLANNING STUDI | NOIDA SECTOR-8, DELHI | Jul 2020 | Oct 2020 | 11 Weeks
MAAS ARCHITECTS | Ã¢â‚¬Â¢ARCHITECTURAL INTERN Ã¢â‚¬Â¢DEVISED OVERALL STRATEGY FOR DOCUMENTATION AND IDENTIFIED AS-BUILT DESIGNS Ã¢â‚¬Â¢PERFORMED RESEARCH ON ARCHITECTURE AND MATERIALS Ã¢â‚¬Â¢CONDUCTED MARKET RESEARCH  | HAUZ KHAS, NEW DELHI | Nov 2020 | May 2021 | 25 Weeks</t>
  </si>
  <si>
    <t>AP21377</t>
  </si>
  <si>
    <t>Abhinav Garg</t>
  </si>
  <si>
    <t>ABHINAVG09@GMAIL.COM</t>
  </si>
  <si>
    <t>ap21377@ms.nicmar.ac.in</t>
  </si>
  <si>
    <t>01-Jan-1997</t>
  </si>
  <si>
    <t>3349 4310 2893</t>
  </si>
  <si>
    <t>BAJRANG LAL GARG</t>
  </si>
  <si>
    <t>ANJU GARG</t>
  </si>
  <si>
    <t>HOUSE NUMBER 1, ROAD NUMBER 13, EAST PUNJABI BAGH</t>
  </si>
  <si>
    <t>NEW ERA PUBLIC SCHOOL</t>
  </si>
  <si>
    <t>UNIVERSITY SCHOOL OF ARCHITECTURE AND PLANNING</t>
  </si>
  <si>
    <t>THE DESIGN FORUM | ARCHITECTURAL AND INTERIOR DRAWINGS AND SITE SUPERVISION | DELHI | Feb 2020 | Apr 2020 | 12 Weeks
GARG AND ASSOCIATES | PREPARATION OF DRAWINGS, PRESENTATIONS AND DPRS FOR CLIENTS, | DELHI | Aug 2019 | Jan 2020 | 26 Weeks
SILA GROUP | PROJECT MONITORING, TECHNICAL DUE DILIGENCE AND VALUATION | GURUGRAM | May 2022 | Jun 2022 | 8 Weeks</t>
  </si>
  <si>
    <t>AP21379</t>
  </si>
  <si>
    <t>DEBASISH</t>
  </si>
  <si>
    <t>PANIGRAHY</t>
  </si>
  <si>
    <t>Debasish Panigrahy</t>
  </si>
  <si>
    <t>debasishpanigrahy18@gmail.com</t>
  </si>
  <si>
    <t>ap21379@ms.nicmar.ac.in</t>
  </si>
  <si>
    <t>ENGLISH, HINDI, ODIA.</t>
  </si>
  <si>
    <t>4025 3771 7007</t>
  </si>
  <si>
    <t>KAILASH CHANDRA PANIGRAHY</t>
  </si>
  <si>
    <t>RETIRED EXECUTIVE ENGINEER</t>
  </si>
  <si>
    <t>ANITA PANIGRAHY</t>
  </si>
  <si>
    <t>HILLPATNA-3RD LANE,NEAR VAISHNAV RESIDENCY</t>
  </si>
  <si>
    <t>MATRUSRI ANGLO VEDIC SCHOOL</t>
  </si>
  <si>
    <t>BIJU PATTNAIK  UNIVERSITY OF TECHNOLOGY</t>
  </si>
  <si>
    <t>Megha Engineering and Infrastructure Limited | Site Execution | Nagpur | Sep 2020 | Mar 2021 | 0 Years, 6 Months, 17 Days | 2.36
Megha Engineering and Infrastructure Limited | Site Execution | Nagpur | Sep 2020 | Mar 2021 | 0 Years, 6 Months, 17 Days | 2.36</t>
  </si>
  <si>
    <t>PIDILITE INDUSTRIES LIMITED | BUSINESS DEVELOPMENT | NAVI MUMBAI | May 2022 | Jul 2022 | 9 Weeks</t>
  </si>
  <si>
    <t>AP21381</t>
  </si>
  <si>
    <t>SAMIRKUMAR</t>
  </si>
  <si>
    <t>Naman Samirkumar Shah</t>
  </si>
  <si>
    <t>namanshah370@gmail.com</t>
  </si>
  <si>
    <t>ap21381@ms.nicmar.ac.in</t>
  </si>
  <si>
    <t>30-Jan-2000</t>
  </si>
  <si>
    <t>ENGLISH , HINDI , GUJRATI , MARATHI</t>
  </si>
  <si>
    <t>3795 2720 0898</t>
  </si>
  <si>
    <t>SAMIRKUMAR LALCHAND SHAH</t>
  </si>
  <si>
    <t>CHETNA SAMIRKUMAR SHAH</t>
  </si>
  <si>
    <t>57/B, GIRIVIHAR SOCIETY , TALODA ROAD , NANDURBAR</t>
  </si>
  <si>
    <t>57/B , GIRIVIHAR SOCIETY , TALODA ROAD , NANDURBAR</t>
  </si>
  <si>
    <t>MARATHAWADA MITRA MANDAL COLLEGE OF COMMERCE</t>
  </si>
  <si>
    <t>MIT-WPU</t>
  </si>
  <si>
    <t>SIX SIGMA CONSULTING ENGINEER | CONSULTING WITH CLIENTS , SITE MANAGEMENT , DPR , WPR | PUNE , INDIA  | Jun 2019 | Jul 2019 | 4 Weeks
MAHAVEER GROUP | SITE EXECUTION AND CONTROL | BANGALORE | Apr 2022 | Jun 2022 | 7 Weeks</t>
  </si>
  <si>
    <t>AP21382</t>
  </si>
  <si>
    <t>Sakshi Joshi</t>
  </si>
  <si>
    <t>JOSHISAKSHI164@GMAIL.COM</t>
  </si>
  <si>
    <t>ap21382@ms.nicmar.ac.in</t>
  </si>
  <si>
    <t>7865 9161 0618</t>
  </si>
  <si>
    <t>DEVENDRA KUMAR JOSHI</t>
  </si>
  <si>
    <t>RETIRED SENIOR SECTION ENGINEER</t>
  </si>
  <si>
    <t>ANUPAMA JOSHI</t>
  </si>
  <si>
    <t>VICE PRINCIPLE IN GOVERNMENT SCHOOL</t>
  </si>
  <si>
    <t>99C, PRECANCO COLONY</t>
  </si>
  <si>
    <t>EMERALD HEIGHTS HIGHER SECONDARY SCHOOL</t>
  </si>
  <si>
    <t>ACROPOLIS TECHNICAL CAMPUS</t>
  </si>
  <si>
    <t>SGS INDIA PRIVATE LIMITED | To coordinate, prepare and compile Bid submission documents | Indore | Jul 2018 | Nov 2020 | 2 Years, 4 Months, 29 Days | 3
SGS INDIA PRIVATE LIMITED | To coordinate, prepare and compile Bid submission documents | Indore | Jul 2018 | Nov 2020 | 2 Years, 4 Months, 29 Days | 3</t>
  </si>
  <si>
    <t>PUBLIC WORKS DEPARTMENT |  TO WORK AS A SITE ENGINEER AND ANALYZE THE WORK 							 | INDORE | Jun 2017 | Jul 2017 | 4 Weeks
MAHAVEER GROUP | "Ã¢â‚¬Â¢UTILIZED MICROSOFT PROJECT IN PLANNING A RESIDENTIAL PROJECT IN BANGALORE AND UPDATING THE MASTER SCHEDULE FOR ALL ONGOING PROJECTS "							 Ã¢â‚¬Â¢ COORDINATED WITH SITE SUPERVISORS TO TRACK PROJECT  | BANGALORE | Apr 2022 | Jun 2022 | 7 Weeks</t>
  </si>
  <si>
    <t>AP21383</t>
  </si>
  <si>
    <t>PRASHANTH</t>
  </si>
  <si>
    <t>Prashanth Cs</t>
  </si>
  <si>
    <t>PACHIDVG97@GMAIL.COM</t>
  </si>
  <si>
    <t>ap21383@ms.nicmar.ac.in</t>
  </si>
  <si>
    <t>ENGLISH, KANNADA,HINDI</t>
  </si>
  <si>
    <t>5427 9449 4508</t>
  </si>
  <si>
    <t>SHANTHA KUMAR CJ</t>
  </si>
  <si>
    <t>GEETHA J</t>
  </si>
  <si>
    <t>H.NO. 1906/23, 5TH CROSS NEAR KASTURBA SAMAJA</t>
  </si>
  <si>
    <t>ST JOHNS PU COLLEGE</t>
  </si>
  <si>
    <t>DAVANGERE SMART CITY LIMITED | SITE ENGINEER &amp; PLANNING CO-ORDINATOR  | DAVANGERE | Nov 2020 | Jan 2021 | 8 Weeks
FORUM OF PRACTICING AND ARCHITECTS AND CONSULTING CIVIL ENGINEERS  DAVANGERE | SITE ENGINEER &amp; PLANNING CO-ORDINATOR  | DAVANGERE | Jul 2019 | Aug 2019 | 4 Weeks
MAHAVEER GROUP | SITE EXECUTION &amp; QUALITY CONTROL | BENGALURU | Apr 2022 | Jun 2022 | 7 Weeks</t>
  </si>
  <si>
    <t>AP21384</t>
  </si>
  <si>
    <t>GOLECHHA</t>
  </si>
  <si>
    <t>Samir Manoj Golechha</t>
  </si>
  <si>
    <t>samirmjain@gmail.com</t>
  </si>
  <si>
    <t>ap21384@ms.nicmar.ac.in</t>
  </si>
  <si>
    <t>04-Aug-1999</t>
  </si>
  <si>
    <t>9985 7331 3720</t>
  </si>
  <si>
    <t>MANOJ HARAKCHAND GOLECHHA</t>
  </si>
  <si>
    <t>KAVITA MANOJ GOLECHHA</t>
  </si>
  <si>
    <t>GOLECHHA BUILDING MAIN ROAD MAHAVIR MARG KARANJALAD</t>
  </si>
  <si>
    <t>NICMAR HOSTEL BALEWADI</t>
  </si>
  <si>
    <t>JINVARSA CHAWARE HIGH SCHOOL AND JUNIOR COLLAGE</t>
  </si>
  <si>
    <t>BABASAHEB UTANGLE JUNIOR COLLAGE</t>
  </si>
  <si>
    <t>SINHGAD INSTITUTE OF TECHNOLOGY AND SCIENCE NARHE</t>
  </si>
  <si>
    <t>SHRI DURGA  DEVELOPERS AND PROMOTERS | SITE EXECUTION | HUBLI | Apr 2022 | Jun 2022 | 8 Weeks</t>
  </si>
  <si>
    <t>AP21387</t>
  </si>
  <si>
    <t>Nishant Vijaykumar Meshram</t>
  </si>
  <si>
    <t>nishant.meshram1995@gmail.com</t>
  </si>
  <si>
    <t>ap21387@ms.nicmar.ac.in</t>
  </si>
  <si>
    <t>11-Apr-1995</t>
  </si>
  <si>
    <t>9595 4364 6483</t>
  </si>
  <si>
    <t>VIJAYKUMAR KUWARLAL MESHRAM</t>
  </si>
  <si>
    <t>SUB DIVISIONAL OFFICER PHONES, GOVERNMENT EMPLOYEE, BSNL</t>
  </si>
  <si>
    <t>VANDANA VIJAYKUMAR MESHRAM</t>
  </si>
  <si>
    <t>PLOT NO 133 RAMESH ESTATE DUPLEX ROW HOUSE, GHOGALI, BESA</t>
  </si>
  <si>
    <t>ST PETER'S SCHOOL BELA BHANDARA</t>
  </si>
  <si>
    <t>DR BOWER APOSTOLIC JR COLLEGE</t>
  </si>
  <si>
    <t>DR BABASAHEB AMBEDKAR MARATHWADA UNIVERSITY, AURANGABAD</t>
  </si>
  <si>
    <t>MARATHWADA INSTITUTE OF TECHNOLOGY, AURANGABAD</t>
  </si>
  <si>
    <t>SRUJAN CONSTRUCTION MANAGEMENT SOLUTIONS | QUANTITY SURVEYOR INTERN | PUNE | Sep 2020 | Feb 2021 | 25 Weeks
J KUMAR INFRAPROJECTS PVT LTD | SITE INTERN | PUNE | Aug 2019 | Sep 2022 | 161 Weeks
PACIFICA COMPANIES | MANAGEMENT INTERN | VADODARA GUJARAT | Apr 2022 | Jul 2022 | 12 Weeks</t>
  </si>
  <si>
    <t>AP21388</t>
  </si>
  <si>
    <t>Pranav Kumar</t>
  </si>
  <si>
    <t>zini339@gmail.com</t>
  </si>
  <si>
    <t>ap21388@ms.nicmar.ac.in</t>
  </si>
  <si>
    <t>08-Jul-1996</t>
  </si>
  <si>
    <t>8989 2748 4466</t>
  </si>
  <si>
    <t>SHIVCHANDRA ROY</t>
  </si>
  <si>
    <t>ARMY OFFICER RETD</t>
  </si>
  <si>
    <t>INDIRA KUMARI</t>
  </si>
  <si>
    <t>VILL PO DASHAHARA _x000D_
VIA  MOHIUDDIN NAGAR</t>
  </si>
  <si>
    <t>Samastipur</t>
  </si>
  <si>
    <t>NICMAR_x000D_
N.I.A , BALEWADI , BANER</t>
  </si>
  <si>
    <t>SAINIK SCHOOL NALANDA</t>
  </si>
  <si>
    <t>2011-Apr-01</t>
  </si>
  <si>
    <t>2012-Mar-31</t>
  </si>
  <si>
    <t>2022-May-28</t>
  </si>
  <si>
    <t>UNIVERSITY OF PETROLEUM AND ENERGY STUDIES</t>
  </si>
  <si>
    <t>2015-Jul-20</t>
  </si>
  <si>
    <t>2019-Sep-13</t>
  </si>
  <si>
    <t>EMINOX GROUP | SITE TRAINEE ENGINEER | NOIDA , UP | Jun 2018 | Jul 2018 | 6 Weeks
SMART VALLEY BUILDERS PVT LTD | REAL  ESTATE SALES AND MARKETING/ADVISORY | LUCKNOW | Apr 2022 | Jun 2022 | 9 Weeks</t>
  </si>
  <si>
    <t>AP21390</t>
  </si>
  <si>
    <t>VAISAKH</t>
  </si>
  <si>
    <t>G S</t>
  </si>
  <si>
    <t>Vaisakh G S</t>
  </si>
  <si>
    <t>vaisakh.girilal98@gmail.com</t>
  </si>
  <si>
    <t>ap21390@ms.nicmar.ac.in</t>
  </si>
  <si>
    <t>23-Nov-1998</t>
  </si>
  <si>
    <t>6515 0874 2734</t>
  </si>
  <si>
    <t>S A GIRILAL</t>
  </si>
  <si>
    <t>ASST EXECUTIVE ENGINEER IRRIGATION DEPT</t>
  </si>
  <si>
    <t>SAISREE S</t>
  </si>
  <si>
    <t>BRANCH MANAGER SBI</t>
  </si>
  <si>
    <t>CHAITHANYA,MAMPALLIKKUNNAM,CHATHANNOOR P.O, KOLLAM, KERALA</t>
  </si>
  <si>
    <t>KENDRIYA VIDHYALAYA KOLLAM</t>
  </si>
  <si>
    <t>MAHAVEER GROUP | SITE EXECUTION | BANGLORE | Apr 2022 | Jun 2022 | 7 Weeks</t>
  </si>
  <si>
    <t>AP21391</t>
  </si>
  <si>
    <t>NAGENDRA</t>
  </si>
  <si>
    <t>VEGARAJU</t>
  </si>
  <si>
    <t>Nagendra Vegaraju</t>
  </si>
  <si>
    <t>VEGARAJUNAGENDRA@GMAIL.COM</t>
  </si>
  <si>
    <t>ap21391@ms.nicmar.ac.in</t>
  </si>
  <si>
    <t>4391 3952 8857</t>
  </si>
  <si>
    <t>VEGARAJU JANAKI RAM</t>
  </si>
  <si>
    <t>VEGARAJU KANAKA DURGA</t>
  </si>
  <si>
    <t>H.NO.1-19-83/20,CHANDRAPURI COLONY, KAPRA, SECUNDARABAD</t>
  </si>
  <si>
    <t>H.NO.1-19-83/20,CHANDRAPURI COLONY, KAPRA, SECUNDARABADNA</t>
  </si>
  <si>
    <t>VIJAYA HIGH SCHOOL</t>
  </si>
  <si>
    <t>BHARAT INSTITUTE OF ENGINEERING AND TECHNOLOGY</t>
  </si>
  <si>
    <t>NICE CONSTRUCTIONS | Site Execution | Hyderabad | Jun 2019 | Aug 2021 | 2 Years, 2 Months, 29 Days | 3
NICE CONSTRUCTIONS | Site Execution | Hyderabad | Jun 2019 | Aug 2021 | 2 Years, 2 Months, 29 Days | 3</t>
  </si>
  <si>
    <t>MADHURE INFRA  ENGINEERING PVT LTD | SITE EXECUTION | PUNE | Apr 2022 | Jul 2022 | 12 Weeks
SRI LAXMI CONSTRUCTIONS | SITE ENGINEER | HYDERABAD | May 2018 | Jun 2018 | 4 Weeks
SURASANI CONSTRUCTIONS | SITE ENGINEER | HYDERABAD | Apr 2017 | Aug 2017 | 17 Weeks</t>
  </si>
  <si>
    <t>AP21392</t>
  </si>
  <si>
    <t>TADEPALLI</t>
  </si>
  <si>
    <t>Aditya Tadepalli</t>
  </si>
  <si>
    <t>ADITYATADEPALLI22@GMAIL.COM</t>
  </si>
  <si>
    <t>ap21392@ms.nicmar.ac.in</t>
  </si>
  <si>
    <t>ENGLISH, HINDI, TELUGU, SPANISH.</t>
  </si>
  <si>
    <t>4772 5222 0120</t>
  </si>
  <si>
    <t>RAMBABU TADEPALLI</t>
  </si>
  <si>
    <t>RAMALAKSHMI TADEPALLI</t>
  </si>
  <si>
    <t>1-1-365/B FT 303, SIDDAM SETTY TOWERS, RTC CROSS ROADS, JAWAHARNAGAR, NEAR BALAJI RICE TRADERS</t>
  </si>
  <si>
    <t>HYDERABAD PUBLIC SCHOOL</t>
  </si>
  <si>
    <t>GURU JUNIOR COLLEGE</t>
  </si>
  <si>
    <t>MAHATMA GANDHI INSTITIUE OF TECHNOLOGY</t>
  </si>
  <si>
    <t>Utraco Ryobi Ground Engineering | site works and sofware application  | Hyderabad | Sep 2020 | May 2021 | 0 Years, 8 Months, 8 Days | 2.6
Utraco Ryobi Ground Engineering | site works and sofware application  | Hyderabad | Sep 2020 | May 2021 | 0 Years, 8 Months, 8 Days | 2.6</t>
  </si>
  <si>
    <t>INDIAN INSTITUTE OF TECHNOLOGY MADRAS | SOIL TESTING AND GEOSYNTHETICS TESTING  | MADRAS , CHENNAI | Jun 2019 | Jul 2019 | 5 Weeks
MADHURE INFRA ENGINEERING PVT LTD | MANAGING DIFFERENT PARTS OF CONSTRUCTION PROJECTS, SUPERVISING CREW MEMBERS, PREPARING ESTIMATES FOR TIME AND MATERIAL COSTS, COMPLETING QUALITY ASSURANCE, OBSERVING HEALTH AND SAFETY STANDARDS, AND C | PUNE , MAHARASHTRA  | Apr 2022 | Jul 2022 | 12 Weeks</t>
  </si>
  <si>
    <t>AP21393</t>
  </si>
  <si>
    <t>SIDESH</t>
  </si>
  <si>
    <t>U</t>
  </si>
  <si>
    <t>Sidesh U</t>
  </si>
  <si>
    <t>sidesh99@gmail.com</t>
  </si>
  <si>
    <t>ap21393@ms.nicmar.ac.in</t>
  </si>
  <si>
    <t>3370 4725 0971</t>
  </si>
  <si>
    <t>UDAYAKUMAR V</t>
  </si>
  <si>
    <t>ARUL SELVI U</t>
  </si>
  <si>
    <t>8 , SOUNDARA PANDIAN ROAD ,OPP. VVS KALYANA MANDAPAM</t>
  </si>
  <si>
    <t>KVS MATRICULATION HIGHER SECONDARY SCHOOL</t>
  </si>
  <si>
    <t>MEPCO SCHLENK ENGINEERING COLLEGE</t>
  </si>
  <si>
    <t>MADHU ASSOCIATES | TECHNICAL ASSISTANT  | TRICHY | May 2019 | Jun 2019 | 4 Weeks
TAMIL NADU PUBLIC WORK DEPARTMENT MEDICAL WORKS | TECHNICAL ASSISTANT  | VIRUDHUNAGAR | May 2021 | Aug 2021 | 12 Weeks
SUNTECK REALTY LIMITED | SITE EXECUTION | MUMBAI | May 2022 | Jun 2022 | 7 Weeks</t>
  </si>
  <si>
    <t>AP21395</t>
  </si>
  <si>
    <t>Vishal Ashok Mane</t>
  </si>
  <si>
    <t>vishalmane2497@gmail.com</t>
  </si>
  <si>
    <t>ap21395@ms.nicmar.ac.in</t>
  </si>
  <si>
    <t>8386 3960 6535</t>
  </si>
  <si>
    <t>ASHOK DHONDIRAM MANE</t>
  </si>
  <si>
    <t>MARINER</t>
  </si>
  <si>
    <t>SULBHA ASHOK MANE</t>
  </si>
  <si>
    <t>W 302, SAI PEARL, KUNAL ICON ROAD, PIMPLE SAUDAGAR, PUNE 411027</t>
  </si>
  <si>
    <t>SHRI SHIVAJI VIDYAMANDIR AND KANISHTHA MAHAVIDYALAYA AUNDH</t>
  </si>
  <si>
    <t>FREGUSSON COLLEGE</t>
  </si>
  <si>
    <t>DR.VISHWANATH KARAD MAHARASHTRA INSTITUTE OF TECHNOLOGY WORLD PEACE UNIVERSITY</t>
  </si>
  <si>
    <t>BUILDMYINFRA | AUDIT &amp; INSPECTION | GURUGRAM | Apr 2022 | Jun 2022 | 8 Weeks</t>
  </si>
  <si>
    <t>AP21397</t>
  </si>
  <si>
    <t>PULIYELIL</t>
  </si>
  <si>
    <t>Abraham Puliyelil Varghese</t>
  </si>
  <si>
    <t>arc.abrahampv@gmail.com</t>
  </si>
  <si>
    <t>ap21397@ms.nicmar.ac.in</t>
  </si>
  <si>
    <t>09-Aug-1994</t>
  </si>
  <si>
    <t>6119 6877 8312</t>
  </si>
  <si>
    <t>VARGHESE ABRAHAM</t>
  </si>
  <si>
    <t>BLESSY VARGHESE</t>
  </si>
  <si>
    <t>Apartment No- 4B2, SAMRUDHI RETREAT, TKD ROAD, MUTTADA</t>
  </si>
  <si>
    <t>TC 3/449, PULIYELIL, TKD ROAD, MUTTADA</t>
  </si>
  <si>
    <t>INDIAN COMMUNITY SCHOOL KUWAIT</t>
  </si>
  <si>
    <t>CENTRAL BOARD OF SECONDARY EDUCATION, KUWAIT</t>
  </si>
  <si>
    <t>COLLEGE OF ARCHITECTURE TRIVANDRUM, KERALA</t>
  </si>
  <si>
    <t>Japcon Architects Pvt. Ltd. | Designer, 3D Visualiser, Quantity Surveyor   | Bangalore | Dec 2018 | May 2021 | 2 Years, 5 Months, 14 Days | 2.4
Japcon Architects Pvt. Ltd. | Designer, 3D Visualiser, Quantity Surveyor   | Bangalore | Dec 2018 | May 2021 | 2 Years, 5 Months, 14 Days | 2.4</t>
  </si>
  <si>
    <t>LARCHITECTE | DRAFTING, DESIGN, SITE CHECKING, PROJECT PLANNING. | KUWAIT | Jun 2022 | Jul 2022 | 8 Weeks</t>
  </si>
  <si>
    <t>AP21398</t>
  </si>
  <si>
    <t>SATHWIK</t>
  </si>
  <si>
    <t>GANDLOJU</t>
  </si>
  <si>
    <t>Sathwik Gandloju</t>
  </si>
  <si>
    <t>sathwikg43@gmail.com</t>
  </si>
  <si>
    <t>ap21398@ms.nicmar.ac.in</t>
  </si>
  <si>
    <t>ENGLISH, HINDI, TELUGU,</t>
  </si>
  <si>
    <t>2771 3706 6390</t>
  </si>
  <si>
    <t>LATE GANDLOJU KARUNKAR</t>
  </si>
  <si>
    <t>EX BEL EMPLOYEE</t>
  </si>
  <si>
    <t>GANLOJU RAJANI</t>
  </si>
  <si>
    <t>ADMIN FRONTDESK</t>
  </si>
  <si>
    <t>H NO 20-2/156, GANESH NAGAR COLONY, CHILKANAGAR ROAD</t>
  </si>
  <si>
    <t>TELANGANA STATE SECONDARY CERTICATE EXAMINATION</t>
  </si>
  <si>
    <t>JAWAHARLAL NEHRU TECHNOLOGICAL UNIVERSTITY</t>
  </si>
  <si>
    <t>GOKARAJU RANGARAJU INSTITUE OF ENGINEERING AND TECHNOLOGY</t>
  </si>
  <si>
    <t>KPM DESIGN SERVICES PVT LTD | STRUCTURAL DESIGN TEAM | BANGALORE, KARNATAKA | May 2022 | Jun 2022 | 7 Weeks</t>
  </si>
  <si>
    <t>AP21399</t>
  </si>
  <si>
    <t>T A Srinivas</t>
  </si>
  <si>
    <t>tat.srinivas@gmail.com</t>
  </si>
  <si>
    <t>ap21399@ms.nicmar.ac.in</t>
  </si>
  <si>
    <t>21-Dec-1997</t>
  </si>
  <si>
    <t>4236 6691 0973</t>
  </si>
  <si>
    <t>T A THIRUMALACHARI</t>
  </si>
  <si>
    <t>T A HARIPRIYA</t>
  </si>
  <si>
    <t>NO.66 SIVASAKTHI NAGAR EXT 2, PARVATHY NAGAR 6TH STREET, VGP, RAJAKILPAKKAM</t>
  </si>
  <si>
    <t>KENDRIYA VIDYALAYA NO.2 AIRFORCE STATION TAMBARAM</t>
  </si>
  <si>
    <t>KENDRIYA VIDYALAYA NO2 AIRFORCE STATION TAMBARAM</t>
  </si>
  <si>
    <t>MOHAMED SATHAK AJ ACADEMY OF ARCHITECTURE</t>
  </si>
  <si>
    <t>AutoCAD,MS Office,MS Project,REVIT, 3DS MAX</t>
  </si>
  <si>
    <t>TRANSFORM DESIGN | CORE MEMBER OF DESIGN TEAM DURING INTERNSHIP(TRANSFORM)							 | CHENNAI | Dec 2018 | Mar 2019 | 15 Weeks
CR NARAYAN RAO CONSULTANTS PRIVATE LIMITED | ARCHITECTURAL INTERN | CHENNAI | Jun 2018 | Oct 2018 | 19 Weeks
ENGINEERING PROJECT MANAGEMENT CONSULTANCY AND RESEARCH PVT LTD | PLANNING, SCHEDULING AND PROJECT MANAGEMENT | CHENNAI | May 2022 | Jul 2022 | 12 Weeks</t>
  </si>
  <si>
    <t>AP21400</t>
  </si>
  <si>
    <t>Shilpi Jain</t>
  </si>
  <si>
    <t>SHILPIJAIN0308@GMAIL.COM</t>
  </si>
  <si>
    <t>ap21400@ms.nicmar.ac.in</t>
  </si>
  <si>
    <t>03-Mar-1998</t>
  </si>
  <si>
    <t>9024 5505 7215</t>
  </si>
  <si>
    <t>PRAVEEN JAIN</t>
  </si>
  <si>
    <t>SANDHYA PRAVEEN JAIN</t>
  </si>
  <si>
    <t>JEEN KUSHAL TRADERS ,ADARSH NAGAR ,NEAR MAHARAJA CHOWK</t>
  </si>
  <si>
    <t>KRISHNA PUBLIC SCHOOL, BHILAI</t>
  </si>
  <si>
    <t>KRISHNA PUBLIC SCHOOL , BHILAI</t>
  </si>
  <si>
    <t>AutoCAD,MS Office,MS Project,Primavera,BIM , REVIT</t>
  </si>
  <si>
    <t>SRUJAAN | INTERN | DURG | Jun 2020 | Oct 2020 | 20 Weeks
SHILPI ARCHITECTS AND PLANNERS | INTERN | PUNE | Jan 2020 | Apr 2020 | 15 Weeks
MAHAVEER GROUP | DESIGNING AND CO-ORDINATION AND PLANNING AND SCHEDULING  | BANGALORE  | Apr 2022 | Jun 2022 | 7 Weeks</t>
  </si>
  <si>
    <t>AP21401</t>
  </si>
  <si>
    <t>TAKAWALE</t>
  </si>
  <si>
    <t>Siddhant Ashok Takawale</t>
  </si>
  <si>
    <t>takawalesiddhant99@gmail.com</t>
  </si>
  <si>
    <t>ap21401@ms.nicmar.ac.in</t>
  </si>
  <si>
    <t>9595 2401 2547</t>
  </si>
  <si>
    <t>ASHOK VITTHAL TAKAWALE</t>
  </si>
  <si>
    <t>SANJEEVANI ASHOK TAKAWALE</t>
  </si>
  <si>
    <t>H.NO.30, LANE NO 1 , MADHUBAN SOCIETY,OLD SANGVI</t>
  </si>
  <si>
    <t>KENDRIYA VIDYALAYA GANESHKHIND</t>
  </si>
  <si>
    <t>D.Y.PATIL COLLEGE OF ENGINEERING , AKURDI</t>
  </si>
  <si>
    <t>TELGE PROJECTS PRIVATE LIMITED |  REASONS FOR TIME VARIANCE IN PROJECT CYCLE AND FORMULATING SOLUTIONS, PREPARING CHECKLISTS FOR ALL STAGES OF PROJECT, CREATING FORMAT FOR MANPOWER UTILIZATION, PREPARING MSP FORMAT FOR PROJECT CYCLE | PUNE | May 2022 | Jun 2022 | 8 Weeks</t>
  </si>
  <si>
    <t>AP21402</t>
  </si>
  <si>
    <t>RAJANI</t>
  </si>
  <si>
    <t>Prachi Rajani</t>
  </si>
  <si>
    <t>PRACHIRAJANI07@GMAIL.COM</t>
  </si>
  <si>
    <t>ap21402@ms.nicmar.ac.in</t>
  </si>
  <si>
    <t>2580 8635 8664</t>
  </si>
  <si>
    <t>ARUN VEERUMAL RAJANI</t>
  </si>
  <si>
    <t>MANSI ARUN RAJANI</t>
  </si>
  <si>
    <t>PLOT NO. 3 NEAR SAI MANDIR BEHIND GIRLS HOSTEL RING ROAD JARIPATKA,NAGPUR</t>
  </si>
  <si>
    <t>BLOCK NO. 24 SWAMI KRIPALDAS MARG NEAR JETWAN BUDH VIHAR JARIPATKA,NAGPUR</t>
  </si>
  <si>
    <t>AutoCAD,MS Office,MS Project,Primavera,PRIMAVERA P6, BIM, REVIT</t>
  </si>
  <si>
    <t>BHUSHAN JESWANI ASSOCIATES | INTERN | NAGPUR | Jun 2020 | Oct 2020 | 18 Weeks
THIRD WAVE DESIGN | INTERN | PUNE | Jan 2020 | Apr 2020 | 15 Weeks
MAHAVEER GROUP | DESIGN AND COORDINATION, PLANNING AND SCHEDULING | BANGALORE | Apr 2022 | Jun 2022 | 7 Weeks</t>
  </si>
  <si>
    <t>AP21403</t>
  </si>
  <si>
    <t>Harsh Yadav</t>
  </si>
  <si>
    <t>HARSHRAO1281@GMAIL.COM</t>
  </si>
  <si>
    <t>ap21403@ms.nicmar.ac.in</t>
  </si>
  <si>
    <t>8535 3083 7043</t>
  </si>
  <si>
    <t>HARSH YADAV</t>
  </si>
  <si>
    <t>VILLAGE-HUSHINGPUR,TIJARA</t>
  </si>
  <si>
    <t>Bhiwadi</t>
  </si>
  <si>
    <t>DELHI DEVELOPMENT AUTHORITY | SITE EXECUTION  | SECTOR-19(B), DWARKA ,NEW DELHI | Apr 2022 | Jul 2022 | 10 Weeks
KCC BUILDCON | SITE SUPERVISION &amp; CALCULATION OF BOQ | ROHTAK | Nov 2018 | Dec 2018 | 4 Weeks
JAI SHREE BALAJI CONSTRUCTION COMPANY | SITE EXECUTION | KHEKRA, BHAGPAT | May 2018 | Jun 2018 | 4 Weeks</t>
  </si>
  <si>
    <t>AP21404</t>
  </si>
  <si>
    <t>Pavan J</t>
  </si>
  <si>
    <t>PAVANJ828@GMAIL.COM</t>
  </si>
  <si>
    <t>ap21404@ms.nicmar.ac.in</t>
  </si>
  <si>
    <t>2142 8897 4296</t>
  </si>
  <si>
    <t>J N JAYANNA</t>
  </si>
  <si>
    <t>SARASWATHI R N</t>
  </si>
  <si>
    <t>S/O J N JAYANNA JAYACHAMARAJAPURA,</t>
  </si>
  <si>
    <t>Arsikere</t>
  </si>
  <si>
    <t>ANANTH INTERNATIONAL SCHOOL</t>
  </si>
  <si>
    <t>ST  THERESA PU COLLEGE</t>
  </si>
  <si>
    <t>MAHARAJA INSTITUTE OF TECHNOLOGY</t>
  </si>
  <si>
    <t>AutoCAD,MS Office,MS Project,Primavera,ETABS, STAAD.PRO , SAFE</t>
  </si>
  <si>
    <t>Affinity Properties | Site Engineer | Bengaluru | Sep 2020 | Aug 2021 | 0 Years, 11 Months, 30 Days | 1.8
Affinity Properties | Site Engineer | Bengaluru | Sep 2020 | Aug 2021 | 0 Years, 11 Months, 30 Days | 1.8</t>
  </si>
  <si>
    <t>INTENTO ASSOCIATES | INTERN-PLANNING | WORK FROM HOME | Apr 2022 | Jun 2022 | 9 Weeks
SHATHAYU CONSTRUCTIONS AND CONSULTANTS | SITE EXECUTION | MYSORE | Dec 2019 | Dec 2019 | 4 Weeks
BARUNI CIVIL CONSULTANTS | SITE SUPERVISION &amp; MANUAL CALCULATION OF BILL OF QUANTITY | MYSORE | Jul 2019 | Aug 2019 | 4 Weeks</t>
  </si>
  <si>
    <t>AP21405</t>
  </si>
  <si>
    <t>Kanishka Gupta</t>
  </si>
  <si>
    <t>gkanishk2112@gmail.com</t>
  </si>
  <si>
    <t>ap21405@ms.nicmar.ac.in</t>
  </si>
  <si>
    <t>5220 0784 7253</t>
  </si>
  <si>
    <t>RAJENDRA KUMAR GUPTA</t>
  </si>
  <si>
    <t>MAMTA GUPTA</t>
  </si>
  <si>
    <t>C-67, SECTOR-E, ALIGANJ</t>
  </si>
  <si>
    <t>CITY MONTESSORI SCHOOL, ALIGANJ CAMPUS 1</t>
  </si>
  <si>
    <t>AutoCAD,MS Project,Primavera,ARCGIS, MS EXCEL</t>
  </si>
  <si>
    <t>EXCELLA INFRAZONE LLP | INTERN | LUCKNOW | Dec 2018 | Dec 2018 | 3 Weeks
CHENNAI METRO RAIL LIMITED | INTERN | CHENNAI | Jun 2019 | Jun 2019 | 2 Weeks
SUNTECK REALTY LIMITED | AS AN INTERN IN CONTRACTS DEPARTMENT, MY MAJOR LEARNINGS AND RESPONSIBILITIES WERE MAKING THE WORK ORDERS AND AMENDMENT ORDERS AND ALSO GETTING THE QUOTATIONS FROM THE CONTRACTORS AND THEN MAKING A CO | MUMBAI | May 2022 | Jun 2022 | 7 Weeks</t>
  </si>
  <si>
    <t>AP21406</t>
  </si>
  <si>
    <t>Rajat Srivastava</t>
  </si>
  <si>
    <t>IAMRAJAT372@GMAIL.COM</t>
  </si>
  <si>
    <t>ap21406@ms.nicmar.ac.in</t>
  </si>
  <si>
    <t>27-Oct-1998</t>
  </si>
  <si>
    <t>7833 6573 6797</t>
  </si>
  <si>
    <t>SHEEL CHANDRA SRIVASTAVA</t>
  </si>
  <si>
    <t>RAKHI SRIVASTAVA</t>
  </si>
  <si>
    <t>H.NO - 2/228, NAWABGANJ, KANPUR NAGAR</t>
  </si>
  <si>
    <t>Kanpur</t>
  </si>
  <si>
    <t>F.NO - 105, FIRST FLOOR, MAHARANI ENCLAVE, SHIVPUR, VARANASI</t>
  </si>
  <si>
    <t>KENDRIYA VIDHALAYA IFFCO PHULPUR</t>
  </si>
  <si>
    <t>RELIANCE INDUSTRIES LIMITED RPMG | PLANNING &amp; COST CONTROL INTERN | NAVI MUMBAI  | Apr 2022 | Jun 2022 | 8 Weeks | Campus Internship
GAIL INDIA LIMITED | CIVIL ENGINEER INTERN | VARANASI | May 2019 | May 2019 | 4 Weeks
UTTAR PRADESH RAJKIYA NIRMAN NIGAM | CIVIL ENGINEER INTERN | VARANASI | Jun 2020 | Jun 2020 | 4 Weeks</t>
  </si>
  <si>
    <t>AP21407</t>
  </si>
  <si>
    <t>MEHLAM</t>
  </si>
  <si>
    <t>AZIZ</t>
  </si>
  <si>
    <t>FIDVI</t>
  </si>
  <si>
    <t>Mehlam Aziz Fidvi</t>
  </si>
  <si>
    <t>mehlam714@gmail.com</t>
  </si>
  <si>
    <t>ap21407@ms.nicmar.ac.in</t>
  </si>
  <si>
    <t>ENGLISH, HINDI, GUJRATI,Marathi</t>
  </si>
  <si>
    <t>4245 4903 7011</t>
  </si>
  <si>
    <t>AZIZ ASGHARALI FIDVI</t>
  </si>
  <si>
    <t>TASNEEM AZIZ FIDVI</t>
  </si>
  <si>
    <t>H. NO. 593, KARANJIKAR LANE, NEAR BOHRA MASJID, ITWARI NAGPUR-440002</t>
  </si>
  <si>
    <t>HOUSE NO.154,NEAR BOHRA MASJID,ITWARI,NAGPUR</t>
  </si>
  <si>
    <t>ANJUMAN POLYTECHNIC</t>
  </si>
  <si>
    <t>SHRI RAMDEOBABA COLLEGE OF ENGINEERING AND MANGEMENT</t>
  </si>
  <si>
    <t>AutoCAD,MS Office,MS Project,Primavera,REVIT, CANDY, PHOTOSHOP</t>
  </si>
  <si>
    <t>AGC RSBIPL JV | SITE ENGINEER | GADCHIROLI | Jan 2021 | Apr 2021 | 16 Weeks
MAHAVEER GROUP | QA/QC, SITE EXECUTION | BANGALORE | Apr 2022 | Jun 2022 | 7 Weeks
SHUBHAM EPC | COSTING DEPARTMENT | PUNE | Jul 2022 | Jul 2022 | 3 Weeks</t>
  </si>
  <si>
    <t>AP21408</t>
  </si>
  <si>
    <t>HIRVE</t>
  </si>
  <si>
    <t>Prasad Gajanan Hirve</t>
  </si>
  <si>
    <t>AP21408@MS.NICMAR.AC.IN</t>
  </si>
  <si>
    <t>3903 5253 1579</t>
  </si>
  <si>
    <t>81/758, GOKHALENAGAR, NEAR SHAKUNTALA NIKAM GARDEN</t>
  </si>
  <si>
    <t>2002-Jan</t>
  </si>
  <si>
    <t>2014-Jun-07</t>
  </si>
  <si>
    <t>ALL INDIA SHRI SHIVAJI MEMORIAL SOCIETY'S POLYTECHNIC, PUNE, MAHARASHTRA</t>
  </si>
  <si>
    <t>PADMABHOOSHAN VASANTDADA PATIL INSTITUTE OF TECHNOLOGY, PUNE, MAHARASHTRA</t>
  </si>
  <si>
    <t>BUILDMYINFRA PVT LTD | SITE EXECUTION | GURUGRAM | Apr 2022 | Jun 2022 | 8 Weeks</t>
  </si>
  <si>
    <t>AP21409</t>
  </si>
  <si>
    <t>ARPIT</t>
  </si>
  <si>
    <t>Arpit Vinod Rokade</t>
  </si>
  <si>
    <t>ROKADEARPIT03@GMAIL.COM</t>
  </si>
  <si>
    <t>ap21409@ms.nicmar.ac.in</t>
  </si>
  <si>
    <t>3980 6694 5104</t>
  </si>
  <si>
    <t>VINOD SAJANJI ROKADE</t>
  </si>
  <si>
    <t>RETIRED EXECUTIVE ENGINER CIVIL</t>
  </si>
  <si>
    <t>ARTI VINOD ROKADE</t>
  </si>
  <si>
    <t>PLOT NO-64 JANKI NAGAR, MANEWADA, RING ROAD, NEAR HANUMAN TEMPLE</t>
  </si>
  <si>
    <t>TEJSWINI VIDYA MANDIR</t>
  </si>
  <si>
    <t>MAJOR HEMANT JAKATE INSTITUTE OF SCIENCE ANDTECHNOLOGY</t>
  </si>
  <si>
    <t>TULSIRAMJI GAIKWAD PATIL COLLEGE OF ARCHITECTURE</t>
  </si>
  <si>
    <t>AutoCAD,MS Office,MS Project,SKETCH UP , LUMION , PHOTOSHOP , ENSCAPE</t>
  </si>
  <si>
    <t>ESTHETE DESIGNERS AND BUILDERS PVT LTD | PROJECT MANAGEMENT INTERN | BANGALORE, KARNATAKA | Apr 2022 | Jun 2022 | 7 Weeks
DEEPAK PROJECT ENGINEERS | ARCHITECTURE INTERN | NAGPUR, MAHARASHTRA | Jul 2020 | Dec 2020 | 22 Weeks
DEEPAK PROJECT ENGINEERS | ARCHITECTURE INTERN | NAGPUR, MAHARASHTRA | Dec 2019 | Mar 2020 | 16 Weeks</t>
  </si>
  <si>
    <t>AP21411</t>
  </si>
  <si>
    <t>Rajat Ravindra Patil</t>
  </si>
  <si>
    <t>rajatpatil788@gmail.com</t>
  </si>
  <si>
    <t>ap21411@ms.nicmar.ac.in</t>
  </si>
  <si>
    <t>11-Dec-1999</t>
  </si>
  <si>
    <t>9339 3777 1284</t>
  </si>
  <si>
    <t>RETIRED ASSISTENT EXECUTIVE ENGINEER</t>
  </si>
  <si>
    <t>JAYASHREE R PATIL</t>
  </si>
  <si>
    <t>PLOT NO.18, SHRUSTI COLONY, BAGALKOT ROAD</t>
  </si>
  <si>
    <t>NAPLOT NO.18, SHRUSTI COLONY, BAGALKOT ROAD</t>
  </si>
  <si>
    <t>SANGANABASAVA INTERNATIONAL RESIDENTIAL SCHOOL</t>
  </si>
  <si>
    <t>KLE TECHNOLOGICAL YNIVERSITY</t>
  </si>
  <si>
    <t>PURAVANKARA LIMITED | SITE EXECUTION, PLANNING, BILLING, CONTRACTS. | BENGALURU | Apr 2022 | Jun 2022 | 9 Weeks</t>
  </si>
  <si>
    <t>AP21412</t>
  </si>
  <si>
    <t>PISHARODY</t>
  </si>
  <si>
    <t>Anagha Pisharody</t>
  </si>
  <si>
    <t>anaghapisharody99@gmail.com</t>
  </si>
  <si>
    <t>ap21412@ms.nicmar.ac.in</t>
  </si>
  <si>
    <t>06-Jul-1999</t>
  </si>
  <si>
    <t>9231 6104 9697</t>
  </si>
  <si>
    <t>SURESH KUMAR K P</t>
  </si>
  <si>
    <t>RAJANI RADHAKRISHNAN</t>
  </si>
  <si>
    <t>HIGHER SECONDARY TEACHER</t>
  </si>
  <si>
    <t>JS-1, GARDEN PARK APARTMENTS, ADAYATH LANE, DESHABHIMANI ROAD, ELAMAKKARA, KOCHI</t>
  </si>
  <si>
    <t>BHAVAN'S VIDYA MANDIR ELAMAKKARA</t>
  </si>
  <si>
    <t>BHAVANS VIDYA MANDIR ELAMAKKARA</t>
  </si>
  <si>
    <t>AutoCAD,MS Office,MS Project,TECHNICAL WRITING</t>
  </si>
  <si>
    <t>KELTRON REC | ENGINEERING INTERN | KALAMASSERY, KOCHI | Jul 2018 | Jul 2018 | 0 Weeks
SUNTECK REALTY LTD | SUMMER INTERN - COST &amp; ESTIMATION DEPARTMENT | MUMBAI | May 2022 | Jun 2022 | 7 Weeks
L AND T HEAVY CIVIL INFRASTRUCTURE | CIVIL ENGINEERING INTERN | NEW DRY DOCK CONSTRUCTION, COCHIN SHIPYARD, KOCHI | Jun 2019 | Jul 2019 | 1 Weeks</t>
  </si>
  <si>
    <t>AP21413</t>
  </si>
  <si>
    <t>PIRODIA</t>
  </si>
  <si>
    <t>Samyak Pirodia</t>
  </si>
  <si>
    <t>samypirodia1999@gmail.com</t>
  </si>
  <si>
    <t>ap21413@ms.nicmar.ac.in</t>
  </si>
  <si>
    <t>4874 3578 3607</t>
  </si>
  <si>
    <t>RUPESH PIRODIA</t>
  </si>
  <si>
    <t>VARSHA PIRODIA</t>
  </si>
  <si>
    <t>H. NO. 86, GOPAL NAGAR, SAGOD ROAD</t>
  </si>
  <si>
    <t>HIMALAYA INTERNATIONAL SCHOOL</t>
  </si>
  <si>
    <t>MEDICAPS UNIVERSITY</t>
  </si>
  <si>
    <t>MUNICIPAL CORPORATION | SITE ENGINEER | RATLAM | Feb 2021 | Apr 2021 | 12 Weeks
RAAMESH CONSTRUCTION | SITE ENGINEER | RATLAM | Jun 2018 | Jul 2018 | 4 Weeks
RAAMESH CONSTRUCTION | SITE ENGINEER | RATLAM | Jul 2019 | Aug 2019 | 4 Weeks</t>
  </si>
  <si>
    <t>AP21414</t>
  </si>
  <si>
    <t>HIMANK</t>
  </si>
  <si>
    <t>Himank Chawla</t>
  </si>
  <si>
    <t>himankchawla9699@gmail.com</t>
  </si>
  <si>
    <t>ap21414@ms.nicmar.ac.in</t>
  </si>
  <si>
    <t>3675 0408 7232</t>
  </si>
  <si>
    <t>DEVINDER CHAWLA</t>
  </si>
  <si>
    <t>RENU CHAWLA</t>
  </si>
  <si>
    <t>SELF EMPLPYED</t>
  </si>
  <si>
    <t>H. NO 3181. SECTOR 51 D</t>
  </si>
  <si>
    <t>Chandigarh</t>
  </si>
  <si>
    <t>H. NO 3181, SECTOR 51 D</t>
  </si>
  <si>
    <t>S D SENIOR SECONDARY SCHOOL</t>
  </si>
  <si>
    <t>NATIONAL INSTITUTE OF TECHNOLOGY, KURUKSHETRA</t>
  </si>
  <si>
    <t>AutoCAD,MS Office,MS Project,E-TABS</t>
  </si>
  <si>
    <t>E CONSTRUCT DESIGN AND BUILD PVT LTD | STRUCTURAL DESIGN AND ESTIMATING | BANGALORE | Jan 2020 | Aug 2020 | 29 Weeks
NAVINATAM CONSTRUCTION TECHNOLOGIES PVT LTD | SITE EXECUTION AND PLANNING | CHANDIGARH | May 2018 | Jul 2018 | 8 Weeks
MACE PROJECT AND COST MANAGEMENT PVT LTD | COORDINATION BETWEEN PMC, CLIENT, ARCHITECTS AND GENERAL CONTRACTOR Ã¢â‚¬Â¢ STUDY OF DRAWINGS -ARCHITECTURAL, STRUCTURAL &amp; MEP AND RAISING RFI'S PRODUCITIVTY ANALYSIS AND SCHEDULE TRACKING AND UPDATING Ã¢â‚¬ | SONIPAT, HARYANA | May 2022 | Jul 2022 | 11 Weeks</t>
  </si>
  <si>
    <t>AP21415</t>
  </si>
  <si>
    <t>LADE</t>
  </si>
  <si>
    <t>Abhishek Sunil Lade</t>
  </si>
  <si>
    <t>abhisheklde4@gmail.com</t>
  </si>
  <si>
    <t>ap21415@ms.nicmar.ac.in</t>
  </si>
  <si>
    <t>ENGLISH,MARATHI,HINDI.</t>
  </si>
  <si>
    <t>7685 9561 1940</t>
  </si>
  <si>
    <t>SUNIL PANDURANG LADE</t>
  </si>
  <si>
    <t>UJWALA SUNIL LADE</t>
  </si>
  <si>
    <t>SF 2,KRISHNACHAYA RESIDENCY,SHAMBHU MAHADEV NAGAR,KARVE NAKA</t>
  </si>
  <si>
    <t>MAHATMA SCHOOL OF ACADEMICS AND SPORTS</t>
  </si>
  <si>
    <t>VIVEKANAND JR. COLLEGE,KOLHAPUR</t>
  </si>
  <si>
    <t>KOLHAPUR INSTITUTE OF TECHNOLOGYS COLLEGE OF ENGINEERING KOLHAPUR</t>
  </si>
  <si>
    <t>AutoCAD,MS Office,MS Project,EXPERIENCE WITH ON-SITE CONSTRUCTION OBSERVATION AND MANAGEMENT, IDENTIFY POSSIBLE DESIGN IMPROVEMENTS</t>
  </si>
  <si>
    <t>N P CONSTRUCTION | SITE ENGINEER, | KARAD | Dec 2020 | Feb 2021 | 8 Weeks
SHAH CONSTRUCTION | TRAINEE ENGINEER AND SITE SUPERVISOR | KOLHAPUR | May 2021 | Aug 2021 | 13 Weeks
URBAN SPACE CREATORS | JUNIOR ENGINEER | RAVET | May 2022 | Jul 2022 | 8 Weeks</t>
  </si>
  <si>
    <t>AP21416</t>
  </si>
  <si>
    <t>POOSSERY</t>
  </si>
  <si>
    <t>Pooja Santosh Poossery</t>
  </si>
  <si>
    <t>ppoossery04@gmail.com</t>
  </si>
  <si>
    <t>ap21416@ms.nicmar.ac.in</t>
  </si>
  <si>
    <t>28-Oct-1999</t>
  </si>
  <si>
    <t>6920 3682 3896</t>
  </si>
  <si>
    <t>SANTOSH MUKUNDAN POOSSERY</t>
  </si>
  <si>
    <t>DEVI SANTOSH POOSSERY</t>
  </si>
  <si>
    <t>111, MANASHAKTI KENDRA, VARSOLI VILLAGE, BEHIND BAAR BAAR DHABA</t>
  </si>
  <si>
    <t>Lonavala</t>
  </si>
  <si>
    <t>PIMPRI CHINCHWAD COLLEGE OF ENGINEERING</t>
  </si>
  <si>
    <t>DHARMADEV INFRASTRUCTURE LIMITED | SUMMER INTERN (PROJECT PLANNING, SITE EXECUTION, COST ESTIMATION) | AHMEDABAD, GUJARAT  | Apr 2022 | Jun 2022 | 7 Weeks</t>
  </si>
  <si>
    <t>AP21417</t>
  </si>
  <si>
    <t>Aditya Mohan</t>
  </si>
  <si>
    <t>aditya.mohan97@gmail.com</t>
  </si>
  <si>
    <t>ap21417@ms.nicmar.ac.in</t>
  </si>
  <si>
    <t>28-Jun-1997</t>
  </si>
  <si>
    <t>4775 6368 0625</t>
  </si>
  <si>
    <t>P V MOHAN</t>
  </si>
  <si>
    <t>SADHANA MOHAN</t>
  </si>
  <si>
    <t>A4, 1ST FLOOR, DEEPA APARTMENTS, BAZULLAH ROAD</t>
  </si>
  <si>
    <t>SIR M VENKATA SUBBA RAO MATRICULATION HIGHER SECONDARY SCHOOL</t>
  </si>
  <si>
    <t>SECONDARY SCHOOL TAMIL NADU STATE BOARD</t>
  </si>
  <si>
    <t>DAV MATRICULATION HIGHER SECONDARY SCHOOL GILL NAGAR</t>
  </si>
  <si>
    <t>AutoCAD,MS Office,REVIT, GOOGLE SKETCH-UP, LUMION, ENSCAPE, V-RAY, ADOBE PHOTOSHOP, ADOBE ILLUSTRATOR, TWINMOTION.</t>
  </si>
  <si>
    <t>VISION ARCHITECTS AND INTERIOR DESIGNERS | PART OF RESIDENTIAL PLANNING TEAM AND INTERIORS &amp; EXTERIORS DESIGNING TEAM. | CHENNAI | Jun 2019 | Oct 2019 | 20 Weeks
SUNTECK REALTY LTD | ARCHITECTURE &amp; DESIGNING | MUMBAI | May 2022 | Jun 2022 | 7 Weeks</t>
  </si>
  <si>
    <t>AP21418</t>
  </si>
  <si>
    <t>KANNAO</t>
  </si>
  <si>
    <t>Jay Vilas Kannao</t>
  </si>
  <si>
    <t>KANNAOJAY@GMAIL.COM</t>
  </si>
  <si>
    <t>ap21418@ms.nicmar.ac.in</t>
  </si>
  <si>
    <t>7434 0653 1085</t>
  </si>
  <si>
    <t>VILAS RAMESH KANNAO</t>
  </si>
  <si>
    <t>PRACHEE VILAS KANNAO</t>
  </si>
  <si>
    <t>22,CHAITANYA NAGAR,NR.ST ANNES CONVENT SCHOOL</t>
  </si>
  <si>
    <t>Warora</t>
  </si>
  <si>
    <t>ST ANNES PUBLIC SCHOOL</t>
  </si>
  <si>
    <t>JUPITER JUNIOR SCIENCE COLLEGE</t>
  </si>
  <si>
    <t>STATE BOARD OF MAHARASHTRA(HSC)</t>
  </si>
  <si>
    <t>TJN GROUP OF CONSTRUCTION PRIVATE LIMITED | SITE ENGINEER | NAGPUR | Jun 2019 | Jul 2019 | 4 Weeks
CUSHMAN AND WAKEFIELD | VALUATION AND ADVISORY SERVICES  | PUNE | May 2022 | Jul 2022 | 8 Weeks</t>
  </si>
  <si>
    <t>AP21420</t>
  </si>
  <si>
    <t>WARDE</t>
  </si>
  <si>
    <t>Soham Sameer Warde</t>
  </si>
  <si>
    <t>SOHAMW85@GMAIL.COM</t>
  </si>
  <si>
    <t>ap21420@ms.nicmar.ac.in</t>
  </si>
  <si>
    <t>7600 3956 5360</t>
  </si>
  <si>
    <t>SAMEER MADHUSUDAN WARDE</t>
  </si>
  <si>
    <t>SHARMILA SAMEER WARDE</t>
  </si>
  <si>
    <t>A1-804, AUDUMBER CHS, I.C. COLONY, BORIVALI WEST</t>
  </si>
  <si>
    <t>DR. SARVEPALLI RADHAKRISHNAN VIDYALAYA</t>
  </si>
  <si>
    <t>D.G. RUPAREL COLLEGE OF ARTS,SCIENCE AND COMMERCE</t>
  </si>
  <si>
    <t>AutoCAD,MS Office,MS Project,Primavera,GPS-X DYNAMIC MODELLING AND SIMULATION SOFTWARE</t>
  </si>
  <si>
    <t>VIDYAVARDHINIS COLLEGE OF ENGINEERING AND TECHNOLOGY | STUDENT | MUMBAI | Aug 2020 | Apr 2021 | 36 Weeks
BASIL HOMES | PROJECT MANAGEMENT INTERN | PUNE | Apr 2022 | Jul 2022 | 13 Weeks</t>
  </si>
  <si>
    <t>AP21421</t>
  </si>
  <si>
    <t>Jyoti Jain</t>
  </si>
  <si>
    <t>jjyoti1198@gmail.com</t>
  </si>
  <si>
    <t>ap21421@ms.nicmar.ac.in</t>
  </si>
  <si>
    <t>11-Jul-1998</t>
  </si>
  <si>
    <t>5668 9547 0109</t>
  </si>
  <si>
    <t>HARSHVARDHAN JAIN</t>
  </si>
  <si>
    <t>DEEPIKA JAIN</t>
  </si>
  <si>
    <t>28, NEW COLONY MAHAVEER NAGAR</t>
  </si>
  <si>
    <t>N.I.A POST OFFICE,25/1,BALEWADI ROAD,BANER,PUNE, MAHARASHTRA</t>
  </si>
  <si>
    <t>GANDHINAGAR INSTITUTE OF TECHNOLOGY</t>
  </si>
  <si>
    <t>OIL AND NATURAL GAS CORPORATION LIMITED | INTERN  | AHEMDABAD | Dec 2018 | Jan 2019 | 3 Weeks
SUNTECK REALTY | INTERN  | MUMBAI  | May 2022 | Jun 2022 | 7 Weeks</t>
  </si>
  <si>
    <t>AP21422</t>
  </si>
  <si>
    <t>Saravanan D</t>
  </si>
  <si>
    <t>kannansaravanan11@gmail.com</t>
  </si>
  <si>
    <t>ap21422@ms.nicmar.ac.in</t>
  </si>
  <si>
    <t>ENGLISH , TELUGU, TAMIL</t>
  </si>
  <si>
    <t>4241 6417 2145</t>
  </si>
  <si>
    <t>R DHARANI</t>
  </si>
  <si>
    <t>EX AIRFORCE</t>
  </si>
  <si>
    <t>1/13 OLD MAHABALIPURAM, SEMMANJERI, SHOLINGANALLUR</t>
  </si>
  <si>
    <t>SRI SANKARA VIDHYASRAM SCHOOL</t>
  </si>
  <si>
    <t>2014-May-09</t>
  </si>
  <si>
    <t>SRI SANKARA VIDHYASHRAMAM SCHOOL</t>
  </si>
  <si>
    <t>ASE STRUCTURE DESIGN  PVT LTD | DESIGN | Chennai | Nov 2019 | Apr 2021 | 1 Years, 5 Months, 4 Days | 2.4
KR BUILDERS | SITE EXECUTION | Chennai | Sep 2018 | Sep 2019 | 1 Years, 0 Months, 22 Days | 1.44
ASE STRUCTURE DESIGN  PVT LTD | DESIGN | Chennai | Nov 2019 | Apr 2021 | 1 Years, 5 Months, 4 Days | 2.4
KR BUILDERS | SITE EXECUTION | Chennai | Sep 2018 | Sep 2019 | 1 Years, 0 Months, 22 Days | 1.44</t>
  </si>
  <si>
    <t>LARSEN AND TOUBRO CONSTRUCTION | IN PLANT TRAINEE | CHENNAI | Jun 2016 | Jul 2016 | 2 Weeks
LARSEN AND TOUBRO CONSTRUCTION WATER AND  EFFLUENT TREATMENT | IN PLANT TRAINEE | CHENNAI | Nov 2017 | Dec 2017 | 2 Weeks
HOUSEWISE SERVICES PRIVATE LIMITED | OPERATIONS INTERN | CHENNAI | Apr 2022 | Aug 2022 | 15 Weeks</t>
  </si>
  <si>
    <t>AP21423</t>
  </si>
  <si>
    <t>Animesh Narayan</t>
  </si>
  <si>
    <t>ani123narayan@gmail.com</t>
  </si>
  <si>
    <t>ap21423@ms.nicmar.ac.in</t>
  </si>
  <si>
    <t>22-Apr-1996</t>
  </si>
  <si>
    <t>6525 2146 8294</t>
  </si>
  <si>
    <t>ASHOK KUMAR SINGH</t>
  </si>
  <si>
    <t>POLITICS</t>
  </si>
  <si>
    <t>ASHOK KUMAR SINGH, HARIHARPUR KALAN</t>
  </si>
  <si>
    <t>Siwan</t>
  </si>
  <si>
    <t>ULTIMA BOYS HOSTEL</t>
  </si>
  <si>
    <t>PARWATI PREMA JAGATI SARASWATI VIHAR</t>
  </si>
  <si>
    <t>R.A.S.N.S COLLEGE</t>
  </si>
  <si>
    <t>SCHOOL OF CIVIL ENGINEERING</t>
  </si>
  <si>
    <t>CAB PRESTRESS | SITE MANAGEMENT | MUMBAI | Jul 2019 | Jul 2019 | 0 Weeks
SPACEIFY TECHNOLOGIES PRIVATE LIMITED | QAQC ANALYST | AHMEDABAD, GUJRAT | Apr 2022 | Jul 2022 | 13 Weeks</t>
  </si>
  <si>
    <t>AP21424</t>
  </si>
  <si>
    <t>Kaushal Krishna More</t>
  </si>
  <si>
    <t>morekaushal088@gmail.com</t>
  </si>
  <si>
    <t>ap21424@ms.nicmar.ac.in</t>
  </si>
  <si>
    <t>29-Nov-1996</t>
  </si>
  <si>
    <t>2421 2677 2544</t>
  </si>
  <si>
    <t>KRISHNA SHANAKR MORE</t>
  </si>
  <si>
    <t>SMITA KRISHNA MORE</t>
  </si>
  <si>
    <t>ROOM NO 128, SAMBHAJI NAGAR NEAR CHEMBUR KARNATAK HIGH SCHOOL GHATLA VILLAGE CHEMBUR MUMBAI 400071</t>
  </si>
  <si>
    <t>CHEMBUR KARNATAK HIGH SCHOOL AND JUNIOR COLLEGE</t>
  </si>
  <si>
    <t>N.G. ACHARYA AND D.K MARATHE COLLEGE OF ARTS, SCIENCE AND COMMERCE</t>
  </si>
  <si>
    <t>PADMASHREE DR. DY PATIL COLLEGE OF ARCHITECTURE NAVI MUMBAI</t>
  </si>
  <si>
    <t>Urbane Storey | Assistant Project Manager  | Andheri, Mumbai | Jan 2021 | Aug 2021 | 0 Years, 7 Months, 26 Days | 1.92
Urbane Storey | Assistant Project Manager  | Andheri, Mumbai | Jan 2021 | Aug 2021 | 0 Years, 7 Months, 26 Days | 1.92</t>
  </si>
  <si>
    <t>SHREE STHAPATYA ASSOCIATES | JUNIOR ARCHITECT | PANVEL, NAVI MUMBAI  | Nov 2017 | Mar 2018 | 17 Weeks
ANJ TURNKEY PROJECT PRIVATE LIMITED | PROJECT MANAGEMENT INTERN | MUMBAI  | Apr 2022 | Jul 2022 | 13 Weeks</t>
  </si>
  <si>
    <t>AP21425</t>
  </si>
  <si>
    <t>SAFEEQUE</t>
  </si>
  <si>
    <t>TAIYAB</t>
  </si>
  <si>
    <t>Safeeque Taiyab Khan</t>
  </si>
  <si>
    <t>taiyabsafique@gmail.com</t>
  </si>
  <si>
    <t>ap21425@ms.nicmar.ac.in</t>
  </si>
  <si>
    <t>15-Jun-1997</t>
  </si>
  <si>
    <t>8547 3489 4465</t>
  </si>
  <si>
    <t>FAKHRUL HASAN KHAN</t>
  </si>
  <si>
    <t>MARIYAM KHATOON</t>
  </si>
  <si>
    <t>FLAT NO 302 A WING OSHINS PARADISE SECTOR 16 NEAR SUCCES CLASS</t>
  </si>
  <si>
    <t>FLAT NO 302 A WING OSHINS PARADISE SECTOR 16 RAJESHIVAJI NAGAR CHIKHALI</t>
  </si>
  <si>
    <t>J.P EDUCATION ACADEMY</t>
  </si>
  <si>
    <t>RED ROSE SENIOR SECONDARY SCHOOL</t>
  </si>
  <si>
    <t>DR DY PATIL SCHOOL OF ENGINEERING ACADEMY PUNE</t>
  </si>
  <si>
    <t>Indu Building Systems Pvt Ltd | Site Execution | Navi Mumbai | Jan 2020 | Jan 2021 | 1 Years, 0 Months, 11 Days | 1.8
Indu Building Systems Pvt Ltd | Site Execution | Navi Mumbai | Jan 2020 | Jan 2021 | 1 Years, 0 Months, 11 Days | 1.8</t>
  </si>
  <si>
    <t>NIRMITI BUILDCON PUNE | MANAGEMENT OF LABOUR AND MACHINERY, SITE EXECUTION, ESTIMATING THE QUANTITIES OF EACH DAY WORK, CALCULATING THE WAGES OF LABOUR, SITE SAFETY, CHECKLIST | PUNE | Dec 2018 | Feb 2019 | 12 Weeks
SPACE MATRIX DESIGN CONSULTANTS PVT LTD | PROJECT MANAGEMENT | MUMBAI | Apr 2022 | Jun 2022 | 8 Weeks</t>
  </si>
  <si>
    <t>AP21426</t>
  </si>
  <si>
    <t>Kartikay Raghav</t>
  </si>
  <si>
    <t>KARTIK.RAGHAVV@GMAIL.COM</t>
  </si>
  <si>
    <t>ap21426@ms.nicmar.ac.in</t>
  </si>
  <si>
    <t>30-Apr-1999</t>
  </si>
  <si>
    <t>7785 9761 4819</t>
  </si>
  <si>
    <t>SUDHIR KUMAR RAGHAV</t>
  </si>
  <si>
    <t>SEELAM RAGHAV</t>
  </si>
  <si>
    <t>HIG-40, LANE- E, SANTOSH VILLA, SHIVAJI PURAM, SWARNA JAYANTI NAGAR</t>
  </si>
  <si>
    <t>Aligarh</t>
  </si>
  <si>
    <t>C/O SH. RAMCHANDRA WALIVADE, SUDHIR KR. RAGHAV, WALIVADE, SERYAS HOUSING SOCIETY, BEHIND LIND SCHOOL, NASIK-422101</t>
  </si>
  <si>
    <t>SMART VALLEY BUILDERS PRIVATE LIMITED | REAL ESTATE SALES AND MARKETING/ ADVISORY | LUCKNOW | Apr 2022 | Jun 2022 | 9 Weeks</t>
  </si>
  <si>
    <t>AP21427</t>
  </si>
  <si>
    <t>RAMTEKKAR</t>
  </si>
  <si>
    <t>Sagar Mohan Ramtekkar</t>
  </si>
  <si>
    <t>sagarramtekkar98@gmail.com</t>
  </si>
  <si>
    <t>ap21427@ms.nicmar.ac.in</t>
  </si>
  <si>
    <t>27-Nov-1998</t>
  </si>
  <si>
    <t>7791 3157 1080</t>
  </si>
  <si>
    <t>MOHAN WAMAN RAMTEKKAR</t>
  </si>
  <si>
    <t>NEETA MOHAN RAMTEKKAR</t>
  </si>
  <si>
    <t>A-102, SHIV MANDIRI CHS LTD, SECTOR-13, PLOT NO.-04, PALM BEACH ROAD, SANPADA, NAVI MUMBAI</t>
  </si>
  <si>
    <t>MAHATMA EDUCATION SOCITY PILLAI HOC POLYTECHNIC, RAIGAD</t>
  </si>
  <si>
    <t>PILLAI HOC COLLEGE OF ENGINEERING AND TECHNOLOGY, RAIGAD</t>
  </si>
  <si>
    <t>BASIL HOMES | PROJECT MANAGEMENT  | PUNE | Apr 2022 | Jul 2022 | 13 Weeks</t>
  </si>
  <si>
    <t>AP21428</t>
  </si>
  <si>
    <t>ANSH</t>
  </si>
  <si>
    <t>Ansh Agarwal</t>
  </si>
  <si>
    <t>agarwalansh521@gmail.com</t>
  </si>
  <si>
    <t>ap21428@ms.nicmar.ac.in</t>
  </si>
  <si>
    <t>ENGLISH,HINDI,JAPANESE.</t>
  </si>
  <si>
    <t>9992 3494 8139</t>
  </si>
  <si>
    <t>YOGESH AGARWAL</t>
  </si>
  <si>
    <t>UPMA AGARWAL</t>
  </si>
  <si>
    <t>H.NO 9, PHOOL BAGH COLONY,NEAR SURAJ KUND PARK,MEERUT</t>
  </si>
  <si>
    <t>ST. MARYS ACADEMY</t>
  </si>
  <si>
    <t>DEEWAN PUBLIC SCHOOL</t>
  </si>
  <si>
    <t>SCHOOL OF ARCHITECTURE AND DESIGN</t>
  </si>
  <si>
    <t>ENARCH CONSULTANTS PRIVATE LIMITED | ARCHITECTURAL INTERN | NOIDA | Jun 2019 | Oct 2019 | 16 Weeks
LARSEN AND TOUBRO REALTY | DESIGN INTERN | A.M. NAIK TOWER, MUMBAI | Apr 2022 | Jul 2022 | 13 Weeks</t>
  </si>
  <si>
    <t>AP21429</t>
  </si>
  <si>
    <t>KOLLA</t>
  </si>
  <si>
    <t>Sai Sailesh Kolla</t>
  </si>
  <si>
    <t>sailesh.kolla9@gmail.com</t>
  </si>
  <si>
    <t>ap21429@ms.nicmar.ac.in</t>
  </si>
  <si>
    <t>5691 2318 9435</t>
  </si>
  <si>
    <t>K B V RAMACHANDRA RAO</t>
  </si>
  <si>
    <t>K NAGAVENI</t>
  </si>
  <si>
    <t>50-26-2,TRINITY APARTMENTS ,101, TPT COLONY,SEETHAMMADARA</t>
  </si>
  <si>
    <t>ETASI TIMPANY SCHOOL</t>
  </si>
  <si>
    <t>GANDHI INSTISTUTE OF TECHNOLOGY AND MANAGEMENT</t>
  </si>
  <si>
    <t>PACIFICA COMPANIES | PREPARED RUNNING ACCOUNT BILLS, PLANNING AND SCHEDULING, PREPARED LOOK AHEAD PLAN FOR THE SITE EXECUTION TEAM | HYDERABAD  | Apr 2022 | Jul 2022 | 12 Weeks</t>
  </si>
  <si>
    <t>AP21430</t>
  </si>
  <si>
    <t>SANTANU NAMBIAR</t>
  </si>
  <si>
    <t>Santanu Nambiar Nambiar</t>
  </si>
  <si>
    <t>SANTANU.NAMBIAR@GMAIL.COM</t>
  </si>
  <si>
    <t>ap21430@ms.nicmar.ac.in</t>
  </si>
  <si>
    <t>28-Jan-1996</t>
  </si>
  <si>
    <t>ENGLISH,HINDI,MALAYALAM,FRENCH</t>
  </si>
  <si>
    <t>8476 6563 8148</t>
  </si>
  <si>
    <t>KUNNATH MADATHIL RAJENDRAN NAMBIAR</t>
  </si>
  <si>
    <t>BUSINESS DEVELOPMENT CONSULTANT</t>
  </si>
  <si>
    <t>SARADA NAMBIAR</t>
  </si>
  <si>
    <t>POCKET 52, H.NO.61,C.R PARK,P.O KALKAJI FIRST FLOOR</t>
  </si>
  <si>
    <t>APEEJAY SCHOOL SAKET</t>
  </si>
  <si>
    <t>Setu Design Studio | Architectural Designer, Project Coordinator ,Interior Fitouts and Landscape Designer | New Delhi | Mar 2020 | Mar 2021 | 1 Years, 0 Months, 0 Days | 2.16
Setu Design Studio | Architectural Designer, Project Coordinator ,Interior Fitouts and Landscape Designer | New Delhi | Mar 2020 | Mar 2021 | 1 Years, 0 Months, 0 Days | 2.16</t>
  </si>
  <si>
    <t>SAPNA KUMAR AND ASSOCIATES | INTERN ARCHITECT | NEW DELHI | Jan 2018 | May 2022 | 225 Weeks
SILA PROJECT MANAGEMENT SERVICES PRIVATE LIMITED | REAL ESTATE ADVISORY INTERN | DELHI NCR | May 2022 | Jun 2022 | 8 Weeks</t>
  </si>
  <si>
    <t>AP21431</t>
  </si>
  <si>
    <t>KAR</t>
  </si>
  <si>
    <t>Vivek Kumar Kar</t>
  </si>
  <si>
    <t>vivekkumar36738@gmail.com</t>
  </si>
  <si>
    <t>ap21431@ms.nicmar.ac.in</t>
  </si>
  <si>
    <t>26-Feb-1999</t>
  </si>
  <si>
    <t>ENGLISH, HINDI, ODIYA.</t>
  </si>
  <si>
    <t>7378 6225 5609</t>
  </si>
  <si>
    <t>RABI NARAYAN KAR</t>
  </si>
  <si>
    <t>ANIMA KAR</t>
  </si>
  <si>
    <t>NAU SHAKTI VIHAR (DEFENSE FAMILY ACCOMMODATION)_x000D_
MEGHADRIPETA DEFENCE COLONY</t>
  </si>
  <si>
    <t>KENDRIYA VIDYALAYA NUMBER 02 COLABA</t>
  </si>
  <si>
    <t>KENDRIYA VIDYALAYA SOWRIPALAYAM</t>
  </si>
  <si>
    <t>2016-Jun-20</t>
  </si>
  <si>
    <t>2020-Jun-29</t>
  </si>
  <si>
    <t>HINDUSTAN SHIPYARD LIMITED | INTERNSHIP TRAINEE | VISAKHAPATNAM | Dec 2018 | Dec 2018 | 2 Weeks
SOUTH EAST CENTRAL RAILWAY ZONE | INTERNSHIP TRAINEE | RAIGARH | Jun 2019 | Jun 2019 | 3 Weeks
MAHAVEER GROUPS | SITE EXECUTION | BENGALURU | Apr 2022 | Jun 2022 | 7 Weeks</t>
  </si>
  <si>
    <t>AP21432</t>
  </si>
  <si>
    <t>WALVEKAR</t>
  </si>
  <si>
    <t>Manthan Ashok Walvekar</t>
  </si>
  <si>
    <t>manthanwalvekar.1699@gmail.com</t>
  </si>
  <si>
    <t>ap21432@ms.nicmar.ac.in</t>
  </si>
  <si>
    <t>06-Jan-1999</t>
  </si>
  <si>
    <t>2371 4652 6388</t>
  </si>
  <si>
    <t>ASHOK PANDURANG WALVEKAR</t>
  </si>
  <si>
    <t>SHOBHA ASHOK WALVEKAR</t>
  </si>
  <si>
    <t>B-3/1, DAMODAR VIHAR, HINGANE KHURD, SINHAGAD ROAD, PUNE.</t>
  </si>
  <si>
    <t>CAPTAIN SHIVRAMPANT DAMALE PRASHALA, PUNE</t>
  </si>
  <si>
    <t>SOU VENUTAI CHAVAN POLYTECHNIC COLLEGE, PUNE</t>
  </si>
  <si>
    <t>K J COLLEGE OF ENGINEERING AND MANAGEMENT RESEARCH PUNE</t>
  </si>
  <si>
    <t>AutoCAD,MS Office,MS Project,Primavera,E TABS</t>
  </si>
  <si>
    <t>ASTRO ENGINEERING AND FORMWORK SYSTEMS | SITE EXECUTION | PUNE | Jun 2020 | Feb 2021 | 0 Years, 8 Months, 0 Days | 1.2
ASTRO ENGINEERING AND FORMWORK SYSTEMS | SITE EXECUTION | PUNE | Jun 2020 | Feb 2021 | 0 Years, 8 Months, 0 Days | 1.2</t>
  </si>
  <si>
    <t>COLLEGE OF ENGINEERING PUNE | STUDENT | PUNE | Jun 2018 | Jun 2018 | 4 Weeks
MAHAVEER GROUP OF CONSTRUCTION | SITE ENGINEER | BANGALORE | Apr 2022 | Jun 2022 | 7 Weeks</t>
  </si>
  <si>
    <t>AP21433</t>
  </si>
  <si>
    <t>SAMAR</t>
  </si>
  <si>
    <t>GHARAMI</t>
  </si>
  <si>
    <t>Sagar Samar Gharami</t>
  </si>
  <si>
    <t>SAGAR.GHARAMI1998@GMAIL.COM</t>
  </si>
  <si>
    <t>ap21433@ms.nicmar.ac.in</t>
  </si>
  <si>
    <t>ENGLISH, HINDI, BENGALI, MARATHI</t>
  </si>
  <si>
    <t>4253 1310 7347</t>
  </si>
  <si>
    <t>SAMAR SATYENDRA GHARAMI</t>
  </si>
  <si>
    <t>MALINA SAMAR GHARAMI</t>
  </si>
  <si>
    <t>QTR. NO. DRM 281, SHAKTINAGAR, DURGAPUR</t>
  </si>
  <si>
    <t>HARIPRIYA PG, NARENDRA NAGAR, HINJEWADI PHASE 1</t>
  </si>
  <si>
    <t>ST. MARY HIGH SCHOOL DURGAPUR</t>
  </si>
  <si>
    <t>G.H. RAISONI COLLEGE OF ENGINEERING NAGPUR</t>
  </si>
  <si>
    <t>PUBLIC WORKS DEPARTMENT | INTERN TRAINEE | CHANDRAPUR | Dec 2020 | Jun 2021 | 26 Weeks
LARSEN AND TOUBRO REALTY | SUMMER INTERN | POWAI, MUMBAI | Apr 2022 | Jul 2022 | 13 Weeks</t>
  </si>
  <si>
    <t>AP21434</t>
  </si>
  <si>
    <t>SRINIVASAN</t>
  </si>
  <si>
    <t>Srinivasan V</t>
  </si>
  <si>
    <t>V_SRINIVASAN@YAHOO.COM</t>
  </si>
  <si>
    <t>ap21434@ms.nicmar.ac.in</t>
  </si>
  <si>
    <t>12-Jul-1997</t>
  </si>
  <si>
    <t>6774 2151 3626</t>
  </si>
  <si>
    <t>VENKATASUBRAMANIAN G</t>
  </si>
  <si>
    <t>BADMAVATHI M</t>
  </si>
  <si>
    <t>1553, THAMARAI STREET, VALLUVAR NAGAR, BURMA COLONY</t>
  </si>
  <si>
    <t>SHRI VIDHYAA GIRI MATRICULATION HIGHER SECONDARY SCHOOL</t>
  </si>
  <si>
    <t>TAMILNADU STATE BOARD OF SECONDARY EDUCATION</t>
  </si>
  <si>
    <t>2011-Jun-06</t>
  </si>
  <si>
    <t>2014-Jun-13</t>
  </si>
  <si>
    <t>2014-Aug-04</t>
  </si>
  <si>
    <t>2018-Apr-30</t>
  </si>
  <si>
    <t>AutoCAD,MS Office,REVIT ARCHITECTURE</t>
  </si>
  <si>
    <t>MAHINDRA CONSULTING ENGINEERS LIMITED | PROJECT MANAGEMENT &amp; QUANTITY SURVEYOR | CHENNAI | Aug 2018 | Jun 2021 | 2 Years, 10 Months, 24 Days | 3.16
MAHINDRA CONSULTING ENGINEERS LIMITED | PROJECT MANAGEMENT &amp; QUANTITY SURVEYOR | CHENNAI | Aug 2018 | Jun 2021 | 2 Years, 10 Months, 24 Days | 3.16</t>
  </si>
  <si>
    <t>MAHINDRA CONSULTING ENGINEERS LIMITED | TRAINEE QUANTITY SURVEYOR | CHENNAI | Dec 2016 | Dec 2016 | 2 Weeks
JC VALUERS AND ADVISORS PRIVATE LIMITED | ASSET VALUATION | PUNE | Apr 2022 | Jun 2022 | 8 Weeks</t>
  </si>
  <si>
    <t>AP21435</t>
  </si>
  <si>
    <t>KAPOOR</t>
  </si>
  <si>
    <t>Chaitanya Kapoor</t>
  </si>
  <si>
    <t>chaitanya21kapoor@gmail.com</t>
  </si>
  <si>
    <t>ap21435@ms.nicmar.ac.in</t>
  </si>
  <si>
    <t>7218 4006 7550</t>
  </si>
  <si>
    <t>T MANISH KUMAR</t>
  </si>
  <si>
    <t>VINITA KAPOOR</t>
  </si>
  <si>
    <t>7-2-548, R.P ROAD, BURUGUCHETTY BAZAR, SECUNDERABAD</t>
  </si>
  <si>
    <t>Secunderabad</t>
  </si>
  <si>
    <t>ST. ANDREWS HIGH SCHOOL</t>
  </si>
  <si>
    <t>TELANGANA SECONDARY SCHOOL CERTIFICATE</t>
  </si>
  <si>
    <t>SUNTECK REALTY LIMITED | SITE EXECUTION | MUMBAI | May 2022 | Jun 2022 | 7 Weeks</t>
  </si>
  <si>
    <t>AP21436</t>
  </si>
  <si>
    <t>Shweta Prakash Sawant</t>
  </si>
  <si>
    <t>shwetasawant064@gmail.com</t>
  </si>
  <si>
    <t>ap21436@ms.nicmar.ac.in</t>
  </si>
  <si>
    <t>20-Apr-1998</t>
  </si>
  <si>
    <t>3204 5138 4917</t>
  </si>
  <si>
    <t>PRAKASH NAMDEV SAWANT</t>
  </si>
  <si>
    <t>POLICE ,GOVERNMENT EMPLOYEE</t>
  </si>
  <si>
    <t>VAISHALI PRAKASH SAWANT</t>
  </si>
  <si>
    <t>ROOM NO 495/69 PRAGATI SOCIETY MAHADA COLONY BEHIND TMC SCHOOL SHIVAI NAGAR THANE WEST</t>
  </si>
  <si>
    <t>ROOM NO 495/69 PRAGATI SOCIETY JYOTIRLING NIWAS BEHIND TMC SCHOOL SHIVAI NAGAR THANE WEST</t>
  </si>
  <si>
    <t>LITTLE FLOWER HIGH SCHOOL ,THANE</t>
  </si>
  <si>
    <t>NEW HORIZON INSTITUTE OF TECHNOLOGY AND MANAGEMENT THANE</t>
  </si>
  <si>
    <t>TATA PROJECTS LIMITED | INTERN | THANE | Dec 2020 | Jan 2021 | 4 Weeks
MUMBAI METROPOLITAN  REGION DEVELOPMENT AUTHORITY | INTERN | MUMBAI | Dec 2019 | Jan 2020 | 2 Weeks
INTENTO ASSOCIATES | INTERN-PLANNING | NAVI MUMBAI (WFH) | Apr 2022 | Jun 2022 | 9 Weeks</t>
  </si>
  <si>
    <t>AP21437</t>
  </si>
  <si>
    <t>KSHATRIYA</t>
  </si>
  <si>
    <t>Aishwarya Arvind Kshatriya</t>
  </si>
  <si>
    <t>aishkshatriya08@gmail.com</t>
  </si>
  <si>
    <t>ap21437@ms.nicmar.ac.in</t>
  </si>
  <si>
    <t>3559 6239 4114</t>
  </si>
  <si>
    <t>KSHATRIYA ARVIND RAMESH</t>
  </si>
  <si>
    <t>HOTEL BUSINESS</t>
  </si>
  <si>
    <t>KSHATRIYA JYOTSNA ARVIND</t>
  </si>
  <si>
    <t>KSHATRIYA HOUSE, NEAR MALPANI HOSPITAL</t>
  </si>
  <si>
    <t>KSHATRIYA HOUSE,NEAR MALPANI HOSPITAL</t>
  </si>
  <si>
    <t>DIGAMBER GANESH SARAF VIDYALAYA</t>
  </si>
  <si>
    <t>DR. DEVENDRA AMRUTALAL OHARA JUNIOR COLLEGE</t>
  </si>
  <si>
    <t>COLLEGE OF ENGINEERING SANGAMNER</t>
  </si>
  <si>
    <t>AutoCAD,MS Office,MS Project,Primavera,SKETCHUP, MIRO, EXCEL, PHOTOSHOP, AUTODESK REVIT.</t>
  </si>
  <si>
    <t>Vikram Gadakh Patil Contractor | Junior Engineer | Sangamner | Jun 2018 | May 2019 | 0 Years, 11 Months, 20 Days | 1.62
R. M. Katore Conts | Junior Engineer | Pune | Jul 2019 | Mar 2020 | 0 Years, 8 Months, 6 Days | 1.8
Architect Vishal Kshatriya and Associates | Junior Architect | Sangamner | Oct 2020 | Jul 2021 | 0 Years, 9 Months, 25 Days | 1.92
Vikram Gadakh Patil Contractor | Junior Engineer | Sangamner | Jun 2018 | May 2019 | 0 Years, 11 Months, 20 Days | 1.62
R. M. Katore Conts | Junior Engineer | Pune | Jul 2019 | Mar 2020 | 0 Years, 8 Months, 6 Days | 1.8
Architect Vishal Kshatriya and Associates | Junior Architect | Sangamner | Oct 2020 | Jul 2021 | 0 Years, 9 Months, 25 Days | 1.92</t>
  </si>
  <si>
    <t>GREEN ECOMES SOLUTIONS PVT LTD | BIM AND PROJECT MANAGEMENT | WORK FROM HOME (PUNE) | May 2022 | Jul 2022 | 8 Weeks</t>
  </si>
  <si>
    <t>AP21438</t>
  </si>
  <si>
    <t>HARIPRASAD</t>
  </si>
  <si>
    <t>D G</t>
  </si>
  <si>
    <t>Hariprasad D G</t>
  </si>
  <si>
    <t>AR.HARIHP@GMAIL.COM</t>
  </si>
  <si>
    <t>ap21438@ms.nicmar.ac.in</t>
  </si>
  <si>
    <t>3987 8597 0994</t>
  </si>
  <si>
    <t>GOPINATHAN D</t>
  </si>
  <si>
    <t>GOVERMENT SUPPLIER</t>
  </si>
  <si>
    <t>HEMALATHA G</t>
  </si>
  <si>
    <t>44/43, AGRAHARAM STREET (NEAR ADIKESAVA PERUMAL KOVIL), CHINTADRIPET, ANNA SALAI</t>
  </si>
  <si>
    <t>DON BOSCO MATRICULATION HIGHER SECONDARY SCHOOL</t>
  </si>
  <si>
    <t>2014-May-23</t>
  </si>
  <si>
    <t>2016-May-17</t>
  </si>
  <si>
    <t>MOHAMED SATHAK A.J. ACADEMY OF ARCHITECTURE</t>
  </si>
  <si>
    <t>2021-Sep-01</t>
  </si>
  <si>
    <t>AutoCAD,MS Office,3DS MAX, SKETCHUP, V-RAY, ADOBE PHOTOSHOP, ADOBE INDESIGN, LUMION</t>
  </si>
  <si>
    <t>INVENT ARCHITECTS | ARCHITECTURE DESIGN AND 3D VISUALIZATION | CHENNAI | Nov 2019 | Apr 2020 | 22 Weeks
OSCAR AND PONNI ARCHITECTS | ARCHITECTURE DESIGN DEPARTMENT | CHENNAI | May 2019 | Oct 2019 | 22 Weeks
ENGINEERING PROJECT MANAGEMENT CONSULTANCY AND RESEARCH PVT LTD | PLANNING, SCHEDULING AND PROJECT MANAGEMENT | CHENNAI | May 2022 | Jun 2022 | 7 Weeks</t>
  </si>
  <si>
    <t>AP21439</t>
  </si>
  <si>
    <t>TUPONE</t>
  </si>
  <si>
    <t>Mayank Subhash Tupone</t>
  </si>
  <si>
    <t>mayanktupone1998@gmail.com</t>
  </si>
  <si>
    <t>ap21439@ms.nicmar.ac.in</t>
  </si>
  <si>
    <t>3643 3170 0188</t>
  </si>
  <si>
    <t>SUBHASH SHRIRAM TUPONE</t>
  </si>
  <si>
    <t>CHAAYA SUBHASH TUPONE</t>
  </si>
  <si>
    <t>H.NO.70,DAGA-LAY-OUT,NEAR NIT GARDEN</t>
  </si>
  <si>
    <t>70,DAGA-LAY-OUT,NORTH AMBAZARI ROAD</t>
  </si>
  <si>
    <t>SARASWATI VIDYALAYA</t>
  </si>
  <si>
    <t>NUTAN BHARAT JR.COLLEGE</t>
  </si>
  <si>
    <t>RAJIV GANDHI COLLEGE OF ENGINEERING AND RESEARCH</t>
  </si>
  <si>
    <t>ESTHETE DESIGNERS AND BUILDERS PVT LTD | PROJECT MANAGEMENT INTERN  | BENGALURU, KARNATAKA | Apr 2022 | Jun 2022 | 7 Weeks
P T MASE AND ASSOCIATES NAGPUR | SITE EXECUTION - INTERN | NAGPUR | Dec 2020 | Mar 2021 | 12 Weeks</t>
  </si>
  <si>
    <t>AP21440</t>
  </si>
  <si>
    <t>MATHESH</t>
  </si>
  <si>
    <t>SANKAR</t>
  </si>
  <si>
    <t>Mathesh Sankar</t>
  </si>
  <si>
    <t>matheshdevi8@gmail.com</t>
  </si>
  <si>
    <t>ap21440@ms.nicmar.ac.in</t>
  </si>
  <si>
    <t>2414 2904 9552</t>
  </si>
  <si>
    <t>RAJA SANKAR KALIRAJAN</t>
  </si>
  <si>
    <t>MATHINA DEVI</t>
  </si>
  <si>
    <t>104, SARATHAMBAL NAGAR, SANKARNAGAR</t>
  </si>
  <si>
    <t>D\304, NAV DURGA HOUSING SOCIETY, SECTOR 19A, NERUL</t>
  </si>
  <si>
    <t>HILTON MATRICULATION HR SEC SCHOOL OLD COURTALLAM</t>
  </si>
  <si>
    <t>HILTON MATRIC HR SEC SCHOOL</t>
  </si>
  <si>
    <t>SATHYAM DEVELOPERS PRIVATE LIMITED | SITE EXECUTION TRAINEE | NAVI MUMBAI | Jan 2021 | Mar 2021 | 11 Weeks</t>
  </si>
  <si>
    <t>AP21441</t>
  </si>
  <si>
    <t>Veeresh T M</t>
  </si>
  <si>
    <t>veereshtelig@gmail.com</t>
  </si>
  <si>
    <t>ap21441@ms.nicmar.ac.in</t>
  </si>
  <si>
    <t>10-Nov-1998</t>
  </si>
  <si>
    <t>5239 4468 6913</t>
  </si>
  <si>
    <t>MALLIKARJUNAPPA TV</t>
  </si>
  <si>
    <t>H.1167/2 KUMBAR PETE</t>
  </si>
  <si>
    <t>MAGANUR BASAPPA ENG MED HIGI SCHOOL</t>
  </si>
  <si>
    <t>DREAM ENGINEERING SOLUTIONS KARNATAKA | SITE  ENGINEER | DAVANAGERE | Mar 2021 | Mar 2021 | 1 Weeks
READDY STRUCTURE PRIVATE LIMITED | SITE EXECUTION | BANGALORE | Apr 2022 | Jun 2022 | 7 Weeks</t>
  </si>
  <si>
    <t>AP21442</t>
  </si>
  <si>
    <t>GUDI</t>
  </si>
  <si>
    <t>Jatin Sai Gudi</t>
  </si>
  <si>
    <t>JATINSTROM@GMAIL.COM</t>
  </si>
  <si>
    <t>ap21442@ms.nicmar.ac.in</t>
  </si>
  <si>
    <t>6790 6524 0885</t>
  </si>
  <si>
    <t>GUDI UMASANKAR</t>
  </si>
  <si>
    <t>GUDI JAHNAVI</t>
  </si>
  <si>
    <t>DNO:18-3-14A, SHANTI NAGAR, KHADI COLONY, TIRUPATI</t>
  </si>
  <si>
    <t>SRI CHAITANYA CO-EDUCATIONAL JUNIOR COLLEGE</t>
  </si>
  <si>
    <t>ANNA UNIVERSITY CHENNAI</t>
  </si>
  <si>
    <t>CHENNAI ACADEMY OF ARCHITECTURE AND DESIGN</t>
  </si>
  <si>
    <t>AutoCAD,MS Office,MS Project,SKETCH UP, REVIT, RHINO, PHOTOSHOP, ILLUSTRATOR</t>
  </si>
  <si>
    <t>BHARGHAV ASSOCIATES | JUNIOR ARCHITECT | HYDERABAD | Dec 2019 | Mar 2020 | 15 Weeks
C R NARAYANA RAO ARCHITECTS AND ENGINEERS | JUNIOR ARCHITECT | CHENNAI | May 2019 | Sep 2019 | 17 Weeks
SAMRUDDHI | ARCHITECT  | BANGALORE | Apr 2022 | Jul 2022 | 10 Weeks</t>
  </si>
  <si>
    <t>AP21443</t>
  </si>
  <si>
    <t>ADHIL</t>
  </si>
  <si>
    <t>Adhil K</t>
  </si>
  <si>
    <t>adhilkainikkara@gmail.com</t>
  </si>
  <si>
    <t>ap21443@ms.nicmar.ac.in</t>
  </si>
  <si>
    <t>ENGLISH, HINDI, MALAYALAM, ARABIC.</t>
  </si>
  <si>
    <t>6306 5824 0206</t>
  </si>
  <si>
    <t>NOWHSAD ALI K</t>
  </si>
  <si>
    <t>HAFSATH K M</t>
  </si>
  <si>
    <t>KAINIKKARA HOUSE, CHEMBRA ROAD, NEAR BUS STAND, TIRUR, MALAPPURAM (Dt.), KERALA</t>
  </si>
  <si>
    <t>Tirur</t>
  </si>
  <si>
    <t>KAINIKKARA HOUSE, CHEMBRA ROAD, NEAR BUS STAND, TIRUR, MALAPPURAM (DT.), KERALA</t>
  </si>
  <si>
    <t>MUSLIM EDUCATIONAL SOCIETY CENTRAL SCHOOL</t>
  </si>
  <si>
    <t>POOZHIKKAL KUNHIMOHAMMED HAJI MEMORIAL HIGHER SECONDARY SCHOOL</t>
  </si>
  <si>
    <t>GOVERNMENT ENGINEERING COLLEGE THRISSUR</t>
  </si>
  <si>
    <t>AutoCAD,MS Office,MS Project,Primavera,STAAD PRO, C++</t>
  </si>
  <si>
    <t>FORMZ BUILDERS PRIVATE LIMITED | SITE EXECUTION | TIRUR | Dec 2019 | Dec 2019 | 0 Weeks
BECHTEL INDIA PRIVATE LIMITED | CONSTRUCTION FUNCTION | GURUGRAM | Jun 2022 | Jul 2022 | 7 Weeks</t>
  </si>
  <si>
    <t>AP21444</t>
  </si>
  <si>
    <t>DAMA</t>
  </si>
  <si>
    <t>DAYASAGAR</t>
  </si>
  <si>
    <t>Dama Utkarsh Dayasagar</t>
  </si>
  <si>
    <t>utkarsh.dama@gmail.com</t>
  </si>
  <si>
    <t>ap21444@ms.nicmar.ac.in</t>
  </si>
  <si>
    <t>12-May-1996</t>
  </si>
  <si>
    <t>6801 1454 0556</t>
  </si>
  <si>
    <t>DAYASAGAR DAMA</t>
  </si>
  <si>
    <t>NEETA DAYASAGAR DAMA</t>
  </si>
  <si>
    <t>A-904, ETERNIA SOCIETY, B T KAWADE ROAD, GHORPADI, PUNE 411013</t>
  </si>
  <si>
    <t>ANGLO URDU HIGH SCHOOL</t>
  </si>
  <si>
    <t>SHIV NAGAR VIDYA PRASARAK MANDALS INSTITUTE OF TECHNOLOGY</t>
  </si>
  <si>
    <t>MIT ART DESIGN AND TECHNICAL UNIVERSITY</t>
  </si>
  <si>
    <t>MIT SCHOOL OF ENGINEERING</t>
  </si>
  <si>
    <t>LARSEN AND TOUBRO HEAVY CIVIL INFRASTRUCTURE | PLANNING ENGINEER TRAINEE | VAPI | Apr 2022 | Jul 2022 | 11 Weeks | Campus Internship
WATERFRONT CONSTRUCTION PVT LTD | SITE ENGINEER | RAIGAD | Jan 2020 | Mar 2020 | 9 Weeks
GAMMON INDIA PVT LTD | SITE ENGINEER | GOA | Dec 2019 | Dec 2019 | 2 Weeks</t>
  </si>
  <si>
    <t>AP21445</t>
  </si>
  <si>
    <t>Aiswarya J S</t>
  </si>
  <si>
    <t>AISWU1998@GMAIL.COM</t>
  </si>
  <si>
    <t>ap21445@ms.nicmar.ac.in</t>
  </si>
  <si>
    <t>9768 9352 1667</t>
  </si>
  <si>
    <t>SREEJAYAN V</t>
  </si>
  <si>
    <t>HEALTH INSPECTOR</t>
  </si>
  <si>
    <t>JALAJA C S</t>
  </si>
  <si>
    <t>CHIEF MANAGER, SBI</t>
  </si>
  <si>
    <t>FLAT NO. B6, MEERA APARTMENTS,PARAMARA ROAD</t>
  </si>
  <si>
    <t>FLAT NO.B6, MEERA APARTMENTS, PARAMARA ROAD</t>
  </si>
  <si>
    <t>WEST CONSTRUCT | SITE VISITING AS INTERN  | ERNAKULAM | Jun 2017 | Jun 2017 | 0 Weeks
SINGHANIA BUILCON PRIVATE LIMITED | CONSTRUCTION MANAGEMENT TRAINEE  | RAIPUR | May 2022 | Jul 2022 | 8 Weeks</t>
  </si>
  <si>
    <t>AP21446</t>
  </si>
  <si>
    <t>ANGOTH</t>
  </si>
  <si>
    <t>JAGAN</t>
  </si>
  <si>
    <t>Angoth Jagan</t>
  </si>
  <si>
    <t>angothjagan@gmail.com</t>
  </si>
  <si>
    <t>ap21446@ms.nicmar.ac.in</t>
  </si>
  <si>
    <t>2026 4914 9816</t>
  </si>
  <si>
    <t>ANGOTH SWAMY</t>
  </si>
  <si>
    <t>ANGOTH NEERAJA</t>
  </si>
  <si>
    <t>P.NO:51,SHANTHINAGAR,VANSTHALIPURAM,HYDERABAD</t>
  </si>
  <si>
    <t>P.NO:51,SHANTHI NAGAR,VANSTHALIPURAM,HYDERABAD</t>
  </si>
  <si>
    <t>ANDHRAPRADESH STATE BOARD OF SECONDARY EDUCATION</t>
  </si>
  <si>
    <t>BRILLIANT JUNIOR COLLEGE</t>
  </si>
  <si>
    <t>TELANGANA BOARD OF INTERMEDIATE EDUCATION</t>
  </si>
  <si>
    <t>CVR COLLEGE OF ENGINEERING</t>
  </si>
  <si>
    <t>MY HOME INFRASTRUCTURE PRIVATE LIMITED | PROJECT MANAGEMENT,SAFETY MANAGEMENT | HYDERABAD | May 2022 | Jul 2022 | 8 Weeks</t>
  </si>
  <si>
    <t>AP21447</t>
  </si>
  <si>
    <t>UMANG</t>
  </si>
  <si>
    <t>Umang Mathur</t>
  </si>
  <si>
    <t>umangmathur38@gmail.com</t>
  </si>
  <si>
    <t>ap21447@ms.nicmar.ac.in</t>
  </si>
  <si>
    <t>28-May-1995</t>
  </si>
  <si>
    <t>9440 9299 3946</t>
  </si>
  <si>
    <t>MANOJ MATHUR</t>
  </si>
  <si>
    <t>ANJU MATHUR</t>
  </si>
  <si>
    <t>17E-372 CHOPASANI HOUSING BOARD, JODHPUR ,RAJASTHAN (342008)</t>
  </si>
  <si>
    <t>BIKANER BOYS SCHOOL</t>
  </si>
  <si>
    <t>CBSE/BIKANER</t>
  </si>
  <si>
    <t>SHIKSHA HIGH SCHOOL</t>
  </si>
  <si>
    <t>JODHPUR INSTITUTE OF ENGINEERING AND TECHNOLOGY/RAJASTHAN</t>
  </si>
  <si>
    <t>MATHUR CONSTRUCTION AND CONSULTANCY | PROJECT ENGINEER | JODHPUR | May 2022 | Jul 2022 | 11 Weeks</t>
  </si>
  <si>
    <t>AP21448</t>
  </si>
  <si>
    <t>NANDANKAR</t>
  </si>
  <si>
    <t>BHASHITA</t>
  </si>
  <si>
    <t>PARASHARAM</t>
  </si>
  <si>
    <t>Nandankar Bhashita Parasharam</t>
  </si>
  <si>
    <t>BHASHITA3098@GMAIL.COM</t>
  </si>
  <si>
    <t>ap21448@ms.nicmar.ac.in</t>
  </si>
  <si>
    <t>ENGLISH, HINDI, MARATHI, HALBI</t>
  </si>
  <si>
    <t>6859 4947 7428</t>
  </si>
  <si>
    <t>PARASHARAM KISHANJI NANDANKAR</t>
  </si>
  <si>
    <t>PRABHA PARASHARAM NANDANKAR</t>
  </si>
  <si>
    <t>156-C, H.B- ESTATE, SONEGAON</t>
  </si>
  <si>
    <t>156-C, H.B. ESTATE, SONEGAON</t>
  </si>
  <si>
    <t>SUNTECK REALTY LIMITED | INTERN - COST ESTIMATION DEPARTMENT | MUMBAI | May 2022 | Jun 2022 | 7 Weeks</t>
  </si>
  <si>
    <t>AP21449</t>
  </si>
  <si>
    <t>DILESH</t>
  </si>
  <si>
    <t>RAMAIYA</t>
  </si>
  <si>
    <t>Vivek Dilesh Ramaiya</t>
  </si>
  <si>
    <t>VIVEKRAMAIYA@GMAIL.COM</t>
  </si>
  <si>
    <t>ap21449@ms.nicmar.ac.in</t>
  </si>
  <si>
    <t>31-Mar-1998</t>
  </si>
  <si>
    <t>ENGLISH, HINDI, GUJARATI, KUTCHI, KANNADA, MARATHI</t>
  </si>
  <si>
    <t>4562 6023 8631</t>
  </si>
  <si>
    <t>DILESH AJITSINH RAMAIYA</t>
  </si>
  <si>
    <t>KAJAL DILESH RAMAIYA</t>
  </si>
  <si>
    <t>TECHCHI CHAKLA, MUNDRA, KUTCH, GUJARAT, 370421</t>
  </si>
  <si>
    <t>Mundra</t>
  </si>
  <si>
    <t>TECHCHI CHAKLA, MUNDRA, KUTCH, GUJARAT 370421</t>
  </si>
  <si>
    <t>BMS COLLEGE OF ENGINEERING</t>
  </si>
  <si>
    <t>Yahya Engineering | Environmental Consultancy | Muscat, Oman | Sep 2020 | Aug 2021 | 0 Years, 11 Months, 15 Days | 5.7
Shashank Mehendale and Associates | Project Management Consultancy | Mumbai | Jun 2019 | Mar 2020 | 0 Years, 9 Months, 14 Days | 3
Yahya Engineering | Environmental Consultancy | Muscat, Oman | Sep 2020 | Aug 2021 | 0 Years, 11 Months, 15 Days | 5.7
Shashank Mehendale and Associates | Project Management Consultancy | Mumbai | Jun 2019 | Mar 2020 | 0 Years, 9 Months, 14 Days | 3</t>
  </si>
  <si>
    <t>UNIQUE CONTRACTING CO LLC | SITE EXECUTION, BIM COORDINATION, TENDERING AND ESTIMATION | MUSCAT, OMAN | Jun 2018 | Jul 2018 | 6 Weeks
MORGAN STANLEY | PROPERTY MANAGEMENT  | MUMBAI | May 2022 | Aug 2022 | 14 Weeks</t>
  </si>
  <si>
    <t>AP21450</t>
  </si>
  <si>
    <t>Aditya Chandrashekhar Amane</t>
  </si>
  <si>
    <t>adityaamane32@gmail.com</t>
  </si>
  <si>
    <t>ap21450@ms.nicmar.ac.in</t>
  </si>
  <si>
    <t>06-Jun-1998</t>
  </si>
  <si>
    <t>9239 1853 9266</t>
  </si>
  <si>
    <t>CHANDRASHEKHAR VIJAYSINGH AMANE</t>
  </si>
  <si>
    <t>NIRMALA CHANDRASHEKHAR AMANE</t>
  </si>
  <si>
    <t>10/949 OMKAR BUILDING, RAJ RAJESHWARI NAGAR</t>
  </si>
  <si>
    <t>Ichalkaranji</t>
  </si>
  <si>
    <t>ALPHONSA SCHOOL</t>
  </si>
  <si>
    <t>ALPHONSA SCHOOL AND JUNIOR COLLEGE</t>
  </si>
  <si>
    <t>KOLHAPUR INSTITUTE OF TECHNOLOGY COLLEGE OF ENGINEERING KOLHAPUR</t>
  </si>
  <si>
    <t>BEDEKAR DEVELOPERS | TRAINEE ENGINEER | KOLHAPUR | Dec 2020 | Feb 2021 | 8 Weeks
MAHIM ARCHITECT | VALUATION, TENDERING, BUSINESS DEVELOPMENT EXECUTIVE  | SURAT, GUJARAT  | Apr 2022 | Jun 2022 | 8 Weeks</t>
  </si>
  <si>
    <t>AP21451</t>
  </si>
  <si>
    <t>Sumit Ramchandra Jamdade</t>
  </si>
  <si>
    <t>jamdadesumit4999@gmail.com</t>
  </si>
  <si>
    <t>ap21451@ms.nicmar.ac.in</t>
  </si>
  <si>
    <t>02-Jun-1996</t>
  </si>
  <si>
    <t>MARATHI HINDI ENGLISH</t>
  </si>
  <si>
    <t>5064 4758 5575</t>
  </si>
  <si>
    <t>JAMDADE RAMCHANDRA BHIMRAV</t>
  </si>
  <si>
    <t>VANDANA RAMCHANDRA JAMDADE</t>
  </si>
  <si>
    <t>MANISHA BUNGLOW PLOT NO 22, MADHAVNAGAR ASTA BYPASS ROAD NEAR BALAJI AUTO KALANAGAR SANGLI</t>
  </si>
  <si>
    <t>CITY HIGHSCHOOL</t>
  </si>
  <si>
    <t>WILLINGDON COLLEGE SANGLI</t>
  </si>
  <si>
    <t>PADMABHOOSHAN VASANTRAODADA PATIL INSTITUTE OF TECHNOLOGY BUDGAON, SANGLI</t>
  </si>
  <si>
    <t>0001-01-01</t>
  </si>
  <si>
    <t>nk patil ltd | site engineer | sangli | Oct 2017 | Mar 2020 | 2 Years, 5 Months, 29 Days | 1.5
nk patil ltd | site engineer | sangli | Oct 2017 | Mar 2020 | 2 Years, 5 Months, 29 Days | 1.5</t>
  </si>
  <si>
    <t>MAHARASTRA METRO RAIL CORPORATION | JUNIOR ENGINEER, PLANNING, QUALITY CONTROL, DOCUMENTATION, SITE EXECUTION | PUNE  | May 2022 | Aug 2022 | 12 Weeks</t>
  </si>
  <si>
    <t>AP21452</t>
  </si>
  <si>
    <t>MEGHANA</t>
  </si>
  <si>
    <t>KADIYALA</t>
  </si>
  <si>
    <t>Meghana Kadiyala</t>
  </si>
  <si>
    <t>meghanakadiyala06@gmail.com</t>
  </si>
  <si>
    <t>ap21452@ms.nicmar.ac.in</t>
  </si>
  <si>
    <t>2618 5223 9675</t>
  </si>
  <si>
    <t>RADHA KRISHNA KADIYALA</t>
  </si>
  <si>
    <t>ANANTHA LAKSHMI KADIYALA</t>
  </si>
  <si>
    <t>5-3-211/1 SHANTHI NAGAR, NEAR RAMALAYAM, KUKATPALLY, HYDERABAD</t>
  </si>
  <si>
    <t>PLOT NO.985, ROAD NO.50, JUBILEE HILLS, HYDERABAD</t>
  </si>
  <si>
    <t>LARSEN AND TOUBRO CONSTRUCTION | PLANNING | HYDERABAD | Dec 2020 | Apr 2021 | 17 Weeks
LARSEN AND TOUBRO REALTY | EXECUTION  | MUMBAI  | Apr 2022 | Jul 2022 | 13 Weeks</t>
  </si>
  <si>
    <t>AP21453</t>
  </si>
  <si>
    <t>Parth Choudhary</t>
  </si>
  <si>
    <t>parth16choudhary@gmail.com</t>
  </si>
  <si>
    <t>ap21453@ms.nicmar.ac.in</t>
  </si>
  <si>
    <t>16-Jul-2000</t>
  </si>
  <si>
    <t>4286 2740 5031</t>
  </si>
  <si>
    <t>DR AMIT SINGH</t>
  </si>
  <si>
    <t>DR REKHA CHOUDHARY</t>
  </si>
  <si>
    <t>J-005 MAHIMA PANORAMA JAGATPURA</t>
  </si>
  <si>
    <t>SAINT PETERS SENIOR SECONDARY SCHOOL BHARATPUR RAJASTHAN</t>
  </si>
  <si>
    <t>SRI RAM NIWAS INTERNATIONAL SCHOOL</t>
  </si>
  <si>
    <t>SWAMI KESHVANAND INSTITUTE OF TECHNOLOGY MANAGEMENT AND GRAMOTHAN JAIPUR</t>
  </si>
  <si>
    <t>AMARANTTOSS INFRATECH PRIVATE LIMITED | JOB SHADOW | DELHI | Jun 2019 | Jul 2019 | 4 Weeks
METBUILD INFRA | BUSINESS ANALYST  | AHMEDABAD  | Apr 2022 | Jul 2022 | 11 Weeks</t>
  </si>
  <si>
    <t>AP21454</t>
  </si>
  <si>
    <t>Anirudha Mohan Mohite</t>
  </si>
  <si>
    <t>anirudhmohite22@gmail.com</t>
  </si>
  <si>
    <t>ap21454@ms.nicmar.ac.in</t>
  </si>
  <si>
    <t>22-May-1999</t>
  </si>
  <si>
    <t>7323 1453 4770</t>
  </si>
  <si>
    <t>MOHAN RAMCHANDRA MOHITE</t>
  </si>
  <si>
    <t>MANDA MOHAN MOHITE</t>
  </si>
  <si>
    <t>155/4 NEAR PAYTHA GANESH MANDIR AUNDH PUNE 411007</t>
  </si>
  <si>
    <t>NA155/4 NEAR PAYTHA GANESH MANDIR AUNDH PUNE 411007</t>
  </si>
  <si>
    <t>SHRI SHIVAJI VIDYA MANDIR AUNDH PUNE</t>
  </si>
  <si>
    <t>ALL INDIA SHRI SHIVAJI MEMORIAL SOCIETY POLYTECHNIC</t>
  </si>
  <si>
    <t>BHARTI VIDYAPEETH COLLEGE OF ENGINEERING LAVALE</t>
  </si>
  <si>
    <t>MADHURE INFRA | SITE EXECUTION AND QA-QC | PUNE | Apr 2022 | Jul 2022 | 12 Weeks</t>
  </si>
  <si>
    <t>AP21455</t>
  </si>
  <si>
    <t>RONGHE</t>
  </si>
  <si>
    <t>Ronghe Prasad Suresh</t>
  </si>
  <si>
    <t>PRASADRONGHE1@GMAIL.COM</t>
  </si>
  <si>
    <t>ap21455@ms.nicmar.ac.in</t>
  </si>
  <si>
    <t>13-Nov-1996</t>
  </si>
  <si>
    <t>3901 6428 5524</t>
  </si>
  <si>
    <t>SURESH YADORAO RONGHE</t>
  </si>
  <si>
    <t>SHARDA SURESH RONGHE</t>
  </si>
  <si>
    <t>FLAT NO.-402, AARNA-4, NARHARI NAGAR, MANEWADA ROAD</t>
  </si>
  <si>
    <t>MAHARASHTRA STATE BOARD OF SECONDARY AND HIGHER SECONDARY EDUCATIONS</t>
  </si>
  <si>
    <t>PRIYADARSHNI INDIRA GANDHI COLLEGE OF ENGINEERING, NAGPUR</t>
  </si>
  <si>
    <t>AutoCAD,MS Office,MS Project,ETAB, HEC-RAS, ARC-GIS</t>
  </si>
  <si>
    <t>IMAGIS ENGINEERING SOLUTION PVT LTD | STUDENT TRAINEE | NAGPUR  | May 2018 | Jun 2018 | 4 Weeks
MADHURE INFRA ENGINEERING PVT LTD | QUANTITY AND BILLING | PUNE | Apr 2022 | Jul 2022 | 12 Weeks
MAHARASHTRA STATE ROAD DEVELOPMENT CORPORATIONS | STUDENT TRAINEE | NAGPUR | May 2017 | Jun 2017 | 1 Weeks</t>
  </si>
  <si>
    <t>AP21456</t>
  </si>
  <si>
    <t>SAI BINDU</t>
  </si>
  <si>
    <t>YARLAGADDA</t>
  </si>
  <si>
    <t>Sai Bindu Yarlagadda</t>
  </si>
  <si>
    <t>SAIBINDUSRINIVAS@GMAIL.COM</t>
  </si>
  <si>
    <t>ap21456@ms.nicmar.ac.in</t>
  </si>
  <si>
    <t>13-Oct-1999</t>
  </si>
  <si>
    <t>7097 0387 0389</t>
  </si>
  <si>
    <t>YARLAGADDA SRINIVASA RAO</t>
  </si>
  <si>
    <t>MUMMANENI VIJAYA KUMARI</t>
  </si>
  <si>
    <t>15-118, JUVVALAPALEM, NEAR BOSE HOTEL</t>
  </si>
  <si>
    <t>GOWTHAM HIGH SCOOL</t>
  </si>
  <si>
    <t>ANDHRA  PRADESH STATE BOARD OF SECONDARY EDUCATION</t>
  </si>
  <si>
    <t>SRI CHAITANYA JUNIOR MAHILA KALASALA</t>
  </si>
  <si>
    <t>AutoCAD,MS Office,MS Project,Primavera,STAAD PRO , MS EXCEL</t>
  </si>
  <si>
    <t>SUNTECK REALTY LTD | BILLING DEPARTMENT  | MUMBAI | May 2022 | Jun 2022 | 7 Weeks</t>
  </si>
  <si>
    <t>AP21457</t>
  </si>
  <si>
    <t>VIDYASAGAR</t>
  </si>
  <si>
    <t>N T</t>
  </si>
  <si>
    <t>Vidyasagar N T</t>
  </si>
  <si>
    <t>SAGARSAGU384@GMAIL.COM</t>
  </si>
  <si>
    <t>ap21457@ms.nicmar.ac.in</t>
  </si>
  <si>
    <t>09-Oct-1999</t>
  </si>
  <si>
    <t>KANNADA, ENGLISH, HINDI, TELUGU</t>
  </si>
  <si>
    <t>4101 0553 8661</t>
  </si>
  <si>
    <t>THIPPESH M J</t>
  </si>
  <si>
    <t>SUJATHA P S</t>
  </si>
  <si>
    <t>YATHIRAJA NILAYA, NEAR SYNDICATE BANK, BEHIND RSSN SCHOOL, HADAGALI ROAD, HARAPANAHALLI 583131</t>
  </si>
  <si>
    <t>Harpanahalli</t>
  </si>
  <si>
    <t>VEERASHAIWA VIDHYAVARDHAKA SANGHA HIGH SCHOOL</t>
  </si>
  <si>
    <t>KARNATAKA STATE EDUCATION EXAMINATION BOARD</t>
  </si>
  <si>
    <t>GOVERNMENT POLYTECHNIC HARAPANAHALLI</t>
  </si>
  <si>
    <t>RV COLLEGE OF ENGINEERING</t>
  </si>
  <si>
    <t>FORUM OF PRACTISING ARCHITECTS AND CONSULTING CIVIL ENGINEERS | PLANNING AND CO-ORDINATING WORK WITH REQUIRED MODIFICATIONS, STANDARD ENGINEERING TECHNIQUES AND MEASURMENTS, ANALYZING AND UDERSTANDING SURVEY REPORTS, MAPS, AND BUILDING PLANS AND EXECUTING AND FOLL | DAVANAGERE | Jul 2019 | Aug 2019 | 4 Weeks
CONVENIENT CONSTRUCTION CONSULTANCY PRIVATE LIMITED | CO-ORDINATING WORK WITH REQUIRED MODIFICATIONS, STANDARD ENGINEERING TECHNIQUES, MEASURMENTS AND LABOUR PRODUCTIVITY, ANALYZING AND UDERSTANDING SURVEY REPORTS, MAPS, AND BUILDING PLANS AND EXECUTING, | BENGALURU | Apr 2022 | Jul 2022 | 12 Weeks</t>
  </si>
  <si>
    <t>AP21459</t>
  </si>
  <si>
    <t>MAHAVIR</t>
  </si>
  <si>
    <t>RAKA</t>
  </si>
  <si>
    <t>Saurabh Mahavir Raka</t>
  </si>
  <si>
    <t>saurabhraka7@gmail.com</t>
  </si>
  <si>
    <t>ap21459@ms.nicmar.ac.in</t>
  </si>
  <si>
    <t>ENGLISH, HINDI, MARATHI, MARWARI</t>
  </si>
  <si>
    <t>5713 3996 1978</t>
  </si>
  <si>
    <t>MAHAVIR KACHRULAL RAKA</t>
  </si>
  <si>
    <t>PRITI RAKA</t>
  </si>
  <si>
    <t>JIVRAJ BHAVAN , JAIN TRADING COMPANY, NEW MONDHA</t>
  </si>
  <si>
    <t>QUEEN'S SCHOOL</t>
  </si>
  <si>
    <t>DNYANOPASAK SHIKSHAN MANDALS COLLEGE OF ARTS COMMERCE AND SCIENCE</t>
  </si>
  <si>
    <t>Raviraj realty | Site Execution | Pune | Sep 2020 | Sep 2021 | 1 Years, 0 Months, 29 Days | 1.43
Raviraj realty | Site Execution | Pune | Sep 2020 | Sep 2021 | 1 Years, 0 Months, 29 Days | 1.43</t>
  </si>
  <si>
    <t>ACORP CONSULTANTS PRIVATE LIMITED | PROJECT AND CONSTRUCTION MANAGEMENT, PROJECT PLANNING, ESTIMATION AND COSTING, PROCUREMENT, SITE EXECUTION | BENGALURU | Apr 2022 | Jun 2022 | 9 Weeks</t>
  </si>
  <si>
    <t>AP21460</t>
  </si>
  <si>
    <t>FAYAS</t>
  </si>
  <si>
    <t>Fayas R</t>
  </si>
  <si>
    <t>FAYAS.VJ786@GMAIL.COM</t>
  </si>
  <si>
    <t>ap21460@ms.nicmar.ac.in</t>
  </si>
  <si>
    <t>29-Jan-1999</t>
  </si>
  <si>
    <t>ENGLISH,HINDI, URDU AND TAMIL</t>
  </si>
  <si>
    <t>8247 4998 4651</t>
  </si>
  <si>
    <t>I RIYASBASHA</t>
  </si>
  <si>
    <t>R SHABANA</t>
  </si>
  <si>
    <t>16A CAR STREET, SANKARI TK, SALEM DT</t>
  </si>
  <si>
    <t>5/1335-2, NEHRU STREET,KAMARAJ NAGAR,SALEM</t>
  </si>
  <si>
    <t>SPK MATRICULATION HIGHER SECONDARY SCHOOL</t>
  </si>
  <si>
    <t>2015-May-21</t>
  </si>
  <si>
    <t>2016-Jun-04</t>
  </si>
  <si>
    <t>2017-May-12</t>
  </si>
  <si>
    <t>SONA COLLEGE OF TEHNOLOGY ,TAMILNADU</t>
  </si>
  <si>
    <t>2017-Aug-06</t>
  </si>
  <si>
    <t>2021-May-10</t>
  </si>
  <si>
    <t>PRAYOJANA CONSTRUCTION MANAGEMENT TRAINING INSTITUTE | SITE ENGINEER AND SUPERVISION OF CONSTRUCTION WORK | CHENNAI, TAMILNADU | Jun 2019 | Jun 2019 | 2 Weeks
SINGHANIA BUILDCON PRIVATE LIMITED | ENGINEERING TRAINEE | RAIPUR, CHHATTISGARH | May 2022 | Jul 2022 | 8 Weeks</t>
  </si>
  <si>
    <t>AP21461</t>
  </si>
  <si>
    <t>Aniket Achyut Bhat</t>
  </si>
  <si>
    <t>aniketabhat@gmail.com</t>
  </si>
  <si>
    <t>ap21461@ms.nicmar.ac.in</t>
  </si>
  <si>
    <t>11-Aug-1995</t>
  </si>
  <si>
    <t>7405 6944 8686</t>
  </si>
  <si>
    <t>ACHYUT RAJARAM BHAT</t>
  </si>
  <si>
    <t>ASMITA ACHYUT BHAT</t>
  </si>
  <si>
    <t>A20 Samarth Nagar, Shingnapur Road</t>
  </si>
  <si>
    <t>A20 SAMARTH NAGAR, SHINGNAPUR ROAD</t>
  </si>
  <si>
    <t>NEW COLLEGE</t>
  </si>
  <si>
    <t>SHRIGANESH DEVELOPERS | SITE SUPERVISOR  | KOLHAPUR  | Nov 2017 | Dec 2017 | 4 Weeks
NHAI | QUALITY CONTROL, LAUNCHING OF CONCRETE GIRDERS, MATERIAL TESTING  | NH166, SANGLI TO SOLAPUR  | Jan 2021 | Feb 2021 | 6 Weeks
JS INFRASTRUCTURE CONSULTANTS PVT LTD | CONTRACT INTERN, TENDERING AND BIDDING, BUSINESS DEVELOPMENT, DELHI - AHMEDABAD HIGH SPEED CORRIDOR SURVEY. | GURUGRAM | May 2022 | Jul 2022 | 11 Weeks</t>
  </si>
  <si>
    <t>AP21462</t>
  </si>
  <si>
    <t>Noel Varghese</t>
  </si>
  <si>
    <t>noelvarghese07@gmail.com</t>
  </si>
  <si>
    <t>ap21462@ms.nicmar.ac.in</t>
  </si>
  <si>
    <t>2265 0900 7710</t>
  </si>
  <si>
    <t>REJI PAUL VARUGHESE</t>
  </si>
  <si>
    <t>HELEN MATHEWS</t>
  </si>
  <si>
    <t>H. NO. 544, ELANJIMOOTTIL , KATTOOKARA, THIRUVALLA, NEAR WATER AUTHORITY</t>
  </si>
  <si>
    <t>Thiruvalla</t>
  </si>
  <si>
    <t>ABU DHABI INDIAN SCHOOL</t>
  </si>
  <si>
    <t>ST. ANTONYS PUBLIC SCHOOL</t>
  </si>
  <si>
    <t>AutoCAD,MS Office,MS Project,REVIT, STAAD PRO, C++</t>
  </si>
  <si>
    <t>IRRIGATION DESIGN AND RESEARCH BOARD | ANALYSING SPATIAL DATA THROUGH THE USE OF GIS | TRIVANDRUM | Jul 2018 | Jul 2018 | 0 Weeks
RELIANCE PROJECT MANAGEMENT GROUP | PLANNING OF EPC PROJECT. PREPARING COMPLETE EPC SCHEDULE. ESTIMATING PEAK RESOURCE REQUIREMENT FOR E,P &amp; C. MONITORING AND TRACKING OF PROGRESS AND PROJECT COST THROUGHOUT PROJECT DURATION.  | WORK FROM HOME (WFH) | Apr 2022 | Jun 2022 | 8 Weeks</t>
  </si>
  <si>
    <t>AP21463</t>
  </si>
  <si>
    <t>Vinit Gupta</t>
  </si>
  <si>
    <t>VINITGUPTA098@GMAIL.COM</t>
  </si>
  <si>
    <t>ap21463@ms.nicmar.ac.in</t>
  </si>
  <si>
    <t>10-May-1998</t>
  </si>
  <si>
    <t>4451 7234 0380</t>
  </si>
  <si>
    <t>VIRENDER KUMAR</t>
  </si>
  <si>
    <t>PRABHA GUPTA</t>
  </si>
  <si>
    <t>MS PIRTHI CHAND MUNNA LAL OLD ANAJ MANDI</t>
  </si>
  <si>
    <t>Narwana</t>
  </si>
  <si>
    <t>DAV CENTENARY PUBLIC SCHOOL, NARWANA</t>
  </si>
  <si>
    <t>SANATAN DHARAM PUBLIC SCHOOL</t>
  </si>
  <si>
    <t>PANDIT LAKHMI CHAND STATE UNIVERSITY OF PERFORMING AND VISUAL ARTS</t>
  </si>
  <si>
    <t>DEPARTMENT OF URBAN PLANNING AND ARCHITECTURE, ROHTAK, HARYANA</t>
  </si>
  <si>
    <t>AutoCAD,MS Office,MS Project,SKETCHUP, LUMION, PHOTOSHOP</t>
  </si>
  <si>
    <t>SUNTECK REALTY LTD | ARCHITECTURE &amp; DESIGN INTERN | MUMBAI, MAHARASHTRA, INDIA | May 2022 | Jun 2022 | 7 Weeks
ODD BRICKS CONSORTIUM | SITE PLANNING, WORKING DRAWINGS, 3D MODELLING, PRESENTATIONS | TOHANA, HARYANA | Aug 2020 | Jun 2021 | 47 Weeks</t>
  </si>
  <si>
    <t>AP21464</t>
  </si>
  <si>
    <t>Avinash Pandey</t>
  </si>
  <si>
    <t>199926AVINASHPANDEY@GMAIL.COM</t>
  </si>
  <si>
    <t>ap21464@ms.nicmar.ac.in</t>
  </si>
  <si>
    <t>26-Apr-1999</t>
  </si>
  <si>
    <t>7408 3572 2511</t>
  </si>
  <si>
    <t>ASHOK PANDEY</t>
  </si>
  <si>
    <t>SACHALA PANDEY</t>
  </si>
  <si>
    <t>RAMMAIYYA WARD NO. 17 MOTI TALAB PARA</t>
  </si>
  <si>
    <t>BHASHYAM BLOOMS</t>
  </si>
  <si>
    <t>BIIT JUNIOR COLLEGE GORANTLA, GUNTUR</t>
  </si>
  <si>
    <t>NMDC IRON AND STEEL PLANT | INTERN | NAGARNAR,  JAGDALPUR, CHHATTISGARH | Jun 2019 | Jul 2019 | 4 Weeks
SHRIRAM CONSTRUCTION | SITE ENGINEER | JAGDALPUR, CHHATTISHGARH | Apr 2022 | Jul 2022 | 9 Weeks</t>
  </si>
  <si>
    <t>AP21465</t>
  </si>
  <si>
    <t>GANDHALE</t>
  </si>
  <si>
    <t>Sanket Sudhakar Gandhale</t>
  </si>
  <si>
    <t>sanketgandhale4041@gmail.com</t>
  </si>
  <si>
    <t>ap21465@ms.nicmar.ac.in</t>
  </si>
  <si>
    <t>MARTHI , HINDI , ENGLISH</t>
  </si>
  <si>
    <t>4532 3732 4036</t>
  </si>
  <si>
    <t>SUDHAKAR SHRIPATI GANDHALE</t>
  </si>
  <si>
    <t>SUNITA SUDHAKAR GANDHALE</t>
  </si>
  <si>
    <t>SHIKSHK COLONY, PRASHALA SHEJARI,</t>
  </si>
  <si>
    <t>AP AKLUJ TAL MALAHIRAS</t>
  </si>
  <si>
    <t>Akkalkuwa</t>
  </si>
  <si>
    <t>SADASHIVRAO MANE VIDYALAYA, AKLUJ</t>
  </si>
  <si>
    <t>VIDYA PRATISHTHAN POLYTECHNIC COLLEGE, INDAPUR</t>
  </si>
  <si>
    <t>G.H.RAISONI COLLEGE OF ENGINEERING AND MANAGEMENT, PUNE</t>
  </si>
  <si>
    <t>NAAMRATNA CONSTRUCTIONS | SITE SUPERVISOR | AKLUJ | Dec 2020 | Jun 2021 | 26 Weeks
MET BUILT INFRA PRIVATE LIMITED | BUSINESS ANALYST | AHMEDABAD  | Apr 2022 | Jul 2022 | 11 Weeks</t>
  </si>
  <si>
    <t>AP21466</t>
  </si>
  <si>
    <t>Ashish Singh</t>
  </si>
  <si>
    <t>ASHISH53501@GMAIL.COM</t>
  </si>
  <si>
    <t>ap21466@ms.nicmar.ac.in</t>
  </si>
  <si>
    <t>13-Jul-1998</t>
  </si>
  <si>
    <t>2806 9599 0354</t>
  </si>
  <si>
    <t>SUDARSHAN SINGH</t>
  </si>
  <si>
    <t>URMILA SINGH</t>
  </si>
  <si>
    <t>RADHIKA NIWAS, SOUTH EKAUNA, NEAR POWER GRID, OPPOSITE KENDRIYA VIDYALAYA SCHOOL, ZERO MILE, ARA, BHOJPUR, BIHAR ,802210</t>
  </si>
  <si>
    <t>Ara</t>
  </si>
  <si>
    <t>FLAT NO 804, GRANADA B WING, FORTALEZA SOCIETY, KALYANI NAGAR, PUNE,411006</t>
  </si>
  <si>
    <t>KENDRIYA VIDYALAYA ARA</t>
  </si>
  <si>
    <t>PIHU BUILDER AND DEVELOPER PRIVATE LIMITED |  SITE ENGINEER ( TRAINEE) &amp; SITE EXECUTION | ARRAH, BIHAR | Oct 2018 | Nov 2018 | 3 Weeks
CONVENIENT CONSTRUCTION CONSULTANCY PRIVATE LIMITED |  SITE ENGINEER ( TRAINEE) &amp; SITE EXECUTION | INDORE, MP | Apr 2022 | Jul 2022 | 12 Weeks</t>
  </si>
  <si>
    <t>AP21467</t>
  </si>
  <si>
    <t>NISHANK</t>
  </si>
  <si>
    <t>KADUKAR</t>
  </si>
  <si>
    <t>Nishank Bharat Kadukar</t>
  </si>
  <si>
    <t>nishankkadukar@gmail.com</t>
  </si>
  <si>
    <t>ap21467@ms.nicmar.ac.in</t>
  </si>
  <si>
    <t>22-Jun-1998</t>
  </si>
  <si>
    <t>3911 9899 4283</t>
  </si>
  <si>
    <t>BHARAT LAXMAN KADUKAR</t>
  </si>
  <si>
    <t>GURUKRUPA, PLOT NO. B-10, SECTOR 7, BESIDE SHRI GANESH DURGA MATA MANDIR, NEAR PILLAI GLOBAL ACADEMY, KHANDA COLONY, PANVEL, NAVI MUMBAI- 410 206</t>
  </si>
  <si>
    <t>KALINA EDUCATION SOCIETY HANS BHUGRA HIGH SCHOOL</t>
  </si>
  <si>
    <t>SMT. SHANTI DEVI SHUKLA JUNIOR COLLEGE OF SCIENCE</t>
  </si>
  <si>
    <t>DR. D.Y. PATIL INSTITUTE OF TECHNOLOGY, PIMPRI</t>
  </si>
  <si>
    <t>NEETA CONSTRUCTIONS | SITE INTERN | CHANDRAPUR | Nov 2020 | Jan 2021 | 8 Weeks
LEGACY LIFESPACES | SITE INTERN | HINJEWADI, PUNE | Dec 2018 | Jan 2019 | 2 Weeks
MAHAVEER GROUP | QUANTITY SURVEYOR | BANGALORE | Apr 2022 | Jun 2022 | 7 Weeks</t>
  </si>
  <si>
    <t>AP21468</t>
  </si>
  <si>
    <t>KULSHRESTHA</t>
  </si>
  <si>
    <t>Kulshrestha .</t>
  </si>
  <si>
    <t>KULSHRESTHAROY@GMAIL.COM</t>
  </si>
  <si>
    <t>ap21468@ms.nicmar.ac.in</t>
  </si>
  <si>
    <t>3234 7090 5137</t>
  </si>
  <si>
    <t>NARMADESHWAR PRASAD YADAV</t>
  </si>
  <si>
    <t>SEEMA KUMARI</t>
  </si>
  <si>
    <t>TRIPLE SHUTTER HOUSE, NEAR NEW POWER HOUSE, GANDAK COLONY</t>
  </si>
  <si>
    <t>CENTRAL PUBLIC SCHOOL</t>
  </si>
  <si>
    <t>SR. SEC SCHOOL, TAJPUR</t>
  </si>
  <si>
    <t>GURU NANAK DEV ENGINEERING COLLEGE</t>
  </si>
  <si>
    <t>GPT INFRAPROJECTS LIMITED | SITE EXECUTION | SIMARIYA | Jun 2020 | Dec 2020 | 29 Weeks
OJASVIHA | PROJECT MANAGEMENT, PROJECT PLANNING, ESTIMATION AND COSTING, PROCUREMENT, SITE EXECUTION | BANGLORE | Apr 2022 | Jul 2022 | 9 Weeks
CBRE | PROJECT MANAGEMENT | BLUEGRASS BUSINESS PARK, PUNE | Jul 2022 | Aug 2022 | 4 Weeks</t>
  </si>
  <si>
    <t>AP21469</t>
  </si>
  <si>
    <t>IPSHITA</t>
  </si>
  <si>
    <t>BARUA</t>
  </si>
  <si>
    <t>Ipshita Barua</t>
  </si>
  <si>
    <t>IPSHITABARUA96@GMAIL.COM</t>
  </si>
  <si>
    <t>ap21469@ms.nicmar.ac.in</t>
  </si>
  <si>
    <t>25-Jul-1996</t>
  </si>
  <si>
    <t>ENGLISH, HINDI, FRENCH</t>
  </si>
  <si>
    <t>4375 8873 8730</t>
  </si>
  <si>
    <t>PALASH BARUA</t>
  </si>
  <si>
    <t>GUPA BARUA</t>
  </si>
  <si>
    <t>HOUSE NO -31, BYELANE -1, NEAR MODEL PUBLIC SCHOOL. BIMOLA RESIDENCY , GANDHIBASTI, GUWAHATI</t>
  </si>
  <si>
    <t>Guwahati</t>
  </si>
  <si>
    <t>FLAT NO 704, GRANADA -B, FORTALEZA SOCIETY , KALYANI NAGAR</t>
  </si>
  <si>
    <t>MARIAS PUBLIC SCHOOL</t>
  </si>
  <si>
    <t>ST FRANCIS D ASSISI HIGH SCHOOL</t>
  </si>
  <si>
    <t>Global Archer Consultancy LLP | Site Management, Planning and Project Management | Guinea, West Frica | Jun 2019 | Nov 2020 | 1 Years, 5 Months, 10 Days | 4.46
Global Archer Consultancy LLP | Site Management, Planning and Project Management | Guinea, West Frica | Jun 2019 | Nov 2020 | 1 Years, 5 Months, 10 Days | 4.46</t>
  </si>
  <si>
    <t>ASSAM PUBLIC WORKS DEPARTMENT ROADS | PREPARING THE SOIL ANALYSIS REPORT  | GUWAHATI, ASSAM | Jul 2017 | Jul 2017 | 1 Weeks
ASSAM PUBLIC WORKS DEPARTMENT ROADS | SURVEYING AND EXECUTION OF VARIOUS ACTIVITIES AT SITE | GUWAHATI, ASSAM | May 2017 | Jun 2017 | 4 Weeks
VPAN CIVIL CONSULTANTS | PLANNING, COORDINATING AND EXECUTING VARIOUS ACTIVITIES AT SITE | AHMEDABAD | Apr 2022 | Jul 2022 | 9 Weeks</t>
  </si>
  <si>
    <t>AP21470</t>
  </si>
  <si>
    <t>ANUBHAV</t>
  </si>
  <si>
    <t>Anubhav Kumar</t>
  </si>
  <si>
    <t>anubhavonline998@gmail.com</t>
  </si>
  <si>
    <t>ap21470@ms.nicmar.ac.in</t>
  </si>
  <si>
    <t>2899 6070 8072</t>
  </si>
  <si>
    <t>AMOD BHAI GANDHI</t>
  </si>
  <si>
    <t>PRATIBHA GANDHI</t>
  </si>
  <si>
    <t>F. NO. 3033 GAURI APARTMENT PARVATI PATH NEW CHITRAGUPTA NAGAR KANKARBAGH</t>
  </si>
  <si>
    <t>DAV PUBLIC SCHOOL CANTT ROAD KHAGAUL CAMPUS</t>
  </si>
  <si>
    <t>2012-May-01</t>
  </si>
  <si>
    <t>2016-Aug-01</t>
  </si>
  <si>
    <t>SATPURA INFRACON PRIVATE LIMITED | SITE EXECUTION, SITE SUPERVISION | JABALPUR | Apr 2022 | Jun 2022 | 7 Weeks
LARSEN  TOUBRO CONSTRUCTION COMPANY | SITE EXECUTION, SITE SUPERVISION | SARAI KALE KHAN, NEW DELHI | Jun 2019 | Jul 2019 | 6 Weeks</t>
  </si>
  <si>
    <t>AP21471</t>
  </si>
  <si>
    <t>Samiksha Verma</t>
  </si>
  <si>
    <t>VERMA2SAMIKSHA@GMAIL.COM</t>
  </si>
  <si>
    <t>ap21471@ms.nicmar.ac.in</t>
  </si>
  <si>
    <t>08-Jul-2000</t>
  </si>
  <si>
    <t>2156 8705 1486</t>
  </si>
  <si>
    <t>AKHILESH KUMAR VERMA</t>
  </si>
  <si>
    <t>VIJETA VERMA</t>
  </si>
  <si>
    <t>4/153, SECTOR- J, JANKIPURAM</t>
  </si>
  <si>
    <t>PUNJABI UNIVERSITY</t>
  </si>
  <si>
    <t>UTTAR PRADESH RAJKIYA NIRMAN NIGAM LIMITED | CONSTRUCTION OF MULTI LEVEL PARKING WITH THE HELP OF RAFT AND COMBINED FOUNDATION, SITE VISITS AND EXECUTION, COORDINATION WITH PROJECT MANAGER,  PREPARED DAILY PROGRESS REPORT, MONITORED AND RECORDED | LUCKNOW | Jan 2021 | Apr 2021 | 17 Weeks
DFAVO | Ã¢â‚¬Â¢ INVOLVED IN PLANNING AND SCHEDULING OF  LEAD GENERATION Ã¢â‚¬Â¢ COLLABORATING WITH COLLEAGUES FROM ACROSS MARKETING DEPARTMENTS TO ENSURE BRANDING IS CONSISTENT | ONLINE | Jun 2021 | Sep 2021 | 17 Weeks
KPMG GLOBAL SERVICES PRIVATE LIMITED | ~PERFORMED CONSTRUCTION COST AND CONTRACT COMPLIANCE AUDIT ON WIDE RANGE OF HEALTHCARE, ACP, RESIDENTIAL, INFRASTRUCTURE AND REAL ESTATE PROJECTS. ~ENGAGED IN ONSHORE CALLS TO DISCUSS THE FINDINGS OF  | GURUGRAM | Apr 2022 | Jul 2022 | 13 Weeks</t>
  </si>
  <si>
    <t>AP21473</t>
  </si>
  <si>
    <t>MADHAVARAM</t>
  </si>
  <si>
    <t>Madhavaram Shriya Rao</t>
  </si>
  <si>
    <t>shriyarao984@gmail.com</t>
  </si>
  <si>
    <t>ap21473@ms.nicmar.ac.in</t>
  </si>
  <si>
    <t>8692 7489 9913</t>
  </si>
  <si>
    <t>JAGADEESHWAR RAO MADHAVARAM</t>
  </si>
  <si>
    <t>RAMA DEVI M</t>
  </si>
  <si>
    <t>H.NO. 5-3-177, SHANTINAGAR, CHINTAPATLA VENKAYYA PARK, KUKATPALLY</t>
  </si>
  <si>
    <t>NARAYANA JUNIOR COLLEGE, BHAGYANAGAR COLONY</t>
  </si>
  <si>
    <t>AutoCAD,MS Office,MS Project,STAAD.PRO, ANSYS, MATLAB, SEISMOSOFT</t>
  </si>
  <si>
    <t>KDM ENGINEERS PRIVATE LIMITED | INTERN IN TESTING LABORATORY | LB NAGAR, HYDERABAD | Dec 2019 | Dec 2019 | 1 Weeks
ANUHAR HOMES PVT LTD | PROCESS DESIGN AND DOCUMENTATION | HYDERABAD | Apr 2022 | Jul 2022 | 13 Weeks</t>
  </si>
  <si>
    <t>AP21474</t>
  </si>
  <si>
    <t>ASHRAF</t>
  </si>
  <si>
    <t>Mohammed Ashraf</t>
  </si>
  <si>
    <t>ashdudexd@gmail.com</t>
  </si>
  <si>
    <t>ap21474@ms.nicmar.ac.in</t>
  </si>
  <si>
    <t>08-Jun-1999</t>
  </si>
  <si>
    <t>5379 0051 2345</t>
  </si>
  <si>
    <t>SHAIK AKBAR</t>
  </si>
  <si>
    <t>SHAIK RAJEENA BEGUM</t>
  </si>
  <si>
    <t>FLATNO.103,VIGNESHWARA RESIDENCY,NEAR SUNRISE HOMES,OPP P.NO-179,UPPERPALLY,ATTAPUR</t>
  </si>
  <si>
    <t>AUTONOMOUS/AFFILIATED TO OSMANIA UNIVERSITY</t>
  </si>
  <si>
    <t>CHAITANYA BHARATHI INSTITUTE OF TECHNOLOGY | STUDENT | HYDERABAD | Sep 2020 | Jun 2021 | 40 Weeks
CONVINIENT CONSTRUCTION CONSULTANCY PVT LTD | EXECUTION INTERN | BANGALORE | Apr 2022 | Jul 2022 | 12 Weeks</t>
  </si>
  <si>
    <t>AP21475</t>
  </si>
  <si>
    <t>ZANTRA</t>
  </si>
  <si>
    <t>Zantra V Anna</t>
  </si>
  <si>
    <t>123zanntra45@gmail.com</t>
  </si>
  <si>
    <t>ap21475@ms.nicmar.ac.in</t>
  </si>
  <si>
    <t>2413 3435 3596</t>
  </si>
  <si>
    <t>VIJU V K</t>
  </si>
  <si>
    <t>BINDU VIJU</t>
  </si>
  <si>
    <t>HOUSE NO-NNRA66, VANACHIRACKAL HOUSE, VANACHIRA TEMPLE ROAD, KAKKANAD, NEAR CMI GENERALATE</t>
  </si>
  <si>
    <t>VIDYODAYA SCHOOL</t>
  </si>
  <si>
    <t>AutoCAD,MS Office,MS Project,Ã¢â‚¬Â¢ STAAD PRO V8I  Ã¢â‚¬Â¢ QGIS   Ã¢â‚¬Â¢ ORIGIN</t>
  </si>
  <si>
    <t>SAT PROJECT MANAGEMENT CONSULTANTS | TRAINEE | KALAMASSERY, ERNAKULAM | Jun 2019 | Jul 2019 | 2 Weeks
KELTRON | TRAINEE | KALAMASSERY, ERNAKULAM | Jul 2018 | Jul 2022 | 209 Weeks
BUILDMYINFRA | PROJECT MANAGEMENT INTERN | DELHI, GURUGRAM | Apr 2022 | Jun 2022 | 8 Weeks</t>
  </si>
  <si>
    <t>AP21476</t>
  </si>
  <si>
    <t>Sushant Murlidhar Jadhav</t>
  </si>
  <si>
    <t>AP21476@MS.NICMAR.AC.IN</t>
  </si>
  <si>
    <t>ap21476@ms.nicmar.ac.in</t>
  </si>
  <si>
    <t>3909 5346 7528</t>
  </si>
  <si>
    <t>GOVT. SERVENT</t>
  </si>
  <si>
    <t>AT POST. OMERGA TAL. OMERGA DIST. OSMANABAD</t>
  </si>
  <si>
    <t>FLAT NO. 8, ARIHANT SOCIETY NEAR MAHALUNGE BUS STOP PUNE</t>
  </si>
  <si>
    <t>YASHVANT VIDHYALAYA ,AHMADPUR</t>
  </si>
  <si>
    <t>GOVERNMENT POLYTECHNIC ,NANDED, MAHARASHTRA</t>
  </si>
  <si>
    <t>SAVITRIBAI PHULE PUNE UNIVERCITY,PUNE</t>
  </si>
  <si>
    <t>AutoCAD,MS Office,MS Project,Primavera,MS OFFICE , INVENTORY MANAGEMENT</t>
  </si>
  <si>
    <t>OJASVIHA DESIGN AND CONSTRUCTION | PROJECT MANAGEMENT AND PLANNING , ESTIMATION AND COSTING, PROCURMENT, SITE EXECUTION  | BANGALURU | Apr 2022 | Jul 2022 | 9 Weeks | Campus Internship</t>
  </si>
  <si>
    <t>AP21477</t>
  </si>
  <si>
    <t>RISHIRAJ</t>
  </si>
  <si>
    <t>Rishiraj Shrivastava</t>
  </si>
  <si>
    <t>rishiraj1790@gmail.com</t>
  </si>
  <si>
    <t>ap21477@ms.nicmar.ac.in</t>
  </si>
  <si>
    <t>9081 6579 8411</t>
  </si>
  <si>
    <t>SANJAY KUMAR SHRIVASTAVA</t>
  </si>
  <si>
    <t>RANI SHRIVASTAVA</t>
  </si>
  <si>
    <t>H.NO 12, ASHIRWAD COLONY KOLAR ROAD BHOPAL NEAR ROSE MARRY SCHOOL</t>
  </si>
  <si>
    <t>MOTHER TERESA SR SEC SCHOOL</t>
  </si>
  <si>
    <t>2011-Mar-25</t>
  </si>
  <si>
    <t>MANSAROVAR PUBLIC SCHOOL</t>
  </si>
  <si>
    <t>2013-Apr-03</t>
  </si>
  <si>
    <t>2014-May-25</t>
  </si>
  <si>
    <t>ORIENTAL INSTITUTE OF SCIENCE AND TECHNOLOGY BHOPAL MADHYA PRADESH</t>
  </si>
  <si>
    <t>2015-Jun-09</t>
  </si>
  <si>
    <t>2019-Jun-06</t>
  </si>
  <si>
    <t>VKSC INFRAPROJECTS LIMITED | INTERN | AWALI GHAT SITE | Jul 2019 | Feb 2020 | 31 Weeks
AGRAWAL BUILDERS | SITE EXECUTION &amp; PROJECT MANAGEMENT | BHOPAL | Apr 2022 | Jun 2022 | 7 Weeks</t>
  </si>
  <si>
    <t>AP21478</t>
  </si>
  <si>
    <t>Abishek D</t>
  </si>
  <si>
    <t>abishek.dhananjayan@gmail.com</t>
  </si>
  <si>
    <t>ap21478@ms.nicmar.ac.in</t>
  </si>
  <si>
    <t>ENGLISH, TAMIL, TELUGU, HINDI</t>
  </si>
  <si>
    <t>6270 5837 4772</t>
  </si>
  <si>
    <t>DHANANJAYAN C</t>
  </si>
  <si>
    <t>COOPERATIVE SOCIETY MANAGER</t>
  </si>
  <si>
    <t>KAVITHA D</t>
  </si>
  <si>
    <t>164, ERAVANESWARA NAGAR, MUNIYAPPAN KOVIL STREET, PALLAPATTI</t>
  </si>
  <si>
    <t>SENTHIL PUBILC SCHOOL</t>
  </si>
  <si>
    <t>AutoCAD,MS Office,MS Project,STAAD PRO.</t>
  </si>
  <si>
    <t>SUNTECK REALTY LTD | MANAGEMENT INTERN - PROCUREMENT &amp; HANDLED ERP FOR PLACING PURCHASE ORDERS, SENDING RFQ'S, MAKING COMPARATIVE SHEETS AND RECOMMENDING THE MOST SUITABLE BIDDER. | MUMBAI, MAHARASHTRA | May 2022 | Jun 2022 | 7 Weeks | Campus Internship
APRVK CONSTRUCTONS | SITE ENGINEER &amp; SITE SUPERVISING FOR THE FOUNDATION PART OF THE G+1 RESIDENTIAL BUILDING. | SIVAGANGA, TAMIL NADU. | May 2019 | May 2019 | 3 Weeks
SALEM ROOFING | SITE ENGINEER &amp; PRODUCTION AND ERECTION OF PRE-ENGINEERED BUILDING STRUCTURE. | SALEM, TAMIL NADU. | May 2020 | Jun 2020 | 5 Weeks</t>
  </si>
  <si>
    <t>AP21479</t>
  </si>
  <si>
    <t>Pravin Suhas Nikam</t>
  </si>
  <si>
    <t>PRAVINNIKAM97@GMAIL.COM</t>
  </si>
  <si>
    <t>ap21479@ms.nicmar.ac.in</t>
  </si>
  <si>
    <t>15-Jul-1997</t>
  </si>
  <si>
    <t>2720 6956 4495</t>
  </si>
  <si>
    <t>SUHAS TUKARAM NIKAM</t>
  </si>
  <si>
    <t>RUPALI SUHAS NIKAM</t>
  </si>
  <si>
    <t>A/P AMBHERI, TAL-KOREGAON, DIST- SATARA</t>
  </si>
  <si>
    <t>FLAT NO.7, SWAPNAPURTI, GOLDEN STREET, BALEWADI</t>
  </si>
  <si>
    <t>Babhulgaon</t>
  </si>
  <si>
    <t>THE MODERN ENGLISH SCHOOL, KOREGAON</t>
  </si>
  <si>
    <t>YASHWANTRAO CHAVAN INSTITUTE OF SCIENCE SATARA</t>
  </si>
  <si>
    <t>MAHARASHTRA STATE BORD OF SECONDARY AND HIGHER SECONDARY EDUCATION PUNE</t>
  </si>
  <si>
    <t>BHARATI VIDYAPEETHS JAWAHARLAL NEHRU INSTITUTE OF TECHNOLOGY POLYTECHNIC PUNE</t>
  </si>
  <si>
    <t>MAHAVEER GROUP | QUANTITY SURVEYOR | BANGALORE | Apr 2022 | Jun 2022 | 7 Weeks</t>
  </si>
  <si>
    <t>AP21480</t>
  </si>
  <si>
    <t>MOGHE</t>
  </si>
  <si>
    <t>Jaideep Girish Moghe</t>
  </si>
  <si>
    <t>jaideepmoghe05@gmail.com</t>
  </si>
  <si>
    <t>ap21480@ms.nicmar.ac.in</t>
  </si>
  <si>
    <t>9280 1476 5824</t>
  </si>
  <si>
    <t>GIRISH MADHAV MOGHE</t>
  </si>
  <si>
    <t>SUJATA GIRISH MOGHE</t>
  </si>
  <si>
    <t>UTKARSHA ROHINI, PLOT NO. N-9, LAXMI NAGAR, NEAR 8 RASTA CHOWK</t>
  </si>
  <si>
    <t>BHAVANS BHAGWANDAS PUROHIT VIDYA MANDIR, CIVIL LINES, NAGPUR</t>
  </si>
  <si>
    <t>AutoCAD,MS Office,MS Project,SKETCHUP, AUTODESK REVIT, COREL DRAW</t>
  </si>
  <si>
    <t>AR VISHWASH H GUPTA | TRAINEE ARCHITECT | NAGPUR | Jan 2020 | Oct 2020 | 43 Weeks
AXYKNO CAPITAL SERVICES PRIVATE LIMITED | MANAGEMENT INTERN | NAGPUR | Apr 2022 | Jul 2022 | 13 Weeks</t>
  </si>
  <si>
    <t>AP21481</t>
  </si>
  <si>
    <t>ANANTHA NIHAL</t>
  </si>
  <si>
    <t>Anantha Nihal Paidi</t>
  </si>
  <si>
    <t>NIHALPYADI@GMAIL.COM</t>
  </si>
  <si>
    <t>ap21481@ms.nicmar.ac.in</t>
  </si>
  <si>
    <t>ENGLISH , HINDI , TELUGU</t>
  </si>
  <si>
    <t>9821 2149 7253</t>
  </si>
  <si>
    <t>PAIDI GOVINDA RAO</t>
  </si>
  <si>
    <t>PAIDI NEERAJA</t>
  </si>
  <si>
    <t>203SOWPARNIKA BAY SHELLS  OPPOSITE SUN BEACH CAMPUS_x000D_
SAGAR NAGAR</t>
  </si>
  <si>
    <t>203 SOWPARNIKA BAY SHELLS _x000D_
OPPOSITE SUN BEACH CAMPUS SAGAR NAGAR _x000D_
VISAKHAPATNAM 530045_x000D_
ANDHRA PRADESH</t>
  </si>
  <si>
    <t>VIMS JUNIOR COLLEGE</t>
  </si>
  <si>
    <t>GITAM DEEMED TO BE UNIVERSITY VISAKHAPATNAM</t>
  </si>
  <si>
    <t>GITAM INSTITUTE OF TECHNOLOGY</t>
  </si>
  <si>
    <t>NBCC INDIA LTD | QUALITY CONTROL , SITE EXECUTION | SAROJINI NAGAR, DELHI  | May 2022 | Jul 2022 | 9 Weeks</t>
  </si>
  <si>
    <t>AP21482</t>
  </si>
  <si>
    <t>PRASANTH</t>
  </si>
  <si>
    <t>Nithin S Prasanth</t>
  </si>
  <si>
    <t>NITHINSPRASANTH@OUTLOOK.COM</t>
  </si>
  <si>
    <t>ap21482@ms.nicmar.ac.in</t>
  </si>
  <si>
    <t>14-Aug-1997</t>
  </si>
  <si>
    <t>MALAYALAM, ENGLISH</t>
  </si>
  <si>
    <t>6481 1094 0820</t>
  </si>
  <si>
    <t>N S SATHISH KUMAR</t>
  </si>
  <si>
    <t>RTD FINANCE MANAGER, HLL LIFECARE LTD</t>
  </si>
  <si>
    <t>G P SANTHINI</t>
  </si>
  <si>
    <t>EXECUTIVE ENGINEER, KERALA STATE ELECTRICITY BOARD</t>
  </si>
  <si>
    <t>SANITHAM, BNRA-176A, BHAGAVATHY NAGAR, KOWDIAR</t>
  </si>
  <si>
    <t>iCLOUD HOMES PVT LTD | SITE SUPERVISION | TRIVANDRUM | Jul 2019 | Mar 2020 | 0 Years, 8 Months, 3 Days | 1.44
iCLOUD HOMES PVT LTD | SITE SUPERVISION | TRIVANDRUM | Jul 2019 | Mar 2020 | 0 Years, 8 Months, 3 Days | 1.44</t>
  </si>
  <si>
    <t>PUBLIC WORKS DEPARTMENT | INDUSTRIAL TRAINEE | TRIVANDRUM | Jul 2018 | Jul 2018 | 0 Weeks
SREEDHANYA HOMES PVT LTD | SITE SUPERVISION | TRIVANDRUM | Jun 2018 | Jun 2018 | 0 Weeks
TC ONE REALTORS AND DEVELOPERS | MANAGING WORKS, SITE SUPERVISION | CALICUT | Apr 2022 | Jun 2022 | 7 Weeks</t>
  </si>
  <si>
    <t>AP21483</t>
  </si>
  <si>
    <t>CHOUGULE</t>
  </si>
  <si>
    <t>Chougule Niranjan Chandrashekhar</t>
  </si>
  <si>
    <t>NIRANJAN8073@GMAIL.COM</t>
  </si>
  <si>
    <t>ap21483@ms.nicmar.ac.in</t>
  </si>
  <si>
    <t>05-May-1996</t>
  </si>
  <si>
    <t>9634 2888 1348</t>
  </si>
  <si>
    <t>CHANDRASHEKHAR MADHUKAR CHOUGULE</t>
  </si>
  <si>
    <t>SANDHYA CHANDRASHEKHAR CHOUGULE</t>
  </si>
  <si>
    <t>NEEL GARDEN CHS, ROOM NO.02, ROAD NO.7/8, SECTOR 19, NEAR NEW PANVEL POST OFFICE</t>
  </si>
  <si>
    <t>ST. JOSEPHS JUNIOR COLLEGE OF COMMERCE AND SCIENCE</t>
  </si>
  <si>
    <t>PILLAIS HOC COLLEGE OF ENGINEERING AND TECHNOLOGY</t>
  </si>
  <si>
    <t>RELCON INFRAPROJECTS LIMITED | EXECUTION, QA QC | NAVI MUMBAI | Dec 2019 | Sep 2021 | 1 Years, 9 Months, 0 Days | 2.16
RELCON INFRAPROJECTS LIMITED | EXECUTION, QA QC | NAVI MUMBAI | Dec 2019 | Sep 2021 | 1 Years, 9 Months, 0 Days | 2.16</t>
  </si>
  <si>
    <t>SAVLI CONSTRUCTION | JUNIOR SITE ENGINEER | JNPT, URAN | Jan 2018 | Mar 2018 | 8 Weeks
BUILDMYINFRA PVT LTD | PROJECT MANAGEMENT INTERN | GURGAON | Apr 2022 | Jun 2022 | 8 Weeks</t>
  </si>
  <si>
    <t>AP21484</t>
  </si>
  <si>
    <t>BALAKRISHNA</t>
  </si>
  <si>
    <t>Sunny Balakrishna Kapse</t>
  </si>
  <si>
    <t>sunnyshedsale@gmail.com</t>
  </si>
  <si>
    <t>ap21484@ms.nicmar.ac.in</t>
  </si>
  <si>
    <t>5992 1354 4947</t>
  </si>
  <si>
    <t>BALAKRISHNA MAHADEV KAPSE</t>
  </si>
  <si>
    <t>SANGITA DATTATRAY SHEDSALE</t>
  </si>
  <si>
    <t>AP. SHEGAON, TAL.JATH, DIST.SANGLI, PIN.416404</t>
  </si>
  <si>
    <t>ALPHONSA SCHOOL,JATH</t>
  </si>
  <si>
    <t>SMT. KASTURBAI WALCHAND COLLAGE, SANGLI.</t>
  </si>
  <si>
    <t>AutoCAD,MS Office,MS Project,RIVET</t>
  </si>
  <si>
    <t>AP21485</t>
  </si>
  <si>
    <t>Neha Sharma</t>
  </si>
  <si>
    <t>sharma.neha0920@gmail.com</t>
  </si>
  <si>
    <t>ap21485@ms.nicmar.ac.in</t>
  </si>
  <si>
    <t>20-Sep-1992</t>
  </si>
  <si>
    <t>8745 8524 9548</t>
  </si>
  <si>
    <t>KUNJ BIHARI SHARMA</t>
  </si>
  <si>
    <t>NIRMALA SHARMA</t>
  </si>
  <si>
    <t>E-14 SHASTRI NAGAR , JANPATH MARG</t>
  </si>
  <si>
    <t>MAHESHWARI GIRLS PUBLIC SCHOOL</t>
  </si>
  <si>
    <t>ST ANSLEMS PINK CITY SCHOOL</t>
  </si>
  <si>
    <t>AutoCAD,MS Office,MS Project,MODEL MAKING</t>
  </si>
  <si>
    <t>GENESIS DESIGN CONSULTANCY | WORKED ON CLIENT PROPOSAL DESIGNS , GFC DRAWINGS, INTERIOR DESIGNING , LANDSCAPE DETAILS AND DRAWINGS , MATERIAL SPECIFICATIONS , SITE AND VENDOR COORDINATIONS . | VIDHYADHAR NAGAR , JAIPUR, RAJASTHAN | May 2018 | Aug 2021 | 3 Years, 3 Months, 23 Days | 3
NIRMITI STUDIO | WORKED ON CLIENT PROPOSAL DESIGNS , GFC DRAWINGS,  | SUN N MOON TOWER , VIDHYADHAR NAGAR , JAIPUR, RAJASTHAN | Oct 2017 | Mar 2018 | 0 Years, 5 Months, 4 Days | 1.5
GENESIS DESIGN CONSULTANCY | WORKED ON CLIENT PROPOSAL DESIGNS , GFC DRAWINGS, INTERIOR DESIGNING , LANDSCAPE DETAILS AND DRAWINGS , MATERIAL SPECIFICATIONS , SITE AND VENDOR COORDINATIONS . | VIDHYADHAR NAGAR , JAIPUR, RAJASTHAN | May 2018 | Aug 2021 | 3 Years, 3 Months, 23 Days | 3
NIRMITI STUDIO | WORKED ON CLIENT PROPOSAL DESIGNS , GFC DRAWINGS,  | SUN N MOON TOWER , VIDHYADHAR NAGAR , JAIPUR, RAJASTHAN | Oct 2017 | Mar 2018 | 0 Years, 5 Months, 4 Days | 1.5</t>
  </si>
  <si>
    <t>EDUCATION DESIGN ARCHITECTS INDIA PVT LTD | WORKED ON PROJECT PRESENTATIONS  , 3D VIEWS , DETAILED DRAWINGS  | BANGALURU | Jan 2016 | Jun 2016 | 19 Weeks
HOSMAC INDIA PRIVATE LIMITED | AS A PMC INTERN I WAS ASSIGNED DOCUMENT PREPARATION FOR  TENDERING AND BIDDING . MAJORLY I WAS ASSIGNED IN STANDARDISATION OF MEP WORK .   | MUMBAI, MAHARASHTRA  | Apr 2022 | Jul 2022 | 13 Weeks</t>
  </si>
  <si>
    <t>AP21486</t>
  </si>
  <si>
    <t>KARTHIKEYAN</t>
  </si>
  <si>
    <t>Karthikeyan T</t>
  </si>
  <si>
    <t>KARTHI.KEYAN771@GMAIL.COM</t>
  </si>
  <si>
    <t>ap21486@ms.nicmar.ac.in</t>
  </si>
  <si>
    <t>23-Jun-1998</t>
  </si>
  <si>
    <t>3006 4199 3756</t>
  </si>
  <si>
    <t>THANIKACHALAM</t>
  </si>
  <si>
    <t>GANDHI MATHI</t>
  </si>
  <si>
    <t>H. NO. 10, KUMARAN KIRUPA FLATS,SRINIVASA NAGAR EXTN, RAM NAGAR 2ND ST NORTH EXTN,VELACHERY</t>
  </si>
  <si>
    <t>BETHEL MATRICULATION HIGHER SECONDARY SCHOOL VELACHERY</t>
  </si>
  <si>
    <t>Indian Hume Pipe Co. Ltd. | Site management, Quantity surveying, Billing, Material procurement, QA/QC, DPR preparation | Namakal, TamilNadu | Jun 2019 | Jun 2020 | 1 Years, 0 Months, 1 Days | 3.6
Indian Hume Pipe Co. Ltd. | Site management, Quantity surveying, Billing, Material procurement, QA/QC, DPR preparation | Namakal, TamilNadu | Jun 2019 | Jun 2020 | 1 Years, 0 Months, 1 Days | 3.6</t>
  </si>
  <si>
    <t>ENGINEERING PROJECT MANAGEMENT CONSULTANCY AND RESEARCH PRIVATE LIMITED | SUMMER INTERN | CHENNAI | May 2022 | Jun 2022 | 7 Weeks</t>
  </si>
  <si>
    <t>AP21487</t>
  </si>
  <si>
    <t>SETTIPALLI</t>
  </si>
  <si>
    <t>NUTHAN</t>
  </si>
  <si>
    <t>Settipalli Nuthan</t>
  </si>
  <si>
    <t>nuthansettipalli@gmail.com</t>
  </si>
  <si>
    <t>ap21487@ms.nicmar.ac.in</t>
  </si>
  <si>
    <t>15-Jun-2000</t>
  </si>
  <si>
    <t>8314 6461 2007</t>
  </si>
  <si>
    <t>SETTIPALLI SESHA CHALAPATHIRAO</t>
  </si>
  <si>
    <t>SETTIPALLI RAJANI</t>
  </si>
  <si>
    <t>D.NO: 4-73, RICEMILL OPP ROAD, LOPUDI, MUSUNURU MANDAL, KRISHNA DISTICT, ANDHRA PRADESH</t>
  </si>
  <si>
    <t>Nuzvid</t>
  </si>
  <si>
    <t>2015-Apr-30</t>
  </si>
  <si>
    <t>2015-Jun-06</t>
  </si>
  <si>
    <t>2017-Mar-30</t>
  </si>
  <si>
    <t>2021-Jun-18</t>
  </si>
  <si>
    <t>PORR QATAR CONSTRUCTION WLL | TRAINEE CIVIL ENGINEER | DOHA, QATAR | Apr 2022 | Jun 2022 | 9 Weeks</t>
  </si>
  <si>
    <t>AP21488</t>
  </si>
  <si>
    <t>UDAY SHARAN</t>
  </si>
  <si>
    <t>Uday Sharan R</t>
  </si>
  <si>
    <t>udaysharan001@gmail.com</t>
  </si>
  <si>
    <t>ap21488@ms.nicmar.ac.in</t>
  </si>
  <si>
    <t>4327 1639 3056</t>
  </si>
  <si>
    <t>SANNA RAMESH</t>
  </si>
  <si>
    <t>ASSISTANT EXECUTIVE ENGINEER</t>
  </si>
  <si>
    <t>H C RAJESHWARI</t>
  </si>
  <si>
    <t>SHREE VEERABHADRESHWARA KRUPA, 5TH CROSS WEST, JCR EXTENSION</t>
  </si>
  <si>
    <t>RASHTROTTHANA VIDYA KENDRA, DHARWAD</t>
  </si>
  <si>
    <t>CHRIST PU COLLEGE RESIDENTIAL, BENGALURU</t>
  </si>
  <si>
    <t>KARNATAKA STATE PRE-UNIVERSITY BOARD</t>
  </si>
  <si>
    <t>SIDDAGANGA INSTITUTE OF TECHNOLOGY, TUMAKURU</t>
  </si>
  <si>
    <t>AutoCAD,MS Office,MS Project,Primavera,CIVIL 3D, READING CIVIL DRAWINGS</t>
  </si>
  <si>
    <t>AACP INFRASTRUCTURE SYSTEMS PRIVATE LIMITED | TRAINEE ENGINEER | BANGALORE | Apr 2022 | Jun 2022 | 8 Weeks</t>
  </si>
  <si>
    <t>AP21489</t>
  </si>
  <si>
    <t>NARSHIBHAI</t>
  </si>
  <si>
    <t>Dhairya Narshibhai Pokar</t>
  </si>
  <si>
    <t>DHAIRYAPOKAR09@GMAIL.COM</t>
  </si>
  <si>
    <t>ap21489@ms.nicmar.ac.in</t>
  </si>
  <si>
    <t>8105 4429 4670</t>
  </si>
  <si>
    <t>NARSHIBHAI POKAR</t>
  </si>
  <si>
    <t>ANSUYA NARSHI POKAR</t>
  </si>
  <si>
    <t>FLAT NO. 09, SHANTI DARSHAN APARTMENT, RTO CORNER, MERI</t>
  </si>
  <si>
    <t>KAKASAHEB DEODHAR ENGLISH MEDIUM SCHOOL</t>
  </si>
  <si>
    <t>MAHARASHTRA STATE BOARD SECONDARY EDUCATION</t>
  </si>
  <si>
    <t>KRANTIVEER VASANTRAO NARAYANRAO NAIK ARTS, COMMERCE AND SCIENCE JUNIOR COLLEGE</t>
  </si>
  <si>
    <t>SANDIP INSTITUTE OF TECHNOLOGY AND RESEARCH CENTER</t>
  </si>
  <si>
    <t>ASHOKA BUILDCON LIMITED | PROJECT TRAINEE AT NMIA EQA DEPARTMENT | NAVI MUMBAI | May 2022 | Jul 2022 | 10 Weeks</t>
  </si>
  <si>
    <t>AP21490</t>
  </si>
  <si>
    <t>ARINESH</t>
  </si>
  <si>
    <t>Arinesh Menon</t>
  </si>
  <si>
    <t>ARINESHAKABON@GMAIL.COM</t>
  </si>
  <si>
    <t>ap21490@ms.nicmar.ac.in</t>
  </si>
  <si>
    <t>05-May-1995</t>
  </si>
  <si>
    <t>7791 3867 2172</t>
  </si>
  <si>
    <t>MADATHIL PARAMBIL ANIL</t>
  </si>
  <si>
    <t>TEACHER PUBLIC SECTOR</t>
  </si>
  <si>
    <t>RUMA MENON</t>
  </si>
  <si>
    <t>ACCOUNT OFFICER</t>
  </si>
  <si>
    <t>H.NO. 16 SURABHI ENCLAVE,BESIDE ESSARJEE SHIV MANDIR,AWADHPURI</t>
  </si>
  <si>
    <t>ROOM NO 411 , ULTIMA BOYS HOSTLE, NICMAR, BALEWADI</t>
  </si>
  <si>
    <t>GYANODAY MEMORIAL HIGHER SECONDARY SCHOOL</t>
  </si>
  <si>
    <t>RAJIV GANDHI PROUDY0GIKI VISHWAVIDYALAYA</t>
  </si>
  <si>
    <t>SAGAR INSTITUTE OF RESEARCH AND TECHNOLOGY</t>
  </si>
  <si>
    <t>AGRAWAL BUILDERS | SITE EXECUTION &amp; MANAGEMENT | BHOPAL | Apr 2022 | Jun 2022 | 7 Weeks</t>
  </si>
  <si>
    <t>AP21491</t>
  </si>
  <si>
    <t>AJGAONKAR</t>
  </si>
  <si>
    <t>Sahil Dinesh Ajgaonkar</t>
  </si>
  <si>
    <t>sahilajgaonkar@gmail.com</t>
  </si>
  <si>
    <t>ap21491@ms.nicmar.ac.in</t>
  </si>
  <si>
    <t>13-Nov-1998</t>
  </si>
  <si>
    <t>3416 1666 3951</t>
  </si>
  <si>
    <t>DINESH DEVRAO AJGAONKAR</t>
  </si>
  <si>
    <t>DIVYA DINESH AJGAONKAR</t>
  </si>
  <si>
    <t>201 GURUDATTA COMPLEX ,SABNISWADA , SAWANTWADI 416510</t>
  </si>
  <si>
    <t>NICMAR ULTIMA HOSTEL</t>
  </si>
  <si>
    <t>MILAGRIS HIGH SCHOOL SAWANTWADI</t>
  </si>
  <si>
    <t>KONKAN DIVISIONAL BOARD</t>
  </si>
  <si>
    <t>RANI PARVATI DEVI COLLEGE SAWANTWADI</t>
  </si>
  <si>
    <t>KOLHAPUR INSTITUTE OF TECHNOLOGY ,KOLHAPUR</t>
  </si>
  <si>
    <t>AutoCAD,MS Office,MS Project,Primavera,MS OFFICE, STADD PRO, BIM, CANDY,@RISK, PRIMAVERA</t>
  </si>
  <si>
    <t>HERITAGE PRINCE REAL ESTATE AND DEVELOPERS | SITE ENGINNER | SIOLIM,GOA | May 2022 | Jun 2022 | 8 Weeks
NIRMAN BUILDERS  DEVELOPERS | CONSULTANT,OFFICE WORK AND MARKING SITE BOUNDARIES , COLUMN LOACTIONS | SAWANTWADI | Mar 2021 | Mar 2021 | 4 Weeks</t>
  </si>
  <si>
    <t>AP21492</t>
  </si>
  <si>
    <t>Sourabh Vijaykumar Shinde</t>
  </si>
  <si>
    <t>SOURABH.SHINDE9093@GMAIL.COM</t>
  </si>
  <si>
    <t>ap21492@ms.nicmar.ac.in</t>
  </si>
  <si>
    <t>9136 4343 6465</t>
  </si>
  <si>
    <t>VIJAYKUMAR VISHNUPANTH SHINDE</t>
  </si>
  <si>
    <t>SAVITA VIJAYKUMAR SHINDE</t>
  </si>
  <si>
    <t>RAM TEMPLE CHOWK, WARD-2 AT/PO- BORGAON TAL-WALWA DIST-SANGLI</t>
  </si>
  <si>
    <t>Uran Islampur</t>
  </si>
  <si>
    <t>VIDYANIKETAN ENGLISH MEDIUM SCHOOL</t>
  </si>
  <si>
    <t>VIDYAMANDIR HIGHSCHOOL AND JUNIOR COLLEGE</t>
  </si>
  <si>
    <t>D.Y. PATIL COLLEGE OF ENGINEERING</t>
  </si>
  <si>
    <t>ANIL PATIL AND ASSOCIATES | TRAINEE CIVIL ENGINEER | ISLAMPUR MAHARASHTRA | Dec 2020 | Feb 2021 | 12 Weeks
PACIFICA COMPANIES | MANAGEMENT TRAINEE | VADODARA GUJRAT | Apr 2022 | Jul 2022 | 12 Weeks</t>
  </si>
  <si>
    <t>AP21493</t>
  </si>
  <si>
    <t>Piyush Mishra</t>
  </si>
  <si>
    <t>0018pm@gmail.com</t>
  </si>
  <si>
    <t>ap21493@ms.nicmar.ac.in</t>
  </si>
  <si>
    <t>SANJAY MISHRA</t>
  </si>
  <si>
    <t>GOVERNMENT PSU EMPLOYEE</t>
  </si>
  <si>
    <t>TARA MISHRA</t>
  </si>
  <si>
    <t>982 FIRST FLOOR, SECTOR 5, WAVE CITY</t>
  </si>
  <si>
    <t>KENDRIYA VIDYALAYA DUL-HASTI PROJECT</t>
  </si>
  <si>
    <t>SHIV JYOTI CONVENT SCHOOL</t>
  </si>
  <si>
    <t>DR APJ ABDUL KALAM TECHNICAL UNIVERSITY LUCKNOW</t>
  </si>
  <si>
    <t>BABU BANARASI DAS NORTHERN INDIA INSTITUTE OF TECHNOLOGY</t>
  </si>
  <si>
    <t>CHANDRALEKHA CONSTRUCTIONS PVT LTD | QUANTITY SURVEYOR (HEAD OFFICE) | NOIDA | Aug 2020 | Aug 2021 | 1 Years, 0 Months, 30 Days | 1.8
CHANDRALEKHA CONSTRUCTIONS PVT LTD | QUANTITY SURVEYOR (HEAD OFFICE) | NOIDA | Aug 2020 | Aug 2021 | 1 Years, 0 Months, 30 Days | 1.8</t>
  </si>
  <si>
    <t>NATIONAL HYDROELECTRIC POWER CORPORATION LTD | TRAINEE | MANIKARAN, HIMACHAL PRADESH | Jun 2017 | Jul 2017 | 5 Weeks
PRISHMA CONSULTANTS PVT LTD | MANAGEMENT TRAINEE | AHMEDABAD | Apr 2022 | Jul 2022 | 13 Weeks</t>
  </si>
  <si>
    <t>AP21494</t>
  </si>
  <si>
    <t>AVINANDAN</t>
  </si>
  <si>
    <t>RAKSHIT</t>
  </si>
  <si>
    <t>Avinandan Rakshit</t>
  </si>
  <si>
    <t>ani9t4@gmail.com</t>
  </si>
  <si>
    <t>ap21494@ms.nicmar.ac.in</t>
  </si>
  <si>
    <t>14-Apr-1994</t>
  </si>
  <si>
    <t>9779 5654 5342</t>
  </si>
  <si>
    <t>LATE PARAG RAKSHIT</t>
  </si>
  <si>
    <t>SUDIPTA RAKSHIT</t>
  </si>
  <si>
    <t>27B GARIAHAT ROAD SOUTH</t>
  </si>
  <si>
    <t>24 Parganas (n)</t>
  </si>
  <si>
    <t>CENTRAL MODEL SCHOOL RIVER SIDE BARRACKPORE WB</t>
  </si>
  <si>
    <t>ELITTE INSTITUTE OF ENGINEERING AND MANAGEMENT,GHOLA,KOLKATA</t>
  </si>
  <si>
    <t>TECHNO INDIA</t>
  </si>
  <si>
    <t>Gannon Dunkerley and company limited | Execution | Odisha | Jul 2019 | Feb 2021 | 1 Years, 7 Months, 5 Days | 2.77
Gannon Dunkerley and company limited | Execution | Odisha | Jul 2019 | Feb 2021 | 1 Years, 7 Months, 5 Days | 2.77</t>
  </si>
  <si>
    <t>SPML INFRA LTD | PROJECT PLANNING  | KOLKATA  | Apr 2022 | Jul 2022 | 10 Weeks</t>
  </si>
  <si>
    <t>AP21495</t>
  </si>
  <si>
    <t>SASWAT</t>
  </si>
  <si>
    <t>Saswat Raut</t>
  </si>
  <si>
    <t>saswat.raut22@gmail.com</t>
  </si>
  <si>
    <t>ap21495@ms.nicmar.ac.in</t>
  </si>
  <si>
    <t>12-Sep-1992</t>
  </si>
  <si>
    <t>ENGLISH,HINDI,ORIYA</t>
  </si>
  <si>
    <t>3508 8961 6907</t>
  </si>
  <si>
    <t>CHHAILENDRA RAUT</t>
  </si>
  <si>
    <t>RETD BANK MANAGER</t>
  </si>
  <si>
    <t>UMA RANI SWAIN</t>
  </si>
  <si>
    <t>H-5/34, GROUND FLOOR, SECTOR-11, ROHINI</t>
  </si>
  <si>
    <t>RUKMANI DEVIL PUBLIC SCHOOL</t>
  </si>
  <si>
    <t>RUKMANI DEVI PUBLIC SCHOOL</t>
  </si>
  <si>
    <t>NATIONAL BUILDING CONSTRUCTION CORPORATION NBCC | EXECUTION DEPARTMENT | DELHI | Jun 2014 | Jun 2014 | 2 Weeks
ARABTEC CONSTRUCTION INDIA PRIVATE LIMITED | QUALITY ENGINEER | DELHI | Oct 2020 | Apr 2021 | 26 Weeks
SMART VALLEY BUILDERS PRIVATE LIMITED | REAL ESTATE INVESTMENT ADVISORY, SALES &amp; MARKETING | LUCKNOW | Apr 2022 | Jun 2022 | 9 Weeks</t>
  </si>
  <si>
    <t>AP21496</t>
  </si>
  <si>
    <t>B V S</t>
  </si>
  <si>
    <t>YASHWANTH</t>
  </si>
  <si>
    <t>B V S Yashwanth</t>
  </si>
  <si>
    <t>yashwanth.boga@gmail.com</t>
  </si>
  <si>
    <t>ap21496@ms.nicmar.ac.in</t>
  </si>
  <si>
    <t>8103 2320 5721</t>
  </si>
  <si>
    <t>B SRINIVASA RAO</t>
  </si>
  <si>
    <t>B PADMAJA</t>
  </si>
  <si>
    <t>H.NO 6-115/1, SRINAGAR COLONY 2ND LANE, NEAR MURREDU BRIDGE, KOTHAGUDEM</t>
  </si>
  <si>
    <t>Kottagudem</t>
  </si>
  <si>
    <t>NAVA BHARAT PUBLIC SCHOOL</t>
  </si>
  <si>
    <t>NARAYANA JUNIOR COLLEGE NALLAKUNTA</t>
  </si>
  <si>
    <t>TELANGANA STATE BOARD OF INTERMEDIATE EDUCATION : HYDERABAD</t>
  </si>
  <si>
    <t>2014-Jun-28</t>
  </si>
  <si>
    <t>2016-May-18</t>
  </si>
  <si>
    <t>JNTUH COLLEGE OF ENGINEERING HYDERABAD (AUTONOMOUS)</t>
  </si>
  <si>
    <t>2016-Aug-05</t>
  </si>
  <si>
    <t>2022-Jan-10</t>
  </si>
  <si>
    <t>2016-Aug-16</t>
  </si>
  <si>
    <t>AutoCAD,MS Office,MS Project,STAAD PRO, E TABS</t>
  </si>
  <si>
    <t>NIHARIKA PROJECTS | SITE ENGINEER | HYDERABAD | May 2019 | May 2019 | 2 Weeks
MAHAVEER GROUP | SITE ENGINEER, QUANTITY SURVEY ENGINEER | BANGALORE | Apr 2022 | Jun 2022 | 7 Weeks</t>
  </si>
  <si>
    <t>AP21498</t>
  </si>
  <si>
    <t>Saurabh Vijay Shelar</t>
  </si>
  <si>
    <t>shelarsaurabh123@gmail.com</t>
  </si>
  <si>
    <t>ap21498@ms.nicmar.ac.in</t>
  </si>
  <si>
    <t>6103 0261 7130</t>
  </si>
  <si>
    <t>VIJAY BHASKAR SHELAR</t>
  </si>
  <si>
    <t>RANJANA VIJAY SHELAR</t>
  </si>
  <si>
    <t>A1/103, VIHANG GARDEN, OPPOSITE RAYMOND COMPANY</t>
  </si>
  <si>
    <t>V G VAZE COLLEGE OF ARTS SCIENCE AND COMMERCE</t>
  </si>
  <si>
    <t>AutoCAD,MS Office,MS Project,Primavera,QUANTITY SURVEYING AND BILLING</t>
  </si>
  <si>
    <t>RAHUL CONSTRUCTIONS | ROLE: OFFICE INTERN, RESPONSIBILITIES: ESTIMATION AND BILLING OF THE QUANTITIES OF MATERIAL AND WORK | NEAR KORUM MALL, THANE | Jun 2019 | Jul 2019 | 2 Weeks
SAHYADRI CONSTRUCTION | ROLE: SITE INTERN, RESPONSIBILITIES: OBSERVING ALL THE SITE ACTIVITIES AND ENSURING THEY ARE PROPERLY BEING EXECUTED. | KOLSHET ROAD, THANE | Dec 2019 | Jan 2020 | 4 Weeks
ARCHITECT RAHUL SHRIKHANDE AND ASSOCIATES | ROLE: INTERN, RESPONSIBILITIES: PRECERTIFICATION WORK OF GRIHA FOR GODREJ CITY PANVEL, IGBC PRE-CERTIFICATION WORK FOR SHASHWAT AANGAN BADLAPUR AS WELL AS IGBC PRE-CERTIFICATION WORK FOR SAI PROVISO I | BADLAPUR, THANE | May 2022 | Jul 2022 | 8 Weeks</t>
  </si>
  <si>
    <t>AP21499</t>
  </si>
  <si>
    <t>ASHBA</t>
  </si>
  <si>
    <t>TASNEEM</t>
  </si>
  <si>
    <t>Ashba Tasneem</t>
  </si>
  <si>
    <t>ashba.tasneem@gmail.com</t>
  </si>
  <si>
    <t>ap21499@ms.nicmar.ac.in</t>
  </si>
  <si>
    <t>27-Oct-1990</t>
  </si>
  <si>
    <t>9088 2569 0222</t>
  </si>
  <si>
    <t>TASNEEM SHAHZAD</t>
  </si>
  <si>
    <t>NISHAT TASNEEM</t>
  </si>
  <si>
    <t>128 C VAISHALI NAGAR</t>
  </si>
  <si>
    <t>ANDES 401 NYATI ETERNITY NEAR PUNEKAR CHOWK MOHAMMADWADI PUNE</t>
  </si>
  <si>
    <t>ST RAPHAEL'S HIGHER SECONDARY SCHOOL</t>
  </si>
  <si>
    <t>ST RAPHAELS HIGHER SECONDARY SCHOOL</t>
  </si>
  <si>
    <t>RAJIV GANDHI PROUDYOGIKI VISHWAVIDYALAYA MADHYA PRADESH</t>
  </si>
  <si>
    <t>SCHOOL OF ARCHITECTURE IPS ACADEMY INDORE</t>
  </si>
  <si>
    <t>SCHOOL OF ARCHITECTURE AND PLANNING BHOPAL</t>
  </si>
  <si>
    <t>M.Arch</t>
  </si>
  <si>
    <t>AutoCAD,MS Office,MS Project,REVIT, PHOTOSHOP, SKETCHUP, ARCGIS</t>
  </si>
  <si>
    <t>UJJAIN SMART CITY LIMTED | PROJECT COORDINATION, MASTERPLANNIG, ARCHITECT, URBAN PLANNING AND DESIGN | UJJAIN | Feb 2020 | Nov 2020 | 0 Years, 8 Months, 29 Days | 5.04
GUJARAT URBAN DEVELOPMENT MISSION | PROJECT MANAGEMENT UNIT, URBAN PLANNING &amp; DESIGN | RAJKOT | Oct 2017 | Feb 2019 | 1 Years, 3 Months, 25 Days | 4.8
NINE SQUARES ARCHITECTS PRIVATE LIMITED | ARCHITECT, MASTERPLANNING, PROJECT PLANNING | INDORE | Aug 2016 | Oct 2017 | 1 Years, 1 Months, 28 Days | 2.76
UJJAIN SMART CITY LIMTED | PROJECT COORDINATION, MASTERPLANNIG, ARCHITECT, URBAN PLANNING AND DESIGN | UJJAIN | Feb 2020 | Nov 2020 | 0 Years, 8 Months, 29 Days | 5.04
GUJARAT URBAN DEVELOPMENT MISSION | PROJECT MANAGEMENT UNIT, URBAN PLANNING &amp; DESIGN | RAJKOT | Oct 2017 | Feb 2019 | 1 Years, 3 Months, 25 Days | 4.8
NINE SQUARES ARCHITECTS PRIVATE LIMITED | ARCHITECT, MASTERPLANNING, PROJECT PLANNING | INDORE | Aug 2016 | Oct 2017 | 1 Years, 1 Months, 28 Days | 2.76</t>
  </si>
  <si>
    <t>NITIN SHRIMALI AND ASSOCIATES | TRAINEE ARCHITECT, PRESENTATIONS, DETAILED PROJECT REPORT, COORDINATION WITH CONTRACTORS, EMAIL HANDLING, TENDER DRAWINGS | INDORE | Jan 2013 | Apr 2013 | 17 Weeks
DIRECTORATE URBAN ADMINISTRATION AND DEVELOPMENT DEPARTMENT BHOPAL | URBAN DESIGNER INTERN, PERFORMED SITE SURVEYS, DRAFTED STREET DESIGN GUIDELINES AND COORDINATED WITH CONTRACTORS, VENDORS ETC | BHOPAL | May 2015 | Jul 2015 | 7 Weeks
CBRE SOUTH ASIA PVT LTD | DEPLOYED UNDER PLANNING DEPARTMENT- PJM ADVISORY; WORKED ON WEEKLY PROGRESS TRACKERS, WEEKLY AND MONTHLY PROGRESS REVIEW REPORTS, MSP SCHEDULE, SNAGGING REPORTS, AGENDA, AND MOMS, PPTS. | PUNE | Apr 2022 | Jul 2022 | 12 Weeks</t>
  </si>
  <si>
    <t>AP21500</t>
  </si>
  <si>
    <t>RISHA</t>
  </si>
  <si>
    <t>HORE</t>
  </si>
  <si>
    <t>Risha Rajendra Hore</t>
  </si>
  <si>
    <t>rishahore09@gmail.com</t>
  </si>
  <si>
    <t>ap21500@ms.nicmar.ac.in</t>
  </si>
  <si>
    <t>7092 3919 1212</t>
  </si>
  <si>
    <t>RAJENDRA VASANTRAO HORE</t>
  </si>
  <si>
    <t>SHALINI RAJENDRA HORE</t>
  </si>
  <si>
    <t>CHUNABHATTI WARD NO 8, BEHIND SONIA GANDHI SCHOOL, RAJURA, DIST :CHANDRAPUR</t>
  </si>
  <si>
    <t>ROOM NO 409, MILLENIUM GIRLS HOSTEL, NICMAR GATE NO 2, BALLEWADI, PUNE</t>
  </si>
  <si>
    <t>STELLA MARIS CONVENT SCHOOL BAMANWADA RAJURA</t>
  </si>
  <si>
    <t>MOHSINBHAI ZAWERI JUNIOR COLLEGE , CHANDRAPUR</t>
  </si>
  <si>
    <t>ALL INDIA SHRI SHIVAJI MEMORIAL SOCIETY, COLLEGE OF ENGINEERING, PUNE</t>
  </si>
  <si>
    <t>AutoCAD,MS Office,MS Project,ADVANCED STADPRO, C &amp; C++</t>
  </si>
  <si>
    <t>AISSMS COLLEGE OF ENGINEERING PUNE | STUDENT | PUNE | Jun 2019 | Nov 2020 | 73 Weeks
THE MYRAID GROUP | INTERN  | PUNE | Sep 2018 | Sep 2018 | 1 Weeks
CBRE PUNE | INTERN  | PUNE | Apr 2022 | Jul 2022 | 11 Weeks</t>
  </si>
  <si>
    <t>AP21501</t>
  </si>
  <si>
    <t>SURUCHI</t>
  </si>
  <si>
    <t>MOTHE</t>
  </si>
  <si>
    <t>Suruchi Suresh Mothe</t>
  </si>
  <si>
    <t>suruchi.mothe@gmail.com</t>
  </si>
  <si>
    <t>ap21501@ms.nicmar.ac.in</t>
  </si>
  <si>
    <t>5911 2231 4657</t>
  </si>
  <si>
    <t>SURESH MOTHE</t>
  </si>
  <si>
    <t>SUREKHA MOTHE</t>
  </si>
  <si>
    <t>PLOT NO.3, MAMA LAYOUT, GITA NAGAR, ZINGABAI TAKLI,P.O. MANKAPUR</t>
  </si>
  <si>
    <t>CENTRE POINT SCHOOL, NAGPUR</t>
  </si>
  <si>
    <t>TAYWADE JUNIOR COLLEGE, NAGPUR</t>
  </si>
  <si>
    <t>AUTONOMOUS INSTITUTIONS</t>
  </si>
  <si>
    <t>INTEGRITY CONSTRUCTION PVT LTD | SITE EXECUTION AND MANAGEMENT | NAGPUR | Jan 2021 | Apr 2021 | 15 Weeks
PRISHMA CONSULTANTS PVT LTD | PROJECT MANAGEMENT | AHMEDEBAD | Apr 2022 | Jul 2022 | 11 Weeks</t>
  </si>
  <si>
    <t>AP21502</t>
  </si>
  <si>
    <t>BISWARUPA</t>
  </si>
  <si>
    <t>Biswarupa Biswas</t>
  </si>
  <si>
    <t>biswarupabiswas27@gmail.com</t>
  </si>
  <si>
    <t>ap21502@ms.nicmar.ac.in</t>
  </si>
  <si>
    <t>19-Nov-1998</t>
  </si>
  <si>
    <t>7746 9260 6619</t>
  </si>
  <si>
    <t>SUBRATA BISWAS</t>
  </si>
  <si>
    <t>BARNALI BISWAS</t>
  </si>
  <si>
    <t>NATUN GRAM TRANSFORMER MORE, EAST BIDYADHARPUR, NEAR SUTAPA BUILDERS</t>
  </si>
  <si>
    <t>SHYAMNAGAR BALIKA VIDYALAYA</t>
  </si>
  <si>
    <t>REGENT EDUCATION AND RESEARCH FOUNDATION</t>
  </si>
  <si>
    <t>HOOGHLY ENGINEERING AND TECHNOLOGY COLLEGE</t>
  </si>
  <si>
    <t>PWD BARRACKPUR DIVISION | JUNIOR ENGINEER  | BARRACKPORE, DIS- 24 P.G.S.(N), PIN-120 | Jun 2017 | Jul 2017 | 3 Weeks
MAIDUL INSTITUTE OF INFORMATION TECHNOLOGY | ESTIMATION | SHYAMNAGAR, KOLKATA, 743127 | Jan 2021 | Feb 2021 | 4 Weeks
ILEAD FOUNDATION | JUNIOR SITE ENGINEER  | KOLKATA | May 2022 | Jul 2022 | 13 Weeks</t>
  </si>
  <si>
    <t>AP21503</t>
  </si>
  <si>
    <t>SUDHIRJI</t>
  </si>
  <si>
    <t>MALANI</t>
  </si>
  <si>
    <t>Ram Sudhirji Malani</t>
  </si>
  <si>
    <t>RAMMALANI308@GMAIL.COM</t>
  </si>
  <si>
    <t>ap21503@ms.nicmar.ac.in</t>
  </si>
  <si>
    <t>2872 9765 2909</t>
  </si>
  <si>
    <t>SUDHIR SOHANLAL MALANI</t>
  </si>
  <si>
    <t>MAMTA SUDHIR MALANI</t>
  </si>
  <si>
    <t>MALANI GINNING CENTRE BORI ARAB TK DARWHA</t>
  </si>
  <si>
    <t>2014-Apr-26</t>
  </si>
  <si>
    <t>JAJOO JR. COLLEGE YAVATMAL</t>
  </si>
  <si>
    <t>2016-Jun-12</t>
  </si>
  <si>
    <t>AFFILIATED TO RASHTRASANT TUKDOJI MAHARAJ NAGPUR UNIVERSITY, NAGPUR</t>
  </si>
  <si>
    <t>2017-Aug-03</t>
  </si>
  <si>
    <t>2021-May-29</t>
  </si>
  <si>
    <t>SDM INFRAVENTURES | SITE EXECUTION | HINGANGHAT | Jan 2021 | Apr 2021 | 15 Weeks
PAVETECH CONSULTANTS | SITE EXECUTION AND SITE SUPERVISOR | PIUNE | Apr 2022 | Sep 2022 | 21 Weeks</t>
  </si>
  <si>
    <t>AP21504</t>
  </si>
  <si>
    <t>DONGARE</t>
  </si>
  <si>
    <t>Sudarshan Mahesh Dongare</t>
  </si>
  <si>
    <t>sudarshan.dongare2511@gmail.com</t>
  </si>
  <si>
    <t>ap21504@ms.nicmar.ac.in</t>
  </si>
  <si>
    <t>ENGLISH, MARATHI, HINDI, GUJRATI</t>
  </si>
  <si>
    <t>3074 9791 5877</t>
  </si>
  <si>
    <t>MAHESH RAMCHANDRA DONGARE</t>
  </si>
  <si>
    <t>NIRMALA MAHESH DONGARE</t>
  </si>
  <si>
    <t>A-29-11 SOMESHWAR CHS MG COMPLEX SECTOR-14 VASHI NAVI MUMBAI</t>
  </si>
  <si>
    <t>FR.AGNEL MULTIPURPOSE SCHOOL</t>
  </si>
  <si>
    <t>CHHATRAPATI SHVAJI MAHARAJ INSTITUTE OF TECHNOLOGY</t>
  </si>
  <si>
    <t>Hiten Sethi Architects - HSA | Engineer | Navi Mumbai | Sep 2019 | Aug 2021 | 1 Years, 11 Months, 13 Days | 2.4
Hiten Sethi Architects - HSA | Engineer | Navi Mumbai | Sep 2019 | Aug 2021 | 1 Years, 11 Months, 13 Days | 2.4</t>
  </si>
  <si>
    <t>JAWAHARLAL NEHRU PORT AUTHORITY | PLANNING DEPARTMENT, PORT PLANNING &amp; CONTRACTS. | NAVI MUMBAI | May 2022 | Jun 2022 | 8 Weeks</t>
  </si>
  <si>
    <t>AP21505</t>
  </si>
  <si>
    <t>BASIL</t>
  </si>
  <si>
    <t>Abraham Basil</t>
  </si>
  <si>
    <t>ABRAHAMBASIL97@GMAIL.COM</t>
  </si>
  <si>
    <t>ap21505@ms.nicmar.ac.in</t>
  </si>
  <si>
    <t>ENGLISH, MALAYALAM,HINDI</t>
  </si>
  <si>
    <t>8518 9728 6394</t>
  </si>
  <si>
    <t>BASIL ABRAHAM</t>
  </si>
  <si>
    <t>NEEMA BASIL</t>
  </si>
  <si>
    <t>KOTTANCHERIL HOUSE, MATHIRAPPILLY, M A COLLEGE P.O, KOTHAMANGALAM</t>
  </si>
  <si>
    <t>Kothamangalam</t>
  </si>
  <si>
    <t>ST THOMAS PUBLIC SCHOOL</t>
  </si>
  <si>
    <t>KOTTANCHERIL BUILDERS AND CONSULTANTS PVT.LTD | SITE MANAGEMENT | KOTHAMANGALAM | Jul 2019 | Apr 2021 | 1 Years, 9 Months, 29 Days | 1.8
KOTTANCHERIL BUILDERS AND CONSULTANTS PVT.LTD | SITE MANAGEMENT | KOTHAMANGALAM | Jul 2019 | Apr 2021 | 1 Years, 9 Months, 29 Days | 1.8</t>
  </si>
  <si>
    <t>MARYMATHA CONSTRUCTION COMPANY | WORKED AS AN INTERN | AMBALAMEDU | Jun 2016 | Jun 2016 | 2 Weeks
NECHUPADAM CONSTRUCTIONS PRIVATE LIMITED | WORKED AS AN INTERN | ATHIRAPALLY | Jun 2018 | Jun 2018 | 2 Weeks
AFCONS INFRASTRUCTURE LIMITED | PLANNING AND EXECUTION INTERN | KHOPOLI, MAHARASHTRA | May 2022 | Jul 2022 | 9 Weeks</t>
  </si>
  <si>
    <t>AP21506</t>
  </si>
  <si>
    <t>ADWAIT</t>
  </si>
  <si>
    <t>JADHAV PATIL</t>
  </si>
  <si>
    <t>Adwait Milind Jadhav Patil</t>
  </si>
  <si>
    <t>ADWAITJADHAVPATIL@GMAIL.COM</t>
  </si>
  <si>
    <t>ap21506@ms.nicmar.ac.in</t>
  </si>
  <si>
    <t>8812 0686 0190</t>
  </si>
  <si>
    <t>MILIND LAXMANRAO JADHAV PATIL</t>
  </si>
  <si>
    <t>UJWALA MILIND JADHAV PATIL</t>
  </si>
  <si>
    <t>PLOT 4/5 VIKASNAGAR, POST SANGAMNAGAR, KHED</t>
  </si>
  <si>
    <t>C-1003, TREASURE PARK SOCIETY, PARVATI DARSHAN, SAHAKARNAGAR, PUNE</t>
  </si>
  <si>
    <t>MONA SCHOOL</t>
  </si>
  <si>
    <t>2015-Mar-23</t>
  </si>
  <si>
    <t>CHHATRAPATI SHAHU ACADEMY JUNIOR COLLEGE OF SCIENCE</t>
  </si>
  <si>
    <t>UTKARSH INDUS CONSTRUCTION PRIVATE LIMITED | SITE ENGINEER | SATARA | Dec 2020 | Mar 2021 | 17 Weeks
T AND T INFRA LTD | SITE ENGINEER | PUNE | May 2022 | Jul 2022 | 7 Weeks</t>
  </si>
  <si>
    <t>AP21508</t>
  </si>
  <si>
    <t>MH</t>
  </si>
  <si>
    <t>Varun Gowda Mh</t>
  </si>
  <si>
    <t>varungowdamh@gmail.com</t>
  </si>
  <si>
    <t>ap21508@ms.nicmar.ac.in</t>
  </si>
  <si>
    <t>9351 6664 4561</t>
  </si>
  <si>
    <t>HOMBE GOWDA</t>
  </si>
  <si>
    <t>ASSISTANT HORTICULTURE OFFICER</t>
  </si>
  <si>
    <t>F8-A,9TH CROSS,RAMANUJA ROAD</t>
  </si>
  <si>
    <t>788/21 12TH CROSS RAMANUJA ROAD</t>
  </si>
  <si>
    <t>SADVIDYA HIGH SCHOOL</t>
  </si>
  <si>
    <t>SADVIDYA COMPOSITE PRE-UNIVERSITY COLLEGE</t>
  </si>
  <si>
    <t>MYSORE CITY CO OPERATIONS | SITE INSPECTOR | MYSORE  | Jun 2019 | Aug 2019 | 11 Weeks
MAHAVEER GROUPS | QUALITY CONTROL  | BANGALORE  | Apr 2022 | Jun 2022 | 7 Weeks</t>
  </si>
  <si>
    <t>AP21509</t>
  </si>
  <si>
    <t>GYANENDRA</t>
  </si>
  <si>
    <t>JHA</t>
  </si>
  <si>
    <t>Gyanendra Kumar Jha</t>
  </si>
  <si>
    <t>KUMARGYANENDRA642@GMAIL.COM</t>
  </si>
  <si>
    <t>ap21509@ms.nicmar.ac.in</t>
  </si>
  <si>
    <t>20-Jan-1997</t>
  </si>
  <si>
    <t>7521 9097 3483</t>
  </si>
  <si>
    <t>JAY SHANKAR JHA</t>
  </si>
  <si>
    <t>BIBHA DEVI</t>
  </si>
  <si>
    <t>WARD NUMBER 10, MAGARDAHI GHAT, NEAR LAXMI TALKIES, SAMASTIPUR, BIHAR</t>
  </si>
  <si>
    <t>WARD NUMBER 10, MAGARDAHI GHAT, NEAR LAXMI TALKIES,SAMASTIPUR,BIHAR</t>
  </si>
  <si>
    <t>ST PAUL SECONDARY SCHOOL</t>
  </si>
  <si>
    <t>KALINGA INSTITUTE OF INDUSTRIAL TECHNOLOGY UNIVERSITY</t>
  </si>
  <si>
    <t>FEMC PRATIBHA JV | INDUSTRIAL TRAINEE | NEW DELHI | May 2016 | May 2016 | 4 Weeks
FEMC PRATIBHA JV | PROJECT EXECUTION TEAM  | NEW DELHI | May 2017 | Jun 2017 | 4 Weeks
MADHURE INFRA ENGINEERING PVT LTD | SITE EXECUTION | PUNE | Apr 2022 | Jul 2022 | 12 Weeks</t>
  </si>
  <si>
    <t>AP21510</t>
  </si>
  <si>
    <t>GHOTANE</t>
  </si>
  <si>
    <t>Yash Naveen Ghotane</t>
  </si>
  <si>
    <t>YASHGHOTANE9@GMAIL.COM</t>
  </si>
  <si>
    <t>ap21510@ms.nicmar.ac.in</t>
  </si>
  <si>
    <t>6084 2985 0022</t>
  </si>
  <si>
    <t>NAVEEN SADANAND GHOTANE</t>
  </si>
  <si>
    <t>KALYANI NAVEEN GHOTANE</t>
  </si>
  <si>
    <t>PLOT NO. 30 PADMA HOUSING SOCIETY, OPP SSC BOARD, SHIVAJI UNIVERSITY, KOLHAPUR</t>
  </si>
  <si>
    <t>B3-1301 F-RESIDENCES, NEAR BALEWADI HIGH STREET, BALEWADI, PUNE</t>
  </si>
  <si>
    <t>CHHATRAPATI SHAHU VIDYALAYA AND JUNIOR COLLEGE</t>
  </si>
  <si>
    <t>SINHGAD INSTITUTE OF TECHNOLOGY AND SCIENCE, NARHE, AMBEGOAN, PUNE</t>
  </si>
  <si>
    <t>FINWIZARD TECHNOLOGY PRIVATE LIMITED | 1) NEW INVESTOR ACQUISITION. 2) ONBOARDING THE ACQUIRED  INVESTOR ON FISDOM APP. 3) INVESTMENT SUGGESTIONS AS PER THE PROFILE OF THE INVESTOR. 4) POST SALES SERVICES TO THE INVESTOR. | KOLHAPUR | Jan 2021 | Jul 2021 | 0 Years, 5 Months, 21 Days | 3
FINWIZARD TECHNOLOGY PRIVATE LIMITED | 1) NEW INVESTOR ACQUISITION. 2) ONBOARDING THE ACQUIRED  INVESTOR ON FISDOM APP. 3) INVESTMENT SUGGESTIONS AS PER THE PROFILE OF THE INVESTOR. 4) POST SALES SERVICES TO THE INVESTOR. | KOLHAPUR | Jan 2021 | Jul 2021 | 0 Years, 5 Months, 21 Days | 3</t>
  </si>
  <si>
    <t>CON TECH PROJECTS AND INFRA PRIVATE LIMITED | JUNIOR ENGINEER | KOLHAPUR | Dec 2018 | Jan 2019 | 3 Weeks
PARANJAPE SCHEMES CONSTRUCTION LIMITED | MANAGEMENT TRAINEE | PUNE | May 2022 | Jul 2022 | 8 Weeks</t>
  </si>
  <si>
    <t>AP21511</t>
  </si>
  <si>
    <t>GURUJULA</t>
  </si>
  <si>
    <t>Sunil Gurujula</t>
  </si>
  <si>
    <t>gurujulasunil@gmail.com</t>
  </si>
  <si>
    <t>ap21511@ms.nicmar.ac.in</t>
  </si>
  <si>
    <t>6610 6826 0775</t>
  </si>
  <si>
    <t>VENU GOPALA MURALI KRISHNA</t>
  </si>
  <si>
    <t>GURUJULA PADMAVATHI</t>
  </si>
  <si>
    <t>1-77,AAVU BOMMA CENTRE,NEAR RAMALAYAM,CHANAMILLI,NIDAMARRU MANDAL.</t>
  </si>
  <si>
    <t>RAVINDRA BHARATHI PUBLIC SCHOOL</t>
  </si>
  <si>
    <t>GIET COLLEGE OF ENGINEERING</t>
  </si>
  <si>
    <t>BSR INFRA | Quantity surveying &amp;Billing. | Rajahmundry | May 2020 | Aug 2021 | 1 Years, 3 Months, 26 Days | 1.74
BSR INFRA | Quantity surveying &amp;Billing. | Rajahmundry | May 2020 | Aug 2021 | 1 Years, 3 Months, 26 Days | 1.74</t>
  </si>
  <si>
    <t>MAHAVEER GROUP | 1. PLANNING AND SCHEDULING OF THE PROJECT  2.UPDATING AND RESCHEDULING THE PROJECT ACCORDING TO THE PROGRESS OF THE WORK DONE. 3.PREPARING LOOK AHEAD PLAN FOR THE EXECUTION TEAM. | BANGALORE | Apr 2022 | Jun 2022 | 7 Weeks</t>
  </si>
  <si>
    <t>AP21512</t>
  </si>
  <si>
    <t>ANIRUDH REDDY</t>
  </si>
  <si>
    <t>GUNDALA</t>
  </si>
  <si>
    <t>Anirudh Reddy Gundala</t>
  </si>
  <si>
    <t>ANIRUDHGUNDALA@GMAIL.COM</t>
  </si>
  <si>
    <t>ap21512@ms.nicmar.ac.in</t>
  </si>
  <si>
    <t>ENGLIISH, HINDHI, TELUGU, TAMIL</t>
  </si>
  <si>
    <t>6108 0366 2177</t>
  </si>
  <si>
    <t>GUNDALA VIDYADAR REDDY</t>
  </si>
  <si>
    <t>GUNDALA KAVITHA</t>
  </si>
  <si>
    <t>D.NO.1-3-135/3 NAVAB PETA, BANGALATHOTA</t>
  </si>
  <si>
    <t>MPL HIGH SCHOOL BHAKTHAVASTHALANAGAR</t>
  </si>
  <si>
    <t>SRI GAYATHRI JUNIOR COLLEGE</t>
  </si>
  <si>
    <t>SRI CHANDRA SEKHARENDRA SARASWATHI VISWA MAHA VIDYALAYA</t>
  </si>
  <si>
    <t>ONGOLE MUNICIPAL CORPORATION | SURVEYOR | ONGOLE | Jun 2018 | Jun 2018 | 2 Weeks
RAKI AVENUES PRIVATE LIMITED | SITE ENGINEER | RAJAHMUNDRY | Feb 2021 | Apr 2021 | 12 Weeks
CBRE | INTERIOR FITOUTS  | PUNE | Jun 2022 | Jul 2022 | 6 Weeks</t>
  </si>
  <si>
    <t>AP21513</t>
  </si>
  <si>
    <t>DANGARI</t>
  </si>
  <si>
    <t>TANUSHRI</t>
  </si>
  <si>
    <t>Dangari Tanushri Babarao</t>
  </si>
  <si>
    <t>TANUSHRIDANGARI@GMAIL.COM</t>
  </si>
  <si>
    <t>ap21513@ms.nicmar.ac.in</t>
  </si>
  <si>
    <t>13-Jun-1999</t>
  </si>
  <si>
    <t>4104 0884 3592</t>
  </si>
  <si>
    <t>BABARAO DASHRATH DANGARI</t>
  </si>
  <si>
    <t>HEMALATA BABARAO DANGARI</t>
  </si>
  <si>
    <t>KARLA ROAD, SAHYOG COLONY</t>
  </si>
  <si>
    <t>AGRAGAMI CONVENT SCHOOL WARDHA</t>
  </si>
  <si>
    <t>NEW ARTS COMMERCE AND SCIENCE COLLEGE</t>
  </si>
  <si>
    <t>BAJAJ INSTITUTE OF TECHNOLOGY</t>
  </si>
  <si>
    <t>AutoCAD,MS Office,MS Project,Primavera,REVIT BASICS</t>
  </si>
  <si>
    <t>BAJAJ AUTO LIMITED | LEARNING | AURANGABAD | Jun 2018 | Jun 2018 | 2 Weeks
TECHOPS INFRASTRUCTURE PVT LTD | SUPERVISION WORK | NAGPUR | Jan 2021 | Jun 2021 | 21 Weeks
LIVIT TECHNOLOGIES PVT LTD | 1. HANDLING PROPERTY MANAGEMENT SYSTEM SOFTWARE 2. MAINTAINING RECORDS OF SALES DEPARTMENT, ONBOARDING PROCESSESS AND CLIENT CONVERSIONS 3. IDENTIFYING AND CONVERTING POTENTIAL CLIENTS 4. TIME TO TIME | PUNE  | Apr 2022 | Jun 2022 | 7 Weeks</t>
  </si>
  <si>
    <t>AP21514</t>
  </si>
  <si>
    <t>AKARSHAN</t>
  </si>
  <si>
    <t>Akarshan Rakesh</t>
  </si>
  <si>
    <t>akarshanr8@gmail.com</t>
  </si>
  <si>
    <t>ap21514@ms.nicmar.ac.in</t>
  </si>
  <si>
    <t>23-Sep-1997</t>
  </si>
  <si>
    <t>ENGLISH, HINDI, ASSAMESE, BENGALI, GERMAN</t>
  </si>
  <si>
    <t>3962 6435 1414</t>
  </si>
  <si>
    <t>RAKESH SINGHAL</t>
  </si>
  <si>
    <t>BABITA SINGHAL</t>
  </si>
  <si>
    <t>104-B, REGENT, SHIPRA SUNCITY</t>
  </si>
  <si>
    <t>AMITY INTERNATIONAL SCHOOL, MAYUR VIHAR</t>
  </si>
  <si>
    <t>AutoCAD,MS Office,STAADPRO, QGIS, SQL</t>
  </si>
  <si>
    <t>I-PAC | My responsibility, as an analyst, involves collection and interpretation of various electoral data and identifying patterns and trends in the data set. Not only this, but also it incorporates working alongside teams within the management to establish the  | Hyderabad | Jan 2020 | Aug 2021 | 1 Years, 6 Months, 29 Days | 6.04
I-PAC | My responsibility, as an analyst, involves collection and interpretation of various electoral data and identifying patterns and trends in the data set. Not only this, but also it incorporates working alongside teams within the management to establish the  | Hyderabad | Jan 2020 | Aug 2021 | 1 Years, 6 Months, 29 Days | 6.04</t>
  </si>
  <si>
    <t>AFCONS INFRASTRUCTURE LIMITED | TRAINEE AT EXECUTION AND PLANNING DEPARTMENT | BHAGALPUR | May 2022 | Jul 2022 | 10 Weeks | Campus Internship
DELHI METRO RAIL CORPORATION | SITE ENGINEER | NOIDA | May 2017 | Jun 2017 | 3 Weeks
OIL INDIA LIMITED | SITE SUPERVISOR | NOIDA | Jun 2018 | Jun 2018 | 4 Weeks</t>
  </si>
  <si>
    <t>AP21515</t>
  </si>
  <si>
    <t>P Br Kashyap</t>
  </si>
  <si>
    <t>kashyapragavendra@gmail.com</t>
  </si>
  <si>
    <t>ap21515@ms.nicmar.ac.in</t>
  </si>
  <si>
    <t>04-Sep-1999</t>
  </si>
  <si>
    <t>3802 9436 5029</t>
  </si>
  <si>
    <t>P GIRI BABU</t>
  </si>
  <si>
    <t>P RADHA SAVITHRI</t>
  </si>
  <si>
    <t>OUTSOURCING EMPLOYEE</t>
  </si>
  <si>
    <t>5-12-183 1/A,MANGAPURAM COLONY,MOULALI.</t>
  </si>
  <si>
    <t>BHAVANS SRI RAMAKRISHNA VIDYALAYA,SAINIKPURI</t>
  </si>
  <si>
    <t>2003-Jun-12</t>
  </si>
  <si>
    <t>2015-Mar-12</t>
  </si>
  <si>
    <t>2015-Jun-11</t>
  </si>
  <si>
    <t>2017-Mar-15</t>
  </si>
  <si>
    <t>ACE ENGINEERING COLLEGE,HYDERABAD</t>
  </si>
  <si>
    <t>AutoCAD,MS Office,MS EXCEL</t>
  </si>
  <si>
    <t>IMPERIUM CONSTRUCTIONS | INTERN | HYDERABAD | Apr 2021 | May 2021 | 4 Weeks
LARSEN AND TOUBRO | SITE EXECUTION-FINISHING DEPARTMENT  | HYDERABAD | Apr 2022 | Jul 2022 | 9 Weeks</t>
  </si>
  <si>
    <t>AP21516</t>
  </si>
  <si>
    <t>VARUSHI</t>
  </si>
  <si>
    <t>Varushi Jain</t>
  </si>
  <si>
    <t>VARUSHIJ22@GMAIL.COM</t>
  </si>
  <si>
    <t>ap21516@ms.nicmar.ac.in</t>
  </si>
  <si>
    <t>14-Jul-1992</t>
  </si>
  <si>
    <t>4050 6440 7547</t>
  </si>
  <si>
    <t>ASHOK KUMAR JAIN</t>
  </si>
  <si>
    <t>SCHOOL CHAIRMAN</t>
  </si>
  <si>
    <t>SADHNA JAIN</t>
  </si>
  <si>
    <t>SAHYOG HOSPITAL ROAD, DUBEY COLONY, IN FRONT OF DR. HEMENDRA SHARMA</t>
  </si>
  <si>
    <t>ST. GEORGE'S SCHOOL ALAKNANDA NEW DELHI</t>
  </si>
  <si>
    <t>AMITY INTERNATIONAL SCHOOL M-BLOCK SAKET NEW DELHI</t>
  </si>
  <si>
    <t>ACCURATE INSTITUTE OF ARCHITECTURE AND PLANNING</t>
  </si>
  <si>
    <t>IPE Global Ltd in Association with Pricewaterhousecoopers Ltd | Architect | Ujjain, Madhya Pradesh, India | Jan 2019 | Jan 2020 | 1 Years, 0 Months, 21 Days | 2.4
IPE Global Ltd in Association with Pricewaterhousecoopers Ltd | Architect | Ujjain, Madhya Pradesh, India | Jan 2019 | Jan 2020 | 1 Years, 0 Months, 21 Days | 2.4</t>
  </si>
  <si>
    <t>HOXTON AND URBAN LTD | PRESENTATION SKILLS, CONCEPTUAL DESIGN DEVELOPMENT, DEVELOPMENT OF WORKING DRAWINGS, INTERIOR DESIGN, 3D RENDERING, COMMUNICATION SKILLS, RESEARCH WORK | NOIDA | May 2018 | May 2018 | 0 Weeks
QUICKREACH INC | BUSINESS DEVELOPMENT AND RESEARCH | PUNE | Apr 2022 | Jul 2022 | 13 Weeks</t>
  </si>
  <si>
    <t>AP21517</t>
  </si>
  <si>
    <t>SUSHREE</t>
  </si>
  <si>
    <t>Sushree Chandan Dash</t>
  </si>
  <si>
    <t>sushreechandandash@gmail.com</t>
  </si>
  <si>
    <t>ap21517@ms.nicmar.ac.in</t>
  </si>
  <si>
    <t>9714 5600 5987</t>
  </si>
  <si>
    <t>SUSHANTA KUMAR DASH</t>
  </si>
  <si>
    <t>NAMITA DASH</t>
  </si>
  <si>
    <t>P. NO. 1042, KRUSHNESWAR PATANA, KANTILO</t>
  </si>
  <si>
    <t>Kantilo</t>
  </si>
  <si>
    <t>NEELAMADHAB BIDYAPITHA</t>
  </si>
  <si>
    <t>COLLEGE OF BASIC SCIENCE AND HUMANITIES</t>
  </si>
  <si>
    <t>COLLEGE OF ENGINEERING AND TECHNOLOGY, BHUBANESWAR</t>
  </si>
  <si>
    <t>SINGHANIA BUILDCON PRIVATE LIMITED | ENGINEERING TRAINEE | RAIPUR, CHHATTISGARH | May 2022 | Jul 2022 | 8 Weeks
OBCC LIMITED | UNDER GRADUATE TRAINEE | BHUBANESWAR, ODISHA | Jun 2019 | Jun 2019 | 4 Weeks</t>
  </si>
  <si>
    <t>PGP-EPM</t>
  </si>
  <si>
    <t>PP21001</t>
  </si>
  <si>
    <t>SAI SHIVA PRASANTH</t>
  </si>
  <si>
    <t>VEDULA</t>
  </si>
  <si>
    <t>Sai Shiva Prasanth Vedula</t>
  </si>
  <si>
    <t>VSSPRASHANTH@GMAIL.COM</t>
  </si>
  <si>
    <t>pp21001@ms.nicmar.ac.in</t>
  </si>
  <si>
    <t>ENGLISH, TELUGU, TAMIL, HINDI</t>
  </si>
  <si>
    <t>3164 7512 2437</t>
  </si>
  <si>
    <t>VEDULA SRINIVASARAO</t>
  </si>
  <si>
    <t>VEDULA PADMAVATHI</t>
  </si>
  <si>
    <t>H.NO.402, AMUS GREEN VALLEY APTS, SAGARNAGAR, VISAKHAPATNAM-45</t>
  </si>
  <si>
    <t>GITAM UNIVERSITY</t>
  </si>
  <si>
    <t>MS Office,Primavera,FUSION 360</t>
  </si>
  <si>
    <t>L&amp;T HYDROCARBON ENGINEERING LIMITED | MECHANICAL TRAINEE | VISAKHAPATNAM | Jan 2019 | May 2020 | 1 Years, 4 Months, 0 Days | 2.4
HINDUSTAN PETROLEUM CORPORATION LIMITED | APPRENTICE IN PROJECTS DEPARTMENT | VISAKHAPATNAM | Dec 2017 | Dec 2018 | 0 Years, 11 Months, 29 Days | 3
GOPAL TEKNOCON PVT LTD | PLANNING AND DOCUMENTATION | VISAKHAPATNAM | Jun 2017 | Nov 2017 | 0 Years, 5 Months, 18 Days | 1.5</t>
  </si>
  <si>
    <t>VISAKHAPATNAM STEEL PLANT | LEARNING ,DOCUMENTATION AND REPORT PREPARATION | VISAKHAPATNAM | May 2016 | May 2016 | 3 Weeks
TATA PROJECTS LIMITED | PROJECT PLANNING &amp; CO-ORDINATION ,  PREPARED DAILY PROGRESS REPORTS AND CHECKED WORK  PROGRESS , PREPARED WEEKLY AND MONTHLY REVIEW REPORTS  FOR CLIENT AUDITS AND MEETINGS , PREPARED MACHINERY LIST | BALOTRA , RAJASTHAN , INDIA | May 2022 | Jul 2022 | 12 Weeks</t>
  </si>
  <si>
    <t>PP21002</t>
  </si>
  <si>
    <t>Ashish Sharma</t>
  </si>
  <si>
    <t>asharma6111@gmail.com</t>
  </si>
  <si>
    <t>pp21002@ms.nicmar.ac.in</t>
  </si>
  <si>
    <t>06-Aug-1995</t>
  </si>
  <si>
    <t>5968 5564 3153</t>
  </si>
  <si>
    <t>VISHWA DEV SHARMA</t>
  </si>
  <si>
    <t>CRIMINAL LAWYER</t>
  </si>
  <si>
    <t>MAMTA SHARMA</t>
  </si>
  <si>
    <t>H. NO. 113L, ABHISHEK NAGAR, BALLA KA DERA, OPPOSITE RAGHU KEWAT DHARAMSHALA</t>
  </si>
  <si>
    <t>Dabra</t>
  </si>
  <si>
    <t>SANT KANWAR RAM HIGH SCHOOL</t>
  </si>
  <si>
    <t>VANKHANDESHWAR HIGHER SECONDARY SCHOOL</t>
  </si>
  <si>
    <t>INSTITUTE OF INFORMATION TECHNOLOGY AND MANAGEMENT, GWALIOR</t>
  </si>
  <si>
    <t>AutoCAD,MS Office,STAAD.PRO</t>
  </si>
  <si>
    <t>Kushwah and Kushwah Architect | QA/QC Engineer Civil | Gwalior | Nov 2019 | Apr 2021 | 1 Years, 5 Months, 14 Days | 1.8</t>
  </si>
  <si>
    <t>PUBLIC WORK DEPARTMENT | SITE EXECUTION | GWALIOR | Jun 2017 | Jul 2017 | 4 Weeks
SYCOM PROJECTS CONSULTANTS PRIVATE LIMITED | PROJECT MANAGEMENT INTERN &amp; FORMULATING COST ESTIMATES FOR CONSTRUCTION RELATED ACTIVITIES, GATHERING SECONDARY DESK RESEARCH, AND COLLECTING &amp; COLLATING VEHICLE AND EQUIPMENT QUOTATION AS PER PROJECT | DELHI | May 2022 | Jul 2022 | 12 Weeks</t>
  </si>
  <si>
    <t>PP21003</t>
  </si>
  <si>
    <t>Siddhant Nayak</t>
  </si>
  <si>
    <t>siddhantnayak023@gmail.com</t>
  </si>
  <si>
    <t>pp21003@ms.nicmar.ac.in</t>
  </si>
  <si>
    <t>4386 0211 1909</t>
  </si>
  <si>
    <t>SIDDHANT NAYAK</t>
  </si>
  <si>
    <t>EMPLOYEE IN HINDALCO CO</t>
  </si>
  <si>
    <t>SUSHMA NAYAK</t>
  </si>
  <si>
    <t>EMPLOYEE IN ULTRATECH CEMENT</t>
  </si>
  <si>
    <t>FALT NO-402,KASTURI HEIGHTS,SEC-20</t>
  </si>
  <si>
    <t>4TH FLOOR,ASHOKA HEIGHTS,BUILDING A</t>
  </si>
  <si>
    <t>ADITYA BIRLA PUBLIC SCHOOL</t>
  </si>
  <si>
    <t>2011-Apr-04</t>
  </si>
  <si>
    <t>SHRI SHANKARACHARYA GROUP OF INSTITUTION</t>
  </si>
  <si>
    <t>2018-Jun-21</t>
  </si>
  <si>
    <t>SIMPLEX CASTING LTD | TRAINEE | BHILAI | Jul 2016 | Jul 2016 | 4 Weeks
JAWAHARLAL NEHRU PORT TRUST | PORT PLANNING | MUMBAI | May 2022 | Jun 2022 | 8 Weeks</t>
  </si>
  <si>
    <t>PP21004</t>
  </si>
  <si>
    <t>VIPLAV</t>
  </si>
  <si>
    <t>Viplav Santosh Sadavarte</t>
  </si>
  <si>
    <t>vipsadawarte@gmail.com</t>
  </si>
  <si>
    <t>pp21004@ms.nicmar.ac.in</t>
  </si>
  <si>
    <t>08-Aug-1996</t>
  </si>
  <si>
    <t>6699 5738 7951</t>
  </si>
  <si>
    <t>SANTOSH PANDURANG SADAVARTE</t>
  </si>
  <si>
    <t>SUNITA SANTOSH SADAVARTE</t>
  </si>
  <si>
    <t>FLAT NO-09, SARASWATI CHAMBERS, CHINCHBAN ROAD, MALEGAON STAND, PANCHAVATI</t>
  </si>
  <si>
    <t>SILVER OAK UNIVERSAL SCHOOL</t>
  </si>
  <si>
    <t>2011-May-15</t>
  </si>
  <si>
    <t>2012-Mar-30</t>
  </si>
  <si>
    <t>KRANTIVEER VASANTRAO NARAYANRAO NAIK ARTS COMMERCE SCIENCE COLLEGE</t>
  </si>
  <si>
    <t>2013-May-15</t>
  </si>
  <si>
    <t>2014-Feb-27</t>
  </si>
  <si>
    <t>KARMAVEER KAKASAHEB WAGH INSTITUTE OF ENGINEERING EDUCATION AND RESEARCH</t>
  </si>
  <si>
    <t>2014-Jul-18</t>
  </si>
  <si>
    <t>2018-Jul-04</t>
  </si>
  <si>
    <t>JMC PROJECTS (I) LTD. | BILLING | MUMBAI &amp; SUBURBS | Jun 2018 | Jul 2021 | 3 Years, 0 Months, 19 Days | 3.22</t>
  </si>
  <si>
    <t>METADESIGN INDIA PRIVATE LIMITED | INTERN (DESIGN DEPARTMENT) &amp; PREPARATION OF BOQ, REPORTS, BILLING DOCUMENTS | MUMBAI | May 2022 | Jun 2022 | 7 Weeks</t>
  </si>
  <si>
    <t>PP21005</t>
  </si>
  <si>
    <t>Vivek Chetan Mewada</t>
  </si>
  <si>
    <t>vivek.m1206@gmail.com</t>
  </si>
  <si>
    <t>pp21005@ms.nicmar.ac.in</t>
  </si>
  <si>
    <t>ENGLISH, HINDI, GUJARATI, KANNADA</t>
  </si>
  <si>
    <t>9373 5371 8008</t>
  </si>
  <si>
    <t>CHETAN PRABHUDAS MEWADA</t>
  </si>
  <si>
    <t>CUSTOMER CARE MANAGER</t>
  </si>
  <si>
    <t>HARSHA CHETAN MEWADA</t>
  </si>
  <si>
    <t>ROOM NO.1, MAHEBOOB CHAWL, SV ROAD, NEAR RADHE KRISHNA TEMPLE, AMBAWADI, DAHISAR EAST</t>
  </si>
  <si>
    <t>DOOR NO.3, SITENO.6, BHADRANA LAYOUT, MARUTHINAGAR, YELAHANKA</t>
  </si>
  <si>
    <t>2014-May-26</t>
  </si>
  <si>
    <t>SESHADRIPURAM PRE-UNIVERSITY COLLEGE</t>
  </si>
  <si>
    <t>2016-May-31</t>
  </si>
  <si>
    <t>2017-Jun-04</t>
  </si>
  <si>
    <t>AutoCAD,MS Office,Primavera,SKETCH-UP</t>
  </si>
  <si>
    <t>DESIGN MENTORS PRIVATE LIMITED | BIM INTERN | BANGALORE | Jan 2019 | Jan 2019 | 2 Weeks
L AND T BUILDINGS AND FACTORIES PRIVATE LIMITED | SITE EXECUTION | BANGALORE | Mar 2021 | Apr 2021 | 4 Weeks
R P BUILDERS | SITE EXECUTION, PROJECT CO-ORDINATION | AHMEDABAD | May 2022 | Jun 2022 | 8 Weeks</t>
  </si>
  <si>
    <t>PP21006</t>
  </si>
  <si>
    <t>Harsh Maurya</t>
  </si>
  <si>
    <t>harshmaurya200@gmail.com</t>
  </si>
  <si>
    <t>7053 1526 1925</t>
  </si>
  <si>
    <t>656A/43 K. B. MARG_x000D_
KALYANPUR, LUCKNOW</t>
  </si>
  <si>
    <t>THE AVADH SCHOOL</t>
  </si>
  <si>
    <t>GD GOENKA PUBLIC SCHOOL</t>
  </si>
  <si>
    <t>BIRLA INSTITUTE OF TECHNOLOGY MESRA</t>
  </si>
  <si>
    <t>BIRLA INSTITUTE OF TECHNOLOGY MESRA PATNA CAMPUS</t>
  </si>
  <si>
    <t>HEAVY ENGINEERING CORPORATION LIMITED | INTERN | RANCHI | May 2019 | Jun 2019 | 4 Weeks
SUEZ WTS | MANAGEMENT INTERN | BENGALURU, KARNATAKA  | Jun 2022 | Jul 2022 | 7 Weeks</t>
  </si>
  <si>
    <t>PP21007</t>
  </si>
  <si>
    <t>Rachit Rajput</t>
  </si>
  <si>
    <t>rachitrajput75614@gmail.com</t>
  </si>
  <si>
    <t>pp21007@ms.nicmar.ac.in</t>
  </si>
  <si>
    <t>08-Oct-1996</t>
  </si>
  <si>
    <t>4240 0582 5620</t>
  </si>
  <si>
    <t>MR.RAVINDRA KUMAR RAJPUT</t>
  </si>
  <si>
    <t>ARCHANA RAJPUT</t>
  </si>
  <si>
    <t>PLOT NUMBER 1500,AWAS VIKAS</t>
  </si>
  <si>
    <t>PASHAMBANDA STREET,NAKSHATRA VILLA,HOUSE NUMBER 84</t>
  </si>
  <si>
    <t>JAI ACADEMY</t>
  </si>
  <si>
    <t>SHIV JYOTI CONVENT SCHOOL LADPURA</t>
  </si>
  <si>
    <t>DESEIN PRIVATE LIMITED | ANALYSIS OF DPRS AND ENGINEERING DRAWINGS AND ANALYSIS IN STAAD PRO.V8I | GREATER KAILASH-2,NEW DELHI | Jun 2018 | Jun 2018 | 2 Weeks
GMR BAJOLI HOLI HYDROPOWER PRIVATE LIMITED | SITE SURVEYOR AND ATTENDING QA/QC LAB | BAJOLI-HOLI HIMACHAL PRADESH | Dec 2018 | Jan 2019 | 4 Weeks
GMR AIRPORT DEVELOPERS LIMITED | 1-ASSISTS IN QUALITY CHECKING WORK ALONG WITH ATTACHED SENIOR ENGINEER INCLUDING CERTIFICATION OF REQUEST FOR INSPECTION  2-TO ASSIST IN DEVELOPING WEEKLY PROGRESS REPORT  | RGIA AIRPORT,SHAMSHABAD,HYDERABAD-501 108(TELANGANA) | May 2022 | Jul 2022 | 10 Weeks</t>
  </si>
  <si>
    <t>PP21008</t>
  </si>
  <si>
    <t>DIVYANK</t>
  </si>
  <si>
    <t>SHISHODIA</t>
  </si>
  <si>
    <t>Divyank Shishodia</t>
  </si>
  <si>
    <t>divyank.shishodia@gmail.com</t>
  </si>
  <si>
    <t>pp21008@ms.nicmar.ac.in</t>
  </si>
  <si>
    <t>03-Nov-1998</t>
  </si>
  <si>
    <t>7726 2240 0527</t>
  </si>
  <si>
    <t>RAJIV KUMAR SHISHODIA</t>
  </si>
  <si>
    <t>PRIVATE COMPANY EMPLOYEE</t>
  </si>
  <si>
    <t>UPASANA SHISHODIA</t>
  </si>
  <si>
    <t>51-F, SECTOR - 26, RELIANCE GREENS</t>
  </si>
  <si>
    <t>KOKILABEN DHIRUBHAI AMBANI VIDYAMANDIR</t>
  </si>
  <si>
    <t>Lumax Industries Ltd. | Quality Department | Ahmedabad | Feb 2020 | Apr 2021 | 1 Years, 2 Months, 7 Days | 2.4</t>
  </si>
  <si>
    <t>RELIANCE INDUSTRIES LIMITED | TRAINEE | JAMNAGAR | May 2019 | Jun 2019 | 4 Weeks
RELIANCE INDUSTRIES LIMITED | TRAINEE | JAMNAGAR | Jun 2018 | Jun 2018 | 1 Weeks
RELIANCE INDUSTRIES LIMITED | PROJECT MANAGEMENT INTERN | JAMNAGAR | May 2022 | Jul 2022 | 12 Weeks</t>
  </si>
  <si>
    <t>PP21009</t>
  </si>
  <si>
    <t>Rameez Ahmed V S</t>
  </si>
  <si>
    <t>rameezrockzz21@gmail.com</t>
  </si>
  <si>
    <t>pp21009@ms.nicmar.ac.in</t>
  </si>
  <si>
    <t>13-Sep-1998</t>
  </si>
  <si>
    <t>ENGLISH, HINDI , MALAYALAM, TAMIL</t>
  </si>
  <si>
    <t>8166 7026 9209</t>
  </si>
  <si>
    <t>V H SUDHEER</t>
  </si>
  <si>
    <t>G THAZNEEM</t>
  </si>
  <si>
    <t>HOUSE NO 62, VAYANADAN HOUSE, RAIL NAGAR, OLAVAKKODE</t>
  </si>
  <si>
    <t>CG 136, CHERUKARA GARDENS, CHERUKARA ROAD , POOJAPPURA, TRIVANDRUM</t>
  </si>
  <si>
    <t>KENDRIYA VIDYALAYA KANNUR</t>
  </si>
  <si>
    <t>CHENNAI METRO RAIL LIMITED | SITE VISIT | CHENNAI | Jun 2019 | Jun 2019 | 2 Weeks
CORDON CONSTRUCTORS AND REALTORS | SITE EXECUTION  | TRIVANDRUM  | May 2022 | Jul 2022 | 11 Weeks</t>
  </si>
  <si>
    <t>PP21010</t>
  </si>
  <si>
    <t>Prasad Arvind Shinde</t>
  </si>
  <si>
    <t>PRASAD.SHINDE538@GMAIL.COM</t>
  </si>
  <si>
    <t>pp21010@ms.nicmar.ac.in</t>
  </si>
  <si>
    <t>24-Nov-1995</t>
  </si>
  <si>
    <t>2626 0235 7104</t>
  </si>
  <si>
    <t>SHINDE ARVIND BABURAO</t>
  </si>
  <si>
    <t>SHINDE PRATIKSHA ARVIND</t>
  </si>
  <si>
    <t>JAI RAJ RESIDENCY E,3 PHASE 1 OLD SANGVI PUNE-27</t>
  </si>
  <si>
    <t>GENBA SOPANRAO MOZE COLLEGE OF ENGINEERING PUNE</t>
  </si>
  <si>
    <t>AutoCAD,MS Office,MS Project,Primavera,1) STAAD PRO 2) QTO</t>
  </si>
  <si>
    <t>ECOFIRST SERVICES LIMITED | PROJECT PLANNING AND COORDINATION FOR THE HERITAGE PMC BUSINESS AND  PREPARATION OF HERITAGE PMC SERVICES BLUE BOOK | MUMBAI | Apr 2022 | Jul 2022 | 9 Weeks</t>
  </si>
  <si>
    <t>PP21011</t>
  </si>
  <si>
    <t>MILI</t>
  </si>
  <si>
    <t>ANN</t>
  </si>
  <si>
    <t>STEPHEN</t>
  </si>
  <si>
    <t>Mili Ann Stephen</t>
  </si>
  <si>
    <t>MILIANNSTEPHEN@GMAIL.COM</t>
  </si>
  <si>
    <t>pp21011@ms.nicmar.ac.in</t>
  </si>
  <si>
    <t>16-Apr-1999</t>
  </si>
  <si>
    <t>ENGLISH, MALAYALM, HINDI</t>
  </si>
  <si>
    <t>8524 4437 1884</t>
  </si>
  <si>
    <t>BABY STEPHEN G S</t>
  </si>
  <si>
    <t>DERMATOLOGIST</t>
  </si>
  <si>
    <t>DEEPA VARGHESE</t>
  </si>
  <si>
    <t>GANAPATHIPLACKAL , PERUMBAIKADU P.O., KOTTAYAM 686016</t>
  </si>
  <si>
    <t>SFS PUBLIC SCHOOL AND JUNIOR COLLEGE</t>
  </si>
  <si>
    <t>2015-Mar-31</t>
  </si>
  <si>
    <t>2017-Mar-31</t>
  </si>
  <si>
    <t>RAJIV GANDHI INSTITUTE OF TECHNOLOGY, KOTTAYAM, KERALA</t>
  </si>
  <si>
    <t>N J THOMAS AND COMPANY | TRAINING | KOTTAYAM, KERALA | Jun 2018 | Jun 2018 | 1 Weeks
KPM DESIGN SERVICES PVT LTD | INTERN IN DESIGN DEPARTMENT | BANGALORE | May 2022 | Jun 2022 | 7 Weeks</t>
  </si>
  <si>
    <t>PP21012</t>
  </si>
  <si>
    <t>HARIKA</t>
  </si>
  <si>
    <t>Harika R</t>
  </si>
  <si>
    <t>harikaraju005@gmaill.com</t>
  </si>
  <si>
    <t>pp21012@ms.nicmar.ac.in</t>
  </si>
  <si>
    <t>5930 2901 8870</t>
  </si>
  <si>
    <t>RAJU V</t>
  </si>
  <si>
    <t>NO.70 PILLAYAR KOIL STREET, POTHERI</t>
  </si>
  <si>
    <t>JRK MATRICULATION HIGHER SECONDARY SCHOOL</t>
  </si>
  <si>
    <t>JRK MATRIC HIGHER SECONDARY SCHOOL</t>
  </si>
  <si>
    <t>NATIONAL INSTITUTE OF CONSTRUCTION AND TECHNOLOGY AND RESEARCH</t>
  </si>
  <si>
    <t>2000-Sep-06</t>
  </si>
  <si>
    <t>2023-Apr-01</t>
  </si>
  <si>
    <t>ENGINEERING PROJECT MANAGEMENT CONSULTANCY AND RESEARCH | PROJECT COORDINATION , PREPARATION OF BILL OF QUANTITIES, SCHEDULE , DELAY ANALYSIS AND RISK ANALYSIS . | PERUNGALATHUR  | May 2022 | Jun 2022 | 7 Weeks
VAISAKHI DEVELOPERS | SITE INTERN | VISAKHAPATNAM | Jun 2019 | Jun 2019 | 2 Weeks</t>
  </si>
  <si>
    <t>PP21013</t>
  </si>
  <si>
    <t>Disha V</t>
  </si>
  <si>
    <t>disharao20@gmail.com</t>
  </si>
  <si>
    <t>pp21013@ms.nicmar.ac.in</t>
  </si>
  <si>
    <t>20-May-1999</t>
  </si>
  <si>
    <t>2715 1504 7664</t>
  </si>
  <si>
    <t>VEUGOPAL</t>
  </si>
  <si>
    <t>607 VIGNESH GIRIDARSHINI LAYOUT T NARSIPURA ROAD OPPOSITE TO MADESHWARA TENT HOUSE</t>
  </si>
  <si>
    <t>KENDRIYA VIDYALAYA MYSORE</t>
  </si>
  <si>
    <t>GOPALASWAMY SV PU COLLEGE</t>
  </si>
  <si>
    <t>DEPARTMENT OF PRE-UNIVERSITY EDUCATION  , GOVERNMENT OF KARNATAKA</t>
  </si>
  <si>
    <t>JAGADGURU SRI SHIVARATHREESHWARA SCIENCE AND TECHNOLOGICAL UNIVERSITY</t>
  </si>
  <si>
    <t>VASTHU VINYASA AND CONSTRUCTIONS | INTERN  | MYSORE | May 2021 | Jun 2021 | 4 Weeks
AN PRAKASH CONSTRUCTION PROJECT MANAGEMENT AND CONSULTANTS PVT LTD | PROJECT MANAGEMENT TRAINEE | BENGALURU  | Apr 2022 | Jun 2022 | 7 Weeks</t>
  </si>
  <si>
    <t>PP21014</t>
  </si>
  <si>
    <t>Chavan Srinath Avinash</t>
  </si>
  <si>
    <t>srinath.chavan1@gmail.com</t>
  </si>
  <si>
    <t>pp21014@ms.nicmar.ac.in</t>
  </si>
  <si>
    <t>18-Jan-1998</t>
  </si>
  <si>
    <t>4702 5553 2658</t>
  </si>
  <si>
    <t>CHAVAN AVINASH VITHALRAO</t>
  </si>
  <si>
    <t>DEFENCE</t>
  </si>
  <si>
    <t>YOGITA AVINASH CHAVAN</t>
  </si>
  <si>
    <t>FLAT NO-B904, KOHINOOR GRANDEUR, MUKAI CHOWK, RAVET, PUNE, MAHARASHTRA, INDIA</t>
  </si>
  <si>
    <t>HARI NIVAS, AT POST HANIMNAL, TAL GADHINGLAJ, DIST KOLHAPUR</t>
  </si>
  <si>
    <t>Gadhinghaj</t>
  </si>
  <si>
    <t>ARMY PUBLIC SCHOOL PUNE</t>
  </si>
  <si>
    <t>PIMPRI CHINCHWAD COLLEGE OF ENGINEERING AND RESEARCH</t>
  </si>
  <si>
    <t>ANJ TURNKEY PROJECTS PVT LTD | CO-ORDINATOR | PUNE | Apr 2022 | Jul 2022 | 13 Weeks
LONAVLA CONSTRUCTION CO | TRAINEE ENGINEER  | LONAVLA | Dec 2016 | May 2017 | 25 Weeks
MAHARASHTRA METRO RAIL CORPORATION LIMITED | TRAINEE ENGINEER  | PUNE | Oct 2020 | Jan 2022 | 64 Weeks</t>
  </si>
  <si>
    <t>PP21015</t>
  </si>
  <si>
    <t>Jayant Gupta</t>
  </si>
  <si>
    <t>JAYANTGUPTA099@GMAIL.COM</t>
  </si>
  <si>
    <t>pp21015@ms.nicmar.ac.in</t>
  </si>
  <si>
    <t>5000 4258 5689</t>
  </si>
  <si>
    <t>RAKESH KUMAR GUPTA</t>
  </si>
  <si>
    <t>KRISHAN GUPTA</t>
  </si>
  <si>
    <t>HNO.14, PANJWAKHTAR ROAD JAMMU, NEAR KC RESIDENCY</t>
  </si>
  <si>
    <t>Jammu and Kashmir</t>
  </si>
  <si>
    <t>ST. PETER'S HIGH SCHOOL</t>
  </si>
  <si>
    <t>SHIKSHA NIKETAN HIGHER SECONDARY SCHOOL</t>
  </si>
  <si>
    <t>VAISHNO COLLEGE OF ENGINEERING</t>
  </si>
  <si>
    <t>AutoCAD,MS Office,Primavera,GEOSLOPE (BEGINNER)</t>
  </si>
  <si>
    <t>INDIAN INSTITUTE OF TECHNOLOGY | INTERN | JAMMU | Jan 2021 | Jun 2021 | 22 Weeks
HINDUSTAN CONSTRUCTION COMPANY | INTERN | RAMBAN | Aug 2020 | Nov 2020 | 13 Weeks
LARSEN AND TOUBRO CONSTRUCTION | PLANNING | RISHIKESH | Apr 2022 | Jul 2022 | 9 Weeks</t>
  </si>
  <si>
    <t>PP21016</t>
  </si>
  <si>
    <t>Naveen Shrikant Patange</t>
  </si>
  <si>
    <t>NAVEENPATANGE1@GMAIL.COM</t>
  </si>
  <si>
    <t>pp21016@ms.nicmar.ac.in</t>
  </si>
  <si>
    <t>9995 5711 6986</t>
  </si>
  <si>
    <t>SHRIKANT PATANGE</t>
  </si>
  <si>
    <t>RETIRED CLASS A GAZETTED GOVERNMENT OFFICER</t>
  </si>
  <si>
    <t>RENUKA PATANGE</t>
  </si>
  <si>
    <t>PLOT NO.12, PARAWATI LAOUT, SARASWATI NAGAR, GANESHPUR</t>
  </si>
  <si>
    <t>AutoCAD,MS Office,MS Project,Primavera,AUTOCAD REVIT, STAAD PRO</t>
  </si>
  <si>
    <t>EXPERTSHUB INDUATRY SKILL DEVELOPMENT CENTER | INTERN | CHENNAI | Aug 2020 | Sep 2020 | 4 Weeks
INCOMET LEARNING PVT LTD | INTERNSHIP(PROFESSIONAL STOCK MARKET TRADING COURSE) | NOIDA, INDIA | Mar 2022 | Jun 2022 | 14 Weeks
PUREVALUE FINANCIAL AND RESEARCH SOLUTIONS PVT LTD | MANAGEMENT TRAINEE | NEW DELHI | Apr 2022 | Jul 2022 | 13 Weeks</t>
  </si>
  <si>
    <t>PP21017</t>
  </si>
  <si>
    <t>Ravi Kumar Srivastava</t>
  </si>
  <si>
    <t>srivastav.ravi03@gmail.com</t>
  </si>
  <si>
    <t>pp21017@ms.nicmar.ac.in</t>
  </si>
  <si>
    <t>03-May-1993</t>
  </si>
  <si>
    <t>6228 3479 5750</t>
  </si>
  <si>
    <t>ARUN KUMAR SRIVASTAVA</t>
  </si>
  <si>
    <t>GOVERNMENT RETIRED</t>
  </si>
  <si>
    <t>RITA SRIVASTAV</t>
  </si>
  <si>
    <t>C/O RAVI SRIVASTAV, PAVITRA BANDHAN MARRIAGE HALL, MEHNDI HASAN GALI, NEAR ADALHATU CHOWK, MORABADI</t>
  </si>
  <si>
    <t>VISVESWARAYA INSTITUTE OF TECHNOLOGY</t>
  </si>
  <si>
    <t>SIR M VISVESVARAYA INSTITUTE OF TECHNOLOGY</t>
  </si>
  <si>
    <t>Gurukripa Constbuild Contracts Pvt. Ltd. | Estimation, Client Billing | Gurgaon, Haryana | Feb 2017 | Dec 2020 | 3 Years, 10 Months, 30 Days | 3.24</t>
  </si>
  <si>
    <t>SYSTRA | INTERN | MUMBAI | Apr 2022 | Jun 2022 | 7 Weeks</t>
  </si>
  <si>
    <t>PP21018</t>
  </si>
  <si>
    <t>SUSHI</t>
  </si>
  <si>
    <t>BEJAI</t>
  </si>
  <si>
    <t>Sushi Sathish Bejai</t>
  </si>
  <si>
    <t>sushibejai08@gmail.com</t>
  </si>
  <si>
    <t>pp21018@ms.nicmar.ac.in</t>
  </si>
  <si>
    <t>ENGLISH, HINDI, TULU, KANNADA</t>
  </si>
  <si>
    <t>8634 5685 1650</t>
  </si>
  <si>
    <t>SATHISH VITTAL BEJAI</t>
  </si>
  <si>
    <t>SAMITHA SATHISH BEJAI</t>
  </si>
  <si>
    <t>Prerana Gold Crest C H S  Ltd. Flat No 202., L T. Road. Next To West Side Store, Opp. Manubhai Jewellers, Borivali (W) Mumbai- 400092</t>
  </si>
  <si>
    <t>PRERANA GOLD CREST C H S  LTD. FLAT NO 202., L T. ROAD. NEXT TO WEST SIDE STORE, OPP. MANUBHAI JEWELLERS, BORIVALI (W) MUMBAI- 400092</t>
  </si>
  <si>
    <t>RAMABEN BABUBHAI KANAKIA SCHOOL</t>
  </si>
  <si>
    <t>2013-Mar-14</t>
  </si>
  <si>
    <t>2014-Mar-20</t>
  </si>
  <si>
    <t>ALVAS COLLEGE</t>
  </si>
  <si>
    <t>2014-Aug-20</t>
  </si>
  <si>
    <t>2016-May-20</t>
  </si>
  <si>
    <t>GREEN ECOMES SOLUTIONS PRIVATE LIMITED | STRATEGIC BUSINESS DEVELOPMENT, MANAGER | WFH | May 2022 | Jul 2022 | 8 Weeks</t>
  </si>
  <si>
    <t>PP21019</t>
  </si>
  <si>
    <t>KAMALESHCHANDRA</t>
  </si>
  <si>
    <t>Sagar Kamaleshchandra Rana</t>
  </si>
  <si>
    <t>SAGAR.RANA.SR4@GMAIL.COM</t>
  </si>
  <si>
    <t>pp21019@ms.nicmar.ac.in</t>
  </si>
  <si>
    <t>02-Aug-1996</t>
  </si>
  <si>
    <t>ENGLISH, HINDI, MARATHI, GUJARATI.</t>
  </si>
  <si>
    <t>3026 3570 4590</t>
  </si>
  <si>
    <t>KAMALESHCHANDRA DEVIDAS RANA</t>
  </si>
  <si>
    <t>KAILASH KAMALESHCHANDRA RANA</t>
  </si>
  <si>
    <t>B-32, MAGHA BUILDING, SHRISHTI COMPLEX, SECTOR-05 NEAR APNA BAZAR</t>
  </si>
  <si>
    <t>Mira Bhayandar</t>
  </si>
  <si>
    <t>SHANTINAGAR HIGH SCHOOL</t>
  </si>
  <si>
    <t>SILA PROJECT MANAGEMENT SERVICES PRIVATE LIMITED | ADVISORY/EXECUTION | MUMBAI | Mar 2021 | Aug 2021 | 0 Years, 5 Months, 5 Days | 2.64
AGILE REAL ESTATE PRIVATE LIMITED (A KALPATARU GROUP COMPANY) | EXECUTION | THANE | Jan 2019 | Feb 2021 | 2 Years, 1 Months, 20 Days | 2.6</t>
  </si>
  <si>
    <t>VIPRA CONSULTANTS | JUNIOR CIVIL ENGINEER (DESIGN) | MUMBAI | Jun 2018 | Sep 2018 | 11 Weeks
AGILE REAL ESTATE PRIVATE LIMITED     A KALPATARU GROUP COMPANY | INTERN (EXECUTION) | THANE | Oct 2018 | Dec 2018 | 13 Weeks
SUEZ WATER TECHNOLOGIES AND SOLUTIONS | PROJECT MANAGEMENT.  | BENGALURU | Jun 2022 | Jul 2022 | 7 Weeks</t>
  </si>
  <si>
    <t>PP21020</t>
  </si>
  <si>
    <t>Nitin Sharma</t>
  </si>
  <si>
    <t>NITINSHARMA.CV@GMAIL.COM</t>
  </si>
  <si>
    <t>pp21020@ms.nicmar.ac.in</t>
  </si>
  <si>
    <t>5385 6502 2282</t>
  </si>
  <si>
    <t>ASHOK SHARMA</t>
  </si>
  <si>
    <t>ASSISTENT GRADE II , GOVERNMENT EMPLOYEE</t>
  </si>
  <si>
    <t>H. NO. 133, BAHETI COLONY NEAR GAYATRI MANDIR</t>
  </si>
  <si>
    <t>Khandwa</t>
  </si>
  <si>
    <t>SARASWATI SHISHU MANDIR HIGH SCHOOL</t>
  </si>
  <si>
    <t>SARASWATI HIGHER SECONDARY SCHOOL</t>
  </si>
  <si>
    <t>PROJECT IMPLEMENTATION UNIT PUBLIC WORKS DEPARTMENT | SITE EXECUTION | INDORE, MADHYA PRADESH | Jul 2018 | Aug 2018 | 4 Weeks
INDORE MUNICIPAL CORPORATION | SITE EXECUTION | INDORE, MADHYA PRADESH | Jan 2020 | Mar 2020 | 11 Weeks
SANGINI GROUP | SITE EXECUTION AND PLANNING | VESU SURAT, GUJRAT | Apr 2022 | Jun 2022 | 8 Weeks</t>
  </si>
  <si>
    <t>PP21021</t>
  </si>
  <si>
    <t>Raj Amit Nanavati</t>
  </si>
  <si>
    <t>RAJ.NANAVATI4@GMAIL.COM</t>
  </si>
  <si>
    <t>pp21021@ms.nicmar.ac.in</t>
  </si>
  <si>
    <t>ENGLISH, HINDI, GUJARATI. MARATHI</t>
  </si>
  <si>
    <t>4229 9493 2633</t>
  </si>
  <si>
    <t>AMIT SHAILESH NANAVATI</t>
  </si>
  <si>
    <t>NEHAL AMIT NANAVATI</t>
  </si>
  <si>
    <t>A/302, VISHAL CHS, NEAR VISHAL HALL, ANDHERI KURLA ROAD, ANDHERI - EAST</t>
  </si>
  <si>
    <t>RAMANLAL NAGINDAS SHAH HIGH SCHOOL</t>
  </si>
  <si>
    <t>SHRI BHAGUBHAI MAFATLAL POLYTECHNIC</t>
  </si>
  <si>
    <t>2018-Jun-13</t>
  </si>
  <si>
    <t>AUTONOMOUS AFFILIATED TO MUMBAI UNIVERSITY</t>
  </si>
  <si>
    <t>K.J.SOMAIYA COLLEGE OF ENGINEERING</t>
  </si>
  <si>
    <t>LARSEN AND TOUBRO REALTY | INTERNSHIP TRAINEE | MUMBAI | Apr 2022 | Jul 2022 | 13 Weeks
LARSEN AND TOUBRO LTD | INTERNSHIP TRAINEE | MUMBAI | Jun 2016 | Nov 2016 | 23 Weeks
GODREJ AND BOYCE MFG LTD | INTERNSHIP TRAINEE | MUMBAI | Dec 2017 | Jun 2018 | 23 Weeks</t>
  </si>
  <si>
    <t>PP21022</t>
  </si>
  <si>
    <t>Mehul Rawat</t>
  </si>
  <si>
    <t>MEHUL.OFFICIAL01@GMAIL.COM</t>
  </si>
  <si>
    <t>pp21022@ms.nicmar.ac.in</t>
  </si>
  <si>
    <t>08-Feb-1999</t>
  </si>
  <si>
    <t>8599 9202 3829</t>
  </si>
  <si>
    <t>MANGLESH RAWAT</t>
  </si>
  <si>
    <t>ANJALI RAWAT</t>
  </si>
  <si>
    <t>553 G3/3 TAPKESHWAR COLONY LANE1, GARHI CANTT</t>
  </si>
  <si>
    <t>ST JUDE'S SCHOOL</t>
  </si>
  <si>
    <t>DOON INTERNATIONAL SCHOOL</t>
  </si>
  <si>
    <t>2016-May-25</t>
  </si>
  <si>
    <t>ORDNANACE FACTORY | TRAINEE | DEHRADUN, UTTARAKHAND | Dec 2017 | Dec 2017 | 2 Weeks
MAHINDRA TEQO | MANAGEMENT TRAINEE | MUMBAI | Apr 2022 | Jul 2022 | 11 Weeks</t>
  </si>
  <si>
    <t>PP21023</t>
  </si>
  <si>
    <t>JAYANTILAL</t>
  </si>
  <si>
    <t>BEDMUTHA</t>
  </si>
  <si>
    <t>Payal Jayantilal Bedmutha</t>
  </si>
  <si>
    <t>PAYALBEDMUTHA21@GMAIL.COM</t>
  </si>
  <si>
    <t>pp21023@ms.nicmar.ac.in</t>
  </si>
  <si>
    <t>04-Jan-1995</t>
  </si>
  <si>
    <t>9812 4913 9983</t>
  </si>
  <si>
    <t>JAYANTILAL MOHANLAL BEDMUTHA</t>
  </si>
  <si>
    <t>SUSHAMA JAYANTILAL BEDMUTHA</t>
  </si>
  <si>
    <t>AT.POST KAMSHET,BAZARPETH, NEAR JAIN MANDIR, T.MAVAL,D.PUNE-410405</t>
  </si>
  <si>
    <t>MOUNT SAINT ANN CONVENT HIGH SCHOOL,TALEGAON DABHADE</t>
  </si>
  <si>
    <t>MODERN COLLEGE OF ARTS,SCIENCE AND COMMERCE-PUNE</t>
  </si>
  <si>
    <t>ZEAL COLLEGE OF ENGINEERING AND RESEARCH,NARHE-PUNE</t>
  </si>
  <si>
    <t>MAHINDRA LIFESPACE DEVELOPERS LTD | PROJECT ENGINEER TRAINEE | KALYAN | Apr 2022 | Jul 2022 | 10 Weeks
DEGREE PROJECT WORK | ACADEMIC PROJECT LEAD | PUNE | Aug 2017 | Apr 2018 | 34 Weeks</t>
  </si>
  <si>
    <t>PP21024</t>
  </si>
  <si>
    <t>SOMESH</t>
  </si>
  <si>
    <t>Somesh Shivaji Chougule</t>
  </si>
  <si>
    <t>CHOUGULE.SOMESH3@GMAIL.COM</t>
  </si>
  <si>
    <t>pp21024@ms.nicmar.ac.in</t>
  </si>
  <si>
    <t>03-Nov-1995</t>
  </si>
  <si>
    <t>5894 6397 5660</t>
  </si>
  <si>
    <t>SHIVAJI PANDURANG CHOUGULE</t>
  </si>
  <si>
    <t>ASHA SHIVAJI CHOUGULE</t>
  </si>
  <si>
    <t>FITNESS TRAINER</t>
  </si>
  <si>
    <t>A4/A/304 ,PANCHAVATI CHS, MAROL MAROSHI ROAD, ANDHERI EAST</t>
  </si>
  <si>
    <t>A4/A/304, PANCHAVATI CHS, VIJAY NAGAR, MAROL MAROSHI ROAD, ANDHERI EAST</t>
  </si>
  <si>
    <t>MAROL EDUCATION ACADEMY HIGH SCHOOL</t>
  </si>
  <si>
    <t>MAROL EDUCATION ACADEMY JR. COLLEGE</t>
  </si>
  <si>
    <t>CONSTRUCTION ENGINEERING</t>
  </si>
  <si>
    <t>NEW PLOYTECHNIC KOLHAPURR</t>
  </si>
  <si>
    <t>GENBA SOPANRAO MOZE COLLEGE OF ENGINEERING</t>
  </si>
  <si>
    <t>BTECH PROJECT | PROJECT WORK-LEAD  | PUNE | Aug 2018 | Mar 2019 | 30 Weeks
WALPLAST PRODUCTS PVT LTD | MARKETING AND SALES  | MUMBAI  | May 2022 | Jul 2022 | 8 Weeks</t>
  </si>
  <si>
    <t>PP21025</t>
  </si>
  <si>
    <t>Yash Solanki</t>
  </si>
  <si>
    <t>solanki.yash80@gmail.com</t>
  </si>
  <si>
    <t>pp21025@ms.nicmar.ac.in</t>
  </si>
  <si>
    <t>07-Jul-1998</t>
  </si>
  <si>
    <t>ENGLISH, HINDI, MARWADI</t>
  </si>
  <si>
    <t>2729 8824 7492</t>
  </si>
  <si>
    <t>DILIP SOLANKI</t>
  </si>
  <si>
    <t>VINITA SOLANKI</t>
  </si>
  <si>
    <t>CHAINPURA 10 BANSI VIHAR, JODHPUR</t>
  </si>
  <si>
    <t>ST.PAULS SEN. SEC. SCHOOL JODHPUR</t>
  </si>
  <si>
    <t>VIVEKANAND PUBLIC SCHOOL, JODHPUR</t>
  </si>
  <si>
    <t>MANIPAL UNIVERSITY JAIPUR/RAJASTHAN</t>
  </si>
  <si>
    <t>LARSEN AND TURBO CONSTRUCTION PRIVATE LIMITED | INTERN | ABU ROAD | May 2018 | Jul 2018 | 6 Weeks
TANDON URBAN SOLUTION PRIVATE LIMITED | INTERN | NAVI MUMBAI | Jan 2020 | May 2020 | 17 Weeks
SANGINI GROUP | SITE EXECUTION AND PLANNING | VESU, SURAT | Apr 2022 | Jun 2022 | 8 Weeks</t>
  </si>
  <si>
    <t>PP21026</t>
  </si>
  <si>
    <t>MOHD OWAIS</t>
  </si>
  <si>
    <t>MOHD AMEER</t>
  </si>
  <si>
    <t>RANGREZ</t>
  </si>
  <si>
    <t>Mohd Owais Mohd Ameer Rangrez</t>
  </si>
  <si>
    <t>owaisrangrez309@gmail.com</t>
  </si>
  <si>
    <t>pp21026@ms.nicmar.ac.in</t>
  </si>
  <si>
    <t>09-Dec-1996</t>
  </si>
  <si>
    <t>ENGLISH, GERMAN, HINDI, MARATHI, RAJASTHANI, URDU.</t>
  </si>
  <si>
    <t>7658 9567 0321</t>
  </si>
  <si>
    <t>MOHD AMEER MOHD USMAN RANGREZ</t>
  </si>
  <si>
    <t>SAMEENA RANGREZ</t>
  </si>
  <si>
    <t>H. NO. 1-19-550, NEAR SANE HOSPITAL, JUBLI PARK, BHADKAL GATE</t>
  </si>
  <si>
    <t>2002-Jun-15</t>
  </si>
  <si>
    <t>PEOPLE EDUCATION SOCIETYS POLYTECHNIC</t>
  </si>
  <si>
    <t>AutoCAD,MS Office,Primavera,TIME MANAGEMENT, MONITORING AND QUALITY CONTROL.</t>
  </si>
  <si>
    <t>SPACE MATRIX DESIGN CONSULTANTS PVT LTD | INTERN &amp; PROJECT MANAGEMENT  | MUMBAI | Apr 2022 | Jun 2022 | 8 Weeks
MAKSON INDUSTRIES | MAINTENANCE AND PRODUCTION  | AURANGABAD | Jul 2013 | Jun 2014 | 52 Weeks
SUYASH PRECISION | QUALITY INSPECTION AND AUDIT IN STANDARD ROOM | AURANGABAD | Apr 2019 | Mar 2020 | 49 Weeks</t>
  </si>
  <si>
    <t>PP21027</t>
  </si>
  <si>
    <t>MOGRE</t>
  </si>
  <si>
    <t>Padmavati Arun Mogre</t>
  </si>
  <si>
    <t>PADMAVATIMOGRE65996@GMAIL.COM</t>
  </si>
  <si>
    <t>pp21027@ms.nicmar.ac.in</t>
  </si>
  <si>
    <t>16-Aug-1996</t>
  </si>
  <si>
    <t>5111 4820 9645</t>
  </si>
  <si>
    <t>ARUN MAROTRAO MOGRE</t>
  </si>
  <si>
    <t>RAJNI ARUN MOGRE</t>
  </si>
  <si>
    <t>BEHIND ADLABS THEATER, CIVIL WARD NUMBER 2 , BELE WADI.BER TWO, BELE WADI, CHANDRAPUR</t>
  </si>
  <si>
    <t>VIDYA NIKETAN HIGHER SECONDARY SCHOOL</t>
  </si>
  <si>
    <t>NAGPUR DIVISIONAL BOARD</t>
  </si>
  <si>
    <t>VIDYA NIKETAN JUNIOR COLLEGE</t>
  </si>
  <si>
    <t>PRIYADARSHINI INDIRA GANDHI COLLEGE OF ENGINEERING NAGPUR</t>
  </si>
  <si>
    <t>NAGPUR MUNICIPAL CORPORATION | SURVEY ON DIFFERENT CHANNEL | NAGPUR | Jun 2019 | Jul 2019 | 4 Weeks
OJASVIHA DESIGN AND CONSTRUCTION | INTERN AND CONTRACTS | BANGLORE | Apr 2022 | Jul 2022 | 9 Weeks
NAGPUR DISTRICT COURT BUILDING | INVESTIGATION REPORT AND QUALITY SURVEY. | NAGPUR | May 2019 | Jun 2019 | 3 Weeks</t>
  </si>
  <si>
    <t>PP21030</t>
  </si>
  <si>
    <t>Prafulla Singhal</t>
  </si>
  <si>
    <t>prafful.singhal.ps@gmail.com</t>
  </si>
  <si>
    <t>pp21030@ms.nicmar.ac.in</t>
  </si>
  <si>
    <t>09-Jan-1995</t>
  </si>
  <si>
    <t>7311 3009 3633</t>
  </si>
  <si>
    <t>ABHAY KUMAR SINGHAL</t>
  </si>
  <si>
    <t>SANGEETA SINGHAL</t>
  </si>
  <si>
    <t>119, E BLOCK,  KAMLA NAGAR, NEAR ANJUMAN HOTEL</t>
  </si>
  <si>
    <t>SAINT PETER'S COLLEGE AGRA</t>
  </si>
  <si>
    <t>INTER COLLEGE BHUKLARA</t>
  </si>
  <si>
    <t>SHRI RAMASWAMI MEMORIAL UNIVERSITY</t>
  </si>
  <si>
    <t>SHRI RAMA SWAMI MEMORIAL UNIVERSITY</t>
  </si>
  <si>
    <t>Barbequenation Hospitality LTD | Site Execution | Mumbai | May 2019 | Aug 2020 | 1 Years, 3 Months, 0 Days | 6
ASB Projects LTD | Site Execution | Ghaziabad | Aug 2018 | May 2019 | 0 Years, 8 Months, 29 Days | 0.72
Khaakaa Designs LLP | Consultant | Ahmedabad | Sep 2020 | Aug 2021 | 0 Years, 11 Months, 0 Days | 6</t>
  </si>
  <si>
    <t>AKK BUILDCON | ESTIMATIONS, SCHEDULING, BILLING | GURGAON | Apr 2022 | Jul 2022 | 13 Weeks
DFCCIL | TRAINEE | AGRA | Jun 2017 | Jul 2017 | 2 Weeks</t>
  </si>
  <si>
    <t>PP21031</t>
  </si>
  <si>
    <t>R Priyadarshini</t>
  </si>
  <si>
    <t>PRIYARAVICIVIL@GMAIL.COM</t>
  </si>
  <si>
    <t>pp21031@ms.nicmar.ac.in</t>
  </si>
  <si>
    <t>ENGLISH,HINDI,TAMIL</t>
  </si>
  <si>
    <t>9823 2670 0902</t>
  </si>
  <si>
    <t>T V RUDRAMOORTHY</t>
  </si>
  <si>
    <t>CHIEF OPERATING OFFICER</t>
  </si>
  <si>
    <t>R CHITRA</t>
  </si>
  <si>
    <t>A6 101 GRAND BAY BUILDING SHEWALAWADI MANJIRI</t>
  </si>
  <si>
    <t>R 302 IRIS MAGARPATTA CITY HADAPSAR</t>
  </si>
  <si>
    <t>PALLAVAN POLYTECHNIC COLLEGE</t>
  </si>
  <si>
    <t>MIT - ADT UNIVERSITY</t>
  </si>
  <si>
    <t>Utracon Structural System Pvt. Ltd | Project Coordination  | Pune | Sep 2020 | Sep 2021 | 1 Years, 0 Months, 0 Days | 1.44</t>
  </si>
  <si>
    <t>UTRACON STRUCTURAL SYSTEM PVT LTD | TRAINEE | PUNE  | Jan 2020 | Mar 2020 | 10 Weeks
EPMCR PVT LTD | PROJECT MANAGEMENT INTERN | CHENNAI  | May 2022 | Jun 2022 | 7 Weeks</t>
  </si>
  <si>
    <t>PP21032</t>
  </si>
  <si>
    <t>SARDESHMUKH</t>
  </si>
  <si>
    <t>Shashank Santosh Sardeshmukh</t>
  </si>
  <si>
    <t>SHASHANK9121999@GMAIL.COM</t>
  </si>
  <si>
    <t>pp21032@ms.nicmar.ac.in</t>
  </si>
  <si>
    <t>2102 8270 6807</t>
  </si>
  <si>
    <t>SANTOSH DATTATRAYA SARDESHMUKH</t>
  </si>
  <si>
    <t>ANURADHA SANTOSH SARDESHMUKH</t>
  </si>
  <si>
    <t>H. NO. 18, NATH HOMES, SAIFUL VIJAPUR ROAD, NEAR KEAOS AOKADMI</t>
  </si>
  <si>
    <t>NAH. NO. 18, NATH HOMES, SAIFUL VIJAPUR ROAD, NEAR KEAOS AOKADMI</t>
  </si>
  <si>
    <t>KAI. VILASCHNDRA. M . MEHTA HIGH SCHOOL</t>
  </si>
  <si>
    <t>SANGMESHWAR COLLEGE</t>
  </si>
  <si>
    <t>N. K. ORCHID COLLEGE OF ENGINEERING AND TECHNOLOGY</t>
  </si>
  <si>
    <t>SHAPOORJI PALLONJI REAL ESTATE | PROJECT PLANNING &amp; SITE EXECUTION | PUNE | Apr 2022 | Jul 2022 | 13 Weeks</t>
  </si>
  <si>
    <t>PP21033</t>
  </si>
  <si>
    <t>Pavan Kumar Danaboina</t>
  </si>
  <si>
    <t>danaboinapavankumar12@gmail.com</t>
  </si>
  <si>
    <t>pp21033@ms.nicmar.ac.in</t>
  </si>
  <si>
    <t>21-Mar-1993</t>
  </si>
  <si>
    <t>2093 5598 8411</t>
  </si>
  <si>
    <t>DANABOINA VARA PRASAD</t>
  </si>
  <si>
    <t>DANABOINA RAJESWARI</t>
  </si>
  <si>
    <t>H.NO. 6-10/1, NEAR NTR STATUE, EAST BAZAR, KAZA POST, MANGALAGIRI MANDAL</t>
  </si>
  <si>
    <t>Mangalagiri</t>
  </si>
  <si>
    <t>SRI SRINIVASA VIDYA VIHAR</t>
  </si>
  <si>
    <t>SRI CHAITANYA JR. COLLEGE</t>
  </si>
  <si>
    <t>NARASARAOPETA ENGINEERING COLLEGE</t>
  </si>
  <si>
    <t>SN CONSULTANTS | PROJECT PLANNING AND CONTROL | HYDERABAD | Jun 2016 | Aug 2021 | 5 Years, 2 Months, 24 Days | 4.09</t>
  </si>
  <si>
    <t>AR HOMES | SITE ENGINEER,  | TADEPALLI | Mar 2016 | May 2016 | 9 Weeks
THE URALUNGAL LABOUR CONTRACT CO OPERATIVE SOCIETY LTD | PROJECT COORDINATOR_ IDENTIFINING PROBLEMS AND THEIR SOLUTIONS FOR INCREASING PROJECT PRODUCTIVITY, PROBLEM SOLVING, COORDINATING WITH EACH DEPARTMENT AS PER PROJECT REQUIREMENTS. | KASARAGOD, KERALA | Apr 2022 | Jun 2022 | 8 Weeks</t>
  </si>
  <si>
    <t>PP21034</t>
  </si>
  <si>
    <t>NEHAL</t>
  </si>
  <si>
    <t>PISE</t>
  </si>
  <si>
    <t>Nehal Mohan Pise</t>
  </si>
  <si>
    <t>nehalpise2@gmail.com</t>
  </si>
  <si>
    <t>pp21034@ms.nicmar.ac.in</t>
  </si>
  <si>
    <t>24-Oct-1998</t>
  </si>
  <si>
    <t>5733 2392 3189</t>
  </si>
  <si>
    <t>MOHAN DAGOJI PISE</t>
  </si>
  <si>
    <t>ASTT  TEACHER</t>
  </si>
  <si>
    <t>RAJANI MOHAN PISE</t>
  </si>
  <si>
    <t>GANDHI WARD CHIMUR</t>
  </si>
  <si>
    <t>BHONSALA MILITARY SCHOOL NAGPUR</t>
  </si>
  <si>
    <t>VIDARBHA BUNIYADIHIGH SCHOOL AND JUNIOR COLLEGE</t>
  </si>
  <si>
    <t>2015-Aug-10</t>
  </si>
  <si>
    <t>GAJANAN CONSTRUCTION COMPANY | SUPERVISOR  | CHANDRAPUR | Apr 2021 | Jun 2021 | 12 Weeks
GOLDEN HOME INFRAVENTURES   PYRAMID GROUP | SITE EXECUTION  | NAGPUR | Apr 2022 | Jul 2022 | 13 Weeks</t>
  </si>
  <si>
    <t>PP21035</t>
  </si>
  <si>
    <t>MAHANTBHAI</t>
  </si>
  <si>
    <t>BHARATBHAI</t>
  </si>
  <si>
    <t>Patel Mahantbhai Bharatbhai</t>
  </si>
  <si>
    <t>MAHANTPATEL20998@GMAIL.COM</t>
  </si>
  <si>
    <t>pp21035@ms.nicmar.ac.in</t>
  </si>
  <si>
    <t>20-Sep-1998</t>
  </si>
  <si>
    <t>4574 3883 7655</t>
  </si>
  <si>
    <t>BHARATBHAI KANTILAL PATEL</t>
  </si>
  <si>
    <t>NAYANABEN BHARATBHAI PATEL</t>
  </si>
  <si>
    <t>B-37, INDUSTRIAL SOCIETY, NEAR SITARAM DINNING HALL, ABHILASHA CHAR RASTA, NEW SAMA ROAD</t>
  </si>
  <si>
    <t>NAVRACHANA VIDYANI VIDYALAYA</t>
  </si>
  <si>
    <t>INSTITUTE OF TECHNOLOGY</t>
  </si>
  <si>
    <t>DARSHANAM GROUP | SITE ENGINEER__CARRY OUT TASK GIVEN BY SENIOR SITE ENGINEER, TO DO INSPECTION ON SITE, CARRY OUT ON-SITE TEST | VADODARA | Jan 2021 | Mar 2021 | 7 Weeks
SHREE GAYATRI ENTERPRISE | SITE ENGINEER__MANAGING TASKS, STARTING OF WORK, GET WORK DONE FROM LABOURS, CHECK MATERIAL WHEN DELIVERED ON SITE | VADODARA | Mar 2021 | Apr 2021 | 8 Weeks
DHARMADEV INFRASTRUCTURE LIMITED | PLANNING AND SITE ENGINEER_TO PLAN THE TASKS, GAIN KNOWLEDGE OF SITE WORK, USE OF PLANNING SOFTWARE | AHMEDABAD | Apr 2022 | Jun 2022 | 7 Weeks</t>
  </si>
  <si>
    <t>PP21036</t>
  </si>
  <si>
    <t>NAVANI</t>
  </si>
  <si>
    <t>Ninad Navani</t>
  </si>
  <si>
    <t>NAVANI.NINAD@GMAIL.COM</t>
  </si>
  <si>
    <t>pp21036@ms.nicmar.ac.in</t>
  </si>
  <si>
    <t>2453 2354 8947</t>
  </si>
  <si>
    <t>UDAY KUMAR NAVANI</t>
  </si>
  <si>
    <t>MUKTA NAVANI</t>
  </si>
  <si>
    <t>SHUBHADA, JADHAV NAGAR, NEAR NCC GROUND</t>
  </si>
  <si>
    <t>FLAT NO. 301, JEEVAN SANKALP, LIC OFFICERS' QUARTERS, 11TH CROSS ROAD, HAL 3RD STAGE, JEEVAN BIMA NAGAR</t>
  </si>
  <si>
    <t>KENDRIYA VIDYALAYA PICKET</t>
  </si>
  <si>
    <t>CENTRAL BOARD OF SECONDARY EDUCATION SECUNDERABAD AP</t>
  </si>
  <si>
    <t>CENTRAL BOARD OF SECONDARY EDUCATION SECUNDERABAD TELANGANA</t>
  </si>
  <si>
    <t>RASHTREEYA VIDYALAYA COLLEGE OF ENGINEERING, BANGALORE</t>
  </si>
  <si>
    <t>DESIGN BUILD INC | INTERN PROJECT ENGINEER &amp; PROJECT MANAGEMENT, SITE EXECUTION | BANGALORE | Apr 2022 | Jul 2022 | 11 Weeks</t>
  </si>
  <si>
    <t>PP21037</t>
  </si>
  <si>
    <t>CHANDRAMA</t>
  </si>
  <si>
    <t>Abhishek Chandrama Rai</t>
  </si>
  <si>
    <t>mailtoabhishek.rai@gmail.com</t>
  </si>
  <si>
    <t>pp21037@ms.nicmar.ac.in</t>
  </si>
  <si>
    <t>4128 0695 0273</t>
  </si>
  <si>
    <t>CHANDRAMA SHIVPARSHAN RAI</t>
  </si>
  <si>
    <t>SARITA CHANDRAMA RAI</t>
  </si>
  <si>
    <t>A1/1202, GREEN WORLD, THANE BELAPUR ROAD, NEAR AIROLI KNOWLEDGE PARK, AIROLI</t>
  </si>
  <si>
    <t>VIDHYANIKETAN COLLEGE OF COMMERCE AND SCIENCE</t>
  </si>
  <si>
    <t>PCS MANAGEMENT CONSULTANCY PRIVATE LIMITED | BUSINESS EXECUTIVE TRAINEE, WORKED ON MEDIUM SCALED PROJECT I.E. TENDER MANAGEMENT (CLIENT MEETING, REQUIREMENT COLLECTION, WORKING ON CLIENT HIGH LEVEL REQUIREMENTS, WEEKLY MEET) | LUCKNOW | Apr 2022 | Jun 2022 | 8 Weeks</t>
  </si>
  <si>
    <t>PP21038</t>
  </si>
  <si>
    <t>PULKIT</t>
  </si>
  <si>
    <t>Pulkit Gupta</t>
  </si>
  <si>
    <t>pulkit7.gupta@gmail.com</t>
  </si>
  <si>
    <t>pp21038@ms.nicmar.ac.in</t>
  </si>
  <si>
    <t>LARSEN AND TOUBRO | ASSIGNED UNDER MENTOR TO ASSIST AND COORDINATE AT SITE | NEW DELHI | May 2022 | Jul 2022 | 8 Weeks</t>
  </si>
  <si>
    <t>PP21039</t>
  </si>
  <si>
    <t>Sukanya Borah</t>
  </si>
  <si>
    <t>sukanyaborah20@gmail.com</t>
  </si>
  <si>
    <t>pp21039@ms.nicmar.ac.in</t>
  </si>
  <si>
    <t>20-Oct-1997</t>
  </si>
  <si>
    <t>9620 4388 1550</t>
  </si>
  <si>
    <t>JITU MONI BORAH</t>
  </si>
  <si>
    <t>JAYA BORAH</t>
  </si>
  <si>
    <t>H.NO 215,JAYA NAGAR TINIALI,NEAR JD PETROL PUMP</t>
  </si>
  <si>
    <t>Duliajan</t>
  </si>
  <si>
    <t>SAINT XAVIER'S HIGHER SECONDARY SCHOOL</t>
  </si>
  <si>
    <t>BOARD OF SECONDARY EDUCATION ,ASSAM</t>
  </si>
  <si>
    <t>BANSAL PUBLIC SCHOOL</t>
  </si>
  <si>
    <t>ASSAM ENGINEERING COLLEGE</t>
  </si>
  <si>
    <t>AutoCAD,MS Office,STAAD PRO, BASICS OF C PROGRAMMING</t>
  </si>
  <si>
    <t>OIL INDIA LIMITED | TRAINEE | DULIAJAN, ASSAM  | Jun 2019 | Jul 2019 | 4 Weeks
HERIOT WATT UNIVERSITY | VISITING SCHOLAR | EDINBURGH,SCOTLAND | Feb 2020 | Mar 2020 | 5 Weeks
SUNTECK REALTY LIMITED |  INTERN (SITE EXECUTION) | NAIGAON,MUMBAI | May 2022 | Jun 2022 | 7 Weeks</t>
  </si>
  <si>
    <t>PP21040</t>
  </si>
  <si>
    <t>KARTHIGA</t>
  </si>
  <si>
    <t>Karthiga T</t>
  </si>
  <si>
    <t>karthigaa6666@gmail.com</t>
  </si>
  <si>
    <t>pp21040@ms.nicmar.ac.in</t>
  </si>
  <si>
    <t>3461 7367 0286</t>
  </si>
  <si>
    <t>N T THANGARAJ</t>
  </si>
  <si>
    <t>T  PUSHPALATHA</t>
  </si>
  <si>
    <t>123, HIGHWAYS COLONY, SUBRAMANIYAPURAM, NEAR NALAM HOSPITAL</t>
  </si>
  <si>
    <t>Thiruchirapalli</t>
  </si>
  <si>
    <t>ALPHA PLUS MATRICULATION HIGHER SECONDARY SCHOOL</t>
  </si>
  <si>
    <t>TAMILNADU STATE BOARD OF EDUCATION</t>
  </si>
  <si>
    <t>BHARAT HEAVY ELECTRICALS LIMITED (BHEL) | DESIGN ENGINEER | TRICHY | Nov 2019 | Jan 2021 | 1 Years, 2 Months, 16 Days | 1.08</t>
  </si>
  <si>
    <t>STRUCTURAL ENGINEERING CONSULTANT | BUILDING STRUCTURES BASED ON TECHNICAL SPECIFICATIONS, CREATING STRUCTURAL MODELS USING COMPUTER-AIDED DESIGN SOFTWARE | TRICHY | Dec 2017 | Dec 2017 | 3 Weeks
SUNTECK REALTY LIMITED | SITE EXECUTION - TRACK THE STATUS OF THE PROJECT, THE ADHERENCE TO THE DESIGN REQUIREMENTS AND THE SAFETY REQUIREMENTS | MUMBAI | May 2022 | Jun 2022 | 7 Weeks</t>
  </si>
  <si>
    <t>PP21041</t>
  </si>
  <si>
    <t>MANRAL</t>
  </si>
  <si>
    <t>Aditya Manral</t>
  </si>
  <si>
    <t>ADITYAMANRAL4@GMAIL.COM</t>
  </si>
  <si>
    <t>pp21041@ms.nicmar.ac.in</t>
  </si>
  <si>
    <t>04-May-1997</t>
  </si>
  <si>
    <t>5308 1636 7639</t>
  </si>
  <si>
    <t>KUNDAN SINGH MANRAL</t>
  </si>
  <si>
    <t>SHASHI MANRAL</t>
  </si>
  <si>
    <t>F-91, MOTI BAGH 1, NEAR BEGUM ZAIDI MARKET</t>
  </si>
  <si>
    <t>RAMJAS SCHOOL RKP SECTOR-4</t>
  </si>
  <si>
    <t>GMR, DELHI INTERNATIONAL AIRPORT LTD. | TERMINAL MAINTENANCE | TERMINAL 2, IGI AIRPORT, NEW DELHI | Aug 2019 | Aug 2021 | 2 Years, 0 Months, 21 Days | 2.88</t>
  </si>
  <si>
    <t>COLLIERS INTERNATIONAL | SITE EXECUTION | GURUGRAM | Jun 2018 | Jun 2018 | 4 Weeks
AIRPORTS AUTHORITY OF INDIA | PROJECT EXECUTION, PROJECT CONTROL, BILLING, QUALITY CONTROL | NEW DELHI | Apr 2022 | Jun 2022 | 7 Weeks</t>
  </si>
  <si>
    <t>PP21042</t>
  </si>
  <si>
    <t>Mansi Gupta</t>
  </si>
  <si>
    <t>guptamansi664@gmail.com</t>
  </si>
  <si>
    <t>pp21042@ms.nicmar.ac.in</t>
  </si>
  <si>
    <t>19-Oct-1999</t>
  </si>
  <si>
    <t>4090 5831 8014</t>
  </si>
  <si>
    <t>PRAMOD GUPTA</t>
  </si>
  <si>
    <t>RENU GUPTA</t>
  </si>
  <si>
    <t>HOUSE NUMBER 14, HOUSING BOARD COLONY DHAUNDHI Y DHAUNDHI BAGLA</t>
  </si>
  <si>
    <t>DAV PUBLIC SCHOOL SUNDERNAGAR</t>
  </si>
  <si>
    <t>KAVERI PUBLIC SCHOOL</t>
  </si>
  <si>
    <t>GOVERNMENT HYDRO ENGINEERING COLLEGE BILASPUR</t>
  </si>
  <si>
    <t>EGREENGATOR | MY ROLE AS AN INTERN WAS OF RESEARCH ANALYST IN THE COMPANY AND MY RESPONSIBILITIES INCLUDES RESEARCHING, COLLECTING, ANALYZING DATA AND USING THE DATA TO RECOMMEND THE BUSINESS PROCESSES.  | WORK FROM HOME  | May 2022 | Jul 2022 | 8 Weeks</t>
  </si>
  <si>
    <t>PP21043</t>
  </si>
  <si>
    <t>Aditya Angad Suryavanshi</t>
  </si>
  <si>
    <t>adityasuryavanshi96@gmail.com</t>
  </si>
  <si>
    <t>pp21043@ms.nicmar.ac.in</t>
  </si>
  <si>
    <t>8750 2251 2830</t>
  </si>
  <si>
    <t>ANGAD SHANKAR SURYAVANSHI</t>
  </si>
  <si>
    <t>ANITA ANGAD SURYAVANSHI</t>
  </si>
  <si>
    <t>BAVISKAR APT, B-301, SEC-22, TURBHE NEAR GANRAJ HOTEL</t>
  </si>
  <si>
    <t>FR. AGNEL'S MULTIPURPOSE SCHOOL</t>
  </si>
  <si>
    <t>MAHARASHTRA SSC BOARD, VASHI</t>
  </si>
  <si>
    <t>VISHWANIKETAN INSTITUTE OF MANAGEMENT ENTREPRENEURSHIP AND ENGINEERING TECHNOLOGY, KHALAPUR</t>
  </si>
  <si>
    <t>AutoCAD,MS Office,AUTODESK ECOTECT, STAAD.PRO</t>
  </si>
  <si>
    <t>COLLIERS | Ã¢â‚¬Â¢ MARKET RESEARCH Ã¢â‚¬Â¢ ANALYSING RESEARCH DATA Ã¢â‚¬Â¢ IDENTIFYING LEADS Ã¢â‚¬Â¢ ANALYSING THE CLIENTÃ¢â‚¬â„¢S PREREQUISITES Ã¢â‚¬Â¢ ADDRESSING CUSTOMER CONCERNS Ã¢â‚¬Â¢ SITES VISITS AND COORDINATION Ã¢â‚¬Â¢ SALES OFFER AND  | MUMBAI | Apr 2022 | Jun 2022 | 7 Weeks</t>
  </si>
  <si>
    <t>PP21044</t>
  </si>
  <si>
    <t>PUSHKARSINGH</t>
  </si>
  <si>
    <t>VIKRAMSINGH</t>
  </si>
  <si>
    <t>Pushkarsingh Vikramsingh Rajput</t>
  </si>
  <si>
    <t>pushkarrajput1996@gmail.com</t>
  </si>
  <si>
    <t>5905 7089 6350</t>
  </si>
  <si>
    <t>VIKRAMSINGH BABUSINGH RAJPUT</t>
  </si>
  <si>
    <t>MANISHA VIKRAMSINGH RAJPUT</t>
  </si>
  <si>
    <t>"VENKATESH" BASAV NAGAR MAHAJAN PLOT, VIKRAMPUR , ATHANI</t>
  </si>
  <si>
    <t>FLAT NO. 10, NEEL RESIDENCY, LAXMINAGAR, OLD SANGVI,PIMPRI CHINCHWAD</t>
  </si>
  <si>
    <t>SANJAY GANDHI ENGLISH MEDIUM SCHOOL ATHANI</t>
  </si>
  <si>
    <t>2012-Apr-09</t>
  </si>
  <si>
    <t>2013-Jun-06</t>
  </si>
  <si>
    <t>KONNUR PU COLLEGE, YALLATTI, JAMKHANDI</t>
  </si>
  <si>
    <t>DEPARTMENT OF PRE-UNIVERSITY EDUCATION BOARD KARNATAKA</t>
  </si>
  <si>
    <t>DR. J J MAGADUM COLLEGE OF ENGINEERING, JAYSINGPUR, MAHARASHTRA</t>
  </si>
  <si>
    <t>2015-Jul-13</t>
  </si>
  <si>
    <t>2020-Mar-31</t>
  </si>
  <si>
    <t>JADHAV CONSTRUCTION | JR SITE SUPERVISOR | SANGLI | Feb 2017 | Apr 2017 | 11 Weeks
BASIL HOMES | PROJECT MANAGER | PUNE | Apr 2022 | Jul 2022 | 13 Weeks</t>
  </si>
  <si>
    <t>PP21045</t>
  </si>
  <si>
    <t>Shubham Jitendra Bhalgat</t>
  </si>
  <si>
    <t>shubhambhalgat.96@gmail.com</t>
  </si>
  <si>
    <t>pp21045@ms.nicmar.ac.in</t>
  </si>
  <si>
    <t>17-Jun-1996</t>
  </si>
  <si>
    <t>MARWADI, ENGLISH, HINDI, MARATHI</t>
  </si>
  <si>
    <t>6269 1597 7457</t>
  </si>
  <si>
    <t>JITENDRA POPATLAL BHALGAT</t>
  </si>
  <si>
    <t>RATNAMALA JITENDRA BHALGAT</t>
  </si>
  <si>
    <t>OPP GLAYDING CENTRE FLAT NO.B/3, SAINAGAR,SATAVWADI HADAPSAR</t>
  </si>
  <si>
    <t>ALL INDIA SHRI SHIVAJI MEMORIAL SOCIETY COLLEGE OF POLYTECHNIC</t>
  </si>
  <si>
    <t>MIT ART,DESIGN AND TECHNOLOGY UNIVERSITY</t>
  </si>
  <si>
    <t>MIT, SCHOOL OF ENGINEERING PUNE</t>
  </si>
  <si>
    <t>MAHA METRO | PLANNING  AND CONTRACT | PUNE | Jul 2022 | Aug 2022 | 4 Weeks | Campus Internship
CAPITAL BOX | MARKETING  | GURGAON  | May 2022 | Jul 2022 | 8 Weeks</t>
  </si>
  <si>
    <t>PP21046</t>
  </si>
  <si>
    <t>Vaibhav Dnyaneshwar Yeole</t>
  </si>
  <si>
    <t>pp21046@ms.nicmar.ac.in</t>
  </si>
  <si>
    <t>5380 5659 0200</t>
  </si>
  <si>
    <t>PLOT 36, OMKAR VIHAR COLONY, BHADGAON, DIST. JALGAON</t>
  </si>
  <si>
    <t>A5 7, YASHOPURAM HOUSING SOCIETY, LINK ROAD, CHINCHWAD</t>
  </si>
  <si>
    <t>SAU.SUMANTAI GIRDHAR PATIL MADHYAMIK VIDYALAYA</t>
  </si>
  <si>
    <t>NASHIK, MAHARASHTRA</t>
  </si>
  <si>
    <t>2012-Jun-25</t>
  </si>
  <si>
    <t>2013-Mar-30</t>
  </si>
  <si>
    <t>2022-Jan-23</t>
  </si>
  <si>
    <t>SOU. VENUTAI CHAVAN POLYTECHNIC VADGAON, PUNE, MAHARASHTRA-41</t>
  </si>
  <si>
    <t>2013-Jul-15</t>
  </si>
  <si>
    <t>2016-Jun-09</t>
  </si>
  <si>
    <t>DR. D.Y. PATIL COLLEGE OF ENGINEERING AND INNOVATION, VARALE, TAL. MAVAL, DIST. PUNE, MAHARASHTRA</t>
  </si>
  <si>
    <t>2016-Aug-22</t>
  </si>
  <si>
    <t>2020-Nov-11</t>
  </si>
  <si>
    <t>AutoCAD,MS Office,MS Project,Primavera,E-TAB</t>
  </si>
  <si>
    <t>DYNAMIC CONSULTANTS | DAY TO DAY INSPECTION, LAYOUT OF PROJECT, LINE LEVEL OF SHUTTERING, CHECKING STEEL PROVIDED AS PER DRAWING, PREPARATION OF BOQ, CONCRETING | CHAKAN MIDC, PUNE | Nov 2020 | Aug 2021 | 0 Years, 9 Months, 12 Days | 2.4</t>
  </si>
  <si>
    <t>GINI CITICORP REALTY LIMITED | FOLLOWED PLAN AND WORK FOLOW OF THE FIRM AND WORKED ACCORDING TO THEIR TARGET OF COMPLETION. MANAGING SITE WORK AND PREPARING ROUGH ESTIMATION OF RAW MATERIALS TO BE USED ON SITE AND ALSO COMMUNICATIO | YEWALEWADI, KONDHAWA | May 2022 | Jul 2022 | 10 Weeks</t>
  </si>
  <si>
    <t>PP21047</t>
  </si>
  <si>
    <t>Gaurav Vashishtha</t>
  </si>
  <si>
    <t>gvashishtha17@gmail.com</t>
  </si>
  <si>
    <t>pp21047@ms.nicmar.ac.in</t>
  </si>
  <si>
    <t>PP21048</t>
  </si>
  <si>
    <t>KETHA</t>
  </si>
  <si>
    <t>Ketha Bhaskara Sai Naresh</t>
  </si>
  <si>
    <t>BOBBYNARESH76@GMAIL.COM</t>
  </si>
  <si>
    <t>pp21048@ms.nicmar.ac.in</t>
  </si>
  <si>
    <t>TELUGU ,HINDI ,ENGLISH</t>
  </si>
  <si>
    <t>7908 8647 1456</t>
  </si>
  <si>
    <t>KETHA VENKATA TRIMURTULU</t>
  </si>
  <si>
    <t>KETHA VARA LAKSHMI</t>
  </si>
  <si>
    <t>D.NO : 10-65 ;BONTHUVARIPALEM STREET ;_x000D_
PULLETIKURRU ; AMBAJIPETA MANDAL ; EAST GODAVARI DISTRICT</t>
  </si>
  <si>
    <t>Amalapuram</t>
  </si>
  <si>
    <t>D.NO : 10-65 ; BONTHUVARIPALEM STREET  ;_x000D_
PULLETIKURRU  ; AMBAJIPETA MANDAL ; EAST GODAVARI DISTRICT</t>
  </si>
  <si>
    <t>STATE BOARD OF HIGHER SECONDARY EDUCATION ANDHRA PRADESH</t>
  </si>
  <si>
    <t>2014-May-15</t>
  </si>
  <si>
    <t>2016-Apr-19</t>
  </si>
  <si>
    <t>GUDLAVALLERU ENGINEERING COLLEGE</t>
  </si>
  <si>
    <t>2020-Oct-05</t>
  </si>
  <si>
    <t>MEGHA ENGINEERING &amp; INFRASTRUCTURE LIMITED | SITE ENGINEER | ORISSA | Oct 2020 | Aug 2021 | 0 Years, 10 Months, 21 Days | 2.11</t>
  </si>
  <si>
    <t>VIJAYAWADA TOLLWAY PLAZA PRIVATE LIMITED | INTERN | GUNTUR | May 2019 | Jun 2019 | 7 Weeks
CONVENIENT CONSTRUCTION CONSTRUCTION PRIVATE LIMITED | PLANNING &amp; EXECUTION | BHARATPUR | Apr 2022 | Jul 2022 | 12 Weeks</t>
  </si>
  <si>
    <t>PP21049</t>
  </si>
  <si>
    <t>DEBASREE</t>
  </si>
  <si>
    <t>Debasree Saraswati</t>
  </si>
  <si>
    <t>DEBASREES358@GMAIL.COM</t>
  </si>
  <si>
    <t>pp21049@ms.nicmar.ac.in</t>
  </si>
  <si>
    <t>27-May-1997</t>
  </si>
  <si>
    <t>9799 7436 0791</t>
  </si>
  <si>
    <t>SUBHAJIT SARASWATI</t>
  </si>
  <si>
    <t>SARMILA SARASWATI</t>
  </si>
  <si>
    <t>CROOCKED LANE, BARABAZAR</t>
  </si>
  <si>
    <t>GHUTIABAZAR BINODINI GIRLS HIGH SCHOOL</t>
  </si>
  <si>
    <t>SARDIP CONSULTING ENGINEERS PVT LTD | TECHNICSL DESIGN, REPAIR &amp; RETROFIT | KOLKATA | Jun 2019 | Aug 2021 | 2 Years, 2 Months, 28 Days | 1.8</t>
  </si>
  <si>
    <t>SARDIP CONSULTING ENGINEERS PVT LTD | LEARNING SOFTWARES, CARRYING OUT DBR, TECHNICAL DESIGN | KOLKATA | Jun 2017 | Aug 2022 | 268 Weeks
BANGALORE METRO RAIL CORPORATION LIMITED | MANAGEMENT INTERN | BANGALORE | Apr 2022 | Jul 2022 | 9 Weeks</t>
  </si>
  <si>
    <t>PP21051</t>
  </si>
  <si>
    <t>GAUTHAM</t>
  </si>
  <si>
    <t>Gautham Nandakumar Menon</t>
  </si>
  <si>
    <t>GAUTHAM40@GMAIL.COM</t>
  </si>
  <si>
    <t>pp21051@ms.nicmar.ac.in</t>
  </si>
  <si>
    <t>27-May-1996</t>
  </si>
  <si>
    <t>7420 2182 7962</t>
  </si>
  <si>
    <t>NANDAKUMAR MATHOOR</t>
  </si>
  <si>
    <t>GEETHA NANDAKUMAR</t>
  </si>
  <si>
    <t>FOOD TECHNOLOGIST</t>
  </si>
  <si>
    <t>UTHRAM, KARTHIKA LANE, PETTAH, THRIPUNITHURA</t>
  </si>
  <si>
    <t>GREGORIAN PUBLIC SCHOOL</t>
  </si>
  <si>
    <t>ALBERTIAN INSTITUTE OF SCIENCE AND TECHNOLOGY</t>
  </si>
  <si>
    <t>AutoCAD,MS Office,MS Project,Primavera,SOLIDWORKS</t>
  </si>
  <si>
    <t>Techin Process Technologies | project coordination, procurement, planning, project control | Mumbai, Vadodara | Jun 2019 | Jun 2021 | 2 Years, 0 Months, 1 Days | 3.33</t>
  </si>
  <si>
    <t>CARBORUNDUM UNIVERSAL LIMITED | INTERN | KOCHI | Jul 2016 | Jul 2016 | 1 Weeks
COCHIN SHIPYARD LIMITED | INTERN | KOCHI | Jun 2017 | Jun 2017 | 1 Weeks
MAHINDRA TEQO | TO CREATE AN AUTOMATED PLATFORM FOR THE LAB TESTING  PROCESSES | THANE | Apr 2022 | Jul 2022 | 11 Weeks</t>
  </si>
  <si>
    <t>PP21052</t>
  </si>
  <si>
    <t>VEER</t>
  </si>
  <si>
    <t>Sayaji Anil Veer</t>
  </si>
  <si>
    <t>sayajiveer1820@gmail.com</t>
  </si>
  <si>
    <t>pp21052@ms.nicmar.ac.in</t>
  </si>
  <si>
    <t>01-Jun-1994</t>
  </si>
  <si>
    <t>2960 1628 9479</t>
  </si>
  <si>
    <t>ANIL BHAUSAHEB VEER</t>
  </si>
  <si>
    <t>ANURADHA ANIL VEER</t>
  </si>
  <si>
    <t>A B VEER HOUSE, NEAR VITTHHAL MANDIR, AT POST. ALANI, TAQ.DIST. OSMANABAD</t>
  </si>
  <si>
    <t>A2,703, VANASHREE APARTMENTS,GREENFIELD ROAD,HADAPSAR,411028</t>
  </si>
  <si>
    <t>YASHWANT VIDYALAYA, AHMEDPUR,TAQ.AHMEDPUR,DIST.LATUR</t>
  </si>
  <si>
    <t>BHIVARABAI SAWANT COLLEGE OF ENGINEERING AND RESEARCH PUNE</t>
  </si>
  <si>
    <t>M/s S.B. DESHMUKH GOVT. CIVIL CONTRACTOR AND CONSULTING ENGINEER | SITE ENGINEER | DHULE | Jan 2019 | Jan 2021 | 2 Years, 0 Months, 30 Days | 1.8</t>
  </si>
  <si>
    <t>NAKSHATRA BUILDERS AND DEVELOPERS | JUNIOR ENGINEER | OSMANABAD | Sep 2017 | Nov 2018 | 65 Weeks
CQRA PRIVATE LIMITED | PROJECT MONITORING AND CO-ORDINATION | PUNE | May 2022 | Jul 2022 | 9 Weeks</t>
  </si>
  <si>
    <t>PP21053</t>
  </si>
  <si>
    <t>VOHRA</t>
  </si>
  <si>
    <t>Nikhil Vohra</t>
  </si>
  <si>
    <t>vohra.nikhil08@gmail.com</t>
  </si>
  <si>
    <t>pp21053@ms.nicmar.ac.in</t>
  </si>
  <si>
    <t>22-Aug-1996</t>
  </si>
  <si>
    <t>9590 0723 3058</t>
  </si>
  <si>
    <t>RAJKUMAR VOHRA</t>
  </si>
  <si>
    <t>SHASHI VOHRA</t>
  </si>
  <si>
    <t>H.NO. 822A SECTOR 29</t>
  </si>
  <si>
    <t>DAYANAND ANGLO VEDIC SECTOR 14</t>
  </si>
  <si>
    <t>MAHARSHI DAYANAD UNIVERSITY</t>
  </si>
  <si>
    <t>ECHELON INSTITUTE OF TECHNOLOGY</t>
  </si>
  <si>
    <t>AutoCAD,MS Office,STAAD PRO, OASYS</t>
  </si>
  <si>
    <t>SYSTRA MVA CONSULTANT INDIA PVT LTD | ELEVATED STRUCTURE DESIGN | FARIDABAD | Nov 2018 | Jul 2021 | 2 Years, 8 Months, 6 Days | 4</t>
  </si>
  <si>
    <t>MAINI SCAFFOLDS SYSTEM | TRAINEE | MOHAN ESTATE, NEW DELHI | Jun 2017 | Jul 2017 | 6 Weeks
SYSTRA MVA CONSULTANTS INDIA PVT LTD | DESIGN AND DOCUMENTATION | FARIDABAD | Jan 2018 | Jul 2018 | 28 Weeks
MAHAVEER GROUP | PROJECT EXECUTING AND MONITORING, PLANNING | BANGALORE | Apr 2022 | Jun 2022 | 7 Weeks</t>
  </si>
  <si>
    <t>PP21054</t>
  </si>
  <si>
    <t>AJAYKUMAR</t>
  </si>
  <si>
    <t>Sahil Soni Ajaykumar</t>
  </si>
  <si>
    <t>sahilsoni0410@gmail.com</t>
  </si>
  <si>
    <t>pp21054@ms.nicmar.ac.in</t>
  </si>
  <si>
    <t>04-Oct-1998</t>
  </si>
  <si>
    <t>ENGLISH,GUJARATI,HINDI</t>
  </si>
  <si>
    <t>9678 1566 7488</t>
  </si>
  <si>
    <t>SONI AJAY N</t>
  </si>
  <si>
    <t>SONI SHILPA AJAYKUMAR</t>
  </si>
  <si>
    <t>99, MANDAKINI SOCIETY,K K NAGAR ROAD</t>
  </si>
  <si>
    <t>SHREE VIDYANAGAR HIGH SCHOOL</t>
  </si>
  <si>
    <t>SCHOOL OF TECHNOLOCY</t>
  </si>
  <si>
    <t>AutoCAD,MS Office,MICROSOFT POWER POINT, MICROSOFT WORD, C, C++</t>
  </si>
  <si>
    <t>NIRMAAN PROJECTS | Tender Executive  | Ahmedabad | Jan 2021 | Aug 2021 | 0 Years, 7 Months, 30 Days | 0.96</t>
  </si>
  <si>
    <t>SPARTAN BUILDERS | JUNIOR SITE ENGINEER  | AHMEDABAD | Jun 2019 | Jul 2019 | 6 Weeks
DHARMADEV INFRASTRUCTURE LIMITED | 1)PROJECT PLANNING 2)ESTIMATION 3)SITE EXECUTION | AHMEDABAD | Apr 2022 | Jun 2022 | 7 Weeks</t>
  </si>
  <si>
    <t>PP21055</t>
  </si>
  <si>
    <t>WASEE</t>
  </si>
  <si>
    <t>JAN</t>
  </si>
  <si>
    <t>Wasee Jan</t>
  </si>
  <si>
    <t>lonewasu96@gmail.com</t>
  </si>
  <si>
    <t>pp21055@ms.nicmar.ac.in</t>
  </si>
  <si>
    <t>03-Feb-1995</t>
  </si>
  <si>
    <t>ENGLISH, URDU, HINDI, KASHMIRI</t>
  </si>
  <si>
    <t>5620 9964 8989</t>
  </si>
  <si>
    <t>MOHD ABDULLAH LONE</t>
  </si>
  <si>
    <t>SHAMEEMA BANOO</t>
  </si>
  <si>
    <t>45,LONEPORA TARAGAM QAZIGUND</t>
  </si>
  <si>
    <t>Anantnag</t>
  </si>
  <si>
    <t>OMKAR RESIDENCY SHANIWAR PETH PUNE</t>
  </si>
  <si>
    <t>ISLAMIA MODEL  HIGH SCHOOL</t>
  </si>
  <si>
    <t>THE JAMMU AND KASHMIR STATE BOARD OF SCHOOL EDUCATION</t>
  </si>
  <si>
    <t>AL-SARWAT CONVENT SR SECONDARY INSTITUTE</t>
  </si>
  <si>
    <t>KOLHAPUR INSTITUTE OF TECHNOLOGY S COLLEGE OF ENGINEERING</t>
  </si>
  <si>
    <t>RG CONSTRUCTION KOLHAPUR | INTERN | KOLHAPUR | Jun 2019 | Jun 2019 | 4 Weeks
BHATE AND RAJE CONSTRUCTION COMPANY PVT LTD | QUANTITY SURVEYING AND SITE EXECUTION | VIMAN NAGER, PUNE | Jul 2022 | Jul 2022 | 4 Weeks
ESTHETE DESIGNERS AND BUILDERS PVT LTD | PROJECT MANAGEMENT INTERN  | BENGALURU, KARNATAKA | Apr 2022 | Jun 2022 | 7 Weeks</t>
  </si>
  <si>
    <t>PP21057</t>
  </si>
  <si>
    <t>Ajinkya Vikas Duraphe</t>
  </si>
  <si>
    <t>AJINKYADURAPHE0542@GMAIL.COM</t>
  </si>
  <si>
    <t>pp21057@ms.nicmar.ac.in</t>
  </si>
  <si>
    <t>7545 3381 3869</t>
  </si>
  <si>
    <t>VIKAS BHIKAJI DURAPHE</t>
  </si>
  <si>
    <t>KUSUM VIKAS DURAPHE</t>
  </si>
  <si>
    <t>OPPOSITE TO SHIVRAJE SOCIETY, AT POST BARAV , JUNNAR , TAL-JUNNAR.</t>
  </si>
  <si>
    <t>AT POST BARAV , JUNNAR , PUNE</t>
  </si>
  <si>
    <t>SHANKARRAO BUTTEPATIL VIDYALAYA JUNNAR</t>
  </si>
  <si>
    <t>SHRI SHIV CHATTRAPATI COLLEGE JUNNAR</t>
  </si>
  <si>
    <t>PADMABHOOSHAN VASANTDADA PATIL INSTITUTE OF TECHNOLOGY</t>
  </si>
  <si>
    <t>AutoCAD,SKETCHUP</t>
  </si>
  <si>
    <t>SRI VIGHNAHAR PROMOTORS AND BUILDERS PVTL | SITE ENGINEER | JUNNAR | Mar 2021 | Aug 2022 | 78 Weeks
PRAGATHI ASSOCIATES | PROJECT COORDINATION  | BENGALURU | Apr 2022 | Jun 2022 | 8 Weeks</t>
  </si>
  <si>
    <t>PP21058</t>
  </si>
  <si>
    <t>Prajwal Bharat Chauhan</t>
  </si>
  <si>
    <t>PRAJWALCHAUHAN04@GMAIL.CONM</t>
  </si>
  <si>
    <t>pp21058@ms.nicmar.ac.in</t>
  </si>
  <si>
    <t>8827 7471 6288</t>
  </si>
  <si>
    <t>BHARAT MOHAN CHAUHAN</t>
  </si>
  <si>
    <t>SAROJ BHARAT CHAUHAN</t>
  </si>
  <si>
    <t>SR.NO. - 68/1, FLAT NO.- C-704, TREASURE ISLAND, PIMPLE SAUDAGAR, NEAR GOVIND GARDEN HOTEL</t>
  </si>
  <si>
    <t>ARJUN WATUMULL SINDHU VIDYA BHAVAN</t>
  </si>
  <si>
    <t>JAYAWANT SHIKSHAN PRASARAK MANDAL RAJARSHI SHAHU COLLEGE OF ENGINEERING</t>
  </si>
  <si>
    <t>NILKANTH ASSOCIATES | MANAGING ACTIVITIES TIME AND OBSERVING THE WORK DONE PROPERLY | RAVET AND TALEGOAN | Nov 2019 | Dec 2019 | 6 Weeks
VPAN CIVIL CONSULTANTS | SITE EXECUTION (SUPERVISING AND INSPECTING) | AHMEDABAD | Apr 2022 | Jul 2022 | 9 Weeks</t>
  </si>
  <si>
    <t>PP21059</t>
  </si>
  <si>
    <t>MAMIDWAR</t>
  </si>
  <si>
    <t>Hitesh Vivek Mamidwar</t>
  </si>
  <si>
    <t>KANHAMAMIDWAR@GMAIL.COM</t>
  </si>
  <si>
    <t>pp21059@ms.nicmar.ac.in</t>
  </si>
  <si>
    <t>ENGLISH,HINDI, MARATHI,TELUGU</t>
  </si>
  <si>
    <t>5221 5798 4985</t>
  </si>
  <si>
    <t>VIVEK UMAKANT MAMIDWAR</t>
  </si>
  <si>
    <t>SUCHITA VIVEK MAMIDWAR</t>
  </si>
  <si>
    <t>PLOT NO-4,SNEHA NAGAR NEAR GAJANAN MANDIR ,WADGAO</t>
  </si>
  <si>
    <t>DR. K.K.R  GOWTHAM INTERNATIONAL SCHOOL</t>
  </si>
  <si>
    <t>AutoCAD,Primavera,STAAD PRO</t>
  </si>
  <si>
    <t>GAJANAN CONSTRUCTION COMPANY | SITE ENGINEER | CHANDRAPUR | Apr 2021 | Jun 2021 | 12 Weeks
MADHURE INFRA ENGINEERING PVT LTD | SITE ENGINEER | PUNE | Apr 2022 | Jul 2022 | 12 Weeks</t>
  </si>
  <si>
    <t>PP21060</t>
  </si>
  <si>
    <t>JERRY</t>
  </si>
  <si>
    <t>PUNNOOSE</t>
  </si>
  <si>
    <t>Jerry Abraham Punnoose</t>
  </si>
  <si>
    <t>JERRYPUNNOOSE@GMAIL.COM</t>
  </si>
  <si>
    <t>pp21060@ms.nicmar.ac.in</t>
  </si>
  <si>
    <t>8631 2120 6515</t>
  </si>
  <si>
    <t>PUNNOOSE ABRAHAM</t>
  </si>
  <si>
    <t>AIR TRAFFIC CONTROLLER</t>
  </si>
  <si>
    <t>MANJU PUNNOOSE</t>
  </si>
  <si>
    <t>KUMBALATHIL-H NO. 35, NAYATHODE P.O,ANGAMALY,NEAR L.F CHURCH</t>
  </si>
  <si>
    <t>Angamaly</t>
  </si>
  <si>
    <t>COCHIN SMART MISSION LIMITED | INTERN | KOCHI | Oct 2020 | Jan 2021 | 13 Weeks
BANGALORE METRO RAIL CORPORATION LIMITED | INTERN | BANGALORE | Apr 2022 | Jul 2022 | 9 Weeks</t>
  </si>
  <si>
    <t>PP21061</t>
  </si>
  <si>
    <t>Pavan Anand Shetty</t>
  </si>
  <si>
    <t>PAVANSHETTY02@GMAIL.COM</t>
  </si>
  <si>
    <t>pp21061@ms.nicmar.ac.in</t>
  </si>
  <si>
    <t>HINDI, ENGLISH, KANNADA, MARATHI, TULU</t>
  </si>
  <si>
    <t>2211 8490 0025</t>
  </si>
  <si>
    <t>ANAND SUNDAR SHETTY</t>
  </si>
  <si>
    <t>AMBIKA ANAND SHETTY</t>
  </si>
  <si>
    <t>1002, LOTUS - B, NISARG GREENS, B - ABIN ROAD, AMBARNATH EAST.</t>
  </si>
  <si>
    <t>Ambernath</t>
  </si>
  <si>
    <t>CARMEL CONVENT HIGH SCHOOL</t>
  </si>
  <si>
    <t>RAMCHAND KIMATRAM TALREJA JUNIOR COLLEGE</t>
  </si>
  <si>
    <t>VISVESVARAIYA TECHNOLOGICAL UNIVERSITY</t>
  </si>
  <si>
    <t>SHRI MADHWA VADIRAJA INSTITUTE OF TECHNOLOGY AND MANAGEMENT</t>
  </si>
  <si>
    <t>EV DUNIYA | CONTENT WRITER | REMOTE WORKING | Jul 2021 | Aug 2021 | 5 Weeks
NISARG NIRMAN DEVELOPERS | TRAINEE PLANT ENGINEER | AMBARNATH | Jul 2018 | Aug 2018 | 3 Weeks
ANJ TURNKEY PROJECTS PRIVATE LIMITED | SITE EXECUTION, PROJECT MONITORING. | NAVI MUMBAI | Apr 2022 | Jul 2022 | 13 Weeks</t>
  </si>
  <si>
    <t>PP21062</t>
  </si>
  <si>
    <t>Vivek B V S</t>
  </si>
  <si>
    <t>bvs.vivek123@gmail.com</t>
  </si>
  <si>
    <t>pp21062@ms.nicmar.ac.in</t>
  </si>
  <si>
    <t>31-Dec-1998</t>
  </si>
  <si>
    <t>2750 6693 6886</t>
  </si>
  <si>
    <t>B RAJESWAR RAO</t>
  </si>
  <si>
    <t>B MANJULA</t>
  </si>
  <si>
    <t>H. NO. 603, SARAT SANKALP PARADISE, CAR SHED JN, PM.PALEM, VISAKHAPATNAM, 530041</t>
  </si>
  <si>
    <t>SRI CHAITANYA VIDYANIKETAN</t>
  </si>
  <si>
    <t>NARAYANA VIDYANIKETAN</t>
  </si>
  <si>
    <t>TCI COLD CHAIN SOLUTIONS (TRANSPORT CORPORATION OF INDIA) | OPERATIONS | GURGAON | Oct 2020 | Apr 2021 | 0 Years, 6 Months, 0 Days | 3</t>
  </si>
  <si>
    <t>KOLTE PATIL DEVELOPERS LTD | INTERN, MEP | HINJEWADI, PUNE | Apr 2022 | Jun 2022 | 8 Weeks
HYUNDAI MOTORS | MECHANICAL INTERN | CHENNAI | Jul 2019 | Jul 2019 | 0 Weeks
BHARAT HEAVY ELECTRICALS LIMITED | MECHANICAL INTERN | HYDERABAD | May 2019 | Jun 2019 | 4 Weeks</t>
  </si>
  <si>
    <t>PP21063</t>
  </si>
  <si>
    <t>Mani Kumari</t>
  </si>
  <si>
    <t>MANIKUMARI1608@GMAIL.COM</t>
  </si>
  <si>
    <t>pp21063@ms.nicmar.ac.in</t>
  </si>
  <si>
    <t>5754 9234 0312</t>
  </si>
  <si>
    <t>MR RAM VINOD PRASAD</t>
  </si>
  <si>
    <t>MRS SAVITRI GUPTA</t>
  </si>
  <si>
    <t>LEFT SIDE OF HEAVEN TOWER, JAY PRAKASH UDHYAN, FOREST COLONY, ADITYAPUR, JAMSHEDPUR</t>
  </si>
  <si>
    <t>SRI KRISHNA PUBLIC SCHOOL</t>
  </si>
  <si>
    <t>COUNCIL FOR THE INDIAN SCHOOL CERTIFICATE EXAMINATIONS NEW DELHI</t>
  </si>
  <si>
    <t>J.H.TARAPORE SCHOOL</t>
  </si>
  <si>
    <t>SOA DEEMED TO BE UNIVERSITY</t>
  </si>
  <si>
    <t>DXC TECHNOLOGY | SYSTEM ADMINISTRATOR | BANGALORE | Aug 2020 | Sep 2021 | 1 Years, 0 Months, 5 Days | 3.6</t>
  </si>
  <si>
    <t>SUEZ WATER TECHNOLOGIES AND SOLUTIONS PVT LTD | PROJECT MANAGEMENT INTERN | DELHI, INDIA | Jun 2022 | Jul 2022 | 7 Weeks</t>
  </si>
  <si>
    <t>PP21064</t>
  </si>
  <si>
    <t>OLIAPURAM</t>
  </si>
  <si>
    <t>George Anil Oliapuram</t>
  </si>
  <si>
    <t>GEORGEANIL97@GMAIL.COM</t>
  </si>
  <si>
    <t>pp21064@ms.nicmar.ac.in</t>
  </si>
  <si>
    <t>24-Jan-1997</t>
  </si>
  <si>
    <t>5840 8418 4998</t>
  </si>
  <si>
    <t>ANIL GEORGE</t>
  </si>
  <si>
    <t>BINI SEBASTIAN</t>
  </si>
  <si>
    <t>H. NO. SG 26, SREERANGAM GARDENS, MARUTHAROAD, CHANDRANAGAR, PALAKKAD, KERALA</t>
  </si>
  <si>
    <t>HOLY TRINITY SCHOOL</t>
  </si>
  <si>
    <t>ANIL SANTHOSH ASSOCIATES | SITE SUPERVISOR | PALAKKAD | May 2021 | Jul 2021 | 13 Weeks
ANIL SANTHOSH ASSOCIATES | SITE SUPERVISOR | PALAKKAD | Jun 2017 | Jul 2017 | 2 Weeks
NANDI HOUSING PRIVATE LIMITED | SITE EXECUTION  | BANGALORE | Apr 2022 | Jun 2022 | 9 Weeks</t>
  </si>
  <si>
    <t>PP21065</t>
  </si>
  <si>
    <t>KURANDAWAD</t>
  </si>
  <si>
    <t>Aishwarya Ravindra Kurandawad</t>
  </si>
  <si>
    <t>RKAISHWARYA13@GMAIL.COM</t>
  </si>
  <si>
    <t>pp21065@ms.nicmar.ac.in</t>
  </si>
  <si>
    <t>08-May-1997</t>
  </si>
  <si>
    <t>ENGLISH, HINDI, KANNADA, SANSKRIT</t>
  </si>
  <si>
    <t>6844 5412 6764</t>
  </si>
  <si>
    <t>RAVINDRA R KURANDWAD</t>
  </si>
  <si>
    <t>VASUDHA R KURANDWAD</t>
  </si>
  <si>
    <t>H. NO. 204, VAISHNAVI ARS GARDENIA, T DASARAHALLI, JALAHALLI CROSS, BANGALORE-560057</t>
  </si>
  <si>
    <t>SRI GANGADHARESWARA HIGH SCHOOL</t>
  </si>
  <si>
    <t>AutoCAD,MS Office,Primavera,ETABS, REVIT ARCHITECTURE</t>
  </si>
  <si>
    <t>QCRETE READYMIX INDIA PVT.LTD | TECHNICAL | BENGALURU | Oct 2019 | Mar 2021 | 1 Years, 4 Months, 23 Days | 2
KRAFT UR SPACE | TECHNICAL | BENGALURU | Jun 2021 | Aug 2021 | 0 Years, 2 Months, 8 Days | 2</t>
  </si>
  <si>
    <t>L AND T REALTY DIVISION | SUPERVISION OF CONSTRUCTION WORK LIKE CONCRETING, ALUMINIUM SHUTTERING AND DESHUTTERING WORKS, PAINTING, TILING AND WATER PROOFING ACTIVITIES | BENGALURU | Jul 2018 | Jul 2018 | 1 Weeks
INDIABULLS ASSET MANAGEMENT | PROJECT MONITORING, DATA COLLECTION, ANALYTICS OF VARIOUS ASSETS AND PROPERTIES, PROJECT CO-ORDINATION. | MUMBAI  | Apr 2022 | Jul 2022 | 11 Weeks</t>
  </si>
  <si>
    <t>PP21066</t>
  </si>
  <si>
    <t>Mehul Yadav</t>
  </si>
  <si>
    <t>yadavmehul.0@gmail.com</t>
  </si>
  <si>
    <t>08-Jul-1998</t>
  </si>
  <si>
    <t>2940 5439 1234</t>
  </si>
  <si>
    <t>RAJESH YADAV</t>
  </si>
  <si>
    <t>JYOTI YADAV</t>
  </si>
  <si>
    <t>N-21/1, ANOOP NAGAR EXT. ,</t>
  </si>
  <si>
    <t>N-21/1,ANOOP NAGAR EXT.,</t>
  </si>
  <si>
    <t>SRI SATHYA SAI VIDYA VIHAR</t>
  </si>
  <si>
    <t>CENTRAL BOARD OF SECONDARY EDUCATION, INDORE/ MADHYA PRADESH</t>
  </si>
  <si>
    <t>2013-Apr-20</t>
  </si>
  <si>
    <t>2014-Apr-20</t>
  </si>
  <si>
    <t>2016-Apr-15</t>
  </si>
  <si>
    <t>MEDICAPS UNIVERSITY, INDORE/ MADHYA PRADESH</t>
  </si>
  <si>
    <t>2016-Sep-06</t>
  </si>
  <si>
    <t>2021-Jan-09</t>
  </si>
  <si>
    <t>MAS DESIGN ATELIER | SITE EXECUTION AND CONTROL | INDORE | May 2022 | Jul 2022 | 13 Weeks</t>
  </si>
  <si>
    <t>PP21067</t>
  </si>
  <si>
    <t>SRIMANOJ</t>
  </si>
  <si>
    <t>PEPAKAYALA</t>
  </si>
  <si>
    <t>Srimanoj Pepakayala</t>
  </si>
  <si>
    <t>SRIMANOJ83@GMAIL.COM</t>
  </si>
  <si>
    <t>pp21067@ms.nicmar.ac.in</t>
  </si>
  <si>
    <t>6689 5716 7279</t>
  </si>
  <si>
    <t>PEPAKAYALA VEERABHADRARAO</t>
  </si>
  <si>
    <t>PEPAKAYALA RAJINI</t>
  </si>
  <si>
    <t>FLAT NO-302,SAI SUJATHA APPARTMENTS,SAINADHPURAM,OLD SAFILGUDA</t>
  </si>
  <si>
    <t>TRIVENI SCHOOL</t>
  </si>
  <si>
    <t>SCHOOL OF SECONDARY EDUCATION, ANDHRA PRADESH</t>
  </si>
  <si>
    <t>BOARD OF INTERMEDIATE EDUCATION , A.P</t>
  </si>
  <si>
    <t>VELLORE INSTITUTE OF TECHNOLOGY, TAMILNADU</t>
  </si>
  <si>
    <t>RAIL WHEEL FACTORY | INTERN | YELAHANKA , BANGALORE | Dec 2016 | Dec 2016 | 1 Weeks
BHARAT HEAVY ELECTRICALS LIMITED | INTERN | HYDERABAD | May 2018 | May 2018 | 4 Weeks
GENSYS TECHNOLOGIES PVT LTD | PROJECT PLANNING &amp; COORDINATION | PUNE | Apr 2022 | Jun 2022 | 7 Weeks</t>
  </si>
  <si>
    <t>PP21068</t>
  </si>
  <si>
    <t>VALLABH</t>
  </si>
  <si>
    <t>KOLEKAR</t>
  </si>
  <si>
    <t>Vallabh Kishor Kolekar</t>
  </si>
  <si>
    <t>VALLABHKOLEKAR09@GMAIL.COM</t>
  </si>
  <si>
    <t>pp21068@ms.nicmar.ac.in</t>
  </si>
  <si>
    <t>09-Dec-1998</t>
  </si>
  <si>
    <t>7906 1628 3974</t>
  </si>
  <si>
    <t>KISHOR AMBAJIRAO KOLEKAR</t>
  </si>
  <si>
    <t>PALLAVI KISHOR KOLEKAR</t>
  </si>
  <si>
    <t>B 138/7,GOVERNMENT COLONY,BANDRA EAST,MUMBAI</t>
  </si>
  <si>
    <t>I.E.S.NEW ENGLISH SCHOOL</t>
  </si>
  <si>
    <t>KIRTI M. DOONGURSEE COLLGE</t>
  </si>
  <si>
    <t>KARMAVEER BHAURAO PATIL COLLEGE OF ENGINEERING</t>
  </si>
  <si>
    <t>MMRCL | PROJECT COORDINATION  | MUMBAI  | May 2022 | Jun 2022 | 8 Weeks</t>
  </si>
  <si>
    <t>PP21069</t>
  </si>
  <si>
    <t>GOURI SHANKAR</t>
  </si>
  <si>
    <t>Gouri Shankar J</t>
  </si>
  <si>
    <t>GOURISHANKARJ@GMAIL.COM</t>
  </si>
  <si>
    <t>pp21069@ms.nicmar.ac.in</t>
  </si>
  <si>
    <t>18-Jan-1996</t>
  </si>
  <si>
    <t>3715 2085 1631</t>
  </si>
  <si>
    <t>JAYAKUMAR VENGAYIL</t>
  </si>
  <si>
    <t>MEP ENGINEER</t>
  </si>
  <si>
    <t>GEETHA JAYAN</t>
  </si>
  <si>
    <t>MUNDAKKAL HOUSE, KUNDANOOR NH 47, NEAR LE MERIDIAN HOTEL</t>
  </si>
  <si>
    <t>ABAD GOLDEN OAK, 3A, MARADU PO, NEAR NUCLEUS MALL</t>
  </si>
  <si>
    <t>BHAVANS VIDYA MANDIR</t>
  </si>
  <si>
    <t>ARC AND MARC | Ship Building | Kerala | Sep 2020 | Aug 2021 | 0 Years, 11 Months, 30 Days | 2.4
BOSCH LTD | Sales and Marketing | Kerala | Feb 2019 | Aug 2020 | 1 Years, 5 Months, 30 Days | 2</t>
  </si>
  <si>
    <t>JOHNSONS LIFTS PVT LTD | SITE INTERN | CHENNAI | Jun 2017 | Jun 2017 | 1 Weeks
JAWAHARLAL NEHRU PORT AUTHORITY | PORT PLANNING | NAVI MUMBAI | May 2022 | Jun 2022 | 8 Weeks</t>
  </si>
  <si>
    <t>PP21070</t>
  </si>
  <si>
    <t>Ayush Mishra</t>
  </si>
  <si>
    <t>AYUSH270695MISHRA@GMAIL.COM</t>
  </si>
  <si>
    <t>27-Jun-1995</t>
  </si>
  <si>
    <t>2529 5798 5477</t>
  </si>
  <si>
    <t>HEMANT MISHRA</t>
  </si>
  <si>
    <t>CHIEF OFFICE SUPERINTENDENT, NWR, AJMER</t>
  </si>
  <si>
    <t>JAISHREE MISHRA</t>
  </si>
  <si>
    <t>H.NO.14/26,5-A, SAKET, NEW GOVIND NAGAR, RAMGANJ, AJMER</t>
  </si>
  <si>
    <t>SAINT ANSELM'S SENIOR SECONDARY SCHOOL</t>
  </si>
  <si>
    <t>AJMER, RAJASTHAN</t>
  </si>
  <si>
    <t>2011-Jun-01</t>
  </si>
  <si>
    <t>2012-Aug-01</t>
  </si>
  <si>
    <t>2013-Aug-03</t>
  </si>
  <si>
    <t>JAIPUR ENGINEERING COLLEGE AND RESEARCH CENTRE - UTTAM DEVI MOHAN LAL COLLEGE OF ENGINEERING</t>
  </si>
  <si>
    <t>2013-Sep-02</t>
  </si>
  <si>
    <t>2019-Nov-11</t>
  </si>
  <si>
    <t>AutoCAD,MS Office,Primavera,AUTODESK REVIT, BENTLEY'S STAAD.PRO</t>
  </si>
  <si>
    <t>Gurukripa Testing House | Quality Analysis/Control | Ajmer, Rajasthan | May 2020 | Jul 2021 | 1 Years, 2 Months, 13 Days | 1.8</t>
  </si>
  <si>
    <t>GURUKRIPA TESTING HOUSE | QUALITY ENGINEER TRAINEE | AJMER, RAJASTHAN | Jul 2019 | Feb 2020 | 31 Weeks
AJMER DEVELOPMENT AUTHORITY | TRAINEE ENGINEER | AJMER, RAJASTHAN | Jun 2016 | Jul 2016 | 6 Weeks
HOSMAC INDIA PVT LTD | PROJECT PLANNING, TRACKING &amp; PROCUREMENT | GOREGAON, MUMBAI | Apr 2022 | Jul 2022 | 13 Weeks</t>
  </si>
  <si>
    <t>PP21071</t>
  </si>
  <si>
    <t>NEMA</t>
  </si>
  <si>
    <t>Chetan Nema</t>
  </si>
  <si>
    <t>chetan.nema97@gmail.com</t>
  </si>
  <si>
    <t>pp21071@ms.nicmar.ac.in</t>
  </si>
  <si>
    <t>3561 6344 3123</t>
  </si>
  <si>
    <t>SUDHIR NEMA</t>
  </si>
  <si>
    <t>ARCHANA NEMA</t>
  </si>
  <si>
    <t>51 ARADHANA NAGAR, KOTRA SULTANABAD</t>
  </si>
  <si>
    <t>51 ARADHANA NAGAR. KOTRA SULTANABAD</t>
  </si>
  <si>
    <t>CENTRAL BOARD OF SECONDARY EDUCATION BHOPAL/MADHYA PRADESH</t>
  </si>
  <si>
    <t>MANIPAL INSTITUE  OF TECHNOLOGY</t>
  </si>
  <si>
    <t>AutoCAD,MS Office,MS Project,Primavera,STAAD PRO,  PROJECT MANAGEMENT SKILLS</t>
  </si>
  <si>
    <t>MADHYA PRADESH METRO RAIL COOPERATION LIMITED | GRADUATE ENGINEER TRAINEE | BHOPAL | Jan 2020 | Apr 2020 | 17 Weeks
AGRAWAL BUILDERS AND COLONIZERS | SITE EXECUTION, ESTIMATION AND BILLING | BHOPAL | Apr 2022 | Jun 2022 | 7 Weeks</t>
  </si>
  <si>
    <t>PP21072</t>
  </si>
  <si>
    <t>MILO</t>
  </si>
  <si>
    <t>MIRSHA</t>
  </si>
  <si>
    <t>Milo Mirsha</t>
  </si>
  <si>
    <t>milomirsha123@gmail.com</t>
  </si>
  <si>
    <t>pp21072@ms.nicmar.ac.in</t>
  </si>
  <si>
    <t>25-Sep-1999</t>
  </si>
  <si>
    <t>6536 9373 2018</t>
  </si>
  <si>
    <t>MIRSHA KHAN</t>
  </si>
  <si>
    <t>SOFY MIRSHA</t>
  </si>
  <si>
    <t>Mangassery House, Kanjirappalli PO. Kottayam, Kerala, India</t>
  </si>
  <si>
    <t>Kanjirappalli</t>
  </si>
  <si>
    <t>M T SEMINARY HSS</t>
  </si>
  <si>
    <t>KERALA STATE BOARD KOTTAYAM/KERALA</t>
  </si>
  <si>
    <t>ALFEEN PUB SCH PALAMPRA KANJIRAPALLY KOTTAYAM KL</t>
  </si>
  <si>
    <t>CENTRAL BOARD OF SECONDARY EDUCATION KANJIRAPALLY/KERALA</t>
  </si>
  <si>
    <t>PMO CONSULTANCY |  SITE INSPECTOR- SUPERVISION OF FIT-OUTS ASSISTING THE PROJECT MANAGER, ASSESSMENT OF FITOUT DRAWINGS, SEVERAL ON SITE DUTIES ( PLANNING DAILY WORKS TO AVOID ANY HINDRANCE TO OTHER ON GOING OFFICES, C | DUBAI UAE | May 2022 | Aug 2022 | 12 Weeks</t>
  </si>
  <si>
    <t>PP21073</t>
  </si>
  <si>
    <t>LAVANYA</t>
  </si>
  <si>
    <t>C S</t>
  </si>
  <si>
    <t>Lavanya C S</t>
  </si>
  <si>
    <t>LAVANYASWAMINATHAN98@GMAIL.COM</t>
  </si>
  <si>
    <t>pp21073@ms.nicmar.ac.in</t>
  </si>
  <si>
    <t>6860 2195 7649</t>
  </si>
  <si>
    <t>V SWAMINATHAN</t>
  </si>
  <si>
    <t>K SINDHU</t>
  </si>
  <si>
    <t>VISWAVIHAR, CHOOLPURAM, KODUVAYUR</t>
  </si>
  <si>
    <t>AutoCAD,FLOORDESIGN, REVIT, STAAD</t>
  </si>
  <si>
    <t>COCHIN BUILDERS | INTERN | CHITTUR, PALAKKAD, KERALA | Jul 2018 | Jul 2018 | 0 Weeks
BAJAJ ENERGY LIMITED | INTERN | NOIDA (VIRTUAL) | Jun 2021 | Aug 2021 | 8 Weeks
SUNTECK REALTY LTD | INTERN (SITE EXECUTION) | NAIGAON EAST, MUMBAI | May 2022 | Jun 2022 | 7 Weeks</t>
  </si>
  <si>
    <t>PP21074</t>
  </si>
  <si>
    <t>CHANDRAMITRA</t>
  </si>
  <si>
    <t>Chandramitra Baruah</t>
  </si>
  <si>
    <t>chandramitrab16@gmail.com</t>
  </si>
  <si>
    <t>pp21074@ms.nicmar.ac.in</t>
  </si>
  <si>
    <t>ENGLISH, HINDI, ASSAMESE, BENGALI</t>
  </si>
  <si>
    <t>2159 0417 7209</t>
  </si>
  <si>
    <t>ASHOK KUMAR BARUAH</t>
  </si>
  <si>
    <t>BUILDER AND GOVERNMENT CONTRACTOR</t>
  </si>
  <si>
    <t>LAKHIMI BARUAH</t>
  </si>
  <si>
    <t>H.NO. 28, BELTOLA, LAKHIMI PATH, GUWAHATI</t>
  </si>
  <si>
    <t>BELTOLA LAKHIMI PATH, HOUSE NO-28, GUWAHATI , ASSAM</t>
  </si>
  <si>
    <t>DELHI PUBLIC SCHOOL, GUWAHATI</t>
  </si>
  <si>
    <t>CENTRAL BOARD OF SECONDARY EDUCATION, GUWAHATI ASSAM</t>
  </si>
  <si>
    <t>KALINGA INSTITUTE OF INDUSTRIAL TECHNOLOGY, DEEMED TO BE UNIVERSITY</t>
  </si>
  <si>
    <t>AutoCAD,MS Office,Primavera,STAAD.PRO</t>
  </si>
  <si>
    <t>KALINGA INSTITUTE OF INDUSTRIAL TECHNOLOGY DEEMED TO BE UNIVERSITY | NA | ONLINE | Jun 2020 | Jul 2020 | 4 Weeks
ASSAM WATER RESEARCH AND MANAGEMENT INSTITUTE | TRAINEE | GUWAHATI | May 2019 | Jun 2019 | 3 Weeks
EGREENGATOR | RESEARCH ANALYST &amp; RESEARCH ON CARBON CREDIT, CARBON MARKETS, PRESENTATIONS, MEETINGS WITH CLIENTS, CONTENT WRITING | WORK FROM HOME | May 2022 | Jul 2022 | 8 Weeks</t>
  </si>
  <si>
    <t>PP21075</t>
  </si>
  <si>
    <t>Ayush Poddar</t>
  </si>
  <si>
    <t>AYUSHPODDAR11@GMAIL.COM</t>
  </si>
  <si>
    <t>pp21075@ms.nicmar.ac.in</t>
  </si>
  <si>
    <t>07-Feb-1999</t>
  </si>
  <si>
    <t>2554 6230 1432</t>
  </si>
  <si>
    <t>SOHAN PODDAR</t>
  </si>
  <si>
    <t>SHWETA PODDAR</t>
  </si>
  <si>
    <t>HOUSE NO 112, NEAR OLD POST OFFICE</t>
  </si>
  <si>
    <t>ST JOSEPHS MISSION SCHOOL</t>
  </si>
  <si>
    <t>CENTRAL BOARD OF SECONDARY EDUCATION ,BIJURI, MADHYA PRADESH</t>
  </si>
  <si>
    <t>CENTRAL BOARD OF SECONDARY EDUCATION,BILASPUR, CHHATTISGARH</t>
  </si>
  <si>
    <t>PUBLIC WORKS DEPARTMENT | ASSISTANT ENGINEER | MANENDRAGARH | Jun 2020 | Sep 2020 | 13 Weeks
EGREENGATOR | RESEARCH ANALYST &amp; RESEARCH ON CARBON CREDIT, CARBON MARKETS, PRESENTATIONS, MEETINGS WITH CLIENTS, CONTENT WRITING | WORK FROM HOME | May 2022 | Jul 2022 | 8 Weeks</t>
  </si>
  <si>
    <t>PP21076</t>
  </si>
  <si>
    <t>BAKARE</t>
  </si>
  <si>
    <t>Prathamesh Pravin Bakare</t>
  </si>
  <si>
    <t>PP21076@MS.NICMAR.AC.IN</t>
  </si>
  <si>
    <t>26-May-1998</t>
  </si>
  <si>
    <t>2604 3697 0457</t>
  </si>
  <si>
    <t>SHALAKA</t>
  </si>
  <si>
    <t>A-11/104,RUTU ENCLAVE, ANAND NAGAR, GB ROAD, THANE(W)</t>
  </si>
  <si>
    <t>MAHARSHTRA STATE BOARD OF SECONDARY AND HIGHER SECONDARY EDUCATION, THANE/MAHARASHTRA</t>
  </si>
  <si>
    <t>2022-Mar-07</t>
  </si>
  <si>
    <t>2022-Jan-01</t>
  </si>
  <si>
    <t>MUCHALLA POLYTECHNIC, THANE/MAHARASHTRA</t>
  </si>
  <si>
    <t>2013-Aug-05</t>
  </si>
  <si>
    <t>B R HARNE COLLEGE OF ENGINEERING, VANGANI/MAHARASHTRA</t>
  </si>
  <si>
    <t>2020-Oct-12</t>
  </si>
  <si>
    <t>HINDUSTAN CONSTRUCTION COMPANY | SITE EXECUTION | MUMBAI | Apr 2022 | Jun 2022 | 7 Weeks</t>
  </si>
  <si>
    <t>PP21077</t>
  </si>
  <si>
    <t>HUZEFA</t>
  </si>
  <si>
    <t>JOUHAR</t>
  </si>
  <si>
    <t>Huzefa Jouhar</t>
  </si>
  <si>
    <t>jouharhuzefa139@gmail.com</t>
  </si>
  <si>
    <t>pp21077@ms.nicmar.ac.in</t>
  </si>
  <si>
    <t>HINDI, ENGLISH MARATHI, URDU</t>
  </si>
  <si>
    <t>8329 9161 0309</t>
  </si>
  <si>
    <t>KAHID IBRAHIM JOUHAR</t>
  </si>
  <si>
    <t>HURATULL MALEKA JOUHAR</t>
  </si>
  <si>
    <t>HUSAINI TILES, GOLIBAR CHOWK, MASKASATH ROAD, NEAR HARSHAD BAR</t>
  </si>
  <si>
    <t>HUSAINI TILES,GOLIBAR CHOWK MASKASTH ROAD ,NEAR HARSHD BAR</t>
  </si>
  <si>
    <t>BHARTIYA KRISHI JUNIOR COLLEGE</t>
  </si>
  <si>
    <t>G H RAISONI COLLEGE OF ENGINEERING</t>
  </si>
  <si>
    <t>SHUBHAM DEVELOPERS | SITE EXECUTION AND CONTROL | SANAND, GUJRAT | Apr 2022 | Jul 2022 | 12 Weeks
DIVYA CONSTRUCTION | PROJECT CO-ORDINATOR | NAGPUR | Nov 2019 | Dec 2019 | 4 Weeks
DIVYA CONSTRUCTION | PROJECT CO-ORDINATOR | NAGPUR | Nov 2020 | May 2021 | 25 Weeks</t>
  </si>
  <si>
    <t>PP21078</t>
  </si>
  <si>
    <t>JADHHAV</t>
  </si>
  <si>
    <t>Jadhhav Dhananjay Dnyaneshwar</t>
  </si>
  <si>
    <t>DHJADHAV01@GMAIL.COM</t>
  </si>
  <si>
    <t>pp21078@ms.nicmar.ac.in</t>
  </si>
  <si>
    <t>11-Sep-1997</t>
  </si>
  <si>
    <t>5050 1044 1050</t>
  </si>
  <si>
    <t>DNYANESHWAR NARAYAN JADHAV</t>
  </si>
  <si>
    <t>BAKERY BUSINESS</t>
  </si>
  <si>
    <t>KALPANA DNYANESHWAR JADHAV</t>
  </si>
  <si>
    <t>NEAR AGARKAR SCHOOL, 288 SOMWAR PETH , PUNE 11</t>
  </si>
  <si>
    <t>B1001 DSK FRANGIPANI SADHU WASWANI CHAWK NEAR WOODLAND HOTEL NEAR PUNE STATION</t>
  </si>
  <si>
    <t>MAHARASHTRA ACADEMY OF ENGINEERING AND EDUCATIONAL RESEARCHS, MAHARASHTA INSTITUTE OF TECNOLOGY POLYTECHNIC</t>
  </si>
  <si>
    <t>MAHAVEER | BILL OF QUANTITIES, SITE EXECUTION | BANGALORE | Apr 2022 | Jun 2022 | 7 Weeks</t>
  </si>
  <si>
    <t>PP21079</t>
  </si>
  <si>
    <t>KHANDELWAL</t>
  </si>
  <si>
    <t>Pulkit Khandelwal</t>
  </si>
  <si>
    <t>pulkitkhandelwalcool007@gmail.com</t>
  </si>
  <si>
    <t>pp21079@ms.nicmar.ac.in</t>
  </si>
  <si>
    <t>2629 2742 0989</t>
  </si>
  <si>
    <t>YOGESH KHANDELWAL</t>
  </si>
  <si>
    <t>RADHA KHANDELWAL</t>
  </si>
  <si>
    <t>44,MORAR ENCLAE GOLA KA MANDIR GWALIOR</t>
  </si>
  <si>
    <t>Agar</t>
  </si>
  <si>
    <t>PRAGATI VIDHYA PEETH</t>
  </si>
  <si>
    <t>JAYPEE UNIVERSITY OF ENGINEERING AND TECHNOLOGY -GUNA</t>
  </si>
  <si>
    <t>JAYPEE UNIVERSITY OF ENGINEERING AND TECHNOLOGY GUNA</t>
  </si>
  <si>
    <t>PRAGATHI CONCEPTS | SITE EXECUTION , PROJECT COORDINATOR  | BANGLORE  | Apr 2022 | Jul 2022 | 11 Weeks</t>
  </si>
  <si>
    <t>PP21080</t>
  </si>
  <si>
    <t>SHIVAMPURI</t>
  </si>
  <si>
    <t>BHAGWE</t>
  </si>
  <si>
    <t>Shivampuri Jayant Bhagwe</t>
  </si>
  <si>
    <t>SHIVAM.BHAGWE@GMAIL.COM</t>
  </si>
  <si>
    <t>pp21080@ms.nicmar.ac.in</t>
  </si>
  <si>
    <t>7843 1202 9652</t>
  </si>
  <si>
    <t>JAYANT VISHWESHWARPURI BHAGWE</t>
  </si>
  <si>
    <t>DEVYANI JAYANT BHAGWE</t>
  </si>
  <si>
    <t>PLOT NO. 48-49, SHANKAR BHAVAN, 3RD LANE, GOKULPETH</t>
  </si>
  <si>
    <t>SOMALWAR HIGH SCHOOL AND JUNIOR COLLEGE NIKALAS</t>
  </si>
  <si>
    <t>RASHTRASANT TUKADOJI NAGPUR UNIVERSITY</t>
  </si>
  <si>
    <t>AutoCAD,MS Office,MS Project,Primavera,SAP2000, V-RAY</t>
  </si>
  <si>
    <t>JD BUILDCON | SITE AND ESTIMATE ENGINEER | NAGPUR | Jan 2021 | Jul 2021 | 27 Weeks
DP JAIN INFRASTRUCTURE | PLANNING, OPERATIONS, BUSINESS ANALYST | NAGPUR | Mar 2022 | May 2022 | 8 Weeks</t>
  </si>
  <si>
    <t>PP21081</t>
  </si>
  <si>
    <t>Chetana Vinod Pimple</t>
  </si>
  <si>
    <t>CHETANAPIMPLE98@GMAIL.COM</t>
  </si>
  <si>
    <t>pp21081@ms.nicmar.ac.in</t>
  </si>
  <si>
    <t>3579 4577 2511</t>
  </si>
  <si>
    <t>VINOD VAMAN PIMPLE</t>
  </si>
  <si>
    <t>VINODINI VINOD PIMPLE</t>
  </si>
  <si>
    <t>D-103,PUNIT NAGAR,TEMBHODE RD, PALGHAR</t>
  </si>
  <si>
    <t>UTKARSHA MADHYAMIK VIDYALAYA, VIRAR.</t>
  </si>
  <si>
    <t>VIVA COLLEGE OF ART COMMERCE AND SCIENCE, VIRAR.</t>
  </si>
  <si>
    <t>ST. JOHN COLLEGE OF ENGINEERING AND MANAGEMENT</t>
  </si>
  <si>
    <t>GREEN ECOMES SOLUTION PRIVATE LIMITED | BIM INTERN | WORK FROM HOME | May 2022 | Jul 2022 | 8 Weeks | Campus Internship</t>
  </si>
  <si>
    <t>PP21082</t>
  </si>
  <si>
    <t>HOLKAR</t>
  </si>
  <si>
    <t>Holkar Sakshi Jitendra</t>
  </si>
  <si>
    <t>sakshiholkar41@gmail.com</t>
  </si>
  <si>
    <t>pp21082@ms.nicmar.ac.in</t>
  </si>
  <si>
    <t>2179 6346 0781</t>
  </si>
  <si>
    <t>JITENDRA NARAYAN HOLKAR</t>
  </si>
  <si>
    <t>BHAGYASHREE JITENDRA HOLKAR</t>
  </si>
  <si>
    <t>PLOT NO 7, SARSWATI NAGAR, GARKHEDA</t>
  </si>
  <si>
    <t>STATE BANK OF ASSOCIATION PUBLIC SCHOOL</t>
  </si>
  <si>
    <t>MAHARASHTRA STATE BOARD OF HIGHER SECONDARY EDUCATION, AURANGABAD, MAHARASHTRA</t>
  </si>
  <si>
    <t>MARATHWADA INSTITUTE OF TECHNOLOGY COLLEGE OF POLYTECHNIC</t>
  </si>
  <si>
    <t>MILLENNIUM ASSOCIATES | SITE ENGINEER | AURANGABAD | Jun 2019 | Jun 2019 | 2 Weeks
GENSYS TECHNOLOGIES PVT LTD | PROJECT MANAGEMENT DIVISION  | PUNE | Apr 2022 | Jun 2022 | 7 Weeks</t>
  </si>
  <si>
    <t>PP21083</t>
  </si>
  <si>
    <t>SAWAJI</t>
  </si>
  <si>
    <t>Yash Satish Sawaji</t>
  </si>
  <si>
    <t>sawajiyash@gmail.com</t>
  </si>
  <si>
    <t>pp21083@ms.nicmar.ac.in</t>
  </si>
  <si>
    <t>9533 9686 9636</t>
  </si>
  <si>
    <t>SATISH SHRIRAM SAWAJI</t>
  </si>
  <si>
    <t>SAPANA SATISH SAWAJI</t>
  </si>
  <si>
    <t>B-03, TIRUPATI APARTMENT, KAMALA PARK, MAHIM ROAD</t>
  </si>
  <si>
    <t>ANAND ASHRAM ENGLISH HIGH SCHOOL</t>
  </si>
  <si>
    <t>THE KANDIVLI EDUCATION SOCIETYS SHRI TIKAMDAS PURSHOTAM BHATIA COLLEGE OF SCIENCE</t>
  </si>
  <si>
    <t>ALDEL EDUCATION TRUST ST. JOHN COLLEGE OF ENGINEERING AND MANAGEMENT</t>
  </si>
  <si>
    <t>VIBRANT INFRASTRUCTURES | SITE EXECUTION | PALGHAR | Sep 2020 | Aug 2021 | 0 Years, 11 Months, 30 Days | 1.44</t>
  </si>
  <si>
    <t>VICEROY PROPERTIES LLP | PLANNING INTERN | MUMBAI | May 2022 | Jul 2022 | 12 Weeks</t>
  </si>
  <si>
    <t>PP21084</t>
  </si>
  <si>
    <t>SHANKAR</t>
  </si>
  <si>
    <t>PADWAL</t>
  </si>
  <si>
    <t>Tejas Shankar Padwal</t>
  </si>
  <si>
    <t>TEJASPADWAL34@GMAIL.COM</t>
  </si>
  <si>
    <t>pp21084@ms.nicmar.ac.in</t>
  </si>
  <si>
    <t>8204 0278 5407</t>
  </si>
  <si>
    <t>SHANKR SITARAM PADWAL</t>
  </si>
  <si>
    <t>MADHURI SHANKAR PADWAL</t>
  </si>
  <si>
    <t>FLAT NO 2, SINDHU HEIGHTS , KALYAN PETH ,JUNNAR</t>
  </si>
  <si>
    <t>FLAT NO 2 , SINDHU HEIGHTS , KALYAN PETH, JUNNAR</t>
  </si>
  <si>
    <t>SHANKARAO BUTTE PATIL VIDYALAYALA JUNNAR</t>
  </si>
  <si>
    <t>STATE BOARD OF HIGHER SECOUNDARY EDUCATION</t>
  </si>
  <si>
    <t>SHRI SHIV CHATRAPATI COLLEGE JUNNAR</t>
  </si>
  <si>
    <t>SRI VIGHNAHAR PROMOTORS AND BUILDERS PVTL | SITE ENGINEER | JUNNAR | Aug 2021 | Sep 2021 | 0 Weeks
HINDUSTAN CONSTRUCTION COMPANY | SITE EXECUTUON | MUMBAI | Apr 2022 | Jun 2022 | 7 Weeks</t>
  </si>
  <si>
    <t>PP21085</t>
  </si>
  <si>
    <t>Shivam Kumar Sharma</t>
  </si>
  <si>
    <t>shivamsharma5998@gmail.com</t>
  </si>
  <si>
    <t>pp21085@ms.nicmar.ac.in</t>
  </si>
  <si>
    <t>2778 0154 1001</t>
  </si>
  <si>
    <t>ANJANI KUMAR</t>
  </si>
  <si>
    <t>BIMLA DEVI</t>
  </si>
  <si>
    <t>A, 1425 , SECTOR I , LDA COLONY, ASHIYANA</t>
  </si>
  <si>
    <t>NICMAR HOSTEL</t>
  </si>
  <si>
    <t>VISHWANATH ACADEMY</t>
  </si>
  <si>
    <t>Singhal Engineering | Layout for excavation ,pcc laying , bbs making , concrete laying ,etc | Panipat | Aug 2020 | Mar 2021 | 0 Years, 7 Months, 25 Days | 1.2</t>
  </si>
  <si>
    <t>PWD | SITE ENGINEER  | BHOPAL | Jun 2019 | Jun 2019 | 2 Weeks
SINGHANIA BIUILDCON PRIVATE LIMITED | MANAGEMENT TRAINEE | RAIPUR  | May 2022 | Jul 2022 | 8 Weeks</t>
  </si>
  <si>
    <t>PP21086</t>
  </si>
  <si>
    <t>Anand Kumar</t>
  </si>
  <si>
    <t>21086pemgupta@gmail.com</t>
  </si>
  <si>
    <t>pp21086@ms.nicmar.ac.in</t>
  </si>
  <si>
    <t>20-Feb-1993</t>
  </si>
  <si>
    <t>3311 5921 2067</t>
  </si>
  <si>
    <t>RAM BHAJAN</t>
  </si>
  <si>
    <t>RAJ WATI DEVI</t>
  </si>
  <si>
    <t>SUGAR MILL,MOHIUDDINPUR</t>
  </si>
  <si>
    <t>WZ 11B/1 ,TOP FLOOR, STREET NO 1,LAJWANTI GARDEN</t>
  </si>
  <si>
    <t>SATYA PRAKASH LAXMI DEVI SARASWATI VIDYA MANDIR INTER COLLEGE</t>
  </si>
  <si>
    <t>UTTAR PRADESH BOARD OF HIGH SCHOOL AND INTERMEDIATE EDUCATION</t>
  </si>
  <si>
    <t>SHRI MATI SUKHDEVI INTER COLLEGE</t>
  </si>
  <si>
    <t>UTTAR PRADESH TECHNICAL UNIVERSITY</t>
  </si>
  <si>
    <t>SUNDERDEEP COLLEGE OF ENGINEERING AND TECHNOLOGY</t>
  </si>
  <si>
    <t>NKG Infrastructure ltd | Execution,Planning | Noida | Jun 2015 | Oct 2016 | 1 Years, 3 Months, 7 Days | 2.88
M/S Pashupati Construction | Planning,Cost &amp; Estimator | Delhi | Oct 2016 | Aug 2021 | 4 Years, 10 Months, 21 Days | 3.6
Manisha Projects pvt ltd | Execution | Gr. Noida | Jun 2014 | Jun 2015 | 1 Years, 0 Months, 20 Days | 1.8</t>
  </si>
  <si>
    <t>NOIDA PWD | TRAINEE | NOIDA | Jun 2013 | Jul 2013 | 3 Weeks
HOSMAC INDIA PVT LTD | QA/QC | GR. NOIDA | Apr 2022 | Jul 2022 | 13 Weeks</t>
  </si>
  <si>
    <t>PP21087</t>
  </si>
  <si>
    <t>UJAN</t>
  </si>
  <si>
    <t>SENGUPTA</t>
  </si>
  <si>
    <t>Ujan Sengupta</t>
  </si>
  <si>
    <t>UJANSG@GMAIL.COM</t>
  </si>
  <si>
    <t>pp21087@ms.nicmar.ac.in</t>
  </si>
  <si>
    <t>8168 3470 1849</t>
  </si>
  <si>
    <t>AYAN SENGUPTA</t>
  </si>
  <si>
    <t>MADHURIMA SENGUPTA</t>
  </si>
  <si>
    <t>12D/4/1, D.P.P ROAD, NAKTALA, NAKTALA S.O,KOLKATA</t>
  </si>
  <si>
    <t>C2-901, UPOHAR COMPLEX, 2052 CHAKGARIA, KOLKATA</t>
  </si>
  <si>
    <t>TECHNO INTERNATIONAL NEW TOWN, KOLKATA, WEST BENGAL</t>
  </si>
  <si>
    <t>AutoCAD,MS Office,MS Project,Primavera,ADDITIVE MANUFACTURING USING FDM AND SLA, P&amp;I DIAGRAMS</t>
  </si>
  <si>
    <t>ALFATEK SYSTEMS | DESIGN, FABRICATION AND ASSEMBLY OF 3D BIO PRINTERS, DESIGNING COMPONENTS AND MACHINERY USING SOLIDWORKS AND INVENTOR, BUSINESS DEVELOPMENT | KOLKATA | Jan 2021 | Aug 2021 | 0 Years, 7 Months, 15 Days | 3</t>
  </si>
  <si>
    <t>NTPC LIMITED | ORIENTATION ON BOILER AND AUXILIARIES OF A THERMAL POWER PLANT | FARAKKA | Jul 2018 | Jul 2018 | 2 Weeks
HALDIA PETROCHEMICALS LIMITED | MAINATENANCE OF LLDPE PLANT | HALDIA | Jun 2019 | Jul 2019 | 3 Weeks
WOOD | 1) AIDED A TEAM OF EQUIPMENT ENGINEERS IN PREPARING DATA SHEETS FOR STATIC AND ROTARY EQUIPMENT 2) COORDINATED WITH DIFFERENT DISCIPLINES TO GATHER TECHNICAL SPECIFICATIONS FOR MATERIAL REQUISITION | CHENNAI | May 2022 | Jul 2022 | 7 Weeks</t>
  </si>
  <si>
    <t>PP21088</t>
  </si>
  <si>
    <t>SHEEBA</t>
  </si>
  <si>
    <t>ALICE</t>
  </si>
  <si>
    <t>LAKRA</t>
  </si>
  <si>
    <t>Sheeba Alice Lakra</t>
  </si>
  <si>
    <t>lakrasheeba597@gmail.com</t>
  </si>
  <si>
    <t>pp21088@ms.nicmar.ac.in</t>
  </si>
  <si>
    <t>06-Jun-1997</t>
  </si>
  <si>
    <t>2704 5787 3892</t>
  </si>
  <si>
    <t>BARNABAS LAKRA</t>
  </si>
  <si>
    <t>GOVERNMENT SCHOOL TEACHER</t>
  </si>
  <si>
    <t>DOROTHI SUSHILA KANTA LAKRA</t>
  </si>
  <si>
    <t>8/12, EKTA MARG KOTA.OPPOSITE NAGAR NIGAM PUMP HOUSE</t>
  </si>
  <si>
    <t>ST THOMAS ENGLISH MEDIUM SCHOOL</t>
  </si>
  <si>
    <t>KARUNYA INSTITUTE OF TECHNOLOGY AND SCIENCES, COIMBATORE</t>
  </si>
  <si>
    <t>KARUNYA INSTITUTE OF TECHNOLOGY AND SCIENCES , COIMBATORE</t>
  </si>
  <si>
    <t>AutoCAD,MS Office,MS Project,Primavera,CSI BRIDGE V21</t>
  </si>
  <si>
    <t>RISHABH BUILDERS | QUANTITY SURVEYING AND PLANNING | RAIPUR | May 2022 | Jul 2022 | 8 Weeks
PROJECT CONSTRUCTION OF  ROADS PWD | SITE OBSERVATION UNDER SUPERVISION  | BALOD CHHATTISGARH  | Jun 2019 | Jul 2019 | 4 Weeks</t>
  </si>
  <si>
    <t>PP21089</t>
  </si>
  <si>
    <t>Nitish Kumar</t>
  </si>
  <si>
    <t>nitish261096@gmail.com</t>
  </si>
  <si>
    <t>pp21089@ms.nicmar.ac.in</t>
  </si>
  <si>
    <t>5868 2823 1753</t>
  </si>
  <si>
    <t>RAM NARESH KUMAR</t>
  </si>
  <si>
    <t>NEELAM KUMARI</t>
  </si>
  <si>
    <t>VILL-KAPARSARI, PO-MACCHALDIHA , Dist - Nalanda</t>
  </si>
  <si>
    <t>Bihar Sharif</t>
  </si>
  <si>
    <t>G59/B BENGALI COLONY , MAHAVIR ENCLAVE 1</t>
  </si>
  <si>
    <t>R.P.S SCHOOL</t>
  </si>
  <si>
    <t>P.C.P INTER COLLEGE</t>
  </si>
  <si>
    <t>UTTRAKHAND TECHNICAL UNIVERSITY</t>
  </si>
  <si>
    <t>COLLEGE OF ENGINEERING ROORKEE</t>
  </si>
  <si>
    <t>BALAJEE INFRATECH &amp; CONSTRUCTION PRIVATE LIMITED | EXECUTION | HYDERABAD | Apr 2019 | Mar 2021 | 1 Years, 11 Months, 9 Days | 3</t>
  </si>
  <si>
    <t>IRRIGATION RESEARCH INSTITUTE  ROORKEE | INTERN | ROORKEE | May 2017 | Jun 2017 | 4 Weeks
REDDY STRUCTURE PRIVATE LIMITED | MANAGEMENT INTERN | BENGALURU | Apr 2022 | Jun 2022 | 7 Weeks</t>
  </si>
  <si>
    <t>PP21090</t>
  </si>
  <si>
    <t>HUMAIS</t>
  </si>
  <si>
    <t>Humais Akhter</t>
  </si>
  <si>
    <t>humais124@gmail.com</t>
  </si>
  <si>
    <t>pp21090@ms.nicmar.ac.in</t>
  </si>
  <si>
    <t>18-Jun-1996</t>
  </si>
  <si>
    <t>8477 4822 5440</t>
  </si>
  <si>
    <t>AKHTER AHMAD GANAI</t>
  </si>
  <si>
    <t>WAHIDA GULSHAN</t>
  </si>
  <si>
    <t>ARIFEEN COLONY, OPP. TINY HARTS SCHOOL, BYPASS ROAD TENGPORA, BATAMALOO</t>
  </si>
  <si>
    <t>NAARIFEEN COLONY, OPP. TINY HARTS SCHOOL, BYPASS ROAD TENGPORA, BATAMALOO</t>
  </si>
  <si>
    <t>IQBAL MEMORIAL INSTITUTE</t>
  </si>
  <si>
    <t>JAMMU AND KASHMIR BOARD OF SCHOOL EDUCATION</t>
  </si>
  <si>
    <t>LUTHRA HIGHER SECONDARY SCHOOL</t>
  </si>
  <si>
    <t>AMITY UNIVERSITY NOIDA UTTAR PRADESH</t>
  </si>
  <si>
    <t>MS Office,Primavera,SKETCHUP 3D</t>
  </si>
  <si>
    <t>GOVERNMENT OF JAMMU AND KASHMIR WATER SUPPLY MASTER PLAN DIVISION SRINAGAR | INTERN | SRINAGAR, JAMMU AND KASHMIR | May 2019 | Jun 2019 | 7 Weeks
AL MAIRAJ CONSTRUCTIONS | SITE EXECUTION | BUDGAM AND ANANTNAG. JAMMU &amp; KASHMIR | May 2022 | Jul 2022 | 10 Weeks</t>
  </si>
  <si>
    <t>PP21091</t>
  </si>
  <si>
    <t>Praveen Kumar</t>
  </si>
  <si>
    <t>praveenkumar.cie17@gmail.com</t>
  </si>
  <si>
    <t>pp21091@ms.nicmar.ac.in</t>
  </si>
  <si>
    <t>8728 5395 5956</t>
  </si>
  <si>
    <t>DESHRAJ</t>
  </si>
  <si>
    <t>SUMAN DEVI</t>
  </si>
  <si>
    <t>VILLAGE - SOHALI, VPO - SOHALI, TEHSIL - BUHANA</t>
  </si>
  <si>
    <t>Jhunjhunun</t>
  </si>
  <si>
    <t>B 504 SHUKAN ORNATE BEHIND TAJ RESIDENCY HANSOL SARDARANAGAR</t>
  </si>
  <si>
    <t>VIDHYASHRAM INTERNATIONAL SCHOOL</t>
  </si>
  <si>
    <t>HITECH PROJECTS PRIVATE LIMITED | SITE INTERN | AHMEDABAD | Jun 2019 | Jun 2019 | 2 Weeks
SHILP GROUP | SITE INTERN | AHMEDABAD | Dec 2019 | Jan 2020 | 3 Weeks
ADANI ESTATE MANAGEMENT PRIVATE LIMITED | PROJECT PLANNING INTERN | AHMEDABAD | Apr 2022 | Jun 2022 | 8 Weeks</t>
  </si>
  <si>
    <t>PP21092</t>
  </si>
  <si>
    <t>FUAADH</t>
  </si>
  <si>
    <t>KP</t>
  </si>
  <si>
    <t>Mohamed Fuaadh Kp</t>
  </si>
  <si>
    <t>kpfuaadh@gmail.com</t>
  </si>
  <si>
    <t>pp21092@ms.nicmar.ac.in</t>
  </si>
  <si>
    <t>30-Sep-1999</t>
  </si>
  <si>
    <t>ENGLISH,MALAYALAM,ARABIC</t>
  </si>
  <si>
    <t>4374 3173 5906</t>
  </si>
  <si>
    <t>ABDUL RASSQUE KP</t>
  </si>
  <si>
    <t>FATHIMA T</t>
  </si>
  <si>
    <t>KAVUMPURATH,ATHANIKKAL,VAILATHUR</t>
  </si>
  <si>
    <t>Adimaly</t>
  </si>
  <si>
    <t>KAVUMPURATH,ATHANIKKAL,VAILATHUR,</t>
  </si>
  <si>
    <t>PKMMHSS EDARIKODE</t>
  </si>
  <si>
    <t>KERALA BOARD OF SECONDARY EDUCATION</t>
  </si>
  <si>
    <t>BUILDTECH ASSOCIATES | PLANNING, SUPERVISION | TIRUR | Jul 2022 | Jul 2022 | 3 Weeks
TCONE REALTORS AND DEVELOPERS | MANAGING WORKS, SUPER VISION | CALICUT | Apr 2022 | Jun 2022 | 7 Weeks
GMR GOA INTERNATIONAL AIRPORT LIMITED | PLANNING | GOA | Mar 2022 | Apr 2022 | 7 Weeks</t>
  </si>
  <si>
    <t>PP21093</t>
  </si>
  <si>
    <t>GAYKAR</t>
  </si>
  <si>
    <t>Anuja Shashikant Gaykar</t>
  </si>
  <si>
    <t>GAYKARANUJA12@GMAIL.COM</t>
  </si>
  <si>
    <t>pp21093@ms.nicmar.ac.in</t>
  </si>
  <si>
    <t>12-Jun-2000</t>
  </si>
  <si>
    <t>6064 1271 4820</t>
  </si>
  <si>
    <t>SHASHIKANT SHANKAR GAYKAR</t>
  </si>
  <si>
    <t>SHUBHANGI SHASHIKANT GAYKAR</t>
  </si>
  <si>
    <t>ROOM NO. 203, TULSI BUILDING D, PRABHAT ROAD, CHIPLUN.</t>
  </si>
  <si>
    <t>MARY MATHA SCHOOL</t>
  </si>
  <si>
    <t>DNYANDEEP VIDYA MANDIR, KHED</t>
  </si>
  <si>
    <t>GHARDA INSTITUTE OF TECHNOLOGY LAVEL</t>
  </si>
  <si>
    <t>MAGNOVA DEVELOPERS | JUNIOR SITE ENGINEER | CHIPLUN | Jan 2021 | Mar 2021 | 8 Weeks
MAHINDRA LIFESPACE DEVELOPERS | PROJECT MANAGEMENT INTERN | KALYAN | Apr 2022 | Jul 2022 | 10 Weeks</t>
  </si>
  <si>
    <t>PP21094</t>
  </si>
  <si>
    <t>CHAITANYALKUMAR</t>
  </si>
  <si>
    <t>Chaitanyalkumar Vijay Rane</t>
  </si>
  <si>
    <t>chaitanyarne1999@gmail.com</t>
  </si>
  <si>
    <t>pp21094@ms.nicmar.ac.in</t>
  </si>
  <si>
    <t>7284 1341 0431</t>
  </si>
  <si>
    <t>VIJAY INSHARAM RANE</t>
  </si>
  <si>
    <t>NANDA VIJAY RANE</t>
  </si>
  <si>
    <t>DWARIKA /1050, ADARSH COLONY, GOREGAON</t>
  </si>
  <si>
    <t>SAKET PUBLIC SCHOOL GONDIA</t>
  </si>
  <si>
    <t>CENTRAL BOARD OF SECONDARY EDUCATION, GONDIA/MAHARASHTRA</t>
  </si>
  <si>
    <t>DHOTE BANDHU SCIENCE COLLEGE GONDIA</t>
  </si>
  <si>
    <t>MAHARASHTRA STATE BOARD OF SECONDARY AND HIGHER SECONDARY EDUCATION, GONDIA/MAHARASHTRA</t>
  </si>
  <si>
    <t>G H RAISONI COLLEGE OF ENGINEERING NAGPUR MAHARASHTRA</t>
  </si>
  <si>
    <t>JMC PROJECTS LTD | TRAINEE ENGINEER | LAKHNI, BHANDARA, MAHARASHTRA | Dec 2020 | Jun 2021 | 26 Weeks
ICBHAI INDUSTRIES PRIVATE LIMITED | SITE ENGINEER | SOHNA, GURGAON, DELHI | May 2022 | Jul 2022 | 8 Weeks</t>
  </si>
  <si>
    <t>PP21095</t>
  </si>
  <si>
    <t>Aman Ashish</t>
  </si>
  <si>
    <t>AMANASHISH021@GMAIL.COM</t>
  </si>
  <si>
    <t>pp21095@ms.nicmar.ac.in</t>
  </si>
  <si>
    <t>25-Oct-1998</t>
  </si>
  <si>
    <t>3384 3642 1402</t>
  </si>
  <si>
    <t>KAUSHLENDRA KUMAR SINGH</t>
  </si>
  <si>
    <t>MEERA SINGH</t>
  </si>
  <si>
    <t>GN0310364, RAJ COLONY, MAHARANI ROAD, NEW GODOWN</t>
  </si>
  <si>
    <t>NATIONAL INSTITUTE OF CONSTRUCTION MANAGEMENT AND RESEARCH_x000D_
N.I.A. POST OFFICE, 25/1, BALEWADI RD, BANER</t>
  </si>
  <si>
    <t>CREANE MEMORIAL HIGH SCHOOL</t>
  </si>
  <si>
    <t>C.V. RAMAN GLOBAL UNIVERSITY</t>
  </si>
  <si>
    <t>C.V. RAMAN COLLEGE OF ENGINEERING</t>
  </si>
  <si>
    <t>JAYPEE GROUP | AUTOCAD DESIGNING, SITE REPORTING  | NEW DELHI | May 2019 | Jun 2019 | 4 Weeks
SPML INFRA LTD | PROJECT PLANNING &amp; EXECUTION, PROJECT TRACKING, BILLING, RISK ANALYSIS  | RANCHI | Apr 2022 | Jun 2022 | 8 Weeks</t>
  </si>
  <si>
    <t>PP21096</t>
  </si>
  <si>
    <t>DHABU</t>
  </si>
  <si>
    <t>Utkarsh Dhabu</t>
  </si>
  <si>
    <t>utkarsh.ud75@gmail.com</t>
  </si>
  <si>
    <t>pp21096@ms.nicmar.ac.in</t>
  </si>
  <si>
    <t>07-May-1997</t>
  </si>
  <si>
    <t>4785 2868 3497</t>
  </si>
  <si>
    <t>ATUL DHABU</t>
  </si>
  <si>
    <t>SAPNA DHABU</t>
  </si>
  <si>
    <t>MIG-2/67 RAVI SHANKAR SHUKLA NAGAR</t>
  </si>
  <si>
    <t>MIG-2/67, RAVI SHANKAR SHUKLA NAGAR</t>
  </si>
  <si>
    <t>ST.XAVIERS PUBLIC SCHOOL</t>
  </si>
  <si>
    <t>ST.XAVIERS PUBLIC SCHOOL KORBA</t>
  </si>
  <si>
    <t>INSTITUTE FOR TECHNOLOGY AND MANAGEMENT</t>
  </si>
  <si>
    <t>ITM UNIVERSITY</t>
  </si>
  <si>
    <t>CHHATTISGARH HOUSING BOARD | SITE ENGINEER TRAINEE | NAYA RAIPUR | Sep 2020 | Oct 2020 | 4 Weeks
ESTHETE DESIGNERS AND BUILDERS PVT LTD | PROJECT MANAGEMENT INTERN | BENGALURU, KARNATAKA | Apr 2022 | Jun 2022 | 7 Weeks</t>
  </si>
  <si>
    <t>PP21097</t>
  </si>
  <si>
    <t>Hemanth R</t>
  </si>
  <si>
    <t>rhemanth01@gmail.com</t>
  </si>
  <si>
    <t>pp21097@ms.nicmar.ac.in</t>
  </si>
  <si>
    <t>07-Jan-1996</t>
  </si>
  <si>
    <t>6297 2224 7993</t>
  </si>
  <si>
    <t>RAMAKRISHNAIAH</t>
  </si>
  <si>
    <t>KAMALA K R</t>
  </si>
  <si>
    <t>H.NO 279,14TH E CROSS,2ND STAGE,W.O.C ROAD,MAHALAKSHMI LAYOUT</t>
  </si>
  <si>
    <t>VIDYA VARDHAKA SANGHA SARDARPATEL HIGH SCHOOL</t>
  </si>
  <si>
    <t>VIDYA VARDHAKA SANGHA SARDARPATEL PRE UNIVERSITY COLLEGE</t>
  </si>
  <si>
    <t>VISVESHVARYA TECHNOLOGICAL UNIVERSITY</t>
  </si>
  <si>
    <t>SAPTHAGIRI COLLEGE OF ENGINEERING</t>
  </si>
  <si>
    <t>ORRNOVA TECHNOLOGIES PRIVATE LIMITED | DIGITAL MANUFACTURING ENGINEER | BANGALORE | Jun 2019 | Dec 2020 | 1 Years, 6 Months, 28 Days | 3
ITC CENTRAL PROJECT ORGANISATION | JUNIOR MEP ENGINEER | BANGALORE | Jan 2021 | Aug 2021 | 0 Years, 7 Months, 14 Days | 3.72
KENNAMETAL INDIA PRIVATE LIMITED | APPLICATION ENGINEER | BANGALORE | Mar 2018 | Mar 2019 | 0 Years, 11 Months, 27 Days | 2.4</t>
  </si>
  <si>
    <t>SOUTHERN ELECTRONICS PRIVATE LIMITED | CNC-MANUFACTURING ENGINEER | BANGALORE | Jan 2016 | Jan 2016 | 1 Weeks
STEER ENGINEERING PRIVATE LIMITED | DEIGN INTERN | BANGALORE | Mar 2017 | Jul 2017 | 17 Weeks
PRAGATHI ASSOCIATES | SITE EXECUTION + PROJECT CONTROL | BANGALORE | Apr 2022 | Jul 2022 | 11 Weeks</t>
  </si>
  <si>
    <t>PP21098</t>
  </si>
  <si>
    <t>Kartikeya Malik</t>
  </si>
  <si>
    <t>KATZYMALIK@GMAIL.COM</t>
  </si>
  <si>
    <t>pp21098@ms.nicmar.ac.in</t>
  </si>
  <si>
    <t>3038 9018 0587</t>
  </si>
  <si>
    <t>KAILASH PRAKASH MALIK</t>
  </si>
  <si>
    <t>RETIRED MILITARY OFFICER</t>
  </si>
  <si>
    <t>SHALINI MALIK</t>
  </si>
  <si>
    <t>4A, NEW MARKET BEGUM BRIDGE</t>
  </si>
  <si>
    <t>211, YASHODA KUNJ, MAWANA ROAD, MEERUT 250001</t>
  </si>
  <si>
    <t>ARMY PUBLIC SCHOOL, MEERUT CANTT</t>
  </si>
  <si>
    <t>2017-Jul-05</t>
  </si>
  <si>
    <t>2022-Jun-24</t>
  </si>
  <si>
    <t>AutoCAD,MS Office,PHOTOSHOP</t>
  </si>
  <si>
    <t>CP ADMINISTRATION | INTERN | BHOPAL | Jun 2019 | Jul 2019 | 4 Weeks
SHUBHAM ELITE DEVELOPERS LLP | SITE EXECUTION AND CONTROL | AHMEDABAD | Apr 2022 | Jul 2022 | 12 Weeks</t>
  </si>
  <si>
    <t>PP21099</t>
  </si>
  <si>
    <t>MOHAK</t>
  </si>
  <si>
    <t>Mohak Nilesh Raut</t>
  </si>
  <si>
    <t>mohakavani@gmail.com</t>
  </si>
  <si>
    <t>pp21099@ms.nicmar.ac.in</t>
  </si>
  <si>
    <t>7737 7715 4086</t>
  </si>
  <si>
    <t>NILESH KAMLAKAR RAUT</t>
  </si>
  <si>
    <t>PLUMBING CONTRACTOR</t>
  </si>
  <si>
    <t>MAMATA NILESH RAUT</t>
  </si>
  <si>
    <t>PURNAY, RAUTWADI, HOLI BAZAAR, VASAI WEST</t>
  </si>
  <si>
    <t>SAME AS PERMANENT ADDRESS</t>
  </si>
  <si>
    <t>ST. ANTHONYS CONVENT HIGH SCHOOL</t>
  </si>
  <si>
    <t>2014-Jun-16</t>
  </si>
  <si>
    <t>2018-Jun-05</t>
  </si>
  <si>
    <t>2018-Jun-06</t>
  </si>
  <si>
    <t>BHAUSAHEB VARTAK POLYTECHNIC VASAI</t>
  </si>
  <si>
    <t>2015-Aug-17</t>
  </si>
  <si>
    <t>UNIVERSAL COLLEGE OF ENGINEERING VASAI</t>
  </si>
  <si>
    <t>2021-Jul-30</t>
  </si>
  <si>
    <t>LIGHTHOUSE LEARNING PRIVATE LIMITED | BUSINESS DEVELOPMENT INTERN | MUMBAI | Apr 2022 | Jul 2022 | 12 Weeks</t>
  </si>
  <si>
    <t>PP21100</t>
  </si>
  <si>
    <t>HORTIKAR</t>
  </si>
  <si>
    <t>Nikhil S Hortikar</t>
  </si>
  <si>
    <t>nshortikar@gmail.com</t>
  </si>
  <si>
    <t>pp21100@ms.nicmar.ac.in</t>
  </si>
  <si>
    <t>4475 9075 2010</t>
  </si>
  <si>
    <t>SHRIKRISHNA GUNWANT HORTIKAR</t>
  </si>
  <si>
    <t>RADHIKA SHRIKRISHNA HORTIKAR</t>
  </si>
  <si>
    <t>M I G II-60, GANDHI NAGAR, GOKUL ROAD</t>
  </si>
  <si>
    <t>001 SUPRA HOMES NEHRU NAGAR GOKUL ROAD</t>
  </si>
  <si>
    <t>PARIVARTHAN GURUKUL HERITAGE</t>
  </si>
  <si>
    <t>VIDYANIKETAN PU SCIENCE COLLEGE</t>
  </si>
  <si>
    <t>VISVESVARAYA TECNOLOGICAL UNIVERSITY</t>
  </si>
  <si>
    <t>AMPERE BY GREAVES | RESEARCH INTERN | BANGALAORE, KARNATAKA | Aug 2020 | Sep 2020 | 4 Weeks
SOUTH WESTERN RAILWAY | HANDS ON EXPERIENCE WITH SEVERAL PARTS OF RAILWAY COACH | HUBLI, KARNATAKA | Jun 2019 | Jul 2019 | 4 Weeks
JAWAHARLAL NEHRU PORT AUTHORITY | PORT PLANNING | MUMBAI | May 2022 | Jun 2022 | 8 Weeks</t>
  </si>
  <si>
    <t>PP21101</t>
  </si>
  <si>
    <t>NAINAV</t>
  </si>
  <si>
    <t>RAJIV</t>
  </si>
  <si>
    <t>Nainav Ganesh Rajiv</t>
  </si>
  <si>
    <t>ganeshnainav@gmail.com</t>
  </si>
  <si>
    <t>pp21101@ms.nicmar.ac.in</t>
  </si>
  <si>
    <t>24-Sep-1996</t>
  </si>
  <si>
    <t>4852 3497 1091</t>
  </si>
  <si>
    <t>RAJIV GENDILAL TELI</t>
  </si>
  <si>
    <t>MANGALA RAJIV TELI</t>
  </si>
  <si>
    <t>FLAT NO.101, GURU DATTA RESIDENCY, MOHAN NAGAR SOCIETY, BANER, PUNE 45</t>
  </si>
  <si>
    <t>VIDYANCHAL SCHOOL</t>
  </si>
  <si>
    <t>CIVICOMP CONSULTANTS | ESTIMATION | PUNE | Jan 2020 | Aug 2021 | 1 Years, 7 Months, 29 Days | 2.16</t>
  </si>
  <si>
    <t>MAHARASHTRA METRO RAIL CORPORATION LIMITED | OVERVIEW OF PROJECT, MANAGEMENT AND WORKING IN CONTRACTS DEPT | PUNE | May 2022 | Jun 2022 | 7 Weeks</t>
  </si>
  <si>
    <t>PP21102</t>
  </si>
  <si>
    <t>Harsh Kumar</t>
  </si>
  <si>
    <t>HARSHK1706@GMAIL.COM</t>
  </si>
  <si>
    <t>pp21102@ms.nicmar.ac.in</t>
  </si>
  <si>
    <t>8098 7050 6720</t>
  </si>
  <si>
    <t>AJAY KUMAR</t>
  </si>
  <si>
    <t>NEETU KUMARI</t>
  </si>
  <si>
    <t>H.NO. 169, ORCHED GREEN, NEAR S.I.R.T. COLLEGE AYODHYA BYPASS</t>
  </si>
  <si>
    <t>SHRI GOVINDRAM SAKSERIA INSTITUTE OF TECHNOLOGY AND SCIENCE</t>
  </si>
  <si>
    <t>L N MALVIYA INFRA PROJECTS PRIVATE LIMITED | TRAINEE | ITARSI | Aug 2020 | Sep 2020 | 2 Weeks
INFRASTRUCTURE DEVELOPMENT CONSULTANTS | TRAINEE | WARDHA | Feb 2021 | Mar 2021 | 4 Weeks
GENSYS TECHNOLOGIES PVT LTD | PROJECT MANAGEMENT INTERN | PUNE | May 2022 | Jun 2022 | 8 Weeks</t>
  </si>
  <si>
    <t>PP21103</t>
  </si>
  <si>
    <t>SAMVIT</t>
  </si>
  <si>
    <t>Samvit Singh</t>
  </si>
  <si>
    <t>samvit25don@gmail.com</t>
  </si>
  <si>
    <t>pp21103@ms.nicmar.ac.in</t>
  </si>
  <si>
    <t>8998 4035 0051</t>
  </si>
  <si>
    <t>J P SINGH</t>
  </si>
  <si>
    <t>PRATIBHA SINGH</t>
  </si>
  <si>
    <t>2C/162, Sector 2, Vrindavan Colony, Near Millennium Club, Rae Bareli Road</t>
  </si>
  <si>
    <t>2C/162, SECTOR 2, VRINDAVAN COLONY, NEAR MILLENNIUM CLUB, RAE BARELI ROAD</t>
  </si>
  <si>
    <t>DAYANAND ANGLO VEDIC SCHOOL</t>
  </si>
  <si>
    <t>CENTRAL BOARD OF SECONDARY EDUCATION, KUMARGANJ, FAIZABAD, UTTAR PRADESH</t>
  </si>
  <si>
    <t>GD GOENKA UNIVERSITY</t>
  </si>
  <si>
    <t>GD GOENKA UNIVERSITY, GURUGRAM, HARAYANA</t>
  </si>
  <si>
    <t>AutoCAD,MS Office,MS Project,Primavera,PROJECT SCOPE MANAGEMENT (SCOPE DESIGNING, IMPLEMENTATION), PROJECT RISK MANAGEMENT, INSIGHT BUILDING AND IMPACT ASSESSMENT, PROJECT PLANNING AND SCHEDULING, EXPLORATORY DATA ANALYSIS AND VISUALIZATION</t>
  </si>
  <si>
    <t>UTTAR PRADESH METRO RAIL CORPORATION LIMITED | SITE COORDINATOR | LUCKNOW | Jun 2022 | Jul 2022 | 8 Weeks | Campus Internship</t>
  </si>
  <si>
    <t>PP21104</t>
  </si>
  <si>
    <t>HIREMATH</t>
  </si>
  <si>
    <t>Ganesh Vijaykumar Hiremath</t>
  </si>
  <si>
    <t>ganesh1234h@gmail.com</t>
  </si>
  <si>
    <t>pp21104@ms.nicmar.ac.in</t>
  </si>
  <si>
    <t>26-Mar-1999</t>
  </si>
  <si>
    <t>KANNADA, HINDI, ENGLISH, MARATHI</t>
  </si>
  <si>
    <t>3786 1780 3690</t>
  </si>
  <si>
    <t>VIJAYAKUMAR CHANABASAYYA HIREMATH</t>
  </si>
  <si>
    <t>RETIRED DGM BSNL</t>
  </si>
  <si>
    <t>APARNA VIJAYAKUMAR HIREMATH</t>
  </si>
  <si>
    <t>PLOT. NO 97 SPOORTHI, FIRST CROSS FIRST PHASE, AKSHAY COLONY, NEAR CANARA BANK, HUBBALLI</t>
  </si>
  <si>
    <t>KENDRIYA VIDYALAYA SOLAPUR</t>
  </si>
  <si>
    <t>VELLORE INSTITUTE OF TECHNOLOGY CHENNAI CAMPUS</t>
  </si>
  <si>
    <t>Vedantu Innovations Pvt Ltd. | Quality Analyst | BANGALORE | May 2020 | Sep 2021 | 1 Years, 4 Months, 22 Days | 4.36</t>
  </si>
  <si>
    <t>LARSEN AND TOUBRO | ASSISTANCE ON PLANNING PROJECT SCHEDULE, SITE EXECUTION AND WORK BREAKDOWN STRUCTURE  | HOSPET-CHITRADURGA EXPRESSWAY | May 2018 | Jun 2018 | 4 Weeks
SUEZ WATER TECHNOLOGIES AND SERVICES | PROJECT MANAGEMENT INTERN  | BANGALORE | Jun 2022 | Jul 2022 | 7 Weeks</t>
  </si>
  <si>
    <t>PP21056</t>
  </si>
  <si>
    <t>PUSHKAR</t>
  </si>
  <si>
    <t>Pranay Pushkar</t>
  </si>
  <si>
    <t>pranaypushkar33@gmail.com</t>
  </si>
  <si>
    <t>pp21056@ms.nicmar.ac.in</t>
  </si>
  <si>
    <t>6553 5214 6100</t>
  </si>
  <si>
    <t>PUSHKAR KUMAR</t>
  </si>
  <si>
    <t>E-2/7, AAM BAGICHA, SADHNAPURI, GARDANIBAGH</t>
  </si>
  <si>
    <t>DSP QUARTER, NEAR ADB CHOWK</t>
  </si>
  <si>
    <t>ST. MICAHELS HIGH SCHOOL</t>
  </si>
  <si>
    <t>MANIPAL INSTITUTE OF TECHNOLOGY | FINAL YEAR MAJOR PROJECT | MANIPAL | Jan 2020 | Aug 2020 | 30 Weeks
BOARD INFINITY | BUSINESS DEVELOPMENT ASSOCIATE | MUMBAI | Apr 2020 | May 2020 | 4 Weeks
BEXEL INDIA CONSULTING | PROJECT MANAGEMENT INTERN | WORK FROM HOME | May 2022 | Jul 2022 | 8 Weeks</t>
  </si>
  <si>
    <t>PGP-IFDM</t>
  </si>
  <si>
    <t>FP20012</t>
  </si>
  <si>
    <t>RAVISANKAR</t>
  </si>
  <si>
    <t>Ashish Ravisankar</t>
  </si>
  <si>
    <t>ashishravi12896@gmail.com</t>
  </si>
  <si>
    <t>fp20012@ms.nicmar.ac.in</t>
  </si>
  <si>
    <t>20-May-1996</t>
  </si>
  <si>
    <t>9133 0868 9650</t>
  </si>
  <si>
    <t>RAVISANKAR (LATE)</t>
  </si>
  <si>
    <t>CHITRA R</t>
  </si>
  <si>
    <t>42/11,L.H.Nagar 3rd Main Road, Adambakkam</t>
  </si>
  <si>
    <t>G.K.SHETTY HINDU VIDYALAYA MATRICULATION HIGHER SECONDARY SCHOOL</t>
  </si>
  <si>
    <t>HSE</t>
  </si>
  <si>
    <t>PRINCE SHRI VENKATESHWARA PADMAVATHY ENGINEERING COLLEGE</t>
  </si>
  <si>
    <t>RGS CONSTRUCTION PRIVATE LIMITED | SOFTWARE SUPPPORT | CHENNAI | Feb 2022 | Aug 2022 | 0 Years, 6 Months, 10 Days | 3
BGR ENERGY SYSTEMS LIMITED | QA/QC | VIJAYAWADA | Jul 2017 | Mar 2018 | 0 Years, 7 Months, 18 Days | 1.2</t>
  </si>
  <si>
    <t>JONES CONSTRUCTION PRIVATE LIMITED | SITE EXECUTION | CHENNAI | Apr 2021 | Jun 2021 | 8 Weeks | Campus Internship</t>
  </si>
  <si>
    <t>FP21001</t>
  </si>
  <si>
    <t>GHOSH DASTIDER</t>
  </si>
  <si>
    <t>Sourav Ghosh Dastider</t>
  </si>
  <si>
    <t>souravghoshdastider@gmail.com</t>
  </si>
  <si>
    <t>FP21001@ms.nicmar.ac.in</t>
  </si>
  <si>
    <t>20-Jan-1998</t>
  </si>
  <si>
    <t>English, hindi, Bengali, Assamese</t>
  </si>
  <si>
    <t>3315 2421 8205</t>
  </si>
  <si>
    <t>SUDIP GHOSH DASTIDER</t>
  </si>
  <si>
    <t>JAYA GHOSH DASTIDER</t>
  </si>
  <si>
    <t>10/1E Rajani Bhattacharjee Lane</t>
  </si>
  <si>
    <t>10/1E RAJANI BHATTACHARJEE LANE</t>
  </si>
  <si>
    <t>RAM MOHAN MISSION HIGH SCHOOL</t>
  </si>
  <si>
    <t>COUNCIL FOR THE INDIAN SCHOOL CERTIFICATE EXAMINATIONS; NEW DELHI</t>
  </si>
  <si>
    <t>2014-Apr-14</t>
  </si>
  <si>
    <t>THE MODERN ACADEMY</t>
  </si>
  <si>
    <t>2015-May-15</t>
  </si>
  <si>
    <t>2016-Apr-14</t>
  </si>
  <si>
    <t>KALINGA INSTITUTE OF INDUSTRIAL TECHNOLOGY DEEMED TO BE UNIVERISTY</t>
  </si>
  <si>
    <t>2016-Jul-27</t>
  </si>
  <si>
    <t>2020-Mar-25</t>
  </si>
  <si>
    <t>JSS Engineering Pvt Ltd | Technical and Commercial Coordinator for waterproofing and structural reehabilitation | Kolkata | May 2020 | Aug 2021 | 1 Years, 3 Months, 3 Days | 4.03</t>
  </si>
  <si>
    <t>ERNST AND YOUNG LLP | ASSISTANT ASSOCIATE INTERN AT STRATEGY &amp; TRANSACTION - TRANSACTION &amp; CORPORATE FINANCE- INFRASTRUCTURE ADVISORY  | KOLKATA | Apr 2022 | Jul 2022 | 9 Weeks
ITD CEMENTATION INDIA LTD | FULL TIME INTERN | KOLKATA | May 2019 | Jun 2019 | 4 Weeks
LARSEN AND TOUBRO LIMITED CONSTRUCTION BUILDINGS AND FACTORIES | FULL TIME INTERN  | KOLKATA, TATA AVENIDA HOUSING SOCIETY  | May 2018 | Jun 2018 | 4 Weeks</t>
  </si>
  <si>
    <t>FP21002</t>
  </si>
  <si>
    <t>VIPUL</t>
  </si>
  <si>
    <t>KHADKE</t>
  </si>
  <si>
    <t>Vipul Bharat Khadke</t>
  </si>
  <si>
    <t>VIPULKHADKE000@GMAIL.COM</t>
  </si>
  <si>
    <t>fp21002@ms.nicmar.ac.in</t>
  </si>
  <si>
    <t>3419 7325 2282</t>
  </si>
  <si>
    <t>BHARAT DHARMA KHADKE</t>
  </si>
  <si>
    <t>NILIMA BHARAT KHADKE</t>
  </si>
  <si>
    <t>200, RAM PETH, JUNE JALGAON, NEAR CHAUDHARY WADA</t>
  </si>
  <si>
    <t>RAOSAHEB RUPCHAND VIDYALAYA, JALGAON</t>
  </si>
  <si>
    <t>2008-Feb-06</t>
  </si>
  <si>
    <t>2014-May-31</t>
  </si>
  <si>
    <t>G. H. RAISONI INSTITUTE OF ENGINEERING AND MANAGEMENT</t>
  </si>
  <si>
    <t>2014-Aug-14</t>
  </si>
  <si>
    <t>MAHATMA GANDHI MISSIONS COLLEGE OF ENGINEERING AND TECHNOLOGY</t>
  </si>
  <si>
    <t>2017-Sep-27</t>
  </si>
  <si>
    <t>2021-Feb-10</t>
  </si>
  <si>
    <t>AutoCAD,MS Office,Primavera,REVIT</t>
  </si>
  <si>
    <t>R P BUILDERS | SITE EXECUTION, PROJECT CO-ORDINATION | AHMEDABAD | May 2022 | Jun 2022 | 8 Weeks</t>
  </si>
  <si>
    <t>FP21003</t>
  </si>
  <si>
    <t>SHAMAA</t>
  </si>
  <si>
    <t>ARA</t>
  </si>
  <si>
    <t>Shamaa Ara</t>
  </si>
  <si>
    <t>arashamaa7@gmail.com</t>
  </si>
  <si>
    <t>fp21003@ms.nicmar.ac.in</t>
  </si>
  <si>
    <t>06-Aug-1996</t>
  </si>
  <si>
    <t>7688 9945 9835</t>
  </si>
  <si>
    <t>ANWAR HUSSAIN</t>
  </si>
  <si>
    <t>TABASSUM ARA</t>
  </si>
  <si>
    <t>203, CIRRUS-A, COSMOS PARADISE, OFF. POKHRAN ROAD NO. 1, OPP. DEVDAYA NAGAR</t>
  </si>
  <si>
    <t>BILLABONG HIGH INTERNATIONAL SCHOOL, THANE</t>
  </si>
  <si>
    <t>NEW HORIZON IINSTITUTE OF TECHNOLOGY AND MANAGEMENT, THANE</t>
  </si>
  <si>
    <t>PURE VALUE FINANCIAL AND RESEARCH SOLUTIONS PVT LTD | INDUSTRY-SPECIFIC RESEARCH; PREPARATION OF FINANCIAL AND LEGAL DUE DILIGENCE DOCUMENTS; ANALYZING COMPETITORS FOR CLIENTS; CONTENT WRITING; RESEARCH AND CALCULATIONS FOR START-UP VALUATION | WORK FROM HOME | Apr 2022 | Jul 2022 | 13 Weeks</t>
  </si>
  <si>
    <t>FP21004</t>
  </si>
  <si>
    <t>GAUSIKAN</t>
  </si>
  <si>
    <t>Gausikan R</t>
  </si>
  <si>
    <t>GAUSIKANRV@GMAIL.COM</t>
  </si>
  <si>
    <t>fp21004@ms.nicmar.ac.in</t>
  </si>
  <si>
    <t>3937 7791 6705</t>
  </si>
  <si>
    <t>RAVICHANDRAN K R</t>
  </si>
  <si>
    <t>PWD FIRST CLASS CONTRACTOR</t>
  </si>
  <si>
    <t>SUMATHY S</t>
  </si>
  <si>
    <t>53/2D, MOHAMEDSHAHPURAM, 4TH STREET, ASHOK NAGAR</t>
  </si>
  <si>
    <t>LINGA MATRICULATION SCHOOL</t>
  </si>
  <si>
    <t>STATE BOARD OF SCHOOL EXAMINATIONS TAMIL NADU</t>
  </si>
  <si>
    <t>C.E.O.A  MATRICULATION HIGHER SECONDARY SCHOOL</t>
  </si>
  <si>
    <t>TAMIL NADU STATE HIGHWAY DEPARTMENT | STUDENT TRAINEE ENGINEER | MADURAI | May 2019 | Jun 2019 | 2 Weeks
MAYFLOWER ENTERPRISES PVT LTD | STUDENT TRAINEE ENGINEER &amp; SUPERVISION,BILLING.  | COIMBATORE | Jan 2021 | Mar 2021 | 12 Weeks
BANGALORE METRO RAIL CORPORATION | PROJECT MANAGEMENT INTERN  | BANGALORE   | Apr 2022 | Jul 2022 | 9 Weeks</t>
  </si>
  <si>
    <t>FP21005</t>
  </si>
  <si>
    <t>AMLAN</t>
  </si>
  <si>
    <t>Amlan Manna</t>
  </si>
  <si>
    <t>AR.AMLAN103@GMAIL.COM</t>
  </si>
  <si>
    <t>fp21005@ms.nicmar.ac.in</t>
  </si>
  <si>
    <t>03-Apr-1991</t>
  </si>
  <si>
    <t>8194 5196 0742</t>
  </si>
  <si>
    <t>AMALESH MANNA</t>
  </si>
  <si>
    <t>KALYANI MANNA</t>
  </si>
  <si>
    <t>H. NO. 4, 2ND FLOOR, I.P.COLONY, SEC-33, SLF MALL</t>
  </si>
  <si>
    <t>DAYANAND ANGLO VEDIC PUBLIC SCHOOL, BALLABGARH</t>
  </si>
  <si>
    <t>DAYANAND ANGLO VEDIC PUBLIC SCHOOL, SECTOR 14</t>
  </si>
  <si>
    <t>GATEWAY COLLEGE OF ARCHITECTURE AND DESIGN</t>
  </si>
  <si>
    <t>FIDDYGO PRIVATE LIMITED | ARCHITECTURE &amp; STRUCTURE | GURUGRAM | Apr 2020 | Dec 2020 | 0 Years, 8 Months, 29 Days | 10.32
AECOM INDIA PRIVATE LIMITED | BUILDING ENGINEERING | GURUGRAM | Aug 2017 | Aug 2019 | 2 Years, 0 Months, 8 Days | 5.01
INTEC INFRA-TECHNOLOGIES PRIVATE LIMITED | ARCHITECTURE | GURUGRAM | Apr 2016 | Jul 2017 | 1 Years, 3 Months, 3 Days | 4.12</t>
  </si>
  <si>
    <t>ARCOP ASSOCIATES PRIVATE LIMITED | ARCHITECT INTERN | NOIDA | Jun 2012 | Dec 2012 | 24 Weeks
NEWARCH DESIGN CONSULTANTS PRIVATE LIMITED | MANAGEMENT TRAINEE | BENGALURU | Apr 2022 | Jun 2022 | 9 Weeks</t>
  </si>
  <si>
    <t>FP21006</t>
  </si>
  <si>
    <t>Avinash Reddy</t>
  </si>
  <si>
    <t>avinashreddie@gmail.com</t>
  </si>
  <si>
    <t>fp21006@ms.nicmar.ac.in</t>
  </si>
  <si>
    <t>FP21007</t>
  </si>
  <si>
    <t>Vaibhav M Singh</t>
  </si>
  <si>
    <t>VAIB.06SINGH@GMAIL.COM</t>
  </si>
  <si>
    <t>fp21007@ms.nicmar.ac.in</t>
  </si>
  <si>
    <t>ENGLISH, HINDI, KANNADA, TAMIL, TELEGU</t>
  </si>
  <si>
    <t>7480 3721 4641</t>
  </si>
  <si>
    <t>PREM MANOJ SINGH</t>
  </si>
  <si>
    <t>POOJA SINGH</t>
  </si>
  <si>
    <t>BUSINESS WOMAN</t>
  </si>
  <si>
    <t>M004, HM TAMBOURINE, JARAGANAHALLI BUS STOP, JP NAGAR, 6TH PHASE, BANGALORE, 560078</t>
  </si>
  <si>
    <t>260, 16TH CROSS, 24TH MAIN, 5TH PHASE, JP NAGAR, BANGALORE, 560078</t>
  </si>
  <si>
    <t>NARAYANA PRE UNIVERSITY COLLEGE</t>
  </si>
  <si>
    <t>NITTE MEENAKSHI INSTITUTE OF TECHNOLOGY BANGALORE</t>
  </si>
  <si>
    <t>AutoCAD,MS Office,Primavera,SOLIDEDGE</t>
  </si>
  <si>
    <t>MAHINDRA TEQO | DATA MANAGEMENT, TEQTICS, PROJECT MANAGEMENT  | THANE, MAHARASHTRA  | Apr 2022 | Jul 2022 | 11 Weeks | Campus Internship
SUNRISE CONSRTUCTIONS | PURCHASE &amp; ACCOUNTING  | BENGALURU | Oct 2020 | Mar 2021 | 21 Weeks</t>
  </si>
  <si>
    <t>FP21008</t>
  </si>
  <si>
    <t>SOUPTIK</t>
  </si>
  <si>
    <t>Souptik Rakshit</t>
  </si>
  <si>
    <t>souptikrakshit200@gmail.com</t>
  </si>
  <si>
    <t>fp21008@ms.nicmar.ac.in</t>
  </si>
  <si>
    <t>16-Nov-1994</t>
  </si>
  <si>
    <t>8318 0967 9678</t>
  </si>
  <si>
    <t>PARESH NATH RAKSHIT</t>
  </si>
  <si>
    <t>SERVICE RETIRED</t>
  </si>
  <si>
    <t>SIMA RAKSHIT</t>
  </si>
  <si>
    <t>GOVERNEMNT EMPLOYEE</t>
  </si>
  <si>
    <t>40 SHANTIMAYEE PARK, BIDHANNAGAR</t>
  </si>
  <si>
    <t>ST XAVIERS SCHOOL</t>
  </si>
  <si>
    <t>AutoCAD,Primavera,STAAD.PRO</t>
  </si>
  <si>
    <t>Aambani Housing Development Project | Site Execution  | Durgapur | Jan 2019 | Dec 2020 | 1 Years, 11 Months, 10 Days | 1.8</t>
  </si>
  <si>
    <t>BIRLA CORPORATION LIMITED | TRAINEE | DURGAPUR | Dec 2016 | Dec 2016 | 2 Weeks
STEEL AUTHORITY OF INDIA LIMITED | TRAINEE | DURGAPUR | Dec 2016 | Jan 2017 | 1 Weeks
SUNTECK REALTY | INTERN (BILLING DEPARTMENT) | MUMBAI | May 2022 | Jun 2022 | 7 Weeks</t>
  </si>
  <si>
    <t>FP21009</t>
  </si>
  <si>
    <t>PARSHURAM</t>
  </si>
  <si>
    <t>RAYATE</t>
  </si>
  <si>
    <t>Aditya Parshuram Rayate</t>
  </si>
  <si>
    <t>FP21009@MS.NICMAR.AC.IN</t>
  </si>
  <si>
    <t>7572 6417 6939</t>
  </si>
  <si>
    <t>PARSHURAM RAYATE</t>
  </si>
  <si>
    <t>PRAVINA RAYATE</t>
  </si>
  <si>
    <t>A/P SANSAR,BARAMATI-INDAPUR ROAD,_x000D_
TAL-INDAPUR,PUNE-413104</t>
  </si>
  <si>
    <t>AVON VISTA,B1 403,_x000D_
PATIL NAGAR.NH4 SERVICE ROAD,_x000D_
BALEWADI 411045</t>
  </si>
  <si>
    <t>VIDYA PRATISHTHAN`S NEW BAL VIKAS MANDIR,PIMPLI-BARAMATI</t>
  </si>
  <si>
    <t>2014-Mar-24</t>
  </si>
  <si>
    <t>2015-Mar-20</t>
  </si>
  <si>
    <t>TULJARAM CHATURCHAND COLLEGE OF ARTS,SCIENCE AND ARTS,BARAMATI</t>
  </si>
  <si>
    <t>2016-Mar-07</t>
  </si>
  <si>
    <t>2017-Feb-28</t>
  </si>
  <si>
    <t>VIDYA PRATISHTHANS KAMALNAYAN BAJAJ INSTITUTE OF ENGINEERING AND TECHNOLOGY,BARAMATI</t>
  </si>
  <si>
    <t>2021-May-21</t>
  </si>
  <si>
    <t>MAHAVEER GROUP | Ã¢â‚¬Â¢ TRACK PROJECT PERFORMANCE, SPECIFICALLY TO ANALYSE THE SUCCESSFUL COMPLETION OF SHORT- AND LONG-TERM GOALS.							 Ã¢â‚¬Â¢ IMPLEMENTED PRIMAVERA IN THE PLANNING OF A RESIDENTIAL PROJECT IN BAN | BANGALORE | Apr 2022 | Jun 2022 | 7 Weeks</t>
  </si>
  <si>
    <t>FP21010</t>
  </si>
  <si>
    <t>MAHIMA</t>
  </si>
  <si>
    <t>NILAPWAR</t>
  </si>
  <si>
    <t>Mahima Manoj Nilapwar</t>
  </si>
  <si>
    <t>FP21010@MS.NICMAR.AC.IN</t>
  </si>
  <si>
    <t>17-Dec-1999</t>
  </si>
  <si>
    <t>4647 0526 1927</t>
  </si>
  <si>
    <t>MANOJ NILAPWAR</t>
  </si>
  <si>
    <t>MONIKA NILAPWAR</t>
  </si>
  <si>
    <t>KRUSHNA VILLA, RAM NAGAR , PUSAD</t>
  </si>
  <si>
    <t>G 001 PRIDE PLATINUM, NEAR PAN CARD CLUB ROAD, BANER</t>
  </si>
  <si>
    <t>K. D. HIGH SCHOOL, PUSAD</t>
  </si>
  <si>
    <t>2015-Mar-11</t>
  </si>
  <si>
    <t>P. N. COLLEGE, PUSAD</t>
  </si>
  <si>
    <t>2016-Apr-05</t>
  </si>
  <si>
    <t>2017-Feb-11</t>
  </si>
  <si>
    <t>ALL INDIA SHREE SHIVAJI MEMORIAL COLLEGE OF ENGINEERING, PUNE</t>
  </si>
  <si>
    <t>2017-Jun-15</t>
  </si>
  <si>
    <t>2021-Jul-31</t>
  </si>
  <si>
    <t>VESTIAN GLOBAL | INVESTMENT AND CONSULTANCY INTERN | BANGLORE | May 2022 | Jul 2022 | 12 Weeks</t>
  </si>
  <si>
    <t>FP21011</t>
  </si>
  <si>
    <t>ABDULJABBAR</t>
  </si>
  <si>
    <t>TAHASHILDAR</t>
  </si>
  <si>
    <t>Junaid Abduljabbar Tahashildar</t>
  </si>
  <si>
    <t>junaidtahashildar46@gmail.com</t>
  </si>
  <si>
    <t>fp21011@ms.nicmar.ac.in</t>
  </si>
  <si>
    <t>3494 9504 7261</t>
  </si>
  <si>
    <t>ABDUL JABBAR TAHASHILDAR</t>
  </si>
  <si>
    <t>SABIRA ABDUL JABBAR TAHASHILDAR</t>
  </si>
  <si>
    <t>HIGHER GRADE ASSISTANT IN LIC</t>
  </si>
  <si>
    <t>PLOT NO 15 C, MOREY PLOTS, MITCHIGUN COMPOUND, SAPTAPUR,DHARWAD</t>
  </si>
  <si>
    <t>KARNATAKA EDUCATION BOARDS ENGLISH MEDIUM SCHOOL</t>
  </si>
  <si>
    <t>KARNATAKA SECONDARY EDUCATION EXAMINATION BOARD DHARWAD</t>
  </si>
  <si>
    <t>ICS MAHESH PU COLLEGE</t>
  </si>
  <si>
    <t>SHRI DHARMASTHALA MANJUNATHESHWARA COLLEGE OF ENGINEERING AND TECHNOLOGY DHARWAD</t>
  </si>
  <si>
    <t>SH SUPERIOR CONSTRUCTION PRIVATE LIMITED | SITE ENGINEER | HUBLI | Jul 2021 | Aug 2021 | 5 Weeks
MAHAVEER GROUP | PROCUREMENT MANAGEMENT INTERN | BANGALORE | Apr 2022 | Jun 2022 | 7 Weeks</t>
  </si>
  <si>
    <t>FP20002</t>
  </si>
  <si>
    <t>SPANDANA</t>
  </si>
  <si>
    <t>BANDARI</t>
  </si>
  <si>
    <t>Spandana Bandari</t>
  </si>
  <si>
    <t>spandanabandari27@gmail.com</t>
  </si>
  <si>
    <t>02-Jul-1996</t>
  </si>
  <si>
    <t>7694 1354 7957</t>
  </si>
  <si>
    <t>CHANDRASEKAR BANDARI</t>
  </si>
  <si>
    <t>JANAKI PERIM</t>
  </si>
  <si>
    <t>Flat No 310, Vaastu Lavender Phase 2, 2nd Cross, 4th Main Road_x000D_
BEML 7th Stage, Mylasandra</t>
  </si>
  <si>
    <t>FLAT NO 310, VAASTU LAVENDER PHASE 2, 2ND CROSS, 4TH MAIN ROAD_x000D_
BEML 7TH STAGE, MYLASANDRA</t>
  </si>
  <si>
    <t>CBSE, CHENNAI</t>
  </si>
  <si>
    <t>THE INDIAN SCHOOL</t>
  </si>
  <si>
    <t>CBSE, ISA TOWN</t>
  </si>
  <si>
    <t>UNIVERSITY OF BAHRAIN</t>
  </si>
  <si>
    <t>COLLEGE OF ENGINEERING, SAKHIR</t>
  </si>
  <si>
    <t>OJASVIHA | TELEPHONIC ENGAGEMENT WITH POTENTIAL CLIENTS. MAKING PRESENTATIONS AND REPORTS PERTAINING TO STRATEGY IN BUSINESS DEVELOPMENT  | BANGALORE, INDIA | Apr 2022 | Jul 2022 | 9 Weeks
ABEER AKBARI AND ASSOCIATES WLL | ASSISTED IN THE INITIAL DESIGN DEVELOPMENT OF INTERIOR PROJECTS. ASSISTED IN THE MATERIAL PROCUREMENT OF INTERIOR WORKS. PREPARATION OF DESIGN DEVELOPMENT DRAWINGS, DETAILED WORKING DRAWINGS AND LANDS | BAHRAIN | Jan 2018 | Feb 2018 | 2 Weeks
AREF SADEQ DESIGN CONSULTANTS | ASSISTED IN CONSTRUCTION DRAWINGS WHEN STATIONED AT THE SITE. QUANTITY AND LAYOUT ASSESSMENT OF FINISHING MATERIALS  | BAHRAIN | Jul 2018 | Sep 2018 | 8 Weeks</t>
  </si>
  <si>
    <t>PGP-REUIM</t>
  </si>
  <si>
    <t>RP21001</t>
  </si>
  <si>
    <t>MOHAMMED ARSHAD</t>
  </si>
  <si>
    <t>ZUBAIR</t>
  </si>
  <si>
    <t>Mohammed Arshad Zubair</t>
  </si>
  <si>
    <t>mazubairr@gmail.com</t>
  </si>
  <si>
    <t>rp21001@ms.nicmar.ac.in</t>
  </si>
  <si>
    <t>ENGLISH, URDU, HINDI, TELUGU</t>
  </si>
  <si>
    <t>5327 2312 1204</t>
  </si>
  <si>
    <t>PAMIDI KHAJA MOINUDDIN</t>
  </si>
  <si>
    <t>SABIHA NASREEN</t>
  </si>
  <si>
    <t>UNIT NO 3 2ND FLOOR 70C CENTRAL EXCISE LAYOUT DR SHIVARAMAKARANTH POST BANGALORE 560077</t>
  </si>
  <si>
    <t>KESHAVA REDDY E-LEARNING SCHOOL</t>
  </si>
  <si>
    <t>BOARD OF SECONDARY EDUCATION TELANAGANA STATE HYDERABAD</t>
  </si>
  <si>
    <t>2014-Jun-12</t>
  </si>
  <si>
    <t>2015-May-17</t>
  </si>
  <si>
    <t>2015-Jul-17</t>
  </si>
  <si>
    <t>VIDYA JYOTHI INSTITUTE OF TECHNOLOGY</t>
  </si>
  <si>
    <t>VIDYA JYOTHI INSTITUTE OF TECHNOLOGY HYDERABAD</t>
  </si>
  <si>
    <t>2017-Jul-27</t>
  </si>
  <si>
    <t>2021-Aug-16</t>
  </si>
  <si>
    <t>MAACON ENTERPRISES | SITE SUPERVISOR | HYDERABAD | Feb 2021 | May 2021 | 9 Weeks
MAA CONSTRUCTIONS | SITE SUPERVISING AND PROCUREMENT | BENGALURU | Oct 2019 | Dec 2019 | 9 Weeks
AACP INFRASTRUCTURE SYSTEMS PVT LTD | CO-ORDINATING BETWEEN CLIENT AND PMC, QUANTITY TAKEOFF USING CAD DRAWINGS, SUPERVISING THE WORK, PREPARING DPRS | BANGALORE | Apr 2022 | Jun 2022 | 8 Weeks</t>
  </si>
  <si>
    <t>RP21002</t>
  </si>
  <si>
    <t>Roshni Sahu</t>
  </si>
  <si>
    <t>SAHUROSHNI98@GMAIL.COM</t>
  </si>
  <si>
    <t>rp21002@ms.nicmar.ac.in</t>
  </si>
  <si>
    <t>18-Feb-1998</t>
  </si>
  <si>
    <t>4079 4857 1468</t>
  </si>
  <si>
    <t>BRAJENDRA NATH SAHU</t>
  </si>
  <si>
    <t>RETD. SR. EXECUTIVE OFFICER</t>
  </si>
  <si>
    <t>NIRUPAMA SAHU</t>
  </si>
  <si>
    <t>643/2776, PANCHMUKHI VIHAR, NEAR ASTHA SCHOOL OF MANAGEMENT, ATALA, BHUBANESWAR,ODISHA</t>
  </si>
  <si>
    <t>D.A.V. PUBLIC SCHOOL, UNIT-8, BHUBANESWAR</t>
  </si>
  <si>
    <t>2013-Feb-27</t>
  </si>
  <si>
    <t>2015-Aug-03</t>
  </si>
  <si>
    <t>2020-Jul-15</t>
  </si>
  <si>
    <t>AutoCAD,MS Office,PHOTOSHOP, SKETCHUP, LUMION, ILLUSTRATOR, SKETCHBOOK, REVIT</t>
  </si>
  <si>
    <t>Rupantar - Architecture, Interior Consultants, Bhubaneswar | Architect, Interior Designing | Bhubaneswar | Sep 2020 | Aug 2021 | 0 Years, 11 Months, 30 Days | 1.44</t>
  </si>
  <si>
    <t>B DESIGN STUDIO | WORKED AS AN ARCHITECTURAL INTERN AND WAS INVOLVED IN DESIGNING OF MANY RESIDENTIAL AND COMMERCIAL PROJECTS. | HYDERABAD | May 2019 | Oct 2019 | 21 Weeks
RISHABH BUILDERS | CONSTRUCTION MANAGEMENT TRAINEE | RAIPUR | May 2022 | Jul 2022 | 8 Weeks</t>
  </si>
  <si>
    <t>RP21003</t>
  </si>
  <si>
    <t>Nidhi Umesh Sharma</t>
  </si>
  <si>
    <t>nidhis166@gmail.com</t>
  </si>
  <si>
    <t>rp21003@ms.nicmar.ac.in</t>
  </si>
  <si>
    <t>05-Jul-1997</t>
  </si>
  <si>
    <t>2452 2040 4506</t>
  </si>
  <si>
    <t>UMESH RADHESHYAM SHARMA</t>
  </si>
  <si>
    <t>SANDHYA UMESH SHARMA</t>
  </si>
  <si>
    <t>218, SHARMA GREEN HEAVEN, WEST SHANKAR NAGAR</t>
  </si>
  <si>
    <t>BHVANS BHAGWANDAS PUROHIT VIDYA MANDIR,SRIKRISHNA NAGAR, NAGPUR</t>
  </si>
  <si>
    <t>ARTS, COMMERCE AND SCIENCE JUNIOR COLLEGE, KORADI, KAMPTEE, NAGPUR</t>
  </si>
  <si>
    <t>RATHI AND ASSOCIATES | VALUER TRAINEE | NAGPUR | Sep 2020 | Aug 2021 | 0 Years, 11 Months, 30 Days | 1.8</t>
  </si>
  <si>
    <t>DESIGN CELL | INTERN | NAGPUR | Jan 2019 | Aug 2019 | 34 Weeks
CUSHMAN AND WAKEFIELD | INTERN | MUMBAI | May 2022 | Jun 2022 | 8 Weeks</t>
  </si>
  <si>
    <t>RP21004</t>
  </si>
  <si>
    <t>Vignesh K</t>
  </si>
  <si>
    <t>kvigneshvip@gmail.com</t>
  </si>
  <si>
    <t>rp21004@ms.nicmar.ac.in</t>
  </si>
  <si>
    <t>15-Sep-1992</t>
  </si>
  <si>
    <t>TAMIL, TELUGU, ENGLISH</t>
  </si>
  <si>
    <t>4819 2496 8469</t>
  </si>
  <si>
    <t>VASANTHA K</t>
  </si>
  <si>
    <t>6/47, SRINIVASA NAGAR, SECOND STREET, LAKSHMIPURAM POST</t>
  </si>
  <si>
    <t>Kovilpatti</t>
  </si>
  <si>
    <t>THE LAKSHMI MILLS HIGHER SECONDARY SCHOOL</t>
  </si>
  <si>
    <t>2007-Jun-07</t>
  </si>
  <si>
    <t>2008-May-15</t>
  </si>
  <si>
    <t>2009-Jun-18</t>
  </si>
  <si>
    <t>2010-May-20</t>
  </si>
  <si>
    <t>VIGNESH K</t>
  </si>
  <si>
    <t>P.S.R. ENGINEERING COLLEGE</t>
  </si>
  <si>
    <t>2010-Aug-17</t>
  </si>
  <si>
    <t>2014-Nov-18</t>
  </si>
  <si>
    <t>SINGHANIA BUILDCON PRIVATE LIMITED | REAL ESTATE MANAGEMENT | RAIPUR, CHHATISHGARGH | May 2022 | Jul 2022 | 8 Weeks</t>
  </si>
  <si>
    <t>RP21005</t>
  </si>
  <si>
    <t>SAMAI</t>
  </si>
  <si>
    <t>PATTIWAR</t>
  </si>
  <si>
    <t>Samai Sandeep Pattiwar</t>
  </si>
  <si>
    <t>samai27.sp@gmail.com</t>
  </si>
  <si>
    <t>rp21005@ms.nicmar.ac.in</t>
  </si>
  <si>
    <t>3935 0986 7969</t>
  </si>
  <si>
    <t>SANDEEP PATTIWAR</t>
  </si>
  <si>
    <t>SPATTIWAR@GMAIL.COM</t>
  </si>
  <si>
    <t>MANISHA PATTIWAR</t>
  </si>
  <si>
    <t>GRACIA A-2404, DOSTI IMPERIA, KHEWRA CIRCLE MARG</t>
  </si>
  <si>
    <t>SMT. RAMABEN BABUBHAI KANAKIA SCHOOL</t>
  </si>
  <si>
    <t>COUNCIL FOR THE INDIAN CERTIFICATE OF SECONDARY EDUCATION</t>
  </si>
  <si>
    <t>RUSTOMJEE JUNIOR COLLEGE</t>
  </si>
  <si>
    <t>D.Y. PATIL COLLEGE OF ARCHITECTURE, AKURDI</t>
  </si>
  <si>
    <t>NEXUS DESIGN STUDIO | DESIGNING AND PLANNING | MUMBAI | May 2018 | Dec 2019 | 1 Years, 6 Months, 29 Days | 1.8
PG PATKI ARCHITECTS | DESIGNING, PLANNING AND CO-ORDINATION WITH CONSULTANTS | MUMBAI | May 2020 | Jul 2021 | 1 Years, 2 Months, 25 Days | 2.4</t>
  </si>
  <si>
    <t>CONNECT FOUR DESIGN STUDIO | ASSISTING IN DESIGNING AND PLANNING FOR ARCHITECTURE AND INTERIOR PROJECTS, PREPARING 2D AND 3D MODELS FOR CLIENT PITCHES AND MEETINGS, PREPARING OF TENDER AND GFC DRAWINGS FOR RESIDENTIAL AND COMMERC | MUMBAI | May 2017 | Sep 2017 | 20 Weeks
TELGE PROJECTS PRIVATE LIMITED | CREATING PLANS AND GOALS TO INCREASE SALES AND BUSINESS, NEW TARGET MARKET RESEARCH, STRATEGY AND EXECUTION | PUNE | May 2022 | Jun 2022 | 8 Weeks</t>
  </si>
  <si>
    <t>RP21006</t>
  </si>
  <si>
    <t>PARIDHI</t>
  </si>
  <si>
    <t>POKHARIYAL</t>
  </si>
  <si>
    <t>Paridhi Pokhariyal</t>
  </si>
  <si>
    <t>paridhipokhariyal@gmail.com</t>
  </si>
  <si>
    <t>rp21006@ms.nicmar.ac.in</t>
  </si>
  <si>
    <t>ENGLISH, HINDI, GUJARATI, GHADWALI</t>
  </si>
  <si>
    <t>8225 0283 7004</t>
  </si>
  <si>
    <t>SASHANT SAGAR POKHARIYAL</t>
  </si>
  <si>
    <t>ANITA SASHANT POKHARIYAL</t>
  </si>
  <si>
    <t>H. NO. 904, IRIS, SUDARSHAN SKY GARDEN, NEAR ANANDNAGAR</t>
  </si>
  <si>
    <t>INSTITUTE OF ARCHITECTURE AND PLANNING</t>
  </si>
  <si>
    <t>AutoCAD,MS Office,Primavera,SKETCHUP, GIS, INDESIGN, PHOTOSHOP, IMOVIE</t>
  </si>
  <si>
    <t>COLLIERS INTERNATIONAL | ADVISORY  | REMOTE  | Mar 2022 | May 2022 | 8 Weeks
TOWN AND COUNTRY PLANNING DEPARTMENT | PLANNING INTERN  | PANAJI | May 2019 | Jul 2019 | 7 Weeks
SILA PROJECT MANAGEMENT SERVICES | ADVISORY  | MUMBAI  | May 2022 | Jun 2022 | 8 Weeks</t>
  </si>
  <si>
    <t>RP21007</t>
  </si>
  <si>
    <t>GOSAI</t>
  </si>
  <si>
    <t>Arpan Gosai</t>
  </si>
  <si>
    <t>arpan.gosai007@gmail.com</t>
  </si>
  <si>
    <t>rp21007@ms.nicmar.ac.in</t>
  </si>
  <si>
    <t>07-Sep-1998</t>
  </si>
  <si>
    <t>8946 9992 2264</t>
  </si>
  <si>
    <t>VIPUL GOSAI</t>
  </si>
  <si>
    <t>NITA GOSAI</t>
  </si>
  <si>
    <t>B 19 Amin Park Society, Manjalpur, Vadodara</t>
  </si>
  <si>
    <t>B 19 AMIN PARK SOCIETY, MANJALPUR, VADODARA.</t>
  </si>
  <si>
    <t>ST ARNOLDS HIGHER SECONDARY SCHOOL</t>
  </si>
  <si>
    <t>BAL NIKETAN HIGHER SECONDARY SCHOOL</t>
  </si>
  <si>
    <t>2016-May-12</t>
  </si>
  <si>
    <t>INSTITUTE OF ARCHITECTURE AND PLANNING, NIRMA UNIVERSITY</t>
  </si>
  <si>
    <t>PUNE MUNICIPAL CORPORATION | URBAN PLANNING INTERN  | PUNE  | May 2019 | Jul 2019 | 8 Weeks
ANAROCK PROPERTY CONSULTANTS | LAND TRANSACTION  | PUNE  | Apr 2022 | Jun 2022 | 8 Weeks
MARS CONSULTANCY | SURVEYOR AND JUNIOR URBAN PLANNER  | SHIMLA  | Mar 2018 | Jul 2018 | 16 Weeks</t>
  </si>
  <si>
    <t>RP21008</t>
  </si>
  <si>
    <t>NARESHKUMAR</t>
  </si>
  <si>
    <t>Patel Ruchita Nareshkumar</t>
  </si>
  <si>
    <t>RUCHITA.PATEL912@GMAIL.COM</t>
  </si>
  <si>
    <t>rp21008@ms.nicmar.ac.in</t>
  </si>
  <si>
    <t>4554 7514 9019</t>
  </si>
  <si>
    <t>NARESHKUMAR RAJNIKANT PATEL</t>
  </si>
  <si>
    <t>SALES AND PRODUCTION MANAGER</t>
  </si>
  <si>
    <t>RAJESHREE NARESHKUMAR PATEL</t>
  </si>
  <si>
    <t>H.NO.18,YOGESHWAR PARK SOCEITY, NR. REKHA PARK, PAL-HAZIRA ROAD</t>
  </si>
  <si>
    <t>BHULKA VIHAR SCHOOL</t>
  </si>
  <si>
    <t>GUJARAT SECONDARY AND HIGHER SECONDARY EDUCTAION BOARD</t>
  </si>
  <si>
    <t>PARUL INSTITUTE OF ARCHITECTURE AND RESEARCH</t>
  </si>
  <si>
    <t>2020-Jun-06</t>
  </si>
  <si>
    <t>AutoCAD,MS Office,SKETCHUP, V-RAY, ENSCAPE</t>
  </si>
  <si>
    <t>TATHASTU ARCHITECTS | INTERN | SURAT, GUJARAT | Jan 2019 | May 2019 | 18 Weeks
PACIFICA COMPANIES | SITE EXECUTION, PLANNING, MONITORING AND QS DEPARTMENT  | VADODARA, GUJARAT | Apr 2022 | Jul 2022 | 12 Weeks</t>
  </si>
  <si>
    <t>RP21009</t>
  </si>
  <si>
    <t>Manikanta B</t>
  </si>
  <si>
    <t>BELLARYMANIKANTA@GMAIL.COM</t>
  </si>
  <si>
    <t>rp21009@ms.nicmar.ac.in</t>
  </si>
  <si>
    <t>ENGLISH, KANNADA, TELUGU, HINDI</t>
  </si>
  <si>
    <t>8311 4949 0528</t>
  </si>
  <si>
    <t>BELLARY DWARAKANATH</t>
  </si>
  <si>
    <t>BELLARY GAYATHRI</t>
  </si>
  <si>
    <t>H. NO. 229, 22ND WARD, NMDC COLONY, JP NAGAR, NEAR ANJUMAN HOSPITAL</t>
  </si>
  <si>
    <t>NITTE MEENAKSHI INSTITUTE OF TECHNOLOGY, BANGALORE</t>
  </si>
  <si>
    <t>Adroit technical services Pvt Ltd | Field engineer | Hubli | Oct 2020 | Aug 2021 | 0 Years, 10 Months, 29 Days | 1.44</t>
  </si>
  <si>
    <t>ADROIT TECHNICAL SERVICES PVT LTD | ASSISTANT TECHNICAL MANAGER | BANGALORE | May 2022 | Jul 2022 | 11 Weeks
KAP INDIA PROJECTS AND CONSTRUCTIONS PVT LTD | SITE INTERN | BANGALORE | Jun 2019 | Jul 2019 | 6 Weeks</t>
  </si>
  <si>
    <t>RP21010</t>
  </si>
  <si>
    <t>BHAVIN</t>
  </si>
  <si>
    <t>KISHORBHAI</t>
  </si>
  <si>
    <t>Bhavin Kishorbhai Ahir</t>
  </si>
  <si>
    <t>malsatar33@gmail.com</t>
  </si>
  <si>
    <t>rp21010@ms.nicmar.ac.in</t>
  </si>
  <si>
    <t>4242 7997 5928</t>
  </si>
  <si>
    <t>KISHOR NARSHI AHIR</t>
  </si>
  <si>
    <t>DAKSHA KISHOR AHIR</t>
  </si>
  <si>
    <t>H. I, ODHAV PARK 1, NEAR PRAMUKHSWAMI NAGAR 1</t>
  </si>
  <si>
    <t>MA ASHAPURA GUJARATI MADHYAM MADHYAMIK SHALA</t>
  </si>
  <si>
    <t>HJD INSTITUTE OF TECHNICAL EDUCATION AND RESEARCH</t>
  </si>
  <si>
    <t>MARWADI EDUCATION FOUNDATIONS GROUP OF INSTITUTIONS</t>
  </si>
  <si>
    <t>PROCITI REAL ESTATE CONSULTANTS | BUSINESS DEVELOPMENT &amp; SALES INTERN | PUNE, MAHARASHTRA | Apr 2022 | Jun 2022 | 8 Weeks</t>
  </si>
  <si>
    <t>RP21011</t>
  </si>
  <si>
    <t>ALVINA</t>
  </si>
  <si>
    <t>Alvina Das</t>
  </si>
  <si>
    <t>alvina.das@gmail.com</t>
  </si>
  <si>
    <t>rp21011@ms.nicmar.ac.in</t>
  </si>
  <si>
    <t>6482 5565 9602</t>
  </si>
  <si>
    <t>BIJAYA KRISHNA DAS</t>
  </si>
  <si>
    <t>CIVIL ENGINEER, GOVERNMENT EMPLOYEE</t>
  </si>
  <si>
    <t>PRATIMA PATTNAIK</t>
  </si>
  <si>
    <t>B-401,402, IMPERIAL MANSION, BARAMUNDA</t>
  </si>
  <si>
    <t>PILOO MODY COLLEGE OF ARCHITECTURE</t>
  </si>
  <si>
    <t>Bivab Developers Pvt. Ltd | Architecture and Construction  | Bhubaneswar | May 2020 | Aug 2021 | 1 Years, 3 Months, 6 Days | 3.6</t>
  </si>
  <si>
    <t>NAVIN ARCHITECTS | INTERN ARCHITECT  | HYDERABAD  | Jun 2019 | Oct 2019 | 21 Weeks
BIVAB DEVELOPERS | ARCHITECT | BHUBANESWAR | Jun 2022 | Jul 2022 | 8 Weeks</t>
  </si>
  <si>
    <t>RP21012</t>
  </si>
  <si>
    <t>Ashwini Kumar</t>
  </si>
  <si>
    <t>ASHWINIKUMAR1996@GMAIL.COM</t>
  </si>
  <si>
    <t>rp21012@ms.nicmar.ac.in</t>
  </si>
  <si>
    <t>20-Dec-1996</t>
  </si>
  <si>
    <t>4598 4209 5744</t>
  </si>
  <si>
    <t>PARIMAL KANT VERMA</t>
  </si>
  <si>
    <t>URMILA VERMA</t>
  </si>
  <si>
    <t>B-5, 302, CHERRY COUNTY, TECH ZONE IV</t>
  </si>
  <si>
    <t>Greater Noida</t>
  </si>
  <si>
    <t>2011-Jun-09</t>
  </si>
  <si>
    <t>2012-May-05</t>
  </si>
  <si>
    <t>NEW ERA HIGH SCHOOL</t>
  </si>
  <si>
    <t>2013-Jun-11</t>
  </si>
  <si>
    <t>2016-Jun-10</t>
  </si>
  <si>
    <t>2021-Jun-30</t>
  </si>
  <si>
    <t>AutoCAD,MS Office,VECTORWORKS, SKETCHUP, PHOTOSHOP</t>
  </si>
  <si>
    <t>SEEDTREE COLLABORATIVES | PROJECT DEVELOPER | SURAT | Apr 2022 | Jul 2022 | 11 Weeks
FOCSKILL PRIVATE LIMITED | PROJECT COORDINATOR | MUMBAI | Oct 2020 | Apr 2021 | 28 Weeks
ABHIKALPAN ARCHITECTS AND PLANNERS | INERN | MUMBAI | Nov 2019 | Apr 2020 | 23 Weeks</t>
  </si>
  <si>
    <t>RP21013</t>
  </si>
  <si>
    <t>MAAZ</t>
  </si>
  <si>
    <t>RAFI</t>
  </si>
  <si>
    <t>Maaz Rafi Ashraf</t>
  </si>
  <si>
    <t>maazrafi7@gmail.com</t>
  </si>
  <si>
    <t>rp21013@ms.nicmar.ac.in</t>
  </si>
  <si>
    <t>31-May-1998</t>
  </si>
  <si>
    <t>English,Hindi,Urdu</t>
  </si>
  <si>
    <t>8673 4124 3692</t>
  </si>
  <si>
    <t>RAFI AHMAD</t>
  </si>
  <si>
    <t>HASEEN ANJUM</t>
  </si>
  <si>
    <t>51/1,PANAMA BUILDING,MEWATIPURA,BAHARICH</t>
  </si>
  <si>
    <t>CITY MONTESSORI INTER COLLEGE</t>
  </si>
  <si>
    <t>INDIAN CERTIFICATE OF SECONDARY EDUCATION,LUCKNOW/UTTAR PRADESH</t>
  </si>
  <si>
    <t>INDIAN SCHOOL CERTIFICATE,LUCKNOW/UTTAR PRADESH</t>
  </si>
  <si>
    <t>SRI RAMASWAMY MEMORIAL INSTITUTE OF SCIENCE AND TECHNOLOGY,CHENNAI/TAMIL NADU</t>
  </si>
  <si>
    <t>2017-Sep-01</t>
  </si>
  <si>
    <t>2022-Jun-30</t>
  </si>
  <si>
    <t>R AND H INFRACONSTRUCTIONS PRIVATE LIMITED | WORKED AS AN INTERN FOR THE PROJECT OF DESIGN,INSTALLATION AND MAINTENANCE OF A COLD STORAGE PLANT. | BAHRAICH | Jun 2019 | Jun 2019 | 3 Weeks
THE CAPITAL BOX | FINANCIAL PLANNING | GURUGRAM | May 2022 | Jul 2022 | 8 Weeks
SHALIMAR CORP LTD | PROJECT PLANNING AND COORDINATION | LUCKNOW | Jun 2022 | Jul 2022 | 7 Weeks</t>
  </si>
  <si>
    <t>RP21014</t>
  </si>
  <si>
    <t>DEORA</t>
  </si>
  <si>
    <t>Prachi Deora</t>
  </si>
  <si>
    <t>deoraprachi20@gmail.com</t>
  </si>
  <si>
    <t>rp21014@ms.nicmar.ac.in</t>
  </si>
  <si>
    <t>2782 6826 1217</t>
  </si>
  <si>
    <t>AMIT DEORA</t>
  </si>
  <si>
    <t>SAPNA DEORA</t>
  </si>
  <si>
    <t>H. NO. 43, NARAYAN BAGH, NEAR RAM BAGH</t>
  </si>
  <si>
    <t>INDORE SMART CITY DEVELOPMENT LIMITED | URBAN PLANNING INTERN | INDORE, MADHYA PRADESH | Jan 2021 | Jun 2021 | 21 Weeks
SUNTECK REALTY LIMITED | PLANNING INTERN | MUMBAI, MAHARASHTRA | May 2022 | Jun 2022 | 7 Weeks</t>
  </si>
  <si>
    <t>RP21015</t>
  </si>
  <si>
    <t>MASKAR</t>
  </si>
  <si>
    <t>Maskar Shruti Ramesh</t>
  </si>
  <si>
    <t>shrutirm1998@gmail.com</t>
  </si>
  <si>
    <t>rp21015@ms.nicmar.ac.in</t>
  </si>
  <si>
    <t>4495 8995 3438</t>
  </si>
  <si>
    <t>RAMESH KRISHNAKANT MASKAR</t>
  </si>
  <si>
    <t>DEPUTY CITY PLANNER, TOWN PLANNING, KOLHAPUR MUNICIPAL CORPORATION</t>
  </si>
  <si>
    <t>GEETA RAMESH MASKAR</t>
  </si>
  <si>
    <t>BUNGALOW NO-C/10,BUNGALOW NAME-SHIV GOURI, SHAHU COLONY, KARANDE MALA, BEHIND CIRCUIT HOUSE, TARABAI PARK,KOLHAPUR</t>
  </si>
  <si>
    <t>SHAHU COLONY,TARABAI PARK,KARANDE MALA, KOLHAPUR.</t>
  </si>
  <si>
    <t>HOLY CROSS CONVENT HIGH SCHOOL</t>
  </si>
  <si>
    <t>NEW MODEL ENGLISH SCHOOL AND JUNIOR COLLEGE KOLHAPUR</t>
  </si>
  <si>
    <t>AutoCAD,MS Office,V-RAY, LUMION, SKETCHUP</t>
  </si>
  <si>
    <t>A-SQUARE | ARCHITECT | Kolhapur | Jan 2021 | Aug 2021 | 0 Years, 7 Months, 30 Days | 0</t>
  </si>
  <si>
    <t>BASIL HOMES | =-WORK AS AN DESIGN INTERN FOR TURNKEY INTERIOR PROJECTS. SITE VISITS TO BE ALIGNED AS WELL FOR THESE PROJECTS AND STAY UPDATED WITH THE WORK PROGRESS. | PASHAN LINK ROAD, PUNE | Apr 2022 | Jul 2022 | 13 Weeks
A SQUARE ARCHITECTS INTERIOR AND LANDSCAPE DESIGNERS | JUNIOR ARCHITECT | KOLHAPUR | Jan 2021 | Aug 2021 | 34 Weeks</t>
  </si>
  <si>
    <t>RP21016</t>
  </si>
  <si>
    <t>PALKI</t>
  </si>
  <si>
    <t>Palki Jain</t>
  </si>
  <si>
    <t>ar.palkijain@gmail.com</t>
  </si>
  <si>
    <t>rp21016@ms.nicmar.ac.in</t>
  </si>
  <si>
    <t>23-May-1997</t>
  </si>
  <si>
    <t>2709 7708 0709</t>
  </si>
  <si>
    <t>ATUL KUMAR JAIN</t>
  </si>
  <si>
    <t>SONU JAIN</t>
  </si>
  <si>
    <t>PRINCIPAL OF LAW COLLEGE</t>
  </si>
  <si>
    <t>66, NEW ALOK, NEAR BUS STAND</t>
  </si>
  <si>
    <t>AutoCAD,MS Office,Primavera,PHOTOSHOP, SKETCHUP, LUMION, REVIT</t>
  </si>
  <si>
    <t>NEMA Development | Architect | Gurugram | Jun 2020 | Aug 2021 | 1 Years, 2 Months, 0 Days | 2.4</t>
  </si>
  <si>
    <t>SUNTECK REALTY LTD | ARCHITECTURE &amp; DESIGN INTERN | MUMBAI | May 2022 | Jun 2022 | 7 Weeks
NEMA DEVELOPMENT | INTERN | GURUGRAM | Jun 2018 | Nov 2018 | 24 Weeks</t>
  </si>
  <si>
    <t>RP21017</t>
  </si>
  <si>
    <t>Bharath S</t>
  </si>
  <si>
    <t>BHARATHS.ARCHITECT@GMAIL.COM</t>
  </si>
  <si>
    <t>8206 2374 0297</t>
  </si>
  <si>
    <t>SANKARALINGAM G</t>
  </si>
  <si>
    <t>SARATHA S</t>
  </si>
  <si>
    <t>555 P/5, LGK NAGAR, SHANMUGHASIGAMANI NAGAR</t>
  </si>
  <si>
    <t>RAVILLA KRA VIDHYASHRAM  MATRICULATION HIGHER SECONDARY SCHOOL</t>
  </si>
  <si>
    <t>MATRICULATION BOARD, TAMIL NADU</t>
  </si>
  <si>
    <t>2011-Mar-01</t>
  </si>
  <si>
    <t>COUNIAN MATRICULATION HIGHER SECONDARY SCHOOL</t>
  </si>
  <si>
    <t>TAMIL NADU BOARD OF HIGHER SECONDARY EDUCATION, TAMIL NADU</t>
  </si>
  <si>
    <t>2012-Apr-01</t>
  </si>
  <si>
    <t>2013-Mar-01</t>
  </si>
  <si>
    <t>MARG INSTITUTE OF DESIGN AND ARCHITECTURE SWARNABHOOMI, VELUR VILLAGE, TAMIL NADU</t>
  </si>
  <si>
    <t>2018-Apr-01</t>
  </si>
  <si>
    <t>IPAAC | Schematic design,preparation of GFC drawings, site coordination | Bangalore | Nov 2019 | Mar 2021 | 1 Years, 3 Months, 12 Days | 1.92</t>
  </si>
  <si>
    <t>FHD GROUP | SCHEMATIC DESIGN, PREPARATION OF GFC DRAWINGS | HYDERABAD | Jul 2016 | Nov 2016 | 21 Weeks
L I SUPPLY NETWORKS PRIVATE LIMITED | MARKET RESEARCH, BUSINESS DEVELOPMENT, VENDOR DEVELOPMENT | COIMBATORE &amp; MADURAI | May 2022 | Jul 2022 | 8 Weeks</t>
  </si>
  <si>
    <t>RP21018</t>
  </si>
  <si>
    <t>TAMBOSKAR</t>
  </si>
  <si>
    <t>Sayali Uday Tamboskar</t>
  </si>
  <si>
    <t>TAMBOSKARSAYALI98@GMAIL.COM</t>
  </si>
  <si>
    <t>rp21018@ms.nicmar.ac.in</t>
  </si>
  <si>
    <t>4142 5696 2503</t>
  </si>
  <si>
    <t>UDAY MAHADEO TAMBOSKAR</t>
  </si>
  <si>
    <t>APOORVA UDAY TAMBOSKAR</t>
  </si>
  <si>
    <t>402, GURUKRIPA BLDG, SIDHARTH NAGAR</t>
  </si>
  <si>
    <t>S.S. AND L.S. PATKAR COLLEGE OF ARTS AND SCIENCE</t>
  </si>
  <si>
    <t>YASHWANTRAO CHAVAN MAHARASHTRA OPEN UNIVERSITY NASHIK</t>
  </si>
  <si>
    <t>AutoCAD,MS Office,Primavera,SKETCHUP, VRAY, PHOTOSHOP</t>
  </si>
  <si>
    <t>STUDIO ADAPL | PLANNING, DESIGN, SITE SUPERVISION, COORDINATION | MUMBAI | Jul 2020 | Aug 2021 | 1 Years, 1 Months, 15 Days | 1.44</t>
  </si>
  <si>
    <t>LARSEN AND TOUBRO REALTY | ASSISTED IN DEVELOPING PROJECT PROPOSALS FOR IT PARKS. DEVELOPED DESIGN CONCEPTS FOR FACADE ELEVATIONS. PRODUCED PRESENTATIONS, RENDERINGS AND MODELS FOR PROJECTS. | POWAI WEST, MUMBAI | Apr 2022 | Jul 2022 | 13 Weeks
STUDIO ADAPL | ASSISTED ON CONCEPT AND RENDERINGS OF FAÃƒÂ§ADE DESIGN OF RESIDENTIAL BUNGALOWS. PRODUCED DESIGNS, CONCEPTS AND PRESENTATION DRAWINGS OF RESIDENTIAL INTERIOR DESIGN PROJECTS.DEVELOPED DESIGN CONCEPTS AN | MUMBAI | Apr 2020 | Jul 2020 | 12 Weeks
B J MEHTA CONSULTANTS LLP | COORDINATED WITH CIVIL AND SERVICE CONSULTANTS TO PRODUCE WORKING DRAWINGS.  DESIGNED RESIDENTIAL FLOOR PLANS ABIDING DEVELOPMENT CONTROL RULES AND REGULATIONS.  INTERACTED WITH CONTRACTORS TO UNDERST | MUMBAI | Oct 2019 | Jan 2020 | 16 Weeks</t>
  </si>
  <si>
    <t>RP21019</t>
  </si>
  <si>
    <t>SHRADHA</t>
  </si>
  <si>
    <t>DHUMALE</t>
  </si>
  <si>
    <t>Shradha Ravindra Dhumale</t>
  </si>
  <si>
    <t>shradha.dhumale.sd@gmail.com</t>
  </si>
  <si>
    <t>rp21019@ms.nicmar.ac.in</t>
  </si>
  <si>
    <t>30-Nov-1996</t>
  </si>
  <si>
    <t>5537 4713 0044</t>
  </si>
  <si>
    <t>RAVINDRA MANOHAR DHUMALE</t>
  </si>
  <si>
    <t>MAMTA RAVINDRA DHUMALE</t>
  </si>
  <si>
    <t>H.NO-55,  ADITYA NAGAR, GARKHEDA</t>
  </si>
  <si>
    <t>STATE BANK OF OFFICERS ASSOCIATION PUBLIC SCHOOL</t>
  </si>
  <si>
    <t>AutoCAD,MS Office,MS Project,Primavera,GOOGLE SKETCHUP, LUMION, PHOTOSHOP CC, ILLUSTRATOR, 3DS MAX</t>
  </si>
  <si>
    <t>Shellspace Design Studio | Architect | Pune | Nov 2019 | Nov 2020 | 1 Years, 0 Months, 0 Days | 1.8</t>
  </si>
  <si>
    <t>ECOFIRST SERVICES LIMITED | REAL ESTATE ADVISOR | MUMBAI | Apr 2022 | Jul 2022 | 9 Weeks
RUDRANEE INFRASTRUCTURE LIMITED | PLANNING AND BILLING | AURANGABAD | Feb 2021 | Aug 2021 | 26 Weeks
DHAWAL DESHMUKH DESIGNERS | ARCHITECTURAL INTERN | PUNE | Jul 2018 | Oct 2018 | 15 Weeks</t>
  </si>
  <si>
    <t>RP21020</t>
  </si>
  <si>
    <t>GINTO</t>
  </si>
  <si>
    <t>SHALOO</t>
  </si>
  <si>
    <t>Ginto Shaloo</t>
  </si>
  <si>
    <t>GINTOSHALOOO@GMAIL.COM</t>
  </si>
  <si>
    <t>rp21020@ms.nicmar.ac.in</t>
  </si>
  <si>
    <t>19-Feb-1993</t>
  </si>
  <si>
    <t>8058 8610 3025</t>
  </si>
  <si>
    <t>SHALOO C A</t>
  </si>
  <si>
    <t>SHINY SHALOO</t>
  </si>
  <si>
    <t>CHELATT HOUSE, NEERICODE PO, NEAR KIDS LAND TEXTILE SHOP</t>
  </si>
  <si>
    <t>INFANT JESUS PUBLIC SCHOOL</t>
  </si>
  <si>
    <t>KARPAGAM UNIVERSITY</t>
  </si>
  <si>
    <t>KARPAGAM ACADAMY OF HIGHER EDUCATION</t>
  </si>
  <si>
    <t>AutoCAD,MS Office,Primavera,REVIT ARCHITECTURE, 3DS MAX</t>
  </si>
  <si>
    <t>PEOPLES DIARY DEVELOPMENT PROJECT CENTRAL SOCIETY | SITE EXECUTION CIVIL | Ernakulam | Oct 2018 | Feb 2019 | 0 Years, 4 Months, 24 Days | 1.8
VITHAYATHIL HOMES | EXECUTION BILLING PLANNING | Ernakulam | Nov 2016 | May 2018 | 1 Years, 6 Months, 24 Days | 1.8
INDIAN RARE EARTHS LIMITED | SITE EXECUTION PLANNING ESTIMATION | Ernakulam | Oct 2015 | Oct 2016 | 0 Years, 11 Months, 29 Days | 0.59</t>
  </si>
  <si>
    <t>CIA GLOCAL VENTURE LLP | SECTORIAL STUDY, STRATEGIC PLANNING, BUSINESS DEVELOPMENT  | MUMBAI | May 2022 | Jun 2022 | 7 Weeks
KNR CONSTRUCTIONS LIMITED | INPLANT TRAINING | HYDERABAD, PALAKAD | Dec 2013 | Dec 2013 | 1 Weeks
SP FOUNDATION | SITE EXECUTION PILING | ERNAKULAM | Mar 2019 | Aug 2019 | 24 Weeks</t>
  </si>
  <si>
    <t>RP21021</t>
  </si>
  <si>
    <t>NARAIN</t>
  </si>
  <si>
    <t>Shubham Narain</t>
  </si>
  <si>
    <t>SHUBHAMNARAINLKO@GMAIL.COM</t>
  </si>
  <si>
    <t>rp21021@ms.nicmar.ac.in</t>
  </si>
  <si>
    <t>9726 8171 7754</t>
  </si>
  <si>
    <t>RAKESH NARAIN</t>
  </si>
  <si>
    <t>CHIEF PHARMACIST</t>
  </si>
  <si>
    <t>SHANTI DEVI</t>
  </si>
  <si>
    <t>660/P-067,PHOOL BAG COLONY, GUDAMBA THANA,KURSI ROAD</t>
  </si>
  <si>
    <t>CAREER CONVENT COLLEGE</t>
  </si>
  <si>
    <t>LUCKNOW PUBLIC COLLEGE</t>
  </si>
  <si>
    <t>RAJ KUMAR GOEL INSTITUTE OF TECHNOLOGY</t>
  </si>
  <si>
    <t>PCS MANAGEMENT CONSULTANCY PRIVATE LIMITED | BUSINESS EXECUTIVE TRAINEE   | LUCKNOW | Apr 2022 | Jun 2022 | 8 Weeks</t>
  </si>
  <si>
    <t>RP21023</t>
  </si>
  <si>
    <t>AADYA</t>
  </si>
  <si>
    <t>Aadya Sagar</t>
  </si>
  <si>
    <t>AADYASAGAR@GMAIL.COM</t>
  </si>
  <si>
    <t>rp21023@ms.nicmar.ac.in</t>
  </si>
  <si>
    <t>08-Sep-1998</t>
  </si>
  <si>
    <t>ENGLISH,HINDI,SPANISH AND PUNABI</t>
  </si>
  <si>
    <t>8788 9982 7302</t>
  </si>
  <si>
    <t>KAMAL SAGAR</t>
  </si>
  <si>
    <t>RIMA SAGAR</t>
  </si>
  <si>
    <t>C-401, SABKA GHAR APARTMENT,PLOT NO.23 SEC-6 DWARKA</t>
  </si>
  <si>
    <t>C-401, SABKA GHAR APRTMENTS PLOTNO.23, SEC-6 DWARKA, NEW DELHI</t>
  </si>
  <si>
    <t>VENKATESHWER INTERNATIONAL SCHOOL</t>
  </si>
  <si>
    <t>VENKATESHWER INTERNTIONAL SCHOOL</t>
  </si>
  <si>
    <t>SUSHANT SCHOOL OF PLANNING AND DEVELOPEMENT</t>
  </si>
  <si>
    <t>AutoCAD,MS Office,Primavera,GIS</t>
  </si>
  <si>
    <t>HSIIDC | ASSISTANT PLANNER | PANCHKULA,HARYANA | May 2019 | Aug 2019 | 11 Weeks
SWACHH BHARAT ABHIYAN | PROJECT MANAGER | GURUGRAM,HARYANA | Jun 2018 | Aug 2018 | 12 Weeks
JS INFRASTRUCTURES | ASSISTANT PROJECT MANAGER  | GURGAON | May 2022 | Jul 2022 | 11 Weeks</t>
  </si>
  <si>
    <t>RP21024</t>
  </si>
  <si>
    <t>VEDANTI</t>
  </si>
  <si>
    <t>Vedanti Suresh Mhatre</t>
  </si>
  <si>
    <t>VEDANTEE15@GMAIL.COM</t>
  </si>
  <si>
    <t>rp21024@ms.nicmar.ac.in</t>
  </si>
  <si>
    <t>15-Sep-1994</t>
  </si>
  <si>
    <t>ENGLISH, MARATHI , HINDI, GUJRATI</t>
  </si>
  <si>
    <t>2575 2672 7007</t>
  </si>
  <si>
    <t>SURESH WAMANRAO MHATRE</t>
  </si>
  <si>
    <t>RUPA SURESH MHATRE</t>
  </si>
  <si>
    <t>24 , AMULYA ,PANDURANG GAWANDE LAYOUT , NEAR RAVINDRA NAGAR HALL, PRATAP NAGAR , NAGPUR , 440022</t>
  </si>
  <si>
    <t>401-B , CONCORD PROXIMA , LALIT ESTATE, BANER ROAD</t>
  </si>
  <si>
    <t>SOMALWAR RAMDASPETH HIGH SCHOOL</t>
  </si>
  <si>
    <t>DHARAMPETH SCIENCE COLLEGE</t>
  </si>
  <si>
    <t>SHRI MANORAMABAI MUNDLE COLLEGE OF ARCHITECTURE NAGPUR</t>
  </si>
  <si>
    <t>AutoCAD,MS Office,Primavera,REVIT, SKETCH-UP, V-RAY</t>
  </si>
  <si>
    <t>K2 ARCHITECTS | ARCHITECTURE AND PLANNING | Nagpur | Jul 2017 | Jan 2019 | 1 Years, 6 Months, 30 Days | 1.44
AI GLOBAL SOLUTIONS | ENGLISH TRAINING AND COUNSELLING  | PUNE | Jan 2021 | Sep 2021 | 0 Years, 8 Months, 19 Days | 2.4
VBT ASSOCIATES | PLANNING AND EXECUTING DEPARTMENT | MUMBAI | Feb 2019 | Oct 2022 | 3 Years, 8 Months, 11 Days | 1.92</t>
  </si>
  <si>
    <t>CBRE | MONITORING THE DAILY PROGRESS OF PROJECTS ,PROVIDING DETAILED UPDATES TO PROJECT MANAGERS ,ORGANIZING REPORTS, INVOICES, CONTRACTS, AND OTHER FINANCIAL FILES FOR EASY ACCESS PLANNING MEETINGS, ORGANIZ | PUNE, MAHARASHTRA | Jun 2022 | Aug 2022 | 9 Weeks
FREELANCING ARCHITECT | ARCHITECTURE PLANNING , INTERIOR DESIGNING , EXECUTION OF PROJECTS | NAGPUR AND BANGLORE  | Oct 2019 | Oct 2021 | 104 Weeks
U B BHATT AND ASSOCIATES | ARCHITECTURE PLANNING , INTERIOR DESIGNING , LIAISONING  | KANDIVALI , MUMBAI | Jul 2016 | Nov 2016 | 21 Weeks</t>
  </si>
  <si>
    <t>RP21025</t>
  </si>
  <si>
    <t>Priyanka Singh</t>
  </si>
  <si>
    <t>piyudg2225@gmail.com</t>
  </si>
  <si>
    <t>rp21025@ms.nicmar.ac.in</t>
  </si>
  <si>
    <t>ENGLISH, HINDI, BENGALI, MARATHI, FRENCH</t>
  </si>
  <si>
    <t>8476 3488 1338</t>
  </si>
  <si>
    <t>SURESH KUMAR SINGH</t>
  </si>
  <si>
    <t>TECHNICAL SUPERINTENDENT</t>
  </si>
  <si>
    <t>SUMITA SINGH</t>
  </si>
  <si>
    <t>UNIT NO 1, GROUNDFLOOR, PLOT NO 105, SHREE GANESH NIWAS, SECTOR 12, VASHI</t>
  </si>
  <si>
    <t>SAME AS PERMANENT</t>
  </si>
  <si>
    <t>DAYANAND ANGLO VEDIC PUBLIC SCHOOL, AIROLI</t>
  </si>
  <si>
    <t>CENTRAL BOARD OF SECONDARY EDUCATION, NAVI MUMBAI</t>
  </si>
  <si>
    <t>PILLAI COLLEGE OF ARCHITECTURE</t>
  </si>
  <si>
    <t>abhinay aggarwal interiors | designing, client handling, vendor coordination, site execution and managing    | Navi Mumbai | Aug 2019 | Feb 2021 | 1 Years, 6 Months, 23 Days | 0</t>
  </si>
  <si>
    <t>NATIONAL BUILDERS | MULTIPLE  | SANPADA  | May 2022 | Jul 2022 | 9 Weeks
PAARSHAD ASSOCIATES | DESIGNING AND SITE VISIT | DADAR (W), MUMBAI | Dec 2017 | Apr 2018 | 16 Weeks</t>
  </si>
  <si>
    <t>RP21026</t>
  </si>
  <si>
    <t>Mansi Shrivastava</t>
  </si>
  <si>
    <t>mansishrivastava22@gmail.com</t>
  </si>
  <si>
    <t>rp21026@ms.nicmar.ac.in</t>
  </si>
  <si>
    <t>2782 0614 9606</t>
  </si>
  <si>
    <t>VIJAY KUMAR SHRIVASTAVA</t>
  </si>
  <si>
    <t>VISHAKHA SHRIVASTAVA</t>
  </si>
  <si>
    <t>A-3, KASTURBA NAGAR, NEAR CHETAK BRIDGE</t>
  </si>
  <si>
    <t>A-3 KASTURBA NAGAR, NEAR CHETAK BRIDGE, BHOPAL</t>
  </si>
  <si>
    <t>ST. JOSEPH'S CO-ED SCHOOL</t>
  </si>
  <si>
    <t>ST. JOSEPHS CO-ED SCHOOL</t>
  </si>
  <si>
    <t>INDORE PROFESSIONAL STUDIES ACADEMY INDORE</t>
  </si>
  <si>
    <t>AutoCAD,MS Office,Primavera,REVIT, ARCHICAD, PHOTOSHOP, SKETCHUP, LUMION</t>
  </si>
  <si>
    <t>NEWARCH DESIGN CONSULTANTS | PROJECT PLANNING TRAINEE | BENGALURU | Apr 2022 | Jun 2022 | 9 Weeks
KUSHWAH AND KUSHWAH ARCHITECTS | ARCHITECTURAL INTERN | BHOPAL | Jun 2019 | Oct 2019 | 18 Weeks
SYNTHESIS ARCHITECTURE | ARCHITECTURAL INTERN | NEW DELHI | Dec 2019 | May 2020 | 23 Weeks</t>
  </si>
  <si>
    <t>RP21027</t>
  </si>
  <si>
    <t>VALLURI</t>
  </si>
  <si>
    <t>Rahul Valluri</t>
  </si>
  <si>
    <t>RAHULVALLURI969@GMAIL.COM</t>
  </si>
  <si>
    <t>rp21027@ms.nicmar.ac.in</t>
  </si>
  <si>
    <t>ENGLISH, HINDI, TELUGU,MALAYALAM, TAMIL.</t>
  </si>
  <si>
    <t>3761 3557 2124</t>
  </si>
  <si>
    <t>VALLURI SARAT KUMAR DORA</t>
  </si>
  <si>
    <t>VALLURI KANAKA RATNA KUMARI</t>
  </si>
  <si>
    <t>FLAT NO. - 102, SWAPNA APARTMENT, DATTA KALYANA MANDAPAM ROAD, OPP. TAMILNADU MERCANTILE BANK, GOLLAPUDI, VIJAYAWADA.</t>
  </si>
  <si>
    <t>VOWEL TECHLAN SCHOOL</t>
  </si>
  <si>
    <t>AutoCAD,MS Office,Primavera,SKECHUP, REVIT, LUMION, V-RAY, ENSCAPE, PHOTOSHOP, INDESIGN</t>
  </si>
  <si>
    <t>MAA CONSTRUCTIONS ENGINEERS AND CONTRACTORS | ROLE: PROJECT MANAGER, RESPONSIBILITIES: PROJECT PLANNING AND INITIATION, MONITORING AND EVALUATING PROJECT PERFORMANCE, ACTIVITY AND RESOURCE PLANNING, ESTIMATING THE BUDGET. | BANGALORE | Apr 2022 | Jun 2022 | 9 Weeks</t>
  </si>
  <si>
    <t>RP21028</t>
  </si>
  <si>
    <t>Mahesh Prasad</t>
  </si>
  <si>
    <t>mahesh.96prasad@gmail.com</t>
  </si>
  <si>
    <t>rp21028@ms.nicmar.ac.in</t>
  </si>
  <si>
    <t>18-Apr-1996</t>
  </si>
  <si>
    <t>ENGLISH, HINDI, TELUGU, FRENCH</t>
  </si>
  <si>
    <t>4450 6177 1452</t>
  </si>
  <si>
    <t>HARI SHANKAR PRASAD</t>
  </si>
  <si>
    <t>RENU DEVI</t>
  </si>
  <si>
    <t>32-2-5/1, BOWDRA ROAD, ALLIPURAM</t>
  </si>
  <si>
    <t>B-1303, PRIMA DOMUS, PATIL NAGAR, BALEWADI</t>
  </si>
  <si>
    <t>SRI TVS RAO SRI KRISHNA VIDYA MANDIR</t>
  </si>
  <si>
    <t>BHARATIYA VIDYA BHAVAN PUBLIC SCHOOL</t>
  </si>
  <si>
    <t>AutoCAD,MS Office,Primavera,SKETCHUP, PHOTOSHOP, LUMION, ARCHICAD, CLIMATE CONSULTANT</t>
  </si>
  <si>
    <t>THE LIFESTYLE ARCHITECTS | INTERN ARCHITECT | BANGALORE  | Jan 2020 | Mar 2020 | 9 Weeks
PAREKH ASSOCIATES | INTERN ARCHITECT | AHMEDABAD | Jul 2019 | Oct 2019 | 13 Weeks
ADROIT TECHNICAL SERVICES PRIVATE LIMITED | VALUATION | PUNE | May 2022 | Jul 2022 | 12 Weeks</t>
  </si>
  <si>
    <t>RP21029</t>
  </si>
  <si>
    <t>SHUBHI</t>
  </si>
  <si>
    <t>Shubhi Sharma</t>
  </si>
  <si>
    <t>shbhshrm4@gmail.com</t>
  </si>
  <si>
    <t>rp21029@ms.nicmar.ac.in</t>
  </si>
  <si>
    <t>28-Jun-1994</t>
  </si>
  <si>
    <t>6960 2363 8530</t>
  </si>
  <si>
    <t>VIBHA SHARMA</t>
  </si>
  <si>
    <t>1507, TOWER E, ANMOL FORTUNE, UNNAT NAGAR, GOREGAON (W)</t>
  </si>
  <si>
    <t>HOLY CROSS HIGHER SECONDARY SCHOOL, BYRON BAZAR</t>
  </si>
  <si>
    <t>Architect sandeep neena and associates | Planning, Designing, Site Visits, Preparation of working drawings, analysis, presentation and cordination with construction agency and other consultant | Raipur | Sep 2017 | Sep 2020 | 3 Years, 0 Months, 0 Days | 3.12</t>
  </si>
  <si>
    <t>ESTHETE DESIGNERS AND BUILDERS PRIVATE LIMITED | PART OF TEAM, DEVELOPING PREFABRICATED CONSTRUCTION MANAGEMENT TOOLKIT. REVIEW SITE REPORTS, BILLS, ATTENDANCE SHEET AND COMPREHEND PROJECT MANAGEMENT PROCESS. MICROSOFT PROJECT USED TO ANALYZE LGSF C | BENGALURU | Apr 2022 | Jun 2022 | 7 Weeks
BUILDKRAFFT ENGINEERING AND ARCHITECURE | CONCEPTUAL PLANNING AND DESIGNING, PREPARATION OF WORKING DRAWINGS AND PRESENATION | RAIPUR | Jan 2016 | Oct 2016 | 39 Weeks</t>
  </si>
  <si>
    <t>RP21030</t>
  </si>
  <si>
    <t>SANJU</t>
  </si>
  <si>
    <t>MON</t>
  </si>
  <si>
    <t>SHALJU</t>
  </si>
  <si>
    <t>Sanju Mon Shalju</t>
  </si>
  <si>
    <t>sanjumonshalju@gmail.com</t>
  </si>
  <si>
    <t>rp21030@ms.nicmar.ac.in</t>
  </si>
  <si>
    <t>06-May-1997</t>
  </si>
  <si>
    <t>5885 2087 6978</t>
  </si>
  <si>
    <t>SHALJU VARGHESE K</t>
  </si>
  <si>
    <t>SIBY SHALJU</t>
  </si>
  <si>
    <t>H. NO. PRA 112 , KUMARANASAN NAGAR, NEAR ST COURIER SERVICE</t>
  </si>
  <si>
    <t>SREE NARAYANA GURUKULAM COLLEGE OF ENGINEERING</t>
  </si>
  <si>
    <t>Cherian Varkey Construction Company | Site Execution | Kochi, Thrissur | Oct 2019 | Jul 2021 | 1 Years, 9 Months, 19 Days | 1.38</t>
  </si>
  <si>
    <t>TC ONE REALTORS AND DEVELOPERS | MANAGING WORKS, DISTRIBUTION OF WORKS, SUPERVISION OF WORKS, ESTIMATION OF QUANTITIES | CALICUT | Apr 2022 | Jun 2022 | 7 Weeks
BETTER BUILDERS | INTERPRETATION OF DRAWING , PREPARING BAR BENDING SCHEDULE , ALLOTTING WORK TO LABORS , SUPERVISION OF CONSTRUCTION WORK. | KOCHI | Jul 2016 | Jul 2016 | 0 Weeks</t>
  </si>
  <si>
    <t>RP21031</t>
  </si>
  <si>
    <t>REMELLA</t>
  </si>
  <si>
    <t>Shivani Remella</t>
  </si>
  <si>
    <t>SHIVANIREMELLA97@GMAIL.COM</t>
  </si>
  <si>
    <t>rp21031@ms.nicmar.ac.in</t>
  </si>
  <si>
    <t>03-Feb-1997</t>
  </si>
  <si>
    <t>6087 2623 7411</t>
  </si>
  <si>
    <t>SRINIVAS REMELLA</t>
  </si>
  <si>
    <t>INDRANI REMELLA</t>
  </si>
  <si>
    <t>FLAT 1501 TOWER E ONE NORTH APARTMENTS, MAGARPATTA CITY, HADAPSAR</t>
  </si>
  <si>
    <t>F 201 SALUNKHE VIHAR, MOHAMMMADWADI</t>
  </si>
  <si>
    <t>DELHI PUBLIC SCHOOL PUNE</t>
  </si>
  <si>
    <t>NEW ARCH DESIGN CONSULTANCY | CONTRACT AND PROJECT PROPOSALS | BANGALORE | Apr 2022 | Jun 2022 | 9 Weeks</t>
  </si>
  <si>
    <t>RP21032</t>
  </si>
  <si>
    <t>RAVICHANDRAN</t>
  </si>
  <si>
    <t>Surya Ravichandran</t>
  </si>
  <si>
    <t>surya1ayrus@gmail.com</t>
  </si>
  <si>
    <t>rp21032@ms.nicmar.ac.in</t>
  </si>
  <si>
    <t>9276 9415 7185</t>
  </si>
  <si>
    <t>RAVICHANDRAN SEENIYAPPAN</t>
  </si>
  <si>
    <t>JEYALAKSHMI RAVICHANDRAN</t>
  </si>
  <si>
    <t>26/4, MANINAGARAM 1ST STREET ARUPPUKOTTAI, VIRUDHUNAGAR DISTRICT, TAMILNADU</t>
  </si>
  <si>
    <t>26/4 MANI</t>
  </si>
  <si>
    <t>NOBLE MATRIC HIGHER SECONDARY SCHOOL</t>
  </si>
  <si>
    <t>2014-Apr-05</t>
  </si>
  <si>
    <t>2015-Apr-18</t>
  </si>
  <si>
    <t>ASVIN CONSTRUCTIONS | SITE ENGINEER | COIMBATORE  | Mar 2021 | Apr 2021 | 6 Weeks
VIKRUTI STRUCTURES | CAD DRAFTER | COIMBATORE  | Feb 2021 | Mar 2021 | 3 Weeks
SAMRUDDHI CONSTRUCTIONS | SITE ENGINEER  | BANGALORE  | Apr 2022 | Jun 2022 | 9 Weeks</t>
  </si>
  <si>
    <t>RP21033</t>
  </si>
  <si>
    <t>SAUDAMINI</t>
  </si>
  <si>
    <t>CHATTOPADHYAY</t>
  </si>
  <si>
    <t>Saudamini Chattopadhyay</t>
  </si>
  <si>
    <t>SAUDAMINICHATTOPADHYAY@GMAIL.COM</t>
  </si>
  <si>
    <t>rp21033@ms.nicmar.ac.in</t>
  </si>
  <si>
    <t>06-Aug-1990</t>
  </si>
  <si>
    <t>ENGLISH, HINDI, BENGALI, FRENCH</t>
  </si>
  <si>
    <t>4765 8299 2040</t>
  </si>
  <si>
    <t>PRADEEPTANSHU CHATTOPADHYAY</t>
  </si>
  <si>
    <t>NAVAL ARCHITECT</t>
  </si>
  <si>
    <t>SUJATA CHATTOPADHYAY</t>
  </si>
  <si>
    <t>CH 1/15, KENDRIYA VIHAR, _x000D_
KHARGHAR, SECTOR 11, NAVI MUMBAI_x000D_
RAIGAD, MAHARASHTRA 410210</t>
  </si>
  <si>
    <t>CENTRAL BOARD OF SECONDARY EDUCATION, VISAKHAPATNAM, ANDHRA PRADESH</t>
  </si>
  <si>
    <t>2004-Apr-01</t>
  </si>
  <si>
    <t>2005-May-24</t>
  </si>
  <si>
    <t>KENDRIYA VIDYALAYA BHANDUP</t>
  </si>
  <si>
    <t>CENTRAL BOARD OF SECONDARY EDUCATION, MUMBAI, MAHARASHTRA</t>
  </si>
  <si>
    <t>2007-Apr-01</t>
  </si>
  <si>
    <t>2008-May-21</t>
  </si>
  <si>
    <t>SCHOOL OF PLANNING AND ARCHITECTURE, DELHI</t>
  </si>
  <si>
    <t>2008-Jun-01</t>
  </si>
  <si>
    <t>P G PATKI ARCHITECTS | ARCHITECT | MUMBAI | Jun 2016 | Nov 2017 | 1 Years, 5 Months, 19 Days | 2.52
VIBGYOR INTERIORS | ARCHITECT | THANE | Mar 2015 | May 2016 | 1 Years, 2 Months, 16 Days | 1.8</t>
  </si>
  <si>
    <t>ARCH I PLATFORM | ASSISTANT ARCHITECT | DELHI | Jun 2013 | Dec 2013 | 29 Weeks
SPIDERGRASS COLLECTIVE | ARCHITECT | SHIMLA | Nov 2014 | Feb 2015 | 17 Weeks
CBRE | INTERN | PUNE | May 2022 | Jul 2022 | 9 Weeks</t>
  </si>
  <si>
    <t>RP21034</t>
  </si>
  <si>
    <t>SHARVIL</t>
  </si>
  <si>
    <t>PANDIT</t>
  </si>
  <si>
    <t>Sharvil Ketan Pandit</t>
  </si>
  <si>
    <t>SHARVILPANDIT@GMAIL.COM</t>
  </si>
  <si>
    <t>rp21034@ms.nicmar.ac.in</t>
  </si>
  <si>
    <t>3634 2828 4656</t>
  </si>
  <si>
    <t>KETAN DINANATH PANDIT</t>
  </si>
  <si>
    <t>LEENA KETAN PANDIT</t>
  </si>
  <si>
    <t>204- NUTAN PURNIMA, PARANJPE B SCHEME ROAD 2, HANUMAN CROSSROAD, VILE PARLE EAST, MUMBAI 400057.</t>
  </si>
  <si>
    <t>VASUDEV C. WADHWA ARYA VIDYA MANDIR</t>
  </si>
  <si>
    <t>DR BALIRAM HIRAY COLLEGE OF ARCHITECTURE</t>
  </si>
  <si>
    <t>AutoCAD,MS Office,REVIT, SKETCHUP, LUMION AND PHOTOSHOP</t>
  </si>
  <si>
    <t>NILESH BARVE AND ASSOCIATES | DESIGN, PLANNING AND CLIENT INTERACTION | ANDHERI, MUMBAI. | Dec 2019 | Mar 2020 | 15 Weeks
DURGESH PENDURKAR AND ASSOCIATES | DESIGN AND DRAFTING  | BANDRA, MUMBAI | Aug 2018 | Jun 2019 | 46 Weeks
SUNTECK REALTY LIMITED | ARCHITECTURE &amp; DESIGN | VILE PARLE EAST, MUMBAI | May 2022 | Jun 2022 | 7 Weeks</t>
  </si>
  <si>
    <t>RP21035</t>
  </si>
  <si>
    <t>APOORV</t>
  </si>
  <si>
    <t>Apoorv Anand</t>
  </si>
  <si>
    <t>APOORVANAND69@GMAIL.COM</t>
  </si>
  <si>
    <t>rp21035@ms.nicmar.ac.in</t>
  </si>
  <si>
    <t>3966 9751 3594</t>
  </si>
  <si>
    <t>VIJAY GOPAL SAINI</t>
  </si>
  <si>
    <t>ANJU SAINI</t>
  </si>
  <si>
    <t>H.NO. D-2/214, VIBHAV KHAND-2,GOMTI NAGAR</t>
  </si>
  <si>
    <t>B-1303, TRUSPACE PRIMA DOMUS, BALEWADI</t>
  </si>
  <si>
    <t>AutoCAD,MS Office,MS Project,Primavera,BASIC KNOWLEDGE OF ARGUS VALUATION DCF, ARCGIS, MICROSTATION, BIM FUNDAMENTALS</t>
  </si>
  <si>
    <t>True Earth Surveys Pvt Ltd | Graduate Engineer | Faridabad | Oct 2020 | Apr 2021 | 0 Years, 6 Months, 0 Days | 2.16</t>
  </si>
  <si>
    <t>ANAROCK | ROLE: TRANSACTION ADVISORY INTERN(LAND SERVICES) | PUNE | Apr 2022 | Jun 2022 | 8 Weeks
UTTAR PRADESH RAJKIYA NIRMAN NIGAM | SUMMER INTERN | LUCKNOW | Jul 2018 | Aug 2018 | 4 Weeks</t>
  </si>
  <si>
    <t>RP21036</t>
  </si>
  <si>
    <t>MUDIT</t>
  </si>
  <si>
    <t>Mudit Singh</t>
  </si>
  <si>
    <t>mudit746@gmail.com</t>
  </si>
  <si>
    <t>rp21036@ms.nicmar.ac.in</t>
  </si>
  <si>
    <t>9304 7307 2837</t>
  </si>
  <si>
    <t>TEJ BAHADUR SINGH</t>
  </si>
  <si>
    <t>SUSHILA SINGH</t>
  </si>
  <si>
    <t>13/380, MUNSHIPULIA, INDIRA NAGAR</t>
  </si>
  <si>
    <t>SHRI RAMSWAROOP MEMORIAL COLLEGE OF ENGINEERING AND MANAGEMENT LUCKNOW</t>
  </si>
  <si>
    <t>AutoCAD,MS Office,Primavera,ERP, AUTODESK QUANTITY TAKEOFF, REVIT ARCHITECTURE</t>
  </si>
  <si>
    <t>Shalimar Corp Pvt Ltd | Site Execution,Billing Department | Lucknow | Feb 2021 | Aug 2021 | 0 Years, 6 Months, 3 Days | 2.48</t>
  </si>
  <si>
    <t>PUBLIC WORKS DEPARTMENT | MONITORING,DATA KEEPING AND PROJECT TRACKING | LUCKNOW | Jun 2017 | Jul 2017 | 4 Weeks
SHALIMAR CORPORATION LTD | PROJECT EXECUTION &amp; COORDINATION, PLANNING &amp; BILLING | LUCKNOW | Jun 2022 | Jul 2022 | 6 Weeks</t>
  </si>
  <si>
    <t>RP21037</t>
  </si>
  <si>
    <t>Harsh Singh</t>
  </si>
  <si>
    <t>HARSH777.HS@GMAIL.COM</t>
  </si>
  <si>
    <t>rp21037@ms.nicmar.ac.in</t>
  </si>
  <si>
    <t>HINDI, ENGLISH, BENGALI</t>
  </si>
  <si>
    <t>5083 0890 9102</t>
  </si>
  <si>
    <t>RAMESH SINGH</t>
  </si>
  <si>
    <t>UMA SINGH</t>
  </si>
  <si>
    <t>6, BISHOP LEFROY ROAD</t>
  </si>
  <si>
    <t>COUNCIL FOR THE SCHOOL CERTIFICATE EXAMINATIONS</t>
  </si>
  <si>
    <t>SRI SRI ACADEMY</t>
  </si>
  <si>
    <t>TECHNO INTERNATIONAL NEW TOWN</t>
  </si>
  <si>
    <t>AutoCAD,MS Office,Primavera,STAAD.PRO, REVIT ARCHITECTURE</t>
  </si>
  <si>
    <t>GREECON INTERNATIONAL | MARKET ANALYST AND BUSINESS DEVELOPMENT | KOLKATA | Dec 2019 | Jan 2020 | 4 Weeks
PUBLIC WORKS DEPARTMENT | MONITORING AND SITE EXECUTION | KOLKATA | Dec 2020 | Jan 2021 | 4 Weeks
PERIWAL CONSTRUCTIONS LLP | SUMMER INTERN | KOLKATA | May 2022 | Jul 2022 | 8 Weeks</t>
  </si>
  <si>
    <t>RP21039</t>
  </si>
  <si>
    <t>Anirudha Pradhan</t>
  </si>
  <si>
    <t>ANIRUDHA96PRADHAN@GMAIL.COM</t>
  </si>
  <si>
    <t>rp21039@ms.nicmar.ac.in</t>
  </si>
  <si>
    <t>13-Jan-1996</t>
  </si>
  <si>
    <t>ENGLISH, HINDI, MARATHI, ODIA</t>
  </si>
  <si>
    <t>4134 2594 2373</t>
  </si>
  <si>
    <t>AJAY PRADHAN</t>
  </si>
  <si>
    <t>SHILPA PRADHAN</t>
  </si>
  <si>
    <t>NGO EMPLOYEE</t>
  </si>
  <si>
    <t>1/17, NEW PUSHPA VIHAR, SB ROAD, COLABA POST OFFICE</t>
  </si>
  <si>
    <t>CAMPION SCHOOL MUMBAI</t>
  </si>
  <si>
    <t>JAI HIND COLLEGE OF SCIENCE</t>
  </si>
  <si>
    <t>AAYOJAN SCHOOL OF ARCHITECTURE AND DESIGN</t>
  </si>
  <si>
    <t>AutoCAD,MS Office,Primavera,REVIT, SKETCHUP, LUMION, PHOTOSHOP</t>
  </si>
  <si>
    <t>ARCHITECT HAFEEZ CONTRACTOR | PLANNING AND LAYOUT DESIGN, DARTING OF GFC AND WORKING DRAWINGS, SITE VISITS AND INSPECTIONS, UPDATING DRAWINGS WITH STRUCTURAL DRAWINGS | MUMBAI | May 2018 | Nov 2018 | 24 Weeks
COLLIERS INTERNATIONAL | INDUSTRIAL AND LOGISTICS SERVICE REAL ESTATE INTERN | MUMBAI | Apr 2022 | Jun 2022 | 8 Weeks</t>
  </si>
  <si>
    <t>RP21040</t>
  </si>
  <si>
    <t>DHIRAJLAL</t>
  </si>
  <si>
    <t>SADATIYA</t>
  </si>
  <si>
    <t>Mahesh Dhirajlal Sadatiya</t>
  </si>
  <si>
    <t>MDSADATIYA@GMAIL.COM</t>
  </si>
  <si>
    <t>rp21040@ms.nicmar.ac.in</t>
  </si>
  <si>
    <t>20-Feb-2000</t>
  </si>
  <si>
    <t>7708 7832 1125</t>
  </si>
  <si>
    <t>SADATIYA DHIRAJLAL PRABHUBHAI</t>
  </si>
  <si>
    <t>SADATIYA HANSABEN DHIRAJLAL</t>
  </si>
  <si>
    <t>'SHREEKUNJ', BLOCK NO. 24,_x000D_
MARUTI NAGAR, RAVAPAR ROAD,_x000D_
MORBI, 363641.</t>
  </si>
  <si>
    <t>NIRMAL VIDHYALAYA</t>
  </si>
  <si>
    <t>GUJRAT SECONDARY &amp; HIGHER SECONDARY EDUCATION BOARD, GANDHINAGAR/GUJARAT</t>
  </si>
  <si>
    <t>INSTITUTE OF TECHNOLOGY, NIRMA UNIVERSITY, AHMEDABAD/GUJARAT</t>
  </si>
  <si>
    <t>SHREE HARI CONSTRUCTION | SITE ENGINEER | AHMEDABAD | Jan 2021 | Apr 2021 | 14 Weeks
GENSYS TECHNOLOGIES PVT LTD | PROJECT CO-ORDINATOR | PUNE | May 2022 | Jul 2022 | 8 Weeks</t>
  </si>
  <si>
    <t>RP21041</t>
  </si>
  <si>
    <t>PRASANNA ADITYA VARMA</t>
  </si>
  <si>
    <t>ALLURI</t>
  </si>
  <si>
    <t>Prasanna Aditya Varma Alluri</t>
  </si>
  <si>
    <t>ADIVARMA1103@GMAIL.COM</t>
  </si>
  <si>
    <t>rp21041@ms.nicmar.ac.in</t>
  </si>
  <si>
    <t>9474 5684 0261</t>
  </si>
  <si>
    <t>ALLURI PRASANNA HARI DATTA VARMA</t>
  </si>
  <si>
    <t>ALLURI BHAGYA LAKSHMI</t>
  </si>
  <si>
    <t>RAIN TREE PARK, MALAYSIAN TOWNSHIP, BLOCK 9, FLAT 102, KPHB COLONY, KUKATPALLY, HYDERABAD - 500085</t>
  </si>
  <si>
    <t>VIDYADHAM JUNIOR COLLEGE</t>
  </si>
  <si>
    <t>ELEMENTAL REALTY PRIVATE LIMITED |  INTERN, INVESTMENT STRATEGY &amp; FINANCE | HYDERABAD | May 2022 | Jul 2022 | 13 Weeks
VERTEX HOMES PRIVATE LIMITED |  GET, MARKET RESEARCH	 | HYDERABAD | Jul 2021 | Sep 2021 | 6 Weeks
SIDS FARM PRIVATE LIMITED | INTERN, SUPPLY CHAIN ROAD MAP | HYDERABAD | Dec 2019 | Jan 2020 | 4 Weeks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</si>
</sst>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186e8559d6d.png" TargetMode="External"/><Relationship Id="rId_hyperlink_2" Type="http://schemas.openxmlformats.org/officeDocument/2006/relationships/hyperlink" Target="https://nconnect.nicmar.ac.in/storage/profile/6a196fd27d491.png" TargetMode="External"/><Relationship Id="rId_hyperlink_3" Type="http://schemas.openxmlformats.org/officeDocument/2006/relationships/hyperlink" Target="https://nconnect.nicmar.ac.in/storage/profile/6a1ad19432c21.png" TargetMode="External"/><Relationship Id="rId_hyperlink_4" Type="http://schemas.openxmlformats.org/officeDocument/2006/relationships/hyperlink" Target="https://nconnect.nicmar.ac.in/storage/profile/6a1d16cec8cd8.png" TargetMode="External"/><Relationship Id="rId_hyperlink_5" Type="http://schemas.openxmlformats.org/officeDocument/2006/relationships/hyperlink" Target="https://nconnect.nicmar.ac.in/storage/profile/6a1d1c679672f.png" TargetMode="External"/><Relationship Id="rId_hyperlink_6" Type="http://schemas.openxmlformats.org/officeDocument/2006/relationships/hyperlink" Target="https://nconnect.nicmar.ac.in/storage/profile/6a1b1b9e21425.png" TargetMode="External"/><Relationship Id="rId_hyperlink_7" Type="http://schemas.openxmlformats.org/officeDocument/2006/relationships/hyperlink" Target="https://nconnect.nicmar.ac.in/storage/profile/6a1bc2191055c.png" TargetMode="External"/><Relationship Id="rId_hyperlink_8" Type="http://schemas.openxmlformats.org/officeDocument/2006/relationships/hyperlink" Target="https://nconnect.nicmar.ac.in/storage/profile/6a1bc683727f9.png" TargetMode="External"/><Relationship Id="rId_hyperlink_9" Type="http://schemas.openxmlformats.org/officeDocument/2006/relationships/hyperlink" Target="https://nconnect.nicmar.ac.in/storage/profile/6a1c1d386b69b.png" TargetMode="External"/><Relationship Id="rId_hyperlink_10" Type="http://schemas.openxmlformats.org/officeDocument/2006/relationships/hyperlink" Target="https://nconnect.nicmar.ac.in/storage/profile/6a1c40dde72e1.png" TargetMode="External"/><Relationship Id="rId_hyperlink_11" Type="http://schemas.openxmlformats.org/officeDocument/2006/relationships/hyperlink" Target="https://nconnect.nicmar.ac.in/storage/profile/6a1c46dc90bab.png" TargetMode="External"/><Relationship Id="rId_hyperlink_12" Type="http://schemas.openxmlformats.org/officeDocument/2006/relationships/hyperlink" Target="https://nconnect.nicmar.ac.in/storage/profile/6a1c4c4fce923.png" TargetMode="External"/><Relationship Id="rId_hyperlink_13" Type="http://schemas.openxmlformats.org/officeDocument/2006/relationships/hyperlink" Target="https://nconnect.nicmar.ac.in/storage/profile/6a1c4ef70c260.png" TargetMode="External"/><Relationship Id="rId_hyperlink_14" Type="http://schemas.openxmlformats.org/officeDocument/2006/relationships/hyperlink" Target="https://nconnect.nicmar.ac.in/storage/profile/6a8468e979da6.png" TargetMode="External"/><Relationship Id="rId_hyperlink_15" Type="http://schemas.openxmlformats.org/officeDocument/2006/relationships/hyperlink" Target="https://nconnect.nicmar.ac.in/storage/profile/6a8d52e40eea4.png" TargetMode="External"/><Relationship Id="rId_hyperlink_16" Type="http://schemas.openxmlformats.org/officeDocument/2006/relationships/hyperlink" Target="https://nconnect.nicmar.ac.in/storage/profile/6a6b587484d66.png" TargetMode="External"/><Relationship Id="rId_hyperlink_17" Type="http://schemas.openxmlformats.org/officeDocument/2006/relationships/hyperlink" Target="https://nconnect.nicmar.ac.in/storage/profile/6a86885fbbc04.png" TargetMode="External"/><Relationship Id="rId_hyperlink_18" Type="http://schemas.openxmlformats.org/officeDocument/2006/relationships/hyperlink" Target="https://nconnect.nicmar.ac.in/storage/profile/6a8e92694f505.png" TargetMode="External"/><Relationship Id="rId_hyperlink_19" Type="http://schemas.openxmlformats.org/officeDocument/2006/relationships/hyperlink" Target="https://nconnect.nicmar.ac.in/storage/profile/6a8518c1ee5f5.png" TargetMode="External"/><Relationship Id="rId_hyperlink_20" Type="http://schemas.openxmlformats.org/officeDocument/2006/relationships/hyperlink" Target="https://nconnect.nicmar.ac.in/storage/profile/6a84671bcfea9.png" TargetMode="External"/><Relationship Id="rId_hyperlink_21" Type="http://schemas.openxmlformats.org/officeDocument/2006/relationships/hyperlink" Target="https://nconnect.nicmar.ac.in/storage/profile/6a84bdbae0402.png" TargetMode="External"/><Relationship Id="rId_hyperlink_22" Type="http://schemas.openxmlformats.org/officeDocument/2006/relationships/hyperlink" Target="https://nconnect.nicmar.ac.in/storage/profile/6a8dcf890c6ef.png" TargetMode="External"/><Relationship Id="rId_hyperlink_23" Type="http://schemas.openxmlformats.org/officeDocument/2006/relationships/hyperlink" Target="https://nconnect.nicmar.ac.in/storage/profile/6a84671b39483.png" TargetMode="External"/><Relationship Id="rId_hyperlink_24" Type="http://schemas.openxmlformats.org/officeDocument/2006/relationships/hyperlink" Target="https://nconnect.nicmar.ac.in/storage/profile/ProfilePhoto_P25700112_517384.jpg" TargetMode="External"/><Relationship Id="rId_hyperlink_25" Type="http://schemas.openxmlformats.org/officeDocument/2006/relationships/hyperlink" Target="https://nconnect.nicmar.ac.in/storage/profile/6a84a159d4198.png" TargetMode="External"/><Relationship Id="rId_hyperlink_26" Type="http://schemas.openxmlformats.org/officeDocument/2006/relationships/hyperlink" Target="https://nconnect.nicmar.ac.in/storage/profile/6a84a1a5e415f.png" TargetMode="External"/><Relationship Id="rId_hyperlink_27" Type="http://schemas.openxmlformats.org/officeDocument/2006/relationships/hyperlink" Target="https://nconnect.nicmar.ac.in/storage/profile/6a658926a6983.png" TargetMode="External"/><Relationship Id="rId_hyperlink_28" Type="http://schemas.openxmlformats.org/officeDocument/2006/relationships/hyperlink" Target="https://nconnect.nicmar.ac.in/storage/profile/ProfilePhoto_P25700001_756293.jpg" TargetMode="External"/><Relationship Id="rId_hyperlink_29" Type="http://schemas.openxmlformats.org/officeDocument/2006/relationships/hyperlink" Target="https://nconnect.nicmar.ac.in/storage/profile/ProfilePhoto_P25700002_549178.jpg" TargetMode="External"/><Relationship Id="rId_hyperlink_30" Type="http://schemas.openxmlformats.org/officeDocument/2006/relationships/hyperlink" Target="https://nconnect.nicmar.ac.in/storage/profile/ProfilePhoto_P25700004_129356.jpg" TargetMode="External"/><Relationship Id="rId_hyperlink_31" Type="http://schemas.openxmlformats.org/officeDocument/2006/relationships/hyperlink" Target="https://nconnect.nicmar.ac.in/storage/profile/ProfilePhoto_P25700005_154637.jpg" TargetMode="External"/><Relationship Id="rId_hyperlink_32" Type="http://schemas.openxmlformats.org/officeDocument/2006/relationships/hyperlink" Target="https://nconnect.nicmar.ac.in/storage/profile/ProfilePhoto_P25700006_264513.jpg" TargetMode="External"/><Relationship Id="rId_hyperlink_33" Type="http://schemas.openxmlformats.org/officeDocument/2006/relationships/hyperlink" Target="https://nconnect.nicmar.ac.in/storage/profile/ProfilePhoto_P25700007_897142.jpg" TargetMode="External"/><Relationship Id="rId_hyperlink_34" Type="http://schemas.openxmlformats.org/officeDocument/2006/relationships/hyperlink" Target="https://nconnect.nicmar.ac.in/storage/profile/ProfilePhoto_P25700008_976184.jpg" TargetMode="External"/><Relationship Id="rId_hyperlink_35" Type="http://schemas.openxmlformats.org/officeDocument/2006/relationships/hyperlink" Target="https://nconnect.nicmar.ac.in/storage/profile/ProfilePhoto_P25700009_213976.jpg" TargetMode="External"/><Relationship Id="rId_hyperlink_36" Type="http://schemas.openxmlformats.org/officeDocument/2006/relationships/hyperlink" Target="https://nconnect.nicmar.ac.in/storage/profile/ProfilePhoto_P25700010_176259.jpg" TargetMode="External"/><Relationship Id="rId_hyperlink_37" Type="http://schemas.openxmlformats.org/officeDocument/2006/relationships/hyperlink" Target="https://nconnect.nicmar.ac.in/storage/profile/ProfilePhoto_P25700011_739251.jpg" TargetMode="External"/><Relationship Id="rId_hyperlink_38" Type="http://schemas.openxmlformats.org/officeDocument/2006/relationships/hyperlink" Target="https://nconnect.nicmar.ac.in/storage/profile/ProfilePhoto_P25700012_849315.jpg" TargetMode="External"/><Relationship Id="rId_hyperlink_39" Type="http://schemas.openxmlformats.org/officeDocument/2006/relationships/hyperlink" Target="https://nconnect.nicmar.ac.in/storage/profile/ProfilePhoto_P25700013_135872.jpg" TargetMode="External"/><Relationship Id="rId_hyperlink_40" Type="http://schemas.openxmlformats.org/officeDocument/2006/relationships/hyperlink" Target="https://nconnect.nicmar.ac.in/storage/profile/ProfilePhoto_P25700014_935186.jpg" TargetMode="External"/><Relationship Id="rId_hyperlink_41" Type="http://schemas.openxmlformats.org/officeDocument/2006/relationships/hyperlink" Target="https://nconnect.nicmar.ac.in/storage/profile/ProfilePhoto_P25700015_562978.jpg" TargetMode="External"/><Relationship Id="rId_hyperlink_42" Type="http://schemas.openxmlformats.org/officeDocument/2006/relationships/hyperlink" Target="https://nconnect.nicmar.ac.in/storage/profile/ProfilePhoto_P25700016_175486.jpg" TargetMode="External"/><Relationship Id="rId_hyperlink_43" Type="http://schemas.openxmlformats.org/officeDocument/2006/relationships/hyperlink" Target="https://nconnect.nicmar.ac.in/storage/profile/ProfilePhoto_P25700017_325687.jpg" TargetMode="External"/><Relationship Id="rId_hyperlink_44" Type="http://schemas.openxmlformats.org/officeDocument/2006/relationships/hyperlink" Target="https://nconnect.nicmar.ac.in/storage/profile/ProfilePhoto_P25700018_349268.jpg" TargetMode="External"/><Relationship Id="rId_hyperlink_45" Type="http://schemas.openxmlformats.org/officeDocument/2006/relationships/hyperlink" Target="https://nconnect.nicmar.ac.in/storage/profile/ProfilePhoto_P25700019_693821.jpg" TargetMode="External"/><Relationship Id="rId_hyperlink_46" Type="http://schemas.openxmlformats.org/officeDocument/2006/relationships/hyperlink" Target="https://nconnect.nicmar.ac.in/storage/profile/ProfilePhoto_P25700020_954273.jpg" TargetMode="External"/><Relationship Id="rId_hyperlink_47" Type="http://schemas.openxmlformats.org/officeDocument/2006/relationships/hyperlink" Target="https://nconnect.nicmar.ac.in/storage/profile/ProfilePhoto_P25700021_349526.jpg" TargetMode="External"/><Relationship Id="rId_hyperlink_48" Type="http://schemas.openxmlformats.org/officeDocument/2006/relationships/hyperlink" Target="https://nconnect.nicmar.ac.in/storage/profile/ProfilePhoto_P25700022_164257.jpg" TargetMode="External"/><Relationship Id="rId_hyperlink_49" Type="http://schemas.openxmlformats.org/officeDocument/2006/relationships/hyperlink" Target="https://nconnect.nicmar.ac.in/storage/profile/ProfilePhoto_P25700023_836724.jpg" TargetMode="External"/><Relationship Id="rId_hyperlink_50" Type="http://schemas.openxmlformats.org/officeDocument/2006/relationships/hyperlink" Target="https://nconnect.nicmar.ac.in/storage/profile/ProfilePhoto_P25700024_183579.jpg" TargetMode="External"/><Relationship Id="rId_hyperlink_51" Type="http://schemas.openxmlformats.org/officeDocument/2006/relationships/hyperlink" Target="https://nconnect.nicmar.ac.in/storage/profile/ProfilePhoto_P25700026_164829.jpg" TargetMode="External"/><Relationship Id="rId_hyperlink_52" Type="http://schemas.openxmlformats.org/officeDocument/2006/relationships/hyperlink" Target="https://nconnect.nicmar.ac.in/storage/profile/ProfilePhoto_P25700027_837251.jpg" TargetMode="External"/><Relationship Id="rId_hyperlink_53" Type="http://schemas.openxmlformats.org/officeDocument/2006/relationships/hyperlink" Target="https://nconnect.nicmar.ac.in/storage/profile/ProfilePhoto_P25700029_659732.jpg" TargetMode="External"/><Relationship Id="rId_hyperlink_54" Type="http://schemas.openxmlformats.org/officeDocument/2006/relationships/hyperlink" Target="https://nconnect.nicmar.ac.in/storage/profile/ProfilePhoto_P25700030_527831.jpg" TargetMode="External"/><Relationship Id="rId_hyperlink_55" Type="http://schemas.openxmlformats.org/officeDocument/2006/relationships/hyperlink" Target="https://nconnect.nicmar.ac.in/storage/profile/ProfilePhoto_P25700032_169785.jpg" TargetMode="External"/><Relationship Id="rId_hyperlink_56" Type="http://schemas.openxmlformats.org/officeDocument/2006/relationships/hyperlink" Target="https://nconnect.nicmar.ac.in/storage/profile/ProfilePhoto_P25700033_798215.jpg" TargetMode="External"/><Relationship Id="rId_hyperlink_57" Type="http://schemas.openxmlformats.org/officeDocument/2006/relationships/hyperlink" Target="https://nconnect.nicmar.ac.in/storage/profile/ProfilePhoto_P25700034_597426.jpg" TargetMode="External"/><Relationship Id="rId_hyperlink_58" Type="http://schemas.openxmlformats.org/officeDocument/2006/relationships/hyperlink" Target="https://nconnect.nicmar.ac.in/storage/profile/ProfilePhoto_P25700035_724139.jpg" TargetMode="External"/><Relationship Id="rId_hyperlink_59" Type="http://schemas.openxmlformats.org/officeDocument/2006/relationships/hyperlink" Target="https://nconnect.nicmar.ac.in/storage/profile/ProfilePhoto_P25700036_987541.jpg" TargetMode="External"/><Relationship Id="rId_hyperlink_60" Type="http://schemas.openxmlformats.org/officeDocument/2006/relationships/hyperlink" Target="https://nconnect.nicmar.ac.in/storage/profile/ProfilePhoto_P25700037_381245.jpg" TargetMode="External"/><Relationship Id="rId_hyperlink_61" Type="http://schemas.openxmlformats.org/officeDocument/2006/relationships/hyperlink" Target="https://nconnect.nicmar.ac.in/storage/profile/ProfilePhoto_P25700038_471395.jpg" TargetMode="External"/><Relationship Id="rId_hyperlink_62" Type="http://schemas.openxmlformats.org/officeDocument/2006/relationships/hyperlink" Target="https://nconnect.nicmar.ac.in/storage/profile/ProfilePhoto_P25700039_852764.jpg" TargetMode="External"/><Relationship Id="rId_hyperlink_63" Type="http://schemas.openxmlformats.org/officeDocument/2006/relationships/hyperlink" Target="https://nconnect.nicmar.ac.in/storage/profile/ProfilePhoto_P25700041_954768.jpg" TargetMode="External"/><Relationship Id="rId_hyperlink_64" Type="http://schemas.openxmlformats.org/officeDocument/2006/relationships/hyperlink" Target="https://nconnect.nicmar.ac.in/storage/profile/ProfilePhoto_P25700042_851493.jpg" TargetMode="External"/><Relationship Id="rId_hyperlink_65" Type="http://schemas.openxmlformats.org/officeDocument/2006/relationships/hyperlink" Target="https://nconnect.nicmar.ac.in/storage/profile/ProfilePhoto_P25700043_197362.jpg" TargetMode="External"/><Relationship Id="rId_hyperlink_66" Type="http://schemas.openxmlformats.org/officeDocument/2006/relationships/hyperlink" Target="https://nconnect.nicmar.ac.in/storage/profile/ProfilePhoto_P25700044_489275.jpg" TargetMode="External"/><Relationship Id="rId_hyperlink_67" Type="http://schemas.openxmlformats.org/officeDocument/2006/relationships/hyperlink" Target="https://nconnect.nicmar.ac.in/storage/profile/ProfilePhoto_P25700045_159487.jpg" TargetMode="External"/><Relationship Id="rId_hyperlink_68" Type="http://schemas.openxmlformats.org/officeDocument/2006/relationships/hyperlink" Target="https://nconnect.nicmar.ac.in/storage/profile/ProfilePhoto_P25700046_792813.jpg" TargetMode="External"/><Relationship Id="rId_hyperlink_69" Type="http://schemas.openxmlformats.org/officeDocument/2006/relationships/hyperlink" Target="https://nconnect.nicmar.ac.in/storage/profile/6a64976dc8482.png" TargetMode="External"/><Relationship Id="rId_hyperlink_70" Type="http://schemas.openxmlformats.org/officeDocument/2006/relationships/hyperlink" Target="https://nconnect.nicmar.ac.in/storage/profile/ProfilePhoto_P25700049_267981.jpg" TargetMode="External"/><Relationship Id="rId_hyperlink_71" Type="http://schemas.openxmlformats.org/officeDocument/2006/relationships/hyperlink" Target="https://nconnect.nicmar.ac.in/storage/profile/ProfilePhoto_P25700050_627491.jpg" TargetMode="External"/><Relationship Id="rId_hyperlink_72" Type="http://schemas.openxmlformats.org/officeDocument/2006/relationships/hyperlink" Target="https://nconnect.nicmar.ac.in/storage/profile/ProfilePhoto_P25700051_624359.jpg" TargetMode="External"/><Relationship Id="rId_hyperlink_73" Type="http://schemas.openxmlformats.org/officeDocument/2006/relationships/hyperlink" Target="https://nconnect.nicmar.ac.in/storage/profile/ProfilePhoto_P25700052_698342.jpg" TargetMode="External"/><Relationship Id="rId_hyperlink_74" Type="http://schemas.openxmlformats.org/officeDocument/2006/relationships/hyperlink" Target="https://nconnect.nicmar.ac.in/storage/profile/ProfilePhoto_P25700054_125897.jpg" TargetMode="External"/><Relationship Id="rId_hyperlink_75" Type="http://schemas.openxmlformats.org/officeDocument/2006/relationships/hyperlink" Target="https://nconnect.nicmar.ac.in/storage/profile/ProfilePhoto_P25700055_381546.jpg" TargetMode="External"/><Relationship Id="rId_hyperlink_76" Type="http://schemas.openxmlformats.org/officeDocument/2006/relationships/hyperlink" Target="https://nconnect.nicmar.ac.in/storage/profile/ProfilePhoto_P25700056_462197.jpg" TargetMode="External"/><Relationship Id="rId_hyperlink_77" Type="http://schemas.openxmlformats.org/officeDocument/2006/relationships/hyperlink" Target="https://nconnect.nicmar.ac.in/storage/profile/ProfilePhoto_P25700057_983714.jpg" TargetMode="External"/><Relationship Id="rId_hyperlink_78" Type="http://schemas.openxmlformats.org/officeDocument/2006/relationships/hyperlink" Target="https://nconnect.nicmar.ac.in/storage/profile/ProfilePhoto_P25700058_548397.jpg" TargetMode="External"/><Relationship Id="rId_hyperlink_79" Type="http://schemas.openxmlformats.org/officeDocument/2006/relationships/hyperlink" Target="https://nconnect.nicmar.ac.in/storage/profile/ProfilePhoto_P25700059_679482.jpg" TargetMode="External"/><Relationship Id="rId_hyperlink_80" Type="http://schemas.openxmlformats.org/officeDocument/2006/relationships/hyperlink" Target="https://nconnect.nicmar.ac.in/storage/profile/ProfilePhoto_P25700060_469738.jpg" TargetMode="External"/><Relationship Id="rId_hyperlink_81" Type="http://schemas.openxmlformats.org/officeDocument/2006/relationships/hyperlink" Target="https://nconnect.nicmar.ac.in/storage/profile/ProfilePhoto_P25700061_348925.jpg" TargetMode="External"/><Relationship Id="rId_hyperlink_82" Type="http://schemas.openxmlformats.org/officeDocument/2006/relationships/hyperlink" Target="https://nconnect.nicmar.ac.in/storage/profile/ProfilePhoto_P25700063_819562.jpg" TargetMode="External"/><Relationship Id="rId_hyperlink_83" Type="http://schemas.openxmlformats.org/officeDocument/2006/relationships/hyperlink" Target="https://nconnect.nicmar.ac.in/storage/profile/ProfilePhoto_P25700064_658724.jpg" TargetMode="External"/><Relationship Id="rId_hyperlink_84" Type="http://schemas.openxmlformats.org/officeDocument/2006/relationships/hyperlink" Target="https://nconnect.nicmar.ac.in/storage/profile/ProfilePhoto_P25700065_754213.jpg" TargetMode="External"/><Relationship Id="rId_hyperlink_85" Type="http://schemas.openxmlformats.org/officeDocument/2006/relationships/hyperlink" Target="https://nconnect.nicmar.ac.in/storage/profile/ProfilePhoto_P25700066_218945.jpg" TargetMode="External"/><Relationship Id="rId_hyperlink_86" Type="http://schemas.openxmlformats.org/officeDocument/2006/relationships/hyperlink" Target="https://nconnect.nicmar.ac.in/storage/profile/ProfilePhoto_P25700067_296354.jpg" TargetMode="External"/><Relationship Id="rId_hyperlink_87" Type="http://schemas.openxmlformats.org/officeDocument/2006/relationships/hyperlink" Target="https://nconnect.nicmar.ac.in/storage/profile/ProfilePhoto_P25700068_416927.jpg" TargetMode="External"/><Relationship Id="rId_hyperlink_88" Type="http://schemas.openxmlformats.org/officeDocument/2006/relationships/hyperlink" Target="https://nconnect.nicmar.ac.in/storage/profile/ProfilePhoto_P25700069_452369.jpg" TargetMode="External"/><Relationship Id="rId_hyperlink_89" Type="http://schemas.openxmlformats.org/officeDocument/2006/relationships/hyperlink" Target="https://nconnect.nicmar.ac.in/storage/profile/ProfilePhoto_P25700070_589147.jpg" TargetMode="External"/><Relationship Id="rId_hyperlink_90" Type="http://schemas.openxmlformats.org/officeDocument/2006/relationships/hyperlink" Target="https://nconnect.nicmar.ac.in/storage/profile/ProfilePhoto_P25700071_679325.jpg" TargetMode="External"/><Relationship Id="rId_hyperlink_91" Type="http://schemas.openxmlformats.org/officeDocument/2006/relationships/hyperlink" Target="https://nconnect.nicmar.ac.in/storage/profile/ProfilePhoto_P25700072_317845.jpg" TargetMode="External"/><Relationship Id="rId_hyperlink_92" Type="http://schemas.openxmlformats.org/officeDocument/2006/relationships/hyperlink" Target="https://nconnect.nicmar.ac.in/storage/profile/ProfilePhoto_P25700073_752198.jpg" TargetMode="External"/><Relationship Id="rId_hyperlink_93" Type="http://schemas.openxmlformats.org/officeDocument/2006/relationships/hyperlink" Target="https://nconnect.nicmar.ac.in/storage/profile/6a69ea2cd59b5.png" TargetMode="External"/><Relationship Id="rId_hyperlink_94" Type="http://schemas.openxmlformats.org/officeDocument/2006/relationships/hyperlink" Target="https://nconnect.nicmar.ac.in/storage/profile/ProfilePhoto_P25700075_647825.jpg" TargetMode="External"/><Relationship Id="rId_hyperlink_95" Type="http://schemas.openxmlformats.org/officeDocument/2006/relationships/hyperlink" Target="https://nconnect.nicmar.ac.in/storage/profile/ProfilePhoto_P25700076_896241.jpg" TargetMode="External"/><Relationship Id="rId_hyperlink_96" Type="http://schemas.openxmlformats.org/officeDocument/2006/relationships/hyperlink" Target="https://nconnect.nicmar.ac.in/storage/profile/ProfilePhoto_P25700077_256193.jpg" TargetMode="External"/><Relationship Id="rId_hyperlink_97" Type="http://schemas.openxmlformats.org/officeDocument/2006/relationships/hyperlink" Target="https://nconnect.nicmar.ac.in/storage/profile/ProfilePhoto_P25700078_578396.jpg" TargetMode="External"/><Relationship Id="rId_hyperlink_98" Type="http://schemas.openxmlformats.org/officeDocument/2006/relationships/hyperlink" Target="https://nconnect.nicmar.ac.in/storage/profile/ProfilePhoto_P25700079_752381.jpg" TargetMode="External"/><Relationship Id="rId_hyperlink_99" Type="http://schemas.openxmlformats.org/officeDocument/2006/relationships/hyperlink" Target="https://nconnect.nicmar.ac.in/storage/profile/ProfilePhoto_P25700080_357284.jpg" TargetMode="External"/><Relationship Id="rId_hyperlink_100" Type="http://schemas.openxmlformats.org/officeDocument/2006/relationships/hyperlink" Target="https://nconnect.nicmar.ac.in/storage/profile/ProfilePhoto_P25700081_978456.jpg" TargetMode="External"/><Relationship Id="rId_hyperlink_101" Type="http://schemas.openxmlformats.org/officeDocument/2006/relationships/hyperlink" Target="https://nconnect.nicmar.ac.in/storage/profile/ProfilePhoto_P25700082_853691.jpg" TargetMode="External"/><Relationship Id="rId_hyperlink_102" Type="http://schemas.openxmlformats.org/officeDocument/2006/relationships/hyperlink" Target="https://nconnect.nicmar.ac.in/storage/profile/ProfilePhoto_P25700083_543168.jpg" TargetMode="External"/><Relationship Id="rId_hyperlink_103" Type="http://schemas.openxmlformats.org/officeDocument/2006/relationships/hyperlink" Target="https://nconnect.nicmar.ac.in/storage/profile/ProfilePhoto_P25700084_671924.jpg" TargetMode="External"/><Relationship Id="rId_hyperlink_104" Type="http://schemas.openxmlformats.org/officeDocument/2006/relationships/hyperlink" Target="https://nconnect.nicmar.ac.in/storage/profile/ProfilePhoto_P25700086_943578.jpg" TargetMode="External"/><Relationship Id="rId_hyperlink_105" Type="http://schemas.openxmlformats.org/officeDocument/2006/relationships/hyperlink" Target="https://nconnect.nicmar.ac.in/storage/profile/ProfilePhoto_P25700087_527389.jpg" TargetMode="External"/><Relationship Id="rId_hyperlink_106" Type="http://schemas.openxmlformats.org/officeDocument/2006/relationships/hyperlink" Target="https://nconnect.nicmar.ac.in/storage/profile/ProfilePhoto_P25700088_736859.jpg" TargetMode="External"/><Relationship Id="rId_hyperlink_107" Type="http://schemas.openxmlformats.org/officeDocument/2006/relationships/hyperlink" Target="https://nconnect.nicmar.ac.in/storage/profile/ProfilePhoto_P25700089_931658.jpg" TargetMode="External"/><Relationship Id="rId_hyperlink_108" Type="http://schemas.openxmlformats.org/officeDocument/2006/relationships/hyperlink" Target="https://nconnect.nicmar.ac.in/storage/profile/ProfilePhoto_P25700090_678295.jpg" TargetMode="External"/><Relationship Id="rId_hyperlink_109" Type="http://schemas.openxmlformats.org/officeDocument/2006/relationships/hyperlink" Target="https://nconnect.nicmar.ac.in/storage/profile/ProfilePhoto_P25700091_861592.jpg" TargetMode="External"/><Relationship Id="rId_hyperlink_110" Type="http://schemas.openxmlformats.org/officeDocument/2006/relationships/hyperlink" Target="https://nconnect.nicmar.ac.in/storage/profile/ProfilePhoto_P25700092_346187.jpg" TargetMode="External"/><Relationship Id="rId_hyperlink_111" Type="http://schemas.openxmlformats.org/officeDocument/2006/relationships/hyperlink" Target="https://nconnect.nicmar.ac.in/storage/profile/6a69f840ceab4.png" TargetMode="External"/><Relationship Id="rId_hyperlink_112" Type="http://schemas.openxmlformats.org/officeDocument/2006/relationships/hyperlink" Target="https://nconnect.nicmar.ac.in/storage/profile/ProfilePhoto_P25700094_172359.jpg" TargetMode="External"/><Relationship Id="rId_hyperlink_113" Type="http://schemas.openxmlformats.org/officeDocument/2006/relationships/hyperlink" Target="https://nconnect.nicmar.ac.in/storage/profile/ProfilePhoto_P25700095_258476.jpg" TargetMode="External"/><Relationship Id="rId_hyperlink_114" Type="http://schemas.openxmlformats.org/officeDocument/2006/relationships/hyperlink" Target="https://nconnect.nicmar.ac.in/storage/profile/6a665bbd8e653.png" TargetMode="External"/><Relationship Id="rId_hyperlink_115" Type="http://schemas.openxmlformats.org/officeDocument/2006/relationships/hyperlink" Target="https://nconnect.nicmar.ac.in/storage/profile/ProfilePhoto_P25700098_621459.jpg" TargetMode="External"/><Relationship Id="rId_hyperlink_116" Type="http://schemas.openxmlformats.org/officeDocument/2006/relationships/hyperlink" Target="https://nconnect.nicmar.ac.in/storage/profile/ProfilePhoto_P25700099_561739.jpg" TargetMode="External"/><Relationship Id="rId_hyperlink_117" Type="http://schemas.openxmlformats.org/officeDocument/2006/relationships/hyperlink" Target="https://nconnect.nicmar.ac.in/storage/profile/ProfilePhoto_P25700100_631259.jpg" TargetMode="External"/><Relationship Id="rId_hyperlink_118" Type="http://schemas.openxmlformats.org/officeDocument/2006/relationships/hyperlink" Target="https://nconnect.nicmar.ac.in/storage/profile/ProfilePhoto_P25700101_136785.jpg" TargetMode="External"/><Relationship Id="rId_hyperlink_119" Type="http://schemas.openxmlformats.org/officeDocument/2006/relationships/hyperlink" Target="https://nconnect.nicmar.ac.in/storage/profile/ProfilePhoto_P25700103_548732.jpg" TargetMode="External"/><Relationship Id="rId_hyperlink_120" Type="http://schemas.openxmlformats.org/officeDocument/2006/relationships/hyperlink" Target="https://nconnect.nicmar.ac.in/storage/profile/ProfilePhoto_P25700104_637154.jpg" TargetMode="External"/><Relationship Id="rId_hyperlink_121" Type="http://schemas.openxmlformats.org/officeDocument/2006/relationships/hyperlink" Target="https://nconnect.nicmar.ac.in/storage/profile/ProfilePhoto_P25700105_329654.jpg" TargetMode="External"/><Relationship Id="rId_hyperlink_122" Type="http://schemas.openxmlformats.org/officeDocument/2006/relationships/hyperlink" Target="https://nconnect.nicmar.ac.in/storage/profile/ProfilePhoto_P25700106_635142.jpg" TargetMode="External"/><Relationship Id="rId_hyperlink_123" Type="http://schemas.openxmlformats.org/officeDocument/2006/relationships/hyperlink" Target="https://nconnect.nicmar.ac.in/storage/profile/ProfilePhoto_P25700107_215674.jpg" TargetMode="External"/><Relationship Id="rId_hyperlink_124" Type="http://schemas.openxmlformats.org/officeDocument/2006/relationships/hyperlink" Target="https://nconnect.nicmar.ac.in/storage/profile/ProfilePhoto_P25700108_352764.jpg" TargetMode="External"/><Relationship Id="rId_hyperlink_125" Type="http://schemas.openxmlformats.org/officeDocument/2006/relationships/hyperlink" Target="https://nconnect.nicmar.ac.in/storage/profile/ProfilePhoto_P25700109_129586.jpg" TargetMode="External"/><Relationship Id="rId_hyperlink_126" Type="http://schemas.openxmlformats.org/officeDocument/2006/relationships/hyperlink" Target="https://nconnect.nicmar.ac.in/storage/profile/ProfilePhoto_P25700110_587169.jpg" TargetMode="External"/><Relationship Id="rId_hyperlink_127" Type="http://schemas.openxmlformats.org/officeDocument/2006/relationships/hyperlink" Target="https://nconnect.nicmar.ac.in/storage/profile/ProfilePhoto_P25700111_718243.jpg" TargetMode="External"/><Relationship Id="rId_hyperlink_128" Type="http://schemas.openxmlformats.org/officeDocument/2006/relationships/hyperlink" Target="https://nconnect.nicmar.ac.in/storage/profile/ProfilePhoto_P25700113_721496.jpg" TargetMode="External"/><Relationship Id="rId_hyperlink_129" Type="http://schemas.openxmlformats.org/officeDocument/2006/relationships/hyperlink" Target="https://nconnect.nicmar.ac.in/storage/profile/ProfilePhoto_P25700114_648312.jpg" TargetMode="External"/><Relationship Id="rId_hyperlink_130" Type="http://schemas.openxmlformats.org/officeDocument/2006/relationships/hyperlink" Target="https://nconnect.nicmar.ac.in/storage/profile/ProfilePhoto_P25700116_731254.jpg" TargetMode="External"/><Relationship Id="rId_hyperlink_131" Type="http://schemas.openxmlformats.org/officeDocument/2006/relationships/hyperlink" Target="https://nconnect.nicmar.ac.in/storage/profile/ProfilePhoto_P25700117_189624.jpg" TargetMode="External"/><Relationship Id="rId_hyperlink_132" Type="http://schemas.openxmlformats.org/officeDocument/2006/relationships/hyperlink" Target="https://nconnect.nicmar.ac.in/storage/profile/ProfilePhoto_P25700118_148736.jpg" TargetMode="External"/><Relationship Id="rId_hyperlink_133" Type="http://schemas.openxmlformats.org/officeDocument/2006/relationships/hyperlink" Target="https://nconnect.nicmar.ac.in/storage/profile/ProfilePhoto_P25700119_915374.jpg" TargetMode="External"/><Relationship Id="rId_hyperlink_134" Type="http://schemas.openxmlformats.org/officeDocument/2006/relationships/hyperlink" Target="https://nconnect.nicmar.ac.in/storage/profile/ProfilePhoto_P25700121_694527.jpg" TargetMode="External"/><Relationship Id="rId_hyperlink_135" Type="http://schemas.openxmlformats.org/officeDocument/2006/relationships/hyperlink" Target="https://nconnect.nicmar.ac.in/storage/profile/ProfilePhoto_P25700122_231978.jpg" TargetMode="External"/><Relationship Id="rId_hyperlink_136" Type="http://schemas.openxmlformats.org/officeDocument/2006/relationships/hyperlink" Target="https://nconnect.nicmar.ac.in/storage/profile/ProfilePhoto_P25700123_419637.jpg" TargetMode="External"/><Relationship Id="rId_hyperlink_137" Type="http://schemas.openxmlformats.org/officeDocument/2006/relationships/hyperlink" Target="https://nconnect.nicmar.ac.in/storage/profile/ProfilePhoto_P25700124_567432.jpg" TargetMode="External"/><Relationship Id="rId_hyperlink_138" Type="http://schemas.openxmlformats.org/officeDocument/2006/relationships/hyperlink" Target="https://nconnect.nicmar.ac.in/storage/profile/ProfilePhoto_P25700125_234987.jpg" TargetMode="External"/><Relationship Id="rId_hyperlink_139" Type="http://schemas.openxmlformats.org/officeDocument/2006/relationships/hyperlink" Target="https://nconnect.nicmar.ac.in/storage/profile/ProfilePhoto_P25700126_934175.jpg" TargetMode="External"/><Relationship Id="rId_hyperlink_140" Type="http://schemas.openxmlformats.org/officeDocument/2006/relationships/hyperlink" Target="https://nconnect.nicmar.ac.in/storage/profile/ProfilePhoto_P25700127_184296.jpg" TargetMode="External"/><Relationship Id="rId_hyperlink_141" Type="http://schemas.openxmlformats.org/officeDocument/2006/relationships/hyperlink" Target="https://nconnect.nicmar.ac.in/storage/profile/ProfilePhoto_P25700128_169427.jpg" TargetMode="External"/><Relationship Id="rId_hyperlink_142" Type="http://schemas.openxmlformats.org/officeDocument/2006/relationships/hyperlink" Target="https://nconnect.nicmar.ac.in/storage/profile/ProfilePhoto_P25700129_792154.jpg" TargetMode="External"/><Relationship Id="rId_hyperlink_143" Type="http://schemas.openxmlformats.org/officeDocument/2006/relationships/hyperlink" Target="https://nconnect.nicmar.ac.in/storage/profile/ProfilePhoto_P25700130_468259.jpg" TargetMode="External"/><Relationship Id="rId_hyperlink_144" Type="http://schemas.openxmlformats.org/officeDocument/2006/relationships/hyperlink" Target="https://nconnect.nicmar.ac.in/storage/profile/ProfilePhoto_P25700131_136529.jpg" TargetMode="External"/><Relationship Id="rId_hyperlink_145" Type="http://schemas.openxmlformats.org/officeDocument/2006/relationships/hyperlink" Target="https://nconnect.nicmar.ac.in/storage/profile/ProfilePhoto_P25700132_591768.jpg" TargetMode="External"/><Relationship Id="rId_hyperlink_146" Type="http://schemas.openxmlformats.org/officeDocument/2006/relationships/hyperlink" Target="https://nconnect.nicmar.ac.in/storage/profile/ProfilePhoto_P25700133_325479.jpg" TargetMode="External"/><Relationship Id="rId_hyperlink_147" Type="http://schemas.openxmlformats.org/officeDocument/2006/relationships/hyperlink" Target="https://nconnect.nicmar.ac.in/storage/profile/ProfilePhoto_P25700134_358914.jpg" TargetMode="External"/><Relationship Id="rId_hyperlink_148" Type="http://schemas.openxmlformats.org/officeDocument/2006/relationships/hyperlink" Target="https://nconnect.nicmar.ac.in/storage/profile/ProfilePhoto_P25700135_792418.jpg" TargetMode="External"/><Relationship Id="rId_hyperlink_149" Type="http://schemas.openxmlformats.org/officeDocument/2006/relationships/hyperlink" Target="https://nconnect.nicmar.ac.in/storage/profile/ProfilePhoto_P25700136_196742.jpg" TargetMode="External"/><Relationship Id="rId_hyperlink_150" Type="http://schemas.openxmlformats.org/officeDocument/2006/relationships/hyperlink" Target="https://nconnect.nicmar.ac.in/storage/profile/ProfilePhoto_P25700137_823974.jpg" TargetMode="External"/><Relationship Id="rId_hyperlink_151" Type="http://schemas.openxmlformats.org/officeDocument/2006/relationships/hyperlink" Target="https://nconnect.nicmar.ac.in/storage/profile/ProfilePhoto_P25700138_159438.jpg" TargetMode="External"/><Relationship Id="rId_hyperlink_152" Type="http://schemas.openxmlformats.org/officeDocument/2006/relationships/hyperlink" Target="https://nconnect.nicmar.ac.in/storage/profile/ProfilePhoto_P25700139_421357.jpg" TargetMode="External"/><Relationship Id="rId_hyperlink_153" Type="http://schemas.openxmlformats.org/officeDocument/2006/relationships/hyperlink" Target="https://nconnect.nicmar.ac.in/storage/profile/ProfilePhoto_P25700140_347569.jpg" TargetMode="External"/><Relationship Id="rId_hyperlink_154" Type="http://schemas.openxmlformats.org/officeDocument/2006/relationships/hyperlink" Target="https://nconnect.nicmar.ac.in/storage/profile/ProfilePhoto_P25700141_362759.jpg" TargetMode="External"/><Relationship Id="rId_hyperlink_155" Type="http://schemas.openxmlformats.org/officeDocument/2006/relationships/hyperlink" Target="https://nconnect.nicmar.ac.in/storage/profile/ProfilePhoto_P25700142_683421.jpg" TargetMode="External"/><Relationship Id="rId_hyperlink_156" Type="http://schemas.openxmlformats.org/officeDocument/2006/relationships/hyperlink" Target="https://nconnect.nicmar.ac.in/storage/profile/ProfilePhoto_P25700143_172536.jpg" TargetMode="External"/><Relationship Id="rId_hyperlink_157" Type="http://schemas.openxmlformats.org/officeDocument/2006/relationships/hyperlink" Target="https://nconnect.nicmar.ac.in/storage/profile/ProfilePhoto_P25700144_267184.jpg" TargetMode="External"/><Relationship Id="rId_hyperlink_158" Type="http://schemas.openxmlformats.org/officeDocument/2006/relationships/hyperlink" Target="https://nconnect.nicmar.ac.in/storage/profile/ProfilePhoto_P25700145_843721.jpg" TargetMode="External"/><Relationship Id="rId_hyperlink_159" Type="http://schemas.openxmlformats.org/officeDocument/2006/relationships/hyperlink" Target="https://nconnect.nicmar.ac.in/storage/profile/ProfilePhoto_P25700146_681345.jpg" TargetMode="External"/><Relationship Id="rId_hyperlink_160" Type="http://schemas.openxmlformats.org/officeDocument/2006/relationships/hyperlink" Target="https://nconnect.nicmar.ac.in/storage/profile/ProfilePhoto_P25700147_396871.jpg" TargetMode="External"/><Relationship Id="rId_hyperlink_161" Type="http://schemas.openxmlformats.org/officeDocument/2006/relationships/hyperlink" Target="https://nconnect.nicmar.ac.in/storage/profile/ProfilePhoto_P25700148_324976.jpg" TargetMode="External"/><Relationship Id="rId_hyperlink_162" Type="http://schemas.openxmlformats.org/officeDocument/2006/relationships/hyperlink" Target="https://nconnect.nicmar.ac.in/storage/profile/ProfilePhoto_P25700150_725196.jpg" TargetMode="External"/><Relationship Id="rId_hyperlink_163" Type="http://schemas.openxmlformats.org/officeDocument/2006/relationships/hyperlink" Target="https://nconnect.nicmar.ac.in/storage/profile/ProfilePhoto_P25700151_798532.jpg" TargetMode="External"/><Relationship Id="rId_hyperlink_164" Type="http://schemas.openxmlformats.org/officeDocument/2006/relationships/hyperlink" Target="https://nconnect.nicmar.ac.in/storage/profile/ProfilePhoto_P25700152_346972.jpg" TargetMode="External"/><Relationship Id="rId_hyperlink_165" Type="http://schemas.openxmlformats.org/officeDocument/2006/relationships/hyperlink" Target="https://nconnect.nicmar.ac.in/storage/profile/ProfilePhoto_P25700153_315628.jpg" TargetMode="External"/><Relationship Id="rId_hyperlink_166" Type="http://schemas.openxmlformats.org/officeDocument/2006/relationships/hyperlink" Target="https://nconnect.nicmar.ac.in/storage/profile/ProfilePhoto_P25700154_792485.jpg" TargetMode="External"/><Relationship Id="rId_hyperlink_167" Type="http://schemas.openxmlformats.org/officeDocument/2006/relationships/hyperlink" Target="https://nconnect.nicmar.ac.in/storage/profile/ProfilePhoto_P25700155_624518.jpg" TargetMode="External"/><Relationship Id="rId_hyperlink_168" Type="http://schemas.openxmlformats.org/officeDocument/2006/relationships/hyperlink" Target="https://nconnect.nicmar.ac.in/storage/profile/ProfilePhoto_P25700156_149783.jpg" TargetMode="External"/><Relationship Id="rId_hyperlink_169" Type="http://schemas.openxmlformats.org/officeDocument/2006/relationships/hyperlink" Target="https://nconnect.nicmar.ac.in/storage/profile/6a740a27e3ca8.png" TargetMode="External"/><Relationship Id="rId_hyperlink_170" Type="http://schemas.openxmlformats.org/officeDocument/2006/relationships/hyperlink" Target="https://nconnect.nicmar.ac.in/storage/profile/ProfilePhoto_P25700158_196843.jpg" TargetMode="External"/><Relationship Id="rId_hyperlink_171" Type="http://schemas.openxmlformats.org/officeDocument/2006/relationships/hyperlink" Target="https://nconnect.nicmar.ac.in/storage/profile/ProfilePhoto_P25700159_791628.jpg" TargetMode="External"/><Relationship Id="rId_hyperlink_172" Type="http://schemas.openxmlformats.org/officeDocument/2006/relationships/hyperlink" Target="https://nconnect.nicmar.ac.in/storage/profile/ProfilePhoto_P25700160_274951.jpg" TargetMode="External"/><Relationship Id="rId_hyperlink_173" Type="http://schemas.openxmlformats.org/officeDocument/2006/relationships/hyperlink" Target="https://nconnect.nicmar.ac.in/storage/profile/ProfilePhoto_P25700161_896127.jpg" TargetMode="External"/><Relationship Id="rId_hyperlink_174" Type="http://schemas.openxmlformats.org/officeDocument/2006/relationships/hyperlink" Target="https://nconnect.nicmar.ac.in/storage/profile/ProfilePhoto_P25700162_326594.jpg" TargetMode="External"/><Relationship Id="rId_hyperlink_175" Type="http://schemas.openxmlformats.org/officeDocument/2006/relationships/hyperlink" Target="https://nconnect.nicmar.ac.in/storage/profile/ProfilePhoto_P25700163_913852.jpg" TargetMode="External"/><Relationship Id="rId_hyperlink_176" Type="http://schemas.openxmlformats.org/officeDocument/2006/relationships/hyperlink" Target="https://nconnect.nicmar.ac.in/storage/profile/ProfilePhoto_P25700164_746531.jpg" TargetMode="External"/><Relationship Id="rId_hyperlink_177" Type="http://schemas.openxmlformats.org/officeDocument/2006/relationships/hyperlink" Target="https://nconnect.nicmar.ac.in/storage/profile/ProfilePhoto_P25700165_376415.jpg" TargetMode="External"/><Relationship Id="rId_hyperlink_178" Type="http://schemas.openxmlformats.org/officeDocument/2006/relationships/hyperlink" Target="https://nconnect.nicmar.ac.in/storage/profile/ProfilePhoto_P25700166_763589.jpg" TargetMode="External"/><Relationship Id="rId_hyperlink_179" Type="http://schemas.openxmlformats.org/officeDocument/2006/relationships/hyperlink" Target="https://nconnect.nicmar.ac.in/storage/profile/ProfilePhoto_P25700167_351762.jpg" TargetMode="External"/><Relationship Id="rId_hyperlink_180" Type="http://schemas.openxmlformats.org/officeDocument/2006/relationships/hyperlink" Target="https://nconnect.nicmar.ac.in/storage/profile/ProfilePhoto_P25700168_965724.jpg" TargetMode="External"/><Relationship Id="rId_hyperlink_181" Type="http://schemas.openxmlformats.org/officeDocument/2006/relationships/hyperlink" Target="https://nconnect.nicmar.ac.in/storage/profile/ProfilePhoto_P25700169_478621.jpg" TargetMode="External"/><Relationship Id="rId_hyperlink_182" Type="http://schemas.openxmlformats.org/officeDocument/2006/relationships/hyperlink" Target="https://nconnect.nicmar.ac.in/storage/profile/ProfilePhoto_P25700170_489362.jpg" TargetMode="External"/><Relationship Id="rId_hyperlink_183" Type="http://schemas.openxmlformats.org/officeDocument/2006/relationships/hyperlink" Target="https://nconnect.nicmar.ac.in/storage/profile/ProfilePhoto_P25700171_586279.jpg" TargetMode="External"/><Relationship Id="rId_hyperlink_184" Type="http://schemas.openxmlformats.org/officeDocument/2006/relationships/hyperlink" Target="https://nconnect.nicmar.ac.in/storage/profile/ProfilePhoto_P25700172_489631.jpg" TargetMode="External"/><Relationship Id="rId_hyperlink_185" Type="http://schemas.openxmlformats.org/officeDocument/2006/relationships/hyperlink" Target="https://nconnect.nicmar.ac.in/storage/profile/ProfilePhoto_P25700174_784592.jpg" TargetMode="External"/><Relationship Id="rId_hyperlink_186" Type="http://schemas.openxmlformats.org/officeDocument/2006/relationships/hyperlink" Target="https://nconnect.nicmar.ac.in/storage/profile/ProfilePhoto_P25700175_314862.jpg" TargetMode="External"/><Relationship Id="rId_hyperlink_187" Type="http://schemas.openxmlformats.org/officeDocument/2006/relationships/hyperlink" Target="https://nconnect.nicmar.ac.in/storage/profile/ProfilePhoto_P25700176_125376.jpg" TargetMode="External"/><Relationship Id="rId_hyperlink_188" Type="http://schemas.openxmlformats.org/officeDocument/2006/relationships/hyperlink" Target="https://nconnect.nicmar.ac.in/storage/profile/ProfilePhoto_P25700177_264735.jpg" TargetMode="External"/><Relationship Id="rId_hyperlink_189" Type="http://schemas.openxmlformats.org/officeDocument/2006/relationships/hyperlink" Target="https://nconnect.nicmar.ac.in/storage/profile/ProfilePhoto_P25700178_586319.jpg" TargetMode="External"/><Relationship Id="rId_hyperlink_190" Type="http://schemas.openxmlformats.org/officeDocument/2006/relationships/hyperlink" Target="https://nconnect.nicmar.ac.in/storage/profile/ProfilePhoto_P25700179_795823.jpg" TargetMode="External"/><Relationship Id="rId_hyperlink_191" Type="http://schemas.openxmlformats.org/officeDocument/2006/relationships/hyperlink" Target="https://nconnect.nicmar.ac.in/storage/profile/ProfilePhoto_P25700180_516437.jpg" TargetMode="External"/><Relationship Id="rId_hyperlink_192" Type="http://schemas.openxmlformats.org/officeDocument/2006/relationships/hyperlink" Target="https://nconnect.nicmar.ac.in/storage/profile/ProfilePhoto_P25700181_536927.jpg" TargetMode="External"/><Relationship Id="rId_hyperlink_193" Type="http://schemas.openxmlformats.org/officeDocument/2006/relationships/hyperlink" Target="https://nconnect.nicmar.ac.in/storage/profile/ProfilePhoto_P25700182_253687.jpg" TargetMode="External"/><Relationship Id="rId_hyperlink_194" Type="http://schemas.openxmlformats.org/officeDocument/2006/relationships/hyperlink" Target="https://nconnect.nicmar.ac.in/storage/profile/ProfilePhoto_P25700183_831792.jpg" TargetMode="External"/><Relationship Id="rId_hyperlink_195" Type="http://schemas.openxmlformats.org/officeDocument/2006/relationships/hyperlink" Target="https://nconnect.nicmar.ac.in/storage/profile/ProfilePhoto_P25700184_536872.jpg" TargetMode="External"/><Relationship Id="rId_hyperlink_196" Type="http://schemas.openxmlformats.org/officeDocument/2006/relationships/hyperlink" Target="https://nconnect.nicmar.ac.in/storage/profile/ProfilePhoto_P25700185_527946.jpg" TargetMode="External"/><Relationship Id="rId_hyperlink_197" Type="http://schemas.openxmlformats.org/officeDocument/2006/relationships/hyperlink" Target="https://nconnect.nicmar.ac.in/storage/profile/ProfilePhoto_P25700186_952671.jpg" TargetMode="External"/><Relationship Id="rId_hyperlink_198" Type="http://schemas.openxmlformats.org/officeDocument/2006/relationships/hyperlink" Target="https://nconnect.nicmar.ac.in/storage/profile/ProfilePhoto_P25700187_358146.jpg" TargetMode="External"/><Relationship Id="rId_hyperlink_199" Type="http://schemas.openxmlformats.org/officeDocument/2006/relationships/hyperlink" Target="https://nconnect.nicmar.ac.in/storage/profile/ProfilePhoto_P25700188_342579.jpg" TargetMode="External"/><Relationship Id="rId_hyperlink_200" Type="http://schemas.openxmlformats.org/officeDocument/2006/relationships/hyperlink" Target="https://nconnect.nicmar.ac.in/storage/profile/ProfilePhoto_P25700189_658327.jpg" TargetMode="External"/><Relationship Id="rId_hyperlink_201" Type="http://schemas.openxmlformats.org/officeDocument/2006/relationships/hyperlink" Target="https://nconnect.nicmar.ac.in/storage/profile/ProfilePhoto_P25700190_285367.jpg" TargetMode="External"/><Relationship Id="rId_hyperlink_202" Type="http://schemas.openxmlformats.org/officeDocument/2006/relationships/hyperlink" Target="https://nconnect.nicmar.ac.in/storage/profile/ProfilePhoto_P25700191_975138.jpg" TargetMode="External"/><Relationship Id="rId_hyperlink_203" Type="http://schemas.openxmlformats.org/officeDocument/2006/relationships/hyperlink" Target="https://nconnect.nicmar.ac.in/storage/profile/ProfilePhoto_P25700192_921356.jpg" TargetMode="External"/><Relationship Id="rId_hyperlink_204" Type="http://schemas.openxmlformats.org/officeDocument/2006/relationships/hyperlink" Target="https://nconnect.nicmar.ac.in/storage/profile/ProfilePhoto_P25700193_714259.jpg" TargetMode="External"/><Relationship Id="rId_hyperlink_205" Type="http://schemas.openxmlformats.org/officeDocument/2006/relationships/hyperlink" Target="https://nconnect.nicmar.ac.in/storage/profile/ProfilePhoto_P25700194_912563.jpg" TargetMode="External"/><Relationship Id="rId_hyperlink_206" Type="http://schemas.openxmlformats.org/officeDocument/2006/relationships/hyperlink" Target="https://nconnect.nicmar.ac.in/storage/profile/ProfilePhoto_P25700195_426391.jpg" TargetMode="External"/><Relationship Id="rId_hyperlink_207" Type="http://schemas.openxmlformats.org/officeDocument/2006/relationships/hyperlink" Target="https://nconnect.nicmar.ac.in/storage/profile/6a8d67ed515a8.png" TargetMode="External"/><Relationship Id="rId_hyperlink_208" Type="http://schemas.openxmlformats.org/officeDocument/2006/relationships/hyperlink" Target="https://nconnect.nicmar.ac.in/storage/profile/ProfilePhoto_P25700197_524673.jpg" TargetMode="External"/><Relationship Id="rId_hyperlink_209" Type="http://schemas.openxmlformats.org/officeDocument/2006/relationships/hyperlink" Target="https://nconnect.nicmar.ac.in/storage/profile/ProfilePhoto_P25700198_974621.jpg" TargetMode="External"/><Relationship Id="rId_hyperlink_210" Type="http://schemas.openxmlformats.org/officeDocument/2006/relationships/hyperlink" Target="https://nconnect.nicmar.ac.in/storage/profile/ProfilePhoto_P25700200_862795.jpg" TargetMode="External"/><Relationship Id="rId_hyperlink_211" Type="http://schemas.openxmlformats.org/officeDocument/2006/relationships/hyperlink" Target="https://nconnect.nicmar.ac.in/storage/profile/ProfilePhoto_P25700201_524138.jpg" TargetMode="External"/><Relationship Id="rId_hyperlink_212" Type="http://schemas.openxmlformats.org/officeDocument/2006/relationships/hyperlink" Target="https://nconnect.nicmar.ac.in/storage/profile/ProfilePhoto_P25700202_916537.jpg" TargetMode="External"/><Relationship Id="rId_hyperlink_213" Type="http://schemas.openxmlformats.org/officeDocument/2006/relationships/hyperlink" Target="https://nconnect.nicmar.ac.in/storage/profile/ProfilePhoto_P25700203_758261.jpg" TargetMode="External"/><Relationship Id="rId_hyperlink_214" Type="http://schemas.openxmlformats.org/officeDocument/2006/relationships/hyperlink" Target="https://nconnect.nicmar.ac.in/storage/profile/ProfilePhoto_P25700204_948512.jpg" TargetMode="External"/><Relationship Id="rId_hyperlink_215" Type="http://schemas.openxmlformats.org/officeDocument/2006/relationships/hyperlink" Target="https://nconnect.nicmar.ac.in/storage/profile/ProfilePhoto_P25700205_853246.jpg" TargetMode="External"/><Relationship Id="rId_hyperlink_216" Type="http://schemas.openxmlformats.org/officeDocument/2006/relationships/hyperlink" Target="https://nconnect.nicmar.ac.in/storage/profile/ProfilePhoto_P25700206_719562.jpg" TargetMode="External"/><Relationship Id="rId_hyperlink_217" Type="http://schemas.openxmlformats.org/officeDocument/2006/relationships/hyperlink" Target="https://nconnect.nicmar.ac.in/storage/profile/ProfilePhoto_P25700207_975832.jpg" TargetMode="External"/><Relationship Id="rId_hyperlink_218" Type="http://schemas.openxmlformats.org/officeDocument/2006/relationships/hyperlink" Target="https://nconnect.nicmar.ac.in/storage/profile/ProfilePhoto_P25700208_794836.jpg" TargetMode="External"/><Relationship Id="rId_hyperlink_219" Type="http://schemas.openxmlformats.org/officeDocument/2006/relationships/hyperlink" Target="https://nconnect.nicmar.ac.in/storage/profile/ProfilePhoto_P25700209_172634.jpg" TargetMode="External"/><Relationship Id="rId_hyperlink_220" Type="http://schemas.openxmlformats.org/officeDocument/2006/relationships/hyperlink" Target="https://nconnect.nicmar.ac.in/storage/profile/ProfilePhoto_P25700210_974213.jpg" TargetMode="External"/><Relationship Id="rId_hyperlink_221" Type="http://schemas.openxmlformats.org/officeDocument/2006/relationships/hyperlink" Target="https://nconnect.nicmar.ac.in/storage/profile/ProfilePhoto_P25700211_374165.jpg" TargetMode="External"/><Relationship Id="rId_hyperlink_222" Type="http://schemas.openxmlformats.org/officeDocument/2006/relationships/hyperlink" Target="https://nconnect.nicmar.ac.in/storage/profile/ProfilePhoto_P25700212_349562.jpg" TargetMode="External"/><Relationship Id="rId_hyperlink_223" Type="http://schemas.openxmlformats.org/officeDocument/2006/relationships/hyperlink" Target="https://nconnect.nicmar.ac.in/storage/profile/ProfilePhoto_P25700213_341679.jpg" TargetMode="External"/><Relationship Id="rId_hyperlink_224" Type="http://schemas.openxmlformats.org/officeDocument/2006/relationships/hyperlink" Target="https://nconnect.nicmar.ac.in/storage/profile/ProfilePhoto_P25700214_983516.jpg" TargetMode="External"/><Relationship Id="rId_hyperlink_225" Type="http://schemas.openxmlformats.org/officeDocument/2006/relationships/hyperlink" Target="https://nconnect.nicmar.ac.in/storage/profile/ProfilePhoto_P25700215_176495.jpg" TargetMode="External"/><Relationship Id="rId_hyperlink_226" Type="http://schemas.openxmlformats.org/officeDocument/2006/relationships/hyperlink" Target="https://nconnect.nicmar.ac.in/storage/profile/ProfilePhoto_P25700216_187954.jpg" TargetMode="External"/><Relationship Id="rId_hyperlink_227" Type="http://schemas.openxmlformats.org/officeDocument/2006/relationships/hyperlink" Target="https://nconnect.nicmar.ac.in/storage/profile/ProfilePhoto_P25700217_691537.jpg" TargetMode="External"/><Relationship Id="rId_hyperlink_228" Type="http://schemas.openxmlformats.org/officeDocument/2006/relationships/hyperlink" Target="https://nconnect.nicmar.ac.in/storage/profile/ProfilePhoto_P25700218_745321.jpg" TargetMode="External"/><Relationship Id="rId_hyperlink_229" Type="http://schemas.openxmlformats.org/officeDocument/2006/relationships/hyperlink" Target="https://nconnect.nicmar.ac.in/storage/profile/ProfilePhoto_P25700219_247813.jpg" TargetMode="External"/><Relationship Id="rId_hyperlink_230" Type="http://schemas.openxmlformats.org/officeDocument/2006/relationships/hyperlink" Target="https://nconnect.nicmar.ac.in/storage/profile/ProfilePhoto_P25700220_175482.jpg" TargetMode="External"/><Relationship Id="rId_hyperlink_231" Type="http://schemas.openxmlformats.org/officeDocument/2006/relationships/hyperlink" Target="https://nconnect.nicmar.ac.in/storage/profile/ProfilePhoto_P25700222_137948.jpg" TargetMode="External"/><Relationship Id="rId_hyperlink_232" Type="http://schemas.openxmlformats.org/officeDocument/2006/relationships/hyperlink" Target="https://nconnect.nicmar.ac.in/storage/profile/ProfilePhoto_P25700223_327691.jpg" TargetMode="External"/><Relationship Id="rId_hyperlink_233" Type="http://schemas.openxmlformats.org/officeDocument/2006/relationships/hyperlink" Target="https://nconnect.nicmar.ac.in/storage/profile/ProfilePhoto_P25700224_261739.jpg" TargetMode="External"/><Relationship Id="rId_hyperlink_234" Type="http://schemas.openxmlformats.org/officeDocument/2006/relationships/hyperlink" Target="https://nconnect.nicmar.ac.in/storage/profile/ProfilePhoto_P25700225_983512.jpg" TargetMode="External"/><Relationship Id="rId_hyperlink_235" Type="http://schemas.openxmlformats.org/officeDocument/2006/relationships/hyperlink" Target="https://nconnect.nicmar.ac.in/storage/profile/ProfilePhoto_P25700227_241753.jpg" TargetMode="External"/><Relationship Id="rId_hyperlink_236" Type="http://schemas.openxmlformats.org/officeDocument/2006/relationships/hyperlink" Target="https://nconnect.nicmar.ac.in/storage/profile/ProfilePhoto_P25700228_279168.jpg" TargetMode="External"/><Relationship Id="rId_hyperlink_237" Type="http://schemas.openxmlformats.org/officeDocument/2006/relationships/hyperlink" Target="https://nconnect.nicmar.ac.in/storage/profile/ProfilePhoto_P25700229_187625.jpg" TargetMode="External"/><Relationship Id="rId_hyperlink_238" Type="http://schemas.openxmlformats.org/officeDocument/2006/relationships/hyperlink" Target="https://nconnect.nicmar.ac.in/storage/profile/ProfilePhoto_P25700230_398462.jpg" TargetMode="External"/><Relationship Id="rId_hyperlink_239" Type="http://schemas.openxmlformats.org/officeDocument/2006/relationships/hyperlink" Target="https://nconnect.nicmar.ac.in/storage/profile/ProfilePhoto_P25700231_485793.jpg" TargetMode="External"/><Relationship Id="rId_hyperlink_240" Type="http://schemas.openxmlformats.org/officeDocument/2006/relationships/hyperlink" Target="https://nconnect.nicmar.ac.in/storage/profile/ProfilePhoto_P25700232_974861.jpg" TargetMode="External"/><Relationship Id="rId_hyperlink_241" Type="http://schemas.openxmlformats.org/officeDocument/2006/relationships/hyperlink" Target="https://nconnect.nicmar.ac.in/storage/profile/ProfilePhoto_P25700233_537914.jpg" TargetMode="External"/><Relationship Id="rId_hyperlink_242" Type="http://schemas.openxmlformats.org/officeDocument/2006/relationships/hyperlink" Target="https://nconnect.nicmar.ac.in/storage/profile/ProfilePhoto_P25700234_527634.jpg" TargetMode="External"/><Relationship Id="rId_hyperlink_243" Type="http://schemas.openxmlformats.org/officeDocument/2006/relationships/hyperlink" Target="https://nconnect.nicmar.ac.in/storage/profile/ProfilePhoto_P25700235_962375.jpg" TargetMode="External"/><Relationship Id="rId_hyperlink_244" Type="http://schemas.openxmlformats.org/officeDocument/2006/relationships/hyperlink" Target="https://nconnect.nicmar.ac.in/storage/profile/ProfilePhoto_P25700236_483619.jpg" TargetMode="External"/><Relationship Id="rId_hyperlink_245" Type="http://schemas.openxmlformats.org/officeDocument/2006/relationships/hyperlink" Target="https://nconnect.nicmar.ac.in/storage/profile/ProfilePhoto_P25700237_972643.jpg" TargetMode="External"/><Relationship Id="rId_hyperlink_246" Type="http://schemas.openxmlformats.org/officeDocument/2006/relationships/hyperlink" Target="https://nconnect.nicmar.ac.in/storage/profile/ProfilePhoto_P25700238_975162.jpg" TargetMode="External"/><Relationship Id="rId_hyperlink_247" Type="http://schemas.openxmlformats.org/officeDocument/2006/relationships/hyperlink" Target="https://nconnect.nicmar.ac.in/storage/profile/ProfilePhoto_P25700239_319765.jpg" TargetMode="External"/><Relationship Id="rId_hyperlink_248" Type="http://schemas.openxmlformats.org/officeDocument/2006/relationships/hyperlink" Target="https://nconnect.nicmar.ac.in/storage/profile/ProfilePhoto_P25700240_513948.jpg" TargetMode="External"/><Relationship Id="rId_hyperlink_249" Type="http://schemas.openxmlformats.org/officeDocument/2006/relationships/hyperlink" Target="https://nconnect.nicmar.ac.in/storage/profile/ProfilePhoto_P25700241_162534.jpg" TargetMode="External"/><Relationship Id="rId_hyperlink_250" Type="http://schemas.openxmlformats.org/officeDocument/2006/relationships/hyperlink" Target="https://nconnect.nicmar.ac.in/storage/profile/ProfilePhoto_P25700242_529817.jpg" TargetMode="External"/><Relationship Id="rId_hyperlink_251" Type="http://schemas.openxmlformats.org/officeDocument/2006/relationships/hyperlink" Target="https://nconnect.nicmar.ac.in/storage/profile/ProfilePhoto_P25700243_752468.jpg" TargetMode="External"/><Relationship Id="rId_hyperlink_252" Type="http://schemas.openxmlformats.org/officeDocument/2006/relationships/hyperlink" Target="https://nconnect.nicmar.ac.in/storage/profile/ProfilePhoto_P25700244_691843.jpg" TargetMode="External"/><Relationship Id="rId_hyperlink_253" Type="http://schemas.openxmlformats.org/officeDocument/2006/relationships/hyperlink" Target="https://nconnect.nicmar.ac.in/storage/profile/ProfilePhoto_P25700245_918463.jpg" TargetMode="External"/><Relationship Id="rId_hyperlink_254" Type="http://schemas.openxmlformats.org/officeDocument/2006/relationships/hyperlink" Target="https://nconnect.nicmar.ac.in/storage/profile/ProfilePhoto_P25700246_546739.jpg" TargetMode="External"/><Relationship Id="rId_hyperlink_255" Type="http://schemas.openxmlformats.org/officeDocument/2006/relationships/hyperlink" Target="https://nconnect.nicmar.ac.in/storage/profile/ProfilePhoto_P25700247_237156.jpg" TargetMode="External"/><Relationship Id="rId_hyperlink_256" Type="http://schemas.openxmlformats.org/officeDocument/2006/relationships/hyperlink" Target="https://nconnect.nicmar.ac.in/storage/profile/ProfilePhoto_P25700248_864927.jpg" TargetMode="External"/><Relationship Id="rId_hyperlink_257" Type="http://schemas.openxmlformats.org/officeDocument/2006/relationships/hyperlink" Target="https://nconnect.nicmar.ac.in/storage/profile/ProfilePhoto_P25700249_159378.jpg" TargetMode="External"/><Relationship Id="rId_hyperlink_258" Type="http://schemas.openxmlformats.org/officeDocument/2006/relationships/hyperlink" Target="https://nconnect.nicmar.ac.in/storage/profile/ProfilePhoto_P25700250_825963.jpg" TargetMode="External"/><Relationship Id="rId_hyperlink_259" Type="http://schemas.openxmlformats.org/officeDocument/2006/relationships/hyperlink" Target="https://nconnect.nicmar.ac.in/storage/profile/ProfilePhoto_P25700251_793658.jpg" TargetMode="External"/><Relationship Id="rId_hyperlink_260" Type="http://schemas.openxmlformats.org/officeDocument/2006/relationships/hyperlink" Target="https://nconnect.nicmar.ac.in/storage/profile/ProfilePhoto_P25700252_286139.jpg" TargetMode="External"/><Relationship Id="rId_hyperlink_261" Type="http://schemas.openxmlformats.org/officeDocument/2006/relationships/hyperlink" Target="https://nconnect.nicmar.ac.in/storage/profile/ProfilePhoto_P25700253_341298.jpg" TargetMode="External"/><Relationship Id="rId_hyperlink_262" Type="http://schemas.openxmlformats.org/officeDocument/2006/relationships/hyperlink" Target="https://nconnect.nicmar.ac.in/storage/profile/6a73072f13df6.png" TargetMode="External"/><Relationship Id="rId_hyperlink_263" Type="http://schemas.openxmlformats.org/officeDocument/2006/relationships/hyperlink" Target="https://nconnect.nicmar.ac.in/storage/profile/6a6807d8292d9.png" TargetMode="External"/><Relationship Id="rId_hyperlink_264" Type="http://schemas.openxmlformats.org/officeDocument/2006/relationships/hyperlink" Target="https://nconnect.nicmar.ac.in/storage/profile/ProfilePhoto_P25700256_314276.jpg" TargetMode="External"/><Relationship Id="rId_hyperlink_265" Type="http://schemas.openxmlformats.org/officeDocument/2006/relationships/hyperlink" Target="https://nconnect.nicmar.ac.in/storage/profile/ProfilePhoto_P25700257_416537.jpg" TargetMode="External"/><Relationship Id="rId_hyperlink_266" Type="http://schemas.openxmlformats.org/officeDocument/2006/relationships/hyperlink" Target="https://nconnect.nicmar.ac.in/storage/profile/ProfilePhoto_P25700258_493578.jpg" TargetMode="External"/><Relationship Id="rId_hyperlink_267" Type="http://schemas.openxmlformats.org/officeDocument/2006/relationships/hyperlink" Target="https://nconnect.nicmar.ac.in/storage/profile/ProfilePhoto_P25700259_153496.jpg" TargetMode="External"/><Relationship Id="rId_hyperlink_268" Type="http://schemas.openxmlformats.org/officeDocument/2006/relationships/hyperlink" Target="https://nconnect.nicmar.ac.in/storage/profile/ProfilePhoto_P25700260_867251.jpg" TargetMode="External"/><Relationship Id="rId_hyperlink_269" Type="http://schemas.openxmlformats.org/officeDocument/2006/relationships/hyperlink" Target="https://nconnect.nicmar.ac.in/storage/profile/ProfilePhoto_P25700261_127954.jpg" TargetMode="External"/><Relationship Id="rId_hyperlink_270" Type="http://schemas.openxmlformats.org/officeDocument/2006/relationships/hyperlink" Target="https://nconnect.nicmar.ac.in/storage/profile/ProfilePhoto_P25700262_867913.jpg" TargetMode="External"/><Relationship Id="rId_hyperlink_271" Type="http://schemas.openxmlformats.org/officeDocument/2006/relationships/hyperlink" Target="https://nconnect.nicmar.ac.in/storage/profile/ProfilePhoto_P25700263_426175.jpg" TargetMode="External"/><Relationship Id="rId_hyperlink_272" Type="http://schemas.openxmlformats.org/officeDocument/2006/relationships/hyperlink" Target="https://nconnect.nicmar.ac.in/storage/profile/ProfilePhoto_P25700264_328496.jpg" TargetMode="External"/><Relationship Id="rId_hyperlink_273" Type="http://schemas.openxmlformats.org/officeDocument/2006/relationships/hyperlink" Target="https://nconnect.nicmar.ac.in/storage/profile/ProfilePhoto_P25700265_158934.jpg" TargetMode="External"/><Relationship Id="rId_hyperlink_274" Type="http://schemas.openxmlformats.org/officeDocument/2006/relationships/hyperlink" Target="https://nconnect.nicmar.ac.in/storage/profile/ProfilePhoto_P25700266_297863.jpg" TargetMode="External"/><Relationship Id="rId_hyperlink_275" Type="http://schemas.openxmlformats.org/officeDocument/2006/relationships/hyperlink" Target="https://nconnect.nicmar.ac.in/storage/profile/ProfilePhoto_P25700267_286547.jpg" TargetMode="External"/><Relationship Id="rId_hyperlink_276" Type="http://schemas.openxmlformats.org/officeDocument/2006/relationships/hyperlink" Target="https://nconnect.nicmar.ac.in/storage/profile/6a7ef2c6545b1.png" TargetMode="External"/><Relationship Id="rId_hyperlink_277" Type="http://schemas.openxmlformats.org/officeDocument/2006/relationships/hyperlink" Target="https://nconnect.nicmar.ac.in/storage/profile/ProfilePhoto_P25700269_861432.jpg" TargetMode="External"/><Relationship Id="rId_hyperlink_278" Type="http://schemas.openxmlformats.org/officeDocument/2006/relationships/hyperlink" Target="https://nconnect.nicmar.ac.in/storage/profile/ProfilePhoto_P25700270_194253.jpg" TargetMode="External"/><Relationship Id="rId_hyperlink_279" Type="http://schemas.openxmlformats.org/officeDocument/2006/relationships/hyperlink" Target="https://nconnect.nicmar.ac.in/storage/profile/ProfilePhoto_P25700271_135978.jpg" TargetMode="External"/><Relationship Id="rId_hyperlink_280" Type="http://schemas.openxmlformats.org/officeDocument/2006/relationships/hyperlink" Target="https://nconnect.nicmar.ac.in/storage/profile/ProfilePhoto_P25700272_839471.jpg" TargetMode="External"/><Relationship Id="rId_hyperlink_281" Type="http://schemas.openxmlformats.org/officeDocument/2006/relationships/hyperlink" Target="https://nconnect.nicmar.ac.in/storage/profile/ProfilePhoto_P25700273_243176.jpg" TargetMode="External"/><Relationship Id="rId_hyperlink_282" Type="http://schemas.openxmlformats.org/officeDocument/2006/relationships/hyperlink" Target="https://nconnect.nicmar.ac.in/storage/profile/ProfilePhoto_P25700274_326758.jpg" TargetMode="External"/><Relationship Id="rId_hyperlink_283" Type="http://schemas.openxmlformats.org/officeDocument/2006/relationships/hyperlink" Target="https://nconnect.nicmar.ac.in/storage/profile/ProfilePhoto_P25700275_563178.jpg" TargetMode="External"/><Relationship Id="rId_hyperlink_284" Type="http://schemas.openxmlformats.org/officeDocument/2006/relationships/hyperlink" Target="https://nconnect.nicmar.ac.in/storage/profile/ProfilePhoto_P25700277_438956.jpg" TargetMode="External"/><Relationship Id="rId_hyperlink_285" Type="http://schemas.openxmlformats.org/officeDocument/2006/relationships/hyperlink" Target="https://nconnect.nicmar.ac.in/storage/profile/ProfilePhoto_P25700278_937126.jpg" TargetMode="External"/><Relationship Id="rId_hyperlink_286" Type="http://schemas.openxmlformats.org/officeDocument/2006/relationships/hyperlink" Target="https://nconnect.nicmar.ac.in/storage/profile/ProfilePhoto_P25700280_693247.jpg" TargetMode="External"/><Relationship Id="rId_hyperlink_287" Type="http://schemas.openxmlformats.org/officeDocument/2006/relationships/hyperlink" Target="https://nconnect.nicmar.ac.in/storage/profile/ProfilePhoto_P25700282_942538.jpg" TargetMode="External"/><Relationship Id="rId_hyperlink_288" Type="http://schemas.openxmlformats.org/officeDocument/2006/relationships/hyperlink" Target="https://nconnect.nicmar.ac.in/storage/profile/ProfilePhoto_P25700283_529847.jpg" TargetMode="External"/><Relationship Id="rId_hyperlink_289" Type="http://schemas.openxmlformats.org/officeDocument/2006/relationships/hyperlink" Target="https://nconnect.nicmar.ac.in/storage/profile/ProfilePhoto_P25700284_724851.jpg" TargetMode="External"/><Relationship Id="rId_hyperlink_290" Type="http://schemas.openxmlformats.org/officeDocument/2006/relationships/hyperlink" Target="https://nconnect.nicmar.ac.in/storage/profile/6a6caffb11d26.png" TargetMode="External"/><Relationship Id="rId_hyperlink_291" Type="http://schemas.openxmlformats.org/officeDocument/2006/relationships/hyperlink" Target="https://nconnect.nicmar.ac.in/storage/profile/ProfilePhoto_P25700286_398214.jpg" TargetMode="External"/><Relationship Id="rId_hyperlink_292" Type="http://schemas.openxmlformats.org/officeDocument/2006/relationships/hyperlink" Target="https://nconnect.nicmar.ac.in/storage/profile/ProfilePhoto_P25700287_896372.jpg" TargetMode="External"/><Relationship Id="rId_hyperlink_293" Type="http://schemas.openxmlformats.org/officeDocument/2006/relationships/hyperlink" Target="https://nconnect.nicmar.ac.in/storage/profile/ProfilePhoto_P25700288_156498.jpg" TargetMode="External"/><Relationship Id="rId_hyperlink_294" Type="http://schemas.openxmlformats.org/officeDocument/2006/relationships/hyperlink" Target="https://nconnect.nicmar.ac.in/storage/profile/ProfilePhoto_P25700289_126498.jpg" TargetMode="External"/><Relationship Id="rId_hyperlink_295" Type="http://schemas.openxmlformats.org/officeDocument/2006/relationships/hyperlink" Target="https://nconnect.nicmar.ac.in/storage/profile/ProfilePhoto_P25700290_567841.jpg" TargetMode="External"/><Relationship Id="rId_hyperlink_296" Type="http://schemas.openxmlformats.org/officeDocument/2006/relationships/hyperlink" Target="https://nconnect.nicmar.ac.in/storage/profile/ProfilePhoto_P25700291_245196.jpg" TargetMode="External"/><Relationship Id="rId_hyperlink_297" Type="http://schemas.openxmlformats.org/officeDocument/2006/relationships/hyperlink" Target="https://nconnect.nicmar.ac.in/storage/profile/ProfilePhoto_P25700292_526814.jpg" TargetMode="External"/><Relationship Id="rId_hyperlink_298" Type="http://schemas.openxmlformats.org/officeDocument/2006/relationships/hyperlink" Target="https://nconnect.nicmar.ac.in/storage/profile/ProfilePhoto_P25700293_417563.jpg" TargetMode="External"/><Relationship Id="rId_hyperlink_299" Type="http://schemas.openxmlformats.org/officeDocument/2006/relationships/hyperlink" Target="https://nconnect.nicmar.ac.in/storage/profile/ProfilePhoto_P25700294_947681.jpg" TargetMode="External"/><Relationship Id="rId_hyperlink_300" Type="http://schemas.openxmlformats.org/officeDocument/2006/relationships/hyperlink" Target="https://nconnect.nicmar.ac.in/storage/profile/ProfilePhoto_P25700295_417832.jpg" TargetMode="External"/><Relationship Id="rId_hyperlink_301" Type="http://schemas.openxmlformats.org/officeDocument/2006/relationships/hyperlink" Target="https://nconnect.nicmar.ac.in/storage/profile/ProfilePhoto_P25700296_392684.jpg" TargetMode="External"/><Relationship Id="rId_hyperlink_302" Type="http://schemas.openxmlformats.org/officeDocument/2006/relationships/hyperlink" Target="https://nconnect.nicmar.ac.in/storage/profile/ProfilePhoto_P25700297_213596.jpg" TargetMode="External"/><Relationship Id="rId_hyperlink_303" Type="http://schemas.openxmlformats.org/officeDocument/2006/relationships/hyperlink" Target="https://nconnect.nicmar.ac.in/storage/profile/ProfilePhoto_P25700298_589421.jpg" TargetMode="External"/><Relationship Id="rId_hyperlink_304" Type="http://schemas.openxmlformats.org/officeDocument/2006/relationships/hyperlink" Target="https://nconnect.nicmar.ac.in/storage/profile/ProfilePhoto_P25700299_148926.jpg" TargetMode="External"/><Relationship Id="rId_hyperlink_305" Type="http://schemas.openxmlformats.org/officeDocument/2006/relationships/hyperlink" Target="https://nconnect.nicmar.ac.in/storage/profile/ProfilePhoto_P25700300_153649.jpg" TargetMode="External"/><Relationship Id="rId_hyperlink_306" Type="http://schemas.openxmlformats.org/officeDocument/2006/relationships/hyperlink" Target="https://nconnect.nicmar.ac.in/storage/profile/ProfilePhoto_P25700301_346981.jpg" TargetMode="External"/><Relationship Id="rId_hyperlink_307" Type="http://schemas.openxmlformats.org/officeDocument/2006/relationships/hyperlink" Target="https://nconnect.nicmar.ac.in/storage/profile/ProfilePhoto_P25700302_214356.jpg" TargetMode="External"/><Relationship Id="rId_hyperlink_308" Type="http://schemas.openxmlformats.org/officeDocument/2006/relationships/hyperlink" Target="https://nconnect.nicmar.ac.in/storage/profile/ProfilePhoto_P25700303_641892.jpg" TargetMode="External"/><Relationship Id="rId_hyperlink_309" Type="http://schemas.openxmlformats.org/officeDocument/2006/relationships/hyperlink" Target="https://nconnect.nicmar.ac.in/storage/profile/ProfilePhoto_P25700304_328576.jpg" TargetMode="External"/><Relationship Id="rId_hyperlink_310" Type="http://schemas.openxmlformats.org/officeDocument/2006/relationships/hyperlink" Target="https://nconnect.nicmar.ac.in/storage/profile/ProfilePhoto_P25700305_358149.jpg" TargetMode="External"/><Relationship Id="rId_hyperlink_311" Type="http://schemas.openxmlformats.org/officeDocument/2006/relationships/hyperlink" Target="https://nconnect.nicmar.ac.in/storage/profile/ProfilePhoto_P25700306_128963.jpg" TargetMode="External"/><Relationship Id="rId_hyperlink_312" Type="http://schemas.openxmlformats.org/officeDocument/2006/relationships/hyperlink" Target="https://nconnect.nicmar.ac.in/storage/profile/ProfilePhoto_P25700307_873512.jpg" TargetMode="External"/><Relationship Id="rId_hyperlink_313" Type="http://schemas.openxmlformats.org/officeDocument/2006/relationships/hyperlink" Target="https://nconnect.nicmar.ac.in/storage/profile/ProfilePhoto_P25700308_942517.jpg" TargetMode="External"/><Relationship Id="rId_hyperlink_314" Type="http://schemas.openxmlformats.org/officeDocument/2006/relationships/hyperlink" Target="https://nconnect.nicmar.ac.in/storage/profile/ProfilePhoto_P25700309_361294.jpg" TargetMode="External"/><Relationship Id="rId_hyperlink_315" Type="http://schemas.openxmlformats.org/officeDocument/2006/relationships/hyperlink" Target="https://nconnect.nicmar.ac.in/storage/profile/6a6247b201416.png" TargetMode="External"/><Relationship Id="rId_hyperlink_316" Type="http://schemas.openxmlformats.org/officeDocument/2006/relationships/hyperlink" Target="https://nconnect.nicmar.ac.in/storage/profile/ProfilePhoto_P25700311_175346.jpg" TargetMode="External"/><Relationship Id="rId_hyperlink_317" Type="http://schemas.openxmlformats.org/officeDocument/2006/relationships/hyperlink" Target="https://nconnect.nicmar.ac.in/storage/profile/ProfilePhoto_P25700312_491872.jpg" TargetMode="External"/><Relationship Id="rId_hyperlink_318" Type="http://schemas.openxmlformats.org/officeDocument/2006/relationships/hyperlink" Target="https://nconnect.nicmar.ac.in/storage/profile/ProfilePhoto_P25700313_351694.jpg" TargetMode="External"/><Relationship Id="rId_hyperlink_319" Type="http://schemas.openxmlformats.org/officeDocument/2006/relationships/hyperlink" Target="https://nconnect.nicmar.ac.in/storage/profile/ProfilePhoto_P25700314_541362.jpg" TargetMode="External"/><Relationship Id="rId_hyperlink_320" Type="http://schemas.openxmlformats.org/officeDocument/2006/relationships/hyperlink" Target="https://nconnect.nicmar.ac.in/storage/profile/ProfilePhoto_P25700316_645173.jpg" TargetMode="External"/><Relationship Id="rId_hyperlink_321" Type="http://schemas.openxmlformats.org/officeDocument/2006/relationships/hyperlink" Target="https://nconnect.nicmar.ac.in/storage/profile/ProfilePhoto_P25700317_381597.jpg" TargetMode="External"/><Relationship Id="rId_hyperlink_322" Type="http://schemas.openxmlformats.org/officeDocument/2006/relationships/hyperlink" Target="https://nconnect.nicmar.ac.in/storage/profile/ProfilePhoto_P25700318_763418.jpg" TargetMode="External"/><Relationship Id="rId_hyperlink_323" Type="http://schemas.openxmlformats.org/officeDocument/2006/relationships/hyperlink" Target="https://nconnect.nicmar.ac.in/storage/profile/ProfilePhoto_P25700320_432967.jpg" TargetMode="External"/><Relationship Id="rId_hyperlink_324" Type="http://schemas.openxmlformats.org/officeDocument/2006/relationships/hyperlink" Target="https://nconnect.nicmar.ac.in/storage/profile/ProfilePhoto_P25700321_248693.jpg" TargetMode="External"/><Relationship Id="rId_hyperlink_325" Type="http://schemas.openxmlformats.org/officeDocument/2006/relationships/hyperlink" Target="https://nconnect.nicmar.ac.in/storage/profile/ProfilePhoto_P25700322_174659.jpg" TargetMode="External"/><Relationship Id="rId_hyperlink_326" Type="http://schemas.openxmlformats.org/officeDocument/2006/relationships/hyperlink" Target="https://nconnect.nicmar.ac.in/storage/profile/ProfilePhoto_P25700323_852916.jpg" TargetMode="External"/><Relationship Id="rId_hyperlink_327" Type="http://schemas.openxmlformats.org/officeDocument/2006/relationships/hyperlink" Target="https://nconnect.nicmar.ac.in/storage/profile/ProfilePhoto_P25700324_649581.jpg" TargetMode="External"/><Relationship Id="rId_hyperlink_328" Type="http://schemas.openxmlformats.org/officeDocument/2006/relationships/hyperlink" Target="https://nconnect.nicmar.ac.in/storage/profile/6a6247e7c603e.png" TargetMode="External"/><Relationship Id="rId_hyperlink_329" Type="http://schemas.openxmlformats.org/officeDocument/2006/relationships/hyperlink" Target="https://nconnect.nicmar.ac.in/storage/profile/ProfilePhoto_P25700327_437895.jpg" TargetMode="External"/><Relationship Id="rId_hyperlink_330" Type="http://schemas.openxmlformats.org/officeDocument/2006/relationships/hyperlink" Target="https://nconnect.nicmar.ac.in/storage/profile/ProfilePhoto_P25700328_694123.jpg" TargetMode="External"/><Relationship Id="rId_hyperlink_331" Type="http://schemas.openxmlformats.org/officeDocument/2006/relationships/hyperlink" Target="https://nconnect.nicmar.ac.in/storage/profile/ProfilePhoto_P25700329_934817.jpg" TargetMode="External"/><Relationship Id="rId_hyperlink_332" Type="http://schemas.openxmlformats.org/officeDocument/2006/relationships/hyperlink" Target="https://nconnect.nicmar.ac.in/storage/profile/ProfilePhoto_P25700330_839724.jpg" TargetMode="External"/><Relationship Id="rId_hyperlink_333" Type="http://schemas.openxmlformats.org/officeDocument/2006/relationships/hyperlink" Target="https://nconnect.nicmar.ac.in/storage/profile/ProfilePhoto_P25700331_498125.jpg" TargetMode="External"/><Relationship Id="rId_hyperlink_334" Type="http://schemas.openxmlformats.org/officeDocument/2006/relationships/hyperlink" Target="https://nconnect.nicmar.ac.in/storage/profile/ProfilePhoto_P25700332_582631.jpg" TargetMode="External"/><Relationship Id="rId_hyperlink_335" Type="http://schemas.openxmlformats.org/officeDocument/2006/relationships/hyperlink" Target="https://nconnect.nicmar.ac.in/storage/profile/ProfilePhoto_P25700333_561738.jpg" TargetMode="External"/><Relationship Id="rId_hyperlink_336" Type="http://schemas.openxmlformats.org/officeDocument/2006/relationships/hyperlink" Target="https://nconnect.nicmar.ac.in/storage/profile/ProfilePhoto_P25700334_897625.jpg" TargetMode="External"/><Relationship Id="rId_hyperlink_337" Type="http://schemas.openxmlformats.org/officeDocument/2006/relationships/hyperlink" Target="https://nconnect.nicmar.ac.in/storage/profile/ProfilePhoto_P25700335_235948.jpg" TargetMode="External"/><Relationship Id="rId_hyperlink_338" Type="http://schemas.openxmlformats.org/officeDocument/2006/relationships/hyperlink" Target="https://nconnect.nicmar.ac.in/storage/profile/ProfilePhoto_P25700336_569138.jpg" TargetMode="External"/><Relationship Id="rId_hyperlink_339" Type="http://schemas.openxmlformats.org/officeDocument/2006/relationships/hyperlink" Target="https://nconnect.nicmar.ac.in/storage/profile/ProfilePhoto_P25700337_749123.jpg" TargetMode="External"/><Relationship Id="rId_hyperlink_340" Type="http://schemas.openxmlformats.org/officeDocument/2006/relationships/hyperlink" Target="https://nconnect.nicmar.ac.in/storage/profile/ProfilePhoto_P25700338_458312.jpg" TargetMode="External"/><Relationship Id="rId_hyperlink_341" Type="http://schemas.openxmlformats.org/officeDocument/2006/relationships/hyperlink" Target="https://nconnect.nicmar.ac.in/storage/profile/ProfilePhoto_P25700339_893165.jpg" TargetMode="External"/><Relationship Id="rId_hyperlink_342" Type="http://schemas.openxmlformats.org/officeDocument/2006/relationships/hyperlink" Target="https://nconnect.nicmar.ac.in/storage/profile/ProfilePhoto_P25700340_491823.jpg" TargetMode="External"/><Relationship Id="rId_hyperlink_343" Type="http://schemas.openxmlformats.org/officeDocument/2006/relationships/hyperlink" Target="https://nconnect.nicmar.ac.in/storage/profile/ProfilePhoto_P25700341_527638.jpg" TargetMode="External"/><Relationship Id="rId_hyperlink_344" Type="http://schemas.openxmlformats.org/officeDocument/2006/relationships/hyperlink" Target="https://nconnect.nicmar.ac.in/storage/profile/ProfilePhoto_P25700342_917356.jpg" TargetMode="External"/><Relationship Id="rId_hyperlink_345" Type="http://schemas.openxmlformats.org/officeDocument/2006/relationships/hyperlink" Target="https://nconnect.nicmar.ac.in/storage/profile/ProfilePhoto_P25700343_519836.jpg" TargetMode="External"/><Relationship Id="rId_hyperlink_346" Type="http://schemas.openxmlformats.org/officeDocument/2006/relationships/hyperlink" Target="https://nconnect.nicmar.ac.in/storage/profile/ProfilePhoto_P25700344_278134.jpg" TargetMode="External"/><Relationship Id="rId_hyperlink_347" Type="http://schemas.openxmlformats.org/officeDocument/2006/relationships/hyperlink" Target="https://nconnect.nicmar.ac.in/storage/profile/ProfilePhoto_P25700345_856793.jpg" TargetMode="External"/><Relationship Id="rId_hyperlink_348" Type="http://schemas.openxmlformats.org/officeDocument/2006/relationships/hyperlink" Target="https://nconnect.nicmar.ac.in/storage/profile/ProfilePhoto_P25700346_549627.jpg" TargetMode="External"/><Relationship Id="rId_hyperlink_349" Type="http://schemas.openxmlformats.org/officeDocument/2006/relationships/hyperlink" Target="https://nconnect.nicmar.ac.in/storage/profile/ProfilePhoto_P25700347_834162.jpg" TargetMode="External"/><Relationship Id="rId_hyperlink_350" Type="http://schemas.openxmlformats.org/officeDocument/2006/relationships/hyperlink" Target="https://nconnect.nicmar.ac.in/storage/profile/ProfilePhoto_P25700348_398162.jpg" TargetMode="External"/><Relationship Id="rId_hyperlink_351" Type="http://schemas.openxmlformats.org/officeDocument/2006/relationships/hyperlink" Target="https://nconnect.nicmar.ac.in/storage/profile/ProfilePhoto_P25700349_261783.jpg" TargetMode="External"/><Relationship Id="rId_hyperlink_352" Type="http://schemas.openxmlformats.org/officeDocument/2006/relationships/hyperlink" Target="https://nconnect.nicmar.ac.in/storage/profile/ProfilePhoto_P25700350_594367.jpg" TargetMode="External"/><Relationship Id="rId_hyperlink_353" Type="http://schemas.openxmlformats.org/officeDocument/2006/relationships/hyperlink" Target="https://nconnect.nicmar.ac.in/storage/profile/ProfilePhoto_P25700351_712865.jpg" TargetMode="External"/><Relationship Id="rId_hyperlink_354" Type="http://schemas.openxmlformats.org/officeDocument/2006/relationships/hyperlink" Target="https://nconnect.nicmar.ac.in/storage/profile/ProfilePhoto_P25700352_437125.jpg" TargetMode="External"/><Relationship Id="rId_hyperlink_355" Type="http://schemas.openxmlformats.org/officeDocument/2006/relationships/hyperlink" Target="https://nconnect.nicmar.ac.in/storage/profile/ProfilePhoto_P25700353_496532.jpg" TargetMode="External"/><Relationship Id="rId_hyperlink_356" Type="http://schemas.openxmlformats.org/officeDocument/2006/relationships/hyperlink" Target="https://nconnect.nicmar.ac.in/storage/profile/ProfilePhoto_P25700354_283475.jpg" TargetMode="External"/><Relationship Id="rId_hyperlink_357" Type="http://schemas.openxmlformats.org/officeDocument/2006/relationships/hyperlink" Target="https://nconnect.nicmar.ac.in/storage/profile/ProfilePhoto_P25700355_452968.jpg" TargetMode="External"/><Relationship Id="rId_hyperlink_358" Type="http://schemas.openxmlformats.org/officeDocument/2006/relationships/hyperlink" Target="https://nconnect.nicmar.ac.in/storage/profile/ProfilePhoto_P25700356_431675.jpg" TargetMode="External"/><Relationship Id="rId_hyperlink_359" Type="http://schemas.openxmlformats.org/officeDocument/2006/relationships/hyperlink" Target="https://nconnect.nicmar.ac.in/storage/profile/ProfilePhoto_P25700357_834596.jpg" TargetMode="External"/><Relationship Id="rId_hyperlink_360" Type="http://schemas.openxmlformats.org/officeDocument/2006/relationships/hyperlink" Target="https://nconnect.nicmar.ac.in/storage/profile/ProfilePhoto_P25700358_381456.jpg" TargetMode="External"/><Relationship Id="rId_hyperlink_361" Type="http://schemas.openxmlformats.org/officeDocument/2006/relationships/hyperlink" Target="https://nconnect.nicmar.ac.in/storage/profile/ProfilePhoto_P25700359_948167.jpg" TargetMode="External"/><Relationship Id="rId_hyperlink_362" Type="http://schemas.openxmlformats.org/officeDocument/2006/relationships/hyperlink" Target="https://nconnect.nicmar.ac.in/storage/profile/ProfilePhoto_P25700360_657192.jpg" TargetMode="External"/><Relationship Id="rId_hyperlink_363" Type="http://schemas.openxmlformats.org/officeDocument/2006/relationships/hyperlink" Target="https://nconnect.nicmar.ac.in/storage/profile/ProfilePhoto_P25700361_138974.jpg" TargetMode="External"/><Relationship Id="rId_hyperlink_364" Type="http://schemas.openxmlformats.org/officeDocument/2006/relationships/hyperlink" Target="https://nconnect.nicmar.ac.in/storage/profile/ProfilePhoto_P25700362_519874.jpg" TargetMode="External"/><Relationship Id="rId_hyperlink_365" Type="http://schemas.openxmlformats.org/officeDocument/2006/relationships/hyperlink" Target="https://nconnect.nicmar.ac.in/storage/profile/ProfilePhoto_P25700363_761958.jpg" TargetMode="External"/><Relationship Id="rId_hyperlink_366" Type="http://schemas.openxmlformats.org/officeDocument/2006/relationships/hyperlink" Target="https://nconnect.nicmar.ac.in/storage/profile/ProfilePhoto_P25700364_541382.jpg" TargetMode="External"/><Relationship Id="rId_hyperlink_367" Type="http://schemas.openxmlformats.org/officeDocument/2006/relationships/hyperlink" Target="https://nconnect.nicmar.ac.in/storage/profile/ProfilePhoto_P25700366_956721.jpg" TargetMode="External"/><Relationship Id="rId_hyperlink_368" Type="http://schemas.openxmlformats.org/officeDocument/2006/relationships/hyperlink" Target="https://nconnect.nicmar.ac.in/storage/profile/ProfilePhoto_P25700368_157439.jpg" TargetMode="External"/><Relationship Id="rId_hyperlink_369" Type="http://schemas.openxmlformats.org/officeDocument/2006/relationships/hyperlink" Target="https://nconnect.nicmar.ac.in/storage/profile/ProfilePhoto_P25700369_745329.jpg" TargetMode="External"/><Relationship Id="rId_hyperlink_370" Type="http://schemas.openxmlformats.org/officeDocument/2006/relationships/hyperlink" Target="https://nconnect.nicmar.ac.in/storage/profile/ProfilePhoto_P25700370_895437.jpg" TargetMode="External"/><Relationship Id="rId_hyperlink_371" Type="http://schemas.openxmlformats.org/officeDocument/2006/relationships/hyperlink" Target="https://nconnect.nicmar.ac.in/storage/profile/ProfilePhoto_P25700371_572389.jpg" TargetMode="External"/><Relationship Id="rId_hyperlink_372" Type="http://schemas.openxmlformats.org/officeDocument/2006/relationships/hyperlink" Target="https://nconnect.nicmar.ac.in/storage/profile/ProfilePhoto_P25700372_298156.jpg" TargetMode="External"/><Relationship Id="rId_hyperlink_373" Type="http://schemas.openxmlformats.org/officeDocument/2006/relationships/hyperlink" Target="https://nconnect.nicmar.ac.in/storage/profile/ProfilePhoto_P25700373_975146.jpg" TargetMode="External"/><Relationship Id="rId_hyperlink_374" Type="http://schemas.openxmlformats.org/officeDocument/2006/relationships/hyperlink" Target="https://nconnect.nicmar.ac.in/storage/profile/ProfilePhoto_P25700374_374629.jpg" TargetMode="External"/><Relationship Id="rId_hyperlink_375" Type="http://schemas.openxmlformats.org/officeDocument/2006/relationships/hyperlink" Target="https://nconnect.nicmar.ac.in/storage/profile/ProfilePhoto_P25700375_963157.jpg" TargetMode="External"/><Relationship Id="rId_hyperlink_376" Type="http://schemas.openxmlformats.org/officeDocument/2006/relationships/hyperlink" Target="https://nconnect.nicmar.ac.in/storage/profile/ProfilePhoto_P25700376_736185.jpg" TargetMode="External"/><Relationship Id="rId_hyperlink_377" Type="http://schemas.openxmlformats.org/officeDocument/2006/relationships/hyperlink" Target="https://nconnect.nicmar.ac.in/storage/profile/ProfilePhoto_P25700378_896243.jpg" TargetMode="External"/><Relationship Id="rId_hyperlink_378" Type="http://schemas.openxmlformats.org/officeDocument/2006/relationships/hyperlink" Target="https://nconnect.nicmar.ac.in/storage/profile/ProfilePhoto_P25700379_143659.jpg" TargetMode="External"/><Relationship Id="rId_hyperlink_379" Type="http://schemas.openxmlformats.org/officeDocument/2006/relationships/hyperlink" Target="https://nconnect.nicmar.ac.in/storage/profile/ProfilePhoto_P25700380_857362.jpg" TargetMode="External"/><Relationship Id="rId_hyperlink_380" Type="http://schemas.openxmlformats.org/officeDocument/2006/relationships/hyperlink" Target="https://nconnect.nicmar.ac.in/storage/profile/ProfilePhoto_P25700381_413569.jpg" TargetMode="External"/><Relationship Id="rId_hyperlink_381" Type="http://schemas.openxmlformats.org/officeDocument/2006/relationships/hyperlink" Target="https://nconnect.nicmar.ac.in/storage/profile/ProfilePhoto_P25700382_413295.jpg" TargetMode="External"/><Relationship Id="rId_hyperlink_382" Type="http://schemas.openxmlformats.org/officeDocument/2006/relationships/hyperlink" Target="https://nconnect.nicmar.ac.in/storage/profile/ProfilePhoto_P25700383_831254.jpg" TargetMode="External"/><Relationship Id="rId_hyperlink_383" Type="http://schemas.openxmlformats.org/officeDocument/2006/relationships/hyperlink" Target="https://nconnect.nicmar.ac.in/storage/profile/ProfilePhoto_P25700384_318246.jpg" TargetMode="External"/><Relationship Id="rId_hyperlink_384" Type="http://schemas.openxmlformats.org/officeDocument/2006/relationships/hyperlink" Target="https://nconnect.nicmar.ac.in/storage/profile/ProfilePhoto_P25700385_936548.jpg" TargetMode="External"/><Relationship Id="rId_hyperlink_385" Type="http://schemas.openxmlformats.org/officeDocument/2006/relationships/hyperlink" Target="https://nconnect.nicmar.ac.in/storage/profile/ProfilePhoto_P25700386_189623.jpg" TargetMode="External"/><Relationship Id="rId_hyperlink_386" Type="http://schemas.openxmlformats.org/officeDocument/2006/relationships/hyperlink" Target="https://nconnect.nicmar.ac.in/storage/profile/ProfilePhoto_P25700387_318952.jpg" TargetMode="External"/><Relationship Id="rId_hyperlink_387" Type="http://schemas.openxmlformats.org/officeDocument/2006/relationships/hyperlink" Target="https://nconnect.nicmar.ac.in/storage/profile/ProfilePhoto_P25700388_863591.jpg" TargetMode="External"/><Relationship Id="rId_hyperlink_388" Type="http://schemas.openxmlformats.org/officeDocument/2006/relationships/hyperlink" Target="https://nconnect.nicmar.ac.in/storage/profile/ProfilePhoto_P25700389_893247.jpg" TargetMode="External"/><Relationship Id="rId_hyperlink_389" Type="http://schemas.openxmlformats.org/officeDocument/2006/relationships/hyperlink" Target="https://nconnect.nicmar.ac.in/storage/profile/ProfilePhoto_P25700390_748536.jpg" TargetMode="External"/><Relationship Id="rId_hyperlink_390" Type="http://schemas.openxmlformats.org/officeDocument/2006/relationships/hyperlink" Target="https://nconnect.nicmar.ac.in/storage/profile/ProfilePhoto_P25700391_259437.jpg" TargetMode="External"/><Relationship Id="rId_hyperlink_391" Type="http://schemas.openxmlformats.org/officeDocument/2006/relationships/hyperlink" Target="https://nconnect.nicmar.ac.in/storage/profile/ProfilePhoto_P25700392_517643.jpg" TargetMode="External"/><Relationship Id="rId_hyperlink_392" Type="http://schemas.openxmlformats.org/officeDocument/2006/relationships/hyperlink" Target="https://nconnect.nicmar.ac.in/storage/profile/ProfilePhoto_P25700393_435691.jpg" TargetMode="External"/><Relationship Id="rId_hyperlink_393" Type="http://schemas.openxmlformats.org/officeDocument/2006/relationships/hyperlink" Target="https://nconnect.nicmar.ac.in/storage/profile/ProfilePhoto_P25700394_167349.jpg" TargetMode="External"/><Relationship Id="rId_hyperlink_394" Type="http://schemas.openxmlformats.org/officeDocument/2006/relationships/hyperlink" Target="https://nconnect.nicmar.ac.in/storage/profile/ProfilePhoto_P25700395_597218.jpg" TargetMode="External"/><Relationship Id="rId_hyperlink_395" Type="http://schemas.openxmlformats.org/officeDocument/2006/relationships/hyperlink" Target="https://nconnect.nicmar.ac.in/storage/profile/ProfilePhoto_P25700396_127438.jpg" TargetMode="External"/><Relationship Id="rId_hyperlink_396" Type="http://schemas.openxmlformats.org/officeDocument/2006/relationships/hyperlink" Target="https://nconnect.nicmar.ac.in/storage/profile/ProfilePhoto_P25700397_947536.jpg" TargetMode="External"/><Relationship Id="rId_hyperlink_397" Type="http://schemas.openxmlformats.org/officeDocument/2006/relationships/hyperlink" Target="https://nconnect.nicmar.ac.in/storage/profile/ProfilePhoto_P25700398_439256.jpg" TargetMode="External"/><Relationship Id="rId_hyperlink_398" Type="http://schemas.openxmlformats.org/officeDocument/2006/relationships/hyperlink" Target="https://nconnect.nicmar.ac.in/storage/profile/ProfilePhoto_P25700399_623841.jpg" TargetMode="External"/><Relationship Id="rId_hyperlink_399" Type="http://schemas.openxmlformats.org/officeDocument/2006/relationships/hyperlink" Target="https://nconnect.nicmar.ac.in/storage/profile/ProfilePhoto_P25700400_638452.jpg" TargetMode="External"/><Relationship Id="rId_hyperlink_400" Type="http://schemas.openxmlformats.org/officeDocument/2006/relationships/hyperlink" Target="https://nconnect.nicmar.ac.in/storage/profile/ProfilePhoto_P25700401_764591.jpg" TargetMode="External"/><Relationship Id="rId_hyperlink_401" Type="http://schemas.openxmlformats.org/officeDocument/2006/relationships/hyperlink" Target="https://nconnect.nicmar.ac.in/storage/profile/ProfilePhoto_P25700402_718253.jpg" TargetMode="External"/><Relationship Id="rId_hyperlink_402" Type="http://schemas.openxmlformats.org/officeDocument/2006/relationships/hyperlink" Target="https://nconnect.nicmar.ac.in/storage/profile/ProfilePhoto_P25700403_273965.jpg" TargetMode="External"/><Relationship Id="rId_hyperlink_403" Type="http://schemas.openxmlformats.org/officeDocument/2006/relationships/hyperlink" Target="https://nconnect.nicmar.ac.in/storage/profile/ProfilePhoto_P25700404_821954.jpg" TargetMode="External"/><Relationship Id="rId_hyperlink_404" Type="http://schemas.openxmlformats.org/officeDocument/2006/relationships/hyperlink" Target="https://nconnect.nicmar.ac.in/storage/profile/ProfilePhoto_P25700405_326714.jpg" TargetMode="External"/><Relationship Id="rId_hyperlink_405" Type="http://schemas.openxmlformats.org/officeDocument/2006/relationships/hyperlink" Target="https://nconnect.nicmar.ac.in/storage/profile/ProfilePhoto_P25700406_627149.jpg" TargetMode="External"/><Relationship Id="rId_hyperlink_406" Type="http://schemas.openxmlformats.org/officeDocument/2006/relationships/hyperlink" Target="https://nconnect.nicmar.ac.in/storage/profile/ProfilePhoto_P25700408_658397.jpg" TargetMode="External"/><Relationship Id="rId_hyperlink_407" Type="http://schemas.openxmlformats.org/officeDocument/2006/relationships/hyperlink" Target="https://nconnect.nicmar.ac.in/storage/profile/ProfilePhoto_P25700409_123987.jpg" TargetMode="External"/><Relationship Id="rId_hyperlink_408" Type="http://schemas.openxmlformats.org/officeDocument/2006/relationships/hyperlink" Target="https://nconnect.nicmar.ac.in/storage/profile/ProfilePhoto_P25700410_465312.jpg" TargetMode="External"/><Relationship Id="rId_hyperlink_409" Type="http://schemas.openxmlformats.org/officeDocument/2006/relationships/hyperlink" Target="https://nconnect.nicmar.ac.in/storage/profile/ProfilePhoto_P25700411_579146.jpg" TargetMode="External"/><Relationship Id="rId_hyperlink_410" Type="http://schemas.openxmlformats.org/officeDocument/2006/relationships/hyperlink" Target="https://nconnect.nicmar.ac.in/storage/profile/ProfilePhoto_P25700412_865394.jpg" TargetMode="External"/><Relationship Id="rId_hyperlink_411" Type="http://schemas.openxmlformats.org/officeDocument/2006/relationships/hyperlink" Target="https://nconnect.nicmar.ac.in/storage/profile/ProfilePhoto_P25700413_347268.jpg" TargetMode="External"/><Relationship Id="rId_hyperlink_412" Type="http://schemas.openxmlformats.org/officeDocument/2006/relationships/hyperlink" Target="https://nconnect.nicmar.ac.in/storage/profile/ProfilePhoto_P25700414_835714.jpg" TargetMode="External"/><Relationship Id="rId_hyperlink_413" Type="http://schemas.openxmlformats.org/officeDocument/2006/relationships/hyperlink" Target="https://nconnect.nicmar.ac.in/storage/profile/ProfilePhoto_P25700415_861234.jpg" TargetMode="External"/><Relationship Id="rId_hyperlink_414" Type="http://schemas.openxmlformats.org/officeDocument/2006/relationships/hyperlink" Target="https://nconnect.nicmar.ac.in/storage/profile/ProfilePhoto_P25700416_291456.jpg" TargetMode="External"/><Relationship Id="rId_hyperlink_415" Type="http://schemas.openxmlformats.org/officeDocument/2006/relationships/hyperlink" Target="https://nconnect.nicmar.ac.in/storage/profile/ProfilePhoto_P25700417_451862.jpg" TargetMode="External"/><Relationship Id="rId_hyperlink_416" Type="http://schemas.openxmlformats.org/officeDocument/2006/relationships/hyperlink" Target="https://nconnect.nicmar.ac.in/storage/profile/ProfilePhoto_P25700418_528617.jpg" TargetMode="External"/><Relationship Id="rId_hyperlink_417" Type="http://schemas.openxmlformats.org/officeDocument/2006/relationships/hyperlink" Target="https://nconnect.nicmar.ac.in/storage/profile/ProfilePhoto_P25700419_475938.jpg" TargetMode="External"/><Relationship Id="rId_hyperlink_418" Type="http://schemas.openxmlformats.org/officeDocument/2006/relationships/hyperlink" Target="https://nconnect.nicmar.ac.in/storage/profile/ProfilePhoto_P25700420_287643.jpg" TargetMode="External"/><Relationship Id="rId_hyperlink_419" Type="http://schemas.openxmlformats.org/officeDocument/2006/relationships/hyperlink" Target="https://nconnect.nicmar.ac.in/storage/profile/ProfilePhoto_P25700421_961834.jpg" TargetMode="External"/><Relationship Id="rId_hyperlink_420" Type="http://schemas.openxmlformats.org/officeDocument/2006/relationships/hyperlink" Target="https://nconnect.nicmar.ac.in/storage/profile/ProfilePhoto_P25700422_634185.jpg" TargetMode="External"/><Relationship Id="rId_hyperlink_421" Type="http://schemas.openxmlformats.org/officeDocument/2006/relationships/hyperlink" Target="https://nconnect.nicmar.ac.in/storage/profile/ProfilePhoto_P25700424_432817.jpg" TargetMode="External"/><Relationship Id="rId_hyperlink_422" Type="http://schemas.openxmlformats.org/officeDocument/2006/relationships/hyperlink" Target="https://nconnect.nicmar.ac.in/storage/profile/ProfilePhoto_P25700425_379841.jpg" TargetMode="External"/><Relationship Id="rId_hyperlink_423" Type="http://schemas.openxmlformats.org/officeDocument/2006/relationships/hyperlink" Target="https://nconnect.nicmar.ac.in/storage/profile/ProfilePhoto_P25700426_957814.jpg" TargetMode="External"/><Relationship Id="rId_hyperlink_424" Type="http://schemas.openxmlformats.org/officeDocument/2006/relationships/hyperlink" Target="https://nconnect.nicmar.ac.in/storage/profile/ProfilePhoto_P25700427_561483.jpg" TargetMode="External"/><Relationship Id="rId_hyperlink_425" Type="http://schemas.openxmlformats.org/officeDocument/2006/relationships/hyperlink" Target="https://nconnect.nicmar.ac.in/storage/profile/ProfilePhoto_P25700428_648923.jpg" TargetMode="External"/><Relationship Id="rId_hyperlink_426" Type="http://schemas.openxmlformats.org/officeDocument/2006/relationships/hyperlink" Target="https://nconnect.nicmar.ac.in/storage/profile/ProfilePhoto_P25700429_627859.jpg" TargetMode="External"/><Relationship Id="rId_hyperlink_427" Type="http://schemas.openxmlformats.org/officeDocument/2006/relationships/hyperlink" Target="https://nconnect.nicmar.ac.in/storage/profile/ProfilePhoto_P25700430_384715.jpg" TargetMode="External"/><Relationship Id="rId_hyperlink_428" Type="http://schemas.openxmlformats.org/officeDocument/2006/relationships/hyperlink" Target="https://nconnect.nicmar.ac.in/storage/profile/ProfilePhoto_P25700431_926174.jpg" TargetMode="External"/><Relationship Id="rId_hyperlink_429" Type="http://schemas.openxmlformats.org/officeDocument/2006/relationships/hyperlink" Target="https://nconnect.nicmar.ac.in/storage/profile/ProfilePhoto_P25700432_658914.jpg" TargetMode="External"/><Relationship Id="rId_hyperlink_430" Type="http://schemas.openxmlformats.org/officeDocument/2006/relationships/hyperlink" Target="https://nconnect.nicmar.ac.in/storage/profile/ProfilePhoto_P25700433_873965.jpg" TargetMode="External"/><Relationship Id="rId_hyperlink_431" Type="http://schemas.openxmlformats.org/officeDocument/2006/relationships/hyperlink" Target="https://nconnect.nicmar.ac.in/storage/profile/ProfilePhoto_P25700434_157429.jpg" TargetMode="External"/><Relationship Id="rId_hyperlink_432" Type="http://schemas.openxmlformats.org/officeDocument/2006/relationships/hyperlink" Target="https://nconnect.nicmar.ac.in/storage/profile/ProfilePhoto_P25700435_234951.jpg" TargetMode="External"/><Relationship Id="rId_hyperlink_433" Type="http://schemas.openxmlformats.org/officeDocument/2006/relationships/hyperlink" Target="https://nconnect.nicmar.ac.in/storage/profile/ProfilePhoto_P25700436_561982.jpg" TargetMode="External"/><Relationship Id="rId_hyperlink_434" Type="http://schemas.openxmlformats.org/officeDocument/2006/relationships/hyperlink" Target="https://nconnect.nicmar.ac.in/storage/profile/6a60b9b9a8f6d.png" TargetMode="External"/><Relationship Id="rId_hyperlink_435" Type="http://schemas.openxmlformats.org/officeDocument/2006/relationships/hyperlink" Target="https://nconnect.nicmar.ac.in/storage/profile/ProfilePhoto_P25700438_752491.jpg" TargetMode="External"/><Relationship Id="rId_hyperlink_436" Type="http://schemas.openxmlformats.org/officeDocument/2006/relationships/hyperlink" Target="https://nconnect.nicmar.ac.in/storage/profile/ProfilePhoto_P25700439_567421.jpg" TargetMode="External"/><Relationship Id="rId_hyperlink_437" Type="http://schemas.openxmlformats.org/officeDocument/2006/relationships/hyperlink" Target="https://nconnect.nicmar.ac.in/storage/profile/ProfilePhoto_P25700440_435897.jpg" TargetMode="External"/><Relationship Id="rId_hyperlink_438" Type="http://schemas.openxmlformats.org/officeDocument/2006/relationships/hyperlink" Target="https://nconnect.nicmar.ac.in/storage/profile/ProfilePhoto_P25700441_579146.jpg" TargetMode="External"/><Relationship Id="rId_hyperlink_439" Type="http://schemas.openxmlformats.org/officeDocument/2006/relationships/hyperlink" Target="https://nconnect.nicmar.ac.in/storage/profile/ProfilePhoto_P25700442_698427.jpg" TargetMode="External"/><Relationship Id="rId_hyperlink_440" Type="http://schemas.openxmlformats.org/officeDocument/2006/relationships/hyperlink" Target="https://nconnect.nicmar.ac.in/storage/profile/ProfilePhoto_P25700443_397648.jpg" TargetMode="External"/><Relationship Id="rId_hyperlink_441" Type="http://schemas.openxmlformats.org/officeDocument/2006/relationships/hyperlink" Target="https://nconnect.nicmar.ac.in/storage/profile/ProfilePhoto_P25700444_392578.jpg" TargetMode="External"/><Relationship Id="rId_hyperlink_442" Type="http://schemas.openxmlformats.org/officeDocument/2006/relationships/hyperlink" Target="https://nconnect.nicmar.ac.in/storage/profile/ProfilePhoto_P25700445_174289.jpg" TargetMode="External"/><Relationship Id="rId_hyperlink_443" Type="http://schemas.openxmlformats.org/officeDocument/2006/relationships/hyperlink" Target="https://nconnect.nicmar.ac.in/storage/profile/ProfilePhoto_P25700446_625137.jpg" TargetMode="External"/><Relationship Id="rId_hyperlink_444" Type="http://schemas.openxmlformats.org/officeDocument/2006/relationships/hyperlink" Target="https://nconnect.nicmar.ac.in/storage/profile/ProfilePhoto_P25700447_624183.jpg" TargetMode="External"/><Relationship Id="rId_hyperlink_445" Type="http://schemas.openxmlformats.org/officeDocument/2006/relationships/hyperlink" Target="https://nconnect.nicmar.ac.in/storage/profile/ProfilePhoto_P25700448_675934.jpg" TargetMode="External"/><Relationship Id="rId_hyperlink_446" Type="http://schemas.openxmlformats.org/officeDocument/2006/relationships/hyperlink" Target="https://nconnect.nicmar.ac.in/storage/profile/ProfilePhoto_P25700449_946731.jpg" TargetMode="External"/><Relationship Id="rId_hyperlink_447" Type="http://schemas.openxmlformats.org/officeDocument/2006/relationships/hyperlink" Target="https://nconnect.nicmar.ac.in/storage/profile/ProfilePhoto_P25700450_896257.jpg" TargetMode="External"/><Relationship Id="rId_hyperlink_448" Type="http://schemas.openxmlformats.org/officeDocument/2006/relationships/hyperlink" Target="https://nconnect.nicmar.ac.in/storage/profile/ProfilePhoto_P25700451_316894.jpg" TargetMode="External"/><Relationship Id="rId_hyperlink_449" Type="http://schemas.openxmlformats.org/officeDocument/2006/relationships/hyperlink" Target="https://nconnect.nicmar.ac.in/storage/profile/ProfilePhoto_P25700452_132786.jpg" TargetMode="External"/><Relationship Id="rId_hyperlink_450" Type="http://schemas.openxmlformats.org/officeDocument/2006/relationships/hyperlink" Target="https://nconnect.nicmar.ac.in/storage/profile/ProfilePhoto_P25700453_982314.jpg" TargetMode="External"/><Relationship Id="rId_hyperlink_451" Type="http://schemas.openxmlformats.org/officeDocument/2006/relationships/hyperlink" Target="https://nconnect.nicmar.ac.in/storage/profile/ProfilePhoto_P25700454_245369.jpg" TargetMode="External"/><Relationship Id="rId_hyperlink_452" Type="http://schemas.openxmlformats.org/officeDocument/2006/relationships/hyperlink" Target="https://nconnect.nicmar.ac.in/storage/profile/ProfilePhoto_P25700455_781534.jpg" TargetMode="External"/><Relationship Id="rId_hyperlink_453" Type="http://schemas.openxmlformats.org/officeDocument/2006/relationships/hyperlink" Target="https://nconnect.nicmar.ac.in/storage/profile/ProfilePhoto_P25700456_195823.jpg" TargetMode="External"/><Relationship Id="rId_hyperlink_454" Type="http://schemas.openxmlformats.org/officeDocument/2006/relationships/hyperlink" Target="https://nconnect.nicmar.ac.in/storage/profile/ProfilePhoto_P25700457_793145.jpg" TargetMode="External"/><Relationship Id="rId_hyperlink_455" Type="http://schemas.openxmlformats.org/officeDocument/2006/relationships/hyperlink" Target="https://nconnect.nicmar.ac.in/storage/profile/ProfilePhoto_P25700458_218963.jpg" TargetMode="External"/><Relationship Id="rId_hyperlink_456" Type="http://schemas.openxmlformats.org/officeDocument/2006/relationships/hyperlink" Target="https://nconnect.nicmar.ac.in/storage/profile/ProfilePhoto_P25700459_341756.jpg" TargetMode="External"/><Relationship Id="rId_hyperlink_457" Type="http://schemas.openxmlformats.org/officeDocument/2006/relationships/hyperlink" Target="https://nconnect.nicmar.ac.in/storage/profile/ProfilePhoto_P25700460_479385.jpg" TargetMode="External"/><Relationship Id="rId_hyperlink_458" Type="http://schemas.openxmlformats.org/officeDocument/2006/relationships/hyperlink" Target="https://nconnect.nicmar.ac.in/storage/profile/ProfilePhoto_P25700461_475293.jpg" TargetMode="External"/><Relationship Id="rId_hyperlink_459" Type="http://schemas.openxmlformats.org/officeDocument/2006/relationships/hyperlink" Target="https://nconnect.nicmar.ac.in/storage/profile/ProfilePhoto_P25700462_461837.jpg" TargetMode="External"/><Relationship Id="rId_hyperlink_460" Type="http://schemas.openxmlformats.org/officeDocument/2006/relationships/hyperlink" Target="https://nconnect.nicmar.ac.in/storage/profile/ProfilePhoto_P25700463_384196.jpg" TargetMode="External"/><Relationship Id="rId_hyperlink_461" Type="http://schemas.openxmlformats.org/officeDocument/2006/relationships/hyperlink" Target="https://nconnect.nicmar.ac.in/storage/profile/ProfilePhoto_P25700464_638752.jpg" TargetMode="External"/><Relationship Id="rId_hyperlink_462" Type="http://schemas.openxmlformats.org/officeDocument/2006/relationships/hyperlink" Target="https://nconnect.nicmar.ac.in/storage/profile/ProfilePhoto_P25700465_781254.jpg" TargetMode="External"/><Relationship Id="rId_hyperlink_463" Type="http://schemas.openxmlformats.org/officeDocument/2006/relationships/hyperlink" Target="https://nconnect.nicmar.ac.in/storage/profile/ProfilePhoto_P25700466_237615.jpg" TargetMode="External"/><Relationship Id="rId_hyperlink_464" Type="http://schemas.openxmlformats.org/officeDocument/2006/relationships/hyperlink" Target="https://nconnect.nicmar.ac.in/storage/profile/6a8f390e9099b.png" TargetMode="External"/><Relationship Id="rId_hyperlink_465" Type="http://schemas.openxmlformats.org/officeDocument/2006/relationships/hyperlink" Target="https://nconnect.nicmar.ac.in/storage/profile/ProfilePhoto_P25700468_981762.jpg" TargetMode="External"/><Relationship Id="rId_hyperlink_466" Type="http://schemas.openxmlformats.org/officeDocument/2006/relationships/hyperlink" Target="https://nconnect.nicmar.ac.in/storage/profile/ProfilePhoto_P25700470_843725.jpg" TargetMode="External"/><Relationship Id="rId_hyperlink_467" Type="http://schemas.openxmlformats.org/officeDocument/2006/relationships/hyperlink" Target="https://nconnect.nicmar.ac.in/storage/profile/ProfilePhoto_P25700471_756394.jpg" TargetMode="External"/><Relationship Id="rId_hyperlink_468" Type="http://schemas.openxmlformats.org/officeDocument/2006/relationships/hyperlink" Target="https://nconnect.nicmar.ac.in/storage/profile/ProfilePhoto_P25700472_563742.jpg" TargetMode="External"/><Relationship Id="rId_hyperlink_469" Type="http://schemas.openxmlformats.org/officeDocument/2006/relationships/hyperlink" Target="https://nconnect.nicmar.ac.in/storage/profile/ProfilePhoto_P25700473_341952.jpg" TargetMode="External"/><Relationship Id="rId_hyperlink_470" Type="http://schemas.openxmlformats.org/officeDocument/2006/relationships/hyperlink" Target="https://nconnect.nicmar.ac.in/storage/profile/ProfilePhoto_P25700474_921674.jpg" TargetMode="External"/><Relationship Id="rId_hyperlink_471" Type="http://schemas.openxmlformats.org/officeDocument/2006/relationships/hyperlink" Target="https://nconnect.nicmar.ac.in/storage/profile/ProfilePhoto_P25700475_418297.jpg" TargetMode="External"/><Relationship Id="rId_hyperlink_472" Type="http://schemas.openxmlformats.org/officeDocument/2006/relationships/hyperlink" Target="https://nconnect.nicmar.ac.in/storage/profile/ProfilePhoto_P25700476_725986.jpg" TargetMode="External"/><Relationship Id="rId_hyperlink_473" Type="http://schemas.openxmlformats.org/officeDocument/2006/relationships/hyperlink" Target="https://nconnect.nicmar.ac.in/storage/profile/ProfilePhoto_P25700477_351924.jpg" TargetMode="External"/><Relationship Id="rId_hyperlink_474" Type="http://schemas.openxmlformats.org/officeDocument/2006/relationships/hyperlink" Target="https://nconnect.nicmar.ac.in/storage/profile/ProfilePhoto_P25700478_489325.jpg" TargetMode="External"/><Relationship Id="rId_hyperlink_475" Type="http://schemas.openxmlformats.org/officeDocument/2006/relationships/hyperlink" Target="https://nconnect.nicmar.ac.in/storage/profile/ProfilePhoto_P25700479_865294.jpg" TargetMode="External"/><Relationship Id="rId_hyperlink_476" Type="http://schemas.openxmlformats.org/officeDocument/2006/relationships/hyperlink" Target="https://nconnect.nicmar.ac.in/storage/profile/ProfilePhoto_P25700480_918634.jpg" TargetMode="External"/><Relationship Id="rId_hyperlink_477" Type="http://schemas.openxmlformats.org/officeDocument/2006/relationships/hyperlink" Target="https://nconnect.nicmar.ac.in/storage/profile/ProfilePhoto_P25700481_569471.jpg" TargetMode="External"/><Relationship Id="rId_hyperlink_478" Type="http://schemas.openxmlformats.org/officeDocument/2006/relationships/hyperlink" Target="https://nconnect.nicmar.ac.in/storage/profile/ProfilePhoto_P25700482_765438.jpg" TargetMode="External"/><Relationship Id="rId_hyperlink_479" Type="http://schemas.openxmlformats.org/officeDocument/2006/relationships/hyperlink" Target="https://nconnect.nicmar.ac.in/storage/profile/ProfilePhoto_P25700483_846325.jpg" TargetMode="External"/><Relationship Id="rId_hyperlink_480" Type="http://schemas.openxmlformats.org/officeDocument/2006/relationships/hyperlink" Target="https://nconnect.nicmar.ac.in/storage/profile/ProfilePhoto_P25700484_254718.jpg" TargetMode="External"/><Relationship Id="rId_hyperlink_481" Type="http://schemas.openxmlformats.org/officeDocument/2006/relationships/hyperlink" Target="https://nconnect.nicmar.ac.in/storage/profile/ProfilePhoto_P25700485_129836.jpg" TargetMode="External"/><Relationship Id="rId_hyperlink_482" Type="http://schemas.openxmlformats.org/officeDocument/2006/relationships/hyperlink" Target="https://nconnect.nicmar.ac.in/storage/profile/ProfilePhoto_P25700486_729541.jpg" TargetMode="External"/><Relationship Id="rId_hyperlink_483" Type="http://schemas.openxmlformats.org/officeDocument/2006/relationships/hyperlink" Target="https://nconnect.nicmar.ac.in/storage/profile/ProfilePhoto_P25700487_319528.jpg" TargetMode="External"/><Relationship Id="rId_hyperlink_484" Type="http://schemas.openxmlformats.org/officeDocument/2006/relationships/hyperlink" Target="https://nconnect.nicmar.ac.in/storage/profile/ProfilePhoto_P25700488_586793.jpg" TargetMode="External"/><Relationship Id="rId_hyperlink_485" Type="http://schemas.openxmlformats.org/officeDocument/2006/relationships/hyperlink" Target="https://nconnect.nicmar.ac.in/storage/profile/ProfilePhoto_P25700489_381496.jpg" TargetMode="External"/><Relationship Id="rId_hyperlink_486" Type="http://schemas.openxmlformats.org/officeDocument/2006/relationships/hyperlink" Target="https://nconnect.nicmar.ac.in/storage/profile/ProfilePhoto_P25700490_978215.jpg" TargetMode="External"/><Relationship Id="rId_hyperlink_487" Type="http://schemas.openxmlformats.org/officeDocument/2006/relationships/hyperlink" Target="https://nconnect.nicmar.ac.in/storage/profile/ProfilePhoto_P25700491_473681.jpg" TargetMode="External"/><Relationship Id="rId_hyperlink_488" Type="http://schemas.openxmlformats.org/officeDocument/2006/relationships/hyperlink" Target="https://nconnect.nicmar.ac.in/storage/profile/ProfilePhoto_P25700492_715349.jpg" TargetMode="External"/><Relationship Id="rId_hyperlink_489" Type="http://schemas.openxmlformats.org/officeDocument/2006/relationships/hyperlink" Target="https://nconnect.nicmar.ac.in/storage/profile/ProfilePhoto_P25700493_683249.jpg" TargetMode="External"/><Relationship Id="rId_hyperlink_490" Type="http://schemas.openxmlformats.org/officeDocument/2006/relationships/hyperlink" Target="https://nconnect.nicmar.ac.in/storage/profile/ProfilePhoto_P25700494_935762.jpg" TargetMode="External"/><Relationship Id="rId_hyperlink_491" Type="http://schemas.openxmlformats.org/officeDocument/2006/relationships/hyperlink" Target="https://nconnect.nicmar.ac.in/storage/profile/ProfilePhoto_P25700495_845126.jpg" TargetMode="External"/><Relationship Id="rId_hyperlink_492" Type="http://schemas.openxmlformats.org/officeDocument/2006/relationships/hyperlink" Target="https://nconnect.nicmar.ac.in/storage/profile/ProfilePhoto_P25700496_421673.jpg" TargetMode="External"/><Relationship Id="rId_hyperlink_493" Type="http://schemas.openxmlformats.org/officeDocument/2006/relationships/hyperlink" Target="https://nconnect.nicmar.ac.in/storage/profile/ProfilePhoto_P25700497_461735.jpg" TargetMode="External"/><Relationship Id="rId_hyperlink_494" Type="http://schemas.openxmlformats.org/officeDocument/2006/relationships/hyperlink" Target="https://nconnect.nicmar.ac.in/storage/profile/ProfilePhoto_P25700498_498652.jpg" TargetMode="External"/><Relationship Id="rId_hyperlink_495" Type="http://schemas.openxmlformats.org/officeDocument/2006/relationships/hyperlink" Target="https://nconnect.nicmar.ac.in/storage/profile/ProfilePhoto_P25700499_582613.jpg" TargetMode="External"/><Relationship Id="rId_hyperlink_496" Type="http://schemas.openxmlformats.org/officeDocument/2006/relationships/hyperlink" Target="https://nconnect.nicmar.ac.in/storage/profile/ProfilePhoto_P25700500_496237.jpg" TargetMode="External"/><Relationship Id="rId_hyperlink_497" Type="http://schemas.openxmlformats.org/officeDocument/2006/relationships/hyperlink" Target="https://nconnect.nicmar.ac.in/storage/profile/ProfilePhoto_P25700501_931728.jpg" TargetMode="External"/><Relationship Id="rId_hyperlink_498" Type="http://schemas.openxmlformats.org/officeDocument/2006/relationships/hyperlink" Target="https://nconnect.nicmar.ac.in/storage/profile/ProfilePhoto_P25700085_527189.jpg" TargetMode="External"/><Relationship Id="rId_hyperlink_499" Type="http://schemas.openxmlformats.org/officeDocument/2006/relationships/hyperlink" Target="https://nconnect.nicmar.ac.in/storage/profile/ProfilePhoto_P25700096_597461.jpg" TargetMode="External"/><Relationship Id="rId_hyperlink_500" Type="http://schemas.openxmlformats.org/officeDocument/2006/relationships/hyperlink" Target="https://nconnect.nicmar.ac.in/storage/profile/ProfilePhoto_P25700115_875296.jpg" TargetMode="External"/><Relationship Id="rId_hyperlink_501" Type="http://schemas.openxmlformats.org/officeDocument/2006/relationships/hyperlink" Target="https://nconnect.nicmar.ac.in/storage/profile/ProfilePhoto_P25700502_714592.jpg" TargetMode="External"/><Relationship Id="rId_hyperlink_502" Type="http://schemas.openxmlformats.org/officeDocument/2006/relationships/hyperlink" Target="https://nconnect.nicmar.ac.in/storage/profile/ProfilePhoto_P25700503_618932.jpg" TargetMode="External"/><Relationship Id="rId_hyperlink_503" Type="http://schemas.openxmlformats.org/officeDocument/2006/relationships/hyperlink" Target="https://nconnect.nicmar.ac.in/storage/profile/ProfilePhoto_P25700504_842731.jpg" TargetMode="External"/><Relationship Id="rId_hyperlink_504" Type="http://schemas.openxmlformats.org/officeDocument/2006/relationships/hyperlink" Target="https://nconnect.nicmar.ac.in/storage/profile/ProfilePhoto_P25700505_843196.jpg" TargetMode="External"/><Relationship Id="rId_hyperlink_505" Type="http://schemas.openxmlformats.org/officeDocument/2006/relationships/hyperlink" Target="https://nconnect.nicmar.ac.in/storage/profile/ProfilePhoto_P25700506_716935.jpg" TargetMode="External"/><Relationship Id="rId_hyperlink_506" Type="http://schemas.openxmlformats.org/officeDocument/2006/relationships/hyperlink" Target="https://nconnect.nicmar.ac.in/storage/profile/ProfilePhoto_P25700507_128367.jpg" TargetMode="External"/><Relationship Id="rId_hyperlink_507" Type="http://schemas.openxmlformats.org/officeDocument/2006/relationships/hyperlink" Target="https://nconnect.nicmar.ac.in/storage/profile/ProfilePhoto_P25700508_846395.jpg" TargetMode="External"/><Relationship Id="rId_hyperlink_508" Type="http://schemas.openxmlformats.org/officeDocument/2006/relationships/hyperlink" Target="https://nconnect.nicmar.ac.in/storage/profile/ProfilePhoto_P25700510_528964.jpg" TargetMode="External"/><Relationship Id="rId_hyperlink_509" Type="http://schemas.openxmlformats.org/officeDocument/2006/relationships/hyperlink" Target="https://nconnect.nicmar.ac.in/storage/profile/ProfilePhoto_P25700511_196873.jpg" TargetMode="External"/><Relationship Id="rId_hyperlink_510" Type="http://schemas.openxmlformats.org/officeDocument/2006/relationships/hyperlink" Target="https://nconnect.nicmar.ac.in/storage/profile/ProfilePhoto_P25700512_136547.jpg" TargetMode="External"/><Relationship Id="rId_hyperlink_511" Type="http://schemas.openxmlformats.org/officeDocument/2006/relationships/hyperlink" Target="https://nconnect.nicmar.ac.in/storage/profile/ProfilePhoto_P25700513_941562.jpg" TargetMode="External"/><Relationship Id="rId_hyperlink_512" Type="http://schemas.openxmlformats.org/officeDocument/2006/relationships/hyperlink" Target="https://nconnect.nicmar.ac.in/storage/profile/ProfilePhoto_P25700514_542397.jpg" TargetMode="External"/><Relationship Id="rId_hyperlink_513" Type="http://schemas.openxmlformats.org/officeDocument/2006/relationships/hyperlink" Target="https://nconnect.nicmar.ac.in/storage/profile/ProfilePhoto_P25700515_823165.jpg" TargetMode="External"/><Relationship Id="rId_hyperlink_514" Type="http://schemas.openxmlformats.org/officeDocument/2006/relationships/hyperlink" Target="https://nconnect.nicmar.ac.in/storage/profile/ProfilePhoto_P25700516_637824.jpg" TargetMode="External"/><Relationship Id="rId_hyperlink_515" Type="http://schemas.openxmlformats.org/officeDocument/2006/relationships/hyperlink" Target="https://nconnect.nicmar.ac.in/storage/profile/ProfilePhoto_P25700518_691543.jpg" TargetMode="External"/><Relationship Id="rId_hyperlink_516" Type="http://schemas.openxmlformats.org/officeDocument/2006/relationships/hyperlink" Target="https://nconnect.nicmar.ac.in/storage/profile/ProfilePhoto_P25700519_691532.jpg" TargetMode="External"/><Relationship Id="rId_hyperlink_517" Type="http://schemas.openxmlformats.org/officeDocument/2006/relationships/hyperlink" Target="https://nconnect.nicmar.ac.in/storage/profile/ProfilePhoto_P25700520_925738.jpg" TargetMode="External"/><Relationship Id="rId_hyperlink_518" Type="http://schemas.openxmlformats.org/officeDocument/2006/relationships/hyperlink" Target="https://nconnect.nicmar.ac.in/storage/profile/ProfilePhoto_P25700521_734961.jpg" TargetMode="External"/><Relationship Id="rId_hyperlink_519" Type="http://schemas.openxmlformats.org/officeDocument/2006/relationships/hyperlink" Target="https://nconnect.nicmar.ac.in/storage/profile/ProfilePhoto_P25700522_658429.jpg" TargetMode="External"/><Relationship Id="rId_hyperlink_520" Type="http://schemas.openxmlformats.org/officeDocument/2006/relationships/hyperlink" Target="https://nconnect.nicmar.ac.in/storage/profile/ProfilePhoto_P25700524_859374.jpg" TargetMode="External"/><Relationship Id="rId_hyperlink_521" Type="http://schemas.openxmlformats.org/officeDocument/2006/relationships/hyperlink" Target="https://nconnect.nicmar.ac.in/storage/profile/ProfilePhoto_P25700525_376924.jpg" TargetMode="External"/><Relationship Id="rId_hyperlink_522" Type="http://schemas.openxmlformats.org/officeDocument/2006/relationships/hyperlink" Target="https://nconnect.nicmar.ac.in/storage/profile/ProfilePhoto_P25700526_147892.jpg" TargetMode="External"/><Relationship Id="rId_hyperlink_523" Type="http://schemas.openxmlformats.org/officeDocument/2006/relationships/hyperlink" Target="https://nconnect.nicmar.ac.in/storage/profile/ProfilePhoto_P25700527_758192.jpg" TargetMode="External"/><Relationship Id="rId_hyperlink_524" Type="http://schemas.openxmlformats.org/officeDocument/2006/relationships/hyperlink" Target="https://nconnect.nicmar.ac.in/storage/profile/ProfilePhoto_P25700528_814675.jpg" TargetMode="External"/><Relationship Id="rId_hyperlink_525" Type="http://schemas.openxmlformats.org/officeDocument/2006/relationships/hyperlink" Target="https://nconnect.nicmar.ac.in/storage/profile/ProfilePhoto_P25700529_642317.jpg" TargetMode="External"/><Relationship Id="rId_hyperlink_526" Type="http://schemas.openxmlformats.org/officeDocument/2006/relationships/hyperlink" Target="https://nconnect.nicmar.ac.in/storage/profile/ProfilePhoto_P25700530_647152.jpg" TargetMode="External"/><Relationship Id="rId_hyperlink_527" Type="http://schemas.openxmlformats.org/officeDocument/2006/relationships/hyperlink" Target="https://nconnect.nicmar.ac.in/storage/profile/ProfilePhoto_P25700531_843916.jpg" TargetMode="External"/><Relationship Id="rId_hyperlink_528" Type="http://schemas.openxmlformats.org/officeDocument/2006/relationships/hyperlink" Target="https://nconnect.nicmar.ac.in/storage/profile/ProfilePhoto_P25700532_741398.jpg" TargetMode="External"/><Relationship Id="rId_hyperlink_529" Type="http://schemas.openxmlformats.org/officeDocument/2006/relationships/hyperlink" Target="https://nconnect.nicmar.ac.in/storage/profile/ProfilePhoto_P25700533_726583.jpg" TargetMode="External"/><Relationship Id="rId_hyperlink_530" Type="http://schemas.openxmlformats.org/officeDocument/2006/relationships/hyperlink" Target="https://nconnect.nicmar.ac.in/storage/profile/ProfilePhoto_P25700534_342198.jpg" TargetMode="External"/><Relationship Id="rId_hyperlink_531" Type="http://schemas.openxmlformats.org/officeDocument/2006/relationships/hyperlink" Target="https://nconnect.nicmar.ac.in/storage/profile/ProfilePhoto_P25700535_218456.jpg" TargetMode="External"/><Relationship Id="rId_hyperlink_532" Type="http://schemas.openxmlformats.org/officeDocument/2006/relationships/hyperlink" Target="https://nconnect.nicmar.ac.in/storage/profile/ProfilePhoto_P25700536_349728.jpg" TargetMode="External"/><Relationship Id="rId_hyperlink_533" Type="http://schemas.openxmlformats.org/officeDocument/2006/relationships/hyperlink" Target="https://nconnect.nicmar.ac.in/storage/profile/ProfilePhoto_P25700537_596821.jpg" TargetMode="External"/><Relationship Id="rId_hyperlink_534" Type="http://schemas.openxmlformats.org/officeDocument/2006/relationships/hyperlink" Target="https://nconnect.nicmar.ac.in/storage/profile/ProfilePhoto_P25700538_648517.jpg" TargetMode="External"/><Relationship Id="rId_hyperlink_535" Type="http://schemas.openxmlformats.org/officeDocument/2006/relationships/hyperlink" Target="https://nconnect.nicmar.ac.in/storage/profile/ProfilePhoto_P25700539_189627.jpg" TargetMode="External"/><Relationship Id="rId_hyperlink_536" Type="http://schemas.openxmlformats.org/officeDocument/2006/relationships/hyperlink" Target="https://nconnect.nicmar.ac.in/storage/profile/ProfilePhoto_P25700540_731968.jpg" TargetMode="External"/><Relationship Id="rId_hyperlink_537" Type="http://schemas.openxmlformats.org/officeDocument/2006/relationships/hyperlink" Target="https://nconnect.nicmar.ac.in/storage/profile/ProfilePhoto_P25700541_148765.jpg" TargetMode="External"/><Relationship Id="rId_hyperlink_538" Type="http://schemas.openxmlformats.org/officeDocument/2006/relationships/hyperlink" Target="https://nconnect.nicmar.ac.in/storage/profile/ProfilePhoto_P25700542_891354.jpg" TargetMode="External"/><Relationship Id="rId_hyperlink_539" Type="http://schemas.openxmlformats.org/officeDocument/2006/relationships/hyperlink" Target="https://nconnect.nicmar.ac.in/storage/profile/ProfilePhoto_P25700543_269387.jpg" TargetMode="External"/><Relationship Id="rId_hyperlink_540" Type="http://schemas.openxmlformats.org/officeDocument/2006/relationships/hyperlink" Target="https://nconnect.nicmar.ac.in/storage/profile/ProfilePhoto_P25700544_418352.jpg" TargetMode="External"/><Relationship Id="rId_hyperlink_541" Type="http://schemas.openxmlformats.org/officeDocument/2006/relationships/hyperlink" Target="https://nconnect.nicmar.ac.in/storage/profile/ProfilePhoto_P25700545_567941.jpg" TargetMode="External"/><Relationship Id="rId_hyperlink_542" Type="http://schemas.openxmlformats.org/officeDocument/2006/relationships/hyperlink" Target="https://nconnect.nicmar.ac.in/storage/profile/ProfilePhoto_P25700546_862451.jpg" TargetMode="External"/><Relationship Id="rId_hyperlink_543" Type="http://schemas.openxmlformats.org/officeDocument/2006/relationships/hyperlink" Target="https://nconnect.nicmar.ac.in/storage/profile/ProfilePhoto_P25700547_673924.jpg" TargetMode="External"/><Relationship Id="rId_hyperlink_544" Type="http://schemas.openxmlformats.org/officeDocument/2006/relationships/hyperlink" Target="https://nconnect.nicmar.ac.in/storage/profile/ProfilePhoto_P25700548_318946.jpg" TargetMode="External"/><Relationship Id="rId_hyperlink_545" Type="http://schemas.openxmlformats.org/officeDocument/2006/relationships/hyperlink" Target="https://nconnect.nicmar.ac.in/storage/profile/ProfilePhoto_P25700549_864517.jpg" TargetMode="External"/><Relationship Id="rId_hyperlink_546" Type="http://schemas.openxmlformats.org/officeDocument/2006/relationships/hyperlink" Target="https://nconnect.nicmar.ac.in/storage/profile/ProfilePhoto_P25700550_952413.jpg" TargetMode="External"/><Relationship Id="rId_hyperlink_547" Type="http://schemas.openxmlformats.org/officeDocument/2006/relationships/hyperlink" Target="https://nconnect.nicmar.ac.in/storage/profile/ProfilePhoto_P25700551_586341.jpg" TargetMode="External"/><Relationship Id="rId_hyperlink_548" Type="http://schemas.openxmlformats.org/officeDocument/2006/relationships/hyperlink" Target="https://nconnect.nicmar.ac.in/storage/profile/ProfilePhoto_P25700552_231985.jpg" TargetMode="External"/><Relationship Id="rId_hyperlink_549" Type="http://schemas.openxmlformats.org/officeDocument/2006/relationships/hyperlink" Target="https://nconnect.nicmar.ac.in/storage/profile/ProfilePhoto_P25700553_372649.jpg" TargetMode="External"/><Relationship Id="rId_hyperlink_550" Type="http://schemas.openxmlformats.org/officeDocument/2006/relationships/hyperlink" Target="https://nconnect.nicmar.ac.in/storage/profile/ProfilePhoto_P25700554_582394.jpg" TargetMode="External"/><Relationship Id="rId_hyperlink_551" Type="http://schemas.openxmlformats.org/officeDocument/2006/relationships/hyperlink" Target="https://nconnect.nicmar.ac.in/storage/profile/ProfilePhoto_P25700555_613982.jpg" TargetMode="External"/><Relationship Id="rId_hyperlink_552" Type="http://schemas.openxmlformats.org/officeDocument/2006/relationships/hyperlink" Target="https://nconnect.nicmar.ac.in/storage/profile/ProfilePhoto_P25700557_162945.jpg" TargetMode="External"/><Relationship Id="rId_hyperlink_553" Type="http://schemas.openxmlformats.org/officeDocument/2006/relationships/hyperlink" Target="https://nconnect.nicmar.ac.in/storage/profile/ProfilePhoto_P25700558_745321.jpg" TargetMode="External"/><Relationship Id="rId_hyperlink_554" Type="http://schemas.openxmlformats.org/officeDocument/2006/relationships/hyperlink" Target="https://nconnect.nicmar.ac.in/storage/profile/ProfilePhoto_P25700559_513428.jpg" TargetMode="External"/><Relationship Id="rId_hyperlink_555" Type="http://schemas.openxmlformats.org/officeDocument/2006/relationships/hyperlink" Target="https://nconnect.nicmar.ac.in/storage/profile/ProfilePhoto_P25700560_126375.jpg" TargetMode="External"/><Relationship Id="rId_hyperlink_556" Type="http://schemas.openxmlformats.org/officeDocument/2006/relationships/hyperlink" Target="https://nconnect.nicmar.ac.in/storage/profile/ProfilePhoto_P25700561_948516.jpg" TargetMode="External"/><Relationship Id="rId_hyperlink_557" Type="http://schemas.openxmlformats.org/officeDocument/2006/relationships/hyperlink" Target="https://nconnect.nicmar.ac.in/storage/profile/ProfilePhoto_P25700562_857264.jpg" TargetMode="External"/><Relationship Id="rId_hyperlink_558" Type="http://schemas.openxmlformats.org/officeDocument/2006/relationships/hyperlink" Target="https://nconnect.nicmar.ac.in/storage/profile/ProfilePhoto_P25700563_865279.jpg" TargetMode="External"/><Relationship Id="rId_hyperlink_559" Type="http://schemas.openxmlformats.org/officeDocument/2006/relationships/hyperlink" Target="https://nconnect.nicmar.ac.in/storage/profile/ProfilePhoto_P25700564_238796.jpg" TargetMode="External"/><Relationship Id="rId_hyperlink_560" Type="http://schemas.openxmlformats.org/officeDocument/2006/relationships/hyperlink" Target="https://nconnect.nicmar.ac.in/storage/profile/ProfilePhoto_P25700565_458762.jpg" TargetMode="External"/><Relationship Id="rId_hyperlink_561" Type="http://schemas.openxmlformats.org/officeDocument/2006/relationships/hyperlink" Target="https://nconnect.nicmar.ac.in/storage/profile/ProfilePhoto_P25700566_326841.jpg" TargetMode="External"/><Relationship Id="rId_hyperlink_562" Type="http://schemas.openxmlformats.org/officeDocument/2006/relationships/hyperlink" Target="https://nconnect.nicmar.ac.in/storage/profile/ProfilePhoto_P25700567_194573.jpg" TargetMode="External"/><Relationship Id="rId_hyperlink_563" Type="http://schemas.openxmlformats.org/officeDocument/2006/relationships/hyperlink" Target="https://nconnect.nicmar.ac.in/storage/profile/ProfilePhoto_P25700568_126738.jpg" TargetMode="External"/><Relationship Id="rId_hyperlink_564" Type="http://schemas.openxmlformats.org/officeDocument/2006/relationships/hyperlink" Target="https://nconnect.nicmar.ac.in/storage/profile/ProfilePhoto_P25700569_579436.jpg" TargetMode="External"/><Relationship Id="rId_hyperlink_565" Type="http://schemas.openxmlformats.org/officeDocument/2006/relationships/hyperlink" Target="https://nconnect.nicmar.ac.in/storage/profile/ProfilePhoto_P25700570_237541.jpg" TargetMode="External"/><Relationship Id="rId_hyperlink_566" Type="http://schemas.openxmlformats.org/officeDocument/2006/relationships/hyperlink" Target="https://nconnect.nicmar.ac.in/storage/profile/ProfilePhoto_P25700571_859736.jpg" TargetMode="External"/><Relationship Id="rId_hyperlink_567" Type="http://schemas.openxmlformats.org/officeDocument/2006/relationships/hyperlink" Target="https://nconnect.nicmar.ac.in/storage/profile/ProfilePhoto_P25700572_925681.jpg" TargetMode="External"/><Relationship Id="rId_hyperlink_568" Type="http://schemas.openxmlformats.org/officeDocument/2006/relationships/hyperlink" Target="https://nconnect.nicmar.ac.in/storage/profile/ProfilePhoto_P25700573_289415.jpg" TargetMode="External"/><Relationship Id="rId_hyperlink_569" Type="http://schemas.openxmlformats.org/officeDocument/2006/relationships/hyperlink" Target="https://nconnect.nicmar.ac.in/storage/profile/ProfilePhoto_P25700574_937814.jpg" TargetMode="External"/><Relationship Id="rId_hyperlink_570" Type="http://schemas.openxmlformats.org/officeDocument/2006/relationships/hyperlink" Target="https://nconnect.nicmar.ac.in/storage/profile/ProfilePhoto_P25700575_561478.jpg" TargetMode="External"/><Relationship Id="rId_hyperlink_571" Type="http://schemas.openxmlformats.org/officeDocument/2006/relationships/hyperlink" Target="https://nconnect.nicmar.ac.in/storage/profile/ProfilePhoto_P25700576_435176.jpg" TargetMode="External"/><Relationship Id="rId_hyperlink_572" Type="http://schemas.openxmlformats.org/officeDocument/2006/relationships/hyperlink" Target="https://nconnect.nicmar.ac.in/storage/profile/ProfilePhoto_P25700577_523498.jpg" TargetMode="External"/><Relationship Id="rId_hyperlink_573" Type="http://schemas.openxmlformats.org/officeDocument/2006/relationships/hyperlink" Target="https://nconnect.nicmar.ac.in/storage/profile/ProfilePhoto_P25700578_347951.jpg" TargetMode="External"/><Relationship Id="rId_hyperlink_574" Type="http://schemas.openxmlformats.org/officeDocument/2006/relationships/hyperlink" Target="https://nconnect.nicmar.ac.in/storage/profile/ProfilePhoto_P25700579_237859.jpg" TargetMode="External"/><Relationship Id="rId_hyperlink_575" Type="http://schemas.openxmlformats.org/officeDocument/2006/relationships/hyperlink" Target="https://nconnect.nicmar.ac.in/storage/profile/ProfilePhoto_P25700580_295186.jpg" TargetMode="External"/><Relationship Id="rId_hyperlink_576" Type="http://schemas.openxmlformats.org/officeDocument/2006/relationships/hyperlink" Target="https://nconnect.nicmar.ac.in/storage/profile/ProfilePhoto_P25700581_985367.jpg" TargetMode="External"/><Relationship Id="rId_hyperlink_577" Type="http://schemas.openxmlformats.org/officeDocument/2006/relationships/hyperlink" Target="https://nconnect.nicmar.ac.in/storage/profile/ProfilePhoto_P25700582_791845.jpg" TargetMode="External"/><Relationship Id="rId_hyperlink_578" Type="http://schemas.openxmlformats.org/officeDocument/2006/relationships/hyperlink" Target="https://nconnect.nicmar.ac.in/storage/profile/ProfilePhoto_P25700583_527169.jpg" TargetMode="External"/><Relationship Id="rId_hyperlink_579" Type="http://schemas.openxmlformats.org/officeDocument/2006/relationships/hyperlink" Target="https://nconnect.nicmar.ac.in/storage/profile/ProfilePhoto_P25700585_357829.jpg" TargetMode="External"/><Relationship Id="rId_hyperlink_580" Type="http://schemas.openxmlformats.org/officeDocument/2006/relationships/hyperlink" Target="https://nconnect.nicmar.ac.in/storage/profile/ProfilePhoto_P25700586_826451.jpg" TargetMode="External"/><Relationship Id="rId_hyperlink_581" Type="http://schemas.openxmlformats.org/officeDocument/2006/relationships/hyperlink" Target="https://nconnect.nicmar.ac.in/storage/profile/ProfilePhoto_P25700587_216584.jpg" TargetMode="External"/><Relationship Id="rId_hyperlink_582" Type="http://schemas.openxmlformats.org/officeDocument/2006/relationships/hyperlink" Target="https://nconnect.nicmar.ac.in/storage/profile/ProfilePhoto_P25700588_849236.jpg" TargetMode="External"/><Relationship Id="rId_hyperlink_583" Type="http://schemas.openxmlformats.org/officeDocument/2006/relationships/hyperlink" Target="https://nconnect.nicmar.ac.in/storage/profile/ProfilePhoto_P25700589_315784.jpg" TargetMode="External"/><Relationship Id="rId_hyperlink_584" Type="http://schemas.openxmlformats.org/officeDocument/2006/relationships/hyperlink" Target="https://nconnect.nicmar.ac.in/storage/profile/ProfilePhoto_P25700590_136924.jpg" TargetMode="External"/><Relationship Id="rId_hyperlink_585" Type="http://schemas.openxmlformats.org/officeDocument/2006/relationships/hyperlink" Target="https://nconnect.nicmar.ac.in/storage/profile/ProfilePhoto_P25700591_413927.jpg" TargetMode="External"/><Relationship Id="rId_hyperlink_586" Type="http://schemas.openxmlformats.org/officeDocument/2006/relationships/hyperlink" Target="https://nconnect.nicmar.ac.in/storage/profile/ProfilePhoto_P25700592_416579.jpg" TargetMode="External"/><Relationship Id="rId_hyperlink_587" Type="http://schemas.openxmlformats.org/officeDocument/2006/relationships/hyperlink" Target="https://nconnect.nicmar.ac.in/storage/profile/ProfilePhoto_P25700593_914835.jpg" TargetMode="External"/><Relationship Id="rId_hyperlink_588" Type="http://schemas.openxmlformats.org/officeDocument/2006/relationships/hyperlink" Target="https://nconnect.nicmar.ac.in/storage/profile/ProfilePhoto_P25700594_156829.jpg" TargetMode="External"/><Relationship Id="rId_hyperlink_589" Type="http://schemas.openxmlformats.org/officeDocument/2006/relationships/hyperlink" Target="https://nconnect.nicmar.ac.in/storage/profile/ProfilePhoto_P25700595_861492.jpg" TargetMode="External"/><Relationship Id="rId_hyperlink_590" Type="http://schemas.openxmlformats.org/officeDocument/2006/relationships/hyperlink" Target="https://nconnect.nicmar.ac.in/storage/profile/ProfilePhoto_P25700596_394516.jpg" TargetMode="External"/><Relationship Id="rId_hyperlink_591" Type="http://schemas.openxmlformats.org/officeDocument/2006/relationships/hyperlink" Target="https://nconnect.nicmar.ac.in/storage/profile/ProfilePhoto_P25700597_285793.jpg" TargetMode="External"/><Relationship Id="rId_hyperlink_592" Type="http://schemas.openxmlformats.org/officeDocument/2006/relationships/hyperlink" Target="https://nconnect.nicmar.ac.in/storage/profile/ProfilePhoto_P25700598_387159.jpg" TargetMode="External"/><Relationship Id="rId_hyperlink_593" Type="http://schemas.openxmlformats.org/officeDocument/2006/relationships/hyperlink" Target="https://nconnect.nicmar.ac.in/storage/profile/ProfilePhoto_P25700599_658143.jpg" TargetMode="External"/><Relationship Id="rId_hyperlink_594" Type="http://schemas.openxmlformats.org/officeDocument/2006/relationships/hyperlink" Target="https://nconnect.nicmar.ac.in/storage/profile/ProfilePhoto_P25700600_762981.jpg" TargetMode="External"/><Relationship Id="rId_hyperlink_595" Type="http://schemas.openxmlformats.org/officeDocument/2006/relationships/hyperlink" Target="https://nconnect.nicmar.ac.in/storage/profile/ProfilePhoto_P25700601_924578.jpg" TargetMode="External"/><Relationship Id="rId_hyperlink_596" Type="http://schemas.openxmlformats.org/officeDocument/2006/relationships/hyperlink" Target="https://nconnect.nicmar.ac.in/storage/profile/ProfilePhoto_P25700602_218567.jpg" TargetMode="External"/><Relationship Id="rId_hyperlink_597" Type="http://schemas.openxmlformats.org/officeDocument/2006/relationships/hyperlink" Target="https://nconnect.nicmar.ac.in/storage/profile/ProfilePhoto_P25700603_281359.jpg" TargetMode="External"/><Relationship Id="rId_hyperlink_598" Type="http://schemas.openxmlformats.org/officeDocument/2006/relationships/hyperlink" Target="https://nconnect.nicmar.ac.in/storage/profile/ProfilePhoto_P25700604_461283.jpg" TargetMode="External"/><Relationship Id="rId_hyperlink_599" Type="http://schemas.openxmlformats.org/officeDocument/2006/relationships/hyperlink" Target="https://nconnect.nicmar.ac.in/storage/profile/ProfilePhoto_P25700605_372681.jpg" TargetMode="External"/><Relationship Id="rId_hyperlink_600" Type="http://schemas.openxmlformats.org/officeDocument/2006/relationships/hyperlink" Target="https://nconnect.nicmar.ac.in/storage/profile/ProfilePhoto_P25700606_536718.jpg" TargetMode="External"/><Relationship Id="rId_hyperlink_601" Type="http://schemas.openxmlformats.org/officeDocument/2006/relationships/hyperlink" Target="https://nconnect.nicmar.ac.in/storage/profile/ProfilePhoto_P25700607_719423.jpg" TargetMode="External"/><Relationship Id="rId_hyperlink_602" Type="http://schemas.openxmlformats.org/officeDocument/2006/relationships/hyperlink" Target="https://nconnect.nicmar.ac.in/storage/profile/ProfilePhoto_P25700608_264975.jpg" TargetMode="External"/><Relationship Id="rId_hyperlink_603" Type="http://schemas.openxmlformats.org/officeDocument/2006/relationships/hyperlink" Target="https://nconnect.nicmar.ac.in/storage/profile/ProfilePhoto_P25700609_852341.jpg" TargetMode="External"/><Relationship Id="rId_hyperlink_604" Type="http://schemas.openxmlformats.org/officeDocument/2006/relationships/hyperlink" Target="https://nconnect.nicmar.ac.in/storage/profile/ProfilePhoto_P25700610_143892.jpg" TargetMode="External"/><Relationship Id="rId_hyperlink_605" Type="http://schemas.openxmlformats.org/officeDocument/2006/relationships/hyperlink" Target="https://nconnect.nicmar.ac.in/storage/profile/ProfilePhoto_P25700611_842917.jpg" TargetMode="External"/><Relationship Id="rId_hyperlink_606" Type="http://schemas.openxmlformats.org/officeDocument/2006/relationships/hyperlink" Target="https://nconnect.nicmar.ac.in/storage/profile/ProfilePhoto_P25700612_964275.jpg" TargetMode="External"/><Relationship Id="rId_hyperlink_607" Type="http://schemas.openxmlformats.org/officeDocument/2006/relationships/hyperlink" Target="https://nconnect.nicmar.ac.in/storage/profile/ProfilePhoto_P25700613_197586.jpg" TargetMode="External"/><Relationship Id="rId_hyperlink_608" Type="http://schemas.openxmlformats.org/officeDocument/2006/relationships/hyperlink" Target="https://nconnect.nicmar.ac.in/storage/profile/ProfilePhoto_P25700614_342179.jpg" TargetMode="External"/><Relationship Id="rId_hyperlink_609" Type="http://schemas.openxmlformats.org/officeDocument/2006/relationships/hyperlink" Target="https://nconnect.nicmar.ac.in/storage/profile/ProfilePhoto_P25700615_362518.jpg" TargetMode="External"/><Relationship Id="rId_hyperlink_610" Type="http://schemas.openxmlformats.org/officeDocument/2006/relationships/hyperlink" Target="https://nconnect.nicmar.ac.in/storage/profile/ProfilePhoto_P25700617_543618.jpg" TargetMode="External"/><Relationship Id="rId_hyperlink_611" Type="http://schemas.openxmlformats.org/officeDocument/2006/relationships/hyperlink" Target="https://nconnect.nicmar.ac.in/storage/profile/6a9000d22365f.png" TargetMode="External"/><Relationship Id="rId_hyperlink_612" Type="http://schemas.openxmlformats.org/officeDocument/2006/relationships/hyperlink" Target="https://nconnect.nicmar.ac.in/storage/profile/ProfilePhoto_P25700619_852364.jpg" TargetMode="External"/><Relationship Id="rId_hyperlink_613" Type="http://schemas.openxmlformats.org/officeDocument/2006/relationships/hyperlink" Target="https://nconnect.nicmar.ac.in/storage/profile/ProfilePhoto_P25700620_259716.jpg" TargetMode="External"/><Relationship Id="rId_hyperlink_614" Type="http://schemas.openxmlformats.org/officeDocument/2006/relationships/hyperlink" Target="https://nconnect.nicmar.ac.in/storage/profile/ProfilePhoto_P25700621_452871.jpg" TargetMode="External"/><Relationship Id="rId_hyperlink_615" Type="http://schemas.openxmlformats.org/officeDocument/2006/relationships/hyperlink" Target="https://nconnect.nicmar.ac.in/storage/profile/ProfilePhoto_P25700622_639152.jpg" TargetMode="External"/><Relationship Id="rId_hyperlink_616" Type="http://schemas.openxmlformats.org/officeDocument/2006/relationships/hyperlink" Target="https://nconnect.nicmar.ac.in/storage/profile/ProfilePhoto_P25700623_438172.jpg" TargetMode="External"/><Relationship Id="rId_hyperlink_617" Type="http://schemas.openxmlformats.org/officeDocument/2006/relationships/hyperlink" Target="https://nconnect.nicmar.ac.in/storage/profile/ProfilePhoto_P25700624_834795.jpg" TargetMode="External"/><Relationship Id="rId_hyperlink_618" Type="http://schemas.openxmlformats.org/officeDocument/2006/relationships/hyperlink" Target="https://nconnect.nicmar.ac.in/storage/profile/ProfilePhoto_P25700626_346895.jpg" TargetMode="External"/><Relationship Id="rId_hyperlink_619" Type="http://schemas.openxmlformats.org/officeDocument/2006/relationships/hyperlink" Target="https://nconnect.nicmar.ac.in/storage/profile/ProfilePhoto_P25700627_278145.jpg" TargetMode="External"/><Relationship Id="rId_hyperlink_620" Type="http://schemas.openxmlformats.org/officeDocument/2006/relationships/hyperlink" Target="https://nconnect.nicmar.ac.in/storage/profile/ProfilePhoto_P25700628_692713.jpg" TargetMode="External"/><Relationship Id="rId_hyperlink_621" Type="http://schemas.openxmlformats.org/officeDocument/2006/relationships/hyperlink" Target="https://nconnect.nicmar.ac.in/storage/profile/ProfilePhoto_P25700629_729153.jpg" TargetMode="External"/><Relationship Id="rId_hyperlink_622" Type="http://schemas.openxmlformats.org/officeDocument/2006/relationships/hyperlink" Target="https://nconnect.nicmar.ac.in/storage/profile/ProfilePhoto_P25700630_165892.jpg" TargetMode="External"/><Relationship Id="rId_hyperlink_623" Type="http://schemas.openxmlformats.org/officeDocument/2006/relationships/hyperlink" Target="https://nconnect.nicmar.ac.in/storage/profile/ProfilePhoto_P25700631_576189.jpg" TargetMode="External"/><Relationship Id="rId_hyperlink_624" Type="http://schemas.openxmlformats.org/officeDocument/2006/relationships/hyperlink" Target="https://nconnect.nicmar.ac.in/storage/profile/ProfilePhoto_P25700632_185743.jpg" TargetMode="External"/><Relationship Id="rId_hyperlink_625" Type="http://schemas.openxmlformats.org/officeDocument/2006/relationships/hyperlink" Target="https://nconnect.nicmar.ac.in/storage/profile/ProfilePhoto_P25700633_541692.jpg" TargetMode="External"/><Relationship Id="rId_hyperlink_626" Type="http://schemas.openxmlformats.org/officeDocument/2006/relationships/hyperlink" Target="https://nconnect.nicmar.ac.in/storage/profile/ProfilePhoto_P25700634_569782.jpg" TargetMode="External"/><Relationship Id="rId_hyperlink_627" Type="http://schemas.openxmlformats.org/officeDocument/2006/relationships/hyperlink" Target="https://nconnect.nicmar.ac.in/storage/profile/ProfilePhoto_P25700635_576948.jpg" TargetMode="External"/><Relationship Id="rId_hyperlink_628" Type="http://schemas.openxmlformats.org/officeDocument/2006/relationships/hyperlink" Target="https://nconnect.nicmar.ac.in/storage/profile/ProfilePhoto_P25700636_598721.jpg" TargetMode="External"/><Relationship Id="rId_hyperlink_629" Type="http://schemas.openxmlformats.org/officeDocument/2006/relationships/hyperlink" Target="https://nconnect.nicmar.ac.in/storage/profile/ProfilePhoto_P25700637_371864.jpg" TargetMode="External"/><Relationship Id="rId_hyperlink_630" Type="http://schemas.openxmlformats.org/officeDocument/2006/relationships/hyperlink" Target="https://nconnect.nicmar.ac.in/storage/profile/ProfilePhoto_P25700638_523967.jpg" TargetMode="External"/><Relationship Id="rId_hyperlink_631" Type="http://schemas.openxmlformats.org/officeDocument/2006/relationships/hyperlink" Target="https://nconnect.nicmar.ac.in/storage/profile/ProfilePhoto_P25700639_613785.jpg" TargetMode="External"/><Relationship Id="rId_hyperlink_632" Type="http://schemas.openxmlformats.org/officeDocument/2006/relationships/hyperlink" Target="https://nconnect.nicmar.ac.in/storage/profile/ProfilePhoto_P25700640_718623.jpg" TargetMode="External"/><Relationship Id="rId_hyperlink_633" Type="http://schemas.openxmlformats.org/officeDocument/2006/relationships/hyperlink" Target="https://nconnect.nicmar.ac.in/storage/profile/ProfilePhoto_P25700641_316458.jpg" TargetMode="External"/><Relationship Id="rId_hyperlink_634" Type="http://schemas.openxmlformats.org/officeDocument/2006/relationships/hyperlink" Target="https://nconnect.nicmar.ac.in/storage/profile/ProfilePhoto_P25700642_472538.jpg" TargetMode="External"/><Relationship Id="rId_hyperlink_635" Type="http://schemas.openxmlformats.org/officeDocument/2006/relationships/hyperlink" Target="https://nconnect.nicmar.ac.in/storage/profile/ProfilePhoto_P25700643_542673.jpg" TargetMode="External"/><Relationship Id="rId_hyperlink_636" Type="http://schemas.openxmlformats.org/officeDocument/2006/relationships/hyperlink" Target="https://nconnect.nicmar.ac.in/storage/profile/ProfilePhoto_P25700644_925768.jpg" TargetMode="External"/><Relationship Id="rId_hyperlink_637" Type="http://schemas.openxmlformats.org/officeDocument/2006/relationships/hyperlink" Target="https://nconnect.nicmar.ac.in/storage/profile/ProfilePhoto_P25700645_346279.jpg" TargetMode="External"/><Relationship Id="rId_hyperlink_638" Type="http://schemas.openxmlformats.org/officeDocument/2006/relationships/hyperlink" Target="https://nconnect.nicmar.ac.in/storage/profile/ProfilePhoto_P25700646_127359.jpg" TargetMode="External"/><Relationship Id="rId_hyperlink_639" Type="http://schemas.openxmlformats.org/officeDocument/2006/relationships/hyperlink" Target="https://nconnect.nicmar.ac.in/storage/profile/ProfilePhoto_P25700647_481956.jpg" TargetMode="External"/><Relationship Id="rId_hyperlink_640" Type="http://schemas.openxmlformats.org/officeDocument/2006/relationships/hyperlink" Target="https://nconnect.nicmar.ac.in/storage/profile/ProfilePhoto_P25700648_167498.jpg" TargetMode="External"/><Relationship Id="rId_hyperlink_641" Type="http://schemas.openxmlformats.org/officeDocument/2006/relationships/hyperlink" Target="https://nconnect.nicmar.ac.in/storage/profile/ProfilePhoto_P25700649_431865.jpg" TargetMode="External"/><Relationship Id="rId_hyperlink_642" Type="http://schemas.openxmlformats.org/officeDocument/2006/relationships/hyperlink" Target="https://nconnect.nicmar.ac.in/storage/profile/ProfilePhoto_P25700650_487352.jpg" TargetMode="External"/><Relationship Id="rId_hyperlink_643" Type="http://schemas.openxmlformats.org/officeDocument/2006/relationships/hyperlink" Target="https://nconnect.nicmar.ac.in/storage/profile/ProfilePhoto_P25700651_715392.jpg" TargetMode="External"/><Relationship Id="rId_hyperlink_644" Type="http://schemas.openxmlformats.org/officeDocument/2006/relationships/hyperlink" Target="https://nconnect.nicmar.ac.in/storage/profile/ProfilePhoto_P25700652_942673.jpg" TargetMode="External"/><Relationship Id="rId_hyperlink_645" Type="http://schemas.openxmlformats.org/officeDocument/2006/relationships/hyperlink" Target="https://nconnect.nicmar.ac.in/storage/profile/ProfilePhoto_P25700653_961745.jpg" TargetMode="External"/><Relationship Id="rId_hyperlink_646" Type="http://schemas.openxmlformats.org/officeDocument/2006/relationships/hyperlink" Target="https://nconnect.nicmar.ac.in/storage/profile/ProfilePhoto_P25700654_483671.jpg" TargetMode="External"/><Relationship Id="rId_hyperlink_647" Type="http://schemas.openxmlformats.org/officeDocument/2006/relationships/hyperlink" Target="https://nconnect.nicmar.ac.in/storage/profile/ProfilePhoto_P25700655_148397.jpg" TargetMode="External"/><Relationship Id="rId_hyperlink_648" Type="http://schemas.openxmlformats.org/officeDocument/2006/relationships/hyperlink" Target="https://nconnect.nicmar.ac.in/storage/profile/ProfilePhoto_P25700656_593681.jpg" TargetMode="External"/><Relationship Id="rId_hyperlink_649" Type="http://schemas.openxmlformats.org/officeDocument/2006/relationships/hyperlink" Target="https://nconnect.nicmar.ac.in/storage/profile/ProfilePhoto_P25700657_983527.jpg" TargetMode="External"/><Relationship Id="rId_hyperlink_650" Type="http://schemas.openxmlformats.org/officeDocument/2006/relationships/hyperlink" Target="https://nconnect.nicmar.ac.in/storage/profile/ProfilePhoto_P25700658_675928.jpg" TargetMode="External"/><Relationship Id="rId_hyperlink_651" Type="http://schemas.openxmlformats.org/officeDocument/2006/relationships/hyperlink" Target="https://nconnect.nicmar.ac.in/storage/profile/ProfilePhoto_P25700659_347681.jpg" TargetMode="External"/><Relationship Id="rId_hyperlink_652" Type="http://schemas.openxmlformats.org/officeDocument/2006/relationships/hyperlink" Target="https://nconnect.nicmar.ac.in/storage/profile/ProfilePhoto_P25700660_348769.jpg" TargetMode="External"/><Relationship Id="rId_hyperlink_653" Type="http://schemas.openxmlformats.org/officeDocument/2006/relationships/hyperlink" Target="https://nconnect.nicmar.ac.in/storage/profile/ProfilePhoto_P25700661_438971.jpg" TargetMode="External"/><Relationship Id="rId_hyperlink_654" Type="http://schemas.openxmlformats.org/officeDocument/2006/relationships/hyperlink" Target="https://nconnect.nicmar.ac.in/storage/profile/ProfilePhoto_P25700662_857164.jpg" TargetMode="External"/><Relationship Id="rId_hyperlink_655" Type="http://schemas.openxmlformats.org/officeDocument/2006/relationships/hyperlink" Target="https://nconnect.nicmar.ac.in/storage/profile/ProfilePhoto_P25700663_453187.jpg" TargetMode="External"/><Relationship Id="rId_hyperlink_656" Type="http://schemas.openxmlformats.org/officeDocument/2006/relationships/hyperlink" Target="https://nconnect.nicmar.ac.in/storage/profile/ProfilePhoto_P25700664_238457.jpg" TargetMode="External"/><Relationship Id="rId_hyperlink_657" Type="http://schemas.openxmlformats.org/officeDocument/2006/relationships/hyperlink" Target="https://nconnect.nicmar.ac.in/storage/profile/ProfilePhoto_P25700665_185362.jpg" TargetMode="External"/><Relationship Id="rId_hyperlink_658" Type="http://schemas.openxmlformats.org/officeDocument/2006/relationships/hyperlink" Target="https://nconnect.nicmar.ac.in/storage/profile/ProfilePhoto_P25700666_356489.jpg" TargetMode="External"/><Relationship Id="rId_hyperlink_659" Type="http://schemas.openxmlformats.org/officeDocument/2006/relationships/hyperlink" Target="https://nconnect.nicmar.ac.in/storage/profile/ProfilePhoto_P25700667_685391.jpg" TargetMode="External"/><Relationship Id="rId_hyperlink_660" Type="http://schemas.openxmlformats.org/officeDocument/2006/relationships/hyperlink" Target="https://nconnect.nicmar.ac.in/storage/profile/ProfilePhoto_P25700668_892617.jpg" TargetMode="External"/><Relationship Id="rId_hyperlink_661" Type="http://schemas.openxmlformats.org/officeDocument/2006/relationships/hyperlink" Target="https://nconnect.nicmar.ac.in/storage/profile/ProfilePhoto_P25700669_295168.jpg" TargetMode="External"/><Relationship Id="rId_hyperlink_662" Type="http://schemas.openxmlformats.org/officeDocument/2006/relationships/hyperlink" Target="https://nconnect.nicmar.ac.in/storage/profile/ProfilePhoto_P25700670_485319.jpg" TargetMode="External"/><Relationship Id="rId_hyperlink_663" Type="http://schemas.openxmlformats.org/officeDocument/2006/relationships/hyperlink" Target="https://nconnect.nicmar.ac.in/storage/profile/ProfilePhoto_P25700671_749136.jpg" TargetMode="External"/><Relationship Id="rId_hyperlink_664" Type="http://schemas.openxmlformats.org/officeDocument/2006/relationships/hyperlink" Target="https://nconnect.nicmar.ac.in/storage/profile/ProfilePhoto_P25700672_847361.jpg" TargetMode="External"/><Relationship Id="rId_hyperlink_665" Type="http://schemas.openxmlformats.org/officeDocument/2006/relationships/hyperlink" Target="https://nconnect.nicmar.ac.in/storage/profile/ProfilePhoto_P25700673_596741.jpg" TargetMode="External"/><Relationship Id="rId_hyperlink_666" Type="http://schemas.openxmlformats.org/officeDocument/2006/relationships/hyperlink" Target="https://nconnect.nicmar.ac.in/storage/profile/ProfilePhoto_P25700674_179648.jpg" TargetMode="External"/><Relationship Id="rId_hyperlink_667" Type="http://schemas.openxmlformats.org/officeDocument/2006/relationships/hyperlink" Target="https://nconnect.nicmar.ac.in/storage/profile/ProfilePhoto_P25700675_971354.jpg" TargetMode="External"/><Relationship Id="rId_hyperlink_668" Type="http://schemas.openxmlformats.org/officeDocument/2006/relationships/hyperlink" Target="https://nconnect.nicmar.ac.in/storage/profile/ProfilePhoto_P25700676_965278.jpg" TargetMode="External"/><Relationship Id="rId_hyperlink_669" Type="http://schemas.openxmlformats.org/officeDocument/2006/relationships/hyperlink" Target="https://nconnect.nicmar.ac.in/storage/profile/ProfilePhoto_P25700677_147963.jpg" TargetMode="External"/><Relationship Id="rId_hyperlink_670" Type="http://schemas.openxmlformats.org/officeDocument/2006/relationships/hyperlink" Target="https://nconnect.nicmar.ac.in/storage/profile/ProfilePhoto_P25700678_436728.jpg" TargetMode="External"/><Relationship Id="rId_hyperlink_671" Type="http://schemas.openxmlformats.org/officeDocument/2006/relationships/hyperlink" Target="https://nconnect.nicmar.ac.in/storage/profile/ProfilePhoto_P25700679_568347.jpg" TargetMode="External"/><Relationship Id="rId_hyperlink_672" Type="http://schemas.openxmlformats.org/officeDocument/2006/relationships/hyperlink" Target="https://nconnect.nicmar.ac.in/storage/profile/ProfilePhoto_P25700680_758621.jpg" TargetMode="External"/><Relationship Id="rId_hyperlink_673" Type="http://schemas.openxmlformats.org/officeDocument/2006/relationships/hyperlink" Target="https://nconnect.nicmar.ac.in/storage/profile/ProfilePhoto_P25700681_619574.jpg" TargetMode="External"/><Relationship Id="rId_hyperlink_674" Type="http://schemas.openxmlformats.org/officeDocument/2006/relationships/hyperlink" Target="https://nconnect.nicmar.ac.in/storage/profile/ProfilePhoto_P25700682_615498.jpg" TargetMode="External"/><Relationship Id="rId_hyperlink_675" Type="http://schemas.openxmlformats.org/officeDocument/2006/relationships/hyperlink" Target="https://nconnect.nicmar.ac.in/storage/profile/ProfilePhoto_P25700683_957612.jpg" TargetMode="External"/><Relationship Id="rId_hyperlink_676" Type="http://schemas.openxmlformats.org/officeDocument/2006/relationships/hyperlink" Target="https://nconnect.nicmar.ac.in/storage/profile/ProfilePhoto_P25700684_186534.jpg" TargetMode="External"/><Relationship Id="rId_hyperlink_677" Type="http://schemas.openxmlformats.org/officeDocument/2006/relationships/hyperlink" Target="https://nconnect.nicmar.ac.in/storage/profile/ProfilePhoto_P25700685_324561.jpg" TargetMode="External"/><Relationship Id="rId_hyperlink_678" Type="http://schemas.openxmlformats.org/officeDocument/2006/relationships/hyperlink" Target="https://nconnect.nicmar.ac.in/storage/profile/ProfilePhoto_P25700686_647582.jpg" TargetMode="External"/><Relationship Id="rId_hyperlink_679" Type="http://schemas.openxmlformats.org/officeDocument/2006/relationships/hyperlink" Target="https://nconnect.nicmar.ac.in/storage/profile/ProfilePhoto_P25700687_475918.jpg" TargetMode="External"/><Relationship Id="rId_hyperlink_680" Type="http://schemas.openxmlformats.org/officeDocument/2006/relationships/hyperlink" Target="https://nconnect.nicmar.ac.in/storage/profile/ProfilePhoto_P25700688_241639.jpg" TargetMode="External"/><Relationship Id="rId_hyperlink_681" Type="http://schemas.openxmlformats.org/officeDocument/2006/relationships/hyperlink" Target="https://nconnect.nicmar.ac.in/storage/profile/ProfilePhoto_P25700689_513962.jpg" TargetMode="External"/><Relationship Id="rId_hyperlink_682" Type="http://schemas.openxmlformats.org/officeDocument/2006/relationships/hyperlink" Target="https://nconnect.nicmar.ac.in/storage/profile/ProfilePhoto_P25700690_598276.jpg" TargetMode="External"/><Relationship Id="rId_hyperlink_683" Type="http://schemas.openxmlformats.org/officeDocument/2006/relationships/hyperlink" Target="https://nconnect.nicmar.ac.in/storage/profile/ProfilePhoto_P25700691_937165.jpg" TargetMode="External"/><Relationship Id="rId_hyperlink_684" Type="http://schemas.openxmlformats.org/officeDocument/2006/relationships/hyperlink" Target="https://nconnect.nicmar.ac.in/storage/profile/ProfilePhoto_P25700692_921468.jpg" TargetMode="External"/><Relationship Id="rId_hyperlink_685" Type="http://schemas.openxmlformats.org/officeDocument/2006/relationships/hyperlink" Target="https://nconnect.nicmar.ac.in/storage/profile/ProfilePhoto_P25700693_573496.jpg" TargetMode="External"/><Relationship Id="rId_hyperlink_686" Type="http://schemas.openxmlformats.org/officeDocument/2006/relationships/hyperlink" Target="https://nconnect.nicmar.ac.in/storage/profile/ProfilePhoto_P25700695_518436.jpg" TargetMode="External"/><Relationship Id="rId_hyperlink_687" Type="http://schemas.openxmlformats.org/officeDocument/2006/relationships/hyperlink" Target="https://nconnect.nicmar.ac.in/storage/profile/ProfilePhoto_P25700696_167394.jpg" TargetMode="External"/><Relationship Id="rId_hyperlink_688" Type="http://schemas.openxmlformats.org/officeDocument/2006/relationships/hyperlink" Target="https://nconnect.nicmar.ac.in/storage/profile/ProfilePhoto_P25700697_765314.jpg" TargetMode="External"/><Relationship Id="rId_hyperlink_689" Type="http://schemas.openxmlformats.org/officeDocument/2006/relationships/hyperlink" Target="https://nconnect.nicmar.ac.in/storage/profile/ProfilePhoto_P25700698_564379.jpg" TargetMode="External"/><Relationship Id="rId_hyperlink_690" Type="http://schemas.openxmlformats.org/officeDocument/2006/relationships/hyperlink" Target="https://nconnect.nicmar.ac.in/storage/profile/ProfilePhoto_P25700699_273694.jpg" TargetMode="External"/><Relationship Id="rId_hyperlink_691" Type="http://schemas.openxmlformats.org/officeDocument/2006/relationships/hyperlink" Target="https://nconnect.nicmar.ac.in/storage/profile/ProfilePhoto_P25700700_612583.jpg" TargetMode="External"/><Relationship Id="rId_hyperlink_692" Type="http://schemas.openxmlformats.org/officeDocument/2006/relationships/hyperlink" Target="https://nconnect.nicmar.ac.in/storage/profile/6a64a0cad9a96.png" TargetMode="External"/><Relationship Id="rId_hyperlink_693" Type="http://schemas.openxmlformats.org/officeDocument/2006/relationships/hyperlink" Target="https://nconnect.nicmar.ac.in/storage/profile/ProfilePhoto_P25700702_167429.jpg" TargetMode="External"/><Relationship Id="rId_hyperlink_694" Type="http://schemas.openxmlformats.org/officeDocument/2006/relationships/hyperlink" Target="https://nconnect.nicmar.ac.in/storage/profile/ProfilePhoto_P25700703_628351.jpg" TargetMode="External"/><Relationship Id="rId_hyperlink_695" Type="http://schemas.openxmlformats.org/officeDocument/2006/relationships/hyperlink" Target="https://nconnect.nicmar.ac.in/storage/profile/ProfilePhoto_P25700704_865749.jpg" TargetMode="External"/><Relationship Id="rId_hyperlink_696" Type="http://schemas.openxmlformats.org/officeDocument/2006/relationships/hyperlink" Target="https://nconnect.nicmar.ac.in/storage/profile/ProfilePhoto_P25700705_645739.jpg" TargetMode="External"/><Relationship Id="rId_hyperlink_697" Type="http://schemas.openxmlformats.org/officeDocument/2006/relationships/hyperlink" Target="https://nconnect.nicmar.ac.in/storage/profile/ProfilePhoto_P25700706_624518.jpg" TargetMode="External"/><Relationship Id="rId_hyperlink_698" Type="http://schemas.openxmlformats.org/officeDocument/2006/relationships/hyperlink" Target="https://nconnect.nicmar.ac.in/storage/profile/ProfilePhoto_P25700707_593176.jpg" TargetMode="External"/><Relationship Id="rId_hyperlink_699" Type="http://schemas.openxmlformats.org/officeDocument/2006/relationships/hyperlink" Target="https://nconnect.nicmar.ac.in/storage/profile/ProfilePhoto_P25700708_764359.jpg" TargetMode="External"/><Relationship Id="rId_hyperlink_700" Type="http://schemas.openxmlformats.org/officeDocument/2006/relationships/hyperlink" Target="https://nconnect.nicmar.ac.in/storage/profile/ProfilePhoto_P25700709_218653.jpg" TargetMode="External"/><Relationship Id="rId_hyperlink_701" Type="http://schemas.openxmlformats.org/officeDocument/2006/relationships/hyperlink" Target="https://nconnect.nicmar.ac.in/storage/profile/ProfilePhoto_P25700710_586142.jpg" TargetMode="External"/><Relationship Id="rId_hyperlink_702" Type="http://schemas.openxmlformats.org/officeDocument/2006/relationships/hyperlink" Target="https://nconnect.nicmar.ac.in/storage/profile/ProfilePhoto_P25700711_478962.jpg" TargetMode="External"/><Relationship Id="rId_hyperlink_703" Type="http://schemas.openxmlformats.org/officeDocument/2006/relationships/hyperlink" Target="https://nconnect.nicmar.ac.in/storage/profile/ProfilePhoto_P25700712_684593.jpg" TargetMode="External"/><Relationship Id="rId_hyperlink_704" Type="http://schemas.openxmlformats.org/officeDocument/2006/relationships/hyperlink" Target="https://nconnect.nicmar.ac.in/storage/profile/ProfilePhoto_P25700714_634851.jpg" TargetMode="External"/><Relationship Id="rId_hyperlink_705" Type="http://schemas.openxmlformats.org/officeDocument/2006/relationships/hyperlink" Target="https://nconnect.nicmar.ac.in/storage/profile/ProfilePhoto_P25700715_431895.jpg" TargetMode="External"/><Relationship Id="rId_hyperlink_706" Type="http://schemas.openxmlformats.org/officeDocument/2006/relationships/hyperlink" Target="https://nconnect.nicmar.ac.in/storage/profile/ProfilePhoto_P25700716_596743.jpg" TargetMode="External"/><Relationship Id="rId_hyperlink_707" Type="http://schemas.openxmlformats.org/officeDocument/2006/relationships/hyperlink" Target="https://nconnect.nicmar.ac.in/storage/profile/ProfilePhoto_P25700717_983154.jpg" TargetMode="External"/><Relationship Id="rId_hyperlink_708" Type="http://schemas.openxmlformats.org/officeDocument/2006/relationships/hyperlink" Target="https://nconnect.nicmar.ac.in/storage/profile/ProfilePhoto_P25700718_186239.jpg" TargetMode="External"/><Relationship Id="rId_hyperlink_709" Type="http://schemas.openxmlformats.org/officeDocument/2006/relationships/hyperlink" Target="https://nconnect.nicmar.ac.in/storage/profile/ProfilePhoto_P25700719_518623.jpg" TargetMode="External"/><Relationship Id="rId_hyperlink_710" Type="http://schemas.openxmlformats.org/officeDocument/2006/relationships/hyperlink" Target="https://nconnect.nicmar.ac.in/storage/profile/ProfilePhoto_P25700720_297461.jpg" TargetMode="External"/><Relationship Id="rId_hyperlink_711" Type="http://schemas.openxmlformats.org/officeDocument/2006/relationships/hyperlink" Target="https://nconnect.nicmar.ac.in/storage/profile/ProfilePhoto_P25700721_783129.jpg" TargetMode="External"/><Relationship Id="rId_hyperlink_712" Type="http://schemas.openxmlformats.org/officeDocument/2006/relationships/hyperlink" Target="https://nconnect.nicmar.ac.in/storage/profile/ProfilePhoto_P25700722_325679.jpg" TargetMode="External"/><Relationship Id="rId_hyperlink_713" Type="http://schemas.openxmlformats.org/officeDocument/2006/relationships/hyperlink" Target="https://nconnect.nicmar.ac.in/storage/profile/ProfilePhoto_P25700723_862314.jpg" TargetMode="External"/><Relationship Id="rId_hyperlink_714" Type="http://schemas.openxmlformats.org/officeDocument/2006/relationships/hyperlink" Target="https://nconnect.nicmar.ac.in/storage/profile/ProfilePhoto_P25700724_394512.jpg" TargetMode="External"/><Relationship Id="rId_hyperlink_715" Type="http://schemas.openxmlformats.org/officeDocument/2006/relationships/hyperlink" Target="https://nconnect.nicmar.ac.in/storage/profile/ProfilePhoto_P25700725_384512.jpg" TargetMode="External"/><Relationship Id="rId_hyperlink_716" Type="http://schemas.openxmlformats.org/officeDocument/2006/relationships/hyperlink" Target="https://nconnect.nicmar.ac.in/storage/profile/ProfilePhoto_P25700727_591248.jpg" TargetMode="External"/><Relationship Id="rId_hyperlink_717" Type="http://schemas.openxmlformats.org/officeDocument/2006/relationships/hyperlink" Target="https://nconnect.nicmar.ac.in/storage/profile/ProfilePhoto_P25700729_957261.jpg" TargetMode="External"/><Relationship Id="rId_hyperlink_718" Type="http://schemas.openxmlformats.org/officeDocument/2006/relationships/hyperlink" Target="https://nconnect.nicmar.ac.in/storage/profile/ProfilePhoto_P25700730_295671.jpg" TargetMode="External"/><Relationship Id="rId_hyperlink_719" Type="http://schemas.openxmlformats.org/officeDocument/2006/relationships/hyperlink" Target="https://nconnect.nicmar.ac.in/storage/profile/ProfilePhoto_P25700731_859741.jpg" TargetMode="External"/><Relationship Id="rId_hyperlink_720" Type="http://schemas.openxmlformats.org/officeDocument/2006/relationships/hyperlink" Target="https://nconnect.nicmar.ac.in/storage/profile/ProfilePhoto_P25700732_983572.jpg" TargetMode="External"/><Relationship Id="rId_hyperlink_721" Type="http://schemas.openxmlformats.org/officeDocument/2006/relationships/hyperlink" Target="https://nconnect.nicmar.ac.in/storage/profile/ProfilePhoto_P25700733_564197.jpg" TargetMode="External"/><Relationship Id="rId_hyperlink_722" Type="http://schemas.openxmlformats.org/officeDocument/2006/relationships/hyperlink" Target="https://nconnect.nicmar.ac.in/storage/profile/ProfilePhoto_P25700734_648325.jpg" TargetMode="External"/><Relationship Id="rId_hyperlink_723" Type="http://schemas.openxmlformats.org/officeDocument/2006/relationships/hyperlink" Target="https://nconnect.nicmar.ac.in/storage/profile/ProfilePhoto_P25700735_173845.jpg" TargetMode="External"/><Relationship Id="rId_hyperlink_724" Type="http://schemas.openxmlformats.org/officeDocument/2006/relationships/hyperlink" Target="https://nconnect.nicmar.ac.in/storage/profile/ProfilePhoto_P25700736_278395.jpg" TargetMode="External"/><Relationship Id="rId_hyperlink_725" Type="http://schemas.openxmlformats.org/officeDocument/2006/relationships/hyperlink" Target="https://nconnect.nicmar.ac.in/storage/profile/ProfilePhoto_P25700737_218935.jpg" TargetMode="External"/><Relationship Id="rId_hyperlink_726" Type="http://schemas.openxmlformats.org/officeDocument/2006/relationships/hyperlink" Target="https://nconnect.nicmar.ac.in/storage/profile/ProfilePhoto_P25700739_914235.jpg" TargetMode="External"/><Relationship Id="rId_hyperlink_727" Type="http://schemas.openxmlformats.org/officeDocument/2006/relationships/hyperlink" Target="https://nconnect.nicmar.ac.in/storage/profile/ProfilePhoto_P25700740_145692.jpg" TargetMode="External"/><Relationship Id="rId_hyperlink_728" Type="http://schemas.openxmlformats.org/officeDocument/2006/relationships/hyperlink" Target="https://nconnect.nicmar.ac.in/storage/profile/ProfilePhoto_P25700741_246781.jpg" TargetMode="External"/><Relationship Id="rId_hyperlink_729" Type="http://schemas.openxmlformats.org/officeDocument/2006/relationships/hyperlink" Target="https://nconnect.nicmar.ac.in/storage/profile/ProfilePhoto_P25700742_926831.jpg" TargetMode="External"/><Relationship Id="rId_hyperlink_730" Type="http://schemas.openxmlformats.org/officeDocument/2006/relationships/hyperlink" Target="https://nconnect.nicmar.ac.in/storage/profile/ProfilePhoto_P25700743_731954.jpg" TargetMode="External"/><Relationship Id="rId_hyperlink_731" Type="http://schemas.openxmlformats.org/officeDocument/2006/relationships/hyperlink" Target="https://nconnect.nicmar.ac.in/storage/profile/ProfilePhoto_P25700744_713894.jpg" TargetMode="External"/><Relationship Id="rId_hyperlink_732" Type="http://schemas.openxmlformats.org/officeDocument/2006/relationships/hyperlink" Target="https://nconnect.nicmar.ac.in/storage/profile/ProfilePhoto_P25700745_729431.jpg" TargetMode="External"/><Relationship Id="rId_hyperlink_733" Type="http://schemas.openxmlformats.org/officeDocument/2006/relationships/hyperlink" Target="https://nconnect.nicmar.ac.in/storage/profile/6a83699ee1e6d.png" TargetMode="External"/><Relationship Id="rId_hyperlink_734" Type="http://schemas.openxmlformats.org/officeDocument/2006/relationships/hyperlink" Target="https://nconnect.nicmar.ac.in/storage/profile/ProfilePhoto_P25700747_987124.jpg" TargetMode="External"/><Relationship Id="rId_hyperlink_735" Type="http://schemas.openxmlformats.org/officeDocument/2006/relationships/hyperlink" Target="https://nconnect.nicmar.ac.in/storage/profile/ProfilePhoto_P25700748_457291.jpg" TargetMode="External"/><Relationship Id="rId_hyperlink_736" Type="http://schemas.openxmlformats.org/officeDocument/2006/relationships/hyperlink" Target="https://nconnect.nicmar.ac.in/storage/profile/ProfilePhoto_P25700749_463951.jpg" TargetMode="External"/><Relationship Id="rId_hyperlink_737" Type="http://schemas.openxmlformats.org/officeDocument/2006/relationships/hyperlink" Target="https://nconnect.nicmar.ac.in/storage/profile/ProfilePhoto_P25700750_571468.jpg" TargetMode="External"/><Relationship Id="rId_hyperlink_738" Type="http://schemas.openxmlformats.org/officeDocument/2006/relationships/hyperlink" Target="https://nconnect.nicmar.ac.in/storage/profile/ProfilePhoto_P25700751_185649.jpg" TargetMode="External"/><Relationship Id="rId_hyperlink_739" Type="http://schemas.openxmlformats.org/officeDocument/2006/relationships/hyperlink" Target="https://nconnect.nicmar.ac.in/storage/profile/ProfilePhoto_P25700752_395618.jpg" TargetMode="External"/><Relationship Id="rId_hyperlink_740" Type="http://schemas.openxmlformats.org/officeDocument/2006/relationships/hyperlink" Target="https://nconnect.nicmar.ac.in/storage/profile/ProfilePhoto_P25700753_639218.jpg" TargetMode="External"/><Relationship Id="rId_hyperlink_741" Type="http://schemas.openxmlformats.org/officeDocument/2006/relationships/hyperlink" Target="https://nconnect.nicmar.ac.in/storage/profile/ProfilePhoto_P25700754_876213.jpg" TargetMode="External"/><Relationship Id="rId_hyperlink_742" Type="http://schemas.openxmlformats.org/officeDocument/2006/relationships/hyperlink" Target="https://nconnect.nicmar.ac.in/storage/profile/ProfilePhoto_P25700755_215487.jpg" TargetMode="External"/><Relationship Id="rId_hyperlink_743" Type="http://schemas.openxmlformats.org/officeDocument/2006/relationships/hyperlink" Target="https://nconnect.nicmar.ac.in/storage/profile/ProfilePhoto_P25700281_579136.jpg" TargetMode="External"/><Relationship Id="rId_hyperlink_744" Type="http://schemas.openxmlformats.org/officeDocument/2006/relationships/hyperlink" Target="https://nconnect.nicmar.ac.in/storage/profile/ProfilePhoto_P25700325_532469.jpg" TargetMode="External"/><Relationship Id="rId_hyperlink_745" Type="http://schemas.openxmlformats.org/officeDocument/2006/relationships/hyperlink" Target="https://nconnect.nicmar.ac.in/storage/profile/ProfilePhoto_P25700367_329568.jpg" TargetMode="External"/><Relationship Id="rId_hyperlink_746" Type="http://schemas.openxmlformats.org/officeDocument/2006/relationships/hyperlink" Target="https://nconnect.nicmar.ac.in/storage/profile/ProfilePhoto_P25700694_372165.jpg" TargetMode="External"/><Relationship Id="rId_hyperlink_747" Type="http://schemas.openxmlformats.org/officeDocument/2006/relationships/hyperlink" Target="https://nconnect.nicmar.ac.in/storage/profile/6a86e1196b4da.png" TargetMode="External"/><Relationship Id="rId_hyperlink_748" Type="http://schemas.openxmlformats.org/officeDocument/2006/relationships/hyperlink" Target="https://nconnect.nicmar.ac.in/storage/profile/6a841b059dfed.png" TargetMode="External"/><Relationship Id="rId_hyperlink_749" Type="http://schemas.openxmlformats.org/officeDocument/2006/relationships/hyperlink" Target="https://nconnect.nicmar.ac.in/storage/profile/6a85c58c1348f.png" TargetMode="External"/><Relationship Id="rId_hyperlink_750" Type="http://schemas.openxmlformats.org/officeDocument/2006/relationships/hyperlink" Target="https://nconnect.nicmar.ac.in/storage/profile/6a85eb1a64777.png" TargetMode="External"/><Relationship Id="rId_hyperlink_751" Type="http://schemas.openxmlformats.org/officeDocument/2006/relationships/hyperlink" Target="https://nconnect.nicmar.ac.in/storage/profile/6a86f128c6393.png" TargetMode="External"/><Relationship Id="rId_hyperlink_752" Type="http://schemas.openxmlformats.org/officeDocument/2006/relationships/hyperlink" Target="https://nconnect.nicmar.ac.in/storage/profile/6a85ecf4b2584.png" TargetMode="External"/><Relationship Id="rId_hyperlink_753" Type="http://schemas.openxmlformats.org/officeDocument/2006/relationships/hyperlink" Target="https://nconnect.nicmar.ac.in/storage/profile/6a85f29e94cd0.png" TargetMode="External"/><Relationship Id="rId_hyperlink_754" Type="http://schemas.openxmlformats.org/officeDocument/2006/relationships/hyperlink" Target="https://nconnect.nicmar.ac.in/storage/profile/6a84800ece01e.png" TargetMode="External"/><Relationship Id="rId_hyperlink_755" Type="http://schemas.openxmlformats.org/officeDocument/2006/relationships/hyperlink" Target="https://nconnect.nicmar.ac.in/storage/profile/6a86fef8724a5.png" TargetMode="External"/><Relationship Id="rId_hyperlink_756" Type="http://schemas.openxmlformats.org/officeDocument/2006/relationships/hyperlink" Target="https://nconnect.nicmar.ac.in/storage/profile/6a85fd9071230.png" TargetMode="External"/><Relationship Id="rId_hyperlink_757" Type="http://schemas.openxmlformats.org/officeDocument/2006/relationships/hyperlink" Target="https://nconnect.nicmar.ac.in/storage/profile/6a873bc67e952.png" TargetMode="External"/><Relationship Id="rId_hyperlink_758" Type="http://schemas.openxmlformats.org/officeDocument/2006/relationships/hyperlink" Target="https://nconnect.nicmar.ac.in/storage/profile/6a844d18203e4.png" TargetMode="External"/><Relationship Id="rId_hyperlink_759" Type="http://schemas.openxmlformats.org/officeDocument/2006/relationships/hyperlink" Target="https://nconnect.nicmar.ac.in/storage/profile/6a870c35f37de.png" TargetMode="External"/><Relationship Id="rId_hyperlink_760" Type="http://schemas.openxmlformats.org/officeDocument/2006/relationships/hyperlink" Target="https://nconnect.nicmar.ac.in/storage/profile/6a87f9d8a3496.png" TargetMode="External"/><Relationship Id="rId_hyperlink_761" Type="http://schemas.openxmlformats.org/officeDocument/2006/relationships/hyperlink" Target="https://nconnect.nicmar.ac.in/storage/profile/6a8864a4c6e2f.png" TargetMode="External"/><Relationship Id="rId_hyperlink_762" Type="http://schemas.openxmlformats.org/officeDocument/2006/relationships/hyperlink" Target="https://nconnect.nicmar.ac.in/storage/profile/6a8487287dfe9.png" TargetMode="External"/><Relationship Id="rId_hyperlink_763" Type="http://schemas.openxmlformats.org/officeDocument/2006/relationships/hyperlink" Target="https://nconnect.nicmar.ac.in/storage/profile/6a8735f9c6f28.png" TargetMode="External"/><Relationship Id="rId_hyperlink_764" Type="http://schemas.openxmlformats.org/officeDocument/2006/relationships/hyperlink" Target="https://nconnect.nicmar.ac.in/storage/profile/6a8739848e9f9.png" TargetMode="External"/><Relationship Id="rId_hyperlink_765" Type="http://schemas.openxmlformats.org/officeDocument/2006/relationships/hyperlink" Target="https://nconnect.nicmar.ac.in/storage/profile/6a869c126f7bf.png" TargetMode="External"/><Relationship Id="rId_hyperlink_766" Type="http://schemas.openxmlformats.org/officeDocument/2006/relationships/hyperlink" Target="https://nconnect.nicmar.ac.in/storage/profile/6a85ef50000b1.png" TargetMode="External"/><Relationship Id="rId_hyperlink_767" Type="http://schemas.openxmlformats.org/officeDocument/2006/relationships/hyperlink" Target="https://nconnect.nicmar.ac.in/storage/profile/6a86f4139ec70.png" TargetMode="External"/><Relationship Id="rId_hyperlink_768" Type="http://schemas.openxmlformats.org/officeDocument/2006/relationships/hyperlink" Target="https://nconnect.nicmar.ac.in/storage/profile/6a85b99931158.png" TargetMode="External"/><Relationship Id="rId_hyperlink_769" Type="http://schemas.openxmlformats.org/officeDocument/2006/relationships/hyperlink" Target="https://nconnect.nicmar.ac.in/storage/profile/6a87181c70aec.png" TargetMode="External"/><Relationship Id="rId_hyperlink_770" Type="http://schemas.openxmlformats.org/officeDocument/2006/relationships/hyperlink" Target="https://nconnect.nicmar.ac.in/storage/profile/6a871c182757d.png" TargetMode="External"/><Relationship Id="rId_hyperlink_771" Type="http://schemas.openxmlformats.org/officeDocument/2006/relationships/hyperlink" Target="https://nconnect.nicmar.ac.in/storage/profile/6a85bc0768668.png" TargetMode="External"/><Relationship Id="rId_hyperlink_772" Type="http://schemas.openxmlformats.org/officeDocument/2006/relationships/hyperlink" Target="https://nconnect.nicmar.ac.in/storage/profile/6a8705b5da235.png" TargetMode="External"/><Relationship Id="rId_hyperlink_773" Type="http://schemas.openxmlformats.org/officeDocument/2006/relationships/hyperlink" Target="https://nconnect.nicmar.ac.in/storage/profile/6a87386564584.png" TargetMode="External"/><Relationship Id="rId_hyperlink_774" Type="http://schemas.openxmlformats.org/officeDocument/2006/relationships/hyperlink" Target="https://nconnect.nicmar.ac.in/storage/profile/6a817587152dd.png" TargetMode="External"/><Relationship Id="rId_hyperlink_775" Type="http://schemas.openxmlformats.org/officeDocument/2006/relationships/hyperlink" Target="https://nconnect.nicmar.ac.in/storage/profile/6a870c21e11ed.png" TargetMode="External"/><Relationship Id="rId_hyperlink_776" Type="http://schemas.openxmlformats.org/officeDocument/2006/relationships/hyperlink" Target="https://nconnect.nicmar.ac.in/storage/profile/6a86c0bae8e17.png" TargetMode="External"/><Relationship Id="rId_hyperlink_777" Type="http://schemas.openxmlformats.org/officeDocument/2006/relationships/hyperlink" Target="https://nconnect.nicmar.ac.in/storage/profile/6a8668a6058b9.png" TargetMode="External"/><Relationship Id="rId_hyperlink_778" Type="http://schemas.openxmlformats.org/officeDocument/2006/relationships/hyperlink" Target="https://nconnect.nicmar.ac.in/storage/profile/6a87f347b140f.png" TargetMode="External"/><Relationship Id="rId_hyperlink_779" Type="http://schemas.openxmlformats.org/officeDocument/2006/relationships/hyperlink" Target="https://nconnect.nicmar.ac.in/storage/profile/6a871be43428b.png" TargetMode="External"/><Relationship Id="rId_hyperlink_780" Type="http://schemas.openxmlformats.org/officeDocument/2006/relationships/hyperlink" Target="https://nconnect.nicmar.ac.in/storage/profile/6a8741ba73a22.png" TargetMode="External"/><Relationship Id="rId_hyperlink_781" Type="http://schemas.openxmlformats.org/officeDocument/2006/relationships/hyperlink" Target="https://nconnect.nicmar.ac.in/storage/profile/6a871913a0e5b.png" TargetMode="External"/><Relationship Id="rId_hyperlink_782" Type="http://schemas.openxmlformats.org/officeDocument/2006/relationships/hyperlink" Target="https://nconnect.nicmar.ac.in/storage/profile/6a873dbe2f4a3.png" TargetMode="External"/><Relationship Id="rId_hyperlink_783" Type="http://schemas.openxmlformats.org/officeDocument/2006/relationships/hyperlink" Target="https://nconnect.nicmar.ac.in/storage/profile/6a872cc62a995.png" TargetMode="External"/><Relationship Id="rId_hyperlink_784" Type="http://schemas.openxmlformats.org/officeDocument/2006/relationships/hyperlink" Target="https://nconnect.nicmar.ac.in/storage/profile/6a85f67a75e6c.png" TargetMode="External"/><Relationship Id="rId_hyperlink_785" Type="http://schemas.openxmlformats.org/officeDocument/2006/relationships/hyperlink" Target="https://nconnect.nicmar.ac.in/storage/profile/6a86c4495f3b6.png" TargetMode="External"/><Relationship Id="rId_hyperlink_786" Type="http://schemas.openxmlformats.org/officeDocument/2006/relationships/hyperlink" Target="https://nconnect.nicmar.ac.in/storage/profile/6a86dc1e35251.png" TargetMode="External"/><Relationship Id="rId_hyperlink_787" Type="http://schemas.openxmlformats.org/officeDocument/2006/relationships/hyperlink" Target="https://nconnect.nicmar.ac.in/storage/profile/6a85e4263fbc3.png" TargetMode="External"/><Relationship Id="rId_hyperlink_788" Type="http://schemas.openxmlformats.org/officeDocument/2006/relationships/hyperlink" Target="https://nconnect.nicmar.ac.in/storage/profile/6a85686d90cad.png" TargetMode="External"/><Relationship Id="rId_hyperlink_789" Type="http://schemas.openxmlformats.org/officeDocument/2006/relationships/hyperlink" Target="https://nconnect.nicmar.ac.in/storage/profile/6a86a8f292a2a.png" TargetMode="External"/><Relationship Id="rId_hyperlink_790" Type="http://schemas.openxmlformats.org/officeDocument/2006/relationships/hyperlink" Target="https://nconnect.nicmar.ac.in/storage/profile/6a85eabea61a3.png" TargetMode="External"/><Relationship Id="rId_hyperlink_791" Type="http://schemas.openxmlformats.org/officeDocument/2006/relationships/hyperlink" Target="https://nconnect.nicmar.ac.in/storage/profile/6a8690e4bd991.png" TargetMode="External"/><Relationship Id="rId_hyperlink_792" Type="http://schemas.openxmlformats.org/officeDocument/2006/relationships/hyperlink" Target="https://nconnect.nicmar.ac.in/storage/profile/6a871ee89a3c0.png" TargetMode="External"/><Relationship Id="rId_hyperlink_793" Type="http://schemas.openxmlformats.org/officeDocument/2006/relationships/hyperlink" Target="https://nconnect.nicmar.ac.in/storage/profile/6a86b905da0ac.png" TargetMode="External"/><Relationship Id="rId_hyperlink_794" Type="http://schemas.openxmlformats.org/officeDocument/2006/relationships/hyperlink" Target="https://nconnect.nicmar.ac.in/storage/profile/6a86d349a9eec.png" TargetMode="External"/><Relationship Id="rId_hyperlink_795" Type="http://schemas.openxmlformats.org/officeDocument/2006/relationships/hyperlink" Target="https://nconnect.nicmar.ac.in/storage/profile/6a86c8f87a97b.png" TargetMode="External"/><Relationship Id="rId_hyperlink_796" Type="http://schemas.openxmlformats.org/officeDocument/2006/relationships/hyperlink" Target="https://nconnect.nicmar.ac.in/storage/profile/6a8712678539d.png" TargetMode="External"/><Relationship Id="rId_hyperlink_797" Type="http://schemas.openxmlformats.org/officeDocument/2006/relationships/hyperlink" Target="https://nconnect.nicmar.ac.in/storage/profile/6a87459680b31.png" TargetMode="External"/><Relationship Id="rId_hyperlink_798" Type="http://schemas.openxmlformats.org/officeDocument/2006/relationships/hyperlink" Target="https://nconnect.nicmar.ac.in/storage/profile/6a832461c4a86.png" TargetMode="External"/><Relationship Id="rId_hyperlink_799" Type="http://schemas.openxmlformats.org/officeDocument/2006/relationships/hyperlink" Target="https://nconnect.nicmar.ac.in/storage/profile/6a85c05b68d2a.png" TargetMode="External"/><Relationship Id="rId_hyperlink_800" Type="http://schemas.openxmlformats.org/officeDocument/2006/relationships/hyperlink" Target="https://nconnect.nicmar.ac.in/storage/profile/6a85aaddd1ddb.png" TargetMode="External"/><Relationship Id="rId_hyperlink_801" Type="http://schemas.openxmlformats.org/officeDocument/2006/relationships/hyperlink" Target="https://nconnect.nicmar.ac.in/storage/profile/6a85f5020c269.png" TargetMode="External"/><Relationship Id="rId_hyperlink_802" Type="http://schemas.openxmlformats.org/officeDocument/2006/relationships/hyperlink" Target="https://nconnect.nicmar.ac.in/storage/profile/6a86db6d9bc0e.png" TargetMode="External"/><Relationship Id="rId_hyperlink_803" Type="http://schemas.openxmlformats.org/officeDocument/2006/relationships/hyperlink" Target="https://nconnect.nicmar.ac.in/storage/profile/6a86e783c1ee2.png" TargetMode="External"/><Relationship Id="rId_hyperlink_804" Type="http://schemas.openxmlformats.org/officeDocument/2006/relationships/hyperlink" Target="https://nconnect.nicmar.ac.in/storage/profile/6a84b6de31ff7.png" TargetMode="External"/><Relationship Id="rId_hyperlink_805" Type="http://schemas.openxmlformats.org/officeDocument/2006/relationships/hyperlink" Target="https://nconnect.nicmar.ac.in/storage/profile/6a871cf367282.png" TargetMode="External"/><Relationship Id="rId_hyperlink_806" Type="http://schemas.openxmlformats.org/officeDocument/2006/relationships/hyperlink" Target="https://nconnect.nicmar.ac.in/storage/profile/6a8582f041006.png" TargetMode="External"/><Relationship Id="rId_hyperlink_807" Type="http://schemas.openxmlformats.org/officeDocument/2006/relationships/hyperlink" Target="https://nconnect.nicmar.ac.in/storage/profile/6a874d6937713.png" TargetMode="External"/><Relationship Id="rId_hyperlink_808" Type="http://schemas.openxmlformats.org/officeDocument/2006/relationships/hyperlink" Target="https://nconnect.nicmar.ac.in/storage/profile/6a8681a7319be.png" TargetMode="External"/><Relationship Id="rId_hyperlink_809" Type="http://schemas.openxmlformats.org/officeDocument/2006/relationships/hyperlink" Target="https://nconnect.nicmar.ac.in/storage/profile/6a872071c7a2b.png" TargetMode="External"/><Relationship Id="rId_hyperlink_810" Type="http://schemas.openxmlformats.org/officeDocument/2006/relationships/hyperlink" Target="https://nconnect.nicmar.ac.in/storage/profile/6a85f412277cc.png" TargetMode="External"/><Relationship Id="rId_hyperlink_811" Type="http://schemas.openxmlformats.org/officeDocument/2006/relationships/hyperlink" Target="https://nconnect.nicmar.ac.in/storage/profile/6a86f71d57fa0.png" TargetMode="External"/><Relationship Id="rId_hyperlink_812" Type="http://schemas.openxmlformats.org/officeDocument/2006/relationships/hyperlink" Target="https://nconnect.nicmar.ac.in/storage/profile/6a867a17436a7.png" TargetMode="External"/><Relationship Id="rId_hyperlink_813" Type="http://schemas.openxmlformats.org/officeDocument/2006/relationships/hyperlink" Target="https://nconnect.nicmar.ac.in/storage/profile/6a83227a3dd5a.png" TargetMode="External"/><Relationship Id="rId_hyperlink_814" Type="http://schemas.openxmlformats.org/officeDocument/2006/relationships/hyperlink" Target="https://nconnect.nicmar.ac.in/storage/profile/6a85edd4ba25d.png" TargetMode="External"/><Relationship Id="rId_hyperlink_815" Type="http://schemas.openxmlformats.org/officeDocument/2006/relationships/hyperlink" Target="https://nconnect.nicmar.ac.in/storage/profile/6a86fb6d22ed9.png" TargetMode="External"/><Relationship Id="rId_hyperlink_816" Type="http://schemas.openxmlformats.org/officeDocument/2006/relationships/hyperlink" Target="https://nconnect.nicmar.ac.in/storage/profile/6a860c775b0fb.png" TargetMode="External"/><Relationship Id="rId_hyperlink_817" Type="http://schemas.openxmlformats.org/officeDocument/2006/relationships/hyperlink" Target="https://nconnect.nicmar.ac.in/storage/profile/6a85a55a6cb00.png" TargetMode="External"/><Relationship Id="rId_hyperlink_818" Type="http://schemas.openxmlformats.org/officeDocument/2006/relationships/hyperlink" Target="https://nconnect.nicmar.ac.in/storage/profile/6a85eb99e12e7.png" TargetMode="External"/><Relationship Id="rId_hyperlink_819" Type="http://schemas.openxmlformats.org/officeDocument/2006/relationships/hyperlink" Target="https://nconnect.nicmar.ac.in/storage/profile/6a8700758e53c.png" TargetMode="External"/><Relationship Id="rId_hyperlink_820" Type="http://schemas.openxmlformats.org/officeDocument/2006/relationships/hyperlink" Target="https://nconnect.nicmar.ac.in/storage/profile/6a8495abb7f9c.png" TargetMode="External"/><Relationship Id="rId_hyperlink_821" Type="http://schemas.openxmlformats.org/officeDocument/2006/relationships/hyperlink" Target="https://nconnect.nicmar.ac.in/storage/profile/6a8720f1d31db.png" TargetMode="External"/><Relationship Id="rId_hyperlink_822" Type="http://schemas.openxmlformats.org/officeDocument/2006/relationships/hyperlink" Target="https://nconnect.nicmar.ac.in/storage/profile/6a8724ab38c7c.png" TargetMode="External"/><Relationship Id="rId_hyperlink_823" Type="http://schemas.openxmlformats.org/officeDocument/2006/relationships/hyperlink" Target="https://nconnect.nicmar.ac.in/storage/profile/6a8b2d4e7fef8.png" TargetMode="External"/><Relationship Id="rId_hyperlink_824" Type="http://schemas.openxmlformats.org/officeDocument/2006/relationships/hyperlink" Target="https://nconnect.nicmar.ac.in/storage/profile/6a86f643b759c.png" TargetMode="External"/><Relationship Id="rId_hyperlink_825" Type="http://schemas.openxmlformats.org/officeDocument/2006/relationships/hyperlink" Target="https://nconnect.nicmar.ac.in/storage/profile/6a8707a4ee3d9.png" TargetMode="External"/><Relationship Id="rId_hyperlink_826" Type="http://schemas.openxmlformats.org/officeDocument/2006/relationships/hyperlink" Target="https://nconnect.nicmar.ac.in/storage/profile/6a85ed75f2712.png" TargetMode="External"/><Relationship Id="rId_hyperlink_827" Type="http://schemas.openxmlformats.org/officeDocument/2006/relationships/hyperlink" Target="https://nconnect.nicmar.ac.in/storage/profile/6a86f618bb3d7.png" TargetMode="External"/><Relationship Id="rId_hyperlink_828" Type="http://schemas.openxmlformats.org/officeDocument/2006/relationships/hyperlink" Target="https://nconnect.nicmar.ac.in/storage/profile/6a8701450fcb4.png" TargetMode="External"/><Relationship Id="rId_hyperlink_829" Type="http://schemas.openxmlformats.org/officeDocument/2006/relationships/hyperlink" Target="https://nconnect.nicmar.ac.in/storage/profile/6a833b8879fd5.png" TargetMode="External"/><Relationship Id="rId_hyperlink_830" Type="http://schemas.openxmlformats.org/officeDocument/2006/relationships/hyperlink" Target="https://nconnect.nicmar.ac.in/storage/profile/6a85dc8a02d12.png" TargetMode="External"/><Relationship Id="rId_hyperlink_831" Type="http://schemas.openxmlformats.org/officeDocument/2006/relationships/hyperlink" Target="https://nconnect.nicmar.ac.in/storage/profile/6a870e7328707.png" TargetMode="External"/><Relationship Id="rId_hyperlink_832" Type="http://schemas.openxmlformats.org/officeDocument/2006/relationships/hyperlink" Target="https://nconnect.nicmar.ac.in/storage/profile/6a86ec1eb97fa.png" TargetMode="External"/><Relationship Id="rId_hyperlink_833" Type="http://schemas.openxmlformats.org/officeDocument/2006/relationships/hyperlink" Target="https://nconnect.nicmar.ac.in/storage/profile/6a85ec6093e88.png" TargetMode="External"/><Relationship Id="rId_hyperlink_834" Type="http://schemas.openxmlformats.org/officeDocument/2006/relationships/hyperlink" Target="https://nconnect.nicmar.ac.in/storage/profile/6a86e824750e8.png" TargetMode="External"/><Relationship Id="rId_hyperlink_835" Type="http://schemas.openxmlformats.org/officeDocument/2006/relationships/hyperlink" Target="https://nconnect.nicmar.ac.in/storage/profile/6a89dae3c9d3d.png" TargetMode="External"/><Relationship Id="rId_hyperlink_836" Type="http://schemas.openxmlformats.org/officeDocument/2006/relationships/hyperlink" Target="https://nconnect.nicmar.ac.in/storage/profile/6a8c5078ca6cf.png" TargetMode="External"/><Relationship Id="rId_hyperlink_837" Type="http://schemas.openxmlformats.org/officeDocument/2006/relationships/hyperlink" Target="https://nconnect.nicmar.ac.in/storage/profile/6a872bb82f489.png" TargetMode="External"/><Relationship Id="rId_hyperlink_838" Type="http://schemas.openxmlformats.org/officeDocument/2006/relationships/hyperlink" Target="https://nconnect.nicmar.ac.in/storage/profile/6a8743f7b6c95.png" TargetMode="External"/><Relationship Id="rId_hyperlink_839" Type="http://schemas.openxmlformats.org/officeDocument/2006/relationships/hyperlink" Target="https://nconnect.nicmar.ac.in/storage/profile/6a8746a074fbc.png" TargetMode="External"/><Relationship Id="rId_hyperlink_840" Type="http://schemas.openxmlformats.org/officeDocument/2006/relationships/hyperlink" Target="https://nconnect.nicmar.ac.in/storage/profile/6a88177318b69.png" TargetMode="External"/><Relationship Id="rId_hyperlink_841" Type="http://schemas.openxmlformats.org/officeDocument/2006/relationships/hyperlink" Target="https://nconnect.nicmar.ac.in/storage/profile/6a872f73be3ff.png" TargetMode="External"/><Relationship Id="rId_hyperlink_842" Type="http://schemas.openxmlformats.org/officeDocument/2006/relationships/hyperlink" Target="https://nconnect.nicmar.ac.in/storage/profile/6a86ea4f18f93.png" TargetMode="External"/><Relationship Id="rId_hyperlink_843" Type="http://schemas.openxmlformats.org/officeDocument/2006/relationships/hyperlink" Target="https://nconnect.nicmar.ac.in/storage/profile/6a8747451a584.png" TargetMode="External"/><Relationship Id="rId_hyperlink_844" Type="http://schemas.openxmlformats.org/officeDocument/2006/relationships/hyperlink" Target="https://nconnect.nicmar.ac.in/storage/profile/6a87457f8f0bc.png" TargetMode="External"/><Relationship Id="rId_hyperlink_845" Type="http://schemas.openxmlformats.org/officeDocument/2006/relationships/hyperlink" Target="https://nconnect.nicmar.ac.in/storage/profile/6a85f271df1b1.png" TargetMode="External"/><Relationship Id="rId_hyperlink_846" Type="http://schemas.openxmlformats.org/officeDocument/2006/relationships/hyperlink" Target="https://nconnect.nicmar.ac.in/storage/profile/6a872748f2174.png" TargetMode="External"/><Relationship Id="rId_hyperlink_847" Type="http://schemas.openxmlformats.org/officeDocument/2006/relationships/hyperlink" Target="https://nconnect.nicmar.ac.in/storage/profile/6a874daaae0e2.png" TargetMode="External"/><Relationship Id="rId_hyperlink_848" Type="http://schemas.openxmlformats.org/officeDocument/2006/relationships/hyperlink" Target="https://nconnect.nicmar.ac.in/storage/profile/6a8719ed293d7.png" TargetMode="External"/><Relationship Id="rId_hyperlink_849" Type="http://schemas.openxmlformats.org/officeDocument/2006/relationships/hyperlink" Target="https://nconnect.nicmar.ac.in/storage/profile/6a871f382869e.png" TargetMode="External"/><Relationship Id="rId_hyperlink_850" Type="http://schemas.openxmlformats.org/officeDocument/2006/relationships/hyperlink" Target="https://nconnect.nicmar.ac.in/storage/profile/6a86fbbf7c858.png" TargetMode="External"/><Relationship Id="rId_hyperlink_851" Type="http://schemas.openxmlformats.org/officeDocument/2006/relationships/hyperlink" Target="https://nconnect.nicmar.ac.in/storage/profile/6a8719cc9631b.png" TargetMode="External"/><Relationship Id="rId_hyperlink_852" Type="http://schemas.openxmlformats.org/officeDocument/2006/relationships/hyperlink" Target="https://nconnect.nicmar.ac.in/storage/profile/6a873b3c03bec.png" TargetMode="External"/><Relationship Id="rId_hyperlink_853" Type="http://schemas.openxmlformats.org/officeDocument/2006/relationships/hyperlink" Target="https://nconnect.nicmar.ac.in/storage/profile/6a8716e95f25c.png" TargetMode="External"/><Relationship Id="rId_hyperlink_854" Type="http://schemas.openxmlformats.org/officeDocument/2006/relationships/hyperlink" Target="https://nconnect.nicmar.ac.in/storage/profile/6a870db800bc6.png" TargetMode="External"/><Relationship Id="rId_hyperlink_855" Type="http://schemas.openxmlformats.org/officeDocument/2006/relationships/hyperlink" Target="https://nconnect.nicmar.ac.in/storage/profile/6a85f5948d8f2.png" TargetMode="External"/><Relationship Id="rId_hyperlink_856" Type="http://schemas.openxmlformats.org/officeDocument/2006/relationships/hyperlink" Target="https://nconnect.nicmar.ac.in/storage/profile/6a85ecfff0f44.png" TargetMode="External"/><Relationship Id="rId_hyperlink_857" Type="http://schemas.openxmlformats.org/officeDocument/2006/relationships/hyperlink" Target="https://nconnect.nicmar.ac.in/storage/profile/6a8655f597726.png" TargetMode="External"/><Relationship Id="rId_hyperlink_858" Type="http://schemas.openxmlformats.org/officeDocument/2006/relationships/hyperlink" Target="https://nconnect.nicmar.ac.in/storage/profile/6a85ddf985b62.png" TargetMode="External"/><Relationship Id="rId_hyperlink_859" Type="http://schemas.openxmlformats.org/officeDocument/2006/relationships/hyperlink" Target="https://nconnect.nicmar.ac.in/storage/profile/6a86e6c5d3ed6.png" TargetMode="External"/><Relationship Id="rId_hyperlink_860" Type="http://schemas.openxmlformats.org/officeDocument/2006/relationships/hyperlink" Target="https://nconnect.nicmar.ac.in/storage/profile/6a81dc966aaa6.png" TargetMode="External"/><Relationship Id="rId_hyperlink_861" Type="http://schemas.openxmlformats.org/officeDocument/2006/relationships/hyperlink" Target="https://nconnect.nicmar.ac.in/storage/profile/6a85ed92ada8c.png" TargetMode="External"/><Relationship Id="rId_hyperlink_862" Type="http://schemas.openxmlformats.org/officeDocument/2006/relationships/hyperlink" Target="https://nconnect.nicmar.ac.in/storage/profile/6a85e4149987a.png" TargetMode="External"/><Relationship Id="rId_hyperlink_863" Type="http://schemas.openxmlformats.org/officeDocument/2006/relationships/hyperlink" Target="https://nconnect.nicmar.ac.in/storage/profile/6a870e60c701d.png" TargetMode="External"/><Relationship Id="rId_hyperlink_864" Type="http://schemas.openxmlformats.org/officeDocument/2006/relationships/hyperlink" Target="https://nconnect.nicmar.ac.in/storage/profile/6a87374bcb675.png" TargetMode="External"/><Relationship Id="rId_hyperlink_865" Type="http://schemas.openxmlformats.org/officeDocument/2006/relationships/hyperlink" Target="https://nconnect.nicmar.ac.in/storage/profile/6a8b02c69440c.png" TargetMode="External"/><Relationship Id="rId_hyperlink_866" Type="http://schemas.openxmlformats.org/officeDocument/2006/relationships/hyperlink" Target="https://nconnect.nicmar.ac.in/storage/profile/6a85e677032e3.png" TargetMode="External"/><Relationship Id="rId_hyperlink_867" Type="http://schemas.openxmlformats.org/officeDocument/2006/relationships/hyperlink" Target="https://nconnect.nicmar.ac.in/storage/profile/6a86ed136430f.png" TargetMode="External"/><Relationship Id="rId_hyperlink_868" Type="http://schemas.openxmlformats.org/officeDocument/2006/relationships/hyperlink" Target="https://nconnect.nicmar.ac.in/storage/profile/6a8346b0921d7.png" TargetMode="External"/><Relationship Id="rId_hyperlink_869" Type="http://schemas.openxmlformats.org/officeDocument/2006/relationships/hyperlink" Target="https://nconnect.nicmar.ac.in/storage/profile/6a84999f54b02.png" TargetMode="External"/><Relationship Id="rId_hyperlink_870" Type="http://schemas.openxmlformats.org/officeDocument/2006/relationships/hyperlink" Target="https://nconnect.nicmar.ac.in/storage/profile/6a86f4eb77643.png" TargetMode="External"/><Relationship Id="rId_hyperlink_871" Type="http://schemas.openxmlformats.org/officeDocument/2006/relationships/hyperlink" Target="https://nconnect.nicmar.ac.in/storage/profile/6a85b86a22d8f.png" TargetMode="External"/><Relationship Id="rId_hyperlink_872" Type="http://schemas.openxmlformats.org/officeDocument/2006/relationships/hyperlink" Target="https://nconnect.nicmar.ac.in/storage/profile/6a86f5fcb921c.png" TargetMode="External"/><Relationship Id="rId_hyperlink_873" Type="http://schemas.openxmlformats.org/officeDocument/2006/relationships/hyperlink" Target="https://nconnect.nicmar.ac.in/storage/profile/6a86033601b1a.png" TargetMode="External"/><Relationship Id="rId_hyperlink_874" Type="http://schemas.openxmlformats.org/officeDocument/2006/relationships/hyperlink" Target="https://nconnect.nicmar.ac.in/storage/profile/6a8b53cfee04a.png" TargetMode="External"/><Relationship Id="rId_hyperlink_875" Type="http://schemas.openxmlformats.org/officeDocument/2006/relationships/hyperlink" Target="https://nconnect.nicmar.ac.in/storage/profile/6a8a8c7850796.png" TargetMode="External"/><Relationship Id="rId_hyperlink_876" Type="http://schemas.openxmlformats.org/officeDocument/2006/relationships/hyperlink" Target="https://nconnect.nicmar.ac.in/storage/profile/6a8b1f1cc7ad2.png" TargetMode="External"/><Relationship Id="rId_hyperlink_877" Type="http://schemas.openxmlformats.org/officeDocument/2006/relationships/hyperlink" Target="https://nconnect.nicmar.ac.in/storage/profile/6a8c22efe4311.png" TargetMode="External"/><Relationship Id="rId_hyperlink_878" Type="http://schemas.openxmlformats.org/officeDocument/2006/relationships/hyperlink" Target="https://nconnect.nicmar.ac.in/storage/profile/6a86ed639f424.png" TargetMode="External"/><Relationship Id="rId_hyperlink_879" Type="http://schemas.openxmlformats.org/officeDocument/2006/relationships/hyperlink" Target="https://nconnect.nicmar.ac.in/storage/profile/6a85fe44585b2.png" TargetMode="External"/><Relationship Id="rId_hyperlink_880" Type="http://schemas.openxmlformats.org/officeDocument/2006/relationships/hyperlink" Target="https://nconnect.nicmar.ac.in/storage/profile/6a85d8fbdbbc0.png" TargetMode="External"/><Relationship Id="rId_hyperlink_881" Type="http://schemas.openxmlformats.org/officeDocument/2006/relationships/hyperlink" Target="https://nconnect.nicmar.ac.in/storage/profile/6a86ffe056156.png" TargetMode="External"/><Relationship Id="rId_hyperlink_882" Type="http://schemas.openxmlformats.org/officeDocument/2006/relationships/hyperlink" Target="https://nconnect.nicmar.ac.in/storage/profile/6a87469d60867.png" TargetMode="External"/><Relationship Id="rId_hyperlink_883" Type="http://schemas.openxmlformats.org/officeDocument/2006/relationships/hyperlink" Target="https://nconnect.nicmar.ac.in/storage/profile/6a8b1aeb9c0c9.png" TargetMode="External"/><Relationship Id="rId_hyperlink_884" Type="http://schemas.openxmlformats.org/officeDocument/2006/relationships/hyperlink" Target="https://nconnect.nicmar.ac.in/storage/profile/6a860d8ead09e.png" TargetMode="External"/><Relationship Id="rId_hyperlink_885" Type="http://schemas.openxmlformats.org/officeDocument/2006/relationships/hyperlink" Target="https://nconnect.nicmar.ac.in/storage/profile/6a85f1c8432f3.png" TargetMode="External"/><Relationship Id="rId_hyperlink_886" Type="http://schemas.openxmlformats.org/officeDocument/2006/relationships/hyperlink" Target="https://nconnect.nicmar.ac.in/storage/profile/6a84ab7ac8f60.png" TargetMode="External"/><Relationship Id="rId_hyperlink_887" Type="http://schemas.openxmlformats.org/officeDocument/2006/relationships/hyperlink" Target="https://nconnect.nicmar.ac.in/storage/profile/6a86042bc3913.png" TargetMode="External"/><Relationship Id="rId_hyperlink_888" Type="http://schemas.openxmlformats.org/officeDocument/2006/relationships/hyperlink" Target="https://nconnect.nicmar.ac.in/storage/profile/6a87343ad2aae.png" TargetMode="External"/><Relationship Id="rId_hyperlink_889" Type="http://schemas.openxmlformats.org/officeDocument/2006/relationships/hyperlink" Target="https://nconnect.nicmar.ac.in/storage/profile/6a859e6954626.png" TargetMode="External"/><Relationship Id="rId_hyperlink_890" Type="http://schemas.openxmlformats.org/officeDocument/2006/relationships/hyperlink" Target="https://nconnect.nicmar.ac.in/storage/profile/6a8722f0e3cb2.png" TargetMode="External"/><Relationship Id="rId_hyperlink_891" Type="http://schemas.openxmlformats.org/officeDocument/2006/relationships/hyperlink" Target="https://nconnect.nicmar.ac.in/storage/profile/6a8b35d6bc8c8.png" TargetMode="External"/><Relationship Id="rId_hyperlink_892" Type="http://schemas.openxmlformats.org/officeDocument/2006/relationships/hyperlink" Target="https://nconnect.nicmar.ac.in/storage/profile/6a8f0bd7d0eb3.png" TargetMode="External"/><Relationship Id="rId_hyperlink_893" Type="http://schemas.openxmlformats.org/officeDocument/2006/relationships/hyperlink" Target="https://nconnect.nicmar.ac.in/storage/profile/6a8671ff89ee2.png" TargetMode="External"/><Relationship Id="rId_hyperlink_894" Type="http://schemas.openxmlformats.org/officeDocument/2006/relationships/hyperlink" Target="https://nconnect.nicmar.ac.in/storage/profile/6a8709cc34c35.png" TargetMode="External"/><Relationship Id="rId_hyperlink_895" Type="http://schemas.openxmlformats.org/officeDocument/2006/relationships/hyperlink" Target="https://nconnect.nicmar.ac.in/storage/profile/6a87397659d54.png" TargetMode="External"/><Relationship Id="rId_hyperlink_896" Type="http://schemas.openxmlformats.org/officeDocument/2006/relationships/hyperlink" Target="https://nconnect.nicmar.ac.in/storage/profile/6a85ec721d1c9.png" TargetMode="External"/><Relationship Id="rId_hyperlink_897" Type="http://schemas.openxmlformats.org/officeDocument/2006/relationships/hyperlink" Target="https://nconnect.nicmar.ac.in/storage/profile/6a87288793455.png" TargetMode="External"/><Relationship Id="rId_hyperlink_898" Type="http://schemas.openxmlformats.org/officeDocument/2006/relationships/hyperlink" Target="https://nconnect.nicmar.ac.in/storage/profile/6a8713197330a.png" TargetMode="External"/><Relationship Id="rId_hyperlink_899" Type="http://schemas.openxmlformats.org/officeDocument/2006/relationships/hyperlink" Target="https://nconnect.nicmar.ac.in/storage/profile/6a87218ac54c4.png" TargetMode="External"/><Relationship Id="rId_hyperlink_900" Type="http://schemas.openxmlformats.org/officeDocument/2006/relationships/hyperlink" Target="https://nconnect.nicmar.ac.in/storage/profile/6a872bd7a7aba.png" TargetMode="External"/><Relationship Id="rId_hyperlink_901" Type="http://schemas.openxmlformats.org/officeDocument/2006/relationships/hyperlink" Target="https://nconnect.nicmar.ac.in/storage/profile/6a86fa61ca26d.png" TargetMode="External"/><Relationship Id="rId_hyperlink_902" Type="http://schemas.openxmlformats.org/officeDocument/2006/relationships/hyperlink" Target="https://nconnect.nicmar.ac.in/storage/profile/6a871168062f7.png" TargetMode="External"/><Relationship Id="rId_hyperlink_903" Type="http://schemas.openxmlformats.org/officeDocument/2006/relationships/hyperlink" Target="https://nconnect.nicmar.ac.in/storage/profile/6a866ed671b08.png" TargetMode="External"/><Relationship Id="rId_hyperlink_904" Type="http://schemas.openxmlformats.org/officeDocument/2006/relationships/hyperlink" Target="https://nconnect.nicmar.ac.in/storage/profile/6a8708c32de2c.png" TargetMode="External"/><Relationship Id="rId_hyperlink_905" Type="http://schemas.openxmlformats.org/officeDocument/2006/relationships/hyperlink" Target="https://nconnect.nicmar.ac.in/storage/profile/6a871d00b49f6.png" TargetMode="External"/><Relationship Id="rId_hyperlink_906" Type="http://schemas.openxmlformats.org/officeDocument/2006/relationships/hyperlink" Target="https://nconnect.nicmar.ac.in/storage/profile/6a86f30f3fe30.png" TargetMode="External"/><Relationship Id="rId_hyperlink_907" Type="http://schemas.openxmlformats.org/officeDocument/2006/relationships/hyperlink" Target="https://nconnect.nicmar.ac.in/storage/profile/6a8739a9a4c0c.png" TargetMode="External"/><Relationship Id="rId_hyperlink_908" Type="http://schemas.openxmlformats.org/officeDocument/2006/relationships/hyperlink" Target="https://nconnect.nicmar.ac.in/storage/profile/6a872b6705f0a.png" TargetMode="External"/><Relationship Id="rId_hyperlink_909" Type="http://schemas.openxmlformats.org/officeDocument/2006/relationships/hyperlink" Target="https://nconnect.nicmar.ac.in/storage/profile/6a871a3ddc388.png" TargetMode="External"/><Relationship Id="rId_hyperlink_910" Type="http://schemas.openxmlformats.org/officeDocument/2006/relationships/hyperlink" Target="https://nconnect.nicmar.ac.in/storage/profile/6a86eaf24de10.png" TargetMode="External"/><Relationship Id="rId_hyperlink_911" Type="http://schemas.openxmlformats.org/officeDocument/2006/relationships/hyperlink" Target="https://nconnect.nicmar.ac.in/storage/profile/6a85fb1c98172.png" TargetMode="External"/><Relationship Id="rId_hyperlink_912" Type="http://schemas.openxmlformats.org/officeDocument/2006/relationships/hyperlink" Target="https://nconnect.nicmar.ac.in/storage/profile/6a8745b5bbad4.png" TargetMode="External"/><Relationship Id="rId_hyperlink_913" Type="http://schemas.openxmlformats.org/officeDocument/2006/relationships/hyperlink" Target="https://nconnect.nicmar.ac.in/storage/profile/6a87044284cb4.png" TargetMode="External"/><Relationship Id="rId_hyperlink_914" Type="http://schemas.openxmlformats.org/officeDocument/2006/relationships/hyperlink" Target="https://nconnect.nicmar.ac.in/storage/profile/6a87f1d3b61c5.png" TargetMode="External"/><Relationship Id="rId_hyperlink_915" Type="http://schemas.openxmlformats.org/officeDocument/2006/relationships/hyperlink" Target="https://nconnect.nicmar.ac.in/storage/profile/6a86d3150a820.png" TargetMode="External"/><Relationship Id="rId_hyperlink_916" Type="http://schemas.openxmlformats.org/officeDocument/2006/relationships/hyperlink" Target="https://nconnect.nicmar.ac.in/storage/profile/6a8705f028b96.png" TargetMode="External"/><Relationship Id="rId_hyperlink_917" Type="http://schemas.openxmlformats.org/officeDocument/2006/relationships/hyperlink" Target="https://nconnect.nicmar.ac.in/storage/profile/6a8700f61e1f5.png" TargetMode="External"/><Relationship Id="rId_hyperlink_918" Type="http://schemas.openxmlformats.org/officeDocument/2006/relationships/hyperlink" Target="https://nconnect.nicmar.ac.in/storage/profile/6a871a3f99ba9.png" TargetMode="External"/><Relationship Id="rId_hyperlink_919" Type="http://schemas.openxmlformats.org/officeDocument/2006/relationships/hyperlink" Target="https://nconnect.nicmar.ac.in/storage/profile/6a872e7cbf96d.png" TargetMode="External"/><Relationship Id="rId_hyperlink_920" Type="http://schemas.openxmlformats.org/officeDocument/2006/relationships/hyperlink" Target="https://nconnect.nicmar.ac.in/storage/profile/6a8680d98bf34.png" TargetMode="External"/><Relationship Id="rId_hyperlink_921" Type="http://schemas.openxmlformats.org/officeDocument/2006/relationships/hyperlink" Target="https://nconnect.nicmar.ac.in/storage/profile/6a86e6ab65a73.png" TargetMode="External"/><Relationship Id="rId_hyperlink_922" Type="http://schemas.openxmlformats.org/officeDocument/2006/relationships/hyperlink" Target="https://nconnect.nicmar.ac.in/storage/profile/6a85e76d6c350.png" TargetMode="External"/><Relationship Id="rId_hyperlink_923" Type="http://schemas.openxmlformats.org/officeDocument/2006/relationships/hyperlink" Target="https://nconnect.nicmar.ac.in/storage/profile/6a872c7cc96e8.png" TargetMode="External"/><Relationship Id="rId_hyperlink_924" Type="http://schemas.openxmlformats.org/officeDocument/2006/relationships/hyperlink" Target="https://nconnect.nicmar.ac.in/storage/profile/6a871fae1dbe9.png" TargetMode="External"/><Relationship Id="rId_hyperlink_925" Type="http://schemas.openxmlformats.org/officeDocument/2006/relationships/hyperlink" Target="https://nconnect.nicmar.ac.in/storage/profile/6a872cd4c6794.png" TargetMode="External"/><Relationship Id="rId_hyperlink_926" Type="http://schemas.openxmlformats.org/officeDocument/2006/relationships/hyperlink" Target="https://nconnect.nicmar.ac.in/storage/profile/6a872b6bb8299.png" TargetMode="External"/><Relationship Id="rId_hyperlink_927" Type="http://schemas.openxmlformats.org/officeDocument/2006/relationships/hyperlink" Target="https://nconnect.nicmar.ac.in/storage/profile/6a8700e2b90ab.png" TargetMode="External"/><Relationship Id="rId_hyperlink_928" Type="http://schemas.openxmlformats.org/officeDocument/2006/relationships/hyperlink" Target="https://nconnect.nicmar.ac.in/storage/profile/6a88327f050ac.png" TargetMode="External"/><Relationship Id="rId_hyperlink_929" Type="http://schemas.openxmlformats.org/officeDocument/2006/relationships/hyperlink" Target="https://nconnect.nicmar.ac.in/storage/profile/6a86f98167f97.png" TargetMode="External"/><Relationship Id="rId_hyperlink_930" Type="http://schemas.openxmlformats.org/officeDocument/2006/relationships/hyperlink" Target="https://nconnect.nicmar.ac.in/storage/profile/6a872b676934a.png" TargetMode="External"/><Relationship Id="rId_hyperlink_931" Type="http://schemas.openxmlformats.org/officeDocument/2006/relationships/hyperlink" Target="https://nconnect.nicmar.ac.in/storage/profile/6a870ace0e57c.png" TargetMode="External"/><Relationship Id="rId_hyperlink_932" Type="http://schemas.openxmlformats.org/officeDocument/2006/relationships/hyperlink" Target="https://nconnect.nicmar.ac.in/storage/profile/6a87093be0c05.png" TargetMode="External"/><Relationship Id="rId_hyperlink_933" Type="http://schemas.openxmlformats.org/officeDocument/2006/relationships/hyperlink" Target="https://nconnect.nicmar.ac.in/storage/profile/6a85e77934f43.png" TargetMode="External"/><Relationship Id="rId_hyperlink_934" Type="http://schemas.openxmlformats.org/officeDocument/2006/relationships/hyperlink" Target="https://nconnect.nicmar.ac.in/storage/profile/6a86a0a2b935c.png" TargetMode="External"/><Relationship Id="rId_hyperlink_935" Type="http://schemas.openxmlformats.org/officeDocument/2006/relationships/hyperlink" Target="https://nconnect.nicmar.ac.in/storage/profile/6a86030697e42.png" TargetMode="External"/><Relationship Id="rId_hyperlink_936" Type="http://schemas.openxmlformats.org/officeDocument/2006/relationships/hyperlink" Target="https://nconnect.nicmar.ac.in/storage/profile/6a86b571af741.png" TargetMode="External"/><Relationship Id="rId_hyperlink_937" Type="http://schemas.openxmlformats.org/officeDocument/2006/relationships/hyperlink" Target="https://nconnect.nicmar.ac.in/storage/profile/6a86ff30e9b0e.png" TargetMode="External"/><Relationship Id="rId_hyperlink_938" Type="http://schemas.openxmlformats.org/officeDocument/2006/relationships/hyperlink" Target="https://nconnect.nicmar.ac.in/storage/profile/6a85aa19d9fe3.png" TargetMode="External"/><Relationship Id="rId_hyperlink_939" Type="http://schemas.openxmlformats.org/officeDocument/2006/relationships/hyperlink" Target="https://nconnect.nicmar.ac.in/storage/profile/6a86b43f1cb58.png" TargetMode="External"/><Relationship Id="rId_hyperlink_940" Type="http://schemas.openxmlformats.org/officeDocument/2006/relationships/hyperlink" Target="https://nconnect.nicmar.ac.in/storage/profile/6a85f23169805.png" TargetMode="External"/><Relationship Id="rId_hyperlink_941" Type="http://schemas.openxmlformats.org/officeDocument/2006/relationships/hyperlink" Target="https://nconnect.nicmar.ac.in/storage/profile/6a86f650b03c1.png" TargetMode="External"/><Relationship Id="rId_hyperlink_942" Type="http://schemas.openxmlformats.org/officeDocument/2006/relationships/hyperlink" Target="https://nconnect.nicmar.ac.in/storage/profile/6a86ec5e70046.png" TargetMode="External"/><Relationship Id="rId_hyperlink_943" Type="http://schemas.openxmlformats.org/officeDocument/2006/relationships/hyperlink" Target="https://nconnect.nicmar.ac.in/storage/profile/6a87078dc6ac5.png" TargetMode="External"/><Relationship Id="rId_hyperlink_944" Type="http://schemas.openxmlformats.org/officeDocument/2006/relationships/hyperlink" Target="https://nconnect.nicmar.ac.in/storage/profile/6a85e04248110.png" TargetMode="External"/><Relationship Id="rId_hyperlink_945" Type="http://schemas.openxmlformats.org/officeDocument/2006/relationships/hyperlink" Target="https://nconnect.nicmar.ac.in/storage/profile/6a85df69369c0.png" TargetMode="External"/><Relationship Id="rId_hyperlink_946" Type="http://schemas.openxmlformats.org/officeDocument/2006/relationships/hyperlink" Target="https://nconnect.nicmar.ac.in/storage/profile/6a888c706f0d6.png" TargetMode="External"/><Relationship Id="rId_hyperlink_947" Type="http://schemas.openxmlformats.org/officeDocument/2006/relationships/hyperlink" Target="https://nconnect.nicmar.ac.in/storage/profile/6a86b0f2c889c.png" TargetMode="External"/><Relationship Id="rId_hyperlink_948" Type="http://schemas.openxmlformats.org/officeDocument/2006/relationships/hyperlink" Target="https://nconnect.nicmar.ac.in/storage/profile/6a87138bbbfea.png" TargetMode="External"/><Relationship Id="rId_hyperlink_949" Type="http://schemas.openxmlformats.org/officeDocument/2006/relationships/hyperlink" Target="https://nconnect.nicmar.ac.in/storage/profile/6a87152b27a8c.png" TargetMode="External"/><Relationship Id="rId_hyperlink_950" Type="http://schemas.openxmlformats.org/officeDocument/2006/relationships/hyperlink" Target="https://nconnect.nicmar.ac.in/storage/profile/6a8722fe8acf4.png" TargetMode="External"/><Relationship Id="rId_hyperlink_951" Type="http://schemas.openxmlformats.org/officeDocument/2006/relationships/hyperlink" Target="https://nconnect.nicmar.ac.in/storage/profile/6a859845c38be.png" TargetMode="External"/><Relationship Id="rId_hyperlink_952" Type="http://schemas.openxmlformats.org/officeDocument/2006/relationships/hyperlink" Target="https://nconnect.nicmar.ac.in/storage/profile/6a85f219795fa.png" TargetMode="External"/><Relationship Id="rId_hyperlink_953" Type="http://schemas.openxmlformats.org/officeDocument/2006/relationships/hyperlink" Target="https://nconnect.nicmar.ac.in/storage/profile/6a870b9a232ac.png" TargetMode="External"/><Relationship Id="rId_hyperlink_954" Type="http://schemas.openxmlformats.org/officeDocument/2006/relationships/hyperlink" Target="https://nconnect.nicmar.ac.in/storage/profile/6a85e5e119bb5.png" TargetMode="External"/><Relationship Id="rId_hyperlink_955" Type="http://schemas.openxmlformats.org/officeDocument/2006/relationships/hyperlink" Target="https://nconnect.nicmar.ac.in/storage/profile/6a85f8bbd0f17.png" TargetMode="External"/><Relationship Id="rId_hyperlink_956" Type="http://schemas.openxmlformats.org/officeDocument/2006/relationships/hyperlink" Target="https://nconnect.nicmar.ac.in/storage/profile/6a85eb29466df.png" TargetMode="External"/><Relationship Id="rId_hyperlink_957" Type="http://schemas.openxmlformats.org/officeDocument/2006/relationships/hyperlink" Target="https://nconnect.nicmar.ac.in/storage/profile/6a85ee6a5a3dd.png" TargetMode="External"/><Relationship Id="rId_hyperlink_958" Type="http://schemas.openxmlformats.org/officeDocument/2006/relationships/hyperlink" Target="https://nconnect.nicmar.ac.in/storage/profile/6a8675db4bfc1.png" TargetMode="External"/><Relationship Id="rId_hyperlink_959" Type="http://schemas.openxmlformats.org/officeDocument/2006/relationships/hyperlink" Target="https://nconnect.nicmar.ac.in/storage/profile/6a85f49006c96.png" TargetMode="External"/><Relationship Id="rId_hyperlink_960" Type="http://schemas.openxmlformats.org/officeDocument/2006/relationships/hyperlink" Target="https://nconnect.nicmar.ac.in/storage/profile/6a8801a0253d7.png" TargetMode="External"/><Relationship Id="rId_hyperlink_961" Type="http://schemas.openxmlformats.org/officeDocument/2006/relationships/hyperlink" Target="https://nconnect.nicmar.ac.in/storage/profile/6a869f51564c3.png" TargetMode="External"/><Relationship Id="rId_hyperlink_962" Type="http://schemas.openxmlformats.org/officeDocument/2006/relationships/hyperlink" Target="https://nconnect.nicmar.ac.in/storage/profile/6a81fcd407b8d.png" TargetMode="External"/><Relationship Id="rId_hyperlink_963" Type="http://schemas.openxmlformats.org/officeDocument/2006/relationships/hyperlink" Target="https://nconnect.nicmar.ac.in/storage/profile/6a8717807ec96.png" TargetMode="External"/><Relationship Id="rId_hyperlink_964" Type="http://schemas.openxmlformats.org/officeDocument/2006/relationships/hyperlink" Target="https://nconnect.nicmar.ac.in/storage/profile/6a86ad197866c.png" TargetMode="External"/><Relationship Id="rId_hyperlink_965" Type="http://schemas.openxmlformats.org/officeDocument/2006/relationships/hyperlink" Target="https://nconnect.nicmar.ac.in/storage/profile/6a8740581a578.png" TargetMode="External"/><Relationship Id="rId_hyperlink_966" Type="http://schemas.openxmlformats.org/officeDocument/2006/relationships/hyperlink" Target="https://nconnect.nicmar.ac.in/storage/profile/6a87155045146.png" TargetMode="External"/><Relationship Id="rId_hyperlink_967" Type="http://schemas.openxmlformats.org/officeDocument/2006/relationships/hyperlink" Target="https://nconnect.nicmar.ac.in/storage/profile/6a86e56992510.png" TargetMode="External"/><Relationship Id="rId_hyperlink_968" Type="http://schemas.openxmlformats.org/officeDocument/2006/relationships/hyperlink" Target="https://nconnect.nicmar.ac.in/storage/profile/6a867c835da40.png" TargetMode="External"/><Relationship Id="rId_hyperlink_969" Type="http://schemas.openxmlformats.org/officeDocument/2006/relationships/hyperlink" Target="https://nconnect.nicmar.ac.in/storage/profile/6a86ea7bbf976.png" TargetMode="External"/><Relationship Id="rId_hyperlink_970" Type="http://schemas.openxmlformats.org/officeDocument/2006/relationships/hyperlink" Target="https://nconnect.nicmar.ac.in/storage/profile/6a87012c5d057.png" TargetMode="External"/><Relationship Id="rId_hyperlink_971" Type="http://schemas.openxmlformats.org/officeDocument/2006/relationships/hyperlink" Target="https://nconnect.nicmar.ac.in/storage/profile/6a85f0971ea53.png" TargetMode="External"/><Relationship Id="rId_hyperlink_972" Type="http://schemas.openxmlformats.org/officeDocument/2006/relationships/hyperlink" Target="https://nconnect.nicmar.ac.in/storage/profile/6a872a558f51f.png" TargetMode="External"/><Relationship Id="rId_hyperlink_973" Type="http://schemas.openxmlformats.org/officeDocument/2006/relationships/hyperlink" Target="https://nconnect.nicmar.ac.in/storage/profile/6a81bd68de39a.png" TargetMode="External"/><Relationship Id="rId_hyperlink_974" Type="http://schemas.openxmlformats.org/officeDocument/2006/relationships/hyperlink" Target="https://nconnect.nicmar.ac.in/storage/profile/6a873f96017a3.png" TargetMode="External"/><Relationship Id="rId_hyperlink_975" Type="http://schemas.openxmlformats.org/officeDocument/2006/relationships/hyperlink" Target="https://nconnect.nicmar.ac.in/storage/profile/6a84816adbd15.png" TargetMode="External"/><Relationship Id="rId_hyperlink_976" Type="http://schemas.openxmlformats.org/officeDocument/2006/relationships/hyperlink" Target="https://nconnect.nicmar.ac.in/storage/profile/6a86fca550493.png" TargetMode="External"/><Relationship Id="rId_hyperlink_977" Type="http://schemas.openxmlformats.org/officeDocument/2006/relationships/hyperlink" Target="https://nconnect.nicmar.ac.in/storage/profile/6a8730d3e48ec.png" TargetMode="External"/><Relationship Id="rId_hyperlink_978" Type="http://schemas.openxmlformats.org/officeDocument/2006/relationships/hyperlink" Target="https://nconnect.nicmar.ac.in/storage/profile/6a846d71c22ca.png" TargetMode="External"/><Relationship Id="rId_hyperlink_979" Type="http://schemas.openxmlformats.org/officeDocument/2006/relationships/hyperlink" Target="https://nconnect.nicmar.ac.in/storage/profile/6a86ef434da50.png" TargetMode="External"/><Relationship Id="rId_hyperlink_980" Type="http://schemas.openxmlformats.org/officeDocument/2006/relationships/hyperlink" Target="https://nconnect.nicmar.ac.in/storage/profile/6a869c7a9f7ad.png" TargetMode="External"/><Relationship Id="rId_hyperlink_981" Type="http://schemas.openxmlformats.org/officeDocument/2006/relationships/hyperlink" Target="https://nconnect.nicmar.ac.in/storage/profile/6a8741454e046.png" TargetMode="External"/><Relationship Id="rId_hyperlink_982" Type="http://schemas.openxmlformats.org/officeDocument/2006/relationships/hyperlink" Target="https://nconnect.nicmar.ac.in/storage/profile/6a86f1e0783ca.png" TargetMode="External"/><Relationship Id="rId_hyperlink_983" Type="http://schemas.openxmlformats.org/officeDocument/2006/relationships/hyperlink" Target="https://nconnect.nicmar.ac.in/storage/profile/6a86bdc99a0cf.png" TargetMode="External"/><Relationship Id="rId_hyperlink_984" Type="http://schemas.openxmlformats.org/officeDocument/2006/relationships/hyperlink" Target="https://nconnect.nicmar.ac.in/storage/profile/6a873d08e4b8b.png" TargetMode="External"/><Relationship Id="rId_hyperlink_985" Type="http://schemas.openxmlformats.org/officeDocument/2006/relationships/hyperlink" Target="https://nconnect.nicmar.ac.in/storage/profile/6a84930bcf276.png" TargetMode="External"/><Relationship Id="rId_hyperlink_986" Type="http://schemas.openxmlformats.org/officeDocument/2006/relationships/hyperlink" Target="https://nconnect.nicmar.ac.in/storage/profile/6a8b58568d421.png" TargetMode="External"/><Relationship Id="rId_hyperlink_987" Type="http://schemas.openxmlformats.org/officeDocument/2006/relationships/hyperlink" Target="https://nconnect.nicmar.ac.in/storage/profile/6a871d5e5fb34.png" TargetMode="External"/><Relationship Id="rId_hyperlink_988" Type="http://schemas.openxmlformats.org/officeDocument/2006/relationships/hyperlink" Target="https://nconnect.nicmar.ac.in/storage/profile/6a873d107795c.png" TargetMode="External"/><Relationship Id="rId_hyperlink_989" Type="http://schemas.openxmlformats.org/officeDocument/2006/relationships/hyperlink" Target="https://nconnect.nicmar.ac.in/storage/profile/6a874352822c3.png" TargetMode="External"/><Relationship Id="rId_hyperlink_990" Type="http://schemas.openxmlformats.org/officeDocument/2006/relationships/hyperlink" Target="https://nconnect.nicmar.ac.in/storage/profile/6a87241902a0e.png" TargetMode="External"/><Relationship Id="rId_hyperlink_991" Type="http://schemas.openxmlformats.org/officeDocument/2006/relationships/hyperlink" Target="https://nconnect.nicmar.ac.in/storage/profile/6a85eccb62d04.png" TargetMode="External"/><Relationship Id="rId_hyperlink_992" Type="http://schemas.openxmlformats.org/officeDocument/2006/relationships/hyperlink" Target="https://nconnect.nicmar.ac.in/storage/profile/6a85f3533d6f2.png" TargetMode="External"/><Relationship Id="rId_hyperlink_993" Type="http://schemas.openxmlformats.org/officeDocument/2006/relationships/hyperlink" Target="https://nconnect.nicmar.ac.in/storage/profile/6a8712465e7c8.png" TargetMode="External"/><Relationship Id="rId_hyperlink_994" Type="http://schemas.openxmlformats.org/officeDocument/2006/relationships/hyperlink" Target="https://nconnect.nicmar.ac.in/storage/profile/6a87004aa0a76.png" TargetMode="External"/><Relationship Id="rId_hyperlink_995" Type="http://schemas.openxmlformats.org/officeDocument/2006/relationships/hyperlink" Target="https://nconnect.nicmar.ac.in/storage/profile/6a87017d87981.png" TargetMode="External"/><Relationship Id="rId_hyperlink_996" Type="http://schemas.openxmlformats.org/officeDocument/2006/relationships/hyperlink" Target="https://nconnect.nicmar.ac.in/storage/profile/6a872132762eb.png" TargetMode="External"/><Relationship Id="rId_hyperlink_997" Type="http://schemas.openxmlformats.org/officeDocument/2006/relationships/hyperlink" Target="https://nconnect.nicmar.ac.in/storage/profile/6a85f6e2a2939.png" TargetMode="External"/><Relationship Id="rId_hyperlink_998" Type="http://schemas.openxmlformats.org/officeDocument/2006/relationships/hyperlink" Target="https://nconnect.nicmar.ac.in/storage/profile/6a850ec938bbc.png" TargetMode="External"/><Relationship Id="rId_hyperlink_999" Type="http://schemas.openxmlformats.org/officeDocument/2006/relationships/hyperlink" Target="https://nconnect.nicmar.ac.in/storage/profile/6a85dc3b52eff.png" TargetMode="External"/><Relationship Id="rId_hyperlink_1000" Type="http://schemas.openxmlformats.org/officeDocument/2006/relationships/hyperlink" Target="https://nconnect.nicmar.ac.in/storage/profile/6a86b0811d18f.png" TargetMode="External"/><Relationship Id="rId_hyperlink_1001" Type="http://schemas.openxmlformats.org/officeDocument/2006/relationships/hyperlink" Target="https://nconnect.nicmar.ac.in/storage/profile/6a85ea1e69878.png" TargetMode="External"/><Relationship Id="rId_hyperlink_1002" Type="http://schemas.openxmlformats.org/officeDocument/2006/relationships/hyperlink" Target="https://nconnect.nicmar.ac.in/storage/profile/6a86dd213ebb2.png" TargetMode="External"/><Relationship Id="rId_hyperlink_1003" Type="http://schemas.openxmlformats.org/officeDocument/2006/relationships/hyperlink" Target="https://nconnect.nicmar.ac.in/storage/profile/6a870929d4df6.png" TargetMode="External"/><Relationship Id="rId_hyperlink_1004" Type="http://schemas.openxmlformats.org/officeDocument/2006/relationships/hyperlink" Target="https://nconnect.nicmar.ac.in/storage/profile/6a85f1a867cf5.png" TargetMode="External"/><Relationship Id="rId_hyperlink_1005" Type="http://schemas.openxmlformats.org/officeDocument/2006/relationships/hyperlink" Target="https://nconnect.nicmar.ac.in/storage/profile/6a8fb245e5a66.png" TargetMode="External"/><Relationship Id="rId_hyperlink_1006" Type="http://schemas.openxmlformats.org/officeDocument/2006/relationships/hyperlink" Target="https://nconnect.nicmar.ac.in/storage/profile/6a85f70d97594.png" TargetMode="External"/><Relationship Id="rId_hyperlink_1007" Type="http://schemas.openxmlformats.org/officeDocument/2006/relationships/hyperlink" Target="https://nconnect.nicmar.ac.in/storage/profile/6a873fe417473.png" TargetMode="External"/><Relationship Id="rId_hyperlink_1008" Type="http://schemas.openxmlformats.org/officeDocument/2006/relationships/hyperlink" Target="https://nconnect.nicmar.ac.in/storage/profile/6a87445f44aaa.png" TargetMode="External"/><Relationship Id="rId_hyperlink_1009" Type="http://schemas.openxmlformats.org/officeDocument/2006/relationships/hyperlink" Target="https://nconnect.nicmar.ac.in/storage/profile/6a86e5bc19618.png" TargetMode="External"/><Relationship Id="rId_hyperlink_1010" Type="http://schemas.openxmlformats.org/officeDocument/2006/relationships/hyperlink" Target="https://nconnect.nicmar.ac.in/storage/profile/6a874256d25d1.png" TargetMode="External"/><Relationship Id="rId_hyperlink_1011" Type="http://schemas.openxmlformats.org/officeDocument/2006/relationships/hyperlink" Target="https://nconnect.nicmar.ac.in/storage/profile/6a86d32821b81.png" TargetMode="External"/><Relationship Id="rId_hyperlink_1012" Type="http://schemas.openxmlformats.org/officeDocument/2006/relationships/hyperlink" Target="https://nconnect.nicmar.ac.in/storage/profile/6a85fecc70882.png" TargetMode="External"/><Relationship Id="rId_hyperlink_1013" Type="http://schemas.openxmlformats.org/officeDocument/2006/relationships/hyperlink" Target="https://nconnect.nicmar.ac.in/storage/profile/6a86d6c690a68.png" TargetMode="External"/><Relationship Id="rId_hyperlink_1014" Type="http://schemas.openxmlformats.org/officeDocument/2006/relationships/hyperlink" Target="https://nconnect.nicmar.ac.in/storage/profile/6a86d980847fe.png" TargetMode="External"/><Relationship Id="rId_hyperlink_1015" Type="http://schemas.openxmlformats.org/officeDocument/2006/relationships/hyperlink" Target="https://nconnect.nicmar.ac.in/storage/profile/6a846443ca90c.png" TargetMode="External"/><Relationship Id="rId_hyperlink_1016" Type="http://schemas.openxmlformats.org/officeDocument/2006/relationships/hyperlink" Target="https://nconnect.nicmar.ac.in/storage/profile/6a88b187e004a.png" TargetMode="External"/><Relationship Id="rId_hyperlink_1017" Type="http://schemas.openxmlformats.org/officeDocument/2006/relationships/hyperlink" Target="https://nconnect.nicmar.ac.in/storage/profile/6a8700fe3895d.png" TargetMode="External"/><Relationship Id="rId_hyperlink_1018" Type="http://schemas.openxmlformats.org/officeDocument/2006/relationships/hyperlink" Target="https://nconnect.nicmar.ac.in/storage/profile/6a860afe47763.png" TargetMode="External"/><Relationship Id="rId_hyperlink_1019" Type="http://schemas.openxmlformats.org/officeDocument/2006/relationships/hyperlink" Target="https://nconnect.nicmar.ac.in/storage/profile/6a85e2ee22711.png" TargetMode="External"/><Relationship Id="rId_hyperlink_1020" Type="http://schemas.openxmlformats.org/officeDocument/2006/relationships/hyperlink" Target="https://nconnect.nicmar.ac.in/storage/profile/6a85fd689076a.png" TargetMode="External"/><Relationship Id="rId_hyperlink_1021" Type="http://schemas.openxmlformats.org/officeDocument/2006/relationships/hyperlink" Target="https://nconnect.nicmar.ac.in/storage/profile/6a86eb4b9382d.png" TargetMode="External"/><Relationship Id="rId_hyperlink_1022" Type="http://schemas.openxmlformats.org/officeDocument/2006/relationships/hyperlink" Target="https://nconnect.nicmar.ac.in/storage/profile/6a85f730f3fa3.png" TargetMode="External"/><Relationship Id="rId_hyperlink_1023" Type="http://schemas.openxmlformats.org/officeDocument/2006/relationships/hyperlink" Target="https://nconnect.nicmar.ac.in/storage/profile/6a85f625acc67.png" TargetMode="External"/><Relationship Id="rId_hyperlink_1024" Type="http://schemas.openxmlformats.org/officeDocument/2006/relationships/hyperlink" Target="https://nconnect.nicmar.ac.in/storage/profile/6a8700908cdc8.png" TargetMode="External"/><Relationship Id="rId_hyperlink_1025" Type="http://schemas.openxmlformats.org/officeDocument/2006/relationships/hyperlink" Target="https://nconnect.nicmar.ac.in/storage/profile/6a86c0aea037e.png" TargetMode="External"/><Relationship Id="rId_hyperlink_1026" Type="http://schemas.openxmlformats.org/officeDocument/2006/relationships/hyperlink" Target="https://nconnect.nicmar.ac.in/storage/profile/6a874a69487d4.png" TargetMode="External"/><Relationship Id="rId_hyperlink_1027" Type="http://schemas.openxmlformats.org/officeDocument/2006/relationships/hyperlink" Target="https://nconnect.nicmar.ac.in/storage/profile/6a86d59d2a567.png" TargetMode="External"/><Relationship Id="rId_hyperlink_1028" Type="http://schemas.openxmlformats.org/officeDocument/2006/relationships/hyperlink" Target="https://nconnect.nicmar.ac.in/storage/profile/6a848d64c6b55.png" TargetMode="External"/><Relationship Id="rId_hyperlink_1029" Type="http://schemas.openxmlformats.org/officeDocument/2006/relationships/hyperlink" Target="https://nconnect.nicmar.ac.in/storage/profile/6a869c3f711cd.png" TargetMode="External"/><Relationship Id="rId_hyperlink_1030" Type="http://schemas.openxmlformats.org/officeDocument/2006/relationships/hyperlink" Target="https://nconnect.nicmar.ac.in/storage/profile/6a86d022e5f74.png" TargetMode="External"/><Relationship Id="rId_hyperlink_1031" Type="http://schemas.openxmlformats.org/officeDocument/2006/relationships/hyperlink" Target="https://nconnect.nicmar.ac.in/storage/profile/6a87039f3ca3c.png" TargetMode="External"/><Relationship Id="rId_hyperlink_1032" Type="http://schemas.openxmlformats.org/officeDocument/2006/relationships/hyperlink" Target="https://nconnect.nicmar.ac.in/storage/profile/6a85e31b131e8.png" TargetMode="External"/><Relationship Id="rId_hyperlink_1033" Type="http://schemas.openxmlformats.org/officeDocument/2006/relationships/hyperlink" Target="https://nconnect.nicmar.ac.in/storage/profile/6a85f1e28c288.png" TargetMode="External"/><Relationship Id="rId_hyperlink_1034" Type="http://schemas.openxmlformats.org/officeDocument/2006/relationships/hyperlink" Target="https://nconnect.nicmar.ac.in/storage/profile/6a85fedd35fa6.png" TargetMode="External"/><Relationship Id="rId_hyperlink_1035" Type="http://schemas.openxmlformats.org/officeDocument/2006/relationships/hyperlink" Target="https://nconnect.nicmar.ac.in/storage/profile/6a872699bb7a5.png" TargetMode="External"/><Relationship Id="rId_hyperlink_1036" Type="http://schemas.openxmlformats.org/officeDocument/2006/relationships/hyperlink" Target="https://nconnect.nicmar.ac.in/storage/profile/6a85c2995ac39.png" TargetMode="External"/><Relationship Id="rId_hyperlink_1037" Type="http://schemas.openxmlformats.org/officeDocument/2006/relationships/hyperlink" Target="https://nconnect.nicmar.ac.in/storage/profile/6a86ea31a3397.png" TargetMode="External"/><Relationship Id="rId_hyperlink_1038" Type="http://schemas.openxmlformats.org/officeDocument/2006/relationships/hyperlink" Target="https://nconnect.nicmar.ac.in/storage/profile/6a8aec643f0f4.png" TargetMode="External"/><Relationship Id="rId_hyperlink_1039" Type="http://schemas.openxmlformats.org/officeDocument/2006/relationships/hyperlink" Target="https://nconnect.nicmar.ac.in/storage/profile/6a870829c0b6f.png" TargetMode="External"/><Relationship Id="rId_hyperlink_1040" Type="http://schemas.openxmlformats.org/officeDocument/2006/relationships/hyperlink" Target="https://nconnect.nicmar.ac.in/storage/profile/6a8749e2bcac7.png" TargetMode="External"/><Relationship Id="rId_hyperlink_1041" Type="http://schemas.openxmlformats.org/officeDocument/2006/relationships/hyperlink" Target="https://nconnect.nicmar.ac.in/storage/profile/6a8f190832745.png" TargetMode="External"/><Relationship Id="rId_hyperlink_1042" Type="http://schemas.openxmlformats.org/officeDocument/2006/relationships/hyperlink" Target="https://nconnect.nicmar.ac.in/storage/profile/6a8714d8cceb2.png" TargetMode="External"/><Relationship Id="rId_hyperlink_1043" Type="http://schemas.openxmlformats.org/officeDocument/2006/relationships/hyperlink" Target="https://nconnect.nicmar.ac.in/storage/profile/6a8723d228a00.png" TargetMode="External"/><Relationship Id="rId_hyperlink_1044" Type="http://schemas.openxmlformats.org/officeDocument/2006/relationships/hyperlink" Target="https://nconnect.nicmar.ac.in/storage/profile/6a85a040706ba.png" TargetMode="External"/><Relationship Id="rId_hyperlink_1045" Type="http://schemas.openxmlformats.org/officeDocument/2006/relationships/hyperlink" Target="https://nconnect.nicmar.ac.in/storage/profile/6a85c1653a488.png" TargetMode="External"/><Relationship Id="rId_hyperlink_1046" Type="http://schemas.openxmlformats.org/officeDocument/2006/relationships/hyperlink" Target="https://nconnect.nicmar.ac.in/storage/profile/6a85fb5405696.png" TargetMode="External"/><Relationship Id="rId_hyperlink_1047" Type="http://schemas.openxmlformats.org/officeDocument/2006/relationships/hyperlink" Target="https://nconnect.nicmar.ac.in/storage/profile/6a8dde791f10d.png" TargetMode="External"/><Relationship Id="rId_hyperlink_1048" Type="http://schemas.openxmlformats.org/officeDocument/2006/relationships/hyperlink" Target="https://nconnect.nicmar.ac.in/storage/profile/6a85cf852c11a.png" TargetMode="External"/><Relationship Id="rId_hyperlink_1049" Type="http://schemas.openxmlformats.org/officeDocument/2006/relationships/hyperlink" Target="https://nconnect.nicmar.ac.in/storage/profile/6a8706e61a431.png" TargetMode="External"/><Relationship Id="rId_hyperlink_1050" Type="http://schemas.openxmlformats.org/officeDocument/2006/relationships/hyperlink" Target="https://nconnect.nicmar.ac.in/storage/profile/6a81c9bb647fd.png" TargetMode="External"/><Relationship Id="rId_hyperlink_1051" Type="http://schemas.openxmlformats.org/officeDocument/2006/relationships/hyperlink" Target="https://nconnect.nicmar.ac.in/storage/profile/6a87213c0ef46.png" TargetMode="External"/><Relationship Id="rId_hyperlink_1052" Type="http://schemas.openxmlformats.org/officeDocument/2006/relationships/hyperlink" Target="https://nconnect.nicmar.ac.in/storage/profile/6a80502fa1f06.png" TargetMode="External"/><Relationship Id="rId_hyperlink_1053" Type="http://schemas.openxmlformats.org/officeDocument/2006/relationships/hyperlink" Target="https://nconnect.nicmar.ac.in/storage/profile/6a85f53f761e8.png" TargetMode="External"/><Relationship Id="rId_hyperlink_1054" Type="http://schemas.openxmlformats.org/officeDocument/2006/relationships/hyperlink" Target="https://nconnect.nicmar.ac.in/storage/profile/6a8706b03350b.png" TargetMode="External"/><Relationship Id="rId_hyperlink_1055" Type="http://schemas.openxmlformats.org/officeDocument/2006/relationships/hyperlink" Target="https://nconnect.nicmar.ac.in/storage/profile/6a86158d236cf.png" TargetMode="External"/><Relationship Id="rId_hyperlink_1056" Type="http://schemas.openxmlformats.org/officeDocument/2006/relationships/hyperlink" Target="https://nconnect.nicmar.ac.in/storage/profile/6a85f303e2b5f.png" TargetMode="External"/><Relationship Id="rId_hyperlink_1057" Type="http://schemas.openxmlformats.org/officeDocument/2006/relationships/hyperlink" Target="https://nconnect.nicmar.ac.in/storage/profile/6a870ee38ce13.png" TargetMode="External"/><Relationship Id="rId_hyperlink_1058" Type="http://schemas.openxmlformats.org/officeDocument/2006/relationships/hyperlink" Target="https://nconnect.nicmar.ac.in/storage/profile/6a87424f5a04d.png" TargetMode="External"/><Relationship Id="rId_hyperlink_1059" Type="http://schemas.openxmlformats.org/officeDocument/2006/relationships/hyperlink" Target="https://nconnect.nicmar.ac.in/storage/profile/6a86f02304dcb.png" TargetMode="External"/><Relationship Id="rId_hyperlink_1060" Type="http://schemas.openxmlformats.org/officeDocument/2006/relationships/hyperlink" Target="https://nconnect.nicmar.ac.in/storage/profile/6a860d491b42f.png" TargetMode="External"/><Relationship Id="rId_hyperlink_1061" Type="http://schemas.openxmlformats.org/officeDocument/2006/relationships/hyperlink" Target="https://nconnect.nicmar.ac.in/storage/profile/6a8cf88800577.png" TargetMode="External"/><Relationship Id="rId_hyperlink_1062" Type="http://schemas.openxmlformats.org/officeDocument/2006/relationships/hyperlink" Target="https://nconnect.nicmar.ac.in/storage/profile/6a870ac3108a6.png" TargetMode="External"/><Relationship Id="rId_hyperlink_1063" Type="http://schemas.openxmlformats.org/officeDocument/2006/relationships/hyperlink" Target="https://nconnect.nicmar.ac.in/storage/profile/6a86fad2c811f.png" TargetMode="External"/><Relationship Id="rId_hyperlink_1064" Type="http://schemas.openxmlformats.org/officeDocument/2006/relationships/hyperlink" Target="https://nconnect.nicmar.ac.in/storage/profile/6a86e10832455.png" TargetMode="External"/><Relationship Id="rId_hyperlink_1065" Type="http://schemas.openxmlformats.org/officeDocument/2006/relationships/hyperlink" Target="https://nconnect.nicmar.ac.in/storage/profile/6a8d7248c3cf6.png" TargetMode="External"/><Relationship Id="rId_hyperlink_1066" Type="http://schemas.openxmlformats.org/officeDocument/2006/relationships/hyperlink" Target="https://nconnect.nicmar.ac.in/storage/profile/6a87053427187.png" TargetMode="External"/><Relationship Id="rId_hyperlink_1067" Type="http://schemas.openxmlformats.org/officeDocument/2006/relationships/hyperlink" Target="https://nconnect.nicmar.ac.in/storage/profile/6a870e3f796b4.png" TargetMode="External"/><Relationship Id="rId_hyperlink_1068" Type="http://schemas.openxmlformats.org/officeDocument/2006/relationships/hyperlink" Target="https://nconnect.nicmar.ac.in/storage/profile/6a85e341d7c63.png" TargetMode="External"/><Relationship Id="rId_hyperlink_1069" Type="http://schemas.openxmlformats.org/officeDocument/2006/relationships/hyperlink" Target="https://nconnect.nicmar.ac.in/storage/profile/6a85f88ad883b.png" TargetMode="External"/><Relationship Id="rId_hyperlink_1070" Type="http://schemas.openxmlformats.org/officeDocument/2006/relationships/hyperlink" Target="https://nconnect.nicmar.ac.in/storage/profile/6a871bac429a3.png" TargetMode="External"/><Relationship Id="rId_hyperlink_1071" Type="http://schemas.openxmlformats.org/officeDocument/2006/relationships/hyperlink" Target="https://nconnect.nicmar.ac.in/storage/profile/6a85b8bfddb1e.png" TargetMode="External"/><Relationship Id="rId_hyperlink_1072" Type="http://schemas.openxmlformats.org/officeDocument/2006/relationships/hyperlink" Target="https://nconnect.nicmar.ac.in/storage/profile/6a872bfaa8733.png" TargetMode="External"/><Relationship Id="rId_hyperlink_1073" Type="http://schemas.openxmlformats.org/officeDocument/2006/relationships/hyperlink" Target="https://nconnect.nicmar.ac.in/storage/profile/6a8618df6f51f.png" TargetMode="External"/><Relationship Id="rId_hyperlink_1074" Type="http://schemas.openxmlformats.org/officeDocument/2006/relationships/hyperlink" Target="https://nconnect.nicmar.ac.in/storage/profile/6a871974f3953.png" TargetMode="External"/><Relationship Id="rId_hyperlink_1075" Type="http://schemas.openxmlformats.org/officeDocument/2006/relationships/hyperlink" Target="https://nconnect.nicmar.ac.in/storage/profile/6a867d98b4196.png" TargetMode="External"/><Relationship Id="rId_hyperlink_1076" Type="http://schemas.openxmlformats.org/officeDocument/2006/relationships/hyperlink" Target="https://nconnect.nicmar.ac.in/storage/profile/6a87f009c182e.png" TargetMode="External"/><Relationship Id="rId_hyperlink_1077" Type="http://schemas.openxmlformats.org/officeDocument/2006/relationships/hyperlink" Target="https://nconnect.nicmar.ac.in/storage/profile/6a8d610b7d8e9.png" TargetMode="External"/><Relationship Id="rId_hyperlink_1078" Type="http://schemas.openxmlformats.org/officeDocument/2006/relationships/hyperlink" Target="https://nconnect.nicmar.ac.in/storage/profile/6a87210087b5d.png" TargetMode="External"/><Relationship Id="rId_hyperlink_1079" Type="http://schemas.openxmlformats.org/officeDocument/2006/relationships/hyperlink" Target="https://nconnect.nicmar.ac.in/storage/profile/6a86e3a4056bb.png" TargetMode="External"/><Relationship Id="rId_hyperlink_1080" Type="http://schemas.openxmlformats.org/officeDocument/2006/relationships/hyperlink" Target="https://nconnect.nicmar.ac.in/storage/profile/6a86f6da93b7d.png" TargetMode="External"/><Relationship Id="rId_hyperlink_1081" Type="http://schemas.openxmlformats.org/officeDocument/2006/relationships/hyperlink" Target="https://nconnect.nicmar.ac.in/storage/profile/6a8706056c248.png" TargetMode="External"/><Relationship Id="rId_hyperlink_1082" Type="http://schemas.openxmlformats.org/officeDocument/2006/relationships/hyperlink" Target="https://nconnect.nicmar.ac.in/storage/profile/6a85f1532bad0.png" TargetMode="External"/><Relationship Id="rId_hyperlink_1083" Type="http://schemas.openxmlformats.org/officeDocument/2006/relationships/hyperlink" Target="https://nconnect.nicmar.ac.in/storage/profile/6a87150cd3c27.png" TargetMode="External"/><Relationship Id="rId_hyperlink_1084" Type="http://schemas.openxmlformats.org/officeDocument/2006/relationships/hyperlink" Target="https://nconnect.nicmar.ac.in/storage/profile/6a86e557a09eb.png" TargetMode="External"/><Relationship Id="rId_hyperlink_1085" Type="http://schemas.openxmlformats.org/officeDocument/2006/relationships/hyperlink" Target="https://nconnect.nicmar.ac.in/storage/profile/6a8d6926779a8.png" TargetMode="External"/><Relationship Id="rId_hyperlink_1086" Type="http://schemas.openxmlformats.org/officeDocument/2006/relationships/hyperlink" Target="https://nconnect.nicmar.ac.in/storage/profile/6a86e293526fb.png" TargetMode="External"/><Relationship Id="rId_hyperlink_1087" Type="http://schemas.openxmlformats.org/officeDocument/2006/relationships/hyperlink" Target="https://nconnect.nicmar.ac.in/storage/profile/6a874723e8123.png" TargetMode="External"/><Relationship Id="rId_hyperlink_1088" Type="http://schemas.openxmlformats.org/officeDocument/2006/relationships/hyperlink" Target="https://nconnect.nicmar.ac.in/storage/profile/6a870d7005d41.png" TargetMode="External"/><Relationship Id="rId_hyperlink_1089" Type="http://schemas.openxmlformats.org/officeDocument/2006/relationships/hyperlink" Target="https://nconnect.nicmar.ac.in/storage/profile/6a85c9eac6126.png" TargetMode="External"/><Relationship Id="rId_hyperlink_1090" Type="http://schemas.openxmlformats.org/officeDocument/2006/relationships/hyperlink" Target="https://nconnect.nicmar.ac.in/storage/profile/6a8726a2a0e4f.png" TargetMode="External"/><Relationship Id="rId_hyperlink_1091" Type="http://schemas.openxmlformats.org/officeDocument/2006/relationships/hyperlink" Target="https://nconnect.nicmar.ac.in/storage/profile/6a843f416ecac.png" TargetMode="External"/><Relationship Id="rId_hyperlink_1092" Type="http://schemas.openxmlformats.org/officeDocument/2006/relationships/hyperlink" Target="https://nconnect.nicmar.ac.in/storage/profile/6a85ed1a7990e.png" TargetMode="External"/><Relationship Id="rId_hyperlink_1093" Type="http://schemas.openxmlformats.org/officeDocument/2006/relationships/hyperlink" Target="https://nconnect.nicmar.ac.in/storage/profile/6a873f16b81ee.png" TargetMode="External"/><Relationship Id="rId_hyperlink_1094" Type="http://schemas.openxmlformats.org/officeDocument/2006/relationships/hyperlink" Target="https://nconnect.nicmar.ac.in/storage/profile/6a85f770418fd.png" TargetMode="External"/><Relationship Id="rId_hyperlink_1095" Type="http://schemas.openxmlformats.org/officeDocument/2006/relationships/hyperlink" Target="https://nconnect.nicmar.ac.in/storage/profile/6a85b8ad3a21c.png" TargetMode="External"/><Relationship Id="rId_hyperlink_1096" Type="http://schemas.openxmlformats.org/officeDocument/2006/relationships/hyperlink" Target="https://nconnect.nicmar.ac.in/storage/profile/6a860e7bc91f9.png" TargetMode="External"/><Relationship Id="rId_hyperlink_1097" Type="http://schemas.openxmlformats.org/officeDocument/2006/relationships/hyperlink" Target="https://nconnect.nicmar.ac.in/storage/profile/6a8710e998498.png" TargetMode="External"/><Relationship Id="rId_hyperlink_1098" Type="http://schemas.openxmlformats.org/officeDocument/2006/relationships/hyperlink" Target="https://nconnect.nicmar.ac.in/storage/profile/6a87159719284.png" TargetMode="External"/><Relationship Id="rId_hyperlink_1099" Type="http://schemas.openxmlformats.org/officeDocument/2006/relationships/hyperlink" Target="https://nconnect.nicmar.ac.in/storage/profile/6a87019fcfa53.png" TargetMode="External"/><Relationship Id="rId_hyperlink_1100" Type="http://schemas.openxmlformats.org/officeDocument/2006/relationships/hyperlink" Target="https://nconnect.nicmar.ac.in/storage/profile/6a8747bf73d28.png" TargetMode="External"/><Relationship Id="rId_hyperlink_1101" Type="http://schemas.openxmlformats.org/officeDocument/2006/relationships/hyperlink" Target="https://nconnect.nicmar.ac.in/storage/profile/6a85bb559efc0.png" TargetMode="External"/><Relationship Id="rId_hyperlink_1102" Type="http://schemas.openxmlformats.org/officeDocument/2006/relationships/hyperlink" Target="https://nconnect.nicmar.ac.in/storage/profile/6a871585437b2.png" TargetMode="External"/><Relationship Id="rId_hyperlink_1103" Type="http://schemas.openxmlformats.org/officeDocument/2006/relationships/hyperlink" Target="https://nconnect.nicmar.ac.in/storage/profile/6a8737c94ac0f.png" TargetMode="External"/><Relationship Id="rId_hyperlink_1104" Type="http://schemas.openxmlformats.org/officeDocument/2006/relationships/hyperlink" Target="https://nconnect.nicmar.ac.in/storage/profile/6a85f87848d93.png" TargetMode="External"/><Relationship Id="rId_hyperlink_1105" Type="http://schemas.openxmlformats.org/officeDocument/2006/relationships/hyperlink" Target="https://nconnect.nicmar.ac.in/storage/profile/6a88652278e60.png" TargetMode="External"/><Relationship Id="rId_hyperlink_1106" Type="http://schemas.openxmlformats.org/officeDocument/2006/relationships/hyperlink" Target="https://nconnect.nicmar.ac.in/storage/profile/6a86fc72c6e4f.png" TargetMode="External"/><Relationship Id="rId_hyperlink_1107" Type="http://schemas.openxmlformats.org/officeDocument/2006/relationships/hyperlink" Target="https://nconnect.nicmar.ac.in/storage/profile/6a85f78d96aaf.png" TargetMode="External"/><Relationship Id="rId_hyperlink_1108" Type="http://schemas.openxmlformats.org/officeDocument/2006/relationships/hyperlink" Target="https://nconnect.nicmar.ac.in/storage/profile/6a86bf9c5670b.png" TargetMode="External"/><Relationship Id="rId_hyperlink_1109" Type="http://schemas.openxmlformats.org/officeDocument/2006/relationships/hyperlink" Target="https://nconnect.nicmar.ac.in/storage/profile/6a85c7989ad49.png" TargetMode="External"/><Relationship Id="rId_hyperlink_1110" Type="http://schemas.openxmlformats.org/officeDocument/2006/relationships/hyperlink" Target="https://nconnect.nicmar.ac.in/storage/profile/6a85f595a89b1.png" TargetMode="External"/><Relationship Id="rId_hyperlink_1111" Type="http://schemas.openxmlformats.org/officeDocument/2006/relationships/hyperlink" Target="https://nconnect.nicmar.ac.in/storage/profile/6a85ddf864a04.png" TargetMode="External"/><Relationship Id="rId_hyperlink_1112" Type="http://schemas.openxmlformats.org/officeDocument/2006/relationships/hyperlink" Target="https://nconnect.nicmar.ac.in/storage/profile/6a85d35dea675.png" TargetMode="External"/><Relationship Id="rId_hyperlink_1113" Type="http://schemas.openxmlformats.org/officeDocument/2006/relationships/hyperlink" Target="https://nconnect.nicmar.ac.in/storage/profile/6a87039ede947.png" TargetMode="External"/><Relationship Id="rId_hyperlink_1114" Type="http://schemas.openxmlformats.org/officeDocument/2006/relationships/hyperlink" Target="https://nconnect.nicmar.ac.in/storage/profile/6a86fc111ed0f.png" TargetMode="External"/><Relationship Id="rId_hyperlink_1115" Type="http://schemas.openxmlformats.org/officeDocument/2006/relationships/hyperlink" Target="https://nconnect.nicmar.ac.in/storage/profile/6a86f8adc0665.png" TargetMode="External"/><Relationship Id="rId_hyperlink_1116" Type="http://schemas.openxmlformats.org/officeDocument/2006/relationships/hyperlink" Target="https://nconnect.nicmar.ac.in/storage/profile/6a873d47d1a74.png" TargetMode="External"/><Relationship Id="rId_hyperlink_1117" Type="http://schemas.openxmlformats.org/officeDocument/2006/relationships/hyperlink" Target="https://nconnect.nicmar.ac.in/storage/profile/6a872516c2083.png" TargetMode="External"/><Relationship Id="rId_hyperlink_1118" Type="http://schemas.openxmlformats.org/officeDocument/2006/relationships/hyperlink" Target="https://nconnect.nicmar.ac.in/storage/profile/6a87332bf10c3.png" TargetMode="External"/><Relationship Id="rId_hyperlink_1119" Type="http://schemas.openxmlformats.org/officeDocument/2006/relationships/hyperlink" Target="https://nconnect.nicmar.ac.in/storage/profile/6a86d72751a1c.png" TargetMode="External"/><Relationship Id="rId_hyperlink_1120" Type="http://schemas.openxmlformats.org/officeDocument/2006/relationships/hyperlink" Target="https://nconnect.nicmar.ac.in/storage/profile/6a85fca782a19.png" TargetMode="External"/><Relationship Id="rId_hyperlink_1121" Type="http://schemas.openxmlformats.org/officeDocument/2006/relationships/hyperlink" Target="https://nconnect.nicmar.ac.in/storage/profile/6a87504386838.png" TargetMode="External"/><Relationship Id="rId_hyperlink_1122" Type="http://schemas.openxmlformats.org/officeDocument/2006/relationships/hyperlink" Target="https://nconnect.nicmar.ac.in/storage/profile/6a875902136d3.png" TargetMode="External"/><Relationship Id="rId_hyperlink_1123" Type="http://schemas.openxmlformats.org/officeDocument/2006/relationships/hyperlink" Target="https://nconnect.nicmar.ac.in/storage/profile/6a86e7fa5ffdc.png" TargetMode="External"/><Relationship Id="rId_hyperlink_1124" Type="http://schemas.openxmlformats.org/officeDocument/2006/relationships/hyperlink" Target="https://nconnect.nicmar.ac.in/storage/profile/6a874ab9e48b2.png" TargetMode="External"/><Relationship Id="rId_hyperlink_1125" Type="http://schemas.openxmlformats.org/officeDocument/2006/relationships/hyperlink" Target="https://nconnect.nicmar.ac.in/storage/profile/6a87361874f93.png" TargetMode="External"/><Relationship Id="rId_hyperlink_1126" Type="http://schemas.openxmlformats.org/officeDocument/2006/relationships/hyperlink" Target="https://nconnect.nicmar.ac.in/storage/profile/6a872afe33563.png" TargetMode="External"/><Relationship Id="rId_hyperlink_1127" Type="http://schemas.openxmlformats.org/officeDocument/2006/relationships/hyperlink" Target="https://nconnect.nicmar.ac.in/storage/profile/6a85fdd59fd80.png" TargetMode="External"/><Relationship Id="rId_hyperlink_1128" Type="http://schemas.openxmlformats.org/officeDocument/2006/relationships/hyperlink" Target="https://nconnect.nicmar.ac.in/storage/profile/6a871cd0e2a7f.png" TargetMode="External"/><Relationship Id="rId_hyperlink_1129" Type="http://schemas.openxmlformats.org/officeDocument/2006/relationships/hyperlink" Target="https://nconnect.nicmar.ac.in/storage/profile/6a8727fb6e695.png" TargetMode="External"/><Relationship Id="rId_hyperlink_1130" Type="http://schemas.openxmlformats.org/officeDocument/2006/relationships/hyperlink" Target="https://nconnect.nicmar.ac.in/storage/profile/6a87149f5c82c.png" TargetMode="External"/><Relationship Id="rId_hyperlink_1131" Type="http://schemas.openxmlformats.org/officeDocument/2006/relationships/hyperlink" Target="https://nconnect.nicmar.ac.in/storage/profile/6a85f3b5e9169.png" TargetMode="External"/><Relationship Id="rId_hyperlink_1132" Type="http://schemas.openxmlformats.org/officeDocument/2006/relationships/hyperlink" Target="https://nconnect.nicmar.ac.in/storage/profile/6a8706abd2c0a.png" TargetMode="External"/><Relationship Id="rId_hyperlink_1133" Type="http://schemas.openxmlformats.org/officeDocument/2006/relationships/hyperlink" Target="https://nconnect.nicmar.ac.in/storage/profile/6a873e0b9e690.png" TargetMode="External"/><Relationship Id="rId_hyperlink_1134" Type="http://schemas.openxmlformats.org/officeDocument/2006/relationships/hyperlink" Target="https://nconnect.nicmar.ac.in/storage/profile/6a860cdf4a2d1.png" TargetMode="External"/><Relationship Id="rId_hyperlink_1135" Type="http://schemas.openxmlformats.org/officeDocument/2006/relationships/hyperlink" Target="https://nconnect.nicmar.ac.in/storage/profile/6a8692e77709a.png" TargetMode="External"/><Relationship Id="rId_hyperlink_1136" Type="http://schemas.openxmlformats.org/officeDocument/2006/relationships/hyperlink" Target="https://nconnect.nicmar.ac.in/storage/profile/6a85b93d5fb56.png" TargetMode="External"/><Relationship Id="rId_hyperlink_1137" Type="http://schemas.openxmlformats.org/officeDocument/2006/relationships/hyperlink" Target="https://nconnect.nicmar.ac.in/storage/profile/6a8735484b307.png" TargetMode="External"/><Relationship Id="rId_hyperlink_1138" Type="http://schemas.openxmlformats.org/officeDocument/2006/relationships/hyperlink" Target="https://nconnect.nicmar.ac.in/storage/profile/6a874f7d83c3e.png" TargetMode="External"/><Relationship Id="rId_hyperlink_1139" Type="http://schemas.openxmlformats.org/officeDocument/2006/relationships/hyperlink" Target="https://nconnect.nicmar.ac.in/storage/profile/6a87430b16f4d.png" TargetMode="External"/><Relationship Id="rId_hyperlink_1140" Type="http://schemas.openxmlformats.org/officeDocument/2006/relationships/hyperlink" Target="https://nconnect.nicmar.ac.in/storage/profile/6a87350e45467.png" TargetMode="External"/><Relationship Id="rId_hyperlink_1141" Type="http://schemas.openxmlformats.org/officeDocument/2006/relationships/hyperlink" Target="https://nconnect.nicmar.ac.in/storage/profile/6a8706d873759.png" TargetMode="External"/><Relationship Id="rId_hyperlink_1142" Type="http://schemas.openxmlformats.org/officeDocument/2006/relationships/hyperlink" Target="https://nconnect.nicmar.ac.in/storage/profile/6a86fa9478cc3.png" TargetMode="External"/><Relationship Id="rId_hyperlink_1143" Type="http://schemas.openxmlformats.org/officeDocument/2006/relationships/hyperlink" Target="https://nconnect.nicmar.ac.in/storage/profile/6a85ec4fbb4e8.png" TargetMode="External"/><Relationship Id="rId_hyperlink_1144" Type="http://schemas.openxmlformats.org/officeDocument/2006/relationships/hyperlink" Target="https://nconnect.nicmar.ac.in/storage/profile/6a86996ed6d74.png" TargetMode="External"/><Relationship Id="rId_hyperlink_1145" Type="http://schemas.openxmlformats.org/officeDocument/2006/relationships/hyperlink" Target="https://nconnect.nicmar.ac.in/storage/profile/6a870f2195f6f.png" TargetMode="External"/><Relationship Id="rId_hyperlink_1146" Type="http://schemas.openxmlformats.org/officeDocument/2006/relationships/hyperlink" Target="https://nconnect.nicmar.ac.in/storage/profile/6a87428e56fef.png" TargetMode="External"/><Relationship Id="rId_hyperlink_1147" Type="http://schemas.openxmlformats.org/officeDocument/2006/relationships/hyperlink" Target="https://nconnect.nicmar.ac.in/storage/profile/6a87109e66559.png" TargetMode="External"/><Relationship Id="rId_hyperlink_1148" Type="http://schemas.openxmlformats.org/officeDocument/2006/relationships/hyperlink" Target="https://nconnect.nicmar.ac.in/storage/profile/6a85d6ed5ad87.png" TargetMode="External"/><Relationship Id="rId_hyperlink_1149" Type="http://schemas.openxmlformats.org/officeDocument/2006/relationships/hyperlink" Target="https://nconnect.nicmar.ac.in/storage/profile/6a84b07f0d731.png" TargetMode="External"/><Relationship Id="rId_hyperlink_1150" Type="http://schemas.openxmlformats.org/officeDocument/2006/relationships/hyperlink" Target="https://nconnect.nicmar.ac.in/storage/profile/6a85a31d3e8ab.png" TargetMode="External"/><Relationship Id="rId_hyperlink_1151" Type="http://schemas.openxmlformats.org/officeDocument/2006/relationships/hyperlink" Target="https://nconnect.nicmar.ac.in/storage/profile/6a85dbdec01c7.png" TargetMode="External"/><Relationship Id="rId_hyperlink_1152" Type="http://schemas.openxmlformats.org/officeDocument/2006/relationships/hyperlink" Target="https://nconnect.nicmar.ac.in/storage/profile/6a85c4e974cb0.png" TargetMode="External"/><Relationship Id="rId_hyperlink_1153" Type="http://schemas.openxmlformats.org/officeDocument/2006/relationships/hyperlink" Target="https://nconnect.nicmar.ac.in/storage/profile/6a85b8aeae2c6.png" TargetMode="External"/><Relationship Id="rId_hyperlink_1154" Type="http://schemas.openxmlformats.org/officeDocument/2006/relationships/hyperlink" Target="https://nconnect.nicmar.ac.in/storage/profile/6a8716a4b75dc.png" TargetMode="External"/><Relationship Id="rId_hyperlink_1155" Type="http://schemas.openxmlformats.org/officeDocument/2006/relationships/hyperlink" Target="https://nconnect.nicmar.ac.in/storage/profile/6a84814b2354a.png" TargetMode="External"/><Relationship Id="rId_hyperlink_1156" Type="http://schemas.openxmlformats.org/officeDocument/2006/relationships/hyperlink" Target="https://nconnect.nicmar.ac.in/storage/profile/6a87377939b48.png" TargetMode="External"/><Relationship Id="rId_hyperlink_1157" Type="http://schemas.openxmlformats.org/officeDocument/2006/relationships/hyperlink" Target="https://nconnect.nicmar.ac.in/storage/profile/6a857a8dbde11.png" TargetMode="External"/><Relationship Id="rId_hyperlink_1158" Type="http://schemas.openxmlformats.org/officeDocument/2006/relationships/hyperlink" Target="https://nconnect.nicmar.ac.in/storage/profile/6a8711c075b8e.png" TargetMode="External"/><Relationship Id="rId_hyperlink_1159" Type="http://schemas.openxmlformats.org/officeDocument/2006/relationships/hyperlink" Target="https://nconnect.nicmar.ac.in/storage/profile/6a8713e880190.png" TargetMode="External"/><Relationship Id="rId_hyperlink_1160" Type="http://schemas.openxmlformats.org/officeDocument/2006/relationships/hyperlink" Target="https://nconnect.nicmar.ac.in/storage/profile/6a86fae752b41.png" TargetMode="External"/><Relationship Id="rId_hyperlink_1161" Type="http://schemas.openxmlformats.org/officeDocument/2006/relationships/hyperlink" Target="https://nconnect.nicmar.ac.in/storage/profile/6a85f01ded3c2.png" TargetMode="External"/><Relationship Id="rId_hyperlink_1162" Type="http://schemas.openxmlformats.org/officeDocument/2006/relationships/hyperlink" Target="https://nconnect.nicmar.ac.in/storage/profile/6a89d68b62abd.png" TargetMode="External"/><Relationship Id="rId_hyperlink_1163" Type="http://schemas.openxmlformats.org/officeDocument/2006/relationships/hyperlink" Target="https://nconnect.nicmar.ac.in/storage/profile/6a80a2418913a.png" TargetMode="External"/><Relationship Id="rId_hyperlink_1164" Type="http://schemas.openxmlformats.org/officeDocument/2006/relationships/hyperlink" Target="https://nconnect.nicmar.ac.in/storage/profile/6a870f8aa1ca6.png" TargetMode="External"/><Relationship Id="rId_hyperlink_1165" Type="http://schemas.openxmlformats.org/officeDocument/2006/relationships/hyperlink" Target="https://nconnect.nicmar.ac.in/storage/profile/6a8896c678ca4.png" TargetMode="External"/><Relationship Id="rId_hyperlink_1166" Type="http://schemas.openxmlformats.org/officeDocument/2006/relationships/hyperlink" Target="https://nconnect.nicmar.ac.in/storage/profile/6a871f48331b1.png" TargetMode="External"/><Relationship Id="rId_hyperlink_1167" Type="http://schemas.openxmlformats.org/officeDocument/2006/relationships/hyperlink" Target="https://nconnect.nicmar.ac.in/storage/profile/6a87048d180e2.png" TargetMode="External"/><Relationship Id="rId_hyperlink_1168" Type="http://schemas.openxmlformats.org/officeDocument/2006/relationships/hyperlink" Target="https://nconnect.nicmar.ac.in/storage/profile/6a871e2b57d14.png" TargetMode="External"/><Relationship Id="rId_hyperlink_1169" Type="http://schemas.openxmlformats.org/officeDocument/2006/relationships/hyperlink" Target="https://nconnect.nicmar.ac.in/storage/profile/6a85dc6473fd7.png" TargetMode="External"/><Relationship Id="rId_hyperlink_1170" Type="http://schemas.openxmlformats.org/officeDocument/2006/relationships/hyperlink" Target="https://nconnect.nicmar.ac.in/storage/profile/6a8719529a868.png" TargetMode="External"/><Relationship Id="rId_hyperlink_1171" Type="http://schemas.openxmlformats.org/officeDocument/2006/relationships/hyperlink" Target="https://nconnect.nicmar.ac.in/storage/profile/6a85d3650e5d1.png" TargetMode="External"/><Relationship Id="rId_hyperlink_1172" Type="http://schemas.openxmlformats.org/officeDocument/2006/relationships/hyperlink" Target="https://nconnect.nicmar.ac.in/storage/profile/6a8745b3c2b95.png" TargetMode="External"/><Relationship Id="rId_hyperlink_1173" Type="http://schemas.openxmlformats.org/officeDocument/2006/relationships/hyperlink" Target="https://nconnect.nicmar.ac.in/storage/profile/6a85db3b2ac61.png" TargetMode="External"/><Relationship Id="rId_hyperlink_1174" Type="http://schemas.openxmlformats.org/officeDocument/2006/relationships/hyperlink" Target="https://nconnect.nicmar.ac.in/storage/profile/6a86f7483ae71.png" TargetMode="External"/><Relationship Id="rId_hyperlink_1175" Type="http://schemas.openxmlformats.org/officeDocument/2006/relationships/hyperlink" Target="https://nconnect.nicmar.ac.in/storage/profile/6a85f5991d0ef.png" TargetMode="External"/><Relationship Id="rId_hyperlink_1176" Type="http://schemas.openxmlformats.org/officeDocument/2006/relationships/hyperlink" Target="https://nconnect.nicmar.ac.in/storage/profile/6a870886b115b.png" TargetMode="External"/><Relationship Id="rId_hyperlink_1177" Type="http://schemas.openxmlformats.org/officeDocument/2006/relationships/hyperlink" Target="https://nconnect.nicmar.ac.in/storage/profile/6a85f3a80a675.png" TargetMode="External"/><Relationship Id="rId_hyperlink_1178" Type="http://schemas.openxmlformats.org/officeDocument/2006/relationships/hyperlink" Target="https://nconnect.nicmar.ac.in/storage/profile/6a85d9da45b24.png" TargetMode="External"/><Relationship Id="rId_hyperlink_1179" Type="http://schemas.openxmlformats.org/officeDocument/2006/relationships/hyperlink" Target="https://nconnect.nicmar.ac.in/storage/profile/6a8696a4573c8.png" TargetMode="External"/><Relationship Id="rId_hyperlink_1180" Type="http://schemas.openxmlformats.org/officeDocument/2006/relationships/hyperlink" Target="https://nconnect.nicmar.ac.in/storage/profile/6a85baf0b0779.png" TargetMode="External"/><Relationship Id="rId_hyperlink_1181" Type="http://schemas.openxmlformats.org/officeDocument/2006/relationships/hyperlink" Target="https://nconnect.nicmar.ac.in/storage/profile/6a870b0e122a6.png" TargetMode="External"/><Relationship Id="rId_hyperlink_1182" Type="http://schemas.openxmlformats.org/officeDocument/2006/relationships/hyperlink" Target="https://nconnect.nicmar.ac.in/storage/profile/6a868e283581c.png" TargetMode="External"/><Relationship Id="rId_hyperlink_1183" Type="http://schemas.openxmlformats.org/officeDocument/2006/relationships/hyperlink" Target="https://nconnect.nicmar.ac.in/storage/profile/6a86e6630bf8c.png" TargetMode="External"/><Relationship Id="rId_hyperlink_1184" Type="http://schemas.openxmlformats.org/officeDocument/2006/relationships/hyperlink" Target="https://nconnect.nicmar.ac.in/storage/profile/6a8050c4f2b47.png" TargetMode="External"/><Relationship Id="rId_hyperlink_1185" Type="http://schemas.openxmlformats.org/officeDocument/2006/relationships/hyperlink" Target="https://nconnect.nicmar.ac.in/storage/profile/6a86d547b6cc5.png" TargetMode="External"/><Relationship Id="rId_hyperlink_1186" Type="http://schemas.openxmlformats.org/officeDocument/2006/relationships/hyperlink" Target="https://nconnect.nicmar.ac.in/storage/profile/6a86cfe18d8ce.png" TargetMode="External"/><Relationship Id="rId_hyperlink_1187" Type="http://schemas.openxmlformats.org/officeDocument/2006/relationships/hyperlink" Target="https://nconnect.nicmar.ac.in/storage/profile/6a873327373ca.png" TargetMode="External"/><Relationship Id="rId_hyperlink_1188" Type="http://schemas.openxmlformats.org/officeDocument/2006/relationships/hyperlink" Target="https://nconnect.nicmar.ac.in/storage/profile/6a85dfa74db28.png" TargetMode="External"/><Relationship Id="rId_hyperlink_1189" Type="http://schemas.openxmlformats.org/officeDocument/2006/relationships/hyperlink" Target="https://nconnect.nicmar.ac.in/storage/profile/6a88753195cfb.png" TargetMode="External"/><Relationship Id="rId_hyperlink_1190" Type="http://schemas.openxmlformats.org/officeDocument/2006/relationships/hyperlink" Target="https://nconnect.nicmar.ac.in/storage/profile/6a873fa9a5e64.png" TargetMode="External"/><Relationship Id="rId_hyperlink_1191" Type="http://schemas.openxmlformats.org/officeDocument/2006/relationships/hyperlink" Target="https://nconnect.nicmar.ac.in/storage/profile/6a84a677772bd.png" TargetMode="External"/><Relationship Id="rId_hyperlink_1192" Type="http://schemas.openxmlformats.org/officeDocument/2006/relationships/hyperlink" Target="https://nconnect.nicmar.ac.in/storage/profile/6a8848e1a6f24.png" TargetMode="External"/><Relationship Id="rId_hyperlink_1193" Type="http://schemas.openxmlformats.org/officeDocument/2006/relationships/hyperlink" Target="https://nconnect.nicmar.ac.in/storage/profile/6a868cd8d17dd.png" TargetMode="External"/><Relationship Id="rId_hyperlink_1194" Type="http://schemas.openxmlformats.org/officeDocument/2006/relationships/hyperlink" Target="https://nconnect.nicmar.ac.in/storage/profile/6a85ee97cae97.png" TargetMode="External"/><Relationship Id="rId_hyperlink_1195" Type="http://schemas.openxmlformats.org/officeDocument/2006/relationships/hyperlink" Target="https://nconnect.nicmar.ac.in/storage/profile/6a85f07c8ccbd.png" TargetMode="External"/><Relationship Id="rId_hyperlink_1196" Type="http://schemas.openxmlformats.org/officeDocument/2006/relationships/hyperlink" Target="https://nconnect.nicmar.ac.in/storage/profile/6a85de499b35a.png" TargetMode="External"/><Relationship Id="rId_hyperlink_1197" Type="http://schemas.openxmlformats.org/officeDocument/2006/relationships/hyperlink" Target="https://nconnect.nicmar.ac.in/storage/profile/6a85f085626f5.png" TargetMode="External"/><Relationship Id="rId_hyperlink_1198" Type="http://schemas.openxmlformats.org/officeDocument/2006/relationships/hyperlink" Target="https://nconnect.nicmar.ac.in/storage/profile/6a8673f4a0b50.png" TargetMode="External"/><Relationship Id="rId_hyperlink_1199" Type="http://schemas.openxmlformats.org/officeDocument/2006/relationships/hyperlink" Target="https://nconnect.nicmar.ac.in/storage/profile/6a872111164b7.png" TargetMode="External"/><Relationship Id="rId_hyperlink_1200" Type="http://schemas.openxmlformats.org/officeDocument/2006/relationships/hyperlink" Target="https://nconnect.nicmar.ac.in/storage/profile/6a868ec54fabf.png" TargetMode="External"/><Relationship Id="rId_hyperlink_1201" Type="http://schemas.openxmlformats.org/officeDocument/2006/relationships/hyperlink" Target="https://nconnect.nicmar.ac.in/storage/profile/6a87423daff9b.png" TargetMode="External"/><Relationship Id="rId_hyperlink_1202" Type="http://schemas.openxmlformats.org/officeDocument/2006/relationships/hyperlink" Target="https://nconnect.nicmar.ac.in/storage/profile/6a84a324e93a1.png" TargetMode="External"/><Relationship Id="rId_hyperlink_1203" Type="http://schemas.openxmlformats.org/officeDocument/2006/relationships/hyperlink" Target="https://nconnect.nicmar.ac.in/storage/profile/6a86fcd5ac866.png" TargetMode="External"/><Relationship Id="rId_hyperlink_1204" Type="http://schemas.openxmlformats.org/officeDocument/2006/relationships/hyperlink" Target="https://nconnect.nicmar.ac.in/storage/profile/6a870b77efc4c.png" TargetMode="External"/><Relationship Id="rId_hyperlink_1205" Type="http://schemas.openxmlformats.org/officeDocument/2006/relationships/hyperlink" Target="https://nconnect.nicmar.ac.in/storage/profile/6a85b789b45b9.png" TargetMode="External"/><Relationship Id="rId_hyperlink_1206" Type="http://schemas.openxmlformats.org/officeDocument/2006/relationships/hyperlink" Target="https://nconnect.nicmar.ac.in/storage/profile/6a873fe979648.png" TargetMode="External"/><Relationship Id="rId_hyperlink_1207" Type="http://schemas.openxmlformats.org/officeDocument/2006/relationships/hyperlink" Target="https://nconnect.nicmar.ac.in/storage/profile/6a870b5c76897.png" TargetMode="External"/><Relationship Id="rId_hyperlink_1208" Type="http://schemas.openxmlformats.org/officeDocument/2006/relationships/hyperlink" Target="https://nconnect.nicmar.ac.in/storage/profile/6a87479700b9f.png" TargetMode="External"/><Relationship Id="rId_hyperlink_1209" Type="http://schemas.openxmlformats.org/officeDocument/2006/relationships/hyperlink" Target="https://nconnect.nicmar.ac.in/storage/profile/6a873b1b535dc.png" TargetMode="External"/><Relationship Id="rId_hyperlink_1210" Type="http://schemas.openxmlformats.org/officeDocument/2006/relationships/hyperlink" Target="https://nconnect.nicmar.ac.in/storage/profile/6a82c3b30ab4a.png" TargetMode="External"/><Relationship Id="rId_hyperlink_1211" Type="http://schemas.openxmlformats.org/officeDocument/2006/relationships/hyperlink" Target="https://nconnect.nicmar.ac.in/storage/profile/6a85afb5ddfc6.png" TargetMode="External"/><Relationship Id="rId_hyperlink_1212" Type="http://schemas.openxmlformats.org/officeDocument/2006/relationships/hyperlink" Target="https://nconnect.nicmar.ac.in/storage/profile/6a85c001269fa.png" TargetMode="External"/><Relationship Id="rId_hyperlink_1213" Type="http://schemas.openxmlformats.org/officeDocument/2006/relationships/hyperlink" Target="https://nconnect.nicmar.ac.in/storage/profile/6a85ea84656ef.png" TargetMode="External"/><Relationship Id="rId_hyperlink_1214" Type="http://schemas.openxmlformats.org/officeDocument/2006/relationships/hyperlink" Target="https://nconnect.nicmar.ac.in/storage/profile/6a85fe2ddbfc9.png" TargetMode="External"/><Relationship Id="rId_hyperlink_1215" Type="http://schemas.openxmlformats.org/officeDocument/2006/relationships/hyperlink" Target="https://nconnect.nicmar.ac.in/storage/profile/6a871eb45caa3.png" TargetMode="External"/><Relationship Id="rId_hyperlink_1216" Type="http://schemas.openxmlformats.org/officeDocument/2006/relationships/hyperlink" Target="https://nconnect.nicmar.ac.in/storage/profile/6a87483c4096f.png" TargetMode="External"/><Relationship Id="rId_hyperlink_1217" Type="http://schemas.openxmlformats.org/officeDocument/2006/relationships/hyperlink" Target="https://nconnect.nicmar.ac.in/storage/profile/6a870a1b24a42.png" TargetMode="External"/><Relationship Id="rId_hyperlink_1218" Type="http://schemas.openxmlformats.org/officeDocument/2006/relationships/hyperlink" Target="https://nconnect.nicmar.ac.in/storage/profile/6a8682a1032aa.png" TargetMode="External"/><Relationship Id="rId_hyperlink_1219" Type="http://schemas.openxmlformats.org/officeDocument/2006/relationships/hyperlink" Target="https://nconnect.nicmar.ac.in/storage/profile/6a86f58b44ea4.png" TargetMode="External"/><Relationship Id="rId_hyperlink_1220" Type="http://schemas.openxmlformats.org/officeDocument/2006/relationships/hyperlink" Target="https://nconnect.nicmar.ac.in/storage/profile/6a82f34d08e97.png" TargetMode="External"/><Relationship Id="rId_hyperlink_1221" Type="http://schemas.openxmlformats.org/officeDocument/2006/relationships/hyperlink" Target="https://nconnect.nicmar.ac.in/storage/profile/6a8745a9642ac.png" TargetMode="External"/><Relationship Id="rId_hyperlink_1222" Type="http://schemas.openxmlformats.org/officeDocument/2006/relationships/hyperlink" Target="https://nconnect.nicmar.ac.in/storage/profile/6a854d74b3695.png" TargetMode="External"/><Relationship Id="rId_hyperlink_1223" Type="http://schemas.openxmlformats.org/officeDocument/2006/relationships/hyperlink" Target="https://nconnect.nicmar.ac.in/storage/profile/6a8711f873fb8.png" TargetMode="External"/><Relationship Id="rId_hyperlink_1224" Type="http://schemas.openxmlformats.org/officeDocument/2006/relationships/hyperlink" Target="https://nconnect.nicmar.ac.in/storage/profile/6a86d0bd2bd8f.png" TargetMode="External"/><Relationship Id="rId_hyperlink_1225" Type="http://schemas.openxmlformats.org/officeDocument/2006/relationships/hyperlink" Target="https://nconnect.nicmar.ac.in/storage/profile/6a86ddcd1fdde.png" TargetMode="External"/><Relationship Id="rId_hyperlink_1226" Type="http://schemas.openxmlformats.org/officeDocument/2006/relationships/hyperlink" Target="https://nconnect.nicmar.ac.in/storage/profile/6a86e5b2dbc36.png" TargetMode="External"/><Relationship Id="rId_hyperlink_1227" Type="http://schemas.openxmlformats.org/officeDocument/2006/relationships/hyperlink" Target="https://nconnect.nicmar.ac.in/storage/profile/6a8685bfc41d9.png" TargetMode="External"/><Relationship Id="rId_hyperlink_1228" Type="http://schemas.openxmlformats.org/officeDocument/2006/relationships/hyperlink" Target="https://nconnect.nicmar.ac.in/storage/profile/6a87183431153.png" TargetMode="External"/><Relationship Id="rId_hyperlink_1229" Type="http://schemas.openxmlformats.org/officeDocument/2006/relationships/hyperlink" Target="https://nconnect.nicmar.ac.in/storage/profile/6a85ee3d1e7c9.png" TargetMode="External"/><Relationship Id="rId_hyperlink_1230" Type="http://schemas.openxmlformats.org/officeDocument/2006/relationships/hyperlink" Target="https://nconnect.nicmar.ac.in/storage/profile/6a87125098278.png" TargetMode="External"/><Relationship Id="rId_hyperlink_1231" Type="http://schemas.openxmlformats.org/officeDocument/2006/relationships/hyperlink" Target="https://nconnect.nicmar.ac.in/storage/profile/6a85ea2b81900.png" TargetMode="External"/><Relationship Id="rId_hyperlink_1232" Type="http://schemas.openxmlformats.org/officeDocument/2006/relationships/hyperlink" Target="https://nconnect.nicmar.ac.in/storage/profile/6a87045756341.png" TargetMode="External"/><Relationship Id="rId_hyperlink_1233" Type="http://schemas.openxmlformats.org/officeDocument/2006/relationships/hyperlink" Target="https://nconnect.nicmar.ac.in/storage/profile/6a870cad070b8.png" TargetMode="External"/><Relationship Id="rId_hyperlink_1234" Type="http://schemas.openxmlformats.org/officeDocument/2006/relationships/hyperlink" Target="https://nconnect.nicmar.ac.in/storage/profile/6a871a75eed7f.png" TargetMode="External"/><Relationship Id="rId_hyperlink_1235" Type="http://schemas.openxmlformats.org/officeDocument/2006/relationships/hyperlink" Target="https://nconnect.nicmar.ac.in/storage/profile/6a86f41682a87.png" TargetMode="External"/><Relationship Id="rId_hyperlink_1236" Type="http://schemas.openxmlformats.org/officeDocument/2006/relationships/hyperlink" Target="https://nconnect.nicmar.ac.in/storage/profile/6a85f3247f191.png" TargetMode="External"/><Relationship Id="rId_hyperlink_1237" Type="http://schemas.openxmlformats.org/officeDocument/2006/relationships/hyperlink" Target="https://nconnect.nicmar.ac.in/storage/profile/6a86647b1386f.png" TargetMode="External"/><Relationship Id="rId_hyperlink_1238" Type="http://schemas.openxmlformats.org/officeDocument/2006/relationships/hyperlink" Target="https://nconnect.nicmar.ac.in/storage/profile/6a8bcaf882076.png" TargetMode="External"/><Relationship Id="rId_hyperlink_1239" Type="http://schemas.openxmlformats.org/officeDocument/2006/relationships/hyperlink" Target="https://nconnect.nicmar.ac.in/storage/profile/6a87177ce0569.png" TargetMode="External"/><Relationship Id="rId_hyperlink_1240" Type="http://schemas.openxmlformats.org/officeDocument/2006/relationships/hyperlink" Target="https://nconnect.nicmar.ac.in/storage/profile/6a8689cf57adc.png" TargetMode="External"/><Relationship Id="rId_hyperlink_1241" Type="http://schemas.openxmlformats.org/officeDocument/2006/relationships/hyperlink" Target="https://nconnect.nicmar.ac.in/storage/profile/6a86f62c94786.png" TargetMode="External"/><Relationship Id="rId_hyperlink_1242" Type="http://schemas.openxmlformats.org/officeDocument/2006/relationships/hyperlink" Target="https://nconnect.nicmar.ac.in/storage/profile/6a85e5098b220.png" TargetMode="External"/><Relationship Id="rId_hyperlink_1243" Type="http://schemas.openxmlformats.org/officeDocument/2006/relationships/hyperlink" Target="https://nconnect.nicmar.ac.in/storage/profile/6a85d78e2e5df.png" TargetMode="External"/><Relationship Id="rId_hyperlink_1244" Type="http://schemas.openxmlformats.org/officeDocument/2006/relationships/hyperlink" Target="https://nconnect.nicmar.ac.in/storage/profile/6a8575b49d53c.png" TargetMode="External"/><Relationship Id="rId_hyperlink_1245" Type="http://schemas.openxmlformats.org/officeDocument/2006/relationships/hyperlink" Target="https://nconnect.nicmar.ac.in/storage/profile/6a85fd91ac151.png" TargetMode="External"/><Relationship Id="rId_hyperlink_1246" Type="http://schemas.openxmlformats.org/officeDocument/2006/relationships/hyperlink" Target="https://nconnect.nicmar.ac.in/storage/profile/6a86f2175bb92.png" TargetMode="External"/><Relationship Id="rId_hyperlink_1247" Type="http://schemas.openxmlformats.org/officeDocument/2006/relationships/hyperlink" Target="https://nconnect.nicmar.ac.in/storage/profile/6a86e50ba8ee6.png" TargetMode="External"/><Relationship Id="rId_hyperlink_1248" Type="http://schemas.openxmlformats.org/officeDocument/2006/relationships/hyperlink" Target="https://nconnect.nicmar.ac.in/storage/profile/6a8738e2d7455.png" TargetMode="External"/><Relationship Id="rId_hyperlink_1249" Type="http://schemas.openxmlformats.org/officeDocument/2006/relationships/hyperlink" Target="https://nconnect.nicmar.ac.in/storage/profile/6a87047f3c47f.png" TargetMode="External"/><Relationship Id="rId_hyperlink_1250" Type="http://schemas.openxmlformats.org/officeDocument/2006/relationships/hyperlink" Target="https://nconnect.nicmar.ac.in/storage/profile/6a85a87d2ba6d.png" TargetMode="External"/><Relationship Id="rId_hyperlink_1251" Type="http://schemas.openxmlformats.org/officeDocument/2006/relationships/hyperlink" Target="https://nconnect.nicmar.ac.in/storage/profile/6a874616036a5.png" TargetMode="External"/><Relationship Id="rId_hyperlink_1252" Type="http://schemas.openxmlformats.org/officeDocument/2006/relationships/hyperlink" Target="https://nconnect.nicmar.ac.in/storage/profile/6a85ca1e587de.png" TargetMode="External"/><Relationship Id="rId_hyperlink_1253" Type="http://schemas.openxmlformats.org/officeDocument/2006/relationships/hyperlink" Target="https://nconnect.nicmar.ac.in/storage/profile/6a85de51a02d4.png" TargetMode="External"/><Relationship Id="rId_hyperlink_1254" Type="http://schemas.openxmlformats.org/officeDocument/2006/relationships/hyperlink" Target="https://nconnect.nicmar.ac.in/storage/profile/6a875c916916f.png" TargetMode="External"/><Relationship Id="rId_hyperlink_1255" Type="http://schemas.openxmlformats.org/officeDocument/2006/relationships/hyperlink" Target="https://nconnect.nicmar.ac.in/storage/profile/6a858443cd02f.png" TargetMode="External"/><Relationship Id="rId_hyperlink_1256" Type="http://schemas.openxmlformats.org/officeDocument/2006/relationships/hyperlink" Target="https://nconnect.nicmar.ac.in/storage/profile/6a86ec1da211e.png" TargetMode="External"/><Relationship Id="rId_hyperlink_1257" Type="http://schemas.openxmlformats.org/officeDocument/2006/relationships/hyperlink" Target="https://nconnect.nicmar.ac.in/storage/profile/6a873948871f3.png" TargetMode="External"/><Relationship Id="rId_hyperlink_1258" Type="http://schemas.openxmlformats.org/officeDocument/2006/relationships/hyperlink" Target="https://nconnect.nicmar.ac.in/storage/profile/6a872671d802b.png" TargetMode="External"/><Relationship Id="rId_hyperlink_1259" Type="http://schemas.openxmlformats.org/officeDocument/2006/relationships/hyperlink" Target="https://nconnect.nicmar.ac.in/storage/profile/6a85e96a468f0.png" TargetMode="External"/><Relationship Id="rId_hyperlink_1260" Type="http://schemas.openxmlformats.org/officeDocument/2006/relationships/hyperlink" Target="https://nconnect.nicmar.ac.in/storage/profile/6a87150fcd802.png" TargetMode="External"/><Relationship Id="rId_hyperlink_1261" Type="http://schemas.openxmlformats.org/officeDocument/2006/relationships/hyperlink" Target="https://nconnect.nicmar.ac.in/storage/profile/6a87360e5b546.png" TargetMode="External"/><Relationship Id="rId_hyperlink_1262" Type="http://schemas.openxmlformats.org/officeDocument/2006/relationships/hyperlink" Target="https://nconnect.nicmar.ac.in/storage/profile/6a85de2f28ca8.png" TargetMode="External"/><Relationship Id="rId_hyperlink_1263" Type="http://schemas.openxmlformats.org/officeDocument/2006/relationships/hyperlink" Target="https://nconnect.nicmar.ac.in/storage/profile/6a831aaba3112.png" TargetMode="External"/><Relationship Id="rId_hyperlink_1264" Type="http://schemas.openxmlformats.org/officeDocument/2006/relationships/hyperlink" Target="https://nconnect.nicmar.ac.in/storage/profile/6a87316b5c8f7.png" TargetMode="External"/><Relationship Id="rId_hyperlink_1265" Type="http://schemas.openxmlformats.org/officeDocument/2006/relationships/hyperlink" Target="https://nconnect.nicmar.ac.in/storage/profile/6a86fb57d7ea1.png" TargetMode="External"/><Relationship Id="rId_hyperlink_1266" Type="http://schemas.openxmlformats.org/officeDocument/2006/relationships/hyperlink" Target="https://nconnect.nicmar.ac.in/storage/profile/6a85e199c6a09.png" TargetMode="External"/><Relationship Id="rId_hyperlink_1267" Type="http://schemas.openxmlformats.org/officeDocument/2006/relationships/hyperlink" Target="https://nconnect.nicmar.ac.in/storage/profile/6a86ffb21b6fe.png" TargetMode="External"/><Relationship Id="rId_hyperlink_1268" Type="http://schemas.openxmlformats.org/officeDocument/2006/relationships/hyperlink" Target="https://nconnect.nicmar.ac.in/storage/profile/6a873615009e5.png" TargetMode="External"/><Relationship Id="rId_hyperlink_1269" Type="http://schemas.openxmlformats.org/officeDocument/2006/relationships/hyperlink" Target="https://nconnect.nicmar.ac.in/storage/profile/6a8742ade35c6.png" TargetMode="External"/><Relationship Id="rId_hyperlink_1270" Type="http://schemas.openxmlformats.org/officeDocument/2006/relationships/hyperlink" Target="https://nconnect.nicmar.ac.in/storage/profile/6a85bd5d13508.png" TargetMode="External"/><Relationship Id="rId_hyperlink_1271" Type="http://schemas.openxmlformats.org/officeDocument/2006/relationships/hyperlink" Target="https://nconnect.nicmar.ac.in/storage/profile/6a8702e064c46.png" TargetMode="External"/><Relationship Id="rId_hyperlink_1272" Type="http://schemas.openxmlformats.org/officeDocument/2006/relationships/hyperlink" Target="https://nconnect.nicmar.ac.in/storage/profile/6a87456a4041f.png" TargetMode="External"/><Relationship Id="rId_hyperlink_1273" Type="http://schemas.openxmlformats.org/officeDocument/2006/relationships/hyperlink" Target="https://nconnect.nicmar.ac.in/storage/profile/6a872f3b99eb2.png" TargetMode="External"/><Relationship Id="rId_hyperlink_1274" Type="http://schemas.openxmlformats.org/officeDocument/2006/relationships/hyperlink" Target="https://nconnect.nicmar.ac.in/storage/profile/6a8733588d5e5.png" TargetMode="External"/><Relationship Id="rId_hyperlink_1275" Type="http://schemas.openxmlformats.org/officeDocument/2006/relationships/hyperlink" Target="https://nconnect.nicmar.ac.in/storage/profile/6a869884e4e03.png" TargetMode="External"/><Relationship Id="rId_hyperlink_1276" Type="http://schemas.openxmlformats.org/officeDocument/2006/relationships/hyperlink" Target="https://nconnect.nicmar.ac.in/storage/profile/6a85b96d405a4.png" TargetMode="External"/><Relationship Id="rId_hyperlink_1277" Type="http://schemas.openxmlformats.org/officeDocument/2006/relationships/hyperlink" Target="https://nconnect.nicmar.ac.in/storage/profile/6a86f2031b480.png" TargetMode="External"/><Relationship Id="rId_hyperlink_1278" Type="http://schemas.openxmlformats.org/officeDocument/2006/relationships/hyperlink" Target="https://nconnect.nicmar.ac.in/storage/profile/6a87042c752d8.png" TargetMode="External"/><Relationship Id="rId_hyperlink_1279" Type="http://schemas.openxmlformats.org/officeDocument/2006/relationships/hyperlink" Target="https://nconnect.nicmar.ac.in/storage/profile/6a85f4af9a267.png" TargetMode="External"/><Relationship Id="rId_hyperlink_1280" Type="http://schemas.openxmlformats.org/officeDocument/2006/relationships/hyperlink" Target="https://nconnect.nicmar.ac.in/storage/profile/6a87400c14c63.png" TargetMode="External"/><Relationship Id="rId_hyperlink_1281" Type="http://schemas.openxmlformats.org/officeDocument/2006/relationships/hyperlink" Target="https://nconnect.nicmar.ac.in/storage/profile/6a86f224ae4f3.png" TargetMode="External"/><Relationship Id="rId_hyperlink_1282" Type="http://schemas.openxmlformats.org/officeDocument/2006/relationships/hyperlink" Target="https://nconnect.nicmar.ac.in/storage/profile/6a871740951f9.png" TargetMode="External"/><Relationship Id="rId_hyperlink_1283" Type="http://schemas.openxmlformats.org/officeDocument/2006/relationships/hyperlink" Target="https://nconnect.nicmar.ac.in/storage/profile/6a8749e54ea7e.png" TargetMode="External"/><Relationship Id="rId_hyperlink_1284" Type="http://schemas.openxmlformats.org/officeDocument/2006/relationships/hyperlink" Target="https://nconnect.nicmar.ac.in/storage/profile/6a8497ed5e526.png" TargetMode="External"/><Relationship Id="rId_hyperlink_1285" Type="http://schemas.openxmlformats.org/officeDocument/2006/relationships/hyperlink" Target="https://nconnect.nicmar.ac.in/storage/profile/6a85a6082e367.png" TargetMode="External"/><Relationship Id="rId_hyperlink_1286" Type="http://schemas.openxmlformats.org/officeDocument/2006/relationships/hyperlink" Target="https://nconnect.nicmar.ac.in/storage/profile/6a85a051b80b8.png" TargetMode="External"/><Relationship Id="rId_hyperlink_1287" Type="http://schemas.openxmlformats.org/officeDocument/2006/relationships/hyperlink" Target="https://nconnect.nicmar.ac.in/storage/profile/6a87103ee4808.png" TargetMode="External"/><Relationship Id="rId_hyperlink_1288" Type="http://schemas.openxmlformats.org/officeDocument/2006/relationships/hyperlink" Target="https://nconnect.nicmar.ac.in/storage/profile/6a8703a528f5b.png" TargetMode="External"/><Relationship Id="rId_hyperlink_1289" Type="http://schemas.openxmlformats.org/officeDocument/2006/relationships/hyperlink" Target="https://nconnect.nicmar.ac.in/storage/profile/6a871027ae8e3.png" TargetMode="External"/><Relationship Id="rId_hyperlink_1290" Type="http://schemas.openxmlformats.org/officeDocument/2006/relationships/hyperlink" Target="https://nconnect.nicmar.ac.in/storage/profile/6a86f5a30beac.png" TargetMode="External"/><Relationship Id="rId_hyperlink_1291" Type="http://schemas.openxmlformats.org/officeDocument/2006/relationships/hyperlink" Target="https://nconnect.nicmar.ac.in/storage/profile/6a8740646187b.png" TargetMode="External"/><Relationship Id="rId_hyperlink_1292" Type="http://schemas.openxmlformats.org/officeDocument/2006/relationships/hyperlink" Target="https://nconnect.nicmar.ac.in/storage/profile/6a873cf86c9de.png" TargetMode="External"/><Relationship Id="rId_hyperlink_1293" Type="http://schemas.openxmlformats.org/officeDocument/2006/relationships/hyperlink" Target="https://nconnect.nicmar.ac.in/storage/profile/6a87364da867b.png" TargetMode="External"/><Relationship Id="rId_hyperlink_1294" Type="http://schemas.openxmlformats.org/officeDocument/2006/relationships/hyperlink" Target="https://nconnect.nicmar.ac.in/storage/profile/6a872ea45aaa2.png" TargetMode="External"/><Relationship Id="rId_hyperlink_1295" Type="http://schemas.openxmlformats.org/officeDocument/2006/relationships/hyperlink" Target="https://nconnect.nicmar.ac.in/storage/profile/6a86fedd31bac.png" TargetMode="External"/><Relationship Id="rId_hyperlink_1296" Type="http://schemas.openxmlformats.org/officeDocument/2006/relationships/hyperlink" Target="https://nconnect.nicmar.ac.in/storage/profile/6a8712a0b47d4.png" TargetMode="External"/><Relationship Id="rId_hyperlink_1297" Type="http://schemas.openxmlformats.org/officeDocument/2006/relationships/hyperlink" Target="https://nconnect.nicmar.ac.in/storage/profile/6a86fc252b2b2.png" TargetMode="External"/><Relationship Id="rId_hyperlink_1298" Type="http://schemas.openxmlformats.org/officeDocument/2006/relationships/hyperlink" Target="https://nconnect.nicmar.ac.in/storage/profile/6a880f1c5b856.png" TargetMode="External"/><Relationship Id="rId_hyperlink_1299" Type="http://schemas.openxmlformats.org/officeDocument/2006/relationships/hyperlink" Target="https://nconnect.nicmar.ac.in/storage/profile/6a832934176cf.png" TargetMode="External"/><Relationship Id="rId_hyperlink_1300" Type="http://schemas.openxmlformats.org/officeDocument/2006/relationships/hyperlink" Target="https://nconnect.nicmar.ac.in/storage/profile/6a85c72425653.png" TargetMode="External"/><Relationship Id="rId_hyperlink_1301" Type="http://schemas.openxmlformats.org/officeDocument/2006/relationships/hyperlink" Target="https://nconnect.nicmar.ac.in/storage/profile/6a8598f7e7d4f.png" TargetMode="External"/><Relationship Id="rId_hyperlink_1302" Type="http://schemas.openxmlformats.org/officeDocument/2006/relationships/hyperlink" Target="https://nconnect.nicmar.ac.in/storage/profile/6a85e436d9d3c.png" TargetMode="External"/><Relationship Id="rId_hyperlink_1303" Type="http://schemas.openxmlformats.org/officeDocument/2006/relationships/hyperlink" Target="https://nconnect.nicmar.ac.in/storage/profile/6a873238e2227.png" TargetMode="External"/><Relationship Id="rId_hyperlink_1304" Type="http://schemas.openxmlformats.org/officeDocument/2006/relationships/hyperlink" Target="https://nconnect.nicmar.ac.in/storage/profile/6a871a11f1cfe.png" TargetMode="External"/><Relationship Id="rId_hyperlink_1305" Type="http://schemas.openxmlformats.org/officeDocument/2006/relationships/hyperlink" Target="https://nconnect.nicmar.ac.in/storage/profile/6a84343b5dc5e.png" TargetMode="External"/><Relationship Id="rId_hyperlink_1306" Type="http://schemas.openxmlformats.org/officeDocument/2006/relationships/hyperlink" Target="https://nconnect.nicmar.ac.in/storage/profile/6a87192e28aaf.png" TargetMode="External"/><Relationship Id="rId_hyperlink_1307" Type="http://schemas.openxmlformats.org/officeDocument/2006/relationships/hyperlink" Target="https://nconnect.nicmar.ac.in/storage/profile/6a871389a07ec.png" TargetMode="External"/><Relationship Id="rId_hyperlink_1308" Type="http://schemas.openxmlformats.org/officeDocument/2006/relationships/hyperlink" Target="https://nconnect.nicmar.ac.in/storage/profile/6a870ff78d808.png" TargetMode="External"/><Relationship Id="rId_hyperlink_1309" Type="http://schemas.openxmlformats.org/officeDocument/2006/relationships/hyperlink" Target="https://nconnect.nicmar.ac.in/storage/profile/6a86fbcf2dec4.png" TargetMode="External"/><Relationship Id="rId_hyperlink_1310" Type="http://schemas.openxmlformats.org/officeDocument/2006/relationships/hyperlink" Target="https://nconnect.nicmar.ac.in/storage/profile/6a8c7d9393988.png" TargetMode="External"/><Relationship Id="rId_hyperlink_1311" Type="http://schemas.openxmlformats.org/officeDocument/2006/relationships/hyperlink" Target="https://nconnect.nicmar.ac.in/storage/profile/6a871ddb3e85e.png" TargetMode="External"/><Relationship Id="rId_hyperlink_1312" Type="http://schemas.openxmlformats.org/officeDocument/2006/relationships/hyperlink" Target="https://nconnect.nicmar.ac.in/storage/profile/6a803d3e60cc0.png" TargetMode="External"/><Relationship Id="rId_hyperlink_1313" Type="http://schemas.openxmlformats.org/officeDocument/2006/relationships/hyperlink" Target="https://nconnect.nicmar.ac.in/storage/profile/6a85e68526457.png" TargetMode="External"/><Relationship Id="rId_hyperlink_1314" Type="http://schemas.openxmlformats.org/officeDocument/2006/relationships/hyperlink" Target="https://nconnect.nicmar.ac.in/storage/profile/6a870556b6e1d.png" TargetMode="External"/><Relationship Id="rId_hyperlink_1315" Type="http://schemas.openxmlformats.org/officeDocument/2006/relationships/hyperlink" Target="https://nconnect.nicmar.ac.in/storage/profile/6a8740d2df8af.png" TargetMode="External"/><Relationship Id="rId_hyperlink_1316" Type="http://schemas.openxmlformats.org/officeDocument/2006/relationships/hyperlink" Target="https://nconnect.nicmar.ac.in/storage/profile/6a86014235e25.png" TargetMode="External"/><Relationship Id="rId_hyperlink_1317" Type="http://schemas.openxmlformats.org/officeDocument/2006/relationships/hyperlink" Target="https://nconnect.nicmar.ac.in/storage/profile/6a86ef03ed2e5.png" TargetMode="External"/><Relationship Id="rId_hyperlink_1318" Type="http://schemas.openxmlformats.org/officeDocument/2006/relationships/hyperlink" Target="https://nconnect.nicmar.ac.in/storage/profile/6a873b0019134.png" TargetMode="External"/><Relationship Id="rId_hyperlink_1319" Type="http://schemas.openxmlformats.org/officeDocument/2006/relationships/hyperlink" Target="https://nconnect.nicmar.ac.in/storage/profile/6a85ef3294cae.png" TargetMode="External"/><Relationship Id="rId_hyperlink_1320" Type="http://schemas.openxmlformats.org/officeDocument/2006/relationships/hyperlink" Target="https://nconnect.nicmar.ac.in/storage/profile/6a87290497824.png" TargetMode="External"/><Relationship Id="rId_hyperlink_1321" Type="http://schemas.openxmlformats.org/officeDocument/2006/relationships/hyperlink" Target="https://nconnect.nicmar.ac.in/storage/profile/6a871bbcd5f75.png" TargetMode="External"/><Relationship Id="rId_hyperlink_1322" Type="http://schemas.openxmlformats.org/officeDocument/2006/relationships/hyperlink" Target="https://nconnect.nicmar.ac.in/storage/profile/6a8748e232fda.png" TargetMode="External"/><Relationship Id="rId_hyperlink_1323" Type="http://schemas.openxmlformats.org/officeDocument/2006/relationships/hyperlink" Target="https://nconnect.nicmar.ac.in/storage/profile/6a8714bc0b084.png" TargetMode="External"/><Relationship Id="rId_hyperlink_1324" Type="http://schemas.openxmlformats.org/officeDocument/2006/relationships/hyperlink" Target="https://nconnect.nicmar.ac.in/storage/profile/6a8721dca067b.png" TargetMode="External"/><Relationship Id="rId_hyperlink_1325" Type="http://schemas.openxmlformats.org/officeDocument/2006/relationships/hyperlink" Target="https://nconnect.nicmar.ac.in/storage/profile/6a8720ce0419e.png" TargetMode="External"/><Relationship Id="rId_hyperlink_1326" Type="http://schemas.openxmlformats.org/officeDocument/2006/relationships/hyperlink" Target="https://nconnect.nicmar.ac.in/storage/profile/6a872efb08d54.png" TargetMode="External"/><Relationship Id="rId_hyperlink_1327" Type="http://schemas.openxmlformats.org/officeDocument/2006/relationships/hyperlink" Target="https://nconnect.nicmar.ac.in/storage/profile/6a86ee3673302.png" TargetMode="External"/><Relationship Id="rId_hyperlink_1328" Type="http://schemas.openxmlformats.org/officeDocument/2006/relationships/hyperlink" Target="https://nconnect.nicmar.ac.in/storage/profile/6a86f0f0e2843.png" TargetMode="External"/><Relationship Id="rId_hyperlink_1329" Type="http://schemas.openxmlformats.org/officeDocument/2006/relationships/hyperlink" Target="https://nconnect.nicmar.ac.in/storage/profile/6a85f3e729757.png" TargetMode="External"/><Relationship Id="rId_hyperlink_1330" Type="http://schemas.openxmlformats.org/officeDocument/2006/relationships/hyperlink" Target="https://nconnect.nicmar.ac.in/storage/profile/6a85e41d92993.png" TargetMode="External"/><Relationship Id="rId_hyperlink_1331" Type="http://schemas.openxmlformats.org/officeDocument/2006/relationships/hyperlink" Target="https://nconnect.nicmar.ac.in/storage/profile/6a85dcf5bab79.png" TargetMode="External"/><Relationship Id="rId_hyperlink_1332" Type="http://schemas.openxmlformats.org/officeDocument/2006/relationships/hyperlink" Target="https://nconnect.nicmar.ac.in/storage/profile/6a87403408ee0.png" TargetMode="External"/><Relationship Id="rId_hyperlink_1333" Type="http://schemas.openxmlformats.org/officeDocument/2006/relationships/hyperlink" Target="https://nconnect.nicmar.ac.in/storage/profile/6a8767ebe9d14.png" TargetMode="External"/><Relationship Id="rId_hyperlink_1334" Type="http://schemas.openxmlformats.org/officeDocument/2006/relationships/hyperlink" Target="https://nconnect.nicmar.ac.in/storage/profile/6a89ca082977b.png" TargetMode="External"/><Relationship Id="rId_hyperlink_1335" Type="http://schemas.openxmlformats.org/officeDocument/2006/relationships/hyperlink" Target="https://nconnect.nicmar.ac.in/storage/profile/6a86eeb76100e.png" TargetMode="External"/><Relationship Id="rId_hyperlink_1336" Type="http://schemas.openxmlformats.org/officeDocument/2006/relationships/hyperlink" Target="https://nconnect.nicmar.ac.in/storage/profile/6a86e43bd24a8.png" TargetMode="External"/><Relationship Id="rId_hyperlink_1337" Type="http://schemas.openxmlformats.org/officeDocument/2006/relationships/hyperlink" Target="https://nconnect.nicmar.ac.in/storage/profile/6a86f2691cd56.png" TargetMode="External"/><Relationship Id="rId_hyperlink_1338" Type="http://schemas.openxmlformats.org/officeDocument/2006/relationships/hyperlink" Target="https://nconnect.nicmar.ac.in/storage/profile/6a86dd8c2e347.png" TargetMode="External"/><Relationship Id="rId_hyperlink_1339" Type="http://schemas.openxmlformats.org/officeDocument/2006/relationships/hyperlink" Target="https://nconnect.nicmar.ac.in/storage/profile/6a86b6e50afb6.png" TargetMode="External"/><Relationship Id="rId_hyperlink_1340" Type="http://schemas.openxmlformats.org/officeDocument/2006/relationships/hyperlink" Target="https://nconnect.nicmar.ac.in/storage/profile/6a8727b1eb645.png" TargetMode="External"/><Relationship Id="rId_hyperlink_1341" Type="http://schemas.openxmlformats.org/officeDocument/2006/relationships/hyperlink" Target="https://nconnect.nicmar.ac.in/storage/profile/6a85dc2e5e789.png" TargetMode="External"/><Relationship Id="rId_hyperlink_1342" Type="http://schemas.openxmlformats.org/officeDocument/2006/relationships/hyperlink" Target="https://nconnect.nicmar.ac.in/storage/profile/6a872758c510e.png" TargetMode="External"/><Relationship Id="rId_hyperlink_1343" Type="http://schemas.openxmlformats.org/officeDocument/2006/relationships/hyperlink" Target="https://nconnect.nicmar.ac.in/storage/profile/6a8727d8910de.png" TargetMode="External"/><Relationship Id="rId_hyperlink_1344" Type="http://schemas.openxmlformats.org/officeDocument/2006/relationships/hyperlink" Target="https://nconnect.nicmar.ac.in/storage/profile/6a8492cf80cd3.png" TargetMode="External"/><Relationship Id="rId_hyperlink_1345" Type="http://schemas.openxmlformats.org/officeDocument/2006/relationships/hyperlink" Target="https://nconnect.nicmar.ac.in/storage/profile/6a85aa8192613.png" TargetMode="External"/><Relationship Id="rId_hyperlink_1346" Type="http://schemas.openxmlformats.org/officeDocument/2006/relationships/hyperlink" Target="https://nconnect.nicmar.ac.in/storage/profile/6a8747a4b859b.png" TargetMode="External"/><Relationship Id="rId_hyperlink_1347" Type="http://schemas.openxmlformats.org/officeDocument/2006/relationships/hyperlink" Target="https://nconnect.nicmar.ac.in/storage/profile/6a86f14b8477c.png" TargetMode="External"/><Relationship Id="rId_hyperlink_1348" Type="http://schemas.openxmlformats.org/officeDocument/2006/relationships/hyperlink" Target="https://nconnect.nicmar.ac.in/storage/profile/6a870d8e43fc1.png" TargetMode="External"/><Relationship Id="rId_hyperlink_1349" Type="http://schemas.openxmlformats.org/officeDocument/2006/relationships/hyperlink" Target="https://nconnect.nicmar.ac.in/storage/profile/6a86dad308de5.png" TargetMode="External"/><Relationship Id="rId_hyperlink_1350" Type="http://schemas.openxmlformats.org/officeDocument/2006/relationships/hyperlink" Target="https://nconnect.nicmar.ac.in/storage/profile/6a86f0576ff33.png" TargetMode="External"/><Relationship Id="rId_hyperlink_1351" Type="http://schemas.openxmlformats.org/officeDocument/2006/relationships/hyperlink" Target="https://nconnect.nicmar.ac.in/storage/profile/6a8727f519630.png" TargetMode="External"/><Relationship Id="rId_hyperlink_1352" Type="http://schemas.openxmlformats.org/officeDocument/2006/relationships/hyperlink" Target="https://nconnect.nicmar.ac.in/storage/profile/6a872747dde2d.png" TargetMode="External"/><Relationship Id="rId_hyperlink_1353" Type="http://schemas.openxmlformats.org/officeDocument/2006/relationships/hyperlink" Target="https://nconnect.nicmar.ac.in/storage/profile/6a86e52c7bda1.png" TargetMode="External"/><Relationship Id="rId_hyperlink_1354" Type="http://schemas.openxmlformats.org/officeDocument/2006/relationships/hyperlink" Target="https://nconnect.nicmar.ac.in/storage/profile/6a85f9a0635c7.png" TargetMode="External"/><Relationship Id="rId_hyperlink_1355" Type="http://schemas.openxmlformats.org/officeDocument/2006/relationships/hyperlink" Target="https://nconnect.nicmar.ac.in/storage/profile/6a873a3046e5f.png" TargetMode="External"/><Relationship Id="rId_hyperlink_1356" Type="http://schemas.openxmlformats.org/officeDocument/2006/relationships/hyperlink" Target="https://nconnect.nicmar.ac.in/storage/profile/6a871ec348392.png" TargetMode="External"/><Relationship Id="rId_hyperlink_1357" Type="http://schemas.openxmlformats.org/officeDocument/2006/relationships/hyperlink" Target="https://nconnect.nicmar.ac.in/storage/profile/6a87141f47fba.png" TargetMode="External"/><Relationship Id="rId_hyperlink_1358" Type="http://schemas.openxmlformats.org/officeDocument/2006/relationships/hyperlink" Target="https://nconnect.nicmar.ac.in/storage/profile/6a860309dff60.png" TargetMode="External"/><Relationship Id="rId_hyperlink_1359" Type="http://schemas.openxmlformats.org/officeDocument/2006/relationships/hyperlink" Target="https://nconnect.nicmar.ac.in/storage/profile/6a872f006978d.png" TargetMode="External"/><Relationship Id="rId_hyperlink_1360" Type="http://schemas.openxmlformats.org/officeDocument/2006/relationships/hyperlink" Target="https://nconnect.nicmar.ac.in/storage/profile/6a87314b95a6c.png" TargetMode="External"/><Relationship Id="rId_hyperlink_1361" Type="http://schemas.openxmlformats.org/officeDocument/2006/relationships/hyperlink" Target="https://nconnect.nicmar.ac.in/storage/profile/6a86dd833397b.png" TargetMode="External"/><Relationship Id="rId_hyperlink_1362" Type="http://schemas.openxmlformats.org/officeDocument/2006/relationships/hyperlink" Target="https://nconnect.nicmar.ac.in/storage/profile/6a873d6856269.png" TargetMode="External"/><Relationship Id="rId_hyperlink_1363" Type="http://schemas.openxmlformats.org/officeDocument/2006/relationships/hyperlink" Target="https://nconnect.nicmar.ac.in/storage/profile/6a872f4d33cb9.png" TargetMode="External"/><Relationship Id="rId_hyperlink_1364" Type="http://schemas.openxmlformats.org/officeDocument/2006/relationships/hyperlink" Target="https://nconnect.nicmar.ac.in/storage/profile/6a872c0b65c79.png" TargetMode="External"/><Relationship Id="rId_hyperlink_1365" Type="http://schemas.openxmlformats.org/officeDocument/2006/relationships/hyperlink" Target="https://nconnect.nicmar.ac.in/storage/profile/6a86b2ec17d5e.png" TargetMode="External"/><Relationship Id="rId_hyperlink_1366" Type="http://schemas.openxmlformats.org/officeDocument/2006/relationships/hyperlink" Target="https://nconnect.nicmar.ac.in/storage/profile/6a85e7a46f127.png" TargetMode="External"/><Relationship Id="rId_hyperlink_1367" Type="http://schemas.openxmlformats.org/officeDocument/2006/relationships/hyperlink" Target="https://nconnect.nicmar.ac.in/storage/profile/6a86e5d213151.png" TargetMode="External"/><Relationship Id="rId_hyperlink_1368" Type="http://schemas.openxmlformats.org/officeDocument/2006/relationships/hyperlink" Target="https://nconnect.nicmar.ac.in/storage/profile/6a86b62b805cb.png" TargetMode="External"/><Relationship Id="rId_hyperlink_1369" Type="http://schemas.openxmlformats.org/officeDocument/2006/relationships/hyperlink" Target="https://nconnect.nicmar.ac.in/storage/profile/6a85d59893304.png" TargetMode="External"/><Relationship Id="rId_hyperlink_1370" Type="http://schemas.openxmlformats.org/officeDocument/2006/relationships/hyperlink" Target="https://nconnect.nicmar.ac.in/storage/profile/6a8732ec48e04.png" TargetMode="External"/><Relationship Id="rId_hyperlink_1371" Type="http://schemas.openxmlformats.org/officeDocument/2006/relationships/hyperlink" Target="https://nconnect.nicmar.ac.in/storage/profile/6a8342637a8f1.png" TargetMode="External"/><Relationship Id="rId_hyperlink_1372" Type="http://schemas.openxmlformats.org/officeDocument/2006/relationships/hyperlink" Target="https://nconnect.nicmar.ac.in/storage/profile/6a872d46e04ed.png" TargetMode="External"/><Relationship Id="rId_hyperlink_1373" Type="http://schemas.openxmlformats.org/officeDocument/2006/relationships/hyperlink" Target="https://nconnect.nicmar.ac.in/storage/profile/6a85e1b92b82e.png" TargetMode="External"/><Relationship Id="rId_hyperlink_1374" Type="http://schemas.openxmlformats.org/officeDocument/2006/relationships/hyperlink" Target="https://nconnect.nicmar.ac.in/storage/profile/6a872e20eb281.png" TargetMode="External"/><Relationship Id="rId_hyperlink_1375" Type="http://schemas.openxmlformats.org/officeDocument/2006/relationships/hyperlink" Target="https://nconnect.nicmar.ac.in/storage/profile/6a8607258b42f.png" TargetMode="External"/><Relationship Id="rId_hyperlink_1376" Type="http://schemas.openxmlformats.org/officeDocument/2006/relationships/hyperlink" Target="https://nconnect.nicmar.ac.in/storage/profile/6a86878cf12b7.png" TargetMode="External"/><Relationship Id="rId_hyperlink_1377" Type="http://schemas.openxmlformats.org/officeDocument/2006/relationships/hyperlink" Target="https://nconnect.nicmar.ac.in/storage/profile/6a86df70911e6.png" TargetMode="External"/><Relationship Id="rId_hyperlink_1378" Type="http://schemas.openxmlformats.org/officeDocument/2006/relationships/hyperlink" Target="https://nconnect.nicmar.ac.in/storage/profile/6a85fffb795f2.png" TargetMode="External"/><Relationship Id="rId_hyperlink_1379" Type="http://schemas.openxmlformats.org/officeDocument/2006/relationships/hyperlink" Target="https://nconnect.nicmar.ac.in/storage/profile/6a873da95f6c5.png" TargetMode="External"/><Relationship Id="rId_hyperlink_1380" Type="http://schemas.openxmlformats.org/officeDocument/2006/relationships/hyperlink" Target="https://nconnect.nicmar.ac.in/storage/profile/6a867062dc845.png" TargetMode="External"/><Relationship Id="rId_hyperlink_1381" Type="http://schemas.openxmlformats.org/officeDocument/2006/relationships/hyperlink" Target="https://nconnect.nicmar.ac.in/storage/profile/6a8709b80e5cb.png" TargetMode="External"/><Relationship Id="rId_hyperlink_1382" Type="http://schemas.openxmlformats.org/officeDocument/2006/relationships/hyperlink" Target="https://nconnect.nicmar.ac.in/storage/profile/6a8734ad1e05e.png" TargetMode="External"/><Relationship Id="rId_hyperlink_1383" Type="http://schemas.openxmlformats.org/officeDocument/2006/relationships/hyperlink" Target="https://nconnect.nicmar.ac.in/storage/profile/6a86dc6a42dc2.png" TargetMode="External"/><Relationship Id="rId_hyperlink_1384" Type="http://schemas.openxmlformats.org/officeDocument/2006/relationships/hyperlink" Target="https://nconnect.nicmar.ac.in/storage/profile/ProfilePhoto_p2270001_681243.jpg" TargetMode="External"/><Relationship Id="rId_hyperlink_1385" Type="http://schemas.openxmlformats.org/officeDocument/2006/relationships/hyperlink" Target="https://nconnect.nicmar.ac.in/storage/profile/ProfilePhoto_p2270002_632895.jpg" TargetMode="External"/><Relationship Id="rId_hyperlink_1386" Type="http://schemas.openxmlformats.org/officeDocument/2006/relationships/hyperlink" Target="https://nconnect.nicmar.ac.in/storage/profile/ProfilePhoto_p2270003_897561.jpg" TargetMode="External"/><Relationship Id="rId_hyperlink_1387" Type="http://schemas.openxmlformats.org/officeDocument/2006/relationships/hyperlink" Target="https://nconnect.nicmar.ac.in/storage/profile/ProfilePhoto_p2270004_931657.jpg" TargetMode="External"/><Relationship Id="rId_hyperlink_1388" Type="http://schemas.openxmlformats.org/officeDocument/2006/relationships/hyperlink" Target="https://nconnect.nicmar.ac.in/storage/profile/ProfilePhoto_p2270005_523864.jpg" TargetMode="External"/><Relationship Id="rId_hyperlink_1389" Type="http://schemas.openxmlformats.org/officeDocument/2006/relationships/hyperlink" Target="https://nconnect.nicmar.ac.in/storage/profile/ProfilePhoto_p2270006_615942.jpg" TargetMode="External"/><Relationship Id="rId_hyperlink_1390" Type="http://schemas.openxmlformats.org/officeDocument/2006/relationships/hyperlink" Target="https://nconnect.nicmar.ac.in/storage/profile/ProfilePhoto_p2270009_239158.jpg" TargetMode="External"/><Relationship Id="rId_hyperlink_1391" Type="http://schemas.openxmlformats.org/officeDocument/2006/relationships/hyperlink" Target="https://nconnect.nicmar.ac.in/storage/profile/ProfilePhoto_p2270010_726149.jpg" TargetMode="External"/><Relationship Id="rId_hyperlink_1392" Type="http://schemas.openxmlformats.org/officeDocument/2006/relationships/hyperlink" Target="https://nconnect.nicmar.ac.in/storage/profile/ProfilePhoto_p2270011_279853.jpg" TargetMode="External"/><Relationship Id="rId_hyperlink_1393" Type="http://schemas.openxmlformats.org/officeDocument/2006/relationships/hyperlink" Target="https://nconnect.nicmar.ac.in/storage/profile/ProfilePhoto_p2270012_367425.jpg" TargetMode="External"/><Relationship Id="rId_hyperlink_1394" Type="http://schemas.openxmlformats.org/officeDocument/2006/relationships/hyperlink" Target="https://nconnect.nicmar.ac.in/storage/profile/ProfilePhoto_p2270013_589134.jpg" TargetMode="External"/><Relationship Id="rId_hyperlink_1395" Type="http://schemas.openxmlformats.org/officeDocument/2006/relationships/hyperlink" Target="https://nconnect.nicmar.ac.in/storage/profile/ProfilePhoto_p2270014_489735.jpg" TargetMode="External"/><Relationship Id="rId_hyperlink_1396" Type="http://schemas.openxmlformats.org/officeDocument/2006/relationships/hyperlink" Target="https://nconnect.nicmar.ac.in/storage/profile/ProfilePhoto_p2270015_543612.jpg" TargetMode="External"/><Relationship Id="rId_hyperlink_1397" Type="http://schemas.openxmlformats.org/officeDocument/2006/relationships/hyperlink" Target="https://nconnect.nicmar.ac.in/storage/profile/ProfilePhoto_p2270016_745369.jpg" TargetMode="External"/><Relationship Id="rId_hyperlink_1398" Type="http://schemas.openxmlformats.org/officeDocument/2006/relationships/hyperlink" Target="https://nconnect.nicmar.ac.in/storage/profile/ProfilePhoto_p2270017_741932.jpg" TargetMode="External"/><Relationship Id="rId_hyperlink_1399" Type="http://schemas.openxmlformats.org/officeDocument/2006/relationships/hyperlink" Target="https://nconnect.nicmar.ac.in/storage/profile/ProfilePhoto_p2270018_276543.jpg" TargetMode="External"/><Relationship Id="rId_hyperlink_1400" Type="http://schemas.openxmlformats.org/officeDocument/2006/relationships/hyperlink" Target="https://nconnect.nicmar.ac.in/storage/profile/ProfilePhoto_p2270019_385679.jpg" TargetMode="External"/><Relationship Id="rId_hyperlink_1401" Type="http://schemas.openxmlformats.org/officeDocument/2006/relationships/hyperlink" Target="https://nconnect.nicmar.ac.in/storage/profile/ProfilePhoto_p2270020_493817.jpg" TargetMode="External"/><Relationship Id="rId_hyperlink_1402" Type="http://schemas.openxmlformats.org/officeDocument/2006/relationships/hyperlink" Target="https://nconnect.nicmar.ac.in/storage/profile/ProfilePhoto_p2270021_765283.jpg" TargetMode="External"/><Relationship Id="rId_hyperlink_1403" Type="http://schemas.openxmlformats.org/officeDocument/2006/relationships/hyperlink" Target="https://nconnect.nicmar.ac.in/storage/profile/ProfilePhoto_p2270022_724369.jpg" TargetMode="External"/><Relationship Id="rId_hyperlink_1404" Type="http://schemas.openxmlformats.org/officeDocument/2006/relationships/hyperlink" Target="https://nconnect.nicmar.ac.in/storage/profile/ProfilePhoto_p2270023_162785.jpg" TargetMode="External"/><Relationship Id="rId_hyperlink_1405" Type="http://schemas.openxmlformats.org/officeDocument/2006/relationships/hyperlink" Target="https://nconnect.nicmar.ac.in/storage/profile/ProfilePhoto_p2270024_361258.jpg" TargetMode="External"/><Relationship Id="rId_hyperlink_1406" Type="http://schemas.openxmlformats.org/officeDocument/2006/relationships/hyperlink" Target="https://nconnect.nicmar.ac.in/storage/profile/ProfilePhoto_p2270025_372418.jpg" TargetMode="External"/><Relationship Id="rId_hyperlink_1407" Type="http://schemas.openxmlformats.org/officeDocument/2006/relationships/hyperlink" Target="https://nconnect.nicmar.ac.in/storage/profile/ProfilePhoto_p2270026_829547.jpg" TargetMode="External"/><Relationship Id="rId_hyperlink_1408" Type="http://schemas.openxmlformats.org/officeDocument/2006/relationships/hyperlink" Target="https://nconnect.nicmar.ac.in/storage/profile/ProfilePhoto_p2270027_248179.jpg" TargetMode="External"/><Relationship Id="rId_hyperlink_1409" Type="http://schemas.openxmlformats.org/officeDocument/2006/relationships/hyperlink" Target="https://nconnect.nicmar.ac.in/storage/profile/ProfilePhoto_p2270028_536782.jpg" TargetMode="External"/><Relationship Id="rId_hyperlink_1410" Type="http://schemas.openxmlformats.org/officeDocument/2006/relationships/hyperlink" Target="https://nconnect.nicmar.ac.in/storage/profile/ProfilePhoto_p2270029_862145.jpg" TargetMode="External"/><Relationship Id="rId_hyperlink_1411" Type="http://schemas.openxmlformats.org/officeDocument/2006/relationships/hyperlink" Target="https://nconnect.nicmar.ac.in/storage/profile/ProfilePhoto_p2270030_864371.jpg" TargetMode="External"/><Relationship Id="rId_hyperlink_1412" Type="http://schemas.openxmlformats.org/officeDocument/2006/relationships/hyperlink" Target="https://nconnect.nicmar.ac.in/storage/profile/ProfilePhoto_p2270031_326187.jpg" TargetMode="External"/><Relationship Id="rId_hyperlink_1413" Type="http://schemas.openxmlformats.org/officeDocument/2006/relationships/hyperlink" Target="https://nconnect.nicmar.ac.in/storage/profile/ProfilePhoto_p2270032_174356.jpg" TargetMode="External"/><Relationship Id="rId_hyperlink_1414" Type="http://schemas.openxmlformats.org/officeDocument/2006/relationships/hyperlink" Target="https://nconnect.nicmar.ac.in/storage/profile/ProfilePhoto_p2270033_563842.jpg" TargetMode="External"/><Relationship Id="rId_hyperlink_1415" Type="http://schemas.openxmlformats.org/officeDocument/2006/relationships/hyperlink" Target="https://nconnect.nicmar.ac.in/storage/profile/ProfilePhoto_p2270034_764253.jpg" TargetMode="External"/><Relationship Id="rId_hyperlink_1416" Type="http://schemas.openxmlformats.org/officeDocument/2006/relationships/hyperlink" Target="https://nconnect.nicmar.ac.in/storage/profile/ProfilePhoto_p2270036_978451.jpg" TargetMode="External"/><Relationship Id="rId_hyperlink_1417" Type="http://schemas.openxmlformats.org/officeDocument/2006/relationships/hyperlink" Target="https://nconnect.nicmar.ac.in/storage/profile/ProfilePhoto_p2270038_328591.jpg" TargetMode="External"/><Relationship Id="rId_hyperlink_1418" Type="http://schemas.openxmlformats.org/officeDocument/2006/relationships/hyperlink" Target="https://nconnect.nicmar.ac.in/storage/profile/ProfilePhoto_p2270039_235486.jpg" TargetMode="External"/><Relationship Id="rId_hyperlink_1419" Type="http://schemas.openxmlformats.org/officeDocument/2006/relationships/hyperlink" Target="https://nconnect.nicmar.ac.in/storage/profile/ProfilePhoto_p2270040_642918.jpg" TargetMode="External"/><Relationship Id="rId_hyperlink_1420" Type="http://schemas.openxmlformats.org/officeDocument/2006/relationships/hyperlink" Target="https://nconnect.nicmar.ac.in/storage/profile/ProfilePhoto_p2270041_826549.jpg" TargetMode="External"/><Relationship Id="rId_hyperlink_1421" Type="http://schemas.openxmlformats.org/officeDocument/2006/relationships/hyperlink" Target="https://nconnect.nicmar.ac.in/storage/profile/ProfilePhoto_p2270042_984137.jpg" TargetMode="External"/><Relationship Id="rId_hyperlink_1422" Type="http://schemas.openxmlformats.org/officeDocument/2006/relationships/hyperlink" Target="https://nconnect.nicmar.ac.in/storage/profile/ProfilePhoto_p2270043_851692.jpg" TargetMode="External"/><Relationship Id="rId_hyperlink_1423" Type="http://schemas.openxmlformats.org/officeDocument/2006/relationships/hyperlink" Target="https://nconnect.nicmar.ac.in/storage/profile/ProfilePhoto_p2270044_937264.jpg" TargetMode="External"/><Relationship Id="rId_hyperlink_1424" Type="http://schemas.openxmlformats.org/officeDocument/2006/relationships/hyperlink" Target="https://nconnect.nicmar.ac.in/storage/profile/ProfilePhoto_p2270045_964258.jpg" TargetMode="External"/><Relationship Id="rId_hyperlink_1425" Type="http://schemas.openxmlformats.org/officeDocument/2006/relationships/hyperlink" Target="https://nconnect.nicmar.ac.in/storage/profile/ProfilePhoto_p2270046_794286.jpg" TargetMode="External"/><Relationship Id="rId_hyperlink_1426" Type="http://schemas.openxmlformats.org/officeDocument/2006/relationships/hyperlink" Target="https://nconnect.nicmar.ac.in/storage/profile/ProfilePhoto_p2270047_724681.jpg" TargetMode="External"/><Relationship Id="rId_hyperlink_1427" Type="http://schemas.openxmlformats.org/officeDocument/2006/relationships/hyperlink" Target="https://nconnect.nicmar.ac.in/storage/profile/ProfilePhoto_p2270048_321768.jpg" TargetMode="External"/><Relationship Id="rId_hyperlink_1428" Type="http://schemas.openxmlformats.org/officeDocument/2006/relationships/hyperlink" Target="https://nconnect.nicmar.ac.in/storage/profile/ProfilePhoto_p2270049_876931.jpg" TargetMode="External"/><Relationship Id="rId_hyperlink_1429" Type="http://schemas.openxmlformats.org/officeDocument/2006/relationships/hyperlink" Target="https://nconnect.nicmar.ac.in/storage/profile/ProfilePhoto_p2270050_856413.jpg" TargetMode="External"/><Relationship Id="rId_hyperlink_1430" Type="http://schemas.openxmlformats.org/officeDocument/2006/relationships/hyperlink" Target="https://nconnect.nicmar.ac.in/storage/profile/ProfilePhoto_p2270051_946257.jpg" TargetMode="External"/><Relationship Id="rId_hyperlink_1431" Type="http://schemas.openxmlformats.org/officeDocument/2006/relationships/hyperlink" Target="https://nconnect.nicmar.ac.in/storage/profile/ProfilePhoto_p2270052_698157.jpg" TargetMode="External"/><Relationship Id="rId_hyperlink_1432" Type="http://schemas.openxmlformats.org/officeDocument/2006/relationships/hyperlink" Target="https://nconnect.nicmar.ac.in/storage/profile/ProfilePhoto_p2270053_824631.jpg" TargetMode="External"/><Relationship Id="rId_hyperlink_1433" Type="http://schemas.openxmlformats.org/officeDocument/2006/relationships/hyperlink" Target="https://nconnect.nicmar.ac.in/storage/profile/ProfilePhoto_p2270054_395672.jpg" TargetMode="External"/><Relationship Id="rId_hyperlink_1434" Type="http://schemas.openxmlformats.org/officeDocument/2006/relationships/hyperlink" Target="https://nconnect.nicmar.ac.in/storage/profile/ProfilePhoto_p2270055_594863.jpg" TargetMode="External"/><Relationship Id="rId_hyperlink_1435" Type="http://schemas.openxmlformats.org/officeDocument/2006/relationships/hyperlink" Target="https://nconnect.nicmar.ac.in/storage/profile/ProfilePhoto_p2270056_413586.jpg" TargetMode="External"/><Relationship Id="rId_hyperlink_1436" Type="http://schemas.openxmlformats.org/officeDocument/2006/relationships/hyperlink" Target="https://nconnect.nicmar.ac.in/storage/profile/ProfilePhoto_p2270057_154689.jpg" TargetMode="External"/><Relationship Id="rId_hyperlink_1437" Type="http://schemas.openxmlformats.org/officeDocument/2006/relationships/hyperlink" Target="https://nconnect.nicmar.ac.in/storage/profile/ProfilePhoto_p2270058_621759.jpg" TargetMode="External"/><Relationship Id="rId_hyperlink_1438" Type="http://schemas.openxmlformats.org/officeDocument/2006/relationships/hyperlink" Target="https://nconnect.nicmar.ac.in/storage/profile/ProfilePhoto_p2270059_314857.jpg" TargetMode="External"/><Relationship Id="rId_hyperlink_1439" Type="http://schemas.openxmlformats.org/officeDocument/2006/relationships/hyperlink" Target="https://nconnect.nicmar.ac.in/storage/profile/ProfilePhoto_p2270060_739546.jpg" TargetMode="External"/><Relationship Id="rId_hyperlink_1440" Type="http://schemas.openxmlformats.org/officeDocument/2006/relationships/hyperlink" Target="https://nconnect.nicmar.ac.in/storage/profile/ProfilePhoto_p2270061_937214.jpg" TargetMode="External"/><Relationship Id="rId_hyperlink_1441" Type="http://schemas.openxmlformats.org/officeDocument/2006/relationships/hyperlink" Target="https://nconnect.nicmar.ac.in/storage/profile/ProfilePhoto_p2270062_731468.jpg" TargetMode="External"/><Relationship Id="rId_hyperlink_1442" Type="http://schemas.openxmlformats.org/officeDocument/2006/relationships/hyperlink" Target="https://nconnect.nicmar.ac.in/storage/profile/ProfilePhoto_p2270063_439825.jpg" TargetMode="External"/><Relationship Id="rId_hyperlink_1443" Type="http://schemas.openxmlformats.org/officeDocument/2006/relationships/hyperlink" Target="https://nconnect.nicmar.ac.in/storage/profile/ProfilePhoto_p2270064_958236.jpg" TargetMode="External"/><Relationship Id="rId_hyperlink_1444" Type="http://schemas.openxmlformats.org/officeDocument/2006/relationships/hyperlink" Target="https://nconnect.nicmar.ac.in/storage/profile/ProfilePhoto_p2270065_971256.jpg" TargetMode="External"/><Relationship Id="rId_hyperlink_1445" Type="http://schemas.openxmlformats.org/officeDocument/2006/relationships/hyperlink" Target="https://nconnect.nicmar.ac.in/storage/profile/ProfilePhoto_p2270066_769543.jpg" TargetMode="External"/><Relationship Id="rId_hyperlink_1446" Type="http://schemas.openxmlformats.org/officeDocument/2006/relationships/hyperlink" Target="https://nconnect.nicmar.ac.in/storage/profile/ProfilePhoto_p2270067_859634.jpg" TargetMode="External"/><Relationship Id="rId_hyperlink_1447" Type="http://schemas.openxmlformats.org/officeDocument/2006/relationships/hyperlink" Target="https://nconnect.nicmar.ac.in/storage/profile/ProfilePhoto_p2270068_312984.jpg" TargetMode="External"/><Relationship Id="rId_hyperlink_1448" Type="http://schemas.openxmlformats.org/officeDocument/2006/relationships/hyperlink" Target="https://nconnect.nicmar.ac.in/storage/profile/ProfilePhoto_p2270070_679234.jpg" TargetMode="External"/><Relationship Id="rId_hyperlink_1449" Type="http://schemas.openxmlformats.org/officeDocument/2006/relationships/hyperlink" Target="https://nconnect.nicmar.ac.in/storage/profile/ProfilePhoto_p2270071_185462.jpg" TargetMode="External"/><Relationship Id="rId_hyperlink_1450" Type="http://schemas.openxmlformats.org/officeDocument/2006/relationships/hyperlink" Target="https://nconnect.nicmar.ac.in/storage/profile/ProfilePhoto_p2270072_926478.jpg" TargetMode="External"/><Relationship Id="rId_hyperlink_1451" Type="http://schemas.openxmlformats.org/officeDocument/2006/relationships/hyperlink" Target="https://nconnect.nicmar.ac.in/storage/profile/ProfilePhoto_p2270073_867293.jpg" TargetMode="External"/><Relationship Id="rId_hyperlink_1452" Type="http://schemas.openxmlformats.org/officeDocument/2006/relationships/hyperlink" Target="https://nconnect.nicmar.ac.in/storage/profile/ProfilePhoto_p2270074_493581.jpg" TargetMode="External"/><Relationship Id="rId_hyperlink_1453" Type="http://schemas.openxmlformats.org/officeDocument/2006/relationships/hyperlink" Target="https://nconnect.nicmar.ac.in/storage/profile/ProfilePhoto_p2270075_576924.jpg" TargetMode="External"/><Relationship Id="rId_hyperlink_1454" Type="http://schemas.openxmlformats.org/officeDocument/2006/relationships/hyperlink" Target="https://nconnect.nicmar.ac.in/storage/profile/ProfilePhoto_p2270076_527349.jpg" TargetMode="External"/><Relationship Id="rId_hyperlink_1455" Type="http://schemas.openxmlformats.org/officeDocument/2006/relationships/hyperlink" Target="https://nconnect.nicmar.ac.in/storage/profile/ProfilePhoto_p2270077_619732.jpg" TargetMode="External"/><Relationship Id="rId_hyperlink_1456" Type="http://schemas.openxmlformats.org/officeDocument/2006/relationships/hyperlink" Target="https://nconnect.nicmar.ac.in/storage/profile/ProfilePhoto_p2270078_968573.jpg" TargetMode="External"/><Relationship Id="rId_hyperlink_1457" Type="http://schemas.openxmlformats.org/officeDocument/2006/relationships/hyperlink" Target="https://nconnect.nicmar.ac.in/storage/profile/ProfilePhoto_p2270079_439172.jpg" TargetMode="External"/><Relationship Id="rId_hyperlink_1458" Type="http://schemas.openxmlformats.org/officeDocument/2006/relationships/hyperlink" Target="https://nconnect.nicmar.ac.in/storage/profile/ProfilePhoto_p2270080_965431.jpg" TargetMode="External"/><Relationship Id="rId_hyperlink_1459" Type="http://schemas.openxmlformats.org/officeDocument/2006/relationships/hyperlink" Target="https://nconnect.nicmar.ac.in/storage/profile/ProfilePhoto_p2270081_615284.jpg" TargetMode="External"/><Relationship Id="rId_hyperlink_1460" Type="http://schemas.openxmlformats.org/officeDocument/2006/relationships/hyperlink" Target="https://nconnect.nicmar.ac.in/storage/profile/ProfilePhoto_p2270082_453178.jpg" TargetMode="External"/><Relationship Id="rId_hyperlink_1461" Type="http://schemas.openxmlformats.org/officeDocument/2006/relationships/hyperlink" Target="https://nconnect.nicmar.ac.in/storage/profile/ProfilePhoto_p2270083_514382.jpg" TargetMode="External"/><Relationship Id="rId_hyperlink_1462" Type="http://schemas.openxmlformats.org/officeDocument/2006/relationships/hyperlink" Target="https://nconnect.nicmar.ac.in/storage/profile/ProfilePhoto_p2270084_732459.jpg" TargetMode="External"/><Relationship Id="rId_hyperlink_1463" Type="http://schemas.openxmlformats.org/officeDocument/2006/relationships/hyperlink" Target="https://nconnect.nicmar.ac.in/storage/profile/ProfilePhoto_p2270085_561372.jpg" TargetMode="External"/><Relationship Id="rId_hyperlink_1464" Type="http://schemas.openxmlformats.org/officeDocument/2006/relationships/hyperlink" Target="https://nconnect.nicmar.ac.in/storage/profile/ProfilePhoto_p2270086_145369.jpg" TargetMode="External"/><Relationship Id="rId_hyperlink_1465" Type="http://schemas.openxmlformats.org/officeDocument/2006/relationships/hyperlink" Target="https://nconnect.nicmar.ac.in/storage/profile/ProfilePhoto_p2270250_286943.jpg" TargetMode="External"/><Relationship Id="rId_hyperlink_1466" Type="http://schemas.openxmlformats.org/officeDocument/2006/relationships/hyperlink" Target="https://nconnect.nicmar.ac.in/storage/profile/6a1eab79188f8.png" TargetMode="External"/><Relationship Id="rId_hyperlink_1467" Type="http://schemas.openxmlformats.org/officeDocument/2006/relationships/hyperlink" Target="https://nconnect.nicmar.ac.in/storage/profile/6a1eba10eb6f1.png" TargetMode="External"/><Relationship Id="rId_hyperlink_1468" Type="http://schemas.openxmlformats.org/officeDocument/2006/relationships/hyperlink" Target="https://nconnect.nicmar.ac.in/storage/profile/6a1fa4f8604ae.png" TargetMode="External"/><Relationship Id="rId_hyperlink_1469" Type="http://schemas.openxmlformats.org/officeDocument/2006/relationships/hyperlink" Target="https://nconnect.nicmar.ac.in/storage/profile/6a1fadfe61e9d.png" TargetMode="External"/><Relationship Id="rId_hyperlink_1470" Type="http://schemas.openxmlformats.org/officeDocument/2006/relationships/hyperlink" Target="https://nconnect.nicmar.ac.in/storage/profile/6a1fc411369af.png" TargetMode="External"/><Relationship Id="rId_hyperlink_1471" Type="http://schemas.openxmlformats.org/officeDocument/2006/relationships/hyperlink" Target="https://nconnect.nicmar.ac.in/storage/profile/ProfilePhoto_P24702124_129675.jpg" TargetMode="External"/><Relationship Id="rId_hyperlink_1472" Type="http://schemas.openxmlformats.org/officeDocument/2006/relationships/hyperlink" Target="https://nconnect.nicmar.ac.in/storage/profile/ProfilePhoto_P25702001_634892.jpg" TargetMode="External"/><Relationship Id="rId_hyperlink_1473" Type="http://schemas.openxmlformats.org/officeDocument/2006/relationships/hyperlink" Target="https://nconnect.nicmar.ac.in/storage/profile/ProfilePhoto_P25702002_231946.jpg" TargetMode="External"/><Relationship Id="rId_hyperlink_1474" Type="http://schemas.openxmlformats.org/officeDocument/2006/relationships/hyperlink" Target="https://nconnect.nicmar.ac.in/storage/profile/ProfilePhoto_P25702003_496738.jpg" TargetMode="External"/><Relationship Id="rId_hyperlink_1475" Type="http://schemas.openxmlformats.org/officeDocument/2006/relationships/hyperlink" Target="https://nconnect.nicmar.ac.in/storage/profile/ProfilePhoto_p2270087_692457.jpg" TargetMode="External"/><Relationship Id="rId_hyperlink_1476" Type="http://schemas.openxmlformats.org/officeDocument/2006/relationships/hyperlink" Target="https://nconnect.nicmar.ac.in/storage/profile/ProfilePhoto_p2270088_493612.jpg" TargetMode="External"/><Relationship Id="rId_hyperlink_1477" Type="http://schemas.openxmlformats.org/officeDocument/2006/relationships/hyperlink" Target="https://nconnect.nicmar.ac.in/storage/profile/ProfilePhoto_p2270089_713864.jpg" TargetMode="External"/><Relationship Id="rId_hyperlink_1478" Type="http://schemas.openxmlformats.org/officeDocument/2006/relationships/hyperlink" Target="https://nconnect.nicmar.ac.in/storage/profile/ProfilePhoto_p2270090_367821.jpg" TargetMode="External"/><Relationship Id="rId_hyperlink_1479" Type="http://schemas.openxmlformats.org/officeDocument/2006/relationships/hyperlink" Target="https://nconnect.nicmar.ac.in/storage/profile/ProfilePhoto_p2270091_571628.jpg" TargetMode="External"/><Relationship Id="rId_hyperlink_1480" Type="http://schemas.openxmlformats.org/officeDocument/2006/relationships/hyperlink" Target="https://nconnect.nicmar.ac.in/storage/profile/ProfilePhoto_p2270092_176894.jpg" TargetMode="External"/><Relationship Id="rId_hyperlink_1481" Type="http://schemas.openxmlformats.org/officeDocument/2006/relationships/hyperlink" Target="https://nconnect.nicmar.ac.in/storage/profile/ProfilePhoto_p2270093_653724.jpg" TargetMode="External"/><Relationship Id="rId_hyperlink_1482" Type="http://schemas.openxmlformats.org/officeDocument/2006/relationships/hyperlink" Target="https://nconnect.nicmar.ac.in/storage/profile/ProfilePhoto_p2270094_971853.jpg" TargetMode="External"/><Relationship Id="rId_hyperlink_1483" Type="http://schemas.openxmlformats.org/officeDocument/2006/relationships/hyperlink" Target="https://nconnect.nicmar.ac.in/storage/profile/ProfilePhoto_p2270095_853194.jpg" TargetMode="External"/><Relationship Id="rId_hyperlink_1484" Type="http://schemas.openxmlformats.org/officeDocument/2006/relationships/hyperlink" Target="https://nconnect.nicmar.ac.in/storage/profile/ProfilePhoto_p2270096_345917.jpg" TargetMode="External"/><Relationship Id="rId_hyperlink_1485" Type="http://schemas.openxmlformats.org/officeDocument/2006/relationships/hyperlink" Target="https://nconnect.nicmar.ac.in/storage/profile/ProfilePhoto_p2270097_412697.jpg" TargetMode="External"/><Relationship Id="rId_hyperlink_1486" Type="http://schemas.openxmlformats.org/officeDocument/2006/relationships/hyperlink" Target="https://nconnect.nicmar.ac.in/storage/profile/ProfilePhoto_p2270098_238941.jpg" TargetMode="External"/><Relationship Id="rId_hyperlink_1487" Type="http://schemas.openxmlformats.org/officeDocument/2006/relationships/hyperlink" Target="https://nconnect.nicmar.ac.in/storage/profile/ProfilePhoto_p2270099_782514.jpg" TargetMode="External"/><Relationship Id="rId_hyperlink_1488" Type="http://schemas.openxmlformats.org/officeDocument/2006/relationships/hyperlink" Target="https://nconnect.nicmar.ac.in/storage/profile/ProfilePhoto_p2270100_964823.jpg" TargetMode="External"/><Relationship Id="rId_hyperlink_1489" Type="http://schemas.openxmlformats.org/officeDocument/2006/relationships/hyperlink" Target="https://nconnect.nicmar.ac.in/storage/profile/ProfilePhoto_p2270101_268157.jpg" TargetMode="External"/><Relationship Id="rId_hyperlink_1490" Type="http://schemas.openxmlformats.org/officeDocument/2006/relationships/hyperlink" Target="https://nconnect.nicmar.ac.in/storage/profile/ProfilePhoto_p2270102_135294.jpg" TargetMode="External"/><Relationship Id="rId_hyperlink_1491" Type="http://schemas.openxmlformats.org/officeDocument/2006/relationships/hyperlink" Target="https://nconnect.nicmar.ac.in/storage/profile/ProfilePhoto_p2270103_147658.jpg" TargetMode="External"/><Relationship Id="rId_hyperlink_1492" Type="http://schemas.openxmlformats.org/officeDocument/2006/relationships/hyperlink" Target="https://nconnect.nicmar.ac.in/storage/profile/ProfilePhoto_p2270104_178325.jpg" TargetMode="External"/><Relationship Id="rId_hyperlink_1493" Type="http://schemas.openxmlformats.org/officeDocument/2006/relationships/hyperlink" Target="https://nconnect.nicmar.ac.in/storage/profile/ProfilePhoto_p2270105_592386.jpg" TargetMode="External"/><Relationship Id="rId_hyperlink_1494" Type="http://schemas.openxmlformats.org/officeDocument/2006/relationships/hyperlink" Target="https://nconnect.nicmar.ac.in/storage/profile/ProfilePhoto_p2270106_529783.jpg" TargetMode="External"/><Relationship Id="rId_hyperlink_1495" Type="http://schemas.openxmlformats.org/officeDocument/2006/relationships/hyperlink" Target="https://nconnect.nicmar.ac.in/storage/profile/ProfilePhoto_p2270107_546387.jpg" TargetMode="External"/><Relationship Id="rId_hyperlink_1496" Type="http://schemas.openxmlformats.org/officeDocument/2006/relationships/hyperlink" Target="https://nconnect.nicmar.ac.in/storage/profile/ProfilePhoto_p2270108_735284.jpg" TargetMode="External"/><Relationship Id="rId_hyperlink_1497" Type="http://schemas.openxmlformats.org/officeDocument/2006/relationships/hyperlink" Target="https://nconnect.nicmar.ac.in/storage/profile/ProfilePhoto_p2270109_251879.jpg" TargetMode="External"/><Relationship Id="rId_hyperlink_1498" Type="http://schemas.openxmlformats.org/officeDocument/2006/relationships/hyperlink" Target="https://nconnect.nicmar.ac.in/storage/profile/ProfilePhoto_p2270110_893657.jpg" TargetMode="External"/><Relationship Id="rId_hyperlink_1499" Type="http://schemas.openxmlformats.org/officeDocument/2006/relationships/hyperlink" Target="https://nconnect.nicmar.ac.in/storage/profile/ProfilePhoto_p2270111_489637.jpg" TargetMode="External"/><Relationship Id="rId_hyperlink_1500" Type="http://schemas.openxmlformats.org/officeDocument/2006/relationships/hyperlink" Target="https://nconnect.nicmar.ac.in/storage/profile/ProfilePhoto_p2270112_264159.jpg" TargetMode="External"/><Relationship Id="rId_hyperlink_1501" Type="http://schemas.openxmlformats.org/officeDocument/2006/relationships/hyperlink" Target="https://nconnect.nicmar.ac.in/storage/profile/ProfilePhoto_p2270113_431792.jpg" TargetMode="External"/><Relationship Id="rId_hyperlink_1502" Type="http://schemas.openxmlformats.org/officeDocument/2006/relationships/hyperlink" Target="https://nconnect.nicmar.ac.in/storage/profile/ProfilePhoto_p2270114_831927.jpg" TargetMode="External"/><Relationship Id="rId_hyperlink_1503" Type="http://schemas.openxmlformats.org/officeDocument/2006/relationships/hyperlink" Target="https://nconnect.nicmar.ac.in/storage/profile/ProfilePhoto_p2270115_786931.jpg" TargetMode="External"/><Relationship Id="rId_hyperlink_1504" Type="http://schemas.openxmlformats.org/officeDocument/2006/relationships/hyperlink" Target="https://nconnect.nicmar.ac.in/storage/profile/ProfilePhoto_p2270116_713295.jpg" TargetMode="External"/><Relationship Id="rId_hyperlink_1505" Type="http://schemas.openxmlformats.org/officeDocument/2006/relationships/hyperlink" Target="https://nconnect.nicmar.ac.in/storage/profile/ProfilePhoto_p2270117_982734.jpg" TargetMode="External"/><Relationship Id="rId_hyperlink_1506" Type="http://schemas.openxmlformats.org/officeDocument/2006/relationships/hyperlink" Target="https://nconnect.nicmar.ac.in/storage/profile/ProfilePhoto_p2270118_918254.jpg" TargetMode="External"/><Relationship Id="rId_hyperlink_1507" Type="http://schemas.openxmlformats.org/officeDocument/2006/relationships/hyperlink" Target="https://nconnect.nicmar.ac.in/storage/profile/ProfilePhoto_p2270119_593871.jpg" TargetMode="External"/><Relationship Id="rId_hyperlink_1508" Type="http://schemas.openxmlformats.org/officeDocument/2006/relationships/hyperlink" Target="https://nconnect.nicmar.ac.in/storage/profile/ProfilePhoto_p2270120_628713.jpg" TargetMode="External"/><Relationship Id="rId_hyperlink_1509" Type="http://schemas.openxmlformats.org/officeDocument/2006/relationships/hyperlink" Target="https://nconnect.nicmar.ac.in/storage/profile/ProfilePhoto_p2270121_367428.jpg" TargetMode="External"/><Relationship Id="rId_hyperlink_1510" Type="http://schemas.openxmlformats.org/officeDocument/2006/relationships/hyperlink" Target="https://nconnect.nicmar.ac.in/storage/profile/ProfilePhoto_p2270122_342895.jpg" TargetMode="External"/><Relationship Id="rId_hyperlink_1511" Type="http://schemas.openxmlformats.org/officeDocument/2006/relationships/hyperlink" Target="https://nconnect.nicmar.ac.in/storage/profile/ProfilePhoto_p2270123_795284.jpg" TargetMode="External"/><Relationship Id="rId_hyperlink_1512" Type="http://schemas.openxmlformats.org/officeDocument/2006/relationships/hyperlink" Target="https://nconnect.nicmar.ac.in/storage/profile/ProfilePhoto_p2270124_571982.jpg" TargetMode="External"/><Relationship Id="rId_hyperlink_1513" Type="http://schemas.openxmlformats.org/officeDocument/2006/relationships/hyperlink" Target="https://nconnect.nicmar.ac.in/storage/profile/ProfilePhoto_p2270125_897154.jpg" TargetMode="External"/><Relationship Id="rId_hyperlink_1514" Type="http://schemas.openxmlformats.org/officeDocument/2006/relationships/hyperlink" Target="https://nconnect.nicmar.ac.in/storage/profile/ProfilePhoto_p2270126_581496.jpg" TargetMode="External"/><Relationship Id="rId_hyperlink_1515" Type="http://schemas.openxmlformats.org/officeDocument/2006/relationships/hyperlink" Target="https://nconnect.nicmar.ac.in/storage/profile/ProfilePhoto_p2270127_843627.jpg" TargetMode="External"/><Relationship Id="rId_hyperlink_1516" Type="http://schemas.openxmlformats.org/officeDocument/2006/relationships/hyperlink" Target="https://nconnect.nicmar.ac.in/storage/profile/ProfilePhoto_p2270129_142863.jpg" TargetMode="External"/><Relationship Id="rId_hyperlink_1517" Type="http://schemas.openxmlformats.org/officeDocument/2006/relationships/hyperlink" Target="https://nconnect.nicmar.ac.in/storage/profile/ProfilePhoto_p2270130_632481.jpg" TargetMode="External"/><Relationship Id="rId_hyperlink_1518" Type="http://schemas.openxmlformats.org/officeDocument/2006/relationships/hyperlink" Target="https://nconnect.nicmar.ac.in/storage/profile/ProfilePhoto_p2270131_654273.jpg" TargetMode="External"/><Relationship Id="rId_hyperlink_1519" Type="http://schemas.openxmlformats.org/officeDocument/2006/relationships/hyperlink" Target="https://nconnect.nicmar.ac.in/storage/profile/ProfilePhoto_p2270132_387251.jpg" TargetMode="External"/><Relationship Id="rId_hyperlink_1520" Type="http://schemas.openxmlformats.org/officeDocument/2006/relationships/hyperlink" Target="https://nconnect.nicmar.ac.in/storage/profile/ProfilePhoto_p2270133_518947.jpg" TargetMode="External"/><Relationship Id="rId_hyperlink_1521" Type="http://schemas.openxmlformats.org/officeDocument/2006/relationships/hyperlink" Target="https://nconnect.nicmar.ac.in/storage/profile/ProfilePhoto_p2270134_783652.jpg" TargetMode="External"/><Relationship Id="rId_hyperlink_1522" Type="http://schemas.openxmlformats.org/officeDocument/2006/relationships/hyperlink" Target="https://nconnect.nicmar.ac.in/storage/profile/ProfilePhoto_p2270135_187954.jpg" TargetMode="External"/><Relationship Id="rId_hyperlink_1523" Type="http://schemas.openxmlformats.org/officeDocument/2006/relationships/hyperlink" Target="https://nconnect.nicmar.ac.in/storage/profile/ProfilePhoto_p2270136_154986.jpg" TargetMode="External"/><Relationship Id="rId_hyperlink_1524" Type="http://schemas.openxmlformats.org/officeDocument/2006/relationships/hyperlink" Target="https://nconnect.nicmar.ac.in/storage/profile/ProfilePhoto_p2270137_392814.jpg" TargetMode="External"/><Relationship Id="rId_hyperlink_1525" Type="http://schemas.openxmlformats.org/officeDocument/2006/relationships/hyperlink" Target="https://nconnect.nicmar.ac.in/storage/profile/ProfilePhoto_p2270138_815362.jpg" TargetMode="External"/><Relationship Id="rId_hyperlink_1526" Type="http://schemas.openxmlformats.org/officeDocument/2006/relationships/hyperlink" Target="https://nconnect.nicmar.ac.in/storage/profile/ProfilePhoto_p2270139_849136.jpg" TargetMode="External"/><Relationship Id="rId_hyperlink_1527" Type="http://schemas.openxmlformats.org/officeDocument/2006/relationships/hyperlink" Target="https://nconnect.nicmar.ac.in/storage/profile/ProfilePhoto_p2270140_934651.jpg" TargetMode="External"/><Relationship Id="rId_hyperlink_1528" Type="http://schemas.openxmlformats.org/officeDocument/2006/relationships/hyperlink" Target="https://nconnect.nicmar.ac.in/storage/profile/ProfilePhoto_p2270141_453867.jpg" TargetMode="External"/><Relationship Id="rId_hyperlink_1529" Type="http://schemas.openxmlformats.org/officeDocument/2006/relationships/hyperlink" Target="https://nconnect.nicmar.ac.in/storage/profile/ProfilePhoto_p2270142_146398.jpg" TargetMode="External"/><Relationship Id="rId_hyperlink_1530" Type="http://schemas.openxmlformats.org/officeDocument/2006/relationships/hyperlink" Target="https://nconnect.nicmar.ac.in/storage/profile/ProfilePhoto_p2270143_617354.jpg" TargetMode="External"/><Relationship Id="rId_hyperlink_1531" Type="http://schemas.openxmlformats.org/officeDocument/2006/relationships/hyperlink" Target="https://nconnect.nicmar.ac.in/storage/profile/ProfilePhoto_p2270144_319546.jpg" TargetMode="External"/><Relationship Id="rId_hyperlink_1532" Type="http://schemas.openxmlformats.org/officeDocument/2006/relationships/hyperlink" Target="https://nconnect.nicmar.ac.in/storage/profile/ProfilePhoto_p2270145_157498.jpg" TargetMode="External"/><Relationship Id="rId_hyperlink_1533" Type="http://schemas.openxmlformats.org/officeDocument/2006/relationships/hyperlink" Target="https://nconnect.nicmar.ac.in/storage/profile/ProfilePhoto_p2270146_654397.jpg" TargetMode="External"/><Relationship Id="rId_hyperlink_1534" Type="http://schemas.openxmlformats.org/officeDocument/2006/relationships/hyperlink" Target="https://nconnect.nicmar.ac.in/storage/profile/ProfilePhoto_p2270147_185279.jpg" TargetMode="External"/><Relationship Id="rId_hyperlink_1535" Type="http://schemas.openxmlformats.org/officeDocument/2006/relationships/hyperlink" Target="https://nconnect.nicmar.ac.in/storage/profile/ProfilePhoto_p2270149_968352.jpg" TargetMode="External"/><Relationship Id="rId_hyperlink_1536" Type="http://schemas.openxmlformats.org/officeDocument/2006/relationships/hyperlink" Target="https://nconnect.nicmar.ac.in/storage/profile/ProfilePhoto_p2270150_756329.jpg" TargetMode="External"/><Relationship Id="rId_hyperlink_1537" Type="http://schemas.openxmlformats.org/officeDocument/2006/relationships/hyperlink" Target="https://nconnect.nicmar.ac.in/storage/profile/ProfilePhoto_p2270151_537412.jpg" TargetMode="External"/><Relationship Id="rId_hyperlink_1538" Type="http://schemas.openxmlformats.org/officeDocument/2006/relationships/hyperlink" Target="https://nconnect.nicmar.ac.in/storage/profile/ProfilePhoto_p2270152_189462.jpg" TargetMode="External"/><Relationship Id="rId_hyperlink_1539" Type="http://schemas.openxmlformats.org/officeDocument/2006/relationships/hyperlink" Target="https://nconnect.nicmar.ac.in/storage/profile/ProfilePhoto_p2270153_129483.jpg" TargetMode="External"/><Relationship Id="rId_hyperlink_1540" Type="http://schemas.openxmlformats.org/officeDocument/2006/relationships/hyperlink" Target="https://nconnect.nicmar.ac.in/storage/profile/ProfilePhoto_p2270154_645932.jpg" TargetMode="External"/><Relationship Id="rId_hyperlink_1541" Type="http://schemas.openxmlformats.org/officeDocument/2006/relationships/hyperlink" Target="https://nconnect.nicmar.ac.in/storage/profile/ProfilePhoto_p2270155_168942.jpg" TargetMode="External"/><Relationship Id="rId_hyperlink_1542" Type="http://schemas.openxmlformats.org/officeDocument/2006/relationships/hyperlink" Target="https://nconnect.nicmar.ac.in/storage/profile/ProfilePhoto_p2270157_196348.jpg" TargetMode="External"/><Relationship Id="rId_hyperlink_1543" Type="http://schemas.openxmlformats.org/officeDocument/2006/relationships/hyperlink" Target="https://nconnect.nicmar.ac.in/storage/profile/ProfilePhoto_p2270158_362519.jpg" TargetMode="External"/><Relationship Id="rId_hyperlink_1544" Type="http://schemas.openxmlformats.org/officeDocument/2006/relationships/hyperlink" Target="https://nconnect.nicmar.ac.in/storage/profile/ProfilePhoto_p2270159_749615.jpg" TargetMode="External"/><Relationship Id="rId_hyperlink_1545" Type="http://schemas.openxmlformats.org/officeDocument/2006/relationships/hyperlink" Target="https://nconnect.nicmar.ac.in/storage/profile/ProfilePhoto_p2270160_862134.jpg" TargetMode="External"/><Relationship Id="rId_hyperlink_1546" Type="http://schemas.openxmlformats.org/officeDocument/2006/relationships/hyperlink" Target="https://nconnect.nicmar.ac.in/storage/profile/ProfilePhoto_p2270161_251679.jpg" TargetMode="External"/><Relationship Id="rId_hyperlink_1547" Type="http://schemas.openxmlformats.org/officeDocument/2006/relationships/hyperlink" Target="https://nconnect.nicmar.ac.in/storage/profile/ProfilePhoto_p2270162_169247.jpg" TargetMode="External"/><Relationship Id="rId_hyperlink_1548" Type="http://schemas.openxmlformats.org/officeDocument/2006/relationships/hyperlink" Target="https://nconnect.nicmar.ac.in/storage/profile/ProfilePhoto_p2270163_794318.jpg" TargetMode="External"/><Relationship Id="rId_hyperlink_1549" Type="http://schemas.openxmlformats.org/officeDocument/2006/relationships/hyperlink" Target="https://nconnect.nicmar.ac.in/storage/profile/ProfilePhoto_p2270164_361542.jpg" TargetMode="External"/><Relationship Id="rId_hyperlink_1550" Type="http://schemas.openxmlformats.org/officeDocument/2006/relationships/hyperlink" Target="https://nconnect.nicmar.ac.in/storage/profile/ProfilePhoto_p2270165_937246.jpg" TargetMode="External"/><Relationship Id="rId_hyperlink_1551" Type="http://schemas.openxmlformats.org/officeDocument/2006/relationships/hyperlink" Target="https://nconnect.nicmar.ac.in/storage/profile/ProfilePhoto_p2270166_579361.jpg" TargetMode="External"/><Relationship Id="rId_hyperlink_1552" Type="http://schemas.openxmlformats.org/officeDocument/2006/relationships/hyperlink" Target="https://nconnect.nicmar.ac.in/storage/profile/ProfilePhoto_p2270167_873952.jpg" TargetMode="External"/><Relationship Id="rId_hyperlink_1553" Type="http://schemas.openxmlformats.org/officeDocument/2006/relationships/hyperlink" Target="https://nconnect.nicmar.ac.in/storage/profile/ProfilePhoto_p2270168_365798.jpg" TargetMode="External"/><Relationship Id="rId_hyperlink_1554" Type="http://schemas.openxmlformats.org/officeDocument/2006/relationships/hyperlink" Target="https://nconnect.nicmar.ac.in/storage/profile/ProfilePhoto_p2270169_831492.jpg" TargetMode="External"/><Relationship Id="rId_hyperlink_1555" Type="http://schemas.openxmlformats.org/officeDocument/2006/relationships/hyperlink" Target="https://nconnect.nicmar.ac.in/storage/profile/ProfilePhoto_p2270170_248796.jpg" TargetMode="External"/><Relationship Id="rId_hyperlink_1556" Type="http://schemas.openxmlformats.org/officeDocument/2006/relationships/hyperlink" Target="https://nconnect.nicmar.ac.in/storage/profile/ProfilePhoto_p2270171_832561.jpg" TargetMode="External"/><Relationship Id="rId_hyperlink_1557" Type="http://schemas.openxmlformats.org/officeDocument/2006/relationships/hyperlink" Target="https://nconnect.nicmar.ac.in/storage/profile/ProfilePhoto_p2270172_568134.jpg" TargetMode="External"/><Relationship Id="rId_hyperlink_1558" Type="http://schemas.openxmlformats.org/officeDocument/2006/relationships/hyperlink" Target="https://nconnect.nicmar.ac.in/storage/profile/ProfilePhoto_p2270173_617483.jpg" TargetMode="External"/><Relationship Id="rId_hyperlink_1559" Type="http://schemas.openxmlformats.org/officeDocument/2006/relationships/hyperlink" Target="https://nconnect.nicmar.ac.in/storage/profile/ProfilePhoto_p2270174_958723.jpg" TargetMode="External"/><Relationship Id="rId_hyperlink_1560" Type="http://schemas.openxmlformats.org/officeDocument/2006/relationships/hyperlink" Target="https://nconnect.nicmar.ac.in/storage/profile/ProfilePhoto_p2270175_734986.jpg" TargetMode="External"/><Relationship Id="rId_hyperlink_1561" Type="http://schemas.openxmlformats.org/officeDocument/2006/relationships/hyperlink" Target="https://nconnect.nicmar.ac.in/storage/profile/ProfilePhoto_p2270177_521436.jpg" TargetMode="External"/><Relationship Id="rId_hyperlink_1562" Type="http://schemas.openxmlformats.org/officeDocument/2006/relationships/hyperlink" Target="https://nconnect.nicmar.ac.in/storage/profile/ProfilePhoto_p2270178_482319.jpg" TargetMode="External"/><Relationship Id="rId_hyperlink_1563" Type="http://schemas.openxmlformats.org/officeDocument/2006/relationships/hyperlink" Target="https://nconnect.nicmar.ac.in/storage/profile/ProfilePhoto_p2270179_273945.jpg" TargetMode="External"/><Relationship Id="rId_hyperlink_1564" Type="http://schemas.openxmlformats.org/officeDocument/2006/relationships/hyperlink" Target="https://nconnect.nicmar.ac.in/storage/profile/ProfilePhoto_p2270180_134569.jpg" TargetMode="External"/><Relationship Id="rId_hyperlink_1565" Type="http://schemas.openxmlformats.org/officeDocument/2006/relationships/hyperlink" Target="https://nconnect.nicmar.ac.in/storage/profile/ProfilePhoto_p2270181_147563.jpg" TargetMode="External"/><Relationship Id="rId_hyperlink_1566" Type="http://schemas.openxmlformats.org/officeDocument/2006/relationships/hyperlink" Target="https://nconnect.nicmar.ac.in/storage/profile/ProfilePhoto_p2270182_548237.jpg" TargetMode="External"/><Relationship Id="rId_hyperlink_1567" Type="http://schemas.openxmlformats.org/officeDocument/2006/relationships/hyperlink" Target="https://nconnect.nicmar.ac.in/storage/profile/ProfilePhoto_p2270183_253746.jpg" TargetMode="External"/><Relationship Id="rId_hyperlink_1568" Type="http://schemas.openxmlformats.org/officeDocument/2006/relationships/hyperlink" Target="https://nconnect.nicmar.ac.in/storage/profile/ProfilePhoto_p2270184_238791.jpg" TargetMode="External"/><Relationship Id="rId_hyperlink_1569" Type="http://schemas.openxmlformats.org/officeDocument/2006/relationships/hyperlink" Target="https://nconnect.nicmar.ac.in/storage/profile/ProfilePhoto_p2270185_139264.jpg" TargetMode="External"/><Relationship Id="rId_hyperlink_1570" Type="http://schemas.openxmlformats.org/officeDocument/2006/relationships/hyperlink" Target="https://nconnect.nicmar.ac.in/storage/profile/ProfilePhoto_p2270186_657283.jpg" TargetMode="External"/><Relationship Id="rId_hyperlink_1571" Type="http://schemas.openxmlformats.org/officeDocument/2006/relationships/hyperlink" Target="https://nconnect.nicmar.ac.in/storage/profile/ProfilePhoto_p2270187_468719.jpg" TargetMode="External"/><Relationship Id="rId_hyperlink_1572" Type="http://schemas.openxmlformats.org/officeDocument/2006/relationships/hyperlink" Target="https://nconnect.nicmar.ac.in/storage/profile/ProfilePhoto_p2270188_356718.jpg" TargetMode="External"/><Relationship Id="rId_hyperlink_1573" Type="http://schemas.openxmlformats.org/officeDocument/2006/relationships/hyperlink" Target="https://nconnect.nicmar.ac.in/storage/profile/ProfilePhoto_p2270189_395624.jpg" TargetMode="External"/><Relationship Id="rId_hyperlink_1574" Type="http://schemas.openxmlformats.org/officeDocument/2006/relationships/hyperlink" Target="https://nconnect.nicmar.ac.in/storage/profile/ProfilePhoto_p2270190_431672.jpg" TargetMode="External"/><Relationship Id="rId_hyperlink_1575" Type="http://schemas.openxmlformats.org/officeDocument/2006/relationships/hyperlink" Target="https://nconnect.nicmar.ac.in/storage/profile/ProfilePhoto_p2270191_596413.jpg" TargetMode="External"/><Relationship Id="rId_hyperlink_1576" Type="http://schemas.openxmlformats.org/officeDocument/2006/relationships/hyperlink" Target="https://nconnect.nicmar.ac.in/storage/profile/ProfilePhoto_p2270192_419563.jpg" TargetMode="External"/><Relationship Id="rId_hyperlink_1577" Type="http://schemas.openxmlformats.org/officeDocument/2006/relationships/hyperlink" Target="https://nconnect.nicmar.ac.in/storage/profile/ProfilePhoto_p2270194_138627.jpg" TargetMode="External"/><Relationship Id="rId_hyperlink_1578" Type="http://schemas.openxmlformats.org/officeDocument/2006/relationships/hyperlink" Target="https://nconnect.nicmar.ac.in/storage/profile/ProfilePhoto_p2270195_438271.jpg" TargetMode="External"/><Relationship Id="rId_hyperlink_1579" Type="http://schemas.openxmlformats.org/officeDocument/2006/relationships/hyperlink" Target="https://nconnect.nicmar.ac.in/storage/profile/ProfilePhoto_p2270196_427958.jpg" TargetMode="External"/><Relationship Id="rId_hyperlink_1580" Type="http://schemas.openxmlformats.org/officeDocument/2006/relationships/hyperlink" Target="https://nconnect.nicmar.ac.in/storage/profile/ProfilePhoto_p2270197_298174.jpg" TargetMode="External"/><Relationship Id="rId_hyperlink_1581" Type="http://schemas.openxmlformats.org/officeDocument/2006/relationships/hyperlink" Target="https://nconnect.nicmar.ac.in/storage/profile/ProfilePhoto_p2270198_896342.jpg" TargetMode="External"/><Relationship Id="rId_hyperlink_1582" Type="http://schemas.openxmlformats.org/officeDocument/2006/relationships/hyperlink" Target="https://nconnect.nicmar.ac.in/storage/profile/ProfilePhoto_p2270199_413672.jpg" TargetMode="External"/><Relationship Id="rId_hyperlink_1583" Type="http://schemas.openxmlformats.org/officeDocument/2006/relationships/hyperlink" Target="https://nconnect.nicmar.ac.in/storage/profile/ProfilePhoto_p2270200_497831.jpg" TargetMode="External"/><Relationship Id="rId_hyperlink_1584" Type="http://schemas.openxmlformats.org/officeDocument/2006/relationships/hyperlink" Target="https://nconnect.nicmar.ac.in/storage/profile/ProfilePhoto_p2270201_764285.jpg" TargetMode="External"/><Relationship Id="rId_hyperlink_1585" Type="http://schemas.openxmlformats.org/officeDocument/2006/relationships/hyperlink" Target="https://nconnect.nicmar.ac.in/storage/profile/ProfilePhoto_p2270202_354781.jpg" TargetMode="External"/><Relationship Id="rId_hyperlink_1586" Type="http://schemas.openxmlformats.org/officeDocument/2006/relationships/hyperlink" Target="https://nconnect.nicmar.ac.in/storage/profile/ProfilePhoto_p2270203_362149.jpg" TargetMode="External"/><Relationship Id="rId_hyperlink_1587" Type="http://schemas.openxmlformats.org/officeDocument/2006/relationships/hyperlink" Target="https://nconnect.nicmar.ac.in/storage/profile/ProfilePhoto_p2270204_762549.jpg" TargetMode="External"/><Relationship Id="rId_hyperlink_1588" Type="http://schemas.openxmlformats.org/officeDocument/2006/relationships/hyperlink" Target="https://nconnect.nicmar.ac.in/storage/profile/ProfilePhoto_p2270205_978512.jpg" TargetMode="External"/><Relationship Id="rId_hyperlink_1589" Type="http://schemas.openxmlformats.org/officeDocument/2006/relationships/hyperlink" Target="https://nconnect.nicmar.ac.in/storage/profile/ProfilePhoto_p2270206_284193.jpg" TargetMode="External"/><Relationship Id="rId_hyperlink_1590" Type="http://schemas.openxmlformats.org/officeDocument/2006/relationships/hyperlink" Target="https://nconnect.nicmar.ac.in/storage/profile/ProfilePhoto_p2270207_498375.jpg" TargetMode="External"/><Relationship Id="rId_hyperlink_1591" Type="http://schemas.openxmlformats.org/officeDocument/2006/relationships/hyperlink" Target="https://nconnect.nicmar.ac.in/storage/profile/ProfilePhoto_p2270208_218375.jpg" TargetMode="External"/><Relationship Id="rId_hyperlink_1592" Type="http://schemas.openxmlformats.org/officeDocument/2006/relationships/hyperlink" Target="https://nconnect.nicmar.ac.in/storage/profile/ProfilePhoto_p2270209_687943.jpg" TargetMode="External"/><Relationship Id="rId_hyperlink_1593" Type="http://schemas.openxmlformats.org/officeDocument/2006/relationships/hyperlink" Target="https://nconnect.nicmar.ac.in/storage/profile/ProfilePhoto_p2270210_746921.jpg" TargetMode="External"/><Relationship Id="rId_hyperlink_1594" Type="http://schemas.openxmlformats.org/officeDocument/2006/relationships/hyperlink" Target="https://nconnect.nicmar.ac.in/storage/profile/ProfilePhoto_p2270211_968153.jpg" TargetMode="External"/><Relationship Id="rId_hyperlink_1595" Type="http://schemas.openxmlformats.org/officeDocument/2006/relationships/hyperlink" Target="https://nconnect.nicmar.ac.in/storage/profile/ProfilePhoto_p2270212_567198.jpg" TargetMode="External"/><Relationship Id="rId_hyperlink_1596" Type="http://schemas.openxmlformats.org/officeDocument/2006/relationships/hyperlink" Target="https://nconnect.nicmar.ac.in/storage/profile/ProfilePhoto_p2270214_651328.jpg" TargetMode="External"/><Relationship Id="rId_hyperlink_1597" Type="http://schemas.openxmlformats.org/officeDocument/2006/relationships/hyperlink" Target="https://nconnect.nicmar.ac.in/storage/profile/ProfilePhoto_p2270215_965234.jpg" TargetMode="External"/><Relationship Id="rId_hyperlink_1598" Type="http://schemas.openxmlformats.org/officeDocument/2006/relationships/hyperlink" Target="https://nconnect.nicmar.ac.in/storage/profile/ProfilePhoto_p2270216_794382.jpg" TargetMode="External"/><Relationship Id="rId_hyperlink_1599" Type="http://schemas.openxmlformats.org/officeDocument/2006/relationships/hyperlink" Target="https://nconnect.nicmar.ac.in/storage/profile/ProfilePhoto_p2270217_675842.jpg" TargetMode="External"/><Relationship Id="rId_hyperlink_1600" Type="http://schemas.openxmlformats.org/officeDocument/2006/relationships/hyperlink" Target="https://nconnect.nicmar.ac.in/storage/profile/ProfilePhoto_p2270219_839762.jpg" TargetMode="External"/><Relationship Id="rId_hyperlink_1601" Type="http://schemas.openxmlformats.org/officeDocument/2006/relationships/hyperlink" Target="https://nconnect.nicmar.ac.in/storage/profile/ProfilePhoto_p2270220_462197.jpg" TargetMode="External"/><Relationship Id="rId_hyperlink_1602" Type="http://schemas.openxmlformats.org/officeDocument/2006/relationships/hyperlink" Target="https://nconnect.nicmar.ac.in/storage/profile/ProfilePhoto_p2270221_817643.jpg" TargetMode="External"/><Relationship Id="rId_hyperlink_1603" Type="http://schemas.openxmlformats.org/officeDocument/2006/relationships/hyperlink" Target="https://nconnect.nicmar.ac.in/storage/profile/ProfilePhoto_p2270222_176854.jpg" TargetMode="External"/><Relationship Id="rId_hyperlink_1604" Type="http://schemas.openxmlformats.org/officeDocument/2006/relationships/hyperlink" Target="https://nconnect.nicmar.ac.in/storage/profile/ProfilePhoto_p2270223_783916.jpg" TargetMode="External"/><Relationship Id="rId_hyperlink_1605" Type="http://schemas.openxmlformats.org/officeDocument/2006/relationships/hyperlink" Target="https://nconnect.nicmar.ac.in/storage/profile/ProfilePhoto_p2270224_415376.jpg" TargetMode="External"/><Relationship Id="rId_hyperlink_1606" Type="http://schemas.openxmlformats.org/officeDocument/2006/relationships/hyperlink" Target="https://nconnect.nicmar.ac.in/storage/profile/ProfilePhoto_p2270225_934281.jpg" TargetMode="External"/><Relationship Id="rId_hyperlink_1607" Type="http://schemas.openxmlformats.org/officeDocument/2006/relationships/hyperlink" Target="https://nconnect.nicmar.ac.in/storage/profile/ProfilePhoto_p2270226_376892.jpg" TargetMode="External"/><Relationship Id="rId_hyperlink_1608" Type="http://schemas.openxmlformats.org/officeDocument/2006/relationships/hyperlink" Target="https://nconnect.nicmar.ac.in/storage/profile/ProfilePhoto_p2270228_639254.jpg" TargetMode="External"/><Relationship Id="rId_hyperlink_1609" Type="http://schemas.openxmlformats.org/officeDocument/2006/relationships/hyperlink" Target="https://nconnect.nicmar.ac.in/storage/profile/ProfilePhoto_p2270230_374128.jpg" TargetMode="External"/><Relationship Id="rId_hyperlink_1610" Type="http://schemas.openxmlformats.org/officeDocument/2006/relationships/hyperlink" Target="https://nconnect.nicmar.ac.in/storage/profile/ProfilePhoto_p2270231_269531.jpg" TargetMode="External"/><Relationship Id="rId_hyperlink_1611" Type="http://schemas.openxmlformats.org/officeDocument/2006/relationships/hyperlink" Target="https://nconnect.nicmar.ac.in/storage/profile/ProfilePhoto_p2270232_296354.jpg" TargetMode="External"/><Relationship Id="rId_hyperlink_1612" Type="http://schemas.openxmlformats.org/officeDocument/2006/relationships/hyperlink" Target="https://nconnect.nicmar.ac.in/storage/profile/ProfilePhoto_p2270233_145376.jpg" TargetMode="External"/><Relationship Id="rId_hyperlink_1613" Type="http://schemas.openxmlformats.org/officeDocument/2006/relationships/hyperlink" Target="https://nconnect.nicmar.ac.in/storage/profile/ProfilePhoto_p2270234_624713.jpg" TargetMode="External"/><Relationship Id="rId_hyperlink_1614" Type="http://schemas.openxmlformats.org/officeDocument/2006/relationships/hyperlink" Target="https://nconnect.nicmar.ac.in/storage/profile/ProfilePhoto_p2270235_589243.jpg" TargetMode="External"/><Relationship Id="rId_hyperlink_1615" Type="http://schemas.openxmlformats.org/officeDocument/2006/relationships/hyperlink" Target="https://nconnect.nicmar.ac.in/storage/profile/ProfilePhoto_p2270236_724583.jpg" TargetMode="External"/><Relationship Id="rId_hyperlink_1616" Type="http://schemas.openxmlformats.org/officeDocument/2006/relationships/hyperlink" Target="https://nconnect.nicmar.ac.in/storage/profile/ProfilePhoto_p2270237_986457.jpg" TargetMode="External"/><Relationship Id="rId_hyperlink_1617" Type="http://schemas.openxmlformats.org/officeDocument/2006/relationships/hyperlink" Target="https://nconnect.nicmar.ac.in/storage/profile/ProfilePhoto_p2270240_345981.jpg" TargetMode="External"/><Relationship Id="rId_hyperlink_1618" Type="http://schemas.openxmlformats.org/officeDocument/2006/relationships/hyperlink" Target="https://nconnect.nicmar.ac.in/storage/profile/ProfilePhoto_p2270241_723189.jpg" TargetMode="External"/><Relationship Id="rId_hyperlink_1619" Type="http://schemas.openxmlformats.org/officeDocument/2006/relationships/hyperlink" Target="https://nconnect.nicmar.ac.in/storage/profile/ProfilePhoto_p2270242_762438.jpg" TargetMode="External"/><Relationship Id="rId_hyperlink_1620" Type="http://schemas.openxmlformats.org/officeDocument/2006/relationships/hyperlink" Target="https://nconnect.nicmar.ac.in/storage/profile/ProfilePhoto_p2270243_935468.jpg" TargetMode="External"/><Relationship Id="rId_hyperlink_1621" Type="http://schemas.openxmlformats.org/officeDocument/2006/relationships/hyperlink" Target="https://nconnect.nicmar.ac.in/storage/profile/ProfilePhoto_p2270244_754169.jpg" TargetMode="External"/><Relationship Id="rId_hyperlink_1622" Type="http://schemas.openxmlformats.org/officeDocument/2006/relationships/hyperlink" Target="https://nconnect.nicmar.ac.in/storage/profile/ProfilePhoto_p2270245_537291.jpg" TargetMode="External"/><Relationship Id="rId_hyperlink_1623" Type="http://schemas.openxmlformats.org/officeDocument/2006/relationships/hyperlink" Target="https://nconnect.nicmar.ac.in/storage/profile/ProfilePhoto_p2270247_192743.jpg" TargetMode="External"/><Relationship Id="rId_hyperlink_1624" Type="http://schemas.openxmlformats.org/officeDocument/2006/relationships/hyperlink" Target="https://nconnect.nicmar.ac.in/storage/profile/ProfilePhoto_p2270248_269371.jpg" TargetMode="External"/><Relationship Id="rId_hyperlink_1625" Type="http://schemas.openxmlformats.org/officeDocument/2006/relationships/hyperlink" Target="https://nconnect.nicmar.ac.in/storage/profile/ProfilePhoto_p2270249_753821.jpg" TargetMode="External"/><Relationship Id="rId_hyperlink_1626" Type="http://schemas.openxmlformats.org/officeDocument/2006/relationships/hyperlink" Target="https://nconnect.nicmar.ac.in/storage/profile/ProfilePhoto_p2270251_528639.jpg" TargetMode="External"/><Relationship Id="rId_hyperlink_1627" Type="http://schemas.openxmlformats.org/officeDocument/2006/relationships/hyperlink" Target="https://nconnect.nicmar.ac.in/storage/profile/ProfilePhoto_p2270252_485136.jpg" TargetMode="External"/><Relationship Id="rId_hyperlink_1628" Type="http://schemas.openxmlformats.org/officeDocument/2006/relationships/hyperlink" Target="https://nconnect.nicmar.ac.in/storage/profile/ProfilePhoto_p2270253_365487.jpg" TargetMode="External"/><Relationship Id="rId_hyperlink_1629" Type="http://schemas.openxmlformats.org/officeDocument/2006/relationships/hyperlink" Target="https://nconnect.nicmar.ac.in/storage/profile/ProfilePhoto_p2270254_982357.jpg" TargetMode="External"/><Relationship Id="rId_hyperlink_1630" Type="http://schemas.openxmlformats.org/officeDocument/2006/relationships/hyperlink" Target="https://nconnect.nicmar.ac.in/storage/profile/ProfilePhoto_p2270255_936542.jpg" TargetMode="External"/><Relationship Id="rId_hyperlink_1631" Type="http://schemas.openxmlformats.org/officeDocument/2006/relationships/hyperlink" Target="https://nconnect.nicmar.ac.in/storage/profile/ProfilePhoto_p2270256_418769.jpg" TargetMode="External"/><Relationship Id="rId_hyperlink_1632" Type="http://schemas.openxmlformats.org/officeDocument/2006/relationships/hyperlink" Target="https://nconnect.nicmar.ac.in/storage/profile/ProfilePhoto_p2270257_397814.jpg" TargetMode="External"/><Relationship Id="rId_hyperlink_1633" Type="http://schemas.openxmlformats.org/officeDocument/2006/relationships/hyperlink" Target="https://nconnect.nicmar.ac.in/storage/profile/ProfilePhoto_p2270258_287963.jpg" TargetMode="External"/><Relationship Id="rId_hyperlink_1634" Type="http://schemas.openxmlformats.org/officeDocument/2006/relationships/hyperlink" Target="https://nconnect.nicmar.ac.in/storage/profile/ProfilePhoto_p2270259_719864.jpg" TargetMode="External"/><Relationship Id="rId_hyperlink_1635" Type="http://schemas.openxmlformats.org/officeDocument/2006/relationships/hyperlink" Target="https://nconnect.nicmar.ac.in/storage/profile/ProfilePhoto_p2270260_961835.jpg" TargetMode="External"/><Relationship Id="rId_hyperlink_1636" Type="http://schemas.openxmlformats.org/officeDocument/2006/relationships/hyperlink" Target="https://nconnect.nicmar.ac.in/storage/profile/ProfilePhoto_p2270261_126845.jpg" TargetMode="External"/><Relationship Id="rId_hyperlink_1637" Type="http://schemas.openxmlformats.org/officeDocument/2006/relationships/hyperlink" Target="https://nconnect.nicmar.ac.in/storage/profile/ProfilePhoto_p2270262_284967.jpg" TargetMode="External"/><Relationship Id="rId_hyperlink_1638" Type="http://schemas.openxmlformats.org/officeDocument/2006/relationships/hyperlink" Target="https://nconnect.nicmar.ac.in/storage/profile/ProfilePhoto_p2270263_915372.jpg" TargetMode="External"/><Relationship Id="rId_hyperlink_1639" Type="http://schemas.openxmlformats.org/officeDocument/2006/relationships/hyperlink" Target="https://nconnect.nicmar.ac.in/storage/profile/ProfilePhoto_p2270264_875361.jpg" TargetMode="External"/><Relationship Id="rId_hyperlink_1640" Type="http://schemas.openxmlformats.org/officeDocument/2006/relationships/hyperlink" Target="https://nconnect.nicmar.ac.in/storage/profile/ProfilePhoto_p2270265_432765.jpg" TargetMode="External"/><Relationship Id="rId_hyperlink_1641" Type="http://schemas.openxmlformats.org/officeDocument/2006/relationships/hyperlink" Target="https://nconnect.nicmar.ac.in/storage/profile/ProfilePhoto_p2270266_819326.jpg" TargetMode="External"/><Relationship Id="rId_hyperlink_1642" Type="http://schemas.openxmlformats.org/officeDocument/2006/relationships/hyperlink" Target="https://nconnect.nicmar.ac.in/storage/profile/ProfilePhoto_p2270267_729658.jpg" TargetMode="External"/><Relationship Id="rId_hyperlink_1643" Type="http://schemas.openxmlformats.org/officeDocument/2006/relationships/hyperlink" Target="https://nconnect.nicmar.ac.in/storage/profile/ProfilePhoto_p2270269_398245.jpg" TargetMode="External"/><Relationship Id="rId_hyperlink_1644" Type="http://schemas.openxmlformats.org/officeDocument/2006/relationships/hyperlink" Target="https://nconnect.nicmar.ac.in/storage/profile/ProfilePhoto_p2270270_298765.jpg" TargetMode="External"/><Relationship Id="rId_hyperlink_1645" Type="http://schemas.openxmlformats.org/officeDocument/2006/relationships/hyperlink" Target="https://nconnect.nicmar.ac.in/storage/profile/ProfilePhoto_p2270271_521387.jpg" TargetMode="External"/><Relationship Id="rId_hyperlink_1646" Type="http://schemas.openxmlformats.org/officeDocument/2006/relationships/hyperlink" Target="https://nconnect.nicmar.ac.in/storage/profile/ProfilePhoto_p2270272_438712.jpg" TargetMode="External"/><Relationship Id="rId_hyperlink_1647" Type="http://schemas.openxmlformats.org/officeDocument/2006/relationships/hyperlink" Target="https://nconnect.nicmar.ac.in/storage/profile/ProfilePhoto_p2270273_146739.jpg" TargetMode="External"/><Relationship Id="rId_hyperlink_1648" Type="http://schemas.openxmlformats.org/officeDocument/2006/relationships/hyperlink" Target="https://nconnect.nicmar.ac.in/storage/profile/ProfilePhoto_p2270274_365421.jpg" TargetMode="External"/><Relationship Id="rId_hyperlink_1649" Type="http://schemas.openxmlformats.org/officeDocument/2006/relationships/hyperlink" Target="https://nconnect.nicmar.ac.in/storage/profile/ProfilePhoto_p2270275_942768.jpg" TargetMode="External"/><Relationship Id="rId_hyperlink_1650" Type="http://schemas.openxmlformats.org/officeDocument/2006/relationships/hyperlink" Target="https://nconnect.nicmar.ac.in/storage/profile/ProfilePhoto_p2270276_296185.jpg" TargetMode="External"/><Relationship Id="rId_hyperlink_1651" Type="http://schemas.openxmlformats.org/officeDocument/2006/relationships/hyperlink" Target="https://nconnect.nicmar.ac.in/storage/profile/ProfilePhoto_p2270277_613429.jpg" TargetMode="External"/><Relationship Id="rId_hyperlink_1652" Type="http://schemas.openxmlformats.org/officeDocument/2006/relationships/hyperlink" Target="https://nconnect.nicmar.ac.in/storage/profile/ProfilePhoto_p2270278_586921.jpg" TargetMode="External"/><Relationship Id="rId_hyperlink_1653" Type="http://schemas.openxmlformats.org/officeDocument/2006/relationships/hyperlink" Target="https://nconnect.nicmar.ac.in/storage/profile/ProfilePhoto_p2270279_379154.jpg" TargetMode="External"/><Relationship Id="rId_hyperlink_1654" Type="http://schemas.openxmlformats.org/officeDocument/2006/relationships/hyperlink" Target="https://nconnect.nicmar.ac.in/storage/profile/ProfilePhoto_p2270280_793582.jpg" TargetMode="External"/><Relationship Id="rId_hyperlink_1655" Type="http://schemas.openxmlformats.org/officeDocument/2006/relationships/hyperlink" Target="https://nconnect.nicmar.ac.in/storage/profile/ProfilePhoto_p2270281_169374.jpg" TargetMode="External"/><Relationship Id="rId_hyperlink_1656" Type="http://schemas.openxmlformats.org/officeDocument/2006/relationships/hyperlink" Target="https://nconnect.nicmar.ac.in/storage/profile/ProfilePhoto_p2270282_356824.jpg" TargetMode="External"/><Relationship Id="rId_hyperlink_1657" Type="http://schemas.openxmlformats.org/officeDocument/2006/relationships/hyperlink" Target="https://nconnect.nicmar.ac.in/storage/profile/ProfilePhoto_p2270284_518273.jpg" TargetMode="External"/><Relationship Id="rId_hyperlink_1658" Type="http://schemas.openxmlformats.org/officeDocument/2006/relationships/hyperlink" Target="https://nconnect.nicmar.ac.in/storage/profile/ProfilePhoto_p2270285_724368.jpg" TargetMode="External"/><Relationship Id="rId_hyperlink_1659" Type="http://schemas.openxmlformats.org/officeDocument/2006/relationships/hyperlink" Target="https://nconnect.nicmar.ac.in/storage/profile/ProfilePhoto_p2270286_531846.jpg" TargetMode="External"/><Relationship Id="rId_hyperlink_1660" Type="http://schemas.openxmlformats.org/officeDocument/2006/relationships/hyperlink" Target="https://nconnect.nicmar.ac.in/storage/profile/ProfilePhoto_p2270288_537219.jpg" TargetMode="External"/><Relationship Id="rId_hyperlink_1661" Type="http://schemas.openxmlformats.org/officeDocument/2006/relationships/hyperlink" Target="https://nconnect.nicmar.ac.in/storage/profile/ProfilePhoto_p2270289_932587.jpg" TargetMode="External"/><Relationship Id="rId_hyperlink_1662" Type="http://schemas.openxmlformats.org/officeDocument/2006/relationships/hyperlink" Target="https://nconnect.nicmar.ac.in/storage/profile/ProfilePhoto_p2270290_869572.jpg" TargetMode="External"/><Relationship Id="rId_hyperlink_1663" Type="http://schemas.openxmlformats.org/officeDocument/2006/relationships/hyperlink" Target="https://nconnect.nicmar.ac.in/storage/profile/ProfilePhoto_p2270291_376489.jpg" TargetMode="External"/><Relationship Id="rId_hyperlink_1664" Type="http://schemas.openxmlformats.org/officeDocument/2006/relationships/hyperlink" Target="https://nconnect.nicmar.ac.in/storage/profile/ProfilePhoto_p2270292_274968.jpg" TargetMode="External"/><Relationship Id="rId_hyperlink_1665" Type="http://schemas.openxmlformats.org/officeDocument/2006/relationships/hyperlink" Target="https://nconnect.nicmar.ac.in/storage/profile/ProfilePhoto_p2270293_317645.jpg" TargetMode="External"/><Relationship Id="rId_hyperlink_1666" Type="http://schemas.openxmlformats.org/officeDocument/2006/relationships/hyperlink" Target="https://nconnect.nicmar.ac.in/storage/profile/ProfilePhoto_p2270294_749536.jpg" TargetMode="External"/><Relationship Id="rId_hyperlink_1667" Type="http://schemas.openxmlformats.org/officeDocument/2006/relationships/hyperlink" Target="https://nconnect.nicmar.ac.in/storage/profile/ProfilePhoto_p2270295_674589.jpg" TargetMode="External"/><Relationship Id="rId_hyperlink_1668" Type="http://schemas.openxmlformats.org/officeDocument/2006/relationships/hyperlink" Target="https://nconnect.nicmar.ac.in/storage/profile/ProfilePhoto_p2270296_891463.jpg" TargetMode="External"/><Relationship Id="rId_hyperlink_1669" Type="http://schemas.openxmlformats.org/officeDocument/2006/relationships/hyperlink" Target="https://nconnect.nicmar.ac.in/storage/profile/ProfilePhoto_p2270297_328197.jpg" TargetMode="External"/><Relationship Id="rId_hyperlink_1670" Type="http://schemas.openxmlformats.org/officeDocument/2006/relationships/hyperlink" Target="https://nconnect.nicmar.ac.in/storage/profile/ProfilePhoto_p2270298_261547.jpg" TargetMode="External"/><Relationship Id="rId_hyperlink_1671" Type="http://schemas.openxmlformats.org/officeDocument/2006/relationships/hyperlink" Target="https://nconnect.nicmar.ac.in/storage/profile/ProfilePhoto_p2270300_789254.jpg" TargetMode="External"/><Relationship Id="rId_hyperlink_1672" Type="http://schemas.openxmlformats.org/officeDocument/2006/relationships/hyperlink" Target="https://nconnect.nicmar.ac.in/storage/profile/ProfilePhoto_p2270301_634817.jpg" TargetMode="External"/><Relationship Id="rId_hyperlink_1673" Type="http://schemas.openxmlformats.org/officeDocument/2006/relationships/hyperlink" Target="https://nconnect.nicmar.ac.in/storage/profile/ProfilePhoto_p2270302_421736.jpg" TargetMode="External"/><Relationship Id="rId_hyperlink_1674" Type="http://schemas.openxmlformats.org/officeDocument/2006/relationships/hyperlink" Target="https://nconnect.nicmar.ac.in/storage/profile/ProfilePhoto_p2270303_729465.jpg" TargetMode="External"/><Relationship Id="rId_hyperlink_1675" Type="http://schemas.openxmlformats.org/officeDocument/2006/relationships/hyperlink" Target="https://nconnect.nicmar.ac.in/storage/profile/ProfilePhoto_p2270304_689531.jpg" TargetMode="External"/><Relationship Id="rId_hyperlink_1676" Type="http://schemas.openxmlformats.org/officeDocument/2006/relationships/hyperlink" Target="https://nconnect.nicmar.ac.in/storage/profile/ProfilePhoto_p2270305_193856.jpg" TargetMode="External"/><Relationship Id="rId_hyperlink_1677" Type="http://schemas.openxmlformats.org/officeDocument/2006/relationships/hyperlink" Target="https://nconnect.nicmar.ac.in/storage/profile/ProfilePhoto_p2270306_952871.jpg" TargetMode="External"/><Relationship Id="rId_hyperlink_1678" Type="http://schemas.openxmlformats.org/officeDocument/2006/relationships/hyperlink" Target="https://nconnect.nicmar.ac.in/storage/profile/ProfilePhoto_p2270307_361958.jpg" TargetMode="External"/><Relationship Id="rId_hyperlink_1679" Type="http://schemas.openxmlformats.org/officeDocument/2006/relationships/hyperlink" Target="https://nconnect.nicmar.ac.in/storage/profile/ProfilePhoto_p2270308_342658.jpg" TargetMode="External"/><Relationship Id="rId_hyperlink_1680" Type="http://schemas.openxmlformats.org/officeDocument/2006/relationships/hyperlink" Target="https://nconnect.nicmar.ac.in/storage/profile/ProfilePhoto_p2270309_764935.jpg" TargetMode="External"/><Relationship Id="rId_hyperlink_1681" Type="http://schemas.openxmlformats.org/officeDocument/2006/relationships/hyperlink" Target="https://nconnect.nicmar.ac.in/storage/profile/ProfilePhoto_p2270310_342586.jpg" TargetMode="External"/><Relationship Id="rId_hyperlink_1682" Type="http://schemas.openxmlformats.org/officeDocument/2006/relationships/hyperlink" Target="https://nconnect.nicmar.ac.in/storage/profile/ProfilePhoto_p2270311_479156.jpg" TargetMode="External"/><Relationship Id="rId_hyperlink_1683" Type="http://schemas.openxmlformats.org/officeDocument/2006/relationships/hyperlink" Target="https://nconnect.nicmar.ac.in/storage/profile/ProfilePhoto_p2270312_935741.jpg" TargetMode="External"/><Relationship Id="rId_hyperlink_1684" Type="http://schemas.openxmlformats.org/officeDocument/2006/relationships/hyperlink" Target="https://nconnect.nicmar.ac.in/storage/profile/ProfilePhoto_p2270313_751426.jpg" TargetMode="External"/><Relationship Id="rId_hyperlink_1685" Type="http://schemas.openxmlformats.org/officeDocument/2006/relationships/hyperlink" Target="https://nconnect.nicmar.ac.in/storage/profile/ProfilePhoto_p2270314_415923.jpg" TargetMode="External"/><Relationship Id="rId_hyperlink_1686" Type="http://schemas.openxmlformats.org/officeDocument/2006/relationships/hyperlink" Target="https://nconnect.nicmar.ac.in/storage/profile/ProfilePhoto_p2270315_597326.jpg" TargetMode="External"/><Relationship Id="rId_hyperlink_1687" Type="http://schemas.openxmlformats.org/officeDocument/2006/relationships/hyperlink" Target="https://nconnect.nicmar.ac.in/storage/profile/ProfilePhoto_p2270316_859137.jpg" TargetMode="External"/><Relationship Id="rId_hyperlink_1688" Type="http://schemas.openxmlformats.org/officeDocument/2006/relationships/hyperlink" Target="https://nconnect.nicmar.ac.in/storage/profile/ProfilePhoto_p2270317_249175.jpg" TargetMode="External"/><Relationship Id="rId_hyperlink_1689" Type="http://schemas.openxmlformats.org/officeDocument/2006/relationships/hyperlink" Target="https://nconnect.nicmar.ac.in/storage/profile/ProfilePhoto_p2270319_195427.jpg" TargetMode="External"/><Relationship Id="rId_hyperlink_1690" Type="http://schemas.openxmlformats.org/officeDocument/2006/relationships/hyperlink" Target="https://nconnect.nicmar.ac.in/storage/profile/ProfilePhoto_p2270320_692351.jpg" TargetMode="External"/><Relationship Id="rId_hyperlink_1691" Type="http://schemas.openxmlformats.org/officeDocument/2006/relationships/hyperlink" Target="https://nconnect.nicmar.ac.in/storage/profile/ProfilePhoto_p2270321_752849.jpg" TargetMode="External"/><Relationship Id="rId_hyperlink_1692" Type="http://schemas.openxmlformats.org/officeDocument/2006/relationships/hyperlink" Target="https://nconnect.nicmar.ac.in/storage/profile/ProfilePhoto_p2270322_396425.jpg" TargetMode="External"/><Relationship Id="rId_hyperlink_1693" Type="http://schemas.openxmlformats.org/officeDocument/2006/relationships/hyperlink" Target="https://nconnect.nicmar.ac.in/storage/profile/ProfilePhoto_p2270323_987415.jpg" TargetMode="External"/><Relationship Id="rId_hyperlink_1694" Type="http://schemas.openxmlformats.org/officeDocument/2006/relationships/hyperlink" Target="https://nconnect.nicmar.ac.in/storage/profile/ProfilePhoto_p2270324_694825.jpg" TargetMode="External"/><Relationship Id="rId_hyperlink_1695" Type="http://schemas.openxmlformats.org/officeDocument/2006/relationships/hyperlink" Target="https://nconnect.nicmar.ac.in/storage/profile/ProfilePhoto_p2270326_569327.jpg" TargetMode="External"/><Relationship Id="rId_hyperlink_1696" Type="http://schemas.openxmlformats.org/officeDocument/2006/relationships/hyperlink" Target="https://nconnect.nicmar.ac.in/storage/profile/ProfilePhoto_p2270327_824516.jpg" TargetMode="External"/><Relationship Id="rId_hyperlink_1697" Type="http://schemas.openxmlformats.org/officeDocument/2006/relationships/hyperlink" Target="https://nconnect.nicmar.ac.in/storage/profile/ProfilePhoto_p2270328_723481.jpg" TargetMode="External"/><Relationship Id="rId_hyperlink_1698" Type="http://schemas.openxmlformats.org/officeDocument/2006/relationships/hyperlink" Target="https://nconnect.nicmar.ac.in/storage/profile/ProfilePhoto_p2270329_436917.jpg" TargetMode="External"/><Relationship Id="rId_hyperlink_1699" Type="http://schemas.openxmlformats.org/officeDocument/2006/relationships/hyperlink" Target="https://nconnect.nicmar.ac.in/storage/profile/ProfilePhoto_p2270330_524137.jpg" TargetMode="External"/><Relationship Id="rId_hyperlink_1700" Type="http://schemas.openxmlformats.org/officeDocument/2006/relationships/hyperlink" Target="https://nconnect.nicmar.ac.in/storage/profile/ProfilePhoto_p2270331_832947.jpg" TargetMode="External"/><Relationship Id="rId_hyperlink_1701" Type="http://schemas.openxmlformats.org/officeDocument/2006/relationships/hyperlink" Target="https://nconnect.nicmar.ac.in/storage/profile/ProfilePhoto_p2270332_957283.jpg" TargetMode="External"/><Relationship Id="rId_hyperlink_1702" Type="http://schemas.openxmlformats.org/officeDocument/2006/relationships/hyperlink" Target="https://nconnect.nicmar.ac.in/storage/profile/ProfilePhoto_p2270333_146325.jpg" TargetMode="External"/><Relationship Id="rId_hyperlink_1703" Type="http://schemas.openxmlformats.org/officeDocument/2006/relationships/hyperlink" Target="https://nconnect.nicmar.ac.in/storage/profile/ProfilePhoto_p2270334_279631.jpg" TargetMode="External"/><Relationship Id="rId_hyperlink_1704" Type="http://schemas.openxmlformats.org/officeDocument/2006/relationships/hyperlink" Target="https://nconnect.nicmar.ac.in/storage/profile/ProfilePhoto_p2270335_438759.jpg" TargetMode="External"/><Relationship Id="rId_hyperlink_1705" Type="http://schemas.openxmlformats.org/officeDocument/2006/relationships/hyperlink" Target="https://nconnect.nicmar.ac.in/storage/profile/ProfilePhoto_p2270336_528461.jpg" TargetMode="External"/><Relationship Id="rId_hyperlink_1706" Type="http://schemas.openxmlformats.org/officeDocument/2006/relationships/hyperlink" Target="https://nconnect.nicmar.ac.in/storage/profile/ProfilePhoto_p2270337_518793.jpg" TargetMode="External"/><Relationship Id="rId_hyperlink_1707" Type="http://schemas.openxmlformats.org/officeDocument/2006/relationships/hyperlink" Target="https://nconnect.nicmar.ac.in/storage/profile/ProfilePhoto_p2270338_167892.jpg" TargetMode="External"/><Relationship Id="rId_hyperlink_1708" Type="http://schemas.openxmlformats.org/officeDocument/2006/relationships/hyperlink" Target="https://nconnect.nicmar.ac.in/storage/profile/ProfilePhoto_p2270339_495168.jpg" TargetMode="External"/><Relationship Id="rId_hyperlink_1709" Type="http://schemas.openxmlformats.org/officeDocument/2006/relationships/hyperlink" Target="https://nconnect.nicmar.ac.in/storage/profile/ProfilePhoto_p2270340_935617.jpg" TargetMode="External"/><Relationship Id="rId_hyperlink_1710" Type="http://schemas.openxmlformats.org/officeDocument/2006/relationships/hyperlink" Target="https://nconnect.nicmar.ac.in/storage/profile/ProfilePhoto_p2270341_348726.jpg" TargetMode="External"/><Relationship Id="rId_hyperlink_1711" Type="http://schemas.openxmlformats.org/officeDocument/2006/relationships/hyperlink" Target="https://nconnect.nicmar.ac.in/storage/profile/ProfilePhoto_p2270342_641589.jpg" TargetMode="External"/><Relationship Id="rId_hyperlink_1712" Type="http://schemas.openxmlformats.org/officeDocument/2006/relationships/hyperlink" Target="https://nconnect.nicmar.ac.in/storage/profile/ProfilePhoto_p2270343_429351.jpg" TargetMode="External"/><Relationship Id="rId_hyperlink_1713" Type="http://schemas.openxmlformats.org/officeDocument/2006/relationships/hyperlink" Target="https://nconnect.nicmar.ac.in/storage/profile/ProfilePhoto_p2270345_512976.jpg" TargetMode="External"/><Relationship Id="rId_hyperlink_1714" Type="http://schemas.openxmlformats.org/officeDocument/2006/relationships/hyperlink" Target="https://nconnect.nicmar.ac.in/storage/profile/ProfilePhoto_p2270346_796158.jpg" TargetMode="External"/><Relationship Id="rId_hyperlink_1715" Type="http://schemas.openxmlformats.org/officeDocument/2006/relationships/hyperlink" Target="https://nconnect.nicmar.ac.in/storage/profile/ProfilePhoto_p2270347_795431.jpg" TargetMode="External"/><Relationship Id="rId_hyperlink_1716" Type="http://schemas.openxmlformats.org/officeDocument/2006/relationships/hyperlink" Target="https://nconnect.nicmar.ac.in/storage/profile/ProfilePhoto_p2270348_854627.jpg" TargetMode="External"/><Relationship Id="rId_hyperlink_1717" Type="http://schemas.openxmlformats.org/officeDocument/2006/relationships/hyperlink" Target="https://nconnect.nicmar.ac.in/storage/profile/ProfilePhoto_p2270349_214957.jpg" TargetMode="External"/><Relationship Id="rId_hyperlink_1718" Type="http://schemas.openxmlformats.org/officeDocument/2006/relationships/hyperlink" Target="https://nconnect.nicmar.ac.in/storage/profile/ProfilePhoto_p2270350_947123.jpg" TargetMode="External"/><Relationship Id="rId_hyperlink_1719" Type="http://schemas.openxmlformats.org/officeDocument/2006/relationships/hyperlink" Target="https://nconnect.nicmar.ac.in/storage/profile/ProfilePhoto_p2270351_984273.jpg" TargetMode="External"/><Relationship Id="rId_hyperlink_1720" Type="http://schemas.openxmlformats.org/officeDocument/2006/relationships/hyperlink" Target="https://nconnect.nicmar.ac.in/storage/profile/ProfilePhoto_p2270352_925476.jpg" TargetMode="External"/><Relationship Id="rId_hyperlink_1721" Type="http://schemas.openxmlformats.org/officeDocument/2006/relationships/hyperlink" Target="https://nconnect.nicmar.ac.in/storage/profile/ProfilePhoto_p2270353_824719.jpg" TargetMode="External"/><Relationship Id="rId_hyperlink_1722" Type="http://schemas.openxmlformats.org/officeDocument/2006/relationships/hyperlink" Target="https://nconnect.nicmar.ac.in/storage/profile/ProfilePhoto_p2270354_491275.jpg" TargetMode="External"/><Relationship Id="rId_hyperlink_1723" Type="http://schemas.openxmlformats.org/officeDocument/2006/relationships/hyperlink" Target="https://nconnect.nicmar.ac.in/storage/profile/ProfilePhoto_p2270355_158623.jpg" TargetMode="External"/><Relationship Id="rId_hyperlink_1724" Type="http://schemas.openxmlformats.org/officeDocument/2006/relationships/hyperlink" Target="https://nconnect.nicmar.ac.in/storage/profile/ProfilePhoto_p2270356_389621.jpg" TargetMode="External"/><Relationship Id="rId_hyperlink_1725" Type="http://schemas.openxmlformats.org/officeDocument/2006/relationships/hyperlink" Target="https://nconnect.nicmar.ac.in/storage/profile/ProfilePhoto_p2270357_965481.jpg" TargetMode="External"/><Relationship Id="rId_hyperlink_1726" Type="http://schemas.openxmlformats.org/officeDocument/2006/relationships/hyperlink" Target="https://nconnect.nicmar.ac.in/storage/profile/ProfilePhoto_p2270358_469321.jpg" TargetMode="External"/><Relationship Id="rId_hyperlink_1727" Type="http://schemas.openxmlformats.org/officeDocument/2006/relationships/hyperlink" Target="https://nconnect.nicmar.ac.in/storage/profile/ProfilePhoto_p2270359_369148.jpg" TargetMode="External"/><Relationship Id="rId_hyperlink_1728" Type="http://schemas.openxmlformats.org/officeDocument/2006/relationships/hyperlink" Target="https://nconnect.nicmar.ac.in/storage/profile/ProfilePhoto_p2270360_156429.jpg" TargetMode="External"/><Relationship Id="rId_hyperlink_1729" Type="http://schemas.openxmlformats.org/officeDocument/2006/relationships/hyperlink" Target="https://nconnect.nicmar.ac.in/storage/profile/ProfilePhoto_p2270361_924156.jpg" TargetMode="External"/><Relationship Id="rId_hyperlink_1730" Type="http://schemas.openxmlformats.org/officeDocument/2006/relationships/hyperlink" Target="https://nconnect.nicmar.ac.in/storage/profile/ProfilePhoto_p2270362_427186.jpg" TargetMode="External"/><Relationship Id="rId_hyperlink_1731" Type="http://schemas.openxmlformats.org/officeDocument/2006/relationships/hyperlink" Target="https://nconnect.nicmar.ac.in/storage/profile/ProfilePhoto_p2270363_678925.jpg" TargetMode="External"/><Relationship Id="rId_hyperlink_1732" Type="http://schemas.openxmlformats.org/officeDocument/2006/relationships/hyperlink" Target="https://nconnect.nicmar.ac.in/storage/profile/ProfilePhoto_p2270364_638791.jpg" TargetMode="External"/><Relationship Id="rId_hyperlink_1733" Type="http://schemas.openxmlformats.org/officeDocument/2006/relationships/hyperlink" Target="https://nconnect.nicmar.ac.in/storage/profile/ProfilePhoto_p2270365_687412.jpg" TargetMode="External"/><Relationship Id="rId_hyperlink_1734" Type="http://schemas.openxmlformats.org/officeDocument/2006/relationships/hyperlink" Target="https://nconnect.nicmar.ac.in/storage/profile/ProfilePhoto_p2270366_134879.jpg" TargetMode="External"/><Relationship Id="rId_hyperlink_1735" Type="http://schemas.openxmlformats.org/officeDocument/2006/relationships/hyperlink" Target="https://nconnect.nicmar.ac.in/storage/profile/ProfilePhoto_p2270367_937624.jpg" TargetMode="External"/><Relationship Id="rId_hyperlink_1736" Type="http://schemas.openxmlformats.org/officeDocument/2006/relationships/hyperlink" Target="https://nconnect.nicmar.ac.in/storage/profile/ProfilePhoto_p2270368_781342.jpg" TargetMode="External"/><Relationship Id="rId_hyperlink_1737" Type="http://schemas.openxmlformats.org/officeDocument/2006/relationships/hyperlink" Target="https://nconnect.nicmar.ac.in/storage/profile/ProfilePhoto_p2270369_194728.jpg" TargetMode="External"/><Relationship Id="rId_hyperlink_1738" Type="http://schemas.openxmlformats.org/officeDocument/2006/relationships/hyperlink" Target="https://nconnect.nicmar.ac.in/storage/profile/ProfilePhoto_p2270370_281693.jpg" TargetMode="External"/><Relationship Id="rId_hyperlink_1739" Type="http://schemas.openxmlformats.org/officeDocument/2006/relationships/hyperlink" Target="https://nconnect.nicmar.ac.in/storage/profile/2022-2024_p2270371_268753.jpg" TargetMode="External"/><Relationship Id="rId_hyperlink_1740" Type="http://schemas.openxmlformats.org/officeDocument/2006/relationships/hyperlink" Target="https://nconnect.nicmar.ac.in/storage/profile/ProfilePhoto_p2270372_851237.jpg" TargetMode="External"/><Relationship Id="rId_hyperlink_1741" Type="http://schemas.openxmlformats.org/officeDocument/2006/relationships/hyperlink" Target="https://nconnect.nicmar.ac.in/storage/profile/ProfilePhoto_p2270373_147538.jpg" TargetMode="External"/><Relationship Id="rId_hyperlink_1742" Type="http://schemas.openxmlformats.org/officeDocument/2006/relationships/hyperlink" Target="https://nconnect.nicmar.ac.in/storage/profile/ProfilePhoto_p2270374_617823.jpg" TargetMode="External"/><Relationship Id="rId_hyperlink_1743" Type="http://schemas.openxmlformats.org/officeDocument/2006/relationships/hyperlink" Target="https://nconnect.nicmar.ac.in/storage/profile/ProfilePhoto_p2270375_928736.jpg" TargetMode="External"/><Relationship Id="rId_hyperlink_1744" Type="http://schemas.openxmlformats.org/officeDocument/2006/relationships/hyperlink" Target="https://nconnect.nicmar.ac.in/storage/profile/ProfilePhoto_p2270376_581697.jpg" TargetMode="External"/><Relationship Id="rId_hyperlink_1745" Type="http://schemas.openxmlformats.org/officeDocument/2006/relationships/hyperlink" Target="https://nconnect.nicmar.ac.in/storage/profile/ProfilePhoto_p2270377_743185.jpg" TargetMode="External"/><Relationship Id="rId_hyperlink_1746" Type="http://schemas.openxmlformats.org/officeDocument/2006/relationships/hyperlink" Target="https://nconnect.nicmar.ac.in/storage/profile/ProfilePhoto_p2270379_317842.jpg" TargetMode="External"/><Relationship Id="rId_hyperlink_1747" Type="http://schemas.openxmlformats.org/officeDocument/2006/relationships/hyperlink" Target="https://nconnect.nicmar.ac.in/storage/profile/ProfilePhoto_p2270380_234768.jpg" TargetMode="External"/><Relationship Id="rId_hyperlink_1748" Type="http://schemas.openxmlformats.org/officeDocument/2006/relationships/hyperlink" Target="https://nconnect.nicmar.ac.in/storage/profile/ProfilePhoto_p2270381_439126.jpg" TargetMode="External"/><Relationship Id="rId_hyperlink_1749" Type="http://schemas.openxmlformats.org/officeDocument/2006/relationships/hyperlink" Target="https://nconnect.nicmar.ac.in/storage/profile/ProfilePhoto_p2270382_294371.jpg" TargetMode="External"/><Relationship Id="rId_hyperlink_1750" Type="http://schemas.openxmlformats.org/officeDocument/2006/relationships/hyperlink" Target="https://nconnect.nicmar.ac.in/storage/profile/ProfilePhoto_p2270383_618359.jpg" TargetMode="External"/><Relationship Id="rId_hyperlink_1751" Type="http://schemas.openxmlformats.org/officeDocument/2006/relationships/hyperlink" Target="https://nconnect.nicmar.ac.in/storage/profile/ProfilePhoto_p2270384_574386.jpg" TargetMode="External"/><Relationship Id="rId_hyperlink_1752" Type="http://schemas.openxmlformats.org/officeDocument/2006/relationships/hyperlink" Target="https://nconnect.nicmar.ac.in/storage/profile/ProfilePhoto_p2270385_978231.jpg" TargetMode="External"/><Relationship Id="rId_hyperlink_1753" Type="http://schemas.openxmlformats.org/officeDocument/2006/relationships/hyperlink" Target="https://nconnect.nicmar.ac.in/storage/profile/ProfilePhoto_p2270387_594731.jpg" TargetMode="External"/><Relationship Id="rId_hyperlink_1754" Type="http://schemas.openxmlformats.org/officeDocument/2006/relationships/hyperlink" Target="https://nconnect.nicmar.ac.in/storage/profile/ProfilePhoto_p2270388_139582.jpg" TargetMode="External"/><Relationship Id="rId_hyperlink_1755" Type="http://schemas.openxmlformats.org/officeDocument/2006/relationships/hyperlink" Target="https://nconnect.nicmar.ac.in/storage/profile/ProfilePhoto_p2270389_736425.jpg" TargetMode="External"/><Relationship Id="rId_hyperlink_1756" Type="http://schemas.openxmlformats.org/officeDocument/2006/relationships/hyperlink" Target="https://nconnect.nicmar.ac.in/storage/profile/ProfilePhoto_p2270390_485692.jpg" TargetMode="External"/><Relationship Id="rId_hyperlink_1757" Type="http://schemas.openxmlformats.org/officeDocument/2006/relationships/hyperlink" Target="https://nconnect.nicmar.ac.in/storage/profile/ProfilePhoto_p2270391_729453.jpg" TargetMode="External"/><Relationship Id="rId_hyperlink_1758" Type="http://schemas.openxmlformats.org/officeDocument/2006/relationships/hyperlink" Target="https://nconnect.nicmar.ac.in/storage/profile/ProfilePhoto_p2270392_436251.jpg" TargetMode="External"/><Relationship Id="rId_hyperlink_1759" Type="http://schemas.openxmlformats.org/officeDocument/2006/relationships/hyperlink" Target="https://nconnect.nicmar.ac.in/storage/profile/ProfilePhoto_p2270393_726431.jpg" TargetMode="External"/><Relationship Id="rId_hyperlink_1760" Type="http://schemas.openxmlformats.org/officeDocument/2006/relationships/hyperlink" Target="https://nconnect.nicmar.ac.in/storage/profile/ProfilePhoto_p2270394_376584.jpg" TargetMode="External"/><Relationship Id="rId_hyperlink_1761" Type="http://schemas.openxmlformats.org/officeDocument/2006/relationships/hyperlink" Target="https://nconnect.nicmar.ac.in/storage/profile/ProfilePhoto_p2270395_586934.jpg" TargetMode="External"/><Relationship Id="rId_hyperlink_1762" Type="http://schemas.openxmlformats.org/officeDocument/2006/relationships/hyperlink" Target="https://nconnect.nicmar.ac.in/storage/profile/ProfilePhoto_p2270396_943728.jpg" TargetMode="External"/><Relationship Id="rId_hyperlink_1763" Type="http://schemas.openxmlformats.org/officeDocument/2006/relationships/hyperlink" Target="https://nconnect.nicmar.ac.in/storage/profile/ProfilePhoto_p2270397_248539.jpg" TargetMode="External"/><Relationship Id="rId_hyperlink_1764" Type="http://schemas.openxmlformats.org/officeDocument/2006/relationships/hyperlink" Target="https://nconnect.nicmar.ac.in/storage/profile/ProfilePhoto_p2270398_321649.jpg" TargetMode="External"/><Relationship Id="rId_hyperlink_1765" Type="http://schemas.openxmlformats.org/officeDocument/2006/relationships/hyperlink" Target="https://nconnect.nicmar.ac.in/storage/profile/ProfilePhoto_p2270400_914675.jpg" TargetMode="External"/><Relationship Id="rId_hyperlink_1766" Type="http://schemas.openxmlformats.org/officeDocument/2006/relationships/hyperlink" Target="https://nconnect.nicmar.ac.in/storage/profile/ProfilePhoto_p2270401_496123.jpg" TargetMode="External"/><Relationship Id="rId_hyperlink_1767" Type="http://schemas.openxmlformats.org/officeDocument/2006/relationships/hyperlink" Target="https://nconnect.nicmar.ac.in/storage/profile/ProfilePhoto_p2270402_925714.jpg" TargetMode="External"/><Relationship Id="rId_hyperlink_1768" Type="http://schemas.openxmlformats.org/officeDocument/2006/relationships/hyperlink" Target="https://nconnect.nicmar.ac.in/storage/profile/ProfilePhoto_p2270403_947132.jpg" TargetMode="External"/><Relationship Id="rId_hyperlink_1769" Type="http://schemas.openxmlformats.org/officeDocument/2006/relationships/hyperlink" Target="https://nconnect.nicmar.ac.in/storage/profile/ProfilePhoto_p2270404_526849.jpg" TargetMode="External"/><Relationship Id="rId_hyperlink_1770" Type="http://schemas.openxmlformats.org/officeDocument/2006/relationships/hyperlink" Target="https://nconnect.nicmar.ac.in/storage/profile/ProfilePhoto_p2270405_139876.jpg" TargetMode="External"/><Relationship Id="rId_hyperlink_1771" Type="http://schemas.openxmlformats.org/officeDocument/2006/relationships/hyperlink" Target="https://nconnect.nicmar.ac.in/storage/profile/ProfilePhoto_p2270407_637941.jpg" TargetMode="External"/><Relationship Id="rId_hyperlink_1772" Type="http://schemas.openxmlformats.org/officeDocument/2006/relationships/hyperlink" Target="https://nconnect.nicmar.ac.in/storage/profile/ProfilePhoto_p2270408_256184.jpg" TargetMode="External"/><Relationship Id="rId_hyperlink_1773" Type="http://schemas.openxmlformats.org/officeDocument/2006/relationships/hyperlink" Target="https://nconnect.nicmar.ac.in/storage/profile/ProfilePhoto_p2270409_578314.jpg" TargetMode="External"/><Relationship Id="rId_hyperlink_1774" Type="http://schemas.openxmlformats.org/officeDocument/2006/relationships/hyperlink" Target="https://nconnect.nicmar.ac.in/storage/profile/ProfilePhoto_p2270410_512964.jpg" TargetMode="External"/><Relationship Id="rId_hyperlink_1775" Type="http://schemas.openxmlformats.org/officeDocument/2006/relationships/hyperlink" Target="https://nconnect.nicmar.ac.in/storage/profile/ProfilePhoto_p2270411_689215.jpg" TargetMode="External"/><Relationship Id="rId_hyperlink_1776" Type="http://schemas.openxmlformats.org/officeDocument/2006/relationships/hyperlink" Target="https://nconnect.nicmar.ac.in/storage/profile/ProfilePhoto_p2270412_264158.jpg" TargetMode="External"/><Relationship Id="rId_hyperlink_1777" Type="http://schemas.openxmlformats.org/officeDocument/2006/relationships/hyperlink" Target="https://nconnect.nicmar.ac.in/storage/profile/ProfilePhoto_p2270413_341859.jpg" TargetMode="External"/><Relationship Id="rId_hyperlink_1778" Type="http://schemas.openxmlformats.org/officeDocument/2006/relationships/hyperlink" Target="https://nconnect.nicmar.ac.in/storage/profile/ProfilePhoto_p2270414_143528.jpg" TargetMode="External"/><Relationship Id="rId_hyperlink_1779" Type="http://schemas.openxmlformats.org/officeDocument/2006/relationships/hyperlink" Target="https://nconnect.nicmar.ac.in/storage/profile/ProfilePhoto_p2270415_825463.jpg" TargetMode="External"/><Relationship Id="rId_hyperlink_1780" Type="http://schemas.openxmlformats.org/officeDocument/2006/relationships/hyperlink" Target="https://nconnect.nicmar.ac.in/storage/profile/ProfilePhoto_p2270417_675823.jpg" TargetMode="External"/><Relationship Id="rId_hyperlink_1781" Type="http://schemas.openxmlformats.org/officeDocument/2006/relationships/hyperlink" Target="https://nconnect.nicmar.ac.in/storage/profile/ProfilePhoto_p2270418_386524.jpg" TargetMode="External"/><Relationship Id="rId_hyperlink_1782" Type="http://schemas.openxmlformats.org/officeDocument/2006/relationships/hyperlink" Target="https://nconnect.nicmar.ac.in/storage/profile/ProfilePhoto_p2270420_468197.jpg" TargetMode="External"/><Relationship Id="rId_hyperlink_1783" Type="http://schemas.openxmlformats.org/officeDocument/2006/relationships/hyperlink" Target="https://nconnect.nicmar.ac.in/storage/profile/ProfilePhoto_p2270421_861735.jpg" TargetMode="External"/><Relationship Id="rId_hyperlink_1784" Type="http://schemas.openxmlformats.org/officeDocument/2006/relationships/hyperlink" Target="https://nconnect.nicmar.ac.in/storage/profile/ProfilePhoto_p2270422_371429.jpg" TargetMode="External"/><Relationship Id="rId_hyperlink_1785" Type="http://schemas.openxmlformats.org/officeDocument/2006/relationships/hyperlink" Target="https://nconnect.nicmar.ac.in/storage/profile/ProfilePhoto_p2270423_156294.jpg" TargetMode="External"/><Relationship Id="rId_hyperlink_1786" Type="http://schemas.openxmlformats.org/officeDocument/2006/relationships/hyperlink" Target="https://nconnect.nicmar.ac.in/storage/profile/ProfilePhoto_p2270424_698357.jpg" TargetMode="External"/><Relationship Id="rId_hyperlink_1787" Type="http://schemas.openxmlformats.org/officeDocument/2006/relationships/hyperlink" Target="https://nconnect.nicmar.ac.in/storage/profile/ProfilePhoto_p2270425_432971.jpg" TargetMode="External"/><Relationship Id="rId_hyperlink_1788" Type="http://schemas.openxmlformats.org/officeDocument/2006/relationships/hyperlink" Target="https://nconnect.nicmar.ac.in/storage/profile/ProfilePhoto_p2270428_149275.jpg" TargetMode="External"/><Relationship Id="rId_hyperlink_1789" Type="http://schemas.openxmlformats.org/officeDocument/2006/relationships/hyperlink" Target="https://nconnect.nicmar.ac.in/storage/profile/ProfilePhoto_p2270429_685217.jpg" TargetMode="External"/><Relationship Id="rId_hyperlink_1790" Type="http://schemas.openxmlformats.org/officeDocument/2006/relationships/hyperlink" Target="https://nconnect.nicmar.ac.in/storage/profile/ProfilePhoto_p2270430_874159.jpg" TargetMode="External"/><Relationship Id="rId_hyperlink_1791" Type="http://schemas.openxmlformats.org/officeDocument/2006/relationships/hyperlink" Target="https://nconnect.nicmar.ac.in/storage/profile/ProfilePhoto_p2270431_843695.jpg" TargetMode="External"/><Relationship Id="rId_hyperlink_1792" Type="http://schemas.openxmlformats.org/officeDocument/2006/relationships/hyperlink" Target="https://nconnect.nicmar.ac.in/storage/profile/ProfilePhoto_p2270432_538927.jpg" TargetMode="External"/><Relationship Id="rId_hyperlink_1793" Type="http://schemas.openxmlformats.org/officeDocument/2006/relationships/hyperlink" Target="https://nconnect.nicmar.ac.in/storage/profile/ProfilePhoto_p2270433_756148.jpg" TargetMode="External"/><Relationship Id="rId_hyperlink_1794" Type="http://schemas.openxmlformats.org/officeDocument/2006/relationships/hyperlink" Target="https://nconnect.nicmar.ac.in/storage/profile/ProfilePhoto_p2270434_137926.jpg" TargetMode="External"/><Relationship Id="rId_hyperlink_1795" Type="http://schemas.openxmlformats.org/officeDocument/2006/relationships/hyperlink" Target="https://nconnect.nicmar.ac.in/storage/profile/ProfilePhoto_p2270435_635987.jpg" TargetMode="External"/><Relationship Id="rId_hyperlink_1796" Type="http://schemas.openxmlformats.org/officeDocument/2006/relationships/hyperlink" Target="https://nconnect.nicmar.ac.in/storage/profile/ProfilePhoto_p2270437_276954.jpg" TargetMode="External"/><Relationship Id="rId_hyperlink_1797" Type="http://schemas.openxmlformats.org/officeDocument/2006/relationships/hyperlink" Target="https://nconnect.nicmar.ac.in/storage/profile/ProfilePhoto_p2270438_847365.jpg" TargetMode="External"/><Relationship Id="rId_hyperlink_1798" Type="http://schemas.openxmlformats.org/officeDocument/2006/relationships/hyperlink" Target="https://nconnect.nicmar.ac.in/storage/profile/ProfilePhoto_p2270439_987153.jpg" TargetMode="External"/><Relationship Id="rId_hyperlink_1799" Type="http://schemas.openxmlformats.org/officeDocument/2006/relationships/hyperlink" Target="https://nconnect.nicmar.ac.in/storage/profile/ProfilePhoto_p2270440_914253.jpg" TargetMode="External"/><Relationship Id="rId_hyperlink_1800" Type="http://schemas.openxmlformats.org/officeDocument/2006/relationships/hyperlink" Target="https://nconnect.nicmar.ac.in/storage/profile/ProfilePhoto_p2270441_473598.jpg" TargetMode="External"/><Relationship Id="rId_hyperlink_1801" Type="http://schemas.openxmlformats.org/officeDocument/2006/relationships/hyperlink" Target="https://nconnect.nicmar.ac.in/storage/profile/ProfilePhoto_p2270442_794651.jpg" TargetMode="External"/><Relationship Id="rId_hyperlink_1802" Type="http://schemas.openxmlformats.org/officeDocument/2006/relationships/hyperlink" Target="https://nconnect.nicmar.ac.in/storage/profile/ProfilePhoto_p2270443_741985.jpg" TargetMode="External"/><Relationship Id="rId_hyperlink_1803" Type="http://schemas.openxmlformats.org/officeDocument/2006/relationships/hyperlink" Target="https://nconnect.nicmar.ac.in/storage/profile/ProfilePhoto_p2270444_857462.jpg" TargetMode="External"/><Relationship Id="rId_hyperlink_1804" Type="http://schemas.openxmlformats.org/officeDocument/2006/relationships/hyperlink" Target="https://nconnect.nicmar.ac.in/storage/profile/ProfilePhoto_p2270445_283764.jpg" TargetMode="External"/><Relationship Id="rId_hyperlink_1805" Type="http://schemas.openxmlformats.org/officeDocument/2006/relationships/hyperlink" Target="https://nconnect.nicmar.ac.in/storage/profile/ProfilePhoto_p2270446_789521.jpg" TargetMode="External"/><Relationship Id="rId_hyperlink_1806" Type="http://schemas.openxmlformats.org/officeDocument/2006/relationships/hyperlink" Target="https://nconnect.nicmar.ac.in/storage/profile/ProfilePhoto_p2270447_852716.jpg" TargetMode="External"/><Relationship Id="rId_hyperlink_1807" Type="http://schemas.openxmlformats.org/officeDocument/2006/relationships/hyperlink" Target="https://nconnect.nicmar.ac.in/storage/profile/ProfilePhoto_p2270448_918265.jpg" TargetMode="External"/><Relationship Id="rId_hyperlink_1808" Type="http://schemas.openxmlformats.org/officeDocument/2006/relationships/hyperlink" Target="https://nconnect.nicmar.ac.in/storage/profile/ProfilePhoto_p2270449_387154.jpg" TargetMode="External"/><Relationship Id="rId_hyperlink_1809" Type="http://schemas.openxmlformats.org/officeDocument/2006/relationships/hyperlink" Target="https://nconnect.nicmar.ac.in/storage/profile/ProfilePhoto_p2270450_673985.jpg" TargetMode="External"/><Relationship Id="rId_hyperlink_1810" Type="http://schemas.openxmlformats.org/officeDocument/2006/relationships/hyperlink" Target="https://nconnect.nicmar.ac.in/storage/profile/ProfilePhoto_p2270451_724153.jpg" TargetMode="External"/><Relationship Id="rId_hyperlink_1811" Type="http://schemas.openxmlformats.org/officeDocument/2006/relationships/hyperlink" Target="https://nconnect.nicmar.ac.in/storage/profile/ProfilePhoto_p2270452_752648.jpg" TargetMode="External"/><Relationship Id="rId_hyperlink_1812" Type="http://schemas.openxmlformats.org/officeDocument/2006/relationships/hyperlink" Target="https://nconnect.nicmar.ac.in/storage/profile/ProfilePhoto_p2270453_734825.jpg" TargetMode="External"/><Relationship Id="rId_hyperlink_1813" Type="http://schemas.openxmlformats.org/officeDocument/2006/relationships/hyperlink" Target="https://nconnect.nicmar.ac.in/storage/profile/ProfilePhoto_p2270454_921635.jpg" TargetMode="External"/><Relationship Id="rId_hyperlink_1814" Type="http://schemas.openxmlformats.org/officeDocument/2006/relationships/hyperlink" Target="https://nconnect.nicmar.ac.in/storage/profile/ProfilePhoto_p2270455_689317.jpg" TargetMode="External"/><Relationship Id="rId_hyperlink_1815" Type="http://schemas.openxmlformats.org/officeDocument/2006/relationships/hyperlink" Target="https://nconnect.nicmar.ac.in/storage/profile/ProfilePhoto_p2270456_126543.jpg" TargetMode="External"/><Relationship Id="rId_hyperlink_1816" Type="http://schemas.openxmlformats.org/officeDocument/2006/relationships/hyperlink" Target="https://nconnect.nicmar.ac.in/storage/profile/ProfilePhoto_p2270457_256139.jpg" TargetMode="External"/><Relationship Id="rId_hyperlink_1817" Type="http://schemas.openxmlformats.org/officeDocument/2006/relationships/hyperlink" Target="https://nconnect.nicmar.ac.in/storage/profile/ProfilePhoto_p2270458_469123.jpg" TargetMode="External"/><Relationship Id="rId_hyperlink_1818" Type="http://schemas.openxmlformats.org/officeDocument/2006/relationships/hyperlink" Target="https://nconnect.nicmar.ac.in/storage/profile/ProfilePhoto_p2270459_975143.jpg" TargetMode="External"/><Relationship Id="rId_hyperlink_1819" Type="http://schemas.openxmlformats.org/officeDocument/2006/relationships/hyperlink" Target="https://nconnect.nicmar.ac.in/storage/profile/ProfilePhoto_p2270460_726814.jpg" TargetMode="External"/><Relationship Id="rId_hyperlink_1820" Type="http://schemas.openxmlformats.org/officeDocument/2006/relationships/hyperlink" Target="https://nconnect.nicmar.ac.in/storage/profile/ProfilePhoto_p2270461_483617.jpg" TargetMode="External"/><Relationship Id="rId_hyperlink_1821" Type="http://schemas.openxmlformats.org/officeDocument/2006/relationships/hyperlink" Target="https://nconnect.nicmar.ac.in/storage/profile/ProfilePhoto_p2270462_536729.jpg" TargetMode="External"/><Relationship Id="rId_hyperlink_1822" Type="http://schemas.openxmlformats.org/officeDocument/2006/relationships/hyperlink" Target="https://nconnect.nicmar.ac.in/storage/profile/ProfilePhoto_p2270463_178936.jpg" TargetMode="External"/><Relationship Id="rId_hyperlink_1823" Type="http://schemas.openxmlformats.org/officeDocument/2006/relationships/hyperlink" Target="https://nconnect.nicmar.ac.in/storage/profile/ProfilePhoto_p2270464_198742.jpg" TargetMode="External"/><Relationship Id="rId_hyperlink_1824" Type="http://schemas.openxmlformats.org/officeDocument/2006/relationships/hyperlink" Target="https://nconnect.nicmar.ac.in/storage/profile/ProfilePhoto_p2270465_215687.jpg" TargetMode="External"/><Relationship Id="rId_hyperlink_1825" Type="http://schemas.openxmlformats.org/officeDocument/2006/relationships/hyperlink" Target="https://nconnect.nicmar.ac.in/storage/profile/ProfilePhoto_p2270466_571423.jpg" TargetMode="External"/><Relationship Id="rId_hyperlink_1826" Type="http://schemas.openxmlformats.org/officeDocument/2006/relationships/hyperlink" Target="https://nconnect.nicmar.ac.in/storage/profile/ProfilePhoto_p2270467_842571.jpg" TargetMode="External"/><Relationship Id="rId_hyperlink_1827" Type="http://schemas.openxmlformats.org/officeDocument/2006/relationships/hyperlink" Target="https://nconnect.nicmar.ac.in/storage/profile/ProfilePhoto_p2270468_169234.jpg" TargetMode="External"/><Relationship Id="rId_hyperlink_1828" Type="http://schemas.openxmlformats.org/officeDocument/2006/relationships/hyperlink" Target="https://nconnect.nicmar.ac.in/storage/profile/ProfilePhoto_p2270469_471962.jpg" TargetMode="External"/><Relationship Id="rId_hyperlink_1829" Type="http://schemas.openxmlformats.org/officeDocument/2006/relationships/hyperlink" Target="https://nconnect.nicmar.ac.in/storage/profile/ProfilePhoto_p2270470_423178.jpg" TargetMode="External"/><Relationship Id="rId_hyperlink_1830" Type="http://schemas.openxmlformats.org/officeDocument/2006/relationships/hyperlink" Target="https://nconnect.nicmar.ac.in/storage/profile/ProfilePhoto_p2270471_913762.jpg" TargetMode="External"/><Relationship Id="rId_hyperlink_1831" Type="http://schemas.openxmlformats.org/officeDocument/2006/relationships/hyperlink" Target="https://nconnect.nicmar.ac.in/storage/profile/ProfilePhoto_p2270472_547683.jpg" TargetMode="External"/><Relationship Id="rId_hyperlink_1832" Type="http://schemas.openxmlformats.org/officeDocument/2006/relationships/hyperlink" Target="https://nconnect.nicmar.ac.in/storage/profile/ProfilePhoto_p2270473_937856.jpg" TargetMode="External"/><Relationship Id="rId_hyperlink_1833" Type="http://schemas.openxmlformats.org/officeDocument/2006/relationships/hyperlink" Target="https://nconnect.nicmar.ac.in/storage/profile/ProfilePhoto_p2270474_162489.jpg" TargetMode="External"/><Relationship Id="rId_hyperlink_1834" Type="http://schemas.openxmlformats.org/officeDocument/2006/relationships/hyperlink" Target="https://nconnect.nicmar.ac.in/storage/profile/ProfilePhoto_p2270475_865192.jpg" TargetMode="External"/><Relationship Id="rId_hyperlink_1835" Type="http://schemas.openxmlformats.org/officeDocument/2006/relationships/hyperlink" Target="https://nconnect.nicmar.ac.in/storage/profile/ProfilePhoto_p2270476_769241.jpg" TargetMode="External"/><Relationship Id="rId_hyperlink_1836" Type="http://schemas.openxmlformats.org/officeDocument/2006/relationships/hyperlink" Target="https://nconnect.nicmar.ac.in/storage/profile/ProfilePhoto_p2270477_371695.jpg" TargetMode="External"/><Relationship Id="rId_hyperlink_1837" Type="http://schemas.openxmlformats.org/officeDocument/2006/relationships/hyperlink" Target="https://nconnect.nicmar.ac.in/storage/profile/ProfilePhoto_p2270478_742815.jpg" TargetMode="External"/><Relationship Id="rId_hyperlink_1838" Type="http://schemas.openxmlformats.org/officeDocument/2006/relationships/hyperlink" Target="https://nconnect.nicmar.ac.in/storage/profile/ProfilePhoto_p2270479_596374.jpg" TargetMode="External"/><Relationship Id="rId_hyperlink_1839" Type="http://schemas.openxmlformats.org/officeDocument/2006/relationships/hyperlink" Target="https://nconnect.nicmar.ac.in/storage/profile/ProfilePhoto_p2270480_643571.jpg" TargetMode="External"/><Relationship Id="rId_hyperlink_1840" Type="http://schemas.openxmlformats.org/officeDocument/2006/relationships/hyperlink" Target="https://nconnect.nicmar.ac.in/storage/profile/ProfilePhoto_p2270482_925476.jpg" TargetMode="External"/><Relationship Id="rId_hyperlink_1841" Type="http://schemas.openxmlformats.org/officeDocument/2006/relationships/hyperlink" Target="https://nconnect.nicmar.ac.in/storage/profile/ProfilePhoto_p2270483_374561.jpg" TargetMode="External"/><Relationship Id="rId_hyperlink_1842" Type="http://schemas.openxmlformats.org/officeDocument/2006/relationships/hyperlink" Target="https://nconnect.nicmar.ac.in/storage/profile/ProfilePhoto_p2270484_751934.jpg" TargetMode="External"/><Relationship Id="rId_hyperlink_1843" Type="http://schemas.openxmlformats.org/officeDocument/2006/relationships/hyperlink" Target="https://nconnect.nicmar.ac.in/storage/profile/ProfilePhoto_p2270485_987231.jpg" TargetMode="External"/><Relationship Id="rId_hyperlink_1844" Type="http://schemas.openxmlformats.org/officeDocument/2006/relationships/hyperlink" Target="https://nconnect.nicmar.ac.in/storage/profile/ProfilePhoto_p2270486_913862.jpg" TargetMode="External"/><Relationship Id="rId_hyperlink_1845" Type="http://schemas.openxmlformats.org/officeDocument/2006/relationships/hyperlink" Target="https://nconnect.nicmar.ac.in/storage/profile/ProfilePhoto_p2270487_295186.jpg" TargetMode="External"/><Relationship Id="rId_hyperlink_1846" Type="http://schemas.openxmlformats.org/officeDocument/2006/relationships/hyperlink" Target="https://nconnect.nicmar.ac.in/storage/profile/ProfilePhoto_p2270488_768235.jpg" TargetMode="External"/><Relationship Id="rId_hyperlink_1847" Type="http://schemas.openxmlformats.org/officeDocument/2006/relationships/hyperlink" Target="https://nconnect.nicmar.ac.in/storage/profile/ProfilePhoto_p2270489_825396.jpg" TargetMode="External"/><Relationship Id="rId_hyperlink_1848" Type="http://schemas.openxmlformats.org/officeDocument/2006/relationships/hyperlink" Target="https://nconnect.nicmar.ac.in/storage/profile/ProfilePhoto_p2270490_492178.jpg" TargetMode="External"/><Relationship Id="rId_hyperlink_1849" Type="http://schemas.openxmlformats.org/officeDocument/2006/relationships/hyperlink" Target="https://nconnect.nicmar.ac.in/storage/profile/ProfilePhoto_p2270491_785349.jpg" TargetMode="External"/><Relationship Id="rId_hyperlink_1850" Type="http://schemas.openxmlformats.org/officeDocument/2006/relationships/hyperlink" Target="https://nconnect.nicmar.ac.in/storage/profile/ProfilePhoto_p2270492_578496.jpg" TargetMode="External"/><Relationship Id="rId_hyperlink_1851" Type="http://schemas.openxmlformats.org/officeDocument/2006/relationships/hyperlink" Target="https://nconnect.nicmar.ac.in/storage/profile/ProfilePhoto_p2270493_154836.jpg" TargetMode="External"/><Relationship Id="rId_hyperlink_1852" Type="http://schemas.openxmlformats.org/officeDocument/2006/relationships/hyperlink" Target="https://nconnect.nicmar.ac.in/storage/profile/ProfilePhoto_p2270494_235497.jpg" TargetMode="External"/><Relationship Id="rId_hyperlink_1853" Type="http://schemas.openxmlformats.org/officeDocument/2006/relationships/hyperlink" Target="https://nconnect.nicmar.ac.in/storage/profile/ProfilePhoto_p2270495_749652.jpg" TargetMode="External"/><Relationship Id="rId_hyperlink_1854" Type="http://schemas.openxmlformats.org/officeDocument/2006/relationships/hyperlink" Target="https://nconnect.nicmar.ac.in/storage/profile/ProfilePhoto_p2270496_217935.jpg" TargetMode="External"/><Relationship Id="rId_hyperlink_1855" Type="http://schemas.openxmlformats.org/officeDocument/2006/relationships/hyperlink" Target="https://nconnect.nicmar.ac.in/storage/profile/ProfilePhoto_p2270497_438126.jpg" TargetMode="External"/><Relationship Id="rId_hyperlink_1856" Type="http://schemas.openxmlformats.org/officeDocument/2006/relationships/hyperlink" Target="https://nconnect.nicmar.ac.in/storage/profile/ProfilePhoto_p2270498_956371.jpg" TargetMode="External"/><Relationship Id="rId_hyperlink_1857" Type="http://schemas.openxmlformats.org/officeDocument/2006/relationships/hyperlink" Target="https://nconnect.nicmar.ac.in/storage/profile/ProfilePhoto_p2270499_273458.jpg" TargetMode="External"/><Relationship Id="rId_hyperlink_1858" Type="http://schemas.openxmlformats.org/officeDocument/2006/relationships/hyperlink" Target="https://nconnect.nicmar.ac.in/storage/profile/ProfilePhoto_p2270500_379218.jpg" TargetMode="External"/><Relationship Id="rId_hyperlink_1859" Type="http://schemas.openxmlformats.org/officeDocument/2006/relationships/hyperlink" Target="https://nconnect.nicmar.ac.in/storage/profile/ProfilePhoto_p2270501_945623.jpg" TargetMode="External"/><Relationship Id="rId_hyperlink_1860" Type="http://schemas.openxmlformats.org/officeDocument/2006/relationships/hyperlink" Target="https://nconnect.nicmar.ac.in/storage/profile/ProfilePhoto_p2270502_217458.jpg" TargetMode="External"/><Relationship Id="rId_hyperlink_1861" Type="http://schemas.openxmlformats.org/officeDocument/2006/relationships/hyperlink" Target="https://nconnect.nicmar.ac.in/storage/profile/ProfilePhoto_p2270503_345672.jpg" TargetMode="External"/><Relationship Id="rId_hyperlink_1862" Type="http://schemas.openxmlformats.org/officeDocument/2006/relationships/hyperlink" Target="https://nconnect.nicmar.ac.in/storage/profile/ProfilePhoto_p2270504_278951.jpg" TargetMode="External"/><Relationship Id="rId_hyperlink_1863" Type="http://schemas.openxmlformats.org/officeDocument/2006/relationships/hyperlink" Target="https://nconnect.nicmar.ac.in/storage/profile/ProfilePhoto_p2270505_762938.jpg" TargetMode="External"/><Relationship Id="rId_hyperlink_1864" Type="http://schemas.openxmlformats.org/officeDocument/2006/relationships/hyperlink" Target="https://nconnect.nicmar.ac.in/storage/profile/ProfilePhoto_p2270506_269185.jpg" TargetMode="External"/><Relationship Id="rId_hyperlink_1865" Type="http://schemas.openxmlformats.org/officeDocument/2006/relationships/hyperlink" Target="https://nconnect.nicmar.ac.in/storage/profile/ProfilePhoto_p2270507_954673.jpg" TargetMode="External"/><Relationship Id="rId_hyperlink_1866" Type="http://schemas.openxmlformats.org/officeDocument/2006/relationships/hyperlink" Target="https://nconnect.nicmar.ac.in/storage/profile/ProfilePhoto_p2270508_789652.jpg" TargetMode="External"/><Relationship Id="rId_hyperlink_1867" Type="http://schemas.openxmlformats.org/officeDocument/2006/relationships/hyperlink" Target="https://nconnect.nicmar.ac.in/storage/profile/ProfilePhoto_p2270509_931674.jpg" TargetMode="External"/><Relationship Id="rId_hyperlink_1868" Type="http://schemas.openxmlformats.org/officeDocument/2006/relationships/hyperlink" Target="https://nconnect.nicmar.ac.in/storage/profile/ProfilePhoto_p2270510_613857.jpg" TargetMode="External"/><Relationship Id="rId_hyperlink_1869" Type="http://schemas.openxmlformats.org/officeDocument/2006/relationships/hyperlink" Target="https://nconnect.nicmar.ac.in/storage/profile/ProfilePhoto_p2270511_239186.jpg" TargetMode="External"/><Relationship Id="rId_hyperlink_1870" Type="http://schemas.openxmlformats.org/officeDocument/2006/relationships/hyperlink" Target="https://nconnect.nicmar.ac.in/storage/profile/ProfilePhoto_p2270512_728631.jpg" TargetMode="External"/><Relationship Id="rId_hyperlink_1871" Type="http://schemas.openxmlformats.org/officeDocument/2006/relationships/hyperlink" Target="https://nconnect.nicmar.ac.in/storage/profile/ProfilePhoto_p2270513_124938.jpg" TargetMode="External"/><Relationship Id="rId_hyperlink_1872" Type="http://schemas.openxmlformats.org/officeDocument/2006/relationships/hyperlink" Target="https://nconnect.nicmar.ac.in/storage/profile/ProfilePhoto_p2270515_148259.jpg" TargetMode="External"/><Relationship Id="rId_hyperlink_1873" Type="http://schemas.openxmlformats.org/officeDocument/2006/relationships/hyperlink" Target="https://nconnect.nicmar.ac.in/storage/profile/ProfilePhoto_p2270516_985173.jpg" TargetMode="External"/><Relationship Id="rId_hyperlink_1874" Type="http://schemas.openxmlformats.org/officeDocument/2006/relationships/hyperlink" Target="https://nconnect.nicmar.ac.in/storage/profile/ProfilePhoto_p2270517_915827.jpg" TargetMode="External"/><Relationship Id="rId_hyperlink_1875" Type="http://schemas.openxmlformats.org/officeDocument/2006/relationships/hyperlink" Target="https://nconnect.nicmar.ac.in/storage/profile/ProfilePhoto_p2270518_831659.jpg" TargetMode="External"/><Relationship Id="rId_hyperlink_1876" Type="http://schemas.openxmlformats.org/officeDocument/2006/relationships/hyperlink" Target="https://nconnect.nicmar.ac.in/storage/profile/ProfilePhoto_p2270519_579623.jpg" TargetMode="External"/><Relationship Id="rId_hyperlink_1877" Type="http://schemas.openxmlformats.org/officeDocument/2006/relationships/hyperlink" Target="https://nconnect.nicmar.ac.in/storage/profile/ProfilePhoto_p2270520_169452.jpg" TargetMode="External"/><Relationship Id="rId_hyperlink_1878" Type="http://schemas.openxmlformats.org/officeDocument/2006/relationships/hyperlink" Target="https://nconnect.nicmar.ac.in/storage/profile/ProfilePhoto_p2270521_265783.jpg" TargetMode="External"/><Relationship Id="rId_hyperlink_1879" Type="http://schemas.openxmlformats.org/officeDocument/2006/relationships/hyperlink" Target="https://nconnect.nicmar.ac.in/storage/profile/ProfilePhoto_p2270522_451823.jpg" TargetMode="External"/><Relationship Id="rId_hyperlink_1880" Type="http://schemas.openxmlformats.org/officeDocument/2006/relationships/hyperlink" Target="https://nconnect.nicmar.ac.in/storage/profile/ProfilePhoto_p2270523_912475.jpg" TargetMode="External"/><Relationship Id="rId_hyperlink_1881" Type="http://schemas.openxmlformats.org/officeDocument/2006/relationships/hyperlink" Target="https://nconnect.nicmar.ac.in/storage/profile/ProfilePhoto_p2270524_918745.jpg" TargetMode="External"/><Relationship Id="rId_hyperlink_1882" Type="http://schemas.openxmlformats.org/officeDocument/2006/relationships/hyperlink" Target="https://nconnect.nicmar.ac.in/storage/profile/ProfilePhoto_p2270525_634859.jpg" TargetMode="External"/><Relationship Id="rId_hyperlink_1883" Type="http://schemas.openxmlformats.org/officeDocument/2006/relationships/hyperlink" Target="https://nconnect.nicmar.ac.in/storage/profile/ProfilePhoto_p2270526_249687.jpg" TargetMode="External"/><Relationship Id="rId_hyperlink_1884" Type="http://schemas.openxmlformats.org/officeDocument/2006/relationships/hyperlink" Target="https://nconnect.nicmar.ac.in/storage/profile/ProfilePhoto_p2270527_475832.jpg" TargetMode="External"/><Relationship Id="rId_hyperlink_1885" Type="http://schemas.openxmlformats.org/officeDocument/2006/relationships/hyperlink" Target="https://nconnect.nicmar.ac.in/storage/profile/ProfilePhoto_p2270528_613875.jpg" TargetMode="External"/><Relationship Id="rId_hyperlink_1886" Type="http://schemas.openxmlformats.org/officeDocument/2006/relationships/hyperlink" Target="https://nconnect.nicmar.ac.in/storage/profile/ProfilePhoto_p2270529_537168.jpg" TargetMode="External"/><Relationship Id="rId_hyperlink_1887" Type="http://schemas.openxmlformats.org/officeDocument/2006/relationships/hyperlink" Target="https://nconnect.nicmar.ac.in/storage/profile/ProfilePhoto_p2270530_963785.jpg" TargetMode="External"/><Relationship Id="rId_hyperlink_1888" Type="http://schemas.openxmlformats.org/officeDocument/2006/relationships/hyperlink" Target="https://nconnect.nicmar.ac.in/storage/profile/ProfilePhoto_p2270531_263715.jpg" TargetMode="External"/><Relationship Id="rId_hyperlink_1889" Type="http://schemas.openxmlformats.org/officeDocument/2006/relationships/hyperlink" Target="https://nconnect.nicmar.ac.in/storage/profile/ProfilePhoto_p2270532_678952.jpg" TargetMode="External"/><Relationship Id="rId_hyperlink_1890" Type="http://schemas.openxmlformats.org/officeDocument/2006/relationships/hyperlink" Target="https://nconnect.nicmar.ac.in/storage/profile/ProfilePhoto_p2270533_412859.jpg" TargetMode="External"/><Relationship Id="rId_hyperlink_1891" Type="http://schemas.openxmlformats.org/officeDocument/2006/relationships/hyperlink" Target="https://nconnect.nicmar.ac.in/storage/profile/ProfilePhoto_p2270534_962745.jpg" TargetMode="External"/><Relationship Id="rId_hyperlink_1892" Type="http://schemas.openxmlformats.org/officeDocument/2006/relationships/hyperlink" Target="https://nconnect.nicmar.ac.in/storage/profile/ProfilePhoto_p2270536_695821.jpg" TargetMode="External"/><Relationship Id="rId_hyperlink_1893" Type="http://schemas.openxmlformats.org/officeDocument/2006/relationships/hyperlink" Target="https://nconnect.nicmar.ac.in/storage/profile/ProfilePhoto_p2270537_263174.jpg" TargetMode="External"/><Relationship Id="rId_hyperlink_1894" Type="http://schemas.openxmlformats.org/officeDocument/2006/relationships/hyperlink" Target="https://nconnect.nicmar.ac.in/storage/profile/ProfilePhoto_p2270538_719328.jpg" TargetMode="External"/><Relationship Id="rId_hyperlink_1895" Type="http://schemas.openxmlformats.org/officeDocument/2006/relationships/hyperlink" Target="https://nconnect.nicmar.ac.in/storage/profile/ProfilePhoto_p2270539_418357.jpg" TargetMode="External"/><Relationship Id="rId_hyperlink_1896" Type="http://schemas.openxmlformats.org/officeDocument/2006/relationships/hyperlink" Target="https://nconnect.nicmar.ac.in/storage/profile/ProfilePhoto_p2270541_768314.jpg" TargetMode="External"/><Relationship Id="rId_hyperlink_1897" Type="http://schemas.openxmlformats.org/officeDocument/2006/relationships/hyperlink" Target="https://nconnect.nicmar.ac.in/storage/profile/ProfilePhoto_p2270542_962174.jpg" TargetMode="External"/><Relationship Id="rId_hyperlink_1898" Type="http://schemas.openxmlformats.org/officeDocument/2006/relationships/hyperlink" Target="https://nconnect.nicmar.ac.in/storage/profile/ProfilePhoto_p2270543_821769.jpg" TargetMode="External"/><Relationship Id="rId_hyperlink_1899" Type="http://schemas.openxmlformats.org/officeDocument/2006/relationships/hyperlink" Target="https://nconnect.nicmar.ac.in/storage/profile/ProfilePhoto_p2270544_534786.jpg" TargetMode="External"/><Relationship Id="rId_hyperlink_1900" Type="http://schemas.openxmlformats.org/officeDocument/2006/relationships/hyperlink" Target="https://nconnect.nicmar.ac.in/storage/profile/ProfilePhoto_p2270545_157428.jpg" TargetMode="External"/><Relationship Id="rId_hyperlink_1901" Type="http://schemas.openxmlformats.org/officeDocument/2006/relationships/hyperlink" Target="https://nconnect.nicmar.ac.in/storage/profile/ProfilePhoto_p2270546_916527.jpg" TargetMode="External"/><Relationship Id="rId_hyperlink_1902" Type="http://schemas.openxmlformats.org/officeDocument/2006/relationships/hyperlink" Target="https://nconnect.nicmar.ac.in/storage/profile/ProfilePhoto_p2270547_814527.jpg" TargetMode="External"/><Relationship Id="rId_hyperlink_1903" Type="http://schemas.openxmlformats.org/officeDocument/2006/relationships/hyperlink" Target="https://nconnect.nicmar.ac.in/storage/profile/ProfilePhoto_p2270548_852936.jpg" TargetMode="External"/><Relationship Id="rId_hyperlink_1904" Type="http://schemas.openxmlformats.org/officeDocument/2006/relationships/hyperlink" Target="https://nconnect.nicmar.ac.in/storage/profile/ProfilePhoto_p2270549_267194.jpg" TargetMode="External"/><Relationship Id="rId_hyperlink_1905" Type="http://schemas.openxmlformats.org/officeDocument/2006/relationships/hyperlink" Target="https://nconnect.nicmar.ac.in/storage/profile/ProfilePhoto_p2270550_192864.jpg" TargetMode="External"/><Relationship Id="rId_hyperlink_1906" Type="http://schemas.openxmlformats.org/officeDocument/2006/relationships/hyperlink" Target="https://nconnect.nicmar.ac.in/storage/profile/ProfilePhoto_p2270551_671592.jpg" TargetMode="External"/><Relationship Id="rId_hyperlink_1907" Type="http://schemas.openxmlformats.org/officeDocument/2006/relationships/hyperlink" Target="https://nconnect.nicmar.ac.in/storage/profile/ProfilePhoto_p2270552_568237.jpg" TargetMode="External"/><Relationship Id="rId_hyperlink_1908" Type="http://schemas.openxmlformats.org/officeDocument/2006/relationships/hyperlink" Target="https://nconnect.nicmar.ac.in/storage/profile/ProfilePhoto_p2270553_426971.jpg" TargetMode="External"/><Relationship Id="rId_hyperlink_1909" Type="http://schemas.openxmlformats.org/officeDocument/2006/relationships/hyperlink" Target="https://nconnect.nicmar.ac.in/storage/profile/ProfilePhoto_p2270554_674295.jpg" TargetMode="External"/><Relationship Id="rId_hyperlink_1910" Type="http://schemas.openxmlformats.org/officeDocument/2006/relationships/hyperlink" Target="https://nconnect.nicmar.ac.in/storage/profile/ProfilePhoto_p2270555_765428.jpg" TargetMode="External"/><Relationship Id="rId_hyperlink_1911" Type="http://schemas.openxmlformats.org/officeDocument/2006/relationships/hyperlink" Target="https://nconnect.nicmar.ac.in/storage/profile/ProfilePhoto_p2270556_184279.jpg" TargetMode="External"/><Relationship Id="rId_hyperlink_1912" Type="http://schemas.openxmlformats.org/officeDocument/2006/relationships/hyperlink" Target="https://nconnect.nicmar.ac.in/storage/profile/ProfilePhoto_p2270557_623749.jpg" TargetMode="External"/><Relationship Id="rId_hyperlink_1913" Type="http://schemas.openxmlformats.org/officeDocument/2006/relationships/hyperlink" Target="https://nconnect.nicmar.ac.in/storage/profile/ProfilePhoto_p2270558_924375.jpg" TargetMode="External"/><Relationship Id="rId_hyperlink_1914" Type="http://schemas.openxmlformats.org/officeDocument/2006/relationships/hyperlink" Target="https://nconnect.nicmar.ac.in/storage/profile/ProfilePhoto_p2270559_163948.jpg" TargetMode="External"/><Relationship Id="rId_hyperlink_1915" Type="http://schemas.openxmlformats.org/officeDocument/2006/relationships/hyperlink" Target="https://nconnect.nicmar.ac.in/storage/profile/ProfilePhoto_p2270560_842569.jpg" TargetMode="External"/><Relationship Id="rId_hyperlink_1916" Type="http://schemas.openxmlformats.org/officeDocument/2006/relationships/hyperlink" Target="https://nconnect.nicmar.ac.in/storage/profile/ProfilePhoto_p2270561_931478.jpg" TargetMode="External"/><Relationship Id="rId_hyperlink_1917" Type="http://schemas.openxmlformats.org/officeDocument/2006/relationships/hyperlink" Target="https://nconnect.nicmar.ac.in/storage/profile/ProfilePhoto_p2270562_642875.jpg" TargetMode="External"/><Relationship Id="rId_hyperlink_1918" Type="http://schemas.openxmlformats.org/officeDocument/2006/relationships/hyperlink" Target="https://nconnect.nicmar.ac.in/storage/profile/ProfilePhoto_p2270563_538697.jpg" TargetMode="External"/><Relationship Id="rId_hyperlink_1919" Type="http://schemas.openxmlformats.org/officeDocument/2006/relationships/hyperlink" Target="https://nconnect.nicmar.ac.in/storage/profile/ProfilePhoto_p2270564_921463.jpg" TargetMode="External"/><Relationship Id="rId_hyperlink_1920" Type="http://schemas.openxmlformats.org/officeDocument/2006/relationships/hyperlink" Target="https://nconnect.nicmar.ac.in/storage/profile/ProfilePhoto_p2270565_589164.jpg" TargetMode="External"/><Relationship Id="rId_hyperlink_1921" Type="http://schemas.openxmlformats.org/officeDocument/2006/relationships/hyperlink" Target="https://nconnect.nicmar.ac.in/storage/profile/ProfilePhoto_p2270566_574613.jpg" TargetMode="External"/><Relationship Id="rId_hyperlink_1922" Type="http://schemas.openxmlformats.org/officeDocument/2006/relationships/hyperlink" Target="https://nconnect.nicmar.ac.in/storage/profile/ProfilePhoto_p2270567_984653.jpg" TargetMode="External"/><Relationship Id="rId_hyperlink_1923" Type="http://schemas.openxmlformats.org/officeDocument/2006/relationships/hyperlink" Target="https://nconnect.nicmar.ac.in/storage/profile/ProfilePhoto_p2270568_183967.jpg" TargetMode="External"/><Relationship Id="rId_hyperlink_1924" Type="http://schemas.openxmlformats.org/officeDocument/2006/relationships/hyperlink" Target="https://nconnect.nicmar.ac.in/storage/profile/ProfilePhoto_p2270569_813745.jpg" TargetMode="External"/><Relationship Id="rId_hyperlink_1925" Type="http://schemas.openxmlformats.org/officeDocument/2006/relationships/hyperlink" Target="https://nconnect.nicmar.ac.in/storage/profile/ProfilePhoto_p2270570_357146.jpg" TargetMode="External"/><Relationship Id="rId_hyperlink_1926" Type="http://schemas.openxmlformats.org/officeDocument/2006/relationships/hyperlink" Target="https://nconnect.nicmar.ac.in/storage/profile/ProfilePhoto_p2270571_259471.jpg" TargetMode="External"/><Relationship Id="rId_hyperlink_1927" Type="http://schemas.openxmlformats.org/officeDocument/2006/relationships/hyperlink" Target="https://nconnect.nicmar.ac.in/storage/profile/ProfilePhoto_p2270572_137684.jpg" TargetMode="External"/><Relationship Id="rId_hyperlink_1928" Type="http://schemas.openxmlformats.org/officeDocument/2006/relationships/hyperlink" Target="https://nconnect.nicmar.ac.in/storage/profile/ProfilePhoto_p2270573_764295.jpg" TargetMode="External"/><Relationship Id="rId_hyperlink_1929" Type="http://schemas.openxmlformats.org/officeDocument/2006/relationships/hyperlink" Target="https://nconnect.nicmar.ac.in/storage/profile/ProfilePhoto_p2270574_524986.jpg" TargetMode="External"/><Relationship Id="rId_hyperlink_1930" Type="http://schemas.openxmlformats.org/officeDocument/2006/relationships/hyperlink" Target="https://nconnect.nicmar.ac.in/storage/profile/ProfilePhoto_p2270575_583647.jpg" TargetMode="External"/><Relationship Id="rId_hyperlink_1931" Type="http://schemas.openxmlformats.org/officeDocument/2006/relationships/hyperlink" Target="https://nconnect.nicmar.ac.in/storage/profile/ProfilePhoto_p2270576_578642.jpg" TargetMode="External"/><Relationship Id="rId_hyperlink_1932" Type="http://schemas.openxmlformats.org/officeDocument/2006/relationships/hyperlink" Target="https://nconnect.nicmar.ac.in/storage/profile/ProfilePhoto_p2270577_137692.jpg" TargetMode="External"/><Relationship Id="rId_hyperlink_1933" Type="http://schemas.openxmlformats.org/officeDocument/2006/relationships/hyperlink" Target="https://nconnect.nicmar.ac.in/storage/profile/ProfilePhoto_p2270578_569137.jpg" TargetMode="External"/><Relationship Id="rId_hyperlink_1934" Type="http://schemas.openxmlformats.org/officeDocument/2006/relationships/hyperlink" Target="https://nconnect.nicmar.ac.in/storage/profile/ProfilePhoto_p2270579_749651.jpg" TargetMode="External"/><Relationship Id="rId_hyperlink_1935" Type="http://schemas.openxmlformats.org/officeDocument/2006/relationships/hyperlink" Target="https://nconnect.nicmar.ac.in/storage/profile/ProfilePhoto_p2270580_123647.jpg" TargetMode="External"/><Relationship Id="rId_hyperlink_1936" Type="http://schemas.openxmlformats.org/officeDocument/2006/relationships/hyperlink" Target="https://nconnect.nicmar.ac.in/storage/profile/ProfilePhoto_p2270581_891253.jpg" TargetMode="External"/><Relationship Id="rId_hyperlink_1937" Type="http://schemas.openxmlformats.org/officeDocument/2006/relationships/hyperlink" Target="https://nconnect.nicmar.ac.in/storage/profile/ProfilePhoto_p2270582_562789.jpg" TargetMode="External"/><Relationship Id="rId_hyperlink_1938" Type="http://schemas.openxmlformats.org/officeDocument/2006/relationships/hyperlink" Target="https://nconnect.nicmar.ac.in/storage/profile/ProfilePhoto_p2270583_156738.jpg" TargetMode="External"/><Relationship Id="rId_hyperlink_1939" Type="http://schemas.openxmlformats.org/officeDocument/2006/relationships/hyperlink" Target="https://nconnect.nicmar.ac.in/storage/profile/ProfilePhoto_p2270584_731496.jpg" TargetMode="External"/><Relationship Id="rId_hyperlink_1940" Type="http://schemas.openxmlformats.org/officeDocument/2006/relationships/hyperlink" Target="https://nconnect.nicmar.ac.in/storage/profile/ProfilePhoto_p2270585_645329.jpg" TargetMode="External"/><Relationship Id="rId_hyperlink_1941" Type="http://schemas.openxmlformats.org/officeDocument/2006/relationships/hyperlink" Target="https://nconnect.nicmar.ac.in/storage/profile/ProfilePhoto_p2270586_814739.jpg" TargetMode="External"/><Relationship Id="rId_hyperlink_1942" Type="http://schemas.openxmlformats.org/officeDocument/2006/relationships/hyperlink" Target="https://nconnect.nicmar.ac.in/storage/profile/ProfilePhoto_p2270587_463175.jpg" TargetMode="External"/><Relationship Id="rId_hyperlink_1943" Type="http://schemas.openxmlformats.org/officeDocument/2006/relationships/hyperlink" Target="https://nconnect.nicmar.ac.in/storage/profile/ProfilePhoto_p2270588_175629.jpg" TargetMode="External"/><Relationship Id="rId_hyperlink_1944" Type="http://schemas.openxmlformats.org/officeDocument/2006/relationships/hyperlink" Target="https://nconnect.nicmar.ac.in/storage/profile/ProfilePhoto_p2270589_741392.jpg" TargetMode="External"/><Relationship Id="rId_hyperlink_1945" Type="http://schemas.openxmlformats.org/officeDocument/2006/relationships/hyperlink" Target="https://nconnect.nicmar.ac.in/storage/profile/ProfilePhoto_p2270590_861749.jpg" TargetMode="External"/><Relationship Id="rId_hyperlink_1946" Type="http://schemas.openxmlformats.org/officeDocument/2006/relationships/hyperlink" Target="https://nconnect.nicmar.ac.in/storage/profile/ProfilePhoto_p2270591_183946.jpg" TargetMode="External"/><Relationship Id="rId_hyperlink_1947" Type="http://schemas.openxmlformats.org/officeDocument/2006/relationships/hyperlink" Target="https://nconnect.nicmar.ac.in/storage/profile/ProfilePhoto_p2270592_156382.jpg" TargetMode="External"/><Relationship Id="rId_hyperlink_1948" Type="http://schemas.openxmlformats.org/officeDocument/2006/relationships/hyperlink" Target="https://nconnect.nicmar.ac.in/storage/profile/ProfilePhoto_p2270593_258364.jpg" TargetMode="External"/><Relationship Id="rId_hyperlink_1949" Type="http://schemas.openxmlformats.org/officeDocument/2006/relationships/hyperlink" Target="https://nconnect.nicmar.ac.in/storage/profile/ProfilePhoto_p2270594_764139.jpg" TargetMode="External"/><Relationship Id="rId_hyperlink_1950" Type="http://schemas.openxmlformats.org/officeDocument/2006/relationships/hyperlink" Target="https://nconnect.nicmar.ac.in/storage/profile/ProfilePhoto_p2270595_549261.jpg" TargetMode="External"/><Relationship Id="rId_hyperlink_1951" Type="http://schemas.openxmlformats.org/officeDocument/2006/relationships/hyperlink" Target="https://nconnect.nicmar.ac.in/storage/profile/ProfilePhoto_p2270597_349712.jpg" TargetMode="External"/><Relationship Id="rId_hyperlink_1952" Type="http://schemas.openxmlformats.org/officeDocument/2006/relationships/hyperlink" Target="https://nconnect.nicmar.ac.in/storage/profile/ProfilePhoto_p2270598_617385.jpg" TargetMode="External"/><Relationship Id="rId_hyperlink_1953" Type="http://schemas.openxmlformats.org/officeDocument/2006/relationships/hyperlink" Target="https://nconnect.nicmar.ac.in/storage/profile/ProfilePhoto_p2270599_943156.jpg" TargetMode="External"/><Relationship Id="rId_hyperlink_1954" Type="http://schemas.openxmlformats.org/officeDocument/2006/relationships/hyperlink" Target="https://nconnect.nicmar.ac.in/storage/profile/ProfilePhoto_p2270600_736142.jpg" TargetMode="External"/><Relationship Id="rId_hyperlink_1955" Type="http://schemas.openxmlformats.org/officeDocument/2006/relationships/hyperlink" Target="https://nconnect.nicmar.ac.in/storage/profile/ProfilePhoto_p2270601_472158.jpg" TargetMode="External"/><Relationship Id="rId_hyperlink_1956" Type="http://schemas.openxmlformats.org/officeDocument/2006/relationships/hyperlink" Target="https://nconnect.nicmar.ac.in/storage/profile/ProfilePhoto_p2270602_924853.jpg" TargetMode="External"/><Relationship Id="rId_hyperlink_1957" Type="http://schemas.openxmlformats.org/officeDocument/2006/relationships/hyperlink" Target="https://nconnect.nicmar.ac.in/storage/profile/ProfilePhoto_P2270603_578123.jpg" TargetMode="External"/><Relationship Id="rId_hyperlink_1958" Type="http://schemas.openxmlformats.org/officeDocument/2006/relationships/hyperlink" Target="https://nconnect.nicmar.ac.in/storage/profile/ProfilePhoto_P2270604_712548.jpg" TargetMode="External"/><Relationship Id="rId_hyperlink_1959" Type="http://schemas.openxmlformats.org/officeDocument/2006/relationships/hyperlink" Target="https://nconnect.nicmar.ac.in/storage/profile/ProfilePhoto_p2270008_876423.jpg" TargetMode="External"/><Relationship Id="rId_hyperlink_1960" Type="http://schemas.openxmlformats.org/officeDocument/2006/relationships/hyperlink" Target="https://nconnect.nicmar.ac.in/storage/profile/ProfilePhoto_p2270218_491856.jpg" TargetMode="External"/><Relationship Id="rId_hyperlink_1961" Type="http://schemas.openxmlformats.org/officeDocument/2006/relationships/hyperlink" Target="https://nconnect.nicmar.ac.in/storage/profile/ProfilePhoto_p2270378_716549.jpg" TargetMode="External"/><Relationship Id="rId_hyperlink_1962" Type="http://schemas.openxmlformats.org/officeDocument/2006/relationships/hyperlink" Target="https://nconnect.nicmar.ac.in/storage/profile/ProfilePhoto_p2270406_928763.jpg" TargetMode="External"/><Relationship Id="rId_hyperlink_1963" Type="http://schemas.openxmlformats.org/officeDocument/2006/relationships/hyperlink" Target="https://nconnect.nicmar.ac.in/storage/profile/ProfilePhoto_p2270481_835761.jpg" TargetMode="External"/><Relationship Id="rId_hyperlink_1964" Type="http://schemas.openxmlformats.org/officeDocument/2006/relationships/hyperlink" Target="https://nconnect.nicmar.ac.in/storage/profile/ProfilePhoto_p2270268_725981.jpg" TargetMode="External"/><Relationship Id="rId_hyperlink_1965" Type="http://schemas.openxmlformats.org/officeDocument/2006/relationships/hyperlink" Target="https://nconnect.nicmar.ac.in/storage/profile/ProfilePhoto_p2270535_257168.jpg" TargetMode="External"/><Relationship Id="rId_hyperlink_1966" Type="http://schemas.openxmlformats.org/officeDocument/2006/relationships/hyperlink" Target="https://nconnect.nicmar.ac.in/storage/profile/6a1ff84bd9c64.png" TargetMode="External"/><Relationship Id="rId_hyperlink_1967" Type="http://schemas.openxmlformats.org/officeDocument/2006/relationships/hyperlink" Target="https://nconnect.nicmar.ac.in/storage/profile/6a20f9c0b49b0.png" TargetMode="External"/><Relationship Id="rId_hyperlink_1968" Type="http://schemas.openxmlformats.org/officeDocument/2006/relationships/hyperlink" Target="https://nconnect.nicmar.ac.in/storage/profile/6a2103f0b6786.png" TargetMode="External"/><Relationship Id="rId_hyperlink_1969" Type="http://schemas.openxmlformats.org/officeDocument/2006/relationships/hyperlink" Target="https://nconnect.nicmar.ac.in/storage/profile/6a210ba0cac18.png" TargetMode="External"/><Relationship Id="rId_hyperlink_1970" Type="http://schemas.openxmlformats.org/officeDocument/2006/relationships/hyperlink" Target="https://nconnect.nicmar.ac.in/storage/profile/6a21173ac4788.png" TargetMode="External"/><Relationship Id="rId_hyperlink_1971" Type="http://schemas.openxmlformats.org/officeDocument/2006/relationships/hyperlink" Target="https://nconnect.nicmar.ac.in/storage/profile/6a211eb83dc01.png" TargetMode="External"/><Relationship Id="rId_hyperlink_1972" Type="http://schemas.openxmlformats.org/officeDocument/2006/relationships/hyperlink" Target="https://nconnect.nicmar.ac.in/storage/profile/6a21248d96303.png" TargetMode="External"/><Relationship Id="rId_hyperlink_1973" Type="http://schemas.openxmlformats.org/officeDocument/2006/relationships/hyperlink" Target="https://nconnect.nicmar.ac.in/storage/profile/6a213e6b214b4.png" TargetMode="External"/><Relationship Id="rId_hyperlink_1974" Type="http://schemas.openxmlformats.org/officeDocument/2006/relationships/hyperlink" Target="https://nconnect.nicmar.ac.in/storage/profile/6a2144da8acc0.png" TargetMode="External"/><Relationship Id="rId_hyperlink_1975" Type="http://schemas.openxmlformats.org/officeDocument/2006/relationships/hyperlink" Target="https://nconnect.nicmar.ac.in/storage/profile/6a215333ef911.png" TargetMode="External"/><Relationship Id="rId_hyperlink_1976" Type="http://schemas.openxmlformats.org/officeDocument/2006/relationships/hyperlink" Target="https://nconnect.nicmar.ac.in/storage/profile/6a215af3bfa89.png" TargetMode="External"/><Relationship Id="rId_hyperlink_1977" Type="http://schemas.openxmlformats.org/officeDocument/2006/relationships/hyperlink" Target="https://nconnect.nicmar.ac.in/storage/profile/6a2151e4b96fb.png" TargetMode="External"/><Relationship Id="rId_hyperlink_1978" Type="http://schemas.openxmlformats.org/officeDocument/2006/relationships/hyperlink" Target="https://nconnect.nicmar.ac.in/storage/profile/6a213db498d95.png" TargetMode="External"/><Relationship Id="rId_hyperlink_1979" Type="http://schemas.openxmlformats.org/officeDocument/2006/relationships/hyperlink" Target="https://nconnect.nicmar.ac.in/storage/profile/6a2122372a8fe.png" TargetMode="External"/><Relationship Id="rId_hyperlink_1980" Type="http://schemas.openxmlformats.org/officeDocument/2006/relationships/hyperlink" Target="https://nconnect.nicmar.ac.in/storage/profile/6a2117038be45.png" TargetMode="External"/><Relationship Id="rId_hyperlink_1981" Type="http://schemas.openxmlformats.org/officeDocument/2006/relationships/hyperlink" Target="https://nconnect.nicmar.ac.in/storage/profile/6a210dbd65393.png" TargetMode="External"/><Relationship Id="rId_hyperlink_1982" Type="http://schemas.openxmlformats.org/officeDocument/2006/relationships/hyperlink" Target="https://nconnect.nicmar.ac.in/storage/profile/6a20fb7964b78.png" TargetMode="External"/><Relationship Id="rId_hyperlink_1983" Type="http://schemas.openxmlformats.org/officeDocument/2006/relationships/hyperlink" Target="https://nconnect.nicmar.ac.in/storage/profile/6a2011a6456bc.png" TargetMode="External"/><Relationship Id="rId_hyperlink_1984" Type="http://schemas.openxmlformats.org/officeDocument/2006/relationships/hyperlink" Target="https://nconnect.nicmar.ac.in/storage/profile/6a20041f0beae.png" TargetMode="External"/><Relationship Id="rId_hyperlink_1985" Type="http://schemas.openxmlformats.org/officeDocument/2006/relationships/hyperlink" Target="https://nconnect.nicmar.ac.in/storage/profile/6a26636e35111.png" TargetMode="External"/><Relationship Id="rId_hyperlink_1986" Type="http://schemas.openxmlformats.org/officeDocument/2006/relationships/hyperlink" Target="https://nconnect.nicmar.ac.in/storage/profile/6a266895a2273.png" TargetMode="External"/><Relationship Id="rId_hyperlink_1987" Type="http://schemas.openxmlformats.org/officeDocument/2006/relationships/hyperlink" Target="https://nconnect.nicmar.ac.in/storage/profile/6a2678a2bf61d.png" TargetMode="External"/><Relationship Id="rId_hyperlink_1988" Type="http://schemas.openxmlformats.org/officeDocument/2006/relationships/hyperlink" Target="https://nconnect.nicmar.ac.in/storage/profile/6a2685caa33b5.png" TargetMode="External"/><Relationship Id="rId_hyperlink_1989" Type="http://schemas.openxmlformats.org/officeDocument/2006/relationships/hyperlink" Target="https://nconnect.nicmar.ac.in/storage/profile/6a267e16ddcdb.png" TargetMode="External"/><Relationship Id="rId_hyperlink_1990" Type="http://schemas.openxmlformats.org/officeDocument/2006/relationships/hyperlink" Target="https://nconnect.nicmar.ac.in/storage/profile/6a265cafc1c98.png" TargetMode="External"/><Relationship Id="rId_hyperlink_1991" Type="http://schemas.openxmlformats.org/officeDocument/2006/relationships/hyperlink" Target="https://nconnect.nicmar.ac.in/storage/profile/6a26521b8c899.png" TargetMode="External"/><Relationship Id="rId_hyperlink_1992" Type="http://schemas.openxmlformats.org/officeDocument/2006/relationships/hyperlink" Target="https://nconnect.nicmar.ac.in/storage/profile/ProfilePhoto_P25702005_782691.jpg" TargetMode="External"/><Relationship Id="rId_hyperlink_1993" Type="http://schemas.openxmlformats.org/officeDocument/2006/relationships/hyperlink" Target="https://nconnect.nicmar.ac.in/storage/profile/ProfilePhoto_P25702006_129674.jpg" TargetMode="External"/><Relationship Id="rId_hyperlink_1994" Type="http://schemas.openxmlformats.org/officeDocument/2006/relationships/hyperlink" Target="https://nconnect.nicmar.ac.in/storage/profile/ProfilePhoto_P25702007_643529.jpg" TargetMode="External"/><Relationship Id="rId_hyperlink_1995" Type="http://schemas.openxmlformats.org/officeDocument/2006/relationships/hyperlink" Target="https://nconnect.nicmar.ac.in/storage/profile/ProfilePhoto_P25702008_452319.jpg" TargetMode="External"/><Relationship Id="rId_hyperlink_1996" Type="http://schemas.openxmlformats.org/officeDocument/2006/relationships/hyperlink" Target="https://nconnect.nicmar.ac.in/storage/profile/ProfilePhoto_P25702009_718354.jpg" TargetMode="External"/><Relationship Id="rId_hyperlink_1997" Type="http://schemas.openxmlformats.org/officeDocument/2006/relationships/hyperlink" Target="https://nconnect.nicmar.ac.in/storage/profile/ProfilePhoto_P25702010_942758.jpg" TargetMode="External"/><Relationship Id="rId_hyperlink_1998" Type="http://schemas.openxmlformats.org/officeDocument/2006/relationships/hyperlink" Target="https://nconnect.nicmar.ac.in/storage/profile/6a6612129d7f8.png" TargetMode="External"/><Relationship Id="rId_hyperlink_1999" Type="http://schemas.openxmlformats.org/officeDocument/2006/relationships/hyperlink" Target="https://nconnect.nicmar.ac.in/storage/profile/ProfilePhoto_P25702013_817429.jpg" TargetMode="External"/><Relationship Id="rId_hyperlink_2000" Type="http://schemas.openxmlformats.org/officeDocument/2006/relationships/hyperlink" Target="https://nconnect.nicmar.ac.in/storage/profile/ProfilePhoto_P25702014_613248.jpg" TargetMode="External"/><Relationship Id="rId_hyperlink_2001" Type="http://schemas.openxmlformats.org/officeDocument/2006/relationships/hyperlink" Target="https://nconnect.nicmar.ac.in/storage/profile/ProfilePhoto_P25702015_368254.jpg" TargetMode="External"/><Relationship Id="rId_hyperlink_2002" Type="http://schemas.openxmlformats.org/officeDocument/2006/relationships/hyperlink" Target="https://nconnect.nicmar.ac.in/storage/profile/ProfilePhoto_P25702016_652349.jpg" TargetMode="External"/><Relationship Id="rId_hyperlink_2003" Type="http://schemas.openxmlformats.org/officeDocument/2006/relationships/hyperlink" Target="https://nconnect.nicmar.ac.in/storage/profile/ProfilePhoto_P25702018_693254.jpg" TargetMode="External"/><Relationship Id="rId_hyperlink_2004" Type="http://schemas.openxmlformats.org/officeDocument/2006/relationships/hyperlink" Target="https://nconnect.nicmar.ac.in/storage/profile/ProfilePhoto_P25702019_689217.jpg" TargetMode="External"/><Relationship Id="rId_hyperlink_2005" Type="http://schemas.openxmlformats.org/officeDocument/2006/relationships/hyperlink" Target="https://nconnect.nicmar.ac.in/storage/profile/ProfilePhoto_P25702020_435189.jpg" TargetMode="External"/><Relationship Id="rId_hyperlink_2006" Type="http://schemas.openxmlformats.org/officeDocument/2006/relationships/hyperlink" Target="https://nconnect.nicmar.ac.in/storage/profile/ProfilePhoto_P25702021_253841.jpg" TargetMode="External"/><Relationship Id="rId_hyperlink_2007" Type="http://schemas.openxmlformats.org/officeDocument/2006/relationships/hyperlink" Target="https://nconnect.nicmar.ac.in/storage/profile/ProfilePhoto_P25702022_617352.jpg" TargetMode="External"/><Relationship Id="rId_hyperlink_2008" Type="http://schemas.openxmlformats.org/officeDocument/2006/relationships/hyperlink" Target="https://nconnect.nicmar.ac.in/storage/profile/ProfilePhoto_P25702023_483726.jpg" TargetMode="External"/><Relationship Id="rId_hyperlink_2009" Type="http://schemas.openxmlformats.org/officeDocument/2006/relationships/hyperlink" Target="https://nconnect.nicmar.ac.in/storage/profile/ProfilePhoto_P25702024_291845.jpg" TargetMode="External"/><Relationship Id="rId_hyperlink_2010" Type="http://schemas.openxmlformats.org/officeDocument/2006/relationships/hyperlink" Target="https://nconnect.nicmar.ac.in/storage/profile/ProfilePhoto_P25702025_648375.jpg" TargetMode="External"/><Relationship Id="rId_hyperlink_2011" Type="http://schemas.openxmlformats.org/officeDocument/2006/relationships/hyperlink" Target="https://nconnect.nicmar.ac.in/storage/profile/ProfilePhoto_P25702026_459627.jpg" TargetMode="External"/><Relationship Id="rId_hyperlink_2012" Type="http://schemas.openxmlformats.org/officeDocument/2006/relationships/hyperlink" Target="https://nconnect.nicmar.ac.in/storage/profile/ProfilePhoto_P25702027_156924.jpg" TargetMode="External"/><Relationship Id="rId_hyperlink_2013" Type="http://schemas.openxmlformats.org/officeDocument/2006/relationships/hyperlink" Target="https://nconnect.nicmar.ac.in/storage/profile/ProfilePhoto_P25702028_937845.jpg" TargetMode="External"/><Relationship Id="rId_hyperlink_2014" Type="http://schemas.openxmlformats.org/officeDocument/2006/relationships/hyperlink" Target="https://nconnect.nicmar.ac.in/storage/profile/ProfilePhoto_P25702029_478612.jpg" TargetMode="External"/><Relationship Id="rId_hyperlink_2015" Type="http://schemas.openxmlformats.org/officeDocument/2006/relationships/hyperlink" Target="https://nconnect.nicmar.ac.in/storage/profile/ProfilePhoto_P25702030_594783.jpg" TargetMode="External"/><Relationship Id="rId_hyperlink_2016" Type="http://schemas.openxmlformats.org/officeDocument/2006/relationships/hyperlink" Target="https://nconnect.nicmar.ac.in/storage/profile/ProfilePhoto_P25702031_539764.jpg" TargetMode="External"/><Relationship Id="rId_hyperlink_2017" Type="http://schemas.openxmlformats.org/officeDocument/2006/relationships/hyperlink" Target="https://nconnect.nicmar.ac.in/storage/profile/ProfilePhoto_P25702032_856149.jpg" TargetMode="External"/><Relationship Id="rId_hyperlink_2018" Type="http://schemas.openxmlformats.org/officeDocument/2006/relationships/hyperlink" Target="https://nconnect.nicmar.ac.in/storage/profile/ProfilePhoto_P25702033_792583.jpg" TargetMode="External"/><Relationship Id="rId_hyperlink_2019" Type="http://schemas.openxmlformats.org/officeDocument/2006/relationships/hyperlink" Target="https://nconnect.nicmar.ac.in/storage/profile/ProfilePhoto_P25702034_732194.jpg" TargetMode="External"/><Relationship Id="rId_hyperlink_2020" Type="http://schemas.openxmlformats.org/officeDocument/2006/relationships/hyperlink" Target="https://nconnect.nicmar.ac.in/storage/profile/ProfilePhoto_P25702035_359426.jpg" TargetMode="External"/><Relationship Id="rId_hyperlink_2021" Type="http://schemas.openxmlformats.org/officeDocument/2006/relationships/hyperlink" Target="https://nconnect.nicmar.ac.in/storage/profile/ProfilePhoto_P25702036_658941.jpg" TargetMode="External"/><Relationship Id="rId_hyperlink_2022" Type="http://schemas.openxmlformats.org/officeDocument/2006/relationships/hyperlink" Target="https://nconnect.nicmar.ac.in/storage/profile/ProfilePhoto_P25702037_783451.jpg" TargetMode="External"/><Relationship Id="rId_hyperlink_2023" Type="http://schemas.openxmlformats.org/officeDocument/2006/relationships/hyperlink" Target="https://nconnect.nicmar.ac.in/storage/profile/ProfilePhoto_P25702038_746298.jpg" TargetMode="External"/><Relationship Id="rId_hyperlink_2024" Type="http://schemas.openxmlformats.org/officeDocument/2006/relationships/hyperlink" Target="https://nconnect.nicmar.ac.in/storage/profile/ProfilePhoto_P25702039_538214.jpg" TargetMode="External"/><Relationship Id="rId_hyperlink_2025" Type="http://schemas.openxmlformats.org/officeDocument/2006/relationships/hyperlink" Target="https://nconnect.nicmar.ac.in/storage/profile/ProfilePhoto_P25702040_591438.jpg" TargetMode="External"/><Relationship Id="rId_hyperlink_2026" Type="http://schemas.openxmlformats.org/officeDocument/2006/relationships/hyperlink" Target="https://nconnect.nicmar.ac.in/storage/profile/ProfilePhoto_P25702041_289157.jpg" TargetMode="External"/><Relationship Id="rId_hyperlink_2027" Type="http://schemas.openxmlformats.org/officeDocument/2006/relationships/hyperlink" Target="https://nconnect.nicmar.ac.in/storage/profile/6a7bf50811c8c.png" TargetMode="External"/><Relationship Id="rId_hyperlink_2028" Type="http://schemas.openxmlformats.org/officeDocument/2006/relationships/hyperlink" Target="https://nconnect.nicmar.ac.in/storage/profile/ProfilePhoto_P25702043_481923.jpg" TargetMode="External"/><Relationship Id="rId_hyperlink_2029" Type="http://schemas.openxmlformats.org/officeDocument/2006/relationships/hyperlink" Target="https://nconnect.nicmar.ac.in/storage/profile/ProfilePhoto_P25702044_783125.jpg" TargetMode="External"/><Relationship Id="rId_hyperlink_2030" Type="http://schemas.openxmlformats.org/officeDocument/2006/relationships/hyperlink" Target="https://nconnect.nicmar.ac.in/storage/profile/ProfilePhoto_P25702045_132689.jpg" TargetMode="External"/><Relationship Id="rId_hyperlink_2031" Type="http://schemas.openxmlformats.org/officeDocument/2006/relationships/hyperlink" Target="https://nconnect.nicmar.ac.in/storage/profile/ProfilePhoto_P25702046_835946.jpg" TargetMode="External"/><Relationship Id="rId_hyperlink_2032" Type="http://schemas.openxmlformats.org/officeDocument/2006/relationships/hyperlink" Target="https://nconnect.nicmar.ac.in/storage/profile/ProfilePhoto_P25702048_294635.jpg" TargetMode="External"/><Relationship Id="rId_hyperlink_2033" Type="http://schemas.openxmlformats.org/officeDocument/2006/relationships/hyperlink" Target="https://nconnect.nicmar.ac.in/storage/profile/ProfilePhoto_P25702049_725163.jpg" TargetMode="External"/><Relationship Id="rId_hyperlink_2034" Type="http://schemas.openxmlformats.org/officeDocument/2006/relationships/hyperlink" Target="https://nconnect.nicmar.ac.in/storage/profile/ProfilePhoto_P25702050_734158.jpg" TargetMode="External"/><Relationship Id="rId_hyperlink_2035" Type="http://schemas.openxmlformats.org/officeDocument/2006/relationships/hyperlink" Target="https://nconnect.nicmar.ac.in/storage/profile/ProfilePhoto_P25702051_167852.jpg" TargetMode="External"/><Relationship Id="rId_hyperlink_2036" Type="http://schemas.openxmlformats.org/officeDocument/2006/relationships/hyperlink" Target="https://nconnect.nicmar.ac.in/storage/profile/ProfilePhoto_P25702052_983415.jpg" TargetMode="External"/><Relationship Id="rId_hyperlink_2037" Type="http://schemas.openxmlformats.org/officeDocument/2006/relationships/hyperlink" Target="https://nconnect.nicmar.ac.in/storage/profile/ProfilePhoto_P25702053_548217.jpg" TargetMode="External"/><Relationship Id="rId_hyperlink_2038" Type="http://schemas.openxmlformats.org/officeDocument/2006/relationships/hyperlink" Target="https://nconnect.nicmar.ac.in/storage/profile/ProfilePhoto_P25702054_231546.jpg" TargetMode="External"/><Relationship Id="rId_hyperlink_2039" Type="http://schemas.openxmlformats.org/officeDocument/2006/relationships/hyperlink" Target="https://nconnect.nicmar.ac.in/storage/profile/ProfilePhoto_P25702055_726958.jpg" TargetMode="External"/><Relationship Id="rId_hyperlink_2040" Type="http://schemas.openxmlformats.org/officeDocument/2006/relationships/hyperlink" Target="https://nconnect.nicmar.ac.in/storage/profile/ProfilePhoto_P25702056_163759.jpg" TargetMode="External"/><Relationship Id="rId_hyperlink_2041" Type="http://schemas.openxmlformats.org/officeDocument/2006/relationships/hyperlink" Target="https://nconnect.nicmar.ac.in/storage/profile/ProfilePhoto_P25702057_789125.jpg" TargetMode="External"/><Relationship Id="rId_hyperlink_2042" Type="http://schemas.openxmlformats.org/officeDocument/2006/relationships/hyperlink" Target="https://nconnect.nicmar.ac.in/storage/profile/ProfilePhoto_P25702058_624583.jpg" TargetMode="External"/><Relationship Id="rId_hyperlink_2043" Type="http://schemas.openxmlformats.org/officeDocument/2006/relationships/hyperlink" Target="https://nconnect.nicmar.ac.in/storage/profile/ProfilePhoto_P25702059_864359.jpg" TargetMode="External"/><Relationship Id="rId_hyperlink_2044" Type="http://schemas.openxmlformats.org/officeDocument/2006/relationships/hyperlink" Target="https://nconnect.nicmar.ac.in/storage/profile/ProfilePhoto_P25702060_829173.jpg" TargetMode="External"/><Relationship Id="rId_hyperlink_2045" Type="http://schemas.openxmlformats.org/officeDocument/2006/relationships/hyperlink" Target="https://nconnect.nicmar.ac.in/storage/profile/ProfilePhoto_P25702061_731829.jpg" TargetMode="External"/><Relationship Id="rId_hyperlink_2046" Type="http://schemas.openxmlformats.org/officeDocument/2006/relationships/hyperlink" Target="https://nconnect.nicmar.ac.in/storage/profile/ProfilePhoto_P25702062_861492.jpg" TargetMode="External"/><Relationship Id="rId_hyperlink_2047" Type="http://schemas.openxmlformats.org/officeDocument/2006/relationships/hyperlink" Target="https://nconnect.nicmar.ac.in/storage/profile/ProfilePhoto_P25702063_125638.jpg" TargetMode="External"/><Relationship Id="rId_hyperlink_2048" Type="http://schemas.openxmlformats.org/officeDocument/2006/relationships/hyperlink" Target="https://nconnect.nicmar.ac.in/storage/profile/ProfilePhoto_P25702064_159876.jpg" TargetMode="External"/><Relationship Id="rId_hyperlink_2049" Type="http://schemas.openxmlformats.org/officeDocument/2006/relationships/hyperlink" Target="https://nconnect.nicmar.ac.in/storage/profile/ProfilePhoto_P25702065_917365.jpg" TargetMode="External"/><Relationship Id="rId_hyperlink_2050" Type="http://schemas.openxmlformats.org/officeDocument/2006/relationships/hyperlink" Target="https://nconnect.nicmar.ac.in/storage/profile/ProfilePhoto_P25702066_973218.jpg" TargetMode="External"/><Relationship Id="rId_hyperlink_2051" Type="http://schemas.openxmlformats.org/officeDocument/2006/relationships/hyperlink" Target="https://nconnect.nicmar.ac.in/storage/profile/ProfilePhoto_P25702067_257683.jpg" TargetMode="External"/><Relationship Id="rId_hyperlink_2052" Type="http://schemas.openxmlformats.org/officeDocument/2006/relationships/hyperlink" Target="https://nconnect.nicmar.ac.in/storage/profile/ProfilePhoto_P25702068_328657.jpg" TargetMode="External"/><Relationship Id="rId_hyperlink_2053" Type="http://schemas.openxmlformats.org/officeDocument/2006/relationships/hyperlink" Target="https://nconnect.nicmar.ac.in/storage/profile/ProfilePhoto_P25702069_148397.jpg" TargetMode="External"/><Relationship Id="rId_hyperlink_2054" Type="http://schemas.openxmlformats.org/officeDocument/2006/relationships/hyperlink" Target="https://nconnect.nicmar.ac.in/storage/profile/ProfilePhoto_P25702070_546397.jpg" TargetMode="External"/><Relationship Id="rId_hyperlink_2055" Type="http://schemas.openxmlformats.org/officeDocument/2006/relationships/hyperlink" Target="https://nconnect.nicmar.ac.in/storage/profile/ProfilePhoto_P25702071_618479.jpg" TargetMode="External"/><Relationship Id="rId_hyperlink_2056" Type="http://schemas.openxmlformats.org/officeDocument/2006/relationships/hyperlink" Target="https://nconnect.nicmar.ac.in/storage/profile/ProfilePhoto_P25702072_513768.jpg" TargetMode="External"/><Relationship Id="rId_hyperlink_2057" Type="http://schemas.openxmlformats.org/officeDocument/2006/relationships/hyperlink" Target="https://nconnect.nicmar.ac.in/storage/profile/ProfilePhoto_P25702073_278631.jpg" TargetMode="External"/><Relationship Id="rId_hyperlink_2058" Type="http://schemas.openxmlformats.org/officeDocument/2006/relationships/hyperlink" Target="https://nconnect.nicmar.ac.in/storage/profile/ProfilePhoto_P25702074_418937.jpg" TargetMode="External"/><Relationship Id="rId_hyperlink_2059" Type="http://schemas.openxmlformats.org/officeDocument/2006/relationships/hyperlink" Target="https://nconnect.nicmar.ac.in/storage/profile/ProfilePhoto_P25702075_348759.jpg" TargetMode="External"/><Relationship Id="rId_hyperlink_2060" Type="http://schemas.openxmlformats.org/officeDocument/2006/relationships/hyperlink" Target="https://nconnect.nicmar.ac.in/storage/profile/ProfilePhoto_P25702076_298574.jpg" TargetMode="External"/><Relationship Id="rId_hyperlink_2061" Type="http://schemas.openxmlformats.org/officeDocument/2006/relationships/hyperlink" Target="https://nconnect.nicmar.ac.in/storage/profile/ProfilePhoto_P25702077_746891.jpg" TargetMode="External"/><Relationship Id="rId_hyperlink_2062" Type="http://schemas.openxmlformats.org/officeDocument/2006/relationships/hyperlink" Target="https://nconnect.nicmar.ac.in/storage/profile/ProfilePhoto_P25702078_395712.jpg" TargetMode="External"/><Relationship Id="rId_hyperlink_2063" Type="http://schemas.openxmlformats.org/officeDocument/2006/relationships/hyperlink" Target="https://nconnect.nicmar.ac.in/storage/profile/ProfilePhoto_P25702079_346712.jpg" TargetMode="External"/><Relationship Id="rId_hyperlink_2064" Type="http://schemas.openxmlformats.org/officeDocument/2006/relationships/hyperlink" Target="https://nconnect.nicmar.ac.in/storage/profile/ProfilePhoto_P25702081_536981.jpg" TargetMode="External"/><Relationship Id="rId_hyperlink_2065" Type="http://schemas.openxmlformats.org/officeDocument/2006/relationships/hyperlink" Target="https://nconnect.nicmar.ac.in/storage/profile/ProfilePhoto_P25702082_524391.jpg" TargetMode="External"/><Relationship Id="rId_hyperlink_2066" Type="http://schemas.openxmlformats.org/officeDocument/2006/relationships/hyperlink" Target="https://nconnect.nicmar.ac.in/storage/profile/ProfilePhoto_P25702083_496513.jpg" TargetMode="External"/><Relationship Id="rId_hyperlink_2067" Type="http://schemas.openxmlformats.org/officeDocument/2006/relationships/hyperlink" Target="https://nconnect.nicmar.ac.in/storage/profile/ProfilePhoto_P25702084_327986.jpg" TargetMode="External"/><Relationship Id="rId_hyperlink_2068" Type="http://schemas.openxmlformats.org/officeDocument/2006/relationships/hyperlink" Target="https://nconnect.nicmar.ac.in/storage/profile/ProfilePhoto_P25702085_675194.jpg" TargetMode="External"/><Relationship Id="rId_hyperlink_2069" Type="http://schemas.openxmlformats.org/officeDocument/2006/relationships/hyperlink" Target="https://nconnect.nicmar.ac.in/storage/profile/6a87cd9f3c211.png" TargetMode="External"/><Relationship Id="rId_hyperlink_2070" Type="http://schemas.openxmlformats.org/officeDocument/2006/relationships/hyperlink" Target="https://nconnect.nicmar.ac.in/storage/profile/ProfilePhoto_P25702089_483152.jpg" TargetMode="External"/><Relationship Id="rId_hyperlink_2071" Type="http://schemas.openxmlformats.org/officeDocument/2006/relationships/hyperlink" Target="https://nconnect.nicmar.ac.in/storage/profile/ProfilePhoto_P25702090_671284.jpg" TargetMode="External"/><Relationship Id="rId_hyperlink_2072" Type="http://schemas.openxmlformats.org/officeDocument/2006/relationships/hyperlink" Target="https://nconnect.nicmar.ac.in/storage/profile/ProfilePhoto_P25702091_429168.jpg" TargetMode="External"/><Relationship Id="rId_hyperlink_2073" Type="http://schemas.openxmlformats.org/officeDocument/2006/relationships/hyperlink" Target="https://nconnect.nicmar.ac.in/storage/profile/ProfilePhoto_P25702093_491532.jpg" TargetMode="External"/><Relationship Id="rId_hyperlink_2074" Type="http://schemas.openxmlformats.org/officeDocument/2006/relationships/hyperlink" Target="https://nconnect.nicmar.ac.in/storage/profile/ProfilePhoto_P25702094_982716.jpg" TargetMode="External"/><Relationship Id="rId_hyperlink_2075" Type="http://schemas.openxmlformats.org/officeDocument/2006/relationships/hyperlink" Target="https://nconnect.nicmar.ac.in/storage/profile/ProfilePhoto_P25702095_238745.jpg" TargetMode="External"/><Relationship Id="rId_hyperlink_2076" Type="http://schemas.openxmlformats.org/officeDocument/2006/relationships/hyperlink" Target="https://nconnect.nicmar.ac.in/storage/profile/ProfilePhoto_P25702096_761253.jpg" TargetMode="External"/><Relationship Id="rId_hyperlink_2077" Type="http://schemas.openxmlformats.org/officeDocument/2006/relationships/hyperlink" Target="https://nconnect.nicmar.ac.in/storage/profile/ProfilePhoto_P25702097_962518.jpg" TargetMode="External"/><Relationship Id="rId_hyperlink_2078" Type="http://schemas.openxmlformats.org/officeDocument/2006/relationships/hyperlink" Target="https://nconnect.nicmar.ac.in/storage/profile/ProfilePhoto_P25702098_927635.jpg" TargetMode="External"/><Relationship Id="rId_hyperlink_2079" Type="http://schemas.openxmlformats.org/officeDocument/2006/relationships/hyperlink" Target="https://nconnect.nicmar.ac.in/storage/profile/ProfilePhoto_P25702099_245678.jpg" TargetMode="External"/><Relationship Id="rId_hyperlink_2080" Type="http://schemas.openxmlformats.org/officeDocument/2006/relationships/hyperlink" Target="https://nconnect.nicmar.ac.in/storage/profile/ProfilePhoto_P25702101_631897.jpg" TargetMode="External"/><Relationship Id="rId_hyperlink_2081" Type="http://schemas.openxmlformats.org/officeDocument/2006/relationships/hyperlink" Target="https://nconnect.nicmar.ac.in/storage/profile/ProfilePhoto_P25702102_857932.jpg" TargetMode="External"/><Relationship Id="rId_hyperlink_2082" Type="http://schemas.openxmlformats.org/officeDocument/2006/relationships/hyperlink" Target="https://nconnect.nicmar.ac.in/storage/profile/ProfilePhoto_P25702103_359467.jpg" TargetMode="External"/><Relationship Id="rId_hyperlink_2083" Type="http://schemas.openxmlformats.org/officeDocument/2006/relationships/hyperlink" Target="https://nconnect.nicmar.ac.in/storage/profile/ProfilePhoto_P25702104_392471.jpg" TargetMode="External"/><Relationship Id="rId_hyperlink_2084" Type="http://schemas.openxmlformats.org/officeDocument/2006/relationships/hyperlink" Target="https://nconnect.nicmar.ac.in/storage/profile/ProfilePhoto_P25702105_781956.jpg" TargetMode="External"/><Relationship Id="rId_hyperlink_2085" Type="http://schemas.openxmlformats.org/officeDocument/2006/relationships/hyperlink" Target="https://nconnect.nicmar.ac.in/storage/profile/ProfilePhoto_P25702106_365247.jpg" TargetMode="External"/><Relationship Id="rId_hyperlink_2086" Type="http://schemas.openxmlformats.org/officeDocument/2006/relationships/hyperlink" Target="https://nconnect.nicmar.ac.in/storage/profile/ProfilePhoto_P25702108_273491.jpg" TargetMode="External"/><Relationship Id="rId_hyperlink_2087" Type="http://schemas.openxmlformats.org/officeDocument/2006/relationships/hyperlink" Target="https://nconnect.nicmar.ac.in/storage/profile/ProfilePhoto_P25702109_526438.jpg" TargetMode="External"/><Relationship Id="rId_hyperlink_2088" Type="http://schemas.openxmlformats.org/officeDocument/2006/relationships/hyperlink" Target="https://nconnect.nicmar.ac.in/storage/profile/ProfilePhoto_P25702110_367925.jpg" TargetMode="External"/><Relationship Id="rId_hyperlink_2089" Type="http://schemas.openxmlformats.org/officeDocument/2006/relationships/hyperlink" Target="https://nconnect.nicmar.ac.in/storage/profile/ProfilePhoto_P25702111_231964.jpg" TargetMode="External"/><Relationship Id="rId_hyperlink_2090" Type="http://schemas.openxmlformats.org/officeDocument/2006/relationships/hyperlink" Target="https://nconnect.nicmar.ac.in/storage/profile/ProfilePhoto_P25702113_891347.jpg" TargetMode="External"/><Relationship Id="rId_hyperlink_2091" Type="http://schemas.openxmlformats.org/officeDocument/2006/relationships/hyperlink" Target="https://nconnect.nicmar.ac.in/storage/profile/ProfilePhoto_P25702114_395268.jpg" TargetMode="External"/><Relationship Id="rId_hyperlink_2092" Type="http://schemas.openxmlformats.org/officeDocument/2006/relationships/hyperlink" Target="https://nconnect.nicmar.ac.in/storage/profile/ProfilePhoto_P25702115_316582.jpg" TargetMode="External"/><Relationship Id="rId_hyperlink_2093" Type="http://schemas.openxmlformats.org/officeDocument/2006/relationships/hyperlink" Target="https://nconnect.nicmar.ac.in/storage/profile/ProfilePhoto_P25702116_867945.jpg" TargetMode="External"/><Relationship Id="rId_hyperlink_2094" Type="http://schemas.openxmlformats.org/officeDocument/2006/relationships/hyperlink" Target="https://nconnect.nicmar.ac.in/storage/profile/ProfilePhoto_P25702117_738624.jpg" TargetMode="External"/><Relationship Id="rId_hyperlink_2095" Type="http://schemas.openxmlformats.org/officeDocument/2006/relationships/hyperlink" Target="https://nconnect.nicmar.ac.in/storage/profile/ProfilePhoto_P25702119_651389.jpg" TargetMode="External"/><Relationship Id="rId_hyperlink_2096" Type="http://schemas.openxmlformats.org/officeDocument/2006/relationships/hyperlink" Target="https://nconnect.nicmar.ac.in/storage/profile/ProfilePhoto_P25702120_279461.jpg" TargetMode="External"/><Relationship Id="rId_hyperlink_2097" Type="http://schemas.openxmlformats.org/officeDocument/2006/relationships/hyperlink" Target="https://nconnect.nicmar.ac.in/storage/profile/ProfilePhoto_P25702121_187593.jpg" TargetMode="External"/><Relationship Id="rId_hyperlink_2098" Type="http://schemas.openxmlformats.org/officeDocument/2006/relationships/hyperlink" Target="https://nconnect.nicmar.ac.in/storage/profile/ProfilePhoto_P25702122_472139.jpg" TargetMode="External"/><Relationship Id="rId_hyperlink_2099" Type="http://schemas.openxmlformats.org/officeDocument/2006/relationships/hyperlink" Target="https://nconnect.nicmar.ac.in/storage/profile/ProfilePhoto_P25702123_324697.jpg" TargetMode="External"/><Relationship Id="rId_hyperlink_2100" Type="http://schemas.openxmlformats.org/officeDocument/2006/relationships/hyperlink" Target="https://nconnect.nicmar.ac.in/storage/profile/ProfilePhoto_P25702124_236974.jpg" TargetMode="External"/><Relationship Id="rId_hyperlink_2101" Type="http://schemas.openxmlformats.org/officeDocument/2006/relationships/hyperlink" Target="https://nconnect.nicmar.ac.in/storage/profile/ProfilePhoto_P25702125_416987.jpg" TargetMode="External"/><Relationship Id="rId_hyperlink_2102" Type="http://schemas.openxmlformats.org/officeDocument/2006/relationships/hyperlink" Target="https://nconnect.nicmar.ac.in/storage/profile/ProfilePhoto_P25702126_789261.jpg" TargetMode="External"/><Relationship Id="rId_hyperlink_2103" Type="http://schemas.openxmlformats.org/officeDocument/2006/relationships/hyperlink" Target="https://nconnect.nicmar.ac.in/storage/profile/ProfilePhoto_P25702127_783594.jpg" TargetMode="External"/><Relationship Id="rId_hyperlink_2104" Type="http://schemas.openxmlformats.org/officeDocument/2006/relationships/hyperlink" Target="https://nconnect.nicmar.ac.in/storage/profile/ProfilePhoto_P25702128_617289.jpg" TargetMode="External"/><Relationship Id="rId_hyperlink_2105" Type="http://schemas.openxmlformats.org/officeDocument/2006/relationships/hyperlink" Target="https://nconnect.nicmar.ac.in/storage/profile/ProfilePhoto_P25702129_946852.jpg" TargetMode="External"/><Relationship Id="rId_hyperlink_2106" Type="http://schemas.openxmlformats.org/officeDocument/2006/relationships/hyperlink" Target="https://nconnect.nicmar.ac.in/storage/profile/ProfilePhoto_P25702130_924736.jpg" TargetMode="External"/><Relationship Id="rId_hyperlink_2107" Type="http://schemas.openxmlformats.org/officeDocument/2006/relationships/hyperlink" Target="https://nconnect.nicmar.ac.in/storage/profile/ProfilePhoto_P25702131_683715.jpg" TargetMode="External"/><Relationship Id="rId_hyperlink_2108" Type="http://schemas.openxmlformats.org/officeDocument/2006/relationships/hyperlink" Target="https://nconnect.nicmar.ac.in/storage/profile/ProfilePhoto_P25702132_826143.jpg" TargetMode="External"/><Relationship Id="rId_hyperlink_2109" Type="http://schemas.openxmlformats.org/officeDocument/2006/relationships/hyperlink" Target="https://nconnect.nicmar.ac.in/storage/profile/ProfilePhoto_P25702133_154693.jpg" TargetMode="External"/><Relationship Id="rId_hyperlink_2110" Type="http://schemas.openxmlformats.org/officeDocument/2006/relationships/hyperlink" Target="https://nconnect.nicmar.ac.in/storage/profile/ProfilePhoto_P25702134_543796.jpg" TargetMode="External"/><Relationship Id="rId_hyperlink_2111" Type="http://schemas.openxmlformats.org/officeDocument/2006/relationships/hyperlink" Target="https://nconnect.nicmar.ac.in/storage/profile/ProfilePhoto_P25702136_837591.jpg" TargetMode="External"/><Relationship Id="rId_hyperlink_2112" Type="http://schemas.openxmlformats.org/officeDocument/2006/relationships/hyperlink" Target="https://nconnect.nicmar.ac.in/storage/profile/ProfilePhoto_P25702137_819267.jpg" TargetMode="External"/><Relationship Id="rId_hyperlink_2113" Type="http://schemas.openxmlformats.org/officeDocument/2006/relationships/hyperlink" Target="https://nconnect.nicmar.ac.in/storage/profile/ProfilePhoto_P25702138_785142.jpg" TargetMode="External"/><Relationship Id="rId_hyperlink_2114" Type="http://schemas.openxmlformats.org/officeDocument/2006/relationships/hyperlink" Target="https://nconnect.nicmar.ac.in/storage/profile/ProfilePhoto_P25702139_653287.jpg" TargetMode="External"/><Relationship Id="rId_hyperlink_2115" Type="http://schemas.openxmlformats.org/officeDocument/2006/relationships/hyperlink" Target="https://nconnect.nicmar.ac.in/storage/profile/ProfilePhoto_P25702140_617534.jpg" TargetMode="External"/><Relationship Id="rId_hyperlink_2116" Type="http://schemas.openxmlformats.org/officeDocument/2006/relationships/hyperlink" Target="https://nconnect.nicmar.ac.in/storage/profile/ProfilePhoto_P25702141_791462.jpg" TargetMode="External"/><Relationship Id="rId_hyperlink_2117" Type="http://schemas.openxmlformats.org/officeDocument/2006/relationships/hyperlink" Target="https://nconnect.nicmar.ac.in/storage/profile/ProfilePhoto_P25702142_975823.jpg" TargetMode="External"/><Relationship Id="rId_hyperlink_2118" Type="http://schemas.openxmlformats.org/officeDocument/2006/relationships/hyperlink" Target="https://nconnect.nicmar.ac.in/storage/profile/ProfilePhoto_P25702143_642159.jpg" TargetMode="External"/><Relationship Id="rId_hyperlink_2119" Type="http://schemas.openxmlformats.org/officeDocument/2006/relationships/hyperlink" Target="https://nconnect.nicmar.ac.in/storage/profile/ProfilePhoto_P25702144_513879.jpg" TargetMode="External"/><Relationship Id="rId_hyperlink_2120" Type="http://schemas.openxmlformats.org/officeDocument/2006/relationships/hyperlink" Target="https://nconnect.nicmar.ac.in/storage/profile/ProfilePhoto_P25702145_537219.jpg" TargetMode="External"/><Relationship Id="rId_hyperlink_2121" Type="http://schemas.openxmlformats.org/officeDocument/2006/relationships/hyperlink" Target="https://nconnect.nicmar.ac.in/storage/profile/ProfilePhoto_P25702146_286534.jpg" TargetMode="External"/><Relationship Id="rId_hyperlink_2122" Type="http://schemas.openxmlformats.org/officeDocument/2006/relationships/hyperlink" Target="https://nconnect.nicmar.ac.in/storage/profile/ProfilePhoto_P25702147_251638.jpg" TargetMode="External"/><Relationship Id="rId_hyperlink_2123" Type="http://schemas.openxmlformats.org/officeDocument/2006/relationships/hyperlink" Target="https://nconnect.nicmar.ac.in/storage/profile/ProfilePhoto_P25702148_256413.jpg" TargetMode="External"/><Relationship Id="rId_hyperlink_2124" Type="http://schemas.openxmlformats.org/officeDocument/2006/relationships/hyperlink" Target="https://nconnect.nicmar.ac.in/storage/profile/ProfilePhoto_P25702150_823791.jpg" TargetMode="External"/><Relationship Id="rId_hyperlink_2125" Type="http://schemas.openxmlformats.org/officeDocument/2006/relationships/hyperlink" Target="https://nconnect.nicmar.ac.in/storage/profile/ProfilePhoto_P25702151_527439.jpg" TargetMode="External"/><Relationship Id="rId_hyperlink_2126" Type="http://schemas.openxmlformats.org/officeDocument/2006/relationships/hyperlink" Target="https://nconnect.nicmar.ac.in/storage/profile/6a8dd1985da7b.png" TargetMode="External"/><Relationship Id="rId_hyperlink_2127" Type="http://schemas.openxmlformats.org/officeDocument/2006/relationships/hyperlink" Target="https://nconnect.nicmar.ac.in/storage/profile/ProfilePhoto_P25702153_428956.jpg" TargetMode="External"/><Relationship Id="rId_hyperlink_2128" Type="http://schemas.openxmlformats.org/officeDocument/2006/relationships/hyperlink" Target="https://nconnect.nicmar.ac.in/storage/profile/ProfilePhoto_P2201001_514287.jpg" TargetMode="External"/><Relationship Id="rId_hyperlink_2129" Type="http://schemas.openxmlformats.org/officeDocument/2006/relationships/hyperlink" Target="https://nconnect.nicmar.ac.in/storage/profile/ProfilePhoto_P2201002_875142.jpg" TargetMode="External"/><Relationship Id="rId_hyperlink_2130" Type="http://schemas.openxmlformats.org/officeDocument/2006/relationships/hyperlink" Target="https://nconnect.nicmar.ac.in/storage/profile/ProfilePhoto_P2201003_674125.jpg" TargetMode="External"/><Relationship Id="rId_hyperlink_2131" Type="http://schemas.openxmlformats.org/officeDocument/2006/relationships/hyperlink" Target="https://nconnect.nicmar.ac.in/storage/profile/ProfilePhoto_P2201006_126385.jpg" TargetMode="External"/><Relationship Id="rId_hyperlink_2132" Type="http://schemas.openxmlformats.org/officeDocument/2006/relationships/hyperlink" Target="https://nconnect.nicmar.ac.in/storage/profile/ProfilePhoto_P2201007_873615.jpg" TargetMode="External"/><Relationship Id="rId_hyperlink_2133" Type="http://schemas.openxmlformats.org/officeDocument/2006/relationships/hyperlink" Target="https://nconnect.nicmar.ac.in/storage/profile/ProfilePhoto_P2201008_187945.jpg" TargetMode="External"/><Relationship Id="rId_hyperlink_2134" Type="http://schemas.openxmlformats.org/officeDocument/2006/relationships/hyperlink" Target="https://nconnect.nicmar.ac.in/storage/profile/ProfilePhoto_P2201010_518643.jpg" TargetMode="External"/><Relationship Id="rId_hyperlink_2135" Type="http://schemas.openxmlformats.org/officeDocument/2006/relationships/hyperlink" Target="https://nconnect.nicmar.ac.in/storage/profile/ProfilePhoto_P25703001_183497.jpg" TargetMode="External"/><Relationship Id="rId_hyperlink_2136" Type="http://schemas.openxmlformats.org/officeDocument/2006/relationships/hyperlink" Target="https://nconnect.nicmar.ac.in/storage/profile/ProfilePhoto_P25703002_482139.jpg" TargetMode="External"/><Relationship Id="rId_hyperlink_2137" Type="http://schemas.openxmlformats.org/officeDocument/2006/relationships/hyperlink" Target="https://nconnect.nicmar.ac.in/storage/profile/ProfilePhoto_P25703003_426193.jpg" TargetMode="External"/><Relationship Id="rId_hyperlink_2138" Type="http://schemas.openxmlformats.org/officeDocument/2006/relationships/hyperlink" Target="https://nconnect.nicmar.ac.in/storage/profile/ProfilePhoto_P25703004_138697.jpg" TargetMode="External"/><Relationship Id="rId_hyperlink_2139" Type="http://schemas.openxmlformats.org/officeDocument/2006/relationships/hyperlink" Target="https://nconnect.nicmar.ac.in/storage/profile/ProfilePhoto_P25703005_859241.jpg" TargetMode="External"/><Relationship Id="rId_hyperlink_2140" Type="http://schemas.openxmlformats.org/officeDocument/2006/relationships/hyperlink" Target="https://nconnect.nicmar.ac.in/storage/profile/ProfilePhoto_P25703006_431582.jpg" TargetMode="External"/><Relationship Id="rId_hyperlink_2141" Type="http://schemas.openxmlformats.org/officeDocument/2006/relationships/hyperlink" Target="https://nconnect.nicmar.ac.in/storage/profile/ProfilePhoto_P25703007_257863.jpg" TargetMode="External"/><Relationship Id="rId_hyperlink_2142" Type="http://schemas.openxmlformats.org/officeDocument/2006/relationships/hyperlink" Target="https://nconnect.nicmar.ac.in/storage/profile/ProfilePhoto_P25703008_815249.jpg" TargetMode="External"/><Relationship Id="rId_hyperlink_2143" Type="http://schemas.openxmlformats.org/officeDocument/2006/relationships/hyperlink" Target="https://nconnect.nicmar.ac.in/storage/profile/ProfilePhoto_P25703009_857219.jpg" TargetMode="External"/><Relationship Id="rId_hyperlink_2144" Type="http://schemas.openxmlformats.org/officeDocument/2006/relationships/hyperlink" Target="https://nconnect.nicmar.ac.in/storage/profile/ProfilePhoto_P25703010_526749.jpg" TargetMode="External"/><Relationship Id="rId_hyperlink_2145" Type="http://schemas.openxmlformats.org/officeDocument/2006/relationships/hyperlink" Target="https://nconnect.nicmar.ac.in/storage/profile/ProfilePhoto_P25703011_825793.jpg" TargetMode="External"/><Relationship Id="rId_hyperlink_2146" Type="http://schemas.openxmlformats.org/officeDocument/2006/relationships/hyperlink" Target="https://nconnect.nicmar.ac.in/storage/profile/ProfilePhoto_P25703014_598123.jpg" TargetMode="External"/><Relationship Id="rId_hyperlink_2147" Type="http://schemas.openxmlformats.org/officeDocument/2006/relationships/hyperlink" Target="https://nconnect.nicmar.ac.in/storage/profile/ProfilePhoto_P25703015_461932.jpg" TargetMode="External"/><Relationship Id="rId_hyperlink_2148" Type="http://schemas.openxmlformats.org/officeDocument/2006/relationships/hyperlink" Target="https://nconnect.nicmar.ac.in/storage/profile/ProfilePhoto_P25703016_352178.jpg" TargetMode="External"/><Relationship Id="rId_hyperlink_2149" Type="http://schemas.openxmlformats.org/officeDocument/2006/relationships/hyperlink" Target="https://nconnect.nicmar.ac.in/storage/profile/ProfilePhoto_P25703017_348917.jpg" TargetMode="External"/><Relationship Id="rId_hyperlink_2150" Type="http://schemas.openxmlformats.org/officeDocument/2006/relationships/hyperlink" Target="https://nconnect.nicmar.ac.in/storage/profile/ProfilePhoto_P25703020_189736.jpg" TargetMode="External"/><Relationship Id="rId_hyperlink_2151" Type="http://schemas.openxmlformats.org/officeDocument/2006/relationships/hyperlink" Target="https://nconnect.nicmar.ac.in/storage/profile/ProfilePhoto_P25703021_349281.jpg" TargetMode="External"/><Relationship Id="rId_hyperlink_2152" Type="http://schemas.openxmlformats.org/officeDocument/2006/relationships/hyperlink" Target="https://nconnect.nicmar.ac.in/storage/profile/ProfilePhoto_P25703022_834792.jpg" TargetMode="External"/><Relationship Id="rId_hyperlink_2153" Type="http://schemas.openxmlformats.org/officeDocument/2006/relationships/hyperlink" Target="https://nconnect.nicmar.ac.in/storage/profile/ProfilePhoto_P25703023_618729.jpg" TargetMode="External"/><Relationship Id="rId_hyperlink_2154" Type="http://schemas.openxmlformats.org/officeDocument/2006/relationships/hyperlink" Target="https://nconnect.nicmar.ac.in/storage/profile/ProfilePhoto_P25703024_753916.jpg" TargetMode="External"/><Relationship Id="rId_hyperlink_2155" Type="http://schemas.openxmlformats.org/officeDocument/2006/relationships/hyperlink" Target="https://nconnect.nicmar.ac.in/storage/profile/ProfilePhoto_P25703025_329654.jpg" TargetMode="External"/><Relationship Id="rId_hyperlink_2156" Type="http://schemas.openxmlformats.org/officeDocument/2006/relationships/hyperlink" Target="https://nconnect.nicmar.ac.in/storage/profile/ProfilePhoto_P25703026_473982.jpg" TargetMode="External"/><Relationship Id="rId_hyperlink_2157" Type="http://schemas.openxmlformats.org/officeDocument/2006/relationships/hyperlink" Target="https://nconnect.nicmar.ac.in/storage/profile/ProfilePhoto_P25703027_638754.jpg" TargetMode="External"/><Relationship Id="rId_hyperlink_2158" Type="http://schemas.openxmlformats.org/officeDocument/2006/relationships/hyperlink" Target="https://nconnect.nicmar.ac.in/storage/profile/ProfilePhoto_P25703028_281695.jpg" TargetMode="External"/><Relationship Id="rId_hyperlink_2159" Type="http://schemas.openxmlformats.org/officeDocument/2006/relationships/hyperlink" Target="https://nconnect.nicmar.ac.in/storage/profile/ProfilePhoto_P25703029_945782.jpg" TargetMode="External"/><Relationship Id="rId_hyperlink_2160" Type="http://schemas.openxmlformats.org/officeDocument/2006/relationships/hyperlink" Target="https://nconnect.nicmar.ac.in/storage/profile/ProfilePhoto_P25703030_982536.jpg" TargetMode="External"/><Relationship Id="rId_hyperlink_2161" Type="http://schemas.openxmlformats.org/officeDocument/2006/relationships/hyperlink" Target="https://nconnect.nicmar.ac.in/storage/profile/ProfilePhoto_P25703031_654879.jpg" TargetMode="External"/><Relationship Id="rId_hyperlink_2162" Type="http://schemas.openxmlformats.org/officeDocument/2006/relationships/hyperlink" Target="https://nconnect.nicmar.ac.in/storage/profile/ProfilePhoto_P25703032_493712.jpg" TargetMode="External"/><Relationship Id="rId_hyperlink_2163" Type="http://schemas.openxmlformats.org/officeDocument/2006/relationships/hyperlink" Target="https://nconnect.nicmar.ac.in/storage/profile/ProfilePhoto_P25703033_265831.jpg" TargetMode="External"/><Relationship Id="rId_hyperlink_2164" Type="http://schemas.openxmlformats.org/officeDocument/2006/relationships/hyperlink" Target="https://nconnect.nicmar.ac.in/storage/profile/ProfilePhoto_P25703034_743562.jpg" TargetMode="External"/><Relationship Id="rId_hyperlink_2165" Type="http://schemas.openxmlformats.org/officeDocument/2006/relationships/hyperlink" Target="https://nconnect.nicmar.ac.in/storage/profile/ProfilePhoto_P25703035_583967.jpg" TargetMode="External"/><Relationship Id="rId_hyperlink_2166" Type="http://schemas.openxmlformats.org/officeDocument/2006/relationships/hyperlink" Target="https://nconnect.nicmar.ac.in/storage/profile/ProfilePhoto_P25703037_975312.jpg" TargetMode="External"/><Relationship Id="rId_hyperlink_2167" Type="http://schemas.openxmlformats.org/officeDocument/2006/relationships/hyperlink" Target="https://nconnect.nicmar.ac.in/storage/profile/ProfilePhoto_P25703038_123479.jpg" TargetMode="External"/><Relationship Id="rId_hyperlink_2168" Type="http://schemas.openxmlformats.org/officeDocument/2006/relationships/hyperlink" Target="https://nconnect.nicmar.ac.in/storage/profile/ProfilePhoto_P25703039_812957.jpg" TargetMode="External"/><Relationship Id="rId_hyperlink_2169" Type="http://schemas.openxmlformats.org/officeDocument/2006/relationships/hyperlink" Target="https://nconnect.nicmar.ac.in/storage/profile/ProfilePhoto_P25703040_795461.jpg" TargetMode="External"/><Relationship Id="rId_hyperlink_2170" Type="http://schemas.openxmlformats.org/officeDocument/2006/relationships/hyperlink" Target="https://nconnect.nicmar.ac.in/storage/profile/ProfilePhoto_P25703041_689342.jpg" TargetMode="External"/><Relationship Id="rId_hyperlink_2171" Type="http://schemas.openxmlformats.org/officeDocument/2006/relationships/hyperlink" Target="https://nconnect.nicmar.ac.in/storage/profile/ProfilePhoto_P25703042_139468.jpg" TargetMode="External"/><Relationship Id="rId_hyperlink_2172" Type="http://schemas.openxmlformats.org/officeDocument/2006/relationships/hyperlink" Target="https://nconnect.nicmar.ac.in/storage/profile/ProfilePhoto_P25703043_964875.jpg" TargetMode="External"/><Relationship Id="rId_hyperlink_2173" Type="http://schemas.openxmlformats.org/officeDocument/2006/relationships/hyperlink" Target="https://nconnect.nicmar.ac.in/storage/profile/ProfilePhoto_P25703044_175329.jpg" TargetMode="External"/><Relationship Id="rId_hyperlink_2174" Type="http://schemas.openxmlformats.org/officeDocument/2006/relationships/hyperlink" Target="https://nconnect.nicmar.ac.in/storage/profile/ProfilePhoto_P25703045_971483.jpg" TargetMode="External"/><Relationship Id="rId_hyperlink_2175" Type="http://schemas.openxmlformats.org/officeDocument/2006/relationships/hyperlink" Target="https://nconnect.nicmar.ac.in/storage/profile/ProfilePhoto_P25703046_682913.jpg" TargetMode="External"/><Relationship Id="rId_hyperlink_2176" Type="http://schemas.openxmlformats.org/officeDocument/2006/relationships/hyperlink" Target="https://nconnect.nicmar.ac.in/storage/profile/ProfilePhoto_P25703047_245896.jpg" TargetMode="External"/><Relationship Id="rId_hyperlink_2177" Type="http://schemas.openxmlformats.org/officeDocument/2006/relationships/hyperlink" Target="https://nconnect.nicmar.ac.in/storage/profile/ProfilePhoto_P25703048_983516.jpg" TargetMode="External"/><Relationship Id="rId_hyperlink_2178" Type="http://schemas.openxmlformats.org/officeDocument/2006/relationships/hyperlink" Target="https://nconnect.nicmar.ac.in/storage/profile/ProfilePhoto_P25703049_251834.jpg" TargetMode="External"/><Relationship Id="rId_hyperlink_2179" Type="http://schemas.openxmlformats.org/officeDocument/2006/relationships/hyperlink" Target="https://nconnect.nicmar.ac.in/storage/profile/ProfilePhoto_P25703050_934657.jpg" TargetMode="External"/><Relationship Id="rId_hyperlink_2180" Type="http://schemas.openxmlformats.org/officeDocument/2006/relationships/hyperlink" Target="https://nconnect.nicmar.ac.in/storage/profile/ProfilePhoto_P25703051_276439.jpg" TargetMode="External"/><Relationship Id="rId_hyperlink_2181" Type="http://schemas.openxmlformats.org/officeDocument/2006/relationships/hyperlink" Target="https://nconnect.nicmar.ac.in/storage/profile/ProfilePhoto_P25703052_721359.jpg" TargetMode="External"/><Relationship Id="rId_hyperlink_2182" Type="http://schemas.openxmlformats.org/officeDocument/2006/relationships/hyperlink" Target="https://nconnect.nicmar.ac.in/storage/profile/ProfilePhoto_P25703053_389456.jpg" TargetMode="External"/><Relationship Id="rId_hyperlink_2183" Type="http://schemas.openxmlformats.org/officeDocument/2006/relationships/hyperlink" Target="https://nconnect.nicmar.ac.in/storage/profile/ProfilePhoto_P25703054_851264.jpg" TargetMode="External"/><Relationship Id="rId_hyperlink_2184" Type="http://schemas.openxmlformats.org/officeDocument/2006/relationships/hyperlink" Target="https://nconnect.nicmar.ac.in/storage/profile/ProfilePhoto_P25703055_376895.jpg" TargetMode="External"/><Relationship Id="rId_hyperlink_2185" Type="http://schemas.openxmlformats.org/officeDocument/2006/relationships/hyperlink" Target="https://nconnect.nicmar.ac.in/storage/profile/ProfilePhoto_P25703056_384126.jpg" TargetMode="External"/><Relationship Id="rId_hyperlink_2186" Type="http://schemas.openxmlformats.org/officeDocument/2006/relationships/hyperlink" Target="https://nconnect.nicmar.ac.in/storage/profile/ProfilePhoto_P25703057_537942.jpg" TargetMode="External"/><Relationship Id="rId_hyperlink_2187" Type="http://schemas.openxmlformats.org/officeDocument/2006/relationships/hyperlink" Target="https://nconnect.nicmar.ac.in/storage/profile/ProfilePhoto_P25703058_486527.jpg" TargetMode="External"/><Relationship Id="rId_hyperlink_2188" Type="http://schemas.openxmlformats.org/officeDocument/2006/relationships/hyperlink" Target="https://nconnect.nicmar.ac.in/storage/profile/ProfilePhoto_P25703059_751834.jpg" TargetMode="External"/><Relationship Id="rId_hyperlink_2189" Type="http://schemas.openxmlformats.org/officeDocument/2006/relationships/hyperlink" Target="https://nconnect.nicmar.ac.in/storage/profile/ProfilePhoto_P25703060_274865.jpg" TargetMode="External"/><Relationship Id="rId_hyperlink_2190" Type="http://schemas.openxmlformats.org/officeDocument/2006/relationships/hyperlink" Target="https://nconnect.nicmar.ac.in/storage/profile/ProfilePhoto_P25703061_518749.jpg" TargetMode="External"/><Relationship Id="rId_hyperlink_2191" Type="http://schemas.openxmlformats.org/officeDocument/2006/relationships/hyperlink" Target="https://nconnect.nicmar.ac.in/storage/profile/ProfilePhoto_P25703062_538147.jpg" TargetMode="External"/><Relationship Id="rId_hyperlink_2192" Type="http://schemas.openxmlformats.org/officeDocument/2006/relationships/hyperlink" Target="https://nconnect.nicmar.ac.in/storage/profile/ProfilePhoto_P25703063_326758.jpg" TargetMode="External"/><Relationship Id="rId_hyperlink_2193" Type="http://schemas.openxmlformats.org/officeDocument/2006/relationships/hyperlink" Target="https://nconnect.nicmar.ac.in/storage/profile/ProfilePhoto_P25703064_951836.jpg" TargetMode="External"/><Relationship Id="rId_hyperlink_2194" Type="http://schemas.openxmlformats.org/officeDocument/2006/relationships/hyperlink" Target="https://nconnect.nicmar.ac.in/storage/profile/ProfilePhoto_P25703065_946527.jpg" TargetMode="External"/><Relationship Id="rId_hyperlink_2195" Type="http://schemas.openxmlformats.org/officeDocument/2006/relationships/hyperlink" Target="https://nconnect.nicmar.ac.in/storage/profile/ProfilePhoto_P25703066_498361.jpg" TargetMode="External"/><Relationship Id="rId_hyperlink_2196" Type="http://schemas.openxmlformats.org/officeDocument/2006/relationships/hyperlink" Target="https://nconnect.nicmar.ac.in/storage/profile/ProfilePhoto_P25703067_814359.jpg" TargetMode="External"/><Relationship Id="rId_hyperlink_2197" Type="http://schemas.openxmlformats.org/officeDocument/2006/relationships/hyperlink" Target="https://nconnect.nicmar.ac.in/storage/profile/ProfilePhoto_P25703069_368529.jpg" TargetMode="External"/><Relationship Id="rId_hyperlink_2198" Type="http://schemas.openxmlformats.org/officeDocument/2006/relationships/hyperlink" Target="https://nconnect.nicmar.ac.in/storage/profile/ProfilePhoto_P25703070_916348.jpg" TargetMode="External"/><Relationship Id="rId_hyperlink_2199" Type="http://schemas.openxmlformats.org/officeDocument/2006/relationships/hyperlink" Target="https://nconnect.nicmar.ac.in/storage/profile/ProfilePhoto_P25703071_927836.jpg" TargetMode="External"/><Relationship Id="rId_hyperlink_2200" Type="http://schemas.openxmlformats.org/officeDocument/2006/relationships/hyperlink" Target="https://nconnect.nicmar.ac.in/storage/profile/ProfilePhoto_P25703072_791563.jpg" TargetMode="External"/><Relationship Id="rId_hyperlink_2201" Type="http://schemas.openxmlformats.org/officeDocument/2006/relationships/hyperlink" Target="https://nconnect.nicmar.ac.in/storage/profile/ProfilePhoto_P25703073_853419.jpg" TargetMode="External"/><Relationship Id="rId_hyperlink_2202" Type="http://schemas.openxmlformats.org/officeDocument/2006/relationships/hyperlink" Target="https://nconnect.nicmar.ac.in/storage/profile/ProfilePhoto_P25703075_735968.jpg" TargetMode="External"/><Relationship Id="rId_hyperlink_2203" Type="http://schemas.openxmlformats.org/officeDocument/2006/relationships/hyperlink" Target="https://nconnect.nicmar.ac.in/storage/profile/ProfilePhoto_P25703076_758314.jpg" TargetMode="External"/><Relationship Id="rId_hyperlink_2204" Type="http://schemas.openxmlformats.org/officeDocument/2006/relationships/hyperlink" Target="https://nconnect.nicmar.ac.in/storage/profile/ProfilePhoto_P25703077_591873.jpg" TargetMode="External"/><Relationship Id="rId_hyperlink_2205" Type="http://schemas.openxmlformats.org/officeDocument/2006/relationships/hyperlink" Target="https://nconnect.nicmar.ac.in/storage/profile/ProfilePhoto_P25703078_978462.jpg" TargetMode="External"/><Relationship Id="rId_hyperlink_2206" Type="http://schemas.openxmlformats.org/officeDocument/2006/relationships/hyperlink" Target="https://nconnect.nicmar.ac.in/storage/profile/ProfilePhoto_P25703080_396475.jpg" TargetMode="External"/><Relationship Id="rId_hyperlink_2207" Type="http://schemas.openxmlformats.org/officeDocument/2006/relationships/hyperlink" Target="https://nconnect.nicmar.ac.in/storage/profile/ProfilePhoto_P25703036_347852.jpg" TargetMode="External"/><Relationship Id="rId_hyperlink_2208" Type="http://schemas.openxmlformats.org/officeDocument/2006/relationships/hyperlink" Target="https://nconnect.nicmar.ac.in/storage/profile/ProfilePhoto_P25704001_327986.jpg" TargetMode="External"/><Relationship Id="rId_hyperlink_2209" Type="http://schemas.openxmlformats.org/officeDocument/2006/relationships/hyperlink" Target="https://nconnect.nicmar.ac.in/storage/profile/ProfilePhoto_P25704004_981675.jpg" TargetMode="External"/><Relationship Id="rId_hyperlink_2210" Type="http://schemas.openxmlformats.org/officeDocument/2006/relationships/hyperlink" Target="https://nconnect.nicmar.ac.in/storage/profile/ProfilePhoto_P25704005_592674.jpg" TargetMode="External"/><Relationship Id="rId_hyperlink_2211" Type="http://schemas.openxmlformats.org/officeDocument/2006/relationships/hyperlink" Target="https://nconnect.nicmar.ac.in/storage/profile/ProfilePhoto_P25704006_537618.jpg" TargetMode="External"/><Relationship Id="rId_hyperlink_2212" Type="http://schemas.openxmlformats.org/officeDocument/2006/relationships/hyperlink" Target="https://nconnect.nicmar.ac.in/storage/profile/ProfilePhoto_P25704007_382496.jpg" TargetMode="External"/><Relationship Id="rId_hyperlink_2213" Type="http://schemas.openxmlformats.org/officeDocument/2006/relationships/hyperlink" Target="https://nconnect.nicmar.ac.in/storage/profile/ProfilePhoto_P25704008_732964.jpg" TargetMode="External"/><Relationship Id="rId_hyperlink_2214" Type="http://schemas.openxmlformats.org/officeDocument/2006/relationships/hyperlink" Target="https://nconnect.nicmar.ac.in/storage/profile/ProfilePhoto_P25704010_926485.jpg" TargetMode="External"/><Relationship Id="rId_hyperlink_2215" Type="http://schemas.openxmlformats.org/officeDocument/2006/relationships/hyperlink" Target="https://nconnect.nicmar.ac.in/storage/profile/ProfilePhoto_P25704011_741839.jpg" TargetMode="External"/><Relationship Id="rId_hyperlink_2216" Type="http://schemas.openxmlformats.org/officeDocument/2006/relationships/hyperlink" Target="https://nconnect.nicmar.ac.in/storage/profile/ProfilePhoto_P25704012_517239.jpg" TargetMode="External"/><Relationship Id="rId_hyperlink_2217" Type="http://schemas.openxmlformats.org/officeDocument/2006/relationships/hyperlink" Target="https://nconnect.nicmar.ac.in/storage/profile/ProfilePhoto_P25704014_271968.jpg" TargetMode="External"/><Relationship Id="rId_hyperlink_2218" Type="http://schemas.openxmlformats.org/officeDocument/2006/relationships/hyperlink" Target="https://nconnect.nicmar.ac.in/storage/profile/ProfilePhoto_P25704015_271856.jpg" TargetMode="External"/><Relationship Id="rId_hyperlink_2219" Type="http://schemas.openxmlformats.org/officeDocument/2006/relationships/hyperlink" Target="https://nconnect.nicmar.ac.in/storage/profile/ProfilePhoto_P25704016_615842.jpg" TargetMode="External"/><Relationship Id="rId_hyperlink_2220" Type="http://schemas.openxmlformats.org/officeDocument/2006/relationships/hyperlink" Target="https://nconnect.nicmar.ac.in/storage/profile/ProfilePhoto_P25704017_891326.jpg" TargetMode="External"/><Relationship Id="rId_hyperlink_2221" Type="http://schemas.openxmlformats.org/officeDocument/2006/relationships/hyperlink" Target="https://nconnect.nicmar.ac.in/storage/profile/ProfilePhoto_P25704018_982543.jpg" TargetMode="External"/><Relationship Id="rId_hyperlink_2222" Type="http://schemas.openxmlformats.org/officeDocument/2006/relationships/hyperlink" Target="https://nconnect.nicmar.ac.in/storage/profile/ProfilePhoto_P25704019_593674.jpg" TargetMode="External"/><Relationship Id="rId_hyperlink_2223" Type="http://schemas.openxmlformats.org/officeDocument/2006/relationships/hyperlink" Target="https://nconnect.nicmar.ac.in/storage/profile/ProfilePhoto_P25704020_278361.jpg" TargetMode="External"/><Relationship Id="rId_hyperlink_2224" Type="http://schemas.openxmlformats.org/officeDocument/2006/relationships/hyperlink" Target="https://nconnect.nicmar.ac.in/storage/profile/ProfilePhoto_P25704021_426987.jpg" TargetMode="External"/><Relationship Id="rId_hyperlink_2225" Type="http://schemas.openxmlformats.org/officeDocument/2006/relationships/hyperlink" Target="https://nconnect.nicmar.ac.in/storage/profile/ProfilePhoto_P25704022_561872.jpg" TargetMode="External"/><Relationship Id="rId_hyperlink_2226" Type="http://schemas.openxmlformats.org/officeDocument/2006/relationships/hyperlink" Target="https://nconnect.nicmar.ac.in/storage/profile/ProfilePhoto_P25704023_534962.jpg" TargetMode="External"/><Relationship Id="rId_hyperlink_2227" Type="http://schemas.openxmlformats.org/officeDocument/2006/relationships/hyperlink" Target="https://nconnect.nicmar.ac.in/storage/profile/ProfilePhoto_P25704024_853971.jpg" TargetMode="External"/><Relationship Id="rId_hyperlink_2228" Type="http://schemas.openxmlformats.org/officeDocument/2006/relationships/hyperlink" Target="https://nconnect.nicmar.ac.in/storage/profile/ProfilePhoto_P25704025_279518.jpg" TargetMode="External"/><Relationship Id="rId_hyperlink_2229" Type="http://schemas.openxmlformats.org/officeDocument/2006/relationships/hyperlink" Target="https://nconnect.nicmar.ac.in/storage/profile/ProfilePhoto_P25704026_986524.jpg" TargetMode="External"/><Relationship Id="rId_hyperlink_2230" Type="http://schemas.openxmlformats.org/officeDocument/2006/relationships/hyperlink" Target="https://nconnect.nicmar.ac.in/storage/profile/ProfilePhoto_P25704027_845267.jpg" TargetMode="External"/><Relationship Id="rId_hyperlink_2231" Type="http://schemas.openxmlformats.org/officeDocument/2006/relationships/hyperlink" Target="https://nconnect.nicmar.ac.in/storage/profile/ProfilePhoto_P25704028_759214.jpg" TargetMode="External"/><Relationship Id="rId_hyperlink_2232" Type="http://schemas.openxmlformats.org/officeDocument/2006/relationships/hyperlink" Target="https://nconnect.nicmar.ac.in/storage/profile/ProfilePhoto_P25704029_425917.jpg" TargetMode="External"/><Relationship Id="rId_hyperlink_2233" Type="http://schemas.openxmlformats.org/officeDocument/2006/relationships/hyperlink" Target="https://nconnect.nicmar.ac.in/storage/profile/ProfilePhoto_P25704030_279351.jpg" TargetMode="External"/><Relationship Id="rId_hyperlink_2234" Type="http://schemas.openxmlformats.org/officeDocument/2006/relationships/hyperlink" Target="https://nconnect.nicmar.ac.in/storage/profile/ProfilePhoto_P25704032_987163.jpg" TargetMode="External"/><Relationship Id="rId_hyperlink_2235" Type="http://schemas.openxmlformats.org/officeDocument/2006/relationships/hyperlink" Target="https://nconnect.nicmar.ac.in/storage/profile/ProfilePhoto_P25704033_491638.jpg" TargetMode="External"/><Relationship Id="rId_hyperlink_2236" Type="http://schemas.openxmlformats.org/officeDocument/2006/relationships/hyperlink" Target="https://nconnect.nicmar.ac.in/storage/profile/ProfilePhoto_P25704034_924785.jpg" TargetMode="External"/><Relationship Id="rId_hyperlink_2237" Type="http://schemas.openxmlformats.org/officeDocument/2006/relationships/hyperlink" Target="https://nconnect.nicmar.ac.in/storage/profile/ProfilePhoto_P25704035_451867.jpg" TargetMode="External"/><Relationship Id="rId_hyperlink_2238" Type="http://schemas.openxmlformats.org/officeDocument/2006/relationships/hyperlink" Target="https://nconnect.nicmar.ac.in/storage/profile/ProfilePhoto_P25704036_238451.jpg" TargetMode="External"/><Relationship Id="rId_hyperlink_2239" Type="http://schemas.openxmlformats.org/officeDocument/2006/relationships/hyperlink" Target="https://nconnect.nicmar.ac.in/storage/profile/ProfilePhoto_P25704038_832517.jpg" TargetMode="External"/><Relationship Id="rId_hyperlink_2240" Type="http://schemas.openxmlformats.org/officeDocument/2006/relationships/hyperlink" Target="https://nconnect.nicmar.ac.in/storage/profile/6a85de918f0b2.png" TargetMode="External"/><Relationship Id="rId_hyperlink_2241" Type="http://schemas.openxmlformats.org/officeDocument/2006/relationships/hyperlink" Target="https://nconnect.nicmar.ac.in/storage/profile/6a85c11d37681.png" TargetMode="External"/><Relationship Id="rId_hyperlink_2242" Type="http://schemas.openxmlformats.org/officeDocument/2006/relationships/hyperlink" Target="https://nconnect.nicmar.ac.in/storage/profile/6a8db2c80cc86.png" TargetMode="External"/><Relationship Id="rId_hyperlink_2243" Type="http://schemas.openxmlformats.org/officeDocument/2006/relationships/hyperlink" Target="https://nconnect.nicmar.ac.in/storage/profile/6a8708f4011cb.png" TargetMode="External"/><Relationship Id="rId_hyperlink_2244" Type="http://schemas.openxmlformats.org/officeDocument/2006/relationships/hyperlink" Target="https://nconnect.nicmar.ac.in/storage/profile/6a8bee1ac0d39.png" TargetMode="External"/><Relationship Id="rId_hyperlink_2245" Type="http://schemas.openxmlformats.org/officeDocument/2006/relationships/hyperlink" Target="https://nconnect.nicmar.ac.in/storage/profile/6a8c885a415d6.png" TargetMode="External"/><Relationship Id="rId_hyperlink_2246" Type="http://schemas.openxmlformats.org/officeDocument/2006/relationships/hyperlink" Target="https://nconnect.nicmar.ac.in/storage/profile/6a85e99103af1.png" TargetMode="External"/><Relationship Id="rId_hyperlink_2247" Type="http://schemas.openxmlformats.org/officeDocument/2006/relationships/hyperlink" Target="https://nconnect.nicmar.ac.in/storage/profile/6a85ec7f588c6.png" TargetMode="External"/><Relationship Id="rId_hyperlink_2248" Type="http://schemas.openxmlformats.org/officeDocument/2006/relationships/hyperlink" Target="https://nconnect.nicmar.ac.in/storage/profile/6a84a8aad875e.png" TargetMode="External"/><Relationship Id="rId_hyperlink_2249" Type="http://schemas.openxmlformats.org/officeDocument/2006/relationships/hyperlink" Target="https://nconnect.nicmar.ac.in/storage/profile/6a85ef817bbe0.png" TargetMode="External"/><Relationship Id="rId_hyperlink_2250" Type="http://schemas.openxmlformats.org/officeDocument/2006/relationships/hyperlink" Target="https://nconnect.nicmar.ac.in/storage/profile/6a8bf419a2613.png" TargetMode="External"/><Relationship Id="rId_hyperlink_2251" Type="http://schemas.openxmlformats.org/officeDocument/2006/relationships/hyperlink" Target="https://nconnect.nicmar.ac.in/storage/profile/6a85d94b35119.png" TargetMode="External"/><Relationship Id="rId_hyperlink_2252" Type="http://schemas.openxmlformats.org/officeDocument/2006/relationships/hyperlink" Target="https://nconnect.nicmar.ac.in/storage/profile/6a85a0f30625f.png" TargetMode="External"/><Relationship Id="rId_hyperlink_2253" Type="http://schemas.openxmlformats.org/officeDocument/2006/relationships/hyperlink" Target="https://nconnect.nicmar.ac.in/storage/profile/6a85643b6be98.png" TargetMode="External"/><Relationship Id="rId_hyperlink_2254" Type="http://schemas.openxmlformats.org/officeDocument/2006/relationships/hyperlink" Target="https://nconnect.nicmar.ac.in/storage/profile/6a85d88da9268.png" TargetMode="External"/><Relationship Id="rId_hyperlink_2255" Type="http://schemas.openxmlformats.org/officeDocument/2006/relationships/hyperlink" Target="https://nconnect.nicmar.ac.in/storage/profile/6a85a722ebe52.png" TargetMode="External"/><Relationship Id="rId_hyperlink_2256" Type="http://schemas.openxmlformats.org/officeDocument/2006/relationships/hyperlink" Target="https://nconnect.nicmar.ac.in/storage/profile/6a85e638a2d50.png" TargetMode="External"/><Relationship Id="rId_hyperlink_2257" Type="http://schemas.openxmlformats.org/officeDocument/2006/relationships/hyperlink" Target="https://nconnect.nicmar.ac.in/storage/profile/6a86cf2f04db0.png" TargetMode="External"/><Relationship Id="rId_hyperlink_2258" Type="http://schemas.openxmlformats.org/officeDocument/2006/relationships/hyperlink" Target="https://nconnect.nicmar.ac.in/storage/profile/6a85e40a58a9b.png" TargetMode="External"/><Relationship Id="rId_hyperlink_2259" Type="http://schemas.openxmlformats.org/officeDocument/2006/relationships/hyperlink" Target="https://nconnect.nicmar.ac.in/storage/profile/6a85f081306da.png" TargetMode="External"/><Relationship Id="rId_hyperlink_2260" Type="http://schemas.openxmlformats.org/officeDocument/2006/relationships/hyperlink" Target="https://nconnect.nicmar.ac.in/storage/profile/6a88709379c13.png" TargetMode="External"/><Relationship Id="rId_hyperlink_2261" Type="http://schemas.openxmlformats.org/officeDocument/2006/relationships/hyperlink" Target="https://nconnect.nicmar.ac.in/storage/profile/6a831cf0a1fdc.png" TargetMode="External"/><Relationship Id="rId_hyperlink_2262" Type="http://schemas.openxmlformats.org/officeDocument/2006/relationships/hyperlink" Target="https://nconnect.nicmar.ac.in/storage/profile/6a86d5917558a.png" TargetMode="External"/><Relationship Id="rId_hyperlink_2263" Type="http://schemas.openxmlformats.org/officeDocument/2006/relationships/hyperlink" Target="https://nconnect.nicmar.ac.in/storage/profile/6a84a8c7e840d.png" TargetMode="External"/><Relationship Id="rId_hyperlink_2264" Type="http://schemas.openxmlformats.org/officeDocument/2006/relationships/hyperlink" Target="https://nconnect.nicmar.ac.in/storage/profile/6a85d7ff3f7c0.png" TargetMode="External"/><Relationship Id="rId_hyperlink_2265" Type="http://schemas.openxmlformats.org/officeDocument/2006/relationships/hyperlink" Target="https://nconnect.nicmar.ac.in/storage/profile/6a8535ed892de.png" TargetMode="External"/><Relationship Id="rId_hyperlink_2266" Type="http://schemas.openxmlformats.org/officeDocument/2006/relationships/hyperlink" Target="https://nconnect.nicmar.ac.in/storage/profile/6a85dd4e1d505.png" TargetMode="External"/><Relationship Id="rId_hyperlink_2267" Type="http://schemas.openxmlformats.org/officeDocument/2006/relationships/hyperlink" Target="https://nconnect.nicmar.ac.in/storage/profile/6a85d94cd12b0.png" TargetMode="External"/><Relationship Id="rId_hyperlink_2268" Type="http://schemas.openxmlformats.org/officeDocument/2006/relationships/hyperlink" Target="https://nconnect.nicmar.ac.in/storage/profile/6a867ab9efb9f.png" TargetMode="External"/><Relationship Id="rId_hyperlink_2269" Type="http://schemas.openxmlformats.org/officeDocument/2006/relationships/hyperlink" Target="https://nconnect.nicmar.ac.in/storage/profile/6a85e86434ace.png" TargetMode="External"/><Relationship Id="rId_hyperlink_2270" Type="http://schemas.openxmlformats.org/officeDocument/2006/relationships/hyperlink" Target="https://nconnect.nicmar.ac.in/storage/profile/6a85f5af2cc12.png" TargetMode="External"/><Relationship Id="rId_hyperlink_2271" Type="http://schemas.openxmlformats.org/officeDocument/2006/relationships/hyperlink" Target="https://nconnect.nicmar.ac.in/storage/profile/6a85e7ac1ccc8.png" TargetMode="External"/><Relationship Id="rId_hyperlink_2272" Type="http://schemas.openxmlformats.org/officeDocument/2006/relationships/hyperlink" Target="https://nconnect.nicmar.ac.in/storage/profile/6a85eb6fe6fba.png" TargetMode="External"/><Relationship Id="rId_hyperlink_2273" Type="http://schemas.openxmlformats.org/officeDocument/2006/relationships/hyperlink" Target="https://nconnect.nicmar.ac.in/storage/profile/6a85cfd08ed47.png" TargetMode="External"/><Relationship Id="rId_hyperlink_2274" Type="http://schemas.openxmlformats.org/officeDocument/2006/relationships/hyperlink" Target="https://nconnect.nicmar.ac.in/storage/profile/6a8861e7a2662.png" TargetMode="External"/><Relationship Id="rId_hyperlink_2275" Type="http://schemas.openxmlformats.org/officeDocument/2006/relationships/hyperlink" Target="https://nconnect.nicmar.ac.in/storage/profile/6a847e054d530.png" TargetMode="External"/><Relationship Id="rId_hyperlink_2276" Type="http://schemas.openxmlformats.org/officeDocument/2006/relationships/hyperlink" Target="https://nconnect.nicmar.ac.in/storage/profile/6a85e13852258.png" TargetMode="External"/><Relationship Id="rId_hyperlink_2277" Type="http://schemas.openxmlformats.org/officeDocument/2006/relationships/hyperlink" Target="https://nconnect.nicmar.ac.in/storage/profile/6a85f311d0a2a.png" TargetMode="External"/><Relationship Id="rId_hyperlink_2278" Type="http://schemas.openxmlformats.org/officeDocument/2006/relationships/hyperlink" Target="https://nconnect.nicmar.ac.in/storage/profile/6a897aab3cc00.png" TargetMode="External"/><Relationship Id="rId_hyperlink_2279" Type="http://schemas.openxmlformats.org/officeDocument/2006/relationships/hyperlink" Target="https://nconnect.nicmar.ac.in/storage/profile/6a85ad2fabfa0.png" TargetMode="External"/><Relationship Id="rId_hyperlink_2280" Type="http://schemas.openxmlformats.org/officeDocument/2006/relationships/hyperlink" Target="https://nconnect.nicmar.ac.in/storage/profile/6a89977a3ac12.png" TargetMode="External"/><Relationship Id="rId_hyperlink_2281" Type="http://schemas.openxmlformats.org/officeDocument/2006/relationships/hyperlink" Target="https://nconnect.nicmar.ac.in/storage/profile/6a85dc3135d3c.png" TargetMode="External"/><Relationship Id="rId_hyperlink_2282" Type="http://schemas.openxmlformats.org/officeDocument/2006/relationships/hyperlink" Target="https://nconnect.nicmar.ac.in/storage/profile/6a85f4288df48.png" TargetMode="External"/><Relationship Id="rId_hyperlink_2283" Type="http://schemas.openxmlformats.org/officeDocument/2006/relationships/hyperlink" Target="https://nconnect.nicmar.ac.in/storage/profile/6a84a9c49df5a.png" TargetMode="External"/><Relationship Id="rId_hyperlink_2284" Type="http://schemas.openxmlformats.org/officeDocument/2006/relationships/hyperlink" Target="https://nconnect.nicmar.ac.in/storage/profile/6a8598398b427.png" TargetMode="External"/><Relationship Id="rId_hyperlink_2285" Type="http://schemas.openxmlformats.org/officeDocument/2006/relationships/hyperlink" Target="https://nconnect.nicmar.ac.in/storage/profile/6a848923c8031.png" TargetMode="External"/><Relationship Id="rId_hyperlink_2286" Type="http://schemas.openxmlformats.org/officeDocument/2006/relationships/hyperlink" Target="https://nconnect.nicmar.ac.in/storage/profile/6a85d11a28dee.png" TargetMode="External"/><Relationship Id="rId_hyperlink_2287" Type="http://schemas.openxmlformats.org/officeDocument/2006/relationships/hyperlink" Target="https://nconnect.nicmar.ac.in/storage/profile/6a855db5e6787.png" TargetMode="External"/><Relationship Id="rId_hyperlink_2288" Type="http://schemas.openxmlformats.org/officeDocument/2006/relationships/hyperlink" Target="https://nconnect.nicmar.ac.in/storage/profile/6a8684d9d6055.png" TargetMode="External"/><Relationship Id="rId_hyperlink_2289" Type="http://schemas.openxmlformats.org/officeDocument/2006/relationships/hyperlink" Target="https://nconnect.nicmar.ac.in/storage/profile/6a85d2db75cbd.png" TargetMode="External"/><Relationship Id="rId_hyperlink_2290" Type="http://schemas.openxmlformats.org/officeDocument/2006/relationships/hyperlink" Target="https://nconnect.nicmar.ac.in/storage/profile/6a85eb706742c.png" TargetMode="External"/><Relationship Id="rId_hyperlink_2291" Type="http://schemas.openxmlformats.org/officeDocument/2006/relationships/hyperlink" Target="https://nconnect.nicmar.ac.in/storage/profile/6a85cf77d7e7d.png" TargetMode="External"/><Relationship Id="rId_hyperlink_2292" Type="http://schemas.openxmlformats.org/officeDocument/2006/relationships/hyperlink" Target="https://nconnect.nicmar.ac.in/storage/profile/6a859a3a095bb.png" TargetMode="External"/><Relationship Id="rId_hyperlink_2293" Type="http://schemas.openxmlformats.org/officeDocument/2006/relationships/hyperlink" Target="https://nconnect.nicmar.ac.in/storage/profile/6a859e5557b53.png" TargetMode="External"/><Relationship Id="rId_hyperlink_2294" Type="http://schemas.openxmlformats.org/officeDocument/2006/relationships/hyperlink" Target="https://nconnect.nicmar.ac.in/storage/profile/6a85bd200653e.png" TargetMode="External"/><Relationship Id="rId_hyperlink_2295" Type="http://schemas.openxmlformats.org/officeDocument/2006/relationships/hyperlink" Target="https://nconnect.nicmar.ac.in/storage/profile/6a85f3e1d289f.png" TargetMode="External"/><Relationship Id="rId_hyperlink_2296" Type="http://schemas.openxmlformats.org/officeDocument/2006/relationships/hyperlink" Target="https://nconnect.nicmar.ac.in/storage/profile/6a228f22b5594.png" TargetMode="External"/><Relationship Id="rId_hyperlink_2297" Type="http://schemas.openxmlformats.org/officeDocument/2006/relationships/hyperlink" Target="https://nconnect.nicmar.ac.in/storage/profile/6a229f37c4f6e.png" TargetMode="External"/><Relationship Id="rId_hyperlink_2298" Type="http://schemas.openxmlformats.org/officeDocument/2006/relationships/hyperlink" Target="https://nconnect.nicmar.ac.in/storage/profile/6a22a37637792.png" TargetMode="External"/><Relationship Id="rId_hyperlink_2299" Type="http://schemas.openxmlformats.org/officeDocument/2006/relationships/hyperlink" Target="https://nconnect.nicmar.ac.in/storage/profile/6a22aa8c81c79.png" TargetMode="External"/><Relationship Id="rId_hyperlink_2300" Type="http://schemas.openxmlformats.org/officeDocument/2006/relationships/hyperlink" Target="https://nconnect.nicmar.ac.in/storage/profile/6a22b01e23288.png" TargetMode="External"/><Relationship Id="rId_hyperlink_2301" Type="http://schemas.openxmlformats.org/officeDocument/2006/relationships/hyperlink" Target="https://nconnect.nicmar.ac.in/storage/profile/6a263d01e588c.png" TargetMode="External"/><Relationship Id="rId_hyperlink_2302" Type="http://schemas.openxmlformats.org/officeDocument/2006/relationships/hyperlink" Target="https://nconnect.nicmar.ac.in/storage/profile/6a2643dfcb805.png" TargetMode="External"/><Relationship Id="rId_hyperlink_2303" Type="http://schemas.openxmlformats.org/officeDocument/2006/relationships/hyperlink" Target="https://nconnect.nicmar.ac.in/storage/profile/6a8f16a1b98e9.png" TargetMode="External"/><Relationship Id="rId_hyperlink_2304" Type="http://schemas.openxmlformats.org/officeDocument/2006/relationships/hyperlink" Target="https://nconnect.nicmar.ac.in/storage/profile/6a84a813138d6.png" TargetMode="External"/><Relationship Id="rId_hyperlink_2305" Type="http://schemas.openxmlformats.org/officeDocument/2006/relationships/hyperlink" Target="https://nconnect.nicmar.ac.in/storage/profile/ProfilePhoto_P25701096_463592.jpg" TargetMode="External"/><Relationship Id="rId_hyperlink_2306" Type="http://schemas.openxmlformats.org/officeDocument/2006/relationships/hyperlink" Target="https://nconnect.nicmar.ac.in/storage/profile/6a84adcdadc8e.png" TargetMode="External"/><Relationship Id="rId_hyperlink_2307" Type="http://schemas.openxmlformats.org/officeDocument/2006/relationships/hyperlink" Target="https://nconnect.nicmar.ac.in/storage/profile/ProfilePhoto_P25707001_689247.jpg" TargetMode="External"/><Relationship Id="rId_hyperlink_2308" Type="http://schemas.openxmlformats.org/officeDocument/2006/relationships/hyperlink" Target="https://nconnect.nicmar.ac.in/storage/profile/ProfilePhoto_P25707002_857632.jpg" TargetMode="External"/><Relationship Id="rId_hyperlink_2309" Type="http://schemas.openxmlformats.org/officeDocument/2006/relationships/hyperlink" Target="https://nconnect.nicmar.ac.in/storage/profile/ProfilePhoto_P25707003_426789.jpg" TargetMode="External"/><Relationship Id="rId_hyperlink_2310" Type="http://schemas.openxmlformats.org/officeDocument/2006/relationships/hyperlink" Target="https://nconnect.nicmar.ac.in/storage/profile/ProfilePhoto_P25707004_475816.jpg" TargetMode="External"/><Relationship Id="rId_hyperlink_2311" Type="http://schemas.openxmlformats.org/officeDocument/2006/relationships/hyperlink" Target="https://nconnect.nicmar.ac.in/storage/profile/ProfilePhoto_P25707005_192873.jpg" TargetMode="External"/><Relationship Id="rId_hyperlink_2312" Type="http://schemas.openxmlformats.org/officeDocument/2006/relationships/hyperlink" Target="https://nconnect.nicmar.ac.in/storage/profile/ProfilePhoto_P25707007_687459.jpg" TargetMode="External"/><Relationship Id="rId_hyperlink_2313" Type="http://schemas.openxmlformats.org/officeDocument/2006/relationships/hyperlink" Target="https://nconnect.nicmar.ac.in/storage/profile/ProfilePhoto_P25707008_267589.jpg" TargetMode="External"/><Relationship Id="rId_hyperlink_2314" Type="http://schemas.openxmlformats.org/officeDocument/2006/relationships/hyperlink" Target="https://nconnect.nicmar.ac.in/storage/profile/ProfilePhoto_P25707011_829531.jpg" TargetMode="External"/><Relationship Id="rId_hyperlink_2315" Type="http://schemas.openxmlformats.org/officeDocument/2006/relationships/hyperlink" Target="https://nconnect.nicmar.ac.in/storage/profile/ProfilePhoto_P25707012_126357.jpg" TargetMode="External"/><Relationship Id="rId_hyperlink_2316" Type="http://schemas.openxmlformats.org/officeDocument/2006/relationships/hyperlink" Target="https://nconnect.nicmar.ac.in/storage/profile/ProfilePhoto_P25707013_359281.jpg" TargetMode="External"/><Relationship Id="rId_hyperlink_2317" Type="http://schemas.openxmlformats.org/officeDocument/2006/relationships/hyperlink" Target="https://nconnect.nicmar.ac.in/storage/profile/ProfilePhoto_P25707014_759148.jpg" TargetMode="External"/><Relationship Id="rId_hyperlink_2318" Type="http://schemas.openxmlformats.org/officeDocument/2006/relationships/hyperlink" Target="https://nconnect.nicmar.ac.in/storage/profile/ProfilePhoto_P25707015_275148.jpg" TargetMode="External"/><Relationship Id="rId_hyperlink_2319" Type="http://schemas.openxmlformats.org/officeDocument/2006/relationships/hyperlink" Target="https://nconnect.nicmar.ac.in/storage/profile/ProfilePhoto_P25707016_126584.jpg" TargetMode="External"/><Relationship Id="rId_hyperlink_2320" Type="http://schemas.openxmlformats.org/officeDocument/2006/relationships/hyperlink" Target="https://nconnect.nicmar.ac.in/storage/profile/ProfilePhoto_P25707017_492153.jpg" TargetMode="External"/><Relationship Id="rId_hyperlink_2321" Type="http://schemas.openxmlformats.org/officeDocument/2006/relationships/hyperlink" Target="https://nconnect.nicmar.ac.in/storage/profile/ProfilePhoto_P25707018_314526.jpg" TargetMode="External"/><Relationship Id="rId_hyperlink_2322" Type="http://schemas.openxmlformats.org/officeDocument/2006/relationships/hyperlink" Target="https://nconnect.nicmar.ac.in/storage/profile/ProfilePhoto_P25707021_512496.jpg" TargetMode="External"/><Relationship Id="rId_hyperlink_2323" Type="http://schemas.openxmlformats.org/officeDocument/2006/relationships/hyperlink" Target="https://nconnect.nicmar.ac.in/storage/profile/ProfilePhoto_P25707022_251376.jpg" TargetMode="External"/><Relationship Id="rId_hyperlink_2324" Type="http://schemas.openxmlformats.org/officeDocument/2006/relationships/hyperlink" Target="https://nconnect.nicmar.ac.in/storage/profile/ProfilePhoto_P25707023_842739.jpg" TargetMode="External"/><Relationship Id="rId_hyperlink_2325" Type="http://schemas.openxmlformats.org/officeDocument/2006/relationships/hyperlink" Target="https://nconnect.nicmar.ac.in/storage/profile/ProfilePhoto_P25707024_269347.jpg" TargetMode="External"/><Relationship Id="rId_hyperlink_2326" Type="http://schemas.openxmlformats.org/officeDocument/2006/relationships/hyperlink" Target="https://nconnect.nicmar.ac.in/storage/profile/ProfilePhoto_P25707025_542186.jpg" TargetMode="External"/><Relationship Id="rId_hyperlink_2327" Type="http://schemas.openxmlformats.org/officeDocument/2006/relationships/hyperlink" Target="https://nconnect.nicmar.ac.in/storage/profile/ProfilePhoto_P25707026_581379.jpg" TargetMode="External"/><Relationship Id="rId_hyperlink_2328" Type="http://schemas.openxmlformats.org/officeDocument/2006/relationships/hyperlink" Target="https://nconnect.nicmar.ac.in/storage/profile/ProfilePhoto_P25707027_184539.jpg" TargetMode="External"/><Relationship Id="rId_hyperlink_2329" Type="http://schemas.openxmlformats.org/officeDocument/2006/relationships/hyperlink" Target="https://nconnect.nicmar.ac.in/storage/profile/ProfilePhoto_P25707028_695231.jpg" TargetMode="External"/><Relationship Id="rId_hyperlink_2330" Type="http://schemas.openxmlformats.org/officeDocument/2006/relationships/hyperlink" Target="https://nconnect.nicmar.ac.in/storage/profile/ProfilePhoto_P25707029_139628.jpg" TargetMode="External"/><Relationship Id="rId_hyperlink_2331" Type="http://schemas.openxmlformats.org/officeDocument/2006/relationships/hyperlink" Target="https://nconnect.nicmar.ac.in/storage/profile/ProfilePhoto_P25707030_263785.jpg" TargetMode="External"/><Relationship Id="rId_hyperlink_2332" Type="http://schemas.openxmlformats.org/officeDocument/2006/relationships/hyperlink" Target="https://nconnect.nicmar.ac.in/storage/profile/ProfilePhoto_P25707031_731429.jpg" TargetMode="External"/><Relationship Id="rId_hyperlink_2333" Type="http://schemas.openxmlformats.org/officeDocument/2006/relationships/hyperlink" Target="https://nconnect.nicmar.ac.in/storage/profile/ProfilePhoto_P25707033_857492.jpg" TargetMode="External"/><Relationship Id="rId_hyperlink_2334" Type="http://schemas.openxmlformats.org/officeDocument/2006/relationships/hyperlink" Target="https://nconnect.nicmar.ac.in/storage/profile/ProfilePhoto_P25707034_398276.jpg" TargetMode="External"/><Relationship Id="rId_hyperlink_2335" Type="http://schemas.openxmlformats.org/officeDocument/2006/relationships/hyperlink" Target="https://nconnect.nicmar.ac.in/storage/profile/ProfilePhoto_P25707035_892731.jpg" TargetMode="External"/><Relationship Id="rId_hyperlink_2336" Type="http://schemas.openxmlformats.org/officeDocument/2006/relationships/hyperlink" Target="https://nconnect.nicmar.ac.in/storage/profile/ProfilePhoto_P25707036_319574.jpg" TargetMode="External"/><Relationship Id="rId_hyperlink_2337" Type="http://schemas.openxmlformats.org/officeDocument/2006/relationships/hyperlink" Target="https://nconnect.nicmar.ac.in/storage/profile/ProfilePhoto_P25707037_629387.jpg" TargetMode="External"/><Relationship Id="rId_hyperlink_2338" Type="http://schemas.openxmlformats.org/officeDocument/2006/relationships/hyperlink" Target="https://nconnect.nicmar.ac.in/storage/profile/ProfilePhoto_P25707038_634579.jpg" TargetMode="External"/><Relationship Id="rId_hyperlink_2339" Type="http://schemas.openxmlformats.org/officeDocument/2006/relationships/hyperlink" Target="https://nconnect.nicmar.ac.in/storage/profile/ProfilePhoto_P25707039_752349.jpg" TargetMode="External"/><Relationship Id="rId_hyperlink_2340" Type="http://schemas.openxmlformats.org/officeDocument/2006/relationships/hyperlink" Target="https://nconnect.nicmar.ac.in/storage/profile/ProfilePhoto_P25706001_497368.jpg" TargetMode="External"/><Relationship Id="rId_hyperlink_2341" Type="http://schemas.openxmlformats.org/officeDocument/2006/relationships/hyperlink" Target="https://nconnect.nicmar.ac.in/storage/profile/ProfilePhoto_P25706002_764851.jpg" TargetMode="External"/><Relationship Id="rId_hyperlink_2342" Type="http://schemas.openxmlformats.org/officeDocument/2006/relationships/hyperlink" Target="https://nconnect.nicmar.ac.in/storage/profile/ProfilePhoto_P25706003_729314.jpg" TargetMode="External"/><Relationship Id="rId_hyperlink_2343" Type="http://schemas.openxmlformats.org/officeDocument/2006/relationships/hyperlink" Target="https://nconnect.nicmar.ac.in/storage/profile/ProfilePhoto_P25706004_745293.jpg" TargetMode="External"/><Relationship Id="rId_hyperlink_2344" Type="http://schemas.openxmlformats.org/officeDocument/2006/relationships/hyperlink" Target="https://nconnect.nicmar.ac.in/storage/profile/ProfilePhoto_P25706005_369741.jpg" TargetMode="External"/><Relationship Id="rId_hyperlink_2345" Type="http://schemas.openxmlformats.org/officeDocument/2006/relationships/hyperlink" Target="https://nconnect.nicmar.ac.in/storage/profile/ProfilePhoto_P25706006_148672.jpg" TargetMode="External"/><Relationship Id="rId_hyperlink_2346" Type="http://schemas.openxmlformats.org/officeDocument/2006/relationships/hyperlink" Target="https://nconnect.nicmar.ac.in/storage/profile/ProfilePhoto_P25706007_459328.jpg" TargetMode="External"/><Relationship Id="rId_hyperlink_2347" Type="http://schemas.openxmlformats.org/officeDocument/2006/relationships/hyperlink" Target="https://nconnect.nicmar.ac.in/storage/profile/ProfilePhoto_P25706008_824173.jpg" TargetMode="External"/><Relationship Id="rId_hyperlink_2348" Type="http://schemas.openxmlformats.org/officeDocument/2006/relationships/hyperlink" Target="https://nconnect.nicmar.ac.in/storage/profile/ProfilePhoto_P25706009_795423.jpg" TargetMode="External"/><Relationship Id="rId_hyperlink_2349" Type="http://schemas.openxmlformats.org/officeDocument/2006/relationships/hyperlink" Target="https://nconnect.nicmar.ac.in/storage/profile/ProfilePhoto_P25706010_137249.jpg" TargetMode="External"/><Relationship Id="rId_hyperlink_2350" Type="http://schemas.openxmlformats.org/officeDocument/2006/relationships/hyperlink" Target="https://nconnect.nicmar.ac.in/storage/profile/ProfilePhoto_P25706011_687321.jpg" TargetMode="External"/><Relationship Id="rId_hyperlink_2351" Type="http://schemas.openxmlformats.org/officeDocument/2006/relationships/hyperlink" Target="https://nconnect.nicmar.ac.in/storage/profile/ProfilePhoto_P25706012_485726.jpg" TargetMode="External"/><Relationship Id="rId_hyperlink_2352" Type="http://schemas.openxmlformats.org/officeDocument/2006/relationships/hyperlink" Target="https://nconnect.nicmar.ac.in/storage/profile/ProfilePhoto_P25706013_549263.jpg" TargetMode="External"/><Relationship Id="rId_hyperlink_2353" Type="http://schemas.openxmlformats.org/officeDocument/2006/relationships/hyperlink" Target="https://nconnect.nicmar.ac.in/storage/profile/ProfilePhoto_P25706014_412957.jpg" TargetMode="External"/><Relationship Id="rId_hyperlink_2354" Type="http://schemas.openxmlformats.org/officeDocument/2006/relationships/hyperlink" Target="https://nconnect.nicmar.ac.in/storage/profile/ProfilePhoto_P25706015_614758.jpg" TargetMode="External"/><Relationship Id="rId_hyperlink_2355" Type="http://schemas.openxmlformats.org/officeDocument/2006/relationships/hyperlink" Target="https://nconnect.nicmar.ac.in/storage/profile/ProfilePhoto_P25706016_356284.jpg" TargetMode="External"/><Relationship Id="rId_hyperlink_2356" Type="http://schemas.openxmlformats.org/officeDocument/2006/relationships/hyperlink" Target="https://nconnect.nicmar.ac.in/storage/profile/ProfilePhoto_P25706017_423976.jpg" TargetMode="External"/><Relationship Id="rId_hyperlink_2357" Type="http://schemas.openxmlformats.org/officeDocument/2006/relationships/hyperlink" Target="https://nconnect.nicmar.ac.in/storage/profile/ProfilePhoto_P25706018_657438.jpg" TargetMode="External"/><Relationship Id="rId_hyperlink_2358" Type="http://schemas.openxmlformats.org/officeDocument/2006/relationships/hyperlink" Target="https://nconnect.nicmar.ac.in/storage/profile/ProfilePhoto_P25706019_479825.jpg" TargetMode="External"/><Relationship Id="rId_hyperlink_2359" Type="http://schemas.openxmlformats.org/officeDocument/2006/relationships/hyperlink" Target="https://nconnect.nicmar.ac.in/storage/profile/ProfilePhoto_P25706020_473619.jpg" TargetMode="External"/><Relationship Id="rId_hyperlink_2360" Type="http://schemas.openxmlformats.org/officeDocument/2006/relationships/hyperlink" Target="https://nconnect.nicmar.ac.in/storage/profile/6a809c162ee47.png" TargetMode="External"/><Relationship Id="rId_hyperlink_2361" Type="http://schemas.openxmlformats.org/officeDocument/2006/relationships/hyperlink" Target="https://nconnect.nicmar.ac.in/storage/profile/ProfilePhoto_P25706022_813754.jpg" TargetMode="External"/><Relationship Id="rId_hyperlink_2362" Type="http://schemas.openxmlformats.org/officeDocument/2006/relationships/hyperlink" Target="https://nconnect.nicmar.ac.in/storage/profile/ProfilePhoto_P25706023_352879.jpg" TargetMode="External"/><Relationship Id="rId_hyperlink_2363" Type="http://schemas.openxmlformats.org/officeDocument/2006/relationships/hyperlink" Target="https://nconnect.nicmar.ac.in/storage/profile/ProfilePhoto_P25706024_261895.jpg" TargetMode="External"/><Relationship Id="rId_hyperlink_2364" Type="http://schemas.openxmlformats.org/officeDocument/2006/relationships/hyperlink" Target="https://nconnect.nicmar.ac.in/storage/profile/ProfilePhoto_P25706025_139682.jpg" TargetMode="External"/><Relationship Id="rId_hyperlink_2365" Type="http://schemas.openxmlformats.org/officeDocument/2006/relationships/hyperlink" Target="https://nconnect.nicmar.ac.in/storage/profile/ProfilePhoto_P25706026_736918.jpg" TargetMode="External"/><Relationship Id="rId_hyperlink_2366" Type="http://schemas.openxmlformats.org/officeDocument/2006/relationships/hyperlink" Target="https://nconnect.nicmar.ac.in/storage/profile/ProfilePhoto_P25701001_763985.jpg" TargetMode="External"/><Relationship Id="rId_hyperlink_2367" Type="http://schemas.openxmlformats.org/officeDocument/2006/relationships/hyperlink" Target="https://nconnect.nicmar.ac.in/storage/profile/ProfilePhoto_P25701002_568417.jpg" TargetMode="External"/><Relationship Id="rId_hyperlink_2368" Type="http://schemas.openxmlformats.org/officeDocument/2006/relationships/hyperlink" Target="https://nconnect.nicmar.ac.in/storage/profile/ProfilePhoto_P25701003_852167.jpg" TargetMode="External"/><Relationship Id="rId_hyperlink_2369" Type="http://schemas.openxmlformats.org/officeDocument/2006/relationships/hyperlink" Target="https://nconnect.nicmar.ac.in/storage/profile/ProfilePhoto_P25701004_384192.jpg" TargetMode="External"/><Relationship Id="rId_hyperlink_2370" Type="http://schemas.openxmlformats.org/officeDocument/2006/relationships/hyperlink" Target="https://nconnect.nicmar.ac.in/storage/profile/ProfilePhoto_P25701005_496138.jpg" TargetMode="External"/><Relationship Id="rId_hyperlink_2371" Type="http://schemas.openxmlformats.org/officeDocument/2006/relationships/hyperlink" Target="https://nconnect.nicmar.ac.in/storage/profile/ProfilePhoto_P25701007_349827.jpg" TargetMode="External"/><Relationship Id="rId_hyperlink_2372" Type="http://schemas.openxmlformats.org/officeDocument/2006/relationships/hyperlink" Target="https://nconnect.nicmar.ac.in/storage/profile/ProfilePhoto_P25701008_873691.jpg" TargetMode="External"/><Relationship Id="rId_hyperlink_2373" Type="http://schemas.openxmlformats.org/officeDocument/2006/relationships/hyperlink" Target="https://nconnect.nicmar.ac.in/storage/profile/ProfilePhoto_P25701009_968471.jpg" TargetMode="External"/><Relationship Id="rId_hyperlink_2374" Type="http://schemas.openxmlformats.org/officeDocument/2006/relationships/hyperlink" Target="https://nconnect.nicmar.ac.in/storage/profile/ProfilePhoto_P25701010_479156.jpg" TargetMode="External"/><Relationship Id="rId_hyperlink_2375" Type="http://schemas.openxmlformats.org/officeDocument/2006/relationships/hyperlink" Target="https://nconnect.nicmar.ac.in/storage/profile/ProfilePhoto_P25701011_932476.jpg" TargetMode="External"/><Relationship Id="rId_hyperlink_2376" Type="http://schemas.openxmlformats.org/officeDocument/2006/relationships/hyperlink" Target="https://nconnect.nicmar.ac.in/storage/profile/ProfilePhoto_P25701013_148267.jpg" TargetMode="External"/><Relationship Id="rId_hyperlink_2377" Type="http://schemas.openxmlformats.org/officeDocument/2006/relationships/hyperlink" Target="https://nconnect.nicmar.ac.in/storage/profile/ProfilePhoto_P25701014_782496.jpg" TargetMode="External"/><Relationship Id="rId_hyperlink_2378" Type="http://schemas.openxmlformats.org/officeDocument/2006/relationships/hyperlink" Target="https://nconnect.nicmar.ac.in/storage/profile/ProfilePhoto_P25701015_578136.jpg" TargetMode="External"/><Relationship Id="rId_hyperlink_2379" Type="http://schemas.openxmlformats.org/officeDocument/2006/relationships/hyperlink" Target="https://nconnect.nicmar.ac.in/storage/profile/ProfilePhoto_P25701016_248953.jpg" TargetMode="External"/><Relationship Id="rId_hyperlink_2380" Type="http://schemas.openxmlformats.org/officeDocument/2006/relationships/hyperlink" Target="https://nconnect.nicmar.ac.in/storage/profile/ProfilePhoto_P25701017_283697.jpg" TargetMode="External"/><Relationship Id="rId_hyperlink_2381" Type="http://schemas.openxmlformats.org/officeDocument/2006/relationships/hyperlink" Target="https://nconnect.nicmar.ac.in/storage/profile/ProfilePhoto_P25701018_163478.jpg" TargetMode="External"/><Relationship Id="rId_hyperlink_2382" Type="http://schemas.openxmlformats.org/officeDocument/2006/relationships/hyperlink" Target="https://nconnect.nicmar.ac.in/storage/profile/ProfilePhoto_P25701020_926453.jpg" TargetMode="External"/><Relationship Id="rId_hyperlink_2383" Type="http://schemas.openxmlformats.org/officeDocument/2006/relationships/hyperlink" Target="https://nconnect.nicmar.ac.in/storage/profile/ProfilePhoto_P25701021_792318.jpg" TargetMode="External"/><Relationship Id="rId_hyperlink_2384" Type="http://schemas.openxmlformats.org/officeDocument/2006/relationships/hyperlink" Target="https://nconnect.nicmar.ac.in/storage/profile/ProfilePhoto_P25701022_635789.jpg" TargetMode="External"/><Relationship Id="rId_hyperlink_2385" Type="http://schemas.openxmlformats.org/officeDocument/2006/relationships/hyperlink" Target="https://nconnect.nicmar.ac.in/storage/profile/ProfilePhoto_P25701024_187362.jpg" TargetMode="External"/><Relationship Id="rId_hyperlink_2386" Type="http://schemas.openxmlformats.org/officeDocument/2006/relationships/hyperlink" Target="https://nconnect.nicmar.ac.in/storage/profile/ProfilePhoto_P25701025_745183.jpg" TargetMode="External"/><Relationship Id="rId_hyperlink_2387" Type="http://schemas.openxmlformats.org/officeDocument/2006/relationships/hyperlink" Target="https://nconnect.nicmar.ac.in/storage/profile/ProfilePhoto_P25701026_834126.jpg" TargetMode="External"/><Relationship Id="rId_hyperlink_2388" Type="http://schemas.openxmlformats.org/officeDocument/2006/relationships/hyperlink" Target="https://nconnect.nicmar.ac.in/storage/profile/ProfilePhoto_P25701027_634982.jpg" TargetMode="External"/><Relationship Id="rId_hyperlink_2389" Type="http://schemas.openxmlformats.org/officeDocument/2006/relationships/hyperlink" Target="https://nconnect.nicmar.ac.in/storage/profile/ProfilePhoto_P25701028_358741.jpg" TargetMode="External"/><Relationship Id="rId_hyperlink_2390" Type="http://schemas.openxmlformats.org/officeDocument/2006/relationships/hyperlink" Target="https://nconnect.nicmar.ac.in/storage/profile/ProfilePhoto_P25701029_843927.jpg" TargetMode="External"/><Relationship Id="rId_hyperlink_2391" Type="http://schemas.openxmlformats.org/officeDocument/2006/relationships/hyperlink" Target="https://nconnect.nicmar.ac.in/storage/profile/ProfilePhoto_P25701030_785132.jpg" TargetMode="External"/><Relationship Id="rId_hyperlink_2392" Type="http://schemas.openxmlformats.org/officeDocument/2006/relationships/hyperlink" Target="https://nconnect.nicmar.ac.in/storage/profile/ProfilePhoto_P25701031_957842.jpg" TargetMode="External"/><Relationship Id="rId_hyperlink_2393" Type="http://schemas.openxmlformats.org/officeDocument/2006/relationships/hyperlink" Target="https://nconnect.nicmar.ac.in/storage/profile/ProfilePhoto_P25701032_539862.jpg" TargetMode="External"/><Relationship Id="rId_hyperlink_2394" Type="http://schemas.openxmlformats.org/officeDocument/2006/relationships/hyperlink" Target="https://nconnect.nicmar.ac.in/storage/profile/ProfilePhoto_P25701033_941258.jpg" TargetMode="External"/><Relationship Id="rId_hyperlink_2395" Type="http://schemas.openxmlformats.org/officeDocument/2006/relationships/hyperlink" Target="https://nconnect.nicmar.ac.in/storage/profile/ProfilePhoto_P25701034_463527.jpg" TargetMode="External"/><Relationship Id="rId_hyperlink_2396" Type="http://schemas.openxmlformats.org/officeDocument/2006/relationships/hyperlink" Target="https://nconnect.nicmar.ac.in/storage/profile/ProfilePhoto_P25701035_827956.jpg" TargetMode="External"/><Relationship Id="rId_hyperlink_2397" Type="http://schemas.openxmlformats.org/officeDocument/2006/relationships/hyperlink" Target="https://nconnect.nicmar.ac.in/storage/profile/ProfilePhoto_P25701036_451738.jpg" TargetMode="External"/><Relationship Id="rId_hyperlink_2398" Type="http://schemas.openxmlformats.org/officeDocument/2006/relationships/hyperlink" Target="https://nconnect.nicmar.ac.in/storage/profile/ProfilePhoto_P25701037_823671.jpg" TargetMode="External"/><Relationship Id="rId_hyperlink_2399" Type="http://schemas.openxmlformats.org/officeDocument/2006/relationships/hyperlink" Target="https://nconnect.nicmar.ac.in/storage/profile/ProfilePhoto_P25701038_647513.jpg" TargetMode="External"/><Relationship Id="rId_hyperlink_2400" Type="http://schemas.openxmlformats.org/officeDocument/2006/relationships/hyperlink" Target="https://nconnect.nicmar.ac.in/storage/profile/ProfilePhoto_P25701040_275319.jpg" TargetMode="External"/><Relationship Id="rId_hyperlink_2401" Type="http://schemas.openxmlformats.org/officeDocument/2006/relationships/hyperlink" Target="https://nconnect.nicmar.ac.in/storage/profile/ProfilePhoto_P25701041_738129.jpg" TargetMode="External"/><Relationship Id="rId_hyperlink_2402" Type="http://schemas.openxmlformats.org/officeDocument/2006/relationships/hyperlink" Target="https://nconnect.nicmar.ac.in/storage/profile/ProfilePhoto_P25701042_567892.jpg" TargetMode="External"/><Relationship Id="rId_hyperlink_2403" Type="http://schemas.openxmlformats.org/officeDocument/2006/relationships/hyperlink" Target="https://nconnect.nicmar.ac.in/storage/profile/ProfilePhoto_P25701043_584167.jpg" TargetMode="External"/><Relationship Id="rId_hyperlink_2404" Type="http://schemas.openxmlformats.org/officeDocument/2006/relationships/hyperlink" Target="https://nconnect.nicmar.ac.in/storage/profile/ProfilePhoto_P25701044_378594.jpg" TargetMode="External"/><Relationship Id="rId_hyperlink_2405" Type="http://schemas.openxmlformats.org/officeDocument/2006/relationships/hyperlink" Target="https://nconnect.nicmar.ac.in/storage/profile/ProfilePhoto_P25701045_798341.jpg" TargetMode="External"/><Relationship Id="rId_hyperlink_2406" Type="http://schemas.openxmlformats.org/officeDocument/2006/relationships/hyperlink" Target="https://nconnect.nicmar.ac.in/storage/profile/ProfilePhoto_P25701047_179582.jpg" TargetMode="External"/><Relationship Id="rId_hyperlink_2407" Type="http://schemas.openxmlformats.org/officeDocument/2006/relationships/hyperlink" Target="https://nconnect.nicmar.ac.in/storage/profile/ProfilePhoto_P25701048_947136.jpg" TargetMode="External"/><Relationship Id="rId_hyperlink_2408" Type="http://schemas.openxmlformats.org/officeDocument/2006/relationships/hyperlink" Target="https://nconnect.nicmar.ac.in/storage/profile/ProfilePhoto_P25701049_942516.jpg" TargetMode="External"/><Relationship Id="rId_hyperlink_2409" Type="http://schemas.openxmlformats.org/officeDocument/2006/relationships/hyperlink" Target="https://nconnect.nicmar.ac.in/storage/profile/ProfilePhoto_P25701050_146523.jpg" TargetMode="External"/><Relationship Id="rId_hyperlink_2410" Type="http://schemas.openxmlformats.org/officeDocument/2006/relationships/hyperlink" Target="https://nconnect.nicmar.ac.in/storage/profile/ProfilePhoto_P25701051_864915.jpg" TargetMode="External"/><Relationship Id="rId_hyperlink_2411" Type="http://schemas.openxmlformats.org/officeDocument/2006/relationships/hyperlink" Target="https://nconnect.nicmar.ac.in/storage/profile/ProfilePhoto_P25701052_917684.jpg" TargetMode="External"/><Relationship Id="rId_hyperlink_2412" Type="http://schemas.openxmlformats.org/officeDocument/2006/relationships/hyperlink" Target="https://nconnect.nicmar.ac.in/storage/profile/ProfilePhoto_P25701053_372945.jpg" TargetMode="External"/><Relationship Id="rId_hyperlink_2413" Type="http://schemas.openxmlformats.org/officeDocument/2006/relationships/hyperlink" Target="https://nconnect.nicmar.ac.in/storage/profile/ProfilePhoto_P25701054_928375.jpg" TargetMode="External"/><Relationship Id="rId_hyperlink_2414" Type="http://schemas.openxmlformats.org/officeDocument/2006/relationships/hyperlink" Target="https://nconnect.nicmar.ac.in/storage/profile/ProfilePhoto_P25701055_348719.jpg" TargetMode="External"/><Relationship Id="rId_hyperlink_2415" Type="http://schemas.openxmlformats.org/officeDocument/2006/relationships/hyperlink" Target="https://nconnect.nicmar.ac.in/storage/profile/ProfilePhoto_P25701056_321589.jpg" TargetMode="External"/><Relationship Id="rId_hyperlink_2416" Type="http://schemas.openxmlformats.org/officeDocument/2006/relationships/hyperlink" Target="https://nconnect.nicmar.ac.in/storage/profile/6a8fde2ae4502.png" TargetMode="External"/><Relationship Id="rId_hyperlink_2417" Type="http://schemas.openxmlformats.org/officeDocument/2006/relationships/hyperlink" Target="https://nconnect.nicmar.ac.in/storage/profile/ProfilePhoto_P25701058_382415.jpg" TargetMode="External"/><Relationship Id="rId_hyperlink_2418" Type="http://schemas.openxmlformats.org/officeDocument/2006/relationships/hyperlink" Target="https://nconnect.nicmar.ac.in/storage/profile/ProfilePhoto_P25701059_618749.jpg" TargetMode="External"/><Relationship Id="rId_hyperlink_2419" Type="http://schemas.openxmlformats.org/officeDocument/2006/relationships/hyperlink" Target="https://nconnect.nicmar.ac.in/storage/profile/ProfilePhoto_P25701060_532694.jpg" TargetMode="External"/><Relationship Id="rId_hyperlink_2420" Type="http://schemas.openxmlformats.org/officeDocument/2006/relationships/hyperlink" Target="https://nconnect.nicmar.ac.in/storage/profile/6a8ea8ecdb238.png" TargetMode="External"/><Relationship Id="rId_hyperlink_2421" Type="http://schemas.openxmlformats.org/officeDocument/2006/relationships/hyperlink" Target="https://nconnect.nicmar.ac.in/storage/profile/ProfilePhoto_P25701062_418765.jpg" TargetMode="External"/><Relationship Id="rId_hyperlink_2422" Type="http://schemas.openxmlformats.org/officeDocument/2006/relationships/hyperlink" Target="https://nconnect.nicmar.ac.in/storage/profile/ProfilePhoto_P25701063_213945.jpg" TargetMode="External"/><Relationship Id="rId_hyperlink_2423" Type="http://schemas.openxmlformats.org/officeDocument/2006/relationships/hyperlink" Target="https://nconnect.nicmar.ac.in/storage/profile/ProfilePhoto_P25701064_689127.jpg" TargetMode="External"/><Relationship Id="rId_hyperlink_2424" Type="http://schemas.openxmlformats.org/officeDocument/2006/relationships/hyperlink" Target="https://nconnect.nicmar.ac.in/storage/profile/ProfilePhoto_P25701065_158739.jpg" TargetMode="External"/><Relationship Id="rId_hyperlink_2425" Type="http://schemas.openxmlformats.org/officeDocument/2006/relationships/hyperlink" Target="https://nconnect.nicmar.ac.in/storage/profile/ProfilePhoto_P25701066_926834.jpg" TargetMode="External"/><Relationship Id="rId_hyperlink_2426" Type="http://schemas.openxmlformats.org/officeDocument/2006/relationships/hyperlink" Target="https://nconnect.nicmar.ac.in/storage/profile/6a8fdec59af25.png" TargetMode="External"/><Relationship Id="rId_hyperlink_2427" Type="http://schemas.openxmlformats.org/officeDocument/2006/relationships/hyperlink" Target="https://nconnect.nicmar.ac.in/storage/profile/ProfilePhoto_P25701068_489276.jpg" TargetMode="External"/><Relationship Id="rId_hyperlink_2428" Type="http://schemas.openxmlformats.org/officeDocument/2006/relationships/hyperlink" Target="https://nconnect.nicmar.ac.in/storage/profile/ProfilePhoto_P25701070_249536.jpg" TargetMode="External"/><Relationship Id="rId_hyperlink_2429" Type="http://schemas.openxmlformats.org/officeDocument/2006/relationships/hyperlink" Target="https://nconnect.nicmar.ac.in/storage/profile/ProfilePhoto_P25701071_961527.jpg" TargetMode="External"/><Relationship Id="rId_hyperlink_2430" Type="http://schemas.openxmlformats.org/officeDocument/2006/relationships/hyperlink" Target="https://nconnect.nicmar.ac.in/storage/profile/ProfilePhoto_P25701073_431986.jpg" TargetMode="External"/><Relationship Id="rId_hyperlink_2431" Type="http://schemas.openxmlformats.org/officeDocument/2006/relationships/hyperlink" Target="https://nconnect.nicmar.ac.in/storage/profile/ProfilePhoto_P25701074_918327.jpg" TargetMode="External"/><Relationship Id="rId_hyperlink_2432" Type="http://schemas.openxmlformats.org/officeDocument/2006/relationships/hyperlink" Target="https://nconnect.nicmar.ac.in/storage/profile/ProfilePhoto_P25701075_871349.jpg" TargetMode="External"/><Relationship Id="rId_hyperlink_2433" Type="http://schemas.openxmlformats.org/officeDocument/2006/relationships/hyperlink" Target="https://nconnect.nicmar.ac.in/storage/profile/ProfilePhoto_P25701076_837462.jpg" TargetMode="External"/><Relationship Id="rId_hyperlink_2434" Type="http://schemas.openxmlformats.org/officeDocument/2006/relationships/hyperlink" Target="https://nconnect.nicmar.ac.in/storage/profile/ProfilePhoto_P25701077_254678.jpg" TargetMode="External"/><Relationship Id="rId_hyperlink_2435" Type="http://schemas.openxmlformats.org/officeDocument/2006/relationships/hyperlink" Target="https://nconnect.nicmar.ac.in/storage/profile/ProfilePhoto_P25701078_946752.jpg" TargetMode="External"/><Relationship Id="rId_hyperlink_2436" Type="http://schemas.openxmlformats.org/officeDocument/2006/relationships/hyperlink" Target="https://nconnect.nicmar.ac.in/storage/profile/ProfilePhoto_P25701080_291384.jpg" TargetMode="External"/><Relationship Id="rId_hyperlink_2437" Type="http://schemas.openxmlformats.org/officeDocument/2006/relationships/hyperlink" Target="https://nconnect.nicmar.ac.in/storage/profile/ProfilePhoto_P25701082_517926.jpg" TargetMode="External"/><Relationship Id="rId_hyperlink_2438" Type="http://schemas.openxmlformats.org/officeDocument/2006/relationships/hyperlink" Target="https://nconnect.nicmar.ac.in/storage/profile/ProfilePhoto_P25701083_263178.jpg" TargetMode="External"/><Relationship Id="rId_hyperlink_2439" Type="http://schemas.openxmlformats.org/officeDocument/2006/relationships/hyperlink" Target="https://nconnect.nicmar.ac.in/storage/profile/ProfilePhoto_P25701084_612374.jpg" TargetMode="External"/><Relationship Id="rId_hyperlink_2440" Type="http://schemas.openxmlformats.org/officeDocument/2006/relationships/hyperlink" Target="https://nconnect.nicmar.ac.in/storage/profile/ProfilePhoto_P25701085_372584.jpg" TargetMode="External"/><Relationship Id="rId_hyperlink_2441" Type="http://schemas.openxmlformats.org/officeDocument/2006/relationships/hyperlink" Target="https://nconnect.nicmar.ac.in/storage/profile/ProfilePhoto_P25701087_365981.jpg" TargetMode="External"/><Relationship Id="rId_hyperlink_2442" Type="http://schemas.openxmlformats.org/officeDocument/2006/relationships/hyperlink" Target="https://nconnect.nicmar.ac.in/storage/profile/ProfilePhoto_P25701088_378519.jpg" TargetMode="External"/><Relationship Id="rId_hyperlink_2443" Type="http://schemas.openxmlformats.org/officeDocument/2006/relationships/hyperlink" Target="https://nconnect.nicmar.ac.in/storage/profile/ProfilePhoto_P25701089_251937.jpg" TargetMode="External"/><Relationship Id="rId_hyperlink_2444" Type="http://schemas.openxmlformats.org/officeDocument/2006/relationships/hyperlink" Target="https://nconnect.nicmar.ac.in/storage/profile/ProfilePhoto_P25701090_859126.jpg" TargetMode="External"/><Relationship Id="rId_hyperlink_2445" Type="http://schemas.openxmlformats.org/officeDocument/2006/relationships/hyperlink" Target="https://nconnect.nicmar.ac.in/storage/profile/ProfilePhoto_P25701091_628517.jpg" TargetMode="External"/><Relationship Id="rId_hyperlink_2446" Type="http://schemas.openxmlformats.org/officeDocument/2006/relationships/hyperlink" Target="https://nconnect.nicmar.ac.in/storage/profile/ProfilePhoto_P25701092_936487.jpg" TargetMode="External"/><Relationship Id="rId_hyperlink_2447" Type="http://schemas.openxmlformats.org/officeDocument/2006/relationships/hyperlink" Target="https://nconnect.nicmar.ac.in/storage/profile/ProfilePhoto_P25701093_486973.jpg" TargetMode="External"/><Relationship Id="rId_hyperlink_2448" Type="http://schemas.openxmlformats.org/officeDocument/2006/relationships/hyperlink" Target="https://nconnect.nicmar.ac.in/storage/profile/ProfilePhoto_P25701094_546218.jpg" TargetMode="External"/><Relationship Id="rId_hyperlink_2449" Type="http://schemas.openxmlformats.org/officeDocument/2006/relationships/hyperlink" Target="https://nconnect.nicmar.ac.in/storage/profile/ProfilePhoto_P25701095_712486.jpg" TargetMode="External"/><Relationship Id="rId_hyperlink_2450" Type="http://schemas.openxmlformats.org/officeDocument/2006/relationships/hyperlink" Target="https://nconnect.nicmar.ac.in/storage/profile/ProfilePhoto_P25701097_691845.jpg" TargetMode="External"/><Relationship Id="rId_hyperlink_2451" Type="http://schemas.openxmlformats.org/officeDocument/2006/relationships/hyperlink" Target="https://nconnect.nicmar.ac.in/storage/profile/ProfilePhoto_P25701098_726394.jpg" TargetMode="External"/><Relationship Id="rId_hyperlink_2452" Type="http://schemas.openxmlformats.org/officeDocument/2006/relationships/hyperlink" Target="https://nconnect.nicmar.ac.in/storage/profile/ProfilePhoto_P25701099_675183.jpg" TargetMode="External"/><Relationship Id="rId_hyperlink_2453" Type="http://schemas.openxmlformats.org/officeDocument/2006/relationships/hyperlink" Target="https://nconnect.nicmar.ac.in/storage/profile/ProfilePhoto_P25701100_954627.jpg" TargetMode="External"/><Relationship Id="rId_hyperlink_2454" Type="http://schemas.openxmlformats.org/officeDocument/2006/relationships/hyperlink" Target="https://nconnect.nicmar.ac.in/storage/profile/ProfilePhoto_P25701101_637518.jpg" TargetMode="External"/><Relationship Id="rId_hyperlink_2455" Type="http://schemas.openxmlformats.org/officeDocument/2006/relationships/hyperlink" Target="https://nconnect.nicmar.ac.in/storage/profile/ProfilePhoto_P25701102_496235.jpg" TargetMode="External"/><Relationship Id="rId_hyperlink_2456" Type="http://schemas.openxmlformats.org/officeDocument/2006/relationships/hyperlink" Target="https://nconnect.nicmar.ac.in/storage/profile/ProfilePhoto_P25701106_756483.jpg" TargetMode="External"/><Relationship Id="rId_hyperlink_2457" Type="http://schemas.openxmlformats.org/officeDocument/2006/relationships/hyperlink" Target="https://nconnect.nicmar.ac.in/storage/profile/ProfilePhoto_P25701107_574683.jpg" TargetMode="External"/><Relationship Id="rId_hyperlink_2458" Type="http://schemas.openxmlformats.org/officeDocument/2006/relationships/hyperlink" Target="https://nconnect.nicmar.ac.in/storage/profile/ProfilePhoto_P25701108_691235.jpg" TargetMode="External"/><Relationship Id="rId_hyperlink_2459" Type="http://schemas.openxmlformats.org/officeDocument/2006/relationships/hyperlink" Target="https://nconnect.nicmar.ac.in/storage/profile/ProfilePhoto_P25701109_872635.jpg" TargetMode="External"/><Relationship Id="rId_hyperlink_2460" Type="http://schemas.openxmlformats.org/officeDocument/2006/relationships/hyperlink" Target="https://nconnect.nicmar.ac.in/storage/profile/ProfilePhoto_P25701110_927538.jpg" TargetMode="External"/><Relationship Id="rId_hyperlink_2461" Type="http://schemas.openxmlformats.org/officeDocument/2006/relationships/hyperlink" Target="https://nconnect.nicmar.ac.in/storage/profile/ProfilePhoto_P25701111_263478.jpg" TargetMode="External"/><Relationship Id="rId_hyperlink_2462" Type="http://schemas.openxmlformats.org/officeDocument/2006/relationships/hyperlink" Target="https://nconnect.nicmar.ac.in/storage/profile/ProfilePhoto_P25701112_923457.jpg" TargetMode="External"/><Relationship Id="rId_hyperlink_2463" Type="http://schemas.openxmlformats.org/officeDocument/2006/relationships/hyperlink" Target="https://nconnect.nicmar.ac.in/storage/profile/ProfilePhoto_P25701113_867329.jpg" TargetMode="External"/><Relationship Id="rId_hyperlink_2464" Type="http://schemas.openxmlformats.org/officeDocument/2006/relationships/hyperlink" Target="https://nconnect.nicmar.ac.in/storage/profile/ProfilePhoto_P25701114_583712.jpg" TargetMode="External"/><Relationship Id="rId_hyperlink_2465" Type="http://schemas.openxmlformats.org/officeDocument/2006/relationships/hyperlink" Target="https://nconnect.nicmar.ac.in/storage/profile/ProfilePhoto_P25701115_284369.jpg" TargetMode="External"/><Relationship Id="rId_hyperlink_2466" Type="http://schemas.openxmlformats.org/officeDocument/2006/relationships/hyperlink" Target="https://nconnect.nicmar.ac.in/storage/profile/ProfilePhoto_P25701116_873219.jpg" TargetMode="External"/><Relationship Id="rId_hyperlink_2467" Type="http://schemas.openxmlformats.org/officeDocument/2006/relationships/hyperlink" Target="https://nconnect.nicmar.ac.in/storage/profile/ProfilePhoto_P25701117_619824.jpg" TargetMode="External"/><Relationship Id="rId_hyperlink_2468" Type="http://schemas.openxmlformats.org/officeDocument/2006/relationships/hyperlink" Target="https://nconnect.nicmar.ac.in/storage/profile/ProfilePhoto_P25701118_392456.jpg" TargetMode="External"/><Relationship Id="rId_hyperlink_2469" Type="http://schemas.openxmlformats.org/officeDocument/2006/relationships/hyperlink" Target="https://nconnect.nicmar.ac.in/storage/profile/ProfilePhoto_P25701119_274135.jpg" TargetMode="External"/><Relationship Id="rId_hyperlink_2470" Type="http://schemas.openxmlformats.org/officeDocument/2006/relationships/hyperlink" Target="https://nconnect.nicmar.ac.in/storage/profile/ProfilePhoto_P25701120_461395.jpg" TargetMode="External"/><Relationship Id="rId_hyperlink_2471" Type="http://schemas.openxmlformats.org/officeDocument/2006/relationships/hyperlink" Target="https://nconnect.nicmar.ac.in/storage/profile/ProfilePhoto_P25701121_753814.jpg" TargetMode="External"/><Relationship Id="rId_hyperlink_2472" Type="http://schemas.openxmlformats.org/officeDocument/2006/relationships/hyperlink" Target="https://nconnect.nicmar.ac.in/storage/profile/ProfilePhoto_P25701122_936541.jpg" TargetMode="External"/><Relationship Id="rId_hyperlink_2473" Type="http://schemas.openxmlformats.org/officeDocument/2006/relationships/hyperlink" Target="https://nconnect.nicmar.ac.in/storage/profile/ProfilePhoto_P25701123_957821.jpg" TargetMode="External"/><Relationship Id="rId_hyperlink_2474" Type="http://schemas.openxmlformats.org/officeDocument/2006/relationships/hyperlink" Target="https://nconnect.nicmar.ac.in/storage/profile/ProfilePhoto_P25701124_429365.jpg" TargetMode="External"/><Relationship Id="rId_hyperlink_2475" Type="http://schemas.openxmlformats.org/officeDocument/2006/relationships/hyperlink" Target="https://nconnect.nicmar.ac.in/storage/profile/ProfilePhoto_P25701125_465728.jpg" TargetMode="External"/><Relationship Id="rId_hyperlink_2476" Type="http://schemas.openxmlformats.org/officeDocument/2006/relationships/hyperlink" Target="https://nconnect.nicmar.ac.in/storage/profile/ProfilePhoto_P25701126_826341.jpg" TargetMode="External"/><Relationship Id="rId_hyperlink_2477" Type="http://schemas.openxmlformats.org/officeDocument/2006/relationships/hyperlink" Target="https://nconnect.nicmar.ac.in/storage/profile/ProfilePhoto_P25701127_942376.jpg" TargetMode="External"/><Relationship Id="rId_hyperlink_2478" Type="http://schemas.openxmlformats.org/officeDocument/2006/relationships/hyperlink" Target="https://nconnect.nicmar.ac.in/storage/profile/ProfilePhoto_P25701128_269574.jpg" TargetMode="External"/><Relationship Id="rId_hyperlink_2479" Type="http://schemas.openxmlformats.org/officeDocument/2006/relationships/hyperlink" Target="https://nconnect.nicmar.ac.in/storage/profile/ProfilePhoto_P25701129_129463.jpg" TargetMode="External"/><Relationship Id="rId_hyperlink_2480" Type="http://schemas.openxmlformats.org/officeDocument/2006/relationships/hyperlink" Target="https://nconnect.nicmar.ac.in/storage/profile/ProfilePhoto_P25701130_516472.jpg" TargetMode="External"/><Relationship Id="rId_hyperlink_2481" Type="http://schemas.openxmlformats.org/officeDocument/2006/relationships/hyperlink" Target="https://nconnect.nicmar.ac.in/storage/profile/ProfilePhoto_P25701131_359184.jpg" TargetMode="External"/><Relationship Id="rId_hyperlink_2482" Type="http://schemas.openxmlformats.org/officeDocument/2006/relationships/hyperlink" Target="https://nconnect.nicmar.ac.in/storage/profile/ProfilePhoto_P25701132_857361.jpg" TargetMode="External"/><Relationship Id="rId_hyperlink_2483" Type="http://schemas.openxmlformats.org/officeDocument/2006/relationships/hyperlink" Target="https://nconnect.nicmar.ac.in/storage/profile/ProfilePhoto_P25701133_312596.jpg" TargetMode="External"/><Relationship Id="rId_hyperlink_2484" Type="http://schemas.openxmlformats.org/officeDocument/2006/relationships/hyperlink" Target="https://nconnect.nicmar.ac.in/storage/profile/ProfilePhoto_P25701134_183274.jpg" TargetMode="External"/><Relationship Id="rId_hyperlink_2485" Type="http://schemas.openxmlformats.org/officeDocument/2006/relationships/hyperlink" Target="https://nconnect.nicmar.ac.in/storage/profile/ProfilePhoto_P25701135_748916.jpg" TargetMode="External"/><Relationship Id="rId_hyperlink_2486" Type="http://schemas.openxmlformats.org/officeDocument/2006/relationships/hyperlink" Target="https://nconnect.nicmar.ac.in/storage/profile/ProfilePhoto_P25701136_172468.jpg" TargetMode="External"/><Relationship Id="rId_hyperlink_2487" Type="http://schemas.openxmlformats.org/officeDocument/2006/relationships/hyperlink" Target="https://nconnect.nicmar.ac.in/storage/profile/ProfilePhoto_P25701137_312786.jpg" TargetMode="External"/><Relationship Id="rId_hyperlink_2488" Type="http://schemas.openxmlformats.org/officeDocument/2006/relationships/hyperlink" Target="https://nconnect.nicmar.ac.in/storage/profile/ProfilePhoto_P25701138_614237.jpg" TargetMode="External"/><Relationship Id="rId_hyperlink_2489" Type="http://schemas.openxmlformats.org/officeDocument/2006/relationships/hyperlink" Target="https://nconnect.nicmar.ac.in/storage/profile/ProfilePhoto_P25701139_685329.jpg" TargetMode="External"/><Relationship Id="rId_hyperlink_2490" Type="http://schemas.openxmlformats.org/officeDocument/2006/relationships/hyperlink" Target="https://nconnect.nicmar.ac.in/storage/profile/ProfilePhoto_P25701140_987256.jpg" TargetMode="External"/><Relationship Id="rId_hyperlink_2491" Type="http://schemas.openxmlformats.org/officeDocument/2006/relationships/hyperlink" Target="https://nconnect.nicmar.ac.in/storage/profile/ProfilePhoto_P25701141_658723.jpg" TargetMode="External"/><Relationship Id="rId_hyperlink_2492" Type="http://schemas.openxmlformats.org/officeDocument/2006/relationships/hyperlink" Target="https://nconnect.nicmar.ac.in/storage/profile/ProfilePhoto_P25701142_867349.jpg" TargetMode="External"/><Relationship Id="rId_hyperlink_2493" Type="http://schemas.openxmlformats.org/officeDocument/2006/relationships/hyperlink" Target="https://nconnect.nicmar.ac.in/storage/profile/ProfilePhoto_P25701143_256148.jpg" TargetMode="External"/><Relationship Id="rId_hyperlink_2494" Type="http://schemas.openxmlformats.org/officeDocument/2006/relationships/hyperlink" Target="https://nconnect.nicmar.ac.in/storage/profile/ProfilePhoto_P25701144_961284.jpg" TargetMode="External"/><Relationship Id="rId_hyperlink_2495" Type="http://schemas.openxmlformats.org/officeDocument/2006/relationships/hyperlink" Target="https://nconnect.nicmar.ac.in/storage/profile/ProfilePhoto_P25701145_172436.jpg" TargetMode="External"/><Relationship Id="rId_hyperlink_2496" Type="http://schemas.openxmlformats.org/officeDocument/2006/relationships/hyperlink" Target="https://nconnect.nicmar.ac.in/storage/profile/ProfilePhoto_P25701147_438629.jpg" TargetMode="External"/><Relationship Id="rId_hyperlink_2497" Type="http://schemas.openxmlformats.org/officeDocument/2006/relationships/hyperlink" Target="https://nconnect.nicmar.ac.in/storage/profile/ProfilePhoto_P25701148_372981.jpg" TargetMode="External"/><Relationship Id="rId_hyperlink_2498" Type="http://schemas.openxmlformats.org/officeDocument/2006/relationships/hyperlink" Target="https://nconnect.nicmar.ac.in/storage/profile/ProfilePhoto_P25701149_837291.jpg" TargetMode="External"/><Relationship Id="rId_hyperlink_2499" Type="http://schemas.openxmlformats.org/officeDocument/2006/relationships/hyperlink" Target="https://nconnect.nicmar.ac.in/storage/profile/ProfilePhoto_P25701151_132857.jpg" TargetMode="External"/><Relationship Id="rId_hyperlink_2500" Type="http://schemas.openxmlformats.org/officeDocument/2006/relationships/hyperlink" Target="https://nconnect.nicmar.ac.in/storage/profile/ProfilePhoto_P25701152_148367.jpg" TargetMode="External"/><Relationship Id="rId_hyperlink_2501" Type="http://schemas.openxmlformats.org/officeDocument/2006/relationships/hyperlink" Target="https://nconnect.nicmar.ac.in/storage/profile/ProfilePhoto_P25701103_576182.jpg" TargetMode="External"/><Relationship Id="rId_hyperlink_2502" Type="http://schemas.openxmlformats.org/officeDocument/2006/relationships/hyperlink" Target="https://nconnect.nicmar.ac.in/storage/profile/ProfilePhoto_P25701104_261935.jpg" TargetMode="External"/><Relationship Id="rId_hyperlink_2503" Type="http://schemas.openxmlformats.org/officeDocument/2006/relationships/hyperlink" Target="https://nconnect.nicmar.ac.in/storage/profile/6a7047586c45a.png" TargetMode="External"/><Relationship Id="rId_hyperlink_2504" Type="http://schemas.openxmlformats.org/officeDocument/2006/relationships/hyperlink" Target="https://nconnect.nicmar.ac.in/storage/profile/6a83e6da5491d.png" TargetMode="External"/><Relationship Id="rId_hyperlink_2505" Type="http://schemas.openxmlformats.org/officeDocument/2006/relationships/hyperlink" Target="https://nconnect.nicmar.ac.in/storage/profile/6a83e9f2b4140.png" TargetMode="External"/><Relationship Id="rId_hyperlink_2506" Type="http://schemas.openxmlformats.org/officeDocument/2006/relationships/hyperlink" Target="https://nconnect.nicmar.ac.in/storage/profile/6a8e69d2df6c5.png" TargetMode="External"/><Relationship Id="rId_hyperlink_2507" Type="http://schemas.openxmlformats.org/officeDocument/2006/relationships/hyperlink" Target="https://nconnect.nicmar.ac.in/storage/profile/6a7b534d07582.png" TargetMode="External"/><Relationship Id="rId_hyperlink_2508" Type="http://schemas.openxmlformats.org/officeDocument/2006/relationships/hyperlink" Target="https://nconnect.nicmar.ac.in/storage/profile/6a7b3ff33e174.png" TargetMode="External"/><Relationship Id="rId_hyperlink_2509" Type="http://schemas.openxmlformats.org/officeDocument/2006/relationships/hyperlink" Target="https://nconnect.nicmar.ac.in/storage/profile/6a783d68f314b.png" TargetMode="External"/><Relationship Id="rId_hyperlink_2510" Type="http://schemas.openxmlformats.org/officeDocument/2006/relationships/hyperlink" Target="https://nconnect.nicmar.ac.in/storage/profile/6a7894a493d41.png" TargetMode="External"/><Relationship Id="rId_hyperlink_2511" Type="http://schemas.openxmlformats.org/officeDocument/2006/relationships/hyperlink" Target="https://nconnect.nicmar.ac.in/storage/profile/6a7719338e3dd.png" TargetMode="External"/><Relationship Id="rId_hyperlink_2512" Type="http://schemas.openxmlformats.org/officeDocument/2006/relationships/hyperlink" Target="https://nconnect.nicmar.ac.in/storage/profile/6a773ef581cb9.png" TargetMode="External"/><Relationship Id="rId_hyperlink_2513" Type="http://schemas.openxmlformats.org/officeDocument/2006/relationships/hyperlink" Target="https://nconnect.nicmar.ac.in/storage/profile/6a7786aa7f2a9.png" TargetMode="External"/><Relationship Id="rId_hyperlink_2514" Type="http://schemas.openxmlformats.org/officeDocument/2006/relationships/hyperlink" Target="https://nconnect.nicmar.ac.in/storage/profile/6a79dc1a863d9.png" TargetMode="External"/><Relationship Id="rId_hyperlink_2515" Type="http://schemas.openxmlformats.org/officeDocument/2006/relationships/hyperlink" Target="https://nconnect.nicmar.ac.in/storage/profile/6a78592cde9a4.png" TargetMode="External"/><Relationship Id="rId_hyperlink_2516" Type="http://schemas.openxmlformats.org/officeDocument/2006/relationships/hyperlink" Target="https://nconnect.nicmar.ac.in/storage/profile/6a7889384e4dd.png" TargetMode="External"/><Relationship Id="rId_hyperlink_2517" Type="http://schemas.openxmlformats.org/officeDocument/2006/relationships/hyperlink" Target="https://nconnect.nicmar.ac.in/storage/profile/6a761cd47898b.png" TargetMode="External"/><Relationship Id="rId_hyperlink_2518" Type="http://schemas.openxmlformats.org/officeDocument/2006/relationships/hyperlink" Target="https://nconnect.nicmar.ac.in/storage/profile/6a775781845f6.png" TargetMode="External"/><Relationship Id="rId_hyperlink_2519" Type="http://schemas.openxmlformats.org/officeDocument/2006/relationships/hyperlink" Target="https://nconnect.nicmar.ac.in/storage/profile/6a7898fedd86c.png" TargetMode="External"/><Relationship Id="rId_hyperlink_2520" Type="http://schemas.openxmlformats.org/officeDocument/2006/relationships/hyperlink" Target="https://nconnect.nicmar.ac.in/storage/profile/6a784bfc39662.png" TargetMode="External"/><Relationship Id="rId_hyperlink_2521" Type="http://schemas.openxmlformats.org/officeDocument/2006/relationships/hyperlink" Target="https://nconnect.nicmar.ac.in/storage/profile/6a7756d9c95a3.png" TargetMode="External"/><Relationship Id="rId_hyperlink_2522" Type="http://schemas.openxmlformats.org/officeDocument/2006/relationships/hyperlink" Target="https://nconnect.nicmar.ac.in/storage/profile/6a7a255d2c7c9.png" TargetMode="External"/><Relationship Id="rId_hyperlink_2523" Type="http://schemas.openxmlformats.org/officeDocument/2006/relationships/hyperlink" Target="https://nconnect.nicmar.ac.in/storage/profile/6a78ada4397c1.png" TargetMode="External"/><Relationship Id="rId_hyperlink_2524" Type="http://schemas.openxmlformats.org/officeDocument/2006/relationships/hyperlink" Target="https://nconnect.nicmar.ac.in/storage/profile/6a774f476974f.png" TargetMode="External"/><Relationship Id="rId_hyperlink_2525" Type="http://schemas.openxmlformats.org/officeDocument/2006/relationships/hyperlink" Target="https://nconnect.nicmar.ac.in/storage/profile/6a771359eb538.png" TargetMode="External"/><Relationship Id="rId_hyperlink_2526" Type="http://schemas.openxmlformats.org/officeDocument/2006/relationships/hyperlink" Target="https://nconnect.nicmar.ac.in/storage/profile/6a89812eae88b.png" TargetMode="External"/><Relationship Id="rId_hyperlink_2527" Type="http://schemas.openxmlformats.org/officeDocument/2006/relationships/hyperlink" Target="https://nconnect.nicmar.ac.in/storage/profile/6a78839a0f588.png" TargetMode="External"/><Relationship Id="rId_hyperlink_2528" Type="http://schemas.openxmlformats.org/officeDocument/2006/relationships/hyperlink" Target="https://nconnect.nicmar.ac.in/storage/profile/6a78c74ce7154.png" TargetMode="External"/><Relationship Id="rId_hyperlink_2529" Type="http://schemas.openxmlformats.org/officeDocument/2006/relationships/hyperlink" Target="https://nconnect.nicmar.ac.in/storage/profile/6a78ab3806c32.png" TargetMode="External"/><Relationship Id="rId_hyperlink_2530" Type="http://schemas.openxmlformats.org/officeDocument/2006/relationships/hyperlink" Target="https://nconnect.nicmar.ac.in/storage/profile/6a78988b71cf3.png" TargetMode="External"/><Relationship Id="rId_hyperlink_2531" Type="http://schemas.openxmlformats.org/officeDocument/2006/relationships/hyperlink" Target="https://nconnect.nicmar.ac.in/storage/profile/6a76e517d0cee.png" TargetMode="External"/><Relationship Id="rId_hyperlink_2532" Type="http://schemas.openxmlformats.org/officeDocument/2006/relationships/hyperlink" Target="https://nconnect.nicmar.ac.in/storage/profile/6a79bd3a093d6.png" TargetMode="External"/><Relationship Id="rId_hyperlink_2533" Type="http://schemas.openxmlformats.org/officeDocument/2006/relationships/hyperlink" Target="https://nconnect.nicmar.ac.in/storage/profile/6a7a8f4e2bf5c.png" TargetMode="External"/><Relationship Id="rId_hyperlink_2534" Type="http://schemas.openxmlformats.org/officeDocument/2006/relationships/hyperlink" Target="https://nconnect.nicmar.ac.in/storage/profile/6a76dd2a47ae6.png" TargetMode="External"/><Relationship Id="rId_hyperlink_2535" Type="http://schemas.openxmlformats.org/officeDocument/2006/relationships/hyperlink" Target="https://nconnect.nicmar.ac.in/storage/profile/6a789c2ccfd2d.png" TargetMode="External"/><Relationship Id="rId_hyperlink_2536" Type="http://schemas.openxmlformats.org/officeDocument/2006/relationships/hyperlink" Target="https://nconnect.nicmar.ac.in/storage/profile/6a83ce4300afb.png" TargetMode="External"/><Relationship Id="rId_hyperlink_2537" Type="http://schemas.openxmlformats.org/officeDocument/2006/relationships/hyperlink" Target="https://nconnect.nicmar.ac.in/storage/profile/6a76417736f8e.png" TargetMode="External"/><Relationship Id="rId_hyperlink_2538" Type="http://schemas.openxmlformats.org/officeDocument/2006/relationships/hyperlink" Target="https://nconnect.nicmar.ac.in/storage/profile/6a77463b6de1d.png" TargetMode="External"/><Relationship Id="rId_hyperlink_2539" Type="http://schemas.openxmlformats.org/officeDocument/2006/relationships/hyperlink" Target="https://nconnect.nicmar.ac.in/storage/profile/6a783618cf149.png" TargetMode="External"/><Relationship Id="rId_hyperlink_2540" Type="http://schemas.openxmlformats.org/officeDocument/2006/relationships/hyperlink" Target="https://nconnect.nicmar.ac.in/storage/profile/6a78682410593.png" TargetMode="External"/><Relationship Id="rId_hyperlink_2541" Type="http://schemas.openxmlformats.org/officeDocument/2006/relationships/hyperlink" Target="https://nconnect.nicmar.ac.in/storage/profile/6a771976545c3.png" TargetMode="External"/><Relationship Id="rId_hyperlink_2542" Type="http://schemas.openxmlformats.org/officeDocument/2006/relationships/hyperlink" Target="https://nconnect.nicmar.ac.in/storage/profile/6a776f69ee9d1.png" TargetMode="External"/><Relationship Id="rId_hyperlink_2543" Type="http://schemas.openxmlformats.org/officeDocument/2006/relationships/hyperlink" Target="https://nconnect.nicmar.ac.in/storage/profile/6a78243e73ccf.png" TargetMode="External"/><Relationship Id="rId_hyperlink_2544" Type="http://schemas.openxmlformats.org/officeDocument/2006/relationships/hyperlink" Target="https://nconnect.nicmar.ac.in/storage/profile/6a78be5a76923.png" TargetMode="External"/><Relationship Id="rId_hyperlink_2545" Type="http://schemas.openxmlformats.org/officeDocument/2006/relationships/hyperlink" Target="https://nconnect.nicmar.ac.in/storage/profile/6a782c2eec4c4.png" TargetMode="External"/><Relationship Id="rId_hyperlink_2546" Type="http://schemas.openxmlformats.org/officeDocument/2006/relationships/hyperlink" Target="https://nconnect.nicmar.ac.in/storage/profile/6a76fb5b7f394.png" TargetMode="External"/><Relationship Id="rId_hyperlink_2547" Type="http://schemas.openxmlformats.org/officeDocument/2006/relationships/hyperlink" Target="https://nconnect.nicmar.ac.in/storage/profile/6a7731783a23a.png" TargetMode="External"/><Relationship Id="rId_hyperlink_2548" Type="http://schemas.openxmlformats.org/officeDocument/2006/relationships/hyperlink" Target="https://nconnect.nicmar.ac.in/storage/profile/6a7739ca206c8.png" TargetMode="External"/><Relationship Id="rId_hyperlink_2549" Type="http://schemas.openxmlformats.org/officeDocument/2006/relationships/hyperlink" Target="https://nconnect.nicmar.ac.in/storage/profile/6a78768ed6dc7.png" TargetMode="External"/><Relationship Id="rId_hyperlink_2550" Type="http://schemas.openxmlformats.org/officeDocument/2006/relationships/hyperlink" Target="https://nconnect.nicmar.ac.in/storage/profile/6a78630c927a2.png" TargetMode="External"/><Relationship Id="rId_hyperlink_2551" Type="http://schemas.openxmlformats.org/officeDocument/2006/relationships/hyperlink" Target="https://nconnect.nicmar.ac.in/storage/profile/6a785980401ac.png" TargetMode="External"/><Relationship Id="rId_hyperlink_2552" Type="http://schemas.openxmlformats.org/officeDocument/2006/relationships/hyperlink" Target="https://nconnect.nicmar.ac.in/storage/profile/6a7b4daf202ff.png" TargetMode="External"/><Relationship Id="rId_hyperlink_2553" Type="http://schemas.openxmlformats.org/officeDocument/2006/relationships/hyperlink" Target="https://nconnect.nicmar.ac.in/storage/profile/6a7611b38ad66.png" TargetMode="External"/><Relationship Id="rId_hyperlink_2554" Type="http://schemas.openxmlformats.org/officeDocument/2006/relationships/hyperlink" Target="https://nconnect.nicmar.ac.in/storage/profile/6a78c67574746.png" TargetMode="External"/><Relationship Id="rId_hyperlink_2555" Type="http://schemas.openxmlformats.org/officeDocument/2006/relationships/hyperlink" Target="https://nconnect.nicmar.ac.in/storage/profile/6a784f701ad66.png" TargetMode="External"/><Relationship Id="rId_hyperlink_2556" Type="http://schemas.openxmlformats.org/officeDocument/2006/relationships/hyperlink" Target="https://nconnect.nicmar.ac.in/storage/profile/6a78b0886b04c.png" TargetMode="External"/><Relationship Id="rId_hyperlink_2557" Type="http://schemas.openxmlformats.org/officeDocument/2006/relationships/hyperlink" Target="https://nconnect.nicmar.ac.in/storage/profile/6a7a096d1db48.png" TargetMode="External"/><Relationship Id="rId_hyperlink_2558" Type="http://schemas.openxmlformats.org/officeDocument/2006/relationships/hyperlink" Target="https://nconnect.nicmar.ac.in/storage/profile/6a7610b3486e2.png" TargetMode="External"/><Relationship Id="rId_hyperlink_2559" Type="http://schemas.openxmlformats.org/officeDocument/2006/relationships/hyperlink" Target="https://nconnect.nicmar.ac.in/storage/profile/6a78cb472861b.png" TargetMode="External"/><Relationship Id="rId_hyperlink_2560" Type="http://schemas.openxmlformats.org/officeDocument/2006/relationships/hyperlink" Target="https://nconnect.nicmar.ac.in/storage/profile/6a78bcaadacb7.png" TargetMode="External"/><Relationship Id="rId_hyperlink_2561" Type="http://schemas.openxmlformats.org/officeDocument/2006/relationships/hyperlink" Target="https://nconnect.nicmar.ac.in/storage/profile/6a78a2211babc.png" TargetMode="External"/><Relationship Id="rId_hyperlink_2562" Type="http://schemas.openxmlformats.org/officeDocument/2006/relationships/hyperlink" Target="https://nconnect.nicmar.ac.in/storage/profile/6a7730014bd41.png" TargetMode="External"/><Relationship Id="rId_hyperlink_2563" Type="http://schemas.openxmlformats.org/officeDocument/2006/relationships/hyperlink" Target="https://nconnect.nicmar.ac.in/storage/profile/6a78611303309.png" TargetMode="External"/><Relationship Id="rId_hyperlink_2564" Type="http://schemas.openxmlformats.org/officeDocument/2006/relationships/hyperlink" Target="https://nconnect.nicmar.ac.in/storage/profile/6a78511c9d49f.png" TargetMode="External"/><Relationship Id="rId_hyperlink_2565" Type="http://schemas.openxmlformats.org/officeDocument/2006/relationships/hyperlink" Target="https://nconnect.nicmar.ac.in/storage/profile/6a7805f490f7d.png" TargetMode="External"/><Relationship Id="rId_hyperlink_2566" Type="http://schemas.openxmlformats.org/officeDocument/2006/relationships/hyperlink" Target="https://nconnect.nicmar.ac.in/storage/profile/6a7777bf58d07.png" TargetMode="External"/><Relationship Id="rId_hyperlink_2567" Type="http://schemas.openxmlformats.org/officeDocument/2006/relationships/hyperlink" Target="https://nconnect.nicmar.ac.in/storage/profile/6a7aaec33ef53.png" TargetMode="External"/><Relationship Id="rId_hyperlink_2568" Type="http://schemas.openxmlformats.org/officeDocument/2006/relationships/hyperlink" Target="https://nconnect.nicmar.ac.in/storage/profile/6a7740325d54f.png" TargetMode="External"/><Relationship Id="rId_hyperlink_2569" Type="http://schemas.openxmlformats.org/officeDocument/2006/relationships/hyperlink" Target="https://nconnect.nicmar.ac.in/storage/profile/6a77e26d910fa.png" TargetMode="External"/><Relationship Id="rId_hyperlink_2570" Type="http://schemas.openxmlformats.org/officeDocument/2006/relationships/hyperlink" Target="https://nconnect.nicmar.ac.in/storage/profile/6a78014b58ce1.png" TargetMode="External"/><Relationship Id="rId_hyperlink_2571" Type="http://schemas.openxmlformats.org/officeDocument/2006/relationships/hyperlink" Target="https://nconnect.nicmar.ac.in/storage/profile/6a78b9ac88ecb.png" TargetMode="External"/><Relationship Id="rId_hyperlink_2572" Type="http://schemas.openxmlformats.org/officeDocument/2006/relationships/hyperlink" Target="https://nconnect.nicmar.ac.in/storage/profile/6a77773973e35.png" TargetMode="External"/><Relationship Id="rId_hyperlink_2573" Type="http://schemas.openxmlformats.org/officeDocument/2006/relationships/hyperlink" Target="https://nconnect.nicmar.ac.in/storage/profile/6a7804ef207d2.png" TargetMode="External"/><Relationship Id="rId_hyperlink_2574" Type="http://schemas.openxmlformats.org/officeDocument/2006/relationships/hyperlink" Target="https://nconnect.nicmar.ac.in/storage/profile/6a78452350642.png" TargetMode="External"/><Relationship Id="rId_hyperlink_2575" Type="http://schemas.openxmlformats.org/officeDocument/2006/relationships/hyperlink" Target="https://nconnect.nicmar.ac.in/storage/profile/6a85a79ec92c6.png" TargetMode="External"/><Relationship Id="rId_hyperlink_2576" Type="http://schemas.openxmlformats.org/officeDocument/2006/relationships/hyperlink" Target="https://nconnect.nicmar.ac.in/storage/profile/6a849286a6984.png" TargetMode="External"/><Relationship Id="rId_hyperlink_2577" Type="http://schemas.openxmlformats.org/officeDocument/2006/relationships/hyperlink" Target="https://nconnect.nicmar.ac.in/storage/profile/6a85ec64a0fc5.png" TargetMode="External"/><Relationship Id="rId_hyperlink_2578" Type="http://schemas.openxmlformats.org/officeDocument/2006/relationships/hyperlink" Target="https://nconnect.nicmar.ac.in/storage/profile/6a8b352307357.png" TargetMode="External"/><Relationship Id="rId_hyperlink_2579" Type="http://schemas.openxmlformats.org/officeDocument/2006/relationships/hyperlink" Target="https://nconnect.nicmar.ac.in/storage/profile/6a85e377db27d.png" TargetMode="External"/><Relationship Id="rId_hyperlink_2580" Type="http://schemas.openxmlformats.org/officeDocument/2006/relationships/hyperlink" Target="https://nconnect.nicmar.ac.in/storage/profile/6a85e618350b4.png" TargetMode="External"/><Relationship Id="rId_hyperlink_2581" Type="http://schemas.openxmlformats.org/officeDocument/2006/relationships/hyperlink" Target="https://nconnect.nicmar.ac.in/storage/profile/6a85dc4fadb6b.png" TargetMode="External"/><Relationship Id="rId_hyperlink_2582" Type="http://schemas.openxmlformats.org/officeDocument/2006/relationships/hyperlink" Target="https://nconnect.nicmar.ac.in/storage/profile/6a85f0e17ec58.png" TargetMode="External"/><Relationship Id="rId_hyperlink_2583" Type="http://schemas.openxmlformats.org/officeDocument/2006/relationships/hyperlink" Target="https://nconnect.nicmar.ac.in/storage/profile/6a85f54c865c6.png" TargetMode="External"/><Relationship Id="rId_hyperlink_2584" Type="http://schemas.openxmlformats.org/officeDocument/2006/relationships/hyperlink" Target="https://nconnect.nicmar.ac.in/storage/profile/6a8bed64450af.png" TargetMode="External"/><Relationship Id="rId_hyperlink_2585" Type="http://schemas.openxmlformats.org/officeDocument/2006/relationships/hyperlink" Target="https://nconnect.nicmar.ac.in/storage/profile/6a8abc5b90110.png" TargetMode="External"/><Relationship Id="rId_hyperlink_2586" Type="http://schemas.openxmlformats.org/officeDocument/2006/relationships/hyperlink" Target="https://nconnect.nicmar.ac.in/storage/profile/6a88679c22576.png" TargetMode="External"/><Relationship Id="rId_hyperlink_2587" Type="http://schemas.openxmlformats.org/officeDocument/2006/relationships/hyperlink" Target="https://nconnect.nicmar.ac.in/storage/profile/6a8ad8bb61e77.png" TargetMode="External"/><Relationship Id="rId_hyperlink_2588" Type="http://schemas.openxmlformats.org/officeDocument/2006/relationships/hyperlink" Target="https://nconnect.nicmar.ac.in/storage/profile/6a8bf2af2cc9f.png" TargetMode="External"/><Relationship Id="rId_hyperlink_2589" Type="http://schemas.openxmlformats.org/officeDocument/2006/relationships/hyperlink" Target="https://nconnect.nicmar.ac.in/storage/profile/6a85eb2c6446f.png" TargetMode="External"/><Relationship Id="rId_hyperlink_2590" Type="http://schemas.openxmlformats.org/officeDocument/2006/relationships/hyperlink" Target="https://nconnect.nicmar.ac.in/storage/profile/6a8beb79c398f.png" TargetMode="External"/><Relationship Id="rId_hyperlink_2591" Type="http://schemas.openxmlformats.org/officeDocument/2006/relationships/hyperlink" Target="https://nconnect.nicmar.ac.in/storage/profile/6a8c0e75b6f0b.png" TargetMode="External"/><Relationship Id="rId_hyperlink_2592" Type="http://schemas.openxmlformats.org/officeDocument/2006/relationships/hyperlink" Target="https://nconnect.nicmar.ac.in/storage/profile/6a89ddf25b3f5.png" TargetMode="External"/><Relationship Id="rId_hyperlink_2593" Type="http://schemas.openxmlformats.org/officeDocument/2006/relationships/hyperlink" Target="https://nconnect.nicmar.ac.in/storage/profile/6a85e8b968257.png" TargetMode="External"/><Relationship Id="rId_hyperlink_2594" Type="http://schemas.openxmlformats.org/officeDocument/2006/relationships/hyperlink" Target="https://nconnect.nicmar.ac.in/storage/profile/6a85ec7b03f57.png" TargetMode="External"/><Relationship Id="rId_hyperlink_2595" Type="http://schemas.openxmlformats.org/officeDocument/2006/relationships/hyperlink" Target="https://nconnect.nicmar.ac.in/storage/profile/6a8604f45b738.png" TargetMode="External"/><Relationship Id="rId_hyperlink_2596" Type="http://schemas.openxmlformats.org/officeDocument/2006/relationships/hyperlink" Target="https://nconnect.nicmar.ac.in/storage/profile/6a8b65cec0b80.png" TargetMode="External"/><Relationship Id="rId_hyperlink_2597" Type="http://schemas.openxmlformats.org/officeDocument/2006/relationships/hyperlink" Target="https://nconnect.nicmar.ac.in/storage/profile/6a85e734b0352.png" TargetMode="External"/><Relationship Id="rId_hyperlink_2598" Type="http://schemas.openxmlformats.org/officeDocument/2006/relationships/hyperlink" Target="https://nconnect.nicmar.ac.in/storage/profile/6a86b9e518bd7.png" TargetMode="External"/><Relationship Id="rId_hyperlink_2599" Type="http://schemas.openxmlformats.org/officeDocument/2006/relationships/hyperlink" Target="https://nconnect.nicmar.ac.in/storage/profile/6a85cf2784494.png" TargetMode="External"/><Relationship Id="rId_hyperlink_2600" Type="http://schemas.openxmlformats.org/officeDocument/2006/relationships/hyperlink" Target="https://nconnect.nicmar.ac.in/storage/profile/6a85efd0f051c.png" TargetMode="External"/><Relationship Id="rId_hyperlink_2601" Type="http://schemas.openxmlformats.org/officeDocument/2006/relationships/hyperlink" Target="https://nconnect.nicmar.ac.in/storage/profile/6a8a82205218b.png" TargetMode="External"/><Relationship Id="rId_hyperlink_2602" Type="http://schemas.openxmlformats.org/officeDocument/2006/relationships/hyperlink" Target="https://nconnect.nicmar.ac.in/storage/profile/6a856dbdf03ff.png" TargetMode="External"/><Relationship Id="rId_hyperlink_2603" Type="http://schemas.openxmlformats.org/officeDocument/2006/relationships/hyperlink" Target="https://nconnect.nicmar.ac.in/storage/profile/6a8dd30da2aa3.png" TargetMode="External"/><Relationship Id="rId_hyperlink_2604" Type="http://schemas.openxmlformats.org/officeDocument/2006/relationships/hyperlink" Target="https://nconnect.nicmar.ac.in/storage/profile/6a89632a3112a.png" TargetMode="External"/><Relationship Id="rId_hyperlink_2605" Type="http://schemas.openxmlformats.org/officeDocument/2006/relationships/hyperlink" Target="https://nconnect.nicmar.ac.in/storage/profile/6a85ba4a65255.png" TargetMode="External"/><Relationship Id="rId_hyperlink_2606" Type="http://schemas.openxmlformats.org/officeDocument/2006/relationships/hyperlink" Target="https://nconnect.nicmar.ac.in/storage/profile/6a8733e37e45c.png" TargetMode="External"/><Relationship Id="rId_hyperlink_2607" Type="http://schemas.openxmlformats.org/officeDocument/2006/relationships/hyperlink" Target="https://nconnect.nicmar.ac.in/storage/profile/6a85f4171ead9.png" TargetMode="External"/><Relationship Id="rId_hyperlink_2608" Type="http://schemas.openxmlformats.org/officeDocument/2006/relationships/hyperlink" Target="https://nconnect.nicmar.ac.in/storage/profile/6a85a81f2c7da.png" TargetMode="External"/><Relationship Id="rId_hyperlink_2609" Type="http://schemas.openxmlformats.org/officeDocument/2006/relationships/hyperlink" Target="https://nconnect.nicmar.ac.in/storage/profile/6a85fd62c458a.png" TargetMode="External"/><Relationship Id="rId_hyperlink_2610" Type="http://schemas.openxmlformats.org/officeDocument/2006/relationships/hyperlink" Target="https://nconnect.nicmar.ac.in/storage/profile/6a895416ca471.png" TargetMode="External"/><Relationship Id="rId_hyperlink_2611" Type="http://schemas.openxmlformats.org/officeDocument/2006/relationships/hyperlink" Target="https://nconnect.nicmar.ac.in/storage/profile/6a85916b3cba9.png" TargetMode="External"/><Relationship Id="rId_hyperlink_2612" Type="http://schemas.openxmlformats.org/officeDocument/2006/relationships/hyperlink" Target="https://nconnect.nicmar.ac.in/storage/profile/6a85e3f8f15b4.png" TargetMode="External"/><Relationship Id="rId_hyperlink_2613" Type="http://schemas.openxmlformats.org/officeDocument/2006/relationships/hyperlink" Target="https://nconnect.nicmar.ac.in/storage/profile/6a85a36f9c702.png" TargetMode="External"/><Relationship Id="rId_hyperlink_2614" Type="http://schemas.openxmlformats.org/officeDocument/2006/relationships/hyperlink" Target="https://nconnect.nicmar.ac.in/storage/profile/6a85eff0a4811.png" TargetMode="External"/><Relationship Id="rId_hyperlink_2615" Type="http://schemas.openxmlformats.org/officeDocument/2006/relationships/hyperlink" Target="https://nconnect.nicmar.ac.in/storage/profile/6a85cd659248e.png" TargetMode="External"/><Relationship Id="rId_hyperlink_2616" Type="http://schemas.openxmlformats.org/officeDocument/2006/relationships/hyperlink" Target="https://nconnect.nicmar.ac.in/storage/profile/6a870a01e201c.png" TargetMode="External"/><Relationship Id="rId_hyperlink_2617" Type="http://schemas.openxmlformats.org/officeDocument/2006/relationships/hyperlink" Target="https://nconnect.nicmar.ac.in/storage/profile/6a85d51dae7ba.png" TargetMode="External"/><Relationship Id="rId_hyperlink_2618" Type="http://schemas.openxmlformats.org/officeDocument/2006/relationships/hyperlink" Target="https://nconnect.nicmar.ac.in/storage/profile/6a85e5aa695bd.png" TargetMode="External"/><Relationship Id="rId_hyperlink_2619" Type="http://schemas.openxmlformats.org/officeDocument/2006/relationships/hyperlink" Target="https://nconnect.nicmar.ac.in/storage/profile/6a82b080e61e5.png" TargetMode="External"/><Relationship Id="rId_hyperlink_2620" Type="http://schemas.openxmlformats.org/officeDocument/2006/relationships/hyperlink" Target="https://nconnect.nicmar.ac.in/storage/profile/6a85633d0ba29.png" TargetMode="External"/><Relationship Id="rId_hyperlink_2621" Type="http://schemas.openxmlformats.org/officeDocument/2006/relationships/hyperlink" Target="https://nconnect.nicmar.ac.in/storage/profile/6a859d3eb9c37.png" TargetMode="External"/><Relationship Id="rId_hyperlink_2622" Type="http://schemas.openxmlformats.org/officeDocument/2006/relationships/hyperlink" Target="https://nconnect.nicmar.ac.in/storage/profile/6a7f2e8348ded.png" TargetMode="External"/><Relationship Id="rId_hyperlink_2623" Type="http://schemas.openxmlformats.org/officeDocument/2006/relationships/hyperlink" Target="https://nconnect.nicmar.ac.in/storage/profile/6a84280420f97.png" TargetMode="External"/><Relationship Id="rId_hyperlink_2624" Type="http://schemas.openxmlformats.org/officeDocument/2006/relationships/hyperlink" Target="https://nconnect.nicmar.ac.in/storage/profile/6a85949f7c303.png" TargetMode="External"/><Relationship Id="rId_hyperlink_2625" Type="http://schemas.openxmlformats.org/officeDocument/2006/relationships/hyperlink" Target="https://nconnect.nicmar.ac.in/storage/profile/6a85acb4c20fb.png" TargetMode="External"/><Relationship Id="rId_hyperlink_2626" Type="http://schemas.openxmlformats.org/officeDocument/2006/relationships/hyperlink" Target="https://nconnect.nicmar.ac.in/storage/profile/6a857f04a6a82.png" TargetMode="External"/><Relationship Id="rId_hyperlink_2627" Type="http://schemas.openxmlformats.org/officeDocument/2006/relationships/hyperlink" Target="https://nconnect.nicmar.ac.in/storage/profile/6a8940fcc4ec7.png" TargetMode="External"/><Relationship Id="rId_hyperlink_2628" Type="http://schemas.openxmlformats.org/officeDocument/2006/relationships/hyperlink" Target="https://nconnect.nicmar.ac.in/storage/profile/6a85764869da0.png" TargetMode="External"/><Relationship Id="rId_hyperlink_2629" Type="http://schemas.openxmlformats.org/officeDocument/2006/relationships/hyperlink" Target="https://nconnect.nicmar.ac.in/storage/profile/6a8688821a595.png" TargetMode="External"/><Relationship Id="rId_hyperlink_2630" Type="http://schemas.openxmlformats.org/officeDocument/2006/relationships/hyperlink" Target="https://nconnect.nicmar.ac.in/storage/profile/6a85911bec5f6.png" TargetMode="External"/><Relationship Id="rId_hyperlink_2631" Type="http://schemas.openxmlformats.org/officeDocument/2006/relationships/hyperlink" Target="https://nconnect.nicmar.ac.in/storage/profile/6a85f8cad39bc.png" TargetMode="External"/><Relationship Id="rId_hyperlink_2632" Type="http://schemas.openxmlformats.org/officeDocument/2006/relationships/hyperlink" Target="https://nconnect.nicmar.ac.in/storage/profile/6a85bb824c56a.png" TargetMode="External"/><Relationship Id="rId_hyperlink_2633" Type="http://schemas.openxmlformats.org/officeDocument/2006/relationships/hyperlink" Target="https://nconnect.nicmar.ac.in/storage/profile/6a846be242b5b.png" TargetMode="External"/><Relationship Id="rId_hyperlink_2634" Type="http://schemas.openxmlformats.org/officeDocument/2006/relationships/hyperlink" Target="https://nconnect.nicmar.ac.in/storage/profile/6a87bce31dccb.png" TargetMode="External"/><Relationship Id="rId_hyperlink_2635" Type="http://schemas.openxmlformats.org/officeDocument/2006/relationships/hyperlink" Target="https://nconnect.nicmar.ac.in/storage/profile/6a858a02615b5.png" TargetMode="External"/><Relationship Id="rId_hyperlink_2636" Type="http://schemas.openxmlformats.org/officeDocument/2006/relationships/hyperlink" Target="https://nconnect.nicmar.ac.in/storage/profile/6a86a9b5c9d75.png" TargetMode="External"/><Relationship Id="rId_hyperlink_2637" Type="http://schemas.openxmlformats.org/officeDocument/2006/relationships/hyperlink" Target="https://nconnect.nicmar.ac.in/storage/profile/6a85f4f3ee12f.png" TargetMode="External"/><Relationship Id="rId_hyperlink_2638" Type="http://schemas.openxmlformats.org/officeDocument/2006/relationships/hyperlink" Target="https://nconnect.nicmar.ac.in/storage/profile/6a8726db2810e.png" TargetMode="External"/><Relationship Id="rId_hyperlink_2639" Type="http://schemas.openxmlformats.org/officeDocument/2006/relationships/hyperlink" Target="https://nconnect.nicmar.ac.in/storage/profile/6a87075a5f744.png" TargetMode="External"/><Relationship Id="rId_hyperlink_2640" Type="http://schemas.openxmlformats.org/officeDocument/2006/relationships/hyperlink" Target="https://nconnect.nicmar.ac.in/storage/profile/6a86f22270873.png" TargetMode="External"/><Relationship Id="rId_hyperlink_2641" Type="http://schemas.openxmlformats.org/officeDocument/2006/relationships/hyperlink" Target="https://nconnect.nicmar.ac.in/storage/profile/6a848814d7e88.png" TargetMode="External"/><Relationship Id="rId_hyperlink_2642" Type="http://schemas.openxmlformats.org/officeDocument/2006/relationships/hyperlink" Target="https://nconnect.nicmar.ac.in/storage/profile/6a8716972be51.png" TargetMode="External"/><Relationship Id="rId_hyperlink_2643" Type="http://schemas.openxmlformats.org/officeDocument/2006/relationships/hyperlink" Target="https://nconnect.nicmar.ac.in/storage/profile/6a8721579032b.png" TargetMode="External"/><Relationship Id="rId_hyperlink_2644" Type="http://schemas.openxmlformats.org/officeDocument/2006/relationships/hyperlink" Target="https://nconnect.nicmar.ac.in/storage/profile/6a89a48452dc5.png" TargetMode="External"/><Relationship Id="rId_hyperlink_2645" Type="http://schemas.openxmlformats.org/officeDocument/2006/relationships/hyperlink" Target="https://nconnect.nicmar.ac.in/storage/profile/6a85e2e99de42.png" TargetMode="External"/><Relationship Id="rId_hyperlink_2646" Type="http://schemas.openxmlformats.org/officeDocument/2006/relationships/hyperlink" Target="https://nconnect.nicmar.ac.in/storage/profile/6a8706bb181ae.png" TargetMode="External"/><Relationship Id="rId_hyperlink_2647" Type="http://schemas.openxmlformats.org/officeDocument/2006/relationships/hyperlink" Target="https://nconnect.nicmar.ac.in/storage/profile/6a85dd0dd470f.png" TargetMode="External"/><Relationship Id="rId_hyperlink_2648" Type="http://schemas.openxmlformats.org/officeDocument/2006/relationships/hyperlink" Target="https://nconnect.nicmar.ac.in/storage/profile/6a86f7cf7a878.png" TargetMode="External"/><Relationship Id="rId_hyperlink_2649" Type="http://schemas.openxmlformats.org/officeDocument/2006/relationships/hyperlink" Target="https://nconnect.nicmar.ac.in/storage/profile/6a871e32b6c77.png" TargetMode="External"/><Relationship Id="rId_hyperlink_2650" Type="http://schemas.openxmlformats.org/officeDocument/2006/relationships/hyperlink" Target="https://nconnect.nicmar.ac.in/storage/profile/6a87289baf891.png" TargetMode="External"/><Relationship Id="rId_hyperlink_2651" Type="http://schemas.openxmlformats.org/officeDocument/2006/relationships/hyperlink" Target="https://nconnect.nicmar.ac.in/storage/profile/6a85e8a2f1c7f.png" TargetMode="External"/><Relationship Id="rId_hyperlink_2652" Type="http://schemas.openxmlformats.org/officeDocument/2006/relationships/hyperlink" Target="https://nconnect.nicmar.ac.in/storage/profile/6a85d006d8f32.png" TargetMode="External"/><Relationship Id="rId_hyperlink_2653" Type="http://schemas.openxmlformats.org/officeDocument/2006/relationships/hyperlink" Target="https://nconnect.nicmar.ac.in/storage/profile/6a871be7d6f94.png" TargetMode="External"/><Relationship Id="rId_hyperlink_2654" Type="http://schemas.openxmlformats.org/officeDocument/2006/relationships/hyperlink" Target="https://nconnect.nicmar.ac.in/storage/profile/6a8703ea89a64.png" TargetMode="External"/><Relationship Id="rId_hyperlink_2655" Type="http://schemas.openxmlformats.org/officeDocument/2006/relationships/hyperlink" Target="https://nconnect.nicmar.ac.in/storage/profile/6a86bf14114d4.png" TargetMode="External"/><Relationship Id="rId_hyperlink_2656" Type="http://schemas.openxmlformats.org/officeDocument/2006/relationships/hyperlink" Target="https://nconnect.nicmar.ac.in/storage/profile/6a85ea4b72ee0.png" TargetMode="External"/><Relationship Id="rId_hyperlink_2657" Type="http://schemas.openxmlformats.org/officeDocument/2006/relationships/hyperlink" Target="https://nconnect.nicmar.ac.in/storage/profile/6a8726d9126ce.png" TargetMode="External"/><Relationship Id="rId_hyperlink_2658" Type="http://schemas.openxmlformats.org/officeDocument/2006/relationships/hyperlink" Target="https://nconnect.nicmar.ac.in/storage/profile/6a87159235115.png" TargetMode="External"/><Relationship Id="rId_hyperlink_2659" Type="http://schemas.openxmlformats.org/officeDocument/2006/relationships/hyperlink" Target="https://nconnect.nicmar.ac.in/storage/profile/6a86b5c3d56d2.png" TargetMode="External"/><Relationship Id="rId_hyperlink_2660" Type="http://schemas.openxmlformats.org/officeDocument/2006/relationships/hyperlink" Target="https://nconnect.nicmar.ac.in/storage/profile/6a86bbbe3ab09.png" TargetMode="External"/><Relationship Id="rId_hyperlink_2661" Type="http://schemas.openxmlformats.org/officeDocument/2006/relationships/hyperlink" Target="https://nconnect.nicmar.ac.in/storage/profile/6a848f7c3ad35.png" TargetMode="External"/><Relationship Id="rId_hyperlink_2662" Type="http://schemas.openxmlformats.org/officeDocument/2006/relationships/hyperlink" Target="https://nconnect.nicmar.ac.in/storage/profile/6a85e512e8f53.png" TargetMode="External"/><Relationship Id="rId_hyperlink_2663" Type="http://schemas.openxmlformats.org/officeDocument/2006/relationships/hyperlink" Target="https://nconnect.nicmar.ac.in/storage/profile/6a8f4258ad3bc.png" TargetMode="External"/><Relationship Id="rId_hyperlink_2664" Type="http://schemas.openxmlformats.org/officeDocument/2006/relationships/hyperlink" Target="https://nconnect.nicmar.ac.in/storage/profile/6a871a8ca010b.png" TargetMode="External"/><Relationship Id="rId_hyperlink_2665" Type="http://schemas.openxmlformats.org/officeDocument/2006/relationships/hyperlink" Target="https://nconnect.nicmar.ac.in/storage/profile/6a87278f9677e.png" TargetMode="External"/><Relationship Id="rId_hyperlink_2666" Type="http://schemas.openxmlformats.org/officeDocument/2006/relationships/hyperlink" Target="https://nconnect.nicmar.ac.in/storage/profile/6a8744d138622.png" TargetMode="External"/><Relationship Id="rId_hyperlink_2667" Type="http://schemas.openxmlformats.org/officeDocument/2006/relationships/hyperlink" Target="https://nconnect.nicmar.ac.in/storage/profile/6a86ed598d4e3.png" TargetMode="External"/><Relationship Id="rId_hyperlink_2668" Type="http://schemas.openxmlformats.org/officeDocument/2006/relationships/hyperlink" Target="https://nconnect.nicmar.ac.in/storage/profile/6a86006a218a2.png" TargetMode="External"/><Relationship Id="rId_hyperlink_2669" Type="http://schemas.openxmlformats.org/officeDocument/2006/relationships/hyperlink" Target="https://nconnect.nicmar.ac.in/storage/profile/6a85c2dce82ca.png" TargetMode="External"/><Relationship Id="rId_hyperlink_2670" Type="http://schemas.openxmlformats.org/officeDocument/2006/relationships/hyperlink" Target="https://nconnect.nicmar.ac.in/storage/profile/6a85c20b319f0.png" TargetMode="External"/><Relationship Id="rId_hyperlink_2671" Type="http://schemas.openxmlformats.org/officeDocument/2006/relationships/hyperlink" Target="https://nconnect.nicmar.ac.in/storage/profile/6a85d6f644c96.png" TargetMode="External"/><Relationship Id="rId_hyperlink_2672" Type="http://schemas.openxmlformats.org/officeDocument/2006/relationships/hyperlink" Target="https://nconnect.nicmar.ac.in/storage/profile/6a85c210a820d.png" TargetMode="External"/><Relationship Id="rId_hyperlink_2673" Type="http://schemas.openxmlformats.org/officeDocument/2006/relationships/hyperlink" Target="https://nconnect.nicmar.ac.in/storage/profile/6a85df4247e88.png" TargetMode="External"/><Relationship Id="rId_hyperlink_2674" Type="http://schemas.openxmlformats.org/officeDocument/2006/relationships/hyperlink" Target="https://nconnect.nicmar.ac.in/storage/profile/6a85aa9122054.png" TargetMode="External"/><Relationship Id="rId_hyperlink_2675" Type="http://schemas.openxmlformats.org/officeDocument/2006/relationships/hyperlink" Target="https://nconnect.nicmar.ac.in/storage/profile/6a85ecbe35196.png" TargetMode="External"/><Relationship Id="rId_hyperlink_2676" Type="http://schemas.openxmlformats.org/officeDocument/2006/relationships/hyperlink" Target="https://nconnect.nicmar.ac.in/storage/profile/ProfilePhoto_P25709001_342791.jpg" TargetMode="External"/><Relationship Id="rId_hyperlink_2677" Type="http://schemas.openxmlformats.org/officeDocument/2006/relationships/hyperlink" Target="https://nconnect.nicmar.ac.in/storage/profile/ProfilePhoto_P25709002_954762.jpg" TargetMode="External"/><Relationship Id="rId_hyperlink_2678" Type="http://schemas.openxmlformats.org/officeDocument/2006/relationships/hyperlink" Target="https://nconnect.nicmar.ac.in/storage/profile/ProfilePhoto_P25709004_198267.jpg" TargetMode="External"/><Relationship Id="rId_hyperlink_2679" Type="http://schemas.openxmlformats.org/officeDocument/2006/relationships/hyperlink" Target="https://nconnect.nicmar.ac.in/storage/profile/ProfilePhoto_P25709005_417395.jpg" TargetMode="External"/><Relationship Id="rId_hyperlink_2680" Type="http://schemas.openxmlformats.org/officeDocument/2006/relationships/hyperlink" Target="https://nconnect.nicmar.ac.in/storage/profile/ProfilePhoto_P25709006_287564.jpg" TargetMode="External"/><Relationship Id="rId_hyperlink_2681" Type="http://schemas.openxmlformats.org/officeDocument/2006/relationships/hyperlink" Target="https://nconnect.nicmar.ac.in/storage/profile/ProfilePhoto_P25709007_681923.jpg" TargetMode="External"/><Relationship Id="rId_hyperlink_2682" Type="http://schemas.openxmlformats.org/officeDocument/2006/relationships/hyperlink" Target="https://nconnect.nicmar.ac.in/storage/profile/ProfilePhoto_P25709008_523167.jpg" TargetMode="External"/><Relationship Id="rId_hyperlink_2683" Type="http://schemas.openxmlformats.org/officeDocument/2006/relationships/hyperlink" Target="https://nconnect.nicmar.ac.in/storage/profile/ProfilePhoto_P25709009_319524.jpg" TargetMode="External"/><Relationship Id="rId_hyperlink_2684" Type="http://schemas.openxmlformats.org/officeDocument/2006/relationships/hyperlink" Target="https://nconnect.nicmar.ac.in/storage/profile/ProfilePhoto_P25709010_172543.jpg" TargetMode="External"/><Relationship Id="rId_hyperlink_2685" Type="http://schemas.openxmlformats.org/officeDocument/2006/relationships/hyperlink" Target="https://nconnect.nicmar.ac.in/storage/profile/ProfilePhoto_P25709012_847653.jpg" TargetMode="External"/><Relationship Id="rId_hyperlink_2686" Type="http://schemas.openxmlformats.org/officeDocument/2006/relationships/hyperlink" Target="https://nconnect.nicmar.ac.in/storage/profile/ProfilePhoto_P25709013_852917.jpg" TargetMode="External"/><Relationship Id="rId_hyperlink_2687" Type="http://schemas.openxmlformats.org/officeDocument/2006/relationships/hyperlink" Target="https://nconnect.nicmar.ac.in/storage/profile/ProfilePhoto_P25709014_531987.jpg" TargetMode="External"/><Relationship Id="rId_hyperlink_2688" Type="http://schemas.openxmlformats.org/officeDocument/2006/relationships/hyperlink" Target="https://nconnect.nicmar.ac.in/storage/profile/ProfilePhoto_P25709015_264591.jpg" TargetMode="External"/><Relationship Id="rId_hyperlink_2689" Type="http://schemas.openxmlformats.org/officeDocument/2006/relationships/hyperlink" Target="https://nconnect.nicmar.ac.in/storage/profile/ProfilePhoto_P25709016_473916.jpg" TargetMode="External"/><Relationship Id="rId_hyperlink_2690" Type="http://schemas.openxmlformats.org/officeDocument/2006/relationships/hyperlink" Target="https://nconnect.nicmar.ac.in/storage/profile/ProfilePhoto_P25709017_237156.jpg" TargetMode="External"/><Relationship Id="rId_hyperlink_2691" Type="http://schemas.openxmlformats.org/officeDocument/2006/relationships/hyperlink" Target="https://nconnect.nicmar.ac.in/storage/profile/ProfilePhoto_P25709018_461857.jpg" TargetMode="External"/><Relationship Id="rId_hyperlink_2692" Type="http://schemas.openxmlformats.org/officeDocument/2006/relationships/hyperlink" Target="https://nconnect.nicmar.ac.in/storage/profile/ProfilePhoto_P25709019_986713.jpg" TargetMode="External"/><Relationship Id="rId_hyperlink_2693" Type="http://schemas.openxmlformats.org/officeDocument/2006/relationships/hyperlink" Target="https://nconnect.nicmar.ac.in/storage/profile/ProfilePhoto_P25709020_183659.jpg" TargetMode="External"/><Relationship Id="rId_hyperlink_2694" Type="http://schemas.openxmlformats.org/officeDocument/2006/relationships/hyperlink" Target="https://nconnect.nicmar.ac.in/storage/profile/ProfilePhoto_P25709021_821367.jpg" TargetMode="External"/><Relationship Id="rId_hyperlink_2695" Type="http://schemas.openxmlformats.org/officeDocument/2006/relationships/hyperlink" Target="https://nconnect.nicmar.ac.in/storage/profile/ProfilePhoto_P25709022_892367.jpg" TargetMode="External"/><Relationship Id="rId_hyperlink_2696" Type="http://schemas.openxmlformats.org/officeDocument/2006/relationships/hyperlink" Target="https://nconnect.nicmar.ac.in/storage/profile/ProfilePhoto_P25709023_316758.jpg" TargetMode="External"/><Relationship Id="rId_hyperlink_2697" Type="http://schemas.openxmlformats.org/officeDocument/2006/relationships/hyperlink" Target="https://nconnect.nicmar.ac.in/storage/profile/ProfilePhoto_P25709024_938615.jpg" TargetMode="External"/><Relationship Id="rId_hyperlink_2698" Type="http://schemas.openxmlformats.org/officeDocument/2006/relationships/hyperlink" Target="https://nconnect.nicmar.ac.in/storage/profile/ProfilePhoto_P25709025_158472.jpg" TargetMode="External"/><Relationship Id="rId_hyperlink_2699" Type="http://schemas.openxmlformats.org/officeDocument/2006/relationships/hyperlink" Target="https://nconnect.nicmar.ac.in/storage/profile/ProfilePhoto_P25709026_328947.jpg" TargetMode="External"/><Relationship Id="rId_hyperlink_2700" Type="http://schemas.openxmlformats.org/officeDocument/2006/relationships/hyperlink" Target="https://nconnect.nicmar.ac.in/storage/profile/ProfilePhoto_P25709027_248591.jpg" TargetMode="External"/><Relationship Id="rId_hyperlink_2701" Type="http://schemas.openxmlformats.org/officeDocument/2006/relationships/hyperlink" Target="https://nconnect.nicmar.ac.in/storage/profile/ProfilePhoto_P25709028_672315.jpg" TargetMode="External"/><Relationship Id="rId_hyperlink_2702" Type="http://schemas.openxmlformats.org/officeDocument/2006/relationships/hyperlink" Target="https://nconnect.nicmar.ac.in/storage/profile/ProfilePhoto_P25709029_692415.jpg" TargetMode="External"/><Relationship Id="rId_hyperlink_2703" Type="http://schemas.openxmlformats.org/officeDocument/2006/relationships/hyperlink" Target="https://nconnect.nicmar.ac.in/storage/profile/ProfilePhoto_P25709030_652314.jpg" TargetMode="External"/><Relationship Id="rId_hyperlink_2704" Type="http://schemas.openxmlformats.org/officeDocument/2006/relationships/hyperlink" Target="https://nconnect.nicmar.ac.in/storage/profile/ProfilePhoto_P25709031_768124.jpg" TargetMode="External"/><Relationship Id="rId_hyperlink_2705" Type="http://schemas.openxmlformats.org/officeDocument/2006/relationships/hyperlink" Target="https://nconnect.nicmar.ac.in/storage/profile/ProfilePhoto_P25709032_179346.jpg" TargetMode="External"/><Relationship Id="rId_hyperlink_2706" Type="http://schemas.openxmlformats.org/officeDocument/2006/relationships/hyperlink" Target="https://nconnect.nicmar.ac.in/storage/profile/ProfilePhoto_P25709033_145237.jpg" TargetMode="External"/><Relationship Id="rId_hyperlink_2707" Type="http://schemas.openxmlformats.org/officeDocument/2006/relationships/hyperlink" Target="https://nconnect.nicmar.ac.in/storage/profile/ProfilePhoto_P25709034_713268.jpg" TargetMode="External"/><Relationship Id="rId_hyperlink_2708" Type="http://schemas.openxmlformats.org/officeDocument/2006/relationships/hyperlink" Target="https://nconnect.nicmar.ac.in/storage/profile/ProfilePhoto_P25709035_236748.jpg" TargetMode="External"/><Relationship Id="rId_hyperlink_2709" Type="http://schemas.openxmlformats.org/officeDocument/2006/relationships/hyperlink" Target="https://nconnect.nicmar.ac.in/storage/profile/ProfilePhoto_P25709036_689372.jpg" TargetMode="External"/><Relationship Id="rId_hyperlink_2710" Type="http://schemas.openxmlformats.org/officeDocument/2006/relationships/hyperlink" Target="https://nconnect.nicmar.ac.in/storage/profile/ProfilePhoto_P25709037_851924.jpg" TargetMode="External"/><Relationship Id="rId_hyperlink_2711" Type="http://schemas.openxmlformats.org/officeDocument/2006/relationships/hyperlink" Target="https://nconnect.nicmar.ac.in/storage/profile/ProfilePhoto_P25709038_481736.jpg" TargetMode="External"/><Relationship Id="rId_hyperlink_2712" Type="http://schemas.openxmlformats.org/officeDocument/2006/relationships/hyperlink" Target="https://nconnect.nicmar.ac.in/storage/profile/ProfilePhoto_P25709039_785649.jpg" TargetMode="External"/><Relationship Id="rId_hyperlink_2713" Type="http://schemas.openxmlformats.org/officeDocument/2006/relationships/hyperlink" Target="https://nconnect.nicmar.ac.in/storage/profile/ProfilePhoto_P25709041_593467.jpg" TargetMode="External"/><Relationship Id="rId_hyperlink_2714" Type="http://schemas.openxmlformats.org/officeDocument/2006/relationships/hyperlink" Target="https://nconnect.nicmar.ac.in/storage/profile/ProfilePhoto_P25709042_821537.jpg" TargetMode="External"/><Relationship Id="rId_hyperlink_2715" Type="http://schemas.openxmlformats.org/officeDocument/2006/relationships/hyperlink" Target="https://nconnect.nicmar.ac.in/storage/profile/ProfilePhoto_P25709043_578941.jpg" TargetMode="External"/><Relationship Id="rId_hyperlink_2716" Type="http://schemas.openxmlformats.org/officeDocument/2006/relationships/hyperlink" Target="https://nconnect.nicmar.ac.in/storage/profile/ProfilePhoto_P25709044_758396.jpg" TargetMode="External"/><Relationship Id="rId_hyperlink_2717" Type="http://schemas.openxmlformats.org/officeDocument/2006/relationships/hyperlink" Target="https://nconnect.nicmar.ac.in/storage/profile/ProfilePhoto_P25709045_597318.jpg" TargetMode="External"/><Relationship Id="rId_hyperlink_2718" Type="http://schemas.openxmlformats.org/officeDocument/2006/relationships/hyperlink" Target="https://nconnect.nicmar.ac.in/storage/profile/ProfilePhoto_P25709046_569812.jpg" TargetMode="External"/><Relationship Id="rId_hyperlink_2719" Type="http://schemas.openxmlformats.org/officeDocument/2006/relationships/hyperlink" Target="https://nconnect.nicmar.ac.in/storage/profile/ProfilePhoto_P25709047_291457.jpg" TargetMode="External"/><Relationship Id="rId_hyperlink_2720" Type="http://schemas.openxmlformats.org/officeDocument/2006/relationships/hyperlink" Target="https://nconnect.nicmar.ac.in/storage/profile/ProfilePhoto_P25709048_348927.jpg" TargetMode="External"/><Relationship Id="rId_hyperlink_2721" Type="http://schemas.openxmlformats.org/officeDocument/2006/relationships/hyperlink" Target="https://nconnect.nicmar.ac.in/storage/profile/ProfilePhoto_P25709049_182359.jpg" TargetMode="External"/><Relationship Id="rId_hyperlink_2722" Type="http://schemas.openxmlformats.org/officeDocument/2006/relationships/hyperlink" Target="https://nconnect.nicmar.ac.in/storage/profile/ProfilePhoto_P25709050_634128.jpg" TargetMode="External"/><Relationship Id="rId_hyperlink_2723" Type="http://schemas.openxmlformats.org/officeDocument/2006/relationships/hyperlink" Target="https://nconnect.nicmar.ac.in/storage/profile/ProfilePhoto_P25709051_614723.jpg" TargetMode="External"/><Relationship Id="rId_hyperlink_2724" Type="http://schemas.openxmlformats.org/officeDocument/2006/relationships/hyperlink" Target="https://nconnect.nicmar.ac.in/storage/profile/ProfilePhoto_P25709052_235417.jpg" TargetMode="External"/><Relationship Id="rId_hyperlink_2725" Type="http://schemas.openxmlformats.org/officeDocument/2006/relationships/hyperlink" Target="https://nconnect.nicmar.ac.in/storage/profile/ProfilePhoto_P25709053_263159.jpg" TargetMode="External"/><Relationship Id="rId_hyperlink_2726" Type="http://schemas.openxmlformats.org/officeDocument/2006/relationships/hyperlink" Target="https://nconnect.nicmar.ac.in/storage/profile/ProfilePhoto_P25709054_759186.jpg" TargetMode="External"/><Relationship Id="rId_hyperlink_2727" Type="http://schemas.openxmlformats.org/officeDocument/2006/relationships/hyperlink" Target="https://nconnect.nicmar.ac.in/storage/profile/ProfilePhoto_P25709055_689172.jpg" TargetMode="External"/><Relationship Id="rId_hyperlink_2728" Type="http://schemas.openxmlformats.org/officeDocument/2006/relationships/hyperlink" Target="https://nconnect.nicmar.ac.in/storage/profile/ProfilePhoto_P25709056_314698.jpg" TargetMode="External"/><Relationship Id="rId_hyperlink_2729" Type="http://schemas.openxmlformats.org/officeDocument/2006/relationships/hyperlink" Target="https://nconnect.nicmar.ac.in/storage/profile/ProfilePhoto_P25709057_698172.jpg" TargetMode="External"/><Relationship Id="rId_hyperlink_2730" Type="http://schemas.openxmlformats.org/officeDocument/2006/relationships/hyperlink" Target="https://nconnect.nicmar.ac.in/storage/profile/ProfilePhoto_P25709058_852146.jpg" TargetMode="External"/><Relationship Id="rId_hyperlink_2731" Type="http://schemas.openxmlformats.org/officeDocument/2006/relationships/hyperlink" Target="https://nconnect.nicmar.ac.in/storage/profile/ProfilePhoto_P25710001_823951.jpg" TargetMode="External"/><Relationship Id="rId_hyperlink_2732" Type="http://schemas.openxmlformats.org/officeDocument/2006/relationships/hyperlink" Target="https://nconnect.nicmar.ac.in/storage/profile/ProfilePhoto_P25710002_745196.jpg" TargetMode="External"/><Relationship Id="rId_hyperlink_2733" Type="http://schemas.openxmlformats.org/officeDocument/2006/relationships/hyperlink" Target="https://nconnect.nicmar.ac.in/storage/profile/ProfilePhoto_P25710003_617925.jpg" TargetMode="External"/><Relationship Id="rId_hyperlink_2734" Type="http://schemas.openxmlformats.org/officeDocument/2006/relationships/hyperlink" Target="https://nconnect.nicmar.ac.in/storage/profile/ProfilePhoto_P25710004_513267.jpg" TargetMode="External"/><Relationship Id="rId_hyperlink_2735" Type="http://schemas.openxmlformats.org/officeDocument/2006/relationships/hyperlink" Target="https://nconnect.nicmar.ac.in/storage/profile/ProfilePhoto_P25710005_326549.jpg" TargetMode="External"/><Relationship Id="rId_hyperlink_2736" Type="http://schemas.openxmlformats.org/officeDocument/2006/relationships/hyperlink" Target="https://nconnect.nicmar.ac.in/storage/profile/ProfilePhoto_P25710006_941257.jpg" TargetMode="External"/><Relationship Id="rId_hyperlink_2737" Type="http://schemas.openxmlformats.org/officeDocument/2006/relationships/hyperlink" Target="https://nconnect.nicmar.ac.in/storage/profile/ProfilePhoto_P25710007_159264.jpg" TargetMode="External"/><Relationship Id="rId_hyperlink_2738" Type="http://schemas.openxmlformats.org/officeDocument/2006/relationships/hyperlink" Target="https://nconnect.nicmar.ac.in/storage/profile/ProfilePhoto_P25710008_617395.jpg" TargetMode="External"/><Relationship Id="rId_hyperlink_2739" Type="http://schemas.openxmlformats.org/officeDocument/2006/relationships/hyperlink" Target="https://nconnect.nicmar.ac.in/storage/profile/ProfilePhoto_P25710009_531928.jpg" TargetMode="External"/><Relationship Id="rId_hyperlink_2740" Type="http://schemas.openxmlformats.org/officeDocument/2006/relationships/hyperlink" Target="https://nconnect.nicmar.ac.in/storage/profile/ProfilePhoto_P25710010_428397.jpg" TargetMode="External"/><Relationship Id="rId_hyperlink_2741" Type="http://schemas.openxmlformats.org/officeDocument/2006/relationships/hyperlink" Target="https://nconnect.nicmar.ac.in/storage/profile/ProfilePhoto_P25710011_328594.jpg" TargetMode="External"/><Relationship Id="rId_hyperlink_2742" Type="http://schemas.openxmlformats.org/officeDocument/2006/relationships/hyperlink" Target="https://nconnect.nicmar.ac.in/storage/profile/ProfilePhoto_P25710012_425981.jpg" TargetMode="External"/><Relationship Id="rId_hyperlink_2743" Type="http://schemas.openxmlformats.org/officeDocument/2006/relationships/hyperlink" Target="https://nconnect.nicmar.ac.in/storage/profile/ProfilePhoto_P25710013_394618.jpg" TargetMode="External"/><Relationship Id="rId_hyperlink_2744" Type="http://schemas.openxmlformats.org/officeDocument/2006/relationships/hyperlink" Target="https://nconnect.nicmar.ac.in/storage/profile/ProfilePhoto_P25710014_173564.jpg" TargetMode="External"/><Relationship Id="rId_hyperlink_2745" Type="http://schemas.openxmlformats.org/officeDocument/2006/relationships/hyperlink" Target="https://nconnect.nicmar.ac.in/storage/profile/ProfilePhoto_P25710015_126583.jpg" TargetMode="External"/><Relationship Id="rId_hyperlink_2746" Type="http://schemas.openxmlformats.org/officeDocument/2006/relationships/hyperlink" Target="https://nconnect.nicmar.ac.in/storage/profile/ProfilePhoto_P25710016_294317.jpg" TargetMode="External"/><Relationship Id="rId_hyperlink_2747" Type="http://schemas.openxmlformats.org/officeDocument/2006/relationships/hyperlink" Target="https://nconnect.nicmar.ac.in/storage/profile/ProfilePhoto_P25710017_986312.jpg" TargetMode="External"/><Relationship Id="rId_hyperlink_2748" Type="http://schemas.openxmlformats.org/officeDocument/2006/relationships/hyperlink" Target="https://nconnect.nicmar.ac.in/storage/profile/ProfilePhoto_P25710018_619738.jpg" TargetMode="External"/><Relationship Id="rId_hyperlink_2749" Type="http://schemas.openxmlformats.org/officeDocument/2006/relationships/hyperlink" Target="https://nconnect.nicmar.ac.in/storage/profile/ProfilePhoto_P25710019_782951.jpg" TargetMode="External"/><Relationship Id="rId_hyperlink_2750" Type="http://schemas.openxmlformats.org/officeDocument/2006/relationships/hyperlink" Target="https://nconnect.nicmar.ac.in/storage/profile/ProfilePhoto_P25710020_658142.jpg" TargetMode="External"/><Relationship Id="rId_hyperlink_2751" Type="http://schemas.openxmlformats.org/officeDocument/2006/relationships/hyperlink" Target="https://nconnect.nicmar.ac.in/storage/profile/ProfilePhoto_P25710022_394518.jpg" TargetMode="External"/><Relationship Id="rId_hyperlink_2752" Type="http://schemas.openxmlformats.org/officeDocument/2006/relationships/hyperlink" Target="https://nconnect.nicmar.ac.in/storage/profile/6a87bbee06e87.png" TargetMode="External"/><Relationship Id="rId_hyperlink_2753" Type="http://schemas.openxmlformats.org/officeDocument/2006/relationships/hyperlink" Target="https://nconnect.nicmar.ac.in/storage/profile/2022-2023_P2260001_614923.jpg" TargetMode="External"/><Relationship Id="rId_hyperlink_2754" Type="http://schemas.openxmlformats.org/officeDocument/2006/relationships/hyperlink" Target="https://nconnect.nicmar.ac.in/storage/profile/2022-2023_P2260002_543712.jpg" TargetMode="External"/><Relationship Id="rId_hyperlink_2755" Type="http://schemas.openxmlformats.org/officeDocument/2006/relationships/hyperlink" Target="https://nconnect.nicmar.ac.in/storage/profile/2022-2023_P2260003_257398.jpg" TargetMode="External"/><Relationship Id="rId_hyperlink_2756" Type="http://schemas.openxmlformats.org/officeDocument/2006/relationships/hyperlink" Target="https://nconnect.nicmar.ac.in/storage/profile/2022-2023_P2260004_324859.jpg" TargetMode="External"/><Relationship Id="rId_hyperlink_2757" Type="http://schemas.openxmlformats.org/officeDocument/2006/relationships/hyperlink" Target="https://nconnect.nicmar.ac.in/storage/profile/2022-2023_P2260005_765918.jpg" TargetMode="External"/><Relationship Id="rId_hyperlink_2758" Type="http://schemas.openxmlformats.org/officeDocument/2006/relationships/hyperlink" Target="https://nconnect.nicmar.ac.in/storage/profile/2022-2023_P2260006_472968.jpg" TargetMode="External"/><Relationship Id="rId_hyperlink_2759" Type="http://schemas.openxmlformats.org/officeDocument/2006/relationships/hyperlink" Target="https://nconnect.nicmar.ac.in/storage/profile/2022-2023_P2260007_694125.jpg" TargetMode="External"/><Relationship Id="rId_hyperlink_2760" Type="http://schemas.openxmlformats.org/officeDocument/2006/relationships/hyperlink" Target="https://nconnect.nicmar.ac.in/storage/profile/2022-2023_P2260008_134765.jpg" TargetMode="External"/><Relationship Id="rId_hyperlink_2761" Type="http://schemas.openxmlformats.org/officeDocument/2006/relationships/hyperlink" Target="https://nconnect.nicmar.ac.in/storage/profile/2022-2023_P2260009_576912.jpg" TargetMode="External"/><Relationship Id="rId_hyperlink_2762" Type="http://schemas.openxmlformats.org/officeDocument/2006/relationships/hyperlink" Target="https://nconnect.nicmar.ac.in/storage/profile/2022-2023_P2260010_593284.jpg" TargetMode="External"/><Relationship Id="rId_hyperlink_2763" Type="http://schemas.openxmlformats.org/officeDocument/2006/relationships/hyperlink" Target="https://nconnect.nicmar.ac.in/storage/profile/2022-2023_P2260011_759168.jpg" TargetMode="External"/><Relationship Id="rId_hyperlink_2764" Type="http://schemas.openxmlformats.org/officeDocument/2006/relationships/hyperlink" Target="https://nconnect.nicmar.ac.in/storage/profile/2022-2023_P2260012_852671.jpg" TargetMode="External"/><Relationship Id="rId_hyperlink_2765" Type="http://schemas.openxmlformats.org/officeDocument/2006/relationships/hyperlink" Target="https://nconnect.nicmar.ac.in/storage/profile/ProfilePhoto_P2260013_632158.jpg" TargetMode="External"/><Relationship Id="rId_hyperlink_2766" Type="http://schemas.openxmlformats.org/officeDocument/2006/relationships/hyperlink" Target="https://nconnect.nicmar.ac.in/storage/profile/2022-2023_P2260014_512768.jpg" TargetMode="External"/><Relationship Id="rId_hyperlink_2767" Type="http://schemas.openxmlformats.org/officeDocument/2006/relationships/hyperlink" Target="https://nconnect.nicmar.ac.in/storage/profile/ProfilePhoto_P2260015_352189.jpg" TargetMode="External"/><Relationship Id="rId_hyperlink_2768" Type="http://schemas.openxmlformats.org/officeDocument/2006/relationships/hyperlink" Target="https://nconnect.nicmar.ac.in/storage/profile/ProfilePhoto_P2260016_159367.jpg" TargetMode="External"/><Relationship Id="rId_hyperlink_2769" Type="http://schemas.openxmlformats.org/officeDocument/2006/relationships/hyperlink" Target="https://nconnect.nicmar.ac.in/storage/profile/2022-2023_P2260017_834795.jpg" TargetMode="External"/><Relationship Id="rId_hyperlink_2770" Type="http://schemas.openxmlformats.org/officeDocument/2006/relationships/hyperlink" Target="https://nconnect.nicmar.ac.in/storage/profile/2022-2023_P2260018_258149.jpg" TargetMode="External"/><Relationship Id="rId_hyperlink_2771" Type="http://schemas.openxmlformats.org/officeDocument/2006/relationships/hyperlink" Target="https://nconnect.nicmar.ac.in/storage/profile/2022-2023_P2260020_481536.jpg" TargetMode="External"/><Relationship Id="rId_hyperlink_2772" Type="http://schemas.openxmlformats.org/officeDocument/2006/relationships/hyperlink" Target="https://nconnect.nicmar.ac.in/storage/profile/2022-2023_P2260021_918267.jpg" TargetMode="External"/><Relationship Id="rId_hyperlink_2773" Type="http://schemas.openxmlformats.org/officeDocument/2006/relationships/hyperlink" Target="https://nconnect.nicmar.ac.in/storage/profile/2022-2023_P2260022_265934.jpg" TargetMode="External"/><Relationship Id="rId_hyperlink_2774" Type="http://schemas.openxmlformats.org/officeDocument/2006/relationships/hyperlink" Target="https://nconnect.nicmar.ac.in/storage/profile/2022-2023_P2260023_532691.jpg" TargetMode="External"/><Relationship Id="rId_hyperlink_2775" Type="http://schemas.openxmlformats.org/officeDocument/2006/relationships/hyperlink" Target="https://nconnect.nicmar.ac.in/storage/profile/2022-2023_P2260024_492658.jpg" TargetMode="External"/><Relationship Id="rId_hyperlink_2776" Type="http://schemas.openxmlformats.org/officeDocument/2006/relationships/hyperlink" Target="https://nconnect.nicmar.ac.in/storage/profile/2022-2023_P2260025_721954.jpg" TargetMode="External"/><Relationship Id="rId_hyperlink_2777" Type="http://schemas.openxmlformats.org/officeDocument/2006/relationships/hyperlink" Target="https://nconnect.nicmar.ac.in/storage/profile/2022-2023_P2260026_497286.jpg" TargetMode="External"/><Relationship Id="rId_hyperlink_2778" Type="http://schemas.openxmlformats.org/officeDocument/2006/relationships/hyperlink" Target="https://nconnect.nicmar.ac.in/storage/profile/ProfilePhoto_P2260027_475981.jpg" TargetMode="External"/><Relationship Id="rId_hyperlink_2779" Type="http://schemas.openxmlformats.org/officeDocument/2006/relationships/hyperlink" Target="https://nconnect.nicmar.ac.in/storage/profile/2022-2023_P2260028_692137.jpg" TargetMode="External"/><Relationship Id="rId_hyperlink_2780" Type="http://schemas.openxmlformats.org/officeDocument/2006/relationships/hyperlink" Target="https://nconnect.nicmar.ac.in/storage/profile/2022-2023_P2260029_157623.jpg" TargetMode="External"/><Relationship Id="rId_hyperlink_2781" Type="http://schemas.openxmlformats.org/officeDocument/2006/relationships/hyperlink" Target="https://nconnect.nicmar.ac.in/storage/profile/ProfilePhoto_P2260030_651472.jpg" TargetMode="External"/><Relationship Id="rId_hyperlink_2782" Type="http://schemas.openxmlformats.org/officeDocument/2006/relationships/hyperlink" Target="https://nconnect.nicmar.ac.in/storage/profile/ProfilePhoto_P2260031_637948.jpg" TargetMode="External"/><Relationship Id="rId_hyperlink_2783" Type="http://schemas.openxmlformats.org/officeDocument/2006/relationships/hyperlink" Target="https://nconnect.nicmar.ac.in/storage/profile/2022-2023_P2260032_274536.jpg" TargetMode="External"/><Relationship Id="rId_hyperlink_2784" Type="http://schemas.openxmlformats.org/officeDocument/2006/relationships/hyperlink" Target="https://nconnect.nicmar.ac.in/storage/profile/ProfilePhoto_P2260033_794635.jpg" TargetMode="External"/><Relationship Id="rId_hyperlink_2785" Type="http://schemas.openxmlformats.org/officeDocument/2006/relationships/hyperlink" Target="https://nconnect.nicmar.ac.in/storage/profile/2022-2023_P2260019_821739.jpg" TargetMode="External"/><Relationship Id="rId_hyperlink_2786" Type="http://schemas.openxmlformats.org/officeDocument/2006/relationships/hyperlink" Target="https://nconnect.nicmar.ac.in/storage/profile/6a85f41083a82.png" TargetMode="External"/><Relationship Id="rId_hyperlink_2787" Type="http://schemas.openxmlformats.org/officeDocument/2006/relationships/hyperlink" Target="https://nconnect.nicmar.ac.in/storage/profile/6a85f5b9cb05a.png" TargetMode="External"/><Relationship Id="rId_hyperlink_2788" Type="http://schemas.openxmlformats.org/officeDocument/2006/relationships/hyperlink" Target="https://nconnect.nicmar.ac.in/storage/profile/6a847919a39de.png" TargetMode="External"/><Relationship Id="rId_hyperlink_2789" Type="http://schemas.openxmlformats.org/officeDocument/2006/relationships/hyperlink" Target="https://nconnect.nicmar.ac.in/storage/profile/6a85f7af56a94.png" TargetMode="External"/><Relationship Id="rId_hyperlink_2790" Type="http://schemas.openxmlformats.org/officeDocument/2006/relationships/hyperlink" Target="https://nconnect.nicmar.ac.in/storage/profile/6a859a784c95c.png" TargetMode="External"/><Relationship Id="rId_hyperlink_2791" Type="http://schemas.openxmlformats.org/officeDocument/2006/relationships/hyperlink" Target="https://nconnect.nicmar.ac.in/storage/profile/6a8eb26c38ac3.png" TargetMode="External"/><Relationship Id="rId_hyperlink_2792" Type="http://schemas.openxmlformats.org/officeDocument/2006/relationships/hyperlink" Target="https://nconnect.nicmar.ac.in/storage/profile/6a84b2d60d482.png" TargetMode="External"/><Relationship Id="rId_hyperlink_2793" Type="http://schemas.openxmlformats.org/officeDocument/2006/relationships/hyperlink" Target="https://nconnect.nicmar.ac.in/storage/profile/6a87b51e92b7c.png" TargetMode="External"/><Relationship Id="rId_hyperlink_2794" Type="http://schemas.openxmlformats.org/officeDocument/2006/relationships/hyperlink" Target="https://nconnect.nicmar.ac.in/storage/profile/6a852d87f1810.png" TargetMode="External"/><Relationship Id="rId_hyperlink_2795" Type="http://schemas.openxmlformats.org/officeDocument/2006/relationships/hyperlink" Target="https://nconnect.nicmar.ac.in/storage/profile/6a8e87edcc63e.png" TargetMode="External"/><Relationship Id="rId_hyperlink_2796" Type="http://schemas.openxmlformats.org/officeDocument/2006/relationships/hyperlink" Target="https://nconnect.nicmar.ac.in/storage/profile/6a85b71437042.png" TargetMode="External"/><Relationship Id="rId_hyperlink_2797" Type="http://schemas.openxmlformats.org/officeDocument/2006/relationships/hyperlink" Target="https://nconnect.nicmar.ac.in/storage/profile/6a85b5764256b.png" TargetMode="External"/><Relationship Id="rId_hyperlink_2798" Type="http://schemas.openxmlformats.org/officeDocument/2006/relationships/hyperlink" Target="https://nconnect.nicmar.ac.in/storage/profile/6a859ac01bc2f.png" TargetMode="External"/><Relationship Id="rId_hyperlink_2799" Type="http://schemas.openxmlformats.org/officeDocument/2006/relationships/hyperlink" Target="https://nconnect.nicmar.ac.in/storage/profile/6a848fc725c52.png" TargetMode="External"/><Relationship Id="rId_hyperlink_2800" Type="http://schemas.openxmlformats.org/officeDocument/2006/relationships/hyperlink" Target="https://nconnect.nicmar.ac.in/storage/profile/6a81b0326998b.png" TargetMode="External"/><Relationship Id="rId_hyperlink_2801" Type="http://schemas.openxmlformats.org/officeDocument/2006/relationships/hyperlink" Target="https://nconnect.nicmar.ac.in/storage/profile/6a85d61ce987a.png" TargetMode="External"/><Relationship Id="rId_hyperlink_2802" Type="http://schemas.openxmlformats.org/officeDocument/2006/relationships/hyperlink" Target="https://nconnect.nicmar.ac.in/storage/profile/6a853198b3e18.png" TargetMode="External"/><Relationship Id="rId_hyperlink_2803" Type="http://schemas.openxmlformats.org/officeDocument/2006/relationships/hyperlink" Target="https://nconnect.nicmar.ac.in/storage/profile/6a84a5b15cb88.png" TargetMode="External"/><Relationship Id="rId_hyperlink_2804" Type="http://schemas.openxmlformats.org/officeDocument/2006/relationships/hyperlink" Target="https://nconnect.nicmar.ac.in/storage/profile/6a85b667f3ae5.png" TargetMode="External"/><Relationship Id="rId_hyperlink_2805" Type="http://schemas.openxmlformats.org/officeDocument/2006/relationships/hyperlink" Target="https://nconnect.nicmar.ac.in/storage/profile/6a849e28bdf26.png" TargetMode="External"/><Relationship Id="rId_hyperlink_2806" Type="http://schemas.openxmlformats.org/officeDocument/2006/relationships/hyperlink" Target="https://nconnect.nicmar.ac.in/storage/profile/6a84adc7c021f.png" TargetMode="External"/><Relationship Id="rId_hyperlink_2807" Type="http://schemas.openxmlformats.org/officeDocument/2006/relationships/hyperlink" Target="https://nconnect.nicmar.ac.in/storage/profile/6a859902d946e.png" TargetMode="External"/><Relationship Id="rId_hyperlink_2808" Type="http://schemas.openxmlformats.org/officeDocument/2006/relationships/hyperlink" Target="https://nconnect.nicmar.ac.in/storage/profile/6a84afb84e108.png" TargetMode="External"/><Relationship Id="rId_hyperlink_2809" Type="http://schemas.openxmlformats.org/officeDocument/2006/relationships/hyperlink" Target="https://nconnect.nicmar.ac.in/storage/profile/6a8197bd811f0.png" TargetMode="External"/><Relationship Id="rId_hyperlink_2810" Type="http://schemas.openxmlformats.org/officeDocument/2006/relationships/hyperlink" Target="https://nconnect.nicmar.ac.in/storage/profile/6a85bc6eeba69.png" TargetMode="External"/><Relationship Id="rId_hyperlink_2811" Type="http://schemas.openxmlformats.org/officeDocument/2006/relationships/hyperlink" Target="https://nconnect.nicmar.ac.in/storage/profile/6a8438d68de33.png" TargetMode="External"/><Relationship Id="rId_hyperlink_2812" Type="http://schemas.openxmlformats.org/officeDocument/2006/relationships/hyperlink" Target="https://nconnect.nicmar.ac.in/storage/profile/6a880fce491d7.png" TargetMode="External"/><Relationship Id="rId_hyperlink_2813" Type="http://schemas.openxmlformats.org/officeDocument/2006/relationships/hyperlink" Target="https://nconnect.nicmar.ac.in/storage/profile/6a85e9d6d0271.png" TargetMode="External"/><Relationship Id="rId_hyperlink_2814" Type="http://schemas.openxmlformats.org/officeDocument/2006/relationships/hyperlink" Target="https://nconnect.nicmar.ac.in/storage/profile/6a84a90d25ca7.png" TargetMode="External"/><Relationship Id="rId_hyperlink_2815" Type="http://schemas.openxmlformats.org/officeDocument/2006/relationships/hyperlink" Target="https://nconnect.nicmar.ac.in/storage/profile/6a8e427e4d9ee.png" TargetMode="External"/><Relationship Id="rId_hyperlink_2816" Type="http://schemas.openxmlformats.org/officeDocument/2006/relationships/hyperlink" Target="https://nconnect.nicmar.ac.in/storage/profile/6a85fddd5ff00.png" TargetMode="External"/><Relationship Id="rId_hyperlink_2817" Type="http://schemas.openxmlformats.org/officeDocument/2006/relationships/hyperlink" Target="https://nconnect.nicmar.ac.in/storage/profile/6a849c1a03eae.png" TargetMode="External"/><Relationship Id="rId_hyperlink_2818" Type="http://schemas.openxmlformats.org/officeDocument/2006/relationships/hyperlink" Target="https://nconnect.nicmar.ac.in/storage/profile/6a809e489ed4b.png" TargetMode="External"/><Relationship Id="rId_hyperlink_2819" Type="http://schemas.openxmlformats.org/officeDocument/2006/relationships/hyperlink" Target="https://nconnect.nicmar.ac.in/storage/profile/6a8487d76ce54.png" TargetMode="External"/><Relationship Id="rId_hyperlink_2820" Type="http://schemas.openxmlformats.org/officeDocument/2006/relationships/hyperlink" Target="https://nconnect.nicmar.ac.in/storage/profile/6a861b10b4834.png" TargetMode="External"/><Relationship Id="rId_hyperlink_2821" Type="http://schemas.openxmlformats.org/officeDocument/2006/relationships/hyperlink" Target="https://nconnect.nicmar.ac.in/storage/profile/6a85c58619183.png" TargetMode="External"/><Relationship Id="rId_hyperlink_2822" Type="http://schemas.openxmlformats.org/officeDocument/2006/relationships/hyperlink" Target="https://nconnect.nicmar.ac.in/storage/profile/6a85e89319812.png" TargetMode="External"/><Relationship Id="rId_hyperlink_2823" Type="http://schemas.openxmlformats.org/officeDocument/2006/relationships/hyperlink" Target="https://nconnect.nicmar.ac.in/storage/profile/6a85d9ed63747.png" TargetMode="External"/><Relationship Id="rId_hyperlink_2824" Type="http://schemas.openxmlformats.org/officeDocument/2006/relationships/hyperlink" Target="https://nconnect.nicmar.ac.in/storage/profile/6a849ef182c01.png" TargetMode="External"/><Relationship Id="rId_hyperlink_2825" Type="http://schemas.openxmlformats.org/officeDocument/2006/relationships/hyperlink" Target="https://nconnect.nicmar.ac.in/storage/profile/6a85e4460accd.png" TargetMode="External"/><Relationship Id="rId_hyperlink_2826" Type="http://schemas.openxmlformats.org/officeDocument/2006/relationships/hyperlink" Target="https://nconnect.nicmar.ac.in/storage/profile/6a849eb9dede4.png" TargetMode="External"/><Relationship Id="rId_hyperlink_2827" Type="http://schemas.openxmlformats.org/officeDocument/2006/relationships/hyperlink" Target="https://nconnect.nicmar.ac.in/storage/profile/6a84aa19aface.png" TargetMode="External"/><Relationship Id="rId_hyperlink_2828" Type="http://schemas.openxmlformats.org/officeDocument/2006/relationships/hyperlink" Target="https://nconnect.nicmar.ac.in/storage/profile/6a8ebaa0b0d03.png" TargetMode="External"/><Relationship Id="rId_hyperlink_2829" Type="http://schemas.openxmlformats.org/officeDocument/2006/relationships/hyperlink" Target="https://nconnect.nicmar.ac.in/storage/profile/6a849c0e1b3ed.png" TargetMode="External"/><Relationship Id="rId_hyperlink_2830" Type="http://schemas.openxmlformats.org/officeDocument/2006/relationships/hyperlink" Target="https://nconnect.nicmar.ac.in/storage/profile/6a85d612a46d8.png" TargetMode="External"/><Relationship Id="rId_hyperlink_2831" Type="http://schemas.openxmlformats.org/officeDocument/2006/relationships/hyperlink" Target="https://nconnect.nicmar.ac.in/storage/profile/6a848cf9efa80.png" TargetMode="External"/><Relationship Id="rId_hyperlink_2832" Type="http://schemas.openxmlformats.org/officeDocument/2006/relationships/hyperlink" Target="https://nconnect.nicmar.ac.in/storage/profile/6a85c7e9908fa.png" TargetMode="External"/><Relationship Id="rId_hyperlink_2833" Type="http://schemas.openxmlformats.org/officeDocument/2006/relationships/hyperlink" Target="https://nconnect.nicmar.ac.in/storage/profile/6a84aab7e1e7d.png" TargetMode="External"/><Relationship Id="rId_hyperlink_2834" Type="http://schemas.openxmlformats.org/officeDocument/2006/relationships/hyperlink" Target="https://nconnect.nicmar.ac.in/storage/profile/6a85cfeba3017.png" TargetMode="External"/><Relationship Id="rId_hyperlink_2835" Type="http://schemas.openxmlformats.org/officeDocument/2006/relationships/hyperlink" Target="https://nconnect.nicmar.ac.in/storage/profile/6a85e26fe1c50.png" TargetMode="External"/><Relationship Id="rId_hyperlink_2836" Type="http://schemas.openxmlformats.org/officeDocument/2006/relationships/hyperlink" Target="https://nconnect.nicmar.ac.in/storage/profile/6a85c88123ee7.png" TargetMode="External"/><Relationship Id="rId_hyperlink_2837" Type="http://schemas.openxmlformats.org/officeDocument/2006/relationships/hyperlink" Target="https://nconnect.nicmar.ac.in/storage/profile/6a85c2ecb4fe6.png" TargetMode="External"/><Relationship Id="rId_hyperlink_2838" Type="http://schemas.openxmlformats.org/officeDocument/2006/relationships/hyperlink" Target="https://nconnect.nicmar.ac.in/storage/profile/6a85b20b83ffc.png" TargetMode="External"/><Relationship Id="rId_hyperlink_2839" Type="http://schemas.openxmlformats.org/officeDocument/2006/relationships/hyperlink" Target="https://nconnect.nicmar.ac.in/storage/profile/6a85bbd9eabf6.png" TargetMode="External"/><Relationship Id="rId_hyperlink_2840" Type="http://schemas.openxmlformats.org/officeDocument/2006/relationships/hyperlink" Target="https://nconnect.nicmar.ac.in/storage/profile/6a85bedda212a.png" TargetMode="External"/><Relationship Id="rId_hyperlink_2841" Type="http://schemas.openxmlformats.org/officeDocument/2006/relationships/hyperlink" Target="https://nconnect.nicmar.ac.in/storage/profile/6a85c15370902.png" TargetMode="External"/><Relationship Id="rId_hyperlink_2842" Type="http://schemas.openxmlformats.org/officeDocument/2006/relationships/hyperlink" Target="https://nconnect.nicmar.ac.in/storage/profile/6a8592c0977dc.png" TargetMode="External"/><Relationship Id="rId_hyperlink_2843" Type="http://schemas.openxmlformats.org/officeDocument/2006/relationships/hyperlink" Target="https://nconnect.nicmar.ac.in/storage/profile/6a85e2c26bc6e.png" TargetMode="External"/><Relationship Id="rId_hyperlink_2844" Type="http://schemas.openxmlformats.org/officeDocument/2006/relationships/hyperlink" Target="https://nconnect.nicmar.ac.in/storage/profile/6a85e68513569.png" TargetMode="External"/><Relationship Id="rId_hyperlink_2845" Type="http://schemas.openxmlformats.org/officeDocument/2006/relationships/hyperlink" Target="https://nconnect.nicmar.ac.in/storage/profile/6a85caf65f47a.png" TargetMode="External"/><Relationship Id="rId_hyperlink_2846" Type="http://schemas.openxmlformats.org/officeDocument/2006/relationships/hyperlink" Target="https://nconnect.nicmar.ac.in/storage/profile/6a84a0ed81715.png" TargetMode="External"/><Relationship Id="rId_hyperlink_2847" Type="http://schemas.openxmlformats.org/officeDocument/2006/relationships/hyperlink" Target="https://nconnect.nicmar.ac.in/storage/profile/6a870acc8249d.png" TargetMode="External"/><Relationship Id="rId_hyperlink_2848" Type="http://schemas.openxmlformats.org/officeDocument/2006/relationships/hyperlink" Target="https://nconnect.nicmar.ac.in/storage/profile/6a85efef70feb.png" TargetMode="External"/><Relationship Id="rId_hyperlink_2849" Type="http://schemas.openxmlformats.org/officeDocument/2006/relationships/hyperlink" Target="https://nconnect.nicmar.ac.in/storage/profile/6a860b0331c84.png" TargetMode="External"/><Relationship Id="rId_hyperlink_2850" Type="http://schemas.openxmlformats.org/officeDocument/2006/relationships/hyperlink" Target="https://nconnect.nicmar.ac.in/storage/profile/6a8543d453bb6.png" TargetMode="External"/><Relationship Id="rId_hyperlink_2851" Type="http://schemas.openxmlformats.org/officeDocument/2006/relationships/hyperlink" Target="https://nconnect.nicmar.ac.in/storage/profile/6a84b1755e985.png" TargetMode="External"/><Relationship Id="rId_hyperlink_2852" Type="http://schemas.openxmlformats.org/officeDocument/2006/relationships/hyperlink" Target="https://nconnect.nicmar.ac.in/storage/profile/6a8ebae352128.png" TargetMode="External"/><Relationship Id="rId_hyperlink_2853" Type="http://schemas.openxmlformats.org/officeDocument/2006/relationships/hyperlink" Target="https://nconnect.nicmar.ac.in/storage/profile/6a85a1c67c79c.png" TargetMode="External"/><Relationship Id="rId_hyperlink_2854" Type="http://schemas.openxmlformats.org/officeDocument/2006/relationships/hyperlink" Target="https://nconnect.nicmar.ac.in/storage/profile/6a859641b0d19.png" TargetMode="External"/><Relationship Id="rId_hyperlink_2855" Type="http://schemas.openxmlformats.org/officeDocument/2006/relationships/hyperlink" Target="https://nconnect.nicmar.ac.in/storage/profile/6a85ebef51309.png" TargetMode="External"/><Relationship Id="rId_hyperlink_2856" Type="http://schemas.openxmlformats.org/officeDocument/2006/relationships/hyperlink" Target="https://nconnect.nicmar.ac.in/storage/profile/6a85ddd5012dc.png" TargetMode="External"/><Relationship Id="rId_hyperlink_2857" Type="http://schemas.openxmlformats.org/officeDocument/2006/relationships/hyperlink" Target="https://nconnect.nicmar.ac.in/storage/profile/6a85ce34738d6.png" TargetMode="External"/><Relationship Id="rId_hyperlink_2858" Type="http://schemas.openxmlformats.org/officeDocument/2006/relationships/hyperlink" Target="https://nconnect.nicmar.ac.in/storage/profile/6a85c4230e9c8.png" TargetMode="External"/><Relationship Id="rId_hyperlink_2859" Type="http://schemas.openxmlformats.org/officeDocument/2006/relationships/hyperlink" Target="https://nconnect.nicmar.ac.in/storage/profile/6a828dece7997.png" TargetMode="External"/><Relationship Id="rId_hyperlink_2860" Type="http://schemas.openxmlformats.org/officeDocument/2006/relationships/hyperlink" Target="https://nconnect.nicmar.ac.in/storage/profile/6a84a0bb906d9.png" TargetMode="External"/><Relationship Id="rId_hyperlink_2861" Type="http://schemas.openxmlformats.org/officeDocument/2006/relationships/hyperlink" Target="https://nconnect.nicmar.ac.in/storage/profile/6a8600c4af0e6.png" TargetMode="External"/><Relationship Id="rId_hyperlink_2862" Type="http://schemas.openxmlformats.org/officeDocument/2006/relationships/hyperlink" Target="https://nconnect.nicmar.ac.in/storage/profile/6a85dfd191c65.png" TargetMode="External"/><Relationship Id="rId_hyperlink_2863" Type="http://schemas.openxmlformats.org/officeDocument/2006/relationships/hyperlink" Target="https://nconnect.nicmar.ac.in/storage/profile/6a85b9de27193.png" TargetMode="External"/><Relationship Id="rId_hyperlink_2864" Type="http://schemas.openxmlformats.org/officeDocument/2006/relationships/hyperlink" Target="https://nconnect.nicmar.ac.in/storage/profile/6a8731ef7f583.png" TargetMode="External"/><Relationship Id="rId_hyperlink_2865" Type="http://schemas.openxmlformats.org/officeDocument/2006/relationships/hyperlink" Target="https://nconnect.nicmar.ac.in/storage/profile/6a8586d76ba34.png" TargetMode="External"/><Relationship Id="rId_hyperlink_2866" Type="http://schemas.openxmlformats.org/officeDocument/2006/relationships/hyperlink" Target="https://nconnect.nicmar.ac.in/storage/profile/6a85ee7baf2d1.png" TargetMode="External"/><Relationship Id="rId_hyperlink_2867" Type="http://schemas.openxmlformats.org/officeDocument/2006/relationships/hyperlink" Target="https://nconnect.nicmar.ac.in/storage/profile/6a85a527100f7.png" TargetMode="External"/><Relationship Id="rId_hyperlink_2868" Type="http://schemas.openxmlformats.org/officeDocument/2006/relationships/hyperlink" Target="https://nconnect.nicmar.ac.in/storage/profile/6a85fedde635b.png" TargetMode="External"/><Relationship Id="rId_hyperlink_2869" Type="http://schemas.openxmlformats.org/officeDocument/2006/relationships/hyperlink" Target="https://nconnect.nicmar.ac.in/storage/profile/6a85e911e0891.png" TargetMode="External"/><Relationship Id="rId_hyperlink_2870" Type="http://schemas.openxmlformats.org/officeDocument/2006/relationships/hyperlink" Target="https://nconnect.nicmar.ac.in/storage/profile/6a8f4bd535848.png" TargetMode="External"/><Relationship Id="rId_hyperlink_2871" Type="http://schemas.openxmlformats.org/officeDocument/2006/relationships/hyperlink" Target="https://nconnect.nicmar.ac.in/storage/profile/6a81d1f94fc38.png" TargetMode="External"/><Relationship Id="rId_hyperlink_2872" Type="http://schemas.openxmlformats.org/officeDocument/2006/relationships/hyperlink" Target="https://nconnect.nicmar.ac.in/storage/profile/6a8165c5baed1.png" TargetMode="External"/><Relationship Id="rId_hyperlink_2873" Type="http://schemas.openxmlformats.org/officeDocument/2006/relationships/hyperlink" Target="https://nconnect.nicmar.ac.in/storage/profile/6a85e58991862.png" TargetMode="External"/><Relationship Id="rId_hyperlink_2874" Type="http://schemas.openxmlformats.org/officeDocument/2006/relationships/hyperlink" Target="https://nconnect.nicmar.ac.in/storage/profile/6a8b3b9066c5e.png" TargetMode="External"/><Relationship Id="rId_hyperlink_2875" Type="http://schemas.openxmlformats.org/officeDocument/2006/relationships/hyperlink" Target="https://nconnect.nicmar.ac.in/storage/profile/6a85ea9c257c3.png" TargetMode="External"/><Relationship Id="rId_hyperlink_2876" Type="http://schemas.openxmlformats.org/officeDocument/2006/relationships/hyperlink" Target="https://nconnect.nicmar.ac.in/storage/profile/6a84a83ac18b2.png" TargetMode="External"/><Relationship Id="rId_hyperlink_2877" Type="http://schemas.openxmlformats.org/officeDocument/2006/relationships/hyperlink" Target="https://nconnect.nicmar.ac.in/storage/profile/6a8724bf83785.png" TargetMode="External"/><Relationship Id="rId_hyperlink_2878" Type="http://schemas.openxmlformats.org/officeDocument/2006/relationships/hyperlink" Target="https://nconnect.nicmar.ac.in/storage/profile/6a8593fc67b97.png" TargetMode="External"/><Relationship Id="rId_hyperlink_2879" Type="http://schemas.openxmlformats.org/officeDocument/2006/relationships/hyperlink" Target="https://nconnect.nicmar.ac.in/storage/profile/6a85e1ec49114.png" TargetMode="External"/><Relationship Id="rId_hyperlink_2880" Type="http://schemas.openxmlformats.org/officeDocument/2006/relationships/hyperlink" Target="https://nconnect.nicmar.ac.in/storage/profile/6a85ddb71d581.png" TargetMode="External"/><Relationship Id="rId_hyperlink_2881" Type="http://schemas.openxmlformats.org/officeDocument/2006/relationships/hyperlink" Target="https://nconnect.nicmar.ac.in/storage/profile/6a85ed787bbfe.png" TargetMode="External"/><Relationship Id="rId_hyperlink_2882" Type="http://schemas.openxmlformats.org/officeDocument/2006/relationships/hyperlink" Target="https://nconnect.nicmar.ac.in/storage/profile/6a85b2fcb7d1a.png" TargetMode="External"/><Relationship Id="rId_hyperlink_2883" Type="http://schemas.openxmlformats.org/officeDocument/2006/relationships/hyperlink" Target="https://nconnect.nicmar.ac.in/storage/profile/6a85bab1b7585.png" TargetMode="External"/><Relationship Id="rId_hyperlink_2884" Type="http://schemas.openxmlformats.org/officeDocument/2006/relationships/hyperlink" Target="https://nconnect.nicmar.ac.in/storage/profile/6a85a4a7ce648.png" TargetMode="External"/><Relationship Id="rId_hyperlink_2885" Type="http://schemas.openxmlformats.org/officeDocument/2006/relationships/hyperlink" Target="https://nconnect.nicmar.ac.in/storage/profile/6a84b4a5d14f9.png" TargetMode="External"/><Relationship Id="rId_hyperlink_2886" Type="http://schemas.openxmlformats.org/officeDocument/2006/relationships/hyperlink" Target="https://nconnect.nicmar.ac.in/storage/profile/6a85ba1917f58.png" TargetMode="External"/><Relationship Id="rId_hyperlink_2887" Type="http://schemas.openxmlformats.org/officeDocument/2006/relationships/hyperlink" Target="https://nconnect.nicmar.ac.in/storage/profile/6a85171533d71.png" TargetMode="External"/><Relationship Id="rId_hyperlink_2888" Type="http://schemas.openxmlformats.org/officeDocument/2006/relationships/hyperlink" Target="https://nconnect.nicmar.ac.in/storage/profile/6a8599cb87c11.png" TargetMode="External"/><Relationship Id="rId_hyperlink_2889" Type="http://schemas.openxmlformats.org/officeDocument/2006/relationships/hyperlink" Target="https://nconnect.nicmar.ac.in/storage/profile/6a81ac63d3deb.png" TargetMode="External"/><Relationship Id="rId_hyperlink_2890" Type="http://schemas.openxmlformats.org/officeDocument/2006/relationships/hyperlink" Target="https://nconnect.nicmar.ac.in/storage/profile/6a85ef4cf1bbc.png" TargetMode="External"/><Relationship Id="rId_hyperlink_2891" Type="http://schemas.openxmlformats.org/officeDocument/2006/relationships/hyperlink" Target="https://nconnect.nicmar.ac.in/storage/profile/6a820945d9ae0.png" TargetMode="External"/><Relationship Id="rId_hyperlink_2892" Type="http://schemas.openxmlformats.org/officeDocument/2006/relationships/hyperlink" Target="https://nconnect.nicmar.ac.in/storage/profile/6a85beb6b3f8f.png" TargetMode="External"/><Relationship Id="rId_hyperlink_2893" Type="http://schemas.openxmlformats.org/officeDocument/2006/relationships/hyperlink" Target="https://nconnect.nicmar.ac.in/storage/profile/6a85e53444b77.png" TargetMode="External"/><Relationship Id="rId_hyperlink_2894" Type="http://schemas.openxmlformats.org/officeDocument/2006/relationships/hyperlink" Target="https://nconnect.nicmar.ac.in/storage/profile/6a85ea46521d3.png" TargetMode="External"/><Relationship Id="rId_hyperlink_2895" Type="http://schemas.openxmlformats.org/officeDocument/2006/relationships/hyperlink" Target="https://nconnect.nicmar.ac.in/storage/profile/6a85b180d0dec.png" TargetMode="External"/><Relationship Id="rId_hyperlink_2896" Type="http://schemas.openxmlformats.org/officeDocument/2006/relationships/hyperlink" Target="https://nconnect.nicmar.ac.in/storage/profile/6a84a321d08e2.png" TargetMode="External"/><Relationship Id="rId_hyperlink_2897" Type="http://schemas.openxmlformats.org/officeDocument/2006/relationships/hyperlink" Target="https://nconnect.nicmar.ac.in/storage/profile/6a85adcfbf935.png" TargetMode="External"/><Relationship Id="rId_hyperlink_2898" Type="http://schemas.openxmlformats.org/officeDocument/2006/relationships/hyperlink" Target="https://nconnect.nicmar.ac.in/storage/profile/6a85ba006b669.png" TargetMode="External"/><Relationship Id="rId_hyperlink_2899" Type="http://schemas.openxmlformats.org/officeDocument/2006/relationships/hyperlink" Target="https://nconnect.nicmar.ac.in/storage/profile/6a85dfed51fc7.png" TargetMode="External"/><Relationship Id="rId_hyperlink_2900" Type="http://schemas.openxmlformats.org/officeDocument/2006/relationships/hyperlink" Target="https://nconnect.nicmar.ac.in/storage/profile/6a85c0c9b615f.png" TargetMode="External"/><Relationship Id="rId_hyperlink_2901" Type="http://schemas.openxmlformats.org/officeDocument/2006/relationships/hyperlink" Target="https://nconnect.nicmar.ac.in/storage/profile/6a85e9ef123da.png" TargetMode="External"/><Relationship Id="rId_hyperlink_2902" Type="http://schemas.openxmlformats.org/officeDocument/2006/relationships/hyperlink" Target="https://nconnect.nicmar.ac.in/storage/profile/6a82f2770f547.png" TargetMode="External"/><Relationship Id="rId_hyperlink_2903" Type="http://schemas.openxmlformats.org/officeDocument/2006/relationships/hyperlink" Target="https://nconnect.nicmar.ac.in/storage/profile/6a818bda5d939.png" TargetMode="External"/><Relationship Id="rId_hyperlink_2904" Type="http://schemas.openxmlformats.org/officeDocument/2006/relationships/hyperlink" Target="https://nconnect.nicmar.ac.in/storage/profile/6a85f7cd644ec.png" TargetMode="External"/><Relationship Id="rId_hyperlink_2905" Type="http://schemas.openxmlformats.org/officeDocument/2006/relationships/hyperlink" Target="https://nconnect.nicmar.ac.in/storage/profile/6a859a3052fed.png" TargetMode="External"/><Relationship Id="rId_hyperlink_2906" Type="http://schemas.openxmlformats.org/officeDocument/2006/relationships/hyperlink" Target="https://nconnect.nicmar.ac.in/storage/profile/6a85ea2d964ac.png" TargetMode="External"/><Relationship Id="rId_hyperlink_2907" Type="http://schemas.openxmlformats.org/officeDocument/2006/relationships/hyperlink" Target="https://nconnect.nicmar.ac.in/storage/profile/6a845f216c481.png" TargetMode="External"/><Relationship Id="rId_hyperlink_2908" Type="http://schemas.openxmlformats.org/officeDocument/2006/relationships/hyperlink" Target="https://nconnect.nicmar.ac.in/storage/profile/6a85b8998b4b3.png" TargetMode="External"/><Relationship Id="rId_hyperlink_2909" Type="http://schemas.openxmlformats.org/officeDocument/2006/relationships/hyperlink" Target="https://nconnect.nicmar.ac.in/storage/profile/6a85edd49b0e5.png" TargetMode="External"/><Relationship Id="rId_hyperlink_2910" Type="http://schemas.openxmlformats.org/officeDocument/2006/relationships/hyperlink" Target="https://nconnect.nicmar.ac.in/storage/profile/6a85c9ca71522.png" TargetMode="External"/><Relationship Id="rId_hyperlink_2911" Type="http://schemas.openxmlformats.org/officeDocument/2006/relationships/hyperlink" Target="https://nconnect.nicmar.ac.in/storage/profile/6a85eff5200fa.png" TargetMode="External"/><Relationship Id="rId_hyperlink_2912" Type="http://schemas.openxmlformats.org/officeDocument/2006/relationships/hyperlink" Target="https://nconnect.nicmar.ac.in/storage/profile/6a85ea08ed70d.png" TargetMode="External"/><Relationship Id="rId_hyperlink_2913" Type="http://schemas.openxmlformats.org/officeDocument/2006/relationships/hyperlink" Target="https://nconnect.nicmar.ac.in/storage/profile/6a85e67c33fc0.png" TargetMode="External"/><Relationship Id="rId_hyperlink_2914" Type="http://schemas.openxmlformats.org/officeDocument/2006/relationships/hyperlink" Target="https://nconnect.nicmar.ac.in/storage/profile/6a85e4c0a7552.png" TargetMode="External"/><Relationship Id="rId_hyperlink_2915" Type="http://schemas.openxmlformats.org/officeDocument/2006/relationships/hyperlink" Target="https://nconnect.nicmar.ac.in/storage/profile/6a85f4f08aa9b.png" TargetMode="External"/><Relationship Id="rId_hyperlink_2916" Type="http://schemas.openxmlformats.org/officeDocument/2006/relationships/hyperlink" Target="https://nconnect.nicmar.ac.in/storage/profile/6a85d26c33eb8.png" TargetMode="External"/><Relationship Id="rId_hyperlink_2917" Type="http://schemas.openxmlformats.org/officeDocument/2006/relationships/hyperlink" Target="https://nconnect.nicmar.ac.in/storage/profile/6a90021912f1f.png" TargetMode="External"/><Relationship Id="rId_hyperlink_2918" Type="http://schemas.openxmlformats.org/officeDocument/2006/relationships/hyperlink" Target="https://nconnect.nicmar.ac.in/storage/profile/6a8fc721e6e96.png" TargetMode="External"/><Relationship Id="rId_hyperlink_2919" Type="http://schemas.openxmlformats.org/officeDocument/2006/relationships/hyperlink" Target="https://nconnect.nicmar.ac.in/storage/profile/6a87f6191a26b.png" TargetMode="External"/><Relationship Id="rId_hyperlink_2920" Type="http://schemas.openxmlformats.org/officeDocument/2006/relationships/hyperlink" Target="https://nconnect.nicmar.ac.in/storage/profile/6a8721adb8613.png" TargetMode="External"/><Relationship Id="rId_hyperlink_2921" Type="http://schemas.openxmlformats.org/officeDocument/2006/relationships/hyperlink" Target="https://nconnect.nicmar.ac.in/storage/profile/6a8370d313b43.png" TargetMode="External"/><Relationship Id="rId_hyperlink_2922" Type="http://schemas.openxmlformats.org/officeDocument/2006/relationships/hyperlink" Target="https://nconnect.nicmar.ac.in/storage/profile/6a870c710365d.png" TargetMode="External"/><Relationship Id="rId_hyperlink_2923" Type="http://schemas.openxmlformats.org/officeDocument/2006/relationships/hyperlink" Target="https://nconnect.nicmar.ac.in/storage/profile/6a8742935adef.png" TargetMode="External"/><Relationship Id="rId_hyperlink_2924" Type="http://schemas.openxmlformats.org/officeDocument/2006/relationships/hyperlink" Target="https://nconnect.nicmar.ac.in/storage/profile/6a8ca28192913.png" TargetMode="External"/><Relationship Id="rId_hyperlink_2925" Type="http://schemas.openxmlformats.org/officeDocument/2006/relationships/hyperlink" Target="https://nconnect.nicmar.ac.in/storage/profile/6a870e41cfc2c.png" TargetMode="External"/><Relationship Id="rId_hyperlink_2926" Type="http://schemas.openxmlformats.org/officeDocument/2006/relationships/hyperlink" Target="https://nconnect.nicmar.ac.in/storage/profile/6a8fe5262ef3d.png" TargetMode="External"/><Relationship Id="rId_hyperlink_2927" Type="http://schemas.openxmlformats.org/officeDocument/2006/relationships/hyperlink" Target="https://nconnect.nicmar.ac.in/storage/profile/ProfilePhoto_P2201004_421385.jpg" TargetMode="External"/><Relationship Id="rId_hyperlink_2928" Type="http://schemas.openxmlformats.org/officeDocument/2006/relationships/hyperlink" Target="https://nconnect.nicmar.ac.in/storage/profile/ProfilePhoto_P2367001 _846157.jpg" TargetMode="External"/><Relationship Id="rId_hyperlink_2929" Type="http://schemas.openxmlformats.org/officeDocument/2006/relationships/hyperlink" Target="https://nconnect.nicmar.ac.in/storage/profile/ProfilePhoto_P2367002_857926.jpg" TargetMode="External"/><Relationship Id="rId_hyperlink_2930" Type="http://schemas.openxmlformats.org/officeDocument/2006/relationships/hyperlink" Target="https://nconnect.nicmar.ac.in/storage/profile/ProfilePhoto_P2367003_964215.jpg" TargetMode="External"/><Relationship Id="rId_hyperlink_2931" Type="http://schemas.openxmlformats.org/officeDocument/2006/relationships/hyperlink" Target="https://nconnect.nicmar.ac.in/storage/profile/ProfilePhoto_P2367004_457236.jpg" TargetMode="External"/><Relationship Id="rId_hyperlink_2932" Type="http://schemas.openxmlformats.org/officeDocument/2006/relationships/hyperlink" Target="https://nconnect.nicmar.ac.in/storage/profile/ProfilePhoto_P2367005_736251.jpg" TargetMode="External"/><Relationship Id="rId_hyperlink_2933" Type="http://schemas.openxmlformats.org/officeDocument/2006/relationships/hyperlink" Target="https://nconnect.nicmar.ac.in/storage/profile/ProfilePhoto_P2367007_263857.jpg" TargetMode="External"/><Relationship Id="rId_hyperlink_2934" Type="http://schemas.openxmlformats.org/officeDocument/2006/relationships/hyperlink" Target="https://nconnect.nicmar.ac.in/storage/profile/ProfilePhoto_P2367008 _287956.jpg" TargetMode="External"/><Relationship Id="rId_hyperlink_2935" Type="http://schemas.openxmlformats.org/officeDocument/2006/relationships/hyperlink" Target="https://nconnect.nicmar.ac.in/storage/profile/ProfilePhoto_P2367009_529378.jpg" TargetMode="External"/><Relationship Id="rId_hyperlink_2936" Type="http://schemas.openxmlformats.org/officeDocument/2006/relationships/hyperlink" Target="https://nconnect.nicmar.ac.in/storage/profile/ProfilePhoto_P2367010_862957.jpg" TargetMode="External"/><Relationship Id="rId_hyperlink_2937" Type="http://schemas.openxmlformats.org/officeDocument/2006/relationships/hyperlink" Target="https://nconnect.nicmar.ac.in/storage/profile/ProfilePhoto_P2367011_378165.jpg" TargetMode="External"/><Relationship Id="rId_hyperlink_2938" Type="http://schemas.openxmlformats.org/officeDocument/2006/relationships/hyperlink" Target="https://nconnect.nicmar.ac.in/storage/profile/ProfilePhoto_P2367012 _417362.jpg" TargetMode="External"/><Relationship Id="rId_hyperlink_2939" Type="http://schemas.openxmlformats.org/officeDocument/2006/relationships/hyperlink" Target="https://nconnect.nicmar.ac.in/storage/profile/ProfilePhoto_P2367013_643791.jpg" TargetMode="External"/><Relationship Id="rId_hyperlink_2940" Type="http://schemas.openxmlformats.org/officeDocument/2006/relationships/hyperlink" Target="https://nconnect.nicmar.ac.in/storage/profile/ProfilePhoto_P2367014_958426.jpg" TargetMode="External"/><Relationship Id="rId_hyperlink_2941" Type="http://schemas.openxmlformats.org/officeDocument/2006/relationships/hyperlink" Target="https://nconnect.nicmar.ac.in/storage/profile/ProfilePhoto_P2367016 _639527.jpg" TargetMode="External"/><Relationship Id="rId_hyperlink_2942" Type="http://schemas.openxmlformats.org/officeDocument/2006/relationships/hyperlink" Target="https://nconnect.nicmar.ac.in/storage/profile/ProfilePhoto_P2367017_561432.jpg" TargetMode="External"/><Relationship Id="rId_hyperlink_2943" Type="http://schemas.openxmlformats.org/officeDocument/2006/relationships/hyperlink" Target="https://nconnect.nicmar.ac.in/storage/profile/ProfilePhoto_P2367018_789645.jpg" TargetMode="External"/><Relationship Id="rId_hyperlink_2944" Type="http://schemas.openxmlformats.org/officeDocument/2006/relationships/hyperlink" Target="https://nconnect.nicmar.ac.in/storage/profile/ProfilePhoto_P2367019_756943.jpg" TargetMode="External"/><Relationship Id="rId_hyperlink_2945" Type="http://schemas.openxmlformats.org/officeDocument/2006/relationships/hyperlink" Target="https://nconnect.nicmar.ac.in/storage/profile/ProfilePhoto_P2367020_634581.jpg" TargetMode="External"/><Relationship Id="rId_hyperlink_2946" Type="http://schemas.openxmlformats.org/officeDocument/2006/relationships/hyperlink" Target="https://nconnect.nicmar.ac.in/storage/profile/ProfilePhoto_P2367021_429761.jpg" TargetMode="External"/><Relationship Id="rId_hyperlink_2947" Type="http://schemas.openxmlformats.org/officeDocument/2006/relationships/hyperlink" Target="https://nconnect.nicmar.ac.in/storage/profile/ProfilePhoto_P2367022 _641289.jpg" TargetMode="External"/><Relationship Id="rId_hyperlink_2948" Type="http://schemas.openxmlformats.org/officeDocument/2006/relationships/hyperlink" Target="https://nconnect.nicmar.ac.in/storage/profile/ProfilePhoto_p2367023_564182.jpg" TargetMode="External"/><Relationship Id="rId_hyperlink_2949" Type="http://schemas.openxmlformats.org/officeDocument/2006/relationships/hyperlink" Target="https://nconnect.nicmar.ac.in/storage/profile/ProfilePhoto_P2367024 _423659.jpg" TargetMode="External"/><Relationship Id="rId_hyperlink_2950" Type="http://schemas.openxmlformats.org/officeDocument/2006/relationships/hyperlink" Target="https://nconnect.nicmar.ac.in/storage/profile/ProfilePhoto_P2367025_248913.jpg" TargetMode="External"/><Relationship Id="rId_hyperlink_2951" Type="http://schemas.openxmlformats.org/officeDocument/2006/relationships/hyperlink" Target="https://nconnect.nicmar.ac.in/storage/profile/ProfilePhoto_P2367028_915374.jpg" TargetMode="External"/><Relationship Id="rId_hyperlink_2952" Type="http://schemas.openxmlformats.org/officeDocument/2006/relationships/hyperlink" Target="https://nconnect.nicmar.ac.in/storage/profile/2021-2023_AB21001_418796.jpg" TargetMode="External"/><Relationship Id="rId_hyperlink_2953" Type="http://schemas.openxmlformats.org/officeDocument/2006/relationships/hyperlink" Target="https://nconnect.nicmar.ac.in/storage/profile/2021-2023_AB21002_954872.jpg" TargetMode="External"/><Relationship Id="rId_hyperlink_2954" Type="http://schemas.openxmlformats.org/officeDocument/2006/relationships/hyperlink" Target="https://nconnect.nicmar.ac.in/storage/profile/2021-2023_AB21003_953781.jpg" TargetMode="External"/><Relationship Id="rId_hyperlink_2955" Type="http://schemas.openxmlformats.org/officeDocument/2006/relationships/hyperlink" Target="https://nconnect.nicmar.ac.in/storage/profile/2021-2023_AB21004_148659.jpg" TargetMode="External"/><Relationship Id="rId_hyperlink_2956" Type="http://schemas.openxmlformats.org/officeDocument/2006/relationships/hyperlink" Target="https://nconnect.nicmar.ac.in/storage/profile/2021-2023_AB21005_284173.jpg" TargetMode="External"/><Relationship Id="rId_hyperlink_2957" Type="http://schemas.openxmlformats.org/officeDocument/2006/relationships/hyperlink" Target="https://nconnect.nicmar.ac.in/storage/profile/2021-2023_AB21008_246179.jpg" TargetMode="External"/><Relationship Id="rId_hyperlink_2958" Type="http://schemas.openxmlformats.org/officeDocument/2006/relationships/hyperlink" Target="https://nconnect.nicmar.ac.in/storage/profile/2021-2023_AB21009_946571.jpg" TargetMode="External"/><Relationship Id="rId_hyperlink_2959" Type="http://schemas.openxmlformats.org/officeDocument/2006/relationships/hyperlink" Target="https://nconnect.nicmar.ac.in/storage/profile/2021-2023_AB21010_974163.jpg" TargetMode="External"/><Relationship Id="rId_hyperlink_2960" Type="http://schemas.openxmlformats.org/officeDocument/2006/relationships/hyperlink" Target="https://nconnect.nicmar.ac.in/storage/profile/2021-2023_AB21011_914687.jpg" TargetMode="External"/><Relationship Id="rId_hyperlink_2961" Type="http://schemas.openxmlformats.org/officeDocument/2006/relationships/hyperlink" Target="https://nconnect.nicmar.ac.in/storage/profile/2021-2023_AB21016_574382.jpg" TargetMode="External"/><Relationship Id="rId_hyperlink_2962" Type="http://schemas.openxmlformats.org/officeDocument/2006/relationships/hyperlink" Target="https://nconnect.nicmar.ac.in/storage/profile/2021-2023_AB21017_369285.jpg" TargetMode="External"/><Relationship Id="rId_hyperlink_2963" Type="http://schemas.openxmlformats.org/officeDocument/2006/relationships/hyperlink" Target="https://nconnect.nicmar.ac.in/storage/profile/2021-2023_AB21019_875213.jpg" TargetMode="External"/><Relationship Id="rId_hyperlink_2964" Type="http://schemas.openxmlformats.org/officeDocument/2006/relationships/hyperlink" Target="https://nconnect.nicmar.ac.in/storage/profile/2021-2023_AB21020_852416.jpg" TargetMode="External"/><Relationship Id="rId_hyperlink_2965" Type="http://schemas.openxmlformats.org/officeDocument/2006/relationships/hyperlink" Target="https://nconnect.nicmar.ac.in/storage/profile/2021-2023_AB21022_394512.jpg" TargetMode="External"/><Relationship Id="rId_hyperlink_2966" Type="http://schemas.openxmlformats.org/officeDocument/2006/relationships/hyperlink" Target="https://nconnect.nicmar.ac.in/storage/profile/2021-2023_AB21023_576128.jpg" TargetMode="External"/><Relationship Id="rId_hyperlink_2967" Type="http://schemas.openxmlformats.org/officeDocument/2006/relationships/hyperlink" Target="https://nconnect.nicmar.ac.in/storage/profile/ProfilePhoto_AB21024_862714.jpg" TargetMode="External"/><Relationship Id="rId_hyperlink_2968" Type="http://schemas.openxmlformats.org/officeDocument/2006/relationships/hyperlink" Target="https://nconnect.nicmar.ac.in/storage/profile/2021-2023_AG21002_731586.jpg" TargetMode="External"/><Relationship Id="rId_hyperlink_2969" Type="http://schemas.openxmlformats.org/officeDocument/2006/relationships/hyperlink" Target="https://nconnect.nicmar.ac.in/storage/profile/2021-2023_AG21006_852179.jpg" TargetMode="External"/><Relationship Id="rId_hyperlink_2970" Type="http://schemas.openxmlformats.org/officeDocument/2006/relationships/hyperlink" Target="https://nconnect.nicmar.ac.in/storage/profile/2021-2023_AG21013_619857.jpg" TargetMode="External"/><Relationship Id="rId_hyperlink_2971" Type="http://schemas.openxmlformats.org/officeDocument/2006/relationships/hyperlink" Target="https://nconnect.nicmar.ac.in/storage/profile/2021-2023_AG21015_517943.jpg" TargetMode="External"/><Relationship Id="rId_hyperlink_2972" Type="http://schemas.openxmlformats.org/officeDocument/2006/relationships/hyperlink" Target="https://nconnect.nicmar.ac.in/storage/profile/2021-2023_AP21001_852136.jpg" TargetMode="External"/><Relationship Id="rId_hyperlink_2973" Type="http://schemas.openxmlformats.org/officeDocument/2006/relationships/hyperlink" Target="https://nconnect.nicmar.ac.in/storage/profile/2021-2023_AP21002_765438.jpg" TargetMode="External"/><Relationship Id="rId_hyperlink_2974" Type="http://schemas.openxmlformats.org/officeDocument/2006/relationships/hyperlink" Target="https://nconnect.nicmar.ac.in/storage/profile/2021-2023_AP21003_489157.jpg" TargetMode="External"/><Relationship Id="rId_hyperlink_2975" Type="http://schemas.openxmlformats.org/officeDocument/2006/relationships/hyperlink" Target="https://nconnect.nicmar.ac.in/storage/profile/2021-2023_AP21005_167328.jpg" TargetMode="External"/><Relationship Id="rId_hyperlink_2976" Type="http://schemas.openxmlformats.org/officeDocument/2006/relationships/hyperlink" Target="https://nconnect.nicmar.ac.in/storage/profile/2021-2023_AP21006_361285.jpg" TargetMode="External"/><Relationship Id="rId_hyperlink_2977" Type="http://schemas.openxmlformats.org/officeDocument/2006/relationships/hyperlink" Target="https://nconnect.nicmar.ac.in/storage/profile/2021-2023_AP21007_178423.jpg" TargetMode="External"/><Relationship Id="rId_hyperlink_2978" Type="http://schemas.openxmlformats.org/officeDocument/2006/relationships/hyperlink" Target="https://nconnect.nicmar.ac.in/storage/profile/2021-2023_AP21008_879624.jpg" TargetMode="External"/><Relationship Id="rId_hyperlink_2979" Type="http://schemas.openxmlformats.org/officeDocument/2006/relationships/hyperlink" Target="https://nconnect.nicmar.ac.in/storage/profile/2021-2023_AP21009_963415.jpg" TargetMode="External"/><Relationship Id="rId_hyperlink_2980" Type="http://schemas.openxmlformats.org/officeDocument/2006/relationships/hyperlink" Target="https://nconnect.nicmar.ac.in/storage/profile/2021-2023_AP21010_629173.jpg" TargetMode="External"/><Relationship Id="rId_hyperlink_2981" Type="http://schemas.openxmlformats.org/officeDocument/2006/relationships/hyperlink" Target="https://nconnect.nicmar.ac.in/storage/profile/2021-2023_AP21011_251649.jpeg" TargetMode="External"/><Relationship Id="rId_hyperlink_2982" Type="http://schemas.openxmlformats.org/officeDocument/2006/relationships/hyperlink" Target="https://nconnect.nicmar.ac.in/storage/profile/2021-2023_AP21012_796325.jpg" TargetMode="External"/><Relationship Id="rId_hyperlink_2983" Type="http://schemas.openxmlformats.org/officeDocument/2006/relationships/hyperlink" Target="https://nconnect.nicmar.ac.in/storage/profile/2021-2023_AP21013_723169.jpeg" TargetMode="External"/><Relationship Id="rId_hyperlink_2984" Type="http://schemas.openxmlformats.org/officeDocument/2006/relationships/hyperlink" Target="https://nconnect.nicmar.ac.in/storage/profile/2021-2023_AP21014_275813.jpg" TargetMode="External"/><Relationship Id="rId_hyperlink_2985" Type="http://schemas.openxmlformats.org/officeDocument/2006/relationships/hyperlink" Target="https://nconnect.nicmar.ac.in/storage/profile/2021-2023_AP21016_856243.jpg" TargetMode="External"/><Relationship Id="rId_hyperlink_2986" Type="http://schemas.openxmlformats.org/officeDocument/2006/relationships/hyperlink" Target="https://nconnect.nicmar.ac.in/storage/profile/2021-2023_AP21018_956473.jpg" TargetMode="External"/><Relationship Id="rId_hyperlink_2987" Type="http://schemas.openxmlformats.org/officeDocument/2006/relationships/hyperlink" Target="https://nconnect.nicmar.ac.in/storage/profile/2021-2023_AP21019_196248.jpg" TargetMode="External"/><Relationship Id="rId_hyperlink_2988" Type="http://schemas.openxmlformats.org/officeDocument/2006/relationships/hyperlink" Target="https://nconnect.nicmar.ac.in/storage/profile/2021-2023_AP21020_796324.jpg" TargetMode="External"/><Relationship Id="rId_hyperlink_2989" Type="http://schemas.openxmlformats.org/officeDocument/2006/relationships/hyperlink" Target="https://nconnect.nicmar.ac.in/storage/profile/2021-2023_AP21021_412698.jpeg" TargetMode="External"/><Relationship Id="rId_hyperlink_2990" Type="http://schemas.openxmlformats.org/officeDocument/2006/relationships/hyperlink" Target="https://nconnect.nicmar.ac.in/storage/profile/2021-2023_AP21022_715968.png" TargetMode="External"/><Relationship Id="rId_hyperlink_2991" Type="http://schemas.openxmlformats.org/officeDocument/2006/relationships/hyperlink" Target="https://nconnect.nicmar.ac.in/storage/profile/2021-2023_AP21023_586971.jpg" TargetMode="External"/><Relationship Id="rId_hyperlink_2992" Type="http://schemas.openxmlformats.org/officeDocument/2006/relationships/hyperlink" Target="https://nconnect.nicmar.ac.in/storage/profile/2021-2023_AP21024_257148.png" TargetMode="External"/><Relationship Id="rId_hyperlink_2993" Type="http://schemas.openxmlformats.org/officeDocument/2006/relationships/hyperlink" Target="https://nconnect.nicmar.ac.in/storage/profile/2021-2023_AP21025_824153.jpg" TargetMode="External"/><Relationship Id="rId_hyperlink_2994" Type="http://schemas.openxmlformats.org/officeDocument/2006/relationships/hyperlink" Target="https://nconnect.nicmar.ac.in/storage/profile/2021-2023_AP21026_861473.jpg" TargetMode="External"/><Relationship Id="rId_hyperlink_2995" Type="http://schemas.openxmlformats.org/officeDocument/2006/relationships/hyperlink" Target="https://nconnect.nicmar.ac.in/storage/profile/2021-2023_AP21027_437625.jpg" TargetMode="External"/><Relationship Id="rId_hyperlink_2996" Type="http://schemas.openxmlformats.org/officeDocument/2006/relationships/hyperlink" Target="https://nconnect.nicmar.ac.in/storage/profile/2021-2023_AP21028_231648.jpeg" TargetMode="External"/><Relationship Id="rId_hyperlink_2997" Type="http://schemas.openxmlformats.org/officeDocument/2006/relationships/hyperlink" Target="https://nconnect.nicmar.ac.in/storage/profile/2021-2023_AP21029_419756.jpg" TargetMode="External"/><Relationship Id="rId_hyperlink_2998" Type="http://schemas.openxmlformats.org/officeDocument/2006/relationships/hyperlink" Target="https://nconnect.nicmar.ac.in/storage/profile/2021-2023_AP21030_973526.jpg" TargetMode="External"/><Relationship Id="rId_hyperlink_2999" Type="http://schemas.openxmlformats.org/officeDocument/2006/relationships/hyperlink" Target="https://nconnect.nicmar.ac.in/storage/profile/2021-2023_AP21031_528931.jpg" TargetMode="External"/><Relationship Id="rId_hyperlink_3000" Type="http://schemas.openxmlformats.org/officeDocument/2006/relationships/hyperlink" Target="https://nconnect.nicmar.ac.in/storage/profile/2021-2023_AP21032_493287.jpg" TargetMode="External"/><Relationship Id="rId_hyperlink_3001" Type="http://schemas.openxmlformats.org/officeDocument/2006/relationships/hyperlink" Target="https://nconnect.nicmar.ac.in/storage/profile/2021-2023_AP21033_357148.jpg" TargetMode="External"/><Relationship Id="rId_hyperlink_3002" Type="http://schemas.openxmlformats.org/officeDocument/2006/relationships/hyperlink" Target="https://nconnect.nicmar.ac.in/storage/profile/2021-2023_AP21034_148296.jpg" TargetMode="External"/><Relationship Id="rId_hyperlink_3003" Type="http://schemas.openxmlformats.org/officeDocument/2006/relationships/hyperlink" Target="https://nconnect.nicmar.ac.in/storage/profile/2021-2023_AP21035_268179.jpg" TargetMode="External"/><Relationship Id="rId_hyperlink_3004" Type="http://schemas.openxmlformats.org/officeDocument/2006/relationships/hyperlink" Target="https://nconnect.nicmar.ac.in/storage/profile/2021-2023_AP21036_794268.jpg" TargetMode="External"/><Relationship Id="rId_hyperlink_3005" Type="http://schemas.openxmlformats.org/officeDocument/2006/relationships/hyperlink" Target="https://nconnect.nicmar.ac.in/storage/profile/2021-2023_AP21037_421385.jpg" TargetMode="External"/><Relationship Id="rId_hyperlink_3006" Type="http://schemas.openxmlformats.org/officeDocument/2006/relationships/hyperlink" Target="https://nconnect.nicmar.ac.in/storage/profile/2021-2023_AP21038_951462.jpg" TargetMode="External"/><Relationship Id="rId_hyperlink_3007" Type="http://schemas.openxmlformats.org/officeDocument/2006/relationships/hyperlink" Target="https://nconnect.nicmar.ac.in/storage/profile/2021-2023_AP21039_461792.jpg" TargetMode="External"/><Relationship Id="rId_hyperlink_3008" Type="http://schemas.openxmlformats.org/officeDocument/2006/relationships/hyperlink" Target="https://nconnect.nicmar.ac.in/storage/profile/2021-2023_AP21042_236154.jpg" TargetMode="External"/><Relationship Id="rId_hyperlink_3009" Type="http://schemas.openxmlformats.org/officeDocument/2006/relationships/hyperlink" Target="https://nconnect.nicmar.ac.in/storage/profile/2021-2023_AP21043_245671.jpeg" TargetMode="External"/><Relationship Id="rId_hyperlink_3010" Type="http://schemas.openxmlformats.org/officeDocument/2006/relationships/hyperlink" Target="https://nconnect.nicmar.ac.in/storage/profile/2021-2023_AP21044_453718.jpg" TargetMode="External"/><Relationship Id="rId_hyperlink_3011" Type="http://schemas.openxmlformats.org/officeDocument/2006/relationships/hyperlink" Target="https://nconnect.nicmar.ac.in/storage/profile/2021-2023_AP21045_135897.jpg" TargetMode="External"/><Relationship Id="rId_hyperlink_3012" Type="http://schemas.openxmlformats.org/officeDocument/2006/relationships/hyperlink" Target="https://nconnect.nicmar.ac.in/storage/profile/2021-2023_AP21046_863974.jpg" TargetMode="External"/><Relationship Id="rId_hyperlink_3013" Type="http://schemas.openxmlformats.org/officeDocument/2006/relationships/hyperlink" Target="https://nconnect.nicmar.ac.in/storage/profile/2021-2023_AP21047_756284.jpeg" TargetMode="External"/><Relationship Id="rId_hyperlink_3014" Type="http://schemas.openxmlformats.org/officeDocument/2006/relationships/hyperlink" Target="https://nconnect.nicmar.ac.in/storage/profile/2021-2023_AP21048_359126.jpg" TargetMode="External"/><Relationship Id="rId_hyperlink_3015" Type="http://schemas.openxmlformats.org/officeDocument/2006/relationships/hyperlink" Target="https://nconnect.nicmar.ac.in/storage/profile/2021-2023_AP21050_316745.jpg" TargetMode="External"/><Relationship Id="rId_hyperlink_3016" Type="http://schemas.openxmlformats.org/officeDocument/2006/relationships/hyperlink" Target="https://nconnect.nicmar.ac.in/storage/profile/2021-2023_AP21052_689143.jpg" TargetMode="External"/><Relationship Id="rId_hyperlink_3017" Type="http://schemas.openxmlformats.org/officeDocument/2006/relationships/hyperlink" Target="https://nconnect.nicmar.ac.in/storage/profile/2021-2023_AP21053_285713.jpg" TargetMode="External"/><Relationship Id="rId_hyperlink_3018" Type="http://schemas.openxmlformats.org/officeDocument/2006/relationships/hyperlink" Target="https://nconnect.nicmar.ac.in/storage/profile/2021-2023_AP21054_265174.jpeg" TargetMode="External"/><Relationship Id="rId_hyperlink_3019" Type="http://schemas.openxmlformats.org/officeDocument/2006/relationships/hyperlink" Target="https://nconnect.nicmar.ac.in/storage/profile/2021-2023_AP21055_748139.jpg" TargetMode="External"/><Relationship Id="rId_hyperlink_3020" Type="http://schemas.openxmlformats.org/officeDocument/2006/relationships/hyperlink" Target="https://nconnect.nicmar.ac.in/storage/profile/2021-2023_AP21056_917428.jpg" TargetMode="External"/><Relationship Id="rId_hyperlink_3021" Type="http://schemas.openxmlformats.org/officeDocument/2006/relationships/hyperlink" Target="https://nconnect.nicmar.ac.in/storage/profile/2021-2023_AP21057_984613.jpg" TargetMode="External"/><Relationship Id="rId_hyperlink_3022" Type="http://schemas.openxmlformats.org/officeDocument/2006/relationships/hyperlink" Target="https://nconnect.nicmar.ac.in/storage/profile/2021-2023_AP21058_386574.jpg" TargetMode="External"/><Relationship Id="rId_hyperlink_3023" Type="http://schemas.openxmlformats.org/officeDocument/2006/relationships/hyperlink" Target="https://nconnect.nicmar.ac.in/storage/profile/2021-2023_AP21059_132974.jpg" TargetMode="External"/><Relationship Id="rId_hyperlink_3024" Type="http://schemas.openxmlformats.org/officeDocument/2006/relationships/hyperlink" Target="https://nconnect.nicmar.ac.in/storage/profile/2021-2023_AP21060_764351.jpg" TargetMode="External"/><Relationship Id="rId_hyperlink_3025" Type="http://schemas.openxmlformats.org/officeDocument/2006/relationships/hyperlink" Target="https://nconnect.nicmar.ac.in/storage/profile/2021-2023_AP21061_971483.jpg" TargetMode="External"/><Relationship Id="rId_hyperlink_3026" Type="http://schemas.openxmlformats.org/officeDocument/2006/relationships/hyperlink" Target="https://nconnect.nicmar.ac.in/storage/profile/2021-2023_AP21062_695823.jpg" TargetMode="External"/><Relationship Id="rId_hyperlink_3027" Type="http://schemas.openxmlformats.org/officeDocument/2006/relationships/hyperlink" Target="https://nconnect.nicmar.ac.in/storage/profile/2021-2023_AP21063_716298.jpg" TargetMode="External"/><Relationship Id="rId_hyperlink_3028" Type="http://schemas.openxmlformats.org/officeDocument/2006/relationships/hyperlink" Target="https://nconnect.nicmar.ac.in/storage/profile/2021-2023_AP21064_549687.jpg" TargetMode="External"/><Relationship Id="rId_hyperlink_3029" Type="http://schemas.openxmlformats.org/officeDocument/2006/relationships/hyperlink" Target="https://nconnect.nicmar.ac.in/storage/profile/2021-2023_AP21065_369528.JPG" TargetMode="External"/><Relationship Id="rId_hyperlink_3030" Type="http://schemas.openxmlformats.org/officeDocument/2006/relationships/hyperlink" Target="https://nconnect.nicmar.ac.in/storage/profile/2021-2023_AP21066_573192.jpg" TargetMode="External"/><Relationship Id="rId_hyperlink_3031" Type="http://schemas.openxmlformats.org/officeDocument/2006/relationships/hyperlink" Target="https://nconnect.nicmar.ac.in/storage/profile/2021-2023_AP21067_629831.jpg" TargetMode="External"/><Relationship Id="rId_hyperlink_3032" Type="http://schemas.openxmlformats.org/officeDocument/2006/relationships/hyperlink" Target="https://nconnect.nicmar.ac.in/storage/profile/2021-2023_AP21068_967358.jpg" TargetMode="External"/><Relationship Id="rId_hyperlink_3033" Type="http://schemas.openxmlformats.org/officeDocument/2006/relationships/hyperlink" Target="https://nconnect.nicmar.ac.in/storage/profile/2021-2023_AP21069_471392.jpeg" TargetMode="External"/><Relationship Id="rId_hyperlink_3034" Type="http://schemas.openxmlformats.org/officeDocument/2006/relationships/hyperlink" Target="https://nconnect.nicmar.ac.in/storage/profile/2021-2023_AP21070_578614.jpg" TargetMode="External"/><Relationship Id="rId_hyperlink_3035" Type="http://schemas.openxmlformats.org/officeDocument/2006/relationships/hyperlink" Target="https://nconnect.nicmar.ac.in/storage/profile/2021-2023_AP21071_435798.jpg" TargetMode="External"/><Relationship Id="rId_hyperlink_3036" Type="http://schemas.openxmlformats.org/officeDocument/2006/relationships/hyperlink" Target="https://nconnect.nicmar.ac.in/storage/profile/2021-2023_AP21072_915846.JPG" TargetMode="External"/><Relationship Id="rId_hyperlink_3037" Type="http://schemas.openxmlformats.org/officeDocument/2006/relationships/hyperlink" Target="https://nconnect.nicmar.ac.in/storage/profile/2021-2023_AP21073_945273.jpg" TargetMode="External"/><Relationship Id="rId_hyperlink_3038" Type="http://schemas.openxmlformats.org/officeDocument/2006/relationships/hyperlink" Target="https://nconnect.nicmar.ac.in/storage/profile/ProfilePhoto_AP21074_472851.jpg" TargetMode="External"/><Relationship Id="rId_hyperlink_3039" Type="http://schemas.openxmlformats.org/officeDocument/2006/relationships/hyperlink" Target="https://nconnect.nicmar.ac.in/storage/profile/2021-2023_AP21075_978452.jpg" TargetMode="External"/><Relationship Id="rId_hyperlink_3040" Type="http://schemas.openxmlformats.org/officeDocument/2006/relationships/hyperlink" Target="https://nconnect.nicmar.ac.in/storage/profile/2021-2023_AP21076_317425.jpg" TargetMode="External"/><Relationship Id="rId_hyperlink_3041" Type="http://schemas.openxmlformats.org/officeDocument/2006/relationships/hyperlink" Target="https://nconnect.nicmar.ac.in/storage/profile/2021-2023_AP21077_481265.jpg" TargetMode="External"/><Relationship Id="rId_hyperlink_3042" Type="http://schemas.openxmlformats.org/officeDocument/2006/relationships/hyperlink" Target="https://nconnect.nicmar.ac.in/storage/profile/2021-2023_AP21078_286759.jpg" TargetMode="External"/><Relationship Id="rId_hyperlink_3043" Type="http://schemas.openxmlformats.org/officeDocument/2006/relationships/hyperlink" Target="https://nconnect.nicmar.ac.in/storage/profile/2021-2023_AP21079_694182.jpg" TargetMode="External"/><Relationship Id="rId_hyperlink_3044" Type="http://schemas.openxmlformats.org/officeDocument/2006/relationships/hyperlink" Target="https://nconnect.nicmar.ac.in/storage/profile/2021-2023_AP21080_735419.jpg" TargetMode="External"/><Relationship Id="rId_hyperlink_3045" Type="http://schemas.openxmlformats.org/officeDocument/2006/relationships/hyperlink" Target="https://nconnect.nicmar.ac.in/storage/profile/2021-2023_AP21081_683194.jpg" TargetMode="External"/><Relationship Id="rId_hyperlink_3046" Type="http://schemas.openxmlformats.org/officeDocument/2006/relationships/hyperlink" Target="https://nconnect.nicmar.ac.in/storage/profile/2021-2023_AP21082_269514.jpg" TargetMode="External"/><Relationship Id="rId_hyperlink_3047" Type="http://schemas.openxmlformats.org/officeDocument/2006/relationships/hyperlink" Target="https://nconnect.nicmar.ac.in/storage/profile/2021-2023_AP21083_914783.jpg" TargetMode="External"/><Relationship Id="rId_hyperlink_3048" Type="http://schemas.openxmlformats.org/officeDocument/2006/relationships/hyperlink" Target="https://nconnect.nicmar.ac.in/storage/profile/2021-2023_AP21084_573418.jpg" TargetMode="External"/><Relationship Id="rId_hyperlink_3049" Type="http://schemas.openxmlformats.org/officeDocument/2006/relationships/hyperlink" Target="https://nconnect.nicmar.ac.in/storage/profile/2021-2023_AP21085_142357.jpg" TargetMode="External"/><Relationship Id="rId_hyperlink_3050" Type="http://schemas.openxmlformats.org/officeDocument/2006/relationships/hyperlink" Target="https://nconnect.nicmar.ac.in/storage/profile/2021-2023_AP21086_346592.jpg" TargetMode="External"/><Relationship Id="rId_hyperlink_3051" Type="http://schemas.openxmlformats.org/officeDocument/2006/relationships/hyperlink" Target="https://nconnect.nicmar.ac.in/storage/profile/2021-2023_AP21087_734689.jpeg" TargetMode="External"/><Relationship Id="rId_hyperlink_3052" Type="http://schemas.openxmlformats.org/officeDocument/2006/relationships/hyperlink" Target="https://nconnect.nicmar.ac.in/storage/profile/2021-2023_AP21088_129573.jpg" TargetMode="External"/><Relationship Id="rId_hyperlink_3053" Type="http://schemas.openxmlformats.org/officeDocument/2006/relationships/hyperlink" Target="https://nconnect.nicmar.ac.in/storage/profile/2021-2023_AP21089_392578.jpeg" TargetMode="External"/><Relationship Id="rId_hyperlink_3054" Type="http://schemas.openxmlformats.org/officeDocument/2006/relationships/hyperlink" Target="https://nconnect.nicmar.ac.in/storage/profile/2021-2023_AP21090_591783.jpeg" TargetMode="External"/><Relationship Id="rId_hyperlink_3055" Type="http://schemas.openxmlformats.org/officeDocument/2006/relationships/hyperlink" Target="https://nconnect.nicmar.ac.in/storage/profile/2021-2023_AP21091_175342.png" TargetMode="External"/><Relationship Id="rId_hyperlink_3056" Type="http://schemas.openxmlformats.org/officeDocument/2006/relationships/hyperlink" Target="https://nconnect.nicmar.ac.in/storage/profile/2021-2023_AP21093_316754.jpg" TargetMode="External"/><Relationship Id="rId_hyperlink_3057" Type="http://schemas.openxmlformats.org/officeDocument/2006/relationships/hyperlink" Target="https://nconnect.nicmar.ac.in/storage/profile/2021-2023_AP21094_178456.png" TargetMode="External"/><Relationship Id="rId_hyperlink_3058" Type="http://schemas.openxmlformats.org/officeDocument/2006/relationships/hyperlink" Target="https://nconnect.nicmar.ac.in/storage/profile/2021-2023_AP21095_125794.jpg" TargetMode="External"/><Relationship Id="rId_hyperlink_3059" Type="http://schemas.openxmlformats.org/officeDocument/2006/relationships/hyperlink" Target="https://nconnect.nicmar.ac.in/storage/profile/2021-2023_AP21096_139648.jpeg" TargetMode="External"/><Relationship Id="rId_hyperlink_3060" Type="http://schemas.openxmlformats.org/officeDocument/2006/relationships/hyperlink" Target="https://nconnect.nicmar.ac.in/storage/profile/2021-2023_AP21098_356871.jpg" TargetMode="External"/><Relationship Id="rId_hyperlink_3061" Type="http://schemas.openxmlformats.org/officeDocument/2006/relationships/hyperlink" Target="https://nconnect.nicmar.ac.in/storage/profile/2021-2023_AP21099_835472.jpg" TargetMode="External"/><Relationship Id="rId_hyperlink_3062" Type="http://schemas.openxmlformats.org/officeDocument/2006/relationships/hyperlink" Target="https://nconnect.nicmar.ac.in/storage/profile/2021-2023_AP21100_437981.jpg" TargetMode="External"/><Relationship Id="rId_hyperlink_3063" Type="http://schemas.openxmlformats.org/officeDocument/2006/relationships/hyperlink" Target="https://nconnect.nicmar.ac.in/storage/profile/2021-2023_AP21102_692518.jpeg" TargetMode="External"/><Relationship Id="rId_hyperlink_3064" Type="http://schemas.openxmlformats.org/officeDocument/2006/relationships/hyperlink" Target="https://nconnect.nicmar.ac.in/storage/profile/2021-2023_AP21103_271543.JPG" TargetMode="External"/><Relationship Id="rId_hyperlink_3065" Type="http://schemas.openxmlformats.org/officeDocument/2006/relationships/hyperlink" Target="https://nconnect.nicmar.ac.in/storage/profile/2021-2023_AP21104_145867.jpg" TargetMode="External"/><Relationship Id="rId_hyperlink_3066" Type="http://schemas.openxmlformats.org/officeDocument/2006/relationships/hyperlink" Target="https://nconnect.nicmar.ac.in/storage/profile/2021-2023_AP21105_915437.png" TargetMode="External"/><Relationship Id="rId_hyperlink_3067" Type="http://schemas.openxmlformats.org/officeDocument/2006/relationships/hyperlink" Target="https://nconnect.nicmar.ac.in/storage/profile/2021-2023_AP21106_687459.jpg" TargetMode="External"/><Relationship Id="rId_hyperlink_3068" Type="http://schemas.openxmlformats.org/officeDocument/2006/relationships/hyperlink" Target="https://nconnect.nicmar.ac.in/storage/profile/2021-2023_AP21107_459812.jpg" TargetMode="External"/><Relationship Id="rId_hyperlink_3069" Type="http://schemas.openxmlformats.org/officeDocument/2006/relationships/hyperlink" Target="https://nconnect.nicmar.ac.in/storage/profile/2021-2023_AP21108_832765.jpg" TargetMode="External"/><Relationship Id="rId_hyperlink_3070" Type="http://schemas.openxmlformats.org/officeDocument/2006/relationships/hyperlink" Target="https://nconnect.nicmar.ac.in/storage/profile/2021-2023_AP21109_349286.jpg" TargetMode="External"/><Relationship Id="rId_hyperlink_3071" Type="http://schemas.openxmlformats.org/officeDocument/2006/relationships/hyperlink" Target="https://nconnect.nicmar.ac.in/storage/profile/2021-2023_AP21110_352764.jpg" TargetMode="External"/><Relationship Id="rId_hyperlink_3072" Type="http://schemas.openxmlformats.org/officeDocument/2006/relationships/hyperlink" Target="https://nconnect.nicmar.ac.in/storage/profile/2021-2023_AP21111_189376.jpg" TargetMode="External"/><Relationship Id="rId_hyperlink_3073" Type="http://schemas.openxmlformats.org/officeDocument/2006/relationships/hyperlink" Target="https://nconnect.nicmar.ac.in/storage/profile/2021-2023_AP21112_639872.jpg" TargetMode="External"/><Relationship Id="rId_hyperlink_3074" Type="http://schemas.openxmlformats.org/officeDocument/2006/relationships/hyperlink" Target="https://nconnect.nicmar.ac.in/storage/profile/2021-2023_AP21113_439718.JPG" TargetMode="External"/><Relationship Id="rId_hyperlink_3075" Type="http://schemas.openxmlformats.org/officeDocument/2006/relationships/hyperlink" Target="https://nconnect.nicmar.ac.in/storage/profile/2021-2023_AP21114_578923.jpg" TargetMode="External"/><Relationship Id="rId_hyperlink_3076" Type="http://schemas.openxmlformats.org/officeDocument/2006/relationships/hyperlink" Target="https://nconnect.nicmar.ac.in/storage/profile/2021-2023_AP21115_395126.jpg" TargetMode="External"/><Relationship Id="rId_hyperlink_3077" Type="http://schemas.openxmlformats.org/officeDocument/2006/relationships/hyperlink" Target="https://nconnect.nicmar.ac.in/storage/profile/2021-2023_AP21116_876924.jpg" TargetMode="External"/><Relationship Id="rId_hyperlink_3078" Type="http://schemas.openxmlformats.org/officeDocument/2006/relationships/hyperlink" Target="https://nconnect.nicmar.ac.in/storage/profile/2021-2023_AP21117_172395.jpg" TargetMode="External"/><Relationship Id="rId_hyperlink_3079" Type="http://schemas.openxmlformats.org/officeDocument/2006/relationships/hyperlink" Target="https://nconnect.nicmar.ac.in/storage/profile/2021-2023_AP21118_935281.jpg" TargetMode="External"/><Relationship Id="rId_hyperlink_3080" Type="http://schemas.openxmlformats.org/officeDocument/2006/relationships/hyperlink" Target="https://nconnect.nicmar.ac.in/storage/profile/2021-2023_AP21119_327864.jpg" TargetMode="External"/><Relationship Id="rId_hyperlink_3081" Type="http://schemas.openxmlformats.org/officeDocument/2006/relationships/hyperlink" Target="https://nconnect.nicmar.ac.in/storage/profile/2021-2023_AP21120_239167.jpg" TargetMode="External"/><Relationship Id="rId_hyperlink_3082" Type="http://schemas.openxmlformats.org/officeDocument/2006/relationships/hyperlink" Target="https://nconnect.nicmar.ac.in/storage/profile/2021-2023_AP21121_572641.jpeg" TargetMode="External"/><Relationship Id="rId_hyperlink_3083" Type="http://schemas.openxmlformats.org/officeDocument/2006/relationships/hyperlink" Target="https://nconnect.nicmar.ac.in/storage/profile/2021-2023_AP21123_734562.jpg" TargetMode="External"/><Relationship Id="rId_hyperlink_3084" Type="http://schemas.openxmlformats.org/officeDocument/2006/relationships/hyperlink" Target="https://nconnect.nicmar.ac.in/storage/profile/2021-2023_AP21124_569248.jpg" TargetMode="External"/><Relationship Id="rId_hyperlink_3085" Type="http://schemas.openxmlformats.org/officeDocument/2006/relationships/hyperlink" Target="https://nconnect.nicmar.ac.in/storage/profile/2021-2023_AP21125_184932.jpeg" TargetMode="External"/><Relationship Id="rId_hyperlink_3086" Type="http://schemas.openxmlformats.org/officeDocument/2006/relationships/hyperlink" Target="https://nconnect.nicmar.ac.in/storage/profile/2021-2023_AP21126_415728.jpg" TargetMode="External"/><Relationship Id="rId_hyperlink_3087" Type="http://schemas.openxmlformats.org/officeDocument/2006/relationships/hyperlink" Target="https://nconnect.nicmar.ac.in/storage/profile/2021-2023_AP21127_253798.jpg" TargetMode="External"/><Relationship Id="rId_hyperlink_3088" Type="http://schemas.openxmlformats.org/officeDocument/2006/relationships/hyperlink" Target="https://nconnect.nicmar.ac.in/storage/profile/2021-2023_AP21128_681295.jpg" TargetMode="External"/><Relationship Id="rId_hyperlink_3089" Type="http://schemas.openxmlformats.org/officeDocument/2006/relationships/hyperlink" Target="https://nconnect.nicmar.ac.in/storage/profile/2021-2023_AP21130_597613.jpg" TargetMode="External"/><Relationship Id="rId_hyperlink_3090" Type="http://schemas.openxmlformats.org/officeDocument/2006/relationships/hyperlink" Target="https://nconnect.nicmar.ac.in/storage/profile/2021-2023_AP21131_941362.jpg" TargetMode="External"/><Relationship Id="rId_hyperlink_3091" Type="http://schemas.openxmlformats.org/officeDocument/2006/relationships/hyperlink" Target="https://nconnect.nicmar.ac.in/storage/profile/2021-2023_AP21132_941762.jpg" TargetMode="External"/><Relationship Id="rId_hyperlink_3092" Type="http://schemas.openxmlformats.org/officeDocument/2006/relationships/hyperlink" Target="https://nconnect.nicmar.ac.in/storage/profile/2021-2023_AP21133_134278.jpg" TargetMode="External"/><Relationship Id="rId_hyperlink_3093" Type="http://schemas.openxmlformats.org/officeDocument/2006/relationships/hyperlink" Target="https://nconnect.nicmar.ac.in/storage/profile/2021-2023_AP21134_264139.jpg" TargetMode="External"/><Relationship Id="rId_hyperlink_3094" Type="http://schemas.openxmlformats.org/officeDocument/2006/relationships/hyperlink" Target="https://nconnect.nicmar.ac.in/storage/profile/2021-2023_AP21135_214735.jpg" TargetMode="External"/><Relationship Id="rId_hyperlink_3095" Type="http://schemas.openxmlformats.org/officeDocument/2006/relationships/hyperlink" Target="https://nconnect.nicmar.ac.in/storage/profile/2021-2023_AP21136_927436.png" TargetMode="External"/><Relationship Id="rId_hyperlink_3096" Type="http://schemas.openxmlformats.org/officeDocument/2006/relationships/hyperlink" Target="https://nconnect.nicmar.ac.in/storage/profile/2021-2023_AP21137_548167.jpg" TargetMode="External"/><Relationship Id="rId_hyperlink_3097" Type="http://schemas.openxmlformats.org/officeDocument/2006/relationships/hyperlink" Target="https://nconnect.nicmar.ac.in/storage/profile/2021-2023_AP21138_527961.png" TargetMode="External"/><Relationship Id="rId_hyperlink_3098" Type="http://schemas.openxmlformats.org/officeDocument/2006/relationships/hyperlink" Target="https://nconnect.nicmar.ac.in/storage/profile/2021-2023_AP21139_419572.jpg" TargetMode="External"/><Relationship Id="rId_hyperlink_3099" Type="http://schemas.openxmlformats.org/officeDocument/2006/relationships/hyperlink" Target="https://nconnect.nicmar.ac.in/storage/profile/2021-2023_AP21140_539784.jpg" TargetMode="External"/><Relationship Id="rId_hyperlink_3100" Type="http://schemas.openxmlformats.org/officeDocument/2006/relationships/hyperlink" Target="https://nconnect.nicmar.ac.in/storage/profile/2021-2023_AP21141_932485.jpg" TargetMode="External"/><Relationship Id="rId_hyperlink_3101" Type="http://schemas.openxmlformats.org/officeDocument/2006/relationships/hyperlink" Target="https://nconnect.nicmar.ac.in/storage/profile/2021-2023_AP21142_591783.jpg" TargetMode="External"/><Relationship Id="rId_hyperlink_3102" Type="http://schemas.openxmlformats.org/officeDocument/2006/relationships/hyperlink" Target="https://nconnect.nicmar.ac.in/storage/profile/2021-2023_AP21144_192637.jpg" TargetMode="External"/><Relationship Id="rId_hyperlink_3103" Type="http://schemas.openxmlformats.org/officeDocument/2006/relationships/hyperlink" Target="https://nconnect.nicmar.ac.in/storage/profile/2021-2023_AP21145_356217.jpg" TargetMode="External"/><Relationship Id="rId_hyperlink_3104" Type="http://schemas.openxmlformats.org/officeDocument/2006/relationships/hyperlink" Target="https://nconnect.nicmar.ac.in/storage/profile/2021-2023_AP21146_917524.jpg" TargetMode="External"/><Relationship Id="rId_hyperlink_3105" Type="http://schemas.openxmlformats.org/officeDocument/2006/relationships/hyperlink" Target="https://nconnect.nicmar.ac.in/storage/profile/2021-2023_AP21148_157493.jpg" TargetMode="External"/><Relationship Id="rId_hyperlink_3106" Type="http://schemas.openxmlformats.org/officeDocument/2006/relationships/hyperlink" Target="https://nconnect.nicmar.ac.in/storage/profile/2021-2023_AP21150_219678.jpg" TargetMode="External"/><Relationship Id="rId_hyperlink_3107" Type="http://schemas.openxmlformats.org/officeDocument/2006/relationships/hyperlink" Target="https://nconnect.nicmar.ac.in/storage/profile/2021-2023_AP21151_473695.jpg" TargetMode="External"/><Relationship Id="rId_hyperlink_3108" Type="http://schemas.openxmlformats.org/officeDocument/2006/relationships/hyperlink" Target="https://nconnect.nicmar.ac.in/storage/profile/2021-2023_AP21152_615937.jpg" TargetMode="External"/><Relationship Id="rId_hyperlink_3109" Type="http://schemas.openxmlformats.org/officeDocument/2006/relationships/hyperlink" Target="https://nconnect.nicmar.ac.in/storage/profile/2021-2023_AP21153_754962.jpeg" TargetMode="External"/><Relationship Id="rId_hyperlink_3110" Type="http://schemas.openxmlformats.org/officeDocument/2006/relationships/hyperlink" Target="https://nconnect.nicmar.ac.in/storage/profile/2021-2023_AP21154_462987.jpg" TargetMode="External"/><Relationship Id="rId_hyperlink_3111" Type="http://schemas.openxmlformats.org/officeDocument/2006/relationships/hyperlink" Target="https://nconnect.nicmar.ac.in/storage/profile/2021-2023_AP21155_496527.jpg" TargetMode="External"/><Relationship Id="rId_hyperlink_3112" Type="http://schemas.openxmlformats.org/officeDocument/2006/relationships/hyperlink" Target="https://nconnect.nicmar.ac.in/storage/profile/2021-2023_AP21156_453682.jpg" TargetMode="External"/><Relationship Id="rId_hyperlink_3113" Type="http://schemas.openxmlformats.org/officeDocument/2006/relationships/hyperlink" Target="https://nconnect.nicmar.ac.in/storage/profile/2021-2023_AP21157_381956.jpg" TargetMode="External"/><Relationship Id="rId_hyperlink_3114" Type="http://schemas.openxmlformats.org/officeDocument/2006/relationships/hyperlink" Target="https://nconnect.nicmar.ac.in/storage/profile/2021-2023_AP21158_567943.jpg" TargetMode="External"/><Relationship Id="rId_hyperlink_3115" Type="http://schemas.openxmlformats.org/officeDocument/2006/relationships/hyperlink" Target="https://nconnect.nicmar.ac.in/storage/profile/2021-2023_AP21159_514629.jpg" TargetMode="External"/><Relationship Id="rId_hyperlink_3116" Type="http://schemas.openxmlformats.org/officeDocument/2006/relationships/hyperlink" Target="https://nconnect.nicmar.ac.in/storage/profile/2021-2023_AP21160_247813.jpg" TargetMode="External"/><Relationship Id="rId_hyperlink_3117" Type="http://schemas.openxmlformats.org/officeDocument/2006/relationships/hyperlink" Target="https://nconnect.nicmar.ac.in/storage/profile/2021-2023_AP21161_532869.jpg" TargetMode="External"/><Relationship Id="rId_hyperlink_3118" Type="http://schemas.openxmlformats.org/officeDocument/2006/relationships/hyperlink" Target="https://nconnect.nicmar.ac.in/storage/profile/2021-2023_AP21162_491275.jpg" TargetMode="External"/><Relationship Id="rId_hyperlink_3119" Type="http://schemas.openxmlformats.org/officeDocument/2006/relationships/hyperlink" Target="https://nconnect.nicmar.ac.in/storage/profile/2021-2023_AP21163_342618.jpg" TargetMode="External"/><Relationship Id="rId_hyperlink_3120" Type="http://schemas.openxmlformats.org/officeDocument/2006/relationships/hyperlink" Target="https://nconnect.nicmar.ac.in/storage/profile/2021-2023_AP21164_642859.JPG" TargetMode="External"/><Relationship Id="rId_hyperlink_3121" Type="http://schemas.openxmlformats.org/officeDocument/2006/relationships/hyperlink" Target="https://nconnect.nicmar.ac.in/storage/profile/2021-2023_AP21165_218645.jpg" TargetMode="External"/><Relationship Id="rId_hyperlink_3122" Type="http://schemas.openxmlformats.org/officeDocument/2006/relationships/hyperlink" Target="https://nconnect.nicmar.ac.in/storage/profile/2021-2023_AP21166_851694.JPG" TargetMode="External"/><Relationship Id="rId_hyperlink_3123" Type="http://schemas.openxmlformats.org/officeDocument/2006/relationships/hyperlink" Target="https://nconnect.nicmar.ac.in/storage/profile/2021-2023_AP21168_943128.jpg" TargetMode="External"/><Relationship Id="rId_hyperlink_3124" Type="http://schemas.openxmlformats.org/officeDocument/2006/relationships/hyperlink" Target="https://nconnect.nicmar.ac.in/storage/profile/2021-2023_AP21169_287345.jpg" TargetMode="External"/><Relationship Id="rId_hyperlink_3125" Type="http://schemas.openxmlformats.org/officeDocument/2006/relationships/hyperlink" Target="https://nconnect.nicmar.ac.in/storage/profile/2021-2023_AP21170_243657.jpg" TargetMode="External"/><Relationship Id="rId_hyperlink_3126" Type="http://schemas.openxmlformats.org/officeDocument/2006/relationships/hyperlink" Target="https://nconnect.nicmar.ac.in/storage/profile/2021-2023_AP21171_521894.jpg" TargetMode="External"/><Relationship Id="rId_hyperlink_3127" Type="http://schemas.openxmlformats.org/officeDocument/2006/relationships/hyperlink" Target="https://nconnect.nicmar.ac.in/storage/profile/2021-2023_AP21172_678391.jpg" TargetMode="External"/><Relationship Id="rId_hyperlink_3128" Type="http://schemas.openxmlformats.org/officeDocument/2006/relationships/hyperlink" Target="https://nconnect.nicmar.ac.in/storage/profile/2021-2023_AP21173_561879.JPG" TargetMode="External"/><Relationship Id="rId_hyperlink_3129" Type="http://schemas.openxmlformats.org/officeDocument/2006/relationships/hyperlink" Target="https://nconnect.nicmar.ac.in/storage/profile/2021-2023_AP21174_263475.jpg" TargetMode="External"/><Relationship Id="rId_hyperlink_3130" Type="http://schemas.openxmlformats.org/officeDocument/2006/relationships/hyperlink" Target="https://nconnect.nicmar.ac.in/storage/profile/2021-2023_AP21175_467531.jpg" TargetMode="External"/><Relationship Id="rId_hyperlink_3131" Type="http://schemas.openxmlformats.org/officeDocument/2006/relationships/hyperlink" Target="https://nconnect.nicmar.ac.in/storage/profile/2021-2023_AP21176_972183.JPG" TargetMode="External"/><Relationship Id="rId_hyperlink_3132" Type="http://schemas.openxmlformats.org/officeDocument/2006/relationships/hyperlink" Target="https://nconnect.nicmar.ac.in/storage/profile/2021-2023_AP21177_912836.jpg" TargetMode="External"/><Relationship Id="rId_hyperlink_3133" Type="http://schemas.openxmlformats.org/officeDocument/2006/relationships/hyperlink" Target="https://nconnect.nicmar.ac.in/storage/profile/2021-2023_AP21178_869541.jpg" TargetMode="External"/><Relationship Id="rId_hyperlink_3134" Type="http://schemas.openxmlformats.org/officeDocument/2006/relationships/hyperlink" Target="https://nconnect.nicmar.ac.in/storage/profile/2021-2023_AP21179_495837.jpeg" TargetMode="External"/><Relationship Id="rId_hyperlink_3135" Type="http://schemas.openxmlformats.org/officeDocument/2006/relationships/hyperlink" Target="https://nconnect.nicmar.ac.in/storage/profile/2021-2023_AP21180_925871.jpg" TargetMode="External"/><Relationship Id="rId_hyperlink_3136" Type="http://schemas.openxmlformats.org/officeDocument/2006/relationships/hyperlink" Target="https://nconnect.nicmar.ac.in/storage/profile/2021-2023_AP21182_592613.jpg" TargetMode="External"/><Relationship Id="rId_hyperlink_3137" Type="http://schemas.openxmlformats.org/officeDocument/2006/relationships/hyperlink" Target="https://nconnect.nicmar.ac.in/storage/profile/2021-2023_AP21183_342569.jpg" TargetMode="External"/><Relationship Id="rId_hyperlink_3138" Type="http://schemas.openxmlformats.org/officeDocument/2006/relationships/hyperlink" Target="https://nconnect.nicmar.ac.in/storage/profile/2021-2023_AP21184_437695.jpg" TargetMode="External"/><Relationship Id="rId_hyperlink_3139" Type="http://schemas.openxmlformats.org/officeDocument/2006/relationships/hyperlink" Target="https://nconnect.nicmar.ac.in/storage/profile/2021-2023_AP21186_632985.jpg" TargetMode="External"/><Relationship Id="rId_hyperlink_3140" Type="http://schemas.openxmlformats.org/officeDocument/2006/relationships/hyperlink" Target="https://nconnect.nicmar.ac.in/storage/profile/2021-2023_AP21187_527619.jpg" TargetMode="External"/><Relationship Id="rId_hyperlink_3141" Type="http://schemas.openxmlformats.org/officeDocument/2006/relationships/hyperlink" Target="https://nconnect.nicmar.ac.in/storage/profile/2021-2023_AP21188_247856.jpg" TargetMode="External"/><Relationship Id="rId_hyperlink_3142" Type="http://schemas.openxmlformats.org/officeDocument/2006/relationships/hyperlink" Target="https://nconnect.nicmar.ac.in/storage/profile/2021-2023_AP21189_791634.jpg" TargetMode="External"/><Relationship Id="rId_hyperlink_3143" Type="http://schemas.openxmlformats.org/officeDocument/2006/relationships/hyperlink" Target="https://nconnect.nicmar.ac.in/storage/profile/2021-2023_AP21190_275839.jpg" TargetMode="External"/><Relationship Id="rId_hyperlink_3144" Type="http://schemas.openxmlformats.org/officeDocument/2006/relationships/hyperlink" Target="https://nconnect.nicmar.ac.in/storage/profile/ProfilePhoto_AP21191_612357.jpg" TargetMode="External"/><Relationship Id="rId_hyperlink_3145" Type="http://schemas.openxmlformats.org/officeDocument/2006/relationships/hyperlink" Target="https://nconnect.nicmar.ac.in/storage/profile/2021-2023_AP21192_186795.jpg" TargetMode="External"/><Relationship Id="rId_hyperlink_3146" Type="http://schemas.openxmlformats.org/officeDocument/2006/relationships/hyperlink" Target="https://nconnect.nicmar.ac.in/storage/profile/2021-2023_AP21193_198357.jpg" TargetMode="External"/><Relationship Id="rId_hyperlink_3147" Type="http://schemas.openxmlformats.org/officeDocument/2006/relationships/hyperlink" Target="https://nconnect.nicmar.ac.in/storage/profile/2021-2023_AP21194_458731.jpg" TargetMode="External"/><Relationship Id="rId_hyperlink_3148" Type="http://schemas.openxmlformats.org/officeDocument/2006/relationships/hyperlink" Target="https://nconnect.nicmar.ac.in/storage/profile/2021-2023_AP21195_851632.jpg" TargetMode="External"/><Relationship Id="rId_hyperlink_3149" Type="http://schemas.openxmlformats.org/officeDocument/2006/relationships/hyperlink" Target="https://nconnect.nicmar.ac.in/storage/profile/2021-2023_AP21196_654789.png" TargetMode="External"/><Relationship Id="rId_hyperlink_3150" Type="http://schemas.openxmlformats.org/officeDocument/2006/relationships/hyperlink" Target="https://nconnect.nicmar.ac.in/storage/profile/2021-2023_AP21197_348752.jpg" TargetMode="External"/><Relationship Id="rId_hyperlink_3151" Type="http://schemas.openxmlformats.org/officeDocument/2006/relationships/hyperlink" Target="https://nconnect.nicmar.ac.in/storage/profile/2021-2023_AP21198_594816.jpg" TargetMode="External"/><Relationship Id="rId_hyperlink_3152" Type="http://schemas.openxmlformats.org/officeDocument/2006/relationships/hyperlink" Target="https://nconnect.nicmar.ac.in/storage/profile/2021-2023_AP21199_394675.jpg" TargetMode="External"/><Relationship Id="rId_hyperlink_3153" Type="http://schemas.openxmlformats.org/officeDocument/2006/relationships/hyperlink" Target="https://nconnect.nicmar.ac.in/storage/profile/2021-2023_AP21200_296453.jpg" TargetMode="External"/><Relationship Id="rId_hyperlink_3154" Type="http://schemas.openxmlformats.org/officeDocument/2006/relationships/hyperlink" Target="https://nconnect.nicmar.ac.in/storage/profile/2021-2023_AP21201_496513.jpg" TargetMode="External"/><Relationship Id="rId_hyperlink_3155" Type="http://schemas.openxmlformats.org/officeDocument/2006/relationships/hyperlink" Target="https://nconnect.nicmar.ac.in/storage/profile/2021-2023_AP21202_391427.jpg" TargetMode="External"/><Relationship Id="rId_hyperlink_3156" Type="http://schemas.openxmlformats.org/officeDocument/2006/relationships/hyperlink" Target="https://nconnect.nicmar.ac.in/storage/profile/2021-2023_AP21203_285473.jpg" TargetMode="External"/><Relationship Id="rId_hyperlink_3157" Type="http://schemas.openxmlformats.org/officeDocument/2006/relationships/hyperlink" Target="https://nconnect.nicmar.ac.in/storage/profile/2021-2023_AP21204_329476.jpg" TargetMode="External"/><Relationship Id="rId_hyperlink_3158" Type="http://schemas.openxmlformats.org/officeDocument/2006/relationships/hyperlink" Target="https://nconnect.nicmar.ac.in/storage/profile/2021-2023_AP21205_879514.jpg" TargetMode="External"/><Relationship Id="rId_hyperlink_3159" Type="http://schemas.openxmlformats.org/officeDocument/2006/relationships/hyperlink" Target="https://nconnect.nicmar.ac.in/storage/profile/2021-2023_AP21206_439278.jpg" TargetMode="External"/><Relationship Id="rId_hyperlink_3160" Type="http://schemas.openxmlformats.org/officeDocument/2006/relationships/hyperlink" Target="https://nconnect.nicmar.ac.in/storage/profile/2021-2023_AP21207_513276.jpg" TargetMode="External"/><Relationship Id="rId_hyperlink_3161" Type="http://schemas.openxmlformats.org/officeDocument/2006/relationships/hyperlink" Target="https://nconnect.nicmar.ac.in/storage/profile/2021-2023_AP21208_653719.jpg" TargetMode="External"/><Relationship Id="rId_hyperlink_3162" Type="http://schemas.openxmlformats.org/officeDocument/2006/relationships/hyperlink" Target="https://nconnect.nicmar.ac.in/storage/profile/2021-2023_AP21209_127394.jpg" TargetMode="External"/><Relationship Id="rId_hyperlink_3163" Type="http://schemas.openxmlformats.org/officeDocument/2006/relationships/hyperlink" Target="https://nconnect.nicmar.ac.in/storage/profile/2021-2023_AP21210_137548.jpg" TargetMode="External"/><Relationship Id="rId_hyperlink_3164" Type="http://schemas.openxmlformats.org/officeDocument/2006/relationships/hyperlink" Target="https://nconnect.nicmar.ac.in/storage/profile/2021-2023_AP21211_627143.JPG" TargetMode="External"/><Relationship Id="rId_hyperlink_3165" Type="http://schemas.openxmlformats.org/officeDocument/2006/relationships/hyperlink" Target="https://nconnect.nicmar.ac.in/storage/profile/2021-2023_AP21212_465319.jpg" TargetMode="External"/><Relationship Id="rId_hyperlink_3166" Type="http://schemas.openxmlformats.org/officeDocument/2006/relationships/hyperlink" Target="https://nconnect.nicmar.ac.in/storage/profile/2021-2023_AP21213_456871.jpg" TargetMode="External"/><Relationship Id="rId_hyperlink_3167" Type="http://schemas.openxmlformats.org/officeDocument/2006/relationships/hyperlink" Target="https://nconnect.nicmar.ac.in/storage/profile/2021-2023_AP21214_147258.jpg" TargetMode="External"/><Relationship Id="rId_hyperlink_3168" Type="http://schemas.openxmlformats.org/officeDocument/2006/relationships/hyperlink" Target="https://nconnect.nicmar.ac.in/storage/profile/2021-2023_AP21215_462391.jpeg" TargetMode="External"/><Relationship Id="rId_hyperlink_3169" Type="http://schemas.openxmlformats.org/officeDocument/2006/relationships/hyperlink" Target="https://nconnect.nicmar.ac.in/storage/profile/ProfilePhoto_AP21216_537142.jpg" TargetMode="External"/><Relationship Id="rId_hyperlink_3170" Type="http://schemas.openxmlformats.org/officeDocument/2006/relationships/hyperlink" Target="https://nconnect.nicmar.ac.in/storage/profile/2021-2023_AP21217_914237.jpg" TargetMode="External"/><Relationship Id="rId_hyperlink_3171" Type="http://schemas.openxmlformats.org/officeDocument/2006/relationships/hyperlink" Target="https://nconnect.nicmar.ac.in/storage/profile/2021-2023_AP21218_562348.jpeg" TargetMode="External"/><Relationship Id="rId_hyperlink_3172" Type="http://schemas.openxmlformats.org/officeDocument/2006/relationships/hyperlink" Target="https://nconnect.nicmar.ac.in/storage/profile/2021-2023_AP21219_295783.jpg" TargetMode="External"/><Relationship Id="rId_hyperlink_3173" Type="http://schemas.openxmlformats.org/officeDocument/2006/relationships/hyperlink" Target="https://nconnect.nicmar.ac.in/storage/profile/2021-2023_AP21220_134976.jpg" TargetMode="External"/><Relationship Id="rId_hyperlink_3174" Type="http://schemas.openxmlformats.org/officeDocument/2006/relationships/hyperlink" Target="https://nconnect.nicmar.ac.in/storage/profile/2021-2023_AP21221_567324.jpg" TargetMode="External"/><Relationship Id="rId_hyperlink_3175" Type="http://schemas.openxmlformats.org/officeDocument/2006/relationships/hyperlink" Target="https://nconnect.nicmar.ac.in/storage/profile/2021-2023_AP21222_857694.jpg" TargetMode="External"/><Relationship Id="rId_hyperlink_3176" Type="http://schemas.openxmlformats.org/officeDocument/2006/relationships/hyperlink" Target="https://nconnect.nicmar.ac.in/storage/profile/2021-2023_AP21223_681945.jpg" TargetMode="External"/><Relationship Id="rId_hyperlink_3177" Type="http://schemas.openxmlformats.org/officeDocument/2006/relationships/hyperlink" Target="https://nconnect.nicmar.ac.in/storage/profile/2021-2023_AP21224_756248.jpg" TargetMode="External"/><Relationship Id="rId_hyperlink_3178" Type="http://schemas.openxmlformats.org/officeDocument/2006/relationships/hyperlink" Target="https://nconnect.nicmar.ac.in/storage/profile/2021-2023_AP21241_359146.jpg" TargetMode="External"/><Relationship Id="rId_hyperlink_3179" Type="http://schemas.openxmlformats.org/officeDocument/2006/relationships/hyperlink" Target="https://nconnect.nicmar.ac.in/storage/profile/2021-2023_AP21340_326459.jpeg" TargetMode="External"/><Relationship Id="rId_hyperlink_3180" Type="http://schemas.openxmlformats.org/officeDocument/2006/relationships/hyperlink" Target="https://nconnect.nicmar.ac.in/storage/profile/2021-2023_AP21346_516489.jpg" TargetMode="External"/><Relationship Id="rId_hyperlink_3181" Type="http://schemas.openxmlformats.org/officeDocument/2006/relationships/hyperlink" Target="https://nconnect.nicmar.ac.in/storage/profile/2021-2023_AP21350_658792.jpg" TargetMode="External"/><Relationship Id="rId_hyperlink_3182" Type="http://schemas.openxmlformats.org/officeDocument/2006/relationships/hyperlink" Target="https://nconnect.nicmar.ac.in/storage/profile/2021-2023_AP21385_382971.jpg" TargetMode="External"/><Relationship Id="rId_hyperlink_3183" Type="http://schemas.openxmlformats.org/officeDocument/2006/relationships/hyperlink" Target="https://nconnect.nicmar.ac.in/storage/profile/2021-2023_AP21230_427891.jpg" TargetMode="External"/><Relationship Id="rId_hyperlink_3184" Type="http://schemas.openxmlformats.org/officeDocument/2006/relationships/hyperlink" Target="https://nconnect.nicmar.ac.in/storage/profile/2021-2023_AP21507_963451.jpg" TargetMode="External"/><Relationship Id="rId_hyperlink_3185" Type="http://schemas.openxmlformats.org/officeDocument/2006/relationships/hyperlink" Target="https://nconnect.nicmar.ac.in/storage/profile/2021-2023_AP21232_137295.jpg" TargetMode="External"/><Relationship Id="rId_hyperlink_3186" Type="http://schemas.openxmlformats.org/officeDocument/2006/relationships/hyperlink" Target="https://nconnect.nicmar.ac.in/storage/profile/2021-2023_AP21233_784623.jpg" TargetMode="External"/><Relationship Id="rId_hyperlink_3187" Type="http://schemas.openxmlformats.org/officeDocument/2006/relationships/hyperlink" Target="https://nconnect.nicmar.ac.in/storage/profile/2021-2023_AP21234_379216.jpg" TargetMode="External"/><Relationship Id="rId_hyperlink_3188" Type="http://schemas.openxmlformats.org/officeDocument/2006/relationships/hyperlink" Target="https://nconnect.nicmar.ac.in/storage/profile/2021-2023_AP21235_561749.JPG" TargetMode="External"/><Relationship Id="rId_hyperlink_3189" Type="http://schemas.openxmlformats.org/officeDocument/2006/relationships/hyperlink" Target="https://nconnect.nicmar.ac.in/storage/profile/2021-2023_AP21236_578326.jpg" TargetMode="External"/><Relationship Id="rId_hyperlink_3190" Type="http://schemas.openxmlformats.org/officeDocument/2006/relationships/hyperlink" Target="https://nconnect.nicmar.ac.in/storage/profile/2021-2023_AP21237_931427.png" TargetMode="External"/><Relationship Id="rId_hyperlink_3191" Type="http://schemas.openxmlformats.org/officeDocument/2006/relationships/hyperlink" Target="https://nconnect.nicmar.ac.in/storage/profile/2021-2023_AP21238_125738.jpg" TargetMode="External"/><Relationship Id="rId_hyperlink_3192" Type="http://schemas.openxmlformats.org/officeDocument/2006/relationships/hyperlink" Target="https://nconnect.nicmar.ac.in/storage/profile/2021-2023_AP21239_192584.jpg" TargetMode="External"/><Relationship Id="rId_hyperlink_3193" Type="http://schemas.openxmlformats.org/officeDocument/2006/relationships/hyperlink" Target="https://nconnect.nicmar.ac.in/storage/profile/2021-2023_AP21242_654183.jpg" TargetMode="External"/><Relationship Id="rId_hyperlink_3194" Type="http://schemas.openxmlformats.org/officeDocument/2006/relationships/hyperlink" Target="https://nconnect.nicmar.ac.in/storage/profile/2021-2023_AP21243_251637.jpg" TargetMode="External"/><Relationship Id="rId_hyperlink_3195" Type="http://schemas.openxmlformats.org/officeDocument/2006/relationships/hyperlink" Target="https://nconnect.nicmar.ac.in/storage/profile/2021-2023_AP21244_851936.jpg" TargetMode="External"/><Relationship Id="rId_hyperlink_3196" Type="http://schemas.openxmlformats.org/officeDocument/2006/relationships/hyperlink" Target="https://nconnect.nicmar.ac.in/storage/profile/2021-2023_AP21245_198654.jpeg" TargetMode="External"/><Relationship Id="rId_hyperlink_3197" Type="http://schemas.openxmlformats.org/officeDocument/2006/relationships/hyperlink" Target="https://nconnect.nicmar.ac.in/storage/profile/2021-2023_AP21246_576432.JPG" TargetMode="External"/><Relationship Id="rId_hyperlink_3198" Type="http://schemas.openxmlformats.org/officeDocument/2006/relationships/hyperlink" Target="https://nconnect.nicmar.ac.in/storage/profile/2021-2023_AP21247_739246.jpg" TargetMode="External"/><Relationship Id="rId_hyperlink_3199" Type="http://schemas.openxmlformats.org/officeDocument/2006/relationships/hyperlink" Target="https://nconnect.nicmar.ac.in/storage/profile/2021-2023_AP21248_781359.jpg" TargetMode="External"/><Relationship Id="rId_hyperlink_3200" Type="http://schemas.openxmlformats.org/officeDocument/2006/relationships/hyperlink" Target="https://nconnect.nicmar.ac.in/storage/profile/2021-2023_AP21249_684127.jpeg" TargetMode="External"/><Relationship Id="rId_hyperlink_3201" Type="http://schemas.openxmlformats.org/officeDocument/2006/relationships/hyperlink" Target="https://nconnect.nicmar.ac.in/storage/profile/2021-2023_AP21250_614785.jpg" TargetMode="External"/><Relationship Id="rId_hyperlink_3202" Type="http://schemas.openxmlformats.org/officeDocument/2006/relationships/hyperlink" Target="https://nconnect.nicmar.ac.in/storage/profile/2021-2023_AP21251_546891.jpg" TargetMode="External"/><Relationship Id="rId_hyperlink_3203" Type="http://schemas.openxmlformats.org/officeDocument/2006/relationships/hyperlink" Target="https://nconnect.nicmar.ac.in/storage/profile/2021-2023_AP21252_457916.jpg" TargetMode="External"/><Relationship Id="rId_hyperlink_3204" Type="http://schemas.openxmlformats.org/officeDocument/2006/relationships/hyperlink" Target="https://nconnect.nicmar.ac.in/storage/profile/2021-2023_AP21253_278145.jpg" TargetMode="External"/><Relationship Id="rId_hyperlink_3205" Type="http://schemas.openxmlformats.org/officeDocument/2006/relationships/hyperlink" Target="https://nconnect.nicmar.ac.in/storage/profile/2021-2023_AP21254_561932.jpg" TargetMode="External"/><Relationship Id="rId_hyperlink_3206" Type="http://schemas.openxmlformats.org/officeDocument/2006/relationships/hyperlink" Target="https://nconnect.nicmar.ac.in/storage/profile/2021-2023_AP21255_264837.jpg" TargetMode="External"/><Relationship Id="rId_hyperlink_3207" Type="http://schemas.openxmlformats.org/officeDocument/2006/relationships/hyperlink" Target="https://nconnect.nicmar.ac.in/storage/profile/2021-2023_AP21256_254136.jpg" TargetMode="External"/><Relationship Id="rId_hyperlink_3208" Type="http://schemas.openxmlformats.org/officeDocument/2006/relationships/hyperlink" Target="https://nconnect.nicmar.ac.in/storage/profile/2021-2023_AP21257_639157.jpg" TargetMode="External"/><Relationship Id="rId_hyperlink_3209" Type="http://schemas.openxmlformats.org/officeDocument/2006/relationships/hyperlink" Target="https://nconnect.nicmar.ac.in/storage/profile/2021-2023_AP21258_893761.jpg" TargetMode="External"/><Relationship Id="rId_hyperlink_3210" Type="http://schemas.openxmlformats.org/officeDocument/2006/relationships/hyperlink" Target="https://nconnect.nicmar.ac.in/storage/profile/2021-2023_AP21259_816352.jpg" TargetMode="External"/><Relationship Id="rId_hyperlink_3211" Type="http://schemas.openxmlformats.org/officeDocument/2006/relationships/hyperlink" Target="https://nconnect.nicmar.ac.in/storage/profile/2021-2023_AP21260_976842.jpg" TargetMode="External"/><Relationship Id="rId_hyperlink_3212" Type="http://schemas.openxmlformats.org/officeDocument/2006/relationships/hyperlink" Target="https://nconnect.nicmar.ac.in/storage/profile/2021-2023_AP21261_396241.jpg" TargetMode="External"/><Relationship Id="rId_hyperlink_3213" Type="http://schemas.openxmlformats.org/officeDocument/2006/relationships/hyperlink" Target="https://nconnect.nicmar.ac.in/storage/profile/2021-2023_AP21262_146537.jpg" TargetMode="External"/><Relationship Id="rId_hyperlink_3214" Type="http://schemas.openxmlformats.org/officeDocument/2006/relationships/hyperlink" Target="https://nconnect.nicmar.ac.in/storage/profile/2021-2023_AP21263_579614.JPG" TargetMode="External"/><Relationship Id="rId_hyperlink_3215" Type="http://schemas.openxmlformats.org/officeDocument/2006/relationships/hyperlink" Target="https://nconnect.nicmar.ac.in/storage/profile/2021-2023_AP21264_725689.jpg" TargetMode="External"/><Relationship Id="rId_hyperlink_3216" Type="http://schemas.openxmlformats.org/officeDocument/2006/relationships/hyperlink" Target="https://nconnect.nicmar.ac.in/storage/profile/2021-2023_AP21265_743985.jpg" TargetMode="External"/><Relationship Id="rId_hyperlink_3217" Type="http://schemas.openxmlformats.org/officeDocument/2006/relationships/hyperlink" Target="https://nconnect.nicmar.ac.in/storage/profile/2021-2023_AP21266_269785.jpg" TargetMode="External"/><Relationship Id="rId_hyperlink_3218" Type="http://schemas.openxmlformats.org/officeDocument/2006/relationships/hyperlink" Target="https://nconnect.nicmar.ac.in/storage/profile/2021-2023_AP21267_481592.jpg" TargetMode="External"/><Relationship Id="rId_hyperlink_3219" Type="http://schemas.openxmlformats.org/officeDocument/2006/relationships/hyperlink" Target="https://nconnect.nicmar.ac.in/storage/profile/ProfilePhoto_AP21268_538421.jpg" TargetMode="External"/><Relationship Id="rId_hyperlink_3220" Type="http://schemas.openxmlformats.org/officeDocument/2006/relationships/hyperlink" Target="https://nconnect.nicmar.ac.in/storage/profile/2021-2023_AP21269_846135.jpg" TargetMode="External"/><Relationship Id="rId_hyperlink_3221" Type="http://schemas.openxmlformats.org/officeDocument/2006/relationships/hyperlink" Target="https://nconnect.nicmar.ac.in/storage/profile/2021-2023_AP21270_396278.jpg" TargetMode="External"/><Relationship Id="rId_hyperlink_3222" Type="http://schemas.openxmlformats.org/officeDocument/2006/relationships/hyperlink" Target="https://nconnect.nicmar.ac.in/storage/profile/2021-2023_AP21271_475826.jpg" TargetMode="External"/><Relationship Id="rId_hyperlink_3223" Type="http://schemas.openxmlformats.org/officeDocument/2006/relationships/hyperlink" Target="https://nconnect.nicmar.ac.in/storage/profile/2021-2023_AP21272_521689.jpg" TargetMode="External"/><Relationship Id="rId_hyperlink_3224" Type="http://schemas.openxmlformats.org/officeDocument/2006/relationships/hyperlink" Target="https://nconnect.nicmar.ac.in/storage/profile/2021-2023_AP21273_278519.jpg" TargetMode="External"/><Relationship Id="rId_hyperlink_3225" Type="http://schemas.openxmlformats.org/officeDocument/2006/relationships/hyperlink" Target="https://nconnect.nicmar.ac.in/storage/profile/2021-2023_AP21274_281493.JPG" TargetMode="External"/><Relationship Id="rId_hyperlink_3226" Type="http://schemas.openxmlformats.org/officeDocument/2006/relationships/hyperlink" Target="https://nconnect.nicmar.ac.in/storage/profile/2021-2023_AP21275_158749.jpg" TargetMode="External"/><Relationship Id="rId_hyperlink_3227" Type="http://schemas.openxmlformats.org/officeDocument/2006/relationships/hyperlink" Target="https://nconnect.nicmar.ac.in/storage/profile/2021-2023_AP21276_179428.jpeg" TargetMode="External"/><Relationship Id="rId_hyperlink_3228" Type="http://schemas.openxmlformats.org/officeDocument/2006/relationships/hyperlink" Target="https://nconnect.nicmar.ac.in/storage/profile/2021-2023_AP21277_913467.jpg" TargetMode="External"/><Relationship Id="rId_hyperlink_3229" Type="http://schemas.openxmlformats.org/officeDocument/2006/relationships/hyperlink" Target="https://nconnect.nicmar.ac.in/storage/profile/2021-2023_AP21278_257843.jpg" TargetMode="External"/><Relationship Id="rId_hyperlink_3230" Type="http://schemas.openxmlformats.org/officeDocument/2006/relationships/hyperlink" Target="https://nconnect.nicmar.ac.in/storage/profile/2021-2023_AP21279_425798.jpg" TargetMode="External"/><Relationship Id="rId_hyperlink_3231" Type="http://schemas.openxmlformats.org/officeDocument/2006/relationships/hyperlink" Target="https://nconnect.nicmar.ac.in/storage/profile/2021-2023_AP21280_437819.jpg" TargetMode="External"/><Relationship Id="rId_hyperlink_3232" Type="http://schemas.openxmlformats.org/officeDocument/2006/relationships/hyperlink" Target="https://nconnect.nicmar.ac.in/storage/profile/2021-2023_AP21281_352417.jpg" TargetMode="External"/><Relationship Id="rId_hyperlink_3233" Type="http://schemas.openxmlformats.org/officeDocument/2006/relationships/hyperlink" Target="https://nconnect.nicmar.ac.in/storage/profile/2021-2023_AP21282_145287.jpg" TargetMode="External"/><Relationship Id="rId_hyperlink_3234" Type="http://schemas.openxmlformats.org/officeDocument/2006/relationships/hyperlink" Target="https://nconnect.nicmar.ac.in/storage/profile/2021-2023_AP21283_381952.jpg" TargetMode="External"/><Relationship Id="rId_hyperlink_3235" Type="http://schemas.openxmlformats.org/officeDocument/2006/relationships/hyperlink" Target="https://nconnect.nicmar.ac.in/storage/profile/2021-2023_AP21284_796341.JPG" TargetMode="External"/><Relationship Id="rId_hyperlink_3236" Type="http://schemas.openxmlformats.org/officeDocument/2006/relationships/hyperlink" Target="https://nconnect.nicmar.ac.in/storage/profile/2021-2023_AP21285_581376.jpg" TargetMode="External"/><Relationship Id="rId_hyperlink_3237" Type="http://schemas.openxmlformats.org/officeDocument/2006/relationships/hyperlink" Target="https://nconnect.nicmar.ac.in/storage/profile/2021-2023_AP21286_569482.jpg" TargetMode="External"/><Relationship Id="rId_hyperlink_3238" Type="http://schemas.openxmlformats.org/officeDocument/2006/relationships/hyperlink" Target="https://nconnect.nicmar.ac.in/storage/profile/2021-2023_AP21287_654279.jpg" TargetMode="External"/><Relationship Id="rId_hyperlink_3239" Type="http://schemas.openxmlformats.org/officeDocument/2006/relationships/hyperlink" Target="https://nconnect.nicmar.ac.in/storage/profile/2021-2023_AP21288_742396.jpg" TargetMode="External"/><Relationship Id="rId_hyperlink_3240" Type="http://schemas.openxmlformats.org/officeDocument/2006/relationships/hyperlink" Target="https://nconnect.nicmar.ac.in/storage/profile/2021-2023_AP21289_231786.jpeg" TargetMode="External"/><Relationship Id="rId_hyperlink_3241" Type="http://schemas.openxmlformats.org/officeDocument/2006/relationships/hyperlink" Target="https://nconnect.nicmar.ac.in/storage/profile/2021-2023_AP21290_534672.jpg" TargetMode="External"/><Relationship Id="rId_hyperlink_3242" Type="http://schemas.openxmlformats.org/officeDocument/2006/relationships/hyperlink" Target="https://nconnect.nicmar.ac.in/storage/profile/2021-2023_AP21291_967328.jpg" TargetMode="External"/><Relationship Id="rId_hyperlink_3243" Type="http://schemas.openxmlformats.org/officeDocument/2006/relationships/hyperlink" Target="https://nconnect.nicmar.ac.in/storage/profile/2021-2023_AP21292_743259.jpg" TargetMode="External"/><Relationship Id="rId_hyperlink_3244" Type="http://schemas.openxmlformats.org/officeDocument/2006/relationships/hyperlink" Target="https://nconnect.nicmar.ac.in/storage/profile/2021-2023_AP21293_749531.jpg" TargetMode="External"/><Relationship Id="rId_hyperlink_3245" Type="http://schemas.openxmlformats.org/officeDocument/2006/relationships/hyperlink" Target="https://nconnect.nicmar.ac.in/storage/profile/2021-2023_AP21294_641375.jpg" TargetMode="External"/><Relationship Id="rId_hyperlink_3246" Type="http://schemas.openxmlformats.org/officeDocument/2006/relationships/hyperlink" Target="https://nconnect.nicmar.ac.in/storage/profile/2021-2023_AP21295_741539.jpg" TargetMode="External"/><Relationship Id="rId_hyperlink_3247" Type="http://schemas.openxmlformats.org/officeDocument/2006/relationships/hyperlink" Target="https://nconnect.nicmar.ac.in/storage/profile/2021-2023_AP21296_957243.jpg" TargetMode="External"/><Relationship Id="rId_hyperlink_3248" Type="http://schemas.openxmlformats.org/officeDocument/2006/relationships/hyperlink" Target="https://nconnect.nicmar.ac.in/storage/profile/2021-2023_AP21297_283491.jpg" TargetMode="External"/><Relationship Id="rId_hyperlink_3249" Type="http://schemas.openxmlformats.org/officeDocument/2006/relationships/hyperlink" Target="https://nconnect.nicmar.ac.in/storage/profile/2021-2023_AP21298_985143.jpg" TargetMode="External"/><Relationship Id="rId_hyperlink_3250" Type="http://schemas.openxmlformats.org/officeDocument/2006/relationships/hyperlink" Target="https://nconnect.nicmar.ac.in/storage/profile/2021-2023_AP21299_942357.jpg" TargetMode="External"/><Relationship Id="rId_hyperlink_3251" Type="http://schemas.openxmlformats.org/officeDocument/2006/relationships/hyperlink" Target="https://nconnect.nicmar.ac.in/storage/profile/2021-2023_AP21300_612587.jpeg" TargetMode="External"/><Relationship Id="rId_hyperlink_3252" Type="http://schemas.openxmlformats.org/officeDocument/2006/relationships/hyperlink" Target="https://nconnect.nicmar.ac.in/storage/profile/2021-2023_AP21301_385912.jpg" TargetMode="External"/><Relationship Id="rId_hyperlink_3253" Type="http://schemas.openxmlformats.org/officeDocument/2006/relationships/hyperlink" Target="https://nconnect.nicmar.ac.in/storage/profile/2021-2023_AP21302_752381.jpg" TargetMode="External"/><Relationship Id="rId_hyperlink_3254" Type="http://schemas.openxmlformats.org/officeDocument/2006/relationships/hyperlink" Target="https://nconnect.nicmar.ac.in/storage/profile/2021-2023_AP21303_271935.jpg" TargetMode="External"/><Relationship Id="rId_hyperlink_3255" Type="http://schemas.openxmlformats.org/officeDocument/2006/relationships/hyperlink" Target="https://nconnect.nicmar.ac.in/storage/profile/2021-2023_AP21304_843657.jpg" TargetMode="External"/><Relationship Id="rId_hyperlink_3256" Type="http://schemas.openxmlformats.org/officeDocument/2006/relationships/hyperlink" Target="https://nconnect.nicmar.ac.in/storage/profile/2021-2023_AP21305_413869.jpg" TargetMode="External"/><Relationship Id="rId_hyperlink_3257" Type="http://schemas.openxmlformats.org/officeDocument/2006/relationships/hyperlink" Target="https://nconnect.nicmar.ac.in/storage/profile/2021-2023_AP21306_892573.jpg" TargetMode="External"/><Relationship Id="rId_hyperlink_3258" Type="http://schemas.openxmlformats.org/officeDocument/2006/relationships/hyperlink" Target="https://nconnect.nicmar.ac.in/storage/profile/2021-2023_AP21307_562374.jpg" TargetMode="External"/><Relationship Id="rId_hyperlink_3259" Type="http://schemas.openxmlformats.org/officeDocument/2006/relationships/hyperlink" Target="https://nconnect.nicmar.ac.in/storage/profile/2021-2023_AP21308_258791.jpg" TargetMode="External"/><Relationship Id="rId_hyperlink_3260" Type="http://schemas.openxmlformats.org/officeDocument/2006/relationships/hyperlink" Target="https://nconnect.nicmar.ac.in/storage/profile/2021-2023_AP21309_482957.jpg" TargetMode="External"/><Relationship Id="rId_hyperlink_3261" Type="http://schemas.openxmlformats.org/officeDocument/2006/relationships/hyperlink" Target="https://nconnect.nicmar.ac.in/storage/profile/2021-2023_AP21310_342518.jpg" TargetMode="External"/><Relationship Id="rId_hyperlink_3262" Type="http://schemas.openxmlformats.org/officeDocument/2006/relationships/hyperlink" Target="https://nconnect.nicmar.ac.in/storage/profile/2021-2023_AP21311_513789.jpg" TargetMode="External"/><Relationship Id="rId_hyperlink_3263" Type="http://schemas.openxmlformats.org/officeDocument/2006/relationships/hyperlink" Target="https://nconnect.nicmar.ac.in/storage/profile/2021-2023_AP21312_462579.jpg" TargetMode="External"/><Relationship Id="rId_hyperlink_3264" Type="http://schemas.openxmlformats.org/officeDocument/2006/relationships/hyperlink" Target="https://nconnect.nicmar.ac.in/storage/profile/2021-2023_AP21313_741259.jpg" TargetMode="External"/><Relationship Id="rId_hyperlink_3265" Type="http://schemas.openxmlformats.org/officeDocument/2006/relationships/hyperlink" Target="https://nconnect.nicmar.ac.in/storage/profile/2021-2023_AP21314_169243.jpg" TargetMode="External"/><Relationship Id="rId_hyperlink_3266" Type="http://schemas.openxmlformats.org/officeDocument/2006/relationships/hyperlink" Target="https://nconnect.nicmar.ac.in/storage/profile/2021-2023_AP21315_298475.jpg" TargetMode="External"/><Relationship Id="rId_hyperlink_3267" Type="http://schemas.openxmlformats.org/officeDocument/2006/relationships/hyperlink" Target="https://nconnect.nicmar.ac.in/storage/profile/2021-2023_AP21316_936471.jpg" TargetMode="External"/><Relationship Id="rId_hyperlink_3268" Type="http://schemas.openxmlformats.org/officeDocument/2006/relationships/hyperlink" Target="https://nconnect.nicmar.ac.in/storage/profile/2021-2023_AP21317_219354.jpg" TargetMode="External"/><Relationship Id="rId_hyperlink_3269" Type="http://schemas.openxmlformats.org/officeDocument/2006/relationships/hyperlink" Target="https://nconnect.nicmar.ac.in/storage/profile/2021-2023_AP21318_746952.jpeg" TargetMode="External"/><Relationship Id="rId_hyperlink_3270" Type="http://schemas.openxmlformats.org/officeDocument/2006/relationships/hyperlink" Target="https://nconnect.nicmar.ac.in/storage/profile/2021-2023_AP21319_729316.jpg" TargetMode="External"/><Relationship Id="rId_hyperlink_3271" Type="http://schemas.openxmlformats.org/officeDocument/2006/relationships/hyperlink" Target="https://nconnect.nicmar.ac.in/storage/profile/2021-2023_AP21320_234817.jpg" TargetMode="External"/><Relationship Id="rId_hyperlink_3272" Type="http://schemas.openxmlformats.org/officeDocument/2006/relationships/hyperlink" Target="https://nconnect.nicmar.ac.in/storage/profile/2021-2023_AP21321_429861.jpg" TargetMode="External"/><Relationship Id="rId_hyperlink_3273" Type="http://schemas.openxmlformats.org/officeDocument/2006/relationships/hyperlink" Target="https://nconnect.nicmar.ac.in/storage/profile/2021-2023_AP21322_684925.jpg" TargetMode="External"/><Relationship Id="rId_hyperlink_3274" Type="http://schemas.openxmlformats.org/officeDocument/2006/relationships/hyperlink" Target="https://nconnect.nicmar.ac.in/storage/profile/2021-2023_AP21323_214536.jpg" TargetMode="External"/><Relationship Id="rId_hyperlink_3275" Type="http://schemas.openxmlformats.org/officeDocument/2006/relationships/hyperlink" Target="https://nconnect.nicmar.ac.in/storage/profile/2021-2023_AP21324_524867.jpg" TargetMode="External"/><Relationship Id="rId_hyperlink_3276" Type="http://schemas.openxmlformats.org/officeDocument/2006/relationships/hyperlink" Target="https://nconnect.nicmar.ac.in/storage/profile/2021-2023_AP21325_761948.jpg" TargetMode="External"/><Relationship Id="rId_hyperlink_3277" Type="http://schemas.openxmlformats.org/officeDocument/2006/relationships/hyperlink" Target="https://nconnect.nicmar.ac.in/storage/profile/2021-2023_AP21326_241835.jpg" TargetMode="External"/><Relationship Id="rId_hyperlink_3278" Type="http://schemas.openxmlformats.org/officeDocument/2006/relationships/hyperlink" Target="https://nconnect.nicmar.ac.in/storage/profile/2021-2023_AP21327_625183.jpg" TargetMode="External"/><Relationship Id="rId_hyperlink_3279" Type="http://schemas.openxmlformats.org/officeDocument/2006/relationships/hyperlink" Target="https://nconnect.nicmar.ac.in/storage/profile/ProfilePhoto_AP21329_936218.jpg" TargetMode="External"/><Relationship Id="rId_hyperlink_3280" Type="http://schemas.openxmlformats.org/officeDocument/2006/relationships/hyperlink" Target="https://nconnect.nicmar.ac.in/storage/profile/2021-2023_AP21330_482769.jpg" TargetMode="External"/><Relationship Id="rId_hyperlink_3281" Type="http://schemas.openxmlformats.org/officeDocument/2006/relationships/hyperlink" Target="https://nconnect.nicmar.ac.in/storage/profile/2021-2023_AP21332_519864.JPG" TargetMode="External"/><Relationship Id="rId_hyperlink_3282" Type="http://schemas.openxmlformats.org/officeDocument/2006/relationships/hyperlink" Target="https://nconnect.nicmar.ac.in/storage/profile/2021-2023_AP21333_715468.jpg" TargetMode="External"/><Relationship Id="rId_hyperlink_3283" Type="http://schemas.openxmlformats.org/officeDocument/2006/relationships/hyperlink" Target="https://nconnect.nicmar.ac.in/storage/profile/2021-2023_AP21334_478521.jpg" TargetMode="External"/><Relationship Id="rId_hyperlink_3284" Type="http://schemas.openxmlformats.org/officeDocument/2006/relationships/hyperlink" Target="https://nconnect.nicmar.ac.in/storage/profile/2021-2023_AP21335_943625.jpg" TargetMode="External"/><Relationship Id="rId_hyperlink_3285" Type="http://schemas.openxmlformats.org/officeDocument/2006/relationships/hyperlink" Target="https://nconnect.nicmar.ac.in/storage/profile/2021-2023_AP21336_465719.jpg" TargetMode="External"/><Relationship Id="rId_hyperlink_3286" Type="http://schemas.openxmlformats.org/officeDocument/2006/relationships/hyperlink" Target="https://nconnect.nicmar.ac.in/storage/profile/2021-2023_AP21337_841629.jpg" TargetMode="External"/><Relationship Id="rId_hyperlink_3287" Type="http://schemas.openxmlformats.org/officeDocument/2006/relationships/hyperlink" Target="https://nconnect.nicmar.ac.in/storage/profile/2021-2023_AP21338_514968.jpg" TargetMode="External"/><Relationship Id="rId_hyperlink_3288" Type="http://schemas.openxmlformats.org/officeDocument/2006/relationships/hyperlink" Target="https://nconnect.nicmar.ac.in/storage/profile/2021-2023_AP21339_739521.jpeg" TargetMode="External"/><Relationship Id="rId_hyperlink_3289" Type="http://schemas.openxmlformats.org/officeDocument/2006/relationships/hyperlink" Target="https://nconnect.nicmar.ac.in/storage/profile/2021-2023_AP21341_253671.jpg" TargetMode="External"/><Relationship Id="rId_hyperlink_3290" Type="http://schemas.openxmlformats.org/officeDocument/2006/relationships/hyperlink" Target="https://nconnect.nicmar.ac.in/storage/profile/2021-2023_AP21342_976241.JPG" TargetMode="External"/><Relationship Id="rId_hyperlink_3291" Type="http://schemas.openxmlformats.org/officeDocument/2006/relationships/hyperlink" Target="https://nconnect.nicmar.ac.in/storage/profile/2021-2023_AP21345_367482.jpg" TargetMode="External"/><Relationship Id="rId_hyperlink_3292" Type="http://schemas.openxmlformats.org/officeDocument/2006/relationships/hyperlink" Target="https://nconnect.nicmar.ac.in/storage/profile/2021-2023_AP21347_486372.jpg" TargetMode="External"/><Relationship Id="rId_hyperlink_3293" Type="http://schemas.openxmlformats.org/officeDocument/2006/relationships/hyperlink" Target="https://nconnect.nicmar.ac.in/storage/profile/2021-2023_AP21348_594168.jpg" TargetMode="External"/><Relationship Id="rId_hyperlink_3294" Type="http://schemas.openxmlformats.org/officeDocument/2006/relationships/hyperlink" Target="https://nconnect.nicmar.ac.in/storage/profile/2021-2023_AP21349_713849.jpg" TargetMode="External"/><Relationship Id="rId_hyperlink_3295" Type="http://schemas.openxmlformats.org/officeDocument/2006/relationships/hyperlink" Target="https://nconnect.nicmar.ac.in/storage/profile/2021-2023_AP21352_463185.png" TargetMode="External"/><Relationship Id="rId_hyperlink_3296" Type="http://schemas.openxmlformats.org/officeDocument/2006/relationships/hyperlink" Target="https://nconnect.nicmar.ac.in/storage/profile/2021-2023_AP21353_964873.jpg" TargetMode="External"/><Relationship Id="rId_hyperlink_3297" Type="http://schemas.openxmlformats.org/officeDocument/2006/relationships/hyperlink" Target="https://nconnect.nicmar.ac.in/storage/profile/2021-2023_AP21354_827953.jpg" TargetMode="External"/><Relationship Id="rId_hyperlink_3298" Type="http://schemas.openxmlformats.org/officeDocument/2006/relationships/hyperlink" Target="https://nconnect.nicmar.ac.in/storage/profile/2021-2023_AP21355_298135.jpg" TargetMode="External"/><Relationship Id="rId_hyperlink_3299" Type="http://schemas.openxmlformats.org/officeDocument/2006/relationships/hyperlink" Target="https://nconnect.nicmar.ac.in/storage/profile/2021-2023_AP21356_528971.jpg" TargetMode="External"/><Relationship Id="rId_hyperlink_3300" Type="http://schemas.openxmlformats.org/officeDocument/2006/relationships/hyperlink" Target="https://nconnect.nicmar.ac.in/storage/profile/2021-2023_AP21357_586492.jpg" TargetMode="External"/><Relationship Id="rId_hyperlink_3301" Type="http://schemas.openxmlformats.org/officeDocument/2006/relationships/hyperlink" Target="https://nconnect.nicmar.ac.in/storage/profile/2021-2023_AP21358_789536.jpg" TargetMode="External"/><Relationship Id="rId_hyperlink_3302" Type="http://schemas.openxmlformats.org/officeDocument/2006/relationships/hyperlink" Target="https://nconnect.nicmar.ac.in/storage/profile/2021-2023_AP21359_158426.JPG" TargetMode="External"/><Relationship Id="rId_hyperlink_3303" Type="http://schemas.openxmlformats.org/officeDocument/2006/relationships/hyperlink" Target="https://nconnect.nicmar.ac.in/storage/profile/2021-2023_AP21360_435927.jpg" TargetMode="External"/><Relationship Id="rId_hyperlink_3304" Type="http://schemas.openxmlformats.org/officeDocument/2006/relationships/hyperlink" Target="https://nconnect.nicmar.ac.in/storage/profile/2021-2023_AP21361_857291.jpg" TargetMode="External"/><Relationship Id="rId_hyperlink_3305" Type="http://schemas.openxmlformats.org/officeDocument/2006/relationships/hyperlink" Target="https://nconnect.nicmar.ac.in/storage/profile/2021-2023_AP21362_396485.jpeg" TargetMode="External"/><Relationship Id="rId_hyperlink_3306" Type="http://schemas.openxmlformats.org/officeDocument/2006/relationships/hyperlink" Target="https://nconnect.nicmar.ac.in/storage/profile/2021-2023_AP21363_429318.jpg" TargetMode="External"/><Relationship Id="rId_hyperlink_3307" Type="http://schemas.openxmlformats.org/officeDocument/2006/relationships/hyperlink" Target="https://nconnect.nicmar.ac.in/storage/profile/2021-2023_AP21364_842673.jpg" TargetMode="External"/><Relationship Id="rId_hyperlink_3308" Type="http://schemas.openxmlformats.org/officeDocument/2006/relationships/hyperlink" Target="https://nconnect.nicmar.ac.in/storage/profile/2021-2023_AP21365_671235.jpg" TargetMode="External"/><Relationship Id="rId_hyperlink_3309" Type="http://schemas.openxmlformats.org/officeDocument/2006/relationships/hyperlink" Target="https://nconnect.nicmar.ac.in/storage/profile/2021-2023_AP21366_918527.jpg" TargetMode="External"/><Relationship Id="rId_hyperlink_3310" Type="http://schemas.openxmlformats.org/officeDocument/2006/relationships/hyperlink" Target="https://nconnect.nicmar.ac.in/storage/profile/2021-2023_AP21367_124857.png" TargetMode="External"/><Relationship Id="rId_hyperlink_3311" Type="http://schemas.openxmlformats.org/officeDocument/2006/relationships/hyperlink" Target="https://nconnect.nicmar.ac.in/storage/profile/2021-2023_AP21370_753264.jpg" TargetMode="External"/><Relationship Id="rId_hyperlink_3312" Type="http://schemas.openxmlformats.org/officeDocument/2006/relationships/hyperlink" Target="https://nconnect.nicmar.ac.in/storage/profile/2021-2023_AP21371_962583.jpg" TargetMode="External"/><Relationship Id="rId_hyperlink_3313" Type="http://schemas.openxmlformats.org/officeDocument/2006/relationships/hyperlink" Target="https://nconnect.nicmar.ac.in/storage/profile/2021-2023_AP21373_463789.jpg" TargetMode="External"/><Relationship Id="rId_hyperlink_3314" Type="http://schemas.openxmlformats.org/officeDocument/2006/relationships/hyperlink" Target="https://nconnect.nicmar.ac.in/storage/profile/2021-2023_AP21374_975816.jpg" TargetMode="External"/><Relationship Id="rId_hyperlink_3315" Type="http://schemas.openxmlformats.org/officeDocument/2006/relationships/hyperlink" Target="https://nconnect.nicmar.ac.in/storage/profile/2021-2023_AP21376_176349.jpg" TargetMode="External"/><Relationship Id="rId_hyperlink_3316" Type="http://schemas.openxmlformats.org/officeDocument/2006/relationships/hyperlink" Target="https://nconnect.nicmar.ac.in/storage/profile/2021-2023_AP21377_749825.jpg" TargetMode="External"/><Relationship Id="rId_hyperlink_3317" Type="http://schemas.openxmlformats.org/officeDocument/2006/relationships/hyperlink" Target="https://nconnect.nicmar.ac.in/storage/profile/2021-2023_AP21379_571246.jpg" TargetMode="External"/><Relationship Id="rId_hyperlink_3318" Type="http://schemas.openxmlformats.org/officeDocument/2006/relationships/hyperlink" Target="https://nconnect.nicmar.ac.in/storage/profile/2021-2023_AP21381_436795.jpg" TargetMode="External"/><Relationship Id="rId_hyperlink_3319" Type="http://schemas.openxmlformats.org/officeDocument/2006/relationships/hyperlink" Target="https://nconnect.nicmar.ac.in/storage/profile/2021-2023_AP21382_194572.jpeg" TargetMode="External"/><Relationship Id="rId_hyperlink_3320" Type="http://schemas.openxmlformats.org/officeDocument/2006/relationships/hyperlink" Target="https://nconnect.nicmar.ac.in/storage/profile/2021-2023_AP21383_653971.jpg" TargetMode="External"/><Relationship Id="rId_hyperlink_3321" Type="http://schemas.openxmlformats.org/officeDocument/2006/relationships/hyperlink" Target="https://nconnect.nicmar.ac.in/storage/profile/2021-2023_AP21384_759681.jpg" TargetMode="External"/><Relationship Id="rId_hyperlink_3322" Type="http://schemas.openxmlformats.org/officeDocument/2006/relationships/hyperlink" Target="https://nconnect.nicmar.ac.in/storage/profile/2021-2023_AP21387_418693.jpg" TargetMode="External"/><Relationship Id="rId_hyperlink_3323" Type="http://schemas.openxmlformats.org/officeDocument/2006/relationships/hyperlink" Target="https://nconnect.nicmar.ac.in/storage/profile/2021-2023_AP21388_635819.jpg" TargetMode="External"/><Relationship Id="rId_hyperlink_3324" Type="http://schemas.openxmlformats.org/officeDocument/2006/relationships/hyperlink" Target="https://nconnect.nicmar.ac.in/storage/profile/2021-2023_AP21391_683524.jpg" TargetMode="External"/><Relationship Id="rId_hyperlink_3325" Type="http://schemas.openxmlformats.org/officeDocument/2006/relationships/hyperlink" Target="https://nconnect.nicmar.ac.in/storage/profile/2021-2023_AP21392_482967.jpg" TargetMode="External"/><Relationship Id="rId_hyperlink_3326" Type="http://schemas.openxmlformats.org/officeDocument/2006/relationships/hyperlink" Target="https://nconnect.nicmar.ac.in/storage/profile/2021-2023_AP21393_291485.jpg" TargetMode="External"/><Relationship Id="rId_hyperlink_3327" Type="http://schemas.openxmlformats.org/officeDocument/2006/relationships/hyperlink" Target="https://nconnect.nicmar.ac.in/storage/profile/2021-2023_AP21397_513298.jpg" TargetMode="External"/><Relationship Id="rId_hyperlink_3328" Type="http://schemas.openxmlformats.org/officeDocument/2006/relationships/hyperlink" Target="https://nconnect.nicmar.ac.in/storage/profile/2021-2023_AP21398_854926.jpg" TargetMode="External"/><Relationship Id="rId_hyperlink_3329" Type="http://schemas.openxmlformats.org/officeDocument/2006/relationships/hyperlink" Target="https://nconnect.nicmar.ac.in/storage/profile/2021-2023_AP21399_156392.jpg" TargetMode="External"/><Relationship Id="rId_hyperlink_3330" Type="http://schemas.openxmlformats.org/officeDocument/2006/relationships/hyperlink" Target="https://nconnect.nicmar.ac.in/storage/profile/2021-2023_AP21400_864917.jpg" TargetMode="External"/><Relationship Id="rId_hyperlink_3331" Type="http://schemas.openxmlformats.org/officeDocument/2006/relationships/hyperlink" Target="https://nconnect.nicmar.ac.in/storage/profile/2021-2023_AP21401_729413.jpg" TargetMode="External"/><Relationship Id="rId_hyperlink_3332" Type="http://schemas.openxmlformats.org/officeDocument/2006/relationships/hyperlink" Target="https://nconnect.nicmar.ac.in/storage/profile/2021-2023_AP21402_931254.jpg" TargetMode="External"/><Relationship Id="rId_hyperlink_3333" Type="http://schemas.openxmlformats.org/officeDocument/2006/relationships/hyperlink" Target="https://nconnect.nicmar.ac.in/storage/profile/2021-2023_AP21403_347625.jpeg" TargetMode="External"/><Relationship Id="rId_hyperlink_3334" Type="http://schemas.openxmlformats.org/officeDocument/2006/relationships/hyperlink" Target="https://nconnect.nicmar.ac.in/storage/profile/2021-2023_AP21404_986235.jpg" TargetMode="External"/><Relationship Id="rId_hyperlink_3335" Type="http://schemas.openxmlformats.org/officeDocument/2006/relationships/hyperlink" Target="https://nconnect.nicmar.ac.in/storage/profile/2021-2023_AP21405_413526.jpeg" TargetMode="External"/><Relationship Id="rId_hyperlink_3336" Type="http://schemas.openxmlformats.org/officeDocument/2006/relationships/hyperlink" Target="https://nconnect.nicmar.ac.in/storage/profile/2021-2023_AP21406_147523.jpg" TargetMode="External"/><Relationship Id="rId_hyperlink_3337" Type="http://schemas.openxmlformats.org/officeDocument/2006/relationships/hyperlink" Target="https://nconnect.nicmar.ac.in/storage/profile/2021-2023_AP21407_491286.jpg" TargetMode="External"/><Relationship Id="rId_hyperlink_3338" Type="http://schemas.openxmlformats.org/officeDocument/2006/relationships/hyperlink" Target="https://nconnect.nicmar.ac.in/storage/profile/2021-2023_AP21408_625783.jpg" TargetMode="External"/><Relationship Id="rId_hyperlink_3339" Type="http://schemas.openxmlformats.org/officeDocument/2006/relationships/hyperlink" Target="https://nconnect.nicmar.ac.in/storage/profile/2021-2023_AP21409_683415.jpeg" TargetMode="External"/><Relationship Id="rId_hyperlink_3340" Type="http://schemas.openxmlformats.org/officeDocument/2006/relationships/hyperlink" Target="https://nconnect.nicmar.ac.in/storage/profile/2021-2023_AP21412_321846.jpg" TargetMode="External"/><Relationship Id="rId_hyperlink_3341" Type="http://schemas.openxmlformats.org/officeDocument/2006/relationships/hyperlink" Target="https://nconnect.nicmar.ac.in/storage/profile/2021-2023_AP21413_721439.jpg" TargetMode="External"/><Relationship Id="rId_hyperlink_3342" Type="http://schemas.openxmlformats.org/officeDocument/2006/relationships/hyperlink" Target="https://nconnect.nicmar.ac.in/storage/profile/2021-2023_AP21415_429315.jpg" TargetMode="External"/><Relationship Id="rId_hyperlink_3343" Type="http://schemas.openxmlformats.org/officeDocument/2006/relationships/hyperlink" Target="https://nconnect.nicmar.ac.in/storage/profile/2021-2023_AP21416_289631.jpg" TargetMode="External"/><Relationship Id="rId_hyperlink_3344" Type="http://schemas.openxmlformats.org/officeDocument/2006/relationships/hyperlink" Target="https://nconnect.nicmar.ac.in/storage/profile/2021-2023_AP21417_835729.jpg" TargetMode="External"/><Relationship Id="rId_hyperlink_3345" Type="http://schemas.openxmlformats.org/officeDocument/2006/relationships/hyperlink" Target="https://nconnect.nicmar.ac.in/storage/profile/2021-2023_AP21418_143875.jpg" TargetMode="External"/><Relationship Id="rId_hyperlink_3346" Type="http://schemas.openxmlformats.org/officeDocument/2006/relationships/hyperlink" Target="https://nconnect.nicmar.ac.in/storage/profile/2021-2023_AP21420_731589.jpg" TargetMode="External"/><Relationship Id="rId_hyperlink_3347" Type="http://schemas.openxmlformats.org/officeDocument/2006/relationships/hyperlink" Target="https://nconnect.nicmar.ac.in/storage/profile/2021-2023_AP21421_463289.jpg" TargetMode="External"/><Relationship Id="rId_hyperlink_3348" Type="http://schemas.openxmlformats.org/officeDocument/2006/relationships/hyperlink" Target="https://nconnect.nicmar.ac.in/storage/profile/2021-2023_AP21422_635497.jpg" TargetMode="External"/><Relationship Id="rId_hyperlink_3349" Type="http://schemas.openxmlformats.org/officeDocument/2006/relationships/hyperlink" Target="https://nconnect.nicmar.ac.in/storage/profile/2021-2023_AP21423_192658.jpg" TargetMode="External"/><Relationship Id="rId_hyperlink_3350" Type="http://schemas.openxmlformats.org/officeDocument/2006/relationships/hyperlink" Target="https://nconnect.nicmar.ac.in/storage/profile/2021-2023_AP21424_937521.jpg" TargetMode="External"/><Relationship Id="rId_hyperlink_3351" Type="http://schemas.openxmlformats.org/officeDocument/2006/relationships/hyperlink" Target="https://nconnect.nicmar.ac.in/storage/profile/2021-2023_AP21425_823491.jpg" TargetMode="External"/><Relationship Id="rId_hyperlink_3352" Type="http://schemas.openxmlformats.org/officeDocument/2006/relationships/hyperlink" Target="https://nconnect.nicmar.ac.in/storage/profile/2021-2023_AP21426_924137.jpg" TargetMode="External"/><Relationship Id="rId_hyperlink_3353" Type="http://schemas.openxmlformats.org/officeDocument/2006/relationships/hyperlink" Target="https://nconnect.nicmar.ac.in/storage/profile/2021-2023_AP21427_762413.jpeg" TargetMode="External"/><Relationship Id="rId_hyperlink_3354" Type="http://schemas.openxmlformats.org/officeDocument/2006/relationships/hyperlink" Target="https://nconnect.nicmar.ac.in/storage/profile/2021-2023_AP21428_738941.jpg" TargetMode="External"/><Relationship Id="rId_hyperlink_3355" Type="http://schemas.openxmlformats.org/officeDocument/2006/relationships/hyperlink" Target="https://nconnect.nicmar.ac.in/storage/profile/2021-2023_AP21429_481356.jpg" TargetMode="External"/><Relationship Id="rId_hyperlink_3356" Type="http://schemas.openxmlformats.org/officeDocument/2006/relationships/hyperlink" Target="https://nconnect.nicmar.ac.in/storage/profile/2021-2023_AP21430_125374.jpg" TargetMode="External"/><Relationship Id="rId_hyperlink_3357" Type="http://schemas.openxmlformats.org/officeDocument/2006/relationships/hyperlink" Target="https://nconnect.nicmar.ac.in/storage/profile/2021-2023_AP21431_548739.jpg" TargetMode="External"/><Relationship Id="rId_hyperlink_3358" Type="http://schemas.openxmlformats.org/officeDocument/2006/relationships/hyperlink" Target="https://nconnect.nicmar.ac.in/storage/profile/2021-2023_AP21432_428365.jpg" TargetMode="External"/><Relationship Id="rId_hyperlink_3359" Type="http://schemas.openxmlformats.org/officeDocument/2006/relationships/hyperlink" Target="https://nconnect.nicmar.ac.in/storage/profile/2021-2023_AP21433_832941.jpg" TargetMode="External"/><Relationship Id="rId_hyperlink_3360" Type="http://schemas.openxmlformats.org/officeDocument/2006/relationships/hyperlink" Target="https://nconnect.nicmar.ac.in/storage/profile/2021-2023_AP21434_584367.jpg" TargetMode="External"/><Relationship Id="rId_hyperlink_3361" Type="http://schemas.openxmlformats.org/officeDocument/2006/relationships/hyperlink" Target="https://nconnect.nicmar.ac.in/storage/profile/2021-2023_AP21435_138254.jpg" TargetMode="External"/><Relationship Id="rId_hyperlink_3362" Type="http://schemas.openxmlformats.org/officeDocument/2006/relationships/hyperlink" Target="https://nconnect.nicmar.ac.in/storage/profile/2021-2023_AP21436_497126.jpg" TargetMode="External"/><Relationship Id="rId_hyperlink_3363" Type="http://schemas.openxmlformats.org/officeDocument/2006/relationships/hyperlink" Target="https://nconnect.nicmar.ac.in/storage/profile/2021-2023_AP21437_714596.jpg" TargetMode="External"/><Relationship Id="rId_hyperlink_3364" Type="http://schemas.openxmlformats.org/officeDocument/2006/relationships/hyperlink" Target="https://nconnect.nicmar.ac.in/storage/profile/2021-2023_AP21438_396214.jpg" TargetMode="External"/><Relationship Id="rId_hyperlink_3365" Type="http://schemas.openxmlformats.org/officeDocument/2006/relationships/hyperlink" Target="https://nconnect.nicmar.ac.in/storage/profile/2021-2023_AP21439_483927.jpg" TargetMode="External"/><Relationship Id="rId_hyperlink_3366" Type="http://schemas.openxmlformats.org/officeDocument/2006/relationships/hyperlink" Target="https://nconnect.nicmar.ac.in/storage/profile/2021-2023_AP21442_295764.jpg" TargetMode="External"/><Relationship Id="rId_hyperlink_3367" Type="http://schemas.openxmlformats.org/officeDocument/2006/relationships/hyperlink" Target="https://nconnect.nicmar.ac.in/storage/profile/2021-2023_AP21443_172945.jpg" TargetMode="External"/><Relationship Id="rId_hyperlink_3368" Type="http://schemas.openxmlformats.org/officeDocument/2006/relationships/hyperlink" Target="https://nconnect.nicmar.ac.in/storage/profile/2021-2023_AP21444_567432.jpg" TargetMode="External"/><Relationship Id="rId_hyperlink_3369" Type="http://schemas.openxmlformats.org/officeDocument/2006/relationships/hyperlink" Target="https://nconnect.nicmar.ac.in/storage/profile/2021-2023_AP21445_358794.jpg" TargetMode="External"/><Relationship Id="rId_hyperlink_3370" Type="http://schemas.openxmlformats.org/officeDocument/2006/relationships/hyperlink" Target="https://nconnect.nicmar.ac.in/storage/profile/2021-2023_AP21446_429185.jpg" TargetMode="External"/><Relationship Id="rId_hyperlink_3371" Type="http://schemas.openxmlformats.org/officeDocument/2006/relationships/hyperlink" Target="https://nconnect.nicmar.ac.in/storage/profile/2021-2023_AP21447_392415.jpg" TargetMode="External"/><Relationship Id="rId_hyperlink_3372" Type="http://schemas.openxmlformats.org/officeDocument/2006/relationships/hyperlink" Target="https://nconnect.nicmar.ac.in/storage/profile/2021-2023_AP21448_186734.JPG" TargetMode="External"/><Relationship Id="rId_hyperlink_3373" Type="http://schemas.openxmlformats.org/officeDocument/2006/relationships/hyperlink" Target="https://nconnect.nicmar.ac.in/storage/profile/2021-2023_AP21449_316427.jpg" TargetMode="External"/><Relationship Id="rId_hyperlink_3374" Type="http://schemas.openxmlformats.org/officeDocument/2006/relationships/hyperlink" Target="https://nconnect.nicmar.ac.in/storage/profile/2021-2023_AP21450_512386.jpg" TargetMode="External"/><Relationship Id="rId_hyperlink_3375" Type="http://schemas.openxmlformats.org/officeDocument/2006/relationships/hyperlink" Target="https://nconnect.nicmar.ac.in/storage/profile/2021-2023_AP21451_218564.jpg" TargetMode="External"/><Relationship Id="rId_hyperlink_3376" Type="http://schemas.openxmlformats.org/officeDocument/2006/relationships/hyperlink" Target="https://nconnect.nicmar.ac.in/storage/profile/2021-2023_AP21452_729314.jpg" TargetMode="External"/><Relationship Id="rId_hyperlink_3377" Type="http://schemas.openxmlformats.org/officeDocument/2006/relationships/hyperlink" Target="https://nconnect.nicmar.ac.in/storage/profile/2021-2023_AP21453_593678.jpg" TargetMode="External"/><Relationship Id="rId_hyperlink_3378" Type="http://schemas.openxmlformats.org/officeDocument/2006/relationships/hyperlink" Target="https://nconnect.nicmar.ac.in/storage/profile/2021-2023_AP21454_654179.jpeg" TargetMode="External"/><Relationship Id="rId_hyperlink_3379" Type="http://schemas.openxmlformats.org/officeDocument/2006/relationships/hyperlink" Target="https://nconnect.nicmar.ac.in/storage/profile/2021-2023_AP21455_896413.jpg" TargetMode="External"/><Relationship Id="rId_hyperlink_3380" Type="http://schemas.openxmlformats.org/officeDocument/2006/relationships/hyperlink" Target="https://nconnect.nicmar.ac.in/storage/profile/2021-2023_AP21456_569137.jpg" TargetMode="External"/><Relationship Id="rId_hyperlink_3381" Type="http://schemas.openxmlformats.org/officeDocument/2006/relationships/hyperlink" Target="https://nconnect.nicmar.ac.in/storage/profile/2021-2023_AP21457_139876.JPG" TargetMode="External"/><Relationship Id="rId_hyperlink_3382" Type="http://schemas.openxmlformats.org/officeDocument/2006/relationships/hyperlink" Target="https://nconnect.nicmar.ac.in/storage/profile/2021-2023_AP21459_467123.jpg" TargetMode="External"/><Relationship Id="rId_hyperlink_3383" Type="http://schemas.openxmlformats.org/officeDocument/2006/relationships/hyperlink" Target="https://nconnect.nicmar.ac.in/storage/profile/2021-2023_AP21460_259617.jpg" TargetMode="External"/><Relationship Id="rId_hyperlink_3384" Type="http://schemas.openxmlformats.org/officeDocument/2006/relationships/hyperlink" Target="https://nconnect.nicmar.ac.in/storage/profile/2021-2023_AP21462_487129.jpg" TargetMode="External"/><Relationship Id="rId_hyperlink_3385" Type="http://schemas.openxmlformats.org/officeDocument/2006/relationships/hyperlink" Target="https://nconnect.nicmar.ac.in/storage/profile/2021-2023_AP21463_682471.JPG" TargetMode="External"/><Relationship Id="rId_hyperlink_3386" Type="http://schemas.openxmlformats.org/officeDocument/2006/relationships/hyperlink" Target="https://nconnect.nicmar.ac.in/storage/profile/2021-2023_AP21464_974352.jpg" TargetMode="External"/><Relationship Id="rId_hyperlink_3387" Type="http://schemas.openxmlformats.org/officeDocument/2006/relationships/hyperlink" Target="https://nconnect.nicmar.ac.in/storage/profile/2021-2023_AP21465_372941.jpeg" TargetMode="External"/><Relationship Id="rId_hyperlink_3388" Type="http://schemas.openxmlformats.org/officeDocument/2006/relationships/hyperlink" Target="https://nconnect.nicmar.ac.in/storage/profile/2021-2023_AP21466_284637.jpg" TargetMode="External"/><Relationship Id="rId_hyperlink_3389" Type="http://schemas.openxmlformats.org/officeDocument/2006/relationships/hyperlink" Target="https://nconnect.nicmar.ac.in/storage/profile/2021-2023_AP21467_514679.jpeg" TargetMode="External"/><Relationship Id="rId_hyperlink_3390" Type="http://schemas.openxmlformats.org/officeDocument/2006/relationships/hyperlink" Target="https://nconnect.nicmar.ac.in/storage/profile/2021-2023_AP21468_431589.jpg" TargetMode="External"/><Relationship Id="rId_hyperlink_3391" Type="http://schemas.openxmlformats.org/officeDocument/2006/relationships/hyperlink" Target="https://nconnect.nicmar.ac.in/storage/profile/2021-2023_AP21469_278561.jpg" TargetMode="External"/><Relationship Id="rId_hyperlink_3392" Type="http://schemas.openxmlformats.org/officeDocument/2006/relationships/hyperlink" Target="https://nconnect.nicmar.ac.in/storage/profile/2021-2023_AP21470_853961.jpg" TargetMode="External"/><Relationship Id="rId_hyperlink_3393" Type="http://schemas.openxmlformats.org/officeDocument/2006/relationships/hyperlink" Target="https://nconnect.nicmar.ac.in/storage/profile/2021-2023_AP21471_428975.jpg" TargetMode="External"/><Relationship Id="rId_hyperlink_3394" Type="http://schemas.openxmlformats.org/officeDocument/2006/relationships/hyperlink" Target="https://nconnect.nicmar.ac.in/storage/profile/2021-2023_AP21473_139568.jpeg" TargetMode="External"/><Relationship Id="rId_hyperlink_3395" Type="http://schemas.openxmlformats.org/officeDocument/2006/relationships/hyperlink" Target="https://nconnect.nicmar.ac.in/storage/profile/2021-2023_AP21474_267514.jpg" TargetMode="External"/><Relationship Id="rId_hyperlink_3396" Type="http://schemas.openxmlformats.org/officeDocument/2006/relationships/hyperlink" Target="https://nconnect.nicmar.ac.in/storage/profile/2021-2023_AP21475_794312.jpg" TargetMode="External"/><Relationship Id="rId_hyperlink_3397" Type="http://schemas.openxmlformats.org/officeDocument/2006/relationships/hyperlink" Target="https://nconnect.nicmar.ac.in/storage/profile/2021-2023_AP21476_463758.jpg" TargetMode="External"/><Relationship Id="rId_hyperlink_3398" Type="http://schemas.openxmlformats.org/officeDocument/2006/relationships/hyperlink" Target="https://nconnect.nicmar.ac.in/storage/profile/2021-2023_AP21477_594721.jpg" TargetMode="External"/><Relationship Id="rId_hyperlink_3399" Type="http://schemas.openxmlformats.org/officeDocument/2006/relationships/hyperlink" Target="https://nconnect.nicmar.ac.in/storage/profile/2021-2023_AP21478_154682.jpg" TargetMode="External"/><Relationship Id="rId_hyperlink_3400" Type="http://schemas.openxmlformats.org/officeDocument/2006/relationships/hyperlink" Target="https://nconnect.nicmar.ac.in/storage/profile/2021-2023_AP21479_186479.jpeg" TargetMode="External"/><Relationship Id="rId_hyperlink_3401" Type="http://schemas.openxmlformats.org/officeDocument/2006/relationships/hyperlink" Target="https://nconnect.nicmar.ac.in/storage/profile/2021-2023_AP21480_164832.jpg" TargetMode="External"/><Relationship Id="rId_hyperlink_3402" Type="http://schemas.openxmlformats.org/officeDocument/2006/relationships/hyperlink" Target="https://nconnect.nicmar.ac.in/storage/profile/2021-2023_AP21481_792468.jpg" TargetMode="External"/><Relationship Id="rId_hyperlink_3403" Type="http://schemas.openxmlformats.org/officeDocument/2006/relationships/hyperlink" Target="https://nconnect.nicmar.ac.in/storage/profile/2021-2023_AP21482_719265.jpeg" TargetMode="External"/><Relationship Id="rId_hyperlink_3404" Type="http://schemas.openxmlformats.org/officeDocument/2006/relationships/hyperlink" Target="https://nconnect.nicmar.ac.in/storage/profile/2021-2023_AP21483_671432.jpg" TargetMode="External"/><Relationship Id="rId_hyperlink_3405" Type="http://schemas.openxmlformats.org/officeDocument/2006/relationships/hyperlink" Target="https://nconnect.nicmar.ac.in/storage/profile/2021-2023_AP21484_541628.jpg" TargetMode="External"/><Relationship Id="rId_hyperlink_3406" Type="http://schemas.openxmlformats.org/officeDocument/2006/relationships/hyperlink" Target="https://nconnect.nicmar.ac.in/storage/profile/2021-2023_AP21485_954328.jpg" TargetMode="External"/><Relationship Id="rId_hyperlink_3407" Type="http://schemas.openxmlformats.org/officeDocument/2006/relationships/hyperlink" Target="https://nconnect.nicmar.ac.in/storage/profile/2021-2023_AP21486_918574.jpg" TargetMode="External"/><Relationship Id="rId_hyperlink_3408" Type="http://schemas.openxmlformats.org/officeDocument/2006/relationships/hyperlink" Target="https://nconnect.nicmar.ac.in/storage/profile/2021-2023_AP21487_643512.jpg" TargetMode="External"/><Relationship Id="rId_hyperlink_3409" Type="http://schemas.openxmlformats.org/officeDocument/2006/relationships/hyperlink" Target="https://nconnect.nicmar.ac.in/storage/profile/2021-2023_AP21488_865379.jpg" TargetMode="External"/><Relationship Id="rId_hyperlink_3410" Type="http://schemas.openxmlformats.org/officeDocument/2006/relationships/hyperlink" Target="https://nconnect.nicmar.ac.in/storage/profile/2021-2023_AP21489_476921.jpeg" TargetMode="External"/><Relationship Id="rId_hyperlink_3411" Type="http://schemas.openxmlformats.org/officeDocument/2006/relationships/hyperlink" Target="https://nconnect.nicmar.ac.in/storage/profile/2021-2023_AP21490_918763.jpg" TargetMode="External"/><Relationship Id="rId_hyperlink_3412" Type="http://schemas.openxmlformats.org/officeDocument/2006/relationships/hyperlink" Target="https://nconnect.nicmar.ac.in/storage/profile/2021-2023_AP21491_258731.jpg" TargetMode="External"/><Relationship Id="rId_hyperlink_3413" Type="http://schemas.openxmlformats.org/officeDocument/2006/relationships/hyperlink" Target="https://nconnect.nicmar.ac.in/storage/profile/2021-2023_AP21492_196542.jpg" TargetMode="External"/><Relationship Id="rId_hyperlink_3414" Type="http://schemas.openxmlformats.org/officeDocument/2006/relationships/hyperlink" Target="https://nconnect.nicmar.ac.in/storage/profile/2021-2023_AP21493_917425.jpg" TargetMode="External"/><Relationship Id="rId_hyperlink_3415" Type="http://schemas.openxmlformats.org/officeDocument/2006/relationships/hyperlink" Target="https://nconnect.nicmar.ac.in/storage/profile/2021-2023_AP21494_297618.jpg" TargetMode="External"/><Relationship Id="rId_hyperlink_3416" Type="http://schemas.openxmlformats.org/officeDocument/2006/relationships/hyperlink" Target="https://nconnect.nicmar.ac.in/storage/profile/2021-2023_AP21495_835172.JPG" TargetMode="External"/><Relationship Id="rId_hyperlink_3417" Type="http://schemas.openxmlformats.org/officeDocument/2006/relationships/hyperlink" Target="https://nconnect.nicmar.ac.in/storage/profile/2021-2023_AP21496_358124.jpg" TargetMode="External"/><Relationship Id="rId_hyperlink_3418" Type="http://schemas.openxmlformats.org/officeDocument/2006/relationships/hyperlink" Target="https://nconnect.nicmar.ac.in/storage/profile/2021-2023_AP21498_238794.jpg" TargetMode="External"/><Relationship Id="rId_hyperlink_3419" Type="http://schemas.openxmlformats.org/officeDocument/2006/relationships/hyperlink" Target="https://nconnect.nicmar.ac.in/storage/profile/2021-2023_AP21499_685341.jpg" TargetMode="External"/><Relationship Id="rId_hyperlink_3420" Type="http://schemas.openxmlformats.org/officeDocument/2006/relationships/hyperlink" Target="https://nconnect.nicmar.ac.in/storage/profile/2021-2023_AP21500_398724.jpg" TargetMode="External"/><Relationship Id="rId_hyperlink_3421" Type="http://schemas.openxmlformats.org/officeDocument/2006/relationships/hyperlink" Target="https://nconnect.nicmar.ac.in/storage/profile/2021-2023_AP21501_728536.png" TargetMode="External"/><Relationship Id="rId_hyperlink_3422" Type="http://schemas.openxmlformats.org/officeDocument/2006/relationships/hyperlink" Target="https://nconnect.nicmar.ac.in/storage/profile/2021-2023_AP21502_174369.jpg" TargetMode="External"/><Relationship Id="rId_hyperlink_3423" Type="http://schemas.openxmlformats.org/officeDocument/2006/relationships/hyperlink" Target="https://nconnect.nicmar.ac.in/storage/profile/2021-2023_AP21503_913578.jpg" TargetMode="External"/><Relationship Id="rId_hyperlink_3424" Type="http://schemas.openxmlformats.org/officeDocument/2006/relationships/hyperlink" Target="https://nconnect.nicmar.ac.in/storage/profile/2021-2023_AP21504_894165.jpg" TargetMode="External"/><Relationship Id="rId_hyperlink_3425" Type="http://schemas.openxmlformats.org/officeDocument/2006/relationships/hyperlink" Target="https://nconnect.nicmar.ac.in/storage/profile/2021-2023_AP21505_763924.jpg" TargetMode="External"/><Relationship Id="rId_hyperlink_3426" Type="http://schemas.openxmlformats.org/officeDocument/2006/relationships/hyperlink" Target="https://nconnect.nicmar.ac.in/storage/profile/2021-2023_AP21506_457198.jpg" TargetMode="External"/><Relationship Id="rId_hyperlink_3427" Type="http://schemas.openxmlformats.org/officeDocument/2006/relationships/hyperlink" Target="https://nconnect.nicmar.ac.in/storage/profile/2021-2023_AP21508_857431.png" TargetMode="External"/><Relationship Id="rId_hyperlink_3428" Type="http://schemas.openxmlformats.org/officeDocument/2006/relationships/hyperlink" Target="https://nconnect.nicmar.ac.in/storage/profile/2021-2023_AP21509_728965.jpg" TargetMode="External"/><Relationship Id="rId_hyperlink_3429" Type="http://schemas.openxmlformats.org/officeDocument/2006/relationships/hyperlink" Target="https://nconnect.nicmar.ac.in/storage/profile/2021-2023_AP21510_574932.jpg" TargetMode="External"/><Relationship Id="rId_hyperlink_3430" Type="http://schemas.openxmlformats.org/officeDocument/2006/relationships/hyperlink" Target="https://nconnect.nicmar.ac.in/storage/profile/2021-2023_AP21511_169382.jpg" TargetMode="External"/><Relationship Id="rId_hyperlink_3431" Type="http://schemas.openxmlformats.org/officeDocument/2006/relationships/hyperlink" Target="https://nconnect.nicmar.ac.in/storage/profile/2021-2023_AP21512_375692.jpg" TargetMode="External"/><Relationship Id="rId_hyperlink_3432" Type="http://schemas.openxmlformats.org/officeDocument/2006/relationships/hyperlink" Target="https://nconnect.nicmar.ac.in/storage/profile/2021-2023_AP21513_528943.jpg" TargetMode="External"/><Relationship Id="rId_hyperlink_3433" Type="http://schemas.openxmlformats.org/officeDocument/2006/relationships/hyperlink" Target="https://nconnect.nicmar.ac.in/storage/profile/2021-2023_AP21514_485279.jpg" TargetMode="External"/><Relationship Id="rId_hyperlink_3434" Type="http://schemas.openxmlformats.org/officeDocument/2006/relationships/hyperlink" Target="https://nconnect.nicmar.ac.in/storage/profile/2021-2023_AP21515_213698.jpg" TargetMode="External"/><Relationship Id="rId_hyperlink_3435" Type="http://schemas.openxmlformats.org/officeDocument/2006/relationships/hyperlink" Target="https://nconnect.nicmar.ac.in/storage/profile/2021-2023_AP21516_758146.jpg" TargetMode="External"/><Relationship Id="rId_hyperlink_3436" Type="http://schemas.openxmlformats.org/officeDocument/2006/relationships/hyperlink" Target="https://nconnect.nicmar.ac.in/storage/profile/ProfilePhoto_AP21517_435897.jpg" TargetMode="External"/><Relationship Id="rId_hyperlink_3437" Type="http://schemas.openxmlformats.org/officeDocument/2006/relationships/hyperlink" Target="https://nconnect.nicmar.ac.in/storage/profile/2021-2023_PP21001_142793.jpg" TargetMode="External"/><Relationship Id="rId_hyperlink_3438" Type="http://schemas.openxmlformats.org/officeDocument/2006/relationships/hyperlink" Target="https://nconnect.nicmar.ac.in/storage/profile/2021-2023_PP21002_246978.png" TargetMode="External"/><Relationship Id="rId_hyperlink_3439" Type="http://schemas.openxmlformats.org/officeDocument/2006/relationships/hyperlink" Target="https://nconnect.nicmar.ac.in/storage/profile/2021-2023_PP21003_312879.jpg" TargetMode="External"/><Relationship Id="rId_hyperlink_3440" Type="http://schemas.openxmlformats.org/officeDocument/2006/relationships/hyperlink" Target="https://nconnect.nicmar.ac.in/storage/profile/2021-2023_PP21005_371294.jpg" TargetMode="External"/><Relationship Id="rId_hyperlink_3441" Type="http://schemas.openxmlformats.org/officeDocument/2006/relationships/hyperlink" Target="https://nconnect.nicmar.ac.in/storage/profile/2021-2023_PP21007_341895.jpg" TargetMode="External"/><Relationship Id="rId_hyperlink_3442" Type="http://schemas.openxmlformats.org/officeDocument/2006/relationships/hyperlink" Target="https://nconnect.nicmar.ac.in/storage/profile/2021-2023_PP21008_395487.jpg" TargetMode="External"/><Relationship Id="rId_hyperlink_3443" Type="http://schemas.openxmlformats.org/officeDocument/2006/relationships/hyperlink" Target="https://nconnect.nicmar.ac.in/storage/profile/2021-2023_PP21010_394285.jpg" TargetMode="External"/><Relationship Id="rId_hyperlink_3444" Type="http://schemas.openxmlformats.org/officeDocument/2006/relationships/hyperlink" Target="https://nconnect.nicmar.ac.in/storage/profile/2021-2023_PP21011_925634.png" TargetMode="External"/><Relationship Id="rId_hyperlink_3445" Type="http://schemas.openxmlformats.org/officeDocument/2006/relationships/hyperlink" Target="https://nconnect.nicmar.ac.in/storage/profile/2021-2023_PP21013_539124.JPG" TargetMode="External"/><Relationship Id="rId_hyperlink_3446" Type="http://schemas.openxmlformats.org/officeDocument/2006/relationships/hyperlink" Target="https://nconnect.nicmar.ac.in/storage/profile/2021-2023_PP21015_462539.jpg" TargetMode="External"/><Relationship Id="rId_hyperlink_3447" Type="http://schemas.openxmlformats.org/officeDocument/2006/relationships/hyperlink" Target="https://nconnect.nicmar.ac.in/storage/profile/2021-2023_PP21016_497253.jpg" TargetMode="External"/><Relationship Id="rId_hyperlink_3448" Type="http://schemas.openxmlformats.org/officeDocument/2006/relationships/hyperlink" Target="https://nconnect.nicmar.ac.in/storage/profile/2021-2023_PP21017_583691.jpg" TargetMode="External"/><Relationship Id="rId_hyperlink_3449" Type="http://schemas.openxmlformats.org/officeDocument/2006/relationships/hyperlink" Target="https://nconnect.nicmar.ac.in/storage/profile/2021-2023_PP21018_953762.jpg" TargetMode="External"/><Relationship Id="rId_hyperlink_3450" Type="http://schemas.openxmlformats.org/officeDocument/2006/relationships/hyperlink" Target="https://nconnect.nicmar.ac.in/storage/profile/2021-2023_PP21019_254368.jpg" TargetMode="External"/><Relationship Id="rId_hyperlink_3451" Type="http://schemas.openxmlformats.org/officeDocument/2006/relationships/hyperlink" Target="https://nconnect.nicmar.ac.in/storage/profile/2021-2023_PP21020_891746.JPG" TargetMode="External"/><Relationship Id="rId_hyperlink_3452" Type="http://schemas.openxmlformats.org/officeDocument/2006/relationships/hyperlink" Target="https://nconnect.nicmar.ac.in/storage/profile/2021-2023_PP21021_534869.jpg" TargetMode="External"/><Relationship Id="rId_hyperlink_3453" Type="http://schemas.openxmlformats.org/officeDocument/2006/relationships/hyperlink" Target="https://nconnect.nicmar.ac.in/storage/profile/2021-2023_PP21022_649358.jpg" TargetMode="External"/><Relationship Id="rId_hyperlink_3454" Type="http://schemas.openxmlformats.org/officeDocument/2006/relationships/hyperlink" Target="https://nconnect.nicmar.ac.in/storage/profile/2021-2023_PP21023_714592.jpg" TargetMode="External"/><Relationship Id="rId_hyperlink_3455" Type="http://schemas.openxmlformats.org/officeDocument/2006/relationships/hyperlink" Target="https://nconnect.nicmar.ac.in/storage/profile/2021-2023_PP21024_326798.jpg" TargetMode="External"/><Relationship Id="rId_hyperlink_3456" Type="http://schemas.openxmlformats.org/officeDocument/2006/relationships/hyperlink" Target="https://nconnect.nicmar.ac.in/storage/profile/2021-2023_PP21025_894137.jpg" TargetMode="External"/><Relationship Id="rId_hyperlink_3457" Type="http://schemas.openxmlformats.org/officeDocument/2006/relationships/hyperlink" Target="https://nconnect.nicmar.ac.in/storage/profile/2021-2023_PP21026_912485.jpg" TargetMode="External"/><Relationship Id="rId_hyperlink_3458" Type="http://schemas.openxmlformats.org/officeDocument/2006/relationships/hyperlink" Target="https://nconnect.nicmar.ac.in/storage/profile/2021-2023_PP21027_952614.png" TargetMode="External"/><Relationship Id="rId_hyperlink_3459" Type="http://schemas.openxmlformats.org/officeDocument/2006/relationships/hyperlink" Target="https://nconnect.nicmar.ac.in/storage/profile/2021-2023_PP21031_275896.jpg" TargetMode="External"/><Relationship Id="rId_hyperlink_3460" Type="http://schemas.openxmlformats.org/officeDocument/2006/relationships/hyperlink" Target="https://nconnect.nicmar.ac.in/storage/profile/2021-2023_PP21032_423815.jpg" TargetMode="External"/><Relationship Id="rId_hyperlink_3461" Type="http://schemas.openxmlformats.org/officeDocument/2006/relationships/hyperlink" Target="https://nconnect.nicmar.ac.in/storage/profile/2021-2023_PP21033_976124.jpg" TargetMode="External"/><Relationship Id="rId_hyperlink_3462" Type="http://schemas.openxmlformats.org/officeDocument/2006/relationships/hyperlink" Target="https://nconnect.nicmar.ac.in/storage/profile/2021-2023_PP21034_961578.jpg" TargetMode="External"/><Relationship Id="rId_hyperlink_3463" Type="http://schemas.openxmlformats.org/officeDocument/2006/relationships/hyperlink" Target="https://nconnect.nicmar.ac.in/storage/profile/2021-2023_PP21035_947268.jpg" TargetMode="External"/><Relationship Id="rId_hyperlink_3464" Type="http://schemas.openxmlformats.org/officeDocument/2006/relationships/hyperlink" Target="https://nconnect.nicmar.ac.in/storage/profile/2021-2023_PP21036_176439.jpg" TargetMode="External"/><Relationship Id="rId_hyperlink_3465" Type="http://schemas.openxmlformats.org/officeDocument/2006/relationships/hyperlink" Target="https://nconnect.nicmar.ac.in/storage/profile/2021-2023_PP21037_425879.jpg" TargetMode="External"/><Relationship Id="rId_hyperlink_3466" Type="http://schemas.openxmlformats.org/officeDocument/2006/relationships/hyperlink" Target="https://nconnect.nicmar.ac.in/storage/profile/2021-2023_PP21039_734156.jpg" TargetMode="External"/><Relationship Id="rId_hyperlink_3467" Type="http://schemas.openxmlformats.org/officeDocument/2006/relationships/hyperlink" Target="https://nconnect.nicmar.ac.in/storage/profile/2021-2023_PP21041_827165.png" TargetMode="External"/><Relationship Id="rId_hyperlink_3468" Type="http://schemas.openxmlformats.org/officeDocument/2006/relationships/hyperlink" Target="https://nconnect.nicmar.ac.in/storage/profile/2021-2023_PP21042_458237.jpg" TargetMode="External"/><Relationship Id="rId_hyperlink_3469" Type="http://schemas.openxmlformats.org/officeDocument/2006/relationships/hyperlink" Target="https://nconnect.nicmar.ac.in/storage/profile/2021-2023_PP21043_796134.jpeg" TargetMode="External"/><Relationship Id="rId_hyperlink_3470" Type="http://schemas.openxmlformats.org/officeDocument/2006/relationships/hyperlink" Target="https://nconnect.nicmar.ac.in/storage/profile/2021-2023_PP21044_196357.jpg" TargetMode="External"/><Relationship Id="rId_hyperlink_3471" Type="http://schemas.openxmlformats.org/officeDocument/2006/relationships/hyperlink" Target="https://nconnect.nicmar.ac.in/storage/profile/2021-2023_PP21045_736298.jpg" TargetMode="External"/><Relationship Id="rId_hyperlink_3472" Type="http://schemas.openxmlformats.org/officeDocument/2006/relationships/hyperlink" Target="https://nconnect.nicmar.ac.in/storage/profile/2021-2023_PP21046_142735.jpeg" TargetMode="External"/><Relationship Id="rId_hyperlink_3473" Type="http://schemas.openxmlformats.org/officeDocument/2006/relationships/hyperlink" Target="https://nconnect.nicmar.ac.in/storage/profile/2021-2023_PP21048_179385.jpg" TargetMode="External"/><Relationship Id="rId_hyperlink_3474" Type="http://schemas.openxmlformats.org/officeDocument/2006/relationships/hyperlink" Target="https://nconnect.nicmar.ac.in/storage/profile/2021-2023_PP21049_528649.JPG" TargetMode="External"/><Relationship Id="rId_hyperlink_3475" Type="http://schemas.openxmlformats.org/officeDocument/2006/relationships/hyperlink" Target="https://nconnect.nicmar.ac.in/storage/profile/2021-2023_PP21051_165943.jpg" TargetMode="External"/><Relationship Id="rId_hyperlink_3476" Type="http://schemas.openxmlformats.org/officeDocument/2006/relationships/hyperlink" Target="https://nconnect.nicmar.ac.in/storage/profile/2021-2023_PP21052_273985.jpg" TargetMode="External"/><Relationship Id="rId_hyperlink_3477" Type="http://schemas.openxmlformats.org/officeDocument/2006/relationships/hyperlink" Target="https://nconnect.nicmar.ac.in/storage/profile/2021-2023_PP21053_329165.jpg" TargetMode="External"/><Relationship Id="rId_hyperlink_3478" Type="http://schemas.openxmlformats.org/officeDocument/2006/relationships/hyperlink" Target="https://nconnect.nicmar.ac.in/storage/profile/2021-2023_PP21054_647123.jpeg" TargetMode="External"/><Relationship Id="rId_hyperlink_3479" Type="http://schemas.openxmlformats.org/officeDocument/2006/relationships/hyperlink" Target="https://nconnect.nicmar.ac.in/storage/profile/2021-2023_PP21057_398754.jpg" TargetMode="External"/><Relationship Id="rId_hyperlink_3480" Type="http://schemas.openxmlformats.org/officeDocument/2006/relationships/hyperlink" Target="https://nconnect.nicmar.ac.in/storage/profile/2021-2023_PP21058_795316.jpg" TargetMode="External"/><Relationship Id="rId_hyperlink_3481" Type="http://schemas.openxmlformats.org/officeDocument/2006/relationships/hyperlink" Target="https://nconnect.nicmar.ac.in/storage/profile/2021-2023_PP21059_938524.jpg" TargetMode="External"/><Relationship Id="rId_hyperlink_3482" Type="http://schemas.openxmlformats.org/officeDocument/2006/relationships/hyperlink" Target="https://nconnect.nicmar.ac.in/storage/profile/2021-2023_PP21060_715963.jpg" TargetMode="External"/><Relationship Id="rId_hyperlink_3483" Type="http://schemas.openxmlformats.org/officeDocument/2006/relationships/hyperlink" Target="https://nconnect.nicmar.ac.in/storage/profile/2021-2023_PP21061_863175.jpg" TargetMode="External"/><Relationship Id="rId_hyperlink_3484" Type="http://schemas.openxmlformats.org/officeDocument/2006/relationships/hyperlink" Target="https://nconnect.nicmar.ac.in/storage/profile/2021-2023_PP21062_385617.jpg" TargetMode="External"/><Relationship Id="rId_hyperlink_3485" Type="http://schemas.openxmlformats.org/officeDocument/2006/relationships/hyperlink" Target="https://nconnect.nicmar.ac.in/storage/profile/2021-2023_PP21063_574682.jpg" TargetMode="External"/><Relationship Id="rId_hyperlink_3486" Type="http://schemas.openxmlformats.org/officeDocument/2006/relationships/hyperlink" Target="https://nconnect.nicmar.ac.in/storage/profile/2021-2023_PP21064_479261.jpg" TargetMode="External"/><Relationship Id="rId_hyperlink_3487" Type="http://schemas.openxmlformats.org/officeDocument/2006/relationships/hyperlink" Target="https://nconnect.nicmar.ac.in/storage/profile/2021-2023_PP21065_761483.JPG" TargetMode="External"/><Relationship Id="rId_hyperlink_3488" Type="http://schemas.openxmlformats.org/officeDocument/2006/relationships/hyperlink" Target="https://nconnect.nicmar.ac.in/storage/profile/2021-2023_PP21066_569381.jpg" TargetMode="External"/><Relationship Id="rId_hyperlink_3489" Type="http://schemas.openxmlformats.org/officeDocument/2006/relationships/hyperlink" Target="https://nconnect.nicmar.ac.in/storage/profile/2021-2023_PP21067_937621.jpg" TargetMode="External"/><Relationship Id="rId_hyperlink_3490" Type="http://schemas.openxmlformats.org/officeDocument/2006/relationships/hyperlink" Target="https://nconnect.nicmar.ac.in/storage/profile/2021-2023_PP21068_296475.jpeg" TargetMode="External"/><Relationship Id="rId_hyperlink_3491" Type="http://schemas.openxmlformats.org/officeDocument/2006/relationships/hyperlink" Target="https://nconnect.nicmar.ac.in/storage/profile/2021-2023_PP21069_865149.jpg" TargetMode="External"/><Relationship Id="rId_hyperlink_3492" Type="http://schemas.openxmlformats.org/officeDocument/2006/relationships/hyperlink" Target="https://nconnect.nicmar.ac.in/storage/profile/2021-2023_PP21070_465279.jpeg" TargetMode="External"/><Relationship Id="rId_hyperlink_3493" Type="http://schemas.openxmlformats.org/officeDocument/2006/relationships/hyperlink" Target="https://nconnect.nicmar.ac.in/storage/profile/2021-2023_PP21072_456873.jpg" TargetMode="External"/><Relationship Id="rId_hyperlink_3494" Type="http://schemas.openxmlformats.org/officeDocument/2006/relationships/hyperlink" Target="https://nconnect.nicmar.ac.in/storage/profile/2021-2023_PP21073_589472.jpg" TargetMode="External"/><Relationship Id="rId_hyperlink_3495" Type="http://schemas.openxmlformats.org/officeDocument/2006/relationships/hyperlink" Target="https://nconnect.nicmar.ac.in/storage/profile/2021-2023_PP21074_124379.jpg" TargetMode="External"/><Relationship Id="rId_hyperlink_3496" Type="http://schemas.openxmlformats.org/officeDocument/2006/relationships/hyperlink" Target="https://nconnect.nicmar.ac.in/storage/profile/2021-2023_PP21075_612834.jpg" TargetMode="External"/><Relationship Id="rId_hyperlink_3497" Type="http://schemas.openxmlformats.org/officeDocument/2006/relationships/hyperlink" Target="https://nconnect.nicmar.ac.in/storage/profile/2021-2023_PP21076_975683.jpg" TargetMode="External"/><Relationship Id="rId_hyperlink_3498" Type="http://schemas.openxmlformats.org/officeDocument/2006/relationships/hyperlink" Target="https://nconnect.nicmar.ac.in/storage/profile/2021-2023_PP21077_812579.jpg" TargetMode="External"/><Relationship Id="rId_hyperlink_3499" Type="http://schemas.openxmlformats.org/officeDocument/2006/relationships/hyperlink" Target="https://nconnect.nicmar.ac.in/storage/profile/2021-2023_PP21078_695831.jpeg" TargetMode="External"/><Relationship Id="rId_hyperlink_3500" Type="http://schemas.openxmlformats.org/officeDocument/2006/relationships/hyperlink" Target="https://nconnect.nicmar.ac.in/storage/profile/2021-2023_PP21080_247853.jpg" TargetMode="External"/><Relationship Id="rId_hyperlink_3501" Type="http://schemas.openxmlformats.org/officeDocument/2006/relationships/hyperlink" Target="https://nconnect.nicmar.ac.in/storage/profile/2021-2023_PP21081_758169.jpg" TargetMode="External"/><Relationship Id="rId_hyperlink_3502" Type="http://schemas.openxmlformats.org/officeDocument/2006/relationships/hyperlink" Target="https://nconnect.nicmar.ac.in/storage/profile/2021-2023_PP21082_716245.jpg" TargetMode="External"/><Relationship Id="rId_hyperlink_3503" Type="http://schemas.openxmlformats.org/officeDocument/2006/relationships/hyperlink" Target="https://nconnect.nicmar.ac.in/storage/profile/2021-2023_PP21083_356712.jpeg" TargetMode="External"/><Relationship Id="rId_hyperlink_3504" Type="http://schemas.openxmlformats.org/officeDocument/2006/relationships/hyperlink" Target="https://nconnect.nicmar.ac.in/storage/profile/2021-2023_PP21084_759683.jpg" TargetMode="External"/><Relationship Id="rId_hyperlink_3505" Type="http://schemas.openxmlformats.org/officeDocument/2006/relationships/hyperlink" Target="https://nconnect.nicmar.ac.in/storage/profile/2021-2023_PP21085_936572.jpg" TargetMode="External"/><Relationship Id="rId_hyperlink_3506" Type="http://schemas.openxmlformats.org/officeDocument/2006/relationships/hyperlink" Target="https://nconnect.nicmar.ac.in/storage/profile/2021-2023_PP21086_653981.jpg" TargetMode="External"/><Relationship Id="rId_hyperlink_3507" Type="http://schemas.openxmlformats.org/officeDocument/2006/relationships/hyperlink" Target="https://nconnect.nicmar.ac.in/storage/profile/2021-2023_PP21087_947253.jpg" TargetMode="External"/><Relationship Id="rId_hyperlink_3508" Type="http://schemas.openxmlformats.org/officeDocument/2006/relationships/hyperlink" Target="https://nconnect.nicmar.ac.in/storage/profile/ProfilePhoto_PP21088_456397.jpg" TargetMode="External"/><Relationship Id="rId_hyperlink_3509" Type="http://schemas.openxmlformats.org/officeDocument/2006/relationships/hyperlink" Target="https://nconnect.nicmar.ac.in/storage/profile/2021-2023_PP21089_841256.png" TargetMode="External"/><Relationship Id="rId_hyperlink_3510" Type="http://schemas.openxmlformats.org/officeDocument/2006/relationships/hyperlink" Target="https://nconnect.nicmar.ac.in/storage/profile/2021-2023_PP21090_967238.jpg" TargetMode="External"/><Relationship Id="rId_hyperlink_3511" Type="http://schemas.openxmlformats.org/officeDocument/2006/relationships/hyperlink" Target="https://nconnect.nicmar.ac.in/storage/profile/2021-2023_PP21091_893427.jpeg" TargetMode="External"/><Relationship Id="rId_hyperlink_3512" Type="http://schemas.openxmlformats.org/officeDocument/2006/relationships/hyperlink" Target="https://nconnect.nicmar.ac.in/storage/profile/2021-2023_PP21092_723695.jpg" TargetMode="External"/><Relationship Id="rId_hyperlink_3513" Type="http://schemas.openxmlformats.org/officeDocument/2006/relationships/hyperlink" Target="https://nconnect.nicmar.ac.in/storage/profile/2021-2023_PP21093_372618.jpg" TargetMode="External"/><Relationship Id="rId_hyperlink_3514" Type="http://schemas.openxmlformats.org/officeDocument/2006/relationships/hyperlink" Target="https://nconnect.nicmar.ac.in/storage/profile/2021-2023_PP21094_463927.jpg" TargetMode="External"/><Relationship Id="rId_hyperlink_3515" Type="http://schemas.openxmlformats.org/officeDocument/2006/relationships/hyperlink" Target="https://nconnect.nicmar.ac.in/storage/profile/2021-2023_PP21095_957124.jpg" TargetMode="External"/><Relationship Id="rId_hyperlink_3516" Type="http://schemas.openxmlformats.org/officeDocument/2006/relationships/hyperlink" Target="https://nconnect.nicmar.ac.in/storage/profile/2021-2023_PP21097_172936.JPG" TargetMode="External"/><Relationship Id="rId_hyperlink_3517" Type="http://schemas.openxmlformats.org/officeDocument/2006/relationships/hyperlink" Target="https://nconnect.nicmar.ac.in/storage/profile/2021-2023_PP21098_381527.jpg" TargetMode="External"/><Relationship Id="rId_hyperlink_3518" Type="http://schemas.openxmlformats.org/officeDocument/2006/relationships/hyperlink" Target="https://nconnect.nicmar.ac.in/storage/profile/2021-2023_PP21099_483517.jpg" TargetMode="External"/><Relationship Id="rId_hyperlink_3519" Type="http://schemas.openxmlformats.org/officeDocument/2006/relationships/hyperlink" Target="https://nconnect.nicmar.ac.in/storage/profile/2021-2023_PP21102_651824.jpg" TargetMode="External"/><Relationship Id="rId_hyperlink_3520" Type="http://schemas.openxmlformats.org/officeDocument/2006/relationships/hyperlink" Target="https://nconnect.nicmar.ac.in/storage/profile/2021-2023_PP21103_684725.jpg" TargetMode="External"/><Relationship Id="rId_hyperlink_3521" Type="http://schemas.openxmlformats.org/officeDocument/2006/relationships/hyperlink" Target="https://nconnect.nicmar.ac.in/storage/profile/2021-2023_PP21056_145637.JPG" TargetMode="External"/><Relationship Id="rId_hyperlink_3522" Type="http://schemas.openxmlformats.org/officeDocument/2006/relationships/hyperlink" Target="https://nconnect.nicmar.ac.in/storage/profile/2021-2023_FP20012_364751.jpg" TargetMode="External"/><Relationship Id="rId_hyperlink_3523" Type="http://schemas.openxmlformats.org/officeDocument/2006/relationships/hyperlink" Target="https://nconnect.nicmar.ac.in/storage/profile/2021-2023_FP21002_815934.png" TargetMode="External"/><Relationship Id="rId_hyperlink_3524" Type="http://schemas.openxmlformats.org/officeDocument/2006/relationships/hyperlink" Target="https://nconnect.nicmar.ac.in/storage/profile/ProfilePhoto_FP21003_572641.jpg" TargetMode="External"/><Relationship Id="rId_hyperlink_3525" Type="http://schemas.openxmlformats.org/officeDocument/2006/relationships/hyperlink" Target="https://nconnect.nicmar.ac.in/storage/profile/2021-2023_FP21004_139457.jpg" TargetMode="External"/><Relationship Id="rId_hyperlink_3526" Type="http://schemas.openxmlformats.org/officeDocument/2006/relationships/hyperlink" Target="https://nconnect.nicmar.ac.in/storage/profile/2021-2023_FP21005_958174.JPG" TargetMode="External"/><Relationship Id="rId_hyperlink_3527" Type="http://schemas.openxmlformats.org/officeDocument/2006/relationships/hyperlink" Target="https://nconnect.nicmar.ac.in/storage/profile/2021-2023_FP21007_534817.jpg" TargetMode="External"/><Relationship Id="rId_hyperlink_3528" Type="http://schemas.openxmlformats.org/officeDocument/2006/relationships/hyperlink" Target="https://nconnect.nicmar.ac.in/storage/profile/2021-2023_FP21009_941635.jpg" TargetMode="External"/><Relationship Id="rId_hyperlink_3529" Type="http://schemas.openxmlformats.org/officeDocument/2006/relationships/hyperlink" Target="https://nconnect.nicmar.ac.in/storage/profile/2021-2023_FP21010_963785.jpeg" TargetMode="External"/><Relationship Id="rId_hyperlink_3530" Type="http://schemas.openxmlformats.org/officeDocument/2006/relationships/hyperlink" Target="https://nconnect.nicmar.ac.in/storage/profile/2021-2023_FP21011_516297.jpg" TargetMode="External"/><Relationship Id="rId_hyperlink_3531" Type="http://schemas.openxmlformats.org/officeDocument/2006/relationships/hyperlink" Target="https://nconnect.nicmar.ac.in/storage/profile/2021-2023_RP21001_713928.jpg" TargetMode="External"/><Relationship Id="rId_hyperlink_3532" Type="http://schemas.openxmlformats.org/officeDocument/2006/relationships/hyperlink" Target="https://nconnect.nicmar.ac.in/storage/profile/2021-2023_RP21002_185624.jpg" TargetMode="External"/><Relationship Id="rId_hyperlink_3533" Type="http://schemas.openxmlformats.org/officeDocument/2006/relationships/hyperlink" Target="https://nconnect.nicmar.ac.in/storage/profile/2021-2023_RP21004_531286.jpg" TargetMode="External"/><Relationship Id="rId_hyperlink_3534" Type="http://schemas.openxmlformats.org/officeDocument/2006/relationships/hyperlink" Target="https://nconnect.nicmar.ac.in/storage/profile/2021-2023_RP21005_924765.jpg" TargetMode="External"/><Relationship Id="rId_hyperlink_3535" Type="http://schemas.openxmlformats.org/officeDocument/2006/relationships/hyperlink" Target="https://nconnect.nicmar.ac.in/storage/profile/2021-2023_RP21008_452198.jpg" TargetMode="External"/><Relationship Id="rId_hyperlink_3536" Type="http://schemas.openxmlformats.org/officeDocument/2006/relationships/hyperlink" Target="https://nconnect.nicmar.ac.in/storage/profile/2021-2023_RP21009_149326.JPG" TargetMode="External"/><Relationship Id="rId_hyperlink_3537" Type="http://schemas.openxmlformats.org/officeDocument/2006/relationships/hyperlink" Target="https://nconnect.nicmar.ac.in/storage/profile/2021-2023_RP21010_472831.jpg" TargetMode="External"/><Relationship Id="rId_hyperlink_3538" Type="http://schemas.openxmlformats.org/officeDocument/2006/relationships/hyperlink" Target="https://nconnect.nicmar.ac.in/storage/profile/2021-2023_RP21011_975186.jpg" TargetMode="External"/><Relationship Id="rId_hyperlink_3539" Type="http://schemas.openxmlformats.org/officeDocument/2006/relationships/hyperlink" Target="https://nconnect.nicmar.ac.in/storage/profile/2021-2023_RP21012_693528.jpg" TargetMode="External"/><Relationship Id="rId_hyperlink_3540" Type="http://schemas.openxmlformats.org/officeDocument/2006/relationships/hyperlink" Target="https://nconnect.nicmar.ac.in/storage/profile/2021-2023_RP21014_534682.jpg" TargetMode="External"/><Relationship Id="rId_hyperlink_3541" Type="http://schemas.openxmlformats.org/officeDocument/2006/relationships/hyperlink" Target="https://nconnect.nicmar.ac.in/storage/profile/2021-2023_RP21015_854623.JPG" TargetMode="External"/><Relationship Id="rId_hyperlink_3542" Type="http://schemas.openxmlformats.org/officeDocument/2006/relationships/hyperlink" Target="https://nconnect.nicmar.ac.in/storage/profile/2021-2023_RP21016_628739.jpg" TargetMode="External"/><Relationship Id="rId_hyperlink_3543" Type="http://schemas.openxmlformats.org/officeDocument/2006/relationships/hyperlink" Target="https://nconnect.nicmar.ac.in/storage/profile/2021-2023_RP21017_412963.jpg" TargetMode="External"/><Relationship Id="rId_hyperlink_3544" Type="http://schemas.openxmlformats.org/officeDocument/2006/relationships/hyperlink" Target="https://nconnect.nicmar.ac.in/storage/profile/2021-2023_RP21018_453768.jpg" TargetMode="External"/><Relationship Id="rId_hyperlink_3545" Type="http://schemas.openxmlformats.org/officeDocument/2006/relationships/hyperlink" Target="https://nconnect.nicmar.ac.in/storage/profile/2021-2023_RP21019_859123.jpg" TargetMode="External"/><Relationship Id="rId_hyperlink_3546" Type="http://schemas.openxmlformats.org/officeDocument/2006/relationships/hyperlink" Target="https://nconnect.nicmar.ac.in/storage/profile/2021-2023_RP21020_135496.jpg" TargetMode="External"/><Relationship Id="rId_hyperlink_3547" Type="http://schemas.openxmlformats.org/officeDocument/2006/relationships/hyperlink" Target="https://nconnect.nicmar.ac.in/storage/profile/2021-2023_RP21021_342519.jpg" TargetMode="External"/><Relationship Id="rId_hyperlink_3548" Type="http://schemas.openxmlformats.org/officeDocument/2006/relationships/hyperlink" Target="https://nconnect.nicmar.ac.in/storage/profile/2021-2023_RP21023_849736.jpeg" TargetMode="External"/><Relationship Id="rId_hyperlink_3549" Type="http://schemas.openxmlformats.org/officeDocument/2006/relationships/hyperlink" Target="https://nconnect.nicmar.ac.in/storage/profile/2021-2023_RP21024_437618.jpeg" TargetMode="External"/><Relationship Id="rId_hyperlink_3550" Type="http://schemas.openxmlformats.org/officeDocument/2006/relationships/hyperlink" Target="https://nconnect.nicmar.ac.in/storage/profile/2021-2023_RP21025_617258.jpg" TargetMode="External"/><Relationship Id="rId_hyperlink_3551" Type="http://schemas.openxmlformats.org/officeDocument/2006/relationships/hyperlink" Target="https://nconnect.nicmar.ac.in/storage/profile/2021-2023_RP21026_624753.jpg" TargetMode="External"/><Relationship Id="rId_hyperlink_3552" Type="http://schemas.openxmlformats.org/officeDocument/2006/relationships/hyperlink" Target="https://nconnect.nicmar.ac.in/storage/profile/2021-2023_RP21027_749238.JPG" TargetMode="External"/><Relationship Id="rId_hyperlink_3553" Type="http://schemas.openxmlformats.org/officeDocument/2006/relationships/hyperlink" Target="https://nconnect.nicmar.ac.in/storage/profile/2021-2023_RP21028_768319.jpg" TargetMode="External"/><Relationship Id="rId_hyperlink_3554" Type="http://schemas.openxmlformats.org/officeDocument/2006/relationships/hyperlink" Target="https://nconnect.nicmar.ac.in/storage/profile/2021-2023_RP21029_751329.jpg" TargetMode="External"/><Relationship Id="rId_hyperlink_3555" Type="http://schemas.openxmlformats.org/officeDocument/2006/relationships/hyperlink" Target="https://nconnect.nicmar.ac.in/storage/profile/2021-2023_RP21031_617348.jpg" TargetMode="External"/><Relationship Id="rId_hyperlink_3556" Type="http://schemas.openxmlformats.org/officeDocument/2006/relationships/hyperlink" Target="https://nconnect.nicmar.ac.in/storage/profile/2021-2023_RP21033_274536.jpg" TargetMode="External"/><Relationship Id="rId_hyperlink_3557" Type="http://schemas.openxmlformats.org/officeDocument/2006/relationships/hyperlink" Target="https://nconnect.nicmar.ac.in/storage/profile/2021-2023_RP21034_183675.jpg" TargetMode="External"/><Relationship Id="rId_hyperlink_3558" Type="http://schemas.openxmlformats.org/officeDocument/2006/relationships/hyperlink" Target="https://nconnect.nicmar.ac.in/storage/profile/2021-2023_RP21035_593178.jpg" TargetMode="External"/><Relationship Id="rId_hyperlink_3559" Type="http://schemas.openxmlformats.org/officeDocument/2006/relationships/hyperlink" Target="https://nconnect.nicmar.ac.in/storage/profile/2021-2023_RP21036_168593.jpg" TargetMode="External"/><Relationship Id="rId_hyperlink_3560" Type="http://schemas.openxmlformats.org/officeDocument/2006/relationships/hyperlink" Target="https://nconnect.nicmar.ac.in/storage/profile/2021-2023_RP21037_258169.jpeg" TargetMode="External"/><Relationship Id="rId_hyperlink_3561" Type="http://schemas.openxmlformats.org/officeDocument/2006/relationships/hyperlink" Target="https://nconnect.nicmar.ac.in/storage/profile/2021-2023_RP21039_537849.jpg" TargetMode="External"/><Relationship Id="rId_hyperlink_3562" Type="http://schemas.openxmlformats.org/officeDocument/2006/relationships/hyperlink" Target="https://nconnect.nicmar.ac.in/storage/profile/2021-2023_RP21040_215978.jpg" TargetMode="External"/><Relationship Id="rId_hyperlink_3563" Type="http://schemas.openxmlformats.org/officeDocument/2006/relationships/hyperlink" Target="https://nconnect.nicmar.ac.in/storage/profile/2021-2023_RP21041_893571.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3864"/>
  <sheetViews>
    <sheetView tabSelected="1" workbookViewId="0" showGridLines="true" showRowColHeaders="1">
      <pane ySplit="1" topLeftCell="A2" activePane="bottomLeft" state="frozen"/>
      <selection pane="bottomLeft" activeCell="BW2711" sqref="BW2711"/>
    </sheetView>
  </sheetViews>
  <sheetFormatPr defaultRowHeight="14.4" outlineLevelRow="0" outlineLevelCol="0"/>
  <cols>
    <col min="1" max="1" width="15.282" bestFit="true" customWidth="true" style="0"/>
    <col min="2" max="2" width="11.711" bestFit="true" customWidth="true" style="0"/>
    <col min="3" max="3" width="17.71" bestFit="true" customWidth="true" style="0"/>
    <col min="4" max="4" width="29.421" bestFit="true" customWidth="true" style="0"/>
    <col min="5" max="5" width="26.993" bestFit="true" customWidth="true" style="0"/>
    <col min="6" max="6" width="25.851" bestFit="true" customWidth="true" style="0"/>
    <col min="7" max="7" width="48.274" bestFit="true" customWidth="true" style="0"/>
    <col min="8" max="8" width="42.41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82.408" bestFit="true" customWidth="true" style="0"/>
    <col min="15" max="15" width="235.8" bestFit="true" customWidth="true" style="0"/>
    <col min="16" max="16" width="17.71" bestFit="true" customWidth="true" style="0"/>
    <col min="17" max="17" width="20.281" bestFit="true" customWidth="true" style="0"/>
    <col min="18" max="18" width="56.558" bestFit="true" customWidth="true" style="0"/>
    <col min="19" max="19" width="20.281" bestFit="true" customWidth="true" style="0"/>
    <col min="20" max="20" width="78.981" bestFit="true" customWidth="true" style="0"/>
    <col min="21" max="21" width="44.703" bestFit="true" customWidth="true" style="0"/>
    <col min="22" max="22" width="20.281" bestFit="true" customWidth="true" style="0"/>
    <col min="23" max="23" width="96.691" bestFit="true" customWidth="true" style="0"/>
    <col min="24" max="24" width="209.949" bestFit="true" customWidth="true" style="0"/>
    <col min="25" max="25" width="24.708" bestFit="true" customWidth="true" style="0"/>
    <col min="26" max="26" width="48.274" bestFit="true" customWidth="true" style="0"/>
    <col min="27" max="27" width="209.949" bestFit="true" customWidth="true" style="0"/>
    <col min="28" max="28" width="27.993" bestFit="true" customWidth="true" style="0"/>
    <col min="29" max="29" width="48.274" bestFit="true" customWidth="true" style="0"/>
    <col min="30" max="30" width="17.71" bestFit="true" customWidth="true" style="0"/>
    <col min="31" max="31" width="12.568" bestFit="true" customWidth="true" style="0"/>
    <col min="32" max="32" width="106.117" bestFit="true" customWidth="true" style="0"/>
    <col min="33" max="33" width="162.675"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42.679" bestFit="true" customWidth="true" style="0"/>
    <col min="39" max="39" width="142.679" bestFit="true" customWidth="true" style="0"/>
    <col min="40" max="40" width="25.851"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58.843" bestFit="true" customWidth="true" style="0"/>
    <col min="46" max="46" width="149.678"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139.109" bestFit="true" customWidth="true" style="0"/>
    <col min="52" max="52" width="149.678" bestFit="true" customWidth="true" style="0"/>
    <col min="53" max="53" width="51.845" bestFit="true" customWidth="true" style="0"/>
    <col min="54" max="54" width="51.845"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94.263" bestFit="true" customWidth="true" style="0"/>
    <col min="60" max="60" width="88.407" bestFit="true" customWidth="true" style="0"/>
    <col min="61" max="61" width="50.559" bestFit="true" customWidth="true" style="0"/>
    <col min="62" max="62" width="43.561"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301.926" bestFit="true" customWidth="true" style="0"/>
    <col min="68" max="68" width="498.878" bestFit="true" customWidth="true" style="0"/>
    <col min="69" max="69" width="24.28" bestFit="true" customWidth="true" style="0"/>
    <col min="70" max="70" width="365.625" bestFit="true" customWidth="true" style="0"/>
    <col min="71" max="71" width="19.138" bestFit="true" customWidth="true" style="0"/>
    <col min="72" max="72" width="300.784"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t="s">
        <v>79</v>
      </c>
      <c r="F2" s="1" t="s">
        <v>80</v>
      </c>
      <c r="G2" s="1" t="s">
        <v>81</v>
      </c>
      <c r="H2" s="1" t="s">
        <v>82</v>
      </c>
      <c r="I2" s="1" t="s">
        <v>83</v>
      </c>
      <c r="J2" s="1">
        <v>7397934069</v>
      </c>
      <c r="K2" s="1" t="s">
        <v>84</v>
      </c>
      <c r="L2" s="1" t="s">
        <v>85</v>
      </c>
      <c r="M2" s="1" t="s">
        <v>86</v>
      </c>
      <c r="N2" s="1" t="s">
        <v>87</v>
      </c>
      <c r="O2" s="1" t="s">
        <v>88</v>
      </c>
      <c r="P2" s="1" t="s">
        <v>89</v>
      </c>
      <c r="Q2" s="1" t="s">
        <v>90</v>
      </c>
      <c r="R2" s="1" t="s">
        <v>91</v>
      </c>
      <c r="S2" s="1">
        <v>9422230619</v>
      </c>
      <c r="T2" s="1" t="s">
        <v>92</v>
      </c>
      <c r="U2" s="1" t="s">
        <v>93</v>
      </c>
      <c r="V2" s="1">
        <v>9423653241</v>
      </c>
      <c r="W2" s="1" t="s">
        <v>94</v>
      </c>
      <c r="X2" s="1" t="s">
        <v>95</v>
      </c>
      <c r="Y2" s="1" t="s">
        <v>96</v>
      </c>
      <c r="Z2" s="1" t="s">
        <v>97</v>
      </c>
      <c r="AA2" s="1" t="s">
        <v>95</v>
      </c>
      <c r="AB2" s="1" t="s">
        <v>96</v>
      </c>
      <c r="AC2" s="1" t="s">
        <v>97</v>
      </c>
      <c r="AD2" s="1" t="s">
        <v>98</v>
      </c>
      <c r="AE2" s="1" t="s">
        <v>98</v>
      </c>
      <c r="AF2" s="1" t="s">
        <v>99</v>
      </c>
      <c r="AG2" s="1" t="s">
        <v>100</v>
      </c>
      <c r="AH2" s="1" t="s">
        <v>101</v>
      </c>
      <c r="AI2" s="1" t="s">
        <v>102</v>
      </c>
      <c r="AJ2" s="1">
        <v>79.8</v>
      </c>
      <c r="AK2" s="1"/>
      <c r="AL2" s="1"/>
      <c r="AM2" s="1"/>
      <c r="AN2" s="1"/>
      <c r="AO2" s="1"/>
      <c r="AP2" s="1"/>
      <c r="AQ2" s="1"/>
      <c r="AR2" s="1"/>
      <c r="AS2" s="1" t="s">
        <v>103</v>
      </c>
      <c r="AT2" s="1" t="s">
        <v>104</v>
      </c>
      <c r="AU2" s="1" t="s">
        <v>105</v>
      </c>
      <c r="AV2" s="1" t="s">
        <v>106</v>
      </c>
      <c r="AW2" s="1">
        <v>60.06</v>
      </c>
      <c r="AX2" s="1"/>
      <c r="AY2" s="1" t="s">
        <v>107</v>
      </c>
      <c r="AZ2" s="1" t="s">
        <v>108</v>
      </c>
      <c r="BA2" s="1"/>
      <c r="BB2" s="1"/>
      <c r="BC2" s="1" t="s">
        <v>109</v>
      </c>
      <c r="BD2" s="1" t="s">
        <v>110</v>
      </c>
      <c r="BE2" s="1">
        <v>82.27</v>
      </c>
      <c r="BF2" s="1"/>
      <c r="BG2" s="1"/>
      <c r="BH2" s="1"/>
      <c r="BI2" s="1"/>
      <c r="BJ2" s="1"/>
      <c r="BK2" s="1"/>
      <c r="BL2" s="1"/>
      <c r="BM2" s="1"/>
      <c r="BN2" s="1"/>
      <c r="BO2" s="1" t="s">
        <v>111</v>
      </c>
      <c r="BP2" s="1"/>
      <c r="BQ2" s="1"/>
      <c r="BR2" s="1" t="s">
        <v>112</v>
      </c>
      <c r="BS2" s="1">
        <v>12</v>
      </c>
      <c r="BT2" s="1" t="s">
        <v>113</v>
      </c>
      <c r="BU2" s="1" t="str">
        <f>HYPERLINK("https://nconnect.nicmar.ac.in/storage/profile/6a186e8559d6d.png","Download")</f>
        <v>0</v>
      </c>
      <c r="BV2" s="3"/>
      <c r="BW2" s="3"/>
    </row>
    <row r="3" spans="1:75">
      <c r="A3" s="1" t="s">
        <v>75</v>
      </c>
      <c r="B3" s="1" t="s">
        <v>76</v>
      </c>
      <c r="C3" s="1" t="s">
        <v>114</v>
      </c>
      <c r="D3" s="1" t="s">
        <v>115</v>
      </c>
      <c r="E3" s="1" t="s">
        <v>116</v>
      </c>
      <c r="F3" s="1" t="s">
        <v>117</v>
      </c>
      <c r="G3" s="1" t="s">
        <v>118</v>
      </c>
      <c r="H3" s="1" t="s">
        <v>119</v>
      </c>
      <c r="I3" s="1" t="s">
        <v>119</v>
      </c>
      <c r="J3" s="1">
        <v>9656425242</v>
      </c>
      <c r="K3" s="1" t="s">
        <v>84</v>
      </c>
      <c r="L3" s="1" t="s">
        <v>120</v>
      </c>
      <c r="M3" s="1" t="s">
        <v>86</v>
      </c>
      <c r="N3" s="1" t="s">
        <v>121</v>
      </c>
      <c r="O3" s="1" t="s">
        <v>88</v>
      </c>
      <c r="P3" s="1" t="s">
        <v>122</v>
      </c>
      <c r="Q3" s="1" t="s">
        <v>123</v>
      </c>
      <c r="R3" s="1" t="s">
        <v>124</v>
      </c>
      <c r="S3" s="1">
        <v>9495845773</v>
      </c>
      <c r="T3" s="1" t="s">
        <v>125</v>
      </c>
      <c r="U3" s="1" t="s">
        <v>126</v>
      </c>
      <c r="V3" s="1">
        <v>9562891610</v>
      </c>
      <c r="W3" s="1" t="s">
        <v>127</v>
      </c>
      <c r="X3" s="1" t="s">
        <v>128</v>
      </c>
      <c r="Y3" s="1" t="s">
        <v>129</v>
      </c>
      <c r="Z3" s="1" t="s">
        <v>130</v>
      </c>
      <c r="AA3" s="1" t="s">
        <v>128</v>
      </c>
      <c r="AB3" s="1" t="s">
        <v>129</v>
      </c>
      <c r="AC3" s="1" t="s">
        <v>130</v>
      </c>
      <c r="AD3" s="1" t="s">
        <v>98</v>
      </c>
      <c r="AE3" s="1" t="s">
        <v>98</v>
      </c>
      <c r="AF3" s="1" t="s">
        <v>131</v>
      </c>
      <c r="AG3" s="1" t="s">
        <v>132</v>
      </c>
      <c r="AH3" s="1" t="s">
        <v>133</v>
      </c>
      <c r="AI3" s="1" t="s">
        <v>134</v>
      </c>
      <c r="AJ3" s="1">
        <v>93.1</v>
      </c>
      <c r="AK3" s="1">
        <v>9.8</v>
      </c>
      <c r="AL3" s="1" t="s">
        <v>131</v>
      </c>
      <c r="AM3" s="1" t="s">
        <v>132</v>
      </c>
      <c r="AN3" s="1"/>
      <c r="AO3" s="1" t="s">
        <v>135</v>
      </c>
      <c r="AP3" s="1" t="s">
        <v>136</v>
      </c>
      <c r="AQ3" s="1">
        <v>91</v>
      </c>
      <c r="AR3" s="1"/>
      <c r="AS3" s="1"/>
      <c r="AT3" s="1"/>
      <c r="AU3" s="1"/>
      <c r="AV3" s="1"/>
      <c r="AW3" s="1"/>
      <c r="AX3" s="1"/>
      <c r="AY3" s="1" t="s">
        <v>137</v>
      </c>
      <c r="AZ3" s="1" t="s">
        <v>138</v>
      </c>
      <c r="BA3" s="1"/>
      <c r="BB3" s="1"/>
      <c r="BC3" s="1" t="s">
        <v>139</v>
      </c>
      <c r="BD3" s="1" t="s">
        <v>140</v>
      </c>
      <c r="BE3" s="1">
        <v>72.2</v>
      </c>
      <c r="BF3" s="1">
        <v>7.22</v>
      </c>
      <c r="BG3" s="1" t="s">
        <v>137</v>
      </c>
      <c r="BH3" s="1" t="s">
        <v>138</v>
      </c>
      <c r="BI3" s="1"/>
      <c r="BJ3" s="1"/>
      <c r="BK3" s="1" t="s">
        <v>139</v>
      </c>
      <c r="BL3" s="1" t="s">
        <v>140</v>
      </c>
      <c r="BM3" s="1">
        <v>72.2</v>
      </c>
      <c r="BN3" s="1">
        <v>7.22</v>
      </c>
      <c r="BO3" s="1" t="s">
        <v>141</v>
      </c>
      <c r="BP3" s="1" t="s">
        <v>142</v>
      </c>
      <c r="BQ3" s="1" t="s">
        <v>143</v>
      </c>
      <c r="BR3" s="1" t="s">
        <v>144</v>
      </c>
      <c r="BS3" s="1">
        <v>8</v>
      </c>
      <c r="BT3" s="1" t="s">
        <v>145</v>
      </c>
      <c r="BU3" s="1" t="str">
        <f>HYPERLINK("https://nconnect.nicmar.ac.in/storage/profile/6a196fd27d491.png","Download")</f>
        <v>0</v>
      </c>
      <c r="BV3" s="3"/>
      <c r="BW3" s="3"/>
    </row>
    <row r="4" spans="1:75">
      <c r="A4" s="1" t="s">
        <v>75</v>
      </c>
      <c r="B4" s="1" t="s">
        <v>76</v>
      </c>
      <c r="C4" s="1" t="s">
        <v>146</v>
      </c>
      <c r="D4" s="1" t="s">
        <v>147</v>
      </c>
      <c r="E4" s="1" t="s">
        <v>148</v>
      </c>
      <c r="F4" s="1" t="s">
        <v>149</v>
      </c>
      <c r="G4" s="1" t="s">
        <v>150</v>
      </c>
      <c r="H4" s="1" t="s">
        <v>151</v>
      </c>
      <c r="I4" s="1" t="s">
        <v>152</v>
      </c>
      <c r="J4" s="1">
        <v>9325534311</v>
      </c>
      <c r="K4" s="1" t="s">
        <v>153</v>
      </c>
      <c r="L4" s="1" t="s">
        <v>154</v>
      </c>
      <c r="M4" s="1" t="s">
        <v>155</v>
      </c>
      <c r="N4" s="1" t="s">
        <v>156</v>
      </c>
      <c r="O4" s="1" t="s">
        <v>157</v>
      </c>
      <c r="P4" s="1" t="s">
        <v>122</v>
      </c>
      <c r="Q4" s="1" t="s">
        <v>158</v>
      </c>
      <c r="R4" s="1" t="s">
        <v>149</v>
      </c>
      <c r="S4" s="1">
        <v>9922217792</v>
      </c>
      <c r="T4" s="1" t="s">
        <v>159</v>
      </c>
      <c r="U4" s="1" t="s">
        <v>160</v>
      </c>
      <c r="V4" s="1">
        <v>7499066533</v>
      </c>
      <c r="W4" s="1" t="s">
        <v>161</v>
      </c>
      <c r="X4" s="1" t="s">
        <v>162</v>
      </c>
      <c r="Y4" s="1" t="s">
        <v>163</v>
      </c>
      <c r="Z4" s="1" t="s">
        <v>97</v>
      </c>
      <c r="AA4" s="1" t="s">
        <v>162</v>
      </c>
      <c r="AB4" s="1" t="s">
        <v>163</v>
      </c>
      <c r="AC4" s="1" t="s">
        <v>97</v>
      </c>
      <c r="AD4" s="1" t="s">
        <v>98</v>
      </c>
      <c r="AE4" s="1" t="s">
        <v>98</v>
      </c>
      <c r="AF4" s="1" t="s">
        <v>164</v>
      </c>
      <c r="AG4" s="1" t="s">
        <v>165</v>
      </c>
      <c r="AH4" s="1" t="s">
        <v>166</v>
      </c>
      <c r="AI4" s="1" t="s">
        <v>167</v>
      </c>
      <c r="AJ4" s="1">
        <v>80.4</v>
      </c>
      <c r="AK4" s="1"/>
      <c r="AL4" s="1" t="s">
        <v>168</v>
      </c>
      <c r="AM4" s="1" t="s">
        <v>169</v>
      </c>
      <c r="AN4" s="1"/>
      <c r="AO4" s="1" t="s">
        <v>170</v>
      </c>
      <c r="AP4" s="1" t="s">
        <v>171</v>
      </c>
      <c r="AQ4" s="1">
        <v>51.54</v>
      </c>
      <c r="AR4" s="1"/>
      <c r="AS4" s="1" t="s">
        <v>172</v>
      </c>
      <c r="AT4" s="1" t="s">
        <v>173</v>
      </c>
      <c r="AU4" s="1" t="s">
        <v>174</v>
      </c>
      <c r="AV4" s="1" t="s">
        <v>175</v>
      </c>
      <c r="AW4" s="1">
        <v>83.89</v>
      </c>
      <c r="AX4" s="1"/>
      <c r="AY4" s="1" t="s">
        <v>176</v>
      </c>
      <c r="AZ4" s="1" t="s">
        <v>177</v>
      </c>
      <c r="BA4" s="1"/>
      <c r="BB4" s="1"/>
      <c r="BC4" s="1" t="s">
        <v>178</v>
      </c>
      <c r="BD4" s="1" t="s">
        <v>179</v>
      </c>
      <c r="BE4" s="1">
        <v>79.18</v>
      </c>
      <c r="BF4" s="1">
        <v>9.17</v>
      </c>
      <c r="BG4" s="1"/>
      <c r="BH4" s="1"/>
      <c r="BI4" s="1"/>
      <c r="BJ4" s="1"/>
      <c r="BK4" s="1"/>
      <c r="BL4" s="1"/>
      <c r="BM4" s="1"/>
      <c r="BN4" s="1"/>
      <c r="BO4" s="1" t="s">
        <v>180</v>
      </c>
      <c r="BP4" s="1"/>
      <c r="BQ4" s="1"/>
      <c r="BR4" s="1" t="s">
        <v>181</v>
      </c>
      <c r="BS4" s="1">
        <v>8</v>
      </c>
      <c r="BT4" s="1" t="s">
        <v>182</v>
      </c>
      <c r="BU4" s="1" t="str">
        <f>HYPERLINK("https://nconnect.nicmar.ac.in/storage/profile/6a1ad19432c21.png","Download")</f>
        <v>0</v>
      </c>
      <c r="BV4" s="3"/>
      <c r="BW4" s="3"/>
    </row>
    <row r="5" spans="1:75">
      <c r="A5" s="1" t="s">
        <v>75</v>
      </c>
      <c r="B5" s="1" t="s">
        <v>76</v>
      </c>
      <c r="C5" s="1" t="s">
        <v>183</v>
      </c>
      <c r="D5" s="1" t="s">
        <v>184</v>
      </c>
      <c r="E5" s="1" t="s">
        <v>185</v>
      </c>
      <c r="F5" s="1" t="s">
        <v>186</v>
      </c>
      <c r="G5" s="1" t="s">
        <v>187</v>
      </c>
      <c r="H5" s="1" t="s">
        <v>188</v>
      </c>
      <c r="I5" s="1" t="s">
        <v>188</v>
      </c>
      <c r="J5" s="1">
        <v>9765175253</v>
      </c>
      <c r="K5" s="1" t="s">
        <v>84</v>
      </c>
      <c r="L5" s="1" t="s">
        <v>189</v>
      </c>
      <c r="M5" s="1" t="s">
        <v>86</v>
      </c>
      <c r="N5" s="1" t="s">
        <v>190</v>
      </c>
      <c r="O5" s="1" t="s">
        <v>191</v>
      </c>
      <c r="P5" s="1" t="s">
        <v>89</v>
      </c>
      <c r="Q5" s="1" t="s">
        <v>192</v>
      </c>
      <c r="R5" s="1" t="s">
        <v>193</v>
      </c>
      <c r="S5" s="1">
        <v>9890083484</v>
      </c>
      <c r="T5" s="1" t="s">
        <v>159</v>
      </c>
      <c r="U5" s="1" t="s">
        <v>194</v>
      </c>
      <c r="V5" s="1">
        <v>9890083484</v>
      </c>
      <c r="W5" s="1" t="s">
        <v>161</v>
      </c>
      <c r="X5" s="1" t="s">
        <v>195</v>
      </c>
      <c r="Y5" s="1" t="s">
        <v>196</v>
      </c>
      <c r="Z5" s="1" t="s">
        <v>97</v>
      </c>
      <c r="AA5" s="1" t="s">
        <v>197</v>
      </c>
      <c r="AB5" s="1" t="s">
        <v>196</v>
      </c>
      <c r="AC5" s="1" t="s">
        <v>97</v>
      </c>
      <c r="AD5" s="1" t="s">
        <v>98</v>
      </c>
      <c r="AE5" s="1" t="s">
        <v>98</v>
      </c>
      <c r="AF5" s="1" t="s">
        <v>198</v>
      </c>
      <c r="AG5" s="1" t="s">
        <v>199</v>
      </c>
      <c r="AH5" s="1" t="s">
        <v>167</v>
      </c>
      <c r="AI5" s="1" t="s">
        <v>200</v>
      </c>
      <c r="AJ5" s="1">
        <v>85.8</v>
      </c>
      <c r="AK5" s="1"/>
      <c r="AL5" s="1" t="s">
        <v>201</v>
      </c>
      <c r="AM5" s="1" t="s">
        <v>202</v>
      </c>
      <c r="AN5" s="1"/>
      <c r="AO5" s="1" t="s">
        <v>106</v>
      </c>
      <c r="AP5" s="1" t="s">
        <v>203</v>
      </c>
      <c r="AQ5" s="1">
        <v>62.92</v>
      </c>
      <c r="AR5" s="1"/>
      <c r="AS5" s="1"/>
      <c r="AT5" s="1"/>
      <c r="AU5" s="1"/>
      <c r="AV5" s="1"/>
      <c r="AW5" s="1"/>
      <c r="AX5" s="1"/>
      <c r="AY5" s="1" t="s">
        <v>204</v>
      </c>
      <c r="AZ5" s="1" t="s">
        <v>205</v>
      </c>
      <c r="BA5" s="1"/>
      <c r="BB5" s="1"/>
      <c r="BC5" s="1" t="s">
        <v>206</v>
      </c>
      <c r="BD5" s="1" t="s">
        <v>207</v>
      </c>
      <c r="BE5" s="1">
        <v>68.8</v>
      </c>
      <c r="BF5" s="1">
        <v>7.63</v>
      </c>
      <c r="BG5" s="1"/>
      <c r="BH5" s="1"/>
      <c r="BI5" s="1"/>
      <c r="BJ5" s="1"/>
      <c r="BK5" s="1"/>
      <c r="BL5" s="1"/>
      <c r="BM5" s="1"/>
      <c r="BN5" s="1"/>
      <c r="BO5" s="1" t="s">
        <v>208</v>
      </c>
      <c r="BP5" s="1"/>
      <c r="BQ5" s="1"/>
      <c r="BR5" s="1" t="s">
        <v>209</v>
      </c>
      <c r="BS5" s="1">
        <v>40</v>
      </c>
      <c r="BT5" s="1" t="s">
        <v>210</v>
      </c>
      <c r="BU5" s="1" t="str">
        <f>HYPERLINK("https://nconnect.nicmar.ac.in/storage/profile/6a1d16cec8cd8.png","Download")</f>
        <v>0</v>
      </c>
      <c r="BV5" s="3"/>
      <c r="BW5" s="3"/>
    </row>
    <row r="6" spans="1:75">
      <c r="A6" s="1" t="s">
        <v>75</v>
      </c>
      <c r="B6" s="1" t="s">
        <v>76</v>
      </c>
      <c r="C6" s="1" t="s">
        <v>211</v>
      </c>
      <c r="D6" s="1" t="s">
        <v>212</v>
      </c>
      <c r="E6" s="1" t="s">
        <v>213</v>
      </c>
      <c r="F6" s="1" t="s">
        <v>214</v>
      </c>
      <c r="G6" s="1" t="s">
        <v>215</v>
      </c>
      <c r="H6" s="1" t="s">
        <v>216</v>
      </c>
      <c r="I6" s="1" t="s">
        <v>216</v>
      </c>
      <c r="J6" s="1">
        <v>9545075998</v>
      </c>
      <c r="K6" s="1" t="s">
        <v>84</v>
      </c>
      <c r="L6" s="1" t="s">
        <v>217</v>
      </c>
      <c r="M6" s="1" t="s">
        <v>86</v>
      </c>
      <c r="N6" s="1" t="s">
        <v>218</v>
      </c>
      <c r="O6" s="1" t="s">
        <v>191</v>
      </c>
      <c r="P6" s="1" t="s">
        <v>219</v>
      </c>
      <c r="Q6" s="1" t="s">
        <v>220</v>
      </c>
      <c r="R6" s="1" t="s">
        <v>213</v>
      </c>
      <c r="S6" s="1">
        <v>9890983062</v>
      </c>
      <c r="T6" s="1" t="s">
        <v>221</v>
      </c>
      <c r="U6" s="1" t="s">
        <v>222</v>
      </c>
      <c r="V6" s="1">
        <v>8888661835</v>
      </c>
      <c r="W6" s="1" t="s">
        <v>221</v>
      </c>
      <c r="X6" s="1" t="s">
        <v>223</v>
      </c>
      <c r="Y6" s="1" t="s">
        <v>224</v>
      </c>
      <c r="Z6" s="1" t="s">
        <v>97</v>
      </c>
      <c r="AA6" s="1" t="s">
        <v>225</v>
      </c>
      <c r="AB6" s="1" t="s">
        <v>196</v>
      </c>
      <c r="AC6" s="1" t="s">
        <v>97</v>
      </c>
      <c r="AD6" s="1" t="s">
        <v>98</v>
      </c>
      <c r="AE6" s="1" t="s">
        <v>98</v>
      </c>
      <c r="AF6" s="1" t="s">
        <v>226</v>
      </c>
      <c r="AG6" s="1" t="s">
        <v>227</v>
      </c>
      <c r="AH6" s="1" t="s">
        <v>167</v>
      </c>
      <c r="AI6" s="1" t="s">
        <v>170</v>
      </c>
      <c r="AJ6" s="1">
        <v>81.8</v>
      </c>
      <c r="AK6" s="1"/>
      <c r="AL6" s="1"/>
      <c r="AM6" s="1"/>
      <c r="AN6" s="1"/>
      <c r="AO6" s="1"/>
      <c r="AP6" s="1"/>
      <c r="AQ6" s="1"/>
      <c r="AR6" s="1"/>
      <c r="AS6" s="1" t="s">
        <v>228</v>
      </c>
      <c r="AT6" s="1" t="s">
        <v>229</v>
      </c>
      <c r="AU6" s="1" t="s">
        <v>230</v>
      </c>
      <c r="AV6" s="1" t="s">
        <v>175</v>
      </c>
      <c r="AW6" s="1">
        <v>86.95</v>
      </c>
      <c r="AX6" s="1"/>
      <c r="AY6" s="1" t="s">
        <v>231</v>
      </c>
      <c r="AZ6" s="1" t="s">
        <v>232</v>
      </c>
      <c r="BA6" s="1"/>
      <c r="BB6" s="1"/>
      <c r="BC6" s="1" t="s">
        <v>233</v>
      </c>
      <c r="BD6" s="1" t="s">
        <v>234</v>
      </c>
      <c r="BE6" s="1">
        <v>80.66</v>
      </c>
      <c r="BF6" s="1">
        <v>9.36</v>
      </c>
      <c r="BG6" s="1"/>
      <c r="BH6" s="1"/>
      <c r="BI6" s="1"/>
      <c r="BJ6" s="1"/>
      <c r="BK6" s="1"/>
      <c r="BL6" s="1"/>
      <c r="BM6" s="1"/>
      <c r="BN6" s="1"/>
      <c r="BO6" s="1" t="s">
        <v>235</v>
      </c>
      <c r="BP6" s="1"/>
      <c r="BQ6" s="1"/>
      <c r="BR6" s="1" t="s">
        <v>236</v>
      </c>
      <c r="BS6" s="1">
        <v>79</v>
      </c>
      <c r="BT6" s="1" t="s">
        <v>237</v>
      </c>
      <c r="BU6" s="1" t="str">
        <f>HYPERLINK("https://nconnect.nicmar.ac.in/storage/profile/6a1d1c679672f.png","Download")</f>
        <v>0</v>
      </c>
      <c r="BV6" s="3"/>
      <c r="BW6" s="3"/>
    </row>
    <row r="7" spans="1:75">
      <c r="A7" s="1" t="s">
        <v>75</v>
      </c>
      <c r="B7" s="1" t="s">
        <v>76</v>
      </c>
      <c r="C7" s="1" t="s">
        <v>238</v>
      </c>
      <c r="D7" s="1" t="s">
        <v>239</v>
      </c>
      <c r="E7" s="1" t="s">
        <v>240</v>
      </c>
      <c r="F7" s="1" t="s">
        <v>241</v>
      </c>
      <c r="G7" s="1" t="s">
        <v>242</v>
      </c>
      <c r="H7" s="1" t="s">
        <v>243</v>
      </c>
      <c r="I7" s="1" t="s">
        <v>244</v>
      </c>
      <c r="J7" s="1">
        <v>8390278328</v>
      </c>
      <c r="K7" s="1" t="s">
        <v>84</v>
      </c>
      <c r="L7" s="1" t="s">
        <v>245</v>
      </c>
      <c r="M7" s="1" t="s">
        <v>86</v>
      </c>
      <c r="N7" s="1" t="s">
        <v>246</v>
      </c>
      <c r="O7" s="1" t="s">
        <v>157</v>
      </c>
      <c r="P7" s="1" t="s">
        <v>219</v>
      </c>
      <c r="Q7" s="1" t="s">
        <v>247</v>
      </c>
      <c r="R7" s="1" t="s">
        <v>248</v>
      </c>
      <c r="S7" s="1">
        <v>9604519865</v>
      </c>
      <c r="T7" s="1" t="s">
        <v>159</v>
      </c>
      <c r="U7" s="1" t="s">
        <v>249</v>
      </c>
      <c r="V7" s="1">
        <v>9370154343</v>
      </c>
      <c r="W7" s="1" t="s">
        <v>161</v>
      </c>
      <c r="X7" s="1" t="s">
        <v>250</v>
      </c>
      <c r="Y7" s="1" t="s">
        <v>251</v>
      </c>
      <c r="Z7" s="1" t="s">
        <v>97</v>
      </c>
      <c r="AA7" s="1" t="s">
        <v>250</v>
      </c>
      <c r="AB7" s="1" t="s">
        <v>251</v>
      </c>
      <c r="AC7" s="1" t="s">
        <v>97</v>
      </c>
      <c r="AD7" s="1" t="s">
        <v>98</v>
      </c>
      <c r="AE7" s="1" t="s">
        <v>98</v>
      </c>
      <c r="AF7" s="1" t="s">
        <v>252</v>
      </c>
      <c r="AG7" s="1" t="s">
        <v>253</v>
      </c>
      <c r="AH7" s="1" t="s">
        <v>254</v>
      </c>
      <c r="AI7" s="1" t="s">
        <v>101</v>
      </c>
      <c r="AJ7" s="1">
        <v>76</v>
      </c>
      <c r="AK7" s="1"/>
      <c r="AL7" s="1"/>
      <c r="AM7" s="1"/>
      <c r="AN7" s="1"/>
      <c r="AO7" s="1"/>
      <c r="AP7" s="1"/>
      <c r="AQ7" s="1"/>
      <c r="AR7" s="1"/>
      <c r="AS7" s="1" t="s">
        <v>255</v>
      </c>
      <c r="AT7" s="1" t="s">
        <v>256</v>
      </c>
      <c r="AU7" s="1" t="s">
        <v>257</v>
      </c>
      <c r="AV7" s="1" t="s">
        <v>170</v>
      </c>
      <c r="AW7" s="1">
        <v>77.53</v>
      </c>
      <c r="AX7" s="1"/>
      <c r="AY7" s="1" t="s">
        <v>258</v>
      </c>
      <c r="AZ7" s="1" t="s">
        <v>259</v>
      </c>
      <c r="BA7" s="1"/>
      <c r="BB7" s="1"/>
      <c r="BC7" s="1" t="s">
        <v>230</v>
      </c>
      <c r="BD7" s="1" t="s">
        <v>175</v>
      </c>
      <c r="BE7" s="1">
        <v>71.9</v>
      </c>
      <c r="BF7" s="1"/>
      <c r="BG7" s="1"/>
      <c r="BH7" s="1"/>
      <c r="BI7" s="1"/>
      <c r="BJ7" s="1"/>
      <c r="BK7" s="1"/>
      <c r="BL7" s="1"/>
      <c r="BM7" s="1"/>
      <c r="BN7" s="1"/>
      <c r="BO7" s="1" t="s">
        <v>260</v>
      </c>
      <c r="BP7" s="1" t="s">
        <v>261</v>
      </c>
      <c r="BQ7" s="1" t="s">
        <v>143</v>
      </c>
      <c r="BR7" s="1" t="s">
        <v>262</v>
      </c>
      <c r="BS7" s="1">
        <v>17</v>
      </c>
      <c r="BT7" s="1" t="s">
        <v>263</v>
      </c>
      <c r="BU7" s="1" t="str">
        <f>HYPERLINK("https://nconnect.nicmar.ac.in/storage/profile/6a1b1b9e21425.png","Download")</f>
        <v>0</v>
      </c>
      <c r="BV7" s="3"/>
      <c r="BW7" s="3"/>
    </row>
    <row r="8" spans="1:75">
      <c r="A8" s="1" t="s">
        <v>75</v>
      </c>
      <c r="B8" s="1" t="s">
        <v>76</v>
      </c>
      <c r="C8" s="1" t="s">
        <v>264</v>
      </c>
      <c r="D8" s="1" t="s">
        <v>265</v>
      </c>
      <c r="E8" s="1" t="s">
        <v>266</v>
      </c>
      <c r="F8" s="1" t="s">
        <v>267</v>
      </c>
      <c r="G8" s="1" t="s">
        <v>268</v>
      </c>
      <c r="H8" s="1" t="s">
        <v>269</v>
      </c>
      <c r="I8" s="1" t="s">
        <v>270</v>
      </c>
      <c r="J8" s="1">
        <v>6304174925</v>
      </c>
      <c r="K8" s="1" t="s">
        <v>84</v>
      </c>
      <c r="L8" s="1" t="s">
        <v>271</v>
      </c>
      <c r="M8" s="1" t="s">
        <v>86</v>
      </c>
      <c r="N8" s="1" t="s">
        <v>272</v>
      </c>
      <c r="O8" s="1" t="s">
        <v>273</v>
      </c>
      <c r="P8" s="1" t="s">
        <v>219</v>
      </c>
      <c r="Q8" s="1" t="s">
        <v>274</v>
      </c>
      <c r="R8" s="1" t="s">
        <v>275</v>
      </c>
      <c r="S8" s="1">
        <v>9949131676</v>
      </c>
      <c r="T8" s="1" t="s">
        <v>276</v>
      </c>
      <c r="U8" s="1" t="s">
        <v>277</v>
      </c>
      <c r="V8" s="1">
        <v>9133954535</v>
      </c>
      <c r="W8" s="1" t="s">
        <v>278</v>
      </c>
      <c r="X8" s="1" t="s">
        <v>279</v>
      </c>
      <c r="Y8" s="1" t="s">
        <v>280</v>
      </c>
      <c r="Z8" s="1" t="s">
        <v>281</v>
      </c>
      <c r="AA8" s="1" t="s">
        <v>279</v>
      </c>
      <c r="AB8" s="1" t="s">
        <v>280</v>
      </c>
      <c r="AC8" s="1" t="s">
        <v>281</v>
      </c>
      <c r="AD8" s="1" t="s">
        <v>98</v>
      </c>
      <c r="AE8" s="1" t="s">
        <v>98</v>
      </c>
      <c r="AF8" s="1" t="s">
        <v>282</v>
      </c>
      <c r="AG8" s="1" t="s">
        <v>283</v>
      </c>
      <c r="AH8" s="1" t="s">
        <v>166</v>
      </c>
      <c r="AI8" s="1" t="s">
        <v>284</v>
      </c>
      <c r="AJ8" s="1">
        <v>93.0</v>
      </c>
      <c r="AK8" s="1">
        <v>9.3</v>
      </c>
      <c r="AL8" s="1" t="s">
        <v>285</v>
      </c>
      <c r="AM8" s="1" t="s">
        <v>283</v>
      </c>
      <c r="AN8" s="1"/>
      <c r="AO8" s="1" t="s">
        <v>167</v>
      </c>
      <c r="AP8" s="1" t="s">
        <v>286</v>
      </c>
      <c r="AQ8" s="1">
        <v>92.6</v>
      </c>
      <c r="AR8" s="1"/>
      <c r="AS8" s="1"/>
      <c r="AT8" s="1"/>
      <c r="AU8" s="1"/>
      <c r="AV8" s="1"/>
      <c r="AW8" s="1"/>
      <c r="AX8" s="1"/>
      <c r="AY8" s="1" t="s">
        <v>287</v>
      </c>
      <c r="AZ8" s="1" t="s">
        <v>288</v>
      </c>
      <c r="BA8" s="1"/>
      <c r="BB8" s="1"/>
      <c r="BC8" s="1" t="s">
        <v>174</v>
      </c>
      <c r="BD8" s="1" t="s">
        <v>289</v>
      </c>
      <c r="BE8" s="1">
        <v>68.0</v>
      </c>
      <c r="BF8" s="1">
        <v>6.8</v>
      </c>
      <c r="BG8" s="1"/>
      <c r="BH8" s="1"/>
      <c r="BI8" s="1"/>
      <c r="BJ8" s="1"/>
      <c r="BK8" s="1"/>
      <c r="BL8" s="1"/>
      <c r="BM8" s="1"/>
      <c r="BN8" s="1"/>
      <c r="BO8" s="1" t="s">
        <v>290</v>
      </c>
      <c r="BP8" s="1" t="s">
        <v>291</v>
      </c>
      <c r="BQ8" s="1" t="s">
        <v>292</v>
      </c>
      <c r="BR8" s="1" t="s">
        <v>293</v>
      </c>
      <c r="BS8" s="1">
        <v>8</v>
      </c>
      <c r="BT8" s="1" t="s">
        <v>294</v>
      </c>
      <c r="BU8" s="1" t="str">
        <f>HYPERLINK("https://nconnect.nicmar.ac.in/storage/profile/6a1bc2191055c.png","Download")</f>
        <v>0</v>
      </c>
      <c r="BV8" s="3"/>
      <c r="BW8" s="3"/>
    </row>
    <row r="9" spans="1:75">
      <c r="A9" s="1" t="s">
        <v>75</v>
      </c>
      <c r="B9" s="1" t="s">
        <v>76</v>
      </c>
      <c r="C9" s="1" t="s">
        <v>295</v>
      </c>
      <c r="D9" s="1" t="s">
        <v>296</v>
      </c>
      <c r="E9" s="1"/>
      <c r="F9" s="1" t="s">
        <v>297</v>
      </c>
      <c r="G9" s="1" t="s">
        <v>298</v>
      </c>
      <c r="H9" s="1" t="s">
        <v>299</v>
      </c>
      <c r="I9" s="1" t="s">
        <v>300</v>
      </c>
      <c r="J9" s="1">
        <v>7666585576</v>
      </c>
      <c r="K9" s="1" t="s">
        <v>84</v>
      </c>
      <c r="L9" s="1" t="s">
        <v>301</v>
      </c>
      <c r="M9" s="1" t="s">
        <v>86</v>
      </c>
      <c r="N9" s="1" t="s">
        <v>302</v>
      </c>
      <c r="O9" s="1" t="s">
        <v>157</v>
      </c>
      <c r="P9" s="1" t="s">
        <v>219</v>
      </c>
      <c r="Q9" s="1" t="s">
        <v>303</v>
      </c>
      <c r="R9" s="1" t="s">
        <v>304</v>
      </c>
      <c r="S9" s="1">
        <v>8459914145</v>
      </c>
      <c r="T9" s="1" t="s">
        <v>305</v>
      </c>
      <c r="U9" s="1" t="s">
        <v>306</v>
      </c>
      <c r="V9" s="1">
        <v>9422974725</v>
      </c>
      <c r="W9" s="1" t="s">
        <v>307</v>
      </c>
      <c r="X9" s="1" t="s">
        <v>308</v>
      </c>
      <c r="Y9" s="1" t="s">
        <v>309</v>
      </c>
      <c r="Z9" s="1" t="s">
        <v>97</v>
      </c>
      <c r="AA9" s="1" t="s">
        <v>310</v>
      </c>
      <c r="AB9" s="1" t="s">
        <v>196</v>
      </c>
      <c r="AC9" s="1" t="s">
        <v>97</v>
      </c>
      <c r="AD9" s="1" t="s">
        <v>98</v>
      </c>
      <c r="AE9" s="1" t="s">
        <v>98</v>
      </c>
      <c r="AF9" s="1" t="s">
        <v>311</v>
      </c>
      <c r="AG9" s="1" t="s">
        <v>312</v>
      </c>
      <c r="AH9" s="1" t="s">
        <v>167</v>
      </c>
      <c r="AI9" s="1" t="s">
        <v>170</v>
      </c>
      <c r="AJ9" s="1">
        <v>84.8</v>
      </c>
      <c r="AK9" s="1">
        <v>9.2</v>
      </c>
      <c r="AL9" s="1" t="s">
        <v>311</v>
      </c>
      <c r="AM9" s="1" t="s">
        <v>312</v>
      </c>
      <c r="AN9" s="1"/>
      <c r="AO9" s="1" t="s">
        <v>106</v>
      </c>
      <c r="AP9" s="1" t="s">
        <v>313</v>
      </c>
      <c r="AQ9" s="1">
        <v>71.8</v>
      </c>
      <c r="AR9" s="1"/>
      <c r="AS9" s="1"/>
      <c r="AT9" s="1"/>
      <c r="AU9" s="1"/>
      <c r="AV9" s="1"/>
      <c r="AW9" s="1"/>
      <c r="AX9" s="1"/>
      <c r="AY9" s="1" t="s">
        <v>204</v>
      </c>
      <c r="AZ9" s="1" t="s">
        <v>314</v>
      </c>
      <c r="BA9" s="1"/>
      <c r="BB9" s="1"/>
      <c r="BC9" s="1" t="s">
        <v>315</v>
      </c>
      <c r="BD9" s="1" t="s">
        <v>207</v>
      </c>
      <c r="BE9" s="1">
        <v>63.81</v>
      </c>
      <c r="BF9" s="1">
        <v>7.17</v>
      </c>
      <c r="BG9" s="1"/>
      <c r="BH9" s="1"/>
      <c r="BI9" s="1"/>
      <c r="BJ9" s="1"/>
      <c r="BK9" s="1"/>
      <c r="BL9" s="1"/>
      <c r="BM9" s="1"/>
      <c r="BN9" s="1"/>
      <c r="BO9" s="1" t="s">
        <v>316</v>
      </c>
      <c r="BP9" s="1"/>
      <c r="BQ9" s="1"/>
      <c r="BR9" s="1" t="s">
        <v>317</v>
      </c>
      <c r="BS9" s="1">
        <v>33</v>
      </c>
      <c r="BT9" s="1"/>
      <c r="BU9" s="1" t="str">
        <f>HYPERLINK("https://nconnect.nicmar.ac.in/storage/profile/6a1bc683727f9.png","Download")</f>
        <v>0</v>
      </c>
      <c r="BV9" s="3"/>
      <c r="BW9" s="3"/>
    </row>
    <row r="10" spans="1:75">
      <c r="A10" s="1" t="s">
        <v>75</v>
      </c>
      <c r="B10" s="1" t="s">
        <v>76</v>
      </c>
      <c r="C10" s="1" t="s">
        <v>318</v>
      </c>
      <c r="D10" s="1" t="s">
        <v>319</v>
      </c>
      <c r="E10" s="1" t="s">
        <v>320</v>
      </c>
      <c r="F10" s="1" t="s">
        <v>321</v>
      </c>
      <c r="G10" s="1" t="s">
        <v>322</v>
      </c>
      <c r="H10" s="1" t="s">
        <v>323</v>
      </c>
      <c r="I10" s="1" t="s">
        <v>324</v>
      </c>
      <c r="J10" s="1">
        <v>8830758744</v>
      </c>
      <c r="K10" s="1" t="s">
        <v>84</v>
      </c>
      <c r="L10" s="1" t="s">
        <v>325</v>
      </c>
      <c r="M10" s="1" t="s">
        <v>86</v>
      </c>
      <c r="N10" s="1" t="s">
        <v>326</v>
      </c>
      <c r="O10" s="1" t="s">
        <v>327</v>
      </c>
      <c r="P10" s="1" t="s">
        <v>122</v>
      </c>
      <c r="Q10" s="1" t="s">
        <v>328</v>
      </c>
      <c r="R10" s="1" t="s">
        <v>329</v>
      </c>
      <c r="S10" s="1">
        <v>9579766668</v>
      </c>
      <c r="T10" s="1" t="s">
        <v>330</v>
      </c>
      <c r="U10" s="1" t="s">
        <v>331</v>
      </c>
      <c r="V10" s="1">
        <v>9579766668</v>
      </c>
      <c r="W10" s="1" t="s">
        <v>161</v>
      </c>
      <c r="X10" s="1" t="s">
        <v>332</v>
      </c>
      <c r="Y10" s="1" t="s">
        <v>333</v>
      </c>
      <c r="Z10" s="1" t="s">
        <v>97</v>
      </c>
      <c r="AA10" s="1" t="s">
        <v>332</v>
      </c>
      <c r="AB10" s="1" t="s">
        <v>333</v>
      </c>
      <c r="AC10" s="1" t="s">
        <v>97</v>
      </c>
      <c r="AD10" s="1" t="s">
        <v>98</v>
      </c>
      <c r="AE10" s="1" t="s">
        <v>98</v>
      </c>
      <c r="AF10" s="1" t="s">
        <v>334</v>
      </c>
      <c r="AG10" s="1" t="s">
        <v>335</v>
      </c>
      <c r="AH10" s="1" t="s">
        <v>336</v>
      </c>
      <c r="AI10" s="1" t="s">
        <v>337</v>
      </c>
      <c r="AJ10" s="1">
        <v>69.82</v>
      </c>
      <c r="AK10" s="1"/>
      <c r="AL10" s="1"/>
      <c r="AM10" s="1"/>
      <c r="AN10" s="1"/>
      <c r="AO10" s="1"/>
      <c r="AP10" s="1"/>
      <c r="AQ10" s="1"/>
      <c r="AR10" s="1"/>
      <c r="AS10" s="1" t="s">
        <v>103</v>
      </c>
      <c r="AT10" s="1" t="s">
        <v>338</v>
      </c>
      <c r="AU10" s="1" t="s">
        <v>339</v>
      </c>
      <c r="AV10" s="1" t="s">
        <v>166</v>
      </c>
      <c r="AW10" s="1">
        <v>60.68</v>
      </c>
      <c r="AX10" s="1"/>
      <c r="AY10" s="1" t="s">
        <v>340</v>
      </c>
      <c r="AZ10" s="1" t="s">
        <v>341</v>
      </c>
      <c r="BA10" s="1"/>
      <c r="BB10" s="1"/>
      <c r="BC10" s="1" t="s">
        <v>342</v>
      </c>
      <c r="BD10" s="1" t="s">
        <v>233</v>
      </c>
      <c r="BE10" s="1">
        <v>84.88</v>
      </c>
      <c r="BF10" s="1"/>
      <c r="BG10" s="1"/>
      <c r="BH10" s="1"/>
      <c r="BI10" s="1"/>
      <c r="BJ10" s="1"/>
      <c r="BK10" s="1"/>
      <c r="BL10" s="1"/>
      <c r="BM10" s="1"/>
      <c r="BN10" s="1"/>
      <c r="BO10" s="1" t="s">
        <v>343</v>
      </c>
      <c r="BP10" s="1" t="s">
        <v>344</v>
      </c>
      <c r="BQ10" s="1" t="s">
        <v>345</v>
      </c>
      <c r="BR10" s="1" t="s">
        <v>346</v>
      </c>
      <c r="BS10" s="1">
        <v>8</v>
      </c>
      <c r="BT10" s="1"/>
      <c r="BU10" s="1" t="str">
        <f>HYPERLINK("https://nconnect.nicmar.ac.in/storage/profile/6a1c1d386b69b.png","Download")</f>
        <v>0</v>
      </c>
      <c r="BV10" s="3"/>
      <c r="BW10" s="3"/>
    </row>
    <row r="11" spans="1:75">
      <c r="A11" s="1" t="s">
        <v>75</v>
      </c>
      <c r="B11" s="1" t="s">
        <v>76</v>
      </c>
      <c r="C11" s="1" t="s">
        <v>347</v>
      </c>
      <c r="D11" s="1" t="s">
        <v>348</v>
      </c>
      <c r="E11" s="1" t="s">
        <v>349</v>
      </c>
      <c r="F11" s="1" t="s">
        <v>350</v>
      </c>
      <c r="G11" s="1" t="s">
        <v>351</v>
      </c>
      <c r="H11" s="1" t="s">
        <v>352</v>
      </c>
      <c r="I11" s="1" t="s">
        <v>353</v>
      </c>
      <c r="J11" s="1">
        <v>9156060835</v>
      </c>
      <c r="K11" s="1" t="s">
        <v>84</v>
      </c>
      <c r="L11" s="1" t="s">
        <v>354</v>
      </c>
      <c r="M11" s="1" t="s">
        <v>86</v>
      </c>
      <c r="N11" s="1" t="s">
        <v>355</v>
      </c>
      <c r="O11" s="1" t="s">
        <v>157</v>
      </c>
      <c r="P11" s="1" t="s">
        <v>356</v>
      </c>
      <c r="Q11" s="1" t="s">
        <v>357</v>
      </c>
      <c r="R11" s="1" t="s">
        <v>349</v>
      </c>
      <c r="S11" s="1">
        <v>9766563605</v>
      </c>
      <c r="T11" s="1" t="s">
        <v>159</v>
      </c>
      <c r="U11" s="1" t="s">
        <v>358</v>
      </c>
      <c r="V11" s="1">
        <v>8308962991</v>
      </c>
      <c r="W11" s="1" t="s">
        <v>161</v>
      </c>
      <c r="X11" s="1" t="s">
        <v>359</v>
      </c>
      <c r="Y11" s="1" t="s">
        <v>163</v>
      </c>
      <c r="Z11" s="1" t="s">
        <v>97</v>
      </c>
      <c r="AA11" s="1" t="s">
        <v>359</v>
      </c>
      <c r="AB11" s="1" t="s">
        <v>163</v>
      </c>
      <c r="AC11" s="1" t="s">
        <v>97</v>
      </c>
      <c r="AD11" s="1" t="s">
        <v>98</v>
      </c>
      <c r="AE11" s="1" t="s">
        <v>98</v>
      </c>
      <c r="AF11" s="1" t="s">
        <v>360</v>
      </c>
      <c r="AG11" s="1" t="s">
        <v>361</v>
      </c>
      <c r="AH11" s="1" t="s">
        <v>170</v>
      </c>
      <c r="AI11" s="1" t="s">
        <v>286</v>
      </c>
      <c r="AJ11" s="1">
        <v>86.0</v>
      </c>
      <c r="AK11" s="1"/>
      <c r="AL11" s="1" t="s">
        <v>362</v>
      </c>
      <c r="AM11" s="1" t="s">
        <v>363</v>
      </c>
      <c r="AN11" s="1"/>
      <c r="AO11" s="1" t="s">
        <v>364</v>
      </c>
      <c r="AP11" s="1" t="s">
        <v>365</v>
      </c>
      <c r="AQ11" s="1">
        <v>78.77</v>
      </c>
      <c r="AR11" s="1"/>
      <c r="AS11" s="1"/>
      <c r="AT11" s="1"/>
      <c r="AU11" s="1"/>
      <c r="AV11" s="1"/>
      <c r="AW11" s="1"/>
      <c r="AX11" s="1"/>
      <c r="AY11" s="1" t="s">
        <v>366</v>
      </c>
      <c r="AZ11" s="1" t="s">
        <v>367</v>
      </c>
      <c r="BA11" s="1"/>
      <c r="BB11" s="1"/>
      <c r="BC11" s="1" t="s">
        <v>368</v>
      </c>
      <c r="BD11" s="1" t="s">
        <v>207</v>
      </c>
      <c r="BE11" s="1">
        <v>63.7</v>
      </c>
      <c r="BF11" s="1">
        <v>7.12</v>
      </c>
      <c r="BG11" s="1"/>
      <c r="BH11" s="1"/>
      <c r="BI11" s="1"/>
      <c r="BJ11" s="1"/>
      <c r="BK11" s="1"/>
      <c r="BL11" s="1"/>
      <c r="BM11" s="1"/>
      <c r="BN11" s="1"/>
      <c r="BO11" s="1" t="s">
        <v>369</v>
      </c>
      <c r="BP11" s="1"/>
      <c r="BQ11" s="1"/>
      <c r="BR11" s="1" t="s">
        <v>370</v>
      </c>
      <c r="BS11" s="1">
        <v>8</v>
      </c>
      <c r="BT11" s="1"/>
      <c r="BU11" s="1" t="str">
        <f>HYPERLINK("https://nconnect.nicmar.ac.in/storage/profile/6a1c40dde72e1.png","Download")</f>
        <v>0</v>
      </c>
      <c r="BV11" s="3"/>
      <c r="BW11" s="3"/>
    </row>
    <row r="12" spans="1:75">
      <c r="A12" s="1" t="s">
        <v>75</v>
      </c>
      <c r="B12" s="1" t="s">
        <v>76</v>
      </c>
      <c r="C12" s="1" t="s">
        <v>371</v>
      </c>
      <c r="D12" s="1" t="s">
        <v>372</v>
      </c>
      <c r="E12" s="1" t="s">
        <v>373</v>
      </c>
      <c r="F12" s="1" t="s">
        <v>374</v>
      </c>
      <c r="G12" s="1" t="s">
        <v>375</v>
      </c>
      <c r="H12" s="1" t="s">
        <v>376</v>
      </c>
      <c r="I12" s="1" t="s">
        <v>377</v>
      </c>
      <c r="J12" s="1">
        <v>8830517806</v>
      </c>
      <c r="K12" s="1" t="s">
        <v>84</v>
      </c>
      <c r="L12" s="1" t="s">
        <v>378</v>
      </c>
      <c r="M12" s="1" t="s">
        <v>86</v>
      </c>
      <c r="N12" s="1" t="s">
        <v>379</v>
      </c>
      <c r="O12" s="1" t="s">
        <v>380</v>
      </c>
      <c r="P12" s="1" t="s">
        <v>122</v>
      </c>
      <c r="Q12" s="1" t="s">
        <v>381</v>
      </c>
      <c r="R12" s="1" t="s">
        <v>373</v>
      </c>
      <c r="S12" s="1">
        <v>8208685186</v>
      </c>
      <c r="T12" s="1" t="s">
        <v>382</v>
      </c>
      <c r="U12" s="1" t="s">
        <v>222</v>
      </c>
      <c r="V12" s="1">
        <v>9767132068</v>
      </c>
      <c r="W12" s="1" t="s">
        <v>278</v>
      </c>
      <c r="X12" s="1" t="s">
        <v>383</v>
      </c>
      <c r="Y12" s="1" t="s">
        <v>384</v>
      </c>
      <c r="Z12" s="1" t="s">
        <v>97</v>
      </c>
      <c r="AA12" s="1" t="s">
        <v>383</v>
      </c>
      <c r="AB12" s="1" t="s">
        <v>384</v>
      </c>
      <c r="AC12" s="1" t="s">
        <v>97</v>
      </c>
      <c r="AD12" s="1" t="s">
        <v>98</v>
      </c>
      <c r="AE12" s="1" t="s">
        <v>98</v>
      </c>
      <c r="AF12" s="1" t="s">
        <v>385</v>
      </c>
      <c r="AG12" s="1" t="s">
        <v>386</v>
      </c>
      <c r="AH12" s="1" t="s">
        <v>167</v>
      </c>
      <c r="AI12" s="1" t="s">
        <v>170</v>
      </c>
      <c r="AJ12" s="1">
        <v>68.6</v>
      </c>
      <c r="AK12" s="1">
        <v>7.6</v>
      </c>
      <c r="AL12" s="1"/>
      <c r="AM12" s="1"/>
      <c r="AN12" s="1"/>
      <c r="AO12" s="1"/>
      <c r="AP12" s="1"/>
      <c r="AQ12" s="1"/>
      <c r="AR12" s="1"/>
      <c r="AS12" s="1" t="s">
        <v>228</v>
      </c>
      <c r="AT12" s="1" t="s">
        <v>387</v>
      </c>
      <c r="AU12" s="1" t="s">
        <v>388</v>
      </c>
      <c r="AV12" s="1" t="s">
        <v>178</v>
      </c>
      <c r="AW12" s="1">
        <v>85.32</v>
      </c>
      <c r="AX12" s="1"/>
      <c r="AY12" s="1" t="s">
        <v>389</v>
      </c>
      <c r="AZ12" s="1" t="s">
        <v>390</v>
      </c>
      <c r="BA12" s="1"/>
      <c r="BB12" s="1"/>
      <c r="BC12" s="1" t="s">
        <v>178</v>
      </c>
      <c r="BD12" s="1" t="s">
        <v>391</v>
      </c>
      <c r="BE12" s="1">
        <v>78.3</v>
      </c>
      <c r="BF12" s="1">
        <v>8.33</v>
      </c>
      <c r="BG12" s="1"/>
      <c r="BH12" s="1"/>
      <c r="BI12" s="1"/>
      <c r="BJ12" s="1"/>
      <c r="BK12" s="1"/>
      <c r="BL12" s="1"/>
      <c r="BM12" s="1"/>
      <c r="BN12" s="1"/>
      <c r="BO12" s="1" t="s">
        <v>392</v>
      </c>
      <c r="BP12" s="1"/>
      <c r="BQ12" s="1"/>
      <c r="BR12" s="1" t="s">
        <v>393</v>
      </c>
      <c r="BS12" s="1">
        <v>60</v>
      </c>
      <c r="BT12" s="1" t="s">
        <v>394</v>
      </c>
      <c r="BU12" s="1" t="str">
        <f>HYPERLINK("https://nconnect.nicmar.ac.in/storage/profile/6a1c46dc90bab.png","Download")</f>
        <v>0</v>
      </c>
      <c r="BV12" s="3"/>
      <c r="BW12" s="3"/>
    </row>
    <row r="13" spans="1:75">
      <c r="A13" s="1" t="s">
        <v>75</v>
      </c>
      <c r="B13" s="1" t="s">
        <v>76</v>
      </c>
      <c r="C13" s="1" t="s">
        <v>395</v>
      </c>
      <c r="D13" s="1" t="s">
        <v>396</v>
      </c>
      <c r="E13" s="1" t="s">
        <v>397</v>
      </c>
      <c r="F13" s="1" t="s">
        <v>398</v>
      </c>
      <c r="G13" s="1" t="s">
        <v>399</v>
      </c>
      <c r="H13" s="1" t="s">
        <v>400</v>
      </c>
      <c r="I13" s="1" t="s">
        <v>401</v>
      </c>
      <c r="J13" s="1">
        <v>8237843172</v>
      </c>
      <c r="K13" s="1" t="s">
        <v>84</v>
      </c>
      <c r="L13" s="1" t="s">
        <v>402</v>
      </c>
      <c r="M13" s="1" t="s">
        <v>86</v>
      </c>
      <c r="N13" s="1" t="s">
        <v>403</v>
      </c>
      <c r="O13" s="1" t="s">
        <v>404</v>
      </c>
      <c r="P13" s="1" t="s">
        <v>89</v>
      </c>
      <c r="Q13" s="1" t="s">
        <v>405</v>
      </c>
      <c r="R13" s="1" t="s">
        <v>406</v>
      </c>
      <c r="S13" s="1">
        <v>9822204403</v>
      </c>
      <c r="T13" s="1" t="s">
        <v>407</v>
      </c>
      <c r="U13" s="1" t="s">
        <v>408</v>
      </c>
      <c r="V13" s="1">
        <v>9822429888</v>
      </c>
      <c r="W13" s="1" t="s">
        <v>161</v>
      </c>
      <c r="X13" s="1" t="s">
        <v>409</v>
      </c>
      <c r="Y13" s="1" t="s">
        <v>410</v>
      </c>
      <c r="Z13" s="1" t="s">
        <v>97</v>
      </c>
      <c r="AA13" s="1" t="s">
        <v>409</v>
      </c>
      <c r="AB13" s="1" t="s">
        <v>410</v>
      </c>
      <c r="AC13" s="1" t="s">
        <v>97</v>
      </c>
      <c r="AD13" s="1" t="s">
        <v>98</v>
      </c>
      <c r="AE13" s="1" t="s">
        <v>98</v>
      </c>
      <c r="AF13" s="1" t="s">
        <v>411</v>
      </c>
      <c r="AG13" s="1" t="s">
        <v>412</v>
      </c>
      <c r="AH13" s="1" t="s">
        <v>200</v>
      </c>
      <c r="AI13" s="1" t="s">
        <v>286</v>
      </c>
      <c r="AJ13" s="1">
        <v>74.8</v>
      </c>
      <c r="AK13" s="1"/>
      <c r="AL13" s="1" t="s">
        <v>413</v>
      </c>
      <c r="AM13" s="1" t="s">
        <v>412</v>
      </c>
      <c r="AN13" s="1"/>
      <c r="AO13" s="1" t="s">
        <v>414</v>
      </c>
      <c r="AP13" s="1" t="s">
        <v>365</v>
      </c>
      <c r="AQ13" s="1">
        <v>71.8</v>
      </c>
      <c r="AR13" s="1"/>
      <c r="AS13" s="1"/>
      <c r="AT13" s="1"/>
      <c r="AU13" s="1"/>
      <c r="AV13" s="1"/>
      <c r="AW13" s="1"/>
      <c r="AX13" s="1"/>
      <c r="AY13" s="1" t="s">
        <v>415</v>
      </c>
      <c r="AZ13" s="1" t="s">
        <v>416</v>
      </c>
      <c r="BA13" s="1"/>
      <c r="BB13" s="1"/>
      <c r="BC13" s="1" t="s">
        <v>417</v>
      </c>
      <c r="BD13" s="1" t="s">
        <v>418</v>
      </c>
      <c r="BE13" s="1">
        <v>64.4</v>
      </c>
      <c r="BF13" s="1">
        <v>7.19</v>
      </c>
      <c r="BG13" s="1"/>
      <c r="BH13" s="1"/>
      <c r="BI13" s="1"/>
      <c r="BJ13" s="1"/>
      <c r="BK13" s="1"/>
      <c r="BL13" s="1"/>
      <c r="BM13" s="1"/>
      <c r="BN13" s="1"/>
      <c r="BO13" s="1" t="s">
        <v>419</v>
      </c>
      <c r="BP13" s="1"/>
      <c r="BQ13" s="1"/>
      <c r="BR13" s="1" t="s">
        <v>420</v>
      </c>
      <c r="BS13" s="1">
        <v>24</v>
      </c>
      <c r="BT13" s="1"/>
      <c r="BU13" s="1" t="str">
        <f>HYPERLINK("https://nconnect.nicmar.ac.in/storage/profile/6a1c4c4fce923.png","Download")</f>
        <v>0</v>
      </c>
      <c r="BV13" s="3"/>
      <c r="BW13" s="3"/>
    </row>
    <row r="14" spans="1:75">
      <c r="A14" s="1" t="s">
        <v>75</v>
      </c>
      <c r="B14" s="1" t="s">
        <v>76</v>
      </c>
      <c r="C14" s="1" t="s">
        <v>421</v>
      </c>
      <c r="D14" s="1" t="s">
        <v>422</v>
      </c>
      <c r="E14" s="1" t="s">
        <v>423</v>
      </c>
      <c r="F14" s="1" t="s">
        <v>424</v>
      </c>
      <c r="G14" s="1" t="s">
        <v>425</v>
      </c>
      <c r="H14" s="1" t="s">
        <v>426</v>
      </c>
      <c r="I14" s="1" t="s">
        <v>427</v>
      </c>
      <c r="J14" s="1">
        <v>9422720171</v>
      </c>
      <c r="K14" s="1" t="s">
        <v>153</v>
      </c>
      <c r="L14" s="1" t="s">
        <v>428</v>
      </c>
      <c r="M14" s="1" t="s">
        <v>86</v>
      </c>
      <c r="N14" s="1" t="s">
        <v>156</v>
      </c>
      <c r="O14" s="1" t="s">
        <v>429</v>
      </c>
      <c r="P14" s="1" t="s">
        <v>122</v>
      </c>
      <c r="Q14" s="1" t="s">
        <v>430</v>
      </c>
      <c r="R14" s="1" t="s">
        <v>431</v>
      </c>
      <c r="S14" s="1">
        <v>9404623871</v>
      </c>
      <c r="T14" s="1" t="s">
        <v>127</v>
      </c>
      <c r="U14" s="1" t="s">
        <v>432</v>
      </c>
      <c r="V14" s="1">
        <v>7972398377</v>
      </c>
      <c r="W14" s="1" t="s">
        <v>278</v>
      </c>
      <c r="X14" s="1" t="s">
        <v>433</v>
      </c>
      <c r="Y14" s="1" t="s">
        <v>434</v>
      </c>
      <c r="Z14" s="1" t="s">
        <v>97</v>
      </c>
      <c r="AA14" s="1" t="s">
        <v>433</v>
      </c>
      <c r="AB14" s="1" t="s">
        <v>434</v>
      </c>
      <c r="AC14" s="1" t="s">
        <v>97</v>
      </c>
      <c r="AD14" s="1" t="s">
        <v>98</v>
      </c>
      <c r="AE14" s="1" t="s">
        <v>98</v>
      </c>
      <c r="AF14" s="1" t="s">
        <v>435</v>
      </c>
      <c r="AG14" s="1" t="s">
        <v>436</v>
      </c>
      <c r="AH14" s="1" t="s">
        <v>167</v>
      </c>
      <c r="AI14" s="1" t="s">
        <v>170</v>
      </c>
      <c r="AJ14" s="1">
        <v>64.4</v>
      </c>
      <c r="AK14" s="1"/>
      <c r="AL14" s="1" t="s">
        <v>437</v>
      </c>
      <c r="AM14" s="1" t="s">
        <v>436</v>
      </c>
      <c r="AN14" s="1"/>
      <c r="AO14" s="1" t="s">
        <v>106</v>
      </c>
      <c r="AP14" s="1" t="s">
        <v>438</v>
      </c>
      <c r="AQ14" s="1">
        <v>48.62</v>
      </c>
      <c r="AR14" s="1"/>
      <c r="AS14" s="1" t="s">
        <v>439</v>
      </c>
      <c r="AT14" s="1" t="s">
        <v>440</v>
      </c>
      <c r="AU14" s="1" t="s">
        <v>315</v>
      </c>
      <c r="AV14" s="1" t="s">
        <v>441</v>
      </c>
      <c r="AW14" s="1">
        <v>91.42</v>
      </c>
      <c r="AX14" s="1"/>
      <c r="AY14" s="1" t="s">
        <v>442</v>
      </c>
      <c r="AZ14" s="1" t="s">
        <v>443</v>
      </c>
      <c r="BA14" s="1"/>
      <c r="BB14" s="1"/>
      <c r="BC14" s="1" t="s">
        <v>441</v>
      </c>
      <c r="BD14" s="1" t="s">
        <v>207</v>
      </c>
      <c r="BE14" s="1">
        <v>72.8</v>
      </c>
      <c r="BF14" s="1">
        <v>8.58</v>
      </c>
      <c r="BG14" s="1"/>
      <c r="BH14" s="1"/>
      <c r="BI14" s="1"/>
      <c r="BJ14" s="1"/>
      <c r="BK14" s="1"/>
      <c r="BL14" s="1"/>
      <c r="BM14" s="1"/>
      <c r="BN14" s="1"/>
      <c r="BO14" s="1" t="s">
        <v>444</v>
      </c>
      <c r="BP14" s="1"/>
      <c r="BQ14" s="1"/>
      <c r="BR14" s="1" t="s">
        <v>445</v>
      </c>
      <c r="BS14" s="1">
        <v>10</v>
      </c>
      <c r="BT14" s="1"/>
      <c r="BU14" s="1" t="str">
        <f>HYPERLINK("https://nconnect.nicmar.ac.in/storage/profile/6a1c4ef70c260.png","Download")</f>
        <v>0</v>
      </c>
      <c r="BV14" s="3"/>
      <c r="BW14" s="3"/>
    </row>
    <row r="15" spans="1:75">
      <c r="A15" s="1" t="s">
        <v>75</v>
      </c>
      <c r="B15" s="1" t="s">
        <v>446</v>
      </c>
      <c r="C15" s="1" t="s">
        <v>447</v>
      </c>
      <c r="D15" s="1" t="s">
        <v>448</v>
      </c>
      <c r="E15" s="1"/>
      <c r="F15" s="1" t="s">
        <v>449</v>
      </c>
      <c r="G15" s="1" t="s">
        <v>450</v>
      </c>
      <c r="H15" s="1" t="s">
        <v>451</v>
      </c>
      <c r="I15" s="1" t="s">
        <v>452</v>
      </c>
      <c r="J15" s="1">
        <v>9346561296</v>
      </c>
      <c r="K15" s="1" t="s">
        <v>84</v>
      </c>
      <c r="L15" s="1" t="s">
        <v>453</v>
      </c>
      <c r="M15" s="1" t="s">
        <v>86</v>
      </c>
      <c r="N15" s="1" t="s">
        <v>454</v>
      </c>
      <c r="O15" s="1"/>
      <c r="P15" s="1" t="s">
        <v>455</v>
      </c>
      <c r="Q15" s="1" t="s">
        <v>456</v>
      </c>
      <c r="R15" s="1" t="s">
        <v>457</v>
      </c>
      <c r="S15" s="1">
        <v>9963721767</v>
      </c>
      <c r="T15" s="1" t="s">
        <v>159</v>
      </c>
      <c r="U15" s="1" t="s">
        <v>458</v>
      </c>
      <c r="V15" s="1">
        <v>9963721767</v>
      </c>
      <c r="W15" s="1" t="s">
        <v>159</v>
      </c>
      <c r="X15" s="1" t="s">
        <v>459</v>
      </c>
      <c r="Y15" s="1" t="s">
        <v>460</v>
      </c>
      <c r="Z15" s="1" t="s">
        <v>461</v>
      </c>
      <c r="AA15" s="1" t="s">
        <v>459</v>
      </c>
      <c r="AB15" s="1" t="s">
        <v>460</v>
      </c>
      <c r="AC15" s="1" t="s">
        <v>461</v>
      </c>
      <c r="AD15" s="1">
        <v>9.1</v>
      </c>
      <c r="AE15" s="1" t="s">
        <v>98</v>
      </c>
      <c r="AF15" s="1" t="s">
        <v>462</v>
      </c>
      <c r="AG15" s="1" t="s">
        <v>463</v>
      </c>
      <c r="AH15" s="1" t="s">
        <v>166</v>
      </c>
      <c r="AI15" s="1" t="s">
        <v>286</v>
      </c>
      <c r="AJ15" s="1">
        <v>98</v>
      </c>
      <c r="AK15" s="1">
        <v>9.8</v>
      </c>
      <c r="AL15" s="1" t="s">
        <v>464</v>
      </c>
      <c r="AM15" s="1" t="s">
        <v>464</v>
      </c>
      <c r="AN15" s="1" t="s">
        <v>465</v>
      </c>
      <c r="AO15" s="1" t="s">
        <v>174</v>
      </c>
      <c r="AP15" s="1" t="s">
        <v>417</v>
      </c>
      <c r="AQ15" s="1">
        <v>89.9</v>
      </c>
      <c r="AR15" s="1">
        <v>8.99</v>
      </c>
      <c r="AS15" s="1"/>
      <c r="AT15" s="1"/>
      <c r="AU15" s="1"/>
      <c r="AV15" s="1"/>
      <c r="AW15" s="1"/>
      <c r="AX15" s="1"/>
      <c r="AY15" s="1" t="s">
        <v>464</v>
      </c>
      <c r="AZ15" s="1" t="s">
        <v>464</v>
      </c>
      <c r="BA15" s="1" t="s">
        <v>466</v>
      </c>
      <c r="BB15" s="1" t="s">
        <v>467</v>
      </c>
      <c r="BC15" s="1" t="s">
        <v>468</v>
      </c>
      <c r="BD15" s="1" t="s">
        <v>418</v>
      </c>
      <c r="BE15" s="1">
        <v>82</v>
      </c>
      <c r="BF15" s="1">
        <v>8.2</v>
      </c>
      <c r="BG15" s="1"/>
      <c r="BH15" s="1"/>
      <c r="BI15" s="1"/>
      <c r="BJ15" s="1"/>
      <c r="BK15" s="1"/>
      <c r="BL15" s="1"/>
      <c r="BM15" s="1"/>
      <c r="BN15" s="1"/>
      <c r="BO15" s="1" t="s">
        <v>469</v>
      </c>
      <c r="BP15" s="1" t="s">
        <v>470</v>
      </c>
      <c r="BQ15" s="1" t="s">
        <v>471</v>
      </c>
      <c r="BR15" s="1" t="s">
        <v>472</v>
      </c>
      <c r="BS15" s="1">
        <v>14</v>
      </c>
      <c r="BT15" s="1" t="s">
        <v>473</v>
      </c>
      <c r="BU15" s="1" t="str">
        <f>HYPERLINK("https://nconnect.nicmar.ac.in/storage/profile/6a8468e979da6.png","Download")</f>
        <v>0</v>
      </c>
      <c r="BV15" s="3"/>
      <c r="BW15" s="4">
        <v>1</v>
      </c>
    </row>
    <row r="16" spans="1:75">
      <c r="A16" s="1" t="s">
        <v>75</v>
      </c>
      <c r="B16" s="1" t="s">
        <v>446</v>
      </c>
      <c r="C16" s="1" t="s">
        <v>474</v>
      </c>
      <c r="D16" s="1" t="s">
        <v>475</v>
      </c>
      <c r="E16" s="1"/>
      <c r="F16" s="1" t="s">
        <v>476</v>
      </c>
      <c r="G16" s="1" t="s">
        <v>477</v>
      </c>
      <c r="H16" s="1" t="s">
        <v>478</v>
      </c>
      <c r="I16" s="1" t="s">
        <v>479</v>
      </c>
      <c r="J16" s="1">
        <v>7671817459</v>
      </c>
      <c r="K16" s="1" t="s">
        <v>153</v>
      </c>
      <c r="L16" s="1" t="s">
        <v>480</v>
      </c>
      <c r="M16" s="1" t="s">
        <v>86</v>
      </c>
      <c r="N16" s="1" t="s">
        <v>454</v>
      </c>
      <c r="O16" s="1"/>
      <c r="P16" s="1" t="s">
        <v>481</v>
      </c>
      <c r="Q16" s="1" t="s">
        <v>482</v>
      </c>
      <c r="R16" s="1" t="s">
        <v>483</v>
      </c>
      <c r="S16" s="1">
        <v>9491170937</v>
      </c>
      <c r="T16" s="1" t="s">
        <v>484</v>
      </c>
      <c r="U16" s="1" t="s">
        <v>485</v>
      </c>
      <c r="V16" s="1">
        <v>8919283213</v>
      </c>
      <c r="W16" s="1" t="s">
        <v>484</v>
      </c>
      <c r="X16" s="1" t="s">
        <v>486</v>
      </c>
      <c r="Y16" s="1" t="s">
        <v>487</v>
      </c>
      <c r="Z16" s="1" t="s">
        <v>281</v>
      </c>
      <c r="AA16" s="1" t="s">
        <v>486</v>
      </c>
      <c r="AB16" s="1" t="s">
        <v>487</v>
      </c>
      <c r="AC16" s="1" t="s">
        <v>281</v>
      </c>
      <c r="AD16" s="1">
        <v>8.33</v>
      </c>
      <c r="AE16" s="1" t="s">
        <v>98</v>
      </c>
      <c r="AF16" s="1" t="s">
        <v>488</v>
      </c>
      <c r="AG16" s="1" t="s">
        <v>489</v>
      </c>
      <c r="AH16" s="1" t="s">
        <v>170</v>
      </c>
      <c r="AI16" s="1" t="s">
        <v>490</v>
      </c>
      <c r="AJ16" s="1">
        <v>100</v>
      </c>
      <c r="AK16" s="1">
        <v>10</v>
      </c>
      <c r="AL16" s="1" t="s">
        <v>491</v>
      </c>
      <c r="AM16" s="1" t="s">
        <v>492</v>
      </c>
      <c r="AN16" s="1" t="s">
        <v>465</v>
      </c>
      <c r="AO16" s="1" t="s">
        <v>106</v>
      </c>
      <c r="AP16" s="1" t="s">
        <v>468</v>
      </c>
      <c r="AQ16" s="1">
        <v>89.9</v>
      </c>
      <c r="AR16" s="1">
        <v>9.38</v>
      </c>
      <c r="AS16" s="1"/>
      <c r="AT16" s="1"/>
      <c r="AU16" s="1"/>
      <c r="AV16" s="1"/>
      <c r="AW16" s="1"/>
      <c r="AX16" s="1"/>
      <c r="AY16" s="1" t="s">
        <v>493</v>
      </c>
      <c r="AZ16" s="1" t="s">
        <v>494</v>
      </c>
      <c r="BA16" s="1" t="s">
        <v>466</v>
      </c>
      <c r="BB16" s="1" t="s">
        <v>467</v>
      </c>
      <c r="BC16" s="1" t="s">
        <v>468</v>
      </c>
      <c r="BD16" s="1" t="s">
        <v>207</v>
      </c>
      <c r="BE16" s="1">
        <v>74.67</v>
      </c>
      <c r="BF16" s="1">
        <v>7.86</v>
      </c>
      <c r="BG16" s="1"/>
      <c r="BH16" s="1"/>
      <c r="BI16" s="1"/>
      <c r="BJ16" s="1"/>
      <c r="BK16" s="1"/>
      <c r="BL16" s="1"/>
      <c r="BM16" s="1"/>
      <c r="BN16" s="1"/>
      <c r="BO16" s="1" t="s">
        <v>495</v>
      </c>
      <c r="BP16" s="1"/>
      <c r="BQ16" s="1"/>
      <c r="BR16" s="1" t="s">
        <v>496</v>
      </c>
      <c r="BS16" s="1">
        <v>25</v>
      </c>
      <c r="BT16" s="1" t="s">
        <v>497</v>
      </c>
      <c r="BU16" s="1" t="str">
        <f>HYPERLINK("https://nconnect.nicmar.ac.in/storage/profile/6a8d52e40eea4.png","Download")</f>
        <v>0</v>
      </c>
      <c r="BV16" s="3"/>
      <c r="BW16" s="4">
        <v>1</v>
      </c>
    </row>
    <row r="17" spans="1:75">
      <c r="A17" s="1" t="s">
        <v>75</v>
      </c>
      <c r="B17" s="1" t="s">
        <v>446</v>
      </c>
      <c r="C17" s="1" t="s">
        <v>498</v>
      </c>
      <c r="D17" s="1" t="s">
        <v>499</v>
      </c>
      <c r="E17" s="1" t="s">
        <v>500</v>
      </c>
      <c r="F17" s="1" t="s">
        <v>501</v>
      </c>
      <c r="G17" s="1" t="s">
        <v>502</v>
      </c>
      <c r="H17" s="1" t="s">
        <v>503</v>
      </c>
      <c r="I17" s="1" t="s">
        <v>504</v>
      </c>
      <c r="J17" s="1">
        <v>9284394773</v>
      </c>
      <c r="K17" s="1" t="s">
        <v>153</v>
      </c>
      <c r="L17" s="1" t="s">
        <v>505</v>
      </c>
      <c r="M17" s="1" t="s">
        <v>86</v>
      </c>
      <c r="N17" s="1" t="s">
        <v>506</v>
      </c>
      <c r="O17" s="1"/>
      <c r="P17" s="1" t="s">
        <v>507</v>
      </c>
      <c r="Q17" s="1" t="s">
        <v>508</v>
      </c>
      <c r="R17" s="1" t="s">
        <v>509</v>
      </c>
      <c r="S17" s="1">
        <v>9356181017</v>
      </c>
      <c r="T17" s="1" t="s">
        <v>510</v>
      </c>
      <c r="U17" s="1" t="s">
        <v>511</v>
      </c>
      <c r="V17" s="1">
        <v>9850076954</v>
      </c>
      <c r="W17" s="1" t="s">
        <v>127</v>
      </c>
      <c r="X17" s="1" t="s">
        <v>512</v>
      </c>
      <c r="Y17" s="1" t="s">
        <v>333</v>
      </c>
      <c r="Z17" s="1" t="s">
        <v>97</v>
      </c>
      <c r="AA17" s="1" t="s">
        <v>512</v>
      </c>
      <c r="AB17" s="1" t="s">
        <v>333</v>
      </c>
      <c r="AC17" s="1" t="s">
        <v>97</v>
      </c>
      <c r="AD17" s="1">
        <v>8.33</v>
      </c>
      <c r="AE17" s="1" t="s">
        <v>98</v>
      </c>
      <c r="AF17" s="1" t="s">
        <v>513</v>
      </c>
      <c r="AG17" s="1" t="s">
        <v>514</v>
      </c>
      <c r="AH17" s="1" t="s">
        <v>515</v>
      </c>
      <c r="AI17" s="1" t="s">
        <v>102</v>
      </c>
      <c r="AJ17" s="1">
        <v>88</v>
      </c>
      <c r="AK17" s="1"/>
      <c r="AL17" s="1" t="s">
        <v>516</v>
      </c>
      <c r="AM17" s="1" t="s">
        <v>514</v>
      </c>
      <c r="AN17" s="1"/>
      <c r="AO17" s="1" t="s">
        <v>517</v>
      </c>
      <c r="AP17" s="1" t="s">
        <v>518</v>
      </c>
      <c r="AQ17" s="1">
        <v>65.54</v>
      </c>
      <c r="AR17" s="1"/>
      <c r="AS17" s="1"/>
      <c r="AT17" s="1"/>
      <c r="AU17" s="1"/>
      <c r="AV17" s="1"/>
      <c r="AW17" s="1"/>
      <c r="AX17" s="1"/>
      <c r="AY17" s="1" t="s">
        <v>519</v>
      </c>
      <c r="AZ17" s="1" t="s">
        <v>520</v>
      </c>
      <c r="BA17" s="1"/>
      <c r="BB17" s="1"/>
      <c r="BC17" s="1" t="s">
        <v>170</v>
      </c>
      <c r="BD17" s="1" t="s">
        <v>521</v>
      </c>
      <c r="BE17" s="1">
        <v>73.64</v>
      </c>
      <c r="BF17" s="1"/>
      <c r="BG17" s="1"/>
      <c r="BH17" s="1"/>
      <c r="BI17" s="1"/>
      <c r="BJ17" s="1"/>
      <c r="BK17" s="1"/>
      <c r="BL17" s="1"/>
      <c r="BM17" s="1"/>
      <c r="BN17" s="1"/>
      <c r="BO17" s="1" t="s">
        <v>522</v>
      </c>
      <c r="BP17" s="1" t="s">
        <v>523</v>
      </c>
      <c r="BQ17" s="1" t="s">
        <v>524</v>
      </c>
      <c r="BR17" s="1" t="s">
        <v>525</v>
      </c>
      <c r="BS17" s="1">
        <v>32</v>
      </c>
      <c r="BT17" s="1" t="s">
        <v>526</v>
      </c>
      <c r="BU17" s="1" t="str">
        <f>HYPERLINK("https://nconnect.nicmar.ac.in/storage/profile/6a6b587484d66.png","Download")</f>
        <v>0</v>
      </c>
      <c r="BV17" s="3"/>
      <c r="BW17" s="3"/>
    </row>
    <row r="18" spans="1:75">
      <c r="A18" s="1" t="s">
        <v>75</v>
      </c>
      <c r="B18" s="1" t="s">
        <v>446</v>
      </c>
      <c r="C18" s="1" t="s">
        <v>527</v>
      </c>
      <c r="D18" s="1" t="s">
        <v>528</v>
      </c>
      <c r="E18" s="1" t="s">
        <v>529</v>
      </c>
      <c r="F18" s="1" t="s">
        <v>530</v>
      </c>
      <c r="G18" s="1" t="s">
        <v>531</v>
      </c>
      <c r="H18" s="1" t="s">
        <v>532</v>
      </c>
      <c r="I18" s="1" t="s">
        <v>533</v>
      </c>
      <c r="J18" s="1">
        <v>8004741658</v>
      </c>
      <c r="K18" s="1" t="s">
        <v>84</v>
      </c>
      <c r="L18" s="1" t="s">
        <v>534</v>
      </c>
      <c r="M18" s="1" t="s">
        <v>86</v>
      </c>
      <c r="N18" s="1" t="s">
        <v>535</v>
      </c>
      <c r="O18" s="1" t="s">
        <v>536</v>
      </c>
      <c r="P18" s="1" t="s">
        <v>507</v>
      </c>
      <c r="Q18" s="1" t="s">
        <v>537</v>
      </c>
      <c r="R18" s="1" t="s">
        <v>538</v>
      </c>
      <c r="S18" s="1">
        <v>9451690052</v>
      </c>
      <c r="T18" s="1" t="s">
        <v>539</v>
      </c>
      <c r="U18" s="1" t="s">
        <v>540</v>
      </c>
      <c r="V18" s="1">
        <v>8874470303</v>
      </c>
      <c r="W18" s="1" t="s">
        <v>541</v>
      </c>
      <c r="X18" s="1" t="s">
        <v>542</v>
      </c>
      <c r="Y18" s="1" t="s">
        <v>543</v>
      </c>
      <c r="Z18" s="1" t="s">
        <v>544</v>
      </c>
      <c r="AA18" s="1" t="s">
        <v>542</v>
      </c>
      <c r="AB18" s="1" t="s">
        <v>543</v>
      </c>
      <c r="AC18" s="1" t="s">
        <v>544</v>
      </c>
      <c r="AD18" s="1">
        <v>8.54</v>
      </c>
      <c r="AE18" s="1" t="s">
        <v>98</v>
      </c>
      <c r="AF18" s="1" t="s">
        <v>545</v>
      </c>
      <c r="AG18" s="1" t="s">
        <v>546</v>
      </c>
      <c r="AH18" s="1" t="s">
        <v>490</v>
      </c>
      <c r="AI18" s="1" t="s">
        <v>547</v>
      </c>
      <c r="AJ18" s="1">
        <v>89</v>
      </c>
      <c r="AK18" s="1"/>
      <c r="AL18" s="1" t="s">
        <v>548</v>
      </c>
      <c r="AM18" s="1" t="s">
        <v>546</v>
      </c>
      <c r="AN18" s="1" t="s">
        <v>465</v>
      </c>
      <c r="AO18" s="1" t="s">
        <v>547</v>
      </c>
      <c r="AP18" s="1" t="s">
        <v>549</v>
      </c>
      <c r="AQ18" s="1">
        <v>80.8</v>
      </c>
      <c r="AR18" s="1"/>
      <c r="AS18" s="1"/>
      <c r="AT18" s="1"/>
      <c r="AU18" s="1"/>
      <c r="AV18" s="1"/>
      <c r="AW18" s="1"/>
      <c r="AX18" s="1"/>
      <c r="AY18" s="1" t="s">
        <v>550</v>
      </c>
      <c r="AZ18" s="1" t="s">
        <v>551</v>
      </c>
      <c r="BA18" s="1" t="s">
        <v>466</v>
      </c>
      <c r="BB18" s="1" t="s">
        <v>467</v>
      </c>
      <c r="BC18" s="1" t="s">
        <v>552</v>
      </c>
      <c r="BD18" s="1" t="s">
        <v>553</v>
      </c>
      <c r="BE18" s="1">
        <v>84.2</v>
      </c>
      <c r="BF18" s="1">
        <v>8.42</v>
      </c>
      <c r="BG18" s="1"/>
      <c r="BH18" s="1"/>
      <c r="BI18" s="1"/>
      <c r="BJ18" s="1"/>
      <c r="BK18" s="1"/>
      <c r="BL18" s="1"/>
      <c r="BM18" s="1"/>
      <c r="BN18" s="1"/>
      <c r="BO18" s="1" t="s">
        <v>554</v>
      </c>
      <c r="BP18" s="1"/>
      <c r="BQ18" s="1"/>
      <c r="BR18" s="1" t="s">
        <v>555</v>
      </c>
      <c r="BS18" s="1">
        <v>20</v>
      </c>
      <c r="BT18" s="1" t="s">
        <v>556</v>
      </c>
      <c r="BU18" s="1" t="str">
        <f>HYPERLINK("https://nconnect.nicmar.ac.in/storage/profile/6a86885fbbc04.png","Download")</f>
        <v>0</v>
      </c>
      <c r="BV18" s="3"/>
      <c r="BW18" s="4">
        <v>1</v>
      </c>
    </row>
    <row r="19" spans="1:75">
      <c r="A19" s="1" t="s">
        <v>75</v>
      </c>
      <c r="B19" s="1" t="s">
        <v>446</v>
      </c>
      <c r="C19" s="1" t="s">
        <v>557</v>
      </c>
      <c r="D19" s="1" t="s">
        <v>558</v>
      </c>
      <c r="E19" s="1"/>
      <c r="F19" s="1" t="s">
        <v>559</v>
      </c>
      <c r="G19" s="1" t="s">
        <v>560</v>
      </c>
      <c r="H19" s="1" t="s">
        <v>561</v>
      </c>
      <c r="I19" s="1" t="s">
        <v>562</v>
      </c>
      <c r="J19" s="1">
        <v>9025856149</v>
      </c>
      <c r="K19" s="1" t="s">
        <v>84</v>
      </c>
      <c r="L19" s="1" t="s">
        <v>563</v>
      </c>
      <c r="M19" s="1" t="s">
        <v>86</v>
      </c>
      <c r="N19" s="1" t="s">
        <v>564</v>
      </c>
      <c r="O19" s="1"/>
      <c r="P19" s="1" t="s">
        <v>455</v>
      </c>
      <c r="Q19" s="1" t="s">
        <v>565</v>
      </c>
      <c r="R19" s="1" t="s">
        <v>566</v>
      </c>
      <c r="S19" s="1">
        <v>9942265081</v>
      </c>
      <c r="T19" s="1" t="s">
        <v>159</v>
      </c>
      <c r="U19" s="1" t="s">
        <v>567</v>
      </c>
      <c r="V19" s="1">
        <v>9942750330</v>
      </c>
      <c r="W19" s="1" t="s">
        <v>278</v>
      </c>
      <c r="X19" s="1" t="s">
        <v>568</v>
      </c>
      <c r="Y19" s="1" t="s">
        <v>569</v>
      </c>
      <c r="Z19" s="1" t="s">
        <v>570</v>
      </c>
      <c r="AA19" s="1" t="s">
        <v>568</v>
      </c>
      <c r="AB19" s="1" t="s">
        <v>569</v>
      </c>
      <c r="AC19" s="1" t="s">
        <v>570</v>
      </c>
      <c r="AD19" s="1">
        <v>8.59</v>
      </c>
      <c r="AE19" s="1" t="s">
        <v>98</v>
      </c>
      <c r="AF19" s="1" t="s">
        <v>571</v>
      </c>
      <c r="AG19" s="1" t="s">
        <v>572</v>
      </c>
      <c r="AH19" s="1" t="s">
        <v>166</v>
      </c>
      <c r="AI19" s="1" t="s">
        <v>573</v>
      </c>
      <c r="AJ19" s="1">
        <v>90</v>
      </c>
      <c r="AK19" s="1"/>
      <c r="AL19" s="1" t="s">
        <v>574</v>
      </c>
      <c r="AM19" s="1" t="s">
        <v>572</v>
      </c>
      <c r="AN19" s="1" t="s">
        <v>575</v>
      </c>
      <c r="AO19" s="1" t="s">
        <v>490</v>
      </c>
      <c r="AP19" s="1" t="s">
        <v>547</v>
      </c>
      <c r="AQ19" s="1">
        <v>71.5</v>
      </c>
      <c r="AR19" s="1"/>
      <c r="AS19" s="1"/>
      <c r="AT19" s="1"/>
      <c r="AU19" s="1"/>
      <c r="AV19" s="1"/>
      <c r="AW19" s="1"/>
      <c r="AX19" s="1"/>
      <c r="AY19" s="1" t="s">
        <v>576</v>
      </c>
      <c r="AZ19" s="1" t="s">
        <v>577</v>
      </c>
      <c r="BA19" s="1" t="s">
        <v>578</v>
      </c>
      <c r="BB19" s="1" t="s">
        <v>467</v>
      </c>
      <c r="BC19" s="1" t="s">
        <v>438</v>
      </c>
      <c r="BD19" s="1" t="s">
        <v>579</v>
      </c>
      <c r="BE19" s="1">
        <v>82.3</v>
      </c>
      <c r="BF19" s="1">
        <v>8.23</v>
      </c>
      <c r="BG19" s="1"/>
      <c r="BH19" s="1"/>
      <c r="BI19" s="1"/>
      <c r="BJ19" s="1"/>
      <c r="BK19" s="1"/>
      <c r="BL19" s="1"/>
      <c r="BM19" s="1"/>
      <c r="BN19" s="1"/>
      <c r="BO19" s="1" t="s">
        <v>580</v>
      </c>
      <c r="BP19" s="1" t="s">
        <v>581</v>
      </c>
      <c r="BQ19" s="1" t="s">
        <v>582</v>
      </c>
      <c r="BR19" s="1" t="s">
        <v>583</v>
      </c>
      <c r="BS19" s="1">
        <v>9</v>
      </c>
      <c r="BT19" s="1" t="s">
        <v>584</v>
      </c>
      <c r="BU19" s="1" t="str">
        <f>HYPERLINK("https://nconnect.nicmar.ac.in/storage/profile/6a8e92694f505.png","Download")</f>
        <v>0</v>
      </c>
      <c r="BV19" s="3"/>
      <c r="BW19" s="4">
        <v>1</v>
      </c>
    </row>
    <row r="20" spans="1:75">
      <c r="A20" s="1" t="s">
        <v>75</v>
      </c>
      <c r="B20" s="1" t="s">
        <v>446</v>
      </c>
      <c r="C20" s="1" t="s">
        <v>585</v>
      </c>
      <c r="D20" s="1" t="s">
        <v>586</v>
      </c>
      <c r="E20" s="1"/>
      <c r="F20" s="1" t="s">
        <v>587</v>
      </c>
      <c r="G20" s="1" t="s">
        <v>588</v>
      </c>
      <c r="H20" s="1" t="s">
        <v>589</v>
      </c>
      <c r="I20" s="1" t="s">
        <v>590</v>
      </c>
      <c r="J20" s="1">
        <v>8304941139</v>
      </c>
      <c r="K20" s="1" t="s">
        <v>84</v>
      </c>
      <c r="L20" s="1" t="s">
        <v>591</v>
      </c>
      <c r="M20" s="1" t="s">
        <v>86</v>
      </c>
      <c r="N20" s="1" t="s">
        <v>592</v>
      </c>
      <c r="O20" s="1" t="s">
        <v>593</v>
      </c>
      <c r="P20" s="1" t="s">
        <v>89</v>
      </c>
      <c r="Q20" s="1" t="s">
        <v>594</v>
      </c>
      <c r="R20" s="1" t="s">
        <v>595</v>
      </c>
      <c r="S20" s="1">
        <v>9496901548</v>
      </c>
      <c r="T20" s="1" t="s">
        <v>596</v>
      </c>
      <c r="U20" s="1" t="s">
        <v>597</v>
      </c>
      <c r="V20" s="1">
        <v>8281087139</v>
      </c>
      <c r="W20" s="1" t="s">
        <v>161</v>
      </c>
      <c r="X20" s="1" t="s">
        <v>598</v>
      </c>
      <c r="Y20" s="1" t="s">
        <v>599</v>
      </c>
      <c r="Z20" s="1" t="s">
        <v>130</v>
      </c>
      <c r="AA20" s="1" t="s">
        <v>598</v>
      </c>
      <c r="AB20" s="1" t="s">
        <v>599</v>
      </c>
      <c r="AC20" s="1" t="s">
        <v>130</v>
      </c>
      <c r="AD20" s="1">
        <v>8.74</v>
      </c>
      <c r="AE20" s="1" t="s">
        <v>98</v>
      </c>
      <c r="AF20" s="1" t="s">
        <v>600</v>
      </c>
      <c r="AG20" s="1" t="s">
        <v>601</v>
      </c>
      <c r="AH20" s="1" t="s">
        <v>170</v>
      </c>
      <c r="AI20" s="1" t="s">
        <v>286</v>
      </c>
      <c r="AJ20" s="1">
        <v>97.84</v>
      </c>
      <c r="AK20" s="1"/>
      <c r="AL20" s="1" t="s">
        <v>600</v>
      </c>
      <c r="AM20" s="1" t="s">
        <v>602</v>
      </c>
      <c r="AN20" s="1" t="s">
        <v>575</v>
      </c>
      <c r="AO20" s="1" t="s">
        <v>106</v>
      </c>
      <c r="AP20" s="1" t="s">
        <v>603</v>
      </c>
      <c r="AQ20" s="1">
        <v>96.5</v>
      </c>
      <c r="AR20" s="1"/>
      <c r="AS20" s="1"/>
      <c r="AT20" s="1"/>
      <c r="AU20" s="1"/>
      <c r="AV20" s="1"/>
      <c r="AW20" s="1"/>
      <c r="AX20" s="1"/>
      <c r="AY20" s="1" t="s">
        <v>604</v>
      </c>
      <c r="AZ20" s="1" t="s">
        <v>605</v>
      </c>
      <c r="BA20" s="1" t="s">
        <v>466</v>
      </c>
      <c r="BB20" s="1" t="s">
        <v>467</v>
      </c>
      <c r="BC20" s="1" t="s">
        <v>606</v>
      </c>
      <c r="BD20" s="1" t="s">
        <v>607</v>
      </c>
      <c r="BE20" s="1">
        <v>75.8</v>
      </c>
      <c r="BF20" s="1">
        <v>7.58</v>
      </c>
      <c r="BG20" s="1"/>
      <c r="BH20" s="1"/>
      <c r="BI20" s="1"/>
      <c r="BJ20" s="1"/>
      <c r="BK20" s="1"/>
      <c r="BL20" s="1"/>
      <c r="BM20" s="1"/>
      <c r="BN20" s="1"/>
      <c r="BO20" s="1" t="s">
        <v>608</v>
      </c>
      <c r="BP20" s="1"/>
      <c r="BQ20" s="1"/>
      <c r="BR20" s="1" t="s">
        <v>609</v>
      </c>
      <c r="BS20" s="1">
        <v>10</v>
      </c>
      <c r="BT20" s="1" t="s">
        <v>610</v>
      </c>
      <c r="BU20" s="1" t="str">
        <f>HYPERLINK("https://nconnect.nicmar.ac.in/storage/profile/6a8518c1ee5f5.png","Download")</f>
        <v>0</v>
      </c>
      <c r="BV20" s="3"/>
      <c r="BW20" s="4">
        <v>1</v>
      </c>
    </row>
    <row r="21" spans="1:75">
      <c r="A21" s="1" t="s">
        <v>75</v>
      </c>
      <c r="B21" s="1" t="s">
        <v>446</v>
      </c>
      <c r="C21" s="1" t="s">
        <v>611</v>
      </c>
      <c r="D21" s="1" t="s">
        <v>612</v>
      </c>
      <c r="E21" s="1"/>
      <c r="F21" s="1" t="s">
        <v>613</v>
      </c>
      <c r="G21" s="1" t="s">
        <v>614</v>
      </c>
      <c r="H21" s="1" t="s">
        <v>615</v>
      </c>
      <c r="I21" s="1" t="s">
        <v>616</v>
      </c>
      <c r="J21" s="1">
        <v>9130396516</v>
      </c>
      <c r="K21" s="1" t="s">
        <v>84</v>
      </c>
      <c r="L21" s="1" t="s">
        <v>617</v>
      </c>
      <c r="M21" s="1" t="s">
        <v>86</v>
      </c>
      <c r="N21" s="1" t="s">
        <v>618</v>
      </c>
      <c r="O21" s="1"/>
      <c r="P21" s="1" t="s">
        <v>455</v>
      </c>
      <c r="Q21" s="1" t="s">
        <v>619</v>
      </c>
      <c r="R21" s="1" t="s">
        <v>620</v>
      </c>
      <c r="S21" s="1">
        <v>7218113381</v>
      </c>
      <c r="T21" s="1" t="s">
        <v>621</v>
      </c>
      <c r="U21" s="1" t="s">
        <v>622</v>
      </c>
      <c r="V21" s="1">
        <v>9823594106</v>
      </c>
      <c r="W21" s="1" t="s">
        <v>541</v>
      </c>
      <c r="X21" s="1" t="s">
        <v>623</v>
      </c>
      <c r="Y21" s="1" t="s">
        <v>624</v>
      </c>
      <c r="Z21" s="1" t="s">
        <v>97</v>
      </c>
      <c r="AA21" s="1" t="s">
        <v>623</v>
      </c>
      <c r="AB21" s="1" t="s">
        <v>624</v>
      </c>
      <c r="AC21" s="1" t="s">
        <v>97</v>
      </c>
      <c r="AD21" s="1">
        <v>7.95</v>
      </c>
      <c r="AE21" s="1" t="s">
        <v>98</v>
      </c>
      <c r="AF21" s="1" t="s">
        <v>625</v>
      </c>
      <c r="AG21" s="1" t="s">
        <v>626</v>
      </c>
      <c r="AH21" s="1" t="s">
        <v>166</v>
      </c>
      <c r="AI21" s="1" t="s">
        <v>627</v>
      </c>
      <c r="AJ21" s="1">
        <v>77.9</v>
      </c>
      <c r="AK21" s="1">
        <v>8.2</v>
      </c>
      <c r="AL21" s="1" t="s">
        <v>628</v>
      </c>
      <c r="AM21" s="1" t="s">
        <v>629</v>
      </c>
      <c r="AN21" s="1" t="s">
        <v>575</v>
      </c>
      <c r="AO21" s="1" t="s">
        <v>170</v>
      </c>
      <c r="AP21" s="1" t="s">
        <v>171</v>
      </c>
      <c r="AQ21" s="1">
        <v>73.08</v>
      </c>
      <c r="AR21" s="1"/>
      <c r="AS21" s="1"/>
      <c r="AT21" s="1"/>
      <c r="AU21" s="1"/>
      <c r="AV21" s="1"/>
      <c r="AW21" s="1"/>
      <c r="AX21" s="1"/>
      <c r="AY21" s="1" t="s">
        <v>630</v>
      </c>
      <c r="AZ21" s="1" t="s">
        <v>631</v>
      </c>
      <c r="BA21" s="1" t="s">
        <v>466</v>
      </c>
      <c r="BB21" s="1" t="s">
        <v>467</v>
      </c>
      <c r="BC21" s="1" t="s">
        <v>106</v>
      </c>
      <c r="BD21" s="1" t="s">
        <v>632</v>
      </c>
      <c r="BE21" s="1">
        <v>74.3</v>
      </c>
      <c r="BF21" s="1">
        <v>8.18</v>
      </c>
      <c r="BG21" s="1"/>
      <c r="BH21" s="1"/>
      <c r="BI21" s="1"/>
      <c r="BJ21" s="1"/>
      <c r="BK21" s="1"/>
      <c r="BL21" s="1"/>
      <c r="BM21" s="1"/>
      <c r="BN21" s="1"/>
      <c r="BO21" s="1" t="s">
        <v>633</v>
      </c>
      <c r="BP21" s="1"/>
      <c r="BQ21" s="1"/>
      <c r="BR21" s="1" t="s">
        <v>634</v>
      </c>
      <c r="BS21" s="1">
        <v>9</v>
      </c>
      <c r="BT21" s="1" t="s">
        <v>635</v>
      </c>
      <c r="BU21" s="1" t="str">
        <f>HYPERLINK("https://nconnect.nicmar.ac.in/storage/profile/6a84671bcfea9.png","Download")</f>
        <v>0</v>
      </c>
      <c r="BV21" s="3"/>
      <c r="BW21" s="4">
        <v>1</v>
      </c>
    </row>
    <row r="22" spans="1:75">
      <c r="A22" s="1" t="s">
        <v>75</v>
      </c>
      <c r="B22" s="1" t="s">
        <v>446</v>
      </c>
      <c r="C22" s="1" t="s">
        <v>636</v>
      </c>
      <c r="D22" s="1" t="s">
        <v>637</v>
      </c>
      <c r="E22" s="1"/>
      <c r="F22" s="1" t="s">
        <v>638</v>
      </c>
      <c r="G22" s="1" t="s">
        <v>639</v>
      </c>
      <c r="H22" s="1" t="s">
        <v>640</v>
      </c>
      <c r="I22" s="1" t="s">
        <v>641</v>
      </c>
      <c r="J22" s="1">
        <v>7091398455</v>
      </c>
      <c r="K22" s="1" t="s">
        <v>84</v>
      </c>
      <c r="L22" s="1" t="s">
        <v>642</v>
      </c>
      <c r="M22" s="1" t="s">
        <v>86</v>
      </c>
      <c r="N22" s="1" t="s">
        <v>355</v>
      </c>
      <c r="O22" s="1"/>
      <c r="P22" s="1" t="s">
        <v>507</v>
      </c>
      <c r="Q22" s="1" t="s">
        <v>643</v>
      </c>
      <c r="R22" s="1" t="s">
        <v>644</v>
      </c>
      <c r="S22" s="1">
        <v>9507681915</v>
      </c>
      <c r="T22" s="1" t="s">
        <v>645</v>
      </c>
      <c r="U22" s="1" t="s">
        <v>646</v>
      </c>
      <c r="V22" s="1">
        <v>8987034045</v>
      </c>
      <c r="W22" s="1" t="s">
        <v>645</v>
      </c>
      <c r="X22" s="1" t="s">
        <v>647</v>
      </c>
      <c r="Y22" s="1" t="s">
        <v>648</v>
      </c>
      <c r="Z22" s="1" t="s">
        <v>649</v>
      </c>
      <c r="AA22" s="1" t="s">
        <v>647</v>
      </c>
      <c r="AB22" s="1" t="s">
        <v>648</v>
      </c>
      <c r="AC22" s="1" t="s">
        <v>649</v>
      </c>
      <c r="AD22" s="1">
        <v>8.54</v>
      </c>
      <c r="AE22" s="1" t="s">
        <v>98</v>
      </c>
      <c r="AF22" s="1" t="s">
        <v>650</v>
      </c>
      <c r="AG22" s="1" t="s">
        <v>651</v>
      </c>
      <c r="AH22" s="1" t="s">
        <v>136</v>
      </c>
      <c r="AI22" s="1" t="s">
        <v>627</v>
      </c>
      <c r="AJ22" s="1">
        <v>95</v>
      </c>
      <c r="AK22" s="1">
        <v>10</v>
      </c>
      <c r="AL22" s="1" t="s">
        <v>652</v>
      </c>
      <c r="AM22" s="1" t="s">
        <v>653</v>
      </c>
      <c r="AN22" s="1" t="s">
        <v>465</v>
      </c>
      <c r="AO22" s="1" t="s">
        <v>171</v>
      </c>
      <c r="AP22" s="1" t="s">
        <v>313</v>
      </c>
      <c r="AQ22" s="1">
        <v>61.8</v>
      </c>
      <c r="AR22" s="1"/>
      <c r="AS22" s="1"/>
      <c r="AT22" s="1"/>
      <c r="AU22" s="1"/>
      <c r="AV22" s="1"/>
      <c r="AW22" s="1"/>
      <c r="AX22" s="1"/>
      <c r="AY22" s="1" t="s">
        <v>654</v>
      </c>
      <c r="AZ22" s="1" t="s">
        <v>655</v>
      </c>
      <c r="BA22" s="1" t="s">
        <v>466</v>
      </c>
      <c r="BB22" s="1" t="s">
        <v>467</v>
      </c>
      <c r="BC22" s="1" t="s">
        <v>315</v>
      </c>
      <c r="BD22" s="1" t="s">
        <v>234</v>
      </c>
      <c r="BE22" s="1">
        <v>81.3</v>
      </c>
      <c r="BF22" s="1">
        <v>8.13</v>
      </c>
      <c r="BG22" s="1"/>
      <c r="BH22" s="1"/>
      <c r="BI22" s="1"/>
      <c r="BJ22" s="1"/>
      <c r="BK22" s="1"/>
      <c r="BL22" s="1"/>
      <c r="BM22" s="1"/>
      <c r="BN22" s="1"/>
      <c r="BO22" s="1" t="s">
        <v>656</v>
      </c>
      <c r="BP22" s="1" t="s">
        <v>657</v>
      </c>
      <c r="BQ22" s="1" t="s">
        <v>658</v>
      </c>
      <c r="BR22" s="1" t="s">
        <v>659</v>
      </c>
      <c r="BS22" s="1">
        <v>91</v>
      </c>
      <c r="BT22" s="1" t="s">
        <v>660</v>
      </c>
      <c r="BU22" s="1" t="str">
        <f>HYPERLINK("https://nconnect.nicmar.ac.in/storage/profile/6a84bdbae0402.png","Download")</f>
        <v>0</v>
      </c>
      <c r="BV22" s="3"/>
      <c r="BW22" s="4">
        <v>1</v>
      </c>
    </row>
    <row r="23" spans="1:75">
      <c r="A23" s="1" t="s">
        <v>75</v>
      </c>
      <c r="B23" s="1" t="s">
        <v>446</v>
      </c>
      <c r="C23" s="1" t="s">
        <v>661</v>
      </c>
      <c r="D23" s="1" t="s">
        <v>662</v>
      </c>
      <c r="E23" s="1" t="s">
        <v>663</v>
      </c>
      <c r="F23" s="1" t="s">
        <v>664</v>
      </c>
      <c r="G23" s="1" t="s">
        <v>665</v>
      </c>
      <c r="H23" s="1" t="s">
        <v>666</v>
      </c>
      <c r="I23" s="1" t="s">
        <v>667</v>
      </c>
      <c r="J23" s="1">
        <v>9925116713</v>
      </c>
      <c r="K23" s="1" t="s">
        <v>84</v>
      </c>
      <c r="L23" s="1" t="s">
        <v>668</v>
      </c>
      <c r="M23" s="1" t="s">
        <v>86</v>
      </c>
      <c r="N23" s="1" t="s">
        <v>669</v>
      </c>
      <c r="O23" s="1"/>
      <c r="P23" s="1" t="s">
        <v>670</v>
      </c>
      <c r="Q23" s="1" t="s">
        <v>671</v>
      </c>
      <c r="R23" s="1" t="s">
        <v>663</v>
      </c>
      <c r="S23" s="1">
        <v>9825116713</v>
      </c>
      <c r="T23" s="1" t="s">
        <v>672</v>
      </c>
      <c r="U23" s="1" t="s">
        <v>673</v>
      </c>
      <c r="V23" s="1">
        <v>9925016713</v>
      </c>
      <c r="W23" s="1" t="s">
        <v>161</v>
      </c>
      <c r="X23" s="1" t="s">
        <v>674</v>
      </c>
      <c r="Y23" s="1" t="s">
        <v>675</v>
      </c>
      <c r="Z23" s="1" t="s">
        <v>676</v>
      </c>
      <c r="AA23" s="1" t="s">
        <v>674</v>
      </c>
      <c r="AB23" s="1" t="s">
        <v>675</v>
      </c>
      <c r="AC23" s="1" t="s">
        <v>676</v>
      </c>
      <c r="AD23" s="1">
        <v>8.28</v>
      </c>
      <c r="AE23" s="1" t="s">
        <v>98</v>
      </c>
      <c r="AF23" s="1" t="s">
        <v>677</v>
      </c>
      <c r="AG23" s="1" t="s">
        <v>678</v>
      </c>
      <c r="AH23" s="1" t="s">
        <v>167</v>
      </c>
      <c r="AI23" s="1" t="s">
        <v>573</v>
      </c>
      <c r="AJ23" s="1">
        <v>73.2</v>
      </c>
      <c r="AK23" s="1"/>
      <c r="AL23" s="1" t="s">
        <v>677</v>
      </c>
      <c r="AM23" s="1" t="s">
        <v>679</v>
      </c>
      <c r="AN23" s="1" t="s">
        <v>465</v>
      </c>
      <c r="AO23" s="1" t="s">
        <v>106</v>
      </c>
      <c r="AP23" s="1" t="s">
        <v>313</v>
      </c>
      <c r="AQ23" s="1">
        <v>71.25</v>
      </c>
      <c r="AR23" s="1"/>
      <c r="AS23" s="1"/>
      <c r="AT23" s="1"/>
      <c r="AU23" s="1"/>
      <c r="AV23" s="1"/>
      <c r="AW23" s="1"/>
      <c r="AX23" s="1"/>
      <c r="AY23" s="1" t="s">
        <v>680</v>
      </c>
      <c r="AZ23" s="1" t="s">
        <v>681</v>
      </c>
      <c r="BA23" s="1" t="s">
        <v>682</v>
      </c>
      <c r="BB23" s="1" t="s">
        <v>683</v>
      </c>
      <c r="BC23" s="1" t="s">
        <v>438</v>
      </c>
      <c r="BD23" s="1" t="s">
        <v>418</v>
      </c>
      <c r="BE23" s="1">
        <v>75.9</v>
      </c>
      <c r="BF23" s="1">
        <v>7.59</v>
      </c>
      <c r="BG23" s="1"/>
      <c r="BH23" s="1"/>
      <c r="BI23" s="1"/>
      <c r="BJ23" s="1"/>
      <c r="BK23" s="1"/>
      <c r="BL23" s="1"/>
      <c r="BM23" s="1"/>
      <c r="BN23" s="1"/>
      <c r="BO23" s="1" t="s">
        <v>684</v>
      </c>
      <c r="BP23" s="1" t="s">
        <v>685</v>
      </c>
      <c r="BQ23" s="1" t="s">
        <v>471</v>
      </c>
      <c r="BR23" s="1" t="s">
        <v>686</v>
      </c>
      <c r="BS23" s="1">
        <v>49</v>
      </c>
      <c r="BT23" s="1" t="s">
        <v>687</v>
      </c>
      <c r="BU23" s="1" t="str">
        <f>HYPERLINK("https://nconnect.nicmar.ac.in/storage/profile/6a8dcf890c6ef.png","Download")</f>
        <v>0</v>
      </c>
      <c r="BV23" s="3"/>
      <c r="BW23" s="3"/>
    </row>
    <row r="24" spans="1:75">
      <c r="A24" s="1" t="s">
        <v>75</v>
      </c>
      <c r="B24" s="1" t="s">
        <v>446</v>
      </c>
      <c r="C24" s="1" t="s">
        <v>688</v>
      </c>
      <c r="D24" s="1" t="s">
        <v>689</v>
      </c>
      <c r="E24" s="1"/>
      <c r="F24" s="1" t="s">
        <v>690</v>
      </c>
      <c r="G24" s="1" t="s">
        <v>691</v>
      </c>
      <c r="H24" s="1" t="s">
        <v>692</v>
      </c>
      <c r="I24" s="1" t="s">
        <v>693</v>
      </c>
      <c r="J24" s="1">
        <v>8921956185</v>
      </c>
      <c r="K24" s="1" t="s">
        <v>153</v>
      </c>
      <c r="L24" s="1" t="s">
        <v>694</v>
      </c>
      <c r="M24" s="1" t="s">
        <v>86</v>
      </c>
      <c r="N24" s="1" t="s">
        <v>695</v>
      </c>
      <c r="O24" s="1"/>
      <c r="P24" s="1" t="s">
        <v>670</v>
      </c>
      <c r="Q24" s="1" t="s">
        <v>696</v>
      </c>
      <c r="R24" s="1" t="s">
        <v>697</v>
      </c>
      <c r="S24" s="1">
        <v>9446934807</v>
      </c>
      <c r="T24" s="1" t="s">
        <v>698</v>
      </c>
      <c r="U24" s="1" t="s">
        <v>699</v>
      </c>
      <c r="V24" s="1">
        <v>9497414807</v>
      </c>
      <c r="W24" s="1" t="s">
        <v>541</v>
      </c>
      <c r="X24" s="1" t="s">
        <v>700</v>
      </c>
      <c r="Y24" s="1" t="s">
        <v>701</v>
      </c>
      <c r="Z24" s="1" t="s">
        <v>130</v>
      </c>
      <c r="AA24" s="1" t="s">
        <v>700</v>
      </c>
      <c r="AB24" s="1" t="s">
        <v>701</v>
      </c>
      <c r="AC24" s="1" t="s">
        <v>130</v>
      </c>
      <c r="AD24" s="1">
        <v>8.79</v>
      </c>
      <c r="AE24" s="1" t="s">
        <v>98</v>
      </c>
      <c r="AF24" s="1" t="s">
        <v>702</v>
      </c>
      <c r="AG24" s="1" t="s">
        <v>703</v>
      </c>
      <c r="AH24" s="1" t="s">
        <v>167</v>
      </c>
      <c r="AI24" s="1" t="s">
        <v>704</v>
      </c>
      <c r="AJ24" s="1">
        <v>87.4</v>
      </c>
      <c r="AK24" s="1">
        <v>9.2</v>
      </c>
      <c r="AL24" s="1" t="s">
        <v>702</v>
      </c>
      <c r="AM24" s="1" t="s">
        <v>705</v>
      </c>
      <c r="AN24" s="1" t="s">
        <v>575</v>
      </c>
      <c r="AO24" s="1" t="s">
        <v>106</v>
      </c>
      <c r="AP24" s="1" t="s">
        <v>547</v>
      </c>
      <c r="AQ24" s="1">
        <v>93.4</v>
      </c>
      <c r="AR24" s="1"/>
      <c r="AS24" s="1"/>
      <c r="AT24" s="1"/>
      <c r="AU24" s="1"/>
      <c r="AV24" s="1"/>
      <c r="AW24" s="1"/>
      <c r="AX24" s="1"/>
      <c r="AY24" s="1" t="s">
        <v>706</v>
      </c>
      <c r="AZ24" s="1" t="s">
        <v>707</v>
      </c>
      <c r="BA24" s="1" t="s">
        <v>466</v>
      </c>
      <c r="BB24" s="1" t="s">
        <v>467</v>
      </c>
      <c r="BC24" s="1" t="s">
        <v>206</v>
      </c>
      <c r="BD24" s="1" t="s">
        <v>234</v>
      </c>
      <c r="BE24" s="1">
        <v>80.6</v>
      </c>
      <c r="BF24" s="1">
        <v>8.06</v>
      </c>
      <c r="BG24" s="1"/>
      <c r="BH24" s="1"/>
      <c r="BI24" s="1"/>
      <c r="BJ24" s="1"/>
      <c r="BK24" s="1"/>
      <c r="BL24" s="1"/>
      <c r="BM24" s="1"/>
      <c r="BN24" s="1"/>
      <c r="BO24" s="1" t="s">
        <v>708</v>
      </c>
      <c r="BP24" s="1" t="s">
        <v>709</v>
      </c>
      <c r="BQ24" s="1" t="s">
        <v>582</v>
      </c>
      <c r="BR24" s="1" t="s">
        <v>710</v>
      </c>
      <c r="BS24" s="1">
        <v>12</v>
      </c>
      <c r="BT24" s="1" t="s">
        <v>711</v>
      </c>
      <c r="BU24" s="1" t="str">
        <f>HYPERLINK("https://nconnect.nicmar.ac.in/storage/profile/6a84671b39483.png","Download")</f>
        <v>0</v>
      </c>
      <c r="BV24" s="3"/>
      <c r="BW24" s="4">
        <v>1</v>
      </c>
    </row>
    <row r="25" spans="1:75">
      <c r="A25" s="1" t="s">
        <v>75</v>
      </c>
      <c r="B25" s="1" t="s">
        <v>446</v>
      </c>
      <c r="C25" s="1" t="s">
        <v>712</v>
      </c>
      <c r="D25" s="1" t="s">
        <v>713</v>
      </c>
      <c r="E25" s="1"/>
      <c r="F25" s="1" t="s">
        <v>714</v>
      </c>
      <c r="G25" s="1" t="s">
        <v>715</v>
      </c>
      <c r="H25" s="1" t="s">
        <v>716</v>
      </c>
      <c r="I25" s="1" t="s">
        <v>717</v>
      </c>
      <c r="J25" s="1">
        <v>7829440576</v>
      </c>
      <c r="K25" s="1" t="s">
        <v>84</v>
      </c>
      <c r="L25" s="1" t="s">
        <v>718</v>
      </c>
      <c r="M25" s="1" t="s">
        <v>86</v>
      </c>
      <c r="N25" s="1" t="s">
        <v>719</v>
      </c>
      <c r="O25" s="1"/>
      <c r="P25" s="1" t="s">
        <v>507</v>
      </c>
      <c r="Q25" s="1" t="s">
        <v>720</v>
      </c>
      <c r="R25" s="1" t="s">
        <v>721</v>
      </c>
      <c r="S25" s="1">
        <v>9741597469</v>
      </c>
      <c r="T25" s="1" t="s">
        <v>722</v>
      </c>
      <c r="U25" s="1" t="s">
        <v>723</v>
      </c>
      <c r="V25" s="1">
        <v>8105736319</v>
      </c>
      <c r="W25" s="1" t="s">
        <v>161</v>
      </c>
      <c r="X25" s="1" t="s">
        <v>724</v>
      </c>
      <c r="Y25" s="1" t="s">
        <v>725</v>
      </c>
      <c r="Z25" s="1" t="s">
        <v>281</v>
      </c>
      <c r="AA25" s="1" t="s">
        <v>724</v>
      </c>
      <c r="AB25" s="1" t="s">
        <v>725</v>
      </c>
      <c r="AC25" s="1" t="s">
        <v>281</v>
      </c>
      <c r="AD25" s="1">
        <v>8.51</v>
      </c>
      <c r="AE25" s="1" t="s">
        <v>98</v>
      </c>
      <c r="AF25" s="1" t="s">
        <v>726</v>
      </c>
      <c r="AG25" s="1" t="s">
        <v>727</v>
      </c>
      <c r="AH25" s="1" t="s">
        <v>728</v>
      </c>
      <c r="AI25" s="1" t="s">
        <v>136</v>
      </c>
      <c r="AJ25" s="1">
        <v>83.68</v>
      </c>
      <c r="AK25" s="1"/>
      <c r="AL25" s="1" t="s">
        <v>729</v>
      </c>
      <c r="AM25" s="1" t="s">
        <v>730</v>
      </c>
      <c r="AN25" s="1" t="s">
        <v>465</v>
      </c>
      <c r="AO25" s="1" t="s">
        <v>136</v>
      </c>
      <c r="AP25" s="1" t="s">
        <v>573</v>
      </c>
      <c r="AQ25" s="1">
        <v>61</v>
      </c>
      <c r="AR25" s="1"/>
      <c r="AS25" s="1"/>
      <c r="AT25" s="1"/>
      <c r="AU25" s="1"/>
      <c r="AV25" s="1"/>
      <c r="AW25" s="1"/>
      <c r="AX25" s="1"/>
      <c r="AY25" s="1" t="s">
        <v>731</v>
      </c>
      <c r="AZ25" s="1" t="s">
        <v>732</v>
      </c>
      <c r="BA25" s="1" t="s">
        <v>578</v>
      </c>
      <c r="BB25" s="1" t="s">
        <v>733</v>
      </c>
      <c r="BC25" s="1" t="s">
        <v>230</v>
      </c>
      <c r="BD25" s="1" t="s">
        <v>441</v>
      </c>
      <c r="BE25" s="1">
        <v>69.9</v>
      </c>
      <c r="BF25" s="1"/>
      <c r="BG25" s="1"/>
      <c r="BH25" s="1"/>
      <c r="BI25" s="1"/>
      <c r="BJ25" s="1"/>
      <c r="BK25" s="1"/>
      <c r="BL25" s="1"/>
      <c r="BM25" s="1"/>
      <c r="BN25" s="1"/>
      <c r="BO25" s="1" t="s">
        <v>734</v>
      </c>
      <c r="BP25" s="1" t="s">
        <v>735</v>
      </c>
      <c r="BQ25" s="1" t="s">
        <v>736</v>
      </c>
      <c r="BR25" s="1" t="s">
        <v>737</v>
      </c>
      <c r="BS25" s="1">
        <v>32</v>
      </c>
      <c r="BT25" s="1" t="s">
        <v>738</v>
      </c>
      <c r="BU25" s="1" t="str">
        <f>HYPERLINK("https://nconnect.nicmar.ac.in/storage/profile/ProfilePhoto_P25700112_517384.jpg","Download")</f>
        <v>0</v>
      </c>
      <c r="BV25" s="3"/>
      <c r="BW25" s="3"/>
    </row>
    <row r="26" spans="1:75">
      <c r="A26" s="1" t="s">
        <v>75</v>
      </c>
      <c r="B26" s="1" t="s">
        <v>446</v>
      </c>
      <c r="C26" s="1" t="s">
        <v>739</v>
      </c>
      <c r="D26" s="1" t="s">
        <v>740</v>
      </c>
      <c r="E26" s="1"/>
      <c r="F26" s="1" t="s">
        <v>741</v>
      </c>
      <c r="G26" s="1" t="s">
        <v>742</v>
      </c>
      <c r="H26" s="1" t="s">
        <v>743</v>
      </c>
      <c r="I26" s="1" t="s">
        <v>744</v>
      </c>
      <c r="J26" s="1">
        <v>8010109972</v>
      </c>
      <c r="K26" s="1" t="s">
        <v>153</v>
      </c>
      <c r="L26" s="1" t="s">
        <v>745</v>
      </c>
      <c r="M26" s="1" t="s">
        <v>86</v>
      </c>
      <c r="N26" s="1" t="s">
        <v>746</v>
      </c>
      <c r="O26" s="1"/>
      <c r="P26" s="1" t="s">
        <v>507</v>
      </c>
      <c r="Q26" s="1" t="s">
        <v>747</v>
      </c>
      <c r="R26" s="1" t="s">
        <v>748</v>
      </c>
      <c r="S26" s="1">
        <v>7972618864</v>
      </c>
      <c r="T26" s="1" t="s">
        <v>159</v>
      </c>
      <c r="U26" s="1" t="s">
        <v>749</v>
      </c>
      <c r="V26" s="1">
        <v>9146099675</v>
      </c>
      <c r="W26" s="1" t="s">
        <v>94</v>
      </c>
      <c r="X26" s="1" t="s">
        <v>750</v>
      </c>
      <c r="Y26" s="1" t="s">
        <v>196</v>
      </c>
      <c r="Z26" s="1" t="s">
        <v>97</v>
      </c>
      <c r="AA26" s="1" t="s">
        <v>751</v>
      </c>
      <c r="AB26" s="1" t="s">
        <v>196</v>
      </c>
      <c r="AC26" s="1" t="s">
        <v>97</v>
      </c>
      <c r="AD26" s="1">
        <v>8.23</v>
      </c>
      <c r="AE26" s="1" t="s">
        <v>98</v>
      </c>
      <c r="AF26" s="1" t="s">
        <v>752</v>
      </c>
      <c r="AG26" s="1" t="s">
        <v>753</v>
      </c>
      <c r="AH26" s="1" t="s">
        <v>284</v>
      </c>
      <c r="AI26" s="1" t="s">
        <v>170</v>
      </c>
      <c r="AJ26" s="1">
        <v>84.7</v>
      </c>
      <c r="AK26" s="1">
        <v>8.8</v>
      </c>
      <c r="AL26" s="1" t="s">
        <v>752</v>
      </c>
      <c r="AM26" s="1" t="s">
        <v>753</v>
      </c>
      <c r="AN26" s="1"/>
      <c r="AO26" s="1" t="s">
        <v>490</v>
      </c>
      <c r="AP26" s="1" t="s">
        <v>313</v>
      </c>
      <c r="AQ26" s="1">
        <v>71.8</v>
      </c>
      <c r="AR26" s="1"/>
      <c r="AS26" s="1"/>
      <c r="AT26" s="1"/>
      <c r="AU26" s="1"/>
      <c r="AV26" s="1"/>
      <c r="AW26" s="1"/>
      <c r="AX26" s="1"/>
      <c r="AY26" s="1" t="s">
        <v>366</v>
      </c>
      <c r="AZ26" s="1" t="s">
        <v>754</v>
      </c>
      <c r="BA26" s="1"/>
      <c r="BB26" s="1"/>
      <c r="BC26" s="1" t="s">
        <v>315</v>
      </c>
      <c r="BD26" s="1" t="s">
        <v>179</v>
      </c>
      <c r="BE26" s="1">
        <v>79.75</v>
      </c>
      <c r="BF26" s="1">
        <v>8.38</v>
      </c>
      <c r="BG26" s="1"/>
      <c r="BH26" s="1"/>
      <c r="BI26" s="1"/>
      <c r="BJ26" s="1"/>
      <c r="BK26" s="1"/>
      <c r="BL26" s="1"/>
      <c r="BM26" s="1"/>
      <c r="BN26" s="1"/>
      <c r="BO26" s="1" t="s">
        <v>755</v>
      </c>
      <c r="BP26" s="1" t="s">
        <v>756</v>
      </c>
      <c r="BQ26" s="1" t="s">
        <v>757</v>
      </c>
      <c r="BR26" s="1" t="s">
        <v>758</v>
      </c>
      <c r="BS26" s="1">
        <v>13</v>
      </c>
      <c r="BT26" s="1" t="s">
        <v>759</v>
      </c>
      <c r="BU26" s="1" t="str">
        <f>HYPERLINK("https://nconnect.nicmar.ac.in/storage/profile/6a84a159d4198.png","Download")</f>
        <v>0</v>
      </c>
      <c r="BV26" s="3"/>
      <c r="BW26" s="4">
        <v>1</v>
      </c>
    </row>
    <row r="27" spans="1:75">
      <c r="A27" s="1" t="s">
        <v>75</v>
      </c>
      <c r="B27" s="1" t="s">
        <v>446</v>
      </c>
      <c r="C27" s="1" t="s">
        <v>760</v>
      </c>
      <c r="D27" s="1" t="s">
        <v>761</v>
      </c>
      <c r="E27" s="1" t="s">
        <v>762</v>
      </c>
      <c r="F27" s="1" t="s">
        <v>763</v>
      </c>
      <c r="G27" s="1" t="s">
        <v>764</v>
      </c>
      <c r="H27" s="1" t="s">
        <v>765</v>
      </c>
      <c r="I27" s="1" t="s">
        <v>766</v>
      </c>
      <c r="J27" s="1">
        <v>7775970740</v>
      </c>
      <c r="K27" s="1" t="s">
        <v>84</v>
      </c>
      <c r="L27" s="1" t="s">
        <v>767</v>
      </c>
      <c r="M27" s="1" t="s">
        <v>86</v>
      </c>
      <c r="N27" s="1" t="s">
        <v>768</v>
      </c>
      <c r="O27" s="1"/>
      <c r="P27" s="1" t="s">
        <v>507</v>
      </c>
      <c r="Q27" s="1" t="s">
        <v>769</v>
      </c>
      <c r="R27" s="1" t="s">
        <v>770</v>
      </c>
      <c r="S27" s="1">
        <v>9850353870</v>
      </c>
      <c r="T27" s="1" t="s">
        <v>771</v>
      </c>
      <c r="U27" s="1" t="s">
        <v>772</v>
      </c>
      <c r="V27" s="1">
        <v>9011917642</v>
      </c>
      <c r="W27" s="1" t="s">
        <v>161</v>
      </c>
      <c r="X27" s="1" t="s">
        <v>773</v>
      </c>
      <c r="Y27" s="1" t="s">
        <v>624</v>
      </c>
      <c r="Z27" s="1" t="s">
        <v>97</v>
      </c>
      <c r="AA27" s="1" t="s">
        <v>773</v>
      </c>
      <c r="AB27" s="1" t="s">
        <v>624</v>
      </c>
      <c r="AC27" s="1" t="s">
        <v>97</v>
      </c>
      <c r="AD27" s="1">
        <v>8.28</v>
      </c>
      <c r="AE27" s="1" t="s">
        <v>98</v>
      </c>
      <c r="AF27" s="1" t="s">
        <v>774</v>
      </c>
      <c r="AG27" s="1" t="s">
        <v>775</v>
      </c>
      <c r="AH27" s="1" t="s">
        <v>166</v>
      </c>
      <c r="AI27" s="1" t="s">
        <v>627</v>
      </c>
      <c r="AJ27" s="1">
        <v>95</v>
      </c>
      <c r="AK27" s="1">
        <v>10</v>
      </c>
      <c r="AL27" s="1" t="s">
        <v>776</v>
      </c>
      <c r="AM27" s="1" t="s">
        <v>165</v>
      </c>
      <c r="AN27" s="1" t="s">
        <v>465</v>
      </c>
      <c r="AO27" s="1" t="s">
        <v>170</v>
      </c>
      <c r="AP27" s="1" t="s">
        <v>490</v>
      </c>
      <c r="AQ27" s="1">
        <v>93.85</v>
      </c>
      <c r="AR27" s="1"/>
      <c r="AS27" s="1"/>
      <c r="AT27" s="1"/>
      <c r="AU27" s="1"/>
      <c r="AV27" s="1"/>
      <c r="AW27" s="1"/>
      <c r="AX27" s="1"/>
      <c r="AY27" s="1" t="s">
        <v>366</v>
      </c>
      <c r="AZ27" s="1" t="s">
        <v>777</v>
      </c>
      <c r="BA27" s="1" t="s">
        <v>578</v>
      </c>
      <c r="BB27" s="1" t="s">
        <v>467</v>
      </c>
      <c r="BC27" s="1" t="s">
        <v>106</v>
      </c>
      <c r="BD27" s="1" t="s">
        <v>289</v>
      </c>
      <c r="BE27" s="1">
        <v>81.92</v>
      </c>
      <c r="BF27" s="1">
        <v>8.91</v>
      </c>
      <c r="BG27" s="1"/>
      <c r="BH27" s="1"/>
      <c r="BI27" s="1"/>
      <c r="BJ27" s="1"/>
      <c r="BK27" s="1"/>
      <c r="BL27" s="1"/>
      <c r="BM27" s="1"/>
      <c r="BN27" s="1"/>
      <c r="BO27" s="1" t="s">
        <v>778</v>
      </c>
      <c r="BP27" s="1" t="s">
        <v>779</v>
      </c>
      <c r="BQ27" s="1" t="s">
        <v>780</v>
      </c>
      <c r="BR27" s="1" t="s">
        <v>781</v>
      </c>
      <c r="BS27" s="1">
        <v>33</v>
      </c>
      <c r="BT27" s="1" t="s">
        <v>782</v>
      </c>
      <c r="BU27" s="1" t="str">
        <f>HYPERLINK("https://nconnect.nicmar.ac.in/storage/profile/6a84a1a5e415f.png","Download")</f>
        <v>0</v>
      </c>
      <c r="BV27" s="3"/>
      <c r="BW27" s="4">
        <v>1</v>
      </c>
    </row>
    <row r="28" spans="1:75">
      <c r="A28" s="1" t="s">
        <v>75</v>
      </c>
      <c r="B28" s="1" t="s">
        <v>446</v>
      </c>
      <c r="C28" s="1" t="s">
        <v>783</v>
      </c>
      <c r="D28" s="1" t="s">
        <v>784</v>
      </c>
      <c r="E28" s="1"/>
      <c r="F28" s="1" t="s">
        <v>530</v>
      </c>
      <c r="G28" s="1" t="s">
        <v>785</v>
      </c>
      <c r="H28" s="1" t="s">
        <v>786</v>
      </c>
      <c r="I28" s="1" t="s">
        <v>787</v>
      </c>
      <c r="J28" s="1">
        <v>9368948950</v>
      </c>
      <c r="K28" s="1" t="s">
        <v>84</v>
      </c>
      <c r="L28" s="1" t="s">
        <v>788</v>
      </c>
      <c r="M28" s="1" t="s">
        <v>86</v>
      </c>
      <c r="N28" s="1" t="s">
        <v>789</v>
      </c>
      <c r="O28" s="1"/>
      <c r="P28" s="1" t="s">
        <v>455</v>
      </c>
      <c r="Q28" s="1" t="s">
        <v>790</v>
      </c>
      <c r="R28" s="1" t="s">
        <v>791</v>
      </c>
      <c r="S28" s="1">
        <v>9149634667</v>
      </c>
      <c r="T28" s="1" t="s">
        <v>771</v>
      </c>
      <c r="U28" s="1" t="s">
        <v>792</v>
      </c>
      <c r="V28" s="1">
        <v>9149634667</v>
      </c>
      <c r="W28" s="1" t="s">
        <v>161</v>
      </c>
      <c r="X28" s="1" t="s">
        <v>793</v>
      </c>
      <c r="Y28" s="1" t="s">
        <v>794</v>
      </c>
      <c r="Z28" s="1" t="s">
        <v>544</v>
      </c>
      <c r="AA28" s="1" t="s">
        <v>793</v>
      </c>
      <c r="AB28" s="1" t="s">
        <v>794</v>
      </c>
      <c r="AC28" s="1" t="s">
        <v>544</v>
      </c>
      <c r="AD28" s="1" t="s">
        <v>98</v>
      </c>
      <c r="AE28" s="1" t="s">
        <v>98</v>
      </c>
      <c r="AF28" s="1" t="s">
        <v>795</v>
      </c>
      <c r="AG28" s="1" t="s">
        <v>796</v>
      </c>
      <c r="AH28" s="1" t="s">
        <v>797</v>
      </c>
      <c r="AI28" s="1" t="s">
        <v>798</v>
      </c>
      <c r="AJ28" s="1">
        <v>64.8</v>
      </c>
      <c r="AK28" s="1">
        <v>0</v>
      </c>
      <c r="AL28" s="1" t="s">
        <v>795</v>
      </c>
      <c r="AM28" s="1" t="s">
        <v>796</v>
      </c>
      <c r="AN28" s="1"/>
      <c r="AO28" s="1" t="s">
        <v>799</v>
      </c>
      <c r="AP28" s="1" t="s">
        <v>337</v>
      </c>
      <c r="AQ28" s="1">
        <v>58.2</v>
      </c>
      <c r="AR28" s="1">
        <v>0</v>
      </c>
      <c r="AS28" s="1" t="s">
        <v>103</v>
      </c>
      <c r="AT28" s="1" t="s">
        <v>800</v>
      </c>
      <c r="AU28" s="1" t="s">
        <v>801</v>
      </c>
      <c r="AV28" s="1" t="s">
        <v>134</v>
      </c>
      <c r="AW28" s="1">
        <v>66.94</v>
      </c>
      <c r="AX28" s="1">
        <v>0</v>
      </c>
      <c r="AY28" s="1" t="s">
        <v>802</v>
      </c>
      <c r="AZ28" s="1" t="s">
        <v>803</v>
      </c>
      <c r="BA28" s="1"/>
      <c r="BB28" s="1"/>
      <c r="BC28" s="1" t="s">
        <v>804</v>
      </c>
      <c r="BD28" s="1" t="s">
        <v>627</v>
      </c>
      <c r="BE28" s="1">
        <v>65.73</v>
      </c>
      <c r="BF28" s="1">
        <v>0</v>
      </c>
      <c r="BG28" s="1"/>
      <c r="BH28" s="1"/>
      <c r="BI28" s="1"/>
      <c r="BJ28" s="1"/>
      <c r="BK28" s="1"/>
      <c r="BL28" s="1"/>
      <c r="BM28" s="1"/>
      <c r="BN28" s="1"/>
      <c r="BO28" s="1" t="s">
        <v>805</v>
      </c>
      <c r="BP28" s="1" t="s">
        <v>806</v>
      </c>
      <c r="BQ28" s="1" t="s">
        <v>807</v>
      </c>
      <c r="BR28" s="1" t="s">
        <v>808</v>
      </c>
      <c r="BS28" s="1">
        <v>8</v>
      </c>
      <c r="BT28" s="1" t="s">
        <v>809</v>
      </c>
      <c r="BU28" s="1" t="str">
        <f>HYPERLINK("https://nconnect.nicmar.ac.in/storage/profile/6a658926a6983.png","Download")</f>
        <v>0</v>
      </c>
      <c r="BV28" s="3"/>
      <c r="BW28" s="3"/>
    </row>
    <row r="29" spans="1:75">
      <c r="A29" s="1" t="s">
        <v>75</v>
      </c>
      <c r="B29" s="1" t="s">
        <v>446</v>
      </c>
      <c r="C29" s="1" t="s">
        <v>810</v>
      </c>
      <c r="D29" s="1" t="s">
        <v>811</v>
      </c>
      <c r="E29" s="1"/>
      <c r="F29" s="1" t="s">
        <v>812</v>
      </c>
      <c r="G29" s="1" t="s">
        <v>813</v>
      </c>
      <c r="H29" s="1" t="s">
        <v>814</v>
      </c>
      <c r="I29" s="1" t="s">
        <v>815</v>
      </c>
      <c r="J29" s="1">
        <v>9487829008</v>
      </c>
      <c r="K29" s="1" t="s">
        <v>84</v>
      </c>
      <c r="L29" s="1" t="s">
        <v>816</v>
      </c>
      <c r="M29" s="1" t="s">
        <v>86</v>
      </c>
      <c r="N29" s="1" t="s">
        <v>817</v>
      </c>
      <c r="O29" s="1"/>
      <c r="P29" s="1" t="s">
        <v>507</v>
      </c>
      <c r="Q29" s="1" t="s">
        <v>818</v>
      </c>
      <c r="R29" s="1" t="s">
        <v>819</v>
      </c>
      <c r="S29" s="1">
        <v>9443435008</v>
      </c>
      <c r="T29" s="1" t="s">
        <v>92</v>
      </c>
      <c r="U29" s="1" t="s">
        <v>820</v>
      </c>
      <c r="V29" s="1">
        <v>9597963693</v>
      </c>
      <c r="W29" s="1" t="s">
        <v>541</v>
      </c>
      <c r="X29" s="1" t="s">
        <v>821</v>
      </c>
      <c r="Y29" s="1" t="s">
        <v>822</v>
      </c>
      <c r="Z29" s="1" t="s">
        <v>570</v>
      </c>
      <c r="AA29" s="1" t="s">
        <v>821</v>
      </c>
      <c r="AB29" s="1" t="s">
        <v>822</v>
      </c>
      <c r="AC29" s="1" t="s">
        <v>570</v>
      </c>
      <c r="AD29" s="1">
        <v>8.23</v>
      </c>
      <c r="AE29" s="1" t="s">
        <v>98</v>
      </c>
      <c r="AF29" s="1" t="s">
        <v>823</v>
      </c>
      <c r="AG29" s="1" t="s">
        <v>824</v>
      </c>
      <c r="AH29" s="1" t="s">
        <v>106</v>
      </c>
      <c r="AI29" s="1" t="s">
        <v>547</v>
      </c>
      <c r="AJ29" s="1">
        <v>70.4</v>
      </c>
      <c r="AK29" s="1"/>
      <c r="AL29" s="1" t="s">
        <v>823</v>
      </c>
      <c r="AM29" s="1" t="s">
        <v>824</v>
      </c>
      <c r="AN29" s="1" t="s">
        <v>465</v>
      </c>
      <c r="AO29" s="1" t="s">
        <v>468</v>
      </c>
      <c r="AP29" s="1" t="s">
        <v>549</v>
      </c>
      <c r="AQ29" s="1">
        <v>77.99</v>
      </c>
      <c r="AR29" s="1"/>
      <c r="AS29" s="1"/>
      <c r="AT29" s="1"/>
      <c r="AU29" s="1"/>
      <c r="AV29" s="1"/>
      <c r="AW29" s="1"/>
      <c r="AX29" s="1"/>
      <c r="AY29" s="1" t="s">
        <v>576</v>
      </c>
      <c r="AZ29" s="1" t="s">
        <v>825</v>
      </c>
      <c r="BA29" s="1" t="s">
        <v>578</v>
      </c>
      <c r="BB29" s="1" t="s">
        <v>467</v>
      </c>
      <c r="BC29" s="1" t="s">
        <v>140</v>
      </c>
      <c r="BD29" s="1" t="s">
        <v>607</v>
      </c>
      <c r="BE29" s="1">
        <v>78.6</v>
      </c>
      <c r="BF29" s="1">
        <v>7.86</v>
      </c>
      <c r="BG29" s="1"/>
      <c r="BH29" s="1"/>
      <c r="BI29" s="1"/>
      <c r="BJ29" s="1"/>
      <c r="BK29" s="1"/>
      <c r="BL29" s="1"/>
      <c r="BM29" s="1"/>
      <c r="BN29" s="1"/>
      <c r="BO29" s="1" t="s">
        <v>826</v>
      </c>
      <c r="BP29" s="1"/>
      <c r="BQ29" s="1"/>
      <c r="BR29" s="1" t="s">
        <v>827</v>
      </c>
      <c r="BS29" s="1">
        <v>16</v>
      </c>
      <c r="BT29" s="1"/>
      <c r="BU29" s="1" t="str">
        <f>HYPERLINK("https://nconnect.nicmar.ac.in/storage/profile/ProfilePhoto_P25700001_756293.jpg","Download")</f>
        <v>0</v>
      </c>
      <c r="BV29" s="3"/>
      <c r="BW29" s="3"/>
    </row>
    <row r="30" spans="1:75">
      <c r="A30" s="1" t="s">
        <v>75</v>
      </c>
      <c r="B30" s="1" t="s">
        <v>446</v>
      </c>
      <c r="C30" s="1" t="s">
        <v>828</v>
      </c>
      <c r="D30" s="1" t="s">
        <v>829</v>
      </c>
      <c r="E30" s="1" t="s">
        <v>830</v>
      </c>
      <c r="F30" s="1" t="s">
        <v>831</v>
      </c>
      <c r="G30" s="1" t="s">
        <v>832</v>
      </c>
      <c r="H30" s="1" t="s">
        <v>833</v>
      </c>
      <c r="I30" s="1" t="s">
        <v>834</v>
      </c>
      <c r="J30" s="1">
        <v>8668621095</v>
      </c>
      <c r="K30" s="1" t="s">
        <v>84</v>
      </c>
      <c r="L30" s="1" t="s">
        <v>835</v>
      </c>
      <c r="M30" s="1" t="s">
        <v>86</v>
      </c>
      <c r="N30" s="1" t="s">
        <v>836</v>
      </c>
      <c r="O30" s="1"/>
      <c r="P30" s="1" t="s">
        <v>481</v>
      </c>
      <c r="Q30" s="1" t="s">
        <v>837</v>
      </c>
      <c r="R30" s="1" t="s">
        <v>838</v>
      </c>
      <c r="S30" s="1">
        <v>9890094393</v>
      </c>
      <c r="T30" s="1" t="s">
        <v>839</v>
      </c>
      <c r="U30" s="1" t="s">
        <v>840</v>
      </c>
      <c r="V30" s="1">
        <v>9923291602</v>
      </c>
      <c r="W30" s="1" t="s">
        <v>161</v>
      </c>
      <c r="X30" s="1" t="s">
        <v>841</v>
      </c>
      <c r="Y30" s="1" t="s">
        <v>196</v>
      </c>
      <c r="Z30" s="1" t="s">
        <v>97</v>
      </c>
      <c r="AA30" s="1" t="s">
        <v>841</v>
      </c>
      <c r="AB30" s="1" t="s">
        <v>196</v>
      </c>
      <c r="AC30" s="1" t="s">
        <v>97</v>
      </c>
      <c r="AD30" s="1">
        <v>8.28</v>
      </c>
      <c r="AE30" s="1" t="s">
        <v>98</v>
      </c>
      <c r="AF30" s="1" t="s">
        <v>842</v>
      </c>
      <c r="AG30" s="1" t="s">
        <v>843</v>
      </c>
      <c r="AH30" s="1" t="s">
        <v>106</v>
      </c>
      <c r="AI30" s="1" t="s">
        <v>313</v>
      </c>
      <c r="AJ30" s="1">
        <v>86.6</v>
      </c>
      <c r="AK30" s="1"/>
      <c r="AL30" s="1" t="s">
        <v>844</v>
      </c>
      <c r="AM30" s="1" t="s">
        <v>165</v>
      </c>
      <c r="AN30" s="1"/>
      <c r="AO30" s="1" t="s">
        <v>468</v>
      </c>
      <c r="AP30" s="1" t="s">
        <v>845</v>
      </c>
      <c r="AQ30" s="1">
        <v>78</v>
      </c>
      <c r="AR30" s="1"/>
      <c r="AS30" s="1"/>
      <c r="AT30" s="1"/>
      <c r="AU30" s="1"/>
      <c r="AV30" s="1"/>
      <c r="AW30" s="1"/>
      <c r="AX30" s="1"/>
      <c r="AY30" s="1" t="s">
        <v>366</v>
      </c>
      <c r="AZ30" s="1" t="s">
        <v>846</v>
      </c>
      <c r="BA30" s="1"/>
      <c r="BB30" s="1"/>
      <c r="BC30" s="1" t="s">
        <v>847</v>
      </c>
      <c r="BD30" s="1" t="s">
        <v>848</v>
      </c>
      <c r="BE30" s="1">
        <v>65.7</v>
      </c>
      <c r="BF30" s="1">
        <v>7.32</v>
      </c>
      <c r="BG30" s="1"/>
      <c r="BH30" s="1"/>
      <c r="BI30" s="1"/>
      <c r="BJ30" s="1"/>
      <c r="BK30" s="1"/>
      <c r="BL30" s="1"/>
      <c r="BM30" s="1"/>
      <c r="BN30" s="1"/>
      <c r="BO30" s="1" t="s">
        <v>849</v>
      </c>
      <c r="BP30" s="1"/>
      <c r="BQ30" s="1"/>
      <c r="BR30" s="1" t="s">
        <v>850</v>
      </c>
      <c r="BS30" s="1">
        <v>37</v>
      </c>
      <c r="BT30" s="1"/>
      <c r="BU30" s="1" t="str">
        <f>HYPERLINK("https://nconnect.nicmar.ac.in/storage/profile/ProfilePhoto_P25700002_549178.jpg","Download")</f>
        <v>0</v>
      </c>
      <c r="BV30" s="3"/>
      <c r="BW30" s="3"/>
    </row>
    <row r="31" spans="1:75">
      <c r="A31" s="1" t="s">
        <v>75</v>
      </c>
      <c r="B31" s="1" t="s">
        <v>446</v>
      </c>
      <c r="C31" s="1" t="s">
        <v>851</v>
      </c>
      <c r="D31" s="1" t="s">
        <v>852</v>
      </c>
      <c r="E31" s="1"/>
      <c r="F31" s="1" t="s">
        <v>853</v>
      </c>
      <c r="G31" s="1" t="s">
        <v>854</v>
      </c>
      <c r="H31" s="1" t="s">
        <v>855</v>
      </c>
      <c r="I31" s="1" t="s">
        <v>856</v>
      </c>
      <c r="J31" s="1">
        <v>7326972273</v>
      </c>
      <c r="K31" s="1" t="s">
        <v>153</v>
      </c>
      <c r="L31" s="1" t="s">
        <v>857</v>
      </c>
      <c r="M31" s="1" t="s">
        <v>86</v>
      </c>
      <c r="N31" s="1" t="s">
        <v>858</v>
      </c>
      <c r="O31" s="1"/>
      <c r="P31" s="1" t="s">
        <v>507</v>
      </c>
      <c r="Q31" s="1" t="s">
        <v>859</v>
      </c>
      <c r="R31" s="1" t="s">
        <v>860</v>
      </c>
      <c r="S31" s="1">
        <v>7978169041</v>
      </c>
      <c r="T31" s="1" t="s">
        <v>861</v>
      </c>
      <c r="U31" s="1" t="s">
        <v>862</v>
      </c>
      <c r="V31" s="1">
        <v>9348052260</v>
      </c>
      <c r="W31" s="1" t="s">
        <v>541</v>
      </c>
      <c r="X31" s="1" t="s">
        <v>863</v>
      </c>
      <c r="Y31" s="1" t="s">
        <v>864</v>
      </c>
      <c r="Z31" s="1" t="s">
        <v>865</v>
      </c>
      <c r="AA31" s="1" t="s">
        <v>863</v>
      </c>
      <c r="AB31" s="1" t="s">
        <v>864</v>
      </c>
      <c r="AC31" s="1" t="s">
        <v>865</v>
      </c>
      <c r="AD31" s="1">
        <v>8.28</v>
      </c>
      <c r="AE31" s="1" t="s">
        <v>98</v>
      </c>
      <c r="AF31" s="1" t="s">
        <v>866</v>
      </c>
      <c r="AG31" s="1" t="s">
        <v>867</v>
      </c>
      <c r="AH31" s="1" t="s">
        <v>286</v>
      </c>
      <c r="AI31" s="1" t="s">
        <v>313</v>
      </c>
      <c r="AJ31" s="1">
        <v>85.8</v>
      </c>
      <c r="AK31" s="1"/>
      <c r="AL31" s="1" t="s">
        <v>866</v>
      </c>
      <c r="AM31" s="1" t="s">
        <v>868</v>
      </c>
      <c r="AN31" s="1"/>
      <c r="AO31" s="1" t="s">
        <v>603</v>
      </c>
      <c r="AP31" s="1" t="s">
        <v>549</v>
      </c>
      <c r="AQ31" s="1">
        <v>83.6</v>
      </c>
      <c r="AR31" s="1"/>
      <c r="AS31" s="1"/>
      <c r="AT31" s="1"/>
      <c r="AU31" s="1"/>
      <c r="AV31" s="1"/>
      <c r="AW31" s="1"/>
      <c r="AX31" s="1"/>
      <c r="AY31" s="1" t="s">
        <v>869</v>
      </c>
      <c r="AZ31" s="1" t="s">
        <v>870</v>
      </c>
      <c r="BA31" s="1"/>
      <c r="BB31" s="1"/>
      <c r="BC31" s="1" t="s">
        <v>871</v>
      </c>
      <c r="BD31" s="1" t="s">
        <v>607</v>
      </c>
      <c r="BE31" s="1">
        <v>83.6</v>
      </c>
      <c r="BF31" s="1">
        <v>8.86</v>
      </c>
      <c r="BG31" s="1"/>
      <c r="BH31" s="1"/>
      <c r="BI31" s="1"/>
      <c r="BJ31" s="1"/>
      <c r="BK31" s="1"/>
      <c r="BL31" s="1"/>
      <c r="BM31" s="1"/>
      <c r="BN31" s="1"/>
      <c r="BO31" s="1" t="s">
        <v>872</v>
      </c>
      <c r="BP31" s="1"/>
      <c r="BQ31" s="1"/>
      <c r="BR31" s="1" t="s">
        <v>873</v>
      </c>
      <c r="BS31" s="1">
        <v>17</v>
      </c>
      <c r="BT31" s="1"/>
      <c r="BU31" s="1" t="str">
        <f>HYPERLINK("https://nconnect.nicmar.ac.in/storage/profile/ProfilePhoto_P25700004_129356.jpg","Download")</f>
        <v>0</v>
      </c>
      <c r="BV31" s="3"/>
      <c r="BW31" s="3"/>
    </row>
    <row r="32" spans="1:75">
      <c r="A32" s="1" t="s">
        <v>75</v>
      </c>
      <c r="B32" s="1" t="s">
        <v>446</v>
      </c>
      <c r="C32" s="1" t="s">
        <v>874</v>
      </c>
      <c r="D32" s="1" t="s">
        <v>875</v>
      </c>
      <c r="E32" s="1"/>
      <c r="F32" s="1" t="s">
        <v>876</v>
      </c>
      <c r="G32" s="1" t="s">
        <v>877</v>
      </c>
      <c r="H32" s="1" t="s">
        <v>878</v>
      </c>
      <c r="I32" s="1" t="s">
        <v>879</v>
      </c>
      <c r="J32" s="1">
        <v>8908092210</v>
      </c>
      <c r="K32" s="1" t="s">
        <v>84</v>
      </c>
      <c r="L32" s="1" t="s">
        <v>880</v>
      </c>
      <c r="M32" s="1" t="s">
        <v>86</v>
      </c>
      <c r="N32" s="1" t="s">
        <v>881</v>
      </c>
      <c r="O32" s="1"/>
      <c r="P32" s="1" t="s">
        <v>455</v>
      </c>
      <c r="Q32" s="1" t="s">
        <v>882</v>
      </c>
      <c r="R32" s="1" t="s">
        <v>883</v>
      </c>
      <c r="S32" s="1">
        <v>9437130525</v>
      </c>
      <c r="T32" s="1" t="s">
        <v>839</v>
      </c>
      <c r="U32" s="1" t="s">
        <v>884</v>
      </c>
      <c r="V32" s="1">
        <v>9668523777</v>
      </c>
      <c r="W32" s="1" t="s">
        <v>94</v>
      </c>
      <c r="X32" s="1" t="s">
        <v>885</v>
      </c>
      <c r="Y32" s="1" t="s">
        <v>886</v>
      </c>
      <c r="Z32" s="1" t="s">
        <v>865</v>
      </c>
      <c r="AA32" s="1" t="s">
        <v>885</v>
      </c>
      <c r="AB32" s="1" t="s">
        <v>886</v>
      </c>
      <c r="AC32" s="1" t="s">
        <v>865</v>
      </c>
      <c r="AD32" s="1">
        <v>8.74</v>
      </c>
      <c r="AE32" s="1" t="s">
        <v>98</v>
      </c>
      <c r="AF32" s="1" t="s">
        <v>887</v>
      </c>
      <c r="AG32" s="1" t="s">
        <v>888</v>
      </c>
      <c r="AH32" s="1" t="s">
        <v>573</v>
      </c>
      <c r="AI32" s="1" t="s">
        <v>171</v>
      </c>
      <c r="AJ32" s="1">
        <v>69.66</v>
      </c>
      <c r="AK32" s="1"/>
      <c r="AL32" s="1" t="s">
        <v>887</v>
      </c>
      <c r="AM32" s="1" t="s">
        <v>888</v>
      </c>
      <c r="AN32" s="1" t="s">
        <v>465</v>
      </c>
      <c r="AO32" s="1" t="s">
        <v>315</v>
      </c>
      <c r="AP32" s="1" t="s">
        <v>178</v>
      </c>
      <c r="AQ32" s="1">
        <v>67.16</v>
      </c>
      <c r="AR32" s="1"/>
      <c r="AS32" s="1"/>
      <c r="AT32" s="1"/>
      <c r="AU32" s="1"/>
      <c r="AV32" s="1"/>
      <c r="AW32" s="1"/>
      <c r="AX32" s="1"/>
      <c r="AY32" s="1" t="s">
        <v>889</v>
      </c>
      <c r="AZ32" s="1" t="s">
        <v>889</v>
      </c>
      <c r="BA32" s="1" t="s">
        <v>466</v>
      </c>
      <c r="BB32" s="1" t="s">
        <v>467</v>
      </c>
      <c r="BC32" s="1" t="s">
        <v>890</v>
      </c>
      <c r="BD32" s="1" t="s">
        <v>207</v>
      </c>
      <c r="BE32" s="1">
        <v>75.2</v>
      </c>
      <c r="BF32" s="1">
        <v>8.02</v>
      </c>
      <c r="BG32" s="1"/>
      <c r="BH32" s="1"/>
      <c r="BI32" s="1"/>
      <c r="BJ32" s="1"/>
      <c r="BK32" s="1"/>
      <c r="BL32" s="1"/>
      <c r="BM32" s="1"/>
      <c r="BN32" s="1"/>
      <c r="BO32" s="1" t="s">
        <v>891</v>
      </c>
      <c r="BP32" s="1" t="s">
        <v>892</v>
      </c>
      <c r="BQ32" s="1" t="s">
        <v>893</v>
      </c>
      <c r="BR32" s="1" t="s">
        <v>894</v>
      </c>
      <c r="BS32" s="1">
        <v>13</v>
      </c>
      <c r="BT32" s="1"/>
      <c r="BU32" s="1" t="str">
        <f>HYPERLINK("https://nconnect.nicmar.ac.in/storage/profile/ProfilePhoto_P25700005_154637.jpg","Download")</f>
        <v>0</v>
      </c>
      <c r="BV32" s="3"/>
      <c r="BW32" s="3"/>
    </row>
    <row r="33" spans="1:75">
      <c r="A33" s="1" t="s">
        <v>75</v>
      </c>
      <c r="B33" s="1" t="s">
        <v>446</v>
      </c>
      <c r="C33" s="1" t="s">
        <v>895</v>
      </c>
      <c r="D33" s="1" t="s">
        <v>896</v>
      </c>
      <c r="E33" s="1" t="s">
        <v>897</v>
      </c>
      <c r="F33" s="1" t="s">
        <v>898</v>
      </c>
      <c r="G33" s="1" t="s">
        <v>899</v>
      </c>
      <c r="H33" s="1" t="s">
        <v>900</v>
      </c>
      <c r="I33" s="1" t="s">
        <v>901</v>
      </c>
      <c r="J33" s="1">
        <v>9146795457</v>
      </c>
      <c r="K33" s="1" t="s">
        <v>84</v>
      </c>
      <c r="L33" s="1" t="s">
        <v>902</v>
      </c>
      <c r="M33" s="1" t="s">
        <v>86</v>
      </c>
      <c r="N33" s="1" t="s">
        <v>903</v>
      </c>
      <c r="O33" s="1" t="s">
        <v>157</v>
      </c>
      <c r="P33" s="1" t="s">
        <v>356</v>
      </c>
      <c r="Q33" s="1" t="s">
        <v>904</v>
      </c>
      <c r="R33" s="1" t="s">
        <v>905</v>
      </c>
      <c r="S33" s="1">
        <v>9422765760</v>
      </c>
      <c r="T33" s="1" t="s">
        <v>906</v>
      </c>
      <c r="U33" s="1" t="s">
        <v>907</v>
      </c>
      <c r="V33" s="1">
        <v>8208766402</v>
      </c>
      <c r="W33" s="1" t="s">
        <v>908</v>
      </c>
      <c r="X33" s="1" t="s">
        <v>909</v>
      </c>
      <c r="Y33" s="1" t="s">
        <v>910</v>
      </c>
      <c r="Z33" s="1" t="s">
        <v>97</v>
      </c>
      <c r="AA33" s="1" t="s">
        <v>909</v>
      </c>
      <c r="AB33" s="1" t="s">
        <v>910</v>
      </c>
      <c r="AC33" s="1" t="s">
        <v>97</v>
      </c>
      <c r="AD33" s="1">
        <v>7.74</v>
      </c>
      <c r="AE33" s="1" t="s">
        <v>98</v>
      </c>
      <c r="AF33" s="1" t="s">
        <v>911</v>
      </c>
      <c r="AG33" s="1" t="s">
        <v>912</v>
      </c>
      <c r="AH33" s="1" t="s">
        <v>170</v>
      </c>
      <c r="AI33" s="1" t="s">
        <v>171</v>
      </c>
      <c r="AJ33" s="1">
        <v>89.6</v>
      </c>
      <c r="AK33" s="1">
        <v>0</v>
      </c>
      <c r="AL33" s="1" t="s">
        <v>913</v>
      </c>
      <c r="AM33" s="1" t="s">
        <v>912</v>
      </c>
      <c r="AN33" s="1"/>
      <c r="AO33" s="1" t="s">
        <v>315</v>
      </c>
      <c r="AP33" s="1" t="s">
        <v>417</v>
      </c>
      <c r="AQ33" s="1">
        <v>82.31</v>
      </c>
      <c r="AR33" s="1">
        <v>0</v>
      </c>
      <c r="AS33" s="1"/>
      <c r="AT33" s="1"/>
      <c r="AU33" s="1"/>
      <c r="AV33" s="1"/>
      <c r="AW33" s="1"/>
      <c r="AX33" s="1"/>
      <c r="AY33" s="1" t="s">
        <v>366</v>
      </c>
      <c r="AZ33" s="1" t="s">
        <v>914</v>
      </c>
      <c r="BA33" s="1"/>
      <c r="BB33" s="1"/>
      <c r="BC33" s="1" t="s">
        <v>847</v>
      </c>
      <c r="BD33" s="1" t="s">
        <v>207</v>
      </c>
      <c r="BE33" s="1">
        <v>70.2</v>
      </c>
      <c r="BF33" s="1">
        <v>7.77</v>
      </c>
      <c r="BG33" s="1"/>
      <c r="BH33" s="1"/>
      <c r="BI33" s="1"/>
      <c r="BJ33" s="1"/>
      <c r="BK33" s="1"/>
      <c r="BL33" s="1"/>
      <c r="BM33" s="1"/>
      <c r="BN33" s="1"/>
      <c r="BO33" s="1" t="s">
        <v>915</v>
      </c>
      <c r="BP33" s="1" t="s">
        <v>916</v>
      </c>
      <c r="BQ33" s="1" t="s">
        <v>893</v>
      </c>
      <c r="BR33" s="1" t="s">
        <v>917</v>
      </c>
      <c r="BS33" s="1">
        <v>14</v>
      </c>
      <c r="BT33" s="1"/>
      <c r="BU33" s="1" t="str">
        <f>HYPERLINK("https://nconnect.nicmar.ac.in/storage/profile/ProfilePhoto_P25700006_264513.jpg","Download")</f>
        <v>0</v>
      </c>
      <c r="BV33" s="3"/>
      <c r="BW33" s="3"/>
    </row>
    <row r="34" spans="1:75">
      <c r="A34" s="1" t="s">
        <v>75</v>
      </c>
      <c r="B34" s="1" t="s">
        <v>446</v>
      </c>
      <c r="C34" s="1" t="s">
        <v>918</v>
      </c>
      <c r="D34" s="1" t="s">
        <v>919</v>
      </c>
      <c r="E34" s="1"/>
      <c r="F34" s="1" t="s">
        <v>530</v>
      </c>
      <c r="G34" s="1" t="s">
        <v>920</v>
      </c>
      <c r="H34" s="1" t="s">
        <v>921</v>
      </c>
      <c r="I34" s="1" t="s">
        <v>922</v>
      </c>
      <c r="J34" s="1">
        <v>7054367148</v>
      </c>
      <c r="K34" s="1" t="s">
        <v>84</v>
      </c>
      <c r="L34" s="1" t="s">
        <v>923</v>
      </c>
      <c r="M34" s="1" t="s">
        <v>86</v>
      </c>
      <c r="N34" s="1" t="s">
        <v>246</v>
      </c>
      <c r="O34" s="1"/>
      <c r="P34" s="1" t="s">
        <v>481</v>
      </c>
      <c r="Q34" s="1" t="s">
        <v>924</v>
      </c>
      <c r="R34" s="1" t="s">
        <v>925</v>
      </c>
      <c r="S34" s="1">
        <v>9415286161</v>
      </c>
      <c r="T34" s="1" t="s">
        <v>926</v>
      </c>
      <c r="U34" s="1" t="s">
        <v>927</v>
      </c>
      <c r="V34" s="1">
        <v>6393880769</v>
      </c>
      <c r="W34" s="1" t="s">
        <v>161</v>
      </c>
      <c r="X34" s="1" t="s">
        <v>928</v>
      </c>
      <c r="Y34" s="1" t="s">
        <v>929</v>
      </c>
      <c r="Z34" s="1" t="s">
        <v>544</v>
      </c>
      <c r="AA34" s="1" t="s">
        <v>928</v>
      </c>
      <c r="AB34" s="1" t="s">
        <v>929</v>
      </c>
      <c r="AC34" s="1" t="s">
        <v>544</v>
      </c>
      <c r="AD34" s="1">
        <v>8.36</v>
      </c>
      <c r="AE34" s="1" t="s">
        <v>98</v>
      </c>
      <c r="AF34" s="1" t="s">
        <v>930</v>
      </c>
      <c r="AG34" s="1" t="s">
        <v>931</v>
      </c>
      <c r="AH34" s="1" t="s">
        <v>136</v>
      </c>
      <c r="AI34" s="1" t="s">
        <v>627</v>
      </c>
      <c r="AJ34" s="1">
        <v>85.5</v>
      </c>
      <c r="AK34" s="1">
        <v>9</v>
      </c>
      <c r="AL34" s="1" t="s">
        <v>930</v>
      </c>
      <c r="AM34" s="1" t="s">
        <v>932</v>
      </c>
      <c r="AN34" s="1"/>
      <c r="AO34" s="1" t="s">
        <v>573</v>
      </c>
      <c r="AP34" s="1" t="s">
        <v>171</v>
      </c>
      <c r="AQ34" s="1">
        <v>67.6</v>
      </c>
      <c r="AR34" s="1"/>
      <c r="AS34" s="1"/>
      <c r="AT34" s="1"/>
      <c r="AU34" s="1"/>
      <c r="AV34" s="1"/>
      <c r="AW34" s="1"/>
      <c r="AX34" s="1"/>
      <c r="AY34" s="1" t="s">
        <v>933</v>
      </c>
      <c r="AZ34" s="1" t="s">
        <v>934</v>
      </c>
      <c r="BA34" s="1"/>
      <c r="BB34" s="1"/>
      <c r="BC34" s="1" t="s">
        <v>206</v>
      </c>
      <c r="BD34" s="1" t="s">
        <v>935</v>
      </c>
      <c r="BE34" s="1">
        <v>69.1</v>
      </c>
      <c r="BF34" s="1">
        <v>6.91</v>
      </c>
      <c r="BG34" s="1"/>
      <c r="BH34" s="1"/>
      <c r="BI34" s="1"/>
      <c r="BJ34" s="1"/>
      <c r="BK34" s="1"/>
      <c r="BL34" s="1"/>
      <c r="BM34" s="1"/>
      <c r="BN34" s="1"/>
      <c r="BO34" s="1" t="s">
        <v>936</v>
      </c>
      <c r="BP34" s="1"/>
      <c r="BQ34" s="1"/>
      <c r="BR34" s="1" t="s">
        <v>937</v>
      </c>
      <c r="BS34" s="1">
        <v>9</v>
      </c>
      <c r="BT34" s="1" t="s">
        <v>938</v>
      </c>
      <c r="BU34" s="1" t="str">
        <f>HYPERLINK("https://nconnect.nicmar.ac.in/storage/profile/ProfilePhoto_P25700007_897142.jpg","Download")</f>
        <v>0</v>
      </c>
      <c r="BV34" s="3"/>
      <c r="BW34" s="3"/>
    </row>
    <row r="35" spans="1:75">
      <c r="A35" s="1" t="s">
        <v>75</v>
      </c>
      <c r="B35" s="1" t="s">
        <v>446</v>
      </c>
      <c r="C35" s="1" t="s">
        <v>939</v>
      </c>
      <c r="D35" s="1" t="s">
        <v>940</v>
      </c>
      <c r="E35" s="1" t="s">
        <v>941</v>
      </c>
      <c r="F35" s="1" t="s">
        <v>942</v>
      </c>
      <c r="G35" s="1" t="s">
        <v>943</v>
      </c>
      <c r="H35" s="1" t="s">
        <v>944</v>
      </c>
      <c r="I35" s="1" t="s">
        <v>945</v>
      </c>
      <c r="J35" s="1">
        <v>9404977653</v>
      </c>
      <c r="K35" s="1" t="s">
        <v>84</v>
      </c>
      <c r="L35" s="1" t="s">
        <v>946</v>
      </c>
      <c r="M35" s="1" t="s">
        <v>86</v>
      </c>
      <c r="N35" s="1" t="s">
        <v>947</v>
      </c>
      <c r="O35" s="1"/>
      <c r="P35" s="1" t="s">
        <v>481</v>
      </c>
      <c r="Q35" s="1" t="s">
        <v>948</v>
      </c>
      <c r="R35" s="1" t="s">
        <v>941</v>
      </c>
      <c r="S35" s="1">
        <v>9850350800</v>
      </c>
      <c r="T35" s="1" t="s">
        <v>159</v>
      </c>
      <c r="U35" s="1" t="s">
        <v>949</v>
      </c>
      <c r="V35" s="1">
        <v>9822236604</v>
      </c>
      <c r="W35" s="1" t="s">
        <v>161</v>
      </c>
      <c r="X35" s="1" t="s">
        <v>950</v>
      </c>
      <c r="Y35" s="1" t="s">
        <v>196</v>
      </c>
      <c r="Z35" s="1" t="s">
        <v>97</v>
      </c>
      <c r="AA35" s="1" t="s">
        <v>951</v>
      </c>
      <c r="AB35" s="1" t="s">
        <v>163</v>
      </c>
      <c r="AC35" s="1" t="s">
        <v>97</v>
      </c>
      <c r="AD35" s="1">
        <v>7.26</v>
      </c>
      <c r="AE35" s="1" t="s">
        <v>98</v>
      </c>
      <c r="AF35" s="1" t="s">
        <v>952</v>
      </c>
      <c r="AG35" s="1" t="s">
        <v>165</v>
      </c>
      <c r="AH35" s="1" t="s">
        <v>167</v>
      </c>
      <c r="AI35" s="1" t="s">
        <v>200</v>
      </c>
      <c r="AJ35" s="1">
        <v>82</v>
      </c>
      <c r="AK35" s="1"/>
      <c r="AL35" s="1" t="s">
        <v>953</v>
      </c>
      <c r="AM35" s="1" t="s">
        <v>165</v>
      </c>
      <c r="AN35" s="1" t="s">
        <v>465</v>
      </c>
      <c r="AO35" s="1" t="s">
        <v>106</v>
      </c>
      <c r="AP35" s="1" t="s">
        <v>203</v>
      </c>
      <c r="AQ35" s="1">
        <v>60</v>
      </c>
      <c r="AR35" s="1"/>
      <c r="AS35" s="1"/>
      <c r="AT35" s="1"/>
      <c r="AU35" s="1"/>
      <c r="AV35" s="1"/>
      <c r="AW35" s="1"/>
      <c r="AX35" s="1"/>
      <c r="AY35" s="1" t="s">
        <v>366</v>
      </c>
      <c r="AZ35" s="1" t="s">
        <v>954</v>
      </c>
      <c r="BA35" s="1" t="s">
        <v>578</v>
      </c>
      <c r="BB35" s="1" t="s">
        <v>467</v>
      </c>
      <c r="BC35" s="1" t="s">
        <v>206</v>
      </c>
      <c r="BD35" s="1" t="s">
        <v>955</v>
      </c>
      <c r="BE35" s="1">
        <v>68.1</v>
      </c>
      <c r="BF35" s="1">
        <v>7.56</v>
      </c>
      <c r="BG35" s="1"/>
      <c r="BH35" s="1"/>
      <c r="BI35" s="1"/>
      <c r="BJ35" s="1"/>
      <c r="BK35" s="1"/>
      <c r="BL35" s="1"/>
      <c r="BM35" s="1"/>
      <c r="BN35" s="1"/>
      <c r="BO35" s="1" t="s">
        <v>956</v>
      </c>
      <c r="BP35" s="1" t="s">
        <v>957</v>
      </c>
      <c r="BQ35" s="1" t="s">
        <v>757</v>
      </c>
      <c r="BR35" s="1" t="s">
        <v>958</v>
      </c>
      <c r="BS35" s="1">
        <v>13</v>
      </c>
      <c r="BT35" s="1"/>
      <c r="BU35" s="1" t="str">
        <f>HYPERLINK("https://nconnect.nicmar.ac.in/storage/profile/ProfilePhoto_P25700008_976184.jpg","Download")</f>
        <v>0</v>
      </c>
      <c r="BV35" s="3"/>
      <c r="BW35" s="3"/>
    </row>
    <row r="36" spans="1:75">
      <c r="A36" s="1" t="s">
        <v>75</v>
      </c>
      <c r="B36" s="1" t="s">
        <v>446</v>
      </c>
      <c r="C36" s="1" t="s">
        <v>959</v>
      </c>
      <c r="D36" s="1" t="s">
        <v>960</v>
      </c>
      <c r="E36" s="1"/>
      <c r="F36" s="1" t="s">
        <v>961</v>
      </c>
      <c r="G36" s="1" t="s">
        <v>962</v>
      </c>
      <c r="H36" s="1" t="s">
        <v>963</v>
      </c>
      <c r="I36" s="1" t="s">
        <v>964</v>
      </c>
      <c r="J36" s="1">
        <v>9006389544</v>
      </c>
      <c r="K36" s="1" t="s">
        <v>84</v>
      </c>
      <c r="L36" s="1" t="s">
        <v>965</v>
      </c>
      <c r="M36" s="1" t="s">
        <v>86</v>
      </c>
      <c r="N36" s="1" t="s">
        <v>966</v>
      </c>
      <c r="O36" s="1"/>
      <c r="P36" s="1" t="s">
        <v>455</v>
      </c>
      <c r="Q36" s="1" t="s">
        <v>967</v>
      </c>
      <c r="R36" s="1" t="s">
        <v>968</v>
      </c>
      <c r="S36" s="1">
        <v>7488584196</v>
      </c>
      <c r="T36" s="1" t="s">
        <v>92</v>
      </c>
      <c r="U36" s="1" t="s">
        <v>969</v>
      </c>
      <c r="V36" s="1">
        <v>9006389544</v>
      </c>
      <c r="W36" s="1" t="s">
        <v>161</v>
      </c>
      <c r="X36" s="1" t="s">
        <v>970</v>
      </c>
      <c r="Y36" s="1" t="s">
        <v>971</v>
      </c>
      <c r="Z36" s="1" t="s">
        <v>972</v>
      </c>
      <c r="AA36" s="1" t="s">
        <v>970</v>
      </c>
      <c r="AB36" s="1" t="s">
        <v>971</v>
      </c>
      <c r="AC36" s="1" t="s">
        <v>972</v>
      </c>
      <c r="AD36" s="1">
        <v>8.44</v>
      </c>
      <c r="AE36" s="1" t="s">
        <v>98</v>
      </c>
      <c r="AF36" s="1" t="s">
        <v>973</v>
      </c>
      <c r="AG36" s="1" t="s">
        <v>974</v>
      </c>
      <c r="AH36" s="1" t="s">
        <v>490</v>
      </c>
      <c r="AI36" s="1" t="s">
        <v>313</v>
      </c>
      <c r="AJ36" s="1">
        <v>75.2</v>
      </c>
      <c r="AK36" s="1">
        <v>7.5</v>
      </c>
      <c r="AL36" s="1" t="s">
        <v>975</v>
      </c>
      <c r="AM36" s="1" t="s">
        <v>976</v>
      </c>
      <c r="AN36" s="1"/>
      <c r="AO36" s="1" t="s">
        <v>977</v>
      </c>
      <c r="AP36" s="1" t="s">
        <v>549</v>
      </c>
      <c r="AQ36" s="1">
        <v>84</v>
      </c>
      <c r="AR36" s="1">
        <v>8.4</v>
      </c>
      <c r="AS36" s="1"/>
      <c r="AT36" s="1"/>
      <c r="AU36" s="1"/>
      <c r="AV36" s="1"/>
      <c r="AW36" s="1"/>
      <c r="AX36" s="1"/>
      <c r="AY36" s="1" t="s">
        <v>978</v>
      </c>
      <c r="AZ36" s="1" t="s">
        <v>979</v>
      </c>
      <c r="BA36" s="1"/>
      <c r="BB36" s="1"/>
      <c r="BC36" s="1" t="s">
        <v>549</v>
      </c>
      <c r="BD36" s="1" t="s">
        <v>848</v>
      </c>
      <c r="BE36" s="1">
        <v>77</v>
      </c>
      <c r="BF36" s="1">
        <v>7.77</v>
      </c>
      <c r="BG36" s="1"/>
      <c r="BH36" s="1"/>
      <c r="BI36" s="1"/>
      <c r="BJ36" s="1"/>
      <c r="BK36" s="1"/>
      <c r="BL36" s="1"/>
      <c r="BM36" s="1"/>
      <c r="BN36" s="1"/>
      <c r="BO36" s="1" t="s">
        <v>980</v>
      </c>
      <c r="BP36" s="1"/>
      <c r="BQ36" s="1"/>
      <c r="BR36" s="1" t="s">
        <v>981</v>
      </c>
      <c r="BS36" s="1">
        <v>15</v>
      </c>
      <c r="BT36" s="1"/>
      <c r="BU36" s="1" t="str">
        <f>HYPERLINK("https://nconnect.nicmar.ac.in/storage/profile/ProfilePhoto_P25700009_213976.jpg","Download")</f>
        <v>0</v>
      </c>
      <c r="BV36" s="3"/>
      <c r="BW36" s="3"/>
    </row>
    <row r="37" spans="1:75">
      <c r="A37" s="1" t="s">
        <v>75</v>
      </c>
      <c r="B37" s="1" t="s">
        <v>446</v>
      </c>
      <c r="C37" s="1" t="s">
        <v>982</v>
      </c>
      <c r="D37" s="1" t="s">
        <v>983</v>
      </c>
      <c r="E37" s="1" t="s">
        <v>984</v>
      </c>
      <c r="F37" s="1" t="s">
        <v>985</v>
      </c>
      <c r="G37" s="1" t="s">
        <v>986</v>
      </c>
      <c r="H37" s="1" t="s">
        <v>987</v>
      </c>
      <c r="I37" s="1" t="s">
        <v>988</v>
      </c>
      <c r="J37" s="1">
        <v>9527992237</v>
      </c>
      <c r="K37" s="1" t="s">
        <v>84</v>
      </c>
      <c r="L37" s="1" t="s">
        <v>989</v>
      </c>
      <c r="M37" s="1" t="s">
        <v>86</v>
      </c>
      <c r="N37" s="1" t="s">
        <v>990</v>
      </c>
      <c r="O37" s="1"/>
      <c r="P37" s="1" t="s">
        <v>507</v>
      </c>
      <c r="Q37" s="1" t="s">
        <v>991</v>
      </c>
      <c r="R37" s="1" t="s">
        <v>992</v>
      </c>
      <c r="S37" s="1">
        <v>9850829798</v>
      </c>
      <c r="T37" s="1" t="s">
        <v>645</v>
      </c>
      <c r="U37" s="1" t="s">
        <v>993</v>
      </c>
      <c r="V37" s="1">
        <v>9850081714</v>
      </c>
      <c r="W37" s="1" t="s">
        <v>161</v>
      </c>
      <c r="X37" s="1" t="s">
        <v>994</v>
      </c>
      <c r="Y37" s="1" t="s">
        <v>410</v>
      </c>
      <c r="Z37" s="1" t="s">
        <v>97</v>
      </c>
      <c r="AA37" s="1" t="s">
        <v>994</v>
      </c>
      <c r="AB37" s="1" t="s">
        <v>410</v>
      </c>
      <c r="AC37" s="1" t="s">
        <v>97</v>
      </c>
      <c r="AD37" s="1">
        <v>8.31</v>
      </c>
      <c r="AE37" s="1" t="s">
        <v>98</v>
      </c>
      <c r="AF37" s="1" t="s">
        <v>995</v>
      </c>
      <c r="AG37" s="1" t="s">
        <v>996</v>
      </c>
      <c r="AH37" s="1" t="s">
        <v>170</v>
      </c>
      <c r="AI37" s="1" t="s">
        <v>106</v>
      </c>
      <c r="AJ37" s="1">
        <v>80.6</v>
      </c>
      <c r="AK37" s="1"/>
      <c r="AL37" s="1" t="s">
        <v>995</v>
      </c>
      <c r="AM37" s="1" t="s">
        <v>996</v>
      </c>
      <c r="AN37" s="1"/>
      <c r="AO37" s="1" t="s">
        <v>438</v>
      </c>
      <c r="AP37" s="1" t="s">
        <v>468</v>
      </c>
      <c r="AQ37" s="1">
        <v>69.38</v>
      </c>
      <c r="AR37" s="1"/>
      <c r="AS37" s="1"/>
      <c r="AT37" s="1"/>
      <c r="AU37" s="1"/>
      <c r="AV37" s="1"/>
      <c r="AW37" s="1"/>
      <c r="AX37" s="1"/>
      <c r="AY37" s="1" t="s">
        <v>997</v>
      </c>
      <c r="AZ37" s="1" t="s">
        <v>998</v>
      </c>
      <c r="BA37" s="1"/>
      <c r="BB37" s="1"/>
      <c r="BC37" s="1" t="s">
        <v>368</v>
      </c>
      <c r="BD37" s="1" t="s">
        <v>418</v>
      </c>
      <c r="BE37" s="1">
        <v>64.3</v>
      </c>
      <c r="BF37" s="1">
        <v>7.18</v>
      </c>
      <c r="BG37" s="1"/>
      <c r="BH37" s="1"/>
      <c r="BI37" s="1"/>
      <c r="BJ37" s="1"/>
      <c r="BK37" s="1"/>
      <c r="BL37" s="1"/>
      <c r="BM37" s="1"/>
      <c r="BN37" s="1"/>
      <c r="BO37" s="1" t="s">
        <v>369</v>
      </c>
      <c r="BP37" s="1"/>
      <c r="BQ37" s="1"/>
      <c r="BR37" s="1" t="s">
        <v>999</v>
      </c>
      <c r="BS37" s="1">
        <v>26</v>
      </c>
      <c r="BT37" s="1"/>
      <c r="BU37" s="1" t="str">
        <f>HYPERLINK("https://nconnect.nicmar.ac.in/storage/profile/ProfilePhoto_P25700010_176259.jpg","Download")</f>
        <v>0</v>
      </c>
      <c r="BV37" s="3"/>
      <c r="BW37" s="3"/>
    </row>
    <row r="38" spans="1:75">
      <c r="A38" s="1" t="s">
        <v>75</v>
      </c>
      <c r="B38" s="1" t="s">
        <v>446</v>
      </c>
      <c r="C38" s="1" t="s">
        <v>1000</v>
      </c>
      <c r="D38" s="1" t="s">
        <v>1001</v>
      </c>
      <c r="E38" s="1"/>
      <c r="F38" s="1" t="s">
        <v>1002</v>
      </c>
      <c r="G38" s="1" t="s">
        <v>1003</v>
      </c>
      <c r="H38" s="1" t="s">
        <v>1004</v>
      </c>
      <c r="I38" s="1" t="s">
        <v>1005</v>
      </c>
      <c r="J38" s="1">
        <v>9588491747</v>
      </c>
      <c r="K38" s="1" t="s">
        <v>153</v>
      </c>
      <c r="L38" s="1" t="s">
        <v>1006</v>
      </c>
      <c r="M38" s="1" t="s">
        <v>86</v>
      </c>
      <c r="N38" s="1" t="s">
        <v>1007</v>
      </c>
      <c r="O38" s="1"/>
      <c r="P38" s="1" t="s">
        <v>455</v>
      </c>
      <c r="Q38" s="1" t="s">
        <v>1008</v>
      </c>
      <c r="R38" s="1" t="s">
        <v>1009</v>
      </c>
      <c r="S38" s="1">
        <v>9823283222</v>
      </c>
      <c r="T38" s="1" t="s">
        <v>645</v>
      </c>
      <c r="U38" s="1" t="s">
        <v>1010</v>
      </c>
      <c r="V38" s="1">
        <v>7447771437</v>
      </c>
      <c r="W38" s="1" t="s">
        <v>94</v>
      </c>
      <c r="X38" s="1" t="s">
        <v>1011</v>
      </c>
      <c r="Y38" s="1" t="s">
        <v>1012</v>
      </c>
      <c r="Z38" s="1" t="s">
        <v>97</v>
      </c>
      <c r="AA38" s="1" t="s">
        <v>1011</v>
      </c>
      <c r="AB38" s="1" t="s">
        <v>1012</v>
      </c>
      <c r="AC38" s="1" t="s">
        <v>97</v>
      </c>
      <c r="AD38" s="1">
        <v>9.21</v>
      </c>
      <c r="AE38" s="1" t="s">
        <v>98</v>
      </c>
      <c r="AF38" s="1" t="s">
        <v>1013</v>
      </c>
      <c r="AG38" s="1" t="s">
        <v>165</v>
      </c>
      <c r="AH38" s="1" t="s">
        <v>170</v>
      </c>
      <c r="AI38" s="1" t="s">
        <v>286</v>
      </c>
      <c r="AJ38" s="1">
        <v>96.2</v>
      </c>
      <c r="AK38" s="1"/>
      <c r="AL38" s="1" t="s">
        <v>1014</v>
      </c>
      <c r="AM38" s="1" t="s">
        <v>165</v>
      </c>
      <c r="AN38" s="1"/>
      <c r="AO38" s="1" t="s">
        <v>438</v>
      </c>
      <c r="AP38" s="1" t="s">
        <v>365</v>
      </c>
      <c r="AQ38" s="1">
        <v>80.62</v>
      </c>
      <c r="AR38" s="1"/>
      <c r="AS38" s="1"/>
      <c r="AT38" s="1"/>
      <c r="AU38" s="1"/>
      <c r="AV38" s="1"/>
      <c r="AW38" s="1"/>
      <c r="AX38" s="1"/>
      <c r="AY38" s="1" t="s">
        <v>258</v>
      </c>
      <c r="AZ38" s="1" t="s">
        <v>1015</v>
      </c>
      <c r="BA38" s="1"/>
      <c r="BB38" s="1"/>
      <c r="BC38" s="1" t="s">
        <v>178</v>
      </c>
      <c r="BD38" s="1" t="s">
        <v>607</v>
      </c>
      <c r="BE38" s="1">
        <v>75.93</v>
      </c>
      <c r="BF38" s="1">
        <v>8.64</v>
      </c>
      <c r="BG38" s="1"/>
      <c r="BH38" s="1"/>
      <c r="BI38" s="1"/>
      <c r="BJ38" s="1"/>
      <c r="BK38" s="1"/>
      <c r="BL38" s="1"/>
      <c r="BM38" s="1"/>
      <c r="BN38" s="1"/>
      <c r="BO38" s="1" t="s">
        <v>1016</v>
      </c>
      <c r="BP38" s="1"/>
      <c r="BQ38" s="1"/>
      <c r="BR38" s="1" t="s">
        <v>1017</v>
      </c>
      <c r="BS38" s="1">
        <v>30</v>
      </c>
      <c r="BT38" s="1" t="s">
        <v>1018</v>
      </c>
      <c r="BU38" s="1" t="str">
        <f>HYPERLINK("https://nconnect.nicmar.ac.in/storage/profile/ProfilePhoto_P25700011_739251.jpg","Download")</f>
        <v>0</v>
      </c>
      <c r="BV38" s="3"/>
      <c r="BW38" s="3"/>
    </row>
    <row r="39" spans="1:75">
      <c r="A39" s="1" t="s">
        <v>75</v>
      </c>
      <c r="B39" s="1" t="s">
        <v>446</v>
      </c>
      <c r="C39" s="1" t="s">
        <v>1019</v>
      </c>
      <c r="D39" s="1" t="s">
        <v>1020</v>
      </c>
      <c r="E39" s="1" t="s">
        <v>1021</v>
      </c>
      <c r="F39" s="1" t="s">
        <v>1022</v>
      </c>
      <c r="G39" s="1" t="s">
        <v>1023</v>
      </c>
      <c r="H39" s="1" t="s">
        <v>1024</v>
      </c>
      <c r="I39" s="1" t="s">
        <v>1025</v>
      </c>
      <c r="J39" s="1">
        <v>8010918142</v>
      </c>
      <c r="K39" s="1" t="s">
        <v>84</v>
      </c>
      <c r="L39" s="1" t="s">
        <v>1026</v>
      </c>
      <c r="M39" s="1" t="s">
        <v>86</v>
      </c>
      <c r="N39" s="1" t="s">
        <v>1027</v>
      </c>
      <c r="O39" s="1"/>
      <c r="P39" s="1" t="s">
        <v>1028</v>
      </c>
      <c r="Q39" s="1" t="s">
        <v>1029</v>
      </c>
      <c r="R39" s="1" t="s">
        <v>1030</v>
      </c>
      <c r="S39" s="1">
        <v>9823149756</v>
      </c>
      <c r="T39" s="1" t="s">
        <v>839</v>
      </c>
      <c r="U39" s="1" t="s">
        <v>1031</v>
      </c>
      <c r="V39" s="1">
        <v>9028418958</v>
      </c>
      <c r="W39" s="1" t="s">
        <v>161</v>
      </c>
      <c r="X39" s="1" t="s">
        <v>1032</v>
      </c>
      <c r="Y39" s="1" t="s">
        <v>1033</v>
      </c>
      <c r="Z39" s="1" t="s">
        <v>97</v>
      </c>
      <c r="AA39" s="1" t="s">
        <v>1032</v>
      </c>
      <c r="AB39" s="1" t="s">
        <v>1033</v>
      </c>
      <c r="AC39" s="1" t="s">
        <v>97</v>
      </c>
      <c r="AD39" s="1">
        <v>8.62</v>
      </c>
      <c r="AE39" s="1" t="s">
        <v>98</v>
      </c>
      <c r="AF39" s="1" t="s">
        <v>1034</v>
      </c>
      <c r="AG39" s="1" t="s">
        <v>1035</v>
      </c>
      <c r="AH39" s="1" t="s">
        <v>170</v>
      </c>
      <c r="AI39" s="1" t="s">
        <v>286</v>
      </c>
      <c r="AJ39" s="1">
        <v>93.8</v>
      </c>
      <c r="AK39" s="1"/>
      <c r="AL39" s="1" t="s">
        <v>1036</v>
      </c>
      <c r="AM39" s="1" t="s">
        <v>1037</v>
      </c>
      <c r="AN39" s="1"/>
      <c r="AO39" s="1" t="s">
        <v>547</v>
      </c>
      <c r="AP39" s="1" t="s">
        <v>365</v>
      </c>
      <c r="AQ39" s="1">
        <v>70.31</v>
      </c>
      <c r="AR39" s="1"/>
      <c r="AS39" s="1"/>
      <c r="AT39" s="1"/>
      <c r="AU39" s="1"/>
      <c r="AV39" s="1"/>
      <c r="AW39" s="1"/>
      <c r="AX39" s="1"/>
      <c r="AY39" s="1" t="s">
        <v>1038</v>
      </c>
      <c r="AZ39" s="1" t="s">
        <v>1039</v>
      </c>
      <c r="BA39" s="1"/>
      <c r="BB39" s="1"/>
      <c r="BC39" s="1" t="s">
        <v>1040</v>
      </c>
      <c r="BD39" s="1" t="s">
        <v>418</v>
      </c>
      <c r="BE39" s="1">
        <v>65.6</v>
      </c>
      <c r="BF39" s="1">
        <v>7.31</v>
      </c>
      <c r="BG39" s="1"/>
      <c r="BH39" s="1"/>
      <c r="BI39" s="1"/>
      <c r="BJ39" s="1"/>
      <c r="BK39" s="1"/>
      <c r="BL39" s="1"/>
      <c r="BM39" s="1"/>
      <c r="BN39" s="1"/>
      <c r="BO39" s="1" t="s">
        <v>1041</v>
      </c>
      <c r="BP39" s="1" t="s">
        <v>1042</v>
      </c>
      <c r="BQ39" s="1" t="s">
        <v>1043</v>
      </c>
      <c r="BR39" s="1" t="s">
        <v>1044</v>
      </c>
      <c r="BS39" s="1">
        <v>14</v>
      </c>
      <c r="BT39" s="1"/>
      <c r="BU39" s="1" t="str">
        <f>HYPERLINK("https://nconnect.nicmar.ac.in/storage/profile/ProfilePhoto_P25700012_849315.jpg","Download")</f>
        <v>0</v>
      </c>
      <c r="BV39" s="3"/>
      <c r="BW39" s="3"/>
    </row>
    <row r="40" spans="1:75">
      <c r="A40" s="1" t="s">
        <v>75</v>
      </c>
      <c r="B40" s="1" t="s">
        <v>446</v>
      </c>
      <c r="C40" s="1" t="s">
        <v>1045</v>
      </c>
      <c r="D40" s="1" t="s">
        <v>1046</v>
      </c>
      <c r="E40" s="1"/>
      <c r="F40" s="1" t="s">
        <v>1047</v>
      </c>
      <c r="G40" s="1" t="s">
        <v>1048</v>
      </c>
      <c r="H40" s="1" t="s">
        <v>1049</v>
      </c>
      <c r="I40" s="1" t="s">
        <v>1050</v>
      </c>
      <c r="J40" s="1">
        <v>7275960888</v>
      </c>
      <c r="K40" s="1" t="s">
        <v>84</v>
      </c>
      <c r="L40" s="1" t="s">
        <v>1051</v>
      </c>
      <c r="M40" s="1" t="s">
        <v>86</v>
      </c>
      <c r="N40" s="1" t="s">
        <v>1052</v>
      </c>
      <c r="O40" s="1" t="s">
        <v>1053</v>
      </c>
      <c r="P40" s="1" t="s">
        <v>356</v>
      </c>
      <c r="Q40" s="1" t="s">
        <v>1054</v>
      </c>
      <c r="R40" s="1" t="s">
        <v>1055</v>
      </c>
      <c r="S40" s="1">
        <v>9936918443</v>
      </c>
      <c r="T40" s="1" t="s">
        <v>276</v>
      </c>
      <c r="U40" s="1" t="s">
        <v>1056</v>
      </c>
      <c r="V40" s="1">
        <v>9936918443</v>
      </c>
      <c r="W40" s="1" t="s">
        <v>1057</v>
      </c>
      <c r="X40" s="1" t="s">
        <v>1058</v>
      </c>
      <c r="Y40" s="1" t="s">
        <v>196</v>
      </c>
      <c r="Z40" s="1" t="s">
        <v>97</v>
      </c>
      <c r="AA40" s="1" t="s">
        <v>1058</v>
      </c>
      <c r="AB40" s="1" t="s">
        <v>1059</v>
      </c>
      <c r="AC40" s="1" t="s">
        <v>544</v>
      </c>
      <c r="AD40" s="1">
        <v>8.13</v>
      </c>
      <c r="AE40" s="1" t="s">
        <v>98</v>
      </c>
      <c r="AF40" s="1" t="s">
        <v>1060</v>
      </c>
      <c r="AG40" s="1" t="s">
        <v>1061</v>
      </c>
      <c r="AH40" s="1" t="s">
        <v>167</v>
      </c>
      <c r="AI40" s="1" t="s">
        <v>170</v>
      </c>
      <c r="AJ40" s="1">
        <v>79.8</v>
      </c>
      <c r="AK40" s="1">
        <v>8.4</v>
      </c>
      <c r="AL40" s="1"/>
      <c r="AM40" s="1"/>
      <c r="AN40" s="1" t="s">
        <v>1062</v>
      </c>
      <c r="AO40" s="1"/>
      <c r="AP40" s="1"/>
      <c r="AQ40" s="1"/>
      <c r="AR40" s="1"/>
      <c r="AS40" s="1" t="s">
        <v>1063</v>
      </c>
      <c r="AT40" s="1" t="s">
        <v>1064</v>
      </c>
      <c r="AU40" s="1" t="s">
        <v>1065</v>
      </c>
      <c r="AV40" s="1" t="s">
        <v>552</v>
      </c>
      <c r="AW40" s="1">
        <v>73.18</v>
      </c>
      <c r="AX40" s="1"/>
      <c r="AY40" s="1" t="s">
        <v>1066</v>
      </c>
      <c r="AZ40" s="1" t="s">
        <v>1067</v>
      </c>
      <c r="BA40" s="1" t="s">
        <v>466</v>
      </c>
      <c r="BB40" s="1" t="s">
        <v>467</v>
      </c>
      <c r="BC40" s="1" t="s">
        <v>549</v>
      </c>
      <c r="BD40" s="1" t="s">
        <v>207</v>
      </c>
      <c r="BE40" s="1">
        <v>83.98</v>
      </c>
      <c r="BF40" s="1"/>
      <c r="BG40" s="1"/>
      <c r="BH40" s="1"/>
      <c r="BI40" s="1"/>
      <c r="BJ40" s="1"/>
      <c r="BK40" s="1"/>
      <c r="BL40" s="1"/>
      <c r="BM40" s="1"/>
      <c r="BN40" s="1"/>
      <c r="BO40" s="1" t="s">
        <v>1068</v>
      </c>
      <c r="BP40" s="1" t="s">
        <v>1069</v>
      </c>
      <c r="BQ40" s="1" t="s">
        <v>1070</v>
      </c>
      <c r="BR40" s="1" t="s">
        <v>1071</v>
      </c>
      <c r="BS40" s="1">
        <v>21</v>
      </c>
      <c r="BT40" s="1"/>
      <c r="BU40" s="1" t="str">
        <f>HYPERLINK("https://nconnect.nicmar.ac.in/storage/profile/ProfilePhoto_P25700013_135872.jpg","Download")</f>
        <v>0</v>
      </c>
      <c r="BV40" s="3"/>
      <c r="BW40" s="3"/>
    </row>
    <row r="41" spans="1:75">
      <c r="A41" s="1" t="s">
        <v>75</v>
      </c>
      <c r="B41" s="1" t="s">
        <v>446</v>
      </c>
      <c r="C41" s="1" t="s">
        <v>1072</v>
      </c>
      <c r="D41" s="1" t="s">
        <v>1073</v>
      </c>
      <c r="E41" s="1" t="s">
        <v>1074</v>
      </c>
      <c r="F41" s="1" t="s">
        <v>1075</v>
      </c>
      <c r="G41" s="1" t="s">
        <v>1076</v>
      </c>
      <c r="H41" s="1" t="s">
        <v>1077</v>
      </c>
      <c r="I41" s="1" t="s">
        <v>1078</v>
      </c>
      <c r="J41" s="1">
        <v>8793859482</v>
      </c>
      <c r="K41" s="1" t="s">
        <v>84</v>
      </c>
      <c r="L41" s="1" t="s">
        <v>1079</v>
      </c>
      <c r="M41" s="1" t="s">
        <v>86</v>
      </c>
      <c r="N41" s="1" t="s">
        <v>1080</v>
      </c>
      <c r="O41" s="1"/>
      <c r="P41" s="1" t="s">
        <v>507</v>
      </c>
      <c r="Q41" s="1" t="s">
        <v>1081</v>
      </c>
      <c r="R41" s="1" t="s">
        <v>1082</v>
      </c>
      <c r="S41" s="1">
        <v>8983188171</v>
      </c>
      <c r="T41" s="1" t="s">
        <v>645</v>
      </c>
      <c r="U41" s="1" t="s">
        <v>1083</v>
      </c>
      <c r="V41" s="1">
        <v>9850425366</v>
      </c>
      <c r="W41" s="1" t="s">
        <v>161</v>
      </c>
      <c r="X41" s="1" t="s">
        <v>1084</v>
      </c>
      <c r="Y41" s="1" t="s">
        <v>410</v>
      </c>
      <c r="Z41" s="1" t="s">
        <v>97</v>
      </c>
      <c r="AA41" s="1" t="s">
        <v>1084</v>
      </c>
      <c r="AB41" s="1" t="s">
        <v>410</v>
      </c>
      <c r="AC41" s="1" t="s">
        <v>97</v>
      </c>
      <c r="AD41" s="1">
        <v>8.03</v>
      </c>
      <c r="AE41" s="1" t="s">
        <v>98</v>
      </c>
      <c r="AF41" s="1" t="s">
        <v>1085</v>
      </c>
      <c r="AG41" s="1" t="s">
        <v>1086</v>
      </c>
      <c r="AH41" s="1" t="s">
        <v>200</v>
      </c>
      <c r="AI41" s="1" t="s">
        <v>286</v>
      </c>
      <c r="AJ41" s="1">
        <v>78.2</v>
      </c>
      <c r="AK41" s="1"/>
      <c r="AL41" s="1" t="s">
        <v>1087</v>
      </c>
      <c r="AM41" s="1" t="s">
        <v>1086</v>
      </c>
      <c r="AN41" s="1" t="s">
        <v>465</v>
      </c>
      <c r="AO41" s="1" t="s">
        <v>203</v>
      </c>
      <c r="AP41" s="1" t="s">
        <v>365</v>
      </c>
      <c r="AQ41" s="1">
        <v>69.54</v>
      </c>
      <c r="AR41" s="1"/>
      <c r="AS41" s="1"/>
      <c r="AT41" s="1"/>
      <c r="AU41" s="1"/>
      <c r="AV41" s="1"/>
      <c r="AW41" s="1"/>
      <c r="AX41" s="1"/>
      <c r="AY41" s="1" t="s">
        <v>415</v>
      </c>
      <c r="AZ41" s="1" t="s">
        <v>1088</v>
      </c>
      <c r="BA41" s="1" t="s">
        <v>466</v>
      </c>
      <c r="BB41" s="1" t="s">
        <v>467</v>
      </c>
      <c r="BC41" s="1" t="s">
        <v>178</v>
      </c>
      <c r="BD41" s="1" t="s">
        <v>1089</v>
      </c>
      <c r="BE41" s="1">
        <v>65.3</v>
      </c>
      <c r="BF41" s="1">
        <v>7.28</v>
      </c>
      <c r="BG41" s="1"/>
      <c r="BH41" s="1"/>
      <c r="BI41" s="1"/>
      <c r="BJ41" s="1"/>
      <c r="BK41" s="1"/>
      <c r="BL41" s="1"/>
      <c r="BM41" s="1"/>
      <c r="BN41" s="1"/>
      <c r="BO41" s="1" t="s">
        <v>1090</v>
      </c>
      <c r="BP41" s="1" t="s">
        <v>1091</v>
      </c>
      <c r="BQ41" s="1" t="s">
        <v>471</v>
      </c>
      <c r="BR41" s="1" t="s">
        <v>1092</v>
      </c>
      <c r="BS41" s="1">
        <v>41</v>
      </c>
      <c r="BT41" s="1" t="s">
        <v>1093</v>
      </c>
      <c r="BU41" s="1" t="str">
        <f>HYPERLINK("https://nconnect.nicmar.ac.in/storage/profile/ProfilePhoto_P25700014_935186.jpg","Download")</f>
        <v>0</v>
      </c>
      <c r="BV41" s="3"/>
      <c r="BW41" s="3"/>
    </row>
    <row r="42" spans="1:75">
      <c r="A42" s="1" t="s">
        <v>75</v>
      </c>
      <c r="B42" s="1" t="s">
        <v>446</v>
      </c>
      <c r="C42" s="1" t="s">
        <v>1094</v>
      </c>
      <c r="D42" s="1" t="s">
        <v>1095</v>
      </c>
      <c r="E42" s="1"/>
      <c r="F42" s="1" t="s">
        <v>1096</v>
      </c>
      <c r="G42" s="1" t="s">
        <v>1097</v>
      </c>
      <c r="H42" s="1" t="s">
        <v>1098</v>
      </c>
      <c r="I42" s="1" t="s">
        <v>1099</v>
      </c>
      <c r="J42" s="1">
        <v>8860236608</v>
      </c>
      <c r="K42" s="1" t="s">
        <v>84</v>
      </c>
      <c r="L42" s="1" t="s">
        <v>1100</v>
      </c>
      <c r="M42" s="1" t="s">
        <v>86</v>
      </c>
      <c r="N42" s="1" t="s">
        <v>1101</v>
      </c>
      <c r="O42" s="1"/>
      <c r="P42" s="1" t="s">
        <v>507</v>
      </c>
      <c r="Q42" s="1" t="s">
        <v>1102</v>
      </c>
      <c r="R42" s="1" t="s">
        <v>1103</v>
      </c>
      <c r="S42" s="1">
        <v>9717787805</v>
      </c>
      <c r="T42" s="1" t="s">
        <v>1104</v>
      </c>
      <c r="U42" s="1" t="s">
        <v>1105</v>
      </c>
      <c r="V42" s="1">
        <v>9971748647</v>
      </c>
      <c r="W42" s="1" t="s">
        <v>161</v>
      </c>
      <c r="X42" s="1" t="s">
        <v>1106</v>
      </c>
      <c r="Y42" s="1" t="s">
        <v>1107</v>
      </c>
      <c r="Z42" s="1" t="s">
        <v>544</v>
      </c>
      <c r="AA42" s="1" t="s">
        <v>1106</v>
      </c>
      <c r="AB42" s="1" t="s">
        <v>1107</v>
      </c>
      <c r="AC42" s="1" t="s">
        <v>544</v>
      </c>
      <c r="AD42" s="1">
        <v>7.38</v>
      </c>
      <c r="AE42" s="1" t="s">
        <v>98</v>
      </c>
      <c r="AF42" s="1" t="s">
        <v>1108</v>
      </c>
      <c r="AG42" s="1" t="s">
        <v>1109</v>
      </c>
      <c r="AH42" s="1" t="s">
        <v>1110</v>
      </c>
      <c r="AI42" s="1" t="s">
        <v>1111</v>
      </c>
      <c r="AJ42" s="1">
        <v>77.9</v>
      </c>
      <c r="AK42" s="1">
        <v>8.2</v>
      </c>
      <c r="AL42" s="1" t="s">
        <v>1108</v>
      </c>
      <c r="AM42" s="1" t="s">
        <v>1109</v>
      </c>
      <c r="AN42" s="1"/>
      <c r="AO42" s="1" t="s">
        <v>704</v>
      </c>
      <c r="AP42" s="1" t="s">
        <v>286</v>
      </c>
      <c r="AQ42" s="1">
        <v>75.8</v>
      </c>
      <c r="AR42" s="1"/>
      <c r="AS42" s="1"/>
      <c r="AT42" s="1"/>
      <c r="AU42" s="1"/>
      <c r="AV42" s="1"/>
      <c r="AW42" s="1"/>
      <c r="AX42" s="1"/>
      <c r="AY42" s="1" t="s">
        <v>1112</v>
      </c>
      <c r="AZ42" s="1" t="s">
        <v>1113</v>
      </c>
      <c r="BA42" s="1"/>
      <c r="BB42" s="1"/>
      <c r="BC42" s="1" t="s">
        <v>174</v>
      </c>
      <c r="BD42" s="1" t="s">
        <v>289</v>
      </c>
      <c r="BE42" s="1">
        <v>67.2</v>
      </c>
      <c r="BF42" s="1">
        <v>6.72</v>
      </c>
      <c r="BG42" s="1"/>
      <c r="BH42" s="1"/>
      <c r="BI42" s="1"/>
      <c r="BJ42" s="1"/>
      <c r="BK42" s="1"/>
      <c r="BL42" s="1"/>
      <c r="BM42" s="1"/>
      <c r="BN42" s="1"/>
      <c r="BO42" s="1" t="s">
        <v>1114</v>
      </c>
      <c r="BP42" s="1" t="s">
        <v>1115</v>
      </c>
      <c r="BQ42" s="1" t="s">
        <v>893</v>
      </c>
      <c r="BR42" s="1" t="s">
        <v>1116</v>
      </c>
      <c r="BS42" s="1">
        <v>34</v>
      </c>
      <c r="BT42" s="1"/>
      <c r="BU42" s="1" t="str">
        <f>HYPERLINK("https://nconnect.nicmar.ac.in/storage/profile/ProfilePhoto_P25700015_562978.jpg","Download")</f>
        <v>0</v>
      </c>
      <c r="BV42" s="3"/>
      <c r="BW42" s="3"/>
    </row>
    <row r="43" spans="1:75">
      <c r="A43" s="1" t="s">
        <v>75</v>
      </c>
      <c r="B43" s="1" t="s">
        <v>446</v>
      </c>
      <c r="C43" s="1" t="s">
        <v>1117</v>
      </c>
      <c r="D43" s="1" t="s">
        <v>1118</v>
      </c>
      <c r="E43" s="1" t="s">
        <v>1119</v>
      </c>
      <c r="F43" s="1" t="s">
        <v>1120</v>
      </c>
      <c r="G43" s="1" t="s">
        <v>1121</v>
      </c>
      <c r="H43" s="1" t="s">
        <v>1122</v>
      </c>
      <c r="I43" s="1" t="s">
        <v>1123</v>
      </c>
      <c r="J43" s="1">
        <v>9156686578</v>
      </c>
      <c r="K43" s="1" t="s">
        <v>84</v>
      </c>
      <c r="L43" s="1" t="s">
        <v>1124</v>
      </c>
      <c r="M43" s="1" t="s">
        <v>86</v>
      </c>
      <c r="N43" s="1" t="s">
        <v>768</v>
      </c>
      <c r="O43" s="1"/>
      <c r="P43" s="1" t="s">
        <v>455</v>
      </c>
      <c r="Q43" s="1" t="s">
        <v>1125</v>
      </c>
      <c r="R43" s="1" t="s">
        <v>1119</v>
      </c>
      <c r="S43" s="1">
        <v>9922381754</v>
      </c>
      <c r="T43" s="1" t="s">
        <v>839</v>
      </c>
      <c r="U43" s="1" t="s">
        <v>1126</v>
      </c>
      <c r="V43" s="1">
        <v>9284156494</v>
      </c>
      <c r="W43" s="1" t="s">
        <v>278</v>
      </c>
      <c r="X43" s="1" t="s">
        <v>1127</v>
      </c>
      <c r="Y43" s="1" t="s">
        <v>163</v>
      </c>
      <c r="Z43" s="1" t="s">
        <v>97</v>
      </c>
      <c r="AA43" s="1" t="s">
        <v>1127</v>
      </c>
      <c r="AB43" s="1" t="s">
        <v>163</v>
      </c>
      <c r="AC43" s="1" t="s">
        <v>97</v>
      </c>
      <c r="AD43" s="1">
        <v>6.49</v>
      </c>
      <c r="AE43" s="1" t="s">
        <v>98</v>
      </c>
      <c r="AF43" s="1" t="s">
        <v>1128</v>
      </c>
      <c r="AG43" s="1" t="s">
        <v>1129</v>
      </c>
      <c r="AH43" s="1" t="s">
        <v>170</v>
      </c>
      <c r="AI43" s="1" t="s">
        <v>286</v>
      </c>
      <c r="AJ43" s="1">
        <v>62.2</v>
      </c>
      <c r="AK43" s="1"/>
      <c r="AL43" s="1" t="s">
        <v>1130</v>
      </c>
      <c r="AM43" s="1" t="s">
        <v>1129</v>
      </c>
      <c r="AN43" s="1"/>
      <c r="AO43" s="1" t="s">
        <v>438</v>
      </c>
      <c r="AP43" s="1" t="s">
        <v>365</v>
      </c>
      <c r="AQ43" s="1">
        <v>65.23</v>
      </c>
      <c r="AR43" s="1"/>
      <c r="AS43" s="1"/>
      <c r="AT43" s="1"/>
      <c r="AU43" s="1"/>
      <c r="AV43" s="1"/>
      <c r="AW43" s="1"/>
      <c r="AX43" s="1"/>
      <c r="AY43" s="1" t="s">
        <v>366</v>
      </c>
      <c r="AZ43" s="1" t="s">
        <v>1131</v>
      </c>
      <c r="BA43" s="1"/>
      <c r="BB43" s="1"/>
      <c r="BC43" s="1" t="s">
        <v>845</v>
      </c>
      <c r="BD43" s="1" t="s">
        <v>1132</v>
      </c>
      <c r="BE43" s="1">
        <v>63.02</v>
      </c>
      <c r="BF43" s="1">
        <v>7.08</v>
      </c>
      <c r="BG43" s="1"/>
      <c r="BH43" s="1"/>
      <c r="BI43" s="1"/>
      <c r="BJ43" s="1"/>
      <c r="BK43" s="1"/>
      <c r="BL43" s="1"/>
      <c r="BM43" s="1"/>
      <c r="BN43" s="1"/>
      <c r="BO43" s="1" t="s">
        <v>260</v>
      </c>
      <c r="BP43" s="1"/>
      <c r="BQ43" s="1"/>
      <c r="BR43" s="1" t="s">
        <v>1133</v>
      </c>
      <c r="BS43" s="1">
        <v>25</v>
      </c>
      <c r="BT43" s="1"/>
      <c r="BU43" s="1" t="str">
        <f>HYPERLINK("https://nconnect.nicmar.ac.in/storage/profile/ProfilePhoto_P25700016_175486.jpg","Download")</f>
        <v>0</v>
      </c>
      <c r="BV43" s="3"/>
      <c r="BW43" s="3"/>
    </row>
    <row r="44" spans="1:75">
      <c r="A44" s="1" t="s">
        <v>75</v>
      </c>
      <c r="B44" s="1" t="s">
        <v>446</v>
      </c>
      <c r="C44" s="1" t="s">
        <v>1134</v>
      </c>
      <c r="D44" s="1" t="s">
        <v>1135</v>
      </c>
      <c r="E44" s="1" t="s">
        <v>1136</v>
      </c>
      <c r="F44" s="1" t="s">
        <v>147</v>
      </c>
      <c r="G44" s="1" t="s">
        <v>1137</v>
      </c>
      <c r="H44" s="1" t="s">
        <v>1138</v>
      </c>
      <c r="I44" s="1" t="s">
        <v>1139</v>
      </c>
      <c r="J44" s="1">
        <v>7666173714</v>
      </c>
      <c r="K44" s="1" t="s">
        <v>84</v>
      </c>
      <c r="L44" s="1" t="s">
        <v>1140</v>
      </c>
      <c r="M44" s="1" t="s">
        <v>86</v>
      </c>
      <c r="N44" s="1" t="s">
        <v>768</v>
      </c>
      <c r="O44" s="1" t="s">
        <v>157</v>
      </c>
      <c r="P44" s="1" t="s">
        <v>356</v>
      </c>
      <c r="Q44" s="1" t="s">
        <v>1141</v>
      </c>
      <c r="R44" s="1" t="s">
        <v>1142</v>
      </c>
      <c r="S44" s="1">
        <v>9890697361</v>
      </c>
      <c r="T44" s="1" t="s">
        <v>127</v>
      </c>
      <c r="U44" s="1" t="s">
        <v>1143</v>
      </c>
      <c r="V44" s="1">
        <v>9561877051</v>
      </c>
      <c r="W44" s="1" t="s">
        <v>161</v>
      </c>
      <c r="X44" s="1" t="s">
        <v>1144</v>
      </c>
      <c r="Y44" s="1" t="s">
        <v>1145</v>
      </c>
      <c r="Z44" s="1" t="s">
        <v>97</v>
      </c>
      <c r="AA44" s="1" t="s">
        <v>1146</v>
      </c>
      <c r="AB44" s="1" t="s">
        <v>196</v>
      </c>
      <c r="AC44" s="1" t="s">
        <v>97</v>
      </c>
      <c r="AD44" s="1">
        <v>9.08</v>
      </c>
      <c r="AE44" s="1" t="s">
        <v>98</v>
      </c>
      <c r="AF44" s="1" t="s">
        <v>1147</v>
      </c>
      <c r="AG44" s="1" t="s">
        <v>165</v>
      </c>
      <c r="AH44" s="1" t="s">
        <v>167</v>
      </c>
      <c r="AI44" s="1" t="s">
        <v>200</v>
      </c>
      <c r="AJ44" s="1">
        <v>94.4</v>
      </c>
      <c r="AK44" s="1"/>
      <c r="AL44" s="1" t="s">
        <v>1148</v>
      </c>
      <c r="AM44" s="1" t="s">
        <v>165</v>
      </c>
      <c r="AN44" s="1" t="s">
        <v>465</v>
      </c>
      <c r="AO44" s="1" t="s">
        <v>106</v>
      </c>
      <c r="AP44" s="1" t="s">
        <v>203</v>
      </c>
      <c r="AQ44" s="1">
        <v>65.38</v>
      </c>
      <c r="AR44" s="1"/>
      <c r="AS44" s="1"/>
      <c r="AT44" s="1"/>
      <c r="AU44" s="1"/>
      <c r="AV44" s="1"/>
      <c r="AW44" s="1"/>
      <c r="AX44" s="1"/>
      <c r="AY44" s="1" t="s">
        <v>366</v>
      </c>
      <c r="AZ44" s="1" t="s">
        <v>1149</v>
      </c>
      <c r="BA44" s="1" t="s">
        <v>466</v>
      </c>
      <c r="BB44" s="1" t="s">
        <v>467</v>
      </c>
      <c r="BC44" s="1" t="s">
        <v>206</v>
      </c>
      <c r="BD44" s="1" t="s">
        <v>234</v>
      </c>
      <c r="BE44" s="1">
        <v>79.6</v>
      </c>
      <c r="BF44" s="1">
        <v>8.71</v>
      </c>
      <c r="BG44" s="1"/>
      <c r="BH44" s="1"/>
      <c r="BI44" s="1"/>
      <c r="BJ44" s="1"/>
      <c r="BK44" s="1"/>
      <c r="BL44" s="1"/>
      <c r="BM44" s="1"/>
      <c r="BN44" s="1"/>
      <c r="BO44" s="1" t="s">
        <v>1150</v>
      </c>
      <c r="BP44" s="1" t="s">
        <v>1151</v>
      </c>
      <c r="BQ44" s="1" t="s">
        <v>1152</v>
      </c>
      <c r="BR44" s="1" t="s">
        <v>1153</v>
      </c>
      <c r="BS44" s="1">
        <v>20</v>
      </c>
      <c r="BT44" s="1" t="s">
        <v>1154</v>
      </c>
      <c r="BU44" s="1" t="str">
        <f>HYPERLINK("https://nconnect.nicmar.ac.in/storage/profile/ProfilePhoto_P25700017_325687.jpg","Download")</f>
        <v>0</v>
      </c>
      <c r="BV44" s="3"/>
      <c r="BW44" s="4">
        <v>1</v>
      </c>
    </row>
    <row r="45" spans="1:75">
      <c r="A45" s="1" t="s">
        <v>75</v>
      </c>
      <c r="B45" s="1" t="s">
        <v>446</v>
      </c>
      <c r="C45" s="1" t="s">
        <v>1155</v>
      </c>
      <c r="D45" s="1" t="s">
        <v>1156</v>
      </c>
      <c r="E45" s="1" t="s">
        <v>1157</v>
      </c>
      <c r="F45" s="1" t="s">
        <v>1158</v>
      </c>
      <c r="G45" s="1" t="s">
        <v>1159</v>
      </c>
      <c r="H45" s="1" t="s">
        <v>1160</v>
      </c>
      <c r="I45" s="1" t="s">
        <v>1161</v>
      </c>
      <c r="J45" s="1">
        <v>9284135423</v>
      </c>
      <c r="K45" s="1" t="s">
        <v>84</v>
      </c>
      <c r="L45" s="1" t="s">
        <v>1162</v>
      </c>
      <c r="M45" s="1" t="s">
        <v>86</v>
      </c>
      <c r="N45" s="1" t="s">
        <v>1163</v>
      </c>
      <c r="O45" s="1"/>
      <c r="P45" s="1" t="s">
        <v>455</v>
      </c>
      <c r="Q45" s="1" t="s">
        <v>1164</v>
      </c>
      <c r="R45" s="1" t="s">
        <v>1165</v>
      </c>
      <c r="S45" s="1">
        <v>9975721584</v>
      </c>
      <c r="T45" s="1" t="s">
        <v>645</v>
      </c>
      <c r="U45" s="1" t="s">
        <v>1166</v>
      </c>
      <c r="V45" s="1">
        <v>9960097816</v>
      </c>
      <c r="W45" s="1" t="s">
        <v>645</v>
      </c>
      <c r="X45" s="1" t="s">
        <v>1167</v>
      </c>
      <c r="Y45" s="1" t="s">
        <v>163</v>
      </c>
      <c r="Z45" s="1" t="s">
        <v>97</v>
      </c>
      <c r="AA45" s="1" t="s">
        <v>1167</v>
      </c>
      <c r="AB45" s="1" t="s">
        <v>163</v>
      </c>
      <c r="AC45" s="1" t="s">
        <v>97</v>
      </c>
      <c r="AD45" s="1">
        <v>8.38</v>
      </c>
      <c r="AE45" s="1" t="s">
        <v>98</v>
      </c>
      <c r="AF45" s="1" t="s">
        <v>1168</v>
      </c>
      <c r="AG45" s="1" t="s">
        <v>165</v>
      </c>
      <c r="AH45" s="1" t="s">
        <v>170</v>
      </c>
      <c r="AI45" s="1" t="s">
        <v>286</v>
      </c>
      <c r="AJ45" s="1">
        <v>88.6</v>
      </c>
      <c r="AK45" s="1"/>
      <c r="AL45" s="1" t="s">
        <v>1169</v>
      </c>
      <c r="AM45" s="1" t="s">
        <v>165</v>
      </c>
      <c r="AN45" s="1"/>
      <c r="AO45" s="1" t="s">
        <v>438</v>
      </c>
      <c r="AP45" s="1" t="s">
        <v>365</v>
      </c>
      <c r="AQ45" s="1">
        <v>78.77</v>
      </c>
      <c r="AR45" s="1"/>
      <c r="AS45" s="1"/>
      <c r="AT45" s="1"/>
      <c r="AU45" s="1"/>
      <c r="AV45" s="1"/>
      <c r="AW45" s="1"/>
      <c r="AX45" s="1"/>
      <c r="AY45" s="1" t="s">
        <v>1038</v>
      </c>
      <c r="AZ45" s="1" t="s">
        <v>1170</v>
      </c>
      <c r="BA45" s="1"/>
      <c r="BB45" s="1"/>
      <c r="BC45" s="1" t="s">
        <v>1171</v>
      </c>
      <c r="BD45" s="1" t="s">
        <v>418</v>
      </c>
      <c r="BE45" s="1">
        <v>65</v>
      </c>
      <c r="BF45" s="1">
        <v>7.25</v>
      </c>
      <c r="BG45" s="1"/>
      <c r="BH45" s="1"/>
      <c r="BI45" s="1"/>
      <c r="BJ45" s="1"/>
      <c r="BK45" s="1"/>
      <c r="BL45" s="1"/>
      <c r="BM45" s="1"/>
      <c r="BN45" s="1"/>
      <c r="BO45" s="1" t="s">
        <v>1172</v>
      </c>
      <c r="BP45" s="1" t="s">
        <v>1173</v>
      </c>
      <c r="BQ45" s="1" t="s">
        <v>1174</v>
      </c>
      <c r="BR45" s="1" t="s">
        <v>1175</v>
      </c>
      <c r="BS45" s="1">
        <v>18</v>
      </c>
      <c r="BT45" s="1"/>
      <c r="BU45" s="1" t="str">
        <f>HYPERLINK("https://nconnect.nicmar.ac.in/storage/profile/ProfilePhoto_P25700018_349268.jpg","Download")</f>
        <v>0</v>
      </c>
      <c r="BV45" s="3"/>
      <c r="BW45" s="3"/>
    </row>
    <row r="46" spans="1:75">
      <c r="A46" s="1" t="s">
        <v>75</v>
      </c>
      <c r="B46" s="1" t="s">
        <v>446</v>
      </c>
      <c r="C46" s="1" t="s">
        <v>1176</v>
      </c>
      <c r="D46" s="1" t="s">
        <v>1177</v>
      </c>
      <c r="E46" s="1" t="s">
        <v>1178</v>
      </c>
      <c r="F46" s="1" t="s">
        <v>1179</v>
      </c>
      <c r="G46" s="1" t="s">
        <v>1180</v>
      </c>
      <c r="H46" s="1" t="s">
        <v>1181</v>
      </c>
      <c r="I46" s="1" t="s">
        <v>1182</v>
      </c>
      <c r="J46" s="1">
        <v>7385339761</v>
      </c>
      <c r="K46" s="1" t="s">
        <v>84</v>
      </c>
      <c r="L46" s="1" t="s">
        <v>1183</v>
      </c>
      <c r="M46" s="1" t="s">
        <v>86</v>
      </c>
      <c r="N46" s="1" t="s">
        <v>1184</v>
      </c>
      <c r="O46" s="1"/>
      <c r="P46" s="1" t="s">
        <v>455</v>
      </c>
      <c r="Q46" s="1" t="s">
        <v>1185</v>
      </c>
      <c r="R46" s="1" t="s">
        <v>1186</v>
      </c>
      <c r="S46" s="1">
        <v>9004969014</v>
      </c>
      <c r="T46" s="1" t="s">
        <v>839</v>
      </c>
      <c r="U46" s="1" t="s">
        <v>1187</v>
      </c>
      <c r="V46" s="1">
        <v>9004969014</v>
      </c>
      <c r="W46" s="1" t="s">
        <v>161</v>
      </c>
      <c r="X46" s="1" t="s">
        <v>1188</v>
      </c>
      <c r="Y46" s="1" t="s">
        <v>1189</v>
      </c>
      <c r="Z46" s="1" t="s">
        <v>97</v>
      </c>
      <c r="AA46" s="1" t="s">
        <v>1188</v>
      </c>
      <c r="AB46" s="1" t="s">
        <v>1189</v>
      </c>
      <c r="AC46" s="1" t="s">
        <v>97</v>
      </c>
      <c r="AD46" s="1">
        <v>8.44</v>
      </c>
      <c r="AE46" s="1" t="s">
        <v>98</v>
      </c>
      <c r="AF46" s="1" t="s">
        <v>1190</v>
      </c>
      <c r="AG46" s="1" t="s">
        <v>629</v>
      </c>
      <c r="AH46" s="1" t="s">
        <v>286</v>
      </c>
      <c r="AI46" s="1" t="s">
        <v>414</v>
      </c>
      <c r="AJ46" s="1">
        <v>73.4</v>
      </c>
      <c r="AK46" s="1"/>
      <c r="AL46" s="1" t="s">
        <v>1191</v>
      </c>
      <c r="AM46" s="1" t="s">
        <v>629</v>
      </c>
      <c r="AN46" s="1" t="s">
        <v>575</v>
      </c>
      <c r="AO46" s="1" t="s">
        <v>603</v>
      </c>
      <c r="AP46" s="1" t="s">
        <v>1192</v>
      </c>
      <c r="AQ46" s="1">
        <v>86.83</v>
      </c>
      <c r="AR46" s="1"/>
      <c r="AS46" s="1"/>
      <c r="AT46" s="1"/>
      <c r="AU46" s="1"/>
      <c r="AV46" s="1"/>
      <c r="AW46" s="1"/>
      <c r="AX46" s="1"/>
      <c r="AY46" s="1" t="s">
        <v>258</v>
      </c>
      <c r="AZ46" s="1" t="s">
        <v>1193</v>
      </c>
      <c r="BA46" s="1" t="s">
        <v>578</v>
      </c>
      <c r="BB46" s="1" t="s">
        <v>467</v>
      </c>
      <c r="BC46" s="1" t="s">
        <v>1192</v>
      </c>
      <c r="BD46" s="1" t="s">
        <v>553</v>
      </c>
      <c r="BE46" s="1">
        <v>69.18</v>
      </c>
      <c r="BF46" s="1">
        <v>7.67</v>
      </c>
      <c r="BG46" s="1"/>
      <c r="BH46" s="1"/>
      <c r="BI46" s="1"/>
      <c r="BJ46" s="1"/>
      <c r="BK46" s="1"/>
      <c r="BL46" s="1"/>
      <c r="BM46" s="1"/>
      <c r="BN46" s="1"/>
      <c r="BO46" s="1" t="s">
        <v>260</v>
      </c>
      <c r="BP46" s="1"/>
      <c r="BQ46" s="1"/>
      <c r="BR46" s="1" t="s">
        <v>1194</v>
      </c>
      <c r="BS46" s="1">
        <v>21</v>
      </c>
      <c r="BT46" s="1" t="s">
        <v>1195</v>
      </c>
      <c r="BU46" s="1" t="str">
        <f>HYPERLINK("https://nconnect.nicmar.ac.in/storage/profile/ProfilePhoto_P25700019_693821.jpg","Download")</f>
        <v>0</v>
      </c>
      <c r="BV46" s="3"/>
      <c r="BW46" s="3"/>
    </row>
    <row r="47" spans="1:75">
      <c r="A47" s="1" t="s">
        <v>75</v>
      </c>
      <c r="B47" s="1" t="s">
        <v>446</v>
      </c>
      <c r="C47" s="1" t="s">
        <v>1196</v>
      </c>
      <c r="D47" s="1" t="s">
        <v>1197</v>
      </c>
      <c r="E47" s="1"/>
      <c r="F47" s="1" t="s">
        <v>1198</v>
      </c>
      <c r="G47" s="1" t="s">
        <v>1199</v>
      </c>
      <c r="H47" s="1" t="s">
        <v>1200</v>
      </c>
      <c r="I47" s="1" t="s">
        <v>1201</v>
      </c>
      <c r="J47" s="1">
        <v>7975576963</v>
      </c>
      <c r="K47" s="1" t="s">
        <v>153</v>
      </c>
      <c r="L47" s="1" t="s">
        <v>1202</v>
      </c>
      <c r="M47" s="1" t="s">
        <v>86</v>
      </c>
      <c r="N47" s="1" t="s">
        <v>1203</v>
      </c>
      <c r="O47" s="1"/>
      <c r="P47" s="1" t="s">
        <v>455</v>
      </c>
      <c r="Q47" s="1" t="s">
        <v>1204</v>
      </c>
      <c r="R47" s="1" t="s">
        <v>1205</v>
      </c>
      <c r="S47" s="1">
        <v>9986859394</v>
      </c>
      <c r="T47" s="1" t="s">
        <v>1206</v>
      </c>
      <c r="U47" s="1" t="s">
        <v>1207</v>
      </c>
      <c r="V47" s="1">
        <v>9916281122</v>
      </c>
      <c r="W47" s="1" t="s">
        <v>541</v>
      </c>
      <c r="X47" s="1" t="s">
        <v>1208</v>
      </c>
      <c r="Y47" s="1" t="s">
        <v>1209</v>
      </c>
      <c r="Z47" s="1" t="s">
        <v>1210</v>
      </c>
      <c r="AA47" s="1" t="s">
        <v>1208</v>
      </c>
      <c r="AB47" s="1" t="s">
        <v>1209</v>
      </c>
      <c r="AC47" s="1" t="s">
        <v>1210</v>
      </c>
      <c r="AD47" s="1">
        <v>8.31</v>
      </c>
      <c r="AE47" s="1" t="s">
        <v>98</v>
      </c>
      <c r="AF47" s="1" t="s">
        <v>1211</v>
      </c>
      <c r="AG47" s="1" t="s">
        <v>1212</v>
      </c>
      <c r="AH47" s="1" t="s">
        <v>1213</v>
      </c>
      <c r="AI47" s="1" t="s">
        <v>1214</v>
      </c>
      <c r="AJ47" s="1">
        <v>92.32</v>
      </c>
      <c r="AK47" s="1">
        <v>9.71</v>
      </c>
      <c r="AL47" s="1" t="s">
        <v>1215</v>
      </c>
      <c r="AM47" s="1" t="s">
        <v>1216</v>
      </c>
      <c r="AN47" s="1" t="s">
        <v>575</v>
      </c>
      <c r="AO47" s="1" t="s">
        <v>1110</v>
      </c>
      <c r="AP47" s="1" t="s">
        <v>627</v>
      </c>
      <c r="AQ47" s="1">
        <v>82.34</v>
      </c>
      <c r="AR47" s="1">
        <v>8.66</v>
      </c>
      <c r="AS47" s="1"/>
      <c r="AT47" s="1"/>
      <c r="AU47" s="1"/>
      <c r="AV47" s="1"/>
      <c r="AW47" s="1"/>
      <c r="AX47" s="1"/>
      <c r="AY47" s="1" t="s">
        <v>1217</v>
      </c>
      <c r="AZ47" s="1" t="s">
        <v>1218</v>
      </c>
      <c r="BA47" s="1" t="s">
        <v>578</v>
      </c>
      <c r="BB47" s="1" t="s">
        <v>467</v>
      </c>
      <c r="BC47" s="1" t="s">
        <v>139</v>
      </c>
      <c r="BD47" s="1" t="s">
        <v>1040</v>
      </c>
      <c r="BE47" s="1">
        <v>65.3</v>
      </c>
      <c r="BF47" s="1">
        <v>7.28</v>
      </c>
      <c r="BG47" s="1"/>
      <c r="BH47" s="1"/>
      <c r="BI47" s="1"/>
      <c r="BJ47" s="1"/>
      <c r="BK47" s="1"/>
      <c r="BL47" s="1"/>
      <c r="BM47" s="1"/>
      <c r="BN47" s="1"/>
      <c r="BO47" s="1" t="s">
        <v>1219</v>
      </c>
      <c r="BP47" s="1"/>
      <c r="BQ47" s="1"/>
      <c r="BR47" s="1" t="s">
        <v>1220</v>
      </c>
      <c r="BS47" s="1">
        <v>99</v>
      </c>
      <c r="BT47" s="1"/>
      <c r="BU47" s="1" t="str">
        <f>HYPERLINK("https://nconnect.nicmar.ac.in/storage/profile/ProfilePhoto_P25700020_954273.jpg","Download")</f>
        <v>0</v>
      </c>
      <c r="BV47" s="3"/>
      <c r="BW47" s="3"/>
    </row>
    <row r="48" spans="1:75">
      <c r="A48" s="1" t="s">
        <v>75</v>
      </c>
      <c r="B48" s="1" t="s">
        <v>446</v>
      </c>
      <c r="C48" s="1" t="s">
        <v>1221</v>
      </c>
      <c r="D48" s="1" t="s">
        <v>1222</v>
      </c>
      <c r="E48" s="1"/>
      <c r="F48" s="1" t="s">
        <v>1223</v>
      </c>
      <c r="G48" s="1" t="s">
        <v>1224</v>
      </c>
      <c r="H48" s="1" t="s">
        <v>1225</v>
      </c>
      <c r="I48" s="1" t="s">
        <v>1226</v>
      </c>
      <c r="J48" s="1">
        <v>7003977682</v>
      </c>
      <c r="K48" s="1" t="s">
        <v>84</v>
      </c>
      <c r="L48" s="1" t="s">
        <v>1227</v>
      </c>
      <c r="M48" s="1" t="s">
        <v>86</v>
      </c>
      <c r="N48" s="1" t="s">
        <v>1228</v>
      </c>
      <c r="O48" s="1"/>
      <c r="P48" s="1" t="s">
        <v>507</v>
      </c>
      <c r="Q48" s="1" t="s">
        <v>1229</v>
      </c>
      <c r="R48" s="1" t="s">
        <v>1230</v>
      </c>
      <c r="S48" s="1">
        <v>9874494195</v>
      </c>
      <c r="T48" s="1" t="s">
        <v>839</v>
      </c>
      <c r="U48" s="1" t="s">
        <v>1231</v>
      </c>
      <c r="V48" s="1">
        <v>7686960438</v>
      </c>
      <c r="W48" s="1" t="s">
        <v>161</v>
      </c>
      <c r="X48" s="1" t="s">
        <v>1232</v>
      </c>
      <c r="Y48" s="1" t="s">
        <v>1233</v>
      </c>
      <c r="Z48" s="1" t="s">
        <v>1234</v>
      </c>
      <c r="AA48" s="1" t="s">
        <v>1232</v>
      </c>
      <c r="AB48" s="1" t="s">
        <v>1233</v>
      </c>
      <c r="AC48" s="1" t="s">
        <v>1234</v>
      </c>
      <c r="AD48" s="1">
        <v>8.69</v>
      </c>
      <c r="AE48" s="1" t="s">
        <v>98</v>
      </c>
      <c r="AF48" s="1" t="s">
        <v>1235</v>
      </c>
      <c r="AG48" s="1" t="s">
        <v>1236</v>
      </c>
      <c r="AH48" s="1" t="s">
        <v>1237</v>
      </c>
      <c r="AI48" s="1" t="s">
        <v>627</v>
      </c>
      <c r="AJ48" s="1">
        <v>85</v>
      </c>
      <c r="AK48" s="1"/>
      <c r="AL48" s="1" t="s">
        <v>1235</v>
      </c>
      <c r="AM48" s="1" t="s">
        <v>1238</v>
      </c>
      <c r="AN48" s="1" t="s">
        <v>575</v>
      </c>
      <c r="AO48" s="1" t="s">
        <v>573</v>
      </c>
      <c r="AP48" s="1" t="s">
        <v>106</v>
      </c>
      <c r="AQ48" s="1">
        <v>72.4</v>
      </c>
      <c r="AR48" s="1"/>
      <c r="AS48" s="1" t="s">
        <v>439</v>
      </c>
      <c r="AT48" s="1" t="s">
        <v>1239</v>
      </c>
      <c r="AU48" s="1" t="s">
        <v>1065</v>
      </c>
      <c r="AV48" s="1" t="s">
        <v>552</v>
      </c>
      <c r="AW48" s="1">
        <v>84.7</v>
      </c>
      <c r="AX48" s="1"/>
      <c r="AY48" s="1" t="s">
        <v>1240</v>
      </c>
      <c r="AZ48" s="1" t="s">
        <v>1241</v>
      </c>
      <c r="BA48" s="1" t="s">
        <v>466</v>
      </c>
      <c r="BB48" s="1" t="s">
        <v>467</v>
      </c>
      <c r="BC48" s="1" t="s">
        <v>552</v>
      </c>
      <c r="BD48" s="1" t="s">
        <v>1242</v>
      </c>
      <c r="BE48" s="1">
        <v>84</v>
      </c>
      <c r="BF48" s="1"/>
      <c r="BG48" s="1"/>
      <c r="BH48" s="1"/>
      <c r="BI48" s="1"/>
      <c r="BJ48" s="1"/>
      <c r="BK48" s="1"/>
      <c r="BL48" s="1"/>
      <c r="BM48" s="1"/>
      <c r="BN48" s="1"/>
      <c r="BO48" s="1" t="s">
        <v>1243</v>
      </c>
      <c r="BP48" s="1"/>
      <c r="BQ48" s="1"/>
      <c r="BR48" s="1" t="s">
        <v>1244</v>
      </c>
      <c r="BS48" s="1">
        <v>13</v>
      </c>
      <c r="BT48" s="1" t="s">
        <v>1245</v>
      </c>
      <c r="BU48" s="1" t="str">
        <f>HYPERLINK("https://nconnect.nicmar.ac.in/storage/profile/ProfilePhoto_P25700021_349526.jpg","Download")</f>
        <v>0</v>
      </c>
      <c r="BV48" s="3"/>
      <c r="BW48" s="3"/>
    </row>
    <row r="49" spans="1:75">
      <c r="A49" s="1" t="s">
        <v>75</v>
      </c>
      <c r="B49" s="1" t="s">
        <v>446</v>
      </c>
      <c r="C49" s="1" t="s">
        <v>1246</v>
      </c>
      <c r="D49" s="1" t="s">
        <v>1247</v>
      </c>
      <c r="E49" s="1" t="s">
        <v>1248</v>
      </c>
      <c r="F49" s="1" t="s">
        <v>1249</v>
      </c>
      <c r="G49" s="1" t="s">
        <v>1250</v>
      </c>
      <c r="H49" s="1" t="s">
        <v>1251</v>
      </c>
      <c r="I49" s="1" t="s">
        <v>1252</v>
      </c>
      <c r="J49" s="1">
        <v>8895290519</v>
      </c>
      <c r="K49" s="1" t="s">
        <v>84</v>
      </c>
      <c r="L49" s="1" t="s">
        <v>1253</v>
      </c>
      <c r="M49" s="1" t="s">
        <v>86</v>
      </c>
      <c r="N49" s="1" t="s">
        <v>881</v>
      </c>
      <c r="O49" s="1"/>
      <c r="P49" s="1" t="s">
        <v>481</v>
      </c>
      <c r="Q49" s="1" t="s">
        <v>1254</v>
      </c>
      <c r="R49" s="1" t="s">
        <v>1255</v>
      </c>
      <c r="S49" s="1">
        <v>7978767607</v>
      </c>
      <c r="T49" s="1" t="s">
        <v>839</v>
      </c>
      <c r="U49" s="1" t="s">
        <v>1256</v>
      </c>
      <c r="V49" s="1">
        <v>9437190177</v>
      </c>
      <c r="W49" s="1" t="s">
        <v>1257</v>
      </c>
      <c r="X49" s="1" t="s">
        <v>1258</v>
      </c>
      <c r="Y49" s="1" t="s">
        <v>1259</v>
      </c>
      <c r="Z49" s="1" t="s">
        <v>865</v>
      </c>
      <c r="AA49" s="1" t="s">
        <v>1258</v>
      </c>
      <c r="AB49" s="1" t="s">
        <v>1259</v>
      </c>
      <c r="AC49" s="1" t="s">
        <v>865</v>
      </c>
      <c r="AD49" s="1">
        <v>8.03</v>
      </c>
      <c r="AE49" s="1" t="s">
        <v>98</v>
      </c>
      <c r="AF49" s="1" t="s">
        <v>1260</v>
      </c>
      <c r="AG49" s="1" t="s">
        <v>1261</v>
      </c>
      <c r="AH49" s="1" t="s">
        <v>1262</v>
      </c>
      <c r="AI49" s="1" t="s">
        <v>136</v>
      </c>
      <c r="AJ49" s="1">
        <v>85.5</v>
      </c>
      <c r="AK49" s="1">
        <v>9</v>
      </c>
      <c r="AL49" s="1" t="s">
        <v>1263</v>
      </c>
      <c r="AM49" s="1" t="s">
        <v>1261</v>
      </c>
      <c r="AN49" s="1" t="s">
        <v>575</v>
      </c>
      <c r="AO49" s="1" t="s">
        <v>627</v>
      </c>
      <c r="AP49" s="1" t="s">
        <v>573</v>
      </c>
      <c r="AQ49" s="1">
        <v>73.4</v>
      </c>
      <c r="AR49" s="1"/>
      <c r="AS49" s="1"/>
      <c r="AT49" s="1"/>
      <c r="AU49" s="1"/>
      <c r="AV49" s="1"/>
      <c r="AW49" s="1"/>
      <c r="AX49" s="1"/>
      <c r="AY49" s="1" t="s">
        <v>1264</v>
      </c>
      <c r="AZ49" s="1" t="s">
        <v>1265</v>
      </c>
      <c r="BA49" s="1" t="s">
        <v>466</v>
      </c>
      <c r="BB49" s="1" t="s">
        <v>467</v>
      </c>
      <c r="BC49" s="1" t="s">
        <v>174</v>
      </c>
      <c r="BD49" s="1" t="s">
        <v>632</v>
      </c>
      <c r="BE49" s="1">
        <v>79.5</v>
      </c>
      <c r="BF49" s="1">
        <v>8.45</v>
      </c>
      <c r="BG49" s="1" t="s">
        <v>1266</v>
      </c>
      <c r="BH49" s="1" t="s">
        <v>1062</v>
      </c>
      <c r="BI49" s="1"/>
      <c r="BJ49" s="1"/>
      <c r="BK49" s="1" t="s">
        <v>1267</v>
      </c>
      <c r="BL49" s="1" t="s">
        <v>1268</v>
      </c>
      <c r="BM49" s="1">
        <v>50</v>
      </c>
      <c r="BN49" s="1"/>
      <c r="BO49" s="1" t="s">
        <v>1269</v>
      </c>
      <c r="BP49" s="1"/>
      <c r="BQ49" s="1"/>
      <c r="BR49" s="1" t="s">
        <v>1270</v>
      </c>
      <c r="BS49" s="1">
        <v>48</v>
      </c>
      <c r="BT49" s="1" t="s">
        <v>1271</v>
      </c>
      <c r="BU49" s="1" t="str">
        <f>HYPERLINK("https://nconnect.nicmar.ac.in/storage/profile/ProfilePhoto_P25700022_164257.jpg","Download")</f>
        <v>0</v>
      </c>
      <c r="BV49" s="3"/>
      <c r="BW49" s="3"/>
    </row>
    <row r="50" spans="1:75">
      <c r="A50" s="1" t="s">
        <v>75</v>
      </c>
      <c r="B50" s="1" t="s">
        <v>446</v>
      </c>
      <c r="C50" s="1" t="s">
        <v>1272</v>
      </c>
      <c r="D50" s="1" t="s">
        <v>1273</v>
      </c>
      <c r="E50" s="1"/>
      <c r="F50" s="1" t="s">
        <v>1274</v>
      </c>
      <c r="G50" s="1" t="s">
        <v>1275</v>
      </c>
      <c r="H50" s="1" t="s">
        <v>1276</v>
      </c>
      <c r="I50" s="1" t="s">
        <v>1277</v>
      </c>
      <c r="J50" s="1">
        <v>9207286609</v>
      </c>
      <c r="K50" s="1" t="s">
        <v>84</v>
      </c>
      <c r="L50" s="1" t="s">
        <v>1278</v>
      </c>
      <c r="M50" s="1" t="s">
        <v>86</v>
      </c>
      <c r="N50" s="1" t="s">
        <v>592</v>
      </c>
      <c r="O50" s="1"/>
      <c r="P50" s="1" t="s">
        <v>455</v>
      </c>
      <c r="Q50" s="1" t="s">
        <v>1279</v>
      </c>
      <c r="R50" s="1" t="s">
        <v>1280</v>
      </c>
      <c r="S50" s="1">
        <v>9496155865</v>
      </c>
      <c r="T50" s="1" t="s">
        <v>125</v>
      </c>
      <c r="U50" s="1" t="s">
        <v>1281</v>
      </c>
      <c r="V50" s="1">
        <v>9400636849</v>
      </c>
      <c r="W50" s="1" t="s">
        <v>125</v>
      </c>
      <c r="X50" s="1" t="s">
        <v>1282</v>
      </c>
      <c r="Y50" s="1" t="s">
        <v>1283</v>
      </c>
      <c r="Z50" s="1" t="s">
        <v>130</v>
      </c>
      <c r="AA50" s="1" t="s">
        <v>1282</v>
      </c>
      <c r="AB50" s="1" t="s">
        <v>1283</v>
      </c>
      <c r="AC50" s="1" t="s">
        <v>130</v>
      </c>
      <c r="AD50" s="1">
        <v>8.62</v>
      </c>
      <c r="AE50" s="1" t="s">
        <v>98</v>
      </c>
      <c r="AF50" s="1" t="s">
        <v>1284</v>
      </c>
      <c r="AG50" s="1" t="s">
        <v>601</v>
      </c>
      <c r="AH50" s="1" t="s">
        <v>167</v>
      </c>
      <c r="AI50" s="1" t="s">
        <v>200</v>
      </c>
      <c r="AJ50" s="1">
        <v>94</v>
      </c>
      <c r="AK50" s="1">
        <v>9</v>
      </c>
      <c r="AL50" s="1" t="s">
        <v>1285</v>
      </c>
      <c r="AM50" s="1" t="s">
        <v>1286</v>
      </c>
      <c r="AN50" s="1"/>
      <c r="AO50" s="1" t="s">
        <v>106</v>
      </c>
      <c r="AP50" s="1" t="s">
        <v>414</v>
      </c>
      <c r="AQ50" s="1">
        <v>92.33</v>
      </c>
      <c r="AR50" s="1"/>
      <c r="AS50" s="1"/>
      <c r="AT50" s="1"/>
      <c r="AU50" s="1"/>
      <c r="AV50" s="1"/>
      <c r="AW50" s="1"/>
      <c r="AX50" s="1"/>
      <c r="AY50" s="1" t="s">
        <v>1287</v>
      </c>
      <c r="AZ50" s="1" t="s">
        <v>1288</v>
      </c>
      <c r="BA50" s="1"/>
      <c r="BB50" s="1"/>
      <c r="BC50" s="1" t="s">
        <v>206</v>
      </c>
      <c r="BD50" s="1" t="s">
        <v>391</v>
      </c>
      <c r="BE50" s="1">
        <v>82</v>
      </c>
      <c r="BF50" s="1">
        <v>8.2</v>
      </c>
      <c r="BG50" s="1"/>
      <c r="BH50" s="1"/>
      <c r="BI50" s="1"/>
      <c r="BJ50" s="1"/>
      <c r="BK50" s="1"/>
      <c r="BL50" s="1"/>
      <c r="BM50" s="1"/>
      <c r="BN50" s="1"/>
      <c r="BO50" s="1" t="s">
        <v>1289</v>
      </c>
      <c r="BP50" s="1" t="s">
        <v>1290</v>
      </c>
      <c r="BQ50" s="1" t="s">
        <v>1070</v>
      </c>
      <c r="BR50" s="1" t="s">
        <v>1291</v>
      </c>
      <c r="BS50" s="1">
        <v>55</v>
      </c>
      <c r="BT50" s="1" t="s">
        <v>1292</v>
      </c>
      <c r="BU50" s="1" t="str">
        <f>HYPERLINK("https://nconnect.nicmar.ac.in/storage/profile/ProfilePhoto_P25700023_836724.jpg","Download")</f>
        <v>0</v>
      </c>
      <c r="BV50" s="3"/>
      <c r="BW50" s="3"/>
    </row>
    <row r="51" spans="1:75">
      <c r="A51" s="1" t="s">
        <v>75</v>
      </c>
      <c r="B51" s="1" t="s">
        <v>446</v>
      </c>
      <c r="C51" s="1" t="s">
        <v>1293</v>
      </c>
      <c r="D51" s="1" t="s">
        <v>1294</v>
      </c>
      <c r="E51" s="1" t="s">
        <v>1295</v>
      </c>
      <c r="F51" s="1" t="s">
        <v>457</v>
      </c>
      <c r="G51" s="1" t="s">
        <v>1296</v>
      </c>
      <c r="H51" s="1" t="s">
        <v>1297</v>
      </c>
      <c r="I51" s="1" t="s">
        <v>1298</v>
      </c>
      <c r="J51" s="1">
        <v>9747558878</v>
      </c>
      <c r="K51" s="1" t="s">
        <v>84</v>
      </c>
      <c r="L51" s="1" t="s">
        <v>1299</v>
      </c>
      <c r="M51" s="1" t="s">
        <v>86</v>
      </c>
      <c r="N51" s="1" t="s">
        <v>1300</v>
      </c>
      <c r="O51" s="1" t="s">
        <v>1301</v>
      </c>
      <c r="P51" s="1" t="s">
        <v>89</v>
      </c>
      <c r="Q51" s="1" t="s">
        <v>1302</v>
      </c>
      <c r="R51" s="1" t="s">
        <v>1303</v>
      </c>
      <c r="S51" s="1">
        <v>9446519121</v>
      </c>
      <c r="T51" s="1" t="s">
        <v>1304</v>
      </c>
      <c r="U51" s="1" t="s">
        <v>1305</v>
      </c>
      <c r="V51" s="1">
        <v>9447619121</v>
      </c>
      <c r="W51" s="1" t="s">
        <v>278</v>
      </c>
      <c r="X51" s="1" t="s">
        <v>1306</v>
      </c>
      <c r="Y51" s="1" t="s">
        <v>1307</v>
      </c>
      <c r="Z51" s="1" t="s">
        <v>130</v>
      </c>
      <c r="AA51" s="1" t="s">
        <v>1308</v>
      </c>
      <c r="AB51" s="1" t="s">
        <v>1307</v>
      </c>
      <c r="AC51" s="1" t="s">
        <v>130</v>
      </c>
      <c r="AD51" s="1">
        <v>8.56</v>
      </c>
      <c r="AE51" s="1" t="s">
        <v>98</v>
      </c>
      <c r="AF51" s="1" t="s">
        <v>1309</v>
      </c>
      <c r="AG51" s="1" t="s">
        <v>1310</v>
      </c>
      <c r="AH51" s="1" t="s">
        <v>170</v>
      </c>
      <c r="AI51" s="1" t="s">
        <v>286</v>
      </c>
      <c r="AJ51" s="1">
        <v>73</v>
      </c>
      <c r="AK51" s="1"/>
      <c r="AL51" s="1" t="s">
        <v>1311</v>
      </c>
      <c r="AM51" s="1" t="s">
        <v>1312</v>
      </c>
      <c r="AN51" s="1" t="s">
        <v>575</v>
      </c>
      <c r="AO51" s="1" t="s">
        <v>315</v>
      </c>
      <c r="AP51" s="1" t="s">
        <v>417</v>
      </c>
      <c r="AQ51" s="1">
        <v>76.6</v>
      </c>
      <c r="AR51" s="1"/>
      <c r="AS51" s="1"/>
      <c r="AT51" s="1"/>
      <c r="AU51" s="1"/>
      <c r="AV51" s="1"/>
      <c r="AW51" s="1"/>
      <c r="AX51" s="1"/>
      <c r="AY51" s="1" t="s">
        <v>137</v>
      </c>
      <c r="AZ51" s="1" t="s">
        <v>1313</v>
      </c>
      <c r="BA51" s="1" t="s">
        <v>466</v>
      </c>
      <c r="BB51" s="1" t="s">
        <v>467</v>
      </c>
      <c r="BC51" s="1" t="s">
        <v>178</v>
      </c>
      <c r="BD51" s="1" t="s">
        <v>1314</v>
      </c>
      <c r="BE51" s="1">
        <v>77.8</v>
      </c>
      <c r="BF51" s="1">
        <v>7.78</v>
      </c>
      <c r="BG51" s="1"/>
      <c r="BH51" s="1"/>
      <c r="BI51" s="1"/>
      <c r="BJ51" s="1"/>
      <c r="BK51" s="1"/>
      <c r="BL51" s="1"/>
      <c r="BM51" s="1"/>
      <c r="BN51" s="1"/>
      <c r="BO51" s="1" t="s">
        <v>1315</v>
      </c>
      <c r="BP51" s="1"/>
      <c r="BQ51" s="1"/>
      <c r="BR51" s="1" t="s">
        <v>1316</v>
      </c>
      <c r="BS51" s="1">
        <v>13</v>
      </c>
      <c r="BT51" s="1" t="s">
        <v>1317</v>
      </c>
      <c r="BU51" s="1" t="str">
        <f>HYPERLINK("https://nconnect.nicmar.ac.in/storage/profile/ProfilePhoto_P25700024_183579.jpg","Download")</f>
        <v>0</v>
      </c>
      <c r="BV51" s="3"/>
      <c r="BW51" s="3"/>
    </row>
    <row r="52" spans="1:75">
      <c r="A52" s="1" t="s">
        <v>75</v>
      </c>
      <c r="B52" s="1" t="s">
        <v>446</v>
      </c>
      <c r="C52" s="1" t="s">
        <v>1318</v>
      </c>
      <c r="D52" s="1" t="s">
        <v>1319</v>
      </c>
      <c r="E52" s="1" t="s">
        <v>1320</v>
      </c>
      <c r="F52" s="1" t="s">
        <v>1321</v>
      </c>
      <c r="G52" s="1" t="s">
        <v>1322</v>
      </c>
      <c r="H52" s="1" t="s">
        <v>1323</v>
      </c>
      <c r="I52" s="1" t="s">
        <v>1324</v>
      </c>
      <c r="J52" s="1">
        <v>7488920327</v>
      </c>
      <c r="K52" s="1" t="s">
        <v>84</v>
      </c>
      <c r="L52" s="1" t="s">
        <v>1325</v>
      </c>
      <c r="M52" s="1" t="s">
        <v>86</v>
      </c>
      <c r="N52" s="1" t="s">
        <v>355</v>
      </c>
      <c r="O52" s="1"/>
      <c r="P52" s="1" t="s">
        <v>455</v>
      </c>
      <c r="Q52" s="1" t="s">
        <v>1326</v>
      </c>
      <c r="R52" s="1" t="s">
        <v>1327</v>
      </c>
      <c r="S52" s="1">
        <v>9472959639</v>
      </c>
      <c r="T52" s="1" t="s">
        <v>221</v>
      </c>
      <c r="U52" s="1" t="s">
        <v>1328</v>
      </c>
      <c r="V52" s="1">
        <v>7277669632</v>
      </c>
      <c r="W52" s="1" t="s">
        <v>161</v>
      </c>
      <c r="X52" s="1" t="s">
        <v>1329</v>
      </c>
      <c r="Y52" s="1" t="s">
        <v>648</v>
      </c>
      <c r="Z52" s="1" t="s">
        <v>649</v>
      </c>
      <c r="AA52" s="1" t="s">
        <v>1329</v>
      </c>
      <c r="AB52" s="1" t="s">
        <v>648</v>
      </c>
      <c r="AC52" s="1" t="s">
        <v>649</v>
      </c>
      <c r="AD52" s="1">
        <v>7.79</v>
      </c>
      <c r="AE52" s="1" t="s">
        <v>98</v>
      </c>
      <c r="AF52" s="1" t="s">
        <v>1330</v>
      </c>
      <c r="AG52" s="1" t="s">
        <v>1331</v>
      </c>
      <c r="AH52" s="1" t="s">
        <v>704</v>
      </c>
      <c r="AI52" s="1" t="s">
        <v>171</v>
      </c>
      <c r="AJ52" s="1">
        <v>67.6</v>
      </c>
      <c r="AK52" s="1"/>
      <c r="AL52" s="1" t="s">
        <v>1332</v>
      </c>
      <c r="AM52" s="1" t="s">
        <v>1331</v>
      </c>
      <c r="AN52" s="1" t="s">
        <v>465</v>
      </c>
      <c r="AO52" s="1" t="s">
        <v>106</v>
      </c>
      <c r="AP52" s="1" t="s">
        <v>178</v>
      </c>
      <c r="AQ52" s="1">
        <v>70.8</v>
      </c>
      <c r="AR52" s="1"/>
      <c r="AS52" s="1"/>
      <c r="AT52" s="1"/>
      <c r="AU52" s="1"/>
      <c r="AV52" s="1"/>
      <c r="AW52" s="1"/>
      <c r="AX52" s="1"/>
      <c r="AY52" s="1" t="s">
        <v>1333</v>
      </c>
      <c r="AZ52" s="1" t="s">
        <v>1334</v>
      </c>
      <c r="BA52" s="1" t="s">
        <v>466</v>
      </c>
      <c r="BB52" s="1" t="s">
        <v>467</v>
      </c>
      <c r="BC52" s="1" t="s">
        <v>890</v>
      </c>
      <c r="BD52" s="1" t="s">
        <v>418</v>
      </c>
      <c r="BE52" s="1">
        <v>84.3</v>
      </c>
      <c r="BF52" s="1">
        <v>8.43</v>
      </c>
      <c r="BG52" s="1"/>
      <c r="BH52" s="1"/>
      <c r="BI52" s="1"/>
      <c r="BJ52" s="1"/>
      <c r="BK52" s="1"/>
      <c r="BL52" s="1"/>
      <c r="BM52" s="1"/>
      <c r="BN52" s="1"/>
      <c r="BO52" s="1" t="s">
        <v>1114</v>
      </c>
      <c r="BP52" s="1"/>
      <c r="BQ52" s="1"/>
      <c r="BR52" s="1" t="s">
        <v>1335</v>
      </c>
      <c r="BS52" s="1">
        <v>18</v>
      </c>
      <c r="BT52" s="1"/>
      <c r="BU52" s="1" t="str">
        <f>HYPERLINK("https://nconnect.nicmar.ac.in/storage/profile/ProfilePhoto_P25700026_164829.jpg","Download")</f>
        <v>0</v>
      </c>
      <c r="BV52" s="3"/>
      <c r="BW52" s="3"/>
    </row>
    <row r="53" spans="1:75">
      <c r="A53" s="1" t="s">
        <v>75</v>
      </c>
      <c r="B53" s="1" t="s">
        <v>446</v>
      </c>
      <c r="C53" s="1" t="s">
        <v>1336</v>
      </c>
      <c r="D53" s="1" t="s">
        <v>1337</v>
      </c>
      <c r="E53" s="1"/>
      <c r="F53" s="1" t="s">
        <v>1338</v>
      </c>
      <c r="G53" s="1" t="s">
        <v>1339</v>
      </c>
      <c r="H53" s="1" t="s">
        <v>1340</v>
      </c>
      <c r="I53" s="1" t="s">
        <v>1341</v>
      </c>
      <c r="J53" s="1">
        <v>8660484703</v>
      </c>
      <c r="K53" s="1" t="s">
        <v>84</v>
      </c>
      <c r="L53" s="1" t="s">
        <v>1342</v>
      </c>
      <c r="M53" s="1" t="s">
        <v>86</v>
      </c>
      <c r="N53" s="1" t="s">
        <v>1343</v>
      </c>
      <c r="O53" s="1"/>
      <c r="P53" s="1" t="s">
        <v>481</v>
      </c>
      <c r="Q53" s="1" t="s">
        <v>1344</v>
      </c>
      <c r="R53" s="1" t="s">
        <v>1345</v>
      </c>
      <c r="S53" s="1">
        <v>8867120724</v>
      </c>
      <c r="T53" s="1" t="s">
        <v>1346</v>
      </c>
      <c r="U53" s="1" t="s">
        <v>1347</v>
      </c>
      <c r="V53" s="1">
        <v>9448341389</v>
      </c>
      <c r="W53" s="1" t="s">
        <v>278</v>
      </c>
      <c r="X53" s="1" t="s">
        <v>1348</v>
      </c>
      <c r="Y53" s="1" t="s">
        <v>1349</v>
      </c>
      <c r="Z53" s="1" t="s">
        <v>1210</v>
      </c>
      <c r="AA53" s="1" t="s">
        <v>1350</v>
      </c>
      <c r="AB53" s="1" t="s">
        <v>1349</v>
      </c>
      <c r="AC53" s="1" t="s">
        <v>1210</v>
      </c>
      <c r="AD53" s="1">
        <v>8.95</v>
      </c>
      <c r="AE53" s="1" t="s">
        <v>98</v>
      </c>
      <c r="AF53" s="1" t="s">
        <v>1351</v>
      </c>
      <c r="AG53" s="1" t="s">
        <v>1352</v>
      </c>
      <c r="AH53" s="1" t="s">
        <v>167</v>
      </c>
      <c r="AI53" s="1" t="s">
        <v>170</v>
      </c>
      <c r="AJ53" s="1">
        <v>95</v>
      </c>
      <c r="AK53" s="1">
        <v>10</v>
      </c>
      <c r="AL53" s="1" t="s">
        <v>1353</v>
      </c>
      <c r="AM53" s="1" t="s">
        <v>1216</v>
      </c>
      <c r="AN53" s="1" t="s">
        <v>575</v>
      </c>
      <c r="AO53" s="1" t="s">
        <v>106</v>
      </c>
      <c r="AP53" s="1" t="s">
        <v>547</v>
      </c>
      <c r="AQ53" s="1">
        <v>89.66</v>
      </c>
      <c r="AR53" s="1">
        <v>0</v>
      </c>
      <c r="AS53" s="1"/>
      <c r="AT53" s="1"/>
      <c r="AU53" s="1"/>
      <c r="AV53" s="1"/>
      <c r="AW53" s="1"/>
      <c r="AX53" s="1"/>
      <c r="AY53" s="1" t="s">
        <v>1354</v>
      </c>
      <c r="AZ53" s="1" t="s">
        <v>1355</v>
      </c>
      <c r="BA53" s="1" t="s">
        <v>578</v>
      </c>
      <c r="BB53" s="1" t="s">
        <v>467</v>
      </c>
      <c r="BC53" s="1" t="s">
        <v>206</v>
      </c>
      <c r="BD53" s="1" t="s">
        <v>391</v>
      </c>
      <c r="BE53" s="1">
        <v>72.7</v>
      </c>
      <c r="BF53" s="1">
        <v>8.02</v>
      </c>
      <c r="BG53" s="1"/>
      <c r="BH53" s="1"/>
      <c r="BI53" s="1"/>
      <c r="BJ53" s="1"/>
      <c r="BK53" s="1"/>
      <c r="BL53" s="1"/>
      <c r="BM53" s="1"/>
      <c r="BN53" s="1"/>
      <c r="BO53" s="1" t="s">
        <v>369</v>
      </c>
      <c r="BP53" s="1" t="s">
        <v>1356</v>
      </c>
      <c r="BQ53" s="1" t="s">
        <v>1357</v>
      </c>
      <c r="BR53" s="1" t="s">
        <v>1358</v>
      </c>
      <c r="BS53" s="1">
        <v>13</v>
      </c>
      <c r="BT53" s="1"/>
      <c r="BU53" s="1" t="str">
        <f>HYPERLINK("https://nconnect.nicmar.ac.in/storage/profile/ProfilePhoto_P25700027_837251.jpg","Download")</f>
        <v>0</v>
      </c>
      <c r="BV53" s="3"/>
      <c r="BW53" s="3"/>
    </row>
    <row r="54" spans="1:75">
      <c r="A54" s="1" t="s">
        <v>75</v>
      </c>
      <c r="B54" s="1" t="s">
        <v>446</v>
      </c>
      <c r="C54" s="1" t="s">
        <v>1359</v>
      </c>
      <c r="D54" s="1" t="s">
        <v>1360</v>
      </c>
      <c r="E54" s="1" t="s">
        <v>1361</v>
      </c>
      <c r="F54" s="1" t="s">
        <v>1362</v>
      </c>
      <c r="G54" s="1" t="s">
        <v>1363</v>
      </c>
      <c r="H54" s="1" t="s">
        <v>1364</v>
      </c>
      <c r="I54" s="1" t="s">
        <v>1365</v>
      </c>
      <c r="J54" s="1">
        <v>9447191968</v>
      </c>
      <c r="K54" s="1" t="s">
        <v>84</v>
      </c>
      <c r="L54" s="1" t="s">
        <v>301</v>
      </c>
      <c r="M54" s="1" t="s">
        <v>86</v>
      </c>
      <c r="N54" s="1" t="s">
        <v>592</v>
      </c>
      <c r="O54" s="1"/>
      <c r="P54" s="1" t="s">
        <v>481</v>
      </c>
      <c r="Q54" s="1" t="s">
        <v>1366</v>
      </c>
      <c r="R54" s="1" t="s">
        <v>1367</v>
      </c>
      <c r="S54" s="1">
        <v>9446102694</v>
      </c>
      <c r="T54" s="1" t="s">
        <v>1368</v>
      </c>
      <c r="U54" s="1" t="s">
        <v>1369</v>
      </c>
      <c r="V54" s="1">
        <v>9446749400</v>
      </c>
      <c r="W54" s="1" t="s">
        <v>127</v>
      </c>
      <c r="X54" s="1" t="s">
        <v>1370</v>
      </c>
      <c r="Y54" s="1" t="s">
        <v>701</v>
      </c>
      <c r="Z54" s="1" t="s">
        <v>130</v>
      </c>
      <c r="AA54" s="1" t="s">
        <v>1370</v>
      </c>
      <c r="AB54" s="1" t="s">
        <v>701</v>
      </c>
      <c r="AC54" s="1" t="s">
        <v>130</v>
      </c>
      <c r="AD54" s="1">
        <v>8.62</v>
      </c>
      <c r="AE54" s="1" t="s">
        <v>98</v>
      </c>
      <c r="AF54" s="1" t="s">
        <v>1371</v>
      </c>
      <c r="AG54" s="1" t="s">
        <v>1372</v>
      </c>
      <c r="AH54" s="1" t="s">
        <v>166</v>
      </c>
      <c r="AI54" s="1" t="s">
        <v>627</v>
      </c>
      <c r="AJ54" s="1">
        <v>95</v>
      </c>
      <c r="AK54" s="1">
        <v>10</v>
      </c>
      <c r="AL54" s="1" t="s">
        <v>1371</v>
      </c>
      <c r="AM54" s="1" t="s">
        <v>1372</v>
      </c>
      <c r="AN54" s="1"/>
      <c r="AO54" s="1" t="s">
        <v>170</v>
      </c>
      <c r="AP54" s="1" t="s">
        <v>171</v>
      </c>
      <c r="AQ54" s="1">
        <v>90.4</v>
      </c>
      <c r="AR54" s="1">
        <v>0</v>
      </c>
      <c r="AS54" s="1"/>
      <c r="AT54" s="1"/>
      <c r="AU54" s="1"/>
      <c r="AV54" s="1"/>
      <c r="AW54" s="1"/>
      <c r="AX54" s="1"/>
      <c r="AY54" s="1" t="s">
        <v>137</v>
      </c>
      <c r="AZ54" s="1" t="s">
        <v>1373</v>
      </c>
      <c r="BA54" s="1"/>
      <c r="BB54" s="1"/>
      <c r="BC54" s="1" t="s">
        <v>1065</v>
      </c>
      <c r="BD54" s="1" t="s">
        <v>1314</v>
      </c>
      <c r="BE54" s="1">
        <v>65.4</v>
      </c>
      <c r="BF54" s="1">
        <v>6.54</v>
      </c>
      <c r="BG54" s="1"/>
      <c r="BH54" s="1"/>
      <c r="BI54" s="1"/>
      <c r="BJ54" s="1"/>
      <c r="BK54" s="1"/>
      <c r="BL54" s="1"/>
      <c r="BM54" s="1"/>
      <c r="BN54" s="1"/>
      <c r="BO54" s="1" t="s">
        <v>1374</v>
      </c>
      <c r="BP54" s="1" t="s">
        <v>1375</v>
      </c>
      <c r="BQ54" s="1" t="s">
        <v>757</v>
      </c>
      <c r="BR54" s="1" t="s">
        <v>1376</v>
      </c>
      <c r="BS54" s="1">
        <v>8</v>
      </c>
      <c r="BT54" s="1" t="s">
        <v>1377</v>
      </c>
      <c r="BU54" s="1" t="str">
        <f>HYPERLINK("https://nconnect.nicmar.ac.in/storage/profile/ProfilePhoto_P25700029_659732.jpg","Download")</f>
        <v>0</v>
      </c>
      <c r="BV54" s="3"/>
      <c r="BW54" s="3"/>
    </row>
    <row r="55" spans="1:75">
      <c r="A55" s="1" t="s">
        <v>75</v>
      </c>
      <c r="B55" s="1" t="s">
        <v>446</v>
      </c>
      <c r="C55" s="1" t="s">
        <v>1378</v>
      </c>
      <c r="D55" s="1" t="s">
        <v>1379</v>
      </c>
      <c r="E55" s="1"/>
      <c r="F55" s="1" t="s">
        <v>1380</v>
      </c>
      <c r="G55" s="1" t="s">
        <v>1381</v>
      </c>
      <c r="H55" s="1" t="s">
        <v>1382</v>
      </c>
      <c r="I55" s="1" t="s">
        <v>1383</v>
      </c>
      <c r="J55" s="1">
        <v>9680573729</v>
      </c>
      <c r="K55" s="1" t="s">
        <v>84</v>
      </c>
      <c r="L55" s="1" t="s">
        <v>1384</v>
      </c>
      <c r="M55" s="1" t="s">
        <v>86</v>
      </c>
      <c r="N55" s="1" t="s">
        <v>1385</v>
      </c>
      <c r="O55" s="1"/>
      <c r="P55" s="1" t="s">
        <v>1028</v>
      </c>
      <c r="Q55" s="1" t="s">
        <v>1386</v>
      </c>
      <c r="R55" s="1" t="s">
        <v>1387</v>
      </c>
      <c r="S55" s="1">
        <v>9815744370</v>
      </c>
      <c r="T55" s="1" t="s">
        <v>926</v>
      </c>
      <c r="U55" s="1" t="s">
        <v>1388</v>
      </c>
      <c r="V55" s="1">
        <v>8288071500</v>
      </c>
      <c r="W55" s="1" t="s">
        <v>278</v>
      </c>
      <c r="X55" s="1" t="s">
        <v>1389</v>
      </c>
      <c r="Y55" s="1" t="s">
        <v>1390</v>
      </c>
      <c r="Z55" s="1" t="s">
        <v>972</v>
      </c>
      <c r="AA55" s="1" t="s">
        <v>1389</v>
      </c>
      <c r="AB55" s="1" t="s">
        <v>1390</v>
      </c>
      <c r="AC55" s="1" t="s">
        <v>972</v>
      </c>
      <c r="AD55" s="1">
        <v>8.08</v>
      </c>
      <c r="AE55" s="1" t="s">
        <v>98</v>
      </c>
      <c r="AF55" s="1" t="s">
        <v>1391</v>
      </c>
      <c r="AG55" s="1" t="s">
        <v>1392</v>
      </c>
      <c r="AH55" s="1" t="s">
        <v>1393</v>
      </c>
      <c r="AI55" s="1" t="s">
        <v>167</v>
      </c>
      <c r="AJ55" s="1">
        <v>80.33</v>
      </c>
      <c r="AK55" s="1">
        <v>0</v>
      </c>
      <c r="AL55" s="1" t="s">
        <v>1394</v>
      </c>
      <c r="AM55" s="1" t="s">
        <v>1395</v>
      </c>
      <c r="AN55" s="1"/>
      <c r="AO55" s="1" t="s">
        <v>1396</v>
      </c>
      <c r="AP55" s="1" t="s">
        <v>171</v>
      </c>
      <c r="AQ55" s="1">
        <v>75.4</v>
      </c>
      <c r="AR55" s="1">
        <v>0</v>
      </c>
      <c r="AS55" s="1" t="s">
        <v>1397</v>
      </c>
      <c r="AT55" s="1" t="s">
        <v>1392</v>
      </c>
      <c r="AU55" s="1" t="s">
        <v>178</v>
      </c>
      <c r="AV55" s="1" t="s">
        <v>289</v>
      </c>
      <c r="AW55" s="1">
        <v>84</v>
      </c>
      <c r="AX55" s="1"/>
      <c r="AY55" s="1" t="s">
        <v>1398</v>
      </c>
      <c r="AZ55" s="1" t="s">
        <v>1399</v>
      </c>
      <c r="BA55" s="1" t="s">
        <v>578</v>
      </c>
      <c r="BB55" s="1" t="s">
        <v>467</v>
      </c>
      <c r="BC55" s="1" t="s">
        <v>1400</v>
      </c>
      <c r="BD55" s="1" t="s">
        <v>1401</v>
      </c>
      <c r="BE55" s="1">
        <v>77.2</v>
      </c>
      <c r="BF55" s="1">
        <v>7.72</v>
      </c>
      <c r="BG55" s="1"/>
      <c r="BH55" s="1"/>
      <c r="BI55" s="1"/>
      <c r="BJ55" s="1"/>
      <c r="BK55" s="1"/>
      <c r="BL55" s="1"/>
      <c r="BM55" s="1"/>
      <c r="BN55" s="1"/>
      <c r="BO55" s="1" t="s">
        <v>369</v>
      </c>
      <c r="BP55" s="1"/>
      <c r="BQ55" s="1"/>
      <c r="BR55" s="1" t="s">
        <v>1402</v>
      </c>
      <c r="BS55" s="1">
        <v>34</v>
      </c>
      <c r="BT55" s="1"/>
      <c r="BU55" s="1" t="str">
        <f>HYPERLINK("https://nconnect.nicmar.ac.in/storage/profile/ProfilePhoto_P25700030_527831.jpg","Download")</f>
        <v>0</v>
      </c>
      <c r="BV55" s="3"/>
      <c r="BW55" s="3"/>
    </row>
    <row r="56" spans="1:75">
      <c r="A56" s="1" t="s">
        <v>75</v>
      </c>
      <c r="B56" s="1" t="s">
        <v>446</v>
      </c>
      <c r="C56" s="1" t="s">
        <v>1403</v>
      </c>
      <c r="D56" s="1" t="s">
        <v>1404</v>
      </c>
      <c r="E56" s="1" t="s">
        <v>267</v>
      </c>
      <c r="F56" s="1" t="s">
        <v>1405</v>
      </c>
      <c r="G56" s="1" t="s">
        <v>1406</v>
      </c>
      <c r="H56" s="1" t="s">
        <v>1407</v>
      </c>
      <c r="I56" s="1" t="s">
        <v>1408</v>
      </c>
      <c r="J56" s="1">
        <v>9949077030</v>
      </c>
      <c r="K56" s="1" t="s">
        <v>84</v>
      </c>
      <c r="L56" s="1" t="s">
        <v>1409</v>
      </c>
      <c r="M56" s="1" t="s">
        <v>86</v>
      </c>
      <c r="N56" s="1" t="s">
        <v>1410</v>
      </c>
      <c r="O56" s="1"/>
      <c r="P56" s="1" t="s">
        <v>455</v>
      </c>
      <c r="Q56" s="1" t="s">
        <v>1411</v>
      </c>
      <c r="R56" s="1" t="s">
        <v>1412</v>
      </c>
      <c r="S56" s="1">
        <v>8500236810</v>
      </c>
      <c r="T56" s="1" t="s">
        <v>1413</v>
      </c>
      <c r="U56" s="1" t="s">
        <v>1414</v>
      </c>
      <c r="V56" s="1">
        <v>9293926810</v>
      </c>
      <c r="W56" s="1" t="s">
        <v>161</v>
      </c>
      <c r="X56" s="1" t="s">
        <v>1415</v>
      </c>
      <c r="Y56" s="1" t="s">
        <v>1416</v>
      </c>
      <c r="Z56" s="1" t="s">
        <v>281</v>
      </c>
      <c r="AA56" s="1" t="s">
        <v>1415</v>
      </c>
      <c r="AB56" s="1" t="s">
        <v>1416</v>
      </c>
      <c r="AC56" s="1" t="s">
        <v>281</v>
      </c>
      <c r="AD56" s="1">
        <v>8.38</v>
      </c>
      <c r="AE56" s="1" t="s">
        <v>98</v>
      </c>
      <c r="AF56" s="1" t="s">
        <v>1417</v>
      </c>
      <c r="AG56" s="1" t="s">
        <v>1418</v>
      </c>
      <c r="AH56" s="1" t="s">
        <v>106</v>
      </c>
      <c r="AI56" s="1" t="s">
        <v>414</v>
      </c>
      <c r="AJ56" s="1">
        <v>100</v>
      </c>
      <c r="AK56" s="1">
        <v>10</v>
      </c>
      <c r="AL56" s="1" t="s">
        <v>1419</v>
      </c>
      <c r="AM56" s="1" t="s">
        <v>1420</v>
      </c>
      <c r="AN56" s="1" t="s">
        <v>465</v>
      </c>
      <c r="AO56" s="1" t="s">
        <v>438</v>
      </c>
      <c r="AP56" s="1" t="s">
        <v>1192</v>
      </c>
      <c r="AQ56" s="1">
        <v>92.6</v>
      </c>
      <c r="AR56" s="1">
        <v>0</v>
      </c>
      <c r="AS56" s="1"/>
      <c r="AT56" s="1"/>
      <c r="AU56" s="1"/>
      <c r="AV56" s="1"/>
      <c r="AW56" s="1"/>
      <c r="AX56" s="1"/>
      <c r="AY56" s="1" t="s">
        <v>287</v>
      </c>
      <c r="AZ56" s="1" t="s">
        <v>1421</v>
      </c>
      <c r="BA56" s="1" t="s">
        <v>466</v>
      </c>
      <c r="BB56" s="1" t="s">
        <v>467</v>
      </c>
      <c r="BC56" s="1" t="s">
        <v>847</v>
      </c>
      <c r="BD56" s="1" t="s">
        <v>607</v>
      </c>
      <c r="BE56" s="1">
        <v>70.5</v>
      </c>
      <c r="BF56" s="1">
        <v>7.8</v>
      </c>
      <c r="BG56" s="1"/>
      <c r="BH56" s="1"/>
      <c r="BI56" s="1"/>
      <c r="BJ56" s="1"/>
      <c r="BK56" s="1"/>
      <c r="BL56" s="1"/>
      <c r="BM56" s="1"/>
      <c r="BN56" s="1"/>
      <c r="BO56" s="1" t="s">
        <v>1422</v>
      </c>
      <c r="BP56" s="1"/>
      <c r="BQ56" s="1"/>
      <c r="BR56" s="1" t="s">
        <v>1423</v>
      </c>
      <c r="BS56" s="1">
        <v>39</v>
      </c>
      <c r="BT56" s="1"/>
      <c r="BU56" s="1" t="str">
        <f>HYPERLINK("https://nconnect.nicmar.ac.in/storage/profile/ProfilePhoto_P25700032_169785.jpg","Download")</f>
        <v>0</v>
      </c>
      <c r="BV56" s="3"/>
      <c r="BW56" s="3"/>
    </row>
    <row r="57" spans="1:75">
      <c r="A57" s="1" t="s">
        <v>75</v>
      </c>
      <c r="B57" s="1" t="s">
        <v>446</v>
      </c>
      <c r="C57" s="1" t="s">
        <v>1424</v>
      </c>
      <c r="D57" s="1" t="s">
        <v>1425</v>
      </c>
      <c r="E57" s="1" t="s">
        <v>1320</v>
      </c>
      <c r="F57" s="1" t="s">
        <v>1426</v>
      </c>
      <c r="G57" s="1" t="s">
        <v>1427</v>
      </c>
      <c r="H57" s="1" t="s">
        <v>1428</v>
      </c>
      <c r="I57" s="1" t="s">
        <v>1429</v>
      </c>
      <c r="J57" s="1">
        <v>7093268002</v>
      </c>
      <c r="K57" s="1" t="s">
        <v>84</v>
      </c>
      <c r="L57" s="1" t="s">
        <v>1430</v>
      </c>
      <c r="M57" s="1" t="s">
        <v>86</v>
      </c>
      <c r="N57" s="1" t="s">
        <v>1431</v>
      </c>
      <c r="O57" s="1" t="s">
        <v>157</v>
      </c>
      <c r="P57" s="1" t="s">
        <v>89</v>
      </c>
      <c r="Q57" s="1" t="s">
        <v>1432</v>
      </c>
      <c r="R57" s="1" t="s">
        <v>1433</v>
      </c>
      <c r="S57" s="1">
        <v>8247872975</v>
      </c>
      <c r="T57" s="1" t="s">
        <v>127</v>
      </c>
      <c r="U57" s="1" t="s">
        <v>1434</v>
      </c>
      <c r="V57" s="1">
        <v>7093268802</v>
      </c>
      <c r="W57" s="1" t="s">
        <v>278</v>
      </c>
      <c r="X57" s="1" t="s">
        <v>1435</v>
      </c>
      <c r="Y57" s="1" t="s">
        <v>1436</v>
      </c>
      <c r="Z57" s="1" t="s">
        <v>281</v>
      </c>
      <c r="AA57" s="1" t="s">
        <v>1435</v>
      </c>
      <c r="AB57" s="1" t="s">
        <v>1436</v>
      </c>
      <c r="AC57" s="1" t="s">
        <v>281</v>
      </c>
      <c r="AD57" s="1">
        <v>6.95</v>
      </c>
      <c r="AE57" s="1" t="s">
        <v>98</v>
      </c>
      <c r="AF57" s="1" t="s">
        <v>1437</v>
      </c>
      <c r="AG57" s="1" t="s">
        <v>1438</v>
      </c>
      <c r="AH57" s="1" t="s">
        <v>490</v>
      </c>
      <c r="AI57" s="1" t="s">
        <v>414</v>
      </c>
      <c r="AJ57" s="1">
        <v>83</v>
      </c>
      <c r="AK57" s="1"/>
      <c r="AL57" s="1" t="s">
        <v>1439</v>
      </c>
      <c r="AM57" s="1" t="s">
        <v>1438</v>
      </c>
      <c r="AN57" s="1"/>
      <c r="AO57" s="1" t="s">
        <v>438</v>
      </c>
      <c r="AP57" s="1" t="s">
        <v>549</v>
      </c>
      <c r="AQ57" s="1">
        <v>68.9</v>
      </c>
      <c r="AR57" s="1"/>
      <c r="AS57" s="1"/>
      <c r="AT57" s="1"/>
      <c r="AU57" s="1"/>
      <c r="AV57" s="1"/>
      <c r="AW57" s="1"/>
      <c r="AX57" s="1"/>
      <c r="AY57" s="1" t="s">
        <v>1440</v>
      </c>
      <c r="AZ57" s="1" t="s">
        <v>1441</v>
      </c>
      <c r="BA57" s="1"/>
      <c r="BB57" s="1"/>
      <c r="BC57" s="1" t="s">
        <v>140</v>
      </c>
      <c r="BD57" s="1" t="s">
        <v>553</v>
      </c>
      <c r="BE57" s="1">
        <v>60.13</v>
      </c>
      <c r="BF57" s="1">
        <v>6.33</v>
      </c>
      <c r="BG57" s="1"/>
      <c r="BH57" s="1"/>
      <c r="BI57" s="1"/>
      <c r="BJ57" s="1"/>
      <c r="BK57" s="1"/>
      <c r="BL57" s="1"/>
      <c r="BM57" s="1"/>
      <c r="BN57" s="1"/>
      <c r="BO57" s="1" t="s">
        <v>1114</v>
      </c>
      <c r="BP57" s="1"/>
      <c r="BQ57" s="1"/>
      <c r="BR57" s="1" t="s">
        <v>1442</v>
      </c>
      <c r="BS57" s="1">
        <v>13</v>
      </c>
      <c r="BT57" s="1"/>
      <c r="BU57" s="1" t="str">
        <f>HYPERLINK("https://nconnect.nicmar.ac.in/storage/profile/ProfilePhoto_P25700033_798215.jpg","Download")</f>
        <v>0</v>
      </c>
      <c r="BV57" s="3"/>
      <c r="BW57" s="3"/>
    </row>
    <row r="58" spans="1:75">
      <c r="A58" s="1" t="s">
        <v>75</v>
      </c>
      <c r="B58" s="1" t="s">
        <v>446</v>
      </c>
      <c r="C58" s="1" t="s">
        <v>1443</v>
      </c>
      <c r="D58" s="1" t="s">
        <v>1444</v>
      </c>
      <c r="E58" s="1"/>
      <c r="F58" s="1" t="s">
        <v>1445</v>
      </c>
      <c r="G58" s="1" t="s">
        <v>1446</v>
      </c>
      <c r="H58" s="1" t="s">
        <v>1447</v>
      </c>
      <c r="I58" s="1" t="s">
        <v>1447</v>
      </c>
      <c r="J58" s="1">
        <v>8096844639</v>
      </c>
      <c r="K58" s="1" t="s">
        <v>84</v>
      </c>
      <c r="L58" s="1" t="s">
        <v>1448</v>
      </c>
      <c r="M58" s="1" t="s">
        <v>86</v>
      </c>
      <c r="N58" s="1" t="s">
        <v>1449</v>
      </c>
      <c r="O58" s="1"/>
      <c r="P58" s="1" t="s">
        <v>455</v>
      </c>
      <c r="Q58" s="1" t="s">
        <v>1450</v>
      </c>
      <c r="R58" s="1" t="s">
        <v>1451</v>
      </c>
      <c r="S58" s="1">
        <v>7093092339</v>
      </c>
      <c r="T58" s="1" t="s">
        <v>159</v>
      </c>
      <c r="U58" s="1" t="s">
        <v>1452</v>
      </c>
      <c r="V58" s="1">
        <v>9133224388</v>
      </c>
      <c r="W58" s="1" t="s">
        <v>278</v>
      </c>
      <c r="X58" s="1" t="s">
        <v>1453</v>
      </c>
      <c r="Y58" s="1" t="s">
        <v>1454</v>
      </c>
      <c r="Z58" s="1" t="s">
        <v>281</v>
      </c>
      <c r="AA58" s="1" t="s">
        <v>1453</v>
      </c>
      <c r="AB58" s="1" t="s">
        <v>1454</v>
      </c>
      <c r="AC58" s="1" t="s">
        <v>281</v>
      </c>
      <c r="AD58" s="1">
        <v>7.95</v>
      </c>
      <c r="AE58" s="1" t="s">
        <v>98</v>
      </c>
      <c r="AF58" s="1" t="s">
        <v>1455</v>
      </c>
      <c r="AG58" s="1" t="s">
        <v>1456</v>
      </c>
      <c r="AH58" s="1" t="s">
        <v>1457</v>
      </c>
      <c r="AI58" s="1" t="s">
        <v>313</v>
      </c>
      <c r="AJ58" s="1">
        <v>81.8</v>
      </c>
      <c r="AK58" s="1"/>
      <c r="AL58" s="1" t="s">
        <v>1458</v>
      </c>
      <c r="AM58" s="1" t="s">
        <v>1459</v>
      </c>
      <c r="AN58" s="1"/>
      <c r="AO58" s="1" t="s">
        <v>438</v>
      </c>
      <c r="AP58" s="1" t="s">
        <v>549</v>
      </c>
      <c r="AQ58" s="1">
        <v>81.9</v>
      </c>
      <c r="AR58" s="1"/>
      <c r="AS58" s="1"/>
      <c r="AT58" s="1"/>
      <c r="AU58" s="1"/>
      <c r="AV58" s="1"/>
      <c r="AW58" s="1"/>
      <c r="AX58" s="1"/>
      <c r="AY58" s="1" t="s">
        <v>1440</v>
      </c>
      <c r="AZ58" s="1" t="s">
        <v>1441</v>
      </c>
      <c r="BA58" s="1"/>
      <c r="BB58" s="1"/>
      <c r="BC58" s="1" t="s">
        <v>140</v>
      </c>
      <c r="BD58" s="1" t="s">
        <v>553</v>
      </c>
      <c r="BE58" s="1">
        <v>68.78</v>
      </c>
      <c r="BF58" s="1"/>
      <c r="BG58" s="1"/>
      <c r="BH58" s="1"/>
      <c r="BI58" s="1"/>
      <c r="BJ58" s="1"/>
      <c r="BK58" s="1"/>
      <c r="BL58" s="1"/>
      <c r="BM58" s="1"/>
      <c r="BN58" s="1"/>
      <c r="BO58" s="1" t="s">
        <v>1460</v>
      </c>
      <c r="BP58" s="1"/>
      <c r="BQ58" s="1"/>
      <c r="BR58" s="1" t="s">
        <v>1461</v>
      </c>
      <c r="BS58" s="1">
        <v>13</v>
      </c>
      <c r="BT58" s="1"/>
      <c r="BU58" s="1" t="str">
        <f>HYPERLINK("https://nconnect.nicmar.ac.in/storage/profile/ProfilePhoto_P25700034_597426.jpg","Download")</f>
        <v>0</v>
      </c>
      <c r="BV58" s="3"/>
      <c r="BW58" s="3"/>
    </row>
    <row r="59" spans="1:75">
      <c r="A59" s="1" t="s">
        <v>75</v>
      </c>
      <c r="B59" s="1" t="s">
        <v>446</v>
      </c>
      <c r="C59" s="1" t="s">
        <v>1462</v>
      </c>
      <c r="D59" s="1" t="s">
        <v>1463</v>
      </c>
      <c r="E59" s="1" t="s">
        <v>1464</v>
      </c>
      <c r="F59" s="1" t="s">
        <v>1465</v>
      </c>
      <c r="G59" s="1" t="s">
        <v>1466</v>
      </c>
      <c r="H59" s="1" t="s">
        <v>1467</v>
      </c>
      <c r="I59" s="1" t="s">
        <v>1468</v>
      </c>
      <c r="J59" s="1">
        <v>8830930460</v>
      </c>
      <c r="K59" s="1" t="s">
        <v>153</v>
      </c>
      <c r="L59" s="1" t="s">
        <v>1469</v>
      </c>
      <c r="M59" s="1" t="s">
        <v>86</v>
      </c>
      <c r="N59" s="1" t="s">
        <v>1470</v>
      </c>
      <c r="O59" s="1"/>
      <c r="P59" s="1" t="s">
        <v>455</v>
      </c>
      <c r="Q59" s="1" t="s">
        <v>1471</v>
      </c>
      <c r="R59" s="1" t="s">
        <v>1472</v>
      </c>
      <c r="S59" s="1">
        <v>9890128044</v>
      </c>
      <c r="T59" s="1" t="s">
        <v>125</v>
      </c>
      <c r="U59" s="1" t="s">
        <v>1473</v>
      </c>
      <c r="V59" s="1">
        <v>9673177796</v>
      </c>
      <c r="W59" s="1" t="s">
        <v>161</v>
      </c>
      <c r="X59" s="1" t="s">
        <v>1474</v>
      </c>
      <c r="Y59" s="1" t="s">
        <v>410</v>
      </c>
      <c r="Z59" s="1" t="s">
        <v>97</v>
      </c>
      <c r="AA59" s="1" t="s">
        <v>1474</v>
      </c>
      <c r="AB59" s="1" t="s">
        <v>410</v>
      </c>
      <c r="AC59" s="1" t="s">
        <v>97</v>
      </c>
      <c r="AD59" s="1">
        <v>8.0</v>
      </c>
      <c r="AE59" s="1" t="s">
        <v>98</v>
      </c>
      <c r="AF59" s="1" t="s">
        <v>1475</v>
      </c>
      <c r="AG59" s="1" t="s">
        <v>165</v>
      </c>
      <c r="AH59" s="1" t="s">
        <v>166</v>
      </c>
      <c r="AI59" s="1" t="s">
        <v>1111</v>
      </c>
      <c r="AJ59" s="1">
        <v>89.2</v>
      </c>
      <c r="AK59" s="1"/>
      <c r="AL59" s="1" t="s">
        <v>1476</v>
      </c>
      <c r="AM59" s="1" t="s">
        <v>165</v>
      </c>
      <c r="AN59" s="1" t="s">
        <v>465</v>
      </c>
      <c r="AO59" s="1" t="s">
        <v>170</v>
      </c>
      <c r="AP59" s="1" t="s">
        <v>1477</v>
      </c>
      <c r="AQ59" s="1">
        <v>74.62</v>
      </c>
      <c r="AR59" s="1"/>
      <c r="AS59" s="1"/>
      <c r="AT59" s="1"/>
      <c r="AU59" s="1"/>
      <c r="AV59" s="1"/>
      <c r="AW59" s="1"/>
      <c r="AX59" s="1"/>
      <c r="AY59" s="1" t="s">
        <v>415</v>
      </c>
      <c r="AZ59" s="1" t="s">
        <v>1478</v>
      </c>
      <c r="BA59" s="1" t="s">
        <v>682</v>
      </c>
      <c r="BB59" s="1" t="s">
        <v>1479</v>
      </c>
      <c r="BC59" s="1" t="s">
        <v>1065</v>
      </c>
      <c r="BD59" s="1" t="s">
        <v>234</v>
      </c>
      <c r="BE59" s="1">
        <v>74.2</v>
      </c>
      <c r="BF59" s="1">
        <v>8.17</v>
      </c>
      <c r="BG59" s="1"/>
      <c r="BH59" s="1"/>
      <c r="BI59" s="1"/>
      <c r="BJ59" s="1"/>
      <c r="BK59" s="1"/>
      <c r="BL59" s="1"/>
      <c r="BM59" s="1"/>
      <c r="BN59" s="1"/>
      <c r="BO59" s="1" t="s">
        <v>1480</v>
      </c>
      <c r="BP59" s="1" t="s">
        <v>1481</v>
      </c>
      <c r="BQ59" s="1" t="s">
        <v>1482</v>
      </c>
      <c r="BR59" s="1" t="s">
        <v>1483</v>
      </c>
      <c r="BS59" s="1">
        <v>42</v>
      </c>
      <c r="BT59" s="1"/>
      <c r="BU59" s="1" t="str">
        <f>HYPERLINK("https://nconnect.nicmar.ac.in/storage/profile/ProfilePhoto_P25700035_724139.jpg","Download")</f>
        <v>0</v>
      </c>
      <c r="BV59" s="3"/>
      <c r="BW59" s="3"/>
    </row>
    <row r="60" spans="1:75">
      <c r="A60" s="1" t="s">
        <v>75</v>
      </c>
      <c r="B60" s="1" t="s">
        <v>446</v>
      </c>
      <c r="C60" s="1" t="s">
        <v>1484</v>
      </c>
      <c r="D60" s="1" t="s">
        <v>1485</v>
      </c>
      <c r="E60" s="1" t="s">
        <v>1486</v>
      </c>
      <c r="F60" s="1" t="s">
        <v>1487</v>
      </c>
      <c r="G60" s="1" t="s">
        <v>1488</v>
      </c>
      <c r="H60" s="1" t="s">
        <v>1489</v>
      </c>
      <c r="I60" s="1" t="s">
        <v>1490</v>
      </c>
      <c r="J60" s="1">
        <v>9443459000</v>
      </c>
      <c r="K60" s="1" t="s">
        <v>153</v>
      </c>
      <c r="L60" s="1" t="s">
        <v>1491</v>
      </c>
      <c r="M60" s="1" t="s">
        <v>86</v>
      </c>
      <c r="N60" s="1" t="s">
        <v>1492</v>
      </c>
      <c r="O60" s="1"/>
      <c r="P60" s="1" t="s">
        <v>507</v>
      </c>
      <c r="Q60" s="1" t="s">
        <v>1493</v>
      </c>
      <c r="R60" s="1" t="s">
        <v>1494</v>
      </c>
      <c r="S60" s="1">
        <v>9840608107</v>
      </c>
      <c r="T60" s="1" t="s">
        <v>1495</v>
      </c>
      <c r="U60" s="1" t="s">
        <v>1496</v>
      </c>
      <c r="V60" s="1">
        <v>9944222210</v>
      </c>
      <c r="W60" s="1" t="s">
        <v>94</v>
      </c>
      <c r="X60" s="1" t="s">
        <v>1497</v>
      </c>
      <c r="Y60" s="1" t="s">
        <v>1498</v>
      </c>
      <c r="Z60" s="1" t="s">
        <v>570</v>
      </c>
      <c r="AA60" s="1" t="s">
        <v>1497</v>
      </c>
      <c r="AB60" s="1" t="s">
        <v>1498</v>
      </c>
      <c r="AC60" s="1" t="s">
        <v>570</v>
      </c>
      <c r="AD60" s="1">
        <v>8.44</v>
      </c>
      <c r="AE60" s="1" t="s">
        <v>98</v>
      </c>
      <c r="AF60" s="1" t="s">
        <v>1499</v>
      </c>
      <c r="AG60" s="1" t="s">
        <v>1499</v>
      </c>
      <c r="AH60" s="1" t="s">
        <v>106</v>
      </c>
      <c r="AI60" s="1" t="s">
        <v>414</v>
      </c>
      <c r="AJ60" s="1">
        <v>79.2</v>
      </c>
      <c r="AK60" s="1"/>
      <c r="AL60" s="1" t="s">
        <v>1499</v>
      </c>
      <c r="AM60" s="1" t="s">
        <v>1499</v>
      </c>
      <c r="AN60" s="1"/>
      <c r="AO60" s="1" t="s">
        <v>178</v>
      </c>
      <c r="AP60" s="1" t="s">
        <v>1192</v>
      </c>
      <c r="AQ60" s="1">
        <v>84.83</v>
      </c>
      <c r="AR60" s="1"/>
      <c r="AS60" s="1"/>
      <c r="AT60" s="1"/>
      <c r="AU60" s="1"/>
      <c r="AV60" s="1"/>
      <c r="AW60" s="1"/>
      <c r="AX60" s="1"/>
      <c r="AY60" s="1" t="s">
        <v>576</v>
      </c>
      <c r="AZ60" s="1" t="s">
        <v>1500</v>
      </c>
      <c r="BA60" s="1"/>
      <c r="BB60" s="1"/>
      <c r="BC60" s="1" t="s">
        <v>606</v>
      </c>
      <c r="BD60" s="1" t="s">
        <v>553</v>
      </c>
      <c r="BE60" s="1">
        <v>75.1</v>
      </c>
      <c r="BF60" s="1"/>
      <c r="BG60" s="1"/>
      <c r="BH60" s="1"/>
      <c r="BI60" s="1"/>
      <c r="BJ60" s="1"/>
      <c r="BK60" s="1"/>
      <c r="BL60" s="1"/>
      <c r="BM60" s="1"/>
      <c r="BN60" s="1"/>
      <c r="BO60" s="1" t="s">
        <v>1501</v>
      </c>
      <c r="BP60" s="1"/>
      <c r="BQ60" s="1"/>
      <c r="BR60" s="1" t="s">
        <v>1502</v>
      </c>
      <c r="BS60" s="1">
        <v>12</v>
      </c>
      <c r="BT60" s="1" t="s">
        <v>1503</v>
      </c>
      <c r="BU60" s="1" t="str">
        <f>HYPERLINK("https://nconnect.nicmar.ac.in/storage/profile/ProfilePhoto_P25700036_987541.jpg","Download")</f>
        <v>0</v>
      </c>
      <c r="BV60" s="3"/>
      <c r="BW60" s="3"/>
    </row>
    <row r="61" spans="1:75">
      <c r="A61" s="1" t="s">
        <v>75</v>
      </c>
      <c r="B61" s="1" t="s">
        <v>446</v>
      </c>
      <c r="C61" s="1" t="s">
        <v>1504</v>
      </c>
      <c r="D61" s="1" t="s">
        <v>1505</v>
      </c>
      <c r="E61" s="1" t="s">
        <v>1506</v>
      </c>
      <c r="F61" s="1" t="s">
        <v>1507</v>
      </c>
      <c r="G61" s="1" t="s">
        <v>1508</v>
      </c>
      <c r="H61" s="1" t="s">
        <v>1509</v>
      </c>
      <c r="I61" s="1" t="s">
        <v>1510</v>
      </c>
      <c r="J61" s="1">
        <v>9325957968</v>
      </c>
      <c r="K61" s="1" t="s">
        <v>84</v>
      </c>
      <c r="L61" s="1" t="s">
        <v>1511</v>
      </c>
      <c r="M61" s="1" t="s">
        <v>86</v>
      </c>
      <c r="N61" s="1" t="s">
        <v>903</v>
      </c>
      <c r="O61" s="1"/>
      <c r="P61" s="1" t="s">
        <v>455</v>
      </c>
      <c r="Q61" s="1" t="s">
        <v>1512</v>
      </c>
      <c r="R61" s="1" t="s">
        <v>1506</v>
      </c>
      <c r="S61" s="1">
        <v>8767123108</v>
      </c>
      <c r="T61" s="1" t="s">
        <v>1513</v>
      </c>
      <c r="U61" s="1" t="s">
        <v>1514</v>
      </c>
      <c r="V61" s="1">
        <v>9665373615</v>
      </c>
      <c r="W61" s="1" t="s">
        <v>161</v>
      </c>
      <c r="X61" s="1" t="s">
        <v>1515</v>
      </c>
      <c r="Y61" s="1" t="s">
        <v>384</v>
      </c>
      <c r="Z61" s="1" t="s">
        <v>97</v>
      </c>
      <c r="AA61" s="1" t="s">
        <v>1515</v>
      </c>
      <c r="AB61" s="1" t="s">
        <v>384</v>
      </c>
      <c r="AC61" s="1" t="s">
        <v>97</v>
      </c>
      <c r="AD61" s="1">
        <v>6.79</v>
      </c>
      <c r="AE61" s="1" t="s">
        <v>98</v>
      </c>
      <c r="AF61" s="1" t="s">
        <v>1516</v>
      </c>
      <c r="AG61" s="1" t="s">
        <v>1517</v>
      </c>
      <c r="AH61" s="1" t="s">
        <v>166</v>
      </c>
      <c r="AI61" s="1" t="s">
        <v>1111</v>
      </c>
      <c r="AJ61" s="1">
        <v>85.2</v>
      </c>
      <c r="AK61" s="1"/>
      <c r="AL61" s="1" t="s">
        <v>1518</v>
      </c>
      <c r="AM61" s="1" t="s">
        <v>1519</v>
      </c>
      <c r="AN61" s="1"/>
      <c r="AO61" s="1" t="s">
        <v>388</v>
      </c>
      <c r="AP61" s="1" t="s">
        <v>1477</v>
      </c>
      <c r="AQ61" s="1">
        <v>72.15</v>
      </c>
      <c r="AR61" s="1"/>
      <c r="AS61" s="1"/>
      <c r="AT61" s="1"/>
      <c r="AU61" s="1"/>
      <c r="AV61" s="1"/>
      <c r="AW61" s="1"/>
      <c r="AX61" s="1"/>
      <c r="AY61" s="1" t="s">
        <v>1520</v>
      </c>
      <c r="AZ61" s="1" t="s">
        <v>1521</v>
      </c>
      <c r="BA61" s="1"/>
      <c r="BB61" s="1"/>
      <c r="BC61" s="1" t="s">
        <v>174</v>
      </c>
      <c r="BD61" s="1" t="s">
        <v>110</v>
      </c>
      <c r="BE61" s="1">
        <v>74.2</v>
      </c>
      <c r="BF61" s="1">
        <v>7.92</v>
      </c>
      <c r="BG61" s="1"/>
      <c r="BH61" s="1"/>
      <c r="BI61" s="1"/>
      <c r="BJ61" s="1"/>
      <c r="BK61" s="1"/>
      <c r="BL61" s="1"/>
      <c r="BM61" s="1"/>
      <c r="BN61" s="1"/>
      <c r="BO61" s="1" t="s">
        <v>1522</v>
      </c>
      <c r="BP61" s="1"/>
      <c r="BQ61" s="1"/>
      <c r="BR61" s="1" t="s">
        <v>1523</v>
      </c>
      <c r="BS61" s="1">
        <v>34</v>
      </c>
      <c r="BT61" s="1"/>
      <c r="BU61" s="1" t="str">
        <f>HYPERLINK("https://nconnect.nicmar.ac.in/storage/profile/ProfilePhoto_P25700037_381245.jpg","Download")</f>
        <v>0</v>
      </c>
      <c r="BV61" s="3"/>
      <c r="BW61" s="3"/>
    </row>
    <row r="62" spans="1:75">
      <c r="A62" s="1" t="s">
        <v>75</v>
      </c>
      <c r="B62" s="1" t="s">
        <v>446</v>
      </c>
      <c r="C62" s="1" t="s">
        <v>1524</v>
      </c>
      <c r="D62" s="1" t="s">
        <v>1525</v>
      </c>
      <c r="E62" s="1" t="s">
        <v>397</v>
      </c>
      <c r="F62" s="1" t="s">
        <v>1526</v>
      </c>
      <c r="G62" s="1" t="s">
        <v>1527</v>
      </c>
      <c r="H62" s="1" t="s">
        <v>1528</v>
      </c>
      <c r="I62" s="1" t="s">
        <v>1529</v>
      </c>
      <c r="J62" s="1">
        <v>9503975050</v>
      </c>
      <c r="K62" s="1" t="s">
        <v>84</v>
      </c>
      <c r="L62" s="1" t="s">
        <v>1530</v>
      </c>
      <c r="M62" s="1" t="s">
        <v>86</v>
      </c>
      <c r="N62" s="1" t="s">
        <v>618</v>
      </c>
      <c r="O62" s="1"/>
      <c r="P62" s="1" t="s">
        <v>481</v>
      </c>
      <c r="Q62" s="1" t="s">
        <v>1531</v>
      </c>
      <c r="R62" s="1" t="s">
        <v>1532</v>
      </c>
      <c r="S62" s="1">
        <v>9822941138</v>
      </c>
      <c r="T62" s="1" t="s">
        <v>221</v>
      </c>
      <c r="U62" s="1" t="s">
        <v>1533</v>
      </c>
      <c r="V62" s="1">
        <v>9767223937</v>
      </c>
      <c r="W62" s="1" t="s">
        <v>221</v>
      </c>
      <c r="X62" s="1" t="s">
        <v>1534</v>
      </c>
      <c r="Y62" s="1" t="s">
        <v>410</v>
      </c>
      <c r="Z62" s="1" t="s">
        <v>97</v>
      </c>
      <c r="AA62" s="1" t="s">
        <v>1534</v>
      </c>
      <c r="AB62" s="1" t="s">
        <v>410</v>
      </c>
      <c r="AC62" s="1" t="s">
        <v>97</v>
      </c>
      <c r="AD62" s="1">
        <v>7.82</v>
      </c>
      <c r="AE62" s="1" t="s">
        <v>98</v>
      </c>
      <c r="AF62" s="1" t="s">
        <v>1535</v>
      </c>
      <c r="AG62" s="1" t="s">
        <v>1536</v>
      </c>
      <c r="AH62" s="1" t="s">
        <v>490</v>
      </c>
      <c r="AI62" s="1" t="s">
        <v>438</v>
      </c>
      <c r="AJ62" s="1">
        <v>75.8</v>
      </c>
      <c r="AK62" s="1"/>
      <c r="AL62" s="1" t="s">
        <v>1537</v>
      </c>
      <c r="AM62" s="1" t="s">
        <v>1538</v>
      </c>
      <c r="AN62" s="1" t="s">
        <v>465</v>
      </c>
      <c r="AO62" s="1" t="s">
        <v>468</v>
      </c>
      <c r="AP62" s="1" t="s">
        <v>845</v>
      </c>
      <c r="AQ62" s="1">
        <v>90.33</v>
      </c>
      <c r="AR62" s="1"/>
      <c r="AS62" s="1"/>
      <c r="AT62" s="1"/>
      <c r="AU62" s="1"/>
      <c r="AV62" s="1"/>
      <c r="AW62" s="1"/>
      <c r="AX62" s="1"/>
      <c r="AY62" s="1" t="s">
        <v>415</v>
      </c>
      <c r="AZ62" s="1" t="s">
        <v>1539</v>
      </c>
      <c r="BA62" s="1" t="s">
        <v>466</v>
      </c>
      <c r="BB62" s="1" t="s">
        <v>467</v>
      </c>
      <c r="BC62" s="1" t="s">
        <v>847</v>
      </c>
      <c r="BD62" s="1" t="s">
        <v>848</v>
      </c>
      <c r="BE62" s="1">
        <v>68.62</v>
      </c>
      <c r="BF62" s="1">
        <v>7.61</v>
      </c>
      <c r="BG62" s="1"/>
      <c r="BH62" s="1"/>
      <c r="BI62" s="1"/>
      <c r="BJ62" s="1"/>
      <c r="BK62" s="1"/>
      <c r="BL62" s="1"/>
      <c r="BM62" s="1"/>
      <c r="BN62" s="1"/>
      <c r="BO62" s="1" t="s">
        <v>1540</v>
      </c>
      <c r="BP62" s="1"/>
      <c r="BQ62" s="1"/>
      <c r="BR62" s="1" t="s">
        <v>1541</v>
      </c>
      <c r="BS62" s="1">
        <v>24</v>
      </c>
      <c r="BT62" s="1"/>
      <c r="BU62" s="1" t="str">
        <f>HYPERLINK("https://nconnect.nicmar.ac.in/storage/profile/ProfilePhoto_P25700038_471395.jpg","Download")</f>
        <v>0</v>
      </c>
      <c r="BV62" s="3"/>
      <c r="BW62" s="3"/>
    </row>
    <row r="63" spans="1:75">
      <c r="A63" s="1" t="s">
        <v>75</v>
      </c>
      <c r="B63" s="1" t="s">
        <v>446</v>
      </c>
      <c r="C63" s="1" t="s">
        <v>1542</v>
      </c>
      <c r="D63" s="1" t="s">
        <v>1274</v>
      </c>
      <c r="E63" s="1" t="s">
        <v>1543</v>
      </c>
      <c r="F63" s="1" t="s">
        <v>1544</v>
      </c>
      <c r="G63" s="1" t="s">
        <v>1545</v>
      </c>
      <c r="H63" s="1" t="s">
        <v>1546</v>
      </c>
      <c r="I63" s="1" t="s">
        <v>1547</v>
      </c>
      <c r="J63" s="1">
        <v>9401658598</v>
      </c>
      <c r="K63" s="1" t="s">
        <v>84</v>
      </c>
      <c r="L63" s="1" t="s">
        <v>1548</v>
      </c>
      <c r="M63" s="1" t="s">
        <v>86</v>
      </c>
      <c r="N63" s="1" t="s">
        <v>1549</v>
      </c>
      <c r="O63" s="1"/>
      <c r="P63" s="1" t="s">
        <v>455</v>
      </c>
      <c r="Q63" s="1" t="s">
        <v>1550</v>
      </c>
      <c r="R63" s="1" t="s">
        <v>1551</v>
      </c>
      <c r="S63" s="1">
        <v>9706049288</v>
      </c>
      <c r="T63" s="1" t="s">
        <v>1552</v>
      </c>
      <c r="U63" s="1" t="s">
        <v>1553</v>
      </c>
      <c r="V63" s="1">
        <v>9435149288</v>
      </c>
      <c r="W63" s="1" t="s">
        <v>94</v>
      </c>
      <c r="X63" s="1" t="s">
        <v>1554</v>
      </c>
      <c r="Y63" s="1" t="s">
        <v>1555</v>
      </c>
      <c r="Z63" s="1" t="s">
        <v>1556</v>
      </c>
      <c r="AA63" s="1" t="s">
        <v>1554</v>
      </c>
      <c r="AB63" s="1" t="s">
        <v>1555</v>
      </c>
      <c r="AC63" s="1" t="s">
        <v>1556</v>
      </c>
      <c r="AD63" s="1">
        <v>8.85</v>
      </c>
      <c r="AE63" s="1" t="s">
        <v>98</v>
      </c>
      <c r="AF63" s="1" t="s">
        <v>1557</v>
      </c>
      <c r="AG63" s="1" t="s">
        <v>1558</v>
      </c>
      <c r="AH63" s="1" t="s">
        <v>1262</v>
      </c>
      <c r="AI63" s="1" t="s">
        <v>136</v>
      </c>
      <c r="AJ63" s="1">
        <v>81.7</v>
      </c>
      <c r="AK63" s="1">
        <v>8.6</v>
      </c>
      <c r="AL63" s="1" t="s">
        <v>1557</v>
      </c>
      <c r="AM63" s="1" t="s">
        <v>1558</v>
      </c>
      <c r="AN63" s="1" t="s">
        <v>465</v>
      </c>
      <c r="AO63" s="1" t="s">
        <v>627</v>
      </c>
      <c r="AP63" s="1" t="s">
        <v>573</v>
      </c>
      <c r="AQ63" s="1">
        <v>83.33</v>
      </c>
      <c r="AR63" s="1">
        <v>0</v>
      </c>
      <c r="AS63" s="1"/>
      <c r="AT63" s="1"/>
      <c r="AU63" s="1"/>
      <c r="AV63" s="1"/>
      <c r="AW63" s="1"/>
      <c r="AX63" s="1"/>
      <c r="AY63" s="1" t="s">
        <v>1559</v>
      </c>
      <c r="AZ63" s="1" t="s">
        <v>1560</v>
      </c>
      <c r="BA63" s="1" t="s">
        <v>682</v>
      </c>
      <c r="BB63" s="1" t="s">
        <v>1561</v>
      </c>
      <c r="BC63" s="1" t="s">
        <v>230</v>
      </c>
      <c r="BD63" s="1" t="s">
        <v>632</v>
      </c>
      <c r="BE63" s="1">
        <v>80.9</v>
      </c>
      <c r="BF63" s="1">
        <v>8.09</v>
      </c>
      <c r="BG63" s="1"/>
      <c r="BH63" s="1"/>
      <c r="BI63" s="1"/>
      <c r="BJ63" s="1"/>
      <c r="BK63" s="1"/>
      <c r="BL63" s="1"/>
      <c r="BM63" s="1"/>
      <c r="BN63" s="1"/>
      <c r="BO63" s="1" t="s">
        <v>1562</v>
      </c>
      <c r="BP63" s="1" t="s">
        <v>1563</v>
      </c>
      <c r="BQ63" s="1" t="s">
        <v>1564</v>
      </c>
      <c r="BR63" s="1" t="s">
        <v>1565</v>
      </c>
      <c r="BS63" s="1">
        <v>34</v>
      </c>
      <c r="BT63" s="1"/>
      <c r="BU63" s="1" t="str">
        <f>HYPERLINK("https://nconnect.nicmar.ac.in/storage/profile/ProfilePhoto_P25700039_852764.jpg","Download")</f>
        <v>0</v>
      </c>
      <c r="BV63" s="3"/>
      <c r="BW63" s="3"/>
    </row>
    <row r="64" spans="1:75">
      <c r="A64" s="1" t="s">
        <v>75</v>
      </c>
      <c r="B64" s="1" t="s">
        <v>446</v>
      </c>
      <c r="C64" s="1" t="s">
        <v>1566</v>
      </c>
      <c r="D64" s="1" t="s">
        <v>1567</v>
      </c>
      <c r="E64" s="1"/>
      <c r="F64" s="1" t="s">
        <v>1568</v>
      </c>
      <c r="G64" s="1" t="s">
        <v>1569</v>
      </c>
      <c r="H64" s="1" t="s">
        <v>1570</v>
      </c>
      <c r="I64" s="1" t="s">
        <v>1571</v>
      </c>
      <c r="J64" s="1">
        <v>8908946303</v>
      </c>
      <c r="K64" s="1" t="s">
        <v>153</v>
      </c>
      <c r="L64" s="1" t="s">
        <v>1572</v>
      </c>
      <c r="M64" s="1" t="s">
        <v>86</v>
      </c>
      <c r="N64" s="1" t="s">
        <v>1573</v>
      </c>
      <c r="O64" s="1"/>
      <c r="P64" s="1" t="s">
        <v>481</v>
      </c>
      <c r="Q64" s="1" t="s">
        <v>1574</v>
      </c>
      <c r="R64" s="1" t="s">
        <v>1575</v>
      </c>
      <c r="S64" s="1">
        <v>9938577168</v>
      </c>
      <c r="T64" s="1" t="s">
        <v>125</v>
      </c>
      <c r="U64" s="1" t="s">
        <v>1576</v>
      </c>
      <c r="V64" s="1">
        <v>9938139502</v>
      </c>
      <c r="W64" s="1" t="s">
        <v>1577</v>
      </c>
      <c r="X64" s="1" t="s">
        <v>1578</v>
      </c>
      <c r="Y64" s="1" t="s">
        <v>1259</v>
      </c>
      <c r="Z64" s="1" t="s">
        <v>865</v>
      </c>
      <c r="AA64" s="1" t="s">
        <v>1578</v>
      </c>
      <c r="AB64" s="1" t="s">
        <v>1259</v>
      </c>
      <c r="AC64" s="1" t="s">
        <v>865</v>
      </c>
      <c r="AD64" s="1">
        <v>8.64</v>
      </c>
      <c r="AE64" s="1" t="s">
        <v>98</v>
      </c>
      <c r="AF64" s="1" t="s">
        <v>1579</v>
      </c>
      <c r="AG64" s="1" t="s">
        <v>1580</v>
      </c>
      <c r="AH64" s="1" t="s">
        <v>133</v>
      </c>
      <c r="AI64" s="1" t="s">
        <v>134</v>
      </c>
      <c r="AJ64" s="1">
        <v>91.2</v>
      </c>
      <c r="AK64" s="1">
        <v>9.6</v>
      </c>
      <c r="AL64" s="1" t="s">
        <v>1581</v>
      </c>
      <c r="AM64" s="1" t="s">
        <v>1582</v>
      </c>
      <c r="AN64" s="1" t="s">
        <v>575</v>
      </c>
      <c r="AO64" s="1" t="s">
        <v>1583</v>
      </c>
      <c r="AP64" s="1" t="s">
        <v>166</v>
      </c>
      <c r="AQ64" s="1">
        <v>68.33</v>
      </c>
      <c r="AR64" s="1"/>
      <c r="AS64" s="1"/>
      <c r="AT64" s="1"/>
      <c r="AU64" s="1"/>
      <c r="AV64" s="1"/>
      <c r="AW64" s="1"/>
      <c r="AX64" s="1"/>
      <c r="AY64" s="1" t="s">
        <v>1584</v>
      </c>
      <c r="AZ64" s="1" t="s">
        <v>1584</v>
      </c>
      <c r="BA64" s="1" t="s">
        <v>466</v>
      </c>
      <c r="BB64" s="1" t="s">
        <v>1585</v>
      </c>
      <c r="BC64" s="1" t="s">
        <v>230</v>
      </c>
      <c r="BD64" s="1" t="s">
        <v>1400</v>
      </c>
      <c r="BE64" s="1">
        <v>62.5</v>
      </c>
      <c r="BF64" s="1">
        <v>6.75</v>
      </c>
      <c r="BG64" s="1" t="s">
        <v>1584</v>
      </c>
      <c r="BH64" s="1" t="s">
        <v>1586</v>
      </c>
      <c r="BI64" s="1"/>
      <c r="BJ64" s="1"/>
      <c r="BK64" s="1" t="s">
        <v>230</v>
      </c>
      <c r="BL64" s="1" t="s">
        <v>1400</v>
      </c>
      <c r="BM64" s="1">
        <v>79.8</v>
      </c>
      <c r="BN64" s="1">
        <v>8.39</v>
      </c>
      <c r="BO64" s="1" t="s">
        <v>1587</v>
      </c>
      <c r="BP64" s="1"/>
      <c r="BQ64" s="1"/>
      <c r="BR64" s="1" t="s">
        <v>1588</v>
      </c>
      <c r="BS64" s="1">
        <v>70</v>
      </c>
      <c r="BT64" s="1"/>
      <c r="BU64" s="1" t="str">
        <f>HYPERLINK("https://nconnect.nicmar.ac.in/storage/profile/ProfilePhoto_P25700041_954768.jpg","Download")</f>
        <v>0</v>
      </c>
      <c r="BV64" s="3"/>
      <c r="BW64" s="3"/>
    </row>
    <row r="65" spans="1:75">
      <c r="A65" s="1" t="s">
        <v>75</v>
      </c>
      <c r="B65" s="1" t="s">
        <v>446</v>
      </c>
      <c r="C65" s="1" t="s">
        <v>1589</v>
      </c>
      <c r="D65" s="1" t="s">
        <v>1590</v>
      </c>
      <c r="E65" s="1"/>
      <c r="F65" s="1" t="s">
        <v>116</v>
      </c>
      <c r="G65" s="1" t="s">
        <v>1591</v>
      </c>
      <c r="H65" s="1" t="s">
        <v>1592</v>
      </c>
      <c r="I65" s="1" t="s">
        <v>1593</v>
      </c>
      <c r="J65" s="1">
        <v>9422648317</v>
      </c>
      <c r="K65" s="1" t="s">
        <v>153</v>
      </c>
      <c r="L65" s="1" t="s">
        <v>1594</v>
      </c>
      <c r="M65" s="1" t="s">
        <v>86</v>
      </c>
      <c r="N65" s="1" t="s">
        <v>1595</v>
      </c>
      <c r="O65" s="1"/>
      <c r="P65" s="1" t="s">
        <v>481</v>
      </c>
      <c r="Q65" s="1" t="s">
        <v>1596</v>
      </c>
      <c r="R65" s="1" t="s">
        <v>1597</v>
      </c>
      <c r="S65" s="1">
        <v>8446177702</v>
      </c>
      <c r="T65" s="1" t="s">
        <v>645</v>
      </c>
      <c r="U65" s="1" t="s">
        <v>1598</v>
      </c>
      <c r="V65" s="1">
        <v>9404289015</v>
      </c>
      <c r="W65" s="1" t="s">
        <v>541</v>
      </c>
      <c r="X65" s="1" t="s">
        <v>1599</v>
      </c>
      <c r="Y65" s="1" t="s">
        <v>163</v>
      </c>
      <c r="Z65" s="1" t="s">
        <v>97</v>
      </c>
      <c r="AA65" s="1" t="s">
        <v>1599</v>
      </c>
      <c r="AB65" s="1" t="s">
        <v>163</v>
      </c>
      <c r="AC65" s="1" t="s">
        <v>97</v>
      </c>
      <c r="AD65" s="1">
        <v>8.79</v>
      </c>
      <c r="AE65" s="1" t="s">
        <v>98</v>
      </c>
      <c r="AF65" s="1" t="s">
        <v>1600</v>
      </c>
      <c r="AG65" s="1" t="s">
        <v>1601</v>
      </c>
      <c r="AH65" s="1" t="s">
        <v>1602</v>
      </c>
      <c r="AI65" s="1" t="s">
        <v>166</v>
      </c>
      <c r="AJ65" s="1">
        <v>94</v>
      </c>
      <c r="AK65" s="1"/>
      <c r="AL65" s="1" t="s">
        <v>1603</v>
      </c>
      <c r="AM65" s="1" t="s">
        <v>1601</v>
      </c>
      <c r="AN65" s="1"/>
      <c r="AO65" s="1" t="s">
        <v>166</v>
      </c>
      <c r="AP65" s="1" t="s">
        <v>573</v>
      </c>
      <c r="AQ65" s="1">
        <v>91.1</v>
      </c>
      <c r="AR65" s="1"/>
      <c r="AS65" s="1"/>
      <c r="AT65" s="1"/>
      <c r="AU65" s="1"/>
      <c r="AV65" s="1"/>
      <c r="AW65" s="1"/>
      <c r="AX65" s="1"/>
      <c r="AY65" s="1" t="s">
        <v>1604</v>
      </c>
      <c r="AZ65" s="1" t="s">
        <v>1605</v>
      </c>
      <c r="BA65" s="1"/>
      <c r="BB65" s="1"/>
      <c r="BC65" s="1" t="s">
        <v>230</v>
      </c>
      <c r="BD65" s="1" t="s">
        <v>847</v>
      </c>
      <c r="BE65" s="1">
        <v>75.09</v>
      </c>
      <c r="BF65" s="1">
        <v>8.91</v>
      </c>
      <c r="BG65" s="1" t="s">
        <v>1606</v>
      </c>
      <c r="BH65" s="1" t="s">
        <v>1586</v>
      </c>
      <c r="BI65" s="1"/>
      <c r="BJ65" s="1"/>
      <c r="BK65" s="1" t="s">
        <v>441</v>
      </c>
      <c r="BL65" s="1" t="s">
        <v>179</v>
      </c>
      <c r="BM65" s="1">
        <v>81.57</v>
      </c>
      <c r="BN65" s="1">
        <v>9.08</v>
      </c>
      <c r="BO65" s="1" t="s">
        <v>1607</v>
      </c>
      <c r="BP65" s="1" t="s">
        <v>1608</v>
      </c>
      <c r="BQ65" s="1" t="s">
        <v>1174</v>
      </c>
      <c r="BR65" s="1" t="s">
        <v>1609</v>
      </c>
      <c r="BS65" s="1">
        <v>60</v>
      </c>
      <c r="BT65" s="1"/>
      <c r="BU65" s="1" t="str">
        <f>HYPERLINK("https://nconnect.nicmar.ac.in/storage/profile/ProfilePhoto_P25700042_851493.jpg","Download")</f>
        <v>0</v>
      </c>
      <c r="BV65" s="3"/>
      <c r="BW65" s="3"/>
    </row>
    <row r="66" spans="1:75">
      <c r="A66" s="1" t="s">
        <v>75</v>
      </c>
      <c r="B66" s="1" t="s">
        <v>446</v>
      </c>
      <c r="C66" s="1" t="s">
        <v>1610</v>
      </c>
      <c r="D66" s="1" t="s">
        <v>1611</v>
      </c>
      <c r="E66" s="1" t="s">
        <v>1612</v>
      </c>
      <c r="F66" s="1" t="s">
        <v>1179</v>
      </c>
      <c r="G66" s="1" t="s">
        <v>1613</v>
      </c>
      <c r="H66" s="1" t="s">
        <v>1614</v>
      </c>
      <c r="I66" s="1" t="s">
        <v>1615</v>
      </c>
      <c r="J66" s="1">
        <v>9019547321</v>
      </c>
      <c r="K66" s="1" t="s">
        <v>153</v>
      </c>
      <c r="L66" s="1" t="s">
        <v>1616</v>
      </c>
      <c r="M66" s="1" t="s">
        <v>86</v>
      </c>
      <c r="N66" s="1" t="s">
        <v>1617</v>
      </c>
      <c r="O66" s="1"/>
      <c r="P66" s="1" t="s">
        <v>507</v>
      </c>
      <c r="Q66" s="1" t="s">
        <v>1618</v>
      </c>
      <c r="R66" s="1" t="s">
        <v>1619</v>
      </c>
      <c r="S66" s="1">
        <v>9845254251</v>
      </c>
      <c r="T66" s="1" t="s">
        <v>1620</v>
      </c>
      <c r="U66" s="1" t="s">
        <v>1621</v>
      </c>
      <c r="V66" s="1">
        <v>9880954991</v>
      </c>
      <c r="W66" s="1" t="s">
        <v>541</v>
      </c>
      <c r="X66" s="1" t="s">
        <v>1622</v>
      </c>
      <c r="Y66" s="1" t="s">
        <v>1623</v>
      </c>
      <c r="Z66" s="1" t="s">
        <v>1210</v>
      </c>
      <c r="AA66" s="1" t="s">
        <v>1622</v>
      </c>
      <c r="AB66" s="1" t="s">
        <v>1623</v>
      </c>
      <c r="AC66" s="1" t="s">
        <v>1210</v>
      </c>
      <c r="AD66" s="1">
        <v>8.92</v>
      </c>
      <c r="AE66" s="1" t="s">
        <v>98</v>
      </c>
      <c r="AF66" s="1" t="s">
        <v>1624</v>
      </c>
      <c r="AG66" s="1" t="s">
        <v>312</v>
      </c>
      <c r="AH66" s="1" t="s">
        <v>136</v>
      </c>
      <c r="AI66" s="1" t="s">
        <v>1111</v>
      </c>
      <c r="AJ66" s="1">
        <v>87.4</v>
      </c>
      <c r="AK66" s="1"/>
      <c r="AL66" s="1" t="s">
        <v>1625</v>
      </c>
      <c r="AM66" s="1" t="s">
        <v>1626</v>
      </c>
      <c r="AN66" s="1" t="s">
        <v>575</v>
      </c>
      <c r="AO66" s="1" t="s">
        <v>167</v>
      </c>
      <c r="AP66" s="1" t="s">
        <v>106</v>
      </c>
      <c r="AQ66" s="1">
        <v>70.66</v>
      </c>
      <c r="AR66" s="1"/>
      <c r="AS66" s="1"/>
      <c r="AT66" s="1"/>
      <c r="AU66" s="1"/>
      <c r="AV66" s="1"/>
      <c r="AW66" s="1"/>
      <c r="AX66" s="1"/>
      <c r="AY66" s="1" t="s">
        <v>1627</v>
      </c>
      <c r="AZ66" s="1" t="s">
        <v>1628</v>
      </c>
      <c r="BA66" s="1" t="s">
        <v>682</v>
      </c>
      <c r="BB66" s="1" t="s">
        <v>1561</v>
      </c>
      <c r="BC66" s="1" t="s">
        <v>174</v>
      </c>
      <c r="BD66" s="1" t="s">
        <v>234</v>
      </c>
      <c r="BE66" s="1">
        <v>66.9</v>
      </c>
      <c r="BF66" s="1"/>
      <c r="BG66" s="1"/>
      <c r="BH66" s="1"/>
      <c r="BI66" s="1"/>
      <c r="BJ66" s="1"/>
      <c r="BK66" s="1"/>
      <c r="BL66" s="1"/>
      <c r="BM66" s="1"/>
      <c r="BN66" s="1"/>
      <c r="BO66" s="1" t="s">
        <v>1629</v>
      </c>
      <c r="BP66" s="1" t="s">
        <v>1630</v>
      </c>
      <c r="BQ66" s="1" t="s">
        <v>1174</v>
      </c>
      <c r="BR66" s="1" t="s">
        <v>1631</v>
      </c>
      <c r="BS66" s="1">
        <v>25</v>
      </c>
      <c r="BT66" s="1"/>
      <c r="BU66" s="1" t="str">
        <f>HYPERLINK("https://nconnect.nicmar.ac.in/storage/profile/ProfilePhoto_P25700043_197362.jpg","Download")</f>
        <v>0</v>
      </c>
      <c r="BV66" s="3"/>
      <c r="BW66" s="3"/>
    </row>
    <row r="67" spans="1:75">
      <c r="A67" s="1" t="s">
        <v>75</v>
      </c>
      <c r="B67" s="1" t="s">
        <v>446</v>
      </c>
      <c r="C67" s="1" t="s">
        <v>1632</v>
      </c>
      <c r="D67" s="1" t="s">
        <v>1633</v>
      </c>
      <c r="E67" s="1" t="s">
        <v>1487</v>
      </c>
      <c r="F67" s="1" t="s">
        <v>1634</v>
      </c>
      <c r="G67" s="1" t="s">
        <v>1635</v>
      </c>
      <c r="H67" s="1" t="s">
        <v>1636</v>
      </c>
      <c r="I67" s="1" t="s">
        <v>1637</v>
      </c>
      <c r="J67" s="1">
        <v>9447652134</v>
      </c>
      <c r="K67" s="1" t="s">
        <v>84</v>
      </c>
      <c r="L67" s="1" t="s">
        <v>1638</v>
      </c>
      <c r="M67" s="1" t="s">
        <v>86</v>
      </c>
      <c r="N67" s="1" t="s">
        <v>1639</v>
      </c>
      <c r="O67" s="1"/>
      <c r="P67" s="1" t="s">
        <v>455</v>
      </c>
      <c r="Q67" s="1" t="s">
        <v>1640</v>
      </c>
      <c r="R67" s="1" t="s">
        <v>1641</v>
      </c>
      <c r="S67" s="1">
        <v>9447396900</v>
      </c>
      <c r="T67" s="1" t="s">
        <v>926</v>
      </c>
      <c r="U67" s="1" t="s">
        <v>1642</v>
      </c>
      <c r="V67" s="1">
        <v>9207595826</v>
      </c>
      <c r="W67" s="1" t="s">
        <v>127</v>
      </c>
      <c r="X67" s="1" t="s">
        <v>1643</v>
      </c>
      <c r="Y67" s="1" t="s">
        <v>701</v>
      </c>
      <c r="Z67" s="1" t="s">
        <v>130</v>
      </c>
      <c r="AA67" s="1" t="s">
        <v>1643</v>
      </c>
      <c r="AB67" s="1" t="s">
        <v>701</v>
      </c>
      <c r="AC67" s="1" t="s">
        <v>130</v>
      </c>
      <c r="AD67" s="1">
        <v>8.56</v>
      </c>
      <c r="AE67" s="1" t="s">
        <v>98</v>
      </c>
      <c r="AF67" s="1" t="s">
        <v>1644</v>
      </c>
      <c r="AG67" s="1" t="s">
        <v>705</v>
      </c>
      <c r="AH67" s="1" t="s">
        <v>170</v>
      </c>
      <c r="AI67" s="1" t="s">
        <v>171</v>
      </c>
      <c r="AJ67" s="1">
        <v>91</v>
      </c>
      <c r="AK67" s="1"/>
      <c r="AL67" s="1" t="s">
        <v>1644</v>
      </c>
      <c r="AM67" s="1" t="s">
        <v>705</v>
      </c>
      <c r="AN67" s="1"/>
      <c r="AO67" s="1" t="s">
        <v>438</v>
      </c>
      <c r="AP67" s="1" t="s">
        <v>178</v>
      </c>
      <c r="AQ67" s="1">
        <v>89.2</v>
      </c>
      <c r="AR67" s="1"/>
      <c r="AS67" s="1"/>
      <c r="AT67" s="1"/>
      <c r="AU67" s="1"/>
      <c r="AV67" s="1"/>
      <c r="AW67" s="1"/>
      <c r="AX67" s="1"/>
      <c r="AY67" s="1" t="s">
        <v>1645</v>
      </c>
      <c r="AZ67" s="1" t="s">
        <v>1646</v>
      </c>
      <c r="BA67" s="1"/>
      <c r="BB67" s="1"/>
      <c r="BC67" s="1" t="s">
        <v>1647</v>
      </c>
      <c r="BD67" s="1" t="s">
        <v>1089</v>
      </c>
      <c r="BE67" s="1">
        <v>76.6</v>
      </c>
      <c r="BF67" s="1"/>
      <c r="BG67" s="1"/>
      <c r="BH67" s="1"/>
      <c r="BI67" s="1"/>
      <c r="BJ67" s="1"/>
      <c r="BK67" s="1"/>
      <c r="BL67" s="1"/>
      <c r="BM67" s="1"/>
      <c r="BN67" s="1"/>
      <c r="BO67" s="1" t="s">
        <v>1114</v>
      </c>
      <c r="BP67" s="1"/>
      <c r="BQ67" s="1"/>
      <c r="BR67" s="1" t="s">
        <v>1648</v>
      </c>
      <c r="BS67" s="1">
        <v>9</v>
      </c>
      <c r="BT67" s="1"/>
      <c r="BU67" s="1" t="str">
        <f>HYPERLINK("https://nconnect.nicmar.ac.in/storage/profile/ProfilePhoto_P25700044_489275.jpg","Download")</f>
        <v>0</v>
      </c>
      <c r="BV67" s="3"/>
      <c r="BW67" s="4">
        <v>1</v>
      </c>
    </row>
    <row r="68" spans="1:75">
      <c r="A68" s="1" t="s">
        <v>75</v>
      </c>
      <c r="B68" s="1" t="s">
        <v>446</v>
      </c>
      <c r="C68" s="1" t="s">
        <v>1649</v>
      </c>
      <c r="D68" s="1" t="s">
        <v>1650</v>
      </c>
      <c r="E68" s="1"/>
      <c r="F68" s="1" t="s">
        <v>1651</v>
      </c>
      <c r="G68" s="1" t="s">
        <v>1652</v>
      </c>
      <c r="H68" s="1" t="s">
        <v>1653</v>
      </c>
      <c r="I68" s="1" t="s">
        <v>1654</v>
      </c>
      <c r="J68" s="1">
        <v>9746445008</v>
      </c>
      <c r="K68" s="1" t="s">
        <v>84</v>
      </c>
      <c r="L68" s="1" t="s">
        <v>1655</v>
      </c>
      <c r="M68" s="1" t="s">
        <v>86</v>
      </c>
      <c r="N68" s="1" t="s">
        <v>1656</v>
      </c>
      <c r="O68" s="1"/>
      <c r="P68" s="1" t="s">
        <v>455</v>
      </c>
      <c r="Q68" s="1" t="s">
        <v>1657</v>
      </c>
      <c r="R68" s="1" t="s">
        <v>1658</v>
      </c>
      <c r="S68" s="1">
        <v>9744517376</v>
      </c>
      <c r="T68" s="1" t="s">
        <v>839</v>
      </c>
      <c r="U68" s="1" t="s">
        <v>1659</v>
      </c>
      <c r="V68" s="1">
        <v>9744517376</v>
      </c>
      <c r="W68" s="1" t="s">
        <v>161</v>
      </c>
      <c r="X68" s="1" t="s">
        <v>1660</v>
      </c>
      <c r="Y68" s="1" t="s">
        <v>129</v>
      </c>
      <c r="Z68" s="1" t="s">
        <v>130</v>
      </c>
      <c r="AA68" s="1" t="s">
        <v>1660</v>
      </c>
      <c r="AB68" s="1" t="s">
        <v>129</v>
      </c>
      <c r="AC68" s="1" t="s">
        <v>130</v>
      </c>
      <c r="AD68" s="1">
        <v>8.26</v>
      </c>
      <c r="AE68" s="1" t="s">
        <v>98</v>
      </c>
      <c r="AF68" s="1" t="s">
        <v>1661</v>
      </c>
      <c r="AG68" s="1" t="s">
        <v>1662</v>
      </c>
      <c r="AH68" s="1" t="s">
        <v>167</v>
      </c>
      <c r="AI68" s="1" t="s">
        <v>170</v>
      </c>
      <c r="AJ68" s="1">
        <v>91.2</v>
      </c>
      <c r="AK68" s="1">
        <v>9.6</v>
      </c>
      <c r="AL68" s="1" t="s">
        <v>1661</v>
      </c>
      <c r="AM68" s="1" t="s">
        <v>1662</v>
      </c>
      <c r="AN68" s="1"/>
      <c r="AO68" s="1" t="s">
        <v>171</v>
      </c>
      <c r="AP68" s="1" t="s">
        <v>313</v>
      </c>
      <c r="AQ68" s="1">
        <v>77.6</v>
      </c>
      <c r="AR68" s="1">
        <v>8.17</v>
      </c>
      <c r="AS68" s="1"/>
      <c r="AT68" s="1"/>
      <c r="AU68" s="1"/>
      <c r="AV68" s="1"/>
      <c r="AW68" s="1"/>
      <c r="AX68" s="1"/>
      <c r="AY68" s="1" t="s">
        <v>1663</v>
      </c>
      <c r="AZ68" s="1" t="s">
        <v>1664</v>
      </c>
      <c r="BA68" s="1"/>
      <c r="BB68" s="1"/>
      <c r="BC68" s="1" t="s">
        <v>417</v>
      </c>
      <c r="BD68" s="1" t="s">
        <v>418</v>
      </c>
      <c r="BE68" s="1">
        <v>71.3</v>
      </c>
      <c r="BF68" s="1">
        <v>7.13</v>
      </c>
      <c r="BG68" s="1"/>
      <c r="BH68" s="1"/>
      <c r="BI68" s="1"/>
      <c r="BJ68" s="1"/>
      <c r="BK68" s="1"/>
      <c r="BL68" s="1"/>
      <c r="BM68" s="1"/>
      <c r="BN68" s="1"/>
      <c r="BO68" s="1" t="s">
        <v>260</v>
      </c>
      <c r="BP68" s="1"/>
      <c r="BQ68" s="1"/>
      <c r="BR68" s="1" t="s">
        <v>1665</v>
      </c>
      <c r="BS68" s="1">
        <v>8</v>
      </c>
      <c r="BT68" s="1" t="s">
        <v>1666</v>
      </c>
      <c r="BU68" s="1" t="str">
        <f>HYPERLINK("https://nconnect.nicmar.ac.in/storage/profile/ProfilePhoto_P25700045_159487.jpg","Download")</f>
        <v>0</v>
      </c>
      <c r="BV68" s="3"/>
      <c r="BW68" s="3"/>
    </row>
    <row r="69" spans="1:75">
      <c r="A69" s="1" t="s">
        <v>75</v>
      </c>
      <c r="B69" s="1" t="s">
        <v>446</v>
      </c>
      <c r="C69" s="1" t="s">
        <v>1667</v>
      </c>
      <c r="D69" s="1" t="s">
        <v>1668</v>
      </c>
      <c r="E69" s="1" t="s">
        <v>1669</v>
      </c>
      <c r="F69" s="1" t="s">
        <v>1670</v>
      </c>
      <c r="G69" s="1" t="s">
        <v>1671</v>
      </c>
      <c r="H69" s="1" t="s">
        <v>1672</v>
      </c>
      <c r="I69" s="1" t="s">
        <v>1673</v>
      </c>
      <c r="J69" s="1">
        <v>9545927573</v>
      </c>
      <c r="K69" s="1" t="s">
        <v>153</v>
      </c>
      <c r="L69" s="1" t="s">
        <v>1674</v>
      </c>
      <c r="M69" s="1" t="s">
        <v>86</v>
      </c>
      <c r="N69" s="1" t="s">
        <v>1163</v>
      </c>
      <c r="O69" s="1"/>
      <c r="P69" s="1" t="s">
        <v>507</v>
      </c>
      <c r="Q69" s="1" t="s">
        <v>1675</v>
      </c>
      <c r="R69" s="1" t="s">
        <v>1676</v>
      </c>
      <c r="S69" s="1">
        <v>9579424990</v>
      </c>
      <c r="T69" s="1" t="s">
        <v>839</v>
      </c>
      <c r="U69" s="1" t="s">
        <v>1677</v>
      </c>
      <c r="V69" s="1">
        <v>9673653672</v>
      </c>
      <c r="W69" s="1" t="s">
        <v>1678</v>
      </c>
      <c r="X69" s="1" t="s">
        <v>1679</v>
      </c>
      <c r="Y69" s="1" t="s">
        <v>196</v>
      </c>
      <c r="Z69" s="1" t="s">
        <v>97</v>
      </c>
      <c r="AA69" s="1" t="s">
        <v>1679</v>
      </c>
      <c r="AB69" s="1" t="s">
        <v>196</v>
      </c>
      <c r="AC69" s="1" t="s">
        <v>97</v>
      </c>
      <c r="AD69" s="1">
        <v>8.59</v>
      </c>
      <c r="AE69" s="1" t="s">
        <v>98</v>
      </c>
      <c r="AF69" s="1" t="s">
        <v>1680</v>
      </c>
      <c r="AG69" s="1" t="s">
        <v>1681</v>
      </c>
      <c r="AH69" s="1" t="s">
        <v>167</v>
      </c>
      <c r="AI69" s="1" t="s">
        <v>200</v>
      </c>
      <c r="AJ69" s="1">
        <v>86.6</v>
      </c>
      <c r="AK69" s="1"/>
      <c r="AL69" s="1"/>
      <c r="AM69" s="1"/>
      <c r="AN69" s="1"/>
      <c r="AO69" s="1"/>
      <c r="AP69" s="1"/>
      <c r="AQ69" s="1"/>
      <c r="AR69" s="1"/>
      <c r="AS69" s="1" t="s">
        <v>103</v>
      </c>
      <c r="AT69" s="1" t="s">
        <v>1682</v>
      </c>
      <c r="AU69" s="1" t="s">
        <v>230</v>
      </c>
      <c r="AV69" s="1" t="s">
        <v>417</v>
      </c>
      <c r="AW69" s="1">
        <v>84.38</v>
      </c>
      <c r="AX69" s="1">
        <v>8.9</v>
      </c>
      <c r="AY69" s="1" t="s">
        <v>366</v>
      </c>
      <c r="AZ69" s="1" t="s">
        <v>1683</v>
      </c>
      <c r="BA69" s="1"/>
      <c r="BB69" s="1"/>
      <c r="BC69" s="1" t="s">
        <v>368</v>
      </c>
      <c r="BD69" s="1" t="s">
        <v>955</v>
      </c>
      <c r="BE69" s="1">
        <v>73.07</v>
      </c>
      <c r="BF69" s="1">
        <v>8.21</v>
      </c>
      <c r="BG69" s="1"/>
      <c r="BH69" s="1"/>
      <c r="BI69" s="1"/>
      <c r="BJ69" s="1"/>
      <c r="BK69" s="1"/>
      <c r="BL69" s="1"/>
      <c r="BM69" s="1"/>
      <c r="BN69" s="1"/>
      <c r="BO69" s="1" t="s">
        <v>1684</v>
      </c>
      <c r="BP69" s="1" t="s">
        <v>1685</v>
      </c>
      <c r="BQ69" s="1" t="s">
        <v>1152</v>
      </c>
      <c r="BR69" s="1" t="s">
        <v>1686</v>
      </c>
      <c r="BS69" s="1">
        <v>12</v>
      </c>
      <c r="BT69" s="1"/>
      <c r="BU69" s="1" t="str">
        <f>HYPERLINK("https://nconnect.nicmar.ac.in/storage/profile/ProfilePhoto_P25700046_792813.jpg","Download")</f>
        <v>0</v>
      </c>
      <c r="BV69" s="3"/>
      <c r="BW69" s="3"/>
    </row>
    <row r="70" spans="1:75">
      <c r="A70" s="1" t="s">
        <v>75</v>
      </c>
      <c r="B70" s="1" t="s">
        <v>446</v>
      </c>
      <c r="C70" s="1" t="s">
        <v>1687</v>
      </c>
      <c r="D70" s="1" t="s">
        <v>1021</v>
      </c>
      <c r="E70" s="1"/>
      <c r="F70" s="1" t="s">
        <v>350</v>
      </c>
      <c r="G70" s="1" t="s">
        <v>1688</v>
      </c>
      <c r="H70" s="1" t="s">
        <v>1689</v>
      </c>
      <c r="I70" s="1" t="s">
        <v>1690</v>
      </c>
      <c r="J70" s="1">
        <v>8168493770</v>
      </c>
      <c r="K70" s="1" t="s">
        <v>84</v>
      </c>
      <c r="L70" s="1" t="s">
        <v>1691</v>
      </c>
      <c r="M70" s="1" t="s">
        <v>86</v>
      </c>
      <c r="N70" s="1" t="s">
        <v>87</v>
      </c>
      <c r="O70" s="1" t="s">
        <v>1692</v>
      </c>
      <c r="P70" s="1" t="s">
        <v>1693</v>
      </c>
      <c r="Q70" s="1" t="s">
        <v>1694</v>
      </c>
      <c r="R70" s="1" t="s">
        <v>1695</v>
      </c>
      <c r="S70" s="1">
        <v>9596992288</v>
      </c>
      <c r="T70" s="1" t="s">
        <v>1696</v>
      </c>
      <c r="U70" s="1" t="s">
        <v>1697</v>
      </c>
      <c r="V70" s="1">
        <v>7006547114</v>
      </c>
      <c r="W70" s="1" t="s">
        <v>161</v>
      </c>
      <c r="X70" s="1" t="s">
        <v>1698</v>
      </c>
      <c r="Y70" s="1" t="s">
        <v>1699</v>
      </c>
      <c r="Z70" s="1" t="s">
        <v>1700</v>
      </c>
      <c r="AA70" s="1" t="s">
        <v>1701</v>
      </c>
      <c r="AB70" s="1" t="s">
        <v>1699</v>
      </c>
      <c r="AC70" s="1" t="s">
        <v>1700</v>
      </c>
      <c r="AD70" s="1">
        <v>7.67</v>
      </c>
      <c r="AE70" s="1" t="s">
        <v>98</v>
      </c>
      <c r="AF70" s="1" t="s">
        <v>1702</v>
      </c>
      <c r="AG70" s="1" t="s">
        <v>796</v>
      </c>
      <c r="AH70" s="1" t="s">
        <v>284</v>
      </c>
      <c r="AI70" s="1" t="s">
        <v>170</v>
      </c>
      <c r="AJ70" s="1">
        <v>66.5</v>
      </c>
      <c r="AK70" s="1">
        <v>7</v>
      </c>
      <c r="AL70" s="1" t="s">
        <v>1703</v>
      </c>
      <c r="AM70" s="1" t="s">
        <v>796</v>
      </c>
      <c r="AN70" s="1"/>
      <c r="AO70" s="1" t="s">
        <v>547</v>
      </c>
      <c r="AP70" s="1" t="s">
        <v>178</v>
      </c>
      <c r="AQ70" s="1">
        <v>67.2</v>
      </c>
      <c r="AR70" s="1"/>
      <c r="AS70" s="1"/>
      <c r="AT70" s="1"/>
      <c r="AU70" s="1"/>
      <c r="AV70" s="1"/>
      <c r="AW70" s="1"/>
      <c r="AX70" s="1"/>
      <c r="AY70" s="1" t="s">
        <v>1704</v>
      </c>
      <c r="AZ70" s="1" t="s">
        <v>1704</v>
      </c>
      <c r="BA70" s="1"/>
      <c r="BB70" s="1"/>
      <c r="BC70" s="1" t="s">
        <v>1040</v>
      </c>
      <c r="BD70" s="1" t="s">
        <v>207</v>
      </c>
      <c r="BE70" s="1">
        <v>66.33</v>
      </c>
      <c r="BF70" s="1">
        <v>7.06</v>
      </c>
      <c r="BG70" s="1"/>
      <c r="BH70" s="1"/>
      <c r="BI70" s="1"/>
      <c r="BJ70" s="1"/>
      <c r="BK70" s="1"/>
      <c r="BL70" s="1"/>
      <c r="BM70" s="1"/>
      <c r="BN70" s="1"/>
      <c r="BO70" s="1" t="s">
        <v>1705</v>
      </c>
      <c r="BP70" s="1"/>
      <c r="BQ70" s="1"/>
      <c r="BR70" s="1" t="s">
        <v>1706</v>
      </c>
      <c r="BS70" s="1">
        <v>27</v>
      </c>
      <c r="BT70" s="1"/>
      <c r="BU70" s="1" t="str">
        <f>HYPERLINK("https://nconnect.nicmar.ac.in/storage/profile/6a64976dc8482.png","Download")</f>
        <v>0</v>
      </c>
      <c r="BV70" s="3"/>
      <c r="BW70" s="3"/>
    </row>
    <row r="71" spans="1:75">
      <c r="A71" s="1" t="s">
        <v>75</v>
      </c>
      <c r="B71" s="1" t="s">
        <v>446</v>
      </c>
      <c r="C71" s="1" t="s">
        <v>1707</v>
      </c>
      <c r="D71" s="1" t="s">
        <v>1708</v>
      </c>
      <c r="E71" s="1"/>
      <c r="F71" s="1" t="s">
        <v>1709</v>
      </c>
      <c r="G71" s="1" t="s">
        <v>1710</v>
      </c>
      <c r="H71" s="1" t="s">
        <v>1711</v>
      </c>
      <c r="I71" s="1" t="s">
        <v>1712</v>
      </c>
      <c r="J71" s="1">
        <v>8135049350</v>
      </c>
      <c r="K71" s="1" t="s">
        <v>153</v>
      </c>
      <c r="L71" s="1" t="s">
        <v>1713</v>
      </c>
      <c r="M71" s="1" t="s">
        <v>86</v>
      </c>
      <c r="N71" s="1" t="s">
        <v>1714</v>
      </c>
      <c r="O71" s="1"/>
      <c r="P71" s="1" t="s">
        <v>455</v>
      </c>
      <c r="Q71" s="1" t="s">
        <v>1715</v>
      </c>
      <c r="R71" s="1" t="s">
        <v>1716</v>
      </c>
      <c r="S71" s="1">
        <v>9435038726</v>
      </c>
      <c r="T71" s="1" t="s">
        <v>839</v>
      </c>
      <c r="U71" s="1" t="s">
        <v>1717</v>
      </c>
      <c r="V71" s="1">
        <v>9954414709</v>
      </c>
      <c r="W71" s="1" t="s">
        <v>161</v>
      </c>
      <c r="X71" s="1" t="s">
        <v>1718</v>
      </c>
      <c r="Y71" s="1" t="s">
        <v>1719</v>
      </c>
      <c r="Z71" s="1" t="s">
        <v>1556</v>
      </c>
      <c r="AA71" s="1" t="s">
        <v>1718</v>
      </c>
      <c r="AB71" s="1" t="s">
        <v>1719</v>
      </c>
      <c r="AC71" s="1" t="s">
        <v>1556</v>
      </c>
      <c r="AD71" s="1">
        <v>8.46</v>
      </c>
      <c r="AE71" s="1" t="s">
        <v>98</v>
      </c>
      <c r="AF71" s="1" t="s">
        <v>1720</v>
      </c>
      <c r="AG71" s="1" t="s">
        <v>1721</v>
      </c>
      <c r="AH71" s="1" t="s">
        <v>284</v>
      </c>
      <c r="AI71" s="1" t="s">
        <v>170</v>
      </c>
      <c r="AJ71" s="1">
        <v>93.1</v>
      </c>
      <c r="AK71" s="1">
        <v>9.8</v>
      </c>
      <c r="AL71" s="1" t="s">
        <v>1720</v>
      </c>
      <c r="AM71" s="1" t="s">
        <v>1721</v>
      </c>
      <c r="AN71" s="1" t="s">
        <v>465</v>
      </c>
      <c r="AO71" s="1" t="s">
        <v>490</v>
      </c>
      <c r="AP71" s="1" t="s">
        <v>313</v>
      </c>
      <c r="AQ71" s="1">
        <v>71.4</v>
      </c>
      <c r="AR71" s="1"/>
      <c r="AS71" s="1"/>
      <c r="AT71" s="1"/>
      <c r="AU71" s="1"/>
      <c r="AV71" s="1"/>
      <c r="AW71" s="1"/>
      <c r="AX71" s="1"/>
      <c r="AY71" s="1" t="s">
        <v>1722</v>
      </c>
      <c r="AZ71" s="1" t="s">
        <v>1723</v>
      </c>
      <c r="BA71" s="1" t="s">
        <v>466</v>
      </c>
      <c r="BB71" s="1" t="s">
        <v>467</v>
      </c>
      <c r="BC71" s="1" t="s">
        <v>315</v>
      </c>
      <c r="BD71" s="1" t="s">
        <v>391</v>
      </c>
      <c r="BE71" s="1">
        <v>81.7</v>
      </c>
      <c r="BF71" s="1">
        <v>8.17</v>
      </c>
      <c r="BG71" s="1"/>
      <c r="BH71" s="1"/>
      <c r="BI71" s="1"/>
      <c r="BJ71" s="1"/>
      <c r="BK71" s="1"/>
      <c r="BL71" s="1"/>
      <c r="BM71" s="1"/>
      <c r="BN71" s="1"/>
      <c r="BO71" s="1" t="s">
        <v>1724</v>
      </c>
      <c r="BP71" s="1"/>
      <c r="BQ71" s="1"/>
      <c r="BR71" s="1" t="s">
        <v>1725</v>
      </c>
      <c r="BS71" s="1">
        <v>11</v>
      </c>
      <c r="BT71" s="1"/>
      <c r="BU71" s="1" t="str">
        <f>HYPERLINK("https://nconnect.nicmar.ac.in/storage/profile/ProfilePhoto_P25700049_267981.jpg","Download")</f>
        <v>0</v>
      </c>
      <c r="BV71" s="3"/>
      <c r="BW71" s="3"/>
    </row>
    <row r="72" spans="1:75">
      <c r="A72" s="1" t="s">
        <v>75</v>
      </c>
      <c r="B72" s="1" t="s">
        <v>446</v>
      </c>
      <c r="C72" s="1" t="s">
        <v>1726</v>
      </c>
      <c r="D72" s="1" t="s">
        <v>1727</v>
      </c>
      <c r="E72" s="1"/>
      <c r="F72" s="1" t="s">
        <v>1728</v>
      </c>
      <c r="G72" s="1" t="s">
        <v>1729</v>
      </c>
      <c r="H72" s="1" t="s">
        <v>1730</v>
      </c>
      <c r="I72" s="1" t="s">
        <v>1731</v>
      </c>
      <c r="J72" s="1">
        <v>9953867449</v>
      </c>
      <c r="K72" s="1" t="s">
        <v>153</v>
      </c>
      <c r="L72" s="1" t="s">
        <v>1732</v>
      </c>
      <c r="M72" s="1" t="s">
        <v>86</v>
      </c>
      <c r="N72" s="1" t="s">
        <v>1733</v>
      </c>
      <c r="O72" s="1"/>
      <c r="P72" s="1" t="s">
        <v>481</v>
      </c>
      <c r="Q72" s="1" t="s">
        <v>1734</v>
      </c>
      <c r="R72" s="1" t="s">
        <v>1735</v>
      </c>
      <c r="S72" s="1">
        <v>9873002807</v>
      </c>
      <c r="T72" s="1" t="s">
        <v>839</v>
      </c>
      <c r="U72" s="1" t="s">
        <v>1736</v>
      </c>
      <c r="V72" s="1">
        <v>9953205356</v>
      </c>
      <c r="W72" s="1" t="s">
        <v>161</v>
      </c>
      <c r="X72" s="1" t="s">
        <v>1737</v>
      </c>
      <c r="Y72" s="1" t="s">
        <v>1738</v>
      </c>
      <c r="Z72" s="1" t="s">
        <v>1739</v>
      </c>
      <c r="AA72" s="1" t="s">
        <v>1737</v>
      </c>
      <c r="AB72" s="1" t="s">
        <v>1738</v>
      </c>
      <c r="AC72" s="1" t="s">
        <v>1739</v>
      </c>
      <c r="AD72" s="1">
        <v>8.56</v>
      </c>
      <c r="AE72" s="1" t="s">
        <v>98</v>
      </c>
      <c r="AF72" s="1" t="s">
        <v>1740</v>
      </c>
      <c r="AG72" s="1" t="s">
        <v>1741</v>
      </c>
      <c r="AH72" s="1" t="s">
        <v>1110</v>
      </c>
      <c r="AI72" s="1" t="s">
        <v>627</v>
      </c>
      <c r="AJ72" s="1">
        <v>85.5</v>
      </c>
      <c r="AK72" s="1">
        <v>9</v>
      </c>
      <c r="AL72" s="1" t="s">
        <v>1740</v>
      </c>
      <c r="AM72" s="1" t="s">
        <v>1741</v>
      </c>
      <c r="AN72" s="1"/>
      <c r="AO72" s="1" t="s">
        <v>704</v>
      </c>
      <c r="AP72" s="1" t="s">
        <v>171</v>
      </c>
      <c r="AQ72" s="1">
        <v>74.9</v>
      </c>
      <c r="AR72" s="1"/>
      <c r="AS72" s="1"/>
      <c r="AT72" s="1"/>
      <c r="AU72" s="1"/>
      <c r="AV72" s="1"/>
      <c r="AW72" s="1"/>
      <c r="AX72" s="1"/>
      <c r="AY72" s="1" t="s">
        <v>1742</v>
      </c>
      <c r="AZ72" s="1" t="s">
        <v>1743</v>
      </c>
      <c r="BA72" s="1"/>
      <c r="BB72" s="1"/>
      <c r="BC72" s="1" t="s">
        <v>1065</v>
      </c>
      <c r="BD72" s="1" t="s">
        <v>179</v>
      </c>
      <c r="BE72" s="1">
        <v>73.88</v>
      </c>
      <c r="BF72" s="1">
        <v>7.52</v>
      </c>
      <c r="BG72" s="1"/>
      <c r="BH72" s="1"/>
      <c r="BI72" s="1"/>
      <c r="BJ72" s="1"/>
      <c r="BK72" s="1"/>
      <c r="BL72" s="1"/>
      <c r="BM72" s="1"/>
      <c r="BN72" s="1"/>
      <c r="BO72" s="1" t="s">
        <v>1744</v>
      </c>
      <c r="BP72" s="1" t="s">
        <v>1745</v>
      </c>
      <c r="BQ72" s="1" t="s">
        <v>757</v>
      </c>
      <c r="BR72" s="1" t="s">
        <v>1746</v>
      </c>
      <c r="BS72" s="1">
        <v>24</v>
      </c>
      <c r="BT72" s="1" t="s">
        <v>1747</v>
      </c>
      <c r="BU72" s="1" t="str">
        <f>HYPERLINK("https://nconnect.nicmar.ac.in/storage/profile/ProfilePhoto_P25700050_627491.jpg","Download")</f>
        <v>0</v>
      </c>
      <c r="BV72" s="3"/>
      <c r="BW72" s="3"/>
    </row>
    <row r="73" spans="1:75">
      <c r="A73" s="1" t="s">
        <v>75</v>
      </c>
      <c r="B73" s="1" t="s">
        <v>446</v>
      </c>
      <c r="C73" s="1" t="s">
        <v>1748</v>
      </c>
      <c r="D73" s="1" t="s">
        <v>1749</v>
      </c>
      <c r="E73" s="1" t="s">
        <v>1750</v>
      </c>
      <c r="F73" s="1" t="s">
        <v>1751</v>
      </c>
      <c r="G73" s="1" t="s">
        <v>1752</v>
      </c>
      <c r="H73" s="1" t="s">
        <v>1753</v>
      </c>
      <c r="I73" s="1" t="s">
        <v>1754</v>
      </c>
      <c r="J73" s="1">
        <v>8766820151</v>
      </c>
      <c r="K73" s="1" t="s">
        <v>153</v>
      </c>
      <c r="L73" s="1" t="s">
        <v>1755</v>
      </c>
      <c r="M73" s="1" t="s">
        <v>86</v>
      </c>
      <c r="N73" s="1" t="s">
        <v>1163</v>
      </c>
      <c r="O73" s="1"/>
      <c r="P73" s="1" t="s">
        <v>507</v>
      </c>
      <c r="Q73" s="1" t="s">
        <v>1756</v>
      </c>
      <c r="R73" s="1" t="s">
        <v>1757</v>
      </c>
      <c r="S73" s="1">
        <v>9423461680</v>
      </c>
      <c r="T73" s="1" t="s">
        <v>1758</v>
      </c>
      <c r="U73" s="1" t="s">
        <v>1759</v>
      </c>
      <c r="V73" s="1">
        <v>9423783625</v>
      </c>
      <c r="W73" s="1" t="s">
        <v>94</v>
      </c>
      <c r="X73" s="1" t="s">
        <v>1760</v>
      </c>
      <c r="Y73" s="1" t="s">
        <v>910</v>
      </c>
      <c r="Z73" s="1" t="s">
        <v>97</v>
      </c>
      <c r="AA73" s="1" t="s">
        <v>1760</v>
      </c>
      <c r="AB73" s="1" t="s">
        <v>910</v>
      </c>
      <c r="AC73" s="1" t="s">
        <v>97</v>
      </c>
      <c r="AD73" s="1">
        <v>8.31</v>
      </c>
      <c r="AE73" s="1" t="s">
        <v>98</v>
      </c>
      <c r="AF73" s="1" t="s">
        <v>1761</v>
      </c>
      <c r="AG73" s="1" t="s">
        <v>1762</v>
      </c>
      <c r="AH73" s="1" t="s">
        <v>704</v>
      </c>
      <c r="AI73" s="1" t="s">
        <v>171</v>
      </c>
      <c r="AJ73" s="1">
        <v>81.6</v>
      </c>
      <c r="AK73" s="1"/>
      <c r="AL73" s="1"/>
      <c r="AM73" s="1"/>
      <c r="AN73" s="1"/>
      <c r="AO73" s="1"/>
      <c r="AP73" s="1"/>
      <c r="AQ73" s="1"/>
      <c r="AR73" s="1"/>
      <c r="AS73" s="1" t="s">
        <v>439</v>
      </c>
      <c r="AT73" s="1" t="s">
        <v>1763</v>
      </c>
      <c r="AU73" s="1" t="s">
        <v>174</v>
      </c>
      <c r="AV73" s="1" t="s">
        <v>441</v>
      </c>
      <c r="AW73" s="1">
        <v>93.05</v>
      </c>
      <c r="AX73" s="1"/>
      <c r="AY73" s="1" t="s">
        <v>1764</v>
      </c>
      <c r="AZ73" s="1" t="s">
        <v>1764</v>
      </c>
      <c r="BA73" s="1" t="s">
        <v>466</v>
      </c>
      <c r="BB73" s="1" t="s">
        <v>467</v>
      </c>
      <c r="BC73" s="1" t="s">
        <v>549</v>
      </c>
      <c r="BD73" s="1" t="s">
        <v>207</v>
      </c>
      <c r="BE73" s="1">
        <v>80.2</v>
      </c>
      <c r="BF73" s="1">
        <v>8.77</v>
      </c>
      <c r="BG73" s="1"/>
      <c r="BH73" s="1"/>
      <c r="BI73" s="1"/>
      <c r="BJ73" s="1"/>
      <c r="BK73" s="1"/>
      <c r="BL73" s="1"/>
      <c r="BM73" s="1"/>
      <c r="BN73" s="1"/>
      <c r="BO73" s="1" t="s">
        <v>1765</v>
      </c>
      <c r="BP73" s="1"/>
      <c r="BQ73" s="1"/>
      <c r="BR73" s="1" t="s">
        <v>1766</v>
      </c>
      <c r="BS73" s="1">
        <v>51</v>
      </c>
      <c r="BT73" s="1" t="s">
        <v>1767</v>
      </c>
      <c r="BU73" s="1" t="str">
        <f>HYPERLINK("https://nconnect.nicmar.ac.in/storage/profile/ProfilePhoto_P25700051_624359.jpg","Download")</f>
        <v>0</v>
      </c>
      <c r="BV73" s="3"/>
      <c r="BW73" s="4">
        <v>1</v>
      </c>
    </row>
    <row r="74" spans="1:75">
      <c r="A74" s="1" t="s">
        <v>75</v>
      </c>
      <c r="B74" s="1" t="s">
        <v>446</v>
      </c>
      <c r="C74" s="1" t="s">
        <v>1768</v>
      </c>
      <c r="D74" s="1" t="s">
        <v>1769</v>
      </c>
      <c r="E74" s="1"/>
      <c r="F74" s="1" t="s">
        <v>1770</v>
      </c>
      <c r="G74" s="1" t="s">
        <v>1771</v>
      </c>
      <c r="H74" s="1" t="s">
        <v>1772</v>
      </c>
      <c r="I74" s="1" t="s">
        <v>1773</v>
      </c>
      <c r="J74" s="1">
        <v>7887567049</v>
      </c>
      <c r="K74" s="1" t="s">
        <v>84</v>
      </c>
      <c r="L74" s="1" t="s">
        <v>1774</v>
      </c>
      <c r="M74" s="1" t="s">
        <v>86</v>
      </c>
      <c r="N74" s="1" t="s">
        <v>1163</v>
      </c>
      <c r="O74" s="1"/>
      <c r="P74" s="1" t="s">
        <v>507</v>
      </c>
      <c r="Q74" s="1" t="s">
        <v>1775</v>
      </c>
      <c r="R74" s="1" t="s">
        <v>1776</v>
      </c>
      <c r="S74" s="1">
        <v>7424005005</v>
      </c>
      <c r="T74" s="1" t="s">
        <v>839</v>
      </c>
      <c r="U74" s="1" t="s">
        <v>1777</v>
      </c>
      <c r="V74" s="1">
        <v>8850223501</v>
      </c>
      <c r="W74" s="1" t="s">
        <v>161</v>
      </c>
      <c r="X74" s="1" t="s">
        <v>1778</v>
      </c>
      <c r="Y74" s="1" t="s">
        <v>1779</v>
      </c>
      <c r="Z74" s="1" t="s">
        <v>97</v>
      </c>
      <c r="AA74" s="1" t="s">
        <v>1778</v>
      </c>
      <c r="AB74" s="1" t="s">
        <v>1779</v>
      </c>
      <c r="AC74" s="1" t="s">
        <v>97</v>
      </c>
      <c r="AD74" s="1">
        <v>7.49</v>
      </c>
      <c r="AE74" s="1" t="s">
        <v>98</v>
      </c>
      <c r="AF74" s="1" t="s">
        <v>1780</v>
      </c>
      <c r="AG74" s="1" t="s">
        <v>629</v>
      </c>
      <c r="AH74" s="1" t="s">
        <v>167</v>
      </c>
      <c r="AI74" s="1" t="s">
        <v>704</v>
      </c>
      <c r="AJ74" s="1">
        <v>85.4</v>
      </c>
      <c r="AK74" s="1"/>
      <c r="AL74" s="1" t="s">
        <v>1781</v>
      </c>
      <c r="AM74" s="1" t="s">
        <v>629</v>
      </c>
      <c r="AN74" s="1"/>
      <c r="AO74" s="1" t="s">
        <v>106</v>
      </c>
      <c r="AP74" s="1" t="s">
        <v>547</v>
      </c>
      <c r="AQ74" s="1">
        <v>60.31</v>
      </c>
      <c r="AR74" s="1"/>
      <c r="AS74" s="1"/>
      <c r="AT74" s="1"/>
      <c r="AU74" s="1"/>
      <c r="AV74" s="1"/>
      <c r="AW74" s="1"/>
      <c r="AX74" s="1"/>
      <c r="AY74" s="1" t="s">
        <v>366</v>
      </c>
      <c r="AZ74" s="1" t="s">
        <v>1782</v>
      </c>
      <c r="BA74" s="1"/>
      <c r="BB74" s="1"/>
      <c r="BC74" s="1" t="s">
        <v>315</v>
      </c>
      <c r="BD74" s="1" t="s">
        <v>234</v>
      </c>
      <c r="BE74" s="1">
        <v>71.12</v>
      </c>
      <c r="BF74" s="1">
        <v>7.69</v>
      </c>
      <c r="BG74" s="1"/>
      <c r="BH74" s="1"/>
      <c r="BI74" s="1"/>
      <c r="BJ74" s="1"/>
      <c r="BK74" s="1"/>
      <c r="BL74" s="1"/>
      <c r="BM74" s="1"/>
      <c r="BN74" s="1"/>
      <c r="BO74" s="1" t="s">
        <v>1783</v>
      </c>
      <c r="BP74" s="1" t="s">
        <v>1784</v>
      </c>
      <c r="BQ74" s="1" t="s">
        <v>757</v>
      </c>
      <c r="BR74" s="1" t="s">
        <v>1785</v>
      </c>
      <c r="BS74" s="1">
        <v>4</v>
      </c>
      <c r="BT74" s="1"/>
      <c r="BU74" s="1" t="str">
        <f>HYPERLINK("https://nconnect.nicmar.ac.in/storage/profile/ProfilePhoto_P25700052_698342.jpg","Download")</f>
        <v>0</v>
      </c>
      <c r="BV74" s="3"/>
      <c r="BW74" s="3"/>
    </row>
    <row r="75" spans="1:75">
      <c r="A75" s="1" t="s">
        <v>75</v>
      </c>
      <c r="B75" s="1" t="s">
        <v>446</v>
      </c>
      <c r="C75" s="1" t="s">
        <v>1786</v>
      </c>
      <c r="D75" s="1" t="s">
        <v>1787</v>
      </c>
      <c r="E75" s="1" t="s">
        <v>1788</v>
      </c>
      <c r="F75" s="1" t="s">
        <v>1789</v>
      </c>
      <c r="G75" s="1" t="s">
        <v>1790</v>
      </c>
      <c r="H75" s="1" t="s">
        <v>1791</v>
      </c>
      <c r="I75" s="1" t="s">
        <v>1792</v>
      </c>
      <c r="J75" s="1">
        <v>8888523957</v>
      </c>
      <c r="K75" s="1" t="s">
        <v>84</v>
      </c>
      <c r="L75" s="1" t="s">
        <v>1793</v>
      </c>
      <c r="M75" s="1" t="s">
        <v>86</v>
      </c>
      <c r="N75" s="1" t="s">
        <v>1794</v>
      </c>
      <c r="O75" s="1"/>
      <c r="P75" s="1" t="s">
        <v>455</v>
      </c>
      <c r="Q75" s="1" t="s">
        <v>1795</v>
      </c>
      <c r="R75" s="1" t="s">
        <v>1788</v>
      </c>
      <c r="S75" s="1">
        <v>9665747901</v>
      </c>
      <c r="T75" s="1" t="s">
        <v>439</v>
      </c>
      <c r="U75" s="1" t="s">
        <v>1796</v>
      </c>
      <c r="V75" s="1">
        <v>8888523957</v>
      </c>
      <c r="W75" s="1" t="s">
        <v>161</v>
      </c>
      <c r="X75" s="1" t="s">
        <v>1797</v>
      </c>
      <c r="Y75" s="1" t="s">
        <v>1145</v>
      </c>
      <c r="Z75" s="1" t="s">
        <v>97</v>
      </c>
      <c r="AA75" s="1" t="s">
        <v>1797</v>
      </c>
      <c r="AB75" s="1" t="s">
        <v>1145</v>
      </c>
      <c r="AC75" s="1" t="s">
        <v>97</v>
      </c>
      <c r="AD75" s="1">
        <v>8.46</v>
      </c>
      <c r="AE75" s="1" t="s">
        <v>98</v>
      </c>
      <c r="AF75" s="1" t="s">
        <v>1798</v>
      </c>
      <c r="AG75" s="1" t="s">
        <v>1799</v>
      </c>
      <c r="AH75" s="1" t="s">
        <v>105</v>
      </c>
      <c r="AI75" s="1" t="s">
        <v>438</v>
      </c>
      <c r="AJ75" s="1">
        <v>86.2</v>
      </c>
      <c r="AK75" s="1"/>
      <c r="AL75" s="1"/>
      <c r="AM75" s="1"/>
      <c r="AN75" s="1" t="s">
        <v>1062</v>
      </c>
      <c r="AO75" s="1"/>
      <c r="AP75" s="1"/>
      <c r="AQ75" s="1"/>
      <c r="AR75" s="1"/>
      <c r="AS75" s="1" t="s">
        <v>439</v>
      </c>
      <c r="AT75" s="1" t="s">
        <v>1800</v>
      </c>
      <c r="AU75" s="1" t="s">
        <v>206</v>
      </c>
      <c r="AV75" s="1" t="s">
        <v>1400</v>
      </c>
      <c r="AW75" s="1">
        <v>89.11</v>
      </c>
      <c r="AX75" s="1"/>
      <c r="AY75" s="1" t="s">
        <v>366</v>
      </c>
      <c r="AZ75" s="1" t="s">
        <v>1801</v>
      </c>
      <c r="BA75" s="1" t="s">
        <v>466</v>
      </c>
      <c r="BB75" s="1" t="s">
        <v>467</v>
      </c>
      <c r="BC75" s="1" t="s">
        <v>1802</v>
      </c>
      <c r="BD75" s="1" t="s">
        <v>1803</v>
      </c>
      <c r="BE75" s="1">
        <v>83.48</v>
      </c>
      <c r="BF75" s="1">
        <v>9.04</v>
      </c>
      <c r="BG75" s="1"/>
      <c r="BH75" s="1"/>
      <c r="BI75" s="1"/>
      <c r="BJ75" s="1"/>
      <c r="BK75" s="1"/>
      <c r="BL75" s="1"/>
      <c r="BM75" s="1"/>
      <c r="BN75" s="1"/>
      <c r="BO75" s="1" t="s">
        <v>1804</v>
      </c>
      <c r="BP75" s="1"/>
      <c r="BQ75" s="1"/>
      <c r="BR75" s="1" t="s">
        <v>1805</v>
      </c>
      <c r="BS75" s="1">
        <v>25</v>
      </c>
      <c r="BT75" s="1"/>
      <c r="BU75" s="1" t="str">
        <f>HYPERLINK("https://nconnect.nicmar.ac.in/storage/profile/ProfilePhoto_P25700054_125897.jpg","Download")</f>
        <v>0</v>
      </c>
      <c r="BV75" s="3"/>
      <c r="BW75" s="3"/>
    </row>
    <row r="76" spans="1:75">
      <c r="A76" s="1" t="s">
        <v>75</v>
      </c>
      <c r="B76" s="1" t="s">
        <v>446</v>
      </c>
      <c r="C76" s="1" t="s">
        <v>1806</v>
      </c>
      <c r="D76" s="1" t="s">
        <v>1807</v>
      </c>
      <c r="E76" s="1"/>
      <c r="F76" s="1" t="s">
        <v>1808</v>
      </c>
      <c r="G76" s="1" t="s">
        <v>1809</v>
      </c>
      <c r="H76" s="1" t="s">
        <v>1810</v>
      </c>
      <c r="I76" s="1" t="s">
        <v>1811</v>
      </c>
      <c r="J76" s="1">
        <v>9959818087</v>
      </c>
      <c r="K76" s="1" t="s">
        <v>84</v>
      </c>
      <c r="L76" s="1" t="s">
        <v>1812</v>
      </c>
      <c r="M76" s="1" t="s">
        <v>86</v>
      </c>
      <c r="N76" s="1" t="s">
        <v>1813</v>
      </c>
      <c r="O76" s="1"/>
      <c r="P76" s="1" t="s">
        <v>455</v>
      </c>
      <c r="Q76" s="1" t="s">
        <v>1814</v>
      </c>
      <c r="R76" s="1" t="s">
        <v>1815</v>
      </c>
      <c r="S76" s="1">
        <v>8886281818</v>
      </c>
      <c r="T76" s="1" t="s">
        <v>1816</v>
      </c>
      <c r="U76" s="1" t="s">
        <v>1817</v>
      </c>
      <c r="V76" s="1">
        <v>9949325947</v>
      </c>
      <c r="W76" s="1" t="s">
        <v>278</v>
      </c>
      <c r="X76" s="1" t="s">
        <v>1818</v>
      </c>
      <c r="Y76" s="1" t="s">
        <v>1819</v>
      </c>
      <c r="Z76" s="1" t="s">
        <v>461</v>
      </c>
      <c r="AA76" s="1" t="s">
        <v>1818</v>
      </c>
      <c r="AB76" s="1" t="s">
        <v>1819</v>
      </c>
      <c r="AC76" s="1" t="s">
        <v>461</v>
      </c>
      <c r="AD76" s="1">
        <v>7.59</v>
      </c>
      <c r="AE76" s="1" t="s">
        <v>98</v>
      </c>
      <c r="AF76" s="1" t="s">
        <v>1820</v>
      </c>
      <c r="AG76" s="1" t="s">
        <v>1821</v>
      </c>
      <c r="AH76" s="1" t="s">
        <v>106</v>
      </c>
      <c r="AI76" s="1" t="s">
        <v>313</v>
      </c>
      <c r="AJ76" s="1">
        <v>69.2</v>
      </c>
      <c r="AK76" s="1">
        <v>7.28</v>
      </c>
      <c r="AL76" s="1"/>
      <c r="AM76" s="1"/>
      <c r="AN76" s="1"/>
      <c r="AO76" s="1"/>
      <c r="AP76" s="1"/>
      <c r="AQ76" s="1"/>
      <c r="AR76" s="1"/>
      <c r="AS76" s="1" t="s">
        <v>439</v>
      </c>
      <c r="AT76" s="1" t="s">
        <v>1822</v>
      </c>
      <c r="AU76" s="1" t="s">
        <v>438</v>
      </c>
      <c r="AV76" s="1" t="s">
        <v>632</v>
      </c>
      <c r="AW76" s="1">
        <v>64.9</v>
      </c>
      <c r="AX76" s="1">
        <v>6.99</v>
      </c>
      <c r="AY76" s="1" t="s">
        <v>1823</v>
      </c>
      <c r="AZ76" s="1" t="s">
        <v>1824</v>
      </c>
      <c r="BA76" s="1"/>
      <c r="BB76" s="1"/>
      <c r="BC76" s="1" t="s">
        <v>1825</v>
      </c>
      <c r="BD76" s="1" t="s">
        <v>1401</v>
      </c>
      <c r="BE76" s="1">
        <v>67.1</v>
      </c>
      <c r="BF76" s="1">
        <v>7.21</v>
      </c>
      <c r="BG76" s="1"/>
      <c r="BH76" s="1"/>
      <c r="BI76" s="1"/>
      <c r="BJ76" s="1"/>
      <c r="BK76" s="1"/>
      <c r="BL76" s="1"/>
      <c r="BM76" s="1"/>
      <c r="BN76" s="1"/>
      <c r="BO76" s="1" t="s">
        <v>1826</v>
      </c>
      <c r="BP76" s="1"/>
      <c r="BQ76" s="1"/>
      <c r="BR76" s="1" t="s">
        <v>1827</v>
      </c>
      <c r="BS76" s="1">
        <v>8</v>
      </c>
      <c r="BT76" s="1" t="s">
        <v>1828</v>
      </c>
      <c r="BU76" s="1" t="str">
        <f>HYPERLINK("https://nconnect.nicmar.ac.in/storage/profile/ProfilePhoto_P25700055_381546.jpg","Download")</f>
        <v>0</v>
      </c>
      <c r="BV76" s="3"/>
      <c r="BW76" s="3"/>
    </row>
    <row r="77" spans="1:75">
      <c r="A77" s="1" t="s">
        <v>75</v>
      </c>
      <c r="B77" s="1" t="s">
        <v>446</v>
      </c>
      <c r="C77" s="1" t="s">
        <v>1829</v>
      </c>
      <c r="D77" s="1" t="s">
        <v>1830</v>
      </c>
      <c r="E77" s="1" t="s">
        <v>1831</v>
      </c>
      <c r="F77" s="1" t="s">
        <v>1832</v>
      </c>
      <c r="G77" s="1" t="s">
        <v>1833</v>
      </c>
      <c r="H77" s="1" t="s">
        <v>1834</v>
      </c>
      <c r="I77" s="1" t="s">
        <v>1835</v>
      </c>
      <c r="J77" s="1">
        <v>7730891939</v>
      </c>
      <c r="K77" s="1" t="s">
        <v>84</v>
      </c>
      <c r="L77" s="1" t="s">
        <v>1836</v>
      </c>
      <c r="M77" s="1" t="s">
        <v>86</v>
      </c>
      <c r="N77" s="1" t="s">
        <v>1449</v>
      </c>
      <c r="O77" s="1"/>
      <c r="P77" s="1" t="s">
        <v>455</v>
      </c>
      <c r="Q77" s="1" t="s">
        <v>1837</v>
      </c>
      <c r="R77" s="1" t="s">
        <v>1838</v>
      </c>
      <c r="S77" s="1">
        <v>9980402789</v>
      </c>
      <c r="T77" s="1" t="s">
        <v>92</v>
      </c>
      <c r="U77" s="1" t="s">
        <v>1839</v>
      </c>
      <c r="V77" s="1">
        <v>8722238789</v>
      </c>
      <c r="W77" s="1" t="s">
        <v>161</v>
      </c>
      <c r="X77" s="1" t="s">
        <v>1840</v>
      </c>
      <c r="Y77" s="1" t="s">
        <v>1454</v>
      </c>
      <c r="Z77" s="1" t="s">
        <v>281</v>
      </c>
      <c r="AA77" s="1" t="s">
        <v>1840</v>
      </c>
      <c r="AB77" s="1" t="s">
        <v>1454</v>
      </c>
      <c r="AC77" s="1" t="s">
        <v>281</v>
      </c>
      <c r="AD77" s="1">
        <v>8.59</v>
      </c>
      <c r="AE77" s="1" t="s">
        <v>98</v>
      </c>
      <c r="AF77" s="1" t="s">
        <v>1841</v>
      </c>
      <c r="AG77" s="1" t="s">
        <v>1842</v>
      </c>
      <c r="AH77" s="1" t="s">
        <v>515</v>
      </c>
      <c r="AI77" s="1" t="s">
        <v>102</v>
      </c>
      <c r="AJ77" s="1">
        <v>62.7</v>
      </c>
      <c r="AK77" s="1">
        <v>6.6</v>
      </c>
      <c r="AL77" s="1" t="s">
        <v>1843</v>
      </c>
      <c r="AM77" s="1" t="s">
        <v>1844</v>
      </c>
      <c r="AN77" s="1" t="s">
        <v>465</v>
      </c>
      <c r="AO77" s="1" t="s">
        <v>1110</v>
      </c>
      <c r="AP77" s="1" t="s">
        <v>200</v>
      </c>
      <c r="AQ77" s="1">
        <v>85.4</v>
      </c>
      <c r="AR77" s="1"/>
      <c r="AS77" s="1"/>
      <c r="AT77" s="1"/>
      <c r="AU77" s="1"/>
      <c r="AV77" s="1"/>
      <c r="AW77" s="1"/>
      <c r="AX77" s="1"/>
      <c r="AY77" s="1" t="s">
        <v>1845</v>
      </c>
      <c r="AZ77" s="1" t="s">
        <v>1846</v>
      </c>
      <c r="BA77" s="1" t="s">
        <v>466</v>
      </c>
      <c r="BB77" s="1" t="s">
        <v>467</v>
      </c>
      <c r="BC77" s="1" t="s">
        <v>170</v>
      </c>
      <c r="BD77" s="1" t="s">
        <v>110</v>
      </c>
      <c r="BE77" s="1">
        <v>65.64</v>
      </c>
      <c r="BF77" s="1">
        <v>6.91</v>
      </c>
      <c r="BG77" s="1"/>
      <c r="BH77" s="1"/>
      <c r="BI77" s="1"/>
      <c r="BJ77" s="1"/>
      <c r="BK77" s="1"/>
      <c r="BL77" s="1"/>
      <c r="BM77" s="1"/>
      <c r="BN77" s="1"/>
      <c r="BO77" s="1" t="s">
        <v>1847</v>
      </c>
      <c r="BP77" s="1" t="s">
        <v>1848</v>
      </c>
      <c r="BQ77" s="1" t="s">
        <v>1849</v>
      </c>
      <c r="BR77" s="1" t="s">
        <v>1850</v>
      </c>
      <c r="BS77" s="1">
        <v>8</v>
      </c>
      <c r="BT77" s="1"/>
      <c r="BU77" s="1" t="str">
        <f>HYPERLINK("https://nconnect.nicmar.ac.in/storage/profile/ProfilePhoto_P25700056_462197.jpg","Download")</f>
        <v>0</v>
      </c>
      <c r="BV77" s="3"/>
      <c r="BW77" s="3"/>
    </row>
    <row r="78" spans="1:75">
      <c r="A78" s="1" t="s">
        <v>75</v>
      </c>
      <c r="B78" s="1" t="s">
        <v>446</v>
      </c>
      <c r="C78" s="1" t="s">
        <v>1851</v>
      </c>
      <c r="D78" s="1" t="s">
        <v>1852</v>
      </c>
      <c r="E78" s="1"/>
      <c r="F78" s="1" t="s">
        <v>1853</v>
      </c>
      <c r="G78" s="1" t="s">
        <v>1854</v>
      </c>
      <c r="H78" s="1" t="s">
        <v>1855</v>
      </c>
      <c r="I78" s="1" t="s">
        <v>1856</v>
      </c>
      <c r="J78" s="1">
        <v>8610373247</v>
      </c>
      <c r="K78" s="1" t="s">
        <v>84</v>
      </c>
      <c r="L78" s="1" t="s">
        <v>1857</v>
      </c>
      <c r="M78" s="1" t="s">
        <v>86</v>
      </c>
      <c r="N78" s="1" t="s">
        <v>1858</v>
      </c>
      <c r="O78" s="1"/>
      <c r="P78" s="1" t="s">
        <v>455</v>
      </c>
      <c r="Q78" s="1" t="s">
        <v>1859</v>
      </c>
      <c r="R78" s="1" t="s">
        <v>1860</v>
      </c>
      <c r="S78" s="1">
        <v>9894903888</v>
      </c>
      <c r="T78" s="1" t="s">
        <v>1861</v>
      </c>
      <c r="U78" s="1" t="s">
        <v>1862</v>
      </c>
      <c r="V78" s="1">
        <v>8610206901</v>
      </c>
      <c r="W78" s="1" t="s">
        <v>161</v>
      </c>
      <c r="X78" s="1" t="s">
        <v>1863</v>
      </c>
      <c r="Y78" s="1" t="s">
        <v>1864</v>
      </c>
      <c r="Z78" s="1" t="s">
        <v>570</v>
      </c>
      <c r="AA78" s="1" t="s">
        <v>1863</v>
      </c>
      <c r="AB78" s="1" t="s">
        <v>1864</v>
      </c>
      <c r="AC78" s="1" t="s">
        <v>570</v>
      </c>
      <c r="AD78" s="1">
        <v>9.18</v>
      </c>
      <c r="AE78" s="1" t="s">
        <v>98</v>
      </c>
      <c r="AF78" s="1" t="s">
        <v>1865</v>
      </c>
      <c r="AG78" s="1" t="s">
        <v>1866</v>
      </c>
      <c r="AH78" s="1" t="s">
        <v>171</v>
      </c>
      <c r="AI78" s="1" t="s">
        <v>414</v>
      </c>
      <c r="AJ78" s="1">
        <v>87.8</v>
      </c>
      <c r="AK78" s="1"/>
      <c r="AL78" s="1" t="s">
        <v>1865</v>
      </c>
      <c r="AM78" s="1" t="s">
        <v>1866</v>
      </c>
      <c r="AN78" s="1" t="s">
        <v>465</v>
      </c>
      <c r="AO78" s="1" t="s">
        <v>977</v>
      </c>
      <c r="AP78" s="1" t="s">
        <v>845</v>
      </c>
      <c r="AQ78" s="1">
        <v>90.14</v>
      </c>
      <c r="AR78" s="1"/>
      <c r="AS78" s="1"/>
      <c r="AT78" s="1"/>
      <c r="AU78" s="1"/>
      <c r="AV78" s="1"/>
      <c r="AW78" s="1"/>
      <c r="AX78" s="1"/>
      <c r="AY78" s="1" t="s">
        <v>1867</v>
      </c>
      <c r="AZ78" s="1" t="s">
        <v>1868</v>
      </c>
      <c r="BA78" s="1" t="s">
        <v>578</v>
      </c>
      <c r="BB78" s="1" t="s">
        <v>467</v>
      </c>
      <c r="BC78" s="1" t="s">
        <v>140</v>
      </c>
      <c r="BD78" s="1" t="s">
        <v>607</v>
      </c>
      <c r="BE78" s="1">
        <v>90.9</v>
      </c>
      <c r="BF78" s="1">
        <v>9.08</v>
      </c>
      <c r="BG78" s="1"/>
      <c r="BH78" s="1"/>
      <c r="BI78" s="1"/>
      <c r="BJ78" s="1"/>
      <c r="BK78" s="1"/>
      <c r="BL78" s="1"/>
      <c r="BM78" s="1"/>
      <c r="BN78" s="1"/>
      <c r="BO78" s="1" t="s">
        <v>1114</v>
      </c>
      <c r="BP78" s="1"/>
      <c r="BQ78" s="1"/>
      <c r="BR78" s="1" t="s">
        <v>1869</v>
      </c>
      <c r="BS78" s="1">
        <v>13</v>
      </c>
      <c r="BT78" s="1"/>
      <c r="BU78" s="1" t="str">
        <f>HYPERLINK("https://nconnect.nicmar.ac.in/storage/profile/ProfilePhoto_P25700057_983714.jpg","Download")</f>
        <v>0</v>
      </c>
      <c r="BV78" s="3"/>
      <c r="BW78" s="3"/>
    </row>
    <row r="79" spans="1:75">
      <c r="A79" s="1" t="s">
        <v>75</v>
      </c>
      <c r="B79" s="1" t="s">
        <v>446</v>
      </c>
      <c r="C79" s="1" t="s">
        <v>1870</v>
      </c>
      <c r="D79" s="1" t="s">
        <v>1871</v>
      </c>
      <c r="E79" s="1" t="s">
        <v>115</v>
      </c>
      <c r="F79" s="1" t="s">
        <v>1872</v>
      </c>
      <c r="G79" s="1" t="s">
        <v>1873</v>
      </c>
      <c r="H79" s="1" t="s">
        <v>1874</v>
      </c>
      <c r="I79" s="1" t="s">
        <v>1875</v>
      </c>
      <c r="J79" s="1">
        <v>7039897949</v>
      </c>
      <c r="K79" s="1" t="s">
        <v>153</v>
      </c>
      <c r="L79" s="1" t="s">
        <v>1876</v>
      </c>
      <c r="M79" s="1" t="s">
        <v>86</v>
      </c>
      <c r="N79" s="1" t="s">
        <v>1877</v>
      </c>
      <c r="O79" s="1"/>
      <c r="P79" s="1" t="s">
        <v>507</v>
      </c>
      <c r="Q79" s="1" t="s">
        <v>1878</v>
      </c>
      <c r="R79" s="1" t="s">
        <v>1879</v>
      </c>
      <c r="S79" s="1">
        <v>8691903888</v>
      </c>
      <c r="T79" s="1" t="s">
        <v>645</v>
      </c>
      <c r="U79" s="1" t="s">
        <v>1880</v>
      </c>
      <c r="V79" s="1">
        <v>8433836449</v>
      </c>
      <c r="W79" s="1" t="s">
        <v>278</v>
      </c>
      <c r="X79" s="1" t="s">
        <v>1881</v>
      </c>
      <c r="Y79" s="1" t="s">
        <v>1882</v>
      </c>
      <c r="Z79" s="1" t="s">
        <v>97</v>
      </c>
      <c r="AA79" s="1" t="s">
        <v>1881</v>
      </c>
      <c r="AB79" s="1" t="s">
        <v>1882</v>
      </c>
      <c r="AC79" s="1" t="s">
        <v>97</v>
      </c>
      <c r="AD79" s="1">
        <v>8.03</v>
      </c>
      <c r="AE79" s="1" t="s">
        <v>98</v>
      </c>
      <c r="AF79" s="1" t="s">
        <v>1883</v>
      </c>
      <c r="AG79" s="1" t="s">
        <v>1884</v>
      </c>
      <c r="AH79" s="1" t="s">
        <v>170</v>
      </c>
      <c r="AI79" s="1" t="s">
        <v>286</v>
      </c>
      <c r="AJ79" s="1">
        <v>74.4</v>
      </c>
      <c r="AK79" s="1"/>
      <c r="AL79" s="1"/>
      <c r="AM79" s="1"/>
      <c r="AN79" s="1"/>
      <c r="AO79" s="1"/>
      <c r="AP79" s="1"/>
      <c r="AQ79" s="1"/>
      <c r="AR79" s="1"/>
      <c r="AS79" s="1" t="s">
        <v>439</v>
      </c>
      <c r="AT79" s="1" t="s">
        <v>1885</v>
      </c>
      <c r="AU79" s="1" t="s">
        <v>315</v>
      </c>
      <c r="AV79" s="1" t="s">
        <v>1886</v>
      </c>
      <c r="AW79" s="1">
        <v>74.05</v>
      </c>
      <c r="AX79" s="1"/>
      <c r="AY79" s="1" t="s">
        <v>1887</v>
      </c>
      <c r="AZ79" s="1" t="s">
        <v>1888</v>
      </c>
      <c r="BA79" s="1"/>
      <c r="BB79" s="1"/>
      <c r="BC79" s="1" t="s">
        <v>1889</v>
      </c>
      <c r="BD79" s="1" t="s">
        <v>1401</v>
      </c>
      <c r="BE79" s="1">
        <v>69.6</v>
      </c>
      <c r="BF79" s="1">
        <v>6.96</v>
      </c>
      <c r="BG79" s="1"/>
      <c r="BH79" s="1"/>
      <c r="BI79" s="1"/>
      <c r="BJ79" s="1"/>
      <c r="BK79" s="1"/>
      <c r="BL79" s="1"/>
      <c r="BM79" s="1"/>
      <c r="BN79" s="1"/>
      <c r="BO79" s="1" t="s">
        <v>1890</v>
      </c>
      <c r="BP79" s="1"/>
      <c r="BQ79" s="1"/>
      <c r="BR79" s="1" t="s">
        <v>1891</v>
      </c>
      <c r="BS79" s="1">
        <v>4</v>
      </c>
      <c r="BT79" s="1"/>
      <c r="BU79" s="1" t="str">
        <f>HYPERLINK("https://nconnect.nicmar.ac.in/storage/profile/ProfilePhoto_P25700058_548397.jpg","Download")</f>
        <v>0</v>
      </c>
      <c r="BV79" s="3"/>
      <c r="BW79" s="3"/>
    </row>
    <row r="80" spans="1:75">
      <c r="A80" s="1" t="s">
        <v>75</v>
      </c>
      <c r="B80" s="1" t="s">
        <v>446</v>
      </c>
      <c r="C80" s="1" t="s">
        <v>1892</v>
      </c>
      <c r="D80" s="1" t="s">
        <v>1893</v>
      </c>
      <c r="E80" s="1" t="s">
        <v>1119</v>
      </c>
      <c r="F80" s="1" t="s">
        <v>1894</v>
      </c>
      <c r="G80" s="1" t="s">
        <v>1895</v>
      </c>
      <c r="H80" s="1" t="s">
        <v>1896</v>
      </c>
      <c r="I80" s="1" t="s">
        <v>1897</v>
      </c>
      <c r="J80" s="1">
        <v>7448124649</v>
      </c>
      <c r="K80" s="1" t="s">
        <v>84</v>
      </c>
      <c r="L80" s="1" t="s">
        <v>1898</v>
      </c>
      <c r="M80" s="1" t="s">
        <v>86</v>
      </c>
      <c r="N80" s="1" t="s">
        <v>618</v>
      </c>
      <c r="O80" s="1"/>
      <c r="P80" s="1" t="s">
        <v>507</v>
      </c>
      <c r="Q80" s="1" t="s">
        <v>1899</v>
      </c>
      <c r="R80" s="1" t="s">
        <v>1119</v>
      </c>
      <c r="S80" s="1">
        <v>9371793553</v>
      </c>
      <c r="T80" s="1" t="s">
        <v>127</v>
      </c>
      <c r="U80" s="1" t="s">
        <v>1900</v>
      </c>
      <c r="V80" s="1">
        <v>8087463553</v>
      </c>
      <c r="W80" s="1" t="s">
        <v>94</v>
      </c>
      <c r="X80" s="1" t="s">
        <v>1901</v>
      </c>
      <c r="Y80" s="1" t="s">
        <v>1779</v>
      </c>
      <c r="Z80" s="1" t="s">
        <v>97</v>
      </c>
      <c r="AA80" s="1" t="s">
        <v>1902</v>
      </c>
      <c r="AB80" s="1" t="s">
        <v>1779</v>
      </c>
      <c r="AC80" s="1" t="s">
        <v>97</v>
      </c>
      <c r="AD80" s="1">
        <v>8.85</v>
      </c>
      <c r="AE80" s="1" t="s">
        <v>98</v>
      </c>
      <c r="AF80" s="1" t="s">
        <v>1903</v>
      </c>
      <c r="AG80" s="1" t="s">
        <v>1904</v>
      </c>
      <c r="AH80" s="1" t="s">
        <v>170</v>
      </c>
      <c r="AI80" s="1" t="s">
        <v>106</v>
      </c>
      <c r="AJ80" s="1">
        <v>84.2</v>
      </c>
      <c r="AK80" s="1"/>
      <c r="AL80" s="1" t="s">
        <v>1905</v>
      </c>
      <c r="AM80" s="1" t="s">
        <v>1904</v>
      </c>
      <c r="AN80" s="1"/>
      <c r="AO80" s="1" t="s">
        <v>174</v>
      </c>
      <c r="AP80" s="1" t="s">
        <v>468</v>
      </c>
      <c r="AQ80" s="1">
        <v>66.15</v>
      </c>
      <c r="AR80" s="1"/>
      <c r="AS80" s="1"/>
      <c r="AT80" s="1"/>
      <c r="AU80" s="1"/>
      <c r="AV80" s="1"/>
      <c r="AW80" s="1"/>
      <c r="AX80" s="1"/>
      <c r="AY80" s="1" t="s">
        <v>1906</v>
      </c>
      <c r="AZ80" s="1" t="s">
        <v>1907</v>
      </c>
      <c r="BA80" s="1"/>
      <c r="BB80" s="1"/>
      <c r="BC80" s="1" t="s">
        <v>178</v>
      </c>
      <c r="BD80" s="1" t="s">
        <v>207</v>
      </c>
      <c r="BE80" s="1">
        <v>74.3</v>
      </c>
      <c r="BF80" s="1">
        <v>8.18</v>
      </c>
      <c r="BG80" s="1"/>
      <c r="BH80" s="1"/>
      <c r="BI80" s="1"/>
      <c r="BJ80" s="1"/>
      <c r="BK80" s="1"/>
      <c r="BL80" s="1"/>
      <c r="BM80" s="1"/>
      <c r="BN80" s="1"/>
      <c r="BO80" s="1" t="s">
        <v>1908</v>
      </c>
      <c r="BP80" s="1" t="s">
        <v>1909</v>
      </c>
      <c r="BQ80" s="1" t="s">
        <v>471</v>
      </c>
      <c r="BR80" s="1" t="s">
        <v>1910</v>
      </c>
      <c r="BS80" s="1">
        <v>21</v>
      </c>
      <c r="BT80" s="1" t="s">
        <v>1911</v>
      </c>
      <c r="BU80" s="1" t="str">
        <f>HYPERLINK("https://nconnect.nicmar.ac.in/storage/profile/ProfilePhoto_P25700059_679482.jpg","Download")</f>
        <v>0</v>
      </c>
      <c r="BV80" s="3"/>
      <c r="BW80" s="4">
        <v>1</v>
      </c>
    </row>
    <row r="81" spans="1:75">
      <c r="A81" s="1" t="s">
        <v>75</v>
      </c>
      <c r="B81" s="1" t="s">
        <v>446</v>
      </c>
      <c r="C81" s="1" t="s">
        <v>1912</v>
      </c>
      <c r="D81" s="1" t="s">
        <v>1913</v>
      </c>
      <c r="E81" s="1"/>
      <c r="F81" s="1" t="s">
        <v>1914</v>
      </c>
      <c r="G81" s="1" t="s">
        <v>1915</v>
      </c>
      <c r="H81" s="1" t="s">
        <v>1916</v>
      </c>
      <c r="I81" s="1" t="s">
        <v>1917</v>
      </c>
      <c r="J81" s="1">
        <v>8074616471</v>
      </c>
      <c r="K81" s="1" t="s">
        <v>84</v>
      </c>
      <c r="L81" s="1" t="s">
        <v>1918</v>
      </c>
      <c r="M81" s="1" t="s">
        <v>86</v>
      </c>
      <c r="N81" s="1" t="s">
        <v>1919</v>
      </c>
      <c r="O81" s="1"/>
      <c r="P81" s="1" t="s">
        <v>455</v>
      </c>
      <c r="Q81" s="1" t="s">
        <v>1920</v>
      </c>
      <c r="R81" s="1" t="s">
        <v>1921</v>
      </c>
      <c r="S81" s="1">
        <v>9440078464</v>
      </c>
      <c r="T81" s="1" t="s">
        <v>839</v>
      </c>
      <c r="U81" s="1" t="s">
        <v>1922</v>
      </c>
      <c r="V81" s="1">
        <v>7207028476</v>
      </c>
      <c r="W81" s="1" t="s">
        <v>541</v>
      </c>
      <c r="X81" s="1" t="s">
        <v>1923</v>
      </c>
      <c r="Y81" s="1" t="s">
        <v>1924</v>
      </c>
      <c r="Z81" s="1" t="s">
        <v>281</v>
      </c>
      <c r="AA81" s="1" t="s">
        <v>1923</v>
      </c>
      <c r="AB81" s="1" t="s">
        <v>1924</v>
      </c>
      <c r="AC81" s="1" t="s">
        <v>281</v>
      </c>
      <c r="AD81" s="1">
        <v>9.21</v>
      </c>
      <c r="AE81" s="1" t="s">
        <v>98</v>
      </c>
      <c r="AF81" s="1" t="s">
        <v>1925</v>
      </c>
      <c r="AG81" s="1" t="s">
        <v>1926</v>
      </c>
      <c r="AH81" s="1" t="s">
        <v>166</v>
      </c>
      <c r="AI81" s="1" t="s">
        <v>1111</v>
      </c>
      <c r="AJ81" s="1">
        <v>95</v>
      </c>
      <c r="AK81" s="1">
        <v>9.5</v>
      </c>
      <c r="AL81" s="1" t="s">
        <v>1927</v>
      </c>
      <c r="AM81" s="1" t="s">
        <v>1928</v>
      </c>
      <c r="AN81" s="1"/>
      <c r="AO81" s="1" t="s">
        <v>170</v>
      </c>
      <c r="AP81" s="1" t="s">
        <v>286</v>
      </c>
      <c r="AQ81" s="1">
        <v>94.9</v>
      </c>
      <c r="AR81" s="1"/>
      <c r="AS81" s="1"/>
      <c r="AT81" s="1"/>
      <c r="AU81" s="1"/>
      <c r="AV81" s="1"/>
      <c r="AW81" s="1"/>
      <c r="AX81" s="1"/>
      <c r="AY81" s="1" t="s">
        <v>576</v>
      </c>
      <c r="AZ81" s="1" t="s">
        <v>1929</v>
      </c>
      <c r="BA81" s="1"/>
      <c r="BB81" s="1"/>
      <c r="BC81" s="1" t="s">
        <v>106</v>
      </c>
      <c r="BD81" s="1" t="s">
        <v>1400</v>
      </c>
      <c r="BE81" s="1">
        <v>80.7</v>
      </c>
      <c r="BF81" s="1">
        <v>8.07</v>
      </c>
      <c r="BG81" s="1"/>
      <c r="BH81" s="1"/>
      <c r="BI81" s="1"/>
      <c r="BJ81" s="1"/>
      <c r="BK81" s="1"/>
      <c r="BL81" s="1"/>
      <c r="BM81" s="1"/>
      <c r="BN81" s="1"/>
      <c r="BO81" s="1" t="s">
        <v>1930</v>
      </c>
      <c r="BP81" s="1" t="s">
        <v>1931</v>
      </c>
      <c r="BQ81" s="1" t="s">
        <v>1070</v>
      </c>
      <c r="BR81" s="1" t="s">
        <v>1932</v>
      </c>
      <c r="BS81" s="1">
        <v>29</v>
      </c>
      <c r="BT81" s="1"/>
      <c r="BU81" s="1" t="str">
        <f>HYPERLINK("https://nconnect.nicmar.ac.in/storage/profile/ProfilePhoto_P25700060_469738.jpg","Download")</f>
        <v>0</v>
      </c>
      <c r="BV81" s="3"/>
      <c r="BW81" s="4">
        <v>1</v>
      </c>
    </row>
    <row r="82" spans="1:75">
      <c r="A82" s="1" t="s">
        <v>75</v>
      </c>
      <c r="B82" s="1" t="s">
        <v>446</v>
      </c>
      <c r="C82" s="1" t="s">
        <v>1933</v>
      </c>
      <c r="D82" s="1" t="s">
        <v>1294</v>
      </c>
      <c r="E82" s="1"/>
      <c r="F82" s="1" t="s">
        <v>1934</v>
      </c>
      <c r="G82" s="1" t="s">
        <v>1935</v>
      </c>
      <c r="H82" s="1" t="s">
        <v>1936</v>
      </c>
      <c r="I82" s="1" t="s">
        <v>1937</v>
      </c>
      <c r="J82" s="1">
        <v>6366145389</v>
      </c>
      <c r="K82" s="1" t="s">
        <v>84</v>
      </c>
      <c r="L82" s="1" t="s">
        <v>1938</v>
      </c>
      <c r="M82" s="1" t="s">
        <v>86</v>
      </c>
      <c r="N82" s="1" t="s">
        <v>1939</v>
      </c>
      <c r="O82" s="1"/>
      <c r="P82" s="1" t="s">
        <v>455</v>
      </c>
      <c r="Q82" s="1" t="s">
        <v>1940</v>
      </c>
      <c r="R82" s="1" t="s">
        <v>1941</v>
      </c>
      <c r="S82" s="1">
        <v>9739522349</v>
      </c>
      <c r="T82" s="1" t="s">
        <v>159</v>
      </c>
      <c r="U82" s="1" t="s">
        <v>1942</v>
      </c>
      <c r="V82" s="1">
        <v>9632284289</v>
      </c>
      <c r="W82" s="1" t="s">
        <v>94</v>
      </c>
      <c r="X82" s="1" t="s">
        <v>1943</v>
      </c>
      <c r="Y82" s="1" t="s">
        <v>1944</v>
      </c>
      <c r="Z82" s="1" t="s">
        <v>1210</v>
      </c>
      <c r="AA82" s="1" t="s">
        <v>1943</v>
      </c>
      <c r="AB82" s="1" t="s">
        <v>1944</v>
      </c>
      <c r="AC82" s="1" t="s">
        <v>1210</v>
      </c>
      <c r="AD82" s="1">
        <v>8.08</v>
      </c>
      <c r="AE82" s="1" t="s">
        <v>98</v>
      </c>
      <c r="AF82" s="1" t="s">
        <v>1945</v>
      </c>
      <c r="AG82" s="1" t="s">
        <v>1946</v>
      </c>
      <c r="AH82" s="1" t="s">
        <v>170</v>
      </c>
      <c r="AI82" s="1" t="s">
        <v>490</v>
      </c>
      <c r="AJ82" s="1">
        <v>95.04</v>
      </c>
      <c r="AK82" s="1"/>
      <c r="AL82" s="1" t="s">
        <v>1947</v>
      </c>
      <c r="AM82" s="1" t="s">
        <v>1948</v>
      </c>
      <c r="AN82" s="1" t="s">
        <v>465</v>
      </c>
      <c r="AO82" s="1" t="s">
        <v>438</v>
      </c>
      <c r="AP82" s="1" t="s">
        <v>178</v>
      </c>
      <c r="AQ82" s="1">
        <v>87.83</v>
      </c>
      <c r="AR82" s="1"/>
      <c r="AS82" s="1"/>
      <c r="AT82" s="1"/>
      <c r="AU82" s="1"/>
      <c r="AV82" s="1"/>
      <c r="AW82" s="1"/>
      <c r="AX82" s="1"/>
      <c r="AY82" s="1" t="s">
        <v>1949</v>
      </c>
      <c r="AZ82" s="1" t="s">
        <v>1950</v>
      </c>
      <c r="BA82" s="1" t="s">
        <v>682</v>
      </c>
      <c r="BB82" s="1" t="s">
        <v>1561</v>
      </c>
      <c r="BC82" s="1" t="s">
        <v>233</v>
      </c>
      <c r="BD82" s="1" t="s">
        <v>553</v>
      </c>
      <c r="BE82" s="1">
        <v>69.1</v>
      </c>
      <c r="BF82" s="1"/>
      <c r="BG82" s="1"/>
      <c r="BH82" s="1"/>
      <c r="BI82" s="1"/>
      <c r="BJ82" s="1"/>
      <c r="BK82" s="1"/>
      <c r="BL82" s="1"/>
      <c r="BM82" s="1"/>
      <c r="BN82" s="1"/>
      <c r="BO82" s="1" t="s">
        <v>1951</v>
      </c>
      <c r="BP82" s="1"/>
      <c r="BQ82" s="1"/>
      <c r="BR82" s="1" t="s">
        <v>1952</v>
      </c>
      <c r="BS82" s="1">
        <v>26</v>
      </c>
      <c r="BT82" s="1" t="s">
        <v>1953</v>
      </c>
      <c r="BU82" s="1" t="str">
        <f>HYPERLINK("https://nconnect.nicmar.ac.in/storage/profile/ProfilePhoto_P25700061_348925.jpg","Download")</f>
        <v>0</v>
      </c>
      <c r="BV82" s="3"/>
      <c r="BW82" s="3"/>
    </row>
    <row r="83" spans="1:75">
      <c r="A83" s="1" t="s">
        <v>75</v>
      </c>
      <c r="B83" s="1" t="s">
        <v>446</v>
      </c>
      <c r="C83" s="1" t="s">
        <v>1954</v>
      </c>
      <c r="D83" s="1" t="s">
        <v>1955</v>
      </c>
      <c r="E83" s="1" t="s">
        <v>1956</v>
      </c>
      <c r="F83" s="1" t="s">
        <v>1957</v>
      </c>
      <c r="G83" s="1" t="s">
        <v>1958</v>
      </c>
      <c r="H83" s="1" t="s">
        <v>1959</v>
      </c>
      <c r="I83" s="1" t="s">
        <v>1960</v>
      </c>
      <c r="J83" s="1">
        <v>9930084564</v>
      </c>
      <c r="K83" s="1" t="s">
        <v>153</v>
      </c>
      <c r="L83" s="1" t="s">
        <v>325</v>
      </c>
      <c r="M83" s="1" t="s">
        <v>155</v>
      </c>
      <c r="N83" s="1" t="s">
        <v>1961</v>
      </c>
      <c r="O83" s="1"/>
      <c r="P83" s="1" t="s">
        <v>507</v>
      </c>
      <c r="Q83" s="1" t="s">
        <v>1962</v>
      </c>
      <c r="R83" s="1" t="s">
        <v>1963</v>
      </c>
      <c r="S83" s="1">
        <v>8625925411</v>
      </c>
      <c r="T83" s="1" t="s">
        <v>1964</v>
      </c>
      <c r="U83" s="1" t="s">
        <v>1965</v>
      </c>
      <c r="V83" s="1">
        <v>9850235411</v>
      </c>
      <c r="W83" s="1" t="s">
        <v>161</v>
      </c>
      <c r="X83" s="1" t="s">
        <v>1966</v>
      </c>
      <c r="Y83" s="1" t="s">
        <v>1882</v>
      </c>
      <c r="Z83" s="1" t="s">
        <v>97</v>
      </c>
      <c r="AA83" s="1" t="s">
        <v>1966</v>
      </c>
      <c r="AB83" s="1" t="s">
        <v>1882</v>
      </c>
      <c r="AC83" s="1" t="s">
        <v>97</v>
      </c>
      <c r="AD83" s="1">
        <v>8.97</v>
      </c>
      <c r="AE83" s="1" t="s">
        <v>98</v>
      </c>
      <c r="AF83" s="1" t="s">
        <v>1967</v>
      </c>
      <c r="AG83" s="1" t="s">
        <v>1968</v>
      </c>
      <c r="AH83" s="1" t="s">
        <v>1393</v>
      </c>
      <c r="AI83" s="1" t="s">
        <v>799</v>
      </c>
      <c r="AJ83" s="1">
        <v>73.4</v>
      </c>
      <c r="AK83" s="1"/>
      <c r="AL83" s="1"/>
      <c r="AM83" s="1"/>
      <c r="AN83" s="1"/>
      <c r="AO83" s="1"/>
      <c r="AP83" s="1"/>
      <c r="AQ83" s="1"/>
      <c r="AR83" s="1"/>
      <c r="AS83" s="1" t="s">
        <v>103</v>
      </c>
      <c r="AT83" s="1" t="s">
        <v>1969</v>
      </c>
      <c r="AU83" s="1" t="s">
        <v>1970</v>
      </c>
      <c r="AV83" s="1" t="s">
        <v>1971</v>
      </c>
      <c r="AW83" s="1">
        <v>72.69</v>
      </c>
      <c r="AX83" s="1"/>
      <c r="AY83" s="1" t="s">
        <v>1972</v>
      </c>
      <c r="AZ83" s="1" t="s">
        <v>1973</v>
      </c>
      <c r="BA83" s="1"/>
      <c r="BB83" s="1"/>
      <c r="BC83" s="1" t="s">
        <v>105</v>
      </c>
      <c r="BD83" s="1" t="s">
        <v>174</v>
      </c>
      <c r="BE83" s="1">
        <v>65.05</v>
      </c>
      <c r="BF83" s="1">
        <v>7.17</v>
      </c>
      <c r="BG83" s="1"/>
      <c r="BH83" s="1"/>
      <c r="BI83" s="1"/>
      <c r="BJ83" s="1"/>
      <c r="BK83" s="1"/>
      <c r="BL83" s="1"/>
      <c r="BM83" s="1"/>
      <c r="BN83" s="1"/>
      <c r="BO83" s="1" t="s">
        <v>1974</v>
      </c>
      <c r="BP83" s="1" t="s">
        <v>1975</v>
      </c>
      <c r="BQ83" s="1" t="s">
        <v>1976</v>
      </c>
      <c r="BR83" s="1" t="s">
        <v>1977</v>
      </c>
      <c r="BS83" s="1">
        <v>8</v>
      </c>
      <c r="BT83" s="1"/>
      <c r="BU83" s="1" t="str">
        <f>HYPERLINK("https://nconnect.nicmar.ac.in/storage/profile/ProfilePhoto_P25700063_819562.jpg","Download")</f>
        <v>0</v>
      </c>
      <c r="BV83" s="3"/>
      <c r="BW83" s="3"/>
    </row>
    <row r="84" spans="1:75">
      <c r="A84" s="1" t="s">
        <v>75</v>
      </c>
      <c r="B84" s="1" t="s">
        <v>446</v>
      </c>
      <c r="C84" s="1" t="s">
        <v>1978</v>
      </c>
      <c r="D84" s="1" t="s">
        <v>1979</v>
      </c>
      <c r="E84" s="1" t="s">
        <v>1980</v>
      </c>
      <c r="F84" s="1" t="s">
        <v>1981</v>
      </c>
      <c r="G84" s="1" t="s">
        <v>1982</v>
      </c>
      <c r="H84" s="1" t="s">
        <v>1983</v>
      </c>
      <c r="I84" s="1" t="s">
        <v>1984</v>
      </c>
      <c r="J84" s="1">
        <v>7841013049</v>
      </c>
      <c r="K84" s="1" t="s">
        <v>84</v>
      </c>
      <c r="L84" s="1" t="s">
        <v>1985</v>
      </c>
      <c r="M84" s="1" t="s">
        <v>86</v>
      </c>
      <c r="N84" s="1" t="s">
        <v>618</v>
      </c>
      <c r="O84" s="1"/>
      <c r="P84" s="1" t="s">
        <v>481</v>
      </c>
      <c r="Q84" s="1" t="s">
        <v>1986</v>
      </c>
      <c r="R84" s="1" t="s">
        <v>1980</v>
      </c>
      <c r="S84" s="1">
        <v>9766584075</v>
      </c>
      <c r="T84" s="1" t="s">
        <v>645</v>
      </c>
      <c r="U84" s="1" t="s">
        <v>1987</v>
      </c>
      <c r="V84" s="1">
        <v>9960754154</v>
      </c>
      <c r="W84" s="1" t="s">
        <v>161</v>
      </c>
      <c r="X84" s="1" t="s">
        <v>1988</v>
      </c>
      <c r="Y84" s="1" t="s">
        <v>1989</v>
      </c>
      <c r="Z84" s="1" t="s">
        <v>97</v>
      </c>
      <c r="AA84" s="1" t="s">
        <v>1988</v>
      </c>
      <c r="AB84" s="1" t="s">
        <v>1989</v>
      </c>
      <c r="AC84" s="1" t="s">
        <v>97</v>
      </c>
      <c r="AD84" s="1">
        <v>8.08</v>
      </c>
      <c r="AE84" s="1" t="s">
        <v>98</v>
      </c>
      <c r="AF84" s="1" t="s">
        <v>1990</v>
      </c>
      <c r="AG84" s="1" t="s">
        <v>1968</v>
      </c>
      <c r="AH84" s="1" t="s">
        <v>106</v>
      </c>
      <c r="AI84" s="1" t="s">
        <v>414</v>
      </c>
      <c r="AJ84" s="1">
        <v>77</v>
      </c>
      <c r="AK84" s="1"/>
      <c r="AL84" s="1"/>
      <c r="AM84" s="1"/>
      <c r="AN84" s="1"/>
      <c r="AO84" s="1"/>
      <c r="AP84" s="1"/>
      <c r="AQ84" s="1"/>
      <c r="AR84" s="1"/>
      <c r="AS84" s="1" t="s">
        <v>439</v>
      </c>
      <c r="AT84" s="1" t="s">
        <v>1991</v>
      </c>
      <c r="AU84" s="1" t="s">
        <v>206</v>
      </c>
      <c r="AV84" s="1" t="s">
        <v>110</v>
      </c>
      <c r="AW84" s="1">
        <v>74</v>
      </c>
      <c r="AX84" s="1"/>
      <c r="AY84" s="1" t="s">
        <v>1038</v>
      </c>
      <c r="AZ84" s="1" t="s">
        <v>1992</v>
      </c>
      <c r="BA84" s="1" t="s">
        <v>466</v>
      </c>
      <c r="BB84" s="1" t="s">
        <v>1993</v>
      </c>
      <c r="BC84" s="1" t="s">
        <v>110</v>
      </c>
      <c r="BD84" s="1" t="s">
        <v>848</v>
      </c>
      <c r="BE84" s="1">
        <v>65</v>
      </c>
      <c r="BF84" s="1">
        <v>7</v>
      </c>
      <c r="BG84" s="1"/>
      <c r="BH84" s="1"/>
      <c r="BI84" s="1"/>
      <c r="BJ84" s="1"/>
      <c r="BK84" s="1"/>
      <c r="BL84" s="1"/>
      <c r="BM84" s="1"/>
      <c r="BN84" s="1"/>
      <c r="BO84" s="1" t="s">
        <v>369</v>
      </c>
      <c r="BP84" s="1"/>
      <c r="BQ84" s="1"/>
      <c r="BR84" s="1" t="s">
        <v>1994</v>
      </c>
      <c r="BS84" s="1">
        <v>17</v>
      </c>
      <c r="BT84" s="1"/>
      <c r="BU84" s="1" t="str">
        <f>HYPERLINK("https://nconnect.nicmar.ac.in/storage/profile/ProfilePhoto_P25700064_658724.jpg","Download")</f>
        <v>0</v>
      </c>
      <c r="BV84" s="3"/>
      <c r="BW84" s="3"/>
    </row>
    <row r="85" spans="1:75">
      <c r="A85" s="1" t="s">
        <v>75</v>
      </c>
      <c r="B85" s="1" t="s">
        <v>446</v>
      </c>
      <c r="C85" s="1" t="s">
        <v>1995</v>
      </c>
      <c r="D85" s="1" t="s">
        <v>1996</v>
      </c>
      <c r="E85" s="1"/>
      <c r="F85" s="1" t="s">
        <v>1997</v>
      </c>
      <c r="G85" s="1" t="s">
        <v>1998</v>
      </c>
      <c r="H85" s="1" t="s">
        <v>1999</v>
      </c>
      <c r="I85" s="1" t="s">
        <v>2000</v>
      </c>
      <c r="J85" s="1">
        <v>7358753949</v>
      </c>
      <c r="K85" s="1" t="s">
        <v>84</v>
      </c>
      <c r="L85" s="1" t="s">
        <v>2001</v>
      </c>
      <c r="M85" s="1" t="s">
        <v>86</v>
      </c>
      <c r="N85" s="1" t="s">
        <v>2002</v>
      </c>
      <c r="O85" s="1"/>
      <c r="P85" s="1" t="s">
        <v>481</v>
      </c>
      <c r="Q85" s="1" t="s">
        <v>2003</v>
      </c>
      <c r="R85" s="1" t="s">
        <v>2004</v>
      </c>
      <c r="S85" s="1">
        <v>8754584973</v>
      </c>
      <c r="T85" s="1" t="s">
        <v>2005</v>
      </c>
      <c r="U85" s="1" t="s">
        <v>2006</v>
      </c>
      <c r="V85" s="1">
        <v>9791124128</v>
      </c>
      <c r="W85" s="1" t="s">
        <v>541</v>
      </c>
      <c r="X85" s="1" t="s">
        <v>2007</v>
      </c>
      <c r="Y85" s="1" t="s">
        <v>2008</v>
      </c>
      <c r="Z85" s="1" t="s">
        <v>570</v>
      </c>
      <c r="AA85" s="1" t="s">
        <v>2007</v>
      </c>
      <c r="AB85" s="1" t="s">
        <v>2008</v>
      </c>
      <c r="AC85" s="1" t="s">
        <v>570</v>
      </c>
      <c r="AD85" s="1">
        <v>7.08</v>
      </c>
      <c r="AE85" s="1" t="s">
        <v>98</v>
      </c>
      <c r="AF85" s="1" t="s">
        <v>2009</v>
      </c>
      <c r="AG85" s="1" t="s">
        <v>2010</v>
      </c>
      <c r="AH85" s="1" t="s">
        <v>167</v>
      </c>
      <c r="AI85" s="1" t="s">
        <v>170</v>
      </c>
      <c r="AJ85" s="1">
        <v>79.8</v>
      </c>
      <c r="AK85" s="1"/>
      <c r="AL85" s="1" t="s">
        <v>2009</v>
      </c>
      <c r="AM85" s="1" t="s">
        <v>2010</v>
      </c>
      <c r="AN85" s="1"/>
      <c r="AO85" s="1" t="s">
        <v>171</v>
      </c>
      <c r="AP85" s="1" t="s">
        <v>313</v>
      </c>
      <c r="AQ85" s="1">
        <v>68.4</v>
      </c>
      <c r="AR85" s="1"/>
      <c r="AS85" s="1"/>
      <c r="AT85" s="1"/>
      <c r="AU85" s="1"/>
      <c r="AV85" s="1"/>
      <c r="AW85" s="1"/>
      <c r="AX85" s="1"/>
      <c r="AY85" s="1" t="s">
        <v>576</v>
      </c>
      <c r="AZ85" s="1" t="s">
        <v>2011</v>
      </c>
      <c r="BA85" s="1"/>
      <c r="BB85" s="1"/>
      <c r="BC85" s="1" t="s">
        <v>206</v>
      </c>
      <c r="BD85" s="1" t="s">
        <v>391</v>
      </c>
      <c r="BE85" s="1">
        <v>74.6</v>
      </c>
      <c r="BF85" s="1"/>
      <c r="BG85" s="1"/>
      <c r="BH85" s="1"/>
      <c r="BI85" s="1"/>
      <c r="BJ85" s="1"/>
      <c r="BK85" s="1"/>
      <c r="BL85" s="1"/>
      <c r="BM85" s="1"/>
      <c r="BN85" s="1"/>
      <c r="BO85" s="1" t="s">
        <v>260</v>
      </c>
      <c r="BP85" s="1"/>
      <c r="BQ85" s="1"/>
      <c r="BR85" s="1" t="s">
        <v>2012</v>
      </c>
      <c r="BS85" s="1">
        <v>2</v>
      </c>
      <c r="BT85" s="1"/>
      <c r="BU85" s="1" t="str">
        <f>HYPERLINK("https://nconnect.nicmar.ac.in/storage/profile/ProfilePhoto_P25700065_754213.jpg","Download")</f>
        <v>0</v>
      </c>
      <c r="BV85" s="3"/>
      <c r="BW85" s="3"/>
    </row>
    <row r="86" spans="1:75">
      <c r="A86" s="1" t="s">
        <v>75</v>
      </c>
      <c r="B86" s="1" t="s">
        <v>446</v>
      </c>
      <c r="C86" s="1" t="s">
        <v>2013</v>
      </c>
      <c r="D86" s="1" t="s">
        <v>2014</v>
      </c>
      <c r="E86" s="1" t="s">
        <v>1320</v>
      </c>
      <c r="F86" s="1" t="s">
        <v>2015</v>
      </c>
      <c r="G86" s="1" t="s">
        <v>2016</v>
      </c>
      <c r="H86" s="1" t="s">
        <v>2017</v>
      </c>
      <c r="I86" s="1" t="s">
        <v>2018</v>
      </c>
      <c r="J86" s="1">
        <v>7008703108</v>
      </c>
      <c r="K86" s="1" t="s">
        <v>84</v>
      </c>
      <c r="L86" s="1" t="s">
        <v>2019</v>
      </c>
      <c r="M86" s="1" t="s">
        <v>86</v>
      </c>
      <c r="N86" s="1" t="s">
        <v>2020</v>
      </c>
      <c r="O86" s="1"/>
      <c r="P86" s="1" t="s">
        <v>2021</v>
      </c>
      <c r="Q86" s="1" t="s">
        <v>2022</v>
      </c>
      <c r="R86" s="1" t="s">
        <v>2023</v>
      </c>
      <c r="S86" s="1">
        <v>6371072764</v>
      </c>
      <c r="T86" s="1" t="s">
        <v>2024</v>
      </c>
      <c r="U86" s="1" t="s">
        <v>2025</v>
      </c>
      <c r="V86" s="1">
        <v>9348470163</v>
      </c>
      <c r="W86" s="1" t="s">
        <v>2024</v>
      </c>
      <c r="X86" s="1" t="s">
        <v>2026</v>
      </c>
      <c r="Y86" s="1" t="s">
        <v>2027</v>
      </c>
      <c r="Z86" s="1" t="s">
        <v>865</v>
      </c>
      <c r="AA86" s="1" t="s">
        <v>2026</v>
      </c>
      <c r="AB86" s="1" t="s">
        <v>2027</v>
      </c>
      <c r="AC86" s="1" t="s">
        <v>865</v>
      </c>
      <c r="AD86" s="1">
        <v>8.49</v>
      </c>
      <c r="AE86" s="1" t="s">
        <v>98</v>
      </c>
      <c r="AF86" s="1" t="s">
        <v>2028</v>
      </c>
      <c r="AG86" s="1" t="s">
        <v>2029</v>
      </c>
      <c r="AH86" s="1" t="s">
        <v>2030</v>
      </c>
      <c r="AI86" s="1" t="s">
        <v>627</v>
      </c>
      <c r="AJ86" s="1">
        <v>79.5</v>
      </c>
      <c r="AK86" s="1"/>
      <c r="AL86" s="1" t="s">
        <v>2031</v>
      </c>
      <c r="AM86" s="1" t="s">
        <v>2032</v>
      </c>
      <c r="AN86" s="1" t="s">
        <v>465</v>
      </c>
      <c r="AO86" s="1" t="s">
        <v>167</v>
      </c>
      <c r="AP86" s="1" t="s">
        <v>171</v>
      </c>
      <c r="AQ86" s="1">
        <v>66.2</v>
      </c>
      <c r="AR86" s="1"/>
      <c r="AS86" s="1"/>
      <c r="AT86" s="1"/>
      <c r="AU86" s="1"/>
      <c r="AV86" s="1"/>
      <c r="AW86" s="1"/>
      <c r="AX86" s="1"/>
      <c r="AY86" s="1" t="s">
        <v>2033</v>
      </c>
      <c r="AZ86" s="1" t="s">
        <v>2034</v>
      </c>
      <c r="BA86" s="1" t="s">
        <v>466</v>
      </c>
      <c r="BB86" s="1" t="s">
        <v>467</v>
      </c>
      <c r="BC86" s="1" t="s">
        <v>106</v>
      </c>
      <c r="BD86" s="1" t="s">
        <v>110</v>
      </c>
      <c r="BE86" s="1">
        <v>93.7</v>
      </c>
      <c r="BF86" s="1">
        <v>9.37</v>
      </c>
      <c r="BG86" s="1"/>
      <c r="BH86" s="1"/>
      <c r="BI86" s="1"/>
      <c r="BJ86" s="1"/>
      <c r="BK86" s="1"/>
      <c r="BL86" s="1"/>
      <c r="BM86" s="1"/>
      <c r="BN86" s="1"/>
      <c r="BO86" s="1" t="s">
        <v>2035</v>
      </c>
      <c r="BP86" s="1"/>
      <c r="BQ86" s="1"/>
      <c r="BR86" s="1" t="s">
        <v>2036</v>
      </c>
      <c r="BS86" s="1">
        <v>9</v>
      </c>
      <c r="BT86" s="1" t="s">
        <v>2037</v>
      </c>
      <c r="BU86" s="1" t="str">
        <f>HYPERLINK("https://nconnect.nicmar.ac.in/storage/profile/ProfilePhoto_P25700066_218945.jpg","Download")</f>
        <v>0</v>
      </c>
      <c r="BV86" s="3"/>
      <c r="BW86" s="3"/>
    </row>
    <row r="87" spans="1:75">
      <c r="A87" s="1" t="s">
        <v>75</v>
      </c>
      <c r="B87" s="1" t="s">
        <v>446</v>
      </c>
      <c r="C87" s="1" t="s">
        <v>2038</v>
      </c>
      <c r="D87" s="1" t="s">
        <v>1525</v>
      </c>
      <c r="E87" s="1" t="s">
        <v>457</v>
      </c>
      <c r="F87" s="1" t="s">
        <v>2039</v>
      </c>
      <c r="G87" s="1" t="s">
        <v>2040</v>
      </c>
      <c r="H87" s="1" t="s">
        <v>2041</v>
      </c>
      <c r="I87" s="1" t="s">
        <v>2042</v>
      </c>
      <c r="J87" s="1">
        <v>9156804191</v>
      </c>
      <c r="K87" s="1" t="s">
        <v>84</v>
      </c>
      <c r="L87" s="1" t="s">
        <v>2043</v>
      </c>
      <c r="M87" s="1" t="s">
        <v>86</v>
      </c>
      <c r="N87" s="1" t="s">
        <v>903</v>
      </c>
      <c r="O87" s="1"/>
      <c r="P87" s="1" t="s">
        <v>481</v>
      </c>
      <c r="Q87" s="1" t="s">
        <v>2044</v>
      </c>
      <c r="R87" s="1" t="s">
        <v>457</v>
      </c>
      <c r="S87" s="1">
        <v>9763106231</v>
      </c>
      <c r="T87" s="1" t="s">
        <v>645</v>
      </c>
      <c r="U87" s="1" t="s">
        <v>2045</v>
      </c>
      <c r="V87" s="1">
        <v>9637861884</v>
      </c>
      <c r="W87" s="1" t="s">
        <v>161</v>
      </c>
      <c r="X87" s="1" t="s">
        <v>2046</v>
      </c>
      <c r="Y87" s="1" t="s">
        <v>224</v>
      </c>
      <c r="Z87" s="1" t="s">
        <v>97</v>
      </c>
      <c r="AA87" s="1" t="s">
        <v>2046</v>
      </c>
      <c r="AB87" s="1" t="s">
        <v>224</v>
      </c>
      <c r="AC87" s="1" t="s">
        <v>97</v>
      </c>
      <c r="AD87" s="1">
        <v>7.36</v>
      </c>
      <c r="AE87" s="1" t="s">
        <v>98</v>
      </c>
      <c r="AF87" s="1" t="s">
        <v>2047</v>
      </c>
      <c r="AG87" s="1" t="s">
        <v>2048</v>
      </c>
      <c r="AH87" s="1" t="s">
        <v>101</v>
      </c>
      <c r="AI87" s="1" t="s">
        <v>166</v>
      </c>
      <c r="AJ87" s="1">
        <v>80</v>
      </c>
      <c r="AK87" s="1"/>
      <c r="AL87" s="1" t="s">
        <v>2049</v>
      </c>
      <c r="AM87" s="1" t="s">
        <v>2048</v>
      </c>
      <c r="AN87" s="1" t="s">
        <v>465</v>
      </c>
      <c r="AO87" s="1" t="s">
        <v>1396</v>
      </c>
      <c r="AP87" s="1" t="s">
        <v>573</v>
      </c>
      <c r="AQ87" s="1">
        <v>62</v>
      </c>
      <c r="AR87" s="1"/>
      <c r="AS87" s="1"/>
      <c r="AT87" s="1"/>
      <c r="AU87" s="1"/>
      <c r="AV87" s="1"/>
      <c r="AW87" s="1"/>
      <c r="AX87" s="1"/>
      <c r="AY87" s="1" t="s">
        <v>340</v>
      </c>
      <c r="AZ87" s="1" t="s">
        <v>2050</v>
      </c>
      <c r="BA87" s="1" t="s">
        <v>578</v>
      </c>
      <c r="BB87" s="1" t="s">
        <v>467</v>
      </c>
      <c r="BC87" s="1" t="s">
        <v>388</v>
      </c>
      <c r="BD87" s="1" t="s">
        <v>441</v>
      </c>
      <c r="BE87" s="1">
        <v>89.62</v>
      </c>
      <c r="BF87" s="1">
        <v>9.82</v>
      </c>
      <c r="BG87" s="1"/>
      <c r="BH87" s="1"/>
      <c r="BI87" s="1"/>
      <c r="BJ87" s="1"/>
      <c r="BK87" s="1"/>
      <c r="BL87" s="1"/>
      <c r="BM87" s="1"/>
      <c r="BN87" s="1"/>
      <c r="BO87" s="1" t="s">
        <v>2051</v>
      </c>
      <c r="BP87" s="1" t="s">
        <v>2052</v>
      </c>
      <c r="BQ87" s="1" t="s">
        <v>292</v>
      </c>
      <c r="BR87" s="1" t="s">
        <v>2053</v>
      </c>
      <c r="BS87" s="1">
        <v>28</v>
      </c>
      <c r="BT87" s="1" t="s">
        <v>2054</v>
      </c>
      <c r="BU87" s="1" t="str">
        <f>HYPERLINK("https://nconnect.nicmar.ac.in/storage/profile/ProfilePhoto_P25700067_296354.jpg","Download")</f>
        <v>0</v>
      </c>
      <c r="BV87" s="3"/>
      <c r="BW87" s="3"/>
    </row>
    <row r="88" spans="1:75">
      <c r="A88" s="1" t="s">
        <v>75</v>
      </c>
      <c r="B88" s="1" t="s">
        <v>446</v>
      </c>
      <c r="C88" s="1" t="s">
        <v>2055</v>
      </c>
      <c r="D88" s="1" t="s">
        <v>2056</v>
      </c>
      <c r="E88" s="1"/>
      <c r="F88" s="1" t="s">
        <v>1361</v>
      </c>
      <c r="G88" s="1" t="s">
        <v>2057</v>
      </c>
      <c r="H88" s="1" t="s">
        <v>2058</v>
      </c>
      <c r="I88" s="1" t="s">
        <v>2059</v>
      </c>
      <c r="J88" s="1">
        <v>9384237607</v>
      </c>
      <c r="K88" s="1" t="s">
        <v>84</v>
      </c>
      <c r="L88" s="1" t="s">
        <v>2060</v>
      </c>
      <c r="M88" s="1" t="s">
        <v>86</v>
      </c>
      <c r="N88" s="1" t="s">
        <v>2061</v>
      </c>
      <c r="O88" s="1"/>
      <c r="P88" s="1" t="s">
        <v>2062</v>
      </c>
      <c r="Q88" s="1" t="s">
        <v>2063</v>
      </c>
      <c r="R88" s="1" t="s">
        <v>2064</v>
      </c>
      <c r="S88" s="1">
        <v>9443467607</v>
      </c>
      <c r="T88" s="1" t="s">
        <v>2065</v>
      </c>
      <c r="U88" s="1" t="s">
        <v>2066</v>
      </c>
      <c r="V88" s="1">
        <v>7010827356</v>
      </c>
      <c r="W88" s="1" t="s">
        <v>278</v>
      </c>
      <c r="X88" s="1" t="s">
        <v>2067</v>
      </c>
      <c r="Y88" s="1" t="s">
        <v>2068</v>
      </c>
      <c r="Z88" s="1" t="s">
        <v>2068</v>
      </c>
      <c r="AA88" s="1" t="s">
        <v>2067</v>
      </c>
      <c r="AB88" s="1" t="s">
        <v>2068</v>
      </c>
      <c r="AC88" s="1" t="s">
        <v>2068</v>
      </c>
      <c r="AD88" s="1">
        <v>8.74</v>
      </c>
      <c r="AE88" s="1" t="s">
        <v>98</v>
      </c>
      <c r="AF88" s="1" t="s">
        <v>2069</v>
      </c>
      <c r="AG88" s="1" t="s">
        <v>2070</v>
      </c>
      <c r="AH88" s="1" t="s">
        <v>106</v>
      </c>
      <c r="AI88" s="1" t="s">
        <v>414</v>
      </c>
      <c r="AJ88" s="1">
        <v>80.6</v>
      </c>
      <c r="AK88" s="1"/>
      <c r="AL88" s="1" t="s">
        <v>2069</v>
      </c>
      <c r="AM88" s="1" t="s">
        <v>2070</v>
      </c>
      <c r="AN88" s="1" t="s">
        <v>465</v>
      </c>
      <c r="AO88" s="1" t="s">
        <v>468</v>
      </c>
      <c r="AP88" s="1" t="s">
        <v>845</v>
      </c>
      <c r="AQ88" s="1">
        <v>83.95</v>
      </c>
      <c r="AR88" s="1"/>
      <c r="AS88" s="1"/>
      <c r="AT88" s="1"/>
      <c r="AU88" s="1"/>
      <c r="AV88" s="1"/>
      <c r="AW88" s="1"/>
      <c r="AX88" s="1"/>
      <c r="AY88" s="1" t="s">
        <v>550</v>
      </c>
      <c r="AZ88" s="1" t="s">
        <v>2071</v>
      </c>
      <c r="BA88" s="1" t="s">
        <v>466</v>
      </c>
      <c r="BB88" s="1" t="s">
        <v>467</v>
      </c>
      <c r="BC88" s="1" t="s">
        <v>441</v>
      </c>
      <c r="BD88" s="1" t="s">
        <v>1401</v>
      </c>
      <c r="BE88" s="1">
        <v>82.2</v>
      </c>
      <c r="BF88" s="1">
        <v>8.22</v>
      </c>
      <c r="BG88" s="1"/>
      <c r="BH88" s="1"/>
      <c r="BI88" s="1"/>
      <c r="BJ88" s="1"/>
      <c r="BK88" s="1"/>
      <c r="BL88" s="1"/>
      <c r="BM88" s="1"/>
      <c r="BN88" s="1"/>
      <c r="BO88" s="1" t="s">
        <v>2072</v>
      </c>
      <c r="BP88" s="1"/>
      <c r="BQ88" s="1"/>
      <c r="BR88" s="1" t="s">
        <v>2073</v>
      </c>
      <c r="BS88" s="1">
        <v>13</v>
      </c>
      <c r="BT88" s="1" t="s">
        <v>2074</v>
      </c>
      <c r="BU88" s="1" t="str">
        <f>HYPERLINK("https://nconnect.nicmar.ac.in/storage/profile/ProfilePhoto_P25700068_416927.jpg","Download")</f>
        <v>0</v>
      </c>
      <c r="BV88" s="3"/>
      <c r="BW88" s="3"/>
    </row>
    <row r="89" spans="1:75">
      <c r="A89" s="1" t="s">
        <v>75</v>
      </c>
      <c r="B89" s="1" t="s">
        <v>446</v>
      </c>
      <c r="C89" s="1" t="s">
        <v>2075</v>
      </c>
      <c r="D89" s="1" t="s">
        <v>663</v>
      </c>
      <c r="E89" s="1" t="s">
        <v>2076</v>
      </c>
      <c r="F89" s="1" t="s">
        <v>530</v>
      </c>
      <c r="G89" s="1" t="s">
        <v>2077</v>
      </c>
      <c r="H89" s="1" t="s">
        <v>2078</v>
      </c>
      <c r="I89" s="1" t="s">
        <v>2079</v>
      </c>
      <c r="J89" s="1">
        <v>7395070607</v>
      </c>
      <c r="K89" s="1" t="s">
        <v>84</v>
      </c>
      <c r="L89" s="1" t="s">
        <v>2080</v>
      </c>
      <c r="M89" s="1" t="s">
        <v>86</v>
      </c>
      <c r="N89" s="1" t="s">
        <v>2081</v>
      </c>
      <c r="O89" s="1"/>
      <c r="P89" s="1" t="s">
        <v>507</v>
      </c>
      <c r="Q89" s="1" t="s">
        <v>2082</v>
      </c>
      <c r="R89" s="1" t="s">
        <v>2083</v>
      </c>
      <c r="S89" s="1">
        <v>9451192005</v>
      </c>
      <c r="T89" s="1" t="s">
        <v>2084</v>
      </c>
      <c r="U89" s="1" t="s">
        <v>2085</v>
      </c>
      <c r="V89" s="1">
        <v>8543047445</v>
      </c>
      <c r="W89" s="1" t="s">
        <v>278</v>
      </c>
      <c r="X89" s="1" t="s">
        <v>2086</v>
      </c>
      <c r="Y89" s="1" t="s">
        <v>543</v>
      </c>
      <c r="Z89" s="1" t="s">
        <v>544</v>
      </c>
      <c r="AA89" s="1" t="s">
        <v>2087</v>
      </c>
      <c r="AB89" s="1" t="s">
        <v>543</v>
      </c>
      <c r="AC89" s="1" t="s">
        <v>544</v>
      </c>
      <c r="AD89" s="1">
        <v>8.51</v>
      </c>
      <c r="AE89" s="1" t="s">
        <v>98</v>
      </c>
      <c r="AF89" s="1" t="s">
        <v>2088</v>
      </c>
      <c r="AG89" s="1" t="s">
        <v>2089</v>
      </c>
      <c r="AH89" s="1" t="s">
        <v>284</v>
      </c>
      <c r="AI89" s="1" t="s">
        <v>170</v>
      </c>
      <c r="AJ89" s="1">
        <v>87.4</v>
      </c>
      <c r="AK89" s="1">
        <v>9.2</v>
      </c>
      <c r="AL89" s="1" t="s">
        <v>2088</v>
      </c>
      <c r="AM89" s="1" t="s">
        <v>2089</v>
      </c>
      <c r="AN89" s="1" t="s">
        <v>465</v>
      </c>
      <c r="AO89" s="1" t="s">
        <v>490</v>
      </c>
      <c r="AP89" s="1" t="s">
        <v>313</v>
      </c>
      <c r="AQ89" s="1">
        <v>62</v>
      </c>
      <c r="AR89" s="1"/>
      <c r="AS89" s="1"/>
      <c r="AT89" s="1"/>
      <c r="AU89" s="1"/>
      <c r="AV89" s="1"/>
      <c r="AW89" s="1"/>
      <c r="AX89" s="1"/>
      <c r="AY89" s="1" t="s">
        <v>2090</v>
      </c>
      <c r="AZ89" s="1" t="s">
        <v>2091</v>
      </c>
      <c r="BA89" s="1" t="s">
        <v>466</v>
      </c>
      <c r="BB89" s="1" t="s">
        <v>467</v>
      </c>
      <c r="BC89" s="1" t="s">
        <v>315</v>
      </c>
      <c r="BD89" s="1" t="s">
        <v>179</v>
      </c>
      <c r="BE89" s="1">
        <v>77.8</v>
      </c>
      <c r="BF89" s="1">
        <v>7.78</v>
      </c>
      <c r="BG89" s="1"/>
      <c r="BH89" s="1"/>
      <c r="BI89" s="1"/>
      <c r="BJ89" s="1"/>
      <c r="BK89" s="1"/>
      <c r="BL89" s="1"/>
      <c r="BM89" s="1"/>
      <c r="BN89" s="1"/>
      <c r="BO89" s="1" t="s">
        <v>1114</v>
      </c>
      <c r="BP89" s="1" t="s">
        <v>2092</v>
      </c>
      <c r="BQ89" s="1" t="s">
        <v>2093</v>
      </c>
      <c r="BR89" s="1" t="s">
        <v>2094</v>
      </c>
      <c r="BS89" s="1">
        <v>13</v>
      </c>
      <c r="BT89" s="1" t="s">
        <v>2095</v>
      </c>
      <c r="BU89" s="1" t="str">
        <f>HYPERLINK("https://nconnect.nicmar.ac.in/storage/profile/ProfilePhoto_P25700069_452369.jpg","Download")</f>
        <v>0</v>
      </c>
      <c r="BV89" s="3"/>
      <c r="BW89" s="3"/>
    </row>
    <row r="90" spans="1:75">
      <c r="A90" s="1" t="s">
        <v>75</v>
      </c>
      <c r="B90" s="1" t="s">
        <v>446</v>
      </c>
      <c r="C90" s="1" t="s">
        <v>2096</v>
      </c>
      <c r="D90" s="1" t="s">
        <v>2097</v>
      </c>
      <c r="E90" s="1" t="s">
        <v>2098</v>
      </c>
      <c r="F90" s="1" t="s">
        <v>2099</v>
      </c>
      <c r="G90" s="1" t="s">
        <v>2100</v>
      </c>
      <c r="H90" s="1" t="s">
        <v>2101</v>
      </c>
      <c r="I90" s="1" t="s">
        <v>2102</v>
      </c>
      <c r="J90" s="1">
        <v>7666230780</v>
      </c>
      <c r="K90" s="1" t="s">
        <v>84</v>
      </c>
      <c r="L90" s="1" t="s">
        <v>2103</v>
      </c>
      <c r="M90" s="1" t="s">
        <v>86</v>
      </c>
      <c r="N90" s="1" t="s">
        <v>1163</v>
      </c>
      <c r="O90" s="1"/>
      <c r="P90" s="1" t="s">
        <v>481</v>
      </c>
      <c r="Q90" s="1" t="s">
        <v>2104</v>
      </c>
      <c r="R90" s="1" t="s">
        <v>2105</v>
      </c>
      <c r="S90" s="1">
        <v>7020516143</v>
      </c>
      <c r="T90" s="1" t="s">
        <v>1620</v>
      </c>
      <c r="U90" s="1" t="s">
        <v>2106</v>
      </c>
      <c r="V90" s="1">
        <v>9075994350</v>
      </c>
      <c r="W90" s="1" t="s">
        <v>161</v>
      </c>
      <c r="X90" s="1" t="s">
        <v>2107</v>
      </c>
      <c r="Y90" s="1" t="s">
        <v>2108</v>
      </c>
      <c r="Z90" s="1" t="s">
        <v>97</v>
      </c>
      <c r="AA90" s="1" t="s">
        <v>2107</v>
      </c>
      <c r="AB90" s="1" t="s">
        <v>2108</v>
      </c>
      <c r="AC90" s="1" t="s">
        <v>97</v>
      </c>
      <c r="AD90" s="1">
        <v>8.95</v>
      </c>
      <c r="AE90" s="1" t="s">
        <v>98</v>
      </c>
      <c r="AF90" s="1" t="s">
        <v>2109</v>
      </c>
      <c r="AG90" s="1" t="s">
        <v>2110</v>
      </c>
      <c r="AH90" s="1" t="s">
        <v>167</v>
      </c>
      <c r="AI90" s="1" t="s">
        <v>170</v>
      </c>
      <c r="AJ90" s="1">
        <v>90.2</v>
      </c>
      <c r="AK90" s="1"/>
      <c r="AL90" s="1"/>
      <c r="AM90" s="1"/>
      <c r="AN90" s="1"/>
      <c r="AO90" s="1"/>
      <c r="AP90" s="1"/>
      <c r="AQ90" s="1"/>
      <c r="AR90" s="1"/>
      <c r="AS90" s="1" t="s">
        <v>103</v>
      </c>
      <c r="AT90" s="1" t="s">
        <v>2111</v>
      </c>
      <c r="AU90" s="1" t="s">
        <v>2112</v>
      </c>
      <c r="AV90" s="1" t="s">
        <v>175</v>
      </c>
      <c r="AW90" s="1">
        <v>96.58</v>
      </c>
      <c r="AX90" s="1"/>
      <c r="AY90" s="1" t="s">
        <v>366</v>
      </c>
      <c r="AZ90" s="1" t="s">
        <v>2113</v>
      </c>
      <c r="BA90" s="1"/>
      <c r="BB90" s="1"/>
      <c r="BC90" s="1" t="s">
        <v>368</v>
      </c>
      <c r="BD90" s="1" t="s">
        <v>179</v>
      </c>
      <c r="BE90" s="1">
        <v>86.24</v>
      </c>
      <c r="BF90" s="1">
        <v>9.12</v>
      </c>
      <c r="BG90" s="1"/>
      <c r="BH90" s="1"/>
      <c r="BI90" s="1"/>
      <c r="BJ90" s="1"/>
      <c r="BK90" s="1"/>
      <c r="BL90" s="1"/>
      <c r="BM90" s="1"/>
      <c r="BN90" s="1"/>
      <c r="BO90" s="1" t="s">
        <v>2114</v>
      </c>
      <c r="BP90" s="1" t="s">
        <v>2115</v>
      </c>
      <c r="BQ90" s="1" t="s">
        <v>2116</v>
      </c>
      <c r="BR90" s="1" t="s">
        <v>2117</v>
      </c>
      <c r="BS90" s="1">
        <v>56</v>
      </c>
      <c r="BT90" s="1" t="s">
        <v>2118</v>
      </c>
      <c r="BU90" s="1" t="str">
        <f>HYPERLINK("https://nconnect.nicmar.ac.in/storage/profile/ProfilePhoto_P25700070_589147.jpg","Download")</f>
        <v>0</v>
      </c>
      <c r="BV90" s="3"/>
      <c r="BW90" s="3"/>
    </row>
    <row r="91" spans="1:75">
      <c r="A91" s="1" t="s">
        <v>75</v>
      </c>
      <c r="B91" s="1" t="s">
        <v>446</v>
      </c>
      <c r="C91" s="1" t="s">
        <v>2119</v>
      </c>
      <c r="D91" s="1" t="s">
        <v>2120</v>
      </c>
      <c r="E91" s="1"/>
      <c r="F91" s="1" t="s">
        <v>1487</v>
      </c>
      <c r="G91" s="1" t="s">
        <v>2121</v>
      </c>
      <c r="H91" s="1" t="s">
        <v>2122</v>
      </c>
      <c r="I91" s="1" t="s">
        <v>2123</v>
      </c>
      <c r="J91" s="1">
        <v>9488964540</v>
      </c>
      <c r="K91" s="1" t="s">
        <v>84</v>
      </c>
      <c r="L91" s="1" t="s">
        <v>2124</v>
      </c>
      <c r="M91" s="1" t="s">
        <v>86</v>
      </c>
      <c r="N91" s="1" t="s">
        <v>2125</v>
      </c>
      <c r="O91" s="1"/>
      <c r="P91" s="1" t="s">
        <v>455</v>
      </c>
      <c r="Q91" s="1" t="s">
        <v>2126</v>
      </c>
      <c r="R91" s="1" t="s">
        <v>2127</v>
      </c>
      <c r="S91" s="1">
        <v>9043064540</v>
      </c>
      <c r="T91" s="1" t="s">
        <v>2128</v>
      </c>
      <c r="U91" s="1" t="s">
        <v>2129</v>
      </c>
      <c r="V91" s="1">
        <v>9943064540</v>
      </c>
      <c r="W91" s="1" t="s">
        <v>2128</v>
      </c>
      <c r="X91" s="1" t="s">
        <v>2130</v>
      </c>
      <c r="Y91" s="1" t="s">
        <v>2131</v>
      </c>
      <c r="Z91" s="1" t="s">
        <v>570</v>
      </c>
      <c r="AA91" s="1" t="s">
        <v>2130</v>
      </c>
      <c r="AB91" s="1" t="s">
        <v>2131</v>
      </c>
      <c r="AC91" s="1" t="s">
        <v>570</v>
      </c>
      <c r="AD91" s="1">
        <v>8.64</v>
      </c>
      <c r="AE91" s="1" t="s">
        <v>98</v>
      </c>
      <c r="AF91" s="1" t="s">
        <v>2132</v>
      </c>
      <c r="AG91" s="1" t="s">
        <v>2133</v>
      </c>
      <c r="AH91" s="1" t="s">
        <v>171</v>
      </c>
      <c r="AI91" s="1" t="s">
        <v>313</v>
      </c>
      <c r="AJ91" s="1">
        <v>87</v>
      </c>
      <c r="AK91" s="1"/>
      <c r="AL91" s="1" t="s">
        <v>2134</v>
      </c>
      <c r="AM91" s="1" t="s">
        <v>2133</v>
      </c>
      <c r="AN91" s="1" t="s">
        <v>465</v>
      </c>
      <c r="AO91" s="1" t="s">
        <v>1040</v>
      </c>
      <c r="AP91" s="1" t="s">
        <v>441</v>
      </c>
      <c r="AQ91" s="1">
        <v>88.6</v>
      </c>
      <c r="AR91" s="1"/>
      <c r="AS91" s="1"/>
      <c r="AT91" s="1"/>
      <c r="AU91" s="1"/>
      <c r="AV91" s="1"/>
      <c r="AW91" s="1"/>
      <c r="AX91" s="1"/>
      <c r="AY91" s="1" t="s">
        <v>576</v>
      </c>
      <c r="AZ91" s="1" t="s">
        <v>2135</v>
      </c>
      <c r="BA91" s="1" t="s">
        <v>578</v>
      </c>
      <c r="BB91" s="1" t="s">
        <v>467</v>
      </c>
      <c r="BC91" s="1" t="s">
        <v>552</v>
      </c>
      <c r="BD91" s="1" t="s">
        <v>553</v>
      </c>
      <c r="BE91" s="1">
        <v>73.8</v>
      </c>
      <c r="BF91" s="1">
        <v>7.38</v>
      </c>
      <c r="BG91" s="1"/>
      <c r="BH91" s="1"/>
      <c r="BI91" s="1"/>
      <c r="BJ91" s="1"/>
      <c r="BK91" s="1"/>
      <c r="BL91" s="1"/>
      <c r="BM91" s="1"/>
      <c r="BN91" s="1"/>
      <c r="BO91" s="1" t="s">
        <v>2136</v>
      </c>
      <c r="BP91" s="1"/>
      <c r="BQ91" s="1"/>
      <c r="BR91" s="1" t="s">
        <v>2137</v>
      </c>
      <c r="BS91" s="1">
        <v>9</v>
      </c>
      <c r="BT91" s="1" t="s">
        <v>2138</v>
      </c>
      <c r="BU91" s="1" t="str">
        <f>HYPERLINK("https://nconnect.nicmar.ac.in/storage/profile/ProfilePhoto_P25700071_679325.jpg","Download")</f>
        <v>0</v>
      </c>
      <c r="BV91" s="3"/>
      <c r="BW91" s="3"/>
    </row>
    <row r="92" spans="1:75">
      <c r="A92" s="1" t="s">
        <v>75</v>
      </c>
      <c r="B92" s="1" t="s">
        <v>446</v>
      </c>
      <c r="C92" s="1" t="s">
        <v>2139</v>
      </c>
      <c r="D92" s="1" t="s">
        <v>2140</v>
      </c>
      <c r="E92" s="1"/>
      <c r="F92" s="1" t="s">
        <v>2141</v>
      </c>
      <c r="G92" s="1" t="s">
        <v>2142</v>
      </c>
      <c r="H92" s="1" t="s">
        <v>2143</v>
      </c>
      <c r="I92" s="1" t="s">
        <v>2144</v>
      </c>
      <c r="J92" s="1">
        <v>9151747407</v>
      </c>
      <c r="K92" s="1" t="s">
        <v>84</v>
      </c>
      <c r="L92" s="1" t="s">
        <v>2145</v>
      </c>
      <c r="M92" s="1" t="s">
        <v>155</v>
      </c>
      <c r="N92" s="1" t="s">
        <v>246</v>
      </c>
      <c r="O92" s="1" t="s">
        <v>2146</v>
      </c>
      <c r="P92" s="1" t="s">
        <v>89</v>
      </c>
      <c r="Q92" s="1" t="s">
        <v>2147</v>
      </c>
      <c r="R92" s="1" t="s">
        <v>2148</v>
      </c>
      <c r="S92" s="1">
        <v>9414583350</v>
      </c>
      <c r="T92" s="1" t="s">
        <v>2149</v>
      </c>
      <c r="U92" s="1" t="s">
        <v>2150</v>
      </c>
      <c r="V92" s="1">
        <v>9414583350</v>
      </c>
      <c r="W92" s="1" t="s">
        <v>161</v>
      </c>
      <c r="X92" s="1" t="s">
        <v>2151</v>
      </c>
      <c r="Y92" s="1" t="s">
        <v>2152</v>
      </c>
      <c r="Z92" s="1" t="s">
        <v>2153</v>
      </c>
      <c r="AA92" s="1" t="s">
        <v>2151</v>
      </c>
      <c r="AB92" s="1" t="s">
        <v>2152</v>
      </c>
      <c r="AC92" s="1" t="s">
        <v>2153</v>
      </c>
      <c r="AD92" s="1">
        <v>9.46</v>
      </c>
      <c r="AE92" s="1" t="s">
        <v>98</v>
      </c>
      <c r="AF92" s="1" t="s">
        <v>2154</v>
      </c>
      <c r="AG92" s="1" t="s">
        <v>2155</v>
      </c>
      <c r="AH92" s="1" t="s">
        <v>2156</v>
      </c>
      <c r="AI92" s="1" t="s">
        <v>2157</v>
      </c>
      <c r="AJ92" s="1">
        <v>90</v>
      </c>
      <c r="AK92" s="1"/>
      <c r="AL92" s="1" t="s">
        <v>2158</v>
      </c>
      <c r="AM92" s="1" t="s">
        <v>2159</v>
      </c>
      <c r="AN92" s="1" t="s">
        <v>465</v>
      </c>
      <c r="AO92" s="1" t="s">
        <v>1393</v>
      </c>
      <c r="AP92" s="1" t="s">
        <v>336</v>
      </c>
      <c r="AQ92" s="1">
        <v>78.31</v>
      </c>
      <c r="AR92" s="1"/>
      <c r="AS92" s="1"/>
      <c r="AT92" s="1"/>
      <c r="AU92" s="1"/>
      <c r="AV92" s="1"/>
      <c r="AW92" s="1"/>
      <c r="AX92" s="1"/>
      <c r="AY92" s="1" t="s">
        <v>2160</v>
      </c>
      <c r="AZ92" s="1" t="s">
        <v>2161</v>
      </c>
      <c r="BA92" s="1" t="s">
        <v>466</v>
      </c>
      <c r="BB92" s="1" t="s">
        <v>467</v>
      </c>
      <c r="BC92" s="1" t="s">
        <v>801</v>
      </c>
      <c r="BD92" s="1" t="s">
        <v>136</v>
      </c>
      <c r="BE92" s="1">
        <v>79.08</v>
      </c>
      <c r="BF92" s="1"/>
      <c r="BG92" s="1"/>
      <c r="BH92" s="1"/>
      <c r="BI92" s="1"/>
      <c r="BJ92" s="1"/>
      <c r="BK92" s="1"/>
      <c r="BL92" s="1"/>
      <c r="BM92" s="1"/>
      <c r="BN92" s="1"/>
      <c r="BO92" s="1" t="s">
        <v>2162</v>
      </c>
      <c r="BP92" s="1" t="s">
        <v>2163</v>
      </c>
      <c r="BQ92" s="1" t="s">
        <v>2164</v>
      </c>
      <c r="BR92" s="1" t="s">
        <v>2165</v>
      </c>
      <c r="BS92" s="1">
        <v>16</v>
      </c>
      <c r="BT92" s="1" t="s">
        <v>2166</v>
      </c>
      <c r="BU92" s="1" t="str">
        <f>HYPERLINK("https://nconnect.nicmar.ac.in/storage/profile/ProfilePhoto_P25700072_317845.jpg","Download")</f>
        <v>0</v>
      </c>
      <c r="BV92" s="3"/>
      <c r="BW92" s="4">
        <v>1</v>
      </c>
    </row>
    <row r="93" spans="1:75">
      <c r="A93" s="1" t="s">
        <v>75</v>
      </c>
      <c r="B93" s="1" t="s">
        <v>446</v>
      </c>
      <c r="C93" s="1" t="s">
        <v>2167</v>
      </c>
      <c r="D93" s="1" t="s">
        <v>1118</v>
      </c>
      <c r="E93" s="1" t="s">
        <v>2168</v>
      </c>
      <c r="F93" s="1" t="s">
        <v>2169</v>
      </c>
      <c r="G93" s="1" t="s">
        <v>2170</v>
      </c>
      <c r="H93" s="1" t="s">
        <v>2171</v>
      </c>
      <c r="I93" s="1" t="s">
        <v>2172</v>
      </c>
      <c r="J93" s="1">
        <v>8419957170</v>
      </c>
      <c r="K93" s="1" t="s">
        <v>84</v>
      </c>
      <c r="L93" s="1" t="s">
        <v>2173</v>
      </c>
      <c r="M93" s="1" t="s">
        <v>86</v>
      </c>
      <c r="N93" s="1" t="s">
        <v>2174</v>
      </c>
      <c r="O93" s="1" t="s">
        <v>2175</v>
      </c>
      <c r="P93" s="1" t="s">
        <v>356</v>
      </c>
      <c r="Q93" s="1" t="s">
        <v>2176</v>
      </c>
      <c r="R93" s="1" t="s">
        <v>2168</v>
      </c>
      <c r="S93" s="1">
        <v>9821580887</v>
      </c>
      <c r="T93" s="1" t="s">
        <v>2177</v>
      </c>
      <c r="U93" s="1" t="s">
        <v>2178</v>
      </c>
      <c r="V93" s="1">
        <v>9821580977</v>
      </c>
      <c r="W93" s="1" t="s">
        <v>541</v>
      </c>
      <c r="X93" s="1" t="s">
        <v>2179</v>
      </c>
      <c r="Y93" s="1" t="s">
        <v>1012</v>
      </c>
      <c r="Z93" s="1" t="s">
        <v>97</v>
      </c>
      <c r="AA93" s="1" t="s">
        <v>2179</v>
      </c>
      <c r="AB93" s="1" t="s">
        <v>1012</v>
      </c>
      <c r="AC93" s="1" t="s">
        <v>97</v>
      </c>
      <c r="AD93" s="1">
        <v>8.9</v>
      </c>
      <c r="AE93" s="1" t="s">
        <v>98</v>
      </c>
      <c r="AF93" s="1" t="s">
        <v>2180</v>
      </c>
      <c r="AG93" s="1" t="s">
        <v>2181</v>
      </c>
      <c r="AH93" s="1" t="s">
        <v>170</v>
      </c>
      <c r="AI93" s="1" t="s">
        <v>171</v>
      </c>
      <c r="AJ93" s="1">
        <v>91.33</v>
      </c>
      <c r="AK93" s="1"/>
      <c r="AL93" s="1" t="s">
        <v>2182</v>
      </c>
      <c r="AM93" s="1" t="s">
        <v>165</v>
      </c>
      <c r="AN93" s="1" t="s">
        <v>465</v>
      </c>
      <c r="AO93" s="1" t="s">
        <v>438</v>
      </c>
      <c r="AP93" s="1" t="s">
        <v>178</v>
      </c>
      <c r="AQ93" s="1">
        <v>73.08</v>
      </c>
      <c r="AR93" s="1"/>
      <c r="AS93" s="1"/>
      <c r="AT93" s="1"/>
      <c r="AU93" s="1"/>
      <c r="AV93" s="1"/>
      <c r="AW93" s="1"/>
      <c r="AX93" s="1"/>
      <c r="AY93" s="1" t="s">
        <v>1038</v>
      </c>
      <c r="AZ93" s="1" t="s">
        <v>1170</v>
      </c>
      <c r="BA93" s="1" t="s">
        <v>466</v>
      </c>
      <c r="BB93" s="1" t="s">
        <v>467</v>
      </c>
      <c r="BC93" s="1" t="s">
        <v>871</v>
      </c>
      <c r="BD93" s="1" t="s">
        <v>553</v>
      </c>
      <c r="BE93" s="1">
        <v>71.3</v>
      </c>
      <c r="BF93" s="1">
        <v>7.88</v>
      </c>
      <c r="BG93" s="1"/>
      <c r="BH93" s="1"/>
      <c r="BI93" s="1"/>
      <c r="BJ93" s="1"/>
      <c r="BK93" s="1"/>
      <c r="BL93" s="1"/>
      <c r="BM93" s="1"/>
      <c r="BN93" s="1"/>
      <c r="BO93" s="1" t="s">
        <v>2183</v>
      </c>
      <c r="BP93" s="1"/>
      <c r="BQ93" s="1"/>
      <c r="BR93" s="1" t="s">
        <v>2184</v>
      </c>
      <c r="BS93" s="1">
        <v>12</v>
      </c>
      <c r="BT93" s="1"/>
      <c r="BU93" s="1" t="str">
        <f>HYPERLINK("https://nconnect.nicmar.ac.in/storage/profile/ProfilePhoto_P25700073_752198.jpg","Download")</f>
        <v>0</v>
      </c>
      <c r="BV93" s="3"/>
      <c r="BW93" s="3"/>
    </row>
    <row r="94" spans="1:75">
      <c r="A94" s="1" t="s">
        <v>75</v>
      </c>
      <c r="B94" s="1" t="s">
        <v>446</v>
      </c>
      <c r="C94" s="1" t="s">
        <v>2185</v>
      </c>
      <c r="D94" s="1" t="s">
        <v>2186</v>
      </c>
      <c r="E94" s="1"/>
      <c r="F94" s="1" t="s">
        <v>2187</v>
      </c>
      <c r="G94" s="1" t="s">
        <v>2188</v>
      </c>
      <c r="H94" s="1" t="s">
        <v>2189</v>
      </c>
      <c r="I94" s="1" t="s">
        <v>2190</v>
      </c>
      <c r="J94" s="1">
        <v>9753124934</v>
      </c>
      <c r="K94" s="1" t="s">
        <v>84</v>
      </c>
      <c r="L94" s="1" t="s">
        <v>2191</v>
      </c>
      <c r="M94" s="1" t="s">
        <v>155</v>
      </c>
      <c r="N94" s="1" t="s">
        <v>2192</v>
      </c>
      <c r="O94" s="1"/>
      <c r="P94" s="1" t="s">
        <v>507</v>
      </c>
      <c r="Q94" s="1" t="s">
        <v>2193</v>
      </c>
      <c r="R94" s="1" t="s">
        <v>2194</v>
      </c>
      <c r="S94" s="1">
        <v>7693960127</v>
      </c>
      <c r="T94" s="1" t="s">
        <v>2195</v>
      </c>
      <c r="U94" s="1" t="s">
        <v>2196</v>
      </c>
      <c r="V94" s="1">
        <v>8051535477</v>
      </c>
      <c r="W94" s="1" t="s">
        <v>161</v>
      </c>
      <c r="X94" s="1" t="s">
        <v>2197</v>
      </c>
      <c r="Y94" s="1" t="s">
        <v>2198</v>
      </c>
      <c r="Z94" s="1" t="s">
        <v>649</v>
      </c>
      <c r="AA94" s="1" t="s">
        <v>2199</v>
      </c>
      <c r="AB94" s="1" t="s">
        <v>2200</v>
      </c>
      <c r="AC94" s="1" t="s">
        <v>649</v>
      </c>
      <c r="AD94" s="1">
        <v>9.15</v>
      </c>
      <c r="AE94" s="1" t="s">
        <v>98</v>
      </c>
      <c r="AF94" s="1" t="s">
        <v>2201</v>
      </c>
      <c r="AG94" s="1" t="s">
        <v>2202</v>
      </c>
      <c r="AH94" s="1" t="s">
        <v>2157</v>
      </c>
      <c r="AI94" s="1" t="s">
        <v>2203</v>
      </c>
      <c r="AJ94" s="1">
        <v>78.2</v>
      </c>
      <c r="AK94" s="1"/>
      <c r="AL94" s="1" t="s">
        <v>2204</v>
      </c>
      <c r="AM94" s="1" t="s">
        <v>2205</v>
      </c>
      <c r="AN94" s="1" t="s">
        <v>465</v>
      </c>
      <c r="AO94" s="1" t="s">
        <v>801</v>
      </c>
      <c r="AP94" s="1" t="s">
        <v>133</v>
      </c>
      <c r="AQ94" s="1">
        <v>72.6</v>
      </c>
      <c r="AR94" s="1"/>
      <c r="AS94" s="1"/>
      <c r="AT94" s="1"/>
      <c r="AU94" s="1"/>
      <c r="AV94" s="1"/>
      <c r="AW94" s="1"/>
      <c r="AX94" s="1"/>
      <c r="AY94" s="1" t="s">
        <v>2206</v>
      </c>
      <c r="AZ94" s="1" t="s">
        <v>2207</v>
      </c>
      <c r="BA94" s="1" t="s">
        <v>578</v>
      </c>
      <c r="BB94" s="1" t="s">
        <v>467</v>
      </c>
      <c r="BC94" s="1" t="s">
        <v>254</v>
      </c>
      <c r="BD94" s="1" t="s">
        <v>167</v>
      </c>
      <c r="BE94" s="1">
        <v>76.4</v>
      </c>
      <c r="BF94" s="1">
        <v>7.64</v>
      </c>
      <c r="BG94" s="1" t="s">
        <v>2206</v>
      </c>
      <c r="BH94" s="1" t="s">
        <v>2208</v>
      </c>
      <c r="BI94" s="1" t="s">
        <v>2209</v>
      </c>
      <c r="BJ94" s="1" t="s">
        <v>733</v>
      </c>
      <c r="BK94" s="1" t="s">
        <v>388</v>
      </c>
      <c r="BL94" s="1" t="s">
        <v>2210</v>
      </c>
      <c r="BM94" s="1">
        <v>85</v>
      </c>
      <c r="BN94" s="1">
        <v>8.5</v>
      </c>
      <c r="BO94" s="1" t="s">
        <v>2211</v>
      </c>
      <c r="BP94" s="1" t="s">
        <v>2212</v>
      </c>
      <c r="BQ94" s="1" t="s">
        <v>2213</v>
      </c>
      <c r="BR94" s="1" t="s">
        <v>2214</v>
      </c>
      <c r="BS94" s="1">
        <v>63</v>
      </c>
      <c r="BT94" s="1" t="s">
        <v>2215</v>
      </c>
      <c r="BU94" s="1" t="str">
        <f>HYPERLINK("https://nconnect.nicmar.ac.in/storage/profile/6a69ea2cd59b5.png","Download")</f>
        <v>0</v>
      </c>
      <c r="BV94" s="3"/>
      <c r="BW94" s="3"/>
    </row>
    <row r="95" spans="1:75">
      <c r="A95" s="1" t="s">
        <v>75</v>
      </c>
      <c r="B95" s="1" t="s">
        <v>446</v>
      </c>
      <c r="C95" s="1" t="s">
        <v>2216</v>
      </c>
      <c r="D95" s="1" t="s">
        <v>919</v>
      </c>
      <c r="E95" s="1"/>
      <c r="F95" s="1" t="s">
        <v>350</v>
      </c>
      <c r="G95" s="1" t="s">
        <v>2217</v>
      </c>
      <c r="H95" s="1" t="s">
        <v>2218</v>
      </c>
      <c r="I95" s="1" t="s">
        <v>2219</v>
      </c>
      <c r="J95" s="1">
        <v>7380748889</v>
      </c>
      <c r="K95" s="1" t="s">
        <v>84</v>
      </c>
      <c r="L95" s="1" t="s">
        <v>2220</v>
      </c>
      <c r="M95" s="1" t="s">
        <v>86</v>
      </c>
      <c r="N95" s="1" t="s">
        <v>87</v>
      </c>
      <c r="O95" s="1"/>
      <c r="P95" s="1"/>
      <c r="Q95" s="1" t="s">
        <v>2221</v>
      </c>
      <c r="R95" s="1" t="s">
        <v>2222</v>
      </c>
      <c r="S95" s="1">
        <v>9838012757</v>
      </c>
      <c r="T95" s="1" t="s">
        <v>2223</v>
      </c>
      <c r="U95" s="1" t="s">
        <v>2224</v>
      </c>
      <c r="V95" s="1">
        <v>9120524427</v>
      </c>
      <c r="W95" s="1" t="s">
        <v>278</v>
      </c>
      <c r="X95" s="1" t="s">
        <v>2225</v>
      </c>
      <c r="Y95" s="1" t="s">
        <v>543</v>
      </c>
      <c r="Z95" s="1" t="s">
        <v>544</v>
      </c>
      <c r="AA95" s="1" t="s">
        <v>2226</v>
      </c>
      <c r="AB95" s="1" t="s">
        <v>543</v>
      </c>
      <c r="AC95" s="1" t="s">
        <v>544</v>
      </c>
      <c r="AD95" s="1">
        <v>8.59</v>
      </c>
      <c r="AE95" s="1" t="s">
        <v>98</v>
      </c>
      <c r="AF95" s="1" t="s">
        <v>2227</v>
      </c>
      <c r="AG95" s="1" t="s">
        <v>2228</v>
      </c>
      <c r="AH95" s="1" t="s">
        <v>284</v>
      </c>
      <c r="AI95" s="1" t="s">
        <v>170</v>
      </c>
      <c r="AJ95" s="1">
        <v>70.3</v>
      </c>
      <c r="AK95" s="1">
        <v>7.4</v>
      </c>
      <c r="AL95" s="1" t="s">
        <v>2227</v>
      </c>
      <c r="AM95" s="1" t="s">
        <v>2228</v>
      </c>
      <c r="AN95" s="1"/>
      <c r="AO95" s="1" t="s">
        <v>490</v>
      </c>
      <c r="AP95" s="1" t="s">
        <v>313</v>
      </c>
      <c r="AQ95" s="1">
        <v>73.5</v>
      </c>
      <c r="AR95" s="1"/>
      <c r="AS95" s="1"/>
      <c r="AT95" s="1"/>
      <c r="AU95" s="1"/>
      <c r="AV95" s="1"/>
      <c r="AW95" s="1"/>
      <c r="AX95" s="1"/>
      <c r="AY95" s="1" t="s">
        <v>978</v>
      </c>
      <c r="AZ95" s="1" t="s">
        <v>2229</v>
      </c>
      <c r="BA95" s="1"/>
      <c r="BB95" s="1"/>
      <c r="BC95" s="1" t="s">
        <v>1040</v>
      </c>
      <c r="BD95" s="1" t="s">
        <v>1089</v>
      </c>
      <c r="BE95" s="1">
        <v>74.4</v>
      </c>
      <c r="BF95" s="1">
        <v>7.44</v>
      </c>
      <c r="BG95" s="1"/>
      <c r="BH95" s="1"/>
      <c r="BI95" s="1"/>
      <c r="BJ95" s="1"/>
      <c r="BK95" s="1"/>
      <c r="BL95" s="1"/>
      <c r="BM95" s="1"/>
      <c r="BN95" s="1"/>
      <c r="BO95" s="1" t="s">
        <v>2230</v>
      </c>
      <c r="BP95" s="1"/>
      <c r="BQ95" s="1"/>
      <c r="BR95" s="1" t="s">
        <v>2231</v>
      </c>
      <c r="BS95" s="1">
        <v>15</v>
      </c>
      <c r="BT95" s="1"/>
      <c r="BU95" s="1" t="str">
        <f>HYPERLINK("https://nconnect.nicmar.ac.in/storage/profile/ProfilePhoto_P25700075_647825.jpg","Download")</f>
        <v>0</v>
      </c>
      <c r="BV95" s="3"/>
      <c r="BW95" s="3"/>
    </row>
    <row r="96" spans="1:75">
      <c r="A96" s="1" t="s">
        <v>75</v>
      </c>
      <c r="B96" s="1" t="s">
        <v>446</v>
      </c>
      <c r="C96" s="1" t="s">
        <v>2232</v>
      </c>
      <c r="D96" s="1" t="s">
        <v>1787</v>
      </c>
      <c r="E96" s="1" t="s">
        <v>2233</v>
      </c>
      <c r="F96" s="1" t="s">
        <v>2234</v>
      </c>
      <c r="G96" s="1" t="s">
        <v>2235</v>
      </c>
      <c r="H96" s="1" t="s">
        <v>2236</v>
      </c>
      <c r="I96" s="1" t="s">
        <v>2237</v>
      </c>
      <c r="J96" s="1">
        <v>9552703406</v>
      </c>
      <c r="K96" s="1" t="s">
        <v>84</v>
      </c>
      <c r="L96" s="1" t="s">
        <v>2238</v>
      </c>
      <c r="M96" s="1" t="s">
        <v>86</v>
      </c>
      <c r="N96" s="1" t="s">
        <v>1163</v>
      </c>
      <c r="O96" s="1"/>
      <c r="P96" s="1" t="s">
        <v>507</v>
      </c>
      <c r="Q96" s="1" t="s">
        <v>2239</v>
      </c>
      <c r="R96" s="1" t="s">
        <v>2233</v>
      </c>
      <c r="S96" s="1">
        <v>9422281494</v>
      </c>
      <c r="T96" s="1" t="s">
        <v>1552</v>
      </c>
      <c r="U96" s="1" t="s">
        <v>2240</v>
      </c>
      <c r="V96" s="1">
        <v>9422942326</v>
      </c>
      <c r="W96" s="1" t="s">
        <v>94</v>
      </c>
      <c r="X96" s="1" t="s">
        <v>2241</v>
      </c>
      <c r="Y96" s="1" t="s">
        <v>251</v>
      </c>
      <c r="Z96" s="1" t="s">
        <v>97</v>
      </c>
      <c r="AA96" s="1" t="s">
        <v>2241</v>
      </c>
      <c r="AB96" s="1" t="s">
        <v>251</v>
      </c>
      <c r="AC96" s="1" t="s">
        <v>97</v>
      </c>
      <c r="AD96" s="1">
        <v>8.77</v>
      </c>
      <c r="AE96" s="1" t="s">
        <v>98</v>
      </c>
      <c r="AF96" s="1" t="s">
        <v>2242</v>
      </c>
      <c r="AG96" s="1" t="s">
        <v>775</v>
      </c>
      <c r="AH96" s="1" t="s">
        <v>166</v>
      </c>
      <c r="AI96" s="1" t="s">
        <v>627</v>
      </c>
      <c r="AJ96" s="1">
        <v>83.6</v>
      </c>
      <c r="AK96" s="1">
        <v>8.8</v>
      </c>
      <c r="AL96" s="1" t="s">
        <v>2242</v>
      </c>
      <c r="AM96" s="1" t="s">
        <v>775</v>
      </c>
      <c r="AN96" s="1" t="s">
        <v>465</v>
      </c>
      <c r="AO96" s="1" t="s">
        <v>388</v>
      </c>
      <c r="AP96" s="1" t="s">
        <v>171</v>
      </c>
      <c r="AQ96" s="1">
        <v>72.6</v>
      </c>
      <c r="AR96" s="1"/>
      <c r="AS96" s="1"/>
      <c r="AT96" s="1"/>
      <c r="AU96" s="1"/>
      <c r="AV96" s="1"/>
      <c r="AW96" s="1"/>
      <c r="AX96" s="1"/>
      <c r="AY96" s="1" t="s">
        <v>107</v>
      </c>
      <c r="AZ96" s="1" t="s">
        <v>2243</v>
      </c>
      <c r="BA96" s="1" t="s">
        <v>466</v>
      </c>
      <c r="BB96" s="1" t="s">
        <v>467</v>
      </c>
      <c r="BC96" s="1" t="s">
        <v>174</v>
      </c>
      <c r="BD96" s="1" t="s">
        <v>110</v>
      </c>
      <c r="BE96" s="1">
        <v>87.5</v>
      </c>
      <c r="BF96" s="1">
        <v>9.25</v>
      </c>
      <c r="BG96" s="1"/>
      <c r="BH96" s="1"/>
      <c r="BI96" s="1"/>
      <c r="BJ96" s="1"/>
      <c r="BK96" s="1"/>
      <c r="BL96" s="1"/>
      <c r="BM96" s="1"/>
      <c r="BN96" s="1"/>
      <c r="BO96" s="1" t="s">
        <v>1114</v>
      </c>
      <c r="BP96" s="1" t="s">
        <v>2244</v>
      </c>
      <c r="BQ96" s="1" t="s">
        <v>2245</v>
      </c>
      <c r="BR96" s="1" t="s">
        <v>2246</v>
      </c>
      <c r="BS96" s="1">
        <v>42</v>
      </c>
      <c r="BT96" s="1" t="s">
        <v>2247</v>
      </c>
      <c r="BU96" s="1" t="str">
        <f>HYPERLINK("https://nconnect.nicmar.ac.in/storage/profile/ProfilePhoto_P25700076_896241.jpg","Download")</f>
        <v>0</v>
      </c>
      <c r="BV96" s="3"/>
      <c r="BW96" s="3"/>
    </row>
    <row r="97" spans="1:75">
      <c r="A97" s="1" t="s">
        <v>75</v>
      </c>
      <c r="B97" s="1" t="s">
        <v>446</v>
      </c>
      <c r="C97" s="1" t="s">
        <v>2248</v>
      </c>
      <c r="D97" s="1" t="s">
        <v>2249</v>
      </c>
      <c r="E97" s="1" t="s">
        <v>500</v>
      </c>
      <c r="F97" s="1" t="s">
        <v>2250</v>
      </c>
      <c r="G97" s="1" t="s">
        <v>2251</v>
      </c>
      <c r="H97" s="1" t="s">
        <v>2252</v>
      </c>
      <c r="I97" s="1" t="s">
        <v>2253</v>
      </c>
      <c r="J97" s="1">
        <v>7021948873</v>
      </c>
      <c r="K97" s="1" t="s">
        <v>84</v>
      </c>
      <c r="L97" s="1" t="s">
        <v>2254</v>
      </c>
      <c r="M97" s="1" t="s">
        <v>86</v>
      </c>
      <c r="N97" s="1" t="s">
        <v>1163</v>
      </c>
      <c r="O97" s="1"/>
      <c r="P97" s="1" t="s">
        <v>455</v>
      </c>
      <c r="Q97" s="1" t="s">
        <v>2255</v>
      </c>
      <c r="R97" s="1" t="s">
        <v>2256</v>
      </c>
      <c r="S97" s="1">
        <v>9820848352</v>
      </c>
      <c r="T97" s="1" t="s">
        <v>839</v>
      </c>
      <c r="U97" s="1" t="s">
        <v>2257</v>
      </c>
      <c r="V97" s="1">
        <v>9029395241</v>
      </c>
      <c r="W97" s="1" t="s">
        <v>161</v>
      </c>
      <c r="X97" s="1" t="s">
        <v>2258</v>
      </c>
      <c r="Y97" s="1" t="s">
        <v>2259</v>
      </c>
      <c r="Z97" s="1" t="s">
        <v>97</v>
      </c>
      <c r="AA97" s="1" t="s">
        <v>2260</v>
      </c>
      <c r="AB97" s="1" t="s">
        <v>2259</v>
      </c>
      <c r="AC97" s="1" t="s">
        <v>97</v>
      </c>
      <c r="AD97" s="1">
        <v>7.87</v>
      </c>
      <c r="AE97" s="1" t="s">
        <v>98</v>
      </c>
      <c r="AF97" s="1" t="s">
        <v>2261</v>
      </c>
      <c r="AG97" s="1" t="s">
        <v>2262</v>
      </c>
      <c r="AH97" s="1" t="s">
        <v>166</v>
      </c>
      <c r="AI97" s="1" t="s">
        <v>1111</v>
      </c>
      <c r="AJ97" s="1">
        <v>82</v>
      </c>
      <c r="AK97" s="1">
        <v>0</v>
      </c>
      <c r="AL97" s="1" t="s">
        <v>2263</v>
      </c>
      <c r="AM97" s="1" t="s">
        <v>2264</v>
      </c>
      <c r="AN97" s="1"/>
      <c r="AO97" s="1" t="s">
        <v>170</v>
      </c>
      <c r="AP97" s="1" t="s">
        <v>1477</v>
      </c>
      <c r="AQ97" s="1">
        <v>54.77</v>
      </c>
      <c r="AR97" s="1">
        <v>0</v>
      </c>
      <c r="AS97" s="1" t="s">
        <v>103</v>
      </c>
      <c r="AT97" s="1" t="s">
        <v>2265</v>
      </c>
      <c r="AU97" s="1" t="s">
        <v>490</v>
      </c>
      <c r="AV97" s="1" t="s">
        <v>175</v>
      </c>
      <c r="AW97" s="1">
        <v>81.68</v>
      </c>
      <c r="AX97" s="1">
        <v>0</v>
      </c>
      <c r="AY97" s="1" t="s">
        <v>680</v>
      </c>
      <c r="AZ97" s="1" t="s">
        <v>2266</v>
      </c>
      <c r="BA97" s="1"/>
      <c r="BB97" s="1"/>
      <c r="BC97" s="1" t="s">
        <v>468</v>
      </c>
      <c r="BD97" s="1" t="s">
        <v>955</v>
      </c>
      <c r="BE97" s="1">
        <v>73.56</v>
      </c>
      <c r="BF97" s="1">
        <v>8.32</v>
      </c>
      <c r="BG97" s="1"/>
      <c r="BH97" s="1"/>
      <c r="BI97" s="1"/>
      <c r="BJ97" s="1"/>
      <c r="BK97" s="1"/>
      <c r="BL97" s="1"/>
      <c r="BM97" s="1"/>
      <c r="BN97" s="1"/>
      <c r="BO97" s="1" t="s">
        <v>2267</v>
      </c>
      <c r="BP97" s="1" t="s">
        <v>2268</v>
      </c>
      <c r="BQ97" s="1" t="s">
        <v>1357</v>
      </c>
      <c r="BR97" s="1" t="s">
        <v>2269</v>
      </c>
      <c r="BS97" s="1">
        <v>22</v>
      </c>
      <c r="BT97" s="1" t="s">
        <v>2270</v>
      </c>
      <c r="BU97" s="1" t="str">
        <f>HYPERLINK("https://nconnect.nicmar.ac.in/storage/profile/ProfilePhoto_P25700077_256193.jpg","Download")</f>
        <v>0</v>
      </c>
      <c r="BV97" s="3"/>
      <c r="BW97" s="4">
        <v>1</v>
      </c>
    </row>
    <row r="98" spans="1:75">
      <c r="A98" s="1" t="s">
        <v>75</v>
      </c>
      <c r="B98" s="1" t="s">
        <v>446</v>
      </c>
      <c r="C98" s="1" t="s">
        <v>2271</v>
      </c>
      <c r="D98" s="1" t="s">
        <v>2272</v>
      </c>
      <c r="E98" s="1" t="s">
        <v>2273</v>
      </c>
      <c r="F98" s="1" t="s">
        <v>2274</v>
      </c>
      <c r="G98" s="1" t="s">
        <v>2275</v>
      </c>
      <c r="H98" s="1" t="s">
        <v>2276</v>
      </c>
      <c r="I98" s="1" t="s">
        <v>2277</v>
      </c>
      <c r="J98" s="1">
        <v>7249691811</v>
      </c>
      <c r="K98" s="1" t="s">
        <v>84</v>
      </c>
      <c r="L98" s="1" t="s">
        <v>2278</v>
      </c>
      <c r="M98" s="1" t="s">
        <v>86</v>
      </c>
      <c r="N98" s="1" t="s">
        <v>2279</v>
      </c>
      <c r="O98" s="1"/>
      <c r="P98" s="1" t="s">
        <v>1028</v>
      </c>
      <c r="Q98" s="1" t="s">
        <v>2280</v>
      </c>
      <c r="R98" s="1" t="s">
        <v>2273</v>
      </c>
      <c r="S98" s="1">
        <v>9881097905</v>
      </c>
      <c r="T98" s="1" t="s">
        <v>92</v>
      </c>
      <c r="U98" s="1" t="s">
        <v>2281</v>
      </c>
      <c r="V98" s="1">
        <v>7755957905</v>
      </c>
      <c r="W98" s="1" t="s">
        <v>278</v>
      </c>
      <c r="X98" s="1" t="s">
        <v>2282</v>
      </c>
      <c r="Y98" s="1" t="s">
        <v>163</v>
      </c>
      <c r="Z98" s="1" t="s">
        <v>97</v>
      </c>
      <c r="AA98" s="1" t="s">
        <v>2282</v>
      </c>
      <c r="AB98" s="1" t="s">
        <v>163</v>
      </c>
      <c r="AC98" s="1" t="s">
        <v>97</v>
      </c>
      <c r="AD98" s="1">
        <v>6.97</v>
      </c>
      <c r="AE98" s="1" t="s">
        <v>98</v>
      </c>
      <c r="AF98" s="1" t="s">
        <v>2283</v>
      </c>
      <c r="AG98" s="1" t="s">
        <v>2284</v>
      </c>
      <c r="AH98" s="1" t="s">
        <v>170</v>
      </c>
      <c r="AI98" s="1" t="s">
        <v>286</v>
      </c>
      <c r="AJ98" s="1">
        <v>65.4</v>
      </c>
      <c r="AK98" s="1"/>
      <c r="AL98" s="1"/>
      <c r="AM98" s="1"/>
      <c r="AN98" s="1"/>
      <c r="AO98" s="1"/>
      <c r="AP98" s="1"/>
      <c r="AQ98" s="1"/>
      <c r="AR98" s="1"/>
      <c r="AS98" s="1" t="s">
        <v>439</v>
      </c>
      <c r="AT98" s="1" t="s">
        <v>2285</v>
      </c>
      <c r="AU98" s="1" t="s">
        <v>106</v>
      </c>
      <c r="AV98" s="1" t="s">
        <v>441</v>
      </c>
      <c r="AW98" s="1">
        <v>87.32</v>
      </c>
      <c r="AX98" s="1"/>
      <c r="AY98" s="1" t="s">
        <v>2286</v>
      </c>
      <c r="AZ98" s="1" t="s">
        <v>2287</v>
      </c>
      <c r="BA98" s="1"/>
      <c r="BB98" s="1"/>
      <c r="BC98" s="1" t="s">
        <v>871</v>
      </c>
      <c r="BD98" s="1" t="s">
        <v>207</v>
      </c>
      <c r="BE98" s="1">
        <v>60.6</v>
      </c>
      <c r="BF98" s="1">
        <v>6.81</v>
      </c>
      <c r="BG98" s="1"/>
      <c r="BH98" s="1"/>
      <c r="BI98" s="1"/>
      <c r="BJ98" s="1"/>
      <c r="BK98" s="1"/>
      <c r="BL98" s="1"/>
      <c r="BM98" s="1"/>
      <c r="BN98" s="1"/>
      <c r="BO98" s="1" t="s">
        <v>260</v>
      </c>
      <c r="BP98" s="1" t="s">
        <v>2288</v>
      </c>
      <c r="BQ98" s="1" t="s">
        <v>1070</v>
      </c>
      <c r="BR98" s="1" t="s">
        <v>2289</v>
      </c>
      <c r="BS98" s="1">
        <v>11</v>
      </c>
      <c r="BT98" s="1" t="s">
        <v>2290</v>
      </c>
      <c r="BU98" s="1" t="str">
        <f>HYPERLINK("https://nconnect.nicmar.ac.in/storage/profile/ProfilePhoto_P25700078_578396.jpg","Download")</f>
        <v>0</v>
      </c>
      <c r="BV98" s="3"/>
      <c r="BW98" s="3"/>
    </row>
    <row r="99" spans="1:75">
      <c r="A99" s="1" t="s">
        <v>75</v>
      </c>
      <c r="B99" s="1" t="s">
        <v>446</v>
      </c>
      <c r="C99" s="1" t="s">
        <v>2291</v>
      </c>
      <c r="D99" s="1" t="s">
        <v>1787</v>
      </c>
      <c r="E99" s="1" t="s">
        <v>2292</v>
      </c>
      <c r="F99" s="1" t="s">
        <v>2293</v>
      </c>
      <c r="G99" s="1" t="s">
        <v>2294</v>
      </c>
      <c r="H99" s="1" t="s">
        <v>2295</v>
      </c>
      <c r="I99" s="1" t="s">
        <v>2296</v>
      </c>
      <c r="J99" s="1">
        <v>7758959334</v>
      </c>
      <c r="K99" s="1" t="s">
        <v>84</v>
      </c>
      <c r="L99" s="1" t="s">
        <v>2297</v>
      </c>
      <c r="M99" s="1" t="s">
        <v>86</v>
      </c>
      <c r="N99" s="1" t="s">
        <v>2298</v>
      </c>
      <c r="O99" s="1"/>
      <c r="P99" s="1" t="s">
        <v>455</v>
      </c>
      <c r="Q99" s="1" t="s">
        <v>2299</v>
      </c>
      <c r="R99" s="1" t="s">
        <v>2292</v>
      </c>
      <c r="S99" s="1">
        <v>9960405141</v>
      </c>
      <c r="T99" s="1" t="s">
        <v>1552</v>
      </c>
      <c r="U99" s="1" t="s">
        <v>2281</v>
      </c>
      <c r="V99" s="1">
        <v>8530285246</v>
      </c>
      <c r="W99" s="1" t="s">
        <v>161</v>
      </c>
      <c r="X99" s="1" t="s">
        <v>2300</v>
      </c>
      <c r="Y99" s="1" t="s">
        <v>196</v>
      </c>
      <c r="Z99" s="1" t="s">
        <v>97</v>
      </c>
      <c r="AA99" s="1" t="s">
        <v>2301</v>
      </c>
      <c r="AB99" s="1" t="s">
        <v>1779</v>
      </c>
      <c r="AC99" s="1" t="s">
        <v>97</v>
      </c>
      <c r="AD99" s="1">
        <v>8.15</v>
      </c>
      <c r="AE99" s="1" t="s">
        <v>98</v>
      </c>
      <c r="AF99" s="1" t="s">
        <v>2302</v>
      </c>
      <c r="AG99" s="1" t="s">
        <v>165</v>
      </c>
      <c r="AH99" s="1" t="s">
        <v>106</v>
      </c>
      <c r="AI99" s="1" t="s">
        <v>414</v>
      </c>
      <c r="AJ99" s="1">
        <v>80.8</v>
      </c>
      <c r="AK99" s="1">
        <v>0</v>
      </c>
      <c r="AL99" s="1" t="s">
        <v>2303</v>
      </c>
      <c r="AM99" s="1" t="s">
        <v>165</v>
      </c>
      <c r="AN99" s="1"/>
      <c r="AO99" s="1" t="s">
        <v>178</v>
      </c>
      <c r="AP99" s="1" t="s">
        <v>2304</v>
      </c>
      <c r="AQ99" s="1">
        <v>81.17</v>
      </c>
      <c r="AR99" s="1">
        <v>0</v>
      </c>
      <c r="AS99" s="1"/>
      <c r="AT99" s="1"/>
      <c r="AU99" s="1"/>
      <c r="AV99" s="1"/>
      <c r="AW99" s="1"/>
      <c r="AX99" s="1"/>
      <c r="AY99" s="1" t="s">
        <v>366</v>
      </c>
      <c r="AZ99" s="1" t="s">
        <v>2305</v>
      </c>
      <c r="BA99" s="1"/>
      <c r="BB99" s="1"/>
      <c r="BC99" s="1" t="s">
        <v>441</v>
      </c>
      <c r="BD99" s="1" t="s">
        <v>553</v>
      </c>
      <c r="BE99" s="1">
        <v>68.59</v>
      </c>
      <c r="BF99" s="1">
        <v>7.22</v>
      </c>
      <c r="BG99" s="1"/>
      <c r="BH99" s="1"/>
      <c r="BI99" s="1"/>
      <c r="BJ99" s="1"/>
      <c r="BK99" s="1"/>
      <c r="BL99" s="1"/>
      <c r="BM99" s="1"/>
      <c r="BN99" s="1"/>
      <c r="BO99" s="1" t="s">
        <v>2306</v>
      </c>
      <c r="BP99" s="1"/>
      <c r="BQ99" s="1"/>
      <c r="BR99" s="1" t="s">
        <v>2307</v>
      </c>
      <c r="BS99" s="1">
        <v>13</v>
      </c>
      <c r="BT99" s="1"/>
      <c r="BU99" s="1" t="str">
        <f>HYPERLINK("https://nconnect.nicmar.ac.in/storage/profile/ProfilePhoto_P25700079_752381.jpg","Download")</f>
        <v>0</v>
      </c>
      <c r="BV99" s="3"/>
      <c r="BW99" s="3"/>
    </row>
    <row r="100" spans="1:75">
      <c r="A100" s="1" t="s">
        <v>75</v>
      </c>
      <c r="B100" s="1" t="s">
        <v>446</v>
      </c>
      <c r="C100" s="1" t="s">
        <v>2308</v>
      </c>
      <c r="D100" s="1" t="s">
        <v>2309</v>
      </c>
      <c r="E100" s="1" t="s">
        <v>2310</v>
      </c>
      <c r="F100" s="1" t="s">
        <v>530</v>
      </c>
      <c r="G100" s="1" t="s">
        <v>2311</v>
      </c>
      <c r="H100" s="1" t="s">
        <v>2312</v>
      </c>
      <c r="I100" s="1" t="s">
        <v>2313</v>
      </c>
      <c r="J100" s="1">
        <v>9923100377</v>
      </c>
      <c r="K100" s="1" t="s">
        <v>84</v>
      </c>
      <c r="L100" s="1" t="s">
        <v>2314</v>
      </c>
      <c r="M100" s="1" t="s">
        <v>86</v>
      </c>
      <c r="N100" s="1" t="s">
        <v>2315</v>
      </c>
      <c r="O100" s="1"/>
      <c r="P100" s="1" t="s">
        <v>507</v>
      </c>
      <c r="Q100" s="1" t="s">
        <v>2316</v>
      </c>
      <c r="R100" s="1" t="s">
        <v>2310</v>
      </c>
      <c r="S100" s="1">
        <v>9561000047</v>
      </c>
      <c r="T100" s="1" t="s">
        <v>926</v>
      </c>
      <c r="U100" s="1" t="s">
        <v>2317</v>
      </c>
      <c r="V100" s="1">
        <v>9923100377</v>
      </c>
      <c r="W100" s="1" t="s">
        <v>94</v>
      </c>
      <c r="X100" s="1" t="s">
        <v>2318</v>
      </c>
      <c r="Y100" s="1" t="s">
        <v>410</v>
      </c>
      <c r="Z100" s="1" t="s">
        <v>97</v>
      </c>
      <c r="AA100" s="1" t="s">
        <v>2318</v>
      </c>
      <c r="AB100" s="1" t="s">
        <v>410</v>
      </c>
      <c r="AC100" s="1" t="s">
        <v>97</v>
      </c>
      <c r="AD100" s="1">
        <v>9.15</v>
      </c>
      <c r="AE100" s="1" t="s">
        <v>98</v>
      </c>
      <c r="AF100" s="1" t="s">
        <v>2319</v>
      </c>
      <c r="AG100" s="1" t="s">
        <v>2320</v>
      </c>
      <c r="AH100" s="1" t="s">
        <v>2321</v>
      </c>
      <c r="AI100" s="1" t="s">
        <v>170</v>
      </c>
      <c r="AJ100" s="1">
        <v>95</v>
      </c>
      <c r="AK100" s="1">
        <v>10</v>
      </c>
      <c r="AL100" s="1" t="s">
        <v>2322</v>
      </c>
      <c r="AM100" s="1" t="s">
        <v>2320</v>
      </c>
      <c r="AN100" s="1" t="s">
        <v>465</v>
      </c>
      <c r="AO100" s="1" t="s">
        <v>170</v>
      </c>
      <c r="AP100" s="1" t="s">
        <v>313</v>
      </c>
      <c r="AQ100" s="1">
        <v>73.8</v>
      </c>
      <c r="AR100" s="1"/>
      <c r="AS100" s="1"/>
      <c r="AT100" s="1"/>
      <c r="AU100" s="1"/>
      <c r="AV100" s="1"/>
      <c r="AW100" s="1"/>
      <c r="AX100" s="1"/>
      <c r="AY100" s="1" t="s">
        <v>415</v>
      </c>
      <c r="AZ100" s="1" t="s">
        <v>2323</v>
      </c>
      <c r="BA100" s="1" t="s">
        <v>578</v>
      </c>
      <c r="BB100" s="1" t="s">
        <v>467</v>
      </c>
      <c r="BC100" s="1" t="s">
        <v>206</v>
      </c>
      <c r="BD100" s="1" t="s">
        <v>955</v>
      </c>
      <c r="BE100" s="1">
        <v>86.9</v>
      </c>
      <c r="BF100" s="1">
        <v>8.69</v>
      </c>
      <c r="BG100" s="1"/>
      <c r="BH100" s="1"/>
      <c r="BI100" s="1"/>
      <c r="BJ100" s="1"/>
      <c r="BK100" s="1"/>
      <c r="BL100" s="1"/>
      <c r="BM100" s="1"/>
      <c r="BN100" s="1"/>
      <c r="BO100" s="1" t="s">
        <v>2324</v>
      </c>
      <c r="BP100" s="1" t="s">
        <v>2325</v>
      </c>
      <c r="BQ100" s="1" t="s">
        <v>2326</v>
      </c>
      <c r="BR100" s="1" t="s">
        <v>2327</v>
      </c>
      <c r="BS100" s="1">
        <v>22</v>
      </c>
      <c r="BT100" s="1" t="s">
        <v>2328</v>
      </c>
      <c r="BU100" s="1" t="str">
        <f>HYPERLINK("https://nconnect.nicmar.ac.in/storage/profile/ProfilePhoto_P25700080_357284.jpg","Download")</f>
        <v>0</v>
      </c>
      <c r="BV100" s="3"/>
      <c r="BW100" s="3"/>
    </row>
    <row r="101" spans="1:75">
      <c r="A101" s="1" t="s">
        <v>75</v>
      </c>
      <c r="B101" s="1" t="s">
        <v>446</v>
      </c>
      <c r="C101" s="1" t="s">
        <v>2329</v>
      </c>
      <c r="D101" s="1" t="s">
        <v>2330</v>
      </c>
      <c r="E101" s="1"/>
      <c r="F101" s="1" t="s">
        <v>1914</v>
      </c>
      <c r="G101" s="1" t="s">
        <v>2331</v>
      </c>
      <c r="H101" s="1" t="s">
        <v>2332</v>
      </c>
      <c r="I101" s="1" t="s">
        <v>2333</v>
      </c>
      <c r="J101" s="1">
        <v>9398319303</v>
      </c>
      <c r="K101" s="1" t="s">
        <v>84</v>
      </c>
      <c r="L101" s="1" t="s">
        <v>2334</v>
      </c>
      <c r="M101" s="1" t="s">
        <v>86</v>
      </c>
      <c r="N101" s="1" t="s">
        <v>1813</v>
      </c>
      <c r="O101" s="1"/>
      <c r="P101" s="1" t="s">
        <v>507</v>
      </c>
      <c r="Q101" s="1" t="s">
        <v>2335</v>
      </c>
      <c r="R101" s="1" t="s">
        <v>2336</v>
      </c>
      <c r="S101" s="1">
        <v>9949706447</v>
      </c>
      <c r="T101" s="1" t="s">
        <v>2337</v>
      </c>
      <c r="U101" s="1" t="s">
        <v>2338</v>
      </c>
      <c r="V101" s="1">
        <v>9618201239</v>
      </c>
      <c r="W101" s="1" t="s">
        <v>541</v>
      </c>
      <c r="X101" s="1" t="s">
        <v>2339</v>
      </c>
      <c r="Y101" s="1" t="s">
        <v>1924</v>
      </c>
      <c r="Z101" s="1" t="s">
        <v>281</v>
      </c>
      <c r="AA101" s="1" t="s">
        <v>2339</v>
      </c>
      <c r="AB101" s="1" t="s">
        <v>1924</v>
      </c>
      <c r="AC101" s="1" t="s">
        <v>281</v>
      </c>
      <c r="AD101" s="1">
        <v>9.44</v>
      </c>
      <c r="AE101" s="1" t="s">
        <v>98</v>
      </c>
      <c r="AF101" s="1" t="s">
        <v>2340</v>
      </c>
      <c r="AG101" s="1" t="s">
        <v>2341</v>
      </c>
      <c r="AH101" s="1" t="s">
        <v>167</v>
      </c>
      <c r="AI101" s="1" t="s">
        <v>704</v>
      </c>
      <c r="AJ101" s="1">
        <v>100</v>
      </c>
      <c r="AK101" s="1">
        <v>10</v>
      </c>
      <c r="AL101" s="1" t="s">
        <v>2342</v>
      </c>
      <c r="AM101" s="1" t="s">
        <v>2343</v>
      </c>
      <c r="AN101" s="1" t="s">
        <v>465</v>
      </c>
      <c r="AO101" s="1" t="s">
        <v>388</v>
      </c>
      <c r="AP101" s="1" t="s">
        <v>547</v>
      </c>
      <c r="AQ101" s="1">
        <v>94.2</v>
      </c>
      <c r="AR101" s="1">
        <v>9.73</v>
      </c>
      <c r="AS101" s="1"/>
      <c r="AT101" s="1"/>
      <c r="AU101" s="1"/>
      <c r="AV101" s="1"/>
      <c r="AW101" s="1"/>
      <c r="AX101" s="1"/>
      <c r="AY101" s="1" t="s">
        <v>2344</v>
      </c>
      <c r="AZ101" s="1" t="s">
        <v>2345</v>
      </c>
      <c r="BA101" s="1" t="s">
        <v>466</v>
      </c>
      <c r="BB101" s="1" t="s">
        <v>467</v>
      </c>
      <c r="BC101" s="1" t="s">
        <v>206</v>
      </c>
      <c r="BD101" s="1" t="s">
        <v>179</v>
      </c>
      <c r="BE101" s="1">
        <v>82.8</v>
      </c>
      <c r="BF101" s="1">
        <v>8.54</v>
      </c>
      <c r="BG101" s="1"/>
      <c r="BH101" s="1"/>
      <c r="BI101" s="1"/>
      <c r="BJ101" s="1"/>
      <c r="BK101" s="1"/>
      <c r="BL101" s="1"/>
      <c r="BM101" s="1"/>
      <c r="BN101" s="1"/>
      <c r="BO101" s="1" t="s">
        <v>2346</v>
      </c>
      <c r="BP101" s="1"/>
      <c r="BQ101" s="1"/>
      <c r="BR101" s="1" t="s">
        <v>2347</v>
      </c>
      <c r="BS101" s="1">
        <v>61</v>
      </c>
      <c r="BT101" s="1" t="s">
        <v>2348</v>
      </c>
      <c r="BU101" s="1" t="str">
        <f>HYPERLINK("https://nconnect.nicmar.ac.in/storage/profile/ProfilePhoto_P25700081_978456.jpg","Download")</f>
        <v>0</v>
      </c>
      <c r="BV101" s="3"/>
      <c r="BW101" s="3"/>
    </row>
    <row r="102" spans="1:75">
      <c r="A102" s="1" t="s">
        <v>75</v>
      </c>
      <c r="B102" s="1" t="s">
        <v>446</v>
      </c>
      <c r="C102" s="1" t="s">
        <v>2349</v>
      </c>
      <c r="D102" s="1" t="s">
        <v>2350</v>
      </c>
      <c r="E102" s="1"/>
      <c r="F102" s="1" t="s">
        <v>2351</v>
      </c>
      <c r="G102" s="1" t="s">
        <v>2352</v>
      </c>
      <c r="H102" s="1" t="s">
        <v>2353</v>
      </c>
      <c r="I102" s="1" t="s">
        <v>2354</v>
      </c>
      <c r="J102" s="1">
        <v>9566644136</v>
      </c>
      <c r="K102" s="1" t="s">
        <v>84</v>
      </c>
      <c r="L102" s="1" t="s">
        <v>2355</v>
      </c>
      <c r="M102" s="1" t="s">
        <v>86</v>
      </c>
      <c r="N102" s="1" t="s">
        <v>2356</v>
      </c>
      <c r="O102" s="1"/>
      <c r="P102" s="1" t="s">
        <v>455</v>
      </c>
      <c r="Q102" s="1" t="s">
        <v>2357</v>
      </c>
      <c r="R102" s="1" t="s">
        <v>2358</v>
      </c>
      <c r="S102" s="1">
        <v>9444409338</v>
      </c>
      <c r="T102" s="1" t="s">
        <v>839</v>
      </c>
      <c r="U102" s="1" t="s">
        <v>2359</v>
      </c>
      <c r="V102" s="1">
        <v>9789960234</v>
      </c>
      <c r="W102" s="1" t="s">
        <v>541</v>
      </c>
      <c r="X102" s="1" t="s">
        <v>2360</v>
      </c>
      <c r="Y102" s="1" t="s">
        <v>196</v>
      </c>
      <c r="Z102" s="1" t="s">
        <v>97</v>
      </c>
      <c r="AA102" s="1" t="s">
        <v>2361</v>
      </c>
      <c r="AB102" s="1" t="s">
        <v>1498</v>
      </c>
      <c r="AC102" s="1" t="s">
        <v>570</v>
      </c>
      <c r="AD102" s="1">
        <v>8.72</v>
      </c>
      <c r="AE102" s="1" t="s">
        <v>98</v>
      </c>
      <c r="AF102" s="1" t="s">
        <v>2362</v>
      </c>
      <c r="AG102" s="1" t="s">
        <v>2363</v>
      </c>
      <c r="AH102" s="1" t="s">
        <v>171</v>
      </c>
      <c r="AI102" s="1" t="s">
        <v>313</v>
      </c>
      <c r="AJ102" s="1">
        <v>85.6</v>
      </c>
      <c r="AK102" s="1"/>
      <c r="AL102" s="1" t="s">
        <v>2362</v>
      </c>
      <c r="AM102" s="1" t="s">
        <v>2363</v>
      </c>
      <c r="AN102" s="1"/>
      <c r="AO102" s="1" t="s">
        <v>417</v>
      </c>
      <c r="AP102" s="1" t="s">
        <v>549</v>
      </c>
      <c r="AQ102" s="1">
        <v>84.4</v>
      </c>
      <c r="AR102" s="1"/>
      <c r="AS102" s="1"/>
      <c r="AT102" s="1"/>
      <c r="AU102" s="1"/>
      <c r="AV102" s="1"/>
      <c r="AW102" s="1"/>
      <c r="AX102" s="1"/>
      <c r="AY102" s="1" t="s">
        <v>576</v>
      </c>
      <c r="AZ102" s="1" t="s">
        <v>2364</v>
      </c>
      <c r="BA102" s="1"/>
      <c r="BB102" s="1"/>
      <c r="BC102" s="1" t="s">
        <v>552</v>
      </c>
      <c r="BD102" s="1" t="s">
        <v>553</v>
      </c>
      <c r="BE102" s="1">
        <v>80.36</v>
      </c>
      <c r="BF102" s="1"/>
      <c r="BG102" s="1"/>
      <c r="BH102" s="1"/>
      <c r="BI102" s="1"/>
      <c r="BJ102" s="1"/>
      <c r="BK102" s="1"/>
      <c r="BL102" s="1"/>
      <c r="BM102" s="1"/>
      <c r="BN102" s="1"/>
      <c r="BO102" s="1" t="s">
        <v>2365</v>
      </c>
      <c r="BP102" s="1"/>
      <c r="BQ102" s="1"/>
      <c r="BR102" s="1" t="s">
        <v>2366</v>
      </c>
      <c r="BS102" s="1">
        <v>25</v>
      </c>
      <c r="BT102" s="1"/>
      <c r="BU102" s="1" t="str">
        <f>HYPERLINK("https://nconnect.nicmar.ac.in/storage/profile/ProfilePhoto_P25700082_853691.jpg","Download")</f>
        <v>0</v>
      </c>
      <c r="BV102" s="3"/>
      <c r="BW102" s="3"/>
    </row>
    <row r="103" spans="1:75">
      <c r="A103" s="1" t="s">
        <v>75</v>
      </c>
      <c r="B103" s="1" t="s">
        <v>446</v>
      </c>
      <c r="C103" s="1" t="s">
        <v>2367</v>
      </c>
      <c r="D103" s="1" t="s">
        <v>2368</v>
      </c>
      <c r="E103" s="1" t="s">
        <v>186</v>
      </c>
      <c r="F103" s="1" t="s">
        <v>2369</v>
      </c>
      <c r="G103" s="1" t="s">
        <v>2370</v>
      </c>
      <c r="H103" s="1" t="s">
        <v>2371</v>
      </c>
      <c r="I103" s="1" t="s">
        <v>2372</v>
      </c>
      <c r="J103" s="1">
        <v>7887452056</v>
      </c>
      <c r="K103" s="1" t="s">
        <v>84</v>
      </c>
      <c r="L103" s="1" t="s">
        <v>2373</v>
      </c>
      <c r="M103" s="1" t="s">
        <v>86</v>
      </c>
      <c r="N103" s="1" t="s">
        <v>1163</v>
      </c>
      <c r="O103" s="1"/>
      <c r="P103" s="1" t="s">
        <v>455</v>
      </c>
      <c r="Q103" s="1" t="s">
        <v>2374</v>
      </c>
      <c r="R103" s="1" t="s">
        <v>186</v>
      </c>
      <c r="S103" s="1">
        <v>9921193909</v>
      </c>
      <c r="T103" s="1" t="s">
        <v>2375</v>
      </c>
      <c r="U103" s="1" t="s">
        <v>2376</v>
      </c>
      <c r="V103" s="1">
        <v>9552458074</v>
      </c>
      <c r="W103" s="1" t="s">
        <v>161</v>
      </c>
      <c r="X103" s="1" t="s">
        <v>2377</v>
      </c>
      <c r="Y103" s="1" t="s">
        <v>410</v>
      </c>
      <c r="Z103" s="1" t="s">
        <v>97</v>
      </c>
      <c r="AA103" s="1" t="s">
        <v>2377</v>
      </c>
      <c r="AB103" s="1" t="s">
        <v>410</v>
      </c>
      <c r="AC103" s="1" t="s">
        <v>97</v>
      </c>
      <c r="AD103" s="1">
        <v>8.77</v>
      </c>
      <c r="AE103" s="1" t="s">
        <v>98</v>
      </c>
      <c r="AF103" s="1" t="s">
        <v>2378</v>
      </c>
      <c r="AG103" s="1" t="s">
        <v>2379</v>
      </c>
      <c r="AH103" s="1" t="s">
        <v>801</v>
      </c>
      <c r="AI103" s="1" t="s">
        <v>170</v>
      </c>
      <c r="AJ103" s="1">
        <v>89.6</v>
      </c>
      <c r="AK103" s="1"/>
      <c r="AL103" s="1" t="s">
        <v>2380</v>
      </c>
      <c r="AM103" s="1" t="s">
        <v>2379</v>
      </c>
      <c r="AN103" s="1" t="s">
        <v>575</v>
      </c>
      <c r="AO103" s="1" t="s">
        <v>170</v>
      </c>
      <c r="AP103" s="1" t="s">
        <v>438</v>
      </c>
      <c r="AQ103" s="1">
        <v>60</v>
      </c>
      <c r="AR103" s="1"/>
      <c r="AS103" s="1" t="s">
        <v>103</v>
      </c>
      <c r="AT103" s="1" t="s">
        <v>2381</v>
      </c>
      <c r="AU103" s="1" t="s">
        <v>315</v>
      </c>
      <c r="AV103" s="1" t="s">
        <v>552</v>
      </c>
      <c r="AW103" s="1">
        <v>83.45</v>
      </c>
      <c r="AX103" s="1"/>
      <c r="AY103" s="1" t="s">
        <v>366</v>
      </c>
      <c r="AZ103" s="1" t="s">
        <v>2382</v>
      </c>
      <c r="BA103" s="1" t="s">
        <v>578</v>
      </c>
      <c r="BB103" s="1" t="s">
        <v>467</v>
      </c>
      <c r="BC103" s="1" t="s">
        <v>871</v>
      </c>
      <c r="BD103" s="1" t="s">
        <v>2383</v>
      </c>
      <c r="BE103" s="1">
        <v>65.2</v>
      </c>
      <c r="BF103" s="1">
        <v>7.27</v>
      </c>
      <c r="BG103" s="1"/>
      <c r="BH103" s="1"/>
      <c r="BI103" s="1"/>
      <c r="BJ103" s="1"/>
      <c r="BK103" s="1"/>
      <c r="BL103" s="1"/>
      <c r="BM103" s="1"/>
      <c r="BN103" s="1"/>
      <c r="BO103" s="1" t="s">
        <v>2384</v>
      </c>
      <c r="BP103" s="1"/>
      <c r="BQ103" s="1"/>
      <c r="BR103" s="1" t="s">
        <v>2385</v>
      </c>
      <c r="BS103" s="1">
        <v>60</v>
      </c>
      <c r="BT103" s="1"/>
      <c r="BU103" s="1" t="str">
        <f>HYPERLINK("https://nconnect.nicmar.ac.in/storage/profile/ProfilePhoto_P25700083_543168.jpg","Download")</f>
        <v>0</v>
      </c>
      <c r="BV103" s="3"/>
      <c r="BW103" s="3"/>
    </row>
    <row r="104" spans="1:75">
      <c r="A104" s="1" t="s">
        <v>75</v>
      </c>
      <c r="B104" s="1" t="s">
        <v>446</v>
      </c>
      <c r="C104" s="1" t="s">
        <v>2386</v>
      </c>
      <c r="D104" s="1" t="s">
        <v>2387</v>
      </c>
      <c r="E104" s="1"/>
      <c r="F104" s="1" t="s">
        <v>2388</v>
      </c>
      <c r="G104" s="1" t="s">
        <v>2389</v>
      </c>
      <c r="H104" s="1" t="s">
        <v>2390</v>
      </c>
      <c r="I104" s="1" t="s">
        <v>2391</v>
      </c>
      <c r="J104" s="1">
        <v>8075078042</v>
      </c>
      <c r="K104" s="1" t="s">
        <v>84</v>
      </c>
      <c r="L104" s="1" t="s">
        <v>2392</v>
      </c>
      <c r="M104" s="1" t="s">
        <v>86</v>
      </c>
      <c r="N104" s="1" t="s">
        <v>2393</v>
      </c>
      <c r="O104" s="1"/>
      <c r="P104" s="1" t="s">
        <v>507</v>
      </c>
      <c r="Q104" s="1" t="s">
        <v>2394</v>
      </c>
      <c r="R104" s="1" t="s">
        <v>2395</v>
      </c>
      <c r="S104" s="1">
        <v>9447315770</v>
      </c>
      <c r="T104" s="1" t="s">
        <v>2396</v>
      </c>
      <c r="U104" s="1" t="s">
        <v>2397</v>
      </c>
      <c r="V104" s="1">
        <v>9446866397</v>
      </c>
      <c r="W104" s="1" t="s">
        <v>94</v>
      </c>
      <c r="X104" s="1" t="s">
        <v>2398</v>
      </c>
      <c r="Y104" s="1" t="s">
        <v>1307</v>
      </c>
      <c r="Z104" s="1" t="s">
        <v>130</v>
      </c>
      <c r="AA104" s="1" t="s">
        <v>2398</v>
      </c>
      <c r="AB104" s="1" t="s">
        <v>1307</v>
      </c>
      <c r="AC104" s="1" t="s">
        <v>130</v>
      </c>
      <c r="AD104" s="1">
        <v>8.03</v>
      </c>
      <c r="AE104" s="1" t="s">
        <v>98</v>
      </c>
      <c r="AF104" s="1" t="s">
        <v>2399</v>
      </c>
      <c r="AG104" s="1" t="s">
        <v>312</v>
      </c>
      <c r="AH104" s="1" t="s">
        <v>166</v>
      </c>
      <c r="AI104" s="1" t="s">
        <v>627</v>
      </c>
      <c r="AJ104" s="1">
        <v>87.4</v>
      </c>
      <c r="AK104" s="1">
        <v>9.2</v>
      </c>
      <c r="AL104" s="1" t="s">
        <v>2399</v>
      </c>
      <c r="AM104" s="1" t="s">
        <v>312</v>
      </c>
      <c r="AN104" s="1"/>
      <c r="AO104" s="1" t="s">
        <v>170</v>
      </c>
      <c r="AP104" s="1" t="s">
        <v>171</v>
      </c>
      <c r="AQ104" s="1">
        <v>79</v>
      </c>
      <c r="AR104" s="1"/>
      <c r="AS104" s="1"/>
      <c r="AT104" s="1"/>
      <c r="AU104" s="1"/>
      <c r="AV104" s="1"/>
      <c r="AW104" s="1"/>
      <c r="AX104" s="1"/>
      <c r="AY104" s="1" t="s">
        <v>2400</v>
      </c>
      <c r="AZ104" s="1" t="s">
        <v>2401</v>
      </c>
      <c r="BA104" s="1"/>
      <c r="BB104" s="1"/>
      <c r="BC104" s="1" t="s">
        <v>1065</v>
      </c>
      <c r="BD104" s="1" t="s">
        <v>110</v>
      </c>
      <c r="BE104" s="1">
        <v>72.2</v>
      </c>
      <c r="BF104" s="1">
        <v>7.22</v>
      </c>
      <c r="BG104" s="1"/>
      <c r="BH104" s="1"/>
      <c r="BI104" s="1"/>
      <c r="BJ104" s="1"/>
      <c r="BK104" s="1"/>
      <c r="BL104" s="1"/>
      <c r="BM104" s="1"/>
      <c r="BN104" s="1"/>
      <c r="BO104" s="1" t="s">
        <v>2402</v>
      </c>
      <c r="BP104" s="1"/>
      <c r="BQ104" s="1"/>
      <c r="BR104" s="1" t="s">
        <v>2403</v>
      </c>
      <c r="BS104" s="1">
        <v>8</v>
      </c>
      <c r="BT104" s="1"/>
      <c r="BU104" s="1" t="str">
        <f>HYPERLINK("https://nconnect.nicmar.ac.in/storage/profile/ProfilePhoto_P25700084_671924.jpg","Download")</f>
        <v>0</v>
      </c>
      <c r="BV104" s="3"/>
      <c r="BW104" s="3"/>
    </row>
    <row r="105" spans="1:75">
      <c r="A105" s="1" t="s">
        <v>75</v>
      </c>
      <c r="B105" s="1" t="s">
        <v>446</v>
      </c>
      <c r="C105" s="1" t="s">
        <v>2404</v>
      </c>
      <c r="D105" s="1" t="s">
        <v>960</v>
      </c>
      <c r="E105" s="1" t="s">
        <v>2405</v>
      </c>
      <c r="F105" s="1" t="s">
        <v>2406</v>
      </c>
      <c r="G105" s="1" t="s">
        <v>2407</v>
      </c>
      <c r="H105" s="1" t="s">
        <v>2408</v>
      </c>
      <c r="I105" s="1" t="s">
        <v>2409</v>
      </c>
      <c r="J105" s="1">
        <v>7821014020</v>
      </c>
      <c r="K105" s="1" t="s">
        <v>84</v>
      </c>
      <c r="L105" s="1" t="s">
        <v>2410</v>
      </c>
      <c r="M105" s="1" t="s">
        <v>86</v>
      </c>
      <c r="N105" s="1" t="s">
        <v>2411</v>
      </c>
      <c r="O105" s="1"/>
      <c r="P105" s="1" t="s">
        <v>507</v>
      </c>
      <c r="Q105" s="1" t="s">
        <v>2412</v>
      </c>
      <c r="R105" s="1" t="s">
        <v>2413</v>
      </c>
      <c r="S105" s="1">
        <v>9420184313</v>
      </c>
      <c r="T105" s="1" t="s">
        <v>2414</v>
      </c>
      <c r="U105" s="1" t="s">
        <v>2415</v>
      </c>
      <c r="V105" s="1">
        <v>8669022335</v>
      </c>
      <c r="W105" s="1" t="s">
        <v>161</v>
      </c>
      <c r="X105" s="1" t="s">
        <v>2416</v>
      </c>
      <c r="Y105" s="1" t="s">
        <v>196</v>
      </c>
      <c r="Z105" s="1" t="s">
        <v>97</v>
      </c>
      <c r="AA105" s="1" t="s">
        <v>2417</v>
      </c>
      <c r="AB105" s="1" t="s">
        <v>2108</v>
      </c>
      <c r="AC105" s="1" t="s">
        <v>97</v>
      </c>
      <c r="AD105" s="1">
        <v>8.51</v>
      </c>
      <c r="AE105" s="1" t="s">
        <v>98</v>
      </c>
      <c r="AF105" s="1" t="s">
        <v>2418</v>
      </c>
      <c r="AG105" s="1" t="s">
        <v>2419</v>
      </c>
      <c r="AH105" s="1" t="s">
        <v>170</v>
      </c>
      <c r="AI105" s="1" t="s">
        <v>286</v>
      </c>
      <c r="AJ105" s="1">
        <v>86.8</v>
      </c>
      <c r="AK105" s="1">
        <v>0</v>
      </c>
      <c r="AL105" s="1" t="s">
        <v>2420</v>
      </c>
      <c r="AM105" s="1" t="s">
        <v>2421</v>
      </c>
      <c r="AN105" s="1" t="s">
        <v>575</v>
      </c>
      <c r="AO105" s="1" t="s">
        <v>547</v>
      </c>
      <c r="AP105" s="1" t="s">
        <v>365</v>
      </c>
      <c r="AQ105" s="1">
        <v>74.31</v>
      </c>
      <c r="AR105" s="1">
        <v>0</v>
      </c>
      <c r="AS105" s="1"/>
      <c r="AT105" s="1"/>
      <c r="AU105" s="1"/>
      <c r="AV105" s="1"/>
      <c r="AW105" s="1"/>
      <c r="AX105" s="1"/>
      <c r="AY105" s="1" t="s">
        <v>366</v>
      </c>
      <c r="AZ105" s="1" t="s">
        <v>2422</v>
      </c>
      <c r="BA105" s="1" t="s">
        <v>466</v>
      </c>
      <c r="BB105" s="1" t="s">
        <v>467</v>
      </c>
      <c r="BC105" s="1" t="s">
        <v>890</v>
      </c>
      <c r="BD105" s="1" t="s">
        <v>207</v>
      </c>
      <c r="BE105" s="1">
        <v>75.4</v>
      </c>
      <c r="BF105" s="1">
        <v>8.29</v>
      </c>
      <c r="BG105" s="1"/>
      <c r="BH105" s="1"/>
      <c r="BI105" s="1"/>
      <c r="BJ105" s="1"/>
      <c r="BK105" s="1"/>
      <c r="BL105" s="1"/>
      <c r="BM105" s="1"/>
      <c r="BN105" s="1"/>
      <c r="BO105" s="1" t="s">
        <v>2423</v>
      </c>
      <c r="BP105" s="1"/>
      <c r="BQ105" s="1"/>
      <c r="BR105" s="1" t="s">
        <v>2424</v>
      </c>
      <c r="BS105" s="1">
        <v>37</v>
      </c>
      <c r="BT105" s="1" t="s">
        <v>2425</v>
      </c>
      <c r="BU105" s="1" t="str">
        <f>HYPERLINK("https://nconnect.nicmar.ac.in/storage/profile/ProfilePhoto_P25700086_943578.jpg","Download")</f>
        <v>0</v>
      </c>
      <c r="BV105" s="3"/>
      <c r="BW105" s="3"/>
    </row>
    <row r="106" spans="1:75">
      <c r="A106" s="1" t="s">
        <v>75</v>
      </c>
      <c r="B106" s="1" t="s">
        <v>446</v>
      </c>
      <c r="C106" s="1" t="s">
        <v>2426</v>
      </c>
      <c r="D106" s="1" t="s">
        <v>2427</v>
      </c>
      <c r="E106" s="1" t="s">
        <v>2428</v>
      </c>
      <c r="F106" s="1" t="s">
        <v>2429</v>
      </c>
      <c r="G106" s="1" t="s">
        <v>2430</v>
      </c>
      <c r="H106" s="1" t="s">
        <v>2431</v>
      </c>
      <c r="I106" s="1" t="s">
        <v>2432</v>
      </c>
      <c r="J106" s="1">
        <v>8369371163</v>
      </c>
      <c r="K106" s="1" t="s">
        <v>84</v>
      </c>
      <c r="L106" s="1" t="s">
        <v>2334</v>
      </c>
      <c r="M106" s="1" t="s">
        <v>86</v>
      </c>
      <c r="N106" s="1" t="s">
        <v>2433</v>
      </c>
      <c r="O106" s="1"/>
      <c r="P106" s="1" t="s">
        <v>481</v>
      </c>
      <c r="Q106" s="1" t="s">
        <v>2434</v>
      </c>
      <c r="R106" s="1" t="s">
        <v>2428</v>
      </c>
      <c r="S106" s="1">
        <v>7710942092</v>
      </c>
      <c r="T106" s="1" t="s">
        <v>125</v>
      </c>
      <c r="U106" s="1" t="s">
        <v>2435</v>
      </c>
      <c r="V106" s="1">
        <v>9930116890</v>
      </c>
      <c r="W106" s="1" t="s">
        <v>161</v>
      </c>
      <c r="X106" s="1" t="s">
        <v>2436</v>
      </c>
      <c r="Y106" s="1" t="s">
        <v>1189</v>
      </c>
      <c r="Z106" s="1" t="s">
        <v>97</v>
      </c>
      <c r="AA106" s="1" t="s">
        <v>2436</v>
      </c>
      <c r="AB106" s="1" t="s">
        <v>1189</v>
      </c>
      <c r="AC106" s="1" t="s">
        <v>97</v>
      </c>
      <c r="AD106" s="1">
        <v>8.49</v>
      </c>
      <c r="AE106" s="1" t="s">
        <v>98</v>
      </c>
      <c r="AF106" s="1" t="s">
        <v>2437</v>
      </c>
      <c r="AG106" s="1" t="s">
        <v>2438</v>
      </c>
      <c r="AH106" s="1" t="s">
        <v>627</v>
      </c>
      <c r="AI106" s="1" t="s">
        <v>170</v>
      </c>
      <c r="AJ106" s="1">
        <v>68.8</v>
      </c>
      <c r="AK106" s="1">
        <v>0</v>
      </c>
      <c r="AL106" s="1" t="s">
        <v>2439</v>
      </c>
      <c r="AM106" s="1" t="s">
        <v>2438</v>
      </c>
      <c r="AN106" s="1" t="s">
        <v>465</v>
      </c>
      <c r="AO106" s="1" t="s">
        <v>174</v>
      </c>
      <c r="AP106" s="1" t="s">
        <v>313</v>
      </c>
      <c r="AQ106" s="1">
        <v>61.85</v>
      </c>
      <c r="AR106" s="1">
        <v>0</v>
      </c>
      <c r="AS106" s="1"/>
      <c r="AT106" s="1"/>
      <c r="AU106" s="1"/>
      <c r="AV106" s="1"/>
      <c r="AW106" s="1"/>
      <c r="AX106" s="1"/>
      <c r="AY106" s="1" t="s">
        <v>258</v>
      </c>
      <c r="AZ106" s="1" t="s">
        <v>2440</v>
      </c>
      <c r="BA106" s="1" t="s">
        <v>578</v>
      </c>
      <c r="BB106" s="1" t="s">
        <v>467</v>
      </c>
      <c r="BC106" s="1" t="s">
        <v>206</v>
      </c>
      <c r="BD106" s="1" t="s">
        <v>1267</v>
      </c>
      <c r="BE106" s="1">
        <v>69.25</v>
      </c>
      <c r="BF106" s="1">
        <v>7.75</v>
      </c>
      <c r="BG106" s="1"/>
      <c r="BH106" s="1"/>
      <c r="BI106" s="1"/>
      <c r="BJ106" s="1"/>
      <c r="BK106" s="1"/>
      <c r="BL106" s="1"/>
      <c r="BM106" s="1"/>
      <c r="BN106" s="1"/>
      <c r="BO106" s="1" t="s">
        <v>2441</v>
      </c>
      <c r="BP106" s="1" t="s">
        <v>2442</v>
      </c>
      <c r="BQ106" s="1" t="s">
        <v>1357</v>
      </c>
      <c r="BR106" s="1" t="s">
        <v>2443</v>
      </c>
      <c r="BS106" s="1">
        <v>12</v>
      </c>
      <c r="BT106" s="1" t="s">
        <v>2444</v>
      </c>
      <c r="BU106" s="1" t="str">
        <f>HYPERLINK("https://nconnect.nicmar.ac.in/storage/profile/ProfilePhoto_P25700087_527389.jpg","Download")</f>
        <v>0</v>
      </c>
      <c r="BV106" s="3"/>
      <c r="BW106" s="3"/>
    </row>
    <row r="107" spans="1:75">
      <c r="A107" s="1" t="s">
        <v>75</v>
      </c>
      <c r="B107" s="1" t="s">
        <v>446</v>
      </c>
      <c r="C107" s="1" t="s">
        <v>2445</v>
      </c>
      <c r="D107" s="1" t="s">
        <v>2446</v>
      </c>
      <c r="E107" s="1" t="s">
        <v>2447</v>
      </c>
      <c r="F107" s="1" t="s">
        <v>2448</v>
      </c>
      <c r="G107" s="1" t="s">
        <v>2449</v>
      </c>
      <c r="H107" s="1" t="s">
        <v>2450</v>
      </c>
      <c r="I107" s="1" t="s">
        <v>2451</v>
      </c>
      <c r="J107" s="1">
        <v>7039123763</v>
      </c>
      <c r="K107" s="1" t="s">
        <v>84</v>
      </c>
      <c r="L107" s="1" t="s">
        <v>2452</v>
      </c>
      <c r="M107" s="1" t="s">
        <v>86</v>
      </c>
      <c r="N107" s="1" t="s">
        <v>1163</v>
      </c>
      <c r="O107" s="1"/>
      <c r="P107" s="1" t="s">
        <v>507</v>
      </c>
      <c r="Q107" s="1" t="s">
        <v>2453</v>
      </c>
      <c r="R107" s="1" t="s">
        <v>2447</v>
      </c>
      <c r="S107" s="1">
        <v>9969034019</v>
      </c>
      <c r="T107" s="1" t="s">
        <v>125</v>
      </c>
      <c r="U107" s="1" t="s">
        <v>2454</v>
      </c>
      <c r="V107" s="1">
        <v>9892778289</v>
      </c>
      <c r="W107" s="1" t="s">
        <v>125</v>
      </c>
      <c r="X107" s="1" t="s">
        <v>2455</v>
      </c>
      <c r="Y107" s="1" t="s">
        <v>1882</v>
      </c>
      <c r="Z107" s="1" t="s">
        <v>97</v>
      </c>
      <c r="AA107" s="1" t="s">
        <v>2455</v>
      </c>
      <c r="AB107" s="1" t="s">
        <v>1882</v>
      </c>
      <c r="AC107" s="1" t="s">
        <v>97</v>
      </c>
      <c r="AD107" s="1">
        <v>8.56</v>
      </c>
      <c r="AE107" s="1" t="s">
        <v>98</v>
      </c>
      <c r="AF107" s="1" t="s">
        <v>2456</v>
      </c>
      <c r="AG107" s="1" t="s">
        <v>2457</v>
      </c>
      <c r="AH107" s="1" t="s">
        <v>101</v>
      </c>
      <c r="AI107" s="1" t="s">
        <v>136</v>
      </c>
      <c r="AJ107" s="1">
        <v>67.2</v>
      </c>
      <c r="AK107" s="1"/>
      <c r="AL107" s="1"/>
      <c r="AM107" s="1"/>
      <c r="AN107" s="1"/>
      <c r="AO107" s="1"/>
      <c r="AP107" s="1"/>
      <c r="AQ107" s="1"/>
      <c r="AR107" s="1"/>
      <c r="AS107" s="1" t="s">
        <v>103</v>
      </c>
      <c r="AT107" s="1" t="s">
        <v>2458</v>
      </c>
      <c r="AU107" s="1" t="s">
        <v>342</v>
      </c>
      <c r="AV107" s="1" t="s">
        <v>171</v>
      </c>
      <c r="AW107" s="1">
        <v>84.4</v>
      </c>
      <c r="AX107" s="1"/>
      <c r="AY107" s="1" t="s">
        <v>258</v>
      </c>
      <c r="AZ107" s="1" t="s">
        <v>2459</v>
      </c>
      <c r="BA107" s="1" t="s">
        <v>466</v>
      </c>
      <c r="BB107" s="1" t="s">
        <v>467</v>
      </c>
      <c r="BC107" s="1" t="s">
        <v>174</v>
      </c>
      <c r="BD107" s="1" t="s">
        <v>845</v>
      </c>
      <c r="BE107" s="1">
        <v>71.4</v>
      </c>
      <c r="BF107" s="1">
        <v>7.89</v>
      </c>
      <c r="BG107" s="1"/>
      <c r="BH107" s="1"/>
      <c r="BI107" s="1"/>
      <c r="BJ107" s="1"/>
      <c r="BK107" s="1"/>
      <c r="BL107" s="1"/>
      <c r="BM107" s="1"/>
      <c r="BN107" s="1"/>
      <c r="BO107" s="1" t="s">
        <v>2460</v>
      </c>
      <c r="BP107" s="1" t="s">
        <v>2461</v>
      </c>
      <c r="BQ107" s="1" t="s">
        <v>2462</v>
      </c>
      <c r="BR107" s="1" t="s">
        <v>2463</v>
      </c>
      <c r="BS107" s="1">
        <v>14</v>
      </c>
      <c r="BT107" s="1"/>
      <c r="BU107" s="1" t="str">
        <f>HYPERLINK("https://nconnect.nicmar.ac.in/storage/profile/ProfilePhoto_P25700088_736859.jpg","Download")</f>
        <v>0</v>
      </c>
      <c r="BV107" s="3"/>
      <c r="BW107" s="3"/>
    </row>
    <row r="108" spans="1:75">
      <c r="A108" s="1" t="s">
        <v>75</v>
      </c>
      <c r="B108" s="1" t="s">
        <v>446</v>
      </c>
      <c r="C108" s="1" t="s">
        <v>2464</v>
      </c>
      <c r="D108" s="1" t="s">
        <v>2465</v>
      </c>
      <c r="E108" s="1" t="s">
        <v>2428</v>
      </c>
      <c r="F108" s="1" t="s">
        <v>2099</v>
      </c>
      <c r="G108" s="1" t="s">
        <v>2466</v>
      </c>
      <c r="H108" s="1" t="s">
        <v>2467</v>
      </c>
      <c r="I108" s="1" t="s">
        <v>2468</v>
      </c>
      <c r="J108" s="1">
        <v>9172120588</v>
      </c>
      <c r="K108" s="1" t="s">
        <v>84</v>
      </c>
      <c r="L108" s="1" t="s">
        <v>2469</v>
      </c>
      <c r="M108" s="1" t="s">
        <v>86</v>
      </c>
      <c r="N108" s="1" t="s">
        <v>1163</v>
      </c>
      <c r="O108" s="1"/>
      <c r="P108" s="1" t="s">
        <v>507</v>
      </c>
      <c r="Q108" s="1" t="s">
        <v>2470</v>
      </c>
      <c r="R108" s="1" t="s">
        <v>2471</v>
      </c>
      <c r="S108" s="1">
        <v>9172120588</v>
      </c>
      <c r="T108" s="1" t="s">
        <v>125</v>
      </c>
      <c r="U108" s="1" t="s">
        <v>2472</v>
      </c>
      <c r="V108" s="1">
        <v>9172120588</v>
      </c>
      <c r="W108" s="1" t="s">
        <v>161</v>
      </c>
      <c r="X108" s="1" t="s">
        <v>2473</v>
      </c>
      <c r="Y108" s="1" t="s">
        <v>1989</v>
      </c>
      <c r="Z108" s="1" t="s">
        <v>97</v>
      </c>
      <c r="AA108" s="1" t="s">
        <v>2473</v>
      </c>
      <c r="AB108" s="1" t="s">
        <v>1989</v>
      </c>
      <c r="AC108" s="1" t="s">
        <v>97</v>
      </c>
      <c r="AD108" s="1">
        <v>8.59</v>
      </c>
      <c r="AE108" s="1" t="s">
        <v>98</v>
      </c>
      <c r="AF108" s="1" t="s">
        <v>2474</v>
      </c>
      <c r="AG108" s="1" t="s">
        <v>2475</v>
      </c>
      <c r="AH108" s="1" t="s">
        <v>170</v>
      </c>
      <c r="AI108" s="1" t="s">
        <v>171</v>
      </c>
      <c r="AJ108" s="1">
        <v>81.8</v>
      </c>
      <c r="AK108" s="1"/>
      <c r="AL108" s="1" t="s">
        <v>2474</v>
      </c>
      <c r="AM108" s="1" t="s">
        <v>2475</v>
      </c>
      <c r="AN108" s="1"/>
      <c r="AO108" s="1" t="s">
        <v>438</v>
      </c>
      <c r="AP108" s="1" t="s">
        <v>178</v>
      </c>
      <c r="AQ108" s="1">
        <v>74.2</v>
      </c>
      <c r="AR108" s="1"/>
      <c r="AS108" s="1"/>
      <c r="AT108" s="1"/>
      <c r="AU108" s="1"/>
      <c r="AV108" s="1"/>
      <c r="AW108" s="1"/>
      <c r="AX108" s="1"/>
      <c r="AY108" s="1" t="s">
        <v>366</v>
      </c>
      <c r="AZ108" s="1" t="s">
        <v>2476</v>
      </c>
      <c r="BA108" s="1"/>
      <c r="BB108" s="1"/>
      <c r="BC108" s="1" t="s">
        <v>1040</v>
      </c>
      <c r="BD108" s="1" t="s">
        <v>207</v>
      </c>
      <c r="BE108" s="1">
        <v>66.21</v>
      </c>
      <c r="BF108" s="1">
        <v>7.44</v>
      </c>
      <c r="BG108" s="1"/>
      <c r="BH108" s="1"/>
      <c r="BI108" s="1"/>
      <c r="BJ108" s="1"/>
      <c r="BK108" s="1"/>
      <c r="BL108" s="1"/>
      <c r="BM108" s="1"/>
      <c r="BN108" s="1"/>
      <c r="BO108" s="1" t="s">
        <v>2477</v>
      </c>
      <c r="BP108" s="1" t="s">
        <v>2478</v>
      </c>
      <c r="BQ108" s="1" t="s">
        <v>893</v>
      </c>
      <c r="BR108" s="1" t="s">
        <v>2479</v>
      </c>
      <c r="BS108" s="1">
        <v>9</v>
      </c>
      <c r="BT108" s="1"/>
      <c r="BU108" s="1" t="str">
        <f>HYPERLINK("https://nconnect.nicmar.ac.in/storage/profile/ProfilePhoto_P25700089_931658.jpg","Download")</f>
        <v>0</v>
      </c>
      <c r="BV108" s="3"/>
      <c r="BW108" s="3"/>
    </row>
    <row r="109" spans="1:75">
      <c r="A109" s="1" t="s">
        <v>75</v>
      </c>
      <c r="B109" s="1" t="s">
        <v>446</v>
      </c>
      <c r="C109" s="1" t="s">
        <v>2480</v>
      </c>
      <c r="D109" s="1" t="s">
        <v>2387</v>
      </c>
      <c r="E109" s="1"/>
      <c r="F109" s="1" t="s">
        <v>2481</v>
      </c>
      <c r="G109" s="1" t="s">
        <v>2482</v>
      </c>
      <c r="H109" s="1" t="s">
        <v>2483</v>
      </c>
      <c r="I109" s="1" t="s">
        <v>2484</v>
      </c>
      <c r="J109" s="1">
        <v>9701658656</v>
      </c>
      <c r="K109" s="1" t="s">
        <v>84</v>
      </c>
      <c r="L109" s="1" t="s">
        <v>2485</v>
      </c>
      <c r="M109" s="1" t="s">
        <v>86</v>
      </c>
      <c r="N109" s="1" t="s">
        <v>2486</v>
      </c>
      <c r="O109" s="1"/>
      <c r="P109" s="1" t="s">
        <v>455</v>
      </c>
      <c r="Q109" s="1" t="s">
        <v>2487</v>
      </c>
      <c r="R109" s="1" t="s">
        <v>2488</v>
      </c>
      <c r="S109" s="1">
        <v>9849829955</v>
      </c>
      <c r="T109" s="1" t="s">
        <v>159</v>
      </c>
      <c r="U109" s="1" t="s">
        <v>2489</v>
      </c>
      <c r="V109" s="1">
        <v>9989220434</v>
      </c>
      <c r="W109" s="1" t="s">
        <v>278</v>
      </c>
      <c r="X109" s="1" t="s">
        <v>2490</v>
      </c>
      <c r="Y109" s="1" t="s">
        <v>280</v>
      </c>
      <c r="Z109" s="1" t="s">
        <v>281</v>
      </c>
      <c r="AA109" s="1" t="s">
        <v>2490</v>
      </c>
      <c r="AB109" s="1" t="s">
        <v>280</v>
      </c>
      <c r="AC109" s="1" t="s">
        <v>281</v>
      </c>
      <c r="AD109" s="1">
        <v>8.74</v>
      </c>
      <c r="AE109" s="1" t="s">
        <v>98</v>
      </c>
      <c r="AF109" s="1" t="s">
        <v>2491</v>
      </c>
      <c r="AG109" s="1" t="s">
        <v>2492</v>
      </c>
      <c r="AH109" s="1" t="s">
        <v>170</v>
      </c>
      <c r="AI109" s="1" t="s">
        <v>490</v>
      </c>
      <c r="AJ109" s="1">
        <v>100</v>
      </c>
      <c r="AK109" s="1">
        <v>10</v>
      </c>
      <c r="AL109" s="1" t="s">
        <v>2493</v>
      </c>
      <c r="AM109" s="1" t="s">
        <v>2494</v>
      </c>
      <c r="AN109" s="1"/>
      <c r="AO109" s="1" t="s">
        <v>106</v>
      </c>
      <c r="AP109" s="1" t="s">
        <v>417</v>
      </c>
      <c r="AQ109" s="1">
        <v>94.6</v>
      </c>
      <c r="AR109" s="1">
        <v>9.82</v>
      </c>
      <c r="AS109" s="1"/>
      <c r="AT109" s="1"/>
      <c r="AU109" s="1"/>
      <c r="AV109" s="1"/>
      <c r="AW109" s="1"/>
      <c r="AX109" s="1"/>
      <c r="AY109" s="1" t="s">
        <v>2495</v>
      </c>
      <c r="AZ109" s="1" t="s">
        <v>2496</v>
      </c>
      <c r="BA109" s="1"/>
      <c r="BB109" s="1"/>
      <c r="BC109" s="1" t="s">
        <v>890</v>
      </c>
      <c r="BD109" s="1" t="s">
        <v>1314</v>
      </c>
      <c r="BE109" s="1">
        <v>65.9</v>
      </c>
      <c r="BF109" s="1">
        <v>7.34</v>
      </c>
      <c r="BG109" s="1"/>
      <c r="BH109" s="1"/>
      <c r="BI109" s="1"/>
      <c r="BJ109" s="1"/>
      <c r="BK109" s="1"/>
      <c r="BL109" s="1"/>
      <c r="BM109" s="1"/>
      <c r="BN109" s="1"/>
      <c r="BO109" s="1" t="s">
        <v>2497</v>
      </c>
      <c r="BP109" s="1"/>
      <c r="BQ109" s="1"/>
      <c r="BR109" s="1" t="s">
        <v>2498</v>
      </c>
      <c r="BS109" s="1">
        <v>19</v>
      </c>
      <c r="BT109" s="1"/>
      <c r="BU109" s="1" t="str">
        <f>HYPERLINK("https://nconnect.nicmar.ac.in/storage/profile/ProfilePhoto_P25700090_678295.jpg","Download")</f>
        <v>0</v>
      </c>
      <c r="BV109" s="3"/>
      <c r="BW109" s="3"/>
    </row>
    <row r="110" spans="1:75">
      <c r="A110" s="1" t="s">
        <v>75</v>
      </c>
      <c r="B110" s="1" t="s">
        <v>446</v>
      </c>
      <c r="C110" s="1" t="s">
        <v>2499</v>
      </c>
      <c r="D110" s="1" t="s">
        <v>2500</v>
      </c>
      <c r="E110" s="1" t="s">
        <v>2501</v>
      </c>
      <c r="F110" s="1" t="s">
        <v>2502</v>
      </c>
      <c r="G110" s="1" t="s">
        <v>2503</v>
      </c>
      <c r="H110" s="1" t="s">
        <v>2504</v>
      </c>
      <c r="I110" s="1" t="s">
        <v>2505</v>
      </c>
      <c r="J110" s="1">
        <v>8975936363</v>
      </c>
      <c r="K110" s="1" t="s">
        <v>84</v>
      </c>
      <c r="L110" s="1" t="s">
        <v>2506</v>
      </c>
      <c r="M110" s="1" t="s">
        <v>86</v>
      </c>
      <c r="N110" s="1" t="s">
        <v>2507</v>
      </c>
      <c r="O110" s="1"/>
      <c r="P110" s="1" t="s">
        <v>481</v>
      </c>
      <c r="Q110" s="1" t="s">
        <v>2508</v>
      </c>
      <c r="R110" s="1" t="s">
        <v>2501</v>
      </c>
      <c r="S110" s="1">
        <v>8308572500</v>
      </c>
      <c r="T110" s="1" t="s">
        <v>839</v>
      </c>
      <c r="U110" s="1" t="s">
        <v>1514</v>
      </c>
      <c r="V110" s="1">
        <v>7350589898</v>
      </c>
      <c r="W110" s="1" t="s">
        <v>161</v>
      </c>
      <c r="X110" s="1" t="s">
        <v>2509</v>
      </c>
      <c r="Y110" s="1" t="s">
        <v>196</v>
      </c>
      <c r="Z110" s="1" t="s">
        <v>97</v>
      </c>
      <c r="AA110" s="1" t="s">
        <v>2509</v>
      </c>
      <c r="AB110" s="1" t="s">
        <v>196</v>
      </c>
      <c r="AC110" s="1" t="s">
        <v>97</v>
      </c>
      <c r="AD110" s="1">
        <v>9.31</v>
      </c>
      <c r="AE110" s="1" t="s">
        <v>98</v>
      </c>
      <c r="AF110" s="1" t="s">
        <v>2510</v>
      </c>
      <c r="AG110" s="1" t="s">
        <v>165</v>
      </c>
      <c r="AH110" s="1" t="s">
        <v>2321</v>
      </c>
      <c r="AI110" s="1" t="s">
        <v>414</v>
      </c>
      <c r="AJ110" s="1">
        <v>90.2</v>
      </c>
      <c r="AK110" s="1"/>
      <c r="AL110" s="1" t="s">
        <v>2511</v>
      </c>
      <c r="AM110" s="1" t="s">
        <v>165</v>
      </c>
      <c r="AN110" s="1"/>
      <c r="AO110" s="1" t="s">
        <v>438</v>
      </c>
      <c r="AP110" s="1" t="s">
        <v>847</v>
      </c>
      <c r="AQ110" s="1">
        <v>84</v>
      </c>
      <c r="AR110" s="1"/>
      <c r="AS110" s="1"/>
      <c r="AT110" s="1"/>
      <c r="AU110" s="1"/>
      <c r="AV110" s="1"/>
      <c r="AW110" s="1"/>
      <c r="AX110" s="1"/>
      <c r="AY110" s="1" t="s">
        <v>366</v>
      </c>
      <c r="AZ110" s="1" t="s">
        <v>2512</v>
      </c>
      <c r="BA110" s="1"/>
      <c r="BB110" s="1"/>
      <c r="BC110" s="1" t="s">
        <v>871</v>
      </c>
      <c r="BD110" s="1" t="s">
        <v>553</v>
      </c>
      <c r="BE110" s="1">
        <v>80.18</v>
      </c>
      <c r="BF110" s="1">
        <v>8.44</v>
      </c>
      <c r="BG110" s="1"/>
      <c r="BH110" s="1"/>
      <c r="BI110" s="1"/>
      <c r="BJ110" s="1"/>
      <c r="BK110" s="1"/>
      <c r="BL110" s="1"/>
      <c r="BM110" s="1"/>
      <c r="BN110" s="1"/>
      <c r="BO110" s="1" t="s">
        <v>260</v>
      </c>
      <c r="BP110" s="1"/>
      <c r="BQ110" s="1"/>
      <c r="BR110" s="1" t="s">
        <v>2513</v>
      </c>
      <c r="BS110" s="1">
        <v>13</v>
      </c>
      <c r="BT110" s="1"/>
      <c r="BU110" s="1" t="str">
        <f>HYPERLINK("https://nconnect.nicmar.ac.in/storage/profile/ProfilePhoto_P25700091_861592.jpg","Download")</f>
        <v>0</v>
      </c>
      <c r="BV110" s="3"/>
      <c r="BW110" s="3"/>
    </row>
    <row r="111" spans="1:75">
      <c r="A111" s="1" t="s">
        <v>75</v>
      </c>
      <c r="B111" s="1" t="s">
        <v>446</v>
      </c>
      <c r="C111" s="1" t="s">
        <v>2514</v>
      </c>
      <c r="D111" s="1" t="s">
        <v>2515</v>
      </c>
      <c r="E111" s="1"/>
      <c r="F111" s="1" t="s">
        <v>2516</v>
      </c>
      <c r="G111" s="1" t="s">
        <v>2517</v>
      </c>
      <c r="H111" s="1" t="s">
        <v>2518</v>
      </c>
      <c r="I111" s="1" t="s">
        <v>2519</v>
      </c>
      <c r="J111" s="1">
        <v>6282333205</v>
      </c>
      <c r="K111" s="1" t="s">
        <v>84</v>
      </c>
      <c r="L111" s="1" t="s">
        <v>2520</v>
      </c>
      <c r="M111" s="1" t="s">
        <v>86</v>
      </c>
      <c r="N111" s="1" t="s">
        <v>2521</v>
      </c>
      <c r="O111" s="1" t="s">
        <v>157</v>
      </c>
      <c r="P111" s="1" t="s">
        <v>219</v>
      </c>
      <c r="Q111" s="1" t="s">
        <v>2522</v>
      </c>
      <c r="R111" s="1" t="s">
        <v>2523</v>
      </c>
      <c r="S111" s="1">
        <v>9446204739</v>
      </c>
      <c r="T111" s="1" t="s">
        <v>125</v>
      </c>
      <c r="U111" s="1" t="s">
        <v>2524</v>
      </c>
      <c r="V111" s="1">
        <v>9495632950</v>
      </c>
      <c r="W111" s="1" t="s">
        <v>125</v>
      </c>
      <c r="X111" s="1" t="s">
        <v>2525</v>
      </c>
      <c r="Y111" s="1" t="s">
        <v>2526</v>
      </c>
      <c r="Z111" s="1" t="s">
        <v>130</v>
      </c>
      <c r="AA111" s="1" t="s">
        <v>2525</v>
      </c>
      <c r="AB111" s="1" t="s">
        <v>2526</v>
      </c>
      <c r="AC111" s="1" t="s">
        <v>130</v>
      </c>
      <c r="AD111" s="1">
        <v>8.62</v>
      </c>
      <c r="AE111" s="1" t="s">
        <v>98</v>
      </c>
      <c r="AF111" s="1" t="s">
        <v>2527</v>
      </c>
      <c r="AG111" s="1" t="s">
        <v>2528</v>
      </c>
      <c r="AH111" s="1" t="s">
        <v>170</v>
      </c>
      <c r="AI111" s="1" t="s">
        <v>286</v>
      </c>
      <c r="AJ111" s="1">
        <v>86.61</v>
      </c>
      <c r="AK111" s="1"/>
      <c r="AL111" s="1" t="s">
        <v>2527</v>
      </c>
      <c r="AM111" s="1" t="s">
        <v>2529</v>
      </c>
      <c r="AN111" s="1" t="s">
        <v>575</v>
      </c>
      <c r="AO111" s="1" t="s">
        <v>106</v>
      </c>
      <c r="AP111" s="1" t="s">
        <v>603</v>
      </c>
      <c r="AQ111" s="1">
        <v>72.66</v>
      </c>
      <c r="AR111" s="1"/>
      <c r="AS111" s="1"/>
      <c r="AT111" s="1"/>
      <c r="AU111" s="1"/>
      <c r="AV111" s="1"/>
      <c r="AW111" s="1"/>
      <c r="AX111" s="1"/>
      <c r="AY111" s="1" t="s">
        <v>2530</v>
      </c>
      <c r="AZ111" s="1" t="s">
        <v>2531</v>
      </c>
      <c r="BA111" s="1" t="s">
        <v>466</v>
      </c>
      <c r="BB111" s="1" t="s">
        <v>467</v>
      </c>
      <c r="BC111" s="1" t="s">
        <v>1040</v>
      </c>
      <c r="BD111" s="1" t="s">
        <v>207</v>
      </c>
      <c r="BE111" s="1">
        <v>67.2</v>
      </c>
      <c r="BF111" s="1">
        <v>6.72</v>
      </c>
      <c r="BG111" s="1"/>
      <c r="BH111" s="1"/>
      <c r="BI111" s="1"/>
      <c r="BJ111" s="1"/>
      <c r="BK111" s="1"/>
      <c r="BL111" s="1"/>
      <c r="BM111" s="1"/>
      <c r="BN111" s="1"/>
      <c r="BO111" s="1" t="s">
        <v>2532</v>
      </c>
      <c r="BP111" s="1" t="s">
        <v>2533</v>
      </c>
      <c r="BQ111" s="1" t="s">
        <v>658</v>
      </c>
      <c r="BR111" s="1" t="s">
        <v>2534</v>
      </c>
      <c r="BS111" s="1">
        <v>9</v>
      </c>
      <c r="BT111" s="1" t="s">
        <v>2535</v>
      </c>
      <c r="BU111" s="1" t="str">
        <f>HYPERLINK("https://nconnect.nicmar.ac.in/storage/profile/ProfilePhoto_P25700092_346187.jpg","Download")</f>
        <v>0</v>
      </c>
      <c r="BV111" s="3"/>
      <c r="BW111" s="3"/>
    </row>
    <row r="112" spans="1:75">
      <c r="A112" s="1" t="s">
        <v>75</v>
      </c>
      <c r="B112" s="1" t="s">
        <v>446</v>
      </c>
      <c r="C112" s="1" t="s">
        <v>2536</v>
      </c>
      <c r="D112" s="1" t="s">
        <v>2537</v>
      </c>
      <c r="E112" s="1"/>
      <c r="F112" s="1" t="s">
        <v>2538</v>
      </c>
      <c r="G112" s="1" t="s">
        <v>2539</v>
      </c>
      <c r="H112" s="1" t="s">
        <v>2540</v>
      </c>
      <c r="I112" s="1" t="s">
        <v>2541</v>
      </c>
      <c r="J112" s="1">
        <v>9311490065</v>
      </c>
      <c r="K112" s="1" t="s">
        <v>84</v>
      </c>
      <c r="L112" s="1" t="s">
        <v>2542</v>
      </c>
      <c r="M112" s="1" t="s">
        <v>86</v>
      </c>
      <c r="N112" s="1" t="s">
        <v>2543</v>
      </c>
      <c r="O112" s="1"/>
      <c r="P112" s="1" t="s">
        <v>507</v>
      </c>
      <c r="Q112" s="1" t="s">
        <v>2544</v>
      </c>
      <c r="R112" s="1" t="s">
        <v>2545</v>
      </c>
      <c r="S112" s="1">
        <v>9314012773</v>
      </c>
      <c r="T112" s="1" t="s">
        <v>926</v>
      </c>
      <c r="U112" s="1" t="s">
        <v>2546</v>
      </c>
      <c r="V112" s="1">
        <v>9414012773</v>
      </c>
      <c r="W112" s="1" t="s">
        <v>2547</v>
      </c>
      <c r="X112" s="1" t="s">
        <v>2548</v>
      </c>
      <c r="Y112" s="1" t="s">
        <v>2549</v>
      </c>
      <c r="Z112" s="1" t="s">
        <v>1700</v>
      </c>
      <c r="AA112" s="1" t="s">
        <v>2548</v>
      </c>
      <c r="AB112" s="1" t="s">
        <v>2549</v>
      </c>
      <c r="AC112" s="1" t="s">
        <v>1700</v>
      </c>
      <c r="AD112" s="1">
        <v>8.15</v>
      </c>
      <c r="AE112" s="1" t="s">
        <v>98</v>
      </c>
      <c r="AF112" s="1" t="s">
        <v>2550</v>
      </c>
      <c r="AG112" s="1" t="s">
        <v>2551</v>
      </c>
      <c r="AH112" s="1" t="s">
        <v>704</v>
      </c>
      <c r="AI112" s="1" t="s">
        <v>286</v>
      </c>
      <c r="AJ112" s="1">
        <v>66.5</v>
      </c>
      <c r="AK112" s="1"/>
      <c r="AL112" s="1" t="s">
        <v>2552</v>
      </c>
      <c r="AM112" s="1" t="s">
        <v>312</v>
      </c>
      <c r="AN112" s="1"/>
      <c r="AO112" s="1" t="s">
        <v>414</v>
      </c>
      <c r="AP112" s="1" t="s">
        <v>603</v>
      </c>
      <c r="AQ112" s="1">
        <v>74.6</v>
      </c>
      <c r="AR112" s="1"/>
      <c r="AS112" s="1"/>
      <c r="AT112" s="1"/>
      <c r="AU112" s="1"/>
      <c r="AV112" s="1"/>
      <c r="AW112" s="1"/>
      <c r="AX112" s="1"/>
      <c r="AY112" s="1" t="s">
        <v>2553</v>
      </c>
      <c r="AZ112" s="1" t="s">
        <v>2554</v>
      </c>
      <c r="BA112" s="1"/>
      <c r="BB112" s="1"/>
      <c r="BC112" s="1" t="s">
        <v>890</v>
      </c>
      <c r="BD112" s="1" t="s">
        <v>1242</v>
      </c>
      <c r="BE112" s="1">
        <v>91.7</v>
      </c>
      <c r="BF112" s="1">
        <v>9.17</v>
      </c>
      <c r="BG112" s="1"/>
      <c r="BH112" s="1"/>
      <c r="BI112" s="1"/>
      <c r="BJ112" s="1"/>
      <c r="BK112" s="1"/>
      <c r="BL112" s="1"/>
      <c r="BM112" s="1"/>
      <c r="BN112" s="1"/>
      <c r="BO112" s="1" t="s">
        <v>2555</v>
      </c>
      <c r="BP112" s="1"/>
      <c r="BQ112" s="1"/>
      <c r="BR112" s="1" t="s">
        <v>2556</v>
      </c>
      <c r="BS112" s="1">
        <v>61</v>
      </c>
      <c r="BT112" s="1" t="s">
        <v>2557</v>
      </c>
      <c r="BU112" s="1" t="str">
        <f>HYPERLINK("https://nconnect.nicmar.ac.in/storage/profile/6a69f840ceab4.png","Download")</f>
        <v>0</v>
      </c>
      <c r="BV112" s="3"/>
      <c r="BW112" s="3"/>
    </row>
    <row r="113" spans="1:75">
      <c r="A113" s="1" t="s">
        <v>75</v>
      </c>
      <c r="B113" s="1" t="s">
        <v>446</v>
      </c>
      <c r="C113" s="1" t="s">
        <v>2558</v>
      </c>
      <c r="D113" s="1" t="s">
        <v>2559</v>
      </c>
      <c r="E113" s="1" t="s">
        <v>2560</v>
      </c>
      <c r="F113" s="1" t="s">
        <v>2561</v>
      </c>
      <c r="G113" s="1" t="s">
        <v>2562</v>
      </c>
      <c r="H113" s="1" t="s">
        <v>2563</v>
      </c>
      <c r="I113" s="1" t="s">
        <v>2564</v>
      </c>
      <c r="J113" s="1">
        <v>7020313041</v>
      </c>
      <c r="K113" s="1" t="s">
        <v>84</v>
      </c>
      <c r="L113" s="1" t="s">
        <v>2565</v>
      </c>
      <c r="M113" s="1" t="s">
        <v>86</v>
      </c>
      <c r="N113" s="1" t="s">
        <v>1163</v>
      </c>
      <c r="O113" s="1"/>
      <c r="P113" s="1" t="s">
        <v>455</v>
      </c>
      <c r="Q113" s="1" t="s">
        <v>2566</v>
      </c>
      <c r="R113" s="1" t="s">
        <v>2560</v>
      </c>
      <c r="S113" s="1">
        <v>9423076607</v>
      </c>
      <c r="T113" s="1" t="s">
        <v>839</v>
      </c>
      <c r="U113" s="1" t="s">
        <v>2567</v>
      </c>
      <c r="V113" s="1">
        <v>9405283841</v>
      </c>
      <c r="W113" s="1" t="s">
        <v>161</v>
      </c>
      <c r="X113" s="1" t="s">
        <v>2568</v>
      </c>
      <c r="Y113" s="1" t="s">
        <v>196</v>
      </c>
      <c r="Z113" s="1" t="s">
        <v>97</v>
      </c>
      <c r="AA113" s="1" t="s">
        <v>2569</v>
      </c>
      <c r="AB113" s="1" t="s">
        <v>1145</v>
      </c>
      <c r="AC113" s="1" t="s">
        <v>97</v>
      </c>
      <c r="AD113" s="1">
        <v>8.77</v>
      </c>
      <c r="AE113" s="1" t="s">
        <v>98</v>
      </c>
      <c r="AF113" s="1" t="s">
        <v>2570</v>
      </c>
      <c r="AG113" s="1" t="s">
        <v>2571</v>
      </c>
      <c r="AH113" s="1" t="s">
        <v>167</v>
      </c>
      <c r="AI113" s="1" t="s">
        <v>704</v>
      </c>
      <c r="AJ113" s="1">
        <v>95.4</v>
      </c>
      <c r="AK113" s="1"/>
      <c r="AL113" s="1" t="s">
        <v>2572</v>
      </c>
      <c r="AM113" s="1" t="s">
        <v>2573</v>
      </c>
      <c r="AN113" s="1" t="s">
        <v>465</v>
      </c>
      <c r="AO113" s="1" t="s">
        <v>106</v>
      </c>
      <c r="AP113" s="1" t="s">
        <v>313</v>
      </c>
      <c r="AQ113" s="1">
        <v>79.8</v>
      </c>
      <c r="AR113" s="1"/>
      <c r="AS113" s="1"/>
      <c r="AT113" s="1"/>
      <c r="AU113" s="1"/>
      <c r="AV113" s="1"/>
      <c r="AW113" s="1"/>
      <c r="AX113" s="1"/>
      <c r="AY113" s="1" t="s">
        <v>2574</v>
      </c>
      <c r="AZ113" s="1" t="s">
        <v>2574</v>
      </c>
      <c r="BA113" s="1" t="s">
        <v>466</v>
      </c>
      <c r="BB113" s="1" t="s">
        <v>467</v>
      </c>
      <c r="BC113" s="1" t="s">
        <v>206</v>
      </c>
      <c r="BD113" s="1" t="s">
        <v>234</v>
      </c>
      <c r="BE113" s="1">
        <v>75</v>
      </c>
      <c r="BF113" s="1">
        <v>8</v>
      </c>
      <c r="BG113" s="1"/>
      <c r="BH113" s="1"/>
      <c r="BI113" s="1"/>
      <c r="BJ113" s="1"/>
      <c r="BK113" s="1"/>
      <c r="BL113" s="1"/>
      <c r="BM113" s="1"/>
      <c r="BN113" s="1"/>
      <c r="BO113" s="1" t="s">
        <v>2575</v>
      </c>
      <c r="BP113" s="1" t="s">
        <v>2576</v>
      </c>
      <c r="BQ113" s="1" t="s">
        <v>2577</v>
      </c>
      <c r="BR113" s="1" t="s">
        <v>2578</v>
      </c>
      <c r="BS113" s="1">
        <v>8</v>
      </c>
      <c r="BT113" s="1" t="s">
        <v>2579</v>
      </c>
      <c r="BU113" s="1" t="str">
        <f>HYPERLINK("https://nconnect.nicmar.ac.in/storage/profile/ProfilePhoto_P25700094_172359.jpg","Download")</f>
        <v>0</v>
      </c>
      <c r="BV113" s="3"/>
      <c r="BW113" s="3"/>
    </row>
    <row r="114" spans="1:75">
      <c r="A114" s="1" t="s">
        <v>75</v>
      </c>
      <c r="B114" s="1" t="s">
        <v>446</v>
      </c>
      <c r="C114" s="1" t="s">
        <v>2580</v>
      </c>
      <c r="D114" s="1" t="s">
        <v>2581</v>
      </c>
      <c r="E114" s="1"/>
      <c r="F114" s="1" t="s">
        <v>1361</v>
      </c>
      <c r="G114" s="1" t="s">
        <v>2582</v>
      </c>
      <c r="H114" s="1" t="s">
        <v>2583</v>
      </c>
      <c r="I114" s="1" t="s">
        <v>2584</v>
      </c>
      <c r="J114" s="1">
        <v>9526322039</v>
      </c>
      <c r="K114" s="1" t="s">
        <v>84</v>
      </c>
      <c r="L114" s="1" t="s">
        <v>2585</v>
      </c>
      <c r="M114" s="1" t="s">
        <v>86</v>
      </c>
      <c r="N114" s="1" t="s">
        <v>121</v>
      </c>
      <c r="O114" s="1"/>
      <c r="P114" s="1" t="s">
        <v>507</v>
      </c>
      <c r="Q114" s="1" t="s">
        <v>2586</v>
      </c>
      <c r="R114" s="1" t="s">
        <v>2587</v>
      </c>
      <c r="S114" s="1">
        <v>9946333362</v>
      </c>
      <c r="T114" s="1" t="s">
        <v>2588</v>
      </c>
      <c r="U114" s="1" t="s">
        <v>2589</v>
      </c>
      <c r="V114" s="1">
        <v>9526644881</v>
      </c>
      <c r="W114" s="1" t="s">
        <v>278</v>
      </c>
      <c r="X114" s="1" t="s">
        <v>2590</v>
      </c>
      <c r="Y114" s="1" t="s">
        <v>1307</v>
      </c>
      <c r="Z114" s="1" t="s">
        <v>130</v>
      </c>
      <c r="AA114" s="1" t="s">
        <v>2590</v>
      </c>
      <c r="AB114" s="1" t="s">
        <v>1307</v>
      </c>
      <c r="AC114" s="1" t="s">
        <v>130</v>
      </c>
      <c r="AD114" s="1" t="s">
        <v>98</v>
      </c>
      <c r="AE114" s="1" t="s">
        <v>98</v>
      </c>
      <c r="AF114" s="1" t="s">
        <v>2591</v>
      </c>
      <c r="AG114" s="1" t="s">
        <v>2592</v>
      </c>
      <c r="AH114" s="1" t="s">
        <v>166</v>
      </c>
      <c r="AI114" s="1" t="s">
        <v>627</v>
      </c>
      <c r="AJ114" s="1">
        <v>89.3</v>
      </c>
      <c r="AK114" s="1">
        <v>9.4</v>
      </c>
      <c r="AL114" s="1" t="s">
        <v>2591</v>
      </c>
      <c r="AM114" s="1" t="s">
        <v>2593</v>
      </c>
      <c r="AN114" s="1"/>
      <c r="AO114" s="1" t="s">
        <v>170</v>
      </c>
      <c r="AP114" s="1" t="s">
        <v>171</v>
      </c>
      <c r="AQ114" s="1">
        <v>65</v>
      </c>
      <c r="AR114" s="1"/>
      <c r="AS114" s="1"/>
      <c r="AT114" s="1"/>
      <c r="AU114" s="1"/>
      <c r="AV114" s="1"/>
      <c r="AW114" s="1"/>
      <c r="AX114" s="1"/>
      <c r="AY114" s="1" t="s">
        <v>137</v>
      </c>
      <c r="AZ114" s="1" t="s">
        <v>2594</v>
      </c>
      <c r="BA114" s="1"/>
      <c r="BB114" s="1"/>
      <c r="BC114" s="1" t="s">
        <v>1065</v>
      </c>
      <c r="BD114" s="1" t="s">
        <v>579</v>
      </c>
      <c r="BE114" s="1">
        <v>70</v>
      </c>
      <c r="BF114" s="1">
        <v>7</v>
      </c>
      <c r="BG114" s="1"/>
      <c r="BH114" s="1"/>
      <c r="BI114" s="1"/>
      <c r="BJ114" s="1"/>
      <c r="BK114" s="1"/>
      <c r="BL114" s="1"/>
      <c r="BM114" s="1"/>
      <c r="BN114" s="1"/>
      <c r="BO114" s="1" t="s">
        <v>2595</v>
      </c>
      <c r="BP114" s="1" t="s">
        <v>2596</v>
      </c>
      <c r="BQ114" s="1" t="s">
        <v>1564</v>
      </c>
      <c r="BR114" s="1" t="s">
        <v>2597</v>
      </c>
      <c r="BS114" s="1">
        <v>59</v>
      </c>
      <c r="BT114" s="1"/>
      <c r="BU114" s="1" t="str">
        <f>HYPERLINK("https://nconnect.nicmar.ac.in/storage/profile/ProfilePhoto_P25700095_258476.jpg","Download")</f>
        <v>0</v>
      </c>
      <c r="BV114" s="3"/>
      <c r="BW114" s="3"/>
    </row>
    <row r="115" spans="1:75">
      <c r="A115" s="1" t="s">
        <v>75</v>
      </c>
      <c r="B115" s="1" t="s">
        <v>446</v>
      </c>
      <c r="C115" s="1" t="s">
        <v>2598</v>
      </c>
      <c r="D115" s="1" t="s">
        <v>2599</v>
      </c>
      <c r="E115" s="1"/>
      <c r="F115" s="1" t="s">
        <v>961</v>
      </c>
      <c r="G115" s="1" t="s">
        <v>2600</v>
      </c>
      <c r="H115" s="1" t="s">
        <v>2601</v>
      </c>
      <c r="I115" s="1" t="s">
        <v>2602</v>
      </c>
      <c r="J115" s="1">
        <v>9418593000</v>
      </c>
      <c r="K115" s="1" t="s">
        <v>84</v>
      </c>
      <c r="L115" s="1" t="s">
        <v>1812</v>
      </c>
      <c r="M115" s="1" t="s">
        <v>86</v>
      </c>
      <c r="N115" s="1" t="s">
        <v>379</v>
      </c>
      <c r="O115" s="1"/>
      <c r="P115" s="1" t="s">
        <v>1028</v>
      </c>
      <c r="Q115" s="1" t="s">
        <v>2603</v>
      </c>
      <c r="R115" s="1" t="s">
        <v>2604</v>
      </c>
      <c r="S115" s="1">
        <v>9816344216</v>
      </c>
      <c r="T115" s="1" t="s">
        <v>1495</v>
      </c>
      <c r="U115" s="1" t="s">
        <v>2605</v>
      </c>
      <c r="V115" s="1">
        <v>9418102501</v>
      </c>
      <c r="W115" s="1" t="s">
        <v>127</v>
      </c>
      <c r="X115" s="1" t="s">
        <v>2606</v>
      </c>
      <c r="Y115" s="1" t="s">
        <v>2607</v>
      </c>
      <c r="Z115" s="1" t="s">
        <v>2608</v>
      </c>
      <c r="AA115" s="1" t="s">
        <v>2606</v>
      </c>
      <c r="AB115" s="1" t="s">
        <v>2607</v>
      </c>
      <c r="AC115" s="1" t="s">
        <v>2608</v>
      </c>
      <c r="AD115" s="1">
        <v>8.62</v>
      </c>
      <c r="AE115" s="1" t="s">
        <v>98</v>
      </c>
      <c r="AF115" s="1" t="s">
        <v>2609</v>
      </c>
      <c r="AG115" s="1" t="s">
        <v>2610</v>
      </c>
      <c r="AH115" s="1" t="s">
        <v>2611</v>
      </c>
      <c r="AI115" s="1" t="s">
        <v>414</v>
      </c>
      <c r="AJ115" s="1">
        <v>90.8</v>
      </c>
      <c r="AK115" s="1"/>
      <c r="AL115" s="1" t="s">
        <v>2612</v>
      </c>
      <c r="AM115" s="1" t="s">
        <v>2613</v>
      </c>
      <c r="AN115" s="1" t="s">
        <v>465</v>
      </c>
      <c r="AO115" s="1" t="s">
        <v>547</v>
      </c>
      <c r="AP115" s="1" t="s">
        <v>1192</v>
      </c>
      <c r="AQ115" s="1">
        <v>90</v>
      </c>
      <c r="AR115" s="1"/>
      <c r="AS115" s="1"/>
      <c r="AT115" s="1"/>
      <c r="AU115" s="1"/>
      <c r="AV115" s="1"/>
      <c r="AW115" s="1"/>
      <c r="AX115" s="1"/>
      <c r="AY115" s="1" t="s">
        <v>2614</v>
      </c>
      <c r="AZ115" s="1" t="s">
        <v>2615</v>
      </c>
      <c r="BA115" s="1" t="s">
        <v>466</v>
      </c>
      <c r="BB115" s="1" t="s">
        <v>467</v>
      </c>
      <c r="BC115" s="1" t="s">
        <v>847</v>
      </c>
      <c r="BD115" s="1" t="s">
        <v>553</v>
      </c>
      <c r="BE115" s="1">
        <v>87.6</v>
      </c>
      <c r="BF115" s="1">
        <v>8.76</v>
      </c>
      <c r="BG115" s="1"/>
      <c r="BH115" s="1"/>
      <c r="BI115" s="1"/>
      <c r="BJ115" s="1"/>
      <c r="BK115" s="1"/>
      <c r="BL115" s="1"/>
      <c r="BM115" s="1"/>
      <c r="BN115" s="1"/>
      <c r="BO115" s="1" t="s">
        <v>2616</v>
      </c>
      <c r="BP115" s="1"/>
      <c r="BQ115" s="1"/>
      <c r="BR115" s="1" t="s">
        <v>2617</v>
      </c>
      <c r="BS115" s="1">
        <v>12</v>
      </c>
      <c r="BT115" s="1" t="s">
        <v>2618</v>
      </c>
      <c r="BU115" s="1" t="str">
        <f>HYPERLINK("https://nconnect.nicmar.ac.in/storage/profile/6a665bbd8e653.png","Download")</f>
        <v>0</v>
      </c>
      <c r="BV115" s="3"/>
      <c r="BW115" s="4">
        <v>1</v>
      </c>
    </row>
    <row r="116" spans="1:75">
      <c r="A116" s="1" t="s">
        <v>75</v>
      </c>
      <c r="B116" s="1" t="s">
        <v>446</v>
      </c>
      <c r="C116" s="1" t="s">
        <v>2619</v>
      </c>
      <c r="D116" s="1" t="s">
        <v>2620</v>
      </c>
      <c r="E116" s="1" t="s">
        <v>2621</v>
      </c>
      <c r="F116" s="1" t="s">
        <v>2622</v>
      </c>
      <c r="G116" s="1" t="s">
        <v>2623</v>
      </c>
      <c r="H116" s="1" t="s">
        <v>2624</v>
      </c>
      <c r="I116" s="1" t="s">
        <v>2625</v>
      </c>
      <c r="J116" s="1">
        <v>6309591204</v>
      </c>
      <c r="K116" s="1" t="s">
        <v>84</v>
      </c>
      <c r="L116" s="1" t="s">
        <v>2626</v>
      </c>
      <c r="M116" s="1" t="s">
        <v>86</v>
      </c>
      <c r="N116" s="1" t="s">
        <v>2627</v>
      </c>
      <c r="O116" s="1"/>
      <c r="P116" s="1" t="s">
        <v>455</v>
      </c>
      <c r="Q116" s="1" t="s">
        <v>2628</v>
      </c>
      <c r="R116" s="1" t="s">
        <v>2629</v>
      </c>
      <c r="S116" s="1">
        <v>8919042728</v>
      </c>
      <c r="T116" s="1" t="s">
        <v>1964</v>
      </c>
      <c r="U116" s="1" t="s">
        <v>2630</v>
      </c>
      <c r="V116" s="1">
        <v>8919042728</v>
      </c>
      <c r="W116" s="1" t="s">
        <v>278</v>
      </c>
      <c r="X116" s="1" t="s">
        <v>2631</v>
      </c>
      <c r="Y116" s="1" t="s">
        <v>2632</v>
      </c>
      <c r="Z116" s="1" t="s">
        <v>461</v>
      </c>
      <c r="AA116" s="1" t="s">
        <v>2631</v>
      </c>
      <c r="AB116" s="1" t="s">
        <v>2632</v>
      </c>
      <c r="AC116" s="1" t="s">
        <v>461</v>
      </c>
      <c r="AD116" s="1">
        <v>9.46</v>
      </c>
      <c r="AE116" s="1" t="s">
        <v>98</v>
      </c>
      <c r="AF116" s="1" t="s">
        <v>2633</v>
      </c>
      <c r="AG116" s="1" t="s">
        <v>2634</v>
      </c>
      <c r="AH116" s="1" t="s">
        <v>170</v>
      </c>
      <c r="AI116" s="1" t="s">
        <v>286</v>
      </c>
      <c r="AJ116" s="1">
        <v>87</v>
      </c>
      <c r="AK116" s="1">
        <v>8.7</v>
      </c>
      <c r="AL116" s="1"/>
      <c r="AM116" s="1"/>
      <c r="AN116" s="1" t="s">
        <v>2635</v>
      </c>
      <c r="AO116" s="1"/>
      <c r="AP116" s="1"/>
      <c r="AQ116" s="1"/>
      <c r="AR116" s="1"/>
      <c r="AS116" s="1" t="s">
        <v>439</v>
      </c>
      <c r="AT116" s="1" t="s">
        <v>2636</v>
      </c>
      <c r="AU116" s="1" t="s">
        <v>106</v>
      </c>
      <c r="AV116" s="1" t="s">
        <v>1192</v>
      </c>
      <c r="AW116" s="1">
        <v>92.5</v>
      </c>
      <c r="AX116" s="1">
        <v>9.75</v>
      </c>
      <c r="AY116" s="1" t="s">
        <v>1823</v>
      </c>
      <c r="AZ116" s="1" t="s">
        <v>2636</v>
      </c>
      <c r="BA116" s="1" t="s">
        <v>466</v>
      </c>
      <c r="BB116" s="1" t="s">
        <v>467</v>
      </c>
      <c r="BC116" s="1" t="s">
        <v>847</v>
      </c>
      <c r="BD116" s="1" t="s">
        <v>207</v>
      </c>
      <c r="BE116" s="1">
        <v>75.7</v>
      </c>
      <c r="BF116" s="1">
        <v>8.07</v>
      </c>
      <c r="BG116" s="1"/>
      <c r="BH116" s="1"/>
      <c r="BI116" s="1"/>
      <c r="BJ116" s="1"/>
      <c r="BK116" s="1"/>
      <c r="BL116" s="1"/>
      <c r="BM116" s="1"/>
      <c r="BN116" s="1"/>
      <c r="BO116" s="1" t="s">
        <v>2637</v>
      </c>
      <c r="BP116" s="1"/>
      <c r="BQ116" s="1"/>
      <c r="BR116" s="1" t="s">
        <v>2638</v>
      </c>
      <c r="BS116" s="1">
        <v>24</v>
      </c>
      <c r="BT116" s="1"/>
      <c r="BU116" s="1" t="str">
        <f>HYPERLINK("https://nconnect.nicmar.ac.in/storage/profile/ProfilePhoto_P25700098_621459.jpg","Download")</f>
        <v>0</v>
      </c>
      <c r="BV116" s="3"/>
      <c r="BW116" s="3"/>
    </row>
    <row r="117" spans="1:75">
      <c r="A117" s="1" t="s">
        <v>75</v>
      </c>
      <c r="B117" s="1" t="s">
        <v>446</v>
      </c>
      <c r="C117" s="1" t="s">
        <v>2639</v>
      </c>
      <c r="D117" s="1" t="s">
        <v>2640</v>
      </c>
      <c r="E117" s="1"/>
      <c r="F117" s="1" t="s">
        <v>2641</v>
      </c>
      <c r="G117" s="1" t="s">
        <v>2642</v>
      </c>
      <c r="H117" s="1" t="s">
        <v>2643</v>
      </c>
      <c r="I117" s="1" t="s">
        <v>2644</v>
      </c>
      <c r="J117" s="1">
        <v>9666532175</v>
      </c>
      <c r="K117" s="1" t="s">
        <v>84</v>
      </c>
      <c r="L117" s="1" t="s">
        <v>2645</v>
      </c>
      <c r="M117" s="1" t="s">
        <v>86</v>
      </c>
      <c r="N117" s="1" t="s">
        <v>2646</v>
      </c>
      <c r="O117" s="1"/>
      <c r="P117" s="1" t="s">
        <v>481</v>
      </c>
      <c r="Q117" s="1" t="s">
        <v>2647</v>
      </c>
      <c r="R117" s="1" t="s">
        <v>2648</v>
      </c>
      <c r="S117" s="1">
        <v>9948600153</v>
      </c>
      <c r="T117" s="1" t="s">
        <v>2649</v>
      </c>
      <c r="U117" s="1" t="s">
        <v>2650</v>
      </c>
      <c r="V117" s="1">
        <v>9502920289</v>
      </c>
      <c r="W117" s="1" t="s">
        <v>278</v>
      </c>
      <c r="X117" s="1" t="s">
        <v>2651</v>
      </c>
      <c r="Y117" s="1" t="s">
        <v>2652</v>
      </c>
      <c r="Z117" s="1" t="s">
        <v>281</v>
      </c>
      <c r="AA117" s="1" t="s">
        <v>2651</v>
      </c>
      <c r="AB117" s="1" t="s">
        <v>2652</v>
      </c>
      <c r="AC117" s="1" t="s">
        <v>281</v>
      </c>
      <c r="AD117" s="1">
        <v>8.1</v>
      </c>
      <c r="AE117" s="1" t="s">
        <v>98</v>
      </c>
      <c r="AF117" s="1" t="s">
        <v>2653</v>
      </c>
      <c r="AG117" s="1" t="s">
        <v>1418</v>
      </c>
      <c r="AH117" s="1" t="s">
        <v>106</v>
      </c>
      <c r="AI117" s="1" t="s">
        <v>414</v>
      </c>
      <c r="AJ117" s="1">
        <v>98</v>
      </c>
      <c r="AK117" s="1">
        <v>9.8</v>
      </c>
      <c r="AL117" s="1" t="s">
        <v>1843</v>
      </c>
      <c r="AM117" s="1" t="s">
        <v>1420</v>
      </c>
      <c r="AN117" s="1"/>
      <c r="AO117" s="1" t="s">
        <v>438</v>
      </c>
      <c r="AP117" s="1" t="s">
        <v>1192</v>
      </c>
      <c r="AQ117" s="1">
        <v>92.8</v>
      </c>
      <c r="AR117" s="1">
        <v>0</v>
      </c>
      <c r="AS117" s="1"/>
      <c r="AT117" s="1"/>
      <c r="AU117" s="1"/>
      <c r="AV117" s="1"/>
      <c r="AW117" s="1"/>
      <c r="AX117" s="1"/>
      <c r="AY117" s="1" t="s">
        <v>2654</v>
      </c>
      <c r="AZ117" s="1" t="s">
        <v>2655</v>
      </c>
      <c r="BA117" s="1"/>
      <c r="BB117" s="1"/>
      <c r="BC117" s="1" t="s">
        <v>847</v>
      </c>
      <c r="BD117" s="1" t="s">
        <v>607</v>
      </c>
      <c r="BE117" s="1">
        <v>68.7</v>
      </c>
      <c r="BF117" s="1">
        <v>7.62</v>
      </c>
      <c r="BG117" s="1"/>
      <c r="BH117" s="1"/>
      <c r="BI117" s="1"/>
      <c r="BJ117" s="1"/>
      <c r="BK117" s="1"/>
      <c r="BL117" s="1"/>
      <c r="BM117" s="1"/>
      <c r="BN117" s="1"/>
      <c r="BO117" s="1" t="s">
        <v>2656</v>
      </c>
      <c r="BP117" s="1"/>
      <c r="BQ117" s="1"/>
      <c r="BR117" s="1" t="s">
        <v>2657</v>
      </c>
      <c r="BS117" s="1">
        <v>52</v>
      </c>
      <c r="BT117" s="1"/>
      <c r="BU117" s="1" t="str">
        <f>HYPERLINK("https://nconnect.nicmar.ac.in/storage/profile/ProfilePhoto_P25700099_561739.jpg","Download")</f>
        <v>0</v>
      </c>
      <c r="BV117" s="3"/>
      <c r="BW117" s="3"/>
    </row>
    <row r="118" spans="1:75">
      <c r="A118" s="1" t="s">
        <v>75</v>
      </c>
      <c r="B118" s="1" t="s">
        <v>446</v>
      </c>
      <c r="C118" s="1" t="s">
        <v>2658</v>
      </c>
      <c r="D118" s="1" t="s">
        <v>2659</v>
      </c>
      <c r="E118" s="1" t="s">
        <v>1963</v>
      </c>
      <c r="F118" s="1" t="s">
        <v>2660</v>
      </c>
      <c r="G118" s="1" t="s">
        <v>2661</v>
      </c>
      <c r="H118" s="1" t="s">
        <v>2662</v>
      </c>
      <c r="I118" s="1" t="s">
        <v>2663</v>
      </c>
      <c r="J118" s="1">
        <v>8600645914</v>
      </c>
      <c r="K118" s="1" t="s">
        <v>84</v>
      </c>
      <c r="L118" s="1" t="s">
        <v>2664</v>
      </c>
      <c r="M118" s="1" t="s">
        <v>86</v>
      </c>
      <c r="N118" s="1" t="s">
        <v>1163</v>
      </c>
      <c r="O118" s="1"/>
      <c r="P118" s="1" t="s">
        <v>455</v>
      </c>
      <c r="Q118" s="1" t="s">
        <v>2665</v>
      </c>
      <c r="R118" s="1" t="s">
        <v>1963</v>
      </c>
      <c r="S118" s="1">
        <v>9422558314</v>
      </c>
      <c r="T118" s="1" t="s">
        <v>159</v>
      </c>
      <c r="U118" s="1" t="s">
        <v>2666</v>
      </c>
      <c r="V118" s="1">
        <v>9767415214</v>
      </c>
      <c r="W118" s="1" t="s">
        <v>161</v>
      </c>
      <c r="X118" s="1" t="s">
        <v>2667</v>
      </c>
      <c r="Y118" s="1" t="s">
        <v>2668</v>
      </c>
      <c r="Z118" s="1" t="s">
        <v>97</v>
      </c>
      <c r="AA118" s="1" t="s">
        <v>2667</v>
      </c>
      <c r="AB118" s="1" t="s">
        <v>2668</v>
      </c>
      <c r="AC118" s="1" t="s">
        <v>97</v>
      </c>
      <c r="AD118" s="1">
        <v>8.26</v>
      </c>
      <c r="AE118" s="1" t="s">
        <v>98</v>
      </c>
      <c r="AF118" s="1" t="s">
        <v>2669</v>
      </c>
      <c r="AG118" s="1" t="s">
        <v>2670</v>
      </c>
      <c r="AH118" s="1" t="s">
        <v>200</v>
      </c>
      <c r="AI118" s="1" t="s">
        <v>286</v>
      </c>
      <c r="AJ118" s="1">
        <v>64.6</v>
      </c>
      <c r="AK118" s="1"/>
      <c r="AL118" s="1"/>
      <c r="AM118" s="1"/>
      <c r="AN118" s="1"/>
      <c r="AO118" s="1"/>
      <c r="AP118" s="1"/>
      <c r="AQ118" s="1"/>
      <c r="AR118" s="1"/>
      <c r="AS118" s="1" t="s">
        <v>439</v>
      </c>
      <c r="AT118" s="1" t="s">
        <v>2671</v>
      </c>
      <c r="AU118" s="1" t="s">
        <v>1065</v>
      </c>
      <c r="AV118" s="1" t="s">
        <v>441</v>
      </c>
      <c r="AW118" s="1">
        <v>88.37</v>
      </c>
      <c r="AX118" s="1"/>
      <c r="AY118" s="1" t="s">
        <v>1887</v>
      </c>
      <c r="AZ118" s="1" t="s">
        <v>2672</v>
      </c>
      <c r="BA118" s="1" t="s">
        <v>466</v>
      </c>
      <c r="BB118" s="1" t="s">
        <v>467</v>
      </c>
      <c r="BC118" s="1" t="s">
        <v>552</v>
      </c>
      <c r="BD118" s="1" t="s">
        <v>207</v>
      </c>
      <c r="BE118" s="1">
        <v>70.03</v>
      </c>
      <c r="BF118" s="1">
        <v>7.03</v>
      </c>
      <c r="BG118" s="1"/>
      <c r="BH118" s="1"/>
      <c r="BI118" s="1"/>
      <c r="BJ118" s="1"/>
      <c r="BK118" s="1"/>
      <c r="BL118" s="1"/>
      <c r="BM118" s="1"/>
      <c r="BN118" s="1"/>
      <c r="BO118" s="1" t="s">
        <v>2673</v>
      </c>
      <c r="BP118" s="1" t="s">
        <v>2674</v>
      </c>
      <c r="BQ118" s="1" t="s">
        <v>658</v>
      </c>
      <c r="BR118" s="1" t="s">
        <v>2675</v>
      </c>
      <c r="BS118" s="1">
        <v>12</v>
      </c>
      <c r="BT118" s="1" t="s">
        <v>2676</v>
      </c>
      <c r="BU118" s="1" t="str">
        <f>HYPERLINK("https://nconnect.nicmar.ac.in/storage/profile/ProfilePhoto_P25700100_631259.jpg","Download")</f>
        <v>0</v>
      </c>
      <c r="BV118" s="3"/>
      <c r="BW118" s="3"/>
    </row>
    <row r="119" spans="1:75">
      <c r="A119" s="1" t="s">
        <v>75</v>
      </c>
      <c r="B119" s="1" t="s">
        <v>446</v>
      </c>
      <c r="C119" s="1" t="s">
        <v>2677</v>
      </c>
      <c r="D119" s="1" t="s">
        <v>2678</v>
      </c>
      <c r="E119" s="1" t="s">
        <v>1136</v>
      </c>
      <c r="F119" s="1" t="s">
        <v>2679</v>
      </c>
      <c r="G119" s="1" t="s">
        <v>2680</v>
      </c>
      <c r="H119" s="1" t="s">
        <v>2681</v>
      </c>
      <c r="I119" s="1" t="s">
        <v>2682</v>
      </c>
      <c r="J119" s="1">
        <v>9022806743</v>
      </c>
      <c r="K119" s="1" t="s">
        <v>84</v>
      </c>
      <c r="L119" s="1" t="s">
        <v>2683</v>
      </c>
      <c r="M119" s="1" t="s">
        <v>86</v>
      </c>
      <c r="N119" s="1" t="s">
        <v>156</v>
      </c>
      <c r="O119" s="1"/>
      <c r="P119" s="1" t="s">
        <v>2684</v>
      </c>
      <c r="Q119" s="1" t="s">
        <v>2685</v>
      </c>
      <c r="R119" s="1" t="s">
        <v>2686</v>
      </c>
      <c r="S119" s="1">
        <v>8087894240</v>
      </c>
      <c r="T119" s="1" t="s">
        <v>839</v>
      </c>
      <c r="U119" s="1" t="s">
        <v>2687</v>
      </c>
      <c r="V119" s="1">
        <v>9420484422</v>
      </c>
      <c r="W119" s="1" t="s">
        <v>161</v>
      </c>
      <c r="X119" s="1" t="s">
        <v>2688</v>
      </c>
      <c r="Y119" s="1" t="s">
        <v>910</v>
      </c>
      <c r="Z119" s="1" t="s">
        <v>97</v>
      </c>
      <c r="AA119" s="1" t="s">
        <v>2688</v>
      </c>
      <c r="AB119" s="1" t="s">
        <v>910</v>
      </c>
      <c r="AC119" s="1" t="s">
        <v>97</v>
      </c>
      <c r="AD119" s="1">
        <v>8.72</v>
      </c>
      <c r="AE119" s="1" t="s">
        <v>98</v>
      </c>
      <c r="AF119" s="1" t="s">
        <v>2689</v>
      </c>
      <c r="AG119" s="1" t="s">
        <v>165</v>
      </c>
      <c r="AH119" s="1" t="s">
        <v>286</v>
      </c>
      <c r="AI119" s="1" t="s">
        <v>414</v>
      </c>
      <c r="AJ119" s="1">
        <v>82</v>
      </c>
      <c r="AK119" s="1"/>
      <c r="AL119" s="1"/>
      <c r="AM119" s="1"/>
      <c r="AN119" s="1" t="s">
        <v>1062</v>
      </c>
      <c r="AO119" s="1"/>
      <c r="AP119" s="1"/>
      <c r="AQ119" s="1"/>
      <c r="AR119" s="1"/>
      <c r="AS119" s="1" t="s">
        <v>103</v>
      </c>
      <c r="AT119" s="1" t="s">
        <v>2690</v>
      </c>
      <c r="AU119" s="1" t="s">
        <v>315</v>
      </c>
      <c r="AV119" s="1" t="s">
        <v>1400</v>
      </c>
      <c r="AW119" s="1">
        <v>83.63</v>
      </c>
      <c r="AX119" s="1"/>
      <c r="AY119" s="1" t="s">
        <v>366</v>
      </c>
      <c r="AZ119" s="1" t="s">
        <v>2691</v>
      </c>
      <c r="BA119" s="1" t="s">
        <v>578</v>
      </c>
      <c r="BB119" s="1" t="s">
        <v>467</v>
      </c>
      <c r="BC119" s="1" t="s">
        <v>1802</v>
      </c>
      <c r="BD119" s="1" t="s">
        <v>848</v>
      </c>
      <c r="BE119" s="1">
        <v>70.5</v>
      </c>
      <c r="BF119" s="1">
        <v>7.8</v>
      </c>
      <c r="BG119" s="1"/>
      <c r="BH119" s="1"/>
      <c r="BI119" s="1"/>
      <c r="BJ119" s="1"/>
      <c r="BK119" s="1"/>
      <c r="BL119" s="1"/>
      <c r="BM119" s="1"/>
      <c r="BN119" s="1"/>
      <c r="BO119" s="1" t="s">
        <v>369</v>
      </c>
      <c r="BP119" s="1"/>
      <c r="BQ119" s="1"/>
      <c r="BR119" s="1" t="s">
        <v>2692</v>
      </c>
      <c r="BS119" s="1">
        <v>14</v>
      </c>
      <c r="BT119" s="1" t="s">
        <v>2693</v>
      </c>
      <c r="BU119" s="1" t="str">
        <f>HYPERLINK("https://nconnect.nicmar.ac.in/storage/profile/ProfilePhoto_P25700101_136785.jpg","Download")</f>
        <v>0</v>
      </c>
      <c r="BV119" s="3"/>
      <c r="BW119" s="4">
        <v>1</v>
      </c>
    </row>
    <row r="120" spans="1:75">
      <c r="A120" s="1" t="s">
        <v>75</v>
      </c>
      <c r="B120" s="1" t="s">
        <v>446</v>
      </c>
      <c r="C120" s="1" t="s">
        <v>2694</v>
      </c>
      <c r="D120" s="1" t="s">
        <v>2620</v>
      </c>
      <c r="E120" s="1" t="s">
        <v>812</v>
      </c>
      <c r="F120" s="1" t="s">
        <v>116</v>
      </c>
      <c r="G120" s="1" t="s">
        <v>2695</v>
      </c>
      <c r="H120" s="1" t="s">
        <v>2696</v>
      </c>
      <c r="I120" s="1" t="s">
        <v>2697</v>
      </c>
      <c r="J120" s="1">
        <v>9526316048</v>
      </c>
      <c r="K120" s="1" t="s">
        <v>84</v>
      </c>
      <c r="L120" s="1" t="s">
        <v>2698</v>
      </c>
      <c r="M120" s="1" t="s">
        <v>86</v>
      </c>
      <c r="N120" s="1" t="s">
        <v>2699</v>
      </c>
      <c r="O120" s="1"/>
      <c r="P120" s="1" t="s">
        <v>2021</v>
      </c>
      <c r="Q120" s="1" t="s">
        <v>2700</v>
      </c>
      <c r="R120" s="1" t="s">
        <v>2701</v>
      </c>
      <c r="S120" s="1">
        <v>9446570916</v>
      </c>
      <c r="T120" s="1" t="s">
        <v>2702</v>
      </c>
      <c r="U120" s="1" t="s">
        <v>2703</v>
      </c>
      <c r="V120" s="1">
        <v>9446330916</v>
      </c>
      <c r="W120" s="1" t="s">
        <v>2704</v>
      </c>
      <c r="X120" s="1" t="s">
        <v>2705</v>
      </c>
      <c r="Y120" s="1" t="s">
        <v>1307</v>
      </c>
      <c r="Z120" s="1" t="s">
        <v>130</v>
      </c>
      <c r="AA120" s="1" t="s">
        <v>2705</v>
      </c>
      <c r="AB120" s="1" t="s">
        <v>1307</v>
      </c>
      <c r="AC120" s="1" t="s">
        <v>130</v>
      </c>
      <c r="AD120" s="1">
        <v>8.72</v>
      </c>
      <c r="AE120" s="1" t="s">
        <v>98</v>
      </c>
      <c r="AF120" s="1" t="s">
        <v>2706</v>
      </c>
      <c r="AG120" s="1" t="s">
        <v>312</v>
      </c>
      <c r="AH120" s="1" t="s">
        <v>170</v>
      </c>
      <c r="AI120" s="1" t="s">
        <v>171</v>
      </c>
      <c r="AJ120" s="1">
        <v>87.8</v>
      </c>
      <c r="AK120" s="1"/>
      <c r="AL120" s="1" t="s">
        <v>2707</v>
      </c>
      <c r="AM120" s="1" t="s">
        <v>2708</v>
      </c>
      <c r="AN120" s="1" t="s">
        <v>575</v>
      </c>
      <c r="AO120" s="1" t="s">
        <v>438</v>
      </c>
      <c r="AP120" s="1" t="s">
        <v>178</v>
      </c>
      <c r="AQ120" s="1">
        <v>81.5</v>
      </c>
      <c r="AR120" s="1"/>
      <c r="AS120" s="1"/>
      <c r="AT120" s="1"/>
      <c r="AU120" s="1"/>
      <c r="AV120" s="1"/>
      <c r="AW120" s="1"/>
      <c r="AX120" s="1"/>
      <c r="AY120" s="1" t="s">
        <v>137</v>
      </c>
      <c r="AZ120" s="1" t="s">
        <v>2709</v>
      </c>
      <c r="BA120" s="1" t="s">
        <v>466</v>
      </c>
      <c r="BB120" s="1" t="s">
        <v>467</v>
      </c>
      <c r="BC120" s="1" t="s">
        <v>1647</v>
      </c>
      <c r="BD120" s="1" t="s">
        <v>207</v>
      </c>
      <c r="BE120" s="1">
        <v>74.6</v>
      </c>
      <c r="BF120" s="1">
        <v>7.46</v>
      </c>
      <c r="BG120" s="1"/>
      <c r="BH120" s="1"/>
      <c r="BI120" s="1"/>
      <c r="BJ120" s="1"/>
      <c r="BK120" s="1"/>
      <c r="BL120" s="1"/>
      <c r="BM120" s="1"/>
      <c r="BN120" s="1"/>
      <c r="BO120" s="1" t="s">
        <v>1114</v>
      </c>
      <c r="BP120" s="1" t="s">
        <v>2710</v>
      </c>
      <c r="BQ120" s="1" t="s">
        <v>2093</v>
      </c>
      <c r="BR120" s="1" t="s">
        <v>2711</v>
      </c>
      <c r="BS120" s="1">
        <v>10</v>
      </c>
      <c r="BT120" s="1"/>
      <c r="BU120" s="1" t="str">
        <f>HYPERLINK("https://nconnect.nicmar.ac.in/storage/profile/ProfilePhoto_P25700103_548732.jpg","Download")</f>
        <v>0</v>
      </c>
      <c r="BV120" s="3"/>
      <c r="BW120" s="4">
        <v>1</v>
      </c>
    </row>
    <row r="121" spans="1:75">
      <c r="A121" s="1" t="s">
        <v>75</v>
      </c>
      <c r="B121" s="1" t="s">
        <v>446</v>
      </c>
      <c r="C121" s="1" t="s">
        <v>2712</v>
      </c>
      <c r="D121" s="1" t="s">
        <v>2713</v>
      </c>
      <c r="E121" s="1" t="s">
        <v>2714</v>
      </c>
      <c r="F121" s="1" t="s">
        <v>2715</v>
      </c>
      <c r="G121" s="1" t="s">
        <v>2716</v>
      </c>
      <c r="H121" s="1" t="s">
        <v>2717</v>
      </c>
      <c r="I121" s="1" t="s">
        <v>2718</v>
      </c>
      <c r="J121" s="1">
        <v>9067195331</v>
      </c>
      <c r="K121" s="1" t="s">
        <v>84</v>
      </c>
      <c r="L121" s="1" t="s">
        <v>2719</v>
      </c>
      <c r="M121" s="1" t="s">
        <v>86</v>
      </c>
      <c r="N121" s="1" t="s">
        <v>1163</v>
      </c>
      <c r="O121" s="1"/>
      <c r="P121" s="1" t="s">
        <v>1028</v>
      </c>
      <c r="Q121" s="1" t="s">
        <v>2720</v>
      </c>
      <c r="R121" s="1" t="s">
        <v>2721</v>
      </c>
      <c r="S121" s="1">
        <v>7875811564</v>
      </c>
      <c r="T121" s="1" t="s">
        <v>125</v>
      </c>
      <c r="U121" s="1" t="s">
        <v>2722</v>
      </c>
      <c r="V121" s="1">
        <v>7620262665</v>
      </c>
      <c r="W121" s="1" t="s">
        <v>161</v>
      </c>
      <c r="X121" s="1" t="s">
        <v>2723</v>
      </c>
      <c r="Y121" s="1" t="s">
        <v>384</v>
      </c>
      <c r="Z121" s="1" t="s">
        <v>97</v>
      </c>
      <c r="AA121" s="1" t="s">
        <v>2723</v>
      </c>
      <c r="AB121" s="1" t="s">
        <v>384</v>
      </c>
      <c r="AC121" s="1" t="s">
        <v>97</v>
      </c>
      <c r="AD121" s="1">
        <v>8.26</v>
      </c>
      <c r="AE121" s="1" t="s">
        <v>98</v>
      </c>
      <c r="AF121" s="1" t="s">
        <v>2724</v>
      </c>
      <c r="AG121" s="1" t="s">
        <v>2725</v>
      </c>
      <c r="AH121" s="1" t="s">
        <v>2726</v>
      </c>
      <c r="AI121" s="1" t="s">
        <v>106</v>
      </c>
      <c r="AJ121" s="1">
        <v>80</v>
      </c>
      <c r="AK121" s="1"/>
      <c r="AL121" s="1"/>
      <c r="AM121" s="1"/>
      <c r="AN121" s="1" t="s">
        <v>1062</v>
      </c>
      <c r="AO121" s="1"/>
      <c r="AP121" s="1"/>
      <c r="AQ121" s="1"/>
      <c r="AR121" s="1"/>
      <c r="AS121" s="1" t="s">
        <v>228</v>
      </c>
      <c r="AT121" s="1" t="s">
        <v>2727</v>
      </c>
      <c r="AU121" s="1" t="s">
        <v>1065</v>
      </c>
      <c r="AV121" s="1" t="s">
        <v>441</v>
      </c>
      <c r="AW121" s="1">
        <v>82.47</v>
      </c>
      <c r="AX121" s="1"/>
      <c r="AY121" s="1" t="s">
        <v>2728</v>
      </c>
      <c r="AZ121" s="1" t="s">
        <v>2729</v>
      </c>
      <c r="BA121" s="1" t="s">
        <v>466</v>
      </c>
      <c r="BB121" s="1" t="s">
        <v>467</v>
      </c>
      <c r="BC121" s="1" t="s">
        <v>871</v>
      </c>
      <c r="BD121" s="1" t="s">
        <v>207</v>
      </c>
      <c r="BE121" s="1">
        <v>63.3</v>
      </c>
      <c r="BF121" s="1">
        <v>6.83</v>
      </c>
      <c r="BG121" s="1"/>
      <c r="BH121" s="1"/>
      <c r="BI121" s="1"/>
      <c r="BJ121" s="1"/>
      <c r="BK121" s="1"/>
      <c r="BL121" s="1"/>
      <c r="BM121" s="1"/>
      <c r="BN121" s="1"/>
      <c r="BO121" s="1" t="s">
        <v>2730</v>
      </c>
      <c r="BP121" s="1" t="s">
        <v>2731</v>
      </c>
      <c r="BQ121" s="1" t="s">
        <v>2245</v>
      </c>
      <c r="BR121" s="1" t="s">
        <v>2732</v>
      </c>
      <c r="BS121" s="1">
        <v>8</v>
      </c>
      <c r="BT121" s="1"/>
      <c r="BU121" s="1" t="str">
        <f>HYPERLINK("https://nconnect.nicmar.ac.in/storage/profile/ProfilePhoto_P25700104_637154.jpg","Download")</f>
        <v>0</v>
      </c>
      <c r="BV121" s="3"/>
      <c r="BW121" s="3"/>
    </row>
    <row r="122" spans="1:75">
      <c r="A122" s="1" t="s">
        <v>75</v>
      </c>
      <c r="B122" s="1" t="s">
        <v>446</v>
      </c>
      <c r="C122" s="1" t="s">
        <v>2733</v>
      </c>
      <c r="D122" s="1" t="s">
        <v>919</v>
      </c>
      <c r="E122" s="1" t="s">
        <v>2734</v>
      </c>
      <c r="F122" s="1" t="s">
        <v>2735</v>
      </c>
      <c r="G122" s="1" t="s">
        <v>2736</v>
      </c>
      <c r="H122" s="1" t="s">
        <v>2737</v>
      </c>
      <c r="I122" s="1" t="s">
        <v>2738</v>
      </c>
      <c r="J122" s="1">
        <v>9834515514</v>
      </c>
      <c r="K122" s="1" t="s">
        <v>84</v>
      </c>
      <c r="L122" s="1" t="s">
        <v>2739</v>
      </c>
      <c r="M122" s="1" t="s">
        <v>86</v>
      </c>
      <c r="N122" s="1" t="s">
        <v>903</v>
      </c>
      <c r="O122" s="1"/>
      <c r="P122" s="1" t="s">
        <v>2021</v>
      </c>
      <c r="Q122" s="1" t="s">
        <v>2740</v>
      </c>
      <c r="R122" s="1" t="s">
        <v>2741</v>
      </c>
      <c r="S122" s="1">
        <v>9856917777</v>
      </c>
      <c r="T122" s="1" t="s">
        <v>159</v>
      </c>
      <c r="U122" s="1" t="s">
        <v>2742</v>
      </c>
      <c r="V122" s="1">
        <v>8888651777</v>
      </c>
      <c r="W122" s="1" t="s">
        <v>161</v>
      </c>
      <c r="X122" s="1" t="s">
        <v>2743</v>
      </c>
      <c r="Y122" s="1" t="s">
        <v>251</v>
      </c>
      <c r="Z122" s="1" t="s">
        <v>97</v>
      </c>
      <c r="AA122" s="1" t="s">
        <v>2743</v>
      </c>
      <c r="AB122" s="1" t="s">
        <v>251</v>
      </c>
      <c r="AC122" s="1" t="s">
        <v>97</v>
      </c>
      <c r="AD122" s="1">
        <v>7.44</v>
      </c>
      <c r="AE122" s="1" t="s">
        <v>98</v>
      </c>
      <c r="AF122" s="1" t="s">
        <v>2744</v>
      </c>
      <c r="AG122" s="1" t="s">
        <v>2745</v>
      </c>
      <c r="AH122" s="1" t="s">
        <v>284</v>
      </c>
      <c r="AI122" s="1" t="s">
        <v>200</v>
      </c>
      <c r="AJ122" s="1">
        <v>75.6</v>
      </c>
      <c r="AK122" s="1"/>
      <c r="AL122" s="1"/>
      <c r="AM122" s="1"/>
      <c r="AN122" s="1"/>
      <c r="AO122" s="1"/>
      <c r="AP122" s="1"/>
      <c r="AQ122" s="1"/>
      <c r="AR122" s="1"/>
      <c r="AS122" s="1" t="s">
        <v>439</v>
      </c>
      <c r="AT122" s="1" t="s">
        <v>2746</v>
      </c>
      <c r="AU122" s="1" t="s">
        <v>388</v>
      </c>
      <c r="AV122" s="1" t="s">
        <v>175</v>
      </c>
      <c r="AW122" s="1">
        <v>85.42</v>
      </c>
      <c r="AX122" s="1"/>
      <c r="AY122" s="1" t="s">
        <v>366</v>
      </c>
      <c r="AZ122" s="1" t="s">
        <v>2747</v>
      </c>
      <c r="BA122" s="1"/>
      <c r="BB122" s="1"/>
      <c r="BC122" s="1" t="s">
        <v>178</v>
      </c>
      <c r="BD122" s="1" t="s">
        <v>179</v>
      </c>
      <c r="BE122" s="1">
        <v>67.3</v>
      </c>
      <c r="BF122" s="1">
        <v>7.48</v>
      </c>
      <c r="BG122" s="1"/>
      <c r="BH122" s="1"/>
      <c r="BI122" s="1"/>
      <c r="BJ122" s="1"/>
      <c r="BK122" s="1"/>
      <c r="BL122" s="1"/>
      <c r="BM122" s="1"/>
      <c r="BN122" s="1"/>
      <c r="BO122" s="1" t="s">
        <v>1114</v>
      </c>
      <c r="BP122" s="1"/>
      <c r="BQ122" s="1"/>
      <c r="BR122" s="1" t="s">
        <v>2748</v>
      </c>
      <c r="BS122" s="1">
        <v>-26</v>
      </c>
      <c r="BT122" s="1"/>
      <c r="BU122" s="1" t="str">
        <f>HYPERLINK("https://nconnect.nicmar.ac.in/storage/profile/ProfilePhoto_P25700105_329654.jpg","Download")</f>
        <v>0</v>
      </c>
      <c r="BV122" s="3"/>
      <c r="BW122" s="3"/>
    </row>
    <row r="123" spans="1:75">
      <c r="A123" s="1" t="s">
        <v>75</v>
      </c>
      <c r="B123" s="1" t="s">
        <v>446</v>
      </c>
      <c r="C123" s="1" t="s">
        <v>2749</v>
      </c>
      <c r="D123" s="1" t="s">
        <v>2750</v>
      </c>
      <c r="E123" s="1"/>
      <c r="F123" s="1" t="s">
        <v>2751</v>
      </c>
      <c r="G123" s="1" t="s">
        <v>2752</v>
      </c>
      <c r="H123" s="1" t="s">
        <v>2753</v>
      </c>
      <c r="I123" s="1" t="s">
        <v>2754</v>
      </c>
      <c r="J123" s="1">
        <v>6000841510</v>
      </c>
      <c r="K123" s="1" t="s">
        <v>84</v>
      </c>
      <c r="L123" s="1" t="s">
        <v>2755</v>
      </c>
      <c r="M123" s="1" t="s">
        <v>86</v>
      </c>
      <c r="N123" s="1" t="s">
        <v>2756</v>
      </c>
      <c r="O123" s="1"/>
      <c r="P123" s="1" t="s">
        <v>481</v>
      </c>
      <c r="Q123" s="1" t="s">
        <v>2757</v>
      </c>
      <c r="R123" s="1" t="s">
        <v>2758</v>
      </c>
      <c r="S123" s="1">
        <v>9435041613</v>
      </c>
      <c r="T123" s="1" t="s">
        <v>2759</v>
      </c>
      <c r="U123" s="1" t="s">
        <v>2760</v>
      </c>
      <c r="V123" s="1">
        <v>9435041613</v>
      </c>
      <c r="W123" s="1" t="s">
        <v>161</v>
      </c>
      <c r="X123" s="1" t="s">
        <v>2761</v>
      </c>
      <c r="Y123" s="1" t="s">
        <v>1555</v>
      </c>
      <c r="Z123" s="1" t="s">
        <v>1556</v>
      </c>
      <c r="AA123" s="1" t="s">
        <v>2761</v>
      </c>
      <c r="AB123" s="1" t="s">
        <v>1555</v>
      </c>
      <c r="AC123" s="1" t="s">
        <v>1556</v>
      </c>
      <c r="AD123" s="1">
        <v>8.92</v>
      </c>
      <c r="AE123" s="1" t="s">
        <v>98</v>
      </c>
      <c r="AF123" s="1" t="s">
        <v>2762</v>
      </c>
      <c r="AG123" s="1" t="s">
        <v>2763</v>
      </c>
      <c r="AH123" s="1" t="s">
        <v>136</v>
      </c>
      <c r="AI123" s="1" t="s">
        <v>627</v>
      </c>
      <c r="AJ123" s="1">
        <v>95</v>
      </c>
      <c r="AK123" s="1">
        <v>10</v>
      </c>
      <c r="AL123" s="1" t="s">
        <v>2762</v>
      </c>
      <c r="AM123" s="1" t="s">
        <v>2763</v>
      </c>
      <c r="AN123" s="1"/>
      <c r="AO123" s="1" t="s">
        <v>573</v>
      </c>
      <c r="AP123" s="1" t="s">
        <v>171</v>
      </c>
      <c r="AQ123" s="1">
        <v>82.66</v>
      </c>
      <c r="AR123" s="1"/>
      <c r="AS123" s="1"/>
      <c r="AT123" s="1"/>
      <c r="AU123" s="1"/>
      <c r="AV123" s="1"/>
      <c r="AW123" s="1"/>
      <c r="AX123" s="1"/>
      <c r="AY123" s="1" t="s">
        <v>2764</v>
      </c>
      <c r="AZ123" s="1" t="s">
        <v>2764</v>
      </c>
      <c r="BA123" s="1"/>
      <c r="BB123" s="1"/>
      <c r="BC123" s="1" t="s">
        <v>174</v>
      </c>
      <c r="BD123" s="1" t="s">
        <v>2765</v>
      </c>
      <c r="BE123" s="1">
        <v>81.3</v>
      </c>
      <c r="BF123" s="1">
        <v>8.13</v>
      </c>
      <c r="BG123" s="1"/>
      <c r="BH123" s="1"/>
      <c r="BI123" s="1"/>
      <c r="BJ123" s="1"/>
      <c r="BK123" s="1"/>
      <c r="BL123" s="1"/>
      <c r="BM123" s="1"/>
      <c r="BN123" s="1"/>
      <c r="BO123" s="1" t="s">
        <v>2766</v>
      </c>
      <c r="BP123" s="1"/>
      <c r="BQ123" s="1"/>
      <c r="BR123" s="1" t="s">
        <v>2767</v>
      </c>
      <c r="BS123" s="1">
        <v>17</v>
      </c>
      <c r="BT123" s="1" t="s">
        <v>2768</v>
      </c>
      <c r="BU123" s="1" t="str">
        <f>HYPERLINK("https://nconnect.nicmar.ac.in/storage/profile/ProfilePhoto_P25700106_635142.jpg","Download")</f>
        <v>0</v>
      </c>
      <c r="BV123" s="3"/>
      <c r="BW123" s="3"/>
    </row>
    <row r="124" spans="1:75">
      <c r="A124" s="1" t="s">
        <v>75</v>
      </c>
      <c r="B124" s="1" t="s">
        <v>446</v>
      </c>
      <c r="C124" s="1" t="s">
        <v>2769</v>
      </c>
      <c r="D124" s="1" t="s">
        <v>2770</v>
      </c>
      <c r="E124" s="1" t="s">
        <v>2771</v>
      </c>
      <c r="F124" s="1" t="s">
        <v>2772</v>
      </c>
      <c r="G124" s="1" t="s">
        <v>2773</v>
      </c>
      <c r="H124" s="1" t="s">
        <v>2774</v>
      </c>
      <c r="I124" s="1" t="s">
        <v>2775</v>
      </c>
      <c r="J124" s="1">
        <v>7994646588</v>
      </c>
      <c r="K124" s="1" t="s">
        <v>84</v>
      </c>
      <c r="L124" s="1" t="s">
        <v>2776</v>
      </c>
      <c r="M124" s="1" t="s">
        <v>86</v>
      </c>
      <c r="N124" s="1" t="s">
        <v>2777</v>
      </c>
      <c r="O124" s="1"/>
      <c r="P124" s="1" t="s">
        <v>507</v>
      </c>
      <c r="Q124" s="1" t="s">
        <v>2778</v>
      </c>
      <c r="R124" s="1" t="s">
        <v>2779</v>
      </c>
      <c r="S124" s="1">
        <v>9142394591</v>
      </c>
      <c r="T124" s="1" t="s">
        <v>2780</v>
      </c>
      <c r="U124" s="1" t="s">
        <v>2781</v>
      </c>
      <c r="V124" s="1">
        <v>9400700712</v>
      </c>
      <c r="W124" s="1" t="s">
        <v>127</v>
      </c>
      <c r="X124" s="1" t="s">
        <v>2782</v>
      </c>
      <c r="Y124" s="1" t="s">
        <v>1307</v>
      </c>
      <c r="Z124" s="1" t="s">
        <v>130</v>
      </c>
      <c r="AA124" s="1" t="s">
        <v>2782</v>
      </c>
      <c r="AB124" s="1" t="s">
        <v>1307</v>
      </c>
      <c r="AC124" s="1" t="s">
        <v>130</v>
      </c>
      <c r="AD124" s="1">
        <v>8.15</v>
      </c>
      <c r="AE124" s="1" t="s">
        <v>98</v>
      </c>
      <c r="AF124" s="1" t="s">
        <v>1624</v>
      </c>
      <c r="AG124" s="1" t="s">
        <v>312</v>
      </c>
      <c r="AH124" s="1" t="s">
        <v>2783</v>
      </c>
      <c r="AI124" s="1" t="s">
        <v>1262</v>
      </c>
      <c r="AJ124" s="1">
        <v>76</v>
      </c>
      <c r="AK124" s="1">
        <v>8</v>
      </c>
      <c r="AL124" s="1" t="s">
        <v>1624</v>
      </c>
      <c r="AM124" s="1" t="s">
        <v>312</v>
      </c>
      <c r="AN124" s="1" t="s">
        <v>575</v>
      </c>
      <c r="AO124" s="1" t="s">
        <v>101</v>
      </c>
      <c r="AP124" s="1" t="s">
        <v>627</v>
      </c>
      <c r="AQ124" s="1">
        <v>71.4</v>
      </c>
      <c r="AR124" s="1">
        <v>0</v>
      </c>
      <c r="AS124" s="1"/>
      <c r="AT124" s="1"/>
      <c r="AU124" s="1"/>
      <c r="AV124" s="1"/>
      <c r="AW124" s="1"/>
      <c r="AX124" s="1"/>
      <c r="AY124" s="1" t="s">
        <v>137</v>
      </c>
      <c r="AZ124" s="1" t="s">
        <v>2784</v>
      </c>
      <c r="BA124" s="1" t="s">
        <v>466</v>
      </c>
      <c r="BB124" s="1" t="s">
        <v>467</v>
      </c>
      <c r="BC124" s="1" t="s">
        <v>1396</v>
      </c>
      <c r="BD124" s="1" t="s">
        <v>890</v>
      </c>
      <c r="BE124" s="1">
        <v>72.5</v>
      </c>
      <c r="BF124" s="1">
        <v>7.25</v>
      </c>
      <c r="BG124" s="1"/>
      <c r="BH124" s="1"/>
      <c r="BI124" s="1"/>
      <c r="BJ124" s="1"/>
      <c r="BK124" s="1"/>
      <c r="BL124" s="1"/>
      <c r="BM124" s="1"/>
      <c r="BN124" s="1"/>
      <c r="BO124" s="1" t="s">
        <v>2785</v>
      </c>
      <c r="BP124" s="1" t="s">
        <v>2786</v>
      </c>
      <c r="BQ124" s="1" t="s">
        <v>1070</v>
      </c>
      <c r="BR124" s="1" t="s">
        <v>2787</v>
      </c>
      <c r="BS124" s="1">
        <v>9</v>
      </c>
      <c r="BT124" s="1" t="s">
        <v>2788</v>
      </c>
      <c r="BU124" s="1" t="str">
        <f>HYPERLINK("https://nconnect.nicmar.ac.in/storage/profile/ProfilePhoto_P25700107_215674.jpg","Download")</f>
        <v>0</v>
      </c>
      <c r="BV124" s="3"/>
      <c r="BW124" s="3"/>
    </row>
    <row r="125" spans="1:75">
      <c r="A125" s="1" t="s">
        <v>75</v>
      </c>
      <c r="B125" s="1" t="s">
        <v>446</v>
      </c>
      <c r="C125" s="1" t="s">
        <v>2789</v>
      </c>
      <c r="D125" s="1" t="s">
        <v>2790</v>
      </c>
      <c r="E125" s="1"/>
      <c r="F125" s="1" t="s">
        <v>2538</v>
      </c>
      <c r="G125" s="1" t="s">
        <v>2791</v>
      </c>
      <c r="H125" s="1" t="s">
        <v>2792</v>
      </c>
      <c r="I125" s="1" t="s">
        <v>2793</v>
      </c>
      <c r="J125" s="1">
        <v>7039966503</v>
      </c>
      <c r="K125" s="1" t="s">
        <v>84</v>
      </c>
      <c r="L125" s="1" t="s">
        <v>2794</v>
      </c>
      <c r="M125" s="1" t="s">
        <v>86</v>
      </c>
      <c r="N125" s="1" t="s">
        <v>1163</v>
      </c>
      <c r="O125" s="1"/>
      <c r="P125" s="1" t="s">
        <v>507</v>
      </c>
      <c r="Q125" s="1" t="s">
        <v>2795</v>
      </c>
      <c r="R125" s="1" t="s">
        <v>2796</v>
      </c>
      <c r="S125" s="1">
        <v>9892540817</v>
      </c>
      <c r="T125" s="1" t="s">
        <v>645</v>
      </c>
      <c r="U125" s="1" t="s">
        <v>2797</v>
      </c>
      <c r="V125" s="1">
        <v>9594369800</v>
      </c>
      <c r="W125" s="1" t="s">
        <v>161</v>
      </c>
      <c r="X125" s="1" t="s">
        <v>2798</v>
      </c>
      <c r="Y125" s="1" t="s">
        <v>2259</v>
      </c>
      <c r="Z125" s="1" t="s">
        <v>97</v>
      </c>
      <c r="AA125" s="1" t="s">
        <v>2798</v>
      </c>
      <c r="AB125" s="1" t="s">
        <v>2259</v>
      </c>
      <c r="AC125" s="1" t="s">
        <v>97</v>
      </c>
      <c r="AD125" s="1">
        <v>8.49</v>
      </c>
      <c r="AE125" s="1" t="s">
        <v>98</v>
      </c>
      <c r="AF125" s="1" t="s">
        <v>2799</v>
      </c>
      <c r="AG125" s="1" t="s">
        <v>2800</v>
      </c>
      <c r="AH125" s="1" t="s">
        <v>170</v>
      </c>
      <c r="AI125" s="1" t="s">
        <v>490</v>
      </c>
      <c r="AJ125" s="1">
        <v>62.4</v>
      </c>
      <c r="AK125" s="1"/>
      <c r="AL125" s="1"/>
      <c r="AM125" s="1"/>
      <c r="AN125" s="1"/>
      <c r="AO125" s="1"/>
      <c r="AP125" s="1"/>
      <c r="AQ125" s="1"/>
      <c r="AR125" s="1"/>
      <c r="AS125" s="1" t="s">
        <v>103</v>
      </c>
      <c r="AT125" s="1" t="s">
        <v>2801</v>
      </c>
      <c r="AU125" s="1" t="s">
        <v>174</v>
      </c>
      <c r="AV125" s="1" t="s">
        <v>845</v>
      </c>
      <c r="AW125" s="1">
        <v>75.47</v>
      </c>
      <c r="AX125" s="1"/>
      <c r="AY125" s="1" t="s">
        <v>680</v>
      </c>
      <c r="AZ125" s="1" t="s">
        <v>2802</v>
      </c>
      <c r="BA125" s="1"/>
      <c r="BB125" s="1"/>
      <c r="BC125" s="1" t="s">
        <v>871</v>
      </c>
      <c r="BD125" s="1" t="s">
        <v>418</v>
      </c>
      <c r="BE125" s="1">
        <v>60.04</v>
      </c>
      <c r="BF125" s="1"/>
      <c r="BG125" s="1"/>
      <c r="BH125" s="1"/>
      <c r="BI125" s="1"/>
      <c r="BJ125" s="1"/>
      <c r="BK125" s="1"/>
      <c r="BL125" s="1"/>
      <c r="BM125" s="1"/>
      <c r="BN125" s="1"/>
      <c r="BO125" s="1" t="s">
        <v>369</v>
      </c>
      <c r="BP125" s="1" t="s">
        <v>2803</v>
      </c>
      <c r="BQ125" s="1" t="s">
        <v>1043</v>
      </c>
      <c r="BR125" s="1" t="s">
        <v>2804</v>
      </c>
      <c r="BS125" s="1">
        <v>9</v>
      </c>
      <c r="BT125" s="1"/>
      <c r="BU125" s="1" t="str">
        <f>HYPERLINK("https://nconnect.nicmar.ac.in/storage/profile/ProfilePhoto_P25700108_352764.jpg","Download")</f>
        <v>0</v>
      </c>
      <c r="BV125" s="3"/>
      <c r="BW125" s="3"/>
    </row>
    <row r="126" spans="1:75">
      <c r="A126" s="1" t="s">
        <v>75</v>
      </c>
      <c r="B126" s="1" t="s">
        <v>446</v>
      </c>
      <c r="C126" s="1" t="s">
        <v>2805</v>
      </c>
      <c r="D126" s="1" t="s">
        <v>2806</v>
      </c>
      <c r="E126" s="1"/>
      <c r="F126" s="1" t="s">
        <v>2807</v>
      </c>
      <c r="G126" s="1" t="s">
        <v>2808</v>
      </c>
      <c r="H126" s="1" t="s">
        <v>2809</v>
      </c>
      <c r="I126" s="1" t="s">
        <v>2810</v>
      </c>
      <c r="J126" s="1">
        <v>8777253745</v>
      </c>
      <c r="K126" s="1" t="s">
        <v>84</v>
      </c>
      <c r="L126" s="1" t="s">
        <v>2811</v>
      </c>
      <c r="M126" s="1" t="s">
        <v>86</v>
      </c>
      <c r="N126" s="1" t="s">
        <v>2812</v>
      </c>
      <c r="O126" s="1"/>
      <c r="P126" s="1" t="s">
        <v>455</v>
      </c>
      <c r="Q126" s="1" t="s">
        <v>2813</v>
      </c>
      <c r="R126" s="1" t="s">
        <v>2814</v>
      </c>
      <c r="S126" s="1">
        <v>8584016850</v>
      </c>
      <c r="T126" s="1" t="s">
        <v>2815</v>
      </c>
      <c r="U126" s="1" t="s">
        <v>2816</v>
      </c>
      <c r="V126" s="1">
        <v>9007894130</v>
      </c>
      <c r="W126" s="1" t="s">
        <v>161</v>
      </c>
      <c r="X126" s="1" t="s">
        <v>2817</v>
      </c>
      <c r="Y126" s="1" t="s">
        <v>2818</v>
      </c>
      <c r="Z126" s="1" t="s">
        <v>1234</v>
      </c>
      <c r="AA126" s="1" t="s">
        <v>2817</v>
      </c>
      <c r="AB126" s="1" t="s">
        <v>2818</v>
      </c>
      <c r="AC126" s="1" t="s">
        <v>1234</v>
      </c>
      <c r="AD126" s="1">
        <v>7.64</v>
      </c>
      <c r="AE126" s="1" t="s">
        <v>98</v>
      </c>
      <c r="AF126" s="1" t="s">
        <v>2819</v>
      </c>
      <c r="AG126" s="1" t="s">
        <v>2820</v>
      </c>
      <c r="AH126" s="1" t="s">
        <v>1262</v>
      </c>
      <c r="AI126" s="1" t="s">
        <v>136</v>
      </c>
      <c r="AJ126" s="1">
        <v>70.42</v>
      </c>
      <c r="AK126" s="1"/>
      <c r="AL126" s="1" t="s">
        <v>2819</v>
      </c>
      <c r="AM126" s="1" t="s">
        <v>2821</v>
      </c>
      <c r="AN126" s="1" t="s">
        <v>575</v>
      </c>
      <c r="AO126" s="1" t="s">
        <v>2822</v>
      </c>
      <c r="AP126" s="1" t="s">
        <v>573</v>
      </c>
      <c r="AQ126" s="1">
        <v>67.6</v>
      </c>
      <c r="AR126" s="1"/>
      <c r="AS126" s="1"/>
      <c r="AT126" s="1"/>
      <c r="AU126" s="1"/>
      <c r="AV126" s="1"/>
      <c r="AW126" s="1"/>
      <c r="AX126" s="1"/>
      <c r="AY126" s="1" t="s">
        <v>1240</v>
      </c>
      <c r="AZ126" s="1" t="s">
        <v>2823</v>
      </c>
      <c r="BA126" s="1" t="s">
        <v>466</v>
      </c>
      <c r="BB126" s="1" t="s">
        <v>467</v>
      </c>
      <c r="BC126" s="1" t="s">
        <v>315</v>
      </c>
      <c r="BD126" s="1" t="s">
        <v>179</v>
      </c>
      <c r="BE126" s="1">
        <v>78.2</v>
      </c>
      <c r="BF126" s="1">
        <v>8.57</v>
      </c>
      <c r="BG126" s="1"/>
      <c r="BH126" s="1"/>
      <c r="BI126" s="1"/>
      <c r="BJ126" s="1"/>
      <c r="BK126" s="1"/>
      <c r="BL126" s="1"/>
      <c r="BM126" s="1"/>
      <c r="BN126" s="1"/>
      <c r="BO126" s="1" t="s">
        <v>2824</v>
      </c>
      <c r="BP126" s="1" t="s">
        <v>2825</v>
      </c>
      <c r="BQ126" s="1" t="s">
        <v>893</v>
      </c>
      <c r="BR126" s="1" t="s">
        <v>2826</v>
      </c>
      <c r="BS126" s="1">
        <v>12</v>
      </c>
      <c r="BT126" s="1" t="s">
        <v>2827</v>
      </c>
      <c r="BU126" s="1" t="str">
        <f>HYPERLINK("https://nconnect.nicmar.ac.in/storage/profile/ProfilePhoto_P25700109_129586.jpg","Download")</f>
        <v>0</v>
      </c>
      <c r="BV126" s="3"/>
      <c r="BW126" s="3"/>
    </row>
    <row r="127" spans="1:75">
      <c r="A127" s="1" t="s">
        <v>75</v>
      </c>
      <c r="B127" s="1" t="s">
        <v>446</v>
      </c>
      <c r="C127" s="1" t="s">
        <v>2828</v>
      </c>
      <c r="D127" s="1" t="s">
        <v>2829</v>
      </c>
      <c r="E127" s="1" t="s">
        <v>2292</v>
      </c>
      <c r="F127" s="1" t="s">
        <v>2274</v>
      </c>
      <c r="G127" s="1" t="s">
        <v>2830</v>
      </c>
      <c r="H127" s="1" t="s">
        <v>2831</v>
      </c>
      <c r="I127" s="1" t="s">
        <v>2832</v>
      </c>
      <c r="J127" s="1">
        <v>7719869034</v>
      </c>
      <c r="K127" s="1" t="s">
        <v>84</v>
      </c>
      <c r="L127" s="1" t="s">
        <v>2833</v>
      </c>
      <c r="M127" s="1" t="s">
        <v>86</v>
      </c>
      <c r="N127" s="1" t="s">
        <v>1163</v>
      </c>
      <c r="O127" s="1"/>
      <c r="P127" s="1" t="s">
        <v>507</v>
      </c>
      <c r="Q127" s="1" t="s">
        <v>2834</v>
      </c>
      <c r="R127" s="1" t="s">
        <v>2835</v>
      </c>
      <c r="S127" s="1">
        <v>9422514472</v>
      </c>
      <c r="T127" s="1" t="s">
        <v>125</v>
      </c>
      <c r="U127" s="1" t="s">
        <v>2836</v>
      </c>
      <c r="V127" s="1">
        <v>9850702486</v>
      </c>
      <c r="W127" s="1" t="s">
        <v>161</v>
      </c>
      <c r="X127" s="1" t="s">
        <v>2837</v>
      </c>
      <c r="Y127" s="1" t="s">
        <v>196</v>
      </c>
      <c r="Z127" s="1" t="s">
        <v>97</v>
      </c>
      <c r="AA127" s="1" t="s">
        <v>2837</v>
      </c>
      <c r="AB127" s="1" t="s">
        <v>196</v>
      </c>
      <c r="AC127" s="1" t="s">
        <v>97</v>
      </c>
      <c r="AD127" s="1">
        <v>8.62</v>
      </c>
      <c r="AE127" s="1" t="s">
        <v>98</v>
      </c>
      <c r="AF127" s="1" t="s">
        <v>2838</v>
      </c>
      <c r="AG127" s="1" t="s">
        <v>2839</v>
      </c>
      <c r="AH127" s="1" t="s">
        <v>2840</v>
      </c>
      <c r="AI127" s="1" t="s">
        <v>170</v>
      </c>
      <c r="AJ127" s="1">
        <v>74.2</v>
      </c>
      <c r="AK127" s="1">
        <v>8</v>
      </c>
      <c r="AL127" s="1"/>
      <c r="AM127" s="1"/>
      <c r="AN127" s="1"/>
      <c r="AO127" s="1"/>
      <c r="AP127" s="1"/>
      <c r="AQ127" s="1"/>
      <c r="AR127" s="1"/>
      <c r="AS127" s="1" t="s">
        <v>439</v>
      </c>
      <c r="AT127" s="1" t="s">
        <v>2841</v>
      </c>
      <c r="AU127" s="1" t="s">
        <v>230</v>
      </c>
      <c r="AV127" s="1" t="s">
        <v>175</v>
      </c>
      <c r="AW127" s="1">
        <v>92.84</v>
      </c>
      <c r="AX127" s="1"/>
      <c r="AY127" s="1" t="s">
        <v>366</v>
      </c>
      <c r="AZ127" s="1" t="s">
        <v>2842</v>
      </c>
      <c r="BA127" s="1" t="s">
        <v>578</v>
      </c>
      <c r="BB127" s="1" t="s">
        <v>467</v>
      </c>
      <c r="BC127" s="1" t="s">
        <v>368</v>
      </c>
      <c r="BD127" s="1" t="s">
        <v>179</v>
      </c>
      <c r="BE127" s="1">
        <v>82.88</v>
      </c>
      <c r="BF127" s="1">
        <v>8.99</v>
      </c>
      <c r="BG127" s="1"/>
      <c r="BH127" s="1"/>
      <c r="BI127" s="1"/>
      <c r="BJ127" s="1"/>
      <c r="BK127" s="1"/>
      <c r="BL127" s="1"/>
      <c r="BM127" s="1"/>
      <c r="BN127" s="1"/>
      <c r="BO127" s="1" t="s">
        <v>2843</v>
      </c>
      <c r="BP127" s="1" t="s">
        <v>2844</v>
      </c>
      <c r="BQ127" s="1" t="s">
        <v>2213</v>
      </c>
      <c r="BR127" s="1" t="s">
        <v>2845</v>
      </c>
      <c r="BS127" s="1">
        <v>26</v>
      </c>
      <c r="BT127" s="1" t="s">
        <v>2846</v>
      </c>
      <c r="BU127" s="1" t="str">
        <f>HYPERLINK("https://nconnect.nicmar.ac.in/storage/profile/ProfilePhoto_P25700110_587169.jpg","Download")</f>
        <v>0</v>
      </c>
      <c r="BV127" s="3"/>
      <c r="BW127" s="3"/>
    </row>
    <row r="128" spans="1:75">
      <c r="A128" s="1" t="s">
        <v>75</v>
      </c>
      <c r="B128" s="1" t="s">
        <v>446</v>
      </c>
      <c r="C128" s="1" t="s">
        <v>2847</v>
      </c>
      <c r="D128" s="1" t="s">
        <v>2848</v>
      </c>
      <c r="E128" s="1" t="s">
        <v>1669</v>
      </c>
      <c r="F128" s="1" t="s">
        <v>2849</v>
      </c>
      <c r="G128" s="1" t="s">
        <v>2850</v>
      </c>
      <c r="H128" s="1" t="s">
        <v>2851</v>
      </c>
      <c r="I128" s="1" t="s">
        <v>2852</v>
      </c>
      <c r="J128" s="1">
        <v>7387665808</v>
      </c>
      <c r="K128" s="1" t="s">
        <v>84</v>
      </c>
      <c r="L128" s="1" t="s">
        <v>2853</v>
      </c>
      <c r="M128" s="1" t="s">
        <v>86</v>
      </c>
      <c r="N128" s="1" t="s">
        <v>1163</v>
      </c>
      <c r="O128" s="1"/>
      <c r="P128" s="1" t="s">
        <v>455</v>
      </c>
      <c r="Q128" s="1" t="s">
        <v>2854</v>
      </c>
      <c r="R128" s="1" t="s">
        <v>2855</v>
      </c>
      <c r="S128" s="1">
        <v>9158243243</v>
      </c>
      <c r="T128" s="1" t="s">
        <v>2856</v>
      </c>
      <c r="U128" s="1" t="s">
        <v>2857</v>
      </c>
      <c r="V128" s="1">
        <v>9923807865</v>
      </c>
      <c r="W128" s="1" t="s">
        <v>278</v>
      </c>
      <c r="X128" s="1" t="s">
        <v>2858</v>
      </c>
      <c r="Y128" s="1" t="s">
        <v>196</v>
      </c>
      <c r="Z128" s="1" t="s">
        <v>97</v>
      </c>
      <c r="AA128" s="1" t="s">
        <v>2859</v>
      </c>
      <c r="AB128" s="1" t="s">
        <v>410</v>
      </c>
      <c r="AC128" s="1" t="s">
        <v>97</v>
      </c>
      <c r="AD128" s="1">
        <v>7.15</v>
      </c>
      <c r="AE128" s="1" t="s">
        <v>98</v>
      </c>
      <c r="AF128" s="1" t="s">
        <v>2860</v>
      </c>
      <c r="AG128" s="1" t="s">
        <v>2861</v>
      </c>
      <c r="AH128" s="1" t="s">
        <v>106</v>
      </c>
      <c r="AI128" s="1" t="s">
        <v>414</v>
      </c>
      <c r="AJ128" s="1">
        <v>64.4</v>
      </c>
      <c r="AK128" s="1"/>
      <c r="AL128" s="1"/>
      <c r="AM128" s="1"/>
      <c r="AN128" s="1"/>
      <c r="AO128" s="1"/>
      <c r="AP128" s="1"/>
      <c r="AQ128" s="1"/>
      <c r="AR128" s="1"/>
      <c r="AS128" s="1" t="s">
        <v>439</v>
      </c>
      <c r="AT128" s="1" t="s">
        <v>2862</v>
      </c>
      <c r="AU128" s="1" t="s">
        <v>2863</v>
      </c>
      <c r="AV128" s="1" t="s">
        <v>1825</v>
      </c>
      <c r="AW128" s="1">
        <v>69.63</v>
      </c>
      <c r="AX128" s="1"/>
      <c r="AY128" s="1" t="s">
        <v>415</v>
      </c>
      <c r="AZ128" s="1" t="s">
        <v>2864</v>
      </c>
      <c r="BA128" s="1" t="s">
        <v>466</v>
      </c>
      <c r="BB128" s="1" t="s">
        <v>467</v>
      </c>
      <c r="BC128" s="1" t="s">
        <v>1889</v>
      </c>
      <c r="BD128" s="1" t="s">
        <v>848</v>
      </c>
      <c r="BE128" s="1">
        <v>61.4</v>
      </c>
      <c r="BF128" s="1"/>
      <c r="BG128" s="1"/>
      <c r="BH128" s="1"/>
      <c r="BI128" s="1"/>
      <c r="BJ128" s="1"/>
      <c r="BK128" s="1"/>
      <c r="BL128" s="1"/>
      <c r="BM128" s="1"/>
      <c r="BN128" s="1"/>
      <c r="BO128" s="1" t="s">
        <v>369</v>
      </c>
      <c r="BP128" s="1"/>
      <c r="BQ128" s="1"/>
      <c r="BR128" s="1" t="s">
        <v>2865</v>
      </c>
      <c r="BS128" s="1">
        <v>15</v>
      </c>
      <c r="BT128" s="1"/>
      <c r="BU128" s="1" t="str">
        <f>HYPERLINK("https://nconnect.nicmar.ac.in/storage/profile/ProfilePhoto_P25700111_718243.jpg","Download")</f>
        <v>0</v>
      </c>
      <c r="BV128" s="3"/>
      <c r="BW128" s="3"/>
    </row>
    <row r="129" spans="1:75">
      <c r="A129" s="1" t="s">
        <v>75</v>
      </c>
      <c r="B129" s="1" t="s">
        <v>446</v>
      </c>
      <c r="C129" s="1" t="s">
        <v>2866</v>
      </c>
      <c r="D129" s="1" t="s">
        <v>2867</v>
      </c>
      <c r="E129" s="1" t="s">
        <v>2868</v>
      </c>
      <c r="F129" s="1" t="s">
        <v>2869</v>
      </c>
      <c r="G129" s="1" t="s">
        <v>2870</v>
      </c>
      <c r="H129" s="1" t="s">
        <v>2871</v>
      </c>
      <c r="I129" s="1" t="s">
        <v>2872</v>
      </c>
      <c r="J129" s="1">
        <v>7698373395</v>
      </c>
      <c r="K129" s="1" t="s">
        <v>84</v>
      </c>
      <c r="L129" s="1" t="s">
        <v>2873</v>
      </c>
      <c r="M129" s="1" t="s">
        <v>86</v>
      </c>
      <c r="N129" s="1" t="s">
        <v>2874</v>
      </c>
      <c r="O129" s="1"/>
      <c r="P129" s="1" t="s">
        <v>507</v>
      </c>
      <c r="Q129" s="1" t="s">
        <v>2875</v>
      </c>
      <c r="R129" s="1" t="s">
        <v>2876</v>
      </c>
      <c r="S129" s="1">
        <v>9104986199</v>
      </c>
      <c r="T129" s="1" t="s">
        <v>2877</v>
      </c>
      <c r="U129" s="1" t="s">
        <v>2878</v>
      </c>
      <c r="V129" s="1">
        <v>9510059019</v>
      </c>
      <c r="W129" s="1" t="s">
        <v>278</v>
      </c>
      <c r="X129" s="1" t="s">
        <v>2879</v>
      </c>
      <c r="Y129" s="1" t="s">
        <v>2880</v>
      </c>
      <c r="Z129" s="1" t="s">
        <v>676</v>
      </c>
      <c r="AA129" s="1" t="s">
        <v>2879</v>
      </c>
      <c r="AB129" s="1" t="s">
        <v>2880</v>
      </c>
      <c r="AC129" s="1" t="s">
        <v>676</v>
      </c>
      <c r="AD129" s="1">
        <v>9.15</v>
      </c>
      <c r="AE129" s="1" t="s">
        <v>98</v>
      </c>
      <c r="AF129" s="1" t="s">
        <v>2881</v>
      </c>
      <c r="AG129" s="1" t="s">
        <v>2882</v>
      </c>
      <c r="AH129" s="1" t="s">
        <v>170</v>
      </c>
      <c r="AI129" s="1" t="s">
        <v>286</v>
      </c>
      <c r="AJ129" s="1">
        <v>88.33</v>
      </c>
      <c r="AK129" s="1">
        <v>0</v>
      </c>
      <c r="AL129" s="1" t="s">
        <v>2881</v>
      </c>
      <c r="AM129" s="1" t="s">
        <v>2882</v>
      </c>
      <c r="AN129" s="1" t="s">
        <v>465</v>
      </c>
      <c r="AO129" s="1" t="s">
        <v>438</v>
      </c>
      <c r="AP129" s="1" t="s">
        <v>603</v>
      </c>
      <c r="AQ129" s="1">
        <v>80.16</v>
      </c>
      <c r="AR129" s="1">
        <v>0</v>
      </c>
      <c r="AS129" s="1"/>
      <c r="AT129" s="1"/>
      <c r="AU129" s="1"/>
      <c r="AV129" s="1"/>
      <c r="AW129" s="1"/>
      <c r="AX129" s="1"/>
      <c r="AY129" s="1" t="s">
        <v>2883</v>
      </c>
      <c r="AZ129" s="1" t="s">
        <v>2884</v>
      </c>
      <c r="BA129" s="1" t="s">
        <v>466</v>
      </c>
      <c r="BB129" s="1" t="s">
        <v>467</v>
      </c>
      <c r="BC129" s="1" t="s">
        <v>175</v>
      </c>
      <c r="BD129" s="1" t="s">
        <v>418</v>
      </c>
      <c r="BE129" s="1">
        <v>82.3</v>
      </c>
      <c r="BF129" s="1">
        <v>8.23</v>
      </c>
      <c r="BG129" s="1"/>
      <c r="BH129" s="1"/>
      <c r="BI129" s="1"/>
      <c r="BJ129" s="1"/>
      <c r="BK129" s="1"/>
      <c r="BL129" s="1"/>
      <c r="BM129" s="1"/>
      <c r="BN129" s="1"/>
      <c r="BO129" s="1" t="s">
        <v>2885</v>
      </c>
      <c r="BP129" s="1"/>
      <c r="BQ129" s="1"/>
      <c r="BR129" s="1" t="s">
        <v>2886</v>
      </c>
      <c r="BS129" s="1">
        <v>36</v>
      </c>
      <c r="BT129" s="1"/>
      <c r="BU129" s="1" t="str">
        <f>HYPERLINK("https://nconnect.nicmar.ac.in/storage/profile/ProfilePhoto_P25700113_721496.jpg","Download")</f>
        <v>0</v>
      </c>
      <c r="BV129" s="3"/>
      <c r="BW129" s="4">
        <v>1</v>
      </c>
    </row>
    <row r="130" spans="1:75">
      <c r="A130" s="1" t="s">
        <v>75</v>
      </c>
      <c r="B130" s="1" t="s">
        <v>446</v>
      </c>
      <c r="C130" s="1" t="s">
        <v>2887</v>
      </c>
      <c r="D130" s="1" t="s">
        <v>2829</v>
      </c>
      <c r="E130" s="1" t="s">
        <v>1020</v>
      </c>
      <c r="F130" s="1" t="s">
        <v>1853</v>
      </c>
      <c r="G130" s="1" t="s">
        <v>2888</v>
      </c>
      <c r="H130" s="1" t="s">
        <v>2889</v>
      </c>
      <c r="I130" s="1" t="s">
        <v>2890</v>
      </c>
      <c r="J130" s="1">
        <v>8157032468</v>
      </c>
      <c r="K130" s="1" t="s">
        <v>84</v>
      </c>
      <c r="L130" s="1" t="s">
        <v>902</v>
      </c>
      <c r="M130" s="1" t="s">
        <v>86</v>
      </c>
      <c r="N130" s="1" t="s">
        <v>2891</v>
      </c>
      <c r="O130" s="1"/>
      <c r="P130" s="1" t="s">
        <v>455</v>
      </c>
      <c r="Q130" s="1" t="s">
        <v>2892</v>
      </c>
      <c r="R130" s="1" t="s">
        <v>2893</v>
      </c>
      <c r="S130" s="1">
        <v>8281527268</v>
      </c>
      <c r="T130" s="1" t="s">
        <v>2894</v>
      </c>
      <c r="U130" s="1" t="s">
        <v>2895</v>
      </c>
      <c r="V130" s="1">
        <v>9446944868</v>
      </c>
      <c r="W130" s="1" t="s">
        <v>2375</v>
      </c>
      <c r="X130" s="1" t="s">
        <v>2896</v>
      </c>
      <c r="Y130" s="1" t="s">
        <v>2526</v>
      </c>
      <c r="Z130" s="1" t="s">
        <v>130</v>
      </c>
      <c r="AA130" s="1" t="s">
        <v>2896</v>
      </c>
      <c r="AB130" s="1" t="s">
        <v>2526</v>
      </c>
      <c r="AC130" s="1" t="s">
        <v>130</v>
      </c>
      <c r="AD130" s="1">
        <v>8.33</v>
      </c>
      <c r="AE130" s="1" t="s">
        <v>98</v>
      </c>
      <c r="AF130" s="1" t="s">
        <v>2897</v>
      </c>
      <c r="AG130" s="1" t="s">
        <v>312</v>
      </c>
      <c r="AH130" s="1" t="s">
        <v>170</v>
      </c>
      <c r="AI130" s="1" t="s">
        <v>171</v>
      </c>
      <c r="AJ130" s="1">
        <v>82.2</v>
      </c>
      <c r="AK130" s="1"/>
      <c r="AL130" s="1" t="s">
        <v>2898</v>
      </c>
      <c r="AM130" s="1" t="s">
        <v>2899</v>
      </c>
      <c r="AN130" s="1" t="s">
        <v>465</v>
      </c>
      <c r="AO130" s="1" t="s">
        <v>438</v>
      </c>
      <c r="AP130" s="1" t="s">
        <v>178</v>
      </c>
      <c r="AQ130" s="1">
        <v>89.66</v>
      </c>
      <c r="AR130" s="1"/>
      <c r="AS130" s="1"/>
      <c r="AT130" s="1"/>
      <c r="AU130" s="1"/>
      <c r="AV130" s="1"/>
      <c r="AW130" s="1"/>
      <c r="AX130" s="1"/>
      <c r="AY130" s="1" t="s">
        <v>2900</v>
      </c>
      <c r="AZ130" s="1" t="s">
        <v>2901</v>
      </c>
      <c r="BA130" s="1" t="s">
        <v>466</v>
      </c>
      <c r="BB130" s="1" t="s">
        <v>467</v>
      </c>
      <c r="BC130" s="1" t="s">
        <v>1040</v>
      </c>
      <c r="BD130" s="1" t="s">
        <v>418</v>
      </c>
      <c r="BE130" s="1">
        <v>66.1</v>
      </c>
      <c r="BF130" s="1">
        <v>6.61</v>
      </c>
      <c r="BG130" s="1"/>
      <c r="BH130" s="1"/>
      <c r="BI130" s="1"/>
      <c r="BJ130" s="1"/>
      <c r="BK130" s="1"/>
      <c r="BL130" s="1"/>
      <c r="BM130" s="1"/>
      <c r="BN130" s="1"/>
      <c r="BO130" s="1" t="s">
        <v>1114</v>
      </c>
      <c r="BP130" s="1" t="s">
        <v>2902</v>
      </c>
      <c r="BQ130" s="1" t="s">
        <v>893</v>
      </c>
      <c r="BR130" s="1" t="s">
        <v>2903</v>
      </c>
      <c r="BS130" s="1">
        <v>9</v>
      </c>
      <c r="BT130" s="1" t="s">
        <v>2904</v>
      </c>
      <c r="BU130" s="1" t="str">
        <f>HYPERLINK("https://nconnect.nicmar.ac.in/storage/profile/ProfilePhoto_P25700114_648312.jpg","Download")</f>
        <v>0</v>
      </c>
      <c r="BV130" s="3"/>
      <c r="BW130" s="3"/>
    </row>
    <row r="131" spans="1:75">
      <c r="A131" s="1" t="s">
        <v>75</v>
      </c>
      <c r="B131" s="1" t="s">
        <v>446</v>
      </c>
      <c r="C131" s="1" t="s">
        <v>2905</v>
      </c>
      <c r="D131" s="1" t="s">
        <v>2906</v>
      </c>
      <c r="E131" s="1" t="s">
        <v>1669</v>
      </c>
      <c r="F131" s="1" t="s">
        <v>241</v>
      </c>
      <c r="G131" s="1" t="s">
        <v>2907</v>
      </c>
      <c r="H131" s="1" t="s">
        <v>2908</v>
      </c>
      <c r="I131" s="1" t="s">
        <v>2909</v>
      </c>
      <c r="J131" s="1">
        <v>8108344275</v>
      </c>
      <c r="K131" s="1" t="s">
        <v>84</v>
      </c>
      <c r="L131" s="1" t="s">
        <v>2910</v>
      </c>
      <c r="M131" s="1" t="s">
        <v>86</v>
      </c>
      <c r="N131" s="1" t="s">
        <v>2433</v>
      </c>
      <c r="O131" s="1"/>
      <c r="P131" s="1" t="s">
        <v>1028</v>
      </c>
      <c r="Q131" s="1" t="s">
        <v>2911</v>
      </c>
      <c r="R131" s="1" t="s">
        <v>2912</v>
      </c>
      <c r="S131" s="1">
        <v>8108639248</v>
      </c>
      <c r="T131" s="1" t="s">
        <v>2913</v>
      </c>
      <c r="U131" s="1" t="s">
        <v>2914</v>
      </c>
      <c r="V131" s="1">
        <v>8108640628</v>
      </c>
      <c r="W131" s="1" t="s">
        <v>161</v>
      </c>
      <c r="X131" s="1" t="s">
        <v>2915</v>
      </c>
      <c r="Y131" s="1" t="s">
        <v>1012</v>
      </c>
      <c r="Z131" s="1" t="s">
        <v>97</v>
      </c>
      <c r="AA131" s="1" t="s">
        <v>2915</v>
      </c>
      <c r="AB131" s="1" t="s">
        <v>1012</v>
      </c>
      <c r="AC131" s="1" t="s">
        <v>97</v>
      </c>
      <c r="AD131" s="1">
        <v>8.82</v>
      </c>
      <c r="AE131" s="1" t="s">
        <v>98</v>
      </c>
      <c r="AF131" s="1" t="s">
        <v>2916</v>
      </c>
      <c r="AG131" s="1" t="s">
        <v>1968</v>
      </c>
      <c r="AH131" s="1" t="s">
        <v>170</v>
      </c>
      <c r="AI131" s="1" t="s">
        <v>106</v>
      </c>
      <c r="AJ131" s="1">
        <v>79</v>
      </c>
      <c r="AK131" s="1">
        <v>0</v>
      </c>
      <c r="AL131" s="1"/>
      <c r="AM131" s="1"/>
      <c r="AN131" s="1"/>
      <c r="AO131" s="1"/>
      <c r="AP131" s="1"/>
      <c r="AQ131" s="1"/>
      <c r="AR131" s="1"/>
      <c r="AS131" s="1" t="s">
        <v>439</v>
      </c>
      <c r="AT131" s="1" t="s">
        <v>2917</v>
      </c>
      <c r="AU131" s="1" t="s">
        <v>1065</v>
      </c>
      <c r="AV131" s="1" t="s">
        <v>441</v>
      </c>
      <c r="AW131" s="1">
        <v>93.32</v>
      </c>
      <c r="AX131" s="1"/>
      <c r="AY131" s="1" t="s">
        <v>680</v>
      </c>
      <c r="AZ131" s="1" t="s">
        <v>2918</v>
      </c>
      <c r="BA131" s="1"/>
      <c r="BB131" s="1"/>
      <c r="BC131" s="1" t="s">
        <v>871</v>
      </c>
      <c r="BD131" s="1" t="s">
        <v>207</v>
      </c>
      <c r="BE131" s="1">
        <v>82.67</v>
      </c>
      <c r="BF131" s="1">
        <v>9.55</v>
      </c>
      <c r="BG131" s="1"/>
      <c r="BH131" s="1"/>
      <c r="BI131" s="1"/>
      <c r="BJ131" s="1"/>
      <c r="BK131" s="1"/>
      <c r="BL131" s="1"/>
      <c r="BM131" s="1"/>
      <c r="BN131" s="1"/>
      <c r="BO131" s="1" t="s">
        <v>2919</v>
      </c>
      <c r="BP131" s="1"/>
      <c r="BQ131" s="1"/>
      <c r="BR131" s="1" t="s">
        <v>2920</v>
      </c>
      <c r="BS131" s="1">
        <v>21</v>
      </c>
      <c r="BT131" s="1"/>
      <c r="BU131" s="1" t="str">
        <f>HYPERLINK("https://nconnect.nicmar.ac.in/storage/profile/ProfilePhoto_P25700116_731254.jpg","Download")</f>
        <v>0</v>
      </c>
      <c r="BV131" s="3"/>
      <c r="BW131" s="3"/>
    </row>
    <row r="132" spans="1:75">
      <c r="A132" s="1" t="s">
        <v>75</v>
      </c>
      <c r="B132" s="1" t="s">
        <v>446</v>
      </c>
      <c r="C132" s="1" t="s">
        <v>2921</v>
      </c>
      <c r="D132" s="1" t="s">
        <v>1505</v>
      </c>
      <c r="E132" s="1"/>
      <c r="F132" s="1" t="s">
        <v>530</v>
      </c>
      <c r="G132" s="1" t="s">
        <v>2922</v>
      </c>
      <c r="H132" s="1" t="s">
        <v>2923</v>
      </c>
      <c r="I132" s="1" t="s">
        <v>2924</v>
      </c>
      <c r="J132" s="1">
        <v>9399872931</v>
      </c>
      <c r="K132" s="1" t="s">
        <v>84</v>
      </c>
      <c r="L132" s="1" t="s">
        <v>2925</v>
      </c>
      <c r="M132" s="1" t="s">
        <v>86</v>
      </c>
      <c r="N132" s="1" t="s">
        <v>2926</v>
      </c>
      <c r="O132" s="1"/>
      <c r="P132" s="1" t="s">
        <v>670</v>
      </c>
      <c r="Q132" s="1" t="s">
        <v>2927</v>
      </c>
      <c r="R132" s="1" t="s">
        <v>2928</v>
      </c>
      <c r="S132" s="1">
        <v>9893417262</v>
      </c>
      <c r="T132" s="1" t="s">
        <v>2929</v>
      </c>
      <c r="U132" s="1" t="s">
        <v>2930</v>
      </c>
      <c r="V132" s="1">
        <v>9407786050</v>
      </c>
      <c r="W132" s="1" t="s">
        <v>541</v>
      </c>
      <c r="X132" s="1" t="s">
        <v>2931</v>
      </c>
      <c r="Y132" s="1" t="s">
        <v>2932</v>
      </c>
      <c r="Z132" s="1" t="s">
        <v>2933</v>
      </c>
      <c r="AA132" s="1" t="s">
        <v>2931</v>
      </c>
      <c r="AB132" s="1" t="s">
        <v>2932</v>
      </c>
      <c r="AC132" s="1" t="s">
        <v>2933</v>
      </c>
      <c r="AD132" s="1">
        <v>7.67</v>
      </c>
      <c r="AE132" s="1" t="s">
        <v>98</v>
      </c>
      <c r="AF132" s="1" t="s">
        <v>2934</v>
      </c>
      <c r="AG132" s="1" t="s">
        <v>2935</v>
      </c>
      <c r="AH132" s="1" t="s">
        <v>167</v>
      </c>
      <c r="AI132" s="1" t="s">
        <v>170</v>
      </c>
      <c r="AJ132" s="1">
        <v>83.6</v>
      </c>
      <c r="AK132" s="1">
        <v>8.8</v>
      </c>
      <c r="AL132" s="1" t="s">
        <v>2934</v>
      </c>
      <c r="AM132" s="1" t="s">
        <v>2935</v>
      </c>
      <c r="AN132" s="1" t="s">
        <v>465</v>
      </c>
      <c r="AO132" s="1" t="s">
        <v>171</v>
      </c>
      <c r="AP132" s="1" t="s">
        <v>313</v>
      </c>
      <c r="AQ132" s="1">
        <v>77</v>
      </c>
      <c r="AR132" s="1"/>
      <c r="AS132" s="1"/>
      <c r="AT132" s="1"/>
      <c r="AU132" s="1"/>
      <c r="AV132" s="1"/>
      <c r="AW132" s="1"/>
      <c r="AX132" s="1"/>
      <c r="AY132" s="1" t="s">
        <v>2936</v>
      </c>
      <c r="AZ132" s="1" t="s">
        <v>2937</v>
      </c>
      <c r="BA132" s="1" t="s">
        <v>466</v>
      </c>
      <c r="BB132" s="1" t="s">
        <v>467</v>
      </c>
      <c r="BC132" s="1" t="s">
        <v>206</v>
      </c>
      <c r="BD132" s="1" t="s">
        <v>179</v>
      </c>
      <c r="BE132" s="1">
        <v>77.72</v>
      </c>
      <c r="BF132" s="1"/>
      <c r="BG132" s="1"/>
      <c r="BH132" s="1"/>
      <c r="BI132" s="1"/>
      <c r="BJ132" s="1"/>
      <c r="BK132" s="1"/>
      <c r="BL132" s="1"/>
      <c r="BM132" s="1"/>
      <c r="BN132" s="1"/>
      <c r="BO132" s="1" t="s">
        <v>2938</v>
      </c>
      <c r="BP132" s="1"/>
      <c r="BQ132" s="1"/>
      <c r="BR132" s="1" t="s">
        <v>2939</v>
      </c>
      <c r="BS132" s="1">
        <v>36</v>
      </c>
      <c r="BT132" s="1" t="s">
        <v>2940</v>
      </c>
      <c r="BU132" s="1" t="str">
        <f>HYPERLINK("https://nconnect.nicmar.ac.in/storage/profile/ProfilePhoto_P25700117_189624.jpg","Download")</f>
        <v>0</v>
      </c>
      <c r="BV132" s="3"/>
      <c r="BW132" s="4">
        <v>1</v>
      </c>
    </row>
    <row r="133" spans="1:75">
      <c r="A133" s="1" t="s">
        <v>75</v>
      </c>
      <c r="B133" s="1" t="s">
        <v>446</v>
      </c>
      <c r="C133" s="1" t="s">
        <v>2941</v>
      </c>
      <c r="D133" s="1" t="s">
        <v>2942</v>
      </c>
      <c r="E133" s="1"/>
      <c r="F133" s="1" t="s">
        <v>2943</v>
      </c>
      <c r="G133" s="1" t="s">
        <v>2944</v>
      </c>
      <c r="H133" s="1" t="s">
        <v>2945</v>
      </c>
      <c r="I133" s="1" t="s">
        <v>2946</v>
      </c>
      <c r="J133" s="1">
        <v>8210698337</v>
      </c>
      <c r="K133" s="1" t="s">
        <v>84</v>
      </c>
      <c r="L133" s="1" t="s">
        <v>2947</v>
      </c>
      <c r="M133" s="1" t="s">
        <v>86</v>
      </c>
      <c r="N133" s="1" t="s">
        <v>87</v>
      </c>
      <c r="O133" s="1"/>
      <c r="P133" s="1" t="s">
        <v>455</v>
      </c>
      <c r="Q133" s="1" t="s">
        <v>2948</v>
      </c>
      <c r="R133" s="1" t="s">
        <v>2949</v>
      </c>
      <c r="S133" s="1">
        <v>9431107316</v>
      </c>
      <c r="T133" s="1" t="s">
        <v>2950</v>
      </c>
      <c r="U133" s="1" t="s">
        <v>2951</v>
      </c>
      <c r="V133" s="1">
        <v>9631194424</v>
      </c>
      <c r="W133" s="1" t="s">
        <v>541</v>
      </c>
      <c r="X133" s="1" t="s">
        <v>2952</v>
      </c>
      <c r="Y133" s="1" t="s">
        <v>2259</v>
      </c>
      <c r="Z133" s="1" t="s">
        <v>97</v>
      </c>
      <c r="AA133" s="1" t="s">
        <v>2953</v>
      </c>
      <c r="AB133" s="1" t="s">
        <v>2954</v>
      </c>
      <c r="AC133" s="1" t="s">
        <v>2955</v>
      </c>
      <c r="AD133" s="1">
        <v>8.41</v>
      </c>
      <c r="AE133" s="1" t="s">
        <v>98</v>
      </c>
      <c r="AF133" s="1" t="s">
        <v>2956</v>
      </c>
      <c r="AG133" s="1" t="s">
        <v>1721</v>
      </c>
      <c r="AH133" s="1" t="s">
        <v>1110</v>
      </c>
      <c r="AI133" s="1" t="s">
        <v>627</v>
      </c>
      <c r="AJ133" s="1">
        <v>79.8</v>
      </c>
      <c r="AK133" s="1">
        <v>8.4</v>
      </c>
      <c r="AL133" s="1" t="s">
        <v>2956</v>
      </c>
      <c r="AM133" s="1" t="s">
        <v>1721</v>
      </c>
      <c r="AN133" s="1"/>
      <c r="AO133" s="1" t="s">
        <v>704</v>
      </c>
      <c r="AP133" s="1" t="s">
        <v>171</v>
      </c>
      <c r="AQ133" s="1">
        <v>73</v>
      </c>
      <c r="AR133" s="1"/>
      <c r="AS133" s="1"/>
      <c r="AT133" s="1"/>
      <c r="AU133" s="1"/>
      <c r="AV133" s="1"/>
      <c r="AW133" s="1"/>
      <c r="AX133" s="1"/>
      <c r="AY133" s="1" t="s">
        <v>2957</v>
      </c>
      <c r="AZ133" s="1" t="s">
        <v>2958</v>
      </c>
      <c r="BA133" s="1"/>
      <c r="BB133" s="1"/>
      <c r="BC133" s="1" t="s">
        <v>1065</v>
      </c>
      <c r="BD133" s="1" t="s">
        <v>179</v>
      </c>
      <c r="BE133" s="1">
        <v>64.7</v>
      </c>
      <c r="BF133" s="1">
        <v>6.47</v>
      </c>
      <c r="BG133" s="1"/>
      <c r="BH133" s="1"/>
      <c r="BI133" s="1"/>
      <c r="BJ133" s="1"/>
      <c r="BK133" s="1"/>
      <c r="BL133" s="1"/>
      <c r="BM133" s="1"/>
      <c r="BN133" s="1"/>
      <c r="BO133" s="1" t="s">
        <v>2959</v>
      </c>
      <c r="BP133" s="1" t="s">
        <v>2960</v>
      </c>
      <c r="BQ133" s="1" t="s">
        <v>1174</v>
      </c>
      <c r="BR133" s="1" t="s">
        <v>2961</v>
      </c>
      <c r="BS133" s="1">
        <v>34</v>
      </c>
      <c r="BT133" s="1"/>
      <c r="BU133" s="1" t="str">
        <f>HYPERLINK("https://nconnect.nicmar.ac.in/storage/profile/ProfilePhoto_P25700118_148736.jpg","Download")</f>
        <v>0</v>
      </c>
      <c r="BV133" s="3"/>
      <c r="BW133" s="3"/>
    </row>
    <row r="134" spans="1:75">
      <c r="A134" s="1" t="s">
        <v>75</v>
      </c>
      <c r="B134" s="1" t="s">
        <v>446</v>
      </c>
      <c r="C134" s="1" t="s">
        <v>2962</v>
      </c>
      <c r="D134" s="1" t="s">
        <v>1319</v>
      </c>
      <c r="E134" s="1" t="s">
        <v>2963</v>
      </c>
      <c r="F134" s="1" t="s">
        <v>2964</v>
      </c>
      <c r="G134" s="1" t="s">
        <v>2965</v>
      </c>
      <c r="H134" s="1" t="s">
        <v>2966</v>
      </c>
      <c r="I134" s="1" t="s">
        <v>2967</v>
      </c>
      <c r="J134" s="1">
        <v>9587233281</v>
      </c>
      <c r="K134" s="1" t="s">
        <v>84</v>
      </c>
      <c r="L134" s="1" t="s">
        <v>2968</v>
      </c>
      <c r="M134" s="1" t="s">
        <v>86</v>
      </c>
      <c r="N134" s="1" t="s">
        <v>2969</v>
      </c>
      <c r="O134" s="1"/>
      <c r="P134" s="1" t="s">
        <v>455</v>
      </c>
      <c r="Q134" s="1" t="s">
        <v>2970</v>
      </c>
      <c r="R134" s="1" t="s">
        <v>2971</v>
      </c>
      <c r="S134" s="1">
        <v>9783696344</v>
      </c>
      <c r="T134" s="1" t="s">
        <v>839</v>
      </c>
      <c r="U134" s="1" t="s">
        <v>2972</v>
      </c>
      <c r="V134" s="1">
        <v>6350421506</v>
      </c>
      <c r="W134" s="1" t="s">
        <v>541</v>
      </c>
      <c r="X134" s="1" t="s">
        <v>2973</v>
      </c>
      <c r="Y134" s="1" t="s">
        <v>2974</v>
      </c>
      <c r="Z134" s="1" t="s">
        <v>2153</v>
      </c>
      <c r="AA134" s="1" t="s">
        <v>2973</v>
      </c>
      <c r="AB134" s="1" t="s">
        <v>2974</v>
      </c>
      <c r="AC134" s="1" t="s">
        <v>2153</v>
      </c>
      <c r="AD134" s="1">
        <v>7.28</v>
      </c>
      <c r="AE134" s="1" t="s">
        <v>98</v>
      </c>
      <c r="AF134" s="1" t="s">
        <v>2975</v>
      </c>
      <c r="AG134" s="1" t="s">
        <v>2976</v>
      </c>
      <c r="AH134" s="1" t="s">
        <v>135</v>
      </c>
      <c r="AI134" s="1" t="s">
        <v>1110</v>
      </c>
      <c r="AJ134" s="1">
        <v>60.5</v>
      </c>
      <c r="AK134" s="1"/>
      <c r="AL134" s="1"/>
      <c r="AM134" s="1"/>
      <c r="AN134" s="1"/>
      <c r="AO134" s="1"/>
      <c r="AP134" s="1"/>
      <c r="AQ134" s="1"/>
      <c r="AR134" s="1"/>
      <c r="AS134" s="1" t="s">
        <v>439</v>
      </c>
      <c r="AT134" s="1" t="s">
        <v>2977</v>
      </c>
      <c r="AU134" s="1" t="s">
        <v>342</v>
      </c>
      <c r="AV134" s="1" t="s">
        <v>106</v>
      </c>
      <c r="AW134" s="1">
        <v>83</v>
      </c>
      <c r="AX134" s="1">
        <v>8.3</v>
      </c>
      <c r="AY134" s="1" t="s">
        <v>2978</v>
      </c>
      <c r="AZ134" s="1" t="s">
        <v>2977</v>
      </c>
      <c r="BA134" s="1"/>
      <c r="BB134" s="1"/>
      <c r="BC134" s="1" t="s">
        <v>1065</v>
      </c>
      <c r="BD134" s="1" t="s">
        <v>549</v>
      </c>
      <c r="BE134" s="1">
        <v>72.1</v>
      </c>
      <c r="BF134" s="1">
        <v>7.21</v>
      </c>
      <c r="BG134" s="1"/>
      <c r="BH134" s="1"/>
      <c r="BI134" s="1"/>
      <c r="BJ134" s="1"/>
      <c r="BK134" s="1"/>
      <c r="BL134" s="1"/>
      <c r="BM134" s="1"/>
      <c r="BN134" s="1"/>
      <c r="BO134" s="1" t="s">
        <v>2979</v>
      </c>
      <c r="BP134" s="1" t="s">
        <v>2980</v>
      </c>
      <c r="BQ134" s="1" t="s">
        <v>471</v>
      </c>
      <c r="BR134" s="1" t="s">
        <v>2981</v>
      </c>
      <c r="BS134" s="1">
        <v>32</v>
      </c>
      <c r="BT134" s="1" t="s">
        <v>2982</v>
      </c>
      <c r="BU134" s="1" t="str">
        <f>HYPERLINK("https://nconnect.nicmar.ac.in/storage/profile/ProfilePhoto_P25700119_915374.jpg","Download")</f>
        <v>0</v>
      </c>
      <c r="BV134" s="3"/>
      <c r="BW134" s="3"/>
    </row>
    <row r="135" spans="1:75">
      <c r="A135" s="1" t="s">
        <v>75</v>
      </c>
      <c r="B135" s="1" t="s">
        <v>446</v>
      </c>
      <c r="C135" s="1" t="s">
        <v>2983</v>
      </c>
      <c r="D135" s="1" t="s">
        <v>2984</v>
      </c>
      <c r="E135" s="1" t="s">
        <v>761</v>
      </c>
      <c r="F135" s="1" t="s">
        <v>762</v>
      </c>
      <c r="G135" s="1" t="s">
        <v>2985</v>
      </c>
      <c r="H135" s="1" t="s">
        <v>2986</v>
      </c>
      <c r="I135" s="1" t="s">
        <v>2987</v>
      </c>
      <c r="J135" s="1">
        <v>9172128006</v>
      </c>
      <c r="K135" s="1" t="s">
        <v>84</v>
      </c>
      <c r="L135" s="1" t="s">
        <v>1183</v>
      </c>
      <c r="M135" s="1" t="s">
        <v>86</v>
      </c>
      <c r="N135" s="1" t="s">
        <v>2988</v>
      </c>
      <c r="O135" s="1"/>
      <c r="P135" s="1" t="s">
        <v>481</v>
      </c>
      <c r="Q135" s="1" t="s">
        <v>2989</v>
      </c>
      <c r="R135" s="1" t="s">
        <v>2990</v>
      </c>
      <c r="S135" s="1">
        <v>9423164910</v>
      </c>
      <c r="T135" s="1" t="s">
        <v>382</v>
      </c>
      <c r="U135" s="1" t="s">
        <v>2991</v>
      </c>
      <c r="V135" s="1">
        <v>9604786901</v>
      </c>
      <c r="W135" s="1" t="s">
        <v>94</v>
      </c>
      <c r="X135" s="1" t="s">
        <v>2992</v>
      </c>
      <c r="Y135" s="1" t="s">
        <v>1779</v>
      </c>
      <c r="Z135" s="1" t="s">
        <v>97</v>
      </c>
      <c r="AA135" s="1" t="s">
        <v>2992</v>
      </c>
      <c r="AB135" s="1" t="s">
        <v>1779</v>
      </c>
      <c r="AC135" s="1" t="s">
        <v>97</v>
      </c>
      <c r="AD135" s="1">
        <v>6.33</v>
      </c>
      <c r="AE135" s="1" t="s">
        <v>98</v>
      </c>
      <c r="AF135" s="1" t="s">
        <v>2993</v>
      </c>
      <c r="AG135" s="1" t="s">
        <v>2670</v>
      </c>
      <c r="AH135" s="1" t="s">
        <v>106</v>
      </c>
      <c r="AI135" s="1" t="s">
        <v>414</v>
      </c>
      <c r="AJ135" s="1">
        <v>82.8</v>
      </c>
      <c r="AK135" s="1"/>
      <c r="AL135" s="1" t="s">
        <v>2994</v>
      </c>
      <c r="AM135" s="1" t="s">
        <v>2670</v>
      </c>
      <c r="AN135" s="1" t="s">
        <v>2995</v>
      </c>
      <c r="AO135" s="1" t="s">
        <v>438</v>
      </c>
      <c r="AP135" s="1" t="s">
        <v>845</v>
      </c>
      <c r="AQ135" s="1">
        <v>84.17</v>
      </c>
      <c r="AR135" s="1"/>
      <c r="AS135" s="1"/>
      <c r="AT135" s="1"/>
      <c r="AU135" s="1"/>
      <c r="AV135" s="1"/>
      <c r="AW135" s="1"/>
      <c r="AX135" s="1"/>
      <c r="AY135" s="1" t="s">
        <v>2996</v>
      </c>
      <c r="AZ135" s="1" t="s">
        <v>2997</v>
      </c>
      <c r="BA135" s="1" t="s">
        <v>466</v>
      </c>
      <c r="BB135" s="1" t="s">
        <v>467</v>
      </c>
      <c r="BC135" s="1" t="s">
        <v>871</v>
      </c>
      <c r="BD135" s="1" t="s">
        <v>848</v>
      </c>
      <c r="BE135" s="1">
        <v>69</v>
      </c>
      <c r="BF135" s="1">
        <v>7.4</v>
      </c>
      <c r="BG135" s="1"/>
      <c r="BH135" s="1"/>
      <c r="BI135" s="1"/>
      <c r="BJ135" s="1"/>
      <c r="BK135" s="1"/>
      <c r="BL135" s="1"/>
      <c r="BM135" s="1"/>
      <c r="BN135" s="1"/>
      <c r="BO135" s="1" t="s">
        <v>849</v>
      </c>
      <c r="BP135" s="1"/>
      <c r="BQ135" s="1"/>
      <c r="BR135" s="1" t="s">
        <v>2998</v>
      </c>
      <c r="BS135" s="1">
        <v>18</v>
      </c>
      <c r="BT135" s="1"/>
      <c r="BU135" s="1" t="str">
        <f>HYPERLINK("https://nconnect.nicmar.ac.in/storage/profile/ProfilePhoto_P25700121_694527.jpg","Download")</f>
        <v>0</v>
      </c>
      <c r="BV135" s="3"/>
      <c r="BW135" s="3"/>
    </row>
    <row r="136" spans="1:75">
      <c r="A136" s="1" t="s">
        <v>75</v>
      </c>
      <c r="B136" s="1" t="s">
        <v>446</v>
      </c>
      <c r="C136" s="1" t="s">
        <v>2999</v>
      </c>
      <c r="D136" s="1" t="s">
        <v>3000</v>
      </c>
      <c r="E136" s="1" t="s">
        <v>587</v>
      </c>
      <c r="F136" s="1" t="s">
        <v>3001</v>
      </c>
      <c r="G136" s="1" t="s">
        <v>3002</v>
      </c>
      <c r="H136" s="1" t="s">
        <v>3003</v>
      </c>
      <c r="I136" s="1" t="s">
        <v>3004</v>
      </c>
      <c r="J136" s="1">
        <v>7204112797</v>
      </c>
      <c r="K136" s="1" t="s">
        <v>153</v>
      </c>
      <c r="L136" s="1" t="s">
        <v>3005</v>
      </c>
      <c r="M136" s="1" t="s">
        <v>86</v>
      </c>
      <c r="N136" s="1" t="s">
        <v>1617</v>
      </c>
      <c r="O136" s="1"/>
      <c r="P136" s="1" t="s">
        <v>507</v>
      </c>
      <c r="Q136" s="1" t="s">
        <v>3006</v>
      </c>
      <c r="R136" s="1" t="s">
        <v>3007</v>
      </c>
      <c r="S136" s="1">
        <v>9741530797</v>
      </c>
      <c r="T136" s="1" t="s">
        <v>3008</v>
      </c>
      <c r="U136" s="1" t="s">
        <v>3009</v>
      </c>
      <c r="V136" s="1">
        <v>9663432156</v>
      </c>
      <c r="W136" s="1" t="s">
        <v>278</v>
      </c>
      <c r="X136" s="1" t="s">
        <v>3010</v>
      </c>
      <c r="Y136" s="1" t="s">
        <v>3011</v>
      </c>
      <c r="Z136" s="1" t="s">
        <v>1210</v>
      </c>
      <c r="AA136" s="1" t="s">
        <v>3010</v>
      </c>
      <c r="AB136" s="1" t="s">
        <v>3011</v>
      </c>
      <c r="AC136" s="1" t="s">
        <v>1210</v>
      </c>
      <c r="AD136" s="1">
        <v>8.44</v>
      </c>
      <c r="AE136" s="1" t="s">
        <v>98</v>
      </c>
      <c r="AF136" s="1" t="s">
        <v>3012</v>
      </c>
      <c r="AG136" s="1" t="s">
        <v>312</v>
      </c>
      <c r="AH136" s="1" t="s">
        <v>170</v>
      </c>
      <c r="AI136" s="1" t="s">
        <v>171</v>
      </c>
      <c r="AJ136" s="1">
        <v>74.2</v>
      </c>
      <c r="AK136" s="1"/>
      <c r="AL136" s="1" t="s">
        <v>3013</v>
      </c>
      <c r="AM136" s="1" t="s">
        <v>3014</v>
      </c>
      <c r="AN136" s="1"/>
      <c r="AO136" s="1" t="s">
        <v>414</v>
      </c>
      <c r="AP136" s="1" t="s">
        <v>603</v>
      </c>
      <c r="AQ136" s="1">
        <v>87.33</v>
      </c>
      <c r="AR136" s="1"/>
      <c r="AS136" s="1"/>
      <c r="AT136" s="1"/>
      <c r="AU136" s="1"/>
      <c r="AV136" s="1"/>
      <c r="AW136" s="1"/>
      <c r="AX136" s="1"/>
      <c r="AY136" s="1" t="s">
        <v>3015</v>
      </c>
      <c r="AZ136" s="1" t="s">
        <v>3016</v>
      </c>
      <c r="BA136" s="1"/>
      <c r="BB136" s="1"/>
      <c r="BC136" s="1" t="s">
        <v>368</v>
      </c>
      <c r="BD136" s="1" t="s">
        <v>207</v>
      </c>
      <c r="BE136" s="1">
        <v>66.4</v>
      </c>
      <c r="BF136" s="1">
        <v>7.39</v>
      </c>
      <c r="BG136" s="1"/>
      <c r="BH136" s="1"/>
      <c r="BI136" s="1"/>
      <c r="BJ136" s="1"/>
      <c r="BK136" s="1"/>
      <c r="BL136" s="1"/>
      <c r="BM136" s="1"/>
      <c r="BN136" s="1"/>
      <c r="BO136" s="1" t="s">
        <v>3017</v>
      </c>
      <c r="BP136" s="1"/>
      <c r="BQ136" s="1"/>
      <c r="BR136" s="1" t="s">
        <v>3018</v>
      </c>
      <c r="BS136" s="1">
        <v>17</v>
      </c>
      <c r="BT136" s="1"/>
      <c r="BU136" s="1" t="str">
        <f>HYPERLINK("https://nconnect.nicmar.ac.in/storage/profile/ProfilePhoto_P25700122_231978.jpg","Download")</f>
        <v>0</v>
      </c>
      <c r="BV136" s="3"/>
      <c r="BW136" s="3"/>
    </row>
    <row r="137" spans="1:75">
      <c r="A137" s="1" t="s">
        <v>75</v>
      </c>
      <c r="B137" s="1" t="s">
        <v>446</v>
      </c>
      <c r="C137" s="1" t="s">
        <v>3019</v>
      </c>
      <c r="D137" s="1" t="s">
        <v>3020</v>
      </c>
      <c r="E137" s="1"/>
      <c r="F137" s="1" t="s">
        <v>3021</v>
      </c>
      <c r="G137" s="1" t="s">
        <v>3022</v>
      </c>
      <c r="H137" s="1" t="s">
        <v>3023</v>
      </c>
      <c r="I137" s="1" t="s">
        <v>3024</v>
      </c>
      <c r="J137" s="1">
        <v>9502943943</v>
      </c>
      <c r="K137" s="1" t="s">
        <v>153</v>
      </c>
      <c r="L137" s="1" t="s">
        <v>3025</v>
      </c>
      <c r="M137" s="1" t="s">
        <v>86</v>
      </c>
      <c r="N137" s="1" t="s">
        <v>3026</v>
      </c>
      <c r="O137" s="1"/>
      <c r="P137" s="1" t="s">
        <v>507</v>
      </c>
      <c r="Q137" s="1" t="s">
        <v>3027</v>
      </c>
      <c r="R137" s="1" t="s">
        <v>3028</v>
      </c>
      <c r="S137" s="1">
        <v>9440805093</v>
      </c>
      <c r="T137" s="1" t="s">
        <v>92</v>
      </c>
      <c r="U137" s="1" t="s">
        <v>3029</v>
      </c>
      <c r="V137" s="1">
        <v>9908344785</v>
      </c>
      <c r="W137" s="1" t="s">
        <v>541</v>
      </c>
      <c r="X137" s="1" t="s">
        <v>3030</v>
      </c>
      <c r="Y137" s="1" t="s">
        <v>3031</v>
      </c>
      <c r="Z137" s="1" t="s">
        <v>461</v>
      </c>
      <c r="AA137" s="1" t="s">
        <v>3030</v>
      </c>
      <c r="AB137" s="1" t="s">
        <v>3031</v>
      </c>
      <c r="AC137" s="1" t="s">
        <v>461</v>
      </c>
      <c r="AD137" s="1">
        <v>8.74</v>
      </c>
      <c r="AE137" s="1" t="s">
        <v>98</v>
      </c>
      <c r="AF137" s="1" t="s">
        <v>3032</v>
      </c>
      <c r="AG137" s="1" t="s">
        <v>463</v>
      </c>
      <c r="AH137" s="1" t="s">
        <v>342</v>
      </c>
      <c r="AI137" s="1" t="s">
        <v>1111</v>
      </c>
      <c r="AJ137" s="1">
        <v>98</v>
      </c>
      <c r="AK137" s="1">
        <v>9.8</v>
      </c>
      <c r="AL137" s="1" t="s">
        <v>3033</v>
      </c>
      <c r="AM137" s="1" t="s">
        <v>3034</v>
      </c>
      <c r="AN137" s="1" t="s">
        <v>465</v>
      </c>
      <c r="AO137" s="1" t="s">
        <v>170</v>
      </c>
      <c r="AP137" s="1" t="s">
        <v>490</v>
      </c>
      <c r="AQ137" s="1">
        <v>90</v>
      </c>
      <c r="AR137" s="1"/>
      <c r="AS137" s="1"/>
      <c r="AT137" s="1"/>
      <c r="AU137" s="1"/>
      <c r="AV137" s="1"/>
      <c r="AW137" s="1"/>
      <c r="AX137" s="1"/>
      <c r="AY137" s="1" t="s">
        <v>3035</v>
      </c>
      <c r="AZ137" s="1" t="s">
        <v>3036</v>
      </c>
      <c r="BA137" s="1" t="s">
        <v>578</v>
      </c>
      <c r="BB137" s="1" t="s">
        <v>467</v>
      </c>
      <c r="BC137" s="1" t="s">
        <v>1065</v>
      </c>
      <c r="BD137" s="1" t="s">
        <v>632</v>
      </c>
      <c r="BE137" s="1">
        <v>67.04</v>
      </c>
      <c r="BF137" s="1">
        <v>7.04</v>
      </c>
      <c r="BG137" s="1"/>
      <c r="BH137" s="1"/>
      <c r="BI137" s="1"/>
      <c r="BJ137" s="1"/>
      <c r="BK137" s="1"/>
      <c r="BL137" s="1"/>
      <c r="BM137" s="1"/>
      <c r="BN137" s="1"/>
      <c r="BO137" s="1" t="s">
        <v>3037</v>
      </c>
      <c r="BP137" s="1"/>
      <c r="BQ137" s="1"/>
      <c r="BR137" s="1" t="s">
        <v>3038</v>
      </c>
      <c r="BS137" s="1">
        <v>45</v>
      </c>
      <c r="BT137" s="1"/>
      <c r="BU137" s="1" t="str">
        <f>HYPERLINK("https://nconnect.nicmar.ac.in/storage/profile/ProfilePhoto_P25700123_419637.jpg","Download")</f>
        <v>0</v>
      </c>
      <c r="BV137" s="3"/>
      <c r="BW137" s="3"/>
    </row>
    <row r="138" spans="1:75">
      <c r="A138" s="1" t="s">
        <v>75</v>
      </c>
      <c r="B138" s="1" t="s">
        <v>446</v>
      </c>
      <c r="C138" s="1" t="s">
        <v>3039</v>
      </c>
      <c r="D138" s="1" t="s">
        <v>3040</v>
      </c>
      <c r="E138" s="1" t="s">
        <v>3041</v>
      </c>
      <c r="F138" s="1" t="s">
        <v>3042</v>
      </c>
      <c r="G138" s="1" t="s">
        <v>3043</v>
      </c>
      <c r="H138" s="1" t="s">
        <v>3044</v>
      </c>
      <c r="I138" s="1" t="s">
        <v>3045</v>
      </c>
      <c r="J138" s="1">
        <v>9309161835</v>
      </c>
      <c r="K138" s="1" t="s">
        <v>153</v>
      </c>
      <c r="L138" s="1" t="s">
        <v>1124</v>
      </c>
      <c r="M138" s="1" t="s">
        <v>86</v>
      </c>
      <c r="N138" s="1" t="s">
        <v>3046</v>
      </c>
      <c r="O138" s="1"/>
      <c r="P138" s="1" t="s">
        <v>1028</v>
      </c>
      <c r="Q138" s="1" t="s">
        <v>3047</v>
      </c>
      <c r="R138" s="1" t="s">
        <v>3048</v>
      </c>
      <c r="S138" s="1">
        <v>9423550172</v>
      </c>
      <c r="T138" s="1" t="s">
        <v>159</v>
      </c>
      <c r="U138" s="1" t="s">
        <v>3049</v>
      </c>
      <c r="V138" s="1">
        <v>7378732829</v>
      </c>
      <c r="W138" s="1" t="s">
        <v>1678</v>
      </c>
      <c r="X138" s="1" t="s">
        <v>3050</v>
      </c>
      <c r="Y138" s="1" t="s">
        <v>910</v>
      </c>
      <c r="Z138" s="1" t="s">
        <v>97</v>
      </c>
      <c r="AA138" s="1" t="s">
        <v>3050</v>
      </c>
      <c r="AB138" s="1" t="s">
        <v>910</v>
      </c>
      <c r="AC138" s="1" t="s">
        <v>97</v>
      </c>
      <c r="AD138" s="1">
        <v>8.64</v>
      </c>
      <c r="AE138" s="1" t="s">
        <v>98</v>
      </c>
      <c r="AF138" s="1" t="s">
        <v>3051</v>
      </c>
      <c r="AG138" s="1" t="s">
        <v>3052</v>
      </c>
      <c r="AH138" s="1" t="s">
        <v>170</v>
      </c>
      <c r="AI138" s="1" t="s">
        <v>286</v>
      </c>
      <c r="AJ138" s="1">
        <v>92</v>
      </c>
      <c r="AK138" s="1"/>
      <c r="AL138" s="1" t="s">
        <v>3053</v>
      </c>
      <c r="AM138" s="1" t="s">
        <v>3052</v>
      </c>
      <c r="AN138" s="1" t="s">
        <v>465</v>
      </c>
      <c r="AO138" s="1" t="s">
        <v>438</v>
      </c>
      <c r="AP138" s="1" t="s">
        <v>365</v>
      </c>
      <c r="AQ138" s="1">
        <v>80</v>
      </c>
      <c r="AR138" s="1"/>
      <c r="AS138" s="1"/>
      <c r="AT138" s="1"/>
      <c r="AU138" s="1"/>
      <c r="AV138" s="1"/>
      <c r="AW138" s="1"/>
      <c r="AX138" s="1"/>
      <c r="AY138" s="1" t="s">
        <v>366</v>
      </c>
      <c r="AZ138" s="1" t="s">
        <v>3054</v>
      </c>
      <c r="BA138" s="1" t="s">
        <v>578</v>
      </c>
      <c r="BB138" s="1" t="s">
        <v>467</v>
      </c>
      <c r="BC138" s="1" t="s">
        <v>365</v>
      </c>
      <c r="BD138" s="1" t="s">
        <v>1314</v>
      </c>
      <c r="BE138" s="1">
        <v>76.64</v>
      </c>
      <c r="BF138" s="1">
        <v>8.47</v>
      </c>
      <c r="BG138" s="1"/>
      <c r="BH138" s="1"/>
      <c r="BI138" s="1"/>
      <c r="BJ138" s="1"/>
      <c r="BK138" s="1"/>
      <c r="BL138" s="1"/>
      <c r="BM138" s="1"/>
      <c r="BN138" s="1"/>
      <c r="BO138" s="1" t="s">
        <v>3055</v>
      </c>
      <c r="BP138" s="1"/>
      <c r="BQ138" s="1"/>
      <c r="BR138" s="1" t="s">
        <v>3056</v>
      </c>
      <c r="BS138" s="1">
        <v>12</v>
      </c>
      <c r="BT138" s="1"/>
      <c r="BU138" s="1" t="str">
        <f>HYPERLINK("https://nconnect.nicmar.ac.in/storage/profile/ProfilePhoto_P25700124_567432.jpg","Download")</f>
        <v>0</v>
      </c>
      <c r="BV138" s="3"/>
      <c r="BW138" s="3"/>
    </row>
    <row r="139" spans="1:75">
      <c r="A139" s="1" t="s">
        <v>75</v>
      </c>
      <c r="B139" s="1" t="s">
        <v>446</v>
      </c>
      <c r="C139" s="1" t="s">
        <v>3057</v>
      </c>
      <c r="D139" s="1" t="s">
        <v>949</v>
      </c>
      <c r="E139" s="1" t="s">
        <v>3058</v>
      </c>
      <c r="F139" s="1" t="s">
        <v>3059</v>
      </c>
      <c r="G139" s="1" t="s">
        <v>3060</v>
      </c>
      <c r="H139" s="1" t="s">
        <v>3061</v>
      </c>
      <c r="I139" s="1" t="s">
        <v>3062</v>
      </c>
      <c r="J139" s="1">
        <v>9029189774</v>
      </c>
      <c r="K139" s="1" t="s">
        <v>153</v>
      </c>
      <c r="L139" s="1" t="s">
        <v>3063</v>
      </c>
      <c r="M139" s="1" t="s">
        <v>86</v>
      </c>
      <c r="N139" s="1" t="s">
        <v>3064</v>
      </c>
      <c r="O139" s="1"/>
      <c r="P139" s="1" t="s">
        <v>481</v>
      </c>
      <c r="Q139" s="1" t="s">
        <v>3065</v>
      </c>
      <c r="R139" s="1" t="s">
        <v>3066</v>
      </c>
      <c r="S139" s="1">
        <v>9221309375</v>
      </c>
      <c r="T139" s="1" t="s">
        <v>3067</v>
      </c>
      <c r="U139" s="1" t="s">
        <v>3068</v>
      </c>
      <c r="V139" s="1">
        <v>9321451544</v>
      </c>
      <c r="W139" s="1" t="s">
        <v>161</v>
      </c>
      <c r="X139" s="1" t="s">
        <v>3069</v>
      </c>
      <c r="Y139" s="1" t="s">
        <v>2259</v>
      </c>
      <c r="Z139" s="1" t="s">
        <v>97</v>
      </c>
      <c r="AA139" s="1" t="s">
        <v>3069</v>
      </c>
      <c r="AB139" s="1" t="s">
        <v>2259</v>
      </c>
      <c r="AC139" s="1" t="s">
        <v>97</v>
      </c>
      <c r="AD139" s="1">
        <v>7.74</v>
      </c>
      <c r="AE139" s="1" t="s">
        <v>98</v>
      </c>
      <c r="AF139" s="1" t="s">
        <v>3070</v>
      </c>
      <c r="AG139" s="1" t="s">
        <v>165</v>
      </c>
      <c r="AH139" s="1" t="s">
        <v>166</v>
      </c>
      <c r="AI139" s="1" t="s">
        <v>1111</v>
      </c>
      <c r="AJ139" s="1">
        <v>78.4</v>
      </c>
      <c r="AK139" s="1"/>
      <c r="AL139" s="1"/>
      <c r="AM139" s="1"/>
      <c r="AN139" s="1"/>
      <c r="AO139" s="1"/>
      <c r="AP139" s="1"/>
      <c r="AQ139" s="1"/>
      <c r="AR139" s="1"/>
      <c r="AS139" s="1" t="s">
        <v>439</v>
      </c>
      <c r="AT139" s="1" t="s">
        <v>1969</v>
      </c>
      <c r="AU139" s="1" t="s">
        <v>139</v>
      </c>
      <c r="AV139" s="1" t="s">
        <v>438</v>
      </c>
      <c r="AW139" s="1">
        <v>73.93</v>
      </c>
      <c r="AX139" s="1">
        <v>7.78</v>
      </c>
      <c r="AY139" s="1" t="s">
        <v>258</v>
      </c>
      <c r="AZ139" s="1" t="s">
        <v>3071</v>
      </c>
      <c r="BA139" s="1" t="s">
        <v>578</v>
      </c>
      <c r="BB139" s="1" t="s">
        <v>467</v>
      </c>
      <c r="BC139" s="1" t="s">
        <v>206</v>
      </c>
      <c r="BD139" s="1" t="s">
        <v>110</v>
      </c>
      <c r="BE139" s="1">
        <v>73.52</v>
      </c>
      <c r="BF139" s="1">
        <v>8.42</v>
      </c>
      <c r="BG139" s="1"/>
      <c r="BH139" s="1"/>
      <c r="BI139" s="1"/>
      <c r="BJ139" s="1"/>
      <c r="BK139" s="1"/>
      <c r="BL139" s="1"/>
      <c r="BM139" s="1"/>
      <c r="BN139" s="1"/>
      <c r="BO139" s="1" t="s">
        <v>3072</v>
      </c>
      <c r="BP139" s="1" t="s">
        <v>3073</v>
      </c>
      <c r="BQ139" s="1" t="s">
        <v>1357</v>
      </c>
      <c r="BR139" s="1" t="s">
        <v>3074</v>
      </c>
      <c r="BS139" s="1">
        <v>60</v>
      </c>
      <c r="BT139" s="1" t="s">
        <v>3075</v>
      </c>
      <c r="BU139" s="1" t="str">
        <f>HYPERLINK("https://nconnect.nicmar.ac.in/storage/profile/ProfilePhoto_P25700125_234987.jpg","Download")</f>
        <v>0</v>
      </c>
      <c r="BV139" s="3"/>
      <c r="BW139" s="3"/>
    </row>
    <row r="140" spans="1:75">
      <c r="A140" s="1" t="s">
        <v>75</v>
      </c>
      <c r="B140" s="1" t="s">
        <v>446</v>
      </c>
      <c r="C140" s="1" t="s">
        <v>3076</v>
      </c>
      <c r="D140" s="1" t="s">
        <v>3077</v>
      </c>
      <c r="E140" s="1"/>
      <c r="F140" s="1" t="s">
        <v>3078</v>
      </c>
      <c r="G140" s="1" t="s">
        <v>3079</v>
      </c>
      <c r="H140" s="1" t="s">
        <v>3080</v>
      </c>
      <c r="I140" s="1" t="s">
        <v>3081</v>
      </c>
      <c r="J140" s="1">
        <v>7095626628</v>
      </c>
      <c r="K140" s="1" t="s">
        <v>153</v>
      </c>
      <c r="L140" s="1" t="s">
        <v>3082</v>
      </c>
      <c r="M140" s="1" t="s">
        <v>86</v>
      </c>
      <c r="N140" s="1" t="s">
        <v>3083</v>
      </c>
      <c r="O140" s="1"/>
      <c r="P140" s="1" t="s">
        <v>455</v>
      </c>
      <c r="Q140" s="1" t="s">
        <v>3084</v>
      </c>
      <c r="R140" s="1" t="s">
        <v>3085</v>
      </c>
      <c r="S140" s="1">
        <v>7569920980</v>
      </c>
      <c r="T140" s="1" t="s">
        <v>3086</v>
      </c>
      <c r="U140" s="1" t="s">
        <v>3087</v>
      </c>
      <c r="V140" s="1">
        <v>9505935783</v>
      </c>
      <c r="W140" s="1" t="s">
        <v>3088</v>
      </c>
      <c r="X140" s="1" t="s">
        <v>3089</v>
      </c>
      <c r="Y140" s="1" t="s">
        <v>3090</v>
      </c>
      <c r="Z140" s="1" t="s">
        <v>281</v>
      </c>
      <c r="AA140" s="1" t="s">
        <v>3091</v>
      </c>
      <c r="AB140" s="1" t="s">
        <v>3090</v>
      </c>
      <c r="AC140" s="1" t="s">
        <v>281</v>
      </c>
      <c r="AD140" s="1">
        <v>9.13</v>
      </c>
      <c r="AE140" s="1" t="s">
        <v>98</v>
      </c>
      <c r="AF140" s="1" t="s">
        <v>3092</v>
      </c>
      <c r="AG140" s="1" t="s">
        <v>2341</v>
      </c>
      <c r="AH140" s="1" t="s">
        <v>170</v>
      </c>
      <c r="AI140" s="1" t="s">
        <v>490</v>
      </c>
      <c r="AJ140" s="1">
        <v>97</v>
      </c>
      <c r="AK140" s="1">
        <v>9.7</v>
      </c>
      <c r="AL140" s="1"/>
      <c r="AM140" s="1"/>
      <c r="AN140" s="1"/>
      <c r="AO140" s="1"/>
      <c r="AP140" s="1"/>
      <c r="AQ140" s="1"/>
      <c r="AR140" s="1"/>
      <c r="AS140" s="1" t="s">
        <v>103</v>
      </c>
      <c r="AT140" s="1" t="s">
        <v>3093</v>
      </c>
      <c r="AU140" s="1" t="s">
        <v>106</v>
      </c>
      <c r="AV140" s="1" t="s">
        <v>2304</v>
      </c>
      <c r="AW140" s="1">
        <v>90.15</v>
      </c>
      <c r="AX140" s="1"/>
      <c r="AY140" s="1" t="s">
        <v>3094</v>
      </c>
      <c r="AZ140" s="1" t="s">
        <v>3095</v>
      </c>
      <c r="BA140" s="1" t="s">
        <v>466</v>
      </c>
      <c r="BB140" s="1" t="s">
        <v>467</v>
      </c>
      <c r="BC140" s="1" t="s">
        <v>871</v>
      </c>
      <c r="BD140" s="1" t="s">
        <v>1314</v>
      </c>
      <c r="BE140" s="1">
        <v>81.3</v>
      </c>
      <c r="BF140" s="1">
        <v>8.88</v>
      </c>
      <c r="BG140" s="1"/>
      <c r="BH140" s="1"/>
      <c r="BI140" s="1"/>
      <c r="BJ140" s="1"/>
      <c r="BK140" s="1"/>
      <c r="BL140" s="1"/>
      <c r="BM140" s="1"/>
      <c r="BN140" s="1"/>
      <c r="BO140" s="1" t="s">
        <v>3096</v>
      </c>
      <c r="BP140" s="1"/>
      <c r="BQ140" s="1"/>
      <c r="BR140" s="1" t="s">
        <v>3097</v>
      </c>
      <c r="BS140" s="1">
        <v>41</v>
      </c>
      <c r="BT140" s="1"/>
      <c r="BU140" s="1" t="str">
        <f>HYPERLINK("https://nconnect.nicmar.ac.in/storage/profile/ProfilePhoto_P25700126_934175.jpg","Download")</f>
        <v>0</v>
      </c>
      <c r="BV140" s="3"/>
      <c r="BW140" s="4">
        <v>1</v>
      </c>
    </row>
    <row r="141" spans="1:75">
      <c r="A141" s="1" t="s">
        <v>75</v>
      </c>
      <c r="B141" s="1" t="s">
        <v>446</v>
      </c>
      <c r="C141" s="1" t="s">
        <v>3098</v>
      </c>
      <c r="D141" s="1" t="s">
        <v>3099</v>
      </c>
      <c r="E141" s="1" t="s">
        <v>3100</v>
      </c>
      <c r="F141" s="1" t="s">
        <v>3101</v>
      </c>
      <c r="G141" s="1" t="s">
        <v>3102</v>
      </c>
      <c r="H141" s="1" t="s">
        <v>3103</v>
      </c>
      <c r="I141" s="1" t="s">
        <v>3104</v>
      </c>
      <c r="J141" s="1">
        <v>7385732663</v>
      </c>
      <c r="K141" s="1" t="s">
        <v>153</v>
      </c>
      <c r="L141" s="1" t="s">
        <v>3105</v>
      </c>
      <c r="M141" s="1" t="s">
        <v>86</v>
      </c>
      <c r="N141" s="1" t="s">
        <v>1163</v>
      </c>
      <c r="O141" s="1"/>
      <c r="P141" s="1" t="s">
        <v>1028</v>
      </c>
      <c r="Q141" s="1" t="s">
        <v>3106</v>
      </c>
      <c r="R141" s="1" t="s">
        <v>3107</v>
      </c>
      <c r="S141" s="1">
        <v>9359165126</v>
      </c>
      <c r="T141" s="1" t="s">
        <v>3108</v>
      </c>
      <c r="U141" s="1" t="s">
        <v>3109</v>
      </c>
      <c r="V141" s="1">
        <v>9021172362</v>
      </c>
      <c r="W141" s="1" t="s">
        <v>1577</v>
      </c>
      <c r="X141" s="1" t="s">
        <v>3110</v>
      </c>
      <c r="Y141" s="1" t="s">
        <v>410</v>
      </c>
      <c r="Z141" s="1" t="s">
        <v>97</v>
      </c>
      <c r="AA141" s="1" t="s">
        <v>3110</v>
      </c>
      <c r="AB141" s="1" t="s">
        <v>410</v>
      </c>
      <c r="AC141" s="1" t="s">
        <v>97</v>
      </c>
      <c r="AD141" s="1">
        <v>8.92</v>
      </c>
      <c r="AE141" s="1" t="s">
        <v>98</v>
      </c>
      <c r="AF141" s="1" t="s">
        <v>3111</v>
      </c>
      <c r="AG141" s="1" t="s">
        <v>775</v>
      </c>
      <c r="AH141" s="1" t="s">
        <v>3112</v>
      </c>
      <c r="AI141" s="1" t="s">
        <v>170</v>
      </c>
      <c r="AJ141" s="1">
        <v>82.2</v>
      </c>
      <c r="AK141" s="1">
        <v>9</v>
      </c>
      <c r="AL141" s="1" t="s">
        <v>3113</v>
      </c>
      <c r="AM141" s="1" t="s">
        <v>2379</v>
      </c>
      <c r="AN141" s="1" t="s">
        <v>575</v>
      </c>
      <c r="AO141" s="1" t="s">
        <v>438</v>
      </c>
      <c r="AP141" s="1" t="s">
        <v>365</v>
      </c>
      <c r="AQ141" s="1">
        <v>66.31</v>
      </c>
      <c r="AR141" s="1"/>
      <c r="AS141" s="1"/>
      <c r="AT141" s="1"/>
      <c r="AU141" s="1"/>
      <c r="AV141" s="1"/>
      <c r="AW141" s="1"/>
      <c r="AX141" s="1"/>
      <c r="AY141" s="1" t="s">
        <v>415</v>
      </c>
      <c r="AZ141" s="1" t="s">
        <v>3114</v>
      </c>
      <c r="BA141" s="1" t="s">
        <v>682</v>
      </c>
      <c r="BB141" s="1" t="s">
        <v>1561</v>
      </c>
      <c r="BC141" s="1" t="s">
        <v>468</v>
      </c>
      <c r="BD141" s="1" t="s">
        <v>607</v>
      </c>
      <c r="BE141" s="1">
        <v>68.1</v>
      </c>
      <c r="BF141" s="1">
        <v>7.56</v>
      </c>
      <c r="BG141" s="1"/>
      <c r="BH141" s="1"/>
      <c r="BI141" s="1"/>
      <c r="BJ141" s="1"/>
      <c r="BK141" s="1"/>
      <c r="BL141" s="1"/>
      <c r="BM141" s="1"/>
      <c r="BN141" s="1"/>
      <c r="BO141" s="1" t="s">
        <v>3115</v>
      </c>
      <c r="BP141" s="1"/>
      <c r="BQ141" s="1"/>
      <c r="BR141" s="1" t="s">
        <v>3116</v>
      </c>
      <c r="BS141" s="1">
        <v>23</v>
      </c>
      <c r="BT141" s="1" t="s">
        <v>3117</v>
      </c>
      <c r="BU141" s="1" t="str">
        <f>HYPERLINK("https://nconnect.nicmar.ac.in/storage/profile/ProfilePhoto_P25700127_184296.jpg","Download")</f>
        <v>0</v>
      </c>
      <c r="BV141" s="3"/>
      <c r="BW141" s="3"/>
    </row>
    <row r="142" spans="1:75">
      <c r="A142" s="1" t="s">
        <v>75</v>
      </c>
      <c r="B142" s="1" t="s">
        <v>446</v>
      </c>
      <c r="C142" s="1" t="s">
        <v>3118</v>
      </c>
      <c r="D142" s="1" t="s">
        <v>3119</v>
      </c>
      <c r="E142" s="1"/>
      <c r="F142" s="1" t="s">
        <v>3120</v>
      </c>
      <c r="G142" s="1" t="s">
        <v>3121</v>
      </c>
      <c r="H142" s="1" t="s">
        <v>3122</v>
      </c>
      <c r="I142" s="1" t="s">
        <v>3123</v>
      </c>
      <c r="J142" s="1">
        <v>9606501819</v>
      </c>
      <c r="K142" s="1" t="s">
        <v>153</v>
      </c>
      <c r="L142" s="1" t="s">
        <v>3124</v>
      </c>
      <c r="M142" s="1" t="s">
        <v>86</v>
      </c>
      <c r="N142" s="1" t="s">
        <v>3125</v>
      </c>
      <c r="O142" s="1"/>
      <c r="P142" s="1" t="s">
        <v>455</v>
      </c>
      <c r="Q142" s="1" t="s">
        <v>3126</v>
      </c>
      <c r="R142" s="1" t="s">
        <v>3127</v>
      </c>
      <c r="S142" s="1">
        <v>9972894585</v>
      </c>
      <c r="T142" s="1" t="s">
        <v>3128</v>
      </c>
      <c r="U142" s="1" t="s">
        <v>3129</v>
      </c>
      <c r="V142" s="1">
        <v>9980537861</v>
      </c>
      <c r="W142" s="1" t="s">
        <v>3130</v>
      </c>
      <c r="X142" s="1" t="s">
        <v>3131</v>
      </c>
      <c r="Y142" s="1" t="s">
        <v>3132</v>
      </c>
      <c r="Z142" s="1" t="s">
        <v>1210</v>
      </c>
      <c r="AA142" s="1" t="s">
        <v>3131</v>
      </c>
      <c r="AB142" s="1" t="s">
        <v>3132</v>
      </c>
      <c r="AC142" s="1" t="s">
        <v>1210</v>
      </c>
      <c r="AD142" s="1">
        <v>9.05</v>
      </c>
      <c r="AE142" s="1" t="s">
        <v>98</v>
      </c>
      <c r="AF142" s="1" t="s">
        <v>3133</v>
      </c>
      <c r="AG142" s="1" t="s">
        <v>2202</v>
      </c>
      <c r="AH142" s="1" t="s">
        <v>166</v>
      </c>
      <c r="AI142" s="1" t="s">
        <v>627</v>
      </c>
      <c r="AJ142" s="1">
        <v>91.5</v>
      </c>
      <c r="AK142" s="1">
        <v>0</v>
      </c>
      <c r="AL142" s="1" t="s">
        <v>3134</v>
      </c>
      <c r="AM142" s="1" t="s">
        <v>1216</v>
      </c>
      <c r="AN142" s="1" t="s">
        <v>575</v>
      </c>
      <c r="AO142" s="1" t="s">
        <v>170</v>
      </c>
      <c r="AP142" s="1" t="s">
        <v>171</v>
      </c>
      <c r="AQ142" s="1">
        <v>93.33</v>
      </c>
      <c r="AR142" s="1">
        <v>0</v>
      </c>
      <c r="AS142" s="1"/>
      <c r="AT142" s="1"/>
      <c r="AU142" s="1"/>
      <c r="AV142" s="1"/>
      <c r="AW142" s="1"/>
      <c r="AX142" s="1"/>
      <c r="AY142" s="1" t="s">
        <v>731</v>
      </c>
      <c r="AZ142" s="1" t="s">
        <v>3135</v>
      </c>
      <c r="BA142" s="1" t="s">
        <v>682</v>
      </c>
      <c r="BB142" s="1" t="s">
        <v>1479</v>
      </c>
      <c r="BC142" s="1" t="s">
        <v>106</v>
      </c>
      <c r="BD142" s="1" t="s">
        <v>234</v>
      </c>
      <c r="BE142" s="1">
        <v>77.9</v>
      </c>
      <c r="BF142" s="1">
        <v>8.54</v>
      </c>
      <c r="BG142" s="1"/>
      <c r="BH142" s="1"/>
      <c r="BI142" s="1"/>
      <c r="BJ142" s="1"/>
      <c r="BK142" s="1"/>
      <c r="BL142" s="1"/>
      <c r="BM142" s="1"/>
      <c r="BN142" s="1"/>
      <c r="BO142" s="1" t="s">
        <v>3136</v>
      </c>
      <c r="BP142" s="1" t="s">
        <v>3137</v>
      </c>
      <c r="BQ142" s="1" t="s">
        <v>2245</v>
      </c>
      <c r="BR142" s="1" t="s">
        <v>3138</v>
      </c>
      <c r="BS142" s="1">
        <v>24</v>
      </c>
      <c r="BT142" s="1" t="s">
        <v>3139</v>
      </c>
      <c r="BU142" s="1" t="str">
        <f>HYPERLINK("https://nconnect.nicmar.ac.in/storage/profile/ProfilePhoto_P25700128_169427.jpg","Download")</f>
        <v>0</v>
      </c>
      <c r="BV142" s="3"/>
      <c r="BW142" s="3"/>
    </row>
    <row r="143" spans="1:75">
      <c r="A143" s="1" t="s">
        <v>75</v>
      </c>
      <c r="B143" s="1" t="s">
        <v>446</v>
      </c>
      <c r="C143" s="1" t="s">
        <v>3140</v>
      </c>
      <c r="D143" s="1" t="s">
        <v>3141</v>
      </c>
      <c r="E143" s="1"/>
      <c r="F143" s="1" t="s">
        <v>3142</v>
      </c>
      <c r="G143" s="1" t="s">
        <v>3143</v>
      </c>
      <c r="H143" s="1" t="s">
        <v>3144</v>
      </c>
      <c r="I143" s="1" t="s">
        <v>3145</v>
      </c>
      <c r="J143" s="1">
        <v>8330872736</v>
      </c>
      <c r="K143" s="1" t="s">
        <v>153</v>
      </c>
      <c r="L143" s="1" t="s">
        <v>3146</v>
      </c>
      <c r="M143" s="1" t="s">
        <v>86</v>
      </c>
      <c r="N143" s="1" t="s">
        <v>3147</v>
      </c>
      <c r="O143" s="1"/>
      <c r="P143" s="1" t="s">
        <v>455</v>
      </c>
      <c r="Q143" s="1" t="s">
        <v>3148</v>
      </c>
      <c r="R143" s="1" t="s">
        <v>3149</v>
      </c>
      <c r="S143" s="1">
        <v>9447672243</v>
      </c>
      <c r="T143" s="1" t="s">
        <v>3150</v>
      </c>
      <c r="U143" s="1" t="s">
        <v>3151</v>
      </c>
      <c r="V143" s="1">
        <v>8289980736</v>
      </c>
      <c r="W143" s="1" t="s">
        <v>3152</v>
      </c>
      <c r="X143" s="1" t="s">
        <v>3153</v>
      </c>
      <c r="Y143" s="1" t="s">
        <v>1307</v>
      </c>
      <c r="Z143" s="1" t="s">
        <v>130</v>
      </c>
      <c r="AA143" s="1" t="s">
        <v>3153</v>
      </c>
      <c r="AB143" s="1" t="s">
        <v>1307</v>
      </c>
      <c r="AC143" s="1" t="s">
        <v>130</v>
      </c>
      <c r="AD143" s="1">
        <v>8.67</v>
      </c>
      <c r="AE143" s="1" t="s">
        <v>98</v>
      </c>
      <c r="AF143" s="1" t="s">
        <v>3154</v>
      </c>
      <c r="AG143" s="1" t="s">
        <v>3155</v>
      </c>
      <c r="AH143" s="1" t="s">
        <v>106</v>
      </c>
      <c r="AI143" s="1" t="s">
        <v>313</v>
      </c>
      <c r="AJ143" s="1">
        <v>91.6</v>
      </c>
      <c r="AK143" s="1"/>
      <c r="AL143" s="1" t="s">
        <v>3154</v>
      </c>
      <c r="AM143" s="1" t="s">
        <v>3155</v>
      </c>
      <c r="AN143" s="1"/>
      <c r="AO143" s="1" t="s">
        <v>468</v>
      </c>
      <c r="AP143" s="1" t="s">
        <v>549</v>
      </c>
      <c r="AQ143" s="1">
        <v>85.8</v>
      </c>
      <c r="AR143" s="1"/>
      <c r="AS143" s="1"/>
      <c r="AT143" s="1"/>
      <c r="AU143" s="1"/>
      <c r="AV143" s="1"/>
      <c r="AW143" s="1"/>
      <c r="AX143" s="1"/>
      <c r="AY143" s="1" t="s">
        <v>137</v>
      </c>
      <c r="AZ143" s="1" t="s">
        <v>3156</v>
      </c>
      <c r="BA143" s="1"/>
      <c r="BB143" s="1"/>
      <c r="BC143" s="1" t="s">
        <v>606</v>
      </c>
      <c r="BD143" s="1" t="s">
        <v>607</v>
      </c>
      <c r="BE143" s="1">
        <v>75</v>
      </c>
      <c r="BF143" s="1">
        <v>7.5</v>
      </c>
      <c r="BG143" s="1"/>
      <c r="BH143" s="1"/>
      <c r="BI143" s="1"/>
      <c r="BJ143" s="1"/>
      <c r="BK143" s="1"/>
      <c r="BL143" s="1"/>
      <c r="BM143" s="1"/>
      <c r="BN143" s="1"/>
      <c r="BO143" s="1" t="s">
        <v>3157</v>
      </c>
      <c r="BP143" s="1"/>
      <c r="BQ143" s="1"/>
      <c r="BR143" s="1" t="s">
        <v>3158</v>
      </c>
      <c r="BS143" s="1">
        <v>10</v>
      </c>
      <c r="BT143" s="1"/>
      <c r="BU143" s="1" t="str">
        <f>HYPERLINK("https://nconnect.nicmar.ac.in/storage/profile/ProfilePhoto_P25700129_792154.jpg","Download")</f>
        <v>0</v>
      </c>
      <c r="BV143" s="3"/>
      <c r="BW143" s="3"/>
    </row>
    <row r="144" spans="1:75">
      <c r="A144" s="1" t="s">
        <v>75</v>
      </c>
      <c r="B144" s="1" t="s">
        <v>446</v>
      </c>
      <c r="C144" s="1" t="s">
        <v>3159</v>
      </c>
      <c r="D144" s="1" t="s">
        <v>3160</v>
      </c>
      <c r="E144" s="1" t="s">
        <v>3161</v>
      </c>
      <c r="F144" s="1" t="s">
        <v>3162</v>
      </c>
      <c r="G144" s="1" t="s">
        <v>3163</v>
      </c>
      <c r="H144" s="1" t="s">
        <v>3164</v>
      </c>
      <c r="I144" s="1" t="s">
        <v>3165</v>
      </c>
      <c r="J144" s="1">
        <v>9146478193</v>
      </c>
      <c r="K144" s="1" t="s">
        <v>153</v>
      </c>
      <c r="L144" s="1" t="s">
        <v>3166</v>
      </c>
      <c r="M144" s="1" t="s">
        <v>86</v>
      </c>
      <c r="N144" s="1" t="s">
        <v>903</v>
      </c>
      <c r="O144" s="1"/>
      <c r="P144" s="1" t="s">
        <v>507</v>
      </c>
      <c r="Q144" s="1" t="s">
        <v>3167</v>
      </c>
      <c r="R144" s="1" t="s">
        <v>3161</v>
      </c>
      <c r="S144" s="1">
        <v>8999583483</v>
      </c>
      <c r="T144" s="1" t="s">
        <v>127</v>
      </c>
      <c r="U144" s="1" t="s">
        <v>3168</v>
      </c>
      <c r="V144" s="1">
        <v>9561761166</v>
      </c>
      <c r="W144" s="1" t="s">
        <v>161</v>
      </c>
      <c r="X144" s="1" t="s">
        <v>3169</v>
      </c>
      <c r="Y144" s="1" t="s">
        <v>196</v>
      </c>
      <c r="Z144" s="1" t="s">
        <v>97</v>
      </c>
      <c r="AA144" s="1" t="s">
        <v>3170</v>
      </c>
      <c r="AB144" s="1" t="s">
        <v>196</v>
      </c>
      <c r="AC144" s="1" t="s">
        <v>97</v>
      </c>
      <c r="AD144" s="1">
        <v>8.28</v>
      </c>
      <c r="AE144" s="1" t="s">
        <v>98</v>
      </c>
      <c r="AF144" s="1" t="s">
        <v>3171</v>
      </c>
      <c r="AG144" s="1" t="s">
        <v>3172</v>
      </c>
      <c r="AH144" s="1" t="s">
        <v>167</v>
      </c>
      <c r="AI144" s="1" t="s">
        <v>200</v>
      </c>
      <c r="AJ144" s="1">
        <v>83</v>
      </c>
      <c r="AK144" s="1"/>
      <c r="AL144" s="1" t="s">
        <v>3173</v>
      </c>
      <c r="AM144" s="1" t="s">
        <v>3172</v>
      </c>
      <c r="AN144" s="1" t="s">
        <v>575</v>
      </c>
      <c r="AO144" s="1" t="s">
        <v>106</v>
      </c>
      <c r="AP144" s="1" t="s">
        <v>203</v>
      </c>
      <c r="AQ144" s="1">
        <v>61.69</v>
      </c>
      <c r="AR144" s="1"/>
      <c r="AS144" s="1"/>
      <c r="AT144" s="1"/>
      <c r="AU144" s="1"/>
      <c r="AV144" s="1"/>
      <c r="AW144" s="1"/>
      <c r="AX144" s="1"/>
      <c r="AY144" s="1" t="s">
        <v>3174</v>
      </c>
      <c r="AZ144" s="1" t="s">
        <v>3175</v>
      </c>
      <c r="BA144" s="1" t="s">
        <v>682</v>
      </c>
      <c r="BB144" s="1" t="s">
        <v>1561</v>
      </c>
      <c r="BC144" s="1" t="s">
        <v>438</v>
      </c>
      <c r="BD144" s="1" t="s">
        <v>207</v>
      </c>
      <c r="BE144" s="1">
        <v>64</v>
      </c>
      <c r="BF144" s="1">
        <v>7.15</v>
      </c>
      <c r="BG144" s="1"/>
      <c r="BH144" s="1"/>
      <c r="BI144" s="1"/>
      <c r="BJ144" s="1"/>
      <c r="BK144" s="1"/>
      <c r="BL144" s="1"/>
      <c r="BM144" s="1"/>
      <c r="BN144" s="1"/>
      <c r="BO144" s="1" t="s">
        <v>3176</v>
      </c>
      <c r="BP144" s="1"/>
      <c r="BQ144" s="1"/>
      <c r="BR144" s="1" t="s">
        <v>3177</v>
      </c>
      <c r="BS144" s="1">
        <v>30</v>
      </c>
      <c r="BT144" s="1"/>
      <c r="BU144" s="1" t="str">
        <f>HYPERLINK("https://nconnect.nicmar.ac.in/storage/profile/ProfilePhoto_P25700130_468259.jpg","Download")</f>
        <v>0</v>
      </c>
      <c r="BV144" s="3"/>
      <c r="BW144" s="3"/>
    </row>
    <row r="145" spans="1:75">
      <c r="A145" s="1" t="s">
        <v>75</v>
      </c>
      <c r="B145" s="1" t="s">
        <v>446</v>
      </c>
      <c r="C145" s="1" t="s">
        <v>3178</v>
      </c>
      <c r="D145" s="1" t="s">
        <v>3179</v>
      </c>
      <c r="E145" s="1"/>
      <c r="F145" s="1" t="s">
        <v>3180</v>
      </c>
      <c r="G145" s="1" t="s">
        <v>3181</v>
      </c>
      <c r="H145" s="1" t="s">
        <v>3182</v>
      </c>
      <c r="I145" s="1" t="s">
        <v>3183</v>
      </c>
      <c r="J145" s="1">
        <v>8289866254</v>
      </c>
      <c r="K145" s="1" t="s">
        <v>153</v>
      </c>
      <c r="L145" s="1" t="s">
        <v>3184</v>
      </c>
      <c r="M145" s="1" t="s">
        <v>86</v>
      </c>
      <c r="N145" s="1" t="s">
        <v>2393</v>
      </c>
      <c r="O145" s="1"/>
      <c r="P145" s="1" t="s">
        <v>481</v>
      </c>
      <c r="Q145" s="1" t="s">
        <v>3185</v>
      </c>
      <c r="R145" s="1" t="s">
        <v>3186</v>
      </c>
      <c r="S145" s="1">
        <v>9446472524</v>
      </c>
      <c r="T145" s="1" t="s">
        <v>125</v>
      </c>
      <c r="U145" s="1" t="s">
        <v>3187</v>
      </c>
      <c r="V145" s="1">
        <v>9446412524</v>
      </c>
      <c r="W145" s="1" t="s">
        <v>3188</v>
      </c>
      <c r="X145" s="1" t="s">
        <v>3189</v>
      </c>
      <c r="Y145" s="1" t="s">
        <v>3190</v>
      </c>
      <c r="Z145" s="1" t="s">
        <v>130</v>
      </c>
      <c r="AA145" s="1" t="s">
        <v>3189</v>
      </c>
      <c r="AB145" s="1" t="s">
        <v>3190</v>
      </c>
      <c r="AC145" s="1" t="s">
        <v>130</v>
      </c>
      <c r="AD145" s="1">
        <v>8.33</v>
      </c>
      <c r="AE145" s="1" t="s">
        <v>98</v>
      </c>
      <c r="AF145" s="1" t="s">
        <v>3191</v>
      </c>
      <c r="AG145" s="1" t="s">
        <v>3192</v>
      </c>
      <c r="AH145" s="1" t="s">
        <v>101</v>
      </c>
      <c r="AI145" s="1" t="s">
        <v>102</v>
      </c>
      <c r="AJ145" s="1">
        <v>90</v>
      </c>
      <c r="AK145" s="1"/>
      <c r="AL145" s="1" t="s">
        <v>3193</v>
      </c>
      <c r="AM145" s="1" t="s">
        <v>3194</v>
      </c>
      <c r="AN145" s="1"/>
      <c r="AO145" s="1" t="s">
        <v>167</v>
      </c>
      <c r="AP145" s="1" t="s">
        <v>200</v>
      </c>
      <c r="AQ145" s="1">
        <v>94.08</v>
      </c>
      <c r="AR145" s="1"/>
      <c r="AS145" s="1"/>
      <c r="AT145" s="1"/>
      <c r="AU145" s="1"/>
      <c r="AV145" s="1"/>
      <c r="AW145" s="1"/>
      <c r="AX145" s="1"/>
      <c r="AY145" s="1" t="s">
        <v>137</v>
      </c>
      <c r="AZ145" s="1" t="s">
        <v>3195</v>
      </c>
      <c r="BA145" s="1"/>
      <c r="BB145" s="1"/>
      <c r="BC145" s="1" t="s">
        <v>1065</v>
      </c>
      <c r="BD145" s="1" t="s">
        <v>1242</v>
      </c>
      <c r="BE145" s="1">
        <v>67.4</v>
      </c>
      <c r="BF145" s="1">
        <v>6.74</v>
      </c>
      <c r="BG145" s="1"/>
      <c r="BH145" s="1"/>
      <c r="BI145" s="1"/>
      <c r="BJ145" s="1"/>
      <c r="BK145" s="1"/>
      <c r="BL145" s="1"/>
      <c r="BM145" s="1"/>
      <c r="BN145" s="1"/>
      <c r="BO145" s="1" t="s">
        <v>3196</v>
      </c>
      <c r="BP145" s="1" t="s">
        <v>3197</v>
      </c>
      <c r="BQ145" s="1" t="s">
        <v>1070</v>
      </c>
      <c r="BR145" s="1" t="s">
        <v>3198</v>
      </c>
      <c r="BS145" s="1">
        <v>9</v>
      </c>
      <c r="BT145" s="1" t="s">
        <v>3199</v>
      </c>
      <c r="BU145" s="1" t="str">
        <f>HYPERLINK("https://nconnect.nicmar.ac.in/storage/profile/ProfilePhoto_P25700131_136529.jpg","Download")</f>
        <v>0</v>
      </c>
      <c r="BV145" s="3"/>
      <c r="BW145" s="3"/>
    </row>
    <row r="146" spans="1:75">
      <c r="A146" s="1" t="s">
        <v>75</v>
      </c>
      <c r="B146" s="1" t="s">
        <v>446</v>
      </c>
      <c r="C146" s="1" t="s">
        <v>3200</v>
      </c>
      <c r="D146" s="1" t="s">
        <v>3201</v>
      </c>
      <c r="E146" s="1" t="s">
        <v>2273</v>
      </c>
      <c r="F146" s="1" t="s">
        <v>3202</v>
      </c>
      <c r="G146" s="1" t="s">
        <v>3203</v>
      </c>
      <c r="H146" s="1" t="s">
        <v>3204</v>
      </c>
      <c r="I146" s="1" t="s">
        <v>3205</v>
      </c>
      <c r="J146" s="1">
        <v>9975532344</v>
      </c>
      <c r="K146" s="1" t="s">
        <v>153</v>
      </c>
      <c r="L146" s="1" t="s">
        <v>3206</v>
      </c>
      <c r="M146" s="1" t="s">
        <v>86</v>
      </c>
      <c r="N146" s="1" t="s">
        <v>1163</v>
      </c>
      <c r="O146" s="1"/>
      <c r="P146" s="1" t="s">
        <v>455</v>
      </c>
      <c r="Q146" s="1" t="s">
        <v>3207</v>
      </c>
      <c r="R146" s="1" t="s">
        <v>2273</v>
      </c>
      <c r="S146" s="1">
        <v>8421633601</v>
      </c>
      <c r="T146" s="1" t="s">
        <v>839</v>
      </c>
      <c r="U146" s="1" t="s">
        <v>3208</v>
      </c>
      <c r="V146" s="1">
        <v>9011127409</v>
      </c>
      <c r="W146" s="1" t="s">
        <v>161</v>
      </c>
      <c r="X146" s="1" t="s">
        <v>3209</v>
      </c>
      <c r="Y146" s="1" t="s">
        <v>333</v>
      </c>
      <c r="Z146" s="1" t="s">
        <v>97</v>
      </c>
      <c r="AA146" s="1" t="s">
        <v>3209</v>
      </c>
      <c r="AB146" s="1" t="s">
        <v>333</v>
      </c>
      <c r="AC146" s="1" t="s">
        <v>97</v>
      </c>
      <c r="AD146" s="1">
        <v>7.79</v>
      </c>
      <c r="AE146" s="1" t="s">
        <v>98</v>
      </c>
      <c r="AF146" s="1" t="s">
        <v>3210</v>
      </c>
      <c r="AG146" s="1" t="s">
        <v>3211</v>
      </c>
      <c r="AH146" s="1" t="s">
        <v>106</v>
      </c>
      <c r="AI146" s="1" t="s">
        <v>414</v>
      </c>
      <c r="AJ146" s="1">
        <v>71</v>
      </c>
      <c r="AK146" s="1"/>
      <c r="AL146" s="1" t="s">
        <v>3212</v>
      </c>
      <c r="AM146" s="1" t="s">
        <v>3211</v>
      </c>
      <c r="AN146" s="1"/>
      <c r="AO146" s="1" t="s">
        <v>1040</v>
      </c>
      <c r="AP146" s="1" t="s">
        <v>1171</v>
      </c>
      <c r="AQ146" s="1">
        <v>93</v>
      </c>
      <c r="AR146" s="1"/>
      <c r="AS146" s="1"/>
      <c r="AT146" s="1"/>
      <c r="AU146" s="1"/>
      <c r="AV146" s="1"/>
      <c r="AW146" s="1"/>
      <c r="AX146" s="1"/>
      <c r="AY146" s="1" t="s">
        <v>340</v>
      </c>
      <c r="AZ146" s="1" t="s">
        <v>3213</v>
      </c>
      <c r="BA146" s="1"/>
      <c r="BB146" s="1"/>
      <c r="BC146" s="1" t="s">
        <v>441</v>
      </c>
      <c r="BD146" s="1" t="s">
        <v>607</v>
      </c>
      <c r="BE146" s="1">
        <v>67.62</v>
      </c>
      <c r="BF146" s="1">
        <v>7.62</v>
      </c>
      <c r="BG146" s="1"/>
      <c r="BH146" s="1"/>
      <c r="BI146" s="1"/>
      <c r="BJ146" s="1"/>
      <c r="BK146" s="1"/>
      <c r="BL146" s="1"/>
      <c r="BM146" s="1"/>
      <c r="BN146" s="1"/>
      <c r="BO146" s="1" t="s">
        <v>1114</v>
      </c>
      <c r="BP146" s="1"/>
      <c r="BQ146" s="1"/>
      <c r="BR146" s="1" t="s">
        <v>3214</v>
      </c>
      <c r="BS146" s="1">
        <v>10</v>
      </c>
      <c r="BT146" s="1"/>
      <c r="BU146" s="1" t="str">
        <f>HYPERLINK("https://nconnect.nicmar.ac.in/storage/profile/ProfilePhoto_P25700132_591768.jpg","Download")</f>
        <v>0</v>
      </c>
      <c r="BV146" s="3"/>
      <c r="BW146" s="3"/>
    </row>
    <row r="147" spans="1:75">
      <c r="A147" s="1" t="s">
        <v>75</v>
      </c>
      <c r="B147" s="1" t="s">
        <v>446</v>
      </c>
      <c r="C147" s="1" t="s">
        <v>3215</v>
      </c>
      <c r="D147" s="1" t="s">
        <v>3216</v>
      </c>
      <c r="E147" s="1" t="s">
        <v>3217</v>
      </c>
      <c r="F147" s="1" t="s">
        <v>3218</v>
      </c>
      <c r="G147" s="1" t="s">
        <v>3219</v>
      </c>
      <c r="H147" s="1" t="s">
        <v>3220</v>
      </c>
      <c r="I147" s="1" t="s">
        <v>3221</v>
      </c>
      <c r="J147" s="1">
        <v>9819507312</v>
      </c>
      <c r="K147" s="1" t="s">
        <v>153</v>
      </c>
      <c r="L147" s="1" t="s">
        <v>3222</v>
      </c>
      <c r="M147" s="1" t="s">
        <v>86</v>
      </c>
      <c r="N147" s="1" t="s">
        <v>1184</v>
      </c>
      <c r="O147" s="1"/>
      <c r="P147" s="1" t="s">
        <v>481</v>
      </c>
      <c r="Q147" s="1" t="s">
        <v>3223</v>
      </c>
      <c r="R147" s="1" t="s">
        <v>3224</v>
      </c>
      <c r="S147" s="1">
        <v>8104891124</v>
      </c>
      <c r="T147" s="1" t="s">
        <v>3225</v>
      </c>
      <c r="U147" s="1" t="s">
        <v>3226</v>
      </c>
      <c r="V147" s="1">
        <v>9819075437</v>
      </c>
      <c r="W147" s="1" t="s">
        <v>645</v>
      </c>
      <c r="X147" s="1" t="s">
        <v>3227</v>
      </c>
      <c r="Y147" s="1" t="s">
        <v>2259</v>
      </c>
      <c r="Z147" s="1" t="s">
        <v>97</v>
      </c>
      <c r="AA147" s="1" t="s">
        <v>3227</v>
      </c>
      <c r="AB147" s="1" t="s">
        <v>2259</v>
      </c>
      <c r="AC147" s="1" t="s">
        <v>97</v>
      </c>
      <c r="AD147" s="1">
        <v>8.44</v>
      </c>
      <c r="AE147" s="1" t="s">
        <v>98</v>
      </c>
      <c r="AF147" s="1" t="s">
        <v>3228</v>
      </c>
      <c r="AG147" s="1" t="s">
        <v>3229</v>
      </c>
      <c r="AH147" s="1" t="s">
        <v>167</v>
      </c>
      <c r="AI147" s="1" t="s">
        <v>200</v>
      </c>
      <c r="AJ147" s="1">
        <v>78.8</v>
      </c>
      <c r="AK147" s="1"/>
      <c r="AL147" s="1" t="s">
        <v>3230</v>
      </c>
      <c r="AM147" s="1" t="s">
        <v>3231</v>
      </c>
      <c r="AN147" s="1" t="s">
        <v>575</v>
      </c>
      <c r="AO147" s="1" t="s">
        <v>1065</v>
      </c>
      <c r="AP147" s="1" t="s">
        <v>203</v>
      </c>
      <c r="AQ147" s="1">
        <v>64.62</v>
      </c>
      <c r="AR147" s="1"/>
      <c r="AS147" s="1"/>
      <c r="AT147" s="1"/>
      <c r="AU147" s="1"/>
      <c r="AV147" s="1"/>
      <c r="AW147" s="1"/>
      <c r="AX147" s="1"/>
      <c r="AY147" s="1" t="s">
        <v>258</v>
      </c>
      <c r="AZ147" s="1" t="s">
        <v>3232</v>
      </c>
      <c r="BA147" s="1" t="s">
        <v>578</v>
      </c>
      <c r="BB147" s="1" t="s">
        <v>467</v>
      </c>
      <c r="BC147" s="1" t="s">
        <v>206</v>
      </c>
      <c r="BD147" s="1" t="s">
        <v>179</v>
      </c>
      <c r="BE147" s="1">
        <v>77.01</v>
      </c>
      <c r="BF147" s="1"/>
      <c r="BG147" s="1"/>
      <c r="BH147" s="1"/>
      <c r="BI147" s="1"/>
      <c r="BJ147" s="1"/>
      <c r="BK147" s="1"/>
      <c r="BL147" s="1"/>
      <c r="BM147" s="1"/>
      <c r="BN147" s="1"/>
      <c r="BO147" s="1" t="s">
        <v>3233</v>
      </c>
      <c r="BP147" s="1"/>
      <c r="BQ147" s="1"/>
      <c r="BR147" s="1" t="s">
        <v>3234</v>
      </c>
      <c r="BS147" s="1">
        <v>97</v>
      </c>
      <c r="BT147" s="1" t="s">
        <v>3235</v>
      </c>
      <c r="BU147" s="1" t="str">
        <f>HYPERLINK("https://nconnect.nicmar.ac.in/storage/profile/ProfilePhoto_P25700133_325479.jpg","Download")</f>
        <v>0</v>
      </c>
      <c r="BV147" s="3"/>
      <c r="BW147" s="3"/>
    </row>
    <row r="148" spans="1:75">
      <c r="A148" s="1" t="s">
        <v>75</v>
      </c>
      <c r="B148" s="1" t="s">
        <v>446</v>
      </c>
      <c r="C148" s="1" t="s">
        <v>3236</v>
      </c>
      <c r="D148" s="1" t="s">
        <v>3237</v>
      </c>
      <c r="E148" s="1"/>
      <c r="F148" s="1" t="s">
        <v>3238</v>
      </c>
      <c r="G148" s="1" t="s">
        <v>3239</v>
      </c>
      <c r="H148" s="1" t="s">
        <v>3240</v>
      </c>
      <c r="I148" s="1" t="s">
        <v>3241</v>
      </c>
      <c r="J148" s="1">
        <v>9995361307</v>
      </c>
      <c r="K148" s="1" t="s">
        <v>153</v>
      </c>
      <c r="L148" s="1" t="s">
        <v>3242</v>
      </c>
      <c r="M148" s="1" t="s">
        <v>155</v>
      </c>
      <c r="N148" s="1" t="s">
        <v>3147</v>
      </c>
      <c r="O148" s="1"/>
      <c r="P148" s="1" t="s">
        <v>507</v>
      </c>
      <c r="Q148" s="1" t="s">
        <v>3243</v>
      </c>
      <c r="R148" s="1" t="s">
        <v>3244</v>
      </c>
      <c r="S148" s="1">
        <v>7510861307</v>
      </c>
      <c r="T148" s="1" t="s">
        <v>3245</v>
      </c>
      <c r="U148" s="1" t="s">
        <v>3246</v>
      </c>
      <c r="V148" s="1">
        <v>9895820148</v>
      </c>
      <c r="W148" s="1" t="s">
        <v>161</v>
      </c>
      <c r="X148" s="1" t="s">
        <v>3247</v>
      </c>
      <c r="Y148" s="1" t="s">
        <v>3190</v>
      </c>
      <c r="Z148" s="1" t="s">
        <v>130</v>
      </c>
      <c r="AA148" s="1" t="s">
        <v>3247</v>
      </c>
      <c r="AB148" s="1" t="s">
        <v>3190</v>
      </c>
      <c r="AC148" s="1" t="s">
        <v>130</v>
      </c>
      <c r="AD148" s="1">
        <v>8.74</v>
      </c>
      <c r="AE148" s="1" t="s">
        <v>98</v>
      </c>
      <c r="AF148" s="1" t="s">
        <v>3248</v>
      </c>
      <c r="AG148" s="1" t="s">
        <v>3249</v>
      </c>
      <c r="AH148" s="1" t="s">
        <v>1213</v>
      </c>
      <c r="AI148" s="1" t="s">
        <v>515</v>
      </c>
      <c r="AJ148" s="1">
        <v>92.95</v>
      </c>
      <c r="AK148" s="1"/>
      <c r="AL148" s="1" t="s">
        <v>3248</v>
      </c>
      <c r="AM148" s="1" t="s">
        <v>3249</v>
      </c>
      <c r="AN148" s="1"/>
      <c r="AO148" s="1" t="s">
        <v>166</v>
      </c>
      <c r="AP148" s="1" t="s">
        <v>1111</v>
      </c>
      <c r="AQ148" s="1">
        <v>84.92</v>
      </c>
      <c r="AR148" s="1"/>
      <c r="AS148" s="1"/>
      <c r="AT148" s="1"/>
      <c r="AU148" s="1"/>
      <c r="AV148" s="1"/>
      <c r="AW148" s="1"/>
      <c r="AX148" s="1"/>
      <c r="AY148" s="1" t="s">
        <v>137</v>
      </c>
      <c r="AZ148" s="1" t="s">
        <v>3250</v>
      </c>
      <c r="BA148" s="1"/>
      <c r="BB148" s="1"/>
      <c r="BC148" s="1" t="s">
        <v>167</v>
      </c>
      <c r="BD148" s="1" t="s">
        <v>890</v>
      </c>
      <c r="BE148" s="1">
        <v>70.15</v>
      </c>
      <c r="BF148" s="1">
        <v>7.39</v>
      </c>
      <c r="BG148" s="1"/>
      <c r="BH148" s="1"/>
      <c r="BI148" s="1"/>
      <c r="BJ148" s="1"/>
      <c r="BK148" s="1"/>
      <c r="BL148" s="1"/>
      <c r="BM148" s="1"/>
      <c r="BN148" s="1"/>
      <c r="BO148" s="1" t="s">
        <v>3251</v>
      </c>
      <c r="BP148" s="1"/>
      <c r="BQ148" s="1"/>
      <c r="BR148" s="1" t="s">
        <v>3252</v>
      </c>
      <c r="BS148" s="1">
        <v>50</v>
      </c>
      <c r="BT148" s="1" t="s">
        <v>3253</v>
      </c>
      <c r="BU148" s="1" t="str">
        <f>HYPERLINK("https://nconnect.nicmar.ac.in/storage/profile/ProfilePhoto_P25700134_358914.jpg","Download")</f>
        <v>0</v>
      </c>
      <c r="BV148" s="3"/>
      <c r="BW148" s="4">
        <v>1</v>
      </c>
    </row>
    <row r="149" spans="1:75">
      <c r="A149" s="1" t="s">
        <v>75</v>
      </c>
      <c r="B149" s="1" t="s">
        <v>446</v>
      </c>
      <c r="C149" s="1" t="s">
        <v>3254</v>
      </c>
      <c r="D149" s="1" t="s">
        <v>3255</v>
      </c>
      <c r="E149" s="1"/>
      <c r="F149" s="1" t="s">
        <v>3256</v>
      </c>
      <c r="G149" s="1" t="s">
        <v>3257</v>
      </c>
      <c r="H149" s="1" t="s">
        <v>3258</v>
      </c>
      <c r="I149" s="1" t="s">
        <v>3259</v>
      </c>
      <c r="J149" s="1">
        <v>9526572346</v>
      </c>
      <c r="K149" s="1" t="s">
        <v>153</v>
      </c>
      <c r="L149" s="1" t="s">
        <v>3260</v>
      </c>
      <c r="M149" s="1" t="s">
        <v>86</v>
      </c>
      <c r="N149" s="1" t="s">
        <v>3261</v>
      </c>
      <c r="O149" s="1"/>
      <c r="P149" s="1" t="s">
        <v>455</v>
      </c>
      <c r="Q149" s="1" t="s">
        <v>3262</v>
      </c>
      <c r="R149" s="1" t="s">
        <v>3263</v>
      </c>
      <c r="S149" s="1">
        <v>6238791056</v>
      </c>
      <c r="T149" s="1" t="s">
        <v>1620</v>
      </c>
      <c r="U149" s="1" t="s">
        <v>3264</v>
      </c>
      <c r="V149" s="1">
        <v>9846809792</v>
      </c>
      <c r="W149" s="1" t="s">
        <v>161</v>
      </c>
      <c r="X149" s="1" t="s">
        <v>3265</v>
      </c>
      <c r="Y149" s="1" t="s">
        <v>1307</v>
      </c>
      <c r="Z149" s="1" t="s">
        <v>130</v>
      </c>
      <c r="AA149" s="1" t="s">
        <v>3265</v>
      </c>
      <c r="AB149" s="1" t="s">
        <v>1307</v>
      </c>
      <c r="AC149" s="1" t="s">
        <v>130</v>
      </c>
      <c r="AD149" s="1">
        <v>8.23</v>
      </c>
      <c r="AE149" s="1" t="s">
        <v>98</v>
      </c>
      <c r="AF149" s="1" t="s">
        <v>3266</v>
      </c>
      <c r="AG149" s="1" t="s">
        <v>703</v>
      </c>
      <c r="AH149" s="1" t="s">
        <v>166</v>
      </c>
      <c r="AI149" s="1" t="s">
        <v>627</v>
      </c>
      <c r="AJ149" s="1">
        <v>93.1</v>
      </c>
      <c r="AK149" s="1">
        <v>9.8</v>
      </c>
      <c r="AL149" s="1" t="s">
        <v>3266</v>
      </c>
      <c r="AM149" s="1" t="s">
        <v>703</v>
      </c>
      <c r="AN149" s="1"/>
      <c r="AO149" s="1" t="s">
        <v>170</v>
      </c>
      <c r="AP149" s="1" t="s">
        <v>171</v>
      </c>
      <c r="AQ149" s="1">
        <v>73.2</v>
      </c>
      <c r="AR149" s="1">
        <v>7.32</v>
      </c>
      <c r="AS149" s="1"/>
      <c r="AT149" s="1"/>
      <c r="AU149" s="1"/>
      <c r="AV149" s="1"/>
      <c r="AW149" s="1"/>
      <c r="AX149" s="1"/>
      <c r="AY149" s="1" t="s">
        <v>137</v>
      </c>
      <c r="AZ149" s="1" t="s">
        <v>3267</v>
      </c>
      <c r="BA149" s="1"/>
      <c r="BB149" s="1"/>
      <c r="BC149" s="1" t="s">
        <v>174</v>
      </c>
      <c r="BD149" s="1" t="s">
        <v>289</v>
      </c>
      <c r="BE149" s="1">
        <v>75.1</v>
      </c>
      <c r="BF149" s="1"/>
      <c r="BG149" s="1"/>
      <c r="BH149" s="1"/>
      <c r="BI149" s="1"/>
      <c r="BJ149" s="1"/>
      <c r="BK149" s="1"/>
      <c r="BL149" s="1"/>
      <c r="BM149" s="1"/>
      <c r="BN149" s="1"/>
      <c r="BO149" s="1" t="s">
        <v>1114</v>
      </c>
      <c r="BP149" s="1"/>
      <c r="BQ149" s="1"/>
      <c r="BR149" s="1" t="s">
        <v>3268</v>
      </c>
      <c r="BS149" s="1">
        <v>60</v>
      </c>
      <c r="BT149" s="1"/>
      <c r="BU149" s="1" t="str">
        <f>HYPERLINK("https://nconnect.nicmar.ac.in/storage/profile/ProfilePhoto_P25700135_792418.jpg","Download")</f>
        <v>0</v>
      </c>
      <c r="BV149" s="3"/>
      <c r="BW149" s="4">
        <v>1</v>
      </c>
    </row>
    <row r="150" spans="1:75">
      <c r="A150" s="1" t="s">
        <v>75</v>
      </c>
      <c r="B150" s="1" t="s">
        <v>446</v>
      </c>
      <c r="C150" s="1" t="s">
        <v>3269</v>
      </c>
      <c r="D150" s="1" t="s">
        <v>3270</v>
      </c>
      <c r="E150" s="1"/>
      <c r="F150" s="1" t="s">
        <v>3271</v>
      </c>
      <c r="G150" s="1" t="s">
        <v>3272</v>
      </c>
      <c r="H150" s="1" t="s">
        <v>3273</v>
      </c>
      <c r="I150" s="1" t="s">
        <v>3274</v>
      </c>
      <c r="J150" s="1">
        <v>9563939574</v>
      </c>
      <c r="K150" s="1" t="s">
        <v>153</v>
      </c>
      <c r="L150" s="1" t="s">
        <v>3275</v>
      </c>
      <c r="M150" s="1" t="s">
        <v>155</v>
      </c>
      <c r="N150" s="1" t="s">
        <v>3276</v>
      </c>
      <c r="O150" s="1"/>
      <c r="P150" s="1" t="s">
        <v>507</v>
      </c>
      <c r="Q150" s="1" t="s">
        <v>3277</v>
      </c>
      <c r="R150" s="1" t="s">
        <v>3278</v>
      </c>
      <c r="S150" s="1">
        <v>9434171075</v>
      </c>
      <c r="T150" s="1" t="s">
        <v>3279</v>
      </c>
      <c r="U150" s="1" t="s">
        <v>3280</v>
      </c>
      <c r="V150" s="1">
        <v>6290276437</v>
      </c>
      <c r="W150" s="1" t="s">
        <v>161</v>
      </c>
      <c r="X150" s="1" t="s">
        <v>3281</v>
      </c>
      <c r="Y150" s="1" t="s">
        <v>3282</v>
      </c>
      <c r="Z150" s="1" t="s">
        <v>1234</v>
      </c>
      <c r="AA150" s="1" t="s">
        <v>3281</v>
      </c>
      <c r="AB150" s="1" t="s">
        <v>3282</v>
      </c>
      <c r="AC150" s="1" t="s">
        <v>1234</v>
      </c>
      <c r="AD150" s="1">
        <v>8.08</v>
      </c>
      <c r="AE150" s="1" t="s">
        <v>98</v>
      </c>
      <c r="AF150" s="1" t="s">
        <v>3283</v>
      </c>
      <c r="AG150" s="1" t="s">
        <v>3284</v>
      </c>
      <c r="AH150" s="1" t="s">
        <v>3285</v>
      </c>
      <c r="AI150" s="1" t="s">
        <v>254</v>
      </c>
      <c r="AJ150" s="1">
        <v>77.28</v>
      </c>
      <c r="AK150" s="1"/>
      <c r="AL150" s="1" t="s">
        <v>3286</v>
      </c>
      <c r="AM150" s="1" t="s">
        <v>3287</v>
      </c>
      <c r="AN150" s="1" t="s">
        <v>575</v>
      </c>
      <c r="AO150" s="1" t="s">
        <v>254</v>
      </c>
      <c r="AP150" s="1" t="s">
        <v>135</v>
      </c>
      <c r="AQ150" s="1">
        <v>65.2</v>
      </c>
      <c r="AR150" s="1"/>
      <c r="AS150" s="1"/>
      <c r="AT150" s="1"/>
      <c r="AU150" s="1"/>
      <c r="AV150" s="1"/>
      <c r="AW150" s="1"/>
      <c r="AX150" s="1"/>
      <c r="AY150" s="1" t="s">
        <v>1240</v>
      </c>
      <c r="AZ150" s="1" t="s">
        <v>3288</v>
      </c>
      <c r="BA150" s="1" t="s">
        <v>466</v>
      </c>
      <c r="BB150" s="1" t="s">
        <v>467</v>
      </c>
      <c r="BC150" s="1" t="s">
        <v>257</v>
      </c>
      <c r="BD150" s="1" t="s">
        <v>174</v>
      </c>
      <c r="BE150" s="1">
        <v>67.6</v>
      </c>
      <c r="BF150" s="1">
        <v>7.54</v>
      </c>
      <c r="BG150" s="1"/>
      <c r="BH150" s="1"/>
      <c r="BI150" s="1"/>
      <c r="BJ150" s="1"/>
      <c r="BK150" s="1"/>
      <c r="BL150" s="1"/>
      <c r="BM150" s="1"/>
      <c r="BN150" s="1"/>
      <c r="BO150" s="1" t="s">
        <v>3289</v>
      </c>
      <c r="BP150" s="1" t="s">
        <v>3290</v>
      </c>
      <c r="BQ150" s="1" t="s">
        <v>3291</v>
      </c>
      <c r="BR150" s="1" t="s">
        <v>3292</v>
      </c>
      <c r="BS150" s="1">
        <v>113</v>
      </c>
      <c r="BT150" s="1" t="s">
        <v>849</v>
      </c>
      <c r="BU150" s="1" t="str">
        <f>HYPERLINK("https://nconnect.nicmar.ac.in/storage/profile/ProfilePhoto_P25700136_196742.jpg","Download")</f>
        <v>0</v>
      </c>
      <c r="BV150" s="3"/>
      <c r="BW150" s="3"/>
    </row>
    <row r="151" spans="1:75">
      <c r="A151" s="1" t="s">
        <v>75</v>
      </c>
      <c r="B151" s="1" t="s">
        <v>446</v>
      </c>
      <c r="C151" s="1" t="s">
        <v>3293</v>
      </c>
      <c r="D151" s="1" t="s">
        <v>3294</v>
      </c>
      <c r="E151" s="1"/>
      <c r="F151" s="1" t="s">
        <v>1487</v>
      </c>
      <c r="G151" s="1" t="s">
        <v>3295</v>
      </c>
      <c r="H151" s="1" t="s">
        <v>3296</v>
      </c>
      <c r="I151" s="1" t="s">
        <v>3297</v>
      </c>
      <c r="J151" s="1">
        <v>6238245494</v>
      </c>
      <c r="K151" s="1" t="s">
        <v>84</v>
      </c>
      <c r="L151" s="1" t="s">
        <v>3298</v>
      </c>
      <c r="M151" s="1" t="s">
        <v>86</v>
      </c>
      <c r="N151" s="1" t="s">
        <v>3147</v>
      </c>
      <c r="O151" s="1"/>
      <c r="P151" s="1" t="s">
        <v>507</v>
      </c>
      <c r="Q151" s="1" t="s">
        <v>3299</v>
      </c>
      <c r="R151" s="1" t="s">
        <v>3300</v>
      </c>
      <c r="S151" s="1">
        <v>9847297977</v>
      </c>
      <c r="T151" s="1" t="s">
        <v>3301</v>
      </c>
      <c r="U151" s="1" t="s">
        <v>3302</v>
      </c>
      <c r="V151" s="1">
        <v>9847493320</v>
      </c>
      <c r="W151" s="1" t="s">
        <v>3303</v>
      </c>
      <c r="X151" s="1" t="s">
        <v>3304</v>
      </c>
      <c r="Y151" s="1" t="s">
        <v>3190</v>
      </c>
      <c r="Z151" s="1" t="s">
        <v>130</v>
      </c>
      <c r="AA151" s="1" t="s">
        <v>3304</v>
      </c>
      <c r="AB151" s="1" t="s">
        <v>3190</v>
      </c>
      <c r="AC151" s="1" t="s">
        <v>130</v>
      </c>
      <c r="AD151" s="1">
        <v>8.21</v>
      </c>
      <c r="AE151" s="1" t="s">
        <v>98</v>
      </c>
      <c r="AF151" s="1" t="s">
        <v>3305</v>
      </c>
      <c r="AG151" s="1" t="s">
        <v>3306</v>
      </c>
      <c r="AH151" s="1" t="s">
        <v>170</v>
      </c>
      <c r="AI151" s="1" t="s">
        <v>171</v>
      </c>
      <c r="AJ151" s="1">
        <v>82.83</v>
      </c>
      <c r="AK151" s="1"/>
      <c r="AL151" s="1" t="s">
        <v>3305</v>
      </c>
      <c r="AM151" s="1" t="s">
        <v>3306</v>
      </c>
      <c r="AN151" s="1"/>
      <c r="AO151" s="1" t="s">
        <v>438</v>
      </c>
      <c r="AP151" s="1" t="s">
        <v>178</v>
      </c>
      <c r="AQ151" s="1">
        <v>75.2</v>
      </c>
      <c r="AR151" s="1"/>
      <c r="AS151" s="1"/>
      <c r="AT151" s="1"/>
      <c r="AU151" s="1"/>
      <c r="AV151" s="1"/>
      <c r="AW151" s="1"/>
      <c r="AX151" s="1"/>
      <c r="AY151" s="1" t="s">
        <v>137</v>
      </c>
      <c r="AZ151" s="1" t="s">
        <v>3307</v>
      </c>
      <c r="BA151" s="1"/>
      <c r="BB151" s="1"/>
      <c r="BC151" s="1" t="s">
        <v>233</v>
      </c>
      <c r="BD151" s="1" t="s">
        <v>207</v>
      </c>
      <c r="BE151" s="1">
        <v>68.8</v>
      </c>
      <c r="BF151" s="1"/>
      <c r="BG151" s="1"/>
      <c r="BH151" s="1"/>
      <c r="BI151" s="1"/>
      <c r="BJ151" s="1"/>
      <c r="BK151" s="1"/>
      <c r="BL151" s="1"/>
      <c r="BM151" s="1"/>
      <c r="BN151" s="1"/>
      <c r="BO151" s="1" t="s">
        <v>3308</v>
      </c>
      <c r="BP151" s="1" t="s">
        <v>3309</v>
      </c>
      <c r="BQ151" s="1" t="s">
        <v>1043</v>
      </c>
      <c r="BR151" s="1" t="s">
        <v>3310</v>
      </c>
      <c r="BS151" s="1">
        <v>8</v>
      </c>
      <c r="BT151" s="1"/>
      <c r="BU151" s="1" t="str">
        <f>HYPERLINK("https://nconnect.nicmar.ac.in/storage/profile/ProfilePhoto_P25700137_823974.jpg","Download")</f>
        <v>0</v>
      </c>
      <c r="BV151" s="3"/>
      <c r="BW151" s="3"/>
    </row>
    <row r="152" spans="1:75">
      <c r="A152" s="1" t="s">
        <v>75</v>
      </c>
      <c r="B152" s="1" t="s">
        <v>446</v>
      </c>
      <c r="C152" s="1" t="s">
        <v>3311</v>
      </c>
      <c r="D152" s="1" t="s">
        <v>3312</v>
      </c>
      <c r="E152" s="1"/>
      <c r="F152" s="1" t="s">
        <v>3313</v>
      </c>
      <c r="G152" s="1" t="s">
        <v>3314</v>
      </c>
      <c r="H152" s="1" t="s">
        <v>3315</v>
      </c>
      <c r="I152" s="1" t="s">
        <v>3316</v>
      </c>
      <c r="J152" s="1">
        <v>7068336907</v>
      </c>
      <c r="K152" s="1" t="s">
        <v>84</v>
      </c>
      <c r="L152" s="1" t="s">
        <v>3317</v>
      </c>
      <c r="M152" s="1" t="s">
        <v>86</v>
      </c>
      <c r="N152" s="1" t="s">
        <v>246</v>
      </c>
      <c r="O152" s="1"/>
      <c r="P152" s="1" t="s">
        <v>507</v>
      </c>
      <c r="Q152" s="1" t="s">
        <v>3318</v>
      </c>
      <c r="R152" s="1" t="s">
        <v>3319</v>
      </c>
      <c r="S152" s="1">
        <v>9044024038</v>
      </c>
      <c r="T152" s="1" t="s">
        <v>221</v>
      </c>
      <c r="U152" s="1" t="s">
        <v>3320</v>
      </c>
      <c r="V152" s="1">
        <v>8090008254</v>
      </c>
      <c r="W152" s="1" t="s">
        <v>161</v>
      </c>
      <c r="X152" s="1" t="s">
        <v>3321</v>
      </c>
      <c r="Y152" s="1" t="s">
        <v>3322</v>
      </c>
      <c r="Z152" s="1" t="s">
        <v>544</v>
      </c>
      <c r="AA152" s="1" t="s">
        <v>3321</v>
      </c>
      <c r="AB152" s="1" t="s">
        <v>3322</v>
      </c>
      <c r="AC152" s="1" t="s">
        <v>544</v>
      </c>
      <c r="AD152" s="1">
        <v>8.36</v>
      </c>
      <c r="AE152" s="1" t="s">
        <v>98</v>
      </c>
      <c r="AF152" s="1" t="s">
        <v>3323</v>
      </c>
      <c r="AG152" s="1" t="s">
        <v>775</v>
      </c>
      <c r="AH152" s="1" t="s">
        <v>166</v>
      </c>
      <c r="AI152" s="1" t="s">
        <v>627</v>
      </c>
      <c r="AJ152" s="1">
        <v>95</v>
      </c>
      <c r="AK152" s="1">
        <v>10</v>
      </c>
      <c r="AL152" s="1" t="s">
        <v>3324</v>
      </c>
      <c r="AM152" s="1" t="s">
        <v>775</v>
      </c>
      <c r="AN152" s="1"/>
      <c r="AO152" s="1" t="s">
        <v>170</v>
      </c>
      <c r="AP152" s="1" t="s">
        <v>171</v>
      </c>
      <c r="AQ152" s="1">
        <v>72.6</v>
      </c>
      <c r="AR152" s="1"/>
      <c r="AS152" s="1"/>
      <c r="AT152" s="1"/>
      <c r="AU152" s="1"/>
      <c r="AV152" s="1"/>
      <c r="AW152" s="1"/>
      <c r="AX152" s="1"/>
      <c r="AY152" s="1" t="s">
        <v>3325</v>
      </c>
      <c r="AZ152" s="1" t="s">
        <v>3325</v>
      </c>
      <c r="BA152" s="1"/>
      <c r="BB152" s="1"/>
      <c r="BC152" s="1" t="s">
        <v>438</v>
      </c>
      <c r="BD152" s="1" t="s">
        <v>234</v>
      </c>
      <c r="BE152" s="1">
        <v>72.2</v>
      </c>
      <c r="BF152" s="1"/>
      <c r="BG152" s="1"/>
      <c r="BH152" s="1"/>
      <c r="BI152" s="1"/>
      <c r="BJ152" s="1"/>
      <c r="BK152" s="1"/>
      <c r="BL152" s="1"/>
      <c r="BM152" s="1"/>
      <c r="BN152" s="1"/>
      <c r="BO152" s="1" t="s">
        <v>3326</v>
      </c>
      <c r="BP152" s="1" t="s">
        <v>3327</v>
      </c>
      <c r="BQ152" s="1" t="s">
        <v>292</v>
      </c>
      <c r="BR152" s="1" t="s">
        <v>3328</v>
      </c>
      <c r="BS152" s="1">
        <v>8</v>
      </c>
      <c r="BT152" s="1" t="s">
        <v>3329</v>
      </c>
      <c r="BU152" s="1" t="str">
        <f>HYPERLINK("https://nconnect.nicmar.ac.in/storage/profile/ProfilePhoto_P25700138_159438.jpg","Download")</f>
        <v>0</v>
      </c>
      <c r="BV152" s="3"/>
      <c r="BW152" s="4">
        <v>1</v>
      </c>
    </row>
    <row r="153" spans="1:75">
      <c r="A153" s="1" t="s">
        <v>75</v>
      </c>
      <c r="B153" s="1" t="s">
        <v>446</v>
      </c>
      <c r="C153" s="1" t="s">
        <v>3330</v>
      </c>
      <c r="D153" s="1" t="s">
        <v>2829</v>
      </c>
      <c r="E153" s="1" t="s">
        <v>3331</v>
      </c>
      <c r="F153" s="1" t="s">
        <v>3332</v>
      </c>
      <c r="G153" s="1" t="s">
        <v>3333</v>
      </c>
      <c r="H153" s="1" t="s">
        <v>3334</v>
      </c>
      <c r="I153" s="1" t="s">
        <v>3335</v>
      </c>
      <c r="J153" s="1">
        <v>8329386839</v>
      </c>
      <c r="K153" s="1" t="s">
        <v>84</v>
      </c>
      <c r="L153" s="1" t="s">
        <v>3336</v>
      </c>
      <c r="M153" s="1" t="s">
        <v>86</v>
      </c>
      <c r="N153" s="1" t="s">
        <v>3337</v>
      </c>
      <c r="O153" s="1" t="s">
        <v>3338</v>
      </c>
      <c r="P153" s="1" t="s">
        <v>219</v>
      </c>
      <c r="Q153" s="1" t="s">
        <v>3339</v>
      </c>
      <c r="R153" s="1" t="s">
        <v>3331</v>
      </c>
      <c r="S153" s="1">
        <v>9423358067</v>
      </c>
      <c r="T153" s="1" t="s">
        <v>3225</v>
      </c>
      <c r="U153" s="1" t="s">
        <v>3340</v>
      </c>
      <c r="V153" s="1">
        <v>8793338575</v>
      </c>
      <c r="W153" s="1" t="s">
        <v>161</v>
      </c>
      <c r="X153" s="1" t="s">
        <v>3341</v>
      </c>
      <c r="Y153" s="1" t="s">
        <v>196</v>
      </c>
      <c r="Z153" s="1" t="s">
        <v>97</v>
      </c>
      <c r="AA153" s="1" t="s">
        <v>3341</v>
      </c>
      <c r="AB153" s="1" t="s">
        <v>196</v>
      </c>
      <c r="AC153" s="1" t="s">
        <v>97</v>
      </c>
      <c r="AD153" s="1">
        <v>9.0</v>
      </c>
      <c r="AE153" s="1" t="s">
        <v>98</v>
      </c>
      <c r="AF153" s="1" t="s">
        <v>3342</v>
      </c>
      <c r="AG153" s="1" t="s">
        <v>3343</v>
      </c>
      <c r="AH153" s="1" t="s">
        <v>170</v>
      </c>
      <c r="AI153" s="1" t="s">
        <v>106</v>
      </c>
      <c r="AJ153" s="1">
        <v>77.8</v>
      </c>
      <c r="AK153" s="1">
        <v>0</v>
      </c>
      <c r="AL153" s="1"/>
      <c r="AM153" s="1"/>
      <c r="AN153" s="1"/>
      <c r="AO153" s="1"/>
      <c r="AP153" s="1"/>
      <c r="AQ153" s="1"/>
      <c r="AR153" s="1"/>
      <c r="AS153" s="1" t="s">
        <v>103</v>
      </c>
      <c r="AT153" s="1" t="s">
        <v>3344</v>
      </c>
      <c r="AU153" s="1" t="s">
        <v>1065</v>
      </c>
      <c r="AV153" s="1" t="s">
        <v>441</v>
      </c>
      <c r="AW153" s="1">
        <v>89.95</v>
      </c>
      <c r="AX153" s="1">
        <v>0</v>
      </c>
      <c r="AY153" s="1" t="s">
        <v>680</v>
      </c>
      <c r="AZ153" s="1" t="s">
        <v>3345</v>
      </c>
      <c r="BA153" s="1" t="s">
        <v>578</v>
      </c>
      <c r="BB153" s="1" t="s">
        <v>467</v>
      </c>
      <c r="BC153" s="1" t="s">
        <v>871</v>
      </c>
      <c r="BD153" s="1" t="s">
        <v>1089</v>
      </c>
      <c r="BE153" s="1">
        <v>70.85</v>
      </c>
      <c r="BF153" s="1">
        <v>7.78</v>
      </c>
      <c r="BG153" s="1"/>
      <c r="BH153" s="1"/>
      <c r="BI153" s="1"/>
      <c r="BJ153" s="1"/>
      <c r="BK153" s="1"/>
      <c r="BL153" s="1"/>
      <c r="BM153" s="1"/>
      <c r="BN153" s="1"/>
      <c r="BO153" s="1" t="s">
        <v>3346</v>
      </c>
      <c r="BP153" s="1"/>
      <c r="BQ153" s="1"/>
      <c r="BR153" s="1" t="s">
        <v>3347</v>
      </c>
      <c r="BS153" s="1">
        <v>40</v>
      </c>
      <c r="BT153" s="1" t="s">
        <v>3348</v>
      </c>
      <c r="BU153" s="1" t="str">
        <f>HYPERLINK("https://nconnect.nicmar.ac.in/storage/profile/ProfilePhoto_P25700139_421357.jpg","Download")</f>
        <v>0</v>
      </c>
      <c r="BV153" s="3"/>
      <c r="BW153" s="3"/>
    </row>
    <row r="154" spans="1:75">
      <c r="A154" s="1" t="s">
        <v>75</v>
      </c>
      <c r="B154" s="1" t="s">
        <v>446</v>
      </c>
      <c r="C154" s="1" t="s">
        <v>3349</v>
      </c>
      <c r="D154" s="1" t="s">
        <v>3350</v>
      </c>
      <c r="E154" s="1" t="s">
        <v>3351</v>
      </c>
      <c r="F154" s="1" t="s">
        <v>1179</v>
      </c>
      <c r="G154" s="1" t="s">
        <v>3352</v>
      </c>
      <c r="H154" s="1" t="s">
        <v>3353</v>
      </c>
      <c r="I154" s="1" t="s">
        <v>3354</v>
      </c>
      <c r="J154" s="1">
        <v>9067925520</v>
      </c>
      <c r="K154" s="1" t="s">
        <v>84</v>
      </c>
      <c r="L154" s="1" t="s">
        <v>3355</v>
      </c>
      <c r="M154" s="1" t="s">
        <v>86</v>
      </c>
      <c r="N154" s="1" t="s">
        <v>3356</v>
      </c>
      <c r="O154" s="1" t="s">
        <v>3357</v>
      </c>
      <c r="P154" s="1" t="s">
        <v>89</v>
      </c>
      <c r="Q154" s="1" t="s">
        <v>3358</v>
      </c>
      <c r="R154" s="1" t="s">
        <v>3359</v>
      </c>
      <c r="S154" s="1">
        <v>9860129290</v>
      </c>
      <c r="T154" s="1" t="s">
        <v>3360</v>
      </c>
      <c r="U154" s="1" t="s">
        <v>3361</v>
      </c>
      <c r="V154" s="1">
        <v>9970087332</v>
      </c>
      <c r="W154" s="1" t="s">
        <v>3362</v>
      </c>
      <c r="X154" s="1" t="s">
        <v>3363</v>
      </c>
      <c r="Y154" s="1" t="s">
        <v>910</v>
      </c>
      <c r="Z154" s="1" t="s">
        <v>97</v>
      </c>
      <c r="AA154" s="1" t="s">
        <v>3364</v>
      </c>
      <c r="AB154" s="1" t="s">
        <v>196</v>
      </c>
      <c r="AC154" s="1" t="s">
        <v>97</v>
      </c>
      <c r="AD154" s="1">
        <v>8.18</v>
      </c>
      <c r="AE154" s="1" t="s">
        <v>98</v>
      </c>
      <c r="AF154" s="1" t="s">
        <v>3365</v>
      </c>
      <c r="AG154" s="1" t="s">
        <v>3366</v>
      </c>
      <c r="AH154" s="1" t="s">
        <v>106</v>
      </c>
      <c r="AI154" s="1" t="s">
        <v>313</v>
      </c>
      <c r="AJ154" s="1">
        <v>85.6</v>
      </c>
      <c r="AK154" s="1"/>
      <c r="AL154" s="1" t="s">
        <v>3367</v>
      </c>
      <c r="AM154" s="1" t="s">
        <v>3368</v>
      </c>
      <c r="AN154" s="1" t="s">
        <v>465</v>
      </c>
      <c r="AO154" s="1" t="s">
        <v>468</v>
      </c>
      <c r="AP154" s="1" t="s">
        <v>441</v>
      </c>
      <c r="AQ154" s="1">
        <v>90.83</v>
      </c>
      <c r="AR154" s="1"/>
      <c r="AS154" s="1"/>
      <c r="AT154" s="1"/>
      <c r="AU154" s="1"/>
      <c r="AV154" s="1"/>
      <c r="AW154" s="1"/>
      <c r="AX154" s="1"/>
      <c r="AY154" s="1" t="s">
        <v>366</v>
      </c>
      <c r="AZ154" s="1" t="s">
        <v>3369</v>
      </c>
      <c r="BA154" s="1" t="s">
        <v>578</v>
      </c>
      <c r="BB154" s="1" t="s">
        <v>467</v>
      </c>
      <c r="BC154" s="1" t="s">
        <v>871</v>
      </c>
      <c r="BD154" s="1" t="s">
        <v>848</v>
      </c>
      <c r="BE154" s="1">
        <v>69.2</v>
      </c>
      <c r="BF154" s="1">
        <v>7.67</v>
      </c>
      <c r="BG154" s="1"/>
      <c r="BH154" s="1"/>
      <c r="BI154" s="1"/>
      <c r="BJ154" s="1"/>
      <c r="BK154" s="1"/>
      <c r="BL154" s="1"/>
      <c r="BM154" s="1"/>
      <c r="BN154" s="1"/>
      <c r="BO154" s="1" t="s">
        <v>3370</v>
      </c>
      <c r="BP154" s="1"/>
      <c r="BQ154" s="1"/>
      <c r="BR154" s="1" t="s">
        <v>3371</v>
      </c>
      <c r="BS154" s="1">
        <v>13</v>
      </c>
      <c r="BT154" s="1" t="s">
        <v>3372</v>
      </c>
      <c r="BU154" s="1" t="str">
        <f>HYPERLINK("https://nconnect.nicmar.ac.in/storage/profile/ProfilePhoto_P25700140_347569.jpg","Download")</f>
        <v>0</v>
      </c>
      <c r="BV154" s="3"/>
      <c r="BW154" s="3"/>
    </row>
    <row r="155" spans="1:75">
      <c r="A155" s="1" t="s">
        <v>75</v>
      </c>
      <c r="B155" s="1" t="s">
        <v>446</v>
      </c>
      <c r="C155" s="1" t="s">
        <v>3373</v>
      </c>
      <c r="D155" s="1" t="s">
        <v>3374</v>
      </c>
      <c r="E155" s="1" t="s">
        <v>1020</v>
      </c>
      <c r="F155" s="1" t="s">
        <v>1361</v>
      </c>
      <c r="G155" s="1" t="s">
        <v>3375</v>
      </c>
      <c r="H155" s="1" t="s">
        <v>3376</v>
      </c>
      <c r="I155" s="1" t="s">
        <v>3377</v>
      </c>
      <c r="J155" s="1">
        <v>9544952840</v>
      </c>
      <c r="K155" s="1" t="s">
        <v>153</v>
      </c>
      <c r="L155" s="1" t="s">
        <v>3378</v>
      </c>
      <c r="M155" s="1" t="s">
        <v>86</v>
      </c>
      <c r="N155" s="1" t="s">
        <v>695</v>
      </c>
      <c r="O155" s="1"/>
      <c r="P155" s="1" t="s">
        <v>455</v>
      </c>
      <c r="Q155" s="1" t="s">
        <v>3379</v>
      </c>
      <c r="R155" s="1" t="s">
        <v>3380</v>
      </c>
      <c r="S155" s="1">
        <v>9961232601</v>
      </c>
      <c r="T155" s="1" t="s">
        <v>839</v>
      </c>
      <c r="U155" s="1" t="s">
        <v>3381</v>
      </c>
      <c r="V155" s="1">
        <v>9995843595</v>
      </c>
      <c r="W155" s="1" t="s">
        <v>1257</v>
      </c>
      <c r="X155" s="1" t="s">
        <v>3382</v>
      </c>
      <c r="Y155" s="1" t="s">
        <v>1283</v>
      </c>
      <c r="Z155" s="1" t="s">
        <v>130</v>
      </c>
      <c r="AA155" s="1" t="s">
        <v>3382</v>
      </c>
      <c r="AB155" s="1" t="s">
        <v>1283</v>
      </c>
      <c r="AC155" s="1" t="s">
        <v>130</v>
      </c>
      <c r="AD155" s="1">
        <v>7.56</v>
      </c>
      <c r="AE155" s="1" t="s">
        <v>98</v>
      </c>
      <c r="AF155" s="1" t="s">
        <v>3383</v>
      </c>
      <c r="AG155" s="1" t="s">
        <v>312</v>
      </c>
      <c r="AH155" s="1" t="s">
        <v>167</v>
      </c>
      <c r="AI155" s="1" t="s">
        <v>170</v>
      </c>
      <c r="AJ155" s="1">
        <v>83.6</v>
      </c>
      <c r="AK155" s="1">
        <v>8.8</v>
      </c>
      <c r="AL155" s="1" t="s">
        <v>3383</v>
      </c>
      <c r="AM155" s="1" t="s">
        <v>312</v>
      </c>
      <c r="AN155" s="1"/>
      <c r="AO155" s="1" t="s">
        <v>106</v>
      </c>
      <c r="AP155" s="1" t="s">
        <v>547</v>
      </c>
      <c r="AQ155" s="1">
        <v>60.6</v>
      </c>
      <c r="AR155" s="1">
        <v>6</v>
      </c>
      <c r="AS155" s="1"/>
      <c r="AT155" s="1"/>
      <c r="AU155" s="1"/>
      <c r="AV155" s="1"/>
      <c r="AW155" s="1"/>
      <c r="AX155" s="1"/>
      <c r="AY155" s="1" t="s">
        <v>137</v>
      </c>
      <c r="AZ155" s="1" t="s">
        <v>3384</v>
      </c>
      <c r="BA155" s="1"/>
      <c r="BB155" s="1"/>
      <c r="BC155" s="1" t="s">
        <v>315</v>
      </c>
      <c r="BD155" s="1" t="s">
        <v>207</v>
      </c>
      <c r="BE155" s="1">
        <v>65.5</v>
      </c>
      <c r="BF155" s="1">
        <v>6.55</v>
      </c>
      <c r="BG155" s="1"/>
      <c r="BH155" s="1"/>
      <c r="BI155" s="1"/>
      <c r="BJ155" s="1"/>
      <c r="BK155" s="1"/>
      <c r="BL155" s="1"/>
      <c r="BM155" s="1"/>
      <c r="BN155" s="1"/>
      <c r="BO155" s="1" t="s">
        <v>3385</v>
      </c>
      <c r="BP155" s="1"/>
      <c r="BQ155" s="1"/>
      <c r="BR155" s="1" t="s">
        <v>3386</v>
      </c>
      <c r="BS155" s="1">
        <v>9</v>
      </c>
      <c r="BT155" s="1"/>
      <c r="BU155" s="1" t="str">
        <f>HYPERLINK("https://nconnect.nicmar.ac.in/storage/profile/ProfilePhoto_P25700141_362759.jpg","Download")</f>
        <v>0</v>
      </c>
      <c r="BV155" s="3"/>
      <c r="BW155" s="3"/>
    </row>
    <row r="156" spans="1:75">
      <c r="A156" s="1" t="s">
        <v>75</v>
      </c>
      <c r="B156" s="1" t="s">
        <v>446</v>
      </c>
      <c r="C156" s="1" t="s">
        <v>3387</v>
      </c>
      <c r="D156" s="1" t="s">
        <v>3388</v>
      </c>
      <c r="E156" s="1"/>
      <c r="F156" s="1" t="s">
        <v>1380</v>
      </c>
      <c r="G156" s="1" t="s">
        <v>3389</v>
      </c>
      <c r="H156" s="1" t="s">
        <v>3390</v>
      </c>
      <c r="I156" s="1" t="s">
        <v>3391</v>
      </c>
      <c r="J156" s="1">
        <v>8576913349</v>
      </c>
      <c r="K156" s="1" t="s">
        <v>84</v>
      </c>
      <c r="L156" s="1" t="s">
        <v>3392</v>
      </c>
      <c r="M156" s="1" t="s">
        <v>86</v>
      </c>
      <c r="N156" s="1" t="s">
        <v>3393</v>
      </c>
      <c r="O156" s="1"/>
      <c r="P156" s="1" t="s">
        <v>507</v>
      </c>
      <c r="Q156" s="1" t="s">
        <v>3394</v>
      </c>
      <c r="R156" s="1" t="s">
        <v>3395</v>
      </c>
      <c r="S156" s="1">
        <v>9415767684</v>
      </c>
      <c r="T156" s="1" t="s">
        <v>3396</v>
      </c>
      <c r="U156" s="1" t="s">
        <v>3397</v>
      </c>
      <c r="V156" s="1">
        <v>7880669985</v>
      </c>
      <c r="W156" s="1" t="s">
        <v>1257</v>
      </c>
      <c r="X156" s="1" t="s">
        <v>3398</v>
      </c>
      <c r="Y156" s="1" t="s">
        <v>1059</v>
      </c>
      <c r="Z156" s="1" t="s">
        <v>544</v>
      </c>
      <c r="AA156" s="1" t="s">
        <v>3398</v>
      </c>
      <c r="AB156" s="1" t="s">
        <v>1059</v>
      </c>
      <c r="AC156" s="1" t="s">
        <v>544</v>
      </c>
      <c r="AD156" s="1">
        <v>7.67</v>
      </c>
      <c r="AE156" s="1" t="s">
        <v>98</v>
      </c>
      <c r="AF156" s="1" t="s">
        <v>3399</v>
      </c>
      <c r="AG156" s="1" t="s">
        <v>3400</v>
      </c>
      <c r="AH156" s="1" t="s">
        <v>1214</v>
      </c>
      <c r="AI156" s="1" t="s">
        <v>136</v>
      </c>
      <c r="AJ156" s="1">
        <v>78.6</v>
      </c>
      <c r="AK156" s="1">
        <v>0</v>
      </c>
      <c r="AL156" s="1" t="s">
        <v>3401</v>
      </c>
      <c r="AM156" s="1" t="s">
        <v>312</v>
      </c>
      <c r="AN156" s="1"/>
      <c r="AO156" s="1" t="s">
        <v>284</v>
      </c>
      <c r="AP156" s="1" t="s">
        <v>170</v>
      </c>
      <c r="AQ156" s="1">
        <v>67.8</v>
      </c>
      <c r="AR156" s="1">
        <v>0</v>
      </c>
      <c r="AS156" s="1"/>
      <c r="AT156" s="1"/>
      <c r="AU156" s="1"/>
      <c r="AV156" s="1"/>
      <c r="AW156" s="1"/>
      <c r="AX156" s="1"/>
      <c r="AY156" s="1" t="s">
        <v>2614</v>
      </c>
      <c r="AZ156" s="1" t="s">
        <v>3402</v>
      </c>
      <c r="BA156" s="1"/>
      <c r="BB156" s="1"/>
      <c r="BC156" s="1" t="s">
        <v>388</v>
      </c>
      <c r="BD156" s="1" t="s">
        <v>140</v>
      </c>
      <c r="BE156" s="1">
        <v>71.33</v>
      </c>
      <c r="BF156" s="1">
        <v>6.28</v>
      </c>
      <c r="BG156" s="1"/>
      <c r="BH156" s="1"/>
      <c r="BI156" s="1"/>
      <c r="BJ156" s="1"/>
      <c r="BK156" s="1"/>
      <c r="BL156" s="1"/>
      <c r="BM156" s="1"/>
      <c r="BN156" s="1"/>
      <c r="BO156" s="1" t="s">
        <v>260</v>
      </c>
      <c r="BP156" s="1" t="s">
        <v>3403</v>
      </c>
      <c r="BQ156" s="1" t="s">
        <v>3404</v>
      </c>
      <c r="BR156" s="1" t="s">
        <v>3405</v>
      </c>
      <c r="BS156" s="1">
        <v>12</v>
      </c>
      <c r="BT156" s="1"/>
      <c r="BU156" s="1" t="str">
        <f>HYPERLINK("https://nconnect.nicmar.ac.in/storage/profile/ProfilePhoto_P25700142_683421.jpg","Download")</f>
        <v>0</v>
      </c>
      <c r="BV156" s="3"/>
      <c r="BW156" s="3"/>
    </row>
    <row r="157" spans="1:75">
      <c r="A157" s="1" t="s">
        <v>75</v>
      </c>
      <c r="B157" s="1" t="s">
        <v>446</v>
      </c>
      <c r="C157" s="1" t="s">
        <v>3406</v>
      </c>
      <c r="D157" s="1" t="s">
        <v>3407</v>
      </c>
      <c r="E157" s="1"/>
      <c r="F157" s="1" t="s">
        <v>3408</v>
      </c>
      <c r="G157" s="1" t="s">
        <v>3409</v>
      </c>
      <c r="H157" s="1" t="s">
        <v>3410</v>
      </c>
      <c r="I157" s="1" t="s">
        <v>3411</v>
      </c>
      <c r="J157" s="1">
        <v>9672384492</v>
      </c>
      <c r="K157" s="1" t="s">
        <v>153</v>
      </c>
      <c r="L157" s="1" t="s">
        <v>3412</v>
      </c>
      <c r="M157" s="1" t="s">
        <v>86</v>
      </c>
      <c r="N157" s="1" t="s">
        <v>246</v>
      </c>
      <c r="O157" s="1"/>
      <c r="P157" s="1" t="s">
        <v>481</v>
      </c>
      <c r="Q157" s="1" t="s">
        <v>3413</v>
      </c>
      <c r="R157" s="1" t="s">
        <v>3414</v>
      </c>
      <c r="S157" s="1">
        <v>9302820540</v>
      </c>
      <c r="T157" s="1" t="s">
        <v>3415</v>
      </c>
      <c r="U157" s="1" t="s">
        <v>3416</v>
      </c>
      <c r="V157" s="1">
        <v>8269395849</v>
      </c>
      <c r="W157" s="1" t="s">
        <v>94</v>
      </c>
      <c r="X157" s="1" t="s">
        <v>3417</v>
      </c>
      <c r="Y157" s="1" t="s">
        <v>3418</v>
      </c>
      <c r="Z157" s="1" t="s">
        <v>3419</v>
      </c>
      <c r="AA157" s="1" t="s">
        <v>3417</v>
      </c>
      <c r="AB157" s="1" t="s">
        <v>3418</v>
      </c>
      <c r="AC157" s="1" t="s">
        <v>3419</v>
      </c>
      <c r="AD157" s="1">
        <v>8.31</v>
      </c>
      <c r="AE157" s="1" t="s">
        <v>98</v>
      </c>
      <c r="AF157" s="1" t="s">
        <v>3420</v>
      </c>
      <c r="AG157" s="1" t="s">
        <v>312</v>
      </c>
      <c r="AH157" s="1" t="s">
        <v>3421</v>
      </c>
      <c r="AI157" s="1" t="s">
        <v>1262</v>
      </c>
      <c r="AJ157" s="1">
        <v>85.5</v>
      </c>
      <c r="AK157" s="1">
        <v>9</v>
      </c>
      <c r="AL157" s="1" t="s">
        <v>3420</v>
      </c>
      <c r="AM157" s="1" t="s">
        <v>3422</v>
      </c>
      <c r="AN157" s="1"/>
      <c r="AO157" s="1" t="s">
        <v>1110</v>
      </c>
      <c r="AP157" s="1" t="s">
        <v>627</v>
      </c>
      <c r="AQ157" s="1">
        <v>65.4</v>
      </c>
      <c r="AR157" s="1"/>
      <c r="AS157" s="1"/>
      <c r="AT157" s="1"/>
      <c r="AU157" s="1"/>
      <c r="AV157" s="1"/>
      <c r="AW157" s="1"/>
      <c r="AX157" s="1"/>
      <c r="AY157" s="1" t="s">
        <v>3423</v>
      </c>
      <c r="AZ157" s="1" t="s">
        <v>3423</v>
      </c>
      <c r="BA157" s="1"/>
      <c r="BB157" s="1"/>
      <c r="BC157" s="1" t="s">
        <v>139</v>
      </c>
      <c r="BD157" s="1" t="s">
        <v>847</v>
      </c>
      <c r="BE157" s="1">
        <v>63.45</v>
      </c>
      <c r="BF157" s="1">
        <v>6.98</v>
      </c>
      <c r="BG157" s="1"/>
      <c r="BH157" s="1"/>
      <c r="BI157" s="1"/>
      <c r="BJ157" s="1"/>
      <c r="BK157" s="1"/>
      <c r="BL157" s="1"/>
      <c r="BM157" s="1"/>
      <c r="BN157" s="1"/>
      <c r="BO157" s="1" t="s">
        <v>3424</v>
      </c>
      <c r="BP157" s="1" t="s">
        <v>3425</v>
      </c>
      <c r="BQ157" s="1" t="s">
        <v>3426</v>
      </c>
      <c r="BR157" s="1" t="s">
        <v>3427</v>
      </c>
      <c r="BS157" s="1">
        <v>19</v>
      </c>
      <c r="BT157" s="1"/>
      <c r="BU157" s="1" t="str">
        <f>HYPERLINK("https://nconnect.nicmar.ac.in/storage/profile/ProfilePhoto_P25700143_172536.jpg","Download")</f>
        <v>0</v>
      </c>
      <c r="BV157" s="3"/>
      <c r="BW157" s="3"/>
    </row>
    <row r="158" spans="1:75">
      <c r="A158" s="1" t="s">
        <v>75</v>
      </c>
      <c r="B158" s="1" t="s">
        <v>446</v>
      </c>
      <c r="C158" s="1" t="s">
        <v>3428</v>
      </c>
      <c r="D158" s="1" t="s">
        <v>3429</v>
      </c>
      <c r="E158" s="1" t="s">
        <v>3430</v>
      </c>
      <c r="F158" s="1" t="s">
        <v>3431</v>
      </c>
      <c r="G158" s="1" t="s">
        <v>3432</v>
      </c>
      <c r="H158" s="1" t="s">
        <v>3433</v>
      </c>
      <c r="I158" s="1" t="s">
        <v>3434</v>
      </c>
      <c r="J158" s="1">
        <v>7083023252</v>
      </c>
      <c r="K158" s="1" t="s">
        <v>153</v>
      </c>
      <c r="L158" s="1" t="s">
        <v>3435</v>
      </c>
      <c r="M158" s="1" t="s">
        <v>86</v>
      </c>
      <c r="N158" s="1" t="s">
        <v>768</v>
      </c>
      <c r="O158" s="1" t="s">
        <v>3436</v>
      </c>
      <c r="P158" s="1" t="s">
        <v>89</v>
      </c>
      <c r="Q158" s="1" t="s">
        <v>3437</v>
      </c>
      <c r="R158" s="1" t="s">
        <v>3438</v>
      </c>
      <c r="S158" s="1">
        <v>9326969111</v>
      </c>
      <c r="T158" s="1" t="s">
        <v>3439</v>
      </c>
      <c r="U158" s="1" t="s">
        <v>3440</v>
      </c>
      <c r="V158" s="1">
        <v>9325354255</v>
      </c>
      <c r="W158" s="1" t="s">
        <v>3441</v>
      </c>
      <c r="X158" s="1" t="s">
        <v>3442</v>
      </c>
      <c r="Y158" s="1" t="s">
        <v>410</v>
      </c>
      <c r="Z158" s="1" t="s">
        <v>97</v>
      </c>
      <c r="AA158" s="1" t="s">
        <v>3443</v>
      </c>
      <c r="AB158" s="1" t="s">
        <v>410</v>
      </c>
      <c r="AC158" s="1" t="s">
        <v>97</v>
      </c>
      <c r="AD158" s="1">
        <v>9.0</v>
      </c>
      <c r="AE158" s="1" t="s">
        <v>98</v>
      </c>
      <c r="AF158" s="1" t="s">
        <v>3444</v>
      </c>
      <c r="AG158" s="1" t="s">
        <v>3445</v>
      </c>
      <c r="AH158" s="1" t="s">
        <v>2321</v>
      </c>
      <c r="AI158" s="1" t="s">
        <v>1111</v>
      </c>
      <c r="AJ158" s="1">
        <v>89.8</v>
      </c>
      <c r="AK158" s="1"/>
      <c r="AL158" s="1" t="s">
        <v>3446</v>
      </c>
      <c r="AM158" s="1" t="s">
        <v>3445</v>
      </c>
      <c r="AN158" s="1" t="s">
        <v>465</v>
      </c>
      <c r="AO158" s="1" t="s">
        <v>167</v>
      </c>
      <c r="AP158" s="1" t="s">
        <v>1477</v>
      </c>
      <c r="AQ158" s="1">
        <v>69.08</v>
      </c>
      <c r="AR158" s="1"/>
      <c r="AS158" s="1"/>
      <c r="AT158" s="1"/>
      <c r="AU158" s="1"/>
      <c r="AV158" s="1"/>
      <c r="AW158" s="1"/>
      <c r="AX158" s="1"/>
      <c r="AY158" s="1" t="s">
        <v>3447</v>
      </c>
      <c r="AZ158" s="1" t="s">
        <v>3114</v>
      </c>
      <c r="BA158" s="1" t="s">
        <v>682</v>
      </c>
      <c r="BB158" s="1" t="s">
        <v>1561</v>
      </c>
      <c r="BC158" s="1" t="s">
        <v>106</v>
      </c>
      <c r="BD158" s="1" t="s">
        <v>179</v>
      </c>
      <c r="BE158" s="1">
        <v>73.3</v>
      </c>
      <c r="BF158" s="1"/>
      <c r="BG158" s="1"/>
      <c r="BH158" s="1"/>
      <c r="BI158" s="1"/>
      <c r="BJ158" s="1"/>
      <c r="BK158" s="1"/>
      <c r="BL158" s="1"/>
      <c r="BM158" s="1"/>
      <c r="BN158" s="1"/>
      <c r="BO158" s="1" t="s">
        <v>3448</v>
      </c>
      <c r="BP158" s="1" t="s">
        <v>3449</v>
      </c>
      <c r="BQ158" s="1" t="s">
        <v>2213</v>
      </c>
      <c r="BR158" s="1" t="s">
        <v>3450</v>
      </c>
      <c r="BS158" s="1">
        <v>43</v>
      </c>
      <c r="BT158" s="1" t="s">
        <v>3451</v>
      </c>
      <c r="BU158" s="1" t="str">
        <f>HYPERLINK("https://nconnect.nicmar.ac.in/storage/profile/ProfilePhoto_P25700144_267184.jpg","Download")</f>
        <v>0</v>
      </c>
      <c r="BV158" s="3"/>
      <c r="BW158" s="3"/>
    </row>
    <row r="159" spans="1:75">
      <c r="A159" s="1" t="s">
        <v>75</v>
      </c>
      <c r="B159" s="1" t="s">
        <v>446</v>
      </c>
      <c r="C159" s="1" t="s">
        <v>3452</v>
      </c>
      <c r="D159" s="1" t="s">
        <v>1914</v>
      </c>
      <c r="E159" s="1"/>
      <c r="F159" s="1" t="s">
        <v>3453</v>
      </c>
      <c r="G159" s="1" t="s">
        <v>3454</v>
      </c>
      <c r="H159" s="1" t="s">
        <v>3455</v>
      </c>
      <c r="I159" s="1" t="s">
        <v>3456</v>
      </c>
      <c r="J159" s="1">
        <v>7095686464</v>
      </c>
      <c r="K159" s="1" t="s">
        <v>84</v>
      </c>
      <c r="L159" s="1" t="s">
        <v>3457</v>
      </c>
      <c r="M159" s="1" t="s">
        <v>86</v>
      </c>
      <c r="N159" s="1" t="s">
        <v>3458</v>
      </c>
      <c r="O159" s="1"/>
      <c r="P159" s="1" t="s">
        <v>455</v>
      </c>
      <c r="Q159" s="1" t="s">
        <v>3459</v>
      </c>
      <c r="R159" s="1" t="s">
        <v>3460</v>
      </c>
      <c r="S159" s="1">
        <v>9440917196</v>
      </c>
      <c r="T159" s="1" t="s">
        <v>3461</v>
      </c>
      <c r="U159" s="1" t="s">
        <v>3462</v>
      </c>
      <c r="V159" s="1">
        <v>9492335142</v>
      </c>
      <c r="W159" s="1" t="s">
        <v>278</v>
      </c>
      <c r="X159" s="1" t="s">
        <v>3463</v>
      </c>
      <c r="Y159" s="1" t="s">
        <v>3464</v>
      </c>
      <c r="Z159" s="1" t="s">
        <v>281</v>
      </c>
      <c r="AA159" s="1" t="s">
        <v>3463</v>
      </c>
      <c r="AB159" s="1" t="s">
        <v>3464</v>
      </c>
      <c r="AC159" s="1" t="s">
        <v>281</v>
      </c>
      <c r="AD159" s="1">
        <v>9.59</v>
      </c>
      <c r="AE159" s="1" t="s">
        <v>98</v>
      </c>
      <c r="AF159" s="1" t="s">
        <v>3465</v>
      </c>
      <c r="AG159" s="1" t="s">
        <v>3466</v>
      </c>
      <c r="AH159" s="1" t="s">
        <v>102</v>
      </c>
      <c r="AI159" s="1" t="s">
        <v>704</v>
      </c>
      <c r="AJ159" s="1">
        <v>95</v>
      </c>
      <c r="AK159" s="1">
        <v>10</v>
      </c>
      <c r="AL159" s="1" t="s">
        <v>3467</v>
      </c>
      <c r="AM159" s="1" t="s">
        <v>2494</v>
      </c>
      <c r="AN159" s="1" t="s">
        <v>465</v>
      </c>
      <c r="AO159" s="1" t="s">
        <v>170</v>
      </c>
      <c r="AP159" s="1" t="s">
        <v>313</v>
      </c>
      <c r="AQ159" s="1">
        <v>93.2</v>
      </c>
      <c r="AR159" s="1">
        <v>9.32</v>
      </c>
      <c r="AS159" s="1"/>
      <c r="AT159" s="1"/>
      <c r="AU159" s="1"/>
      <c r="AV159" s="1"/>
      <c r="AW159" s="1"/>
      <c r="AX159" s="1"/>
      <c r="AY159" s="1" t="s">
        <v>3467</v>
      </c>
      <c r="AZ159" s="1" t="s">
        <v>3468</v>
      </c>
      <c r="BA159" s="1" t="s">
        <v>466</v>
      </c>
      <c r="BB159" s="1" t="s">
        <v>467</v>
      </c>
      <c r="BC159" s="1" t="s">
        <v>438</v>
      </c>
      <c r="BD159" s="1" t="s">
        <v>955</v>
      </c>
      <c r="BE159" s="1">
        <v>98</v>
      </c>
      <c r="BF159" s="1">
        <v>9.8</v>
      </c>
      <c r="BG159" s="1"/>
      <c r="BH159" s="1"/>
      <c r="BI159" s="1"/>
      <c r="BJ159" s="1"/>
      <c r="BK159" s="1"/>
      <c r="BL159" s="1"/>
      <c r="BM159" s="1"/>
      <c r="BN159" s="1"/>
      <c r="BO159" s="1" t="s">
        <v>3469</v>
      </c>
      <c r="BP159" s="1"/>
      <c r="BQ159" s="1"/>
      <c r="BR159" s="1" t="s">
        <v>3470</v>
      </c>
      <c r="BS159" s="1">
        <v>7</v>
      </c>
      <c r="BT159" s="1" t="s">
        <v>3471</v>
      </c>
      <c r="BU159" s="1" t="str">
        <f>HYPERLINK("https://nconnect.nicmar.ac.in/storage/profile/ProfilePhoto_P25700145_843721.jpg","Download")</f>
        <v>0</v>
      </c>
      <c r="BV159" s="3"/>
      <c r="BW159" s="4">
        <v>1</v>
      </c>
    </row>
    <row r="160" spans="1:75">
      <c r="A160" s="1" t="s">
        <v>75</v>
      </c>
      <c r="B160" s="1" t="s">
        <v>446</v>
      </c>
      <c r="C160" s="1" t="s">
        <v>3472</v>
      </c>
      <c r="D160" s="1" t="s">
        <v>3473</v>
      </c>
      <c r="E160" s="1" t="s">
        <v>116</v>
      </c>
      <c r="F160" s="1" t="s">
        <v>117</v>
      </c>
      <c r="G160" s="1" t="s">
        <v>3474</v>
      </c>
      <c r="H160" s="1" t="s">
        <v>3475</v>
      </c>
      <c r="I160" s="1" t="s">
        <v>3476</v>
      </c>
      <c r="J160" s="1">
        <v>8075638788</v>
      </c>
      <c r="K160" s="1" t="s">
        <v>153</v>
      </c>
      <c r="L160" s="1" t="s">
        <v>3477</v>
      </c>
      <c r="M160" s="1" t="s">
        <v>86</v>
      </c>
      <c r="N160" s="1" t="s">
        <v>3478</v>
      </c>
      <c r="O160" s="1"/>
      <c r="P160" s="1" t="s">
        <v>507</v>
      </c>
      <c r="Q160" s="1" t="s">
        <v>3479</v>
      </c>
      <c r="R160" s="1" t="s">
        <v>3480</v>
      </c>
      <c r="S160" s="1">
        <v>9495224246</v>
      </c>
      <c r="T160" s="1" t="s">
        <v>3481</v>
      </c>
      <c r="U160" s="1" t="s">
        <v>3482</v>
      </c>
      <c r="V160" s="1">
        <v>9496226561</v>
      </c>
      <c r="W160" s="1" t="s">
        <v>3483</v>
      </c>
      <c r="X160" s="1" t="s">
        <v>3484</v>
      </c>
      <c r="Y160" s="1" t="s">
        <v>701</v>
      </c>
      <c r="Z160" s="1" t="s">
        <v>130</v>
      </c>
      <c r="AA160" s="1" t="s">
        <v>3484</v>
      </c>
      <c r="AB160" s="1" t="s">
        <v>701</v>
      </c>
      <c r="AC160" s="1" t="s">
        <v>130</v>
      </c>
      <c r="AD160" s="1">
        <v>8.0</v>
      </c>
      <c r="AE160" s="1" t="s">
        <v>98</v>
      </c>
      <c r="AF160" s="1" t="s">
        <v>3485</v>
      </c>
      <c r="AG160" s="1" t="s">
        <v>3486</v>
      </c>
      <c r="AH160" s="1" t="s">
        <v>627</v>
      </c>
      <c r="AI160" s="1" t="s">
        <v>200</v>
      </c>
      <c r="AJ160" s="1">
        <v>86.66</v>
      </c>
      <c r="AK160" s="1"/>
      <c r="AL160" s="1" t="s">
        <v>3485</v>
      </c>
      <c r="AM160" s="1" t="s">
        <v>3487</v>
      </c>
      <c r="AN160" s="1" t="s">
        <v>2635</v>
      </c>
      <c r="AO160" s="1" t="s">
        <v>170</v>
      </c>
      <c r="AP160" s="1" t="s">
        <v>414</v>
      </c>
      <c r="AQ160" s="1">
        <v>78.1</v>
      </c>
      <c r="AR160" s="1"/>
      <c r="AS160" s="1"/>
      <c r="AT160" s="1"/>
      <c r="AU160" s="1"/>
      <c r="AV160" s="1"/>
      <c r="AW160" s="1"/>
      <c r="AX160" s="1"/>
      <c r="AY160" s="1" t="s">
        <v>137</v>
      </c>
      <c r="AZ160" s="1" t="s">
        <v>3488</v>
      </c>
      <c r="BA160" s="1" t="s">
        <v>466</v>
      </c>
      <c r="BB160" s="1" t="s">
        <v>467</v>
      </c>
      <c r="BC160" s="1" t="s">
        <v>315</v>
      </c>
      <c r="BD160" s="1" t="s">
        <v>179</v>
      </c>
      <c r="BE160" s="1">
        <v>70.8</v>
      </c>
      <c r="BF160" s="1">
        <v>7.08</v>
      </c>
      <c r="BG160" s="1"/>
      <c r="BH160" s="1"/>
      <c r="BI160" s="1"/>
      <c r="BJ160" s="1"/>
      <c r="BK160" s="1"/>
      <c r="BL160" s="1"/>
      <c r="BM160" s="1"/>
      <c r="BN160" s="1"/>
      <c r="BO160" s="1" t="s">
        <v>3489</v>
      </c>
      <c r="BP160" s="1" t="s">
        <v>3490</v>
      </c>
      <c r="BQ160" s="1" t="s">
        <v>1070</v>
      </c>
      <c r="BR160" s="1" t="s">
        <v>3491</v>
      </c>
      <c r="BS160" s="1">
        <v>9</v>
      </c>
      <c r="BT160" s="1"/>
      <c r="BU160" s="1" t="str">
        <f>HYPERLINK("https://nconnect.nicmar.ac.in/storage/profile/ProfilePhoto_P25700146_681345.jpg","Download")</f>
        <v>0</v>
      </c>
      <c r="BV160" s="3"/>
      <c r="BW160" s="4">
        <v>1</v>
      </c>
    </row>
    <row r="161" spans="1:75">
      <c r="A161" s="1" t="s">
        <v>75</v>
      </c>
      <c r="B161" s="1" t="s">
        <v>446</v>
      </c>
      <c r="C161" s="1" t="s">
        <v>3492</v>
      </c>
      <c r="D161" s="1" t="s">
        <v>3493</v>
      </c>
      <c r="E161" s="1" t="s">
        <v>3494</v>
      </c>
      <c r="F161" s="1" t="s">
        <v>3495</v>
      </c>
      <c r="G161" s="1" t="s">
        <v>3496</v>
      </c>
      <c r="H161" s="1" t="s">
        <v>3497</v>
      </c>
      <c r="I161" s="1" t="s">
        <v>3498</v>
      </c>
      <c r="J161" s="1">
        <v>7057998763</v>
      </c>
      <c r="K161" s="1" t="s">
        <v>84</v>
      </c>
      <c r="L161" s="1" t="s">
        <v>3499</v>
      </c>
      <c r="M161" s="1" t="s">
        <v>86</v>
      </c>
      <c r="N161" s="1" t="s">
        <v>3500</v>
      </c>
      <c r="O161" s="1"/>
      <c r="P161" s="1" t="s">
        <v>481</v>
      </c>
      <c r="Q161" s="1" t="s">
        <v>3501</v>
      </c>
      <c r="R161" s="1" t="s">
        <v>3494</v>
      </c>
      <c r="S161" s="1">
        <v>7020753253</v>
      </c>
      <c r="T161" s="1" t="s">
        <v>382</v>
      </c>
      <c r="U161" s="1" t="s">
        <v>3502</v>
      </c>
      <c r="V161" s="1">
        <v>7020753052</v>
      </c>
      <c r="W161" s="1" t="s">
        <v>127</v>
      </c>
      <c r="X161" s="1" t="s">
        <v>3503</v>
      </c>
      <c r="Y161" s="1" t="s">
        <v>333</v>
      </c>
      <c r="Z161" s="1" t="s">
        <v>97</v>
      </c>
      <c r="AA161" s="1" t="s">
        <v>3503</v>
      </c>
      <c r="AB161" s="1" t="s">
        <v>333</v>
      </c>
      <c r="AC161" s="1" t="s">
        <v>97</v>
      </c>
      <c r="AD161" s="1">
        <v>8.36</v>
      </c>
      <c r="AE161" s="1" t="s">
        <v>98</v>
      </c>
      <c r="AF161" s="1" t="s">
        <v>3504</v>
      </c>
      <c r="AG161" s="1" t="s">
        <v>3505</v>
      </c>
      <c r="AH161" s="1" t="s">
        <v>284</v>
      </c>
      <c r="AI161" s="1" t="s">
        <v>200</v>
      </c>
      <c r="AJ161" s="1">
        <v>72.8</v>
      </c>
      <c r="AK161" s="1"/>
      <c r="AL161" s="1" t="s">
        <v>3506</v>
      </c>
      <c r="AM161" s="1" t="s">
        <v>3505</v>
      </c>
      <c r="AN161" s="1" t="s">
        <v>465</v>
      </c>
      <c r="AO161" s="1" t="s">
        <v>1477</v>
      </c>
      <c r="AP161" s="1" t="s">
        <v>203</v>
      </c>
      <c r="AQ161" s="1">
        <v>64.92</v>
      </c>
      <c r="AR161" s="1"/>
      <c r="AS161" s="1"/>
      <c r="AT161" s="1"/>
      <c r="AU161" s="1"/>
      <c r="AV161" s="1"/>
      <c r="AW161" s="1"/>
      <c r="AX161" s="1"/>
      <c r="AY161" s="1" t="s">
        <v>340</v>
      </c>
      <c r="AZ161" s="1" t="s">
        <v>3507</v>
      </c>
      <c r="BA161" s="1" t="s">
        <v>578</v>
      </c>
      <c r="BB161" s="1" t="s">
        <v>467</v>
      </c>
      <c r="BC161" s="1" t="s">
        <v>206</v>
      </c>
      <c r="BD161" s="1" t="s">
        <v>179</v>
      </c>
      <c r="BE161" s="1">
        <v>73.7</v>
      </c>
      <c r="BF161" s="1">
        <v>8.48</v>
      </c>
      <c r="BG161" s="1"/>
      <c r="BH161" s="1"/>
      <c r="BI161" s="1"/>
      <c r="BJ161" s="1"/>
      <c r="BK161" s="1"/>
      <c r="BL161" s="1"/>
      <c r="BM161" s="1"/>
      <c r="BN161" s="1"/>
      <c r="BO161" s="1" t="s">
        <v>3508</v>
      </c>
      <c r="BP161" s="1"/>
      <c r="BQ161" s="1"/>
      <c r="BR161" s="1" t="s">
        <v>3509</v>
      </c>
      <c r="BS161" s="1">
        <v>75</v>
      </c>
      <c r="BT161" s="1"/>
      <c r="BU161" s="1" t="str">
        <f>HYPERLINK("https://nconnect.nicmar.ac.in/storage/profile/ProfilePhoto_P25700147_396871.jpg","Download")</f>
        <v>0</v>
      </c>
      <c r="BV161" s="3"/>
      <c r="BW161" s="3"/>
    </row>
    <row r="162" spans="1:75">
      <c r="A162" s="1" t="s">
        <v>75</v>
      </c>
      <c r="B162" s="1" t="s">
        <v>446</v>
      </c>
      <c r="C162" s="1" t="s">
        <v>3510</v>
      </c>
      <c r="D162" s="1" t="s">
        <v>3511</v>
      </c>
      <c r="E162" s="1" t="s">
        <v>3512</v>
      </c>
      <c r="F162" s="1" t="s">
        <v>3513</v>
      </c>
      <c r="G162" s="1" t="s">
        <v>3514</v>
      </c>
      <c r="H162" s="1" t="s">
        <v>3515</v>
      </c>
      <c r="I162" s="1" t="s">
        <v>3516</v>
      </c>
      <c r="J162" s="1">
        <v>9912223421</v>
      </c>
      <c r="K162" s="1" t="s">
        <v>84</v>
      </c>
      <c r="L162" s="1" t="s">
        <v>3517</v>
      </c>
      <c r="M162" s="1" t="s">
        <v>86</v>
      </c>
      <c r="N162" s="1" t="s">
        <v>1813</v>
      </c>
      <c r="O162" s="1"/>
      <c r="P162" s="1" t="s">
        <v>507</v>
      </c>
      <c r="Q162" s="1" t="s">
        <v>3518</v>
      </c>
      <c r="R162" s="1" t="s">
        <v>3519</v>
      </c>
      <c r="S162" s="1">
        <v>9666580285</v>
      </c>
      <c r="T162" s="1" t="s">
        <v>159</v>
      </c>
      <c r="U162" s="1" t="s">
        <v>3520</v>
      </c>
      <c r="V162" s="1">
        <v>7093580285</v>
      </c>
      <c r="W162" s="1" t="s">
        <v>161</v>
      </c>
      <c r="X162" s="1" t="s">
        <v>3521</v>
      </c>
      <c r="Y162" s="1" t="s">
        <v>3522</v>
      </c>
      <c r="Z162" s="1" t="s">
        <v>281</v>
      </c>
      <c r="AA162" s="1" t="s">
        <v>3521</v>
      </c>
      <c r="AB162" s="1" t="s">
        <v>3522</v>
      </c>
      <c r="AC162" s="1" t="s">
        <v>281</v>
      </c>
      <c r="AD162" s="1">
        <v>9.1</v>
      </c>
      <c r="AE162" s="1" t="s">
        <v>98</v>
      </c>
      <c r="AF162" s="1" t="s">
        <v>3523</v>
      </c>
      <c r="AG162" s="1" t="s">
        <v>2341</v>
      </c>
      <c r="AH162" s="1" t="s">
        <v>106</v>
      </c>
      <c r="AI162" s="1" t="s">
        <v>547</v>
      </c>
      <c r="AJ162" s="1">
        <v>95</v>
      </c>
      <c r="AK162" s="1"/>
      <c r="AL162" s="1" t="s">
        <v>3524</v>
      </c>
      <c r="AM162" s="1" t="s">
        <v>2343</v>
      </c>
      <c r="AN162" s="1"/>
      <c r="AO162" s="1" t="s">
        <v>438</v>
      </c>
      <c r="AP162" s="1" t="s">
        <v>1192</v>
      </c>
      <c r="AQ162" s="1">
        <v>95.8</v>
      </c>
      <c r="AR162" s="1"/>
      <c r="AS162" s="1"/>
      <c r="AT162" s="1"/>
      <c r="AU162" s="1"/>
      <c r="AV162" s="1"/>
      <c r="AW162" s="1"/>
      <c r="AX162" s="1"/>
      <c r="AY162" s="1" t="s">
        <v>3094</v>
      </c>
      <c r="AZ162" s="1" t="s">
        <v>3525</v>
      </c>
      <c r="BA162" s="1"/>
      <c r="BB162" s="1"/>
      <c r="BC162" s="1" t="s">
        <v>140</v>
      </c>
      <c r="BD162" s="1" t="s">
        <v>607</v>
      </c>
      <c r="BE162" s="1">
        <v>73.8</v>
      </c>
      <c r="BF162" s="1">
        <v>8.13</v>
      </c>
      <c r="BG162" s="1"/>
      <c r="BH162" s="1"/>
      <c r="BI162" s="1"/>
      <c r="BJ162" s="1"/>
      <c r="BK162" s="1"/>
      <c r="BL162" s="1"/>
      <c r="BM162" s="1"/>
      <c r="BN162" s="1"/>
      <c r="BO162" s="1" t="s">
        <v>3526</v>
      </c>
      <c r="BP162" s="1"/>
      <c r="BQ162" s="1"/>
      <c r="BR162" s="1" t="s">
        <v>3527</v>
      </c>
      <c r="BS162" s="1">
        <v>29</v>
      </c>
      <c r="BT162" s="1"/>
      <c r="BU162" s="1" t="str">
        <f>HYPERLINK("https://nconnect.nicmar.ac.in/storage/profile/ProfilePhoto_P25700148_324976.jpg","Download")</f>
        <v>0</v>
      </c>
      <c r="BV162" s="3"/>
      <c r="BW162" s="3"/>
    </row>
    <row r="163" spans="1:75">
      <c r="A163" s="1" t="s">
        <v>75</v>
      </c>
      <c r="B163" s="1" t="s">
        <v>446</v>
      </c>
      <c r="C163" s="1" t="s">
        <v>3528</v>
      </c>
      <c r="D163" s="1" t="s">
        <v>3529</v>
      </c>
      <c r="E163" s="1" t="s">
        <v>2428</v>
      </c>
      <c r="F163" s="1" t="s">
        <v>3530</v>
      </c>
      <c r="G163" s="1" t="s">
        <v>3531</v>
      </c>
      <c r="H163" s="1" t="s">
        <v>3532</v>
      </c>
      <c r="I163" s="1" t="s">
        <v>3533</v>
      </c>
      <c r="J163" s="1">
        <v>9356983364</v>
      </c>
      <c r="K163" s="1" t="s">
        <v>84</v>
      </c>
      <c r="L163" s="1" t="s">
        <v>3534</v>
      </c>
      <c r="M163" s="1" t="s">
        <v>86</v>
      </c>
      <c r="N163" s="1" t="s">
        <v>156</v>
      </c>
      <c r="O163" s="1"/>
      <c r="P163" s="1" t="s">
        <v>455</v>
      </c>
      <c r="Q163" s="1" t="s">
        <v>3535</v>
      </c>
      <c r="R163" s="1" t="s">
        <v>2428</v>
      </c>
      <c r="S163" s="1">
        <v>9637679179</v>
      </c>
      <c r="T163" s="1" t="s">
        <v>2375</v>
      </c>
      <c r="U163" s="1" t="s">
        <v>3536</v>
      </c>
      <c r="V163" s="1">
        <v>8010478216</v>
      </c>
      <c r="W163" s="1" t="s">
        <v>2375</v>
      </c>
      <c r="X163" s="1" t="s">
        <v>3537</v>
      </c>
      <c r="Y163" s="1" t="s">
        <v>3538</v>
      </c>
      <c r="Z163" s="1" t="s">
        <v>97</v>
      </c>
      <c r="AA163" s="1" t="s">
        <v>3537</v>
      </c>
      <c r="AB163" s="1" t="s">
        <v>3538</v>
      </c>
      <c r="AC163" s="1" t="s">
        <v>97</v>
      </c>
      <c r="AD163" s="1">
        <v>7.59</v>
      </c>
      <c r="AE163" s="1" t="s">
        <v>98</v>
      </c>
      <c r="AF163" s="1" t="s">
        <v>3539</v>
      </c>
      <c r="AG163" s="1" t="s">
        <v>3540</v>
      </c>
      <c r="AH163" s="1" t="s">
        <v>170</v>
      </c>
      <c r="AI163" s="1" t="s">
        <v>286</v>
      </c>
      <c r="AJ163" s="1">
        <v>84</v>
      </c>
      <c r="AK163" s="1"/>
      <c r="AL163" s="1"/>
      <c r="AM163" s="1"/>
      <c r="AN163" s="1" t="s">
        <v>1062</v>
      </c>
      <c r="AO163" s="1"/>
      <c r="AP163" s="1"/>
      <c r="AQ163" s="1"/>
      <c r="AR163" s="1"/>
      <c r="AS163" s="1" t="s">
        <v>439</v>
      </c>
      <c r="AT163" s="1" t="s">
        <v>3541</v>
      </c>
      <c r="AU163" s="1" t="s">
        <v>1065</v>
      </c>
      <c r="AV163" s="1" t="s">
        <v>441</v>
      </c>
      <c r="AW163" s="1">
        <v>84.26</v>
      </c>
      <c r="AX163" s="1"/>
      <c r="AY163" s="1" t="s">
        <v>366</v>
      </c>
      <c r="AZ163" s="1" t="s">
        <v>3542</v>
      </c>
      <c r="BA163" s="1" t="s">
        <v>578</v>
      </c>
      <c r="BB163" s="1" t="s">
        <v>467</v>
      </c>
      <c r="BC163" s="1" t="s">
        <v>871</v>
      </c>
      <c r="BD163" s="1" t="s">
        <v>207</v>
      </c>
      <c r="BE163" s="1">
        <v>65.1</v>
      </c>
      <c r="BF163" s="1">
        <v>7.26</v>
      </c>
      <c r="BG163" s="1"/>
      <c r="BH163" s="1"/>
      <c r="BI163" s="1"/>
      <c r="BJ163" s="1"/>
      <c r="BK163" s="1"/>
      <c r="BL163" s="1"/>
      <c r="BM163" s="1"/>
      <c r="BN163" s="1"/>
      <c r="BO163" s="1" t="s">
        <v>849</v>
      </c>
      <c r="BP163" s="1"/>
      <c r="BQ163" s="1"/>
      <c r="BR163" s="1" t="s">
        <v>3543</v>
      </c>
      <c r="BS163" s="1">
        <v>8</v>
      </c>
      <c r="BT163" s="1"/>
      <c r="BU163" s="1" t="str">
        <f>HYPERLINK("https://nconnect.nicmar.ac.in/storage/profile/ProfilePhoto_P25700150_725196.jpg","Download")</f>
        <v>0</v>
      </c>
      <c r="BV163" s="3"/>
      <c r="BW163" s="3"/>
    </row>
    <row r="164" spans="1:75">
      <c r="A164" s="1" t="s">
        <v>75</v>
      </c>
      <c r="B164" s="1" t="s">
        <v>446</v>
      </c>
      <c r="C164" s="1" t="s">
        <v>3544</v>
      </c>
      <c r="D164" s="1" t="s">
        <v>3545</v>
      </c>
      <c r="E164" s="1" t="s">
        <v>3546</v>
      </c>
      <c r="F164" s="1" t="s">
        <v>1361</v>
      </c>
      <c r="G164" s="1" t="s">
        <v>3547</v>
      </c>
      <c r="H164" s="1" t="s">
        <v>3548</v>
      </c>
      <c r="I164" s="1" t="s">
        <v>3549</v>
      </c>
      <c r="J164" s="1">
        <v>9544771062</v>
      </c>
      <c r="K164" s="1" t="s">
        <v>84</v>
      </c>
      <c r="L164" s="1" t="s">
        <v>3550</v>
      </c>
      <c r="M164" s="1" t="s">
        <v>86</v>
      </c>
      <c r="N164" s="1" t="s">
        <v>3147</v>
      </c>
      <c r="O164" s="1"/>
      <c r="P164" s="1" t="s">
        <v>455</v>
      </c>
      <c r="Q164" s="1" t="s">
        <v>3551</v>
      </c>
      <c r="R164" s="1" t="s">
        <v>3552</v>
      </c>
      <c r="S164" s="1">
        <v>9447478542</v>
      </c>
      <c r="T164" s="1" t="s">
        <v>92</v>
      </c>
      <c r="U164" s="1" t="s">
        <v>3553</v>
      </c>
      <c r="V164" s="1">
        <v>9037255594</v>
      </c>
      <c r="W164" s="1" t="s">
        <v>127</v>
      </c>
      <c r="X164" s="1" t="s">
        <v>3554</v>
      </c>
      <c r="Y164" s="1" t="s">
        <v>3555</v>
      </c>
      <c r="Z164" s="1" t="s">
        <v>130</v>
      </c>
      <c r="AA164" s="1" t="s">
        <v>3554</v>
      </c>
      <c r="AB164" s="1" t="s">
        <v>3555</v>
      </c>
      <c r="AC164" s="1" t="s">
        <v>130</v>
      </c>
      <c r="AD164" s="1">
        <v>8.46</v>
      </c>
      <c r="AE164" s="1" t="s">
        <v>98</v>
      </c>
      <c r="AF164" s="1" t="s">
        <v>3556</v>
      </c>
      <c r="AG164" s="1" t="s">
        <v>3557</v>
      </c>
      <c r="AH164" s="1" t="s">
        <v>170</v>
      </c>
      <c r="AI164" s="1" t="s">
        <v>171</v>
      </c>
      <c r="AJ164" s="1">
        <v>82.1</v>
      </c>
      <c r="AK164" s="1"/>
      <c r="AL164" s="1" t="s">
        <v>3556</v>
      </c>
      <c r="AM164" s="1" t="s">
        <v>3557</v>
      </c>
      <c r="AN164" s="1"/>
      <c r="AO164" s="1" t="s">
        <v>438</v>
      </c>
      <c r="AP164" s="1" t="s">
        <v>178</v>
      </c>
      <c r="AQ164" s="1">
        <v>90.6</v>
      </c>
      <c r="AR164" s="1"/>
      <c r="AS164" s="1"/>
      <c r="AT164" s="1"/>
      <c r="AU164" s="1"/>
      <c r="AV164" s="1"/>
      <c r="AW164" s="1"/>
      <c r="AX164" s="1"/>
      <c r="AY164" s="1" t="s">
        <v>137</v>
      </c>
      <c r="AZ164" s="1" t="s">
        <v>3558</v>
      </c>
      <c r="BA164" s="1"/>
      <c r="BB164" s="1"/>
      <c r="BC164" s="1" t="s">
        <v>890</v>
      </c>
      <c r="BD164" s="1" t="s">
        <v>207</v>
      </c>
      <c r="BE164" s="1">
        <v>72.8</v>
      </c>
      <c r="BF164" s="1">
        <v>7.28</v>
      </c>
      <c r="BG164" s="1"/>
      <c r="BH164" s="1"/>
      <c r="BI164" s="1"/>
      <c r="BJ164" s="1"/>
      <c r="BK164" s="1"/>
      <c r="BL164" s="1"/>
      <c r="BM164" s="1"/>
      <c r="BN164" s="1"/>
      <c r="BO164" s="1" t="s">
        <v>260</v>
      </c>
      <c r="BP164" s="1"/>
      <c r="BQ164" s="1"/>
      <c r="BR164" s="1" t="s">
        <v>3559</v>
      </c>
      <c r="BS164" s="1">
        <v>32</v>
      </c>
      <c r="BT164" s="1"/>
      <c r="BU164" s="1" t="str">
        <f>HYPERLINK("https://nconnect.nicmar.ac.in/storage/profile/ProfilePhoto_P25700151_798532.jpg","Download")</f>
        <v>0</v>
      </c>
      <c r="BV164" s="3"/>
      <c r="BW164" s="4">
        <v>1</v>
      </c>
    </row>
    <row r="165" spans="1:75">
      <c r="A165" s="1" t="s">
        <v>75</v>
      </c>
      <c r="B165" s="1" t="s">
        <v>446</v>
      </c>
      <c r="C165" s="1" t="s">
        <v>3560</v>
      </c>
      <c r="D165" s="1" t="s">
        <v>3561</v>
      </c>
      <c r="E165" s="1" t="s">
        <v>3562</v>
      </c>
      <c r="F165" s="1" t="s">
        <v>3563</v>
      </c>
      <c r="G165" s="1" t="s">
        <v>3564</v>
      </c>
      <c r="H165" s="1" t="s">
        <v>3565</v>
      </c>
      <c r="I165" s="1" t="s">
        <v>3566</v>
      </c>
      <c r="J165" s="1">
        <v>9370223063</v>
      </c>
      <c r="K165" s="1" t="s">
        <v>84</v>
      </c>
      <c r="L165" s="1" t="s">
        <v>3567</v>
      </c>
      <c r="M165" s="1" t="s">
        <v>86</v>
      </c>
      <c r="N165" s="1" t="s">
        <v>3568</v>
      </c>
      <c r="O165" s="1"/>
      <c r="P165" s="1" t="s">
        <v>481</v>
      </c>
      <c r="Q165" s="1" t="s">
        <v>3569</v>
      </c>
      <c r="R165" s="1" t="s">
        <v>3562</v>
      </c>
      <c r="S165" s="1">
        <v>9561241685</v>
      </c>
      <c r="T165" s="1" t="s">
        <v>92</v>
      </c>
      <c r="U165" s="1" t="s">
        <v>3570</v>
      </c>
      <c r="V165" s="1">
        <v>8788521371</v>
      </c>
      <c r="W165" s="1" t="s">
        <v>3571</v>
      </c>
      <c r="X165" s="1" t="s">
        <v>3572</v>
      </c>
      <c r="Y165" s="1" t="s">
        <v>196</v>
      </c>
      <c r="Z165" s="1" t="s">
        <v>97</v>
      </c>
      <c r="AA165" s="1" t="s">
        <v>3572</v>
      </c>
      <c r="AB165" s="1" t="s">
        <v>196</v>
      </c>
      <c r="AC165" s="1" t="s">
        <v>97</v>
      </c>
      <c r="AD165" s="1">
        <v>7.15</v>
      </c>
      <c r="AE165" s="1" t="s">
        <v>98</v>
      </c>
      <c r="AF165" s="1" t="s">
        <v>3573</v>
      </c>
      <c r="AG165" s="1" t="s">
        <v>165</v>
      </c>
      <c r="AH165" s="1" t="s">
        <v>1213</v>
      </c>
      <c r="AI165" s="1" t="s">
        <v>106</v>
      </c>
      <c r="AJ165" s="1">
        <v>78.8</v>
      </c>
      <c r="AK165" s="1"/>
      <c r="AL165" s="1"/>
      <c r="AM165" s="1"/>
      <c r="AN165" s="1" t="s">
        <v>1062</v>
      </c>
      <c r="AO165" s="1"/>
      <c r="AP165" s="1"/>
      <c r="AQ165" s="1"/>
      <c r="AR165" s="1"/>
      <c r="AS165" s="1" t="s">
        <v>439</v>
      </c>
      <c r="AT165" s="1" t="s">
        <v>3574</v>
      </c>
      <c r="AU165" s="1" t="s">
        <v>106</v>
      </c>
      <c r="AV165" s="1" t="s">
        <v>1400</v>
      </c>
      <c r="AW165" s="1">
        <v>68.89</v>
      </c>
      <c r="AX165" s="1"/>
      <c r="AY165" s="1" t="s">
        <v>366</v>
      </c>
      <c r="AZ165" s="1" t="s">
        <v>3575</v>
      </c>
      <c r="BA165" s="1" t="s">
        <v>466</v>
      </c>
      <c r="BB165" s="1" t="s">
        <v>467</v>
      </c>
      <c r="BC165" s="1" t="s">
        <v>2765</v>
      </c>
      <c r="BD165" s="1" t="s">
        <v>848</v>
      </c>
      <c r="BE165" s="1">
        <v>69</v>
      </c>
      <c r="BF165" s="1"/>
      <c r="BG165" s="1"/>
      <c r="BH165" s="1"/>
      <c r="BI165" s="1"/>
      <c r="BJ165" s="1"/>
      <c r="BK165" s="1"/>
      <c r="BL165" s="1"/>
      <c r="BM165" s="1"/>
      <c r="BN165" s="1"/>
      <c r="BO165" s="1" t="s">
        <v>1114</v>
      </c>
      <c r="BP165" s="1"/>
      <c r="BQ165" s="1"/>
      <c r="BR165" s="1" t="s">
        <v>3576</v>
      </c>
      <c r="BS165" s="1">
        <v>35</v>
      </c>
      <c r="BT165" s="1"/>
      <c r="BU165" s="1" t="str">
        <f>HYPERLINK("https://nconnect.nicmar.ac.in/storage/profile/ProfilePhoto_P25700152_346972.jpg","Download")</f>
        <v>0</v>
      </c>
      <c r="BV165" s="3"/>
      <c r="BW165" s="3"/>
    </row>
    <row r="166" spans="1:75">
      <c r="A166" s="1" t="s">
        <v>75</v>
      </c>
      <c r="B166" s="1" t="s">
        <v>446</v>
      </c>
      <c r="C166" s="1" t="s">
        <v>3577</v>
      </c>
      <c r="D166" s="1" t="s">
        <v>3578</v>
      </c>
      <c r="E166" s="1"/>
      <c r="F166" s="1" t="s">
        <v>3579</v>
      </c>
      <c r="G166" s="1" t="s">
        <v>3580</v>
      </c>
      <c r="H166" s="1" t="s">
        <v>3581</v>
      </c>
      <c r="I166" s="1" t="s">
        <v>3582</v>
      </c>
      <c r="J166" s="1">
        <v>8790556579</v>
      </c>
      <c r="K166" s="1" t="s">
        <v>84</v>
      </c>
      <c r="L166" s="1" t="s">
        <v>3583</v>
      </c>
      <c r="M166" s="1" t="s">
        <v>86</v>
      </c>
      <c r="N166" s="1" t="s">
        <v>1449</v>
      </c>
      <c r="O166" s="1"/>
      <c r="P166" s="1" t="s">
        <v>455</v>
      </c>
      <c r="Q166" s="1" t="s">
        <v>3584</v>
      </c>
      <c r="R166" s="1" t="s">
        <v>3585</v>
      </c>
      <c r="S166" s="1">
        <v>9177433255</v>
      </c>
      <c r="T166" s="1" t="s">
        <v>3586</v>
      </c>
      <c r="U166" s="1" t="s">
        <v>3587</v>
      </c>
      <c r="V166" s="1">
        <v>9177433255</v>
      </c>
      <c r="W166" s="1" t="s">
        <v>3588</v>
      </c>
      <c r="X166" s="1" t="s">
        <v>3589</v>
      </c>
      <c r="Y166" s="1" t="s">
        <v>3590</v>
      </c>
      <c r="Z166" s="1" t="s">
        <v>281</v>
      </c>
      <c r="AA166" s="1" t="s">
        <v>3589</v>
      </c>
      <c r="AB166" s="1" t="s">
        <v>3590</v>
      </c>
      <c r="AC166" s="1" t="s">
        <v>281</v>
      </c>
      <c r="AD166" s="1">
        <v>9.05</v>
      </c>
      <c r="AE166" s="1" t="s">
        <v>98</v>
      </c>
      <c r="AF166" s="1" t="s">
        <v>3591</v>
      </c>
      <c r="AG166" s="1" t="s">
        <v>3592</v>
      </c>
      <c r="AH166" s="1" t="s">
        <v>166</v>
      </c>
      <c r="AI166" s="1" t="s">
        <v>1111</v>
      </c>
      <c r="AJ166" s="1">
        <v>83.6</v>
      </c>
      <c r="AK166" s="1">
        <v>8.8</v>
      </c>
      <c r="AL166" s="1" t="s">
        <v>3033</v>
      </c>
      <c r="AM166" s="1" t="s">
        <v>2343</v>
      </c>
      <c r="AN166" s="1"/>
      <c r="AO166" s="1" t="s">
        <v>170</v>
      </c>
      <c r="AP166" s="1" t="s">
        <v>286</v>
      </c>
      <c r="AQ166" s="1">
        <v>94</v>
      </c>
      <c r="AR166" s="1">
        <v>0</v>
      </c>
      <c r="AS166" s="1"/>
      <c r="AT166" s="1"/>
      <c r="AU166" s="1"/>
      <c r="AV166" s="1"/>
      <c r="AW166" s="1"/>
      <c r="AX166" s="1"/>
      <c r="AY166" s="1" t="s">
        <v>2344</v>
      </c>
      <c r="AZ166" s="1" t="s">
        <v>3593</v>
      </c>
      <c r="BA166" s="1"/>
      <c r="BB166" s="1"/>
      <c r="BC166" s="1" t="s">
        <v>206</v>
      </c>
      <c r="BD166" s="1" t="s">
        <v>179</v>
      </c>
      <c r="BE166" s="1">
        <v>65.48</v>
      </c>
      <c r="BF166" s="1">
        <v>6.78</v>
      </c>
      <c r="BG166" s="1"/>
      <c r="BH166" s="1"/>
      <c r="BI166" s="1"/>
      <c r="BJ166" s="1"/>
      <c r="BK166" s="1"/>
      <c r="BL166" s="1"/>
      <c r="BM166" s="1"/>
      <c r="BN166" s="1"/>
      <c r="BO166" s="1" t="s">
        <v>3594</v>
      </c>
      <c r="BP166" s="1"/>
      <c r="BQ166" s="1"/>
      <c r="BR166" s="1" t="s">
        <v>3595</v>
      </c>
      <c r="BS166" s="1">
        <v>35</v>
      </c>
      <c r="BT166" s="1" t="s">
        <v>3596</v>
      </c>
      <c r="BU166" s="1" t="str">
        <f>HYPERLINK("https://nconnect.nicmar.ac.in/storage/profile/ProfilePhoto_P25700153_315628.jpg","Download")</f>
        <v>0</v>
      </c>
      <c r="BV166" s="3"/>
      <c r="BW166" s="3"/>
    </row>
    <row r="167" spans="1:75">
      <c r="A167" s="1" t="s">
        <v>75</v>
      </c>
      <c r="B167" s="1" t="s">
        <v>446</v>
      </c>
      <c r="C167" s="1" t="s">
        <v>3597</v>
      </c>
      <c r="D167" s="1" t="s">
        <v>875</v>
      </c>
      <c r="E167" s="1"/>
      <c r="F167" s="1" t="s">
        <v>1320</v>
      </c>
      <c r="G167" s="1" t="s">
        <v>3598</v>
      </c>
      <c r="H167" s="1" t="s">
        <v>3599</v>
      </c>
      <c r="I167" s="1" t="s">
        <v>3600</v>
      </c>
      <c r="J167" s="1">
        <v>9011297067</v>
      </c>
      <c r="K167" s="1" t="s">
        <v>84</v>
      </c>
      <c r="L167" s="1" t="s">
        <v>2355</v>
      </c>
      <c r="M167" s="1" t="s">
        <v>86</v>
      </c>
      <c r="N167" s="1" t="s">
        <v>246</v>
      </c>
      <c r="O167" s="1"/>
      <c r="P167" s="1" t="s">
        <v>1028</v>
      </c>
      <c r="Q167" s="1" t="s">
        <v>3601</v>
      </c>
      <c r="R167" s="1" t="s">
        <v>3602</v>
      </c>
      <c r="S167" s="1">
        <v>9822116580</v>
      </c>
      <c r="T167" s="1" t="s">
        <v>839</v>
      </c>
      <c r="U167" s="1" t="s">
        <v>3603</v>
      </c>
      <c r="V167" s="1">
        <v>9960039776</v>
      </c>
      <c r="W167" s="1" t="s">
        <v>839</v>
      </c>
      <c r="X167" s="1" t="s">
        <v>3604</v>
      </c>
      <c r="Y167" s="1" t="s">
        <v>196</v>
      </c>
      <c r="Z167" s="1" t="s">
        <v>97</v>
      </c>
      <c r="AA167" s="1" t="s">
        <v>3604</v>
      </c>
      <c r="AB167" s="1" t="s">
        <v>196</v>
      </c>
      <c r="AC167" s="1" t="s">
        <v>97</v>
      </c>
      <c r="AD167" s="1">
        <v>8.31</v>
      </c>
      <c r="AE167" s="1" t="s">
        <v>98</v>
      </c>
      <c r="AF167" s="1" t="s">
        <v>3605</v>
      </c>
      <c r="AG167" s="1" t="s">
        <v>2181</v>
      </c>
      <c r="AH167" s="1" t="s">
        <v>171</v>
      </c>
      <c r="AI167" s="1" t="s">
        <v>313</v>
      </c>
      <c r="AJ167" s="1">
        <v>84</v>
      </c>
      <c r="AK167" s="1"/>
      <c r="AL167" s="1" t="s">
        <v>3606</v>
      </c>
      <c r="AM167" s="1" t="s">
        <v>165</v>
      </c>
      <c r="AN167" s="1" t="s">
        <v>465</v>
      </c>
      <c r="AO167" s="1" t="s">
        <v>206</v>
      </c>
      <c r="AP167" s="1" t="s">
        <v>847</v>
      </c>
      <c r="AQ167" s="1">
        <v>91</v>
      </c>
      <c r="AR167" s="1"/>
      <c r="AS167" s="1"/>
      <c r="AT167" s="1"/>
      <c r="AU167" s="1"/>
      <c r="AV167" s="1"/>
      <c r="AW167" s="1"/>
      <c r="AX167" s="1"/>
      <c r="AY167" s="1" t="s">
        <v>366</v>
      </c>
      <c r="AZ167" s="1" t="s">
        <v>1131</v>
      </c>
      <c r="BA167" s="1" t="s">
        <v>578</v>
      </c>
      <c r="BB167" s="1" t="s">
        <v>467</v>
      </c>
      <c r="BC167" s="1" t="s">
        <v>871</v>
      </c>
      <c r="BD167" s="1" t="s">
        <v>848</v>
      </c>
      <c r="BE167" s="1">
        <v>66.3</v>
      </c>
      <c r="BF167" s="1">
        <v>7.45</v>
      </c>
      <c r="BG167" s="1"/>
      <c r="BH167" s="1"/>
      <c r="BI167" s="1"/>
      <c r="BJ167" s="1"/>
      <c r="BK167" s="1"/>
      <c r="BL167" s="1"/>
      <c r="BM167" s="1"/>
      <c r="BN167" s="1"/>
      <c r="BO167" s="1" t="s">
        <v>1315</v>
      </c>
      <c r="BP167" s="1"/>
      <c r="BQ167" s="1"/>
      <c r="BR167" s="1" t="s">
        <v>3607</v>
      </c>
      <c r="BS167" s="1">
        <v>13</v>
      </c>
      <c r="BT167" s="1" t="s">
        <v>3608</v>
      </c>
      <c r="BU167" s="1" t="str">
        <f>HYPERLINK("https://nconnect.nicmar.ac.in/storage/profile/ProfilePhoto_P25700154_792485.jpg","Download")</f>
        <v>0</v>
      </c>
      <c r="BV167" s="3"/>
      <c r="BW167" s="3"/>
    </row>
    <row r="168" spans="1:75">
      <c r="A168" s="1" t="s">
        <v>75</v>
      </c>
      <c r="B168" s="1" t="s">
        <v>446</v>
      </c>
      <c r="C168" s="1" t="s">
        <v>3609</v>
      </c>
      <c r="D168" s="1" t="s">
        <v>3610</v>
      </c>
      <c r="E168" s="1"/>
      <c r="F168" s="1" t="s">
        <v>350</v>
      </c>
      <c r="G168" s="1" t="s">
        <v>3611</v>
      </c>
      <c r="H168" s="1" t="s">
        <v>3612</v>
      </c>
      <c r="I168" s="1" t="s">
        <v>3613</v>
      </c>
      <c r="J168" s="1">
        <v>8910562186</v>
      </c>
      <c r="K168" s="1" t="s">
        <v>84</v>
      </c>
      <c r="L168" s="1" t="s">
        <v>3614</v>
      </c>
      <c r="M168" s="1" t="s">
        <v>86</v>
      </c>
      <c r="N168" s="1" t="s">
        <v>3615</v>
      </c>
      <c r="O168" s="1"/>
      <c r="P168" s="1" t="s">
        <v>507</v>
      </c>
      <c r="Q168" s="1" t="s">
        <v>3616</v>
      </c>
      <c r="R168" s="1" t="s">
        <v>3617</v>
      </c>
      <c r="S168" s="1">
        <v>7278584228</v>
      </c>
      <c r="T168" s="1" t="s">
        <v>125</v>
      </c>
      <c r="U168" s="1" t="s">
        <v>3618</v>
      </c>
      <c r="V168" s="1">
        <v>9525075402</v>
      </c>
      <c r="W168" s="1" t="s">
        <v>1257</v>
      </c>
      <c r="X168" s="1" t="s">
        <v>3619</v>
      </c>
      <c r="Y168" s="1" t="s">
        <v>3620</v>
      </c>
      <c r="Z168" s="1" t="s">
        <v>1234</v>
      </c>
      <c r="AA168" s="1" t="s">
        <v>3619</v>
      </c>
      <c r="AB168" s="1" t="s">
        <v>3620</v>
      </c>
      <c r="AC168" s="1" t="s">
        <v>1234</v>
      </c>
      <c r="AD168" s="1">
        <v>8.23</v>
      </c>
      <c r="AE168" s="1" t="s">
        <v>98</v>
      </c>
      <c r="AF168" s="1" t="s">
        <v>3621</v>
      </c>
      <c r="AG168" s="1" t="s">
        <v>3622</v>
      </c>
      <c r="AH168" s="1" t="s">
        <v>1214</v>
      </c>
      <c r="AI168" s="1" t="s">
        <v>627</v>
      </c>
      <c r="AJ168" s="1">
        <v>72.2</v>
      </c>
      <c r="AK168" s="1">
        <v>7.6</v>
      </c>
      <c r="AL168" s="1" t="s">
        <v>3623</v>
      </c>
      <c r="AM168" s="1" t="s">
        <v>3624</v>
      </c>
      <c r="AN168" s="1" t="s">
        <v>575</v>
      </c>
      <c r="AO168" s="1" t="s">
        <v>170</v>
      </c>
      <c r="AP168" s="1" t="s">
        <v>106</v>
      </c>
      <c r="AQ168" s="1">
        <v>65</v>
      </c>
      <c r="AR168" s="1"/>
      <c r="AS168" s="1"/>
      <c r="AT168" s="1"/>
      <c r="AU168" s="1"/>
      <c r="AV168" s="1"/>
      <c r="AW168" s="1"/>
      <c r="AX168" s="1"/>
      <c r="AY168" s="1" t="s">
        <v>3625</v>
      </c>
      <c r="AZ168" s="1" t="s">
        <v>3626</v>
      </c>
      <c r="BA168" s="1" t="s">
        <v>466</v>
      </c>
      <c r="BB168" s="1" t="s">
        <v>467</v>
      </c>
      <c r="BC168" s="1" t="s">
        <v>1065</v>
      </c>
      <c r="BD168" s="1" t="s">
        <v>289</v>
      </c>
      <c r="BE168" s="1">
        <v>79.2</v>
      </c>
      <c r="BF168" s="1">
        <v>8.67</v>
      </c>
      <c r="BG168" s="1"/>
      <c r="BH168" s="1"/>
      <c r="BI168" s="1"/>
      <c r="BJ168" s="1"/>
      <c r="BK168" s="1"/>
      <c r="BL168" s="1"/>
      <c r="BM168" s="1"/>
      <c r="BN168" s="1"/>
      <c r="BO168" s="1" t="s">
        <v>3627</v>
      </c>
      <c r="BP168" s="1" t="s">
        <v>3628</v>
      </c>
      <c r="BQ168" s="1" t="s">
        <v>1849</v>
      </c>
      <c r="BR168" s="1" t="s">
        <v>3629</v>
      </c>
      <c r="BS168" s="1">
        <v>23</v>
      </c>
      <c r="BT168" s="1"/>
      <c r="BU168" s="1" t="str">
        <f>HYPERLINK("https://nconnect.nicmar.ac.in/storage/profile/ProfilePhoto_P25700155_624518.jpg","Download")</f>
        <v>0</v>
      </c>
      <c r="BV168" s="3"/>
      <c r="BW168" s="3"/>
    </row>
    <row r="169" spans="1:75">
      <c r="A169" s="1" t="s">
        <v>75</v>
      </c>
      <c r="B169" s="1" t="s">
        <v>446</v>
      </c>
      <c r="C169" s="1" t="s">
        <v>3630</v>
      </c>
      <c r="D169" s="1" t="s">
        <v>3631</v>
      </c>
      <c r="E169" s="1" t="s">
        <v>3632</v>
      </c>
      <c r="F169" s="1" t="s">
        <v>3633</v>
      </c>
      <c r="G169" s="1" t="s">
        <v>3634</v>
      </c>
      <c r="H169" s="1" t="s">
        <v>3635</v>
      </c>
      <c r="I169" s="1" t="s">
        <v>3636</v>
      </c>
      <c r="J169" s="1">
        <v>7219270032</v>
      </c>
      <c r="K169" s="1" t="s">
        <v>84</v>
      </c>
      <c r="L169" s="1" t="s">
        <v>3637</v>
      </c>
      <c r="M169" s="1" t="s">
        <v>86</v>
      </c>
      <c r="N169" s="1" t="s">
        <v>618</v>
      </c>
      <c r="O169" s="1"/>
      <c r="P169" s="1" t="s">
        <v>455</v>
      </c>
      <c r="Q169" s="1" t="s">
        <v>3638</v>
      </c>
      <c r="R169" s="1" t="s">
        <v>3639</v>
      </c>
      <c r="S169" s="1">
        <v>9561086754</v>
      </c>
      <c r="T169" s="1" t="s">
        <v>3640</v>
      </c>
      <c r="U169" s="1" t="s">
        <v>1749</v>
      </c>
      <c r="V169" s="1">
        <v>7350590996</v>
      </c>
      <c r="W169" s="1" t="s">
        <v>3641</v>
      </c>
      <c r="X169" s="1" t="s">
        <v>3642</v>
      </c>
      <c r="Y169" s="1" t="s">
        <v>196</v>
      </c>
      <c r="Z169" s="1" t="s">
        <v>97</v>
      </c>
      <c r="AA169" s="1" t="s">
        <v>3642</v>
      </c>
      <c r="AB169" s="1" t="s">
        <v>196</v>
      </c>
      <c r="AC169" s="1" t="s">
        <v>97</v>
      </c>
      <c r="AD169" s="1">
        <v>8.67</v>
      </c>
      <c r="AE169" s="1" t="s">
        <v>98</v>
      </c>
      <c r="AF169" s="1" t="s">
        <v>3643</v>
      </c>
      <c r="AG169" s="1" t="s">
        <v>2745</v>
      </c>
      <c r="AH169" s="1" t="s">
        <v>101</v>
      </c>
      <c r="AI169" s="1" t="s">
        <v>166</v>
      </c>
      <c r="AJ169" s="1">
        <v>86.2</v>
      </c>
      <c r="AK169" s="1"/>
      <c r="AL169" s="1"/>
      <c r="AM169" s="1"/>
      <c r="AN169" s="1"/>
      <c r="AO169" s="1"/>
      <c r="AP169" s="1"/>
      <c r="AQ169" s="1"/>
      <c r="AR169" s="1"/>
      <c r="AS169" s="1" t="s">
        <v>103</v>
      </c>
      <c r="AT169" s="1" t="s">
        <v>3644</v>
      </c>
      <c r="AU169" s="1" t="s">
        <v>105</v>
      </c>
      <c r="AV169" s="1" t="s">
        <v>171</v>
      </c>
      <c r="AW169" s="1">
        <v>76.94</v>
      </c>
      <c r="AX169" s="1"/>
      <c r="AY169" s="1" t="s">
        <v>366</v>
      </c>
      <c r="AZ169" s="1" t="s">
        <v>3645</v>
      </c>
      <c r="BA169" s="1"/>
      <c r="BB169" s="1"/>
      <c r="BC169" s="1" t="s">
        <v>174</v>
      </c>
      <c r="BD169" s="1" t="s">
        <v>549</v>
      </c>
      <c r="BE169" s="1">
        <v>67.64</v>
      </c>
      <c r="BF169" s="1">
        <v>7.72</v>
      </c>
      <c r="BG169" s="1"/>
      <c r="BH169" s="1"/>
      <c r="BI169" s="1"/>
      <c r="BJ169" s="1"/>
      <c r="BK169" s="1"/>
      <c r="BL169" s="1"/>
      <c r="BM169" s="1"/>
      <c r="BN169" s="1"/>
      <c r="BO169" s="1" t="s">
        <v>1114</v>
      </c>
      <c r="BP169" s="1" t="s">
        <v>3646</v>
      </c>
      <c r="BQ169" s="1" t="s">
        <v>3291</v>
      </c>
      <c r="BR169" s="1" t="s">
        <v>3647</v>
      </c>
      <c r="BS169" s="1">
        <v>12</v>
      </c>
      <c r="BT169" s="1"/>
      <c r="BU169" s="1" t="str">
        <f>HYPERLINK("https://nconnect.nicmar.ac.in/storage/profile/ProfilePhoto_P25700156_149783.jpg","Download")</f>
        <v>0</v>
      </c>
      <c r="BV169" s="3"/>
      <c r="BW169" s="3"/>
    </row>
    <row r="170" spans="1:75">
      <c r="A170" s="1" t="s">
        <v>75</v>
      </c>
      <c r="B170" s="1" t="s">
        <v>446</v>
      </c>
      <c r="C170" s="1" t="s">
        <v>3648</v>
      </c>
      <c r="D170" s="1" t="s">
        <v>3649</v>
      </c>
      <c r="E170" s="1" t="s">
        <v>1075</v>
      </c>
      <c r="F170" s="1" t="s">
        <v>1872</v>
      </c>
      <c r="G170" s="1" t="s">
        <v>3650</v>
      </c>
      <c r="H170" s="1" t="s">
        <v>3651</v>
      </c>
      <c r="I170" s="1" t="s">
        <v>3652</v>
      </c>
      <c r="J170" s="1">
        <v>8369126082</v>
      </c>
      <c r="K170" s="1" t="s">
        <v>84</v>
      </c>
      <c r="L170" s="1" t="s">
        <v>1755</v>
      </c>
      <c r="M170" s="1" t="s">
        <v>86</v>
      </c>
      <c r="N170" s="1" t="s">
        <v>2433</v>
      </c>
      <c r="O170" s="1"/>
      <c r="P170" s="1" t="s">
        <v>1028</v>
      </c>
      <c r="Q170" s="1" t="s">
        <v>3653</v>
      </c>
      <c r="R170" s="1" t="s">
        <v>3654</v>
      </c>
      <c r="S170" s="1">
        <v>9820791864</v>
      </c>
      <c r="T170" s="1" t="s">
        <v>645</v>
      </c>
      <c r="U170" s="1" t="s">
        <v>3655</v>
      </c>
      <c r="V170" s="1">
        <v>9867552462</v>
      </c>
      <c r="W170" s="1" t="s">
        <v>161</v>
      </c>
      <c r="X170" s="1" t="s">
        <v>3656</v>
      </c>
      <c r="Y170" s="1" t="s">
        <v>1882</v>
      </c>
      <c r="Z170" s="1" t="s">
        <v>97</v>
      </c>
      <c r="AA170" s="1" t="s">
        <v>3656</v>
      </c>
      <c r="AB170" s="1" t="s">
        <v>1882</v>
      </c>
      <c r="AC170" s="1" t="s">
        <v>97</v>
      </c>
      <c r="AD170" s="1">
        <v>9.03</v>
      </c>
      <c r="AE170" s="1" t="s">
        <v>98</v>
      </c>
      <c r="AF170" s="1" t="s">
        <v>3657</v>
      </c>
      <c r="AG170" s="1" t="s">
        <v>3658</v>
      </c>
      <c r="AH170" s="1" t="s">
        <v>170</v>
      </c>
      <c r="AI170" s="1" t="s">
        <v>286</v>
      </c>
      <c r="AJ170" s="1">
        <v>75.4</v>
      </c>
      <c r="AK170" s="1"/>
      <c r="AL170" s="1"/>
      <c r="AM170" s="1"/>
      <c r="AN170" s="1"/>
      <c r="AO170" s="1"/>
      <c r="AP170" s="1"/>
      <c r="AQ170" s="1"/>
      <c r="AR170" s="1"/>
      <c r="AS170" s="1" t="s">
        <v>103</v>
      </c>
      <c r="AT170" s="1" t="s">
        <v>3659</v>
      </c>
      <c r="AU170" s="1" t="s">
        <v>1065</v>
      </c>
      <c r="AV170" s="1" t="s">
        <v>1400</v>
      </c>
      <c r="AW170" s="1">
        <v>76.26</v>
      </c>
      <c r="AX170" s="1"/>
      <c r="AY170" s="1" t="s">
        <v>680</v>
      </c>
      <c r="AZ170" s="1" t="s">
        <v>3660</v>
      </c>
      <c r="BA170" s="1" t="s">
        <v>578</v>
      </c>
      <c r="BB170" s="1" t="s">
        <v>3661</v>
      </c>
      <c r="BC170" s="1" t="s">
        <v>2765</v>
      </c>
      <c r="BD170" s="1" t="s">
        <v>848</v>
      </c>
      <c r="BE170" s="1">
        <v>70.01</v>
      </c>
      <c r="BF170" s="1"/>
      <c r="BG170" s="1"/>
      <c r="BH170" s="1"/>
      <c r="BI170" s="1"/>
      <c r="BJ170" s="1"/>
      <c r="BK170" s="1"/>
      <c r="BL170" s="1"/>
      <c r="BM170" s="1"/>
      <c r="BN170" s="1"/>
      <c r="BO170" s="1" t="s">
        <v>3662</v>
      </c>
      <c r="BP170" s="1"/>
      <c r="BQ170" s="1"/>
      <c r="BR170" s="1" t="s">
        <v>3663</v>
      </c>
      <c r="BS170" s="1">
        <v>13</v>
      </c>
      <c r="BT170" s="1" t="s">
        <v>3664</v>
      </c>
      <c r="BU170" s="1" t="str">
        <f>HYPERLINK("https://nconnect.nicmar.ac.in/storage/profile/6a740a27e3ca8.png","Download")</f>
        <v>0</v>
      </c>
      <c r="BV170" s="3"/>
      <c r="BW170" s="3"/>
    </row>
    <row r="171" spans="1:75">
      <c r="A171" s="1" t="s">
        <v>75</v>
      </c>
      <c r="B171" s="1" t="s">
        <v>446</v>
      </c>
      <c r="C171" s="1" t="s">
        <v>3665</v>
      </c>
      <c r="D171" s="1" t="s">
        <v>3666</v>
      </c>
      <c r="E171" s="1" t="s">
        <v>397</v>
      </c>
      <c r="F171" s="1" t="s">
        <v>3667</v>
      </c>
      <c r="G171" s="1" t="s">
        <v>3668</v>
      </c>
      <c r="H171" s="1" t="s">
        <v>3669</v>
      </c>
      <c r="I171" s="1" t="s">
        <v>3670</v>
      </c>
      <c r="J171" s="1">
        <v>7057924898</v>
      </c>
      <c r="K171" s="1" t="s">
        <v>84</v>
      </c>
      <c r="L171" s="1" t="s">
        <v>3671</v>
      </c>
      <c r="M171" s="1" t="s">
        <v>86</v>
      </c>
      <c r="N171" s="1" t="s">
        <v>1163</v>
      </c>
      <c r="O171" s="1"/>
      <c r="P171" s="1" t="s">
        <v>481</v>
      </c>
      <c r="Q171" s="1" t="s">
        <v>3672</v>
      </c>
      <c r="R171" s="1" t="s">
        <v>3673</v>
      </c>
      <c r="S171" s="1">
        <v>9226246190</v>
      </c>
      <c r="T171" s="1" t="s">
        <v>2375</v>
      </c>
      <c r="U171" s="1" t="s">
        <v>3674</v>
      </c>
      <c r="V171" s="1">
        <v>9421704498</v>
      </c>
      <c r="W171" s="1" t="s">
        <v>2375</v>
      </c>
      <c r="X171" s="1" t="s">
        <v>3675</v>
      </c>
      <c r="Y171" s="1" t="s">
        <v>410</v>
      </c>
      <c r="Z171" s="1" t="s">
        <v>97</v>
      </c>
      <c r="AA171" s="1" t="s">
        <v>3675</v>
      </c>
      <c r="AB171" s="1" t="s">
        <v>410</v>
      </c>
      <c r="AC171" s="1" t="s">
        <v>97</v>
      </c>
      <c r="AD171" s="1">
        <v>8.64</v>
      </c>
      <c r="AE171" s="1" t="s">
        <v>98</v>
      </c>
      <c r="AF171" s="1" t="s">
        <v>3676</v>
      </c>
      <c r="AG171" s="1" t="s">
        <v>165</v>
      </c>
      <c r="AH171" s="1" t="s">
        <v>1457</v>
      </c>
      <c r="AI171" s="1" t="s">
        <v>515</v>
      </c>
      <c r="AJ171" s="1">
        <v>90.4</v>
      </c>
      <c r="AK171" s="1"/>
      <c r="AL171" s="1" t="s">
        <v>3677</v>
      </c>
      <c r="AM171" s="1" t="s">
        <v>165</v>
      </c>
      <c r="AN171" s="1" t="s">
        <v>465</v>
      </c>
      <c r="AO171" s="1" t="s">
        <v>1237</v>
      </c>
      <c r="AP171" s="1" t="s">
        <v>517</v>
      </c>
      <c r="AQ171" s="1">
        <v>76.15</v>
      </c>
      <c r="AR171" s="1"/>
      <c r="AS171" s="1"/>
      <c r="AT171" s="1"/>
      <c r="AU171" s="1"/>
      <c r="AV171" s="1"/>
      <c r="AW171" s="1"/>
      <c r="AX171" s="1"/>
      <c r="AY171" s="1" t="s">
        <v>415</v>
      </c>
      <c r="AZ171" s="1" t="s">
        <v>3678</v>
      </c>
      <c r="BA171" s="1" t="s">
        <v>466</v>
      </c>
      <c r="BB171" s="1" t="s">
        <v>467</v>
      </c>
      <c r="BC171" s="1" t="s">
        <v>284</v>
      </c>
      <c r="BD171" s="1" t="s">
        <v>890</v>
      </c>
      <c r="BE171" s="1">
        <v>65.6</v>
      </c>
      <c r="BF171" s="1"/>
      <c r="BG171" s="1" t="s">
        <v>415</v>
      </c>
      <c r="BH171" s="1" t="s">
        <v>1586</v>
      </c>
      <c r="BI171" s="1" t="s">
        <v>2209</v>
      </c>
      <c r="BJ171" s="1" t="s">
        <v>1585</v>
      </c>
      <c r="BK171" s="1" t="s">
        <v>1647</v>
      </c>
      <c r="BL171" s="1" t="s">
        <v>110</v>
      </c>
      <c r="BM171" s="1">
        <v>86.2</v>
      </c>
      <c r="BN171" s="1"/>
      <c r="BO171" s="1" t="s">
        <v>3679</v>
      </c>
      <c r="BP171" s="1" t="s">
        <v>3680</v>
      </c>
      <c r="BQ171" s="1" t="s">
        <v>1174</v>
      </c>
      <c r="BR171" s="1" t="s">
        <v>3681</v>
      </c>
      <c r="BS171" s="1">
        <v>88</v>
      </c>
      <c r="BT171" s="1" t="s">
        <v>3682</v>
      </c>
      <c r="BU171" s="1" t="str">
        <f>HYPERLINK("https://nconnect.nicmar.ac.in/storage/profile/ProfilePhoto_P25700158_196843.jpg","Download")</f>
        <v>0</v>
      </c>
      <c r="BV171" s="3"/>
      <c r="BW171" s="3"/>
    </row>
    <row r="172" spans="1:75">
      <c r="A172" s="1" t="s">
        <v>75</v>
      </c>
      <c r="B172" s="1" t="s">
        <v>446</v>
      </c>
      <c r="C172" s="1" t="s">
        <v>3683</v>
      </c>
      <c r="D172" s="1" t="s">
        <v>3684</v>
      </c>
      <c r="E172" s="1" t="s">
        <v>3685</v>
      </c>
      <c r="F172" s="1" t="s">
        <v>3686</v>
      </c>
      <c r="G172" s="1" t="s">
        <v>3687</v>
      </c>
      <c r="H172" s="1" t="s">
        <v>3688</v>
      </c>
      <c r="I172" s="1" t="s">
        <v>3689</v>
      </c>
      <c r="J172" s="1">
        <v>9653190231</v>
      </c>
      <c r="K172" s="1" t="s">
        <v>84</v>
      </c>
      <c r="L172" s="1" t="s">
        <v>3690</v>
      </c>
      <c r="M172" s="1" t="s">
        <v>86</v>
      </c>
      <c r="N172" s="1" t="s">
        <v>3691</v>
      </c>
      <c r="O172" s="1"/>
      <c r="P172" s="1" t="s">
        <v>481</v>
      </c>
      <c r="Q172" s="1" t="s">
        <v>3692</v>
      </c>
      <c r="R172" s="1" t="s">
        <v>3685</v>
      </c>
      <c r="S172" s="1">
        <v>8007779051</v>
      </c>
      <c r="T172" s="1" t="s">
        <v>3693</v>
      </c>
      <c r="U172" s="1" t="s">
        <v>3694</v>
      </c>
      <c r="V172" s="1">
        <v>9820339741</v>
      </c>
      <c r="W172" s="1" t="s">
        <v>161</v>
      </c>
      <c r="X172" s="1" t="s">
        <v>3695</v>
      </c>
      <c r="Y172" s="1" t="s">
        <v>1882</v>
      </c>
      <c r="Z172" s="1" t="s">
        <v>97</v>
      </c>
      <c r="AA172" s="1" t="s">
        <v>3696</v>
      </c>
      <c r="AB172" s="1" t="s">
        <v>196</v>
      </c>
      <c r="AC172" s="1" t="s">
        <v>97</v>
      </c>
      <c r="AD172" s="1">
        <v>8.36</v>
      </c>
      <c r="AE172" s="1" t="s">
        <v>98</v>
      </c>
      <c r="AF172" s="1" t="s">
        <v>3697</v>
      </c>
      <c r="AG172" s="1" t="s">
        <v>3698</v>
      </c>
      <c r="AH172" s="1" t="s">
        <v>170</v>
      </c>
      <c r="AI172" s="1" t="s">
        <v>286</v>
      </c>
      <c r="AJ172" s="1">
        <v>61.6</v>
      </c>
      <c r="AK172" s="1"/>
      <c r="AL172" s="1"/>
      <c r="AM172" s="1"/>
      <c r="AN172" s="1"/>
      <c r="AO172" s="1"/>
      <c r="AP172" s="1"/>
      <c r="AQ172" s="1"/>
      <c r="AR172" s="1"/>
      <c r="AS172" s="1" t="s">
        <v>103</v>
      </c>
      <c r="AT172" s="1" t="s">
        <v>3699</v>
      </c>
      <c r="AU172" s="1" t="s">
        <v>1065</v>
      </c>
      <c r="AV172" s="1" t="s">
        <v>441</v>
      </c>
      <c r="AW172" s="1">
        <v>87.37</v>
      </c>
      <c r="AX172" s="1"/>
      <c r="AY172" s="1" t="s">
        <v>258</v>
      </c>
      <c r="AZ172" s="1" t="s">
        <v>3700</v>
      </c>
      <c r="BA172" s="1"/>
      <c r="BB172" s="1"/>
      <c r="BC172" s="1" t="s">
        <v>441</v>
      </c>
      <c r="BD172" s="1" t="s">
        <v>418</v>
      </c>
      <c r="BE172" s="1">
        <v>61.08</v>
      </c>
      <c r="BF172" s="1">
        <v>6.73</v>
      </c>
      <c r="BG172" s="1"/>
      <c r="BH172" s="1"/>
      <c r="BI172" s="1"/>
      <c r="BJ172" s="1"/>
      <c r="BK172" s="1"/>
      <c r="BL172" s="1"/>
      <c r="BM172" s="1"/>
      <c r="BN172" s="1"/>
      <c r="BO172" s="1" t="s">
        <v>1114</v>
      </c>
      <c r="BP172" s="1" t="s">
        <v>3701</v>
      </c>
      <c r="BQ172" s="1" t="s">
        <v>2577</v>
      </c>
      <c r="BR172" s="1" t="s">
        <v>3702</v>
      </c>
      <c r="BS172" s="1">
        <v>11</v>
      </c>
      <c r="BT172" s="1"/>
      <c r="BU172" s="1" t="str">
        <f>HYPERLINK("https://nconnect.nicmar.ac.in/storage/profile/ProfilePhoto_P25700159_791628.jpg","Download")</f>
        <v>0</v>
      </c>
      <c r="BV172" s="3"/>
      <c r="BW172" s="3"/>
    </row>
    <row r="173" spans="1:75">
      <c r="A173" s="1" t="s">
        <v>75</v>
      </c>
      <c r="B173" s="1" t="s">
        <v>446</v>
      </c>
      <c r="C173" s="1" t="s">
        <v>3703</v>
      </c>
      <c r="D173" s="1" t="s">
        <v>3545</v>
      </c>
      <c r="E173" s="1" t="s">
        <v>3704</v>
      </c>
      <c r="F173" s="1" t="s">
        <v>1179</v>
      </c>
      <c r="G173" s="1" t="s">
        <v>3705</v>
      </c>
      <c r="H173" s="1" t="s">
        <v>3706</v>
      </c>
      <c r="I173" s="1" t="s">
        <v>3707</v>
      </c>
      <c r="J173" s="1">
        <v>8530039495</v>
      </c>
      <c r="K173" s="1" t="s">
        <v>84</v>
      </c>
      <c r="L173" s="1" t="s">
        <v>3708</v>
      </c>
      <c r="M173" s="1" t="s">
        <v>86</v>
      </c>
      <c r="N173" s="1" t="s">
        <v>903</v>
      </c>
      <c r="O173" s="1"/>
      <c r="P173" s="1" t="s">
        <v>455</v>
      </c>
      <c r="Q173" s="1" t="s">
        <v>3709</v>
      </c>
      <c r="R173" s="1" t="s">
        <v>3704</v>
      </c>
      <c r="S173" s="1">
        <v>9822263222</v>
      </c>
      <c r="T173" s="1" t="s">
        <v>839</v>
      </c>
      <c r="U173" s="1" t="s">
        <v>1126</v>
      </c>
      <c r="V173" s="1">
        <v>8805791153</v>
      </c>
      <c r="W173" s="1" t="s">
        <v>278</v>
      </c>
      <c r="X173" s="1" t="s">
        <v>3710</v>
      </c>
      <c r="Y173" s="1" t="s">
        <v>1989</v>
      </c>
      <c r="Z173" s="1" t="s">
        <v>97</v>
      </c>
      <c r="AA173" s="1" t="s">
        <v>3710</v>
      </c>
      <c r="AB173" s="1" t="s">
        <v>1989</v>
      </c>
      <c r="AC173" s="1" t="s">
        <v>97</v>
      </c>
      <c r="AD173" s="1">
        <v>8.95</v>
      </c>
      <c r="AE173" s="1" t="s">
        <v>98</v>
      </c>
      <c r="AF173" s="1" t="s">
        <v>3711</v>
      </c>
      <c r="AG173" s="1" t="s">
        <v>3712</v>
      </c>
      <c r="AH173" s="1" t="s">
        <v>286</v>
      </c>
      <c r="AI173" s="1" t="s">
        <v>414</v>
      </c>
      <c r="AJ173" s="1">
        <v>88</v>
      </c>
      <c r="AK173" s="1"/>
      <c r="AL173" s="1"/>
      <c r="AM173" s="1"/>
      <c r="AN173" s="1"/>
      <c r="AO173" s="1"/>
      <c r="AP173" s="1"/>
      <c r="AQ173" s="1"/>
      <c r="AR173" s="1"/>
      <c r="AS173" s="1" t="s">
        <v>103</v>
      </c>
      <c r="AT173" s="1" t="s">
        <v>1991</v>
      </c>
      <c r="AU173" s="1" t="s">
        <v>206</v>
      </c>
      <c r="AV173" s="1" t="s">
        <v>289</v>
      </c>
      <c r="AW173" s="1">
        <v>80.5</v>
      </c>
      <c r="AX173" s="1"/>
      <c r="AY173" s="1" t="s">
        <v>3713</v>
      </c>
      <c r="AZ173" s="1" t="s">
        <v>3714</v>
      </c>
      <c r="BA173" s="1" t="s">
        <v>466</v>
      </c>
      <c r="BB173" s="1" t="s">
        <v>467</v>
      </c>
      <c r="BC173" s="1" t="s">
        <v>1802</v>
      </c>
      <c r="BD173" s="1" t="s">
        <v>553</v>
      </c>
      <c r="BE173" s="1">
        <v>66.8</v>
      </c>
      <c r="BF173" s="1">
        <v>7.43</v>
      </c>
      <c r="BG173" s="1"/>
      <c r="BH173" s="1"/>
      <c r="BI173" s="1"/>
      <c r="BJ173" s="1"/>
      <c r="BK173" s="1"/>
      <c r="BL173" s="1"/>
      <c r="BM173" s="1"/>
      <c r="BN173" s="1"/>
      <c r="BO173" s="1" t="s">
        <v>2267</v>
      </c>
      <c r="BP173" s="1"/>
      <c r="BQ173" s="1"/>
      <c r="BR173" s="1" t="s">
        <v>3715</v>
      </c>
      <c r="BS173" s="1">
        <v>9</v>
      </c>
      <c r="BT173" s="1" t="s">
        <v>3716</v>
      </c>
      <c r="BU173" s="1" t="str">
        <f>HYPERLINK("https://nconnect.nicmar.ac.in/storage/profile/ProfilePhoto_P25700160_274951.jpg","Download")</f>
        <v>0</v>
      </c>
      <c r="BV173" s="3"/>
      <c r="BW173" s="3"/>
    </row>
    <row r="174" spans="1:75">
      <c r="A174" s="1" t="s">
        <v>75</v>
      </c>
      <c r="B174" s="1" t="s">
        <v>446</v>
      </c>
      <c r="C174" s="1" t="s">
        <v>3717</v>
      </c>
      <c r="D174" s="1" t="s">
        <v>3718</v>
      </c>
      <c r="E174" s="1"/>
      <c r="F174" s="1" t="s">
        <v>3719</v>
      </c>
      <c r="G174" s="1" t="s">
        <v>3720</v>
      </c>
      <c r="H174" s="1" t="s">
        <v>3721</v>
      </c>
      <c r="I174" s="1" t="s">
        <v>3722</v>
      </c>
      <c r="J174" s="1">
        <v>6364236471</v>
      </c>
      <c r="K174" s="1" t="s">
        <v>84</v>
      </c>
      <c r="L174" s="1" t="s">
        <v>3723</v>
      </c>
      <c r="M174" s="1" t="s">
        <v>86</v>
      </c>
      <c r="N174" s="1" t="s">
        <v>3724</v>
      </c>
      <c r="O174" s="1"/>
      <c r="P174" s="1" t="s">
        <v>1028</v>
      </c>
      <c r="Q174" s="1" t="s">
        <v>3725</v>
      </c>
      <c r="R174" s="1" t="s">
        <v>3726</v>
      </c>
      <c r="S174" s="1">
        <v>9731650754</v>
      </c>
      <c r="T174" s="1" t="s">
        <v>159</v>
      </c>
      <c r="U174" s="1" t="s">
        <v>3727</v>
      </c>
      <c r="V174" s="1">
        <v>7411122048</v>
      </c>
      <c r="W174" s="1" t="s">
        <v>278</v>
      </c>
      <c r="X174" s="1" t="s">
        <v>3728</v>
      </c>
      <c r="Y174" s="1" t="s">
        <v>3729</v>
      </c>
      <c r="Z174" s="1" t="s">
        <v>1210</v>
      </c>
      <c r="AA174" s="1" t="s">
        <v>3728</v>
      </c>
      <c r="AB174" s="1" t="s">
        <v>3729</v>
      </c>
      <c r="AC174" s="1" t="s">
        <v>1210</v>
      </c>
      <c r="AD174" s="1">
        <v>8.38</v>
      </c>
      <c r="AE174" s="1" t="s">
        <v>98</v>
      </c>
      <c r="AF174" s="1" t="s">
        <v>3730</v>
      </c>
      <c r="AG174" s="1" t="s">
        <v>1946</v>
      </c>
      <c r="AH174" s="1" t="s">
        <v>167</v>
      </c>
      <c r="AI174" s="1" t="s">
        <v>704</v>
      </c>
      <c r="AJ174" s="1">
        <v>86.4</v>
      </c>
      <c r="AK174" s="1"/>
      <c r="AL174" s="1" t="s">
        <v>3731</v>
      </c>
      <c r="AM174" s="1" t="s">
        <v>3732</v>
      </c>
      <c r="AN174" s="1"/>
      <c r="AO174" s="1" t="s">
        <v>170</v>
      </c>
      <c r="AP174" s="1" t="s">
        <v>414</v>
      </c>
      <c r="AQ174" s="1">
        <v>88.16</v>
      </c>
      <c r="AR174" s="1"/>
      <c r="AS174" s="1"/>
      <c r="AT174" s="1"/>
      <c r="AU174" s="1"/>
      <c r="AV174" s="1"/>
      <c r="AW174" s="1"/>
      <c r="AX174" s="1"/>
      <c r="AY174" s="1" t="s">
        <v>3733</v>
      </c>
      <c r="AZ174" s="1" t="s">
        <v>3734</v>
      </c>
      <c r="BA174" s="1"/>
      <c r="BB174" s="1"/>
      <c r="BC174" s="1" t="s">
        <v>206</v>
      </c>
      <c r="BD174" s="1" t="s">
        <v>234</v>
      </c>
      <c r="BE174" s="1">
        <v>81.4</v>
      </c>
      <c r="BF174" s="1">
        <v>8.14</v>
      </c>
      <c r="BG174" s="1"/>
      <c r="BH174" s="1"/>
      <c r="BI174" s="1"/>
      <c r="BJ174" s="1"/>
      <c r="BK174" s="1"/>
      <c r="BL174" s="1"/>
      <c r="BM174" s="1"/>
      <c r="BN174" s="1"/>
      <c r="BO174" s="1" t="s">
        <v>3735</v>
      </c>
      <c r="BP174" s="1" t="s">
        <v>3736</v>
      </c>
      <c r="BQ174" s="1" t="s">
        <v>780</v>
      </c>
      <c r="BR174" s="1" t="s">
        <v>3737</v>
      </c>
      <c r="BS174" s="1">
        <v>16</v>
      </c>
      <c r="BT174" s="1" t="s">
        <v>3738</v>
      </c>
      <c r="BU174" s="1" t="str">
        <f>HYPERLINK("https://nconnect.nicmar.ac.in/storage/profile/ProfilePhoto_P25700161_896127.jpg","Download")</f>
        <v>0</v>
      </c>
      <c r="BV174" s="3"/>
      <c r="BW174" s="4">
        <v>1</v>
      </c>
    </row>
    <row r="175" spans="1:75">
      <c r="A175" s="1" t="s">
        <v>75</v>
      </c>
      <c r="B175" s="1" t="s">
        <v>446</v>
      </c>
      <c r="C175" s="1" t="s">
        <v>3739</v>
      </c>
      <c r="D175" s="1" t="s">
        <v>3740</v>
      </c>
      <c r="E175" s="1" t="s">
        <v>116</v>
      </c>
      <c r="F175" s="1" t="s">
        <v>116</v>
      </c>
      <c r="G175" s="1" t="s">
        <v>3741</v>
      </c>
      <c r="H175" s="1" t="s">
        <v>3742</v>
      </c>
      <c r="I175" s="1" t="s">
        <v>3743</v>
      </c>
      <c r="J175" s="1">
        <v>9961092275</v>
      </c>
      <c r="K175" s="1" t="s">
        <v>153</v>
      </c>
      <c r="L175" s="1" t="s">
        <v>694</v>
      </c>
      <c r="M175" s="1" t="s">
        <v>86</v>
      </c>
      <c r="N175" s="1" t="s">
        <v>2393</v>
      </c>
      <c r="O175" s="1"/>
      <c r="P175" s="1" t="s">
        <v>481</v>
      </c>
      <c r="Q175" s="1" t="s">
        <v>3744</v>
      </c>
      <c r="R175" s="1" t="s">
        <v>3745</v>
      </c>
      <c r="S175" s="1">
        <v>9447026728</v>
      </c>
      <c r="T175" s="1" t="s">
        <v>3746</v>
      </c>
      <c r="U175" s="1" t="s">
        <v>3747</v>
      </c>
      <c r="V175" s="1">
        <v>9495727098</v>
      </c>
      <c r="W175" s="1" t="s">
        <v>3748</v>
      </c>
      <c r="X175" s="1" t="s">
        <v>3749</v>
      </c>
      <c r="Y175" s="1" t="s">
        <v>701</v>
      </c>
      <c r="Z175" s="1" t="s">
        <v>130</v>
      </c>
      <c r="AA175" s="1" t="s">
        <v>3750</v>
      </c>
      <c r="AB175" s="1" t="s">
        <v>3190</v>
      </c>
      <c r="AC175" s="1" t="s">
        <v>130</v>
      </c>
      <c r="AD175" s="1">
        <v>8.49</v>
      </c>
      <c r="AE175" s="1" t="s">
        <v>98</v>
      </c>
      <c r="AF175" s="1" t="s">
        <v>3751</v>
      </c>
      <c r="AG175" s="1" t="s">
        <v>3752</v>
      </c>
      <c r="AH175" s="1" t="s">
        <v>167</v>
      </c>
      <c r="AI175" s="1" t="s">
        <v>170</v>
      </c>
      <c r="AJ175" s="1">
        <v>85.5</v>
      </c>
      <c r="AK175" s="1">
        <v>9</v>
      </c>
      <c r="AL175" s="1" t="s">
        <v>3751</v>
      </c>
      <c r="AM175" s="1" t="s">
        <v>3752</v>
      </c>
      <c r="AN175" s="1"/>
      <c r="AO175" s="1" t="s">
        <v>106</v>
      </c>
      <c r="AP175" s="1" t="s">
        <v>313</v>
      </c>
      <c r="AQ175" s="1">
        <v>80.8</v>
      </c>
      <c r="AR175" s="1"/>
      <c r="AS175" s="1"/>
      <c r="AT175" s="1"/>
      <c r="AU175" s="1"/>
      <c r="AV175" s="1"/>
      <c r="AW175" s="1"/>
      <c r="AX175" s="1"/>
      <c r="AY175" s="1" t="s">
        <v>137</v>
      </c>
      <c r="AZ175" s="1" t="s">
        <v>3753</v>
      </c>
      <c r="BA175" s="1"/>
      <c r="BB175" s="1"/>
      <c r="BC175" s="1" t="s">
        <v>315</v>
      </c>
      <c r="BD175" s="1" t="s">
        <v>234</v>
      </c>
      <c r="BE175" s="1">
        <v>78.7</v>
      </c>
      <c r="BF175" s="1">
        <v>7.87</v>
      </c>
      <c r="BG175" s="1"/>
      <c r="BH175" s="1"/>
      <c r="BI175" s="1"/>
      <c r="BJ175" s="1"/>
      <c r="BK175" s="1"/>
      <c r="BL175" s="1"/>
      <c r="BM175" s="1"/>
      <c r="BN175" s="1"/>
      <c r="BO175" s="1" t="s">
        <v>369</v>
      </c>
      <c r="BP175" s="1" t="s">
        <v>3754</v>
      </c>
      <c r="BQ175" s="1" t="s">
        <v>1564</v>
      </c>
      <c r="BR175" s="1" t="s">
        <v>3755</v>
      </c>
      <c r="BS175" s="1">
        <v>8</v>
      </c>
      <c r="BT175" s="1"/>
      <c r="BU175" s="1" t="str">
        <f>HYPERLINK("https://nconnect.nicmar.ac.in/storage/profile/ProfilePhoto_P25700162_326594.jpg","Download")</f>
        <v>0</v>
      </c>
      <c r="BV175" s="3"/>
      <c r="BW175" s="4">
        <v>1</v>
      </c>
    </row>
    <row r="176" spans="1:75">
      <c r="A176" s="1" t="s">
        <v>75</v>
      </c>
      <c r="B176" s="1" t="s">
        <v>446</v>
      </c>
      <c r="C176" s="1" t="s">
        <v>3756</v>
      </c>
      <c r="D176" s="1" t="s">
        <v>3757</v>
      </c>
      <c r="E176" s="1"/>
      <c r="F176" s="1" t="s">
        <v>3758</v>
      </c>
      <c r="G176" s="1" t="s">
        <v>3759</v>
      </c>
      <c r="H176" s="1" t="s">
        <v>3760</v>
      </c>
      <c r="I176" s="1" t="s">
        <v>3761</v>
      </c>
      <c r="J176" s="1">
        <v>9971229943</v>
      </c>
      <c r="K176" s="1" t="s">
        <v>153</v>
      </c>
      <c r="L176" s="1" t="s">
        <v>3762</v>
      </c>
      <c r="M176" s="1" t="s">
        <v>86</v>
      </c>
      <c r="N176" s="1" t="s">
        <v>246</v>
      </c>
      <c r="O176" s="1"/>
      <c r="P176" s="1" t="s">
        <v>455</v>
      </c>
      <c r="Q176" s="1" t="s">
        <v>3763</v>
      </c>
      <c r="R176" s="1" t="s">
        <v>3764</v>
      </c>
      <c r="S176" s="1">
        <v>9810388086</v>
      </c>
      <c r="T176" s="1" t="s">
        <v>839</v>
      </c>
      <c r="U176" s="1" t="s">
        <v>3765</v>
      </c>
      <c r="V176" s="1">
        <v>8076957747</v>
      </c>
      <c r="W176" s="1" t="s">
        <v>839</v>
      </c>
      <c r="X176" s="1" t="s">
        <v>3766</v>
      </c>
      <c r="Y176" s="1" t="s">
        <v>3767</v>
      </c>
      <c r="Z176" s="1" t="s">
        <v>544</v>
      </c>
      <c r="AA176" s="1" t="s">
        <v>3766</v>
      </c>
      <c r="AB176" s="1" t="s">
        <v>3767</v>
      </c>
      <c r="AC176" s="1" t="s">
        <v>544</v>
      </c>
      <c r="AD176" s="1">
        <v>9.38</v>
      </c>
      <c r="AE176" s="1" t="s">
        <v>98</v>
      </c>
      <c r="AF176" s="1" t="s">
        <v>3768</v>
      </c>
      <c r="AG176" s="1" t="s">
        <v>3769</v>
      </c>
      <c r="AH176" s="1" t="s">
        <v>3770</v>
      </c>
      <c r="AI176" s="1" t="s">
        <v>170</v>
      </c>
      <c r="AJ176" s="1">
        <v>95</v>
      </c>
      <c r="AK176" s="1">
        <v>10</v>
      </c>
      <c r="AL176" s="1" t="s">
        <v>3768</v>
      </c>
      <c r="AM176" s="1" t="s">
        <v>3769</v>
      </c>
      <c r="AN176" s="1" t="s">
        <v>465</v>
      </c>
      <c r="AO176" s="1" t="s">
        <v>3770</v>
      </c>
      <c r="AP176" s="1" t="s">
        <v>313</v>
      </c>
      <c r="AQ176" s="1">
        <v>96</v>
      </c>
      <c r="AR176" s="1"/>
      <c r="AS176" s="1"/>
      <c r="AT176" s="1"/>
      <c r="AU176" s="1"/>
      <c r="AV176" s="1"/>
      <c r="AW176" s="1"/>
      <c r="AX176" s="1"/>
      <c r="AY176" s="1" t="s">
        <v>3771</v>
      </c>
      <c r="AZ176" s="1" t="s">
        <v>3772</v>
      </c>
      <c r="BA176" s="1" t="s">
        <v>682</v>
      </c>
      <c r="BB176" s="1" t="s">
        <v>683</v>
      </c>
      <c r="BC176" s="1" t="s">
        <v>206</v>
      </c>
      <c r="BD176" s="1" t="s">
        <v>418</v>
      </c>
      <c r="BE176" s="1">
        <v>91.6</v>
      </c>
      <c r="BF176" s="1">
        <v>9.16</v>
      </c>
      <c r="BG176" s="1"/>
      <c r="BH176" s="1"/>
      <c r="BI176" s="1"/>
      <c r="BJ176" s="1"/>
      <c r="BK176" s="1"/>
      <c r="BL176" s="1"/>
      <c r="BM176" s="1"/>
      <c r="BN176" s="1"/>
      <c r="BO176" s="1" t="s">
        <v>3773</v>
      </c>
      <c r="BP176" s="1" t="s">
        <v>3774</v>
      </c>
      <c r="BQ176" s="1" t="s">
        <v>2577</v>
      </c>
      <c r="BR176" s="1" t="s">
        <v>3775</v>
      </c>
      <c r="BS176" s="1">
        <v>24</v>
      </c>
      <c r="BT176" s="1" t="s">
        <v>3776</v>
      </c>
      <c r="BU176" s="1" t="str">
        <f>HYPERLINK("https://nconnect.nicmar.ac.in/storage/profile/ProfilePhoto_P25700163_913852.jpg","Download")</f>
        <v>0</v>
      </c>
      <c r="BV176" s="3"/>
      <c r="BW176" s="3"/>
    </row>
    <row r="177" spans="1:75">
      <c r="A177" s="1" t="s">
        <v>75</v>
      </c>
      <c r="B177" s="1" t="s">
        <v>446</v>
      </c>
      <c r="C177" s="1" t="s">
        <v>3777</v>
      </c>
      <c r="D177" s="1" t="s">
        <v>3778</v>
      </c>
      <c r="E177" s="1" t="s">
        <v>3779</v>
      </c>
      <c r="F177" s="1" t="s">
        <v>3780</v>
      </c>
      <c r="G177" s="1" t="s">
        <v>3781</v>
      </c>
      <c r="H177" s="1" t="s">
        <v>3782</v>
      </c>
      <c r="I177" s="1" t="s">
        <v>3783</v>
      </c>
      <c r="J177" s="1">
        <v>9392957400</v>
      </c>
      <c r="K177" s="1" t="s">
        <v>84</v>
      </c>
      <c r="L177" s="1" t="s">
        <v>3784</v>
      </c>
      <c r="M177" s="1" t="s">
        <v>86</v>
      </c>
      <c r="N177" s="1" t="s">
        <v>3785</v>
      </c>
      <c r="O177" s="1"/>
      <c r="P177" s="1" t="s">
        <v>481</v>
      </c>
      <c r="Q177" s="1" t="s">
        <v>3786</v>
      </c>
      <c r="R177" s="1" t="s">
        <v>3787</v>
      </c>
      <c r="S177" s="1">
        <v>9748452426</v>
      </c>
      <c r="T177" s="1" t="s">
        <v>3788</v>
      </c>
      <c r="U177" s="1" t="s">
        <v>3789</v>
      </c>
      <c r="V177" s="1">
        <v>9948756222</v>
      </c>
      <c r="W177" s="1" t="s">
        <v>3790</v>
      </c>
      <c r="X177" s="1" t="s">
        <v>3791</v>
      </c>
      <c r="Y177" s="1" t="s">
        <v>1454</v>
      </c>
      <c r="Z177" s="1" t="s">
        <v>281</v>
      </c>
      <c r="AA177" s="1" t="s">
        <v>3791</v>
      </c>
      <c r="AB177" s="1" t="s">
        <v>1454</v>
      </c>
      <c r="AC177" s="1" t="s">
        <v>281</v>
      </c>
      <c r="AD177" s="1">
        <v>8.15</v>
      </c>
      <c r="AE177" s="1" t="s">
        <v>98</v>
      </c>
      <c r="AF177" s="1" t="s">
        <v>3792</v>
      </c>
      <c r="AG177" s="1" t="s">
        <v>3793</v>
      </c>
      <c r="AH177" s="1" t="s">
        <v>3794</v>
      </c>
      <c r="AI177" s="1" t="s">
        <v>313</v>
      </c>
      <c r="AJ177" s="1">
        <v>80.6</v>
      </c>
      <c r="AK177" s="1"/>
      <c r="AL177" s="1" t="s">
        <v>3033</v>
      </c>
      <c r="AM177" s="1" t="s">
        <v>3795</v>
      </c>
      <c r="AN177" s="1"/>
      <c r="AO177" s="1" t="s">
        <v>315</v>
      </c>
      <c r="AP177" s="1" t="s">
        <v>549</v>
      </c>
      <c r="AQ177" s="1">
        <v>90.3</v>
      </c>
      <c r="AR177" s="1"/>
      <c r="AS177" s="1"/>
      <c r="AT177" s="1"/>
      <c r="AU177" s="1"/>
      <c r="AV177" s="1"/>
      <c r="AW177" s="1"/>
      <c r="AX177" s="1"/>
      <c r="AY177" s="1" t="s">
        <v>3796</v>
      </c>
      <c r="AZ177" s="1" t="s">
        <v>3797</v>
      </c>
      <c r="BA177" s="1"/>
      <c r="BB177" s="1"/>
      <c r="BC177" s="1" t="s">
        <v>140</v>
      </c>
      <c r="BD177" s="1" t="s">
        <v>553</v>
      </c>
      <c r="BE177" s="1">
        <v>60.13</v>
      </c>
      <c r="BF177" s="1"/>
      <c r="BG177" s="1"/>
      <c r="BH177" s="1"/>
      <c r="BI177" s="1"/>
      <c r="BJ177" s="1"/>
      <c r="BK177" s="1"/>
      <c r="BL177" s="1"/>
      <c r="BM177" s="1"/>
      <c r="BN177" s="1"/>
      <c r="BO177" s="1" t="s">
        <v>3798</v>
      </c>
      <c r="BP177" s="1"/>
      <c r="BQ177" s="1"/>
      <c r="BR177" s="1" t="s">
        <v>3799</v>
      </c>
      <c r="BS177" s="1">
        <v>13</v>
      </c>
      <c r="BT177" s="1"/>
      <c r="BU177" s="1" t="str">
        <f>HYPERLINK("https://nconnect.nicmar.ac.in/storage/profile/ProfilePhoto_P25700164_746531.jpg","Download")</f>
        <v>0</v>
      </c>
      <c r="BV177" s="3"/>
      <c r="BW177" s="3"/>
    </row>
    <row r="178" spans="1:75">
      <c r="A178" s="1" t="s">
        <v>75</v>
      </c>
      <c r="B178" s="1" t="s">
        <v>446</v>
      </c>
      <c r="C178" s="1" t="s">
        <v>3800</v>
      </c>
      <c r="D178" s="1" t="s">
        <v>3801</v>
      </c>
      <c r="E178" s="1"/>
      <c r="F178" s="1" t="s">
        <v>530</v>
      </c>
      <c r="G178" s="1" t="s">
        <v>3802</v>
      </c>
      <c r="H178" s="1" t="s">
        <v>3803</v>
      </c>
      <c r="I178" s="1" t="s">
        <v>3804</v>
      </c>
      <c r="J178" s="1">
        <v>7678285133</v>
      </c>
      <c r="K178" s="1" t="s">
        <v>84</v>
      </c>
      <c r="L178" s="1" t="s">
        <v>3805</v>
      </c>
      <c r="M178" s="1" t="s">
        <v>86</v>
      </c>
      <c r="N178" s="1" t="s">
        <v>246</v>
      </c>
      <c r="O178" s="1"/>
      <c r="P178" s="1" t="s">
        <v>455</v>
      </c>
      <c r="Q178" s="1" t="s">
        <v>3806</v>
      </c>
      <c r="R178" s="1" t="s">
        <v>3807</v>
      </c>
      <c r="S178" s="1">
        <v>9810080989</v>
      </c>
      <c r="T178" s="1" t="s">
        <v>839</v>
      </c>
      <c r="U178" s="1" t="s">
        <v>3808</v>
      </c>
      <c r="V178" s="1">
        <v>9311332321</v>
      </c>
      <c r="W178" s="1" t="s">
        <v>94</v>
      </c>
      <c r="X178" s="1" t="s">
        <v>3809</v>
      </c>
      <c r="Y178" s="1" t="s">
        <v>3767</v>
      </c>
      <c r="Z178" s="1" t="s">
        <v>544</v>
      </c>
      <c r="AA178" s="1" t="s">
        <v>3809</v>
      </c>
      <c r="AB178" s="1" t="s">
        <v>3767</v>
      </c>
      <c r="AC178" s="1" t="s">
        <v>544</v>
      </c>
      <c r="AD178" s="1">
        <v>9.03</v>
      </c>
      <c r="AE178" s="1" t="s">
        <v>98</v>
      </c>
      <c r="AF178" s="1" t="s">
        <v>3810</v>
      </c>
      <c r="AG178" s="1" t="s">
        <v>3811</v>
      </c>
      <c r="AH178" s="1" t="s">
        <v>284</v>
      </c>
      <c r="AI178" s="1" t="s">
        <v>200</v>
      </c>
      <c r="AJ178" s="1">
        <v>93.1</v>
      </c>
      <c r="AK178" s="1">
        <v>9.8</v>
      </c>
      <c r="AL178" s="1" t="s">
        <v>3810</v>
      </c>
      <c r="AM178" s="1" t="s">
        <v>3811</v>
      </c>
      <c r="AN178" s="1" t="s">
        <v>465</v>
      </c>
      <c r="AO178" s="1" t="s">
        <v>490</v>
      </c>
      <c r="AP178" s="1" t="s">
        <v>313</v>
      </c>
      <c r="AQ178" s="1">
        <v>91.4</v>
      </c>
      <c r="AR178" s="1">
        <v>0</v>
      </c>
      <c r="AS178" s="1"/>
      <c r="AT178" s="1"/>
      <c r="AU178" s="1"/>
      <c r="AV178" s="1"/>
      <c r="AW178" s="1"/>
      <c r="AX178" s="1"/>
      <c r="AY178" s="1" t="s">
        <v>3812</v>
      </c>
      <c r="AZ178" s="1" t="s">
        <v>3813</v>
      </c>
      <c r="BA178" s="1" t="s">
        <v>466</v>
      </c>
      <c r="BB178" s="1" t="s">
        <v>467</v>
      </c>
      <c r="BC178" s="1" t="s">
        <v>315</v>
      </c>
      <c r="BD178" s="1" t="s">
        <v>179</v>
      </c>
      <c r="BE178" s="1">
        <v>85.4</v>
      </c>
      <c r="BF178" s="1">
        <v>8.54</v>
      </c>
      <c r="BG178" s="1"/>
      <c r="BH178" s="1"/>
      <c r="BI178" s="1"/>
      <c r="BJ178" s="1"/>
      <c r="BK178" s="1"/>
      <c r="BL178" s="1"/>
      <c r="BM178" s="1"/>
      <c r="BN178" s="1"/>
      <c r="BO178" s="1" t="s">
        <v>3814</v>
      </c>
      <c r="BP178" s="1"/>
      <c r="BQ178" s="1"/>
      <c r="BR178" s="1" t="s">
        <v>3815</v>
      </c>
      <c r="BS178" s="1">
        <v>39</v>
      </c>
      <c r="BT178" s="1"/>
      <c r="BU178" s="1" t="str">
        <f>HYPERLINK("https://nconnect.nicmar.ac.in/storage/profile/ProfilePhoto_P25700165_376415.jpg","Download")</f>
        <v>0</v>
      </c>
      <c r="BV178" s="3"/>
      <c r="BW178" s="3"/>
    </row>
    <row r="179" spans="1:75">
      <c r="A179" s="1" t="s">
        <v>75</v>
      </c>
      <c r="B179" s="1" t="s">
        <v>446</v>
      </c>
      <c r="C179" s="1" t="s">
        <v>3816</v>
      </c>
      <c r="D179" s="1" t="s">
        <v>372</v>
      </c>
      <c r="E179" s="1" t="s">
        <v>3817</v>
      </c>
      <c r="F179" s="1" t="s">
        <v>3818</v>
      </c>
      <c r="G179" s="1" t="s">
        <v>3819</v>
      </c>
      <c r="H179" s="1" t="s">
        <v>3820</v>
      </c>
      <c r="I179" s="1" t="s">
        <v>3821</v>
      </c>
      <c r="J179" s="1">
        <v>7559435455</v>
      </c>
      <c r="K179" s="1" t="s">
        <v>84</v>
      </c>
      <c r="L179" s="1" t="s">
        <v>2664</v>
      </c>
      <c r="M179" s="1" t="s">
        <v>86</v>
      </c>
      <c r="N179" s="1" t="s">
        <v>2433</v>
      </c>
      <c r="O179" s="1"/>
      <c r="P179" s="1" t="s">
        <v>455</v>
      </c>
      <c r="Q179" s="1" t="s">
        <v>3822</v>
      </c>
      <c r="R179" s="1" t="s">
        <v>3823</v>
      </c>
      <c r="S179" s="1">
        <v>9673928999</v>
      </c>
      <c r="T179" s="1" t="s">
        <v>926</v>
      </c>
      <c r="U179" s="1" t="s">
        <v>3824</v>
      </c>
      <c r="V179" s="1">
        <v>9765211617</v>
      </c>
      <c r="W179" s="1" t="s">
        <v>278</v>
      </c>
      <c r="X179" s="1" t="s">
        <v>3825</v>
      </c>
      <c r="Y179" s="1" t="s">
        <v>196</v>
      </c>
      <c r="Z179" s="1" t="s">
        <v>97</v>
      </c>
      <c r="AA179" s="1" t="s">
        <v>3826</v>
      </c>
      <c r="AB179" s="1" t="s">
        <v>163</v>
      </c>
      <c r="AC179" s="1" t="s">
        <v>97</v>
      </c>
      <c r="AD179" s="1">
        <v>7.97</v>
      </c>
      <c r="AE179" s="1" t="s">
        <v>98</v>
      </c>
      <c r="AF179" s="1" t="s">
        <v>3827</v>
      </c>
      <c r="AG179" s="1" t="s">
        <v>796</v>
      </c>
      <c r="AH179" s="1" t="s">
        <v>167</v>
      </c>
      <c r="AI179" s="1" t="s">
        <v>313</v>
      </c>
      <c r="AJ179" s="1">
        <v>84.6</v>
      </c>
      <c r="AK179" s="1"/>
      <c r="AL179" s="1" t="s">
        <v>3828</v>
      </c>
      <c r="AM179" s="1" t="s">
        <v>3829</v>
      </c>
      <c r="AN179" s="1" t="s">
        <v>2995</v>
      </c>
      <c r="AO179" s="1" t="s">
        <v>315</v>
      </c>
      <c r="AP179" s="1" t="s">
        <v>1171</v>
      </c>
      <c r="AQ179" s="1">
        <v>84.5</v>
      </c>
      <c r="AR179" s="1"/>
      <c r="AS179" s="1"/>
      <c r="AT179" s="1"/>
      <c r="AU179" s="1"/>
      <c r="AV179" s="1"/>
      <c r="AW179" s="1"/>
      <c r="AX179" s="1"/>
      <c r="AY179" s="1" t="s">
        <v>366</v>
      </c>
      <c r="AZ179" s="1" t="s">
        <v>3830</v>
      </c>
      <c r="BA179" s="1" t="s">
        <v>466</v>
      </c>
      <c r="BB179" s="1" t="s">
        <v>467</v>
      </c>
      <c r="BC179" s="1" t="s">
        <v>871</v>
      </c>
      <c r="BD179" s="1" t="s">
        <v>553</v>
      </c>
      <c r="BE179" s="1">
        <v>75.5</v>
      </c>
      <c r="BF179" s="1">
        <v>8.3</v>
      </c>
      <c r="BG179" s="1"/>
      <c r="BH179" s="1"/>
      <c r="BI179" s="1"/>
      <c r="BJ179" s="1"/>
      <c r="BK179" s="1"/>
      <c r="BL179" s="1"/>
      <c r="BM179" s="1"/>
      <c r="BN179" s="1"/>
      <c r="BO179" s="1" t="s">
        <v>3831</v>
      </c>
      <c r="BP179" s="1"/>
      <c r="BQ179" s="1"/>
      <c r="BR179" s="1" t="s">
        <v>3832</v>
      </c>
      <c r="BS179" s="1">
        <v>28</v>
      </c>
      <c r="BT179" s="1"/>
      <c r="BU179" s="1" t="str">
        <f>HYPERLINK("https://nconnect.nicmar.ac.in/storage/profile/ProfilePhoto_P25700166_763589.jpg","Download")</f>
        <v>0</v>
      </c>
      <c r="BV179" s="3"/>
      <c r="BW179" s="3"/>
    </row>
    <row r="180" spans="1:75">
      <c r="A180" s="1" t="s">
        <v>75</v>
      </c>
      <c r="B180" s="1" t="s">
        <v>446</v>
      </c>
      <c r="C180" s="1" t="s">
        <v>3833</v>
      </c>
      <c r="D180" s="1" t="s">
        <v>3834</v>
      </c>
      <c r="E180" s="1"/>
      <c r="F180" s="1" t="s">
        <v>3835</v>
      </c>
      <c r="G180" s="1" t="s">
        <v>3836</v>
      </c>
      <c r="H180" s="1" t="s">
        <v>3837</v>
      </c>
      <c r="I180" s="1" t="s">
        <v>3838</v>
      </c>
      <c r="J180" s="1">
        <v>9441056172</v>
      </c>
      <c r="K180" s="1" t="s">
        <v>84</v>
      </c>
      <c r="L180" s="1" t="s">
        <v>3839</v>
      </c>
      <c r="M180" s="1" t="s">
        <v>86</v>
      </c>
      <c r="N180" s="1" t="s">
        <v>3840</v>
      </c>
      <c r="O180" s="1"/>
      <c r="P180" s="1" t="s">
        <v>507</v>
      </c>
      <c r="Q180" s="1" t="s">
        <v>3841</v>
      </c>
      <c r="R180" s="1" t="s">
        <v>3842</v>
      </c>
      <c r="S180" s="1">
        <v>9945279015</v>
      </c>
      <c r="T180" s="1" t="s">
        <v>839</v>
      </c>
      <c r="U180" s="1" t="s">
        <v>3843</v>
      </c>
      <c r="V180" s="1">
        <v>9440883642</v>
      </c>
      <c r="W180" s="1" t="s">
        <v>3844</v>
      </c>
      <c r="X180" s="1" t="s">
        <v>3845</v>
      </c>
      <c r="Y180" s="1" t="s">
        <v>3846</v>
      </c>
      <c r="Z180" s="1" t="s">
        <v>281</v>
      </c>
      <c r="AA180" s="1" t="s">
        <v>3845</v>
      </c>
      <c r="AB180" s="1" t="s">
        <v>3846</v>
      </c>
      <c r="AC180" s="1" t="s">
        <v>281</v>
      </c>
      <c r="AD180" s="1">
        <v>8.23</v>
      </c>
      <c r="AE180" s="1" t="s">
        <v>98</v>
      </c>
      <c r="AF180" s="1" t="s">
        <v>3847</v>
      </c>
      <c r="AG180" s="1" t="s">
        <v>1418</v>
      </c>
      <c r="AH180" s="1" t="s">
        <v>170</v>
      </c>
      <c r="AI180" s="1" t="s">
        <v>490</v>
      </c>
      <c r="AJ180" s="1">
        <v>90</v>
      </c>
      <c r="AK180" s="1"/>
      <c r="AL180" s="1" t="s">
        <v>3847</v>
      </c>
      <c r="AM180" s="1" t="s">
        <v>3034</v>
      </c>
      <c r="AN180" s="1"/>
      <c r="AO180" s="1" t="s">
        <v>106</v>
      </c>
      <c r="AP180" s="1" t="s">
        <v>468</v>
      </c>
      <c r="AQ180" s="1">
        <v>65.4</v>
      </c>
      <c r="AR180" s="1"/>
      <c r="AS180" s="1"/>
      <c r="AT180" s="1"/>
      <c r="AU180" s="1"/>
      <c r="AV180" s="1"/>
      <c r="AW180" s="1"/>
      <c r="AX180" s="1"/>
      <c r="AY180" s="1" t="s">
        <v>1217</v>
      </c>
      <c r="AZ180" s="1" t="s">
        <v>3848</v>
      </c>
      <c r="BA180" s="1"/>
      <c r="BB180" s="1"/>
      <c r="BC180" s="1" t="s">
        <v>368</v>
      </c>
      <c r="BD180" s="1" t="s">
        <v>207</v>
      </c>
      <c r="BE180" s="1">
        <v>68.4</v>
      </c>
      <c r="BF180" s="1"/>
      <c r="BG180" s="1"/>
      <c r="BH180" s="1"/>
      <c r="BI180" s="1"/>
      <c r="BJ180" s="1"/>
      <c r="BK180" s="1"/>
      <c r="BL180" s="1"/>
      <c r="BM180" s="1"/>
      <c r="BN180" s="1"/>
      <c r="BO180" s="1" t="s">
        <v>2306</v>
      </c>
      <c r="BP180" s="1"/>
      <c r="BQ180" s="1"/>
      <c r="BR180" s="1" t="s">
        <v>3849</v>
      </c>
      <c r="BS180" s="1">
        <v>38</v>
      </c>
      <c r="BT180" s="1"/>
      <c r="BU180" s="1" t="str">
        <f>HYPERLINK("https://nconnect.nicmar.ac.in/storage/profile/ProfilePhoto_P25700167_351762.jpg","Download")</f>
        <v>0</v>
      </c>
      <c r="BV180" s="3"/>
      <c r="BW180" s="3"/>
    </row>
    <row r="181" spans="1:75">
      <c r="A181" s="1" t="s">
        <v>75</v>
      </c>
      <c r="B181" s="1" t="s">
        <v>446</v>
      </c>
      <c r="C181" s="1" t="s">
        <v>3850</v>
      </c>
      <c r="D181" s="1" t="s">
        <v>3851</v>
      </c>
      <c r="E181" s="1"/>
      <c r="F181" s="1" t="s">
        <v>3852</v>
      </c>
      <c r="G181" s="1" t="s">
        <v>3853</v>
      </c>
      <c r="H181" s="1" t="s">
        <v>3854</v>
      </c>
      <c r="I181" s="1" t="s">
        <v>3855</v>
      </c>
      <c r="J181" s="1">
        <v>9908717046</v>
      </c>
      <c r="K181" s="1" t="s">
        <v>84</v>
      </c>
      <c r="L181" s="1" t="s">
        <v>3856</v>
      </c>
      <c r="M181" s="1" t="s">
        <v>86</v>
      </c>
      <c r="N181" s="1" t="s">
        <v>3857</v>
      </c>
      <c r="O181" s="1"/>
      <c r="P181" s="1" t="s">
        <v>481</v>
      </c>
      <c r="Q181" s="1" t="s">
        <v>3858</v>
      </c>
      <c r="R181" s="1" t="s">
        <v>3859</v>
      </c>
      <c r="S181" s="1">
        <v>8328535737</v>
      </c>
      <c r="T181" s="1" t="s">
        <v>3860</v>
      </c>
      <c r="U181" s="1" t="s">
        <v>3861</v>
      </c>
      <c r="V181" s="1">
        <v>6301738627</v>
      </c>
      <c r="W181" s="1" t="s">
        <v>541</v>
      </c>
      <c r="X181" s="1" t="s">
        <v>3862</v>
      </c>
      <c r="Y181" s="1" t="s">
        <v>1924</v>
      </c>
      <c r="Z181" s="1" t="s">
        <v>281</v>
      </c>
      <c r="AA181" s="1" t="s">
        <v>3862</v>
      </c>
      <c r="AB181" s="1" t="s">
        <v>1924</v>
      </c>
      <c r="AC181" s="1" t="s">
        <v>281</v>
      </c>
      <c r="AD181" s="1">
        <v>7.87</v>
      </c>
      <c r="AE181" s="1" t="s">
        <v>98</v>
      </c>
      <c r="AF181" s="1" t="s">
        <v>3863</v>
      </c>
      <c r="AG181" s="1" t="s">
        <v>3864</v>
      </c>
      <c r="AH181" s="1" t="s">
        <v>200</v>
      </c>
      <c r="AI181" s="1" t="s">
        <v>490</v>
      </c>
      <c r="AJ181" s="1">
        <v>83</v>
      </c>
      <c r="AK181" s="1">
        <v>8.3</v>
      </c>
      <c r="AL181" s="1" t="s">
        <v>3865</v>
      </c>
      <c r="AM181" s="1" t="s">
        <v>3866</v>
      </c>
      <c r="AN181" s="1" t="s">
        <v>465</v>
      </c>
      <c r="AO181" s="1" t="s">
        <v>315</v>
      </c>
      <c r="AP181" s="1" t="s">
        <v>178</v>
      </c>
      <c r="AQ181" s="1">
        <v>57.92</v>
      </c>
      <c r="AR181" s="1">
        <v>6.19</v>
      </c>
      <c r="AS181" s="1"/>
      <c r="AT181" s="1"/>
      <c r="AU181" s="1"/>
      <c r="AV181" s="1"/>
      <c r="AW181" s="1"/>
      <c r="AX181" s="1"/>
      <c r="AY181" s="1" t="s">
        <v>3867</v>
      </c>
      <c r="AZ181" s="1" t="s">
        <v>3868</v>
      </c>
      <c r="BA181" s="1" t="s">
        <v>578</v>
      </c>
      <c r="BB181" s="1" t="s">
        <v>467</v>
      </c>
      <c r="BC181" s="1" t="s">
        <v>178</v>
      </c>
      <c r="BD181" s="1" t="s">
        <v>1089</v>
      </c>
      <c r="BE181" s="1">
        <v>56.7</v>
      </c>
      <c r="BF181" s="1">
        <v>6.42</v>
      </c>
      <c r="BG181" s="1"/>
      <c r="BH181" s="1"/>
      <c r="BI181" s="1"/>
      <c r="BJ181" s="1"/>
      <c r="BK181" s="1"/>
      <c r="BL181" s="1"/>
      <c r="BM181" s="1"/>
      <c r="BN181" s="1"/>
      <c r="BO181" s="1" t="s">
        <v>3869</v>
      </c>
      <c r="BP181" s="1"/>
      <c r="BQ181" s="1"/>
      <c r="BR181" s="1" t="s">
        <v>3870</v>
      </c>
      <c r="BS181" s="1">
        <v>26</v>
      </c>
      <c r="BT181" s="1"/>
      <c r="BU181" s="1" t="str">
        <f>HYPERLINK("https://nconnect.nicmar.ac.in/storage/profile/ProfilePhoto_P25700168_965724.jpg","Download")</f>
        <v>0</v>
      </c>
      <c r="BV181" s="3"/>
      <c r="BW181" s="3"/>
    </row>
    <row r="182" spans="1:75">
      <c r="A182" s="1" t="s">
        <v>75</v>
      </c>
      <c r="B182" s="1" t="s">
        <v>446</v>
      </c>
      <c r="C182" s="1" t="s">
        <v>3871</v>
      </c>
      <c r="D182" s="1" t="s">
        <v>3872</v>
      </c>
      <c r="E182" s="1" t="s">
        <v>3873</v>
      </c>
      <c r="F182" s="1" t="s">
        <v>3874</v>
      </c>
      <c r="G182" s="1" t="s">
        <v>3875</v>
      </c>
      <c r="H182" s="1" t="s">
        <v>3876</v>
      </c>
      <c r="I182" s="1" t="s">
        <v>3877</v>
      </c>
      <c r="J182" s="1">
        <v>9156403403</v>
      </c>
      <c r="K182" s="1" t="s">
        <v>153</v>
      </c>
      <c r="L182" s="1" t="s">
        <v>3878</v>
      </c>
      <c r="M182" s="1" t="s">
        <v>86</v>
      </c>
      <c r="N182" s="1" t="s">
        <v>1163</v>
      </c>
      <c r="O182" s="1"/>
      <c r="P182" s="1" t="s">
        <v>455</v>
      </c>
      <c r="Q182" s="1" t="s">
        <v>3879</v>
      </c>
      <c r="R182" s="1" t="s">
        <v>3873</v>
      </c>
      <c r="S182" s="1">
        <v>9860505903</v>
      </c>
      <c r="T182" s="1" t="s">
        <v>926</v>
      </c>
      <c r="U182" s="1" t="s">
        <v>1900</v>
      </c>
      <c r="V182" s="1">
        <v>8600289306</v>
      </c>
      <c r="W182" s="1" t="s">
        <v>94</v>
      </c>
      <c r="X182" s="1" t="s">
        <v>3880</v>
      </c>
      <c r="Y182" s="1" t="s">
        <v>384</v>
      </c>
      <c r="Z182" s="1" t="s">
        <v>97</v>
      </c>
      <c r="AA182" s="1" t="s">
        <v>3880</v>
      </c>
      <c r="AB182" s="1" t="s">
        <v>384</v>
      </c>
      <c r="AC182" s="1" t="s">
        <v>97</v>
      </c>
      <c r="AD182" s="1">
        <v>9.56</v>
      </c>
      <c r="AE182" s="1" t="s">
        <v>98</v>
      </c>
      <c r="AF182" s="1" t="s">
        <v>3881</v>
      </c>
      <c r="AG182" s="1" t="s">
        <v>3882</v>
      </c>
      <c r="AH182" s="1" t="s">
        <v>1110</v>
      </c>
      <c r="AI182" s="1" t="s">
        <v>627</v>
      </c>
      <c r="AJ182" s="1">
        <v>89.3</v>
      </c>
      <c r="AK182" s="1">
        <v>9.4</v>
      </c>
      <c r="AL182" s="1" t="s">
        <v>3883</v>
      </c>
      <c r="AM182" s="1" t="s">
        <v>3884</v>
      </c>
      <c r="AN182" s="1"/>
      <c r="AO182" s="1" t="s">
        <v>170</v>
      </c>
      <c r="AP182" s="1" t="s">
        <v>171</v>
      </c>
      <c r="AQ182" s="1">
        <v>89.23</v>
      </c>
      <c r="AR182" s="1"/>
      <c r="AS182" s="1"/>
      <c r="AT182" s="1"/>
      <c r="AU182" s="1"/>
      <c r="AV182" s="1"/>
      <c r="AW182" s="1"/>
      <c r="AX182" s="1"/>
      <c r="AY182" s="1" t="s">
        <v>997</v>
      </c>
      <c r="AZ182" s="1" t="s">
        <v>3885</v>
      </c>
      <c r="BA182" s="1"/>
      <c r="BB182" s="1"/>
      <c r="BC182" s="1" t="s">
        <v>174</v>
      </c>
      <c r="BD182" s="1" t="s">
        <v>234</v>
      </c>
      <c r="BE182" s="1">
        <v>83.31</v>
      </c>
      <c r="BF182" s="1">
        <v>8.77</v>
      </c>
      <c r="BG182" s="1"/>
      <c r="BH182" s="1"/>
      <c r="BI182" s="1"/>
      <c r="BJ182" s="1"/>
      <c r="BK182" s="1"/>
      <c r="BL182" s="1"/>
      <c r="BM182" s="1"/>
      <c r="BN182" s="1"/>
      <c r="BO182" s="1" t="s">
        <v>3886</v>
      </c>
      <c r="BP182" s="1" t="s">
        <v>3887</v>
      </c>
      <c r="BQ182" s="1" t="s">
        <v>780</v>
      </c>
      <c r="BR182" s="1" t="s">
        <v>3888</v>
      </c>
      <c r="BS182" s="1">
        <v>26</v>
      </c>
      <c r="BT182" s="1" t="s">
        <v>3889</v>
      </c>
      <c r="BU182" s="1" t="str">
        <f>HYPERLINK("https://nconnect.nicmar.ac.in/storage/profile/ProfilePhoto_P25700169_478621.jpg","Download")</f>
        <v>0</v>
      </c>
      <c r="BV182" s="3"/>
      <c r="BW182" s="3"/>
    </row>
    <row r="183" spans="1:75">
      <c r="A183" s="1" t="s">
        <v>75</v>
      </c>
      <c r="B183" s="1" t="s">
        <v>446</v>
      </c>
      <c r="C183" s="1" t="s">
        <v>3890</v>
      </c>
      <c r="D183" s="1" t="s">
        <v>3891</v>
      </c>
      <c r="E183" s="1"/>
      <c r="F183" s="1" t="s">
        <v>961</v>
      </c>
      <c r="G183" s="1" t="s">
        <v>3892</v>
      </c>
      <c r="H183" s="1" t="s">
        <v>3893</v>
      </c>
      <c r="I183" s="1" t="s">
        <v>3894</v>
      </c>
      <c r="J183" s="1">
        <v>8628051005</v>
      </c>
      <c r="K183" s="1" t="s">
        <v>84</v>
      </c>
      <c r="L183" s="1" t="s">
        <v>3895</v>
      </c>
      <c r="M183" s="1" t="s">
        <v>86</v>
      </c>
      <c r="N183" s="1" t="s">
        <v>2969</v>
      </c>
      <c r="O183" s="1"/>
      <c r="P183" s="1" t="s">
        <v>455</v>
      </c>
      <c r="Q183" s="1" t="s">
        <v>3896</v>
      </c>
      <c r="R183" s="1" t="s">
        <v>3897</v>
      </c>
      <c r="S183" s="1">
        <v>9501232100</v>
      </c>
      <c r="T183" s="1" t="s">
        <v>3898</v>
      </c>
      <c r="U183" s="1" t="s">
        <v>3899</v>
      </c>
      <c r="V183" s="1">
        <v>9418046030</v>
      </c>
      <c r="W183" s="1" t="s">
        <v>3900</v>
      </c>
      <c r="X183" s="1" t="s">
        <v>3901</v>
      </c>
      <c r="Y183" s="1" t="s">
        <v>3902</v>
      </c>
      <c r="Z183" s="1" t="s">
        <v>2608</v>
      </c>
      <c r="AA183" s="1" t="s">
        <v>3901</v>
      </c>
      <c r="AB183" s="1" t="s">
        <v>3902</v>
      </c>
      <c r="AC183" s="1" t="s">
        <v>2608</v>
      </c>
      <c r="AD183" s="1">
        <v>7.21</v>
      </c>
      <c r="AE183" s="1" t="s">
        <v>98</v>
      </c>
      <c r="AF183" s="1" t="s">
        <v>3903</v>
      </c>
      <c r="AG183" s="1" t="s">
        <v>796</v>
      </c>
      <c r="AH183" s="1" t="s">
        <v>200</v>
      </c>
      <c r="AI183" s="1" t="s">
        <v>286</v>
      </c>
      <c r="AJ183" s="1">
        <v>61.8</v>
      </c>
      <c r="AK183" s="1">
        <v>0</v>
      </c>
      <c r="AL183" s="1" t="s">
        <v>3904</v>
      </c>
      <c r="AM183" s="1" t="s">
        <v>796</v>
      </c>
      <c r="AN183" s="1"/>
      <c r="AO183" s="1" t="s">
        <v>414</v>
      </c>
      <c r="AP183" s="1" t="s">
        <v>603</v>
      </c>
      <c r="AQ183" s="1">
        <v>63.2</v>
      </c>
      <c r="AR183" s="1">
        <v>0</v>
      </c>
      <c r="AS183" s="1"/>
      <c r="AT183" s="1"/>
      <c r="AU183" s="1"/>
      <c r="AV183" s="1"/>
      <c r="AW183" s="1"/>
      <c r="AX183" s="1"/>
      <c r="AY183" s="1" t="s">
        <v>3905</v>
      </c>
      <c r="AZ183" s="1" t="s">
        <v>3906</v>
      </c>
      <c r="BA183" s="1"/>
      <c r="BB183" s="1"/>
      <c r="BC183" s="1" t="s">
        <v>890</v>
      </c>
      <c r="BD183" s="1" t="s">
        <v>1089</v>
      </c>
      <c r="BE183" s="1">
        <v>70.5</v>
      </c>
      <c r="BF183" s="1">
        <v>7.05</v>
      </c>
      <c r="BG183" s="1"/>
      <c r="BH183" s="1"/>
      <c r="BI183" s="1"/>
      <c r="BJ183" s="1"/>
      <c r="BK183" s="1"/>
      <c r="BL183" s="1"/>
      <c r="BM183" s="1"/>
      <c r="BN183" s="1"/>
      <c r="BO183" s="1" t="s">
        <v>369</v>
      </c>
      <c r="BP183" s="1"/>
      <c r="BQ183" s="1"/>
      <c r="BR183" s="1" t="s">
        <v>3907</v>
      </c>
      <c r="BS183" s="1">
        <v>45</v>
      </c>
      <c r="BT183" s="1"/>
      <c r="BU183" s="1" t="str">
        <f>HYPERLINK("https://nconnect.nicmar.ac.in/storage/profile/ProfilePhoto_P25700170_489362.jpg","Download")</f>
        <v>0</v>
      </c>
      <c r="BV183" s="3"/>
      <c r="BW183" s="3"/>
    </row>
    <row r="184" spans="1:75">
      <c r="A184" s="1" t="s">
        <v>75</v>
      </c>
      <c r="B184" s="1" t="s">
        <v>446</v>
      </c>
      <c r="C184" s="1" t="s">
        <v>3908</v>
      </c>
      <c r="D184" s="1" t="s">
        <v>3909</v>
      </c>
      <c r="E184" s="1"/>
      <c r="F184" s="1" t="s">
        <v>3910</v>
      </c>
      <c r="G184" s="1" t="s">
        <v>3911</v>
      </c>
      <c r="H184" s="1" t="s">
        <v>3912</v>
      </c>
      <c r="I184" s="1" t="s">
        <v>3913</v>
      </c>
      <c r="J184" s="1">
        <v>7980670867</v>
      </c>
      <c r="K184" s="1" t="s">
        <v>84</v>
      </c>
      <c r="L184" s="1" t="s">
        <v>3914</v>
      </c>
      <c r="M184" s="1" t="s">
        <v>86</v>
      </c>
      <c r="N184" s="1" t="s">
        <v>3915</v>
      </c>
      <c r="O184" s="1"/>
      <c r="P184" s="1" t="s">
        <v>455</v>
      </c>
      <c r="Q184" s="1" t="s">
        <v>3916</v>
      </c>
      <c r="R184" s="1" t="s">
        <v>3917</v>
      </c>
      <c r="S184" s="1">
        <v>9073192519</v>
      </c>
      <c r="T184" s="1" t="s">
        <v>125</v>
      </c>
      <c r="U184" s="1" t="s">
        <v>3918</v>
      </c>
      <c r="V184" s="1">
        <v>9433860343</v>
      </c>
      <c r="W184" s="1" t="s">
        <v>125</v>
      </c>
      <c r="X184" s="1" t="s">
        <v>3919</v>
      </c>
      <c r="Y184" s="1" t="s">
        <v>3920</v>
      </c>
      <c r="Z184" s="1" t="s">
        <v>1234</v>
      </c>
      <c r="AA184" s="1" t="s">
        <v>3919</v>
      </c>
      <c r="AB184" s="1" t="s">
        <v>3920</v>
      </c>
      <c r="AC184" s="1" t="s">
        <v>1234</v>
      </c>
      <c r="AD184" s="1">
        <v>8.77</v>
      </c>
      <c r="AE184" s="1" t="s">
        <v>98</v>
      </c>
      <c r="AF184" s="1" t="s">
        <v>3921</v>
      </c>
      <c r="AG184" s="1" t="s">
        <v>2181</v>
      </c>
      <c r="AH184" s="1" t="s">
        <v>1393</v>
      </c>
      <c r="AI184" s="1" t="s">
        <v>337</v>
      </c>
      <c r="AJ184" s="1">
        <v>74.57</v>
      </c>
      <c r="AK184" s="1"/>
      <c r="AL184" s="1" t="s">
        <v>3922</v>
      </c>
      <c r="AM184" s="1" t="s">
        <v>2181</v>
      </c>
      <c r="AN184" s="1" t="s">
        <v>575</v>
      </c>
      <c r="AO184" s="1" t="s">
        <v>3923</v>
      </c>
      <c r="AP184" s="1" t="s">
        <v>1457</v>
      </c>
      <c r="AQ184" s="1">
        <v>61.33</v>
      </c>
      <c r="AR184" s="1"/>
      <c r="AS184" s="1"/>
      <c r="AT184" s="1"/>
      <c r="AU184" s="1"/>
      <c r="AV184" s="1"/>
      <c r="AW184" s="1"/>
      <c r="AX184" s="1"/>
      <c r="AY184" s="1" t="s">
        <v>1240</v>
      </c>
      <c r="AZ184" s="1" t="s">
        <v>3924</v>
      </c>
      <c r="BA184" s="1" t="s">
        <v>466</v>
      </c>
      <c r="BB184" s="1" t="s">
        <v>467</v>
      </c>
      <c r="BC184" s="1" t="s">
        <v>1583</v>
      </c>
      <c r="BD184" s="1" t="s">
        <v>388</v>
      </c>
      <c r="BE184" s="1">
        <v>68.8</v>
      </c>
      <c r="BF184" s="1">
        <v>7.63</v>
      </c>
      <c r="BG184" s="1"/>
      <c r="BH184" s="1"/>
      <c r="BI184" s="1"/>
      <c r="BJ184" s="1"/>
      <c r="BK184" s="1"/>
      <c r="BL184" s="1"/>
      <c r="BM184" s="1"/>
      <c r="BN184" s="1"/>
      <c r="BO184" s="1" t="s">
        <v>3925</v>
      </c>
      <c r="BP184" s="1" t="s">
        <v>3926</v>
      </c>
      <c r="BQ184" s="1" t="s">
        <v>3927</v>
      </c>
      <c r="BR184" s="1" t="s">
        <v>3928</v>
      </c>
      <c r="BS184" s="1">
        <v>25</v>
      </c>
      <c r="BT184" s="1" t="s">
        <v>3929</v>
      </c>
      <c r="BU184" s="1" t="str">
        <f>HYPERLINK("https://nconnect.nicmar.ac.in/storage/profile/ProfilePhoto_P25700171_586279.jpg","Download")</f>
        <v>0</v>
      </c>
      <c r="BV184" s="3"/>
      <c r="BW184" s="3"/>
    </row>
    <row r="185" spans="1:75">
      <c r="A185" s="1" t="s">
        <v>75</v>
      </c>
      <c r="B185" s="1" t="s">
        <v>446</v>
      </c>
      <c r="C185" s="1" t="s">
        <v>3930</v>
      </c>
      <c r="D185" s="1" t="s">
        <v>3931</v>
      </c>
      <c r="E185" s="1" t="s">
        <v>3932</v>
      </c>
      <c r="F185" s="1" t="s">
        <v>1179</v>
      </c>
      <c r="G185" s="1" t="s">
        <v>3933</v>
      </c>
      <c r="H185" s="1" t="s">
        <v>3934</v>
      </c>
      <c r="I185" s="1" t="s">
        <v>3935</v>
      </c>
      <c r="J185" s="1">
        <v>8108181970</v>
      </c>
      <c r="K185" s="1" t="s">
        <v>153</v>
      </c>
      <c r="L185" s="1" t="s">
        <v>3936</v>
      </c>
      <c r="M185" s="1" t="s">
        <v>86</v>
      </c>
      <c r="N185" s="1" t="s">
        <v>1163</v>
      </c>
      <c r="O185" s="1"/>
      <c r="P185" s="1" t="s">
        <v>2062</v>
      </c>
      <c r="Q185" s="1" t="s">
        <v>3937</v>
      </c>
      <c r="R185" s="1" t="s">
        <v>3938</v>
      </c>
      <c r="S185" s="1">
        <v>9222467061</v>
      </c>
      <c r="T185" s="1" t="s">
        <v>839</v>
      </c>
      <c r="U185" s="1" t="s">
        <v>3939</v>
      </c>
      <c r="V185" s="1">
        <v>9167146470</v>
      </c>
      <c r="W185" s="1" t="s">
        <v>278</v>
      </c>
      <c r="X185" s="1" t="s">
        <v>3940</v>
      </c>
      <c r="Y185" s="1" t="s">
        <v>1012</v>
      </c>
      <c r="Z185" s="1" t="s">
        <v>97</v>
      </c>
      <c r="AA185" s="1" t="s">
        <v>3940</v>
      </c>
      <c r="AB185" s="1" t="s">
        <v>1012</v>
      </c>
      <c r="AC185" s="1" t="s">
        <v>97</v>
      </c>
      <c r="AD185" s="1">
        <v>7.15</v>
      </c>
      <c r="AE185" s="1" t="s">
        <v>98</v>
      </c>
      <c r="AF185" s="1" t="s">
        <v>3941</v>
      </c>
      <c r="AG185" s="1" t="s">
        <v>3942</v>
      </c>
      <c r="AH185" s="1" t="s">
        <v>167</v>
      </c>
      <c r="AI185" s="1" t="s">
        <v>200</v>
      </c>
      <c r="AJ185" s="1">
        <v>67</v>
      </c>
      <c r="AK185" s="1"/>
      <c r="AL185" s="1" t="s">
        <v>3943</v>
      </c>
      <c r="AM185" s="1" t="s">
        <v>3944</v>
      </c>
      <c r="AN185" s="1" t="s">
        <v>575</v>
      </c>
      <c r="AO185" s="1" t="s">
        <v>106</v>
      </c>
      <c r="AP185" s="1" t="s">
        <v>203</v>
      </c>
      <c r="AQ185" s="1">
        <v>61.85</v>
      </c>
      <c r="AR185" s="1"/>
      <c r="AS185" s="1"/>
      <c r="AT185" s="1"/>
      <c r="AU185" s="1"/>
      <c r="AV185" s="1"/>
      <c r="AW185" s="1"/>
      <c r="AX185" s="1"/>
      <c r="AY185" s="1" t="s">
        <v>3945</v>
      </c>
      <c r="AZ185" s="1" t="s">
        <v>3946</v>
      </c>
      <c r="BA185" s="1" t="s">
        <v>466</v>
      </c>
      <c r="BB185" s="1" t="s">
        <v>467</v>
      </c>
      <c r="BC185" s="1" t="s">
        <v>315</v>
      </c>
      <c r="BD185" s="1" t="s">
        <v>2383</v>
      </c>
      <c r="BE185" s="1">
        <v>60</v>
      </c>
      <c r="BF185" s="1">
        <v>8.1</v>
      </c>
      <c r="BG185" s="1"/>
      <c r="BH185" s="1"/>
      <c r="BI185" s="1"/>
      <c r="BJ185" s="1"/>
      <c r="BK185" s="1"/>
      <c r="BL185" s="1"/>
      <c r="BM185" s="1"/>
      <c r="BN185" s="1"/>
      <c r="BO185" s="1" t="s">
        <v>3947</v>
      </c>
      <c r="BP185" s="1" t="s">
        <v>3948</v>
      </c>
      <c r="BQ185" s="1" t="s">
        <v>3949</v>
      </c>
      <c r="BR185" s="1" t="s">
        <v>3950</v>
      </c>
      <c r="BS185" s="1">
        <v>40</v>
      </c>
      <c r="BT185" s="1" t="s">
        <v>3951</v>
      </c>
      <c r="BU185" s="1" t="str">
        <f>HYPERLINK("https://nconnect.nicmar.ac.in/storage/profile/ProfilePhoto_P25700172_489631.jpg","Download")</f>
        <v>0</v>
      </c>
      <c r="BV185" s="3"/>
      <c r="BW185" s="3"/>
    </row>
    <row r="186" spans="1:75">
      <c r="A186" s="1" t="s">
        <v>75</v>
      </c>
      <c r="B186" s="1" t="s">
        <v>446</v>
      </c>
      <c r="C186" s="1" t="s">
        <v>3952</v>
      </c>
      <c r="D186" s="1" t="s">
        <v>3953</v>
      </c>
      <c r="E186" s="1" t="s">
        <v>1749</v>
      </c>
      <c r="F186" s="1" t="s">
        <v>3954</v>
      </c>
      <c r="G186" s="1" t="s">
        <v>3955</v>
      </c>
      <c r="H186" s="1" t="s">
        <v>3956</v>
      </c>
      <c r="I186" s="1" t="s">
        <v>3957</v>
      </c>
      <c r="J186" s="1">
        <v>7798109599</v>
      </c>
      <c r="K186" s="1" t="s">
        <v>153</v>
      </c>
      <c r="L186" s="1" t="s">
        <v>3958</v>
      </c>
      <c r="M186" s="1" t="s">
        <v>155</v>
      </c>
      <c r="N186" s="1" t="s">
        <v>1163</v>
      </c>
      <c r="O186" s="1" t="s">
        <v>3959</v>
      </c>
      <c r="P186" s="1" t="s">
        <v>481</v>
      </c>
      <c r="Q186" s="1" t="s">
        <v>3960</v>
      </c>
      <c r="R186" s="1" t="s">
        <v>3961</v>
      </c>
      <c r="S186" s="1">
        <v>8830002525</v>
      </c>
      <c r="T186" s="1" t="s">
        <v>330</v>
      </c>
      <c r="U186" s="1" t="s">
        <v>3962</v>
      </c>
      <c r="V186" s="1">
        <v>9422332043</v>
      </c>
      <c r="W186" s="1" t="s">
        <v>161</v>
      </c>
      <c r="X186" s="1" t="s">
        <v>3963</v>
      </c>
      <c r="Y186" s="1" t="s">
        <v>196</v>
      </c>
      <c r="Z186" s="1" t="s">
        <v>97</v>
      </c>
      <c r="AA186" s="1" t="s">
        <v>3964</v>
      </c>
      <c r="AB186" s="1" t="s">
        <v>1779</v>
      </c>
      <c r="AC186" s="1" t="s">
        <v>97</v>
      </c>
      <c r="AD186" s="1">
        <v>8.77</v>
      </c>
      <c r="AE186" s="1" t="s">
        <v>98</v>
      </c>
      <c r="AF186" s="1" t="s">
        <v>1903</v>
      </c>
      <c r="AG186" s="1" t="s">
        <v>165</v>
      </c>
      <c r="AH186" s="1" t="s">
        <v>3285</v>
      </c>
      <c r="AI186" s="1" t="s">
        <v>3965</v>
      </c>
      <c r="AJ186" s="1">
        <v>88.55</v>
      </c>
      <c r="AK186" s="1"/>
      <c r="AL186" s="1" t="s">
        <v>3966</v>
      </c>
      <c r="AM186" s="1" t="s">
        <v>165</v>
      </c>
      <c r="AN186" s="1"/>
      <c r="AO186" s="1" t="s">
        <v>1213</v>
      </c>
      <c r="AP186" s="1" t="s">
        <v>3967</v>
      </c>
      <c r="AQ186" s="1">
        <v>64.62</v>
      </c>
      <c r="AR186" s="1"/>
      <c r="AS186" s="1"/>
      <c r="AT186" s="1"/>
      <c r="AU186" s="1"/>
      <c r="AV186" s="1"/>
      <c r="AW186" s="1"/>
      <c r="AX186" s="1"/>
      <c r="AY186" s="1" t="s">
        <v>366</v>
      </c>
      <c r="AZ186" s="1" t="s">
        <v>3968</v>
      </c>
      <c r="BA186" s="1"/>
      <c r="BB186" s="1"/>
      <c r="BC186" s="1" t="s">
        <v>101</v>
      </c>
      <c r="BD186" s="1" t="s">
        <v>977</v>
      </c>
      <c r="BE186" s="1">
        <v>66.24</v>
      </c>
      <c r="BF186" s="1">
        <v>7.44</v>
      </c>
      <c r="BG186" s="1"/>
      <c r="BH186" s="1"/>
      <c r="BI186" s="1"/>
      <c r="BJ186" s="1"/>
      <c r="BK186" s="1"/>
      <c r="BL186" s="1"/>
      <c r="BM186" s="1"/>
      <c r="BN186" s="1"/>
      <c r="BO186" s="1" t="s">
        <v>3969</v>
      </c>
      <c r="BP186" s="1" t="s">
        <v>3970</v>
      </c>
      <c r="BQ186" s="1" t="s">
        <v>3971</v>
      </c>
      <c r="BR186" s="1" t="s">
        <v>3972</v>
      </c>
      <c r="BS186" s="1">
        <v>34</v>
      </c>
      <c r="BT186" s="1"/>
      <c r="BU186" s="1" t="str">
        <f>HYPERLINK("https://nconnect.nicmar.ac.in/storage/profile/ProfilePhoto_P25700174_784592.jpg","Download")</f>
        <v>0</v>
      </c>
      <c r="BV186" s="3"/>
      <c r="BW186" s="3"/>
    </row>
    <row r="187" spans="1:75">
      <c r="A187" s="1" t="s">
        <v>75</v>
      </c>
      <c r="B187" s="1" t="s">
        <v>446</v>
      </c>
      <c r="C187" s="1" t="s">
        <v>3973</v>
      </c>
      <c r="D187" s="1" t="s">
        <v>3974</v>
      </c>
      <c r="E187" s="1" t="s">
        <v>1853</v>
      </c>
      <c r="F187" s="1" t="s">
        <v>3975</v>
      </c>
      <c r="G187" s="1" t="s">
        <v>3976</v>
      </c>
      <c r="H187" s="1" t="s">
        <v>3977</v>
      </c>
      <c r="I187" s="1" t="s">
        <v>3978</v>
      </c>
      <c r="J187" s="1">
        <v>7892922882</v>
      </c>
      <c r="K187" s="1" t="s">
        <v>153</v>
      </c>
      <c r="L187" s="1" t="s">
        <v>3979</v>
      </c>
      <c r="M187" s="1" t="s">
        <v>86</v>
      </c>
      <c r="N187" s="1" t="s">
        <v>3980</v>
      </c>
      <c r="O187" s="1"/>
      <c r="P187" s="1" t="s">
        <v>481</v>
      </c>
      <c r="Q187" s="1" t="s">
        <v>3981</v>
      </c>
      <c r="R187" s="1" t="s">
        <v>3982</v>
      </c>
      <c r="S187" s="1">
        <v>9449799979</v>
      </c>
      <c r="T187" s="1" t="s">
        <v>839</v>
      </c>
      <c r="U187" s="1" t="s">
        <v>3983</v>
      </c>
      <c r="V187" s="1">
        <v>9481938444</v>
      </c>
      <c r="W187" s="1" t="s">
        <v>94</v>
      </c>
      <c r="X187" s="1" t="s">
        <v>3984</v>
      </c>
      <c r="Y187" s="1" t="s">
        <v>3985</v>
      </c>
      <c r="Z187" s="1" t="s">
        <v>1210</v>
      </c>
      <c r="AA187" s="1" t="s">
        <v>3986</v>
      </c>
      <c r="AB187" s="1" t="s">
        <v>3985</v>
      </c>
      <c r="AC187" s="1" t="s">
        <v>1210</v>
      </c>
      <c r="AD187" s="1">
        <v>7.56</v>
      </c>
      <c r="AE187" s="1" t="s">
        <v>98</v>
      </c>
      <c r="AF187" s="1" t="s">
        <v>3987</v>
      </c>
      <c r="AG187" s="1" t="s">
        <v>3988</v>
      </c>
      <c r="AH187" s="1" t="s">
        <v>167</v>
      </c>
      <c r="AI187" s="1" t="s">
        <v>170</v>
      </c>
      <c r="AJ187" s="1">
        <v>89.3</v>
      </c>
      <c r="AK187" s="1">
        <v>9.4</v>
      </c>
      <c r="AL187" s="1" t="s">
        <v>3989</v>
      </c>
      <c r="AM187" s="1" t="s">
        <v>3990</v>
      </c>
      <c r="AN187" s="1"/>
      <c r="AO187" s="1" t="s">
        <v>106</v>
      </c>
      <c r="AP187" s="1" t="s">
        <v>547</v>
      </c>
      <c r="AQ187" s="1">
        <v>66.1</v>
      </c>
      <c r="AR187" s="1"/>
      <c r="AS187" s="1"/>
      <c r="AT187" s="1"/>
      <c r="AU187" s="1"/>
      <c r="AV187" s="1"/>
      <c r="AW187" s="1"/>
      <c r="AX187" s="1"/>
      <c r="AY187" s="1" t="s">
        <v>3991</v>
      </c>
      <c r="AZ187" s="1" t="s">
        <v>3992</v>
      </c>
      <c r="BA187" s="1"/>
      <c r="BB187" s="1"/>
      <c r="BC187" s="1" t="s">
        <v>179</v>
      </c>
      <c r="BD187" s="1" t="s">
        <v>1089</v>
      </c>
      <c r="BE187" s="1">
        <v>64.9</v>
      </c>
      <c r="BF187" s="1">
        <v>7.24</v>
      </c>
      <c r="BG187" s="1"/>
      <c r="BH187" s="1"/>
      <c r="BI187" s="1"/>
      <c r="BJ187" s="1"/>
      <c r="BK187" s="1"/>
      <c r="BL187" s="1"/>
      <c r="BM187" s="1"/>
      <c r="BN187" s="1"/>
      <c r="BO187" s="1" t="s">
        <v>3993</v>
      </c>
      <c r="BP187" s="1"/>
      <c r="BQ187" s="1"/>
      <c r="BR187" s="1" t="s">
        <v>3994</v>
      </c>
      <c r="BS187" s="1">
        <v>26</v>
      </c>
      <c r="BT187" s="1" t="s">
        <v>3995</v>
      </c>
      <c r="BU187" s="1" t="str">
        <f>HYPERLINK("https://nconnect.nicmar.ac.in/storage/profile/ProfilePhoto_P25700175_314862.jpg","Download")</f>
        <v>0</v>
      </c>
      <c r="BV187" s="3"/>
      <c r="BW187" s="3"/>
    </row>
    <row r="188" spans="1:75">
      <c r="A188" s="1" t="s">
        <v>75</v>
      </c>
      <c r="B188" s="1" t="s">
        <v>446</v>
      </c>
      <c r="C188" s="1" t="s">
        <v>3996</v>
      </c>
      <c r="D188" s="1" t="s">
        <v>3997</v>
      </c>
      <c r="E188" s="1" t="s">
        <v>3998</v>
      </c>
      <c r="F188" s="1" t="s">
        <v>1047</v>
      </c>
      <c r="G188" s="1" t="s">
        <v>3999</v>
      </c>
      <c r="H188" s="1" t="s">
        <v>4000</v>
      </c>
      <c r="I188" s="1" t="s">
        <v>4001</v>
      </c>
      <c r="J188" s="1">
        <v>7899657629</v>
      </c>
      <c r="K188" s="1" t="s">
        <v>84</v>
      </c>
      <c r="L188" s="1" t="s">
        <v>4002</v>
      </c>
      <c r="M188" s="1" t="s">
        <v>86</v>
      </c>
      <c r="N188" s="1" t="s">
        <v>4003</v>
      </c>
      <c r="O188" s="1"/>
      <c r="P188" s="1" t="s">
        <v>481</v>
      </c>
      <c r="Q188" s="1" t="s">
        <v>4004</v>
      </c>
      <c r="R188" s="1" t="s">
        <v>4005</v>
      </c>
      <c r="S188" s="1">
        <v>9008743435</v>
      </c>
      <c r="T188" s="1" t="s">
        <v>127</v>
      </c>
      <c r="U188" s="1" t="s">
        <v>4006</v>
      </c>
      <c r="V188" s="1">
        <v>9008743436</v>
      </c>
      <c r="W188" s="1" t="s">
        <v>278</v>
      </c>
      <c r="X188" s="1" t="s">
        <v>4007</v>
      </c>
      <c r="Y188" s="1" t="s">
        <v>1209</v>
      </c>
      <c r="Z188" s="1" t="s">
        <v>1210</v>
      </c>
      <c r="AA188" s="1" t="s">
        <v>4007</v>
      </c>
      <c r="AB188" s="1" t="s">
        <v>1209</v>
      </c>
      <c r="AC188" s="1" t="s">
        <v>1210</v>
      </c>
      <c r="AD188" s="1">
        <v>7.97</v>
      </c>
      <c r="AE188" s="1" t="s">
        <v>98</v>
      </c>
      <c r="AF188" s="1" t="s">
        <v>4008</v>
      </c>
      <c r="AG188" s="1" t="s">
        <v>4009</v>
      </c>
      <c r="AH188" s="1" t="s">
        <v>170</v>
      </c>
      <c r="AI188" s="1" t="s">
        <v>171</v>
      </c>
      <c r="AJ188" s="1">
        <v>72</v>
      </c>
      <c r="AK188" s="1">
        <v>0</v>
      </c>
      <c r="AL188" s="1" t="s">
        <v>4010</v>
      </c>
      <c r="AM188" s="1" t="s">
        <v>4011</v>
      </c>
      <c r="AN188" s="1" t="s">
        <v>575</v>
      </c>
      <c r="AO188" s="1" t="s">
        <v>438</v>
      </c>
      <c r="AP188" s="1" t="s">
        <v>178</v>
      </c>
      <c r="AQ188" s="1">
        <v>82.16</v>
      </c>
      <c r="AR188" s="1">
        <v>0</v>
      </c>
      <c r="AS188" s="1"/>
      <c r="AT188" s="1"/>
      <c r="AU188" s="1"/>
      <c r="AV188" s="1"/>
      <c r="AW188" s="1"/>
      <c r="AX188" s="1"/>
      <c r="AY188" s="1" t="s">
        <v>4012</v>
      </c>
      <c r="AZ188" s="1" t="s">
        <v>4013</v>
      </c>
      <c r="BA188" s="1" t="s">
        <v>578</v>
      </c>
      <c r="BB188" s="1" t="s">
        <v>467</v>
      </c>
      <c r="BC188" s="1" t="s">
        <v>890</v>
      </c>
      <c r="BD188" s="1" t="s">
        <v>1089</v>
      </c>
      <c r="BE188" s="1">
        <v>65.4</v>
      </c>
      <c r="BF188" s="1">
        <v>7.29</v>
      </c>
      <c r="BG188" s="1"/>
      <c r="BH188" s="1"/>
      <c r="BI188" s="1"/>
      <c r="BJ188" s="1"/>
      <c r="BK188" s="1"/>
      <c r="BL188" s="1"/>
      <c r="BM188" s="1"/>
      <c r="BN188" s="1"/>
      <c r="BO188" s="1" t="s">
        <v>4014</v>
      </c>
      <c r="BP188" s="1"/>
      <c r="BQ188" s="1"/>
      <c r="BR188" s="1" t="s">
        <v>4015</v>
      </c>
      <c r="BS188" s="1">
        <v>47</v>
      </c>
      <c r="BT188" s="1"/>
      <c r="BU188" s="1" t="str">
        <f>HYPERLINK("https://nconnect.nicmar.ac.in/storage/profile/ProfilePhoto_P25700176_125376.jpg","Download")</f>
        <v>0</v>
      </c>
      <c r="BV188" s="3"/>
      <c r="BW188" s="3"/>
    </row>
    <row r="189" spans="1:75">
      <c r="A189" s="1" t="s">
        <v>75</v>
      </c>
      <c r="B189" s="1" t="s">
        <v>446</v>
      </c>
      <c r="C189" s="1" t="s">
        <v>4016</v>
      </c>
      <c r="D189" s="1" t="s">
        <v>4017</v>
      </c>
      <c r="E189" s="1" t="s">
        <v>4018</v>
      </c>
      <c r="F189" s="1" t="s">
        <v>4019</v>
      </c>
      <c r="G189" s="1" t="s">
        <v>4020</v>
      </c>
      <c r="H189" s="1" t="s">
        <v>4021</v>
      </c>
      <c r="I189" s="1" t="s">
        <v>4022</v>
      </c>
      <c r="J189" s="1">
        <v>7977657557</v>
      </c>
      <c r="K189" s="1" t="s">
        <v>84</v>
      </c>
      <c r="L189" s="1" t="s">
        <v>4023</v>
      </c>
      <c r="M189" s="1" t="s">
        <v>86</v>
      </c>
      <c r="N189" s="1" t="s">
        <v>4024</v>
      </c>
      <c r="O189" s="1"/>
      <c r="P189" s="1" t="s">
        <v>1028</v>
      </c>
      <c r="Q189" s="1" t="s">
        <v>4025</v>
      </c>
      <c r="R189" s="1" t="s">
        <v>4026</v>
      </c>
      <c r="S189" s="1">
        <v>9702396969</v>
      </c>
      <c r="T189" s="1" t="s">
        <v>839</v>
      </c>
      <c r="U189" s="1" t="s">
        <v>4027</v>
      </c>
      <c r="V189" s="1">
        <v>9702465656</v>
      </c>
      <c r="W189" s="1" t="s">
        <v>278</v>
      </c>
      <c r="X189" s="1" t="s">
        <v>4028</v>
      </c>
      <c r="Y189" s="1" t="s">
        <v>2259</v>
      </c>
      <c r="Z189" s="1" t="s">
        <v>97</v>
      </c>
      <c r="AA189" s="1" t="s">
        <v>4028</v>
      </c>
      <c r="AB189" s="1" t="s">
        <v>2259</v>
      </c>
      <c r="AC189" s="1" t="s">
        <v>97</v>
      </c>
      <c r="AD189" s="1">
        <v>7.77</v>
      </c>
      <c r="AE189" s="1" t="s">
        <v>98</v>
      </c>
      <c r="AF189" s="1" t="s">
        <v>4029</v>
      </c>
      <c r="AG189" s="1" t="s">
        <v>312</v>
      </c>
      <c r="AH189" s="1" t="s">
        <v>284</v>
      </c>
      <c r="AI189" s="1" t="s">
        <v>170</v>
      </c>
      <c r="AJ189" s="1">
        <v>69.6</v>
      </c>
      <c r="AK189" s="1">
        <v>7.6</v>
      </c>
      <c r="AL189" s="1"/>
      <c r="AM189" s="1"/>
      <c r="AN189" s="1" t="s">
        <v>2635</v>
      </c>
      <c r="AO189" s="1"/>
      <c r="AP189" s="1"/>
      <c r="AQ189" s="1"/>
      <c r="AR189" s="1"/>
      <c r="AS189" s="1" t="s">
        <v>439</v>
      </c>
      <c r="AT189" s="1" t="s">
        <v>4030</v>
      </c>
      <c r="AU189" s="1" t="s">
        <v>230</v>
      </c>
      <c r="AV189" s="1" t="s">
        <v>441</v>
      </c>
      <c r="AW189" s="1">
        <v>90.2</v>
      </c>
      <c r="AX189" s="1"/>
      <c r="AY189" s="1" t="s">
        <v>258</v>
      </c>
      <c r="AZ189" s="1" t="s">
        <v>4031</v>
      </c>
      <c r="BA189" s="1" t="s">
        <v>578</v>
      </c>
      <c r="BB189" s="1" t="s">
        <v>3661</v>
      </c>
      <c r="BC189" s="1" t="s">
        <v>552</v>
      </c>
      <c r="BD189" s="1" t="s">
        <v>1089</v>
      </c>
      <c r="BE189" s="1">
        <v>64.24</v>
      </c>
      <c r="BF189" s="1">
        <v>7.03</v>
      </c>
      <c r="BG189" s="1"/>
      <c r="BH189" s="1"/>
      <c r="BI189" s="1"/>
      <c r="BJ189" s="1"/>
      <c r="BK189" s="1"/>
      <c r="BL189" s="1"/>
      <c r="BM189" s="1"/>
      <c r="BN189" s="1"/>
      <c r="BO189" s="1" t="s">
        <v>4032</v>
      </c>
      <c r="BP189" s="1"/>
      <c r="BQ189" s="1"/>
      <c r="BR189" s="1" t="s">
        <v>4033</v>
      </c>
      <c r="BS189" s="1">
        <v>55</v>
      </c>
      <c r="BT189" s="1" t="s">
        <v>4034</v>
      </c>
      <c r="BU189" s="1" t="str">
        <f>HYPERLINK("https://nconnect.nicmar.ac.in/storage/profile/ProfilePhoto_P25700177_264735.jpg","Download")</f>
        <v>0</v>
      </c>
      <c r="BV189" s="3"/>
      <c r="BW189" s="3"/>
    </row>
    <row r="190" spans="1:75">
      <c r="A190" s="1" t="s">
        <v>75</v>
      </c>
      <c r="B190" s="1" t="s">
        <v>446</v>
      </c>
      <c r="C190" s="1" t="s">
        <v>4035</v>
      </c>
      <c r="D190" s="1" t="s">
        <v>4036</v>
      </c>
      <c r="E190" s="1" t="s">
        <v>4037</v>
      </c>
      <c r="F190" s="1" t="s">
        <v>4038</v>
      </c>
      <c r="G190" s="1" t="s">
        <v>4039</v>
      </c>
      <c r="H190" s="1" t="s">
        <v>4040</v>
      </c>
      <c r="I190" s="1" t="s">
        <v>4041</v>
      </c>
      <c r="J190" s="1">
        <v>7075506481</v>
      </c>
      <c r="K190" s="1" t="s">
        <v>84</v>
      </c>
      <c r="L190" s="1" t="s">
        <v>4042</v>
      </c>
      <c r="M190" s="1" t="s">
        <v>86</v>
      </c>
      <c r="N190" s="1" t="s">
        <v>3026</v>
      </c>
      <c r="O190" s="1"/>
      <c r="P190" s="1" t="s">
        <v>507</v>
      </c>
      <c r="Q190" s="1" t="s">
        <v>4043</v>
      </c>
      <c r="R190" s="1" t="s">
        <v>4044</v>
      </c>
      <c r="S190" s="1">
        <v>9440019918</v>
      </c>
      <c r="T190" s="1" t="s">
        <v>4045</v>
      </c>
      <c r="U190" s="1" t="s">
        <v>4046</v>
      </c>
      <c r="V190" s="1">
        <v>9441045007</v>
      </c>
      <c r="W190" s="1" t="s">
        <v>1577</v>
      </c>
      <c r="X190" s="1" t="s">
        <v>4047</v>
      </c>
      <c r="Y190" s="1" t="s">
        <v>4048</v>
      </c>
      <c r="Z190" s="1" t="s">
        <v>461</v>
      </c>
      <c r="AA190" s="1" t="s">
        <v>4047</v>
      </c>
      <c r="AB190" s="1" t="s">
        <v>4048</v>
      </c>
      <c r="AC190" s="1" t="s">
        <v>461</v>
      </c>
      <c r="AD190" s="1">
        <v>9.1</v>
      </c>
      <c r="AE190" s="1" t="s">
        <v>98</v>
      </c>
      <c r="AF190" s="1" t="s">
        <v>4049</v>
      </c>
      <c r="AG190" s="1" t="s">
        <v>4050</v>
      </c>
      <c r="AH190" s="1" t="s">
        <v>106</v>
      </c>
      <c r="AI190" s="1" t="s">
        <v>313</v>
      </c>
      <c r="AJ190" s="1">
        <v>95</v>
      </c>
      <c r="AK190" s="1">
        <v>9.5</v>
      </c>
      <c r="AL190" s="1" t="s">
        <v>4051</v>
      </c>
      <c r="AM190" s="1" t="s">
        <v>3034</v>
      </c>
      <c r="AN190" s="1" t="s">
        <v>465</v>
      </c>
      <c r="AO190" s="1" t="s">
        <v>468</v>
      </c>
      <c r="AP190" s="1" t="s">
        <v>847</v>
      </c>
      <c r="AQ190" s="1">
        <v>91.8</v>
      </c>
      <c r="AR190" s="1">
        <v>0</v>
      </c>
      <c r="AS190" s="1"/>
      <c r="AT190" s="1"/>
      <c r="AU190" s="1"/>
      <c r="AV190" s="1"/>
      <c r="AW190" s="1"/>
      <c r="AX190" s="1"/>
      <c r="AY190" s="1" t="s">
        <v>4052</v>
      </c>
      <c r="AZ190" s="1" t="s">
        <v>4053</v>
      </c>
      <c r="BA190" s="1" t="s">
        <v>466</v>
      </c>
      <c r="BB190" s="1" t="s">
        <v>467</v>
      </c>
      <c r="BC190" s="1" t="s">
        <v>441</v>
      </c>
      <c r="BD190" s="1" t="s">
        <v>553</v>
      </c>
      <c r="BE190" s="1">
        <v>78.1</v>
      </c>
      <c r="BF190" s="1">
        <v>8.31</v>
      </c>
      <c r="BG190" s="1"/>
      <c r="BH190" s="1"/>
      <c r="BI190" s="1"/>
      <c r="BJ190" s="1"/>
      <c r="BK190" s="1"/>
      <c r="BL190" s="1"/>
      <c r="BM190" s="1"/>
      <c r="BN190" s="1"/>
      <c r="BO190" s="1" t="s">
        <v>4054</v>
      </c>
      <c r="BP190" s="1"/>
      <c r="BQ190" s="1"/>
      <c r="BR190" s="1" t="s">
        <v>4055</v>
      </c>
      <c r="BS190" s="1">
        <v>15</v>
      </c>
      <c r="BT190" s="1" t="s">
        <v>4056</v>
      </c>
      <c r="BU190" s="1" t="str">
        <f>HYPERLINK("https://nconnect.nicmar.ac.in/storage/profile/ProfilePhoto_P25700178_586319.jpg","Download")</f>
        <v>0</v>
      </c>
      <c r="BV190" s="3"/>
      <c r="BW190" s="3"/>
    </row>
    <row r="191" spans="1:75">
      <c r="A191" s="1" t="s">
        <v>75</v>
      </c>
      <c r="B191" s="1" t="s">
        <v>446</v>
      </c>
      <c r="C191" s="1" t="s">
        <v>4057</v>
      </c>
      <c r="D191" s="1" t="s">
        <v>4058</v>
      </c>
      <c r="E191" s="1"/>
      <c r="F191" s="1" t="s">
        <v>587</v>
      </c>
      <c r="G191" s="1" t="s">
        <v>4059</v>
      </c>
      <c r="H191" s="1" t="s">
        <v>4060</v>
      </c>
      <c r="I191" s="1" t="s">
        <v>4061</v>
      </c>
      <c r="J191" s="1">
        <v>7349289566</v>
      </c>
      <c r="K191" s="1" t="s">
        <v>153</v>
      </c>
      <c r="L191" s="1" t="s">
        <v>4062</v>
      </c>
      <c r="M191" s="1" t="s">
        <v>86</v>
      </c>
      <c r="N191" s="1" t="s">
        <v>4063</v>
      </c>
      <c r="O191" s="1"/>
      <c r="P191" s="1" t="s">
        <v>507</v>
      </c>
      <c r="Q191" s="1" t="s">
        <v>4064</v>
      </c>
      <c r="R191" s="1" t="s">
        <v>4065</v>
      </c>
      <c r="S191" s="1">
        <v>9986356499</v>
      </c>
      <c r="T191" s="1" t="s">
        <v>4066</v>
      </c>
      <c r="U191" s="1" t="s">
        <v>4067</v>
      </c>
      <c r="V191" s="1">
        <v>8217482200</v>
      </c>
      <c r="W191" s="1" t="s">
        <v>278</v>
      </c>
      <c r="X191" s="1" t="s">
        <v>4068</v>
      </c>
      <c r="Y191" s="1" t="s">
        <v>4069</v>
      </c>
      <c r="Z191" s="1" t="s">
        <v>1210</v>
      </c>
      <c r="AA191" s="1" t="s">
        <v>4068</v>
      </c>
      <c r="AB191" s="1" t="s">
        <v>4069</v>
      </c>
      <c r="AC191" s="1" t="s">
        <v>1210</v>
      </c>
      <c r="AD191" s="1">
        <v>8.13</v>
      </c>
      <c r="AE191" s="1" t="s">
        <v>98</v>
      </c>
      <c r="AF191" s="1" t="s">
        <v>4070</v>
      </c>
      <c r="AG191" s="1" t="s">
        <v>727</v>
      </c>
      <c r="AH191" s="1" t="s">
        <v>170</v>
      </c>
      <c r="AI191" s="1" t="s">
        <v>490</v>
      </c>
      <c r="AJ191" s="1">
        <v>76.48</v>
      </c>
      <c r="AK191" s="1"/>
      <c r="AL191" s="1" t="s">
        <v>4071</v>
      </c>
      <c r="AM191" s="1" t="s">
        <v>1216</v>
      </c>
      <c r="AN191" s="1" t="s">
        <v>575</v>
      </c>
      <c r="AO191" s="1" t="s">
        <v>315</v>
      </c>
      <c r="AP191" s="1" t="s">
        <v>603</v>
      </c>
      <c r="AQ191" s="1">
        <v>61.83</v>
      </c>
      <c r="AR191" s="1"/>
      <c r="AS191" s="1"/>
      <c r="AT191" s="1"/>
      <c r="AU191" s="1"/>
      <c r="AV191" s="1"/>
      <c r="AW191" s="1"/>
      <c r="AX191" s="1"/>
      <c r="AY191" s="1" t="s">
        <v>4072</v>
      </c>
      <c r="AZ191" s="1" t="s">
        <v>4072</v>
      </c>
      <c r="BA191" s="1" t="s">
        <v>466</v>
      </c>
      <c r="BB191" s="1" t="s">
        <v>467</v>
      </c>
      <c r="BC191" s="1" t="s">
        <v>233</v>
      </c>
      <c r="BD191" s="1" t="s">
        <v>1132</v>
      </c>
      <c r="BE191" s="1">
        <v>76.2</v>
      </c>
      <c r="BF191" s="1">
        <v>7.62</v>
      </c>
      <c r="BG191" s="1"/>
      <c r="BH191" s="1"/>
      <c r="BI191" s="1"/>
      <c r="BJ191" s="1"/>
      <c r="BK191" s="1"/>
      <c r="BL191" s="1"/>
      <c r="BM191" s="1"/>
      <c r="BN191" s="1"/>
      <c r="BO191" s="1" t="s">
        <v>4073</v>
      </c>
      <c r="BP191" s="1"/>
      <c r="BQ191" s="1"/>
      <c r="BR191" s="1" t="s">
        <v>4074</v>
      </c>
      <c r="BS191" s="1">
        <v>13</v>
      </c>
      <c r="BT191" s="1"/>
      <c r="BU191" s="1" t="str">
        <f>HYPERLINK("https://nconnect.nicmar.ac.in/storage/profile/ProfilePhoto_P25700179_795823.jpg","Download")</f>
        <v>0</v>
      </c>
      <c r="BV191" s="3"/>
      <c r="BW191" s="3"/>
    </row>
    <row r="192" spans="1:75">
      <c r="A192" s="1" t="s">
        <v>75</v>
      </c>
      <c r="B192" s="1" t="s">
        <v>446</v>
      </c>
      <c r="C192" s="1" t="s">
        <v>4075</v>
      </c>
      <c r="D192" s="1" t="s">
        <v>1893</v>
      </c>
      <c r="E192" s="1" t="s">
        <v>4076</v>
      </c>
      <c r="F192" s="1" t="s">
        <v>4077</v>
      </c>
      <c r="G192" s="1" t="s">
        <v>4078</v>
      </c>
      <c r="H192" s="1" t="s">
        <v>4079</v>
      </c>
      <c r="I192" s="1" t="s">
        <v>4080</v>
      </c>
      <c r="J192" s="1">
        <v>7620386685</v>
      </c>
      <c r="K192" s="1" t="s">
        <v>84</v>
      </c>
      <c r="L192" s="1" t="s">
        <v>4081</v>
      </c>
      <c r="M192" s="1" t="s">
        <v>86</v>
      </c>
      <c r="N192" s="1" t="s">
        <v>4082</v>
      </c>
      <c r="O192" s="1"/>
      <c r="P192" s="1" t="s">
        <v>507</v>
      </c>
      <c r="Q192" s="1" t="s">
        <v>4083</v>
      </c>
      <c r="R192" s="1" t="s">
        <v>4084</v>
      </c>
      <c r="S192" s="1">
        <v>7385016938</v>
      </c>
      <c r="T192" s="1" t="s">
        <v>4085</v>
      </c>
      <c r="U192" s="1" t="s">
        <v>4086</v>
      </c>
      <c r="V192" s="1">
        <v>8080758346</v>
      </c>
      <c r="W192" s="1" t="s">
        <v>4087</v>
      </c>
      <c r="X192" s="1" t="s">
        <v>4088</v>
      </c>
      <c r="Y192" s="1" t="s">
        <v>163</v>
      </c>
      <c r="Z192" s="1" t="s">
        <v>97</v>
      </c>
      <c r="AA192" s="1" t="s">
        <v>4088</v>
      </c>
      <c r="AB192" s="1" t="s">
        <v>163</v>
      </c>
      <c r="AC192" s="1" t="s">
        <v>97</v>
      </c>
      <c r="AD192" s="1">
        <v>8.74</v>
      </c>
      <c r="AE192" s="1" t="s">
        <v>98</v>
      </c>
      <c r="AF192" s="1" t="s">
        <v>4089</v>
      </c>
      <c r="AG192" s="1" t="s">
        <v>4090</v>
      </c>
      <c r="AH192" s="1" t="s">
        <v>167</v>
      </c>
      <c r="AI192" s="1" t="s">
        <v>490</v>
      </c>
      <c r="AJ192" s="1">
        <v>73.6</v>
      </c>
      <c r="AK192" s="1"/>
      <c r="AL192" s="1" t="s">
        <v>4091</v>
      </c>
      <c r="AM192" s="1" t="s">
        <v>4090</v>
      </c>
      <c r="AN192" s="1"/>
      <c r="AO192" s="1" t="s">
        <v>106</v>
      </c>
      <c r="AP192" s="1" t="s">
        <v>603</v>
      </c>
      <c r="AQ192" s="1">
        <v>63.85</v>
      </c>
      <c r="AR192" s="1"/>
      <c r="AS192" s="1"/>
      <c r="AT192" s="1"/>
      <c r="AU192" s="1"/>
      <c r="AV192" s="1"/>
      <c r="AW192" s="1"/>
      <c r="AX192" s="1"/>
      <c r="AY192" s="1" t="s">
        <v>4092</v>
      </c>
      <c r="AZ192" s="1" t="s">
        <v>1605</v>
      </c>
      <c r="BA192" s="1"/>
      <c r="BB192" s="1"/>
      <c r="BC192" s="1" t="s">
        <v>178</v>
      </c>
      <c r="BD192" s="1" t="s">
        <v>4093</v>
      </c>
      <c r="BE192" s="1">
        <v>78.27</v>
      </c>
      <c r="BF192" s="1">
        <v>9.21</v>
      </c>
      <c r="BG192" s="1"/>
      <c r="BH192" s="1"/>
      <c r="BI192" s="1"/>
      <c r="BJ192" s="1"/>
      <c r="BK192" s="1"/>
      <c r="BL192" s="1"/>
      <c r="BM192" s="1"/>
      <c r="BN192" s="1"/>
      <c r="BO192" s="1" t="s">
        <v>4094</v>
      </c>
      <c r="BP192" s="1" t="s">
        <v>4095</v>
      </c>
      <c r="BQ192" s="1" t="s">
        <v>1070</v>
      </c>
      <c r="BR192" s="1" t="s">
        <v>4096</v>
      </c>
      <c r="BS192" s="1">
        <v>39</v>
      </c>
      <c r="BT192" s="1" t="s">
        <v>4097</v>
      </c>
      <c r="BU192" s="1" t="str">
        <f>HYPERLINK("https://nconnect.nicmar.ac.in/storage/profile/ProfilePhoto_P25700180_516437.jpg","Download")</f>
        <v>0</v>
      </c>
      <c r="BV192" s="3"/>
      <c r="BW192" s="3"/>
    </row>
    <row r="193" spans="1:75">
      <c r="A193" s="1" t="s">
        <v>75</v>
      </c>
      <c r="B193" s="1" t="s">
        <v>446</v>
      </c>
      <c r="C193" s="1" t="s">
        <v>4098</v>
      </c>
      <c r="D193" s="1" t="s">
        <v>4099</v>
      </c>
      <c r="E193" s="1"/>
      <c r="F193" s="1" t="s">
        <v>4100</v>
      </c>
      <c r="G193" s="1" t="s">
        <v>4101</v>
      </c>
      <c r="H193" s="1" t="s">
        <v>4102</v>
      </c>
      <c r="I193" s="1" t="s">
        <v>4103</v>
      </c>
      <c r="J193" s="1">
        <v>7558098383</v>
      </c>
      <c r="K193" s="1" t="s">
        <v>84</v>
      </c>
      <c r="L193" s="1" t="s">
        <v>3708</v>
      </c>
      <c r="M193" s="1" t="s">
        <v>86</v>
      </c>
      <c r="N193" s="1" t="s">
        <v>2393</v>
      </c>
      <c r="O193" s="1"/>
      <c r="P193" s="1" t="s">
        <v>481</v>
      </c>
      <c r="Q193" s="1" t="s">
        <v>4104</v>
      </c>
      <c r="R193" s="1" t="s">
        <v>4105</v>
      </c>
      <c r="S193" s="1">
        <v>9895706823</v>
      </c>
      <c r="T193" s="1" t="s">
        <v>92</v>
      </c>
      <c r="U193" s="1" t="s">
        <v>4106</v>
      </c>
      <c r="V193" s="1">
        <v>9446340119</v>
      </c>
      <c r="W193" s="1" t="s">
        <v>278</v>
      </c>
      <c r="X193" s="1" t="s">
        <v>4107</v>
      </c>
      <c r="Y193" s="1" t="s">
        <v>701</v>
      </c>
      <c r="Z193" s="1" t="s">
        <v>130</v>
      </c>
      <c r="AA193" s="1" t="s">
        <v>4107</v>
      </c>
      <c r="AB193" s="1" t="s">
        <v>701</v>
      </c>
      <c r="AC193" s="1" t="s">
        <v>130</v>
      </c>
      <c r="AD193" s="1">
        <v>7.49</v>
      </c>
      <c r="AE193" s="1" t="s">
        <v>98</v>
      </c>
      <c r="AF193" s="1" t="s">
        <v>4108</v>
      </c>
      <c r="AG193" s="1" t="s">
        <v>312</v>
      </c>
      <c r="AH193" s="1" t="s">
        <v>106</v>
      </c>
      <c r="AI193" s="1" t="s">
        <v>313</v>
      </c>
      <c r="AJ193" s="1">
        <v>80.8</v>
      </c>
      <c r="AK193" s="1"/>
      <c r="AL193" s="1" t="s">
        <v>4108</v>
      </c>
      <c r="AM193" s="1" t="s">
        <v>312</v>
      </c>
      <c r="AN193" s="1" t="s">
        <v>465</v>
      </c>
      <c r="AO193" s="1" t="s">
        <v>603</v>
      </c>
      <c r="AP193" s="1" t="s">
        <v>549</v>
      </c>
      <c r="AQ193" s="1">
        <v>83</v>
      </c>
      <c r="AR193" s="1"/>
      <c r="AS193" s="1"/>
      <c r="AT193" s="1"/>
      <c r="AU193" s="1"/>
      <c r="AV193" s="1"/>
      <c r="AW193" s="1"/>
      <c r="AX193" s="1"/>
      <c r="AY193" s="1" t="s">
        <v>4109</v>
      </c>
      <c r="AZ193" s="1" t="s">
        <v>4110</v>
      </c>
      <c r="BA193" s="1" t="s">
        <v>466</v>
      </c>
      <c r="BB193" s="1" t="s">
        <v>467</v>
      </c>
      <c r="BC193" s="1" t="s">
        <v>441</v>
      </c>
      <c r="BD193" s="1" t="s">
        <v>553</v>
      </c>
      <c r="BE193" s="1">
        <v>66.1</v>
      </c>
      <c r="BF193" s="1">
        <v>6.61</v>
      </c>
      <c r="BG193" s="1"/>
      <c r="BH193" s="1"/>
      <c r="BI193" s="1"/>
      <c r="BJ193" s="1"/>
      <c r="BK193" s="1"/>
      <c r="BL193" s="1"/>
      <c r="BM193" s="1"/>
      <c r="BN193" s="1"/>
      <c r="BO193" s="1" t="s">
        <v>4111</v>
      </c>
      <c r="BP193" s="1"/>
      <c r="BQ193" s="1"/>
      <c r="BR193" s="1" t="s">
        <v>4112</v>
      </c>
      <c r="BS193" s="1">
        <v>10</v>
      </c>
      <c r="BT193" s="1"/>
      <c r="BU193" s="1" t="str">
        <f>HYPERLINK("https://nconnect.nicmar.ac.in/storage/profile/ProfilePhoto_P25700181_536927.jpg","Download")</f>
        <v>0</v>
      </c>
      <c r="BV193" s="3"/>
      <c r="BW193" s="3"/>
    </row>
    <row r="194" spans="1:75">
      <c r="A194" s="1" t="s">
        <v>75</v>
      </c>
      <c r="B194" s="1" t="s">
        <v>446</v>
      </c>
      <c r="C194" s="1" t="s">
        <v>4113</v>
      </c>
      <c r="D194" s="1" t="s">
        <v>116</v>
      </c>
      <c r="E194" s="1"/>
      <c r="F194" s="1" t="s">
        <v>4114</v>
      </c>
      <c r="G194" s="1" t="s">
        <v>4115</v>
      </c>
      <c r="H194" s="1" t="s">
        <v>4116</v>
      </c>
      <c r="I194" s="1" t="s">
        <v>4117</v>
      </c>
      <c r="J194" s="1">
        <v>6372758397</v>
      </c>
      <c r="K194" s="1" t="s">
        <v>153</v>
      </c>
      <c r="L194" s="1" t="s">
        <v>4118</v>
      </c>
      <c r="M194" s="1" t="s">
        <v>86</v>
      </c>
      <c r="N194" s="1" t="s">
        <v>881</v>
      </c>
      <c r="O194" s="1"/>
      <c r="P194" s="1" t="s">
        <v>507</v>
      </c>
      <c r="Q194" s="1" t="s">
        <v>4119</v>
      </c>
      <c r="R194" s="1" t="s">
        <v>4120</v>
      </c>
      <c r="S194" s="1">
        <v>6370177381</v>
      </c>
      <c r="T194" s="1" t="s">
        <v>4121</v>
      </c>
      <c r="U194" s="1" t="s">
        <v>4122</v>
      </c>
      <c r="V194" s="1">
        <v>7008527945</v>
      </c>
      <c r="W194" s="1" t="s">
        <v>541</v>
      </c>
      <c r="X194" s="1" t="s">
        <v>4123</v>
      </c>
      <c r="Y194" s="1" t="s">
        <v>4124</v>
      </c>
      <c r="Z194" s="1" t="s">
        <v>865</v>
      </c>
      <c r="AA194" s="1" t="s">
        <v>4123</v>
      </c>
      <c r="AB194" s="1" t="s">
        <v>4124</v>
      </c>
      <c r="AC194" s="1" t="s">
        <v>865</v>
      </c>
      <c r="AD194" s="1">
        <v>8.82</v>
      </c>
      <c r="AE194" s="1" t="s">
        <v>98</v>
      </c>
      <c r="AF194" s="1" t="s">
        <v>4125</v>
      </c>
      <c r="AG194" s="1" t="s">
        <v>312</v>
      </c>
      <c r="AH194" s="1" t="s">
        <v>1111</v>
      </c>
      <c r="AI194" s="1" t="s">
        <v>200</v>
      </c>
      <c r="AJ194" s="1">
        <v>87.4</v>
      </c>
      <c r="AK194" s="1">
        <v>9.2</v>
      </c>
      <c r="AL194" s="1" t="s">
        <v>4126</v>
      </c>
      <c r="AM194" s="1" t="s">
        <v>312</v>
      </c>
      <c r="AN194" s="1" t="s">
        <v>465</v>
      </c>
      <c r="AO194" s="1" t="s">
        <v>174</v>
      </c>
      <c r="AP194" s="1" t="s">
        <v>313</v>
      </c>
      <c r="AQ194" s="1">
        <v>70.4</v>
      </c>
      <c r="AR194" s="1">
        <v>6.6</v>
      </c>
      <c r="AS194" s="1"/>
      <c r="AT194" s="1"/>
      <c r="AU194" s="1"/>
      <c r="AV194" s="1"/>
      <c r="AW194" s="1"/>
      <c r="AX194" s="1"/>
      <c r="AY194" s="1" t="s">
        <v>4127</v>
      </c>
      <c r="AZ194" s="1" t="s">
        <v>4128</v>
      </c>
      <c r="BA194" s="1" t="s">
        <v>682</v>
      </c>
      <c r="BB194" s="1" t="s">
        <v>1561</v>
      </c>
      <c r="BC194" s="1" t="s">
        <v>109</v>
      </c>
      <c r="BD194" s="1" t="s">
        <v>418</v>
      </c>
      <c r="BE194" s="1">
        <v>80</v>
      </c>
      <c r="BF194" s="1">
        <v>8.5</v>
      </c>
      <c r="BG194" s="1"/>
      <c r="BH194" s="1"/>
      <c r="BI194" s="1"/>
      <c r="BJ194" s="1"/>
      <c r="BK194" s="1"/>
      <c r="BL194" s="1"/>
      <c r="BM194" s="1"/>
      <c r="BN194" s="1"/>
      <c r="BO194" s="1" t="s">
        <v>4129</v>
      </c>
      <c r="BP194" s="1" t="s">
        <v>4130</v>
      </c>
      <c r="BQ194" s="1" t="s">
        <v>1043</v>
      </c>
      <c r="BR194" s="1" t="s">
        <v>4131</v>
      </c>
      <c r="BS194" s="1">
        <v>60</v>
      </c>
      <c r="BT194" s="1"/>
      <c r="BU194" s="1" t="str">
        <f>HYPERLINK("https://nconnect.nicmar.ac.in/storage/profile/ProfilePhoto_P25700182_253687.jpg","Download")</f>
        <v>0</v>
      </c>
      <c r="BV194" s="3"/>
      <c r="BW194" s="3"/>
    </row>
    <row r="195" spans="1:75">
      <c r="A195" s="1" t="s">
        <v>75</v>
      </c>
      <c r="B195" s="1" t="s">
        <v>446</v>
      </c>
      <c r="C195" s="1" t="s">
        <v>4132</v>
      </c>
      <c r="D195" s="1" t="s">
        <v>457</v>
      </c>
      <c r="E195" s="1"/>
      <c r="F195" s="1" t="s">
        <v>4133</v>
      </c>
      <c r="G195" s="1" t="s">
        <v>4134</v>
      </c>
      <c r="H195" s="1" t="s">
        <v>4135</v>
      </c>
      <c r="I195" s="1" t="s">
        <v>4136</v>
      </c>
      <c r="J195" s="1">
        <v>9100203588</v>
      </c>
      <c r="K195" s="1" t="s">
        <v>84</v>
      </c>
      <c r="L195" s="1" t="s">
        <v>4137</v>
      </c>
      <c r="M195" s="1" t="s">
        <v>86</v>
      </c>
      <c r="N195" s="1" t="s">
        <v>2627</v>
      </c>
      <c r="O195" s="1"/>
      <c r="P195" s="1" t="s">
        <v>507</v>
      </c>
      <c r="Q195" s="1" t="s">
        <v>4138</v>
      </c>
      <c r="R195" s="1" t="s">
        <v>4139</v>
      </c>
      <c r="S195" s="1">
        <v>9640353310</v>
      </c>
      <c r="T195" s="1" t="s">
        <v>159</v>
      </c>
      <c r="U195" s="1" t="s">
        <v>4140</v>
      </c>
      <c r="V195" s="1">
        <v>7337097087</v>
      </c>
      <c r="W195" s="1" t="s">
        <v>161</v>
      </c>
      <c r="X195" s="1" t="s">
        <v>4141</v>
      </c>
      <c r="Y195" s="1" t="s">
        <v>460</v>
      </c>
      <c r="Z195" s="1" t="s">
        <v>461</v>
      </c>
      <c r="AA195" s="1" t="s">
        <v>4141</v>
      </c>
      <c r="AB195" s="1" t="s">
        <v>460</v>
      </c>
      <c r="AC195" s="1" t="s">
        <v>461</v>
      </c>
      <c r="AD195" s="1">
        <v>8.74</v>
      </c>
      <c r="AE195" s="1" t="s">
        <v>98</v>
      </c>
      <c r="AF195" s="1" t="s">
        <v>4142</v>
      </c>
      <c r="AG195" s="1" t="s">
        <v>4143</v>
      </c>
      <c r="AH195" s="1" t="s">
        <v>167</v>
      </c>
      <c r="AI195" s="1" t="s">
        <v>200</v>
      </c>
      <c r="AJ195" s="1">
        <v>92</v>
      </c>
      <c r="AK195" s="1">
        <v>9.2</v>
      </c>
      <c r="AL195" s="1" t="s">
        <v>4144</v>
      </c>
      <c r="AM195" s="1" t="s">
        <v>3034</v>
      </c>
      <c r="AN195" s="1"/>
      <c r="AO195" s="1" t="s">
        <v>170</v>
      </c>
      <c r="AP195" s="1" t="s">
        <v>414</v>
      </c>
      <c r="AQ195" s="1">
        <v>96.7</v>
      </c>
      <c r="AR195" s="1">
        <v>0</v>
      </c>
      <c r="AS195" s="1"/>
      <c r="AT195" s="1"/>
      <c r="AU195" s="1"/>
      <c r="AV195" s="1"/>
      <c r="AW195" s="1"/>
      <c r="AX195" s="1"/>
      <c r="AY195" s="1" t="s">
        <v>4145</v>
      </c>
      <c r="AZ195" s="1" t="s">
        <v>4146</v>
      </c>
      <c r="BA195" s="1"/>
      <c r="BB195" s="1"/>
      <c r="BC195" s="1" t="s">
        <v>206</v>
      </c>
      <c r="BD195" s="1" t="s">
        <v>955</v>
      </c>
      <c r="BE195" s="1">
        <v>78.6</v>
      </c>
      <c r="BF195" s="1">
        <v>8.36</v>
      </c>
      <c r="BG195" s="1"/>
      <c r="BH195" s="1"/>
      <c r="BI195" s="1"/>
      <c r="BJ195" s="1"/>
      <c r="BK195" s="1"/>
      <c r="BL195" s="1"/>
      <c r="BM195" s="1"/>
      <c r="BN195" s="1"/>
      <c r="BO195" s="1" t="s">
        <v>4147</v>
      </c>
      <c r="BP195" s="1" t="s">
        <v>4148</v>
      </c>
      <c r="BQ195" s="1" t="s">
        <v>4149</v>
      </c>
      <c r="BR195" s="1" t="s">
        <v>4150</v>
      </c>
      <c r="BS195" s="1">
        <v>17</v>
      </c>
      <c r="BT195" s="1" t="s">
        <v>3596</v>
      </c>
      <c r="BU195" s="1" t="str">
        <f>HYPERLINK("https://nconnect.nicmar.ac.in/storage/profile/ProfilePhoto_P25700183_831792.jpg","Download")</f>
        <v>0</v>
      </c>
      <c r="BV195" s="3"/>
      <c r="BW195" s="4">
        <v>1</v>
      </c>
    </row>
    <row r="196" spans="1:75">
      <c r="A196" s="1" t="s">
        <v>75</v>
      </c>
      <c r="B196" s="1" t="s">
        <v>446</v>
      </c>
      <c r="C196" s="1" t="s">
        <v>4151</v>
      </c>
      <c r="D196" s="1" t="s">
        <v>4152</v>
      </c>
      <c r="E196" s="1" t="s">
        <v>4153</v>
      </c>
      <c r="F196" s="1" t="s">
        <v>4154</v>
      </c>
      <c r="G196" s="1" t="s">
        <v>4155</v>
      </c>
      <c r="H196" s="1" t="s">
        <v>4156</v>
      </c>
      <c r="I196" s="1" t="s">
        <v>4157</v>
      </c>
      <c r="J196" s="1">
        <v>9359994587</v>
      </c>
      <c r="K196" s="1" t="s">
        <v>84</v>
      </c>
      <c r="L196" s="1" t="s">
        <v>4158</v>
      </c>
      <c r="M196" s="1" t="s">
        <v>86</v>
      </c>
      <c r="N196" s="1" t="s">
        <v>1163</v>
      </c>
      <c r="O196" s="1"/>
      <c r="P196" s="1" t="s">
        <v>1028</v>
      </c>
      <c r="Q196" s="1" t="s">
        <v>4159</v>
      </c>
      <c r="R196" s="1" t="s">
        <v>4153</v>
      </c>
      <c r="S196" s="1">
        <v>9822654343</v>
      </c>
      <c r="T196" s="1" t="s">
        <v>771</v>
      </c>
      <c r="U196" s="1" t="s">
        <v>4160</v>
      </c>
      <c r="V196" s="1">
        <v>9422395100</v>
      </c>
      <c r="W196" s="1" t="s">
        <v>1257</v>
      </c>
      <c r="X196" s="1" t="s">
        <v>4161</v>
      </c>
      <c r="Y196" s="1" t="s">
        <v>196</v>
      </c>
      <c r="Z196" s="1" t="s">
        <v>97</v>
      </c>
      <c r="AA196" s="1" t="s">
        <v>4161</v>
      </c>
      <c r="AB196" s="1" t="s">
        <v>196</v>
      </c>
      <c r="AC196" s="1" t="s">
        <v>97</v>
      </c>
      <c r="AD196" s="1">
        <v>8.44</v>
      </c>
      <c r="AE196" s="1" t="s">
        <v>98</v>
      </c>
      <c r="AF196" s="1" t="s">
        <v>4162</v>
      </c>
      <c r="AG196" s="1" t="s">
        <v>4163</v>
      </c>
      <c r="AH196" s="1" t="s">
        <v>167</v>
      </c>
      <c r="AI196" s="1" t="s">
        <v>286</v>
      </c>
      <c r="AJ196" s="1">
        <v>78.2</v>
      </c>
      <c r="AK196" s="1"/>
      <c r="AL196" s="1" t="s">
        <v>4164</v>
      </c>
      <c r="AM196" s="1" t="s">
        <v>4165</v>
      </c>
      <c r="AN196" s="1" t="s">
        <v>575</v>
      </c>
      <c r="AO196" s="1" t="s">
        <v>438</v>
      </c>
      <c r="AP196" s="1" t="s">
        <v>365</v>
      </c>
      <c r="AQ196" s="1">
        <v>60.15</v>
      </c>
      <c r="AR196" s="1"/>
      <c r="AS196" s="1"/>
      <c r="AT196" s="1"/>
      <c r="AU196" s="1"/>
      <c r="AV196" s="1"/>
      <c r="AW196" s="1"/>
      <c r="AX196" s="1"/>
      <c r="AY196" s="1" t="s">
        <v>4166</v>
      </c>
      <c r="AZ196" s="1" t="s">
        <v>4167</v>
      </c>
      <c r="BA196" s="1" t="s">
        <v>578</v>
      </c>
      <c r="BB196" s="1" t="s">
        <v>467</v>
      </c>
      <c r="BC196" s="1" t="s">
        <v>871</v>
      </c>
      <c r="BD196" s="1" t="s">
        <v>848</v>
      </c>
      <c r="BE196" s="1">
        <v>70.7</v>
      </c>
      <c r="BF196" s="1">
        <v>7.82</v>
      </c>
      <c r="BG196" s="1"/>
      <c r="BH196" s="1"/>
      <c r="BI196" s="1"/>
      <c r="BJ196" s="1"/>
      <c r="BK196" s="1"/>
      <c r="BL196" s="1"/>
      <c r="BM196" s="1"/>
      <c r="BN196" s="1"/>
      <c r="BO196" s="1" t="s">
        <v>4168</v>
      </c>
      <c r="BP196" s="1"/>
      <c r="BQ196" s="1"/>
      <c r="BR196" s="1" t="s">
        <v>4169</v>
      </c>
      <c r="BS196" s="1">
        <v>14</v>
      </c>
      <c r="BT196" s="1" t="s">
        <v>4170</v>
      </c>
      <c r="BU196" s="1" t="str">
        <f>HYPERLINK("https://nconnect.nicmar.ac.in/storage/profile/ProfilePhoto_P25700184_536872.jpg","Download")</f>
        <v>0</v>
      </c>
      <c r="BV196" s="3"/>
      <c r="BW196" s="3"/>
    </row>
    <row r="197" spans="1:75">
      <c r="A197" s="1" t="s">
        <v>75</v>
      </c>
      <c r="B197" s="1" t="s">
        <v>446</v>
      </c>
      <c r="C197" s="1" t="s">
        <v>4171</v>
      </c>
      <c r="D197" s="1" t="s">
        <v>4172</v>
      </c>
      <c r="E197" s="1"/>
      <c r="F197" s="1" t="s">
        <v>4173</v>
      </c>
      <c r="G197" s="1" t="s">
        <v>4174</v>
      </c>
      <c r="H197" s="1" t="s">
        <v>4175</v>
      </c>
      <c r="I197" s="1" t="s">
        <v>4176</v>
      </c>
      <c r="J197" s="1">
        <v>8660189311</v>
      </c>
      <c r="K197" s="1" t="s">
        <v>153</v>
      </c>
      <c r="L197" s="1" t="s">
        <v>4177</v>
      </c>
      <c r="M197" s="1" t="s">
        <v>86</v>
      </c>
      <c r="N197" s="1" t="s">
        <v>4178</v>
      </c>
      <c r="O197" s="1" t="s">
        <v>4179</v>
      </c>
      <c r="P197" s="1" t="s">
        <v>219</v>
      </c>
      <c r="Q197" s="1" t="s">
        <v>4180</v>
      </c>
      <c r="R197" s="1" t="s">
        <v>4181</v>
      </c>
      <c r="S197" s="1">
        <v>9620192474</v>
      </c>
      <c r="T197" s="1" t="s">
        <v>1495</v>
      </c>
      <c r="U197" s="1" t="s">
        <v>4182</v>
      </c>
      <c r="V197" s="1">
        <v>9480050762</v>
      </c>
      <c r="W197" s="1" t="s">
        <v>541</v>
      </c>
      <c r="X197" s="1" t="s">
        <v>4183</v>
      </c>
      <c r="Y197" s="1" t="s">
        <v>3132</v>
      </c>
      <c r="Z197" s="1" t="s">
        <v>1210</v>
      </c>
      <c r="AA197" s="1" t="s">
        <v>4183</v>
      </c>
      <c r="AB197" s="1" t="s">
        <v>3132</v>
      </c>
      <c r="AC197" s="1" t="s">
        <v>1210</v>
      </c>
      <c r="AD197" s="1">
        <v>8.87</v>
      </c>
      <c r="AE197" s="1" t="s">
        <v>98</v>
      </c>
      <c r="AF197" s="1" t="s">
        <v>4184</v>
      </c>
      <c r="AG197" s="1" t="s">
        <v>312</v>
      </c>
      <c r="AH197" s="1" t="s">
        <v>167</v>
      </c>
      <c r="AI197" s="1" t="s">
        <v>170</v>
      </c>
      <c r="AJ197" s="1">
        <v>91.2</v>
      </c>
      <c r="AK197" s="1">
        <v>9.6</v>
      </c>
      <c r="AL197" s="1" t="s">
        <v>4185</v>
      </c>
      <c r="AM197" s="1" t="s">
        <v>4186</v>
      </c>
      <c r="AN197" s="1" t="s">
        <v>575</v>
      </c>
      <c r="AO197" s="1" t="s">
        <v>170</v>
      </c>
      <c r="AP197" s="1" t="s">
        <v>547</v>
      </c>
      <c r="AQ197" s="1">
        <v>73.1</v>
      </c>
      <c r="AR197" s="1"/>
      <c r="AS197" s="1"/>
      <c r="AT197" s="1"/>
      <c r="AU197" s="1"/>
      <c r="AV197" s="1"/>
      <c r="AW197" s="1"/>
      <c r="AX197" s="1"/>
      <c r="AY197" s="1" t="s">
        <v>4187</v>
      </c>
      <c r="AZ197" s="1" t="s">
        <v>4188</v>
      </c>
      <c r="BA197" s="1" t="s">
        <v>682</v>
      </c>
      <c r="BB197" s="1" t="s">
        <v>1561</v>
      </c>
      <c r="BC197" s="1" t="s">
        <v>315</v>
      </c>
      <c r="BD197" s="1" t="s">
        <v>1089</v>
      </c>
      <c r="BE197" s="1">
        <v>74.4</v>
      </c>
      <c r="BF197" s="1">
        <v>8.19</v>
      </c>
      <c r="BG197" s="1"/>
      <c r="BH197" s="1"/>
      <c r="BI197" s="1"/>
      <c r="BJ197" s="1"/>
      <c r="BK197" s="1"/>
      <c r="BL197" s="1"/>
      <c r="BM197" s="1"/>
      <c r="BN197" s="1"/>
      <c r="BO197" s="1" t="s">
        <v>4189</v>
      </c>
      <c r="BP197" s="1" t="s">
        <v>4190</v>
      </c>
      <c r="BQ197" s="1" t="s">
        <v>292</v>
      </c>
      <c r="BR197" s="1" t="s">
        <v>4191</v>
      </c>
      <c r="BS197" s="1">
        <v>24</v>
      </c>
      <c r="BT197" s="1"/>
      <c r="BU197" s="1" t="str">
        <f>HYPERLINK("https://nconnect.nicmar.ac.in/storage/profile/ProfilePhoto_P25700185_527946.jpg","Download")</f>
        <v>0</v>
      </c>
      <c r="BV197" s="3"/>
      <c r="BW197" s="3"/>
    </row>
    <row r="198" spans="1:75">
      <c r="A198" s="1" t="s">
        <v>75</v>
      </c>
      <c r="B198" s="1" t="s">
        <v>446</v>
      </c>
      <c r="C198" s="1" t="s">
        <v>4192</v>
      </c>
      <c r="D198" s="1" t="s">
        <v>761</v>
      </c>
      <c r="E198" s="1" t="s">
        <v>4193</v>
      </c>
      <c r="F198" s="1" t="s">
        <v>4194</v>
      </c>
      <c r="G198" s="1" t="s">
        <v>4195</v>
      </c>
      <c r="H198" s="1" t="s">
        <v>4196</v>
      </c>
      <c r="I198" s="1" t="s">
        <v>4197</v>
      </c>
      <c r="J198" s="1">
        <v>9657676965</v>
      </c>
      <c r="K198" s="1" t="s">
        <v>84</v>
      </c>
      <c r="L198" s="1" t="s">
        <v>4198</v>
      </c>
      <c r="M198" s="1" t="s">
        <v>86</v>
      </c>
      <c r="N198" s="1" t="s">
        <v>4199</v>
      </c>
      <c r="O198" s="1"/>
      <c r="P198" s="1" t="s">
        <v>455</v>
      </c>
      <c r="Q198" s="1" t="s">
        <v>4200</v>
      </c>
      <c r="R198" s="1" t="s">
        <v>4201</v>
      </c>
      <c r="S198" s="1">
        <v>9881447676</v>
      </c>
      <c r="T198" s="1" t="s">
        <v>4202</v>
      </c>
      <c r="U198" s="1" t="s">
        <v>4203</v>
      </c>
      <c r="V198" s="1">
        <v>9075728686</v>
      </c>
      <c r="W198" s="1" t="s">
        <v>278</v>
      </c>
      <c r="X198" s="1" t="s">
        <v>4204</v>
      </c>
      <c r="Y198" s="1" t="s">
        <v>1989</v>
      </c>
      <c r="Z198" s="1" t="s">
        <v>97</v>
      </c>
      <c r="AA198" s="1" t="s">
        <v>4204</v>
      </c>
      <c r="AB198" s="1" t="s">
        <v>1989</v>
      </c>
      <c r="AC198" s="1" t="s">
        <v>97</v>
      </c>
      <c r="AD198" s="1">
        <v>8.05</v>
      </c>
      <c r="AE198" s="1" t="s">
        <v>98</v>
      </c>
      <c r="AF198" s="1" t="s">
        <v>4205</v>
      </c>
      <c r="AG198" s="1" t="s">
        <v>4206</v>
      </c>
      <c r="AH198" s="1" t="s">
        <v>3285</v>
      </c>
      <c r="AI198" s="1" t="s">
        <v>170</v>
      </c>
      <c r="AJ198" s="1">
        <v>84.8</v>
      </c>
      <c r="AK198" s="1"/>
      <c r="AL198" s="1" t="s">
        <v>4207</v>
      </c>
      <c r="AM198" s="1" t="s">
        <v>4206</v>
      </c>
      <c r="AN198" s="1" t="s">
        <v>465</v>
      </c>
      <c r="AO198" s="1" t="s">
        <v>388</v>
      </c>
      <c r="AP198" s="1" t="s">
        <v>203</v>
      </c>
      <c r="AQ198" s="1">
        <v>65.69</v>
      </c>
      <c r="AR198" s="1"/>
      <c r="AS198" s="1"/>
      <c r="AT198" s="1"/>
      <c r="AU198" s="1"/>
      <c r="AV198" s="1"/>
      <c r="AW198" s="1"/>
      <c r="AX198" s="1"/>
      <c r="AY198" s="1" t="s">
        <v>4208</v>
      </c>
      <c r="AZ198" s="1" t="s">
        <v>4209</v>
      </c>
      <c r="BA198" s="1" t="s">
        <v>466</v>
      </c>
      <c r="BB198" s="1" t="s">
        <v>467</v>
      </c>
      <c r="BC198" s="1" t="s">
        <v>315</v>
      </c>
      <c r="BD198" s="1" t="s">
        <v>179</v>
      </c>
      <c r="BE198" s="1">
        <v>68.88</v>
      </c>
      <c r="BF198" s="1">
        <v>7.25</v>
      </c>
      <c r="BG198" s="1"/>
      <c r="BH198" s="1"/>
      <c r="BI198" s="1"/>
      <c r="BJ198" s="1"/>
      <c r="BK198" s="1"/>
      <c r="BL198" s="1"/>
      <c r="BM198" s="1"/>
      <c r="BN198" s="1"/>
      <c r="BO198" s="1" t="s">
        <v>4210</v>
      </c>
      <c r="BP198" s="1" t="s">
        <v>4211</v>
      </c>
      <c r="BQ198" s="1" t="s">
        <v>582</v>
      </c>
      <c r="BR198" s="1" t="s">
        <v>4212</v>
      </c>
      <c r="BS198" s="1">
        <v>12</v>
      </c>
      <c r="BT198" s="1"/>
      <c r="BU198" s="1" t="str">
        <f>HYPERLINK("https://nconnect.nicmar.ac.in/storage/profile/ProfilePhoto_P25700186_952671.jpg","Download")</f>
        <v>0</v>
      </c>
      <c r="BV198" s="3"/>
      <c r="BW198" s="3"/>
    </row>
    <row r="199" spans="1:75">
      <c r="A199" s="1" t="s">
        <v>75</v>
      </c>
      <c r="B199" s="1" t="s">
        <v>446</v>
      </c>
      <c r="C199" s="1" t="s">
        <v>4213</v>
      </c>
      <c r="D199" s="1" t="s">
        <v>4214</v>
      </c>
      <c r="E199" s="1" t="s">
        <v>4215</v>
      </c>
      <c r="F199" s="1" t="s">
        <v>1179</v>
      </c>
      <c r="G199" s="1" t="s">
        <v>4216</v>
      </c>
      <c r="H199" s="1" t="s">
        <v>4217</v>
      </c>
      <c r="I199" s="1" t="s">
        <v>4218</v>
      </c>
      <c r="J199" s="1">
        <v>9819070657</v>
      </c>
      <c r="K199" s="1" t="s">
        <v>84</v>
      </c>
      <c r="L199" s="1" t="s">
        <v>4219</v>
      </c>
      <c r="M199" s="1" t="s">
        <v>86</v>
      </c>
      <c r="N199" s="1" t="s">
        <v>1163</v>
      </c>
      <c r="O199" s="1" t="s">
        <v>4220</v>
      </c>
      <c r="P199" s="1" t="s">
        <v>122</v>
      </c>
      <c r="Q199" s="1" t="s">
        <v>4221</v>
      </c>
      <c r="R199" s="1" t="s">
        <v>4222</v>
      </c>
      <c r="S199" s="1">
        <v>9819997174</v>
      </c>
      <c r="T199" s="1" t="s">
        <v>4223</v>
      </c>
      <c r="U199" s="1" t="s">
        <v>4224</v>
      </c>
      <c r="V199" s="1">
        <v>9969335002</v>
      </c>
      <c r="W199" s="1" t="s">
        <v>4223</v>
      </c>
      <c r="X199" s="1" t="s">
        <v>4225</v>
      </c>
      <c r="Y199" s="1" t="s">
        <v>2259</v>
      </c>
      <c r="Z199" s="1" t="s">
        <v>97</v>
      </c>
      <c r="AA199" s="1" t="s">
        <v>4225</v>
      </c>
      <c r="AB199" s="1" t="s">
        <v>2259</v>
      </c>
      <c r="AC199" s="1" t="s">
        <v>97</v>
      </c>
      <c r="AD199" s="1">
        <v>8.67</v>
      </c>
      <c r="AE199" s="1" t="s">
        <v>98</v>
      </c>
      <c r="AF199" s="1" t="s">
        <v>4226</v>
      </c>
      <c r="AG199" s="1" t="s">
        <v>4227</v>
      </c>
      <c r="AH199" s="1" t="s">
        <v>4228</v>
      </c>
      <c r="AI199" s="1" t="s">
        <v>102</v>
      </c>
      <c r="AJ199" s="1">
        <v>71</v>
      </c>
      <c r="AK199" s="1"/>
      <c r="AL199" s="1" t="s">
        <v>4229</v>
      </c>
      <c r="AM199" s="1" t="s">
        <v>4230</v>
      </c>
      <c r="AN199" s="1" t="s">
        <v>465</v>
      </c>
      <c r="AO199" s="1" t="s">
        <v>4231</v>
      </c>
      <c r="AP199" s="1" t="s">
        <v>518</v>
      </c>
      <c r="AQ199" s="1">
        <v>68</v>
      </c>
      <c r="AR199" s="1"/>
      <c r="AS199" s="1"/>
      <c r="AT199" s="1"/>
      <c r="AU199" s="1"/>
      <c r="AV199" s="1"/>
      <c r="AW199" s="1"/>
      <c r="AX199" s="1"/>
      <c r="AY199" s="1" t="s">
        <v>4232</v>
      </c>
      <c r="AZ199" s="1" t="s">
        <v>4233</v>
      </c>
      <c r="BA199" s="1" t="s">
        <v>466</v>
      </c>
      <c r="BB199" s="1" t="s">
        <v>467</v>
      </c>
      <c r="BC199" s="1" t="s">
        <v>230</v>
      </c>
      <c r="BD199" s="1" t="s">
        <v>549</v>
      </c>
      <c r="BE199" s="1">
        <v>81</v>
      </c>
      <c r="BF199" s="1">
        <v>8.85</v>
      </c>
      <c r="BG199" s="1" t="s">
        <v>4232</v>
      </c>
      <c r="BH199" s="1" t="s">
        <v>4233</v>
      </c>
      <c r="BI199" s="1" t="s">
        <v>2209</v>
      </c>
      <c r="BJ199" s="1" t="s">
        <v>1585</v>
      </c>
      <c r="BK199" s="1" t="s">
        <v>441</v>
      </c>
      <c r="BL199" s="1" t="s">
        <v>1267</v>
      </c>
      <c r="BM199" s="1">
        <v>85.6</v>
      </c>
      <c r="BN199" s="1">
        <v>9.31</v>
      </c>
      <c r="BO199" s="1" t="s">
        <v>4234</v>
      </c>
      <c r="BP199" s="1" t="s">
        <v>4235</v>
      </c>
      <c r="BQ199" s="1" t="s">
        <v>780</v>
      </c>
      <c r="BR199" s="1" t="s">
        <v>4236</v>
      </c>
      <c r="BS199" s="1">
        <v>67</v>
      </c>
      <c r="BT199" s="1" t="s">
        <v>4237</v>
      </c>
      <c r="BU199" s="1" t="str">
        <f>HYPERLINK("https://nconnect.nicmar.ac.in/storage/profile/ProfilePhoto_P25700187_358146.jpg","Download")</f>
        <v>0</v>
      </c>
      <c r="BV199" s="3"/>
      <c r="BW199" s="4">
        <v>1</v>
      </c>
    </row>
    <row r="200" spans="1:75">
      <c r="A200" s="1" t="s">
        <v>75</v>
      </c>
      <c r="B200" s="1" t="s">
        <v>446</v>
      </c>
      <c r="C200" s="1" t="s">
        <v>4238</v>
      </c>
      <c r="D200" s="1" t="s">
        <v>4239</v>
      </c>
      <c r="E200" s="1"/>
      <c r="F200" s="1" t="s">
        <v>812</v>
      </c>
      <c r="G200" s="1" t="s">
        <v>4240</v>
      </c>
      <c r="H200" s="1" t="s">
        <v>4241</v>
      </c>
      <c r="I200" s="1" t="s">
        <v>4242</v>
      </c>
      <c r="J200" s="1">
        <v>7550151319</v>
      </c>
      <c r="K200" s="1" t="s">
        <v>84</v>
      </c>
      <c r="L200" s="1" t="s">
        <v>4243</v>
      </c>
      <c r="M200" s="1" t="s">
        <v>86</v>
      </c>
      <c r="N200" s="1" t="s">
        <v>4244</v>
      </c>
      <c r="O200" s="1"/>
      <c r="P200" s="1" t="s">
        <v>1028</v>
      </c>
      <c r="Q200" s="1" t="s">
        <v>4245</v>
      </c>
      <c r="R200" s="1" t="s">
        <v>4246</v>
      </c>
      <c r="S200" s="1">
        <v>9444411061</v>
      </c>
      <c r="T200" s="1" t="s">
        <v>839</v>
      </c>
      <c r="U200" s="1" t="s">
        <v>4247</v>
      </c>
      <c r="V200" s="1">
        <v>9952050377</v>
      </c>
      <c r="W200" s="1" t="s">
        <v>278</v>
      </c>
      <c r="X200" s="1" t="s">
        <v>4248</v>
      </c>
      <c r="Y200" s="1" t="s">
        <v>4249</v>
      </c>
      <c r="Z200" s="1" t="s">
        <v>570</v>
      </c>
      <c r="AA200" s="1" t="s">
        <v>4248</v>
      </c>
      <c r="AB200" s="1" t="s">
        <v>4249</v>
      </c>
      <c r="AC200" s="1" t="s">
        <v>570</v>
      </c>
      <c r="AD200" s="1">
        <v>9.23</v>
      </c>
      <c r="AE200" s="1" t="s">
        <v>98</v>
      </c>
      <c r="AF200" s="1" t="s">
        <v>4250</v>
      </c>
      <c r="AG200" s="1" t="s">
        <v>312</v>
      </c>
      <c r="AH200" s="1" t="s">
        <v>490</v>
      </c>
      <c r="AI200" s="1" t="s">
        <v>313</v>
      </c>
      <c r="AJ200" s="1">
        <v>87.8</v>
      </c>
      <c r="AK200" s="1"/>
      <c r="AL200" s="1" t="s">
        <v>4250</v>
      </c>
      <c r="AM200" s="1" t="s">
        <v>312</v>
      </c>
      <c r="AN200" s="1" t="s">
        <v>465</v>
      </c>
      <c r="AO200" s="1" t="s">
        <v>977</v>
      </c>
      <c r="AP200" s="1" t="s">
        <v>549</v>
      </c>
      <c r="AQ200" s="1">
        <v>88.8</v>
      </c>
      <c r="AR200" s="1"/>
      <c r="AS200" s="1"/>
      <c r="AT200" s="1"/>
      <c r="AU200" s="1"/>
      <c r="AV200" s="1"/>
      <c r="AW200" s="1"/>
      <c r="AX200" s="1"/>
      <c r="AY200" s="1" t="s">
        <v>576</v>
      </c>
      <c r="AZ200" s="1" t="s">
        <v>4251</v>
      </c>
      <c r="BA200" s="1" t="s">
        <v>578</v>
      </c>
      <c r="BB200" s="1" t="s">
        <v>467</v>
      </c>
      <c r="BC200" s="1" t="s">
        <v>140</v>
      </c>
      <c r="BD200" s="1" t="s">
        <v>848</v>
      </c>
      <c r="BE200" s="1">
        <v>86.9</v>
      </c>
      <c r="BF200" s="1">
        <v>8.69</v>
      </c>
      <c r="BG200" s="1"/>
      <c r="BH200" s="1"/>
      <c r="BI200" s="1"/>
      <c r="BJ200" s="1"/>
      <c r="BK200" s="1"/>
      <c r="BL200" s="1"/>
      <c r="BM200" s="1"/>
      <c r="BN200" s="1"/>
      <c r="BO200" s="1" t="s">
        <v>4252</v>
      </c>
      <c r="BP200" s="1"/>
      <c r="BQ200" s="1"/>
      <c r="BR200" s="1" t="s">
        <v>4253</v>
      </c>
      <c r="BS200" s="1">
        <v>12</v>
      </c>
      <c r="BT200" s="1" t="s">
        <v>4254</v>
      </c>
      <c r="BU200" s="1" t="str">
        <f>HYPERLINK("https://nconnect.nicmar.ac.in/storage/profile/ProfilePhoto_P25700188_342579.jpg","Download")</f>
        <v>0</v>
      </c>
      <c r="BV200" s="3"/>
      <c r="BW200" s="4">
        <v>1</v>
      </c>
    </row>
    <row r="201" spans="1:75">
      <c r="A201" s="1" t="s">
        <v>75</v>
      </c>
      <c r="B201" s="1" t="s">
        <v>446</v>
      </c>
      <c r="C201" s="1" t="s">
        <v>4255</v>
      </c>
      <c r="D201" s="1" t="s">
        <v>4256</v>
      </c>
      <c r="E201" s="1" t="s">
        <v>4257</v>
      </c>
      <c r="F201" s="1" t="s">
        <v>4258</v>
      </c>
      <c r="G201" s="1" t="s">
        <v>4259</v>
      </c>
      <c r="H201" s="1" t="s">
        <v>4260</v>
      </c>
      <c r="I201" s="1" t="s">
        <v>4261</v>
      </c>
      <c r="J201" s="1">
        <v>9130984881</v>
      </c>
      <c r="K201" s="1" t="s">
        <v>84</v>
      </c>
      <c r="L201" s="1" t="s">
        <v>4262</v>
      </c>
      <c r="M201" s="1" t="s">
        <v>86</v>
      </c>
      <c r="N201" s="1" t="s">
        <v>4263</v>
      </c>
      <c r="O201" s="1"/>
      <c r="P201" s="1" t="s">
        <v>507</v>
      </c>
      <c r="Q201" s="1" t="s">
        <v>4264</v>
      </c>
      <c r="R201" s="1" t="s">
        <v>4257</v>
      </c>
      <c r="S201" s="1">
        <v>9096905159</v>
      </c>
      <c r="T201" s="1" t="s">
        <v>159</v>
      </c>
      <c r="U201" s="1" t="s">
        <v>4265</v>
      </c>
      <c r="V201" s="1">
        <v>9226880455</v>
      </c>
      <c r="W201" s="1" t="s">
        <v>161</v>
      </c>
      <c r="X201" s="1" t="s">
        <v>4266</v>
      </c>
      <c r="Y201" s="1" t="s">
        <v>1779</v>
      </c>
      <c r="Z201" s="1" t="s">
        <v>97</v>
      </c>
      <c r="AA201" s="1" t="s">
        <v>4266</v>
      </c>
      <c r="AB201" s="1" t="s">
        <v>1779</v>
      </c>
      <c r="AC201" s="1" t="s">
        <v>97</v>
      </c>
      <c r="AD201" s="1">
        <v>7.15</v>
      </c>
      <c r="AE201" s="1" t="s">
        <v>98</v>
      </c>
      <c r="AF201" s="1" t="s">
        <v>4267</v>
      </c>
      <c r="AG201" s="1" t="s">
        <v>4268</v>
      </c>
      <c r="AH201" s="1" t="s">
        <v>166</v>
      </c>
      <c r="AI201" s="1" t="s">
        <v>167</v>
      </c>
      <c r="AJ201" s="1">
        <v>79.8</v>
      </c>
      <c r="AK201" s="1"/>
      <c r="AL201" s="1" t="s">
        <v>4269</v>
      </c>
      <c r="AM201" s="1" t="s">
        <v>4268</v>
      </c>
      <c r="AN201" s="1"/>
      <c r="AO201" s="1" t="s">
        <v>170</v>
      </c>
      <c r="AP201" s="1" t="s">
        <v>171</v>
      </c>
      <c r="AQ201" s="1">
        <v>68.46</v>
      </c>
      <c r="AR201" s="1"/>
      <c r="AS201" s="1"/>
      <c r="AT201" s="1"/>
      <c r="AU201" s="1"/>
      <c r="AV201" s="1"/>
      <c r="AW201" s="1"/>
      <c r="AX201" s="1"/>
      <c r="AY201" s="1" t="s">
        <v>4270</v>
      </c>
      <c r="AZ201" s="1" t="s">
        <v>4271</v>
      </c>
      <c r="BA201" s="1"/>
      <c r="BB201" s="1"/>
      <c r="BC201" s="1" t="s">
        <v>174</v>
      </c>
      <c r="BD201" s="1" t="s">
        <v>1825</v>
      </c>
      <c r="BE201" s="1">
        <v>74.3</v>
      </c>
      <c r="BF201" s="1">
        <v>7.43</v>
      </c>
      <c r="BG201" s="1"/>
      <c r="BH201" s="1"/>
      <c r="BI201" s="1"/>
      <c r="BJ201" s="1"/>
      <c r="BK201" s="1"/>
      <c r="BL201" s="1"/>
      <c r="BM201" s="1"/>
      <c r="BN201" s="1"/>
      <c r="BO201" s="1" t="s">
        <v>260</v>
      </c>
      <c r="BP201" s="1"/>
      <c r="BQ201" s="1"/>
      <c r="BR201" s="1"/>
      <c r="BS201" s="1"/>
      <c r="BT201" s="1"/>
      <c r="BU201" s="1" t="str">
        <f>HYPERLINK("https://nconnect.nicmar.ac.in/storage/profile/ProfilePhoto_P25700189_658327.jpg","Download")</f>
        <v>0</v>
      </c>
      <c r="BV201" s="3"/>
      <c r="BW201" s="3"/>
    </row>
    <row r="202" spans="1:75">
      <c r="A202" s="1" t="s">
        <v>75</v>
      </c>
      <c r="B202" s="1" t="s">
        <v>446</v>
      </c>
      <c r="C202" s="1" t="s">
        <v>4272</v>
      </c>
      <c r="D202" s="1" t="s">
        <v>4273</v>
      </c>
      <c r="E202" s="1" t="s">
        <v>529</v>
      </c>
      <c r="F202" s="1" t="s">
        <v>530</v>
      </c>
      <c r="G202" s="1" t="s">
        <v>4274</v>
      </c>
      <c r="H202" s="1" t="s">
        <v>4275</v>
      </c>
      <c r="I202" s="1" t="s">
        <v>4276</v>
      </c>
      <c r="J202" s="1">
        <v>9079801566</v>
      </c>
      <c r="K202" s="1" t="s">
        <v>84</v>
      </c>
      <c r="L202" s="1" t="s">
        <v>4277</v>
      </c>
      <c r="M202" s="1" t="s">
        <v>86</v>
      </c>
      <c r="N202" s="1" t="s">
        <v>4278</v>
      </c>
      <c r="O202" s="1"/>
      <c r="P202" s="1" t="s">
        <v>481</v>
      </c>
      <c r="Q202" s="1" t="s">
        <v>4279</v>
      </c>
      <c r="R202" s="1" t="s">
        <v>4280</v>
      </c>
      <c r="S202" s="1">
        <v>8005694959</v>
      </c>
      <c r="T202" s="1" t="s">
        <v>3396</v>
      </c>
      <c r="U202" s="1" t="s">
        <v>4281</v>
      </c>
      <c r="V202" s="1">
        <v>8824707689</v>
      </c>
      <c r="W202" s="1" t="s">
        <v>161</v>
      </c>
      <c r="X202" s="1" t="s">
        <v>4282</v>
      </c>
      <c r="Y202" s="1" t="s">
        <v>2152</v>
      </c>
      <c r="Z202" s="1" t="s">
        <v>2153</v>
      </c>
      <c r="AA202" s="1" t="s">
        <v>4282</v>
      </c>
      <c r="AB202" s="1" t="s">
        <v>2152</v>
      </c>
      <c r="AC202" s="1" t="s">
        <v>2153</v>
      </c>
      <c r="AD202" s="1">
        <v>9.1</v>
      </c>
      <c r="AE202" s="1" t="s">
        <v>98</v>
      </c>
      <c r="AF202" s="1" t="s">
        <v>4283</v>
      </c>
      <c r="AG202" s="1" t="s">
        <v>4284</v>
      </c>
      <c r="AH202" s="1" t="s">
        <v>1214</v>
      </c>
      <c r="AI202" s="1" t="s">
        <v>166</v>
      </c>
      <c r="AJ202" s="1">
        <v>86.17</v>
      </c>
      <c r="AK202" s="1"/>
      <c r="AL202" s="1" t="s">
        <v>4285</v>
      </c>
      <c r="AM202" s="1" t="s">
        <v>4284</v>
      </c>
      <c r="AN202" s="1" t="s">
        <v>465</v>
      </c>
      <c r="AO202" s="1" t="s">
        <v>284</v>
      </c>
      <c r="AP202" s="1" t="s">
        <v>573</v>
      </c>
      <c r="AQ202" s="1">
        <v>81.6</v>
      </c>
      <c r="AR202" s="1"/>
      <c r="AS202" s="1"/>
      <c r="AT202" s="1"/>
      <c r="AU202" s="1"/>
      <c r="AV202" s="1"/>
      <c r="AW202" s="1"/>
      <c r="AX202" s="1"/>
      <c r="AY202" s="1" t="s">
        <v>4286</v>
      </c>
      <c r="AZ202" s="1" t="s">
        <v>4287</v>
      </c>
      <c r="BA202" s="1" t="s">
        <v>466</v>
      </c>
      <c r="BB202" s="1" t="s">
        <v>467</v>
      </c>
      <c r="BC202" s="1" t="s">
        <v>388</v>
      </c>
      <c r="BD202" s="1" t="s">
        <v>847</v>
      </c>
      <c r="BE202" s="1">
        <v>85</v>
      </c>
      <c r="BF202" s="1">
        <v>8.15</v>
      </c>
      <c r="BG202" s="1"/>
      <c r="BH202" s="1"/>
      <c r="BI202" s="1"/>
      <c r="BJ202" s="1"/>
      <c r="BK202" s="1"/>
      <c r="BL202" s="1"/>
      <c r="BM202" s="1"/>
      <c r="BN202" s="1"/>
      <c r="BO202" s="1" t="s">
        <v>4288</v>
      </c>
      <c r="BP202" s="1" t="s">
        <v>4289</v>
      </c>
      <c r="BQ202" s="1" t="s">
        <v>1849</v>
      </c>
      <c r="BR202" s="1" t="s">
        <v>4290</v>
      </c>
      <c r="BS202" s="1">
        <v>12</v>
      </c>
      <c r="BT202" s="1" t="s">
        <v>4291</v>
      </c>
      <c r="BU202" s="1" t="str">
        <f>HYPERLINK("https://nconnect.nicmar.ac.in/storage/profile/ProfilePhoto_P25700190_285367.jpg","Download")</f>
        <v>0</v>
      </c>
      <c r="BV202" s="3"/>
      <c r="BW202" s="3"/>
    </row>
    <row r="203" spans="1:75">
      <c r="A203" s="1" t="s">
        <v>75</v>
      </c>
      <c r="B203" s="1" t="s">
        <v>446</v>
      </c>
      <c r="C203" s="1" t="s">
        <v>4292</v>
      </c>
      <c r="D203" s="1" t="s">
        <v>1505</v>
      </c>
      <c r="E203" s="1" t="s">
        <v>4293</v>
      </c>
      <c r="F203" s="1" t="s">
        <v>2429</v>
      </c>
      <c r="G203" s="1" t="s">
        <v>4294</v>
      </c>
      <c r="H203" s="1" t="s">
        <v>4295</v>
      </c>
      <c r="I203" s="1" t="s">
        <v>4296</v>
      </c>
      <c r="J203" s="1">
        <v>9370050608</v>
      </c>
      <c r="K203" s="1" t="s">
        <v>84</v>
      </c>
      <c r="L203" s="1" t="s">
        <v>4297</v>
      </c>
      <c r="M203" s="1" t="s">
        <v>86</v>
      </c>
      <c r="N203" s="1" t="s">
        <v>3568</v>
      </c>
      <c r="O203" s="1"/>
      <c r="P203" s="1"/>
      <c r="Q203" s="1" t="s">
        <v>4298</v>
      </c>
      <c r="R203" s="1" t="s">
        <v>4299</v>
      </c>
      <c r="S203" s="1">
        <v>9923802386</v>
      </c>
      <c r="T203" s="1" t="s">
        <v>645</v>
      </c>
      <c r="U203" s="1" t="s">
        <v>4300</v>
      </c>
      <c r="V203" s="1">
        <v>8329103997</v>
      </c>
      <c r="W203" s="1" t="s">
        <v>161</v>
      </c>
      <c r="X203" s="1" t="s">
        <v>4301</v>
      </c>
      <c r="Y203" s="1" t="s">
        <v>4302</v>
      </c>
      <c r="Z203" s="1" t="s">
        <v>97</v>
      </c>
      <c r="AA203" s="1" t="s">
        <v>4301</v>
      </c>
      <c r="AB203" s="1" t="s">
        <v>4302</v>
      </c>
      <c r="AC203" s="1" t="s">
        <v>97</v>
      </c>
      <c r="AD203" s="1">
        <v>8.59</v>
      </c>
      <c r="AE203" s="1" t="s">
        <v>98</v>
      </c>
      <c r="AF203" s="1" t="s">
        <v>4303</v>
      </c>
      <c r="AG203" s="1" t="s">
        <v>1968</v>
      </c>
      <c r="AH203" s="1" t="s">
        <v>170</v>
      </c>
      <c r="AI203" s="1" t="s">
        <v>106</v>
      </c>
      <c r="AJ203" s="1">
        <v>93</v>
      </c>
      <c r="AK203" s="1"/>
      <c r="AL203" s="1"/>
      <c r="AM203" s="1"/>
      <c r="AN203" s="1"/>
      <c r="AO203" s="1"/>
      <c r="AP203" s="1"/>
      <c r="AQ203" s="1"/>
      <c r="AR203" s="1"/>
      <c r="AS203" s="1" t="s">
        <v>439</v>
      </c>
      <c r="AT203" s="1" t="s">
        <v>4304</v>
      </c>
      <c r="AU203" s="1" t="s">
        <v>1065</v>
      </c>
      <c r="AV203" s="1" t="s">
        <v>845</v>
      </c>
      <c r="AW203" s="1">
        <v>95.16</v>
      </c>
      <c r="AX203" s="1"/>
      <c r="AY203" s="1" t="s">
        <v>680</v>
      </c>
      <c r="AZ203" s="1" t="s">
        <v>4305</v>
      </c>
      <c r="BA203" s="1" t="s">
        <v>578</v>
      </c>
      <c r="BB203" s="1" t="s">
        <v>467</v>
      </c>
      <c r="BC203" s="1" t="s">
        <v>871</v>
      </c>
      <c r="BD203" s="1" t="s">
        <v>207</v>
      </c>
      <c r="BE203" s="1">
        <v>83.92</v>
      </c>
      <c r="BF203" s="1">
        <v>9.72</v>
      </c>
      <c r="BG203" s="1"/>
      <c r="BH203" s="1"/>
      <c r="BI203" s="1"/>
      <c r="BJ203" s="1"/>
      <c r="BK203" s="1"/>
      <c r="BL203" s="1"/>
      <c r="BM203" s="1"/>
      <c r="BN203" s="1"/>
      <c r="BO203" s="1" t="s">
        <v>4306</v>
      </c>
      <c r="BP203" s="1" t="s">
        <v>4307</v>
      </c>
      <c r="BQ203" s="1" t="s">
        <v>1070</v>
      </c>
      <c r="BR203" s="1" t="s">
        <v>4308</v>
      </c>
      <c r="BS203" s="1">
        <v>20</v>
      </c>
      <c r="BT203" s="1"/>
      <c r="BU203" s="1" t="str">
        <f>HYPERLINK("https://nconnect.nicmar.ac.in/storage/profile/ProfilePhoto_P25700191_975138.jpg","Download")</f>
        <v>0</v>
      </c>
      <c r="BV203" s="3"/>
      <c r="BW203" s="3"/>
    </row>
    <row r="204" spans="1:75">
      <c r="A204" s="1" t="s">
        <v>75</v>
      </c>
      <c r="B204" s="1" t="s">
        <v>446</v>
      </c>
      <c r="C204" s="1" t="s">
        <v>4309</v>
      </c>
      <c r="D204" s="1" t="s">
        <v>2249</v>
      </c>
      <c r="E204" s="1" t="s">
        <v>4310</v>
      </c>
      <c r="F204" s="1" t="s">
        <v>4311</v>
      </c>
      <c r="G204" s="1" t="s">
        <v>4312</v>
      </c>
      <c r="H204" s="1" t="s">
        <v>4313</v>
      </c>
      <c r="I204" s="1" t="s">
        <v>4314</v>
      </c>
      <c r="J204" s="1">
        <v>7666818616</v>
      </c>
      <c r="K204" s="1" t="s">
        <v>84</v>
      </c>
      <c r="L204" s="1" t="s">
        <v>4315</v>
      </c>
      <c r="M204" s="1" t="s">
        <v>86</v>
      </c>
      <c r="N204" s="1" t="s">
        <v>4316</v>
      </c>
      <c r="O204" s="1"/>
      <c r="P204" s="1" t="s">
        <v>507</v>
      </c>
      <c r="Q204" s="1" t="s">
        <v>4317</v>
      </c>
      <c r="R204" s="1" t="s">
        <v>4310</v>
      </c>
      <c r="S204" s="1">
        <v>9819123215</v>
      </c>
      <c r="T204" s="1" t="s">
        <v>4318</v>
      </c>
      <c r="U204" s="1" t="s">
        <v>4319</v>
      </c>
      <c r="V204" s="1">
        <v>9833409215</v>
      </c>
      <c r="W204" s="1" t="s">
        <v>278</v>
      </c>
      <c r="X204" s="1" t="s">
        <v>4320</v>
      </c>
      <c r="Y204" s="1" t="s">
        <v>2259</v>
      </c>
      <c r="Z204" s="1" t="s">
        <v>97</v>
      </c>
      <c r="AA204" s="1" t="s">
        <v>4320</v>
      </c>
      <c r="AB204" s="1" t="s">
        <v>2259</v>
      </c>
      <c r="AC204" s="1" t="s">
        <v>97</v>
      </c>
      <c r="AD204" s="1">
        <v>7.72</v>
      </c>
      <c r="AE204" s="1" t="s">
        <v>98</v>
      </c>
      <c r="AF204" s="1" t="s">
        <v>4321</v>
      </c>
      <c r="AG204" s="1" t="s">
        <v>4322</v>
      </c>
      <c r="AH204" s="1" t="s">
        <v>166</v>
      </c>
      <c r="AI204" s="1" t="s">
        <v>627</v>
      </c>
      <c r="AJ204" s="1">
        <v>86.67</v>
      </c>
      <c r="AK204" s="1"/>
      <c r="AL204" s="1" t="s">
        <v>4323</v>
      </c>
      <c r="AM204" s="1" t="s">
        <v>4324</v>
      </c>
      <c r="AN204" s="1"/>
      <c r="AO204" s="1" t="s">
        <v>627</v>
      </c>
      <c r="AP204" s="1" t="s">
        <v>1477</v>
      </c>
      <c r="AQ204" s="1">
        <v>74.92</v>
      </c>
      <c r="AR204" s="1"/>
      <c r="AS204" s="1"/>
      <c r="AT204" s="1"/>
      <c r="AU204" s="1"/>
      <c r="AV204" s="1"/>
      <c r="AW204" s="1"/>
      <c r="AX204" s="1"/>
      <c r="AY204" s="1" t="s">
        <v>258</v>
      </c>
      <c r="AZ204" s="1" t="s">
        <v>4325</v>
      </c>
      <c r="BA204" s="1"/>
      <c r="BB204" s="1"/>
      <c r="BC204" s="1" t="s">
        <v>106</v>
      </c>
      <c r="BD204" s="1" t="s">
        <v>955</v>
      </c>
      <c r="BE204" s="1">
        <v>66.39</v>
      </c>
      <c r="BF204" s="1">
        <v>7.35</v>
      </c>
      <c r="BG204" s="1"/>
      <c r="BH204" s="1"/>
      <c r="BI204" s="1"/>
      <c r="BJ204" s="1"/>
      <c r="BK204" s="1"/>
      <c r="BL204" s="1"/>
      <c r="BM204" s="1"/>
      <c r="BN204" s="1"/>
      <c r="BO204" s="1" t="s">
        <v>369</v>
      </c>
      <c r="BP204" s="1" t="s">
        <v>4326</v>
      </c>
      <c r="BQ204" s="1" t="s">
        <v>582</v>
      </c>
      <c r="BR204" s="1" t="s">
        <v>4327</v>
      </c>
      <c r="BS204" s="1">
        <v>8</v>
      </c>
      <c r="BT204" s="1"/>
      <c r="BU204" s="1" t="str">
        <f>HYPERLINK("https://nconnect.nicmar.ac.in/storage/profile/ProfilePhoto_P25700192_921356.jpg","Download")</f>
        <v>0</v>
      </c>
      <c r="BV204" s="3"/>
      <c r="BW204" s="3"/>
    </row>
    <row r="205" spans="1:75">
      <c r="A205" s="1" t="s">
        <v>75</v>
      </c>
      <c r="B205" s="1" t="s">
        <v>446</v>
      </c>
      <c r="C205" s="1" t="s">
        <v>4328</v>
      </c>
      <c r="D205" s="1" t="s">
        <v>4329</v>
      </c>
      <c r="E205" s="1" t="s">
        <v>4330</v>
      </c>
      <c r="F205" s="1" t="s">
        <v>4331</v>
      </c>
      <c r="G205" s="1" t="s">
        <v>4332</v>
      </c>
      <c r="H205" s="1" t="s">
        <v>4333</v>
      </c>
      <c r="I205" s="1" t="s">
        <v>4334</v>
      </c>
      <c r="J205" s="1">
        <v>9322756868</v>
      </c>
      <c r="K205" s="1" t="s">
        <v>84</v>
      </c>
      <c r="L205" s="1" t="s">
        <v>4335</v>
      </c>
      <c r="M205" s="1" t="s">
        <v>86</v>
      </c>
      <c r="N205" s="1" t="s">
        <v>3046</v>
      </c>
      <c r="O205" s="1"/>
      <c r="P205" s="1" t="s">
        <v>455</v>
      </c>
      <c r="Q205" s="1" t="s">
        <v>4336</v>
      </c>
      <c r="R205" s="1" t="s">
        <v>4337</v>
      </c>
      <c r="S205" s="1">
        <v>9850824624</v>
      </c>
      <c r="T205" s="1" t="s">
        <v>1620</v>
      </c>
      <c r="U205" s="1" t="s">
        <v>4338</v>
      </c>
      <c r="V205" s="1">
        <v>9049649000</v>
      </c>
      <c r="W205" s="1" t="s">
        <v>1257</v>
      </c>
      <c r="X205" s="1" t="s">
        <v>4339</v>
      </c>
      <c r="Y205" s="1" t="s">
        <v>196</v>
      </c>
      <c r="Z205" s="1" t="s">
        <v>97</v>
      </c>
      <c r="AA205" s="1" t="s">
        <v>4339</v>
      </c>
      <c r="AB205" s="1" t="s">
        <v>196</v>
      </c>
      <c r="AC205" s="1" t="s">
        <v>97</v>
      </c>
      <c r="AD205" s="1">
        <v>8.79</v>
      </c>
      <c r="AE205" s="1" t="s">
        <v>98</v>
      </c>
      <c r="AF205" s="1" t="s">
        <v>4340</v>
      </c>
      <c r="AG205" s="1" t="s">
        <v>312</v>
      </c>
      <c r="AH205" s="1" t="s">
        <v>106</v>
      </c>
      <c r="AI205" s="1" t="s">
        <v>313</v>
      </c>
      <c r="AJ205" s="1">
        <v>78.4</v>
      </c>
      <c r="AK205" s="1"/>
      <c r="AL205" s="1" t="s">
        <v>4341</v>
      </c>
      <c r="AM205" s="1" t="s">
        <v>4342</v>
      </c>
      <c r="AN205" s="1" t="s">
        <v>465</v>
      </c>
      <c r="AO205" s="1" t="s">
        <v>1040</v>
      </c>
      <c r="AP205" s="1" t="s">
        <v>441</v>
      </c>
      <c r="AQ205" s="1">
        <v>76.83</v>
      </c>
      <c r="AR205" s="1"/>
      <c r="AS205" s="1"/>
      <c r="AT205" s="1"/>
      <c r="AU205" s="1"/>
      <c r="AV205" s="1"/>
      <c r="AW205" s="1"/>
      <c r="AX205" s="1"/>
      <c r="AY205" s="1" t="s">
        <v>4343</v>
      </c>
      <c r="AZ205" s="1" t="s">
        <v>4344</v>
      </c>
      <c r="BA205" s="1" t="s">
        <v>466</v>
      </c>
      <c r="BB205" s="1" t="s">
        <v>4345</v>
      </c>
      <c r="BC205" s="1" t="s">
        <v>441</v>
      </c>
      <c r="BD205" s="1" t="s">
        <v>607</v>
      </c>
      <c r="BE205" s="1">
        <v>87.6</v>
      </c>
      <c r="BF205" s="1">
        <v>8.76</v>
      </c>
      <c r="BG205" s="1"/>
      <c r="BH205" s="1"/>
      <c r="BI205" s="1"/>
      <c r="BJ205" s="1"/>
      <c r="BK205" s="1"/>
      <c r="BL205" s="1"/>
      <c r="BM205" s="1"/>
      <c r="BN205" s="1"/>
      <c r="BO205" s="1" t="s">
        <v>1315</v>
      </c>
      <c r="BP205" s="1"/>
      <c r="BQ205" s="1"/>
      <c r="BR205" s="1" t="s">
        <v>4346</v>
      </c>
      <c r="BS205" s="1">
        <v>29</v>
      </c>
      <c r="BT205" s="1"/>
      <c r="BU205" s="1" t="str">
        <f>HYPERLINK("https://nconnect.nicmar.ac.in/storage/profile/ProfilePhoto_P25700193_714259.jpg","Download")</f>
        <v>0</v>
      </c>
      <c r="BV205" s="3"/>
      <c r="BW205" s="3"/>
    </row>
    <row r="206" spans="1:75">
      <c r="A206" s="1" t="s">
        <v>75</v>
      </c>
      <c r="B206" s="1" t="s">
        <v>446</v>
      </c>
      <c r="C206" s="1" t="s">
        <v>4347</v>
      </c>
      <c r="D206" s="1" t="s">
        <v>4348</v>
      </c>
      <c r="E206" s="1"/>
      <c r="F206" s="1" t="s">
        <v>4349</v>
      </c>
      <c r="G206" s="1" t="s">
        <v>4350</v>
      </c>
      <c r="H206" s="1" t="s">
        <v>4351</v>
      </c>
      <c r="I206" s="1" t="s">
        <v>4352</v>
      </c>
      <c r="J206" s="1">
        <v>8526305610</v>
      </c>
      <c r="K206" s="1" t="s">
        <v>84</v>
      </c>
      <c r="L206" s="1" t="s">
        <v>4353</v>
      </c>
      <c r="M206" s="1" t="s">
        <v>86</v>
      </c>
      <c r="N206" s="1" t="s">
        <v>4354</v>
      </c>
      <c r="O206" s="1"/>
      <c r="P206" s="1" t="s">
        <v>481</v>
      </c>
      <c r="Q206" s="1" t="s">
        <v>4355</v>
      </c>
      <c r="R206" s="1" t="s">
        <v>4356</v>
      </c>
      <c r="S206" s="1">
        <v>9486258645</v>
      </c>
      <c r="T206" s="1" t="s">
        <v>4357</v>
      </c>
      <c r="U206" s="1" t="s">
        <v>4358</v>
      </c>
      <c r="V206" s="1">
        <v>9659393483</v>
      </c>
      <c r="W206" s="1" t="s">
        <v>94</v>
      </c>
      <c r="X206" s="1" t="s">
        <v>4359</v>
      </c>
      <c r="Y206" s="1" t="s">
        <v>4360</v>
      </c>
      <c r="Z206" s="1" t="s">
        <v>570</v>
      </c>
      <c r="AA206" s="1" t="s">
        <v>4359</v>
      </c>
      <c r="AB206" s="1" t="s">
        <v>4360</v>
      </c>
      <c r="AC206" s="1" t="s">
        <v>570</v>
      </c>
      <c r="AD206" s="1">
        <v>8.44</v>
      </c>
      <c r="AE206" s="1" t="s">
        <v>98</v>
      </c>
      <c r="AF206" s="1" t="s">
        <v>4361</v>
      </c>
      <c r="AG206" s="1" t="s">
        <v>4362</v>
      </c>
      <c r="AH206" s="1" t="s">
        <v>167</v>
      </c>
      <c r="AI206" s="1" t="s">
        <v>200</v>
      </c>
      <c r="AJ206" s="1">
        <v>97</v>
      </c>
      <c r="AK206" s="1"/>
      <c r="AL206" s="1" t="s">
        <v>4363</v>
      </c>
      <c r="AM206" s="1" t="s">
        <v>4364</v>
      </c>
      <c r="AN206" s="1" t="s">
        <v>575</v>
      </c>
      <c r="AO206" s="1" t="s">
        <v>106</v>
      </c>
      <c r="AP206" s="1" t="s">
        <v>414</v>
      </c>
      <c r="AQ206" s="1">
        <v>79.4</v>
      </c>
      <c r="AR206" s="1">
        <v>0</v>
      </c>
      <c r="AS206" s="1"/>
      <c r="AT206" s="1"/>
      <c r="AU206" s="1"/>
      <c r="AV206" s="1"/>
      <c r="AW206" s="1"/>
      <c r="AX206" s="1"/>
      <c r="AY206" s="1" t="s">
        <v>4365</v>
      </c>
      <c r="AZ206" s="1" t="s">
        <v>4366</v>
      </c>
      <c r="BA206" s="1" t="s">
        <v>578</v>
      </c>
      <c r="BB206" s="1" t="s">
        <v>467</v>
      </c>
      <c r="BC206" s="1" t="s">
        <v>206</v>
      </c>
      <c r="BD206" s="1" t="s">
        <v>579</v>
      </c>
      <c r="BE206" s="1">
        <v>84.8</v>
      </c>
      <c r="BF206" s="1"/>
      <c r="BG206" s="1"/>
      <c r="BH206" s="1"/>
      <c r="BI206" s="1"/>
      <c r="BJ206" s="1"/>
      <c r="BK206" s="1"/>
      <c r="BL206" s="1"/>
      <c r="BM206" s="1"/>
      <c r="BN206" s="1"/>
      <c r="BO206" s="1" t="s">
        <v>4367</v>
      </c>
      <c r="BP206" s="1" t="s">
        <v>4368</v>
      </c>
      <c r="BQ206" s="1" t="s">
        <v>2326</v>
      </c>
      <c r="BR206" s="1" t="s">
        <v>4369</v>
      </c>
      <c r="BS206" s="1">
        <v>8</v>
      </c>
      <c r="BT206" s="1" t="s">
        <v>4370</v>
      </c>
      <c r="BU206" s="1" t="str">
        <f>HYPERLINK("https://nconnect.nicmar.ac.in/storage/profile/ProfilePhoto_P25700194_912563.jpg","Download")</f>
        <v>0</v>
      </c>
      <c r="BV206" s="3"/>
      <c r="BW206" s="4">
        <v>1</v>
      </c>
    </row>
    <row r="207" spans="1:75">
      <c r="A207" s="1" t="s">
        <v>75</v>
      </c>
      <c r="B207" s="1" t="s">
        <v>446</v>
      </c>
      <c r="C207" s="1" t="s">
        <v>4371</v>
      </c>
      <c r="D207" s="1" t="s">
        <v>1095</v>
      </c>
      <c r="E207" s="1" t="s">
        <v>4372</v>
      </c>
      <c r="F207" s="1" t="s">
        <v>4373</v>
      </c>
      <c r="G207" s="1" t="s">
        <v>4374</v>
      </c>
      <c r="H207" s="1" t="s">
        <v>4375</v>
      </c>
      <c r="I207" s="1" t="s">
        <v>4376</v>
      </c>
      <c r="J207" s="1">
        <v>8308454031</v>
      </c>
      <c r="K207" s="1" t="s">
        <v>84</v>
      </c>
      <c r="L207" s="1" t="s">
        <v>4377</v>
      </c>
      <c r="M207" s="1" t="s">
        <v>86</v>
      </c>
      <c r="N207" s="1" t="s">
        <v>618</v>
      </c>
      <c r="O207" s="1"/>
      <c r="P207" s="1" t="s">
        <v>507</v>
      </c>
      <c r="Q207" s="1" t="s">
        <v>4378</v>
      </c>
      <c r="R207" s="1" t="s">
        <v>4372</v>
      </c>
      <c r="S207" s="1">
        <v>9545884217</v>
      </c>
      <c r="T207" s="1" t="s">
        <v>159</v>
      </c>
      <c r="U207" s="1" t="s">
        <v>4379</v>
      </c>
      <c r="V207" s="1">
        <v>8308454031</v>
      </c>
      <c r="W207" s="1" t="s">
        <v>161</v>
      </c>
      <c r="X207" s="1" t="s">
        <v>4380</v>
      </c>
      <c r="Y207" s="1" t="s">
        <v>196</v>
      </c>
      <c r="Z207" s="1" t="s">
        <v>97</v>
      </c>
      <c r="AA207" s="1" t="s">
        <v>4381</v>
      </c>
      <c r="AB207" s="1" t="s">
        <v>410</v>
      </c>
      <c r="AC207" s="1" t="s">
        <v>97</v>
      </c>
      <c r="AD207" s="1">
        <v>9.05</v>
      </c>
      <c r="AE207" s="1" t="s">
        <v>98</v>
      </c>
      <c r="AF207" s="1" t="s">
        <v>4382</v>
      </c>
      <c r="AG207" s="1" t="s">
        <v>4383</v>
      </c>
      <c r="AH207" s="1" t="s">
        <v>1457</v>
      </c>
      <c r="AI207" s="1" t="s">
        <v>515</v>
      </c>
      <c r="AJ207" s="1">
        <v>96</v>
      </c>
      <c r="AK207" s="1"/>
      <c r="AL207" s="1"/>
      <c r="AM207" s="1"/>
      <c r="AN207" s="1"/>
      <c r="AO207" s="1"/>
      <c r="AP207" s="1"/>
      <c r="AQ207" s="1"/>
      <c r="AR207" s="1"/>
      <c r="AS207" s="1" t="s">
        <v>103</v>
      </c>
      <c r="AT207" s="1" t="s">
        <v>4384</v>
      </c>
      <c r="AU207" s="1" t="s">
        <v>257</v>
      </c>
      <c r="AV207" s="1" t="s">
        <v>170</v>
      </c>
      <c r="AW207" s="1">
        <v>91.19</v>
      </c>
      <c r="AX207" s="1"/>
      <c r="AY207" s="1" t="s">
        <v>4385</v>
      </c>
      <c r="AZ207" s="1" t="s">
        <v>4386</v>
      </c>
      <c r="BA207" s="1" t="s">
        <v>466</v>
      </c>
      <c r="BB207" s="1" t="s">
        <v>467</v>
      </c>
      <c r="BC207" s="1" t="s">
        <v>230</v>
      </c>
      <c r="BD207" s="1" t="s">
        <v>175</v>
      </c>
      <c r="BE207" s="1">
        <v>80.1</v>
      </c>
      <c r="BF207" s="1">
        <v>8.76</v>
      </c>
      <c r="BG207" s="1"/>
      <c r="BH207" s="1"/>
      <c r="BI207" s="1"/>
      <c r="BJ207" s="1"/>
      <c r="BK207" s="1"/>
      <c r="BL207" s="1"/>
      <c r="BM207" s="1"/>
      <c r="BN207" s="1"/>
      <c r="BO207" s="1" t="s">
        <v>4387</v>
      </c>
      <c r="BP207" s="1" t="s">
        <v>4388</v>
      </c>
      <c r="BQ207" s="1" t="s">
        <v>4389</v>
      </c>
      <c r="BR207" s="1" t="s">
        <v>4390</v>
      </c>
      <c r="BS207" s="1">
        <v>10</v>
      </c>
      <c r="BT207" s="1"/>
      <c r="BU207" s="1" t="str">
        <f>HYPERLINK("https://nconnect.nicmar.ac.in/storage/profile/ProfilePhoto_P25700195_426391.jpg","Download")</f>
        <v>0</v>
      </c>
      <c r="BV207" s="3"/>
      <c r="BW207" s="4">
        <v>1</v>
      </c>
    </row>
    <row r="208" spans="1:75">
      <c r="A208" s="1" t="s">
        <v>75</v>
      </c>
      <c r="B208" s="1" t="s">
        <v>446</v>
      </c>
      <c r="C208" s="1" t="s">
        <v>4391</v>
      </c>
      <c r="D208" s="1" t="s">
        <v>4392</v>
      </c>
      <c r="E208" s="1" t="s">
        <v>4310</v>
      </c>
      <c r="F208" s="1" t="s">
        <v>4393</v>
      </c>
      <c r="G208" s="1" t="s">
        <v>4394</v>
      </c>
      <c r="H208" s="1" t="s">
        <v>4395</v>
      </c>
      <c r="I208" s="1" t="s">
        <v>4396</v>
      </c>
      <c r="J208" s="1">
        <v>8010307133</v>
      </c>
      <c r="K208" s="1" t="s">
        <v>153</v>
      </c>
      <c r="L208" s="1" t="s">
        <v>1006</v>
      </c>
      <c r="M208" s="1" t="s">
        <v>86</v>
      </c>
      <c r="N208" s="1" t="s">
        <v>618</v>
      </c>
      <c r="O208" s="1"/>
      <c r="P208" s="1" t="s">
        <v>670</v>
      </c>
      <c r="Q208" s="1" t="s">
        <v>4397</v>
      </c>
      <c r="R208" s="1" t="s">
        <v>4398</v>
      </c>
      <c r="S208" s="1">
        <v>8888836437</v>
      </c>
      <c r="T208" s="1" t="s">
        <v>3303</v>
      </c>
      <c r="U208" s="1" t="s">
        <v>4399</v>
      </c>
      <c r="V208" s="1">
        <v>8378976437</v>
      </c>
      <c r="W208" s="1" t="s">
        <v>94</v>
      </c>
      <c r="X208" s="1" t="s">
        <v>4400</v>
      </c>
      <c r="Y208" s="1" t="s">
        <v>96</v>
      </c>
      <c r="Z208" s="1" t="s">
        <v>97</v>
      </c>
      <c r="AA208" s="1" t="s">
        <v>4400</v>
      </c>
      <c r="AB208" s="1" t="s">
        <v>96</v>
      </c>
      <c r="AC208" s="1" t="s">
        <v>97</v>
      </c>
      <c r="AD208" s="1">
        <v>7.44</v>
      </c>
      <c r="AE208" s="1" t="s">
        <v>98</v>
      </c>
      <c r="AF208" s="1" t="s">
        <v>4401</v>
      </c>
      <c r="AG208" s="1" t="s">
        <v>165</v>
      </c>
      <c r="AH208" s="1" t="s">
        <v>170</v>
      </c>
      <c r="AI208" s="1" t="s">
        <v>106</v>
      </c>
      <c r="AJ208" s="1">
        <v>78.2</v>
      </c>
      <c r="AK208" s="1"/>
      <c r="AL208" s="1" t="s">
        <v>4402</v>
      </c>
      <c r="AM208" s="1" t="s">
        <v>165</v>
      </c>
      <c r="AN208" s="1"/>
      <c r="AO208" s="1" t="s">
        <v>174</v>
      </c>
      <c r="AP208" s="1" t="s">
        <v>1040</v>
      </c>
      <c r="AQ208" s="1">
        <v>67.54</v>
      </c>
      <c r="AR208" s="1"/>
      <c r="AS208" s="1"/>
      <c r="AT208" s="1"/>
      <c r="AU208" s="1"/>
      <c r="AV208" s="1"/>
      <c r="AW208" s="1"/>
      <c r="AX208" s="1"/>
      <c r="AY208" s="1" t="s">
        <v>366</v>
      </c>
      <c r="AZ208" s="1" t="s">
        <v>4403</v>
      </c>
      <c r="BA208" s="1"/>
      <c r="BB208" s="1"/>
      <c r="BC208" s="1" t="s">
        <v>468</v>
      </c>
      <c r="BD208" s="1" t="s">
        <v>848</v>
      </c>
      <c r="BE208" s="1">
        <v>68.08</v>
      </c>
      <c r="BF208" s="1">
        <v>7.65</v>
      </c>
      <c r="BG208" s="1"/>
      <c r="BH208" s="1"/>
      <c r="BI208" s="1"/>
      <c r="BJ208" s="1"/>
      <c r="BK208" s="1"/>
      <c r="BL208" s="1"/>
      <c r="BM208" s="1"/>
      <c r="BN208" s="1"/>
      <c r="BO208" s="1" t="s">
        <v>4404</v>
      </c>
      <c r="BP208" s="1"/>
      <c r="BQ208" s="1"/>
      <c r="BR208" s="1" t="s">
        <v>4405</v>
      </c>
      <c r="BS208" s="1">
        <v>33</v>
      </c>
      <c r="BT208" s="1"/>
      <c r="BU208" s="1" t="str">
        <f>HYPERLINK("https://nconnect.nicmar.ac.in/storage/profile/6a8d67ed515a8.png","Download")</f>
        <v>0</v>
      </c>
      <c r="BV208" s="3"/>
      <c r="BW208" s="3"/>
    </row>
    <row r="209" spans="1:75">
      <c r="A209" s="1" t="s">
        <v>75</v>
      </c>
      <c r="B209" s="1" t="s">
        <v>446</v>
      </c>
      <c r="C209" s="1" t="s">
        <v>4406</v>
      </c>
      <c r="D209" s="1" t="s">
        <v>397</v>
      </c>
      <c r="E209" s="1" t="s">
        <v>116</v>
      </c>
      <c r="F209" s="1" t="s">
        <v>4407</v>
      </c>
      <c r="G209" s="1" t="s">
        <v>4408</v>
      </c>
      <c r="H209" s="1" t="s">
        <v>4409</v>
      </c>
      <c r="I209" s="1" t="s">
        <v>4410</v>
      </c>
      <c r="J209" s="1">
        <v>9886216180</v>
      </c>
      <c r="K209" s="1" t="s">
        <v>84</v>
      </c>
      <c r="L209" s="1" t="s">
        <v>4411</v>
      </c>
      <c r="M209" s="1" t="s">
        <v>86</v>
      </c>
      <c r="N209" s="1" t="s">
        <v>4412</v>
      </c>
      <c r="O209" s="1"/>
      <c r="P209" s="1" t="s">
        <v>455</v>
      </c>
      <c r="Q209" s="1" t="s">
        <v>4413</v>
      </c>
      <c r="R209" s="1" t="s">
        <v>4414</v>
      </c>
      <c r="S209" s="1">
        <v>9964599940</v>
      </c>
      <c r="T209" s="1" t="s">
        <v>4415</v>
      </c>
      <c r="U209" s="1" t="s">
        <v>4416</v>
      </c>
      <c r="V209" s="1">
        <v>9964599940</v>
      </c>
      <c r="W209" s="1" t="s">
        <v>2547</v>
      </c>
      <c r="X209" s="1" t="s">
        <v>4417</v>
      </c>
      <c r="Y209" s="1" t="s">
        <v>4418</v>
      </c>
      <c r="Z209" s="1" t="s">
        <v>1210</v>
      </c>
      <c r="AA209" s="1" t="s">
        <v>4417</v>
      </c>
      <c r="AB209" s="1" t="s">
        <v>4418</v>
      </c>
      <c r="AC209" s="1" t="s">
        <v>1210</v>
      </c>
      <c r="AD209" s="1">
        <v>7.33</v>
      </c>
      <c r="AE209" s="1" t="s">
        <v>98</v>
      </c>
      <c r="AF209" s="1" t="s">
        <v>4419</v>
      </c>
      <c r="AG209" s="1" t="s">
        <v>4420</v>
      </c>
      <c r="AH209" s="1" t="s">
        <v>171</v>
      </c>
      <c r="AI209" s="1" t="s">
        <v>313</v>
      </c>
      <c r="AJ209" s="1">
        <v>78.2</v>
      </c>
      <c r="AK209" s="1"/>
      <c r="AL209" s="1" t="s">
        <v>4421</v>
      </c>
      <c r="AM209" s="1" t="s">
        <v>4422</v>
      </c>
      <c r="AN209" s="1" t="s">
        <v>575</v>
      </c>
      <c r="AO209" s="1" t="s">
        <v>315</v>
      </c>
      <c r="AP209" s="1" t="s">
        <v>549</v>
      </c>
      <c r="AQ209" s="1">
        <v>78.5</v>
      </c>
      <c r="AR209" s="1"/>
      <c r="AS209" s="1"/>
      <c r="AT209" s="1"/>
      <c r="AU209" s="1"/>
      <c r="AV209" s="1"/>
      <c r="AW209" s="1"/>
      <c r="AX209" s="1"/>
      <c r="AY209" s="1" t="s">
        <v>1627</v>
      </c>
      <c r="AZ209" s="1" t="s">
        <v>4423</v>
      </c>
      <c r="BA209" s="1" t="s">
        <v>578</v>
      </c>
      <c r="BB209" s="1" t="s">
        <v>467</v>
      </c>
      <c r="BC209" s="1" t="s">
        <v>871</v>
      </c>
      <c r="BD209" s="1" t="s">
        <v>848</v>
      </c>
      <c r="BE209" s="1">
        <v>68.1</v>
      </c>
      <c r="BF209" s="1">
        <v>7.56</v>
      </c>
      <c r="BG209" s="1"/>
      <c r="BH209" s="1"/>
      <c r="BI209" s="1"/>
      <c r="BJ209" s="1"/>
      <c r="BK209" s="1"/>
      <c r="BL209" s="1"/>
      <c r="BM209" s="1"/>
      <c r="BN209" s="1"/>
      <c r="BO209" s="1" t="s">
        <v>4424</v>
      </c>
      <c r="BP209" s="1"/>
      <c r="BQ209" s="1"/>
      <c r="BR209" s="1" t="s">
        <v>4425</v>
      </c>
      <c r="BS209" s="1">
        <v>16</v>
      </c>
      <c r="BT209" s="1" t="s">
        <v>4426</v>
      </c>
      <c r="BU209" s="1" t="str">
        <f>HYPERLINK("https://nconnect.nicmar.ac.in/storage/profile/ProfilePhoto_P25700197_524673.jpg","Download")</f>
        <v>0</v>
      </c>
      <c r="BV209" s="3"/>
      <c r="BW209" s="3"/>
    </row>
    <row r="210" spans="1:75">
      <c r="A210" s="1" t="s">
        <v>75</v>
      </c>
      <c r="B210" s="1" t="s">
        <v>446</v>
      </c>
      <c r="C210" s="1" t="s">
        <v>4427</v>
      </c>
      <c r="D210" s="1" t="s">
        <v>4428</v>
      </c>
      <c r="E210" s="1" t="s">
        <v>2829</v>
      </c>
      <c r="F210" s="1" t="s">
        <v>784</v>
      </c>
      <c r="G210" s="1" t="s">
        <v>4429</v>
      </c>
      <c r="H210" s="1" t="s">
        <v>4430</v>
      </c>
      <c r="I210" s="1" t="s">
        <v>4431</v>
      </c>
      <c r="J210" s="1">
        <v>9776461408</v>
      </c>
      <c r="K210" s="1" t="s">
        <v>84</v>
      </c>
      <c r="L210" s="1" t="s">
        <v>3082</v>
      </c>
      <c r="M210" s="1" t="s">
        <v>86</v>
      </c>
      <c r="N210" s="1" t="s">
        <v>4432</v>
      </c>
      <c r="O210" s="1"/>
      <c r="P210" s="1" t="s">
        <v>455</v>
      </c>
      <c r="Q210" s="1" t="s">
        <v>4433</v>
      </c>
      <c r="R210" s="1" t="s">
        <v>4434</v>
      </c>
      <c r="S210" s="1">
        <v>9438108270</v>
      </c>
      <c r="T210" s="1" t="s">
        <v>2950</v>
      </c>
      <c r="U210" s="1" t="s">
        <v>4435</v>
      </c>
      <c r="V210" s="1">
        <v>9861137041</v>
      </c>
      <c r="W210" s="1" t="s">
        <v>127</v>
      </c>
      <c r="X210" s="1" t="s">
        <v>4436</v>
      </c>
      <c r="Y210" s="1" t="s">
        <v>4437</v>
      </c>
      <c r="Z210" s="1" t="s">
        <v>865</v>
      </c>
      <c r="AA210" s="1" t="s">
        <v>4436</v>
      </c>
      <c r="AB210" s="1" t="s">
        <v>4437</v>
      </c>
      <c r="AC210" s="1" t="s">
        <v>865</v>
      </c>
      <c r="AD210" s="1">
        <v>7.85</v>
      </c>
      <c r="AE210" s="1" t="s">
        <v>98</v>
      </c>
      <c r="AF210" s="1" t="s">
        <v>3792</v>
      </c>
      <c r="AG210" s="1" t="s">
        <v>4438</v>
      </c>
      <c r="AH210" s="1" t="s">
        <v>4439</v>
      </c>
      <c r="AI210" s="1" t="s">
        <v>573</v>
      </c>
      <c r="AJ210" s="1">
        <v>78.8</v>
      </c>
      <c r="AK210" s="1"/>
      <c r="AL210" s="1"/>
      <c r="AM210" s="1"/>
      <c r="AN210" s="1" t="s">
        <v>1062</v>
      </c>
      <c r="AO210" s="1"/>
      <c r="AP210" s="1"/>
      <c r="AQ210" s="1"/>
      <c r="AR210" s="1"/>
      <c r="AS210" s="1" t="s">
        <v>103</v>
      </c>
      <c r="AT210" s="1" t="s">
        <v>4440</v>
      </c>
      <c r="AU210" s="1" t="s">
        <v>230</v>
      </c>
      <c r="AV210" s="1" t="s">
        <v>175</v>
      </c>
      <c r="AW210" s="1">
        <v>79.84</v>
      </c>
      <c r="AX210" s="1"/>
      <c r="AY210" s="1" t="s">
        <v>4441</v>
      </c>
      <c r="AZ210" s="1" t="s">
        <v>4442</v>
      </c>
      <c r="BA210" s="1" t="s">
        <v>466</v>
      </c>
      <c r="BB210" s="1" t="s">
        <v>467</v>
      </c>
      <c r="BC210" s="1" t="s">
        <v>178</v>
      </c>
      <c r="BD210" s="1" t="s">
        <v>1242</v>
      </c>
      <c r="BE210" s="1">
        <v>63.7</v>
      </c>
      <c r="BF210" s="1">
        <v>6.87</v>
      </c>
      <c r="BG210" s="1"/>
      <c r="BH210" s="1"/>
      <c r="BI210" s="1"/>
      <c r="BJ210" s="1"/>
      <c r="BK210" s="1"/>
      <c r="BL210" s="1"/>
      <c r="BM210" s="1"/>
      <c r="BN210" s="1"/>
      <c r="BO210" s="1" t="s">
        <v>4443</v>
      </c>
      <c r="BP210" s="1" t="s">
        <v>4444</v>
      </c>
      <c r="BQ210" s="1" t="s">
        <v>292</v>
      </c>
      <c r="BR210" s="1" t="s">
        <v>4445</v>
      </c>
      <c r="BS210" s="1">
        <v>8</v>
      </c>
      <c r="BT210" s="1"/>
      <c r="BU210" s="1" t="str">
        <f>HYPERLINK("https://nconnect.nicmar.ac.in/storage/profile/ProfilePhoto_P25700198_974621.jpg","Download")</f>
        <v>0</v>
      </c>
      <c r="BV210" s="3"/>
      <c r="BW210" s="3"/>
    </row>
    <row r="211" spans="1:75">
      <c r="A211" s="1" t="s">
        <v>75</v>
      </c>
      <c r="B211" s="1" t="s">
        <v>446</v>
      </c>
      <c r="C211" s="1" t="s">
        <v>4446</v>
      </c>
      <c r="D211" s="1" t="s">
        <v>1505</v>
      </c>
      <c r="E211" s="1" t="s">
        <v>4447</v>
      </c>
      <c r="F211" s="1" t="s">
        <v>2429</v>
      </c>
      <c r="G211" s="1" t="s">
        <v>4448</v>
      </c>
      <c r="H211" s="1" t="s">
        <v>4449</v>
      </c>
      <c r="I211" s="1" t="s">
        <v>4450</v>
      </c>
      <c r="J211" s="1">
        <v>9307185858</v>
      </c>
      <c r="K211" s="1" t="s">
        <v>84</v>
      </c>
      <c r="L211" s="1" t="s">
        <v>4451</v>
      </c>
      <c r="M211" s="1" t="s">
        <v>86</v>
      </c>
      <c r="N211" s="1" t="s">
        <v>618</v>
      </c>
      <c r="O211" s="1"/>
      <c r="P211" s="1" t="s">
        <v>507</v>
      </c>
      <c r="Q211" s="1" t="s">
        <v>4452</v>
      </c>
      <c r="R211" s="1" t="s">
        <v>4447</v>
      </c>
      <c r="S211" s="1">
        <v>8698968383</v>
      </c>
      <c r="T211" s="1" t="s">
        <v>159</v>
      </c>
      <c r="U211" s="1" t="s">
        <v>4453</v>
      </c>
      <c r="V211" s="1">
        <v>9271985777</v>
      </c>
      <c r="W211" s="1" t="s">
        <v>161</v>
      </c>
      <c r="X211" s="1" t="s">
        <v>4454</v>
      </c>
      <c r="Y211" s="1" t="s">
        <v>1012</v>
      </c>
      <c r="Z211" s="1" t="s">
        <v>97</v>
      </c>
      <c r="AA211" s="1" t="s">
        <v>4454</v>
      </c>
      <c r="AB211" s="1" t="s">
        <v>1012</v>
      </c>
      <c r="AC211" s="1" t="s">
        <v>97</v>
      </c>
      <c r="AD211" s="1">
        <v>8.18</v>
      </c>
      <c r="AE211" s="1" t="s">
        <v>98</v>
      </c>
      <c r="AF211" s="1" t="s">
        <v>4455</v>
      </c>
      <c r="AG211" s="1" t="s">
        <v>626</v>
      </c>
      <c r="AH211" s="1" t="s">
        <v>106</v>
      </c>
      <c r="AI211" s="1" t="s">
        <v>313</v>
      </c>
      <c r="AJ211" s="1">
        <v>78</v>
      </c>
      <c r="AK211" s="1"/>
      <c r="AL211" s="1" t="s">
        <v>4456</v>
      </c>
      <c r="AM211" s="1" t="s">
        <v>629</v>
      </c>
      <c r="AN211" s="1" t="s">
        <v>465</v>
      </c>
      <c r="AO211" s="1" t="s">
        <v>890</v>
      </c>
      <c r="AP211" s="1" t="s">
        <v>441</v>
      </c>
      <c r="AQ211" s="1">
        <v>78.67</v>
      </c>
      <c r="AR211" s="1"/>
      <c r="AS211" s="1"/>
      <c r="AT211" s="1"/>
      <c r="AU211" s="1"/>
      <c r="AV211" s="1"/>
      <c r="AW211" s="1"/>
      <c r="AX211" s="1"/>
      <c r="AY211" s="1" t="s">
        <v>680</v>
      </c>
      <c r="AZ211" s="1" t="s">
        <v>4457</v>
      </c>
      <c r="BA211" s="1" t="s">
        <v>578</v>
      </c>
      <c r="BB211" s="1" t="s">
        <v>467</v>
      </c>
      <c r="BC211" s="1" t="s">
        <v>549</v>
      </c>
      <c r="BD211" s="1" t="s">
        <v>848</v>
      </c>
      <c r="BE211" s="1">
        <v>70.01</v>
      </c>
      <c r="BF211" s="1">
        <v>7.84</v>
      </c>
      <c r="BG211" s="1"/>
      <c r="BH211" s="1"/>
      <c r="BI211" s="1"/>
      <c r="BJ211" s="1"/>
      <c r="BK211" s="1"/>
      <c r="BL211" s="1"/>
      <c r="BM211" s="1"/>
      <c r="BN211" s="1"/>
      <c r="BO211" s="1" t="s">
        <v>1114</v>
      </c>
      <c r="BP211" s="1"/>
      <c r="BQ211" s="1"/>
      <c r="BR211" s="1" t="s">
        <v>4458</v>
      </c>
      <c r="BS211" s="1">
        <v>15</v>
      </c>
      <c r="BT211" s="1"/>
      <c r="BU211" s="1" t="str">
        <f>HYPERLINK("https://nconnect.nicmar.ac.in/storage/profile/ProfilePhoto_P25700200_862795.jpg","Download")</f>
        <v>0</v>
      </c>
      <c r="BV211" s="3"/>
      <c r="BW211" s="3"/>
    </row>
    <row r="212" spans="1:75">
      <c r="A212" s="1" t="s">
        <v>75</v>
      </c>
      <c r="B212" s="1" t="s">
        <v>446</v>
      </c>
      <c r="C212" s="1" t="s">
        <v>4459</v>
      </c>
      <c r="D212" s="1" t="s">
        <v>4460</v>
      </c>
      <c r="E212" s="1"/>
      <c r="F212" s="1" t="s">
        <v>4461</v>
      </c>
      <c r="G212" s="1" t="s">
        <v>4462</v>
      </c>
      <c r="H212" s="1" t="s">
        <v>4463</v>
      </c>
      <c r="I212" s="1" t="s">
        <v>4464</v>
      </c>
      <c r="J212" s="1">
        <v>9353411914</v>
      </c>
      <c r="K212" s="1" t="s">
        <v>84</v>
      </c>
      <c r="L212" s="1" t="s">
        <v>4465</v>
      </c>
      <c r="M212" s="1" t="s">
        <v>86</v>
      </c>
      <c r="N212" s="1" t="s">
        <v>4466</v>
      </c>
      <c r="O212" s="1"/>
      <c r="P212" s="1" t="s">
        <v>507</v>
      </c>
      <c r="Q212" s="1" t="s">
        <v>4467</v>
      </c>
      <c r="R212" s="1" t="s">
        <v>4468</v>
      </c>
      <c r="S212" s="1">
        <v>8151830711</v>
      </c>
      <c r="T212" s="1" t="s">
        <v>125</v>
      </c>
      <c r="U212" s="1" t="s">
        <v>4469</v>
      </c>
      <c r="V212" s="1">
        <v>8618808660</v>
      </c>
      <c r="W212" s="1" t="s">
        <v>125</v>
      </c>
      <c r="X212" s="1" t="s">
        <v>4470</v>
      </c>
      <c r="Y212" s="1" t="s">
        <v>3132</v>
      </c>
      <c r="Z212" s="1" t="s">
        <v>1210</v>
      </c>
      <c r="AA212" s="1" t="s">
        <v>4470</v>
      </c>
      <c r="AB212" s="1" t="s">
        <v>3132</v>
      </c>
      <c r="AC212" s="1" t="s">
        <v>1210</v>
      </c>
      <c r="AD212" s="1">
        <v>7.85</v>
      </c>
      <c r="AE212" s="1" t="s">
        <v>98</v>
      </c>
      <c r="AF212" s="1" t="s">
        <v>4471</v>
      </c>
      <c r="AG212" s="1" t="s">
        <v>4472</v>
      </c>
      <c r="AH212" s="1" t="s">
        <v>1393</v>
      </c>
      <c r="AI212" s="1" t="s">
        <v>414</v>
      </c>
      <c r="AJ212" s="1">
        <v>80.8</v>
      </c>
      <c r="AK212" s="1">
        <v>0</v>
      </c>
      <c r="AL212" s="1" t="s">
        <v>4473</v>
      </c>
      <c r="AM212" s="1" t="s">
        <v>4474</v>
      </c>
      <c r="AN212" s="1"/>
      <c r="AO212" s="1" t="s">
        <v>547</v>
      </c>
      <c r="AP212" s="1" t="s">
        <v>549</v>
      </c>
      <c r="AQ212" s="1">
        <v>81.4</v>
      </c>
      <c r="AR212" s="1">
        <v>0</v>
      </c>
      <c r="AS212" s="1"/>
      <c r="AT212" s="1"/>
      <c r="AU212" s="1"/>
      <c r="AV212" s="1"/>
      <c r="AW212" s="1"/>
      <c r="AX212" s="1"/>
      <c r="AY212" s="1" t="s">
        <v>550</v>
      </c>
      <c r="AZ212" s="1" t="s">
        <v>4475</v>
      </c>
      <c r="BA212" s="1"/>
      <c r="BB212" s="1"/>
      <c r="BC212" s="1" t="s">
        <v>441</v>
      </c>
      <c r="BD212" s="1" t="s">
        <v>607</v>
      </c>
      <c r="BE212" s="1">
        <v>75.7</v>
      </c>
      <c r="BF212" s="1">
        <v>7.57</v>
      </c>
      <c r="BG212" s="1"/>
      <c r="BH212" s="1"/>
      <c r="BI212" s="1"/>
      <c r="BJ212" s="1"/>
      <c r="BK212" s="1"/>
      <c r="BL212" s="1"/>
      <c r="BM212" s="1"/>
      <c r="BN212" s="1"/>
      <c r="BO212" s="1" t="s">
        <v>260</v>
      </c>
      <c r="BP212" s="1"/>
      <c r="BQ212" s="1"/>
      <c r="BR212" s="1" t="s">
        <v>4476</v>
      </c>
      <c r="BS212" s="1">
        <v>12</v>
      </c>
      <c r="BT212" s="1"/>
      <c r="BU212" s="1" t="str">
        <f>HYPERLINK("https://nconnect.nicmar.ac.in/storage/profile/ProfilePhoto_P25700201_524138.jpg","Download")</f>
        <v>0</v>
      </c>
      <c r="BV212" s="3"/>
      <c r="BW212" s="3"/>
    </row>
    <row r="213" spans="1:75">
      <c r="A213" s="1" t="s">
        <v>75</v>
      </c>
      <c r="B213" s="1" t="s">
        <v>446</v>
      </c>
      <c r="C213" s="1" t="s">
        <v>4477</v>
      </c>
      <c r="D213" s="1" t="s">
        <v>4478</v>
      </c>
      <c r="E213" s="1" t="s">
        <v>1361</v>
      </c>
      <c r="F213" s="1" t="s">
        <v>350</v>
      </c>
      <c r="G213" s="1" t="s">
        <v>4479</v>
      </c>
      <c r="H213" s="1" t="s">
        <v>4480</v>
      </c>
      <c r="I213" s="1" t="s">
        <v>4481</v>
      </c>
      <c r="J213" s="1">
        <v>9606016692</v>
      </c>
      <c r="K213" s="1" t="s">
        <v>84</v>
      </c>
      <c r="L213" s="1" t="s">
        <v>4482</v>
      </c>
      <c r="M213" s="1" t="s">
        <v>86</v>
      </c>
      <c r="N213" s="1" t="s">
        <v>4483</v>
      </c>
      <c r="O213" s="1"/>
      <c r="P213" s="1" t="s">
        <v>1028</v>
      </c>
      <c r="Q213" s="1" t="s">
        <v>4484</v>
      </c>
      <c r="R213" s="1" t="s">
        <v>4485</v>
      </c>
      <c r="S213" s="1">
        <v>9449109576</v>
      </c>
      <c r="T213" s="1" t="s">
        <v>4486</v>
      </c>
      <c r="U213" s="1" t="s">
        <v>4487</v>
      </c>
      <c r="V213" s="1">
        <v>9035882994</v>
      </c>
      <c r="W213" s="1" t="s">
        <v>278</v>
      </c>
      <c r="X213" s="1" t="s">
        <v>4488</v>
      </c>
      <c r="Y213" s="1" t="s">
        <v>3132</v>
      </c>
      <c r="Z213" s="1" t="s">
        <v>1210</v>
      </c>
      <c r="AA213" s="1" t="s">
        <v>4488</v>
      </c>
      <c r="AB213" s="1" t="s">
        <v>3132</v>
      </c>
      <c r="AC213" s="1" t="s">
        <v>1210</v>
      </c>
      <c r="AD213" s="1">
        <v>8.62</v>
      </c>
      <c r="AE213" s="1" t="s">
        <v>98</v>
      </c>
      <c r="AF213" s="1" t="s">
        <v>4489</v>
      </c>
      <c r="AG213" s="1" t="s">
        <v>4490</v>
      </c>
      <c r="AH213" s="1" t="s">
        <v>170</v>
      </c>
      <c r="AI213" s="1" t="s">
        <v>171</v>
      </c>
      <c r="AJ213" s="1">
        <v>69.8</v>
      </c>
      <c r="AK213" s="1">
        <v>0</v>
      </c>
      <c r="AL213" s="1" t="s">
        <v>4491</v>
      </c>
      <c r="AM213" s="1" t="s">
        <v>4492</v>
      </c>
      <c r="AN213" s="1"/>
      <c r="AO213" s="1" t="s">
        <v>438</v>
      </c>
      <c r="AP213" s="1" t="s">
        <v>178</v>
      </c>
      <c r="AQ213" s="1">
        <v>87.16</v>
      </c>
      <c r="AR213" s="1"/>
      <c r="AS213" s="1"/>
      <c r="AT213" s="1"/>
      <c r="AU213" s="1"/>
      <c r="AV213" s="1"/>
      <c r="AW213" s="1"/>
      <c r="AX213" s="1"/>
      <c r="AY213" s="1" t="s">
        <v>4493</v>
      </c>
      <c r="AZ213" s="1" t="s">
        <v>550</v>
      </c>
      <c r="BA213" s="1"/>
      <c r="BB213" s="1"/>
      <c r="BC213" s="1" t="s">
        <v>178</v>
      </c>
      <c r="BD213" s="1" t="s">
        <v>1089</v>
      </c>
      <c r="BE213" s="1">
        <v>87.1</v>
      </c>
      <c r="BF213" s="1">
        <v>8.71</v>
      </c>
      <c r="BG213" s="1"/>
      <c r="BH213" s="1"/>
      <c r="BI213" s="1"/>
      <c r="BJ213" s="1"/>
      <c r="BK213" s="1"/>
      <c r="BL213" s="1"/>
      <c r="BM213" s="1"/>
      <c r="BN213" s="1"/>
      <c r="BO213" s="1" t="s">
        <v>4494</v>
      </c>
      <c r="BP213" s="1" t="s">
        <v>4495</v>
      </c>
      <c r="BQ213" s="1" t="s">
        <v>2116</v>
      </c>
      <c r="BR213" s="1" t="s">
        <v>4496</v>
      </c>
      <c r="BS213" s="1">
        <v>35</v>
      </c>
      <c r="BT213" s="1"/>
      <c r="BU213" s="1" t="str">
        <f>HYPERLINK("https://nconnect.nicmar.ac.in/storage/profile/ProfilePhoto_P25700202_916537.jpg","Download")</f>
        <v>0</v>
      </c>
      <c r="BV213" s="3"/>
      <c r="BW213" s="3"/>
    </row>
    <row r="214" spans="1:75">
      <c r="A214" s="1" t="s">
        <v>75</v>
      </c>
      <c r="B214" s="1" t="s">
        <v>446</v>
      </c>
      <c r="C214" s="1" t="s">
        <v>4497</v>
      </c>
      <c r="D214" s="1" t="s">
        <v>4498</v>
      </c>
      <c r="E214" s="1" t="s">
        <v>4499</v>
      </c>
      <c r="F214" s="1" t="s">
        <v>4500</v>
      </c>
      <c r="G214" s="1" t="s">
        <v>4501</v>
      </c>
      <c r="H214" s="1" t="s">
        <v>4502</v>
      </c>
      <c r="I214" s="1" t="s">
        <v>4503</v>
      </c>
      <c r="J214" s="1">
        <v>8788046868</v>
      </c>
      <c r="K214" s="1" t="s">
        <v>84</v>
      </c>
      <c r="L214" s="1" t="s">
        <v>4504</v>
      </c>
      <c r="M214" s="1" t="s">
        <v>86</v>
      </c>
      <c r="N214" s="1" t="s">
        <v>618</v>
      </c>
      <c r="O214" s="1"/>
      <c r="P214" s="1" t="s">
        <v>481</v>
      </c>
      <c r="Q214" s="1" t="s">
        <v>4505</v>
      </c>
      <c r="R214" s="1" t="s">
        <v>4506</v>
      </c>
      <c r="S214" s="1">
        <v>9657808791</v>
      </c>
      <c r="T214" s="1" t="s">
        <v>92</v>
      </c>
      <c r="U214" s="1" t="s">
        <v>4507</v>
      </c>
      <c r="V214" s="1">
        <v>9518747372</v>
      </c>
      <c r="W214" s="1" t="s">
        <v>4508</v>
      </c>
      <c r="X214" s="1" t="s">
        <v>4509</v>
      </c>
      <c r="Y214" s="1" t="s">
        <v>1033</v>
      </c>
      <c r="Z214" s="1" t="s">
        <v>97</v>
      </c>
      <c r="AA214" s="1" t="s">
        <v>4509</v>
      </c>
      <c r="AB214" s="1" t="s">
        <v>1033</v>
      </c>
      <c r="AC214" s="1" t="s">
        <v>97</v>
      </c>
      <c r="AD214" s="1">
        <v>8.46</v>
      </c>
      <c r="AE214" s="1" t="s">
        <v>98</v>
      </c>
      <c r="AF214" s="1" t="s">
        <v>4510</v>
      </c>
      <c r="AG214" s="1" t="s">
        <v>2379</v>
      </c>
      <c r="AH214" s="1" t="s">
        <v>167</v>
      </c>
      <c r="AI214" s="1" t="s">
        <v>170</v>
      </c>
      <c r="AJ214" s="1">
        <v>78.4</v>
      </c>
      <c r="AK214" s="1"/>
      <c r="AL214" s="1"/>
      <c r="AM214" s="1"/>
      <c r="AN214" s="1" t="s">
        <v>1062</v>
      </c>
      <c r="AO214" s="1"/>
      <c r="AP214" s="1"/>
      <c r="AQ214" s="1"/>
      <c r="AR214" s="1"/>
      <c r="AS214" s="1" t="s">
        <v>103</v>
      </c>
      <c r="AT214" s="1" t="s">
        <v>4511</v>
      </c>
      <c r="AU214" s="1" t="s">
        <v>230</v>
      </c>
      <c r="AV214" s="1" t="s">
        <v>175</v>
      </c>
      <c r="AW214" s="1">
        <v>93.53</v>
      </c>
      <c r="AX214" s="1"/>
      <c r="AY214" s="1" t="s">
        <v>4512</v>
      </c>
      <c r="AZ214" s="1" t="s">
        <v>4513</v>
      </c>
      <c r="BA214" s="1" t="s">
        <v>466</v>
      </c>
      <c r="BB214" s="1" t="s">
        <v>467</v>
      </c>
      <c r="BC214" s="1" t="s">
        <v>175</v>
      </c>
      <c r="BD214" s="1" t="s">
        <v>179</v>
      </c>
      <c r="BE214" s="1">
        <v>86</v>
      </c>
      <c r="BF214" s="1">
        <v>9.1</v>
      </c>
      <c r="BG214" s="1"/>
      <c r="BH214" s="1"/>
      <c r="BI214" s="1"/>
      <c r="BJ214" s="1"/>
      <c r="BK214" s="1"/>
      <c r="BL214" s="1"/>
      <c r="BM214" s="1"/>
      <c r="BN214" s="1"/>
      <c r="BO214" s="1" t="s">
        <v>4514</v>
      </c>
      <c r="BP214" s="1" t="s">
        <v>4515</v>
      </c>
      <c r="BQ214" s="1" t="s">
        <v>1174</v>
      </c>
      <c r="BR214" s="1" t="s">
        <v>4516</v>
      </c>
      <c r="BS214" s="1">
        <v>8</v>
      </c>
      <c r="BT214" s="1" t="s">
        <v>4517</v>
      </c>
      <c r="BU214" s="1" t="str">
        <f>HYPERLINK("https://nconnect.nicmar.ac.in/storage/profile/ProfilePhoto_P25700203_758261.jpg","Download")</f>
        <v>0</v>
      </c>
      <c r="BV214" s="3"/>
      <c r="BW214" s="3"/>
    </row>
    <row r="215" spans="1:75">
      <c r="A215" s="1" t="s">
        <v>75</v>
      </c>
      <c r="B215" s="1" t="s">
        <v>446</v>
      </c>
      <c r="C215" s="1" t="s">
        <v>4518</v>
      </c>
      <c r="D215" s="1" t="s">
        <v>4519</v>
      </c>
      <c r="E215" s="1"/>
      <c r="F215" s="1" t="s">
        <v>4520</v>
      </c>
      <c r="G215" s="1" t="s">
        <v>4521</v>
      </c>
      <c r="H215" s="1" t="s">
        <v>4522</v>
      </c>
      <c r="I215" s="1" t="s">
        <v>4523</v>
      </c>
      <c r="J215" s="1">
        <v>7023444350</v>
      </c>
      <c r="K215" s="1" t="s">
        <v>84</v>
      </c>
      <c r="L215" s="1" t="s">
        <v>4524</v>
      </c>
      <c r="M215" s="1" t="s">
        <v>86</v>
      </c>
      <c r="N215" s="1" t="s">
        <v>355</v>
      </c>
      <c r="O215" s="1"/>
      <c r="P215" s="1" t="s">
        <v>481</v>
      </c>
      <c r="Q215" s="1" t="s">
        <v>4525</v>
      </c>
      <c r="R215" s="1" t="s">
        <v>4526</v>
      </c>
      <c r="S215" s="1">
        <v>9413364350</v>
      </c>
      <c r="T215" s="1" t="s">
        <v>1620</v>
      </c>
      <c r="U215" s="1" t="s">
        <v>4527</v>
      </c>
      <c r="V215" s="1">
        <v>7877437721</v>
      </c>
      <c r="W215" s="1" t="s">
        <v>161</v>
      </c>
      <c r="X215" s="1" t="s">
        <v>4528</v>
      </c>
      <c r="Y215" s="1" t="s">
        <v>4529</v>
      </c>
      <c r="Z215" s="1" t="s">
        <v>2153</v>
      </c>
      <c r="AA215" s="1" t="s">
        <v>4528</v>
      </c>
      <c r="AB215" s="1" t="s">
        <v>4529</v>
      </c>
      <c r="AC215" s="1" t="s">
        <v>2153</v>
      </c>
      <c r="AD215" s="1">
        <v>0.0</v>
      </c>
      <c r="AE215" s="1" t="s">
        <v>98</v>
      </c>
      <c r="AF215" s="1" t="s">
        <v>4530</v>
      </c>
      <c r="AG215" s="1" t="s">
        <v>4531</v>
      </c>
      <c r="AH215" s="1" t="s">
        <v>704</v>
      </c>
      <c r="AI215" s="1" t="s">
        <v>171</v>
      </c>
      <c r="AJ215" s="1">
        <v>77</v>
      </c>
      <c r="AK215" s="1"/>
      <c r="AL215" s="1" t="s">
        <v>4532</v>
      </c>
      <c r="AM215" s="1" t="s">
        <v>4533</v>
      </c>
      <c r="AN215" s="1"/>
      <c r="AO215" s="1" t="s">
        <v>438</v>
      </c>
      <c r="AP215" s="1" t="s">
        <v>178</v>
      </c>
      <c r="AQ215" s="1">
        <v>69.3</v>
      </c>
      <c r="AR215" s="1"/>
      <c r="AS215" s="1"/>
      <c r="AT215" s="1"/>
      <c r="AU215" s="1"/>
      <c r="AV215" s="1"/>
      <c r="AW215" s="1"/>
      <c r="AX215" s="1"/>
      <c r="AY215" s="1" t="s">
        <v>4534</v>
      </c>
      <c r="AZ215" s="1" t="s">
        <v>4535</v>
      </c>
      <c r="BA215" s="1"/>
      <c r="BB215" s="1"/>
      <c r="BC215" s="1" t="s">
        <v>178</v>
      </c>
      <c r="BD215" s="1" t="s">
        <v>418</v>
      </c>
      <c r="BE215" s="1">
        <v>62.9</v>
      </c>
      <c r="BF215" s="1">
        <v>6.29</v>
      </c>
      <c r="BG215" s="1"/>
      <c r="BH215" s="1"/>
      <c r="BI215" s="1"/>
      <c r="BJ215" s="1"/>
      <c r="BK215" s="1"/>
      <c r="BL215" s="1"/>
      <c r="BM215" s="1"/>
      <c r="BN215" s="1"/>
      <c r="BO215" s="1" t="s">
        <v>1114</v>
      </c>
      <c r="BP215" s="1"/>
      <c r="BQ215" s="1"/>
      <c r="BR215" s="1" t="s">
        <v>4536</v>
      </c>
      <c r="BS215" s="1">
        <v>52</v>
      </c>
      <c r="BT215" s="1"/>
      <c r="BU215" s="1" t="str">
        <f>HYPERLINK("https://nconnect.nicmar.ac.in/storage/profile/ProfilePhoto_P25700204_948512.jpg","Download")</f>
        <v>0</v>
      </c>
      <c r="BV215" s="3"/>
      <c r="BW215" s="3"/>
    </row>
    <row r="216" spans="1:75">
      <c r="A216" s="1" t="s">
        <v>75</v>
      </c>
      <c r="B216" s="1" t="s">
        <v>446</v>
      </c>
      <c r="C216" s="1" t="s">
        <v>4537</v>
      </c>
      <c r="D216" s="1" t="s">
        <v>3891</v>
      </c>
      <c r="E216" s="1" t="s">
        <v>4538</v>
      </c>
      <c r="F216" s="1" t="s">
        <v>4539</v>
      </c>
      <c r="G216" s="1" t="s">
        <v>4540</v>
      </c>
      <c r="H216" s="1" t="s">
        <v>4541</v>
      </c>
      <c r="I216" s="1" t="s">
        <v>4542</v>
      </c>
      <c r="J216" s="1">
        <v>7248985170</v>
      </c>
      <c r="K216" s="1" t="s">
        <v>84</v>
      </c>
      <c r="L216" s="1" t="s">
        <v>4219</v>
      </c>
      <c r="M216" s="1" t="s">
        <v>86</v>
      </c>
      <c r="N216" s="1" t="s">
        <v>768</v>
      </c>
      <c r="O216" s="1"/>
      <c r="P216" s="1" t="s">
        <v>507</v>
      </c>
      <c r="Q216" s="1" t="s">
        <v>4543</v>
      </c>
      <c r="R216" s="1" t="s">
        <v>4538</v>
      </c>
      <c r="S216" s="1">
        <v>9767386868</v>
      </c>
      <c r="T216" s="1" t="s">
        <v>839</v>
      </c>
      <c r="U216" s="1" t="s">
        <v>4544</v>
      </c>
      <c r="V216" s="1">
        <v>7385212306</v>
      </c>
      <c r="W216" s="1" t="s">
        <v>127</v>
      </c>
      <c r="X216" s="1" t="s">
        <v>4545</v>
      </c>
      <c r="Y216" s="1" t="s">
        <v>1989</v>
      </c>
      <c r="Z216" s="1" t="s">
        <v>97</v>
      </c>
      <c r="AA216" s="1" t="s">
        <v>4545</v>
      </c>
      <c r="AB216" s="1" t="s">
        <v>1989</v>
      </c>
      <c r="AC216" s="1" t="s">
        <v>97</v>
      </c>
      <c r="AD216" s="1">
        <v>8.59</v>
      </c>
      <c r="AE216" s="1" t="s">
        <v>98</v>
      </c>
      <c r="AF216" s="1" t="s">
        <v>4546</v>
      </c>
      <c r="AG216" s="1" t="s">
        <v>2670</v>
      </c>
      <c r="AH216" s="1" t="s">
        <v>101</v>
      </c>
      <c r="AI216" s="1" t="s">
        <v>166</v>
      </c>
      <c r="AJ216" s="1">
        <v>80.8</v>
      </c>
      <c r="AK216" s="1"/>
      <c r="AL216" s="1"/>
      <c r="AM216" s="1"/>
      <c r="AN216" s="1" t="s">
        <v>1062</v>
      </c>
      <c r="AO216" s="1"/>
      <c r="AP216" s="1"/>
      <c r="AQ216" s="1"/>
      <c r="AR216" s="1"/>
      <c r="AS216" s="1" t="s">
        <v>103</v>
      </c>
      <c r="AT216" s="1" t="s">
        <v>4547</v>
      </c>
      <c r="AU216" s="1" t="s">
        <v>166</v>
      </c>
      <c r="AV216" s="1" t="s">
        <v>171</v>
      </c>
      <c r="AW216" s="1">
        <v>72.3</v>
      </c>
      <c r="AX216" s="1"/>
      <c r="AY216" s="1" t="s">
        <v>4548</v>
      </c>
      <c r="AZ216" s="1" t="s">
        <v>4549</v>
      </c>
      <c r="BA216" s="1" t="s">
        <v>578</v>
      </c>
      <c r="BB216" s="1" t="s">
        <v>467</v>
      </c>
      <c r="BC216" s="1" t="s">
        <v>1065</v>
      </c>
      <c r="BD216" s="1" t="s">
        <v>847</v>
      </c>
      <c r="BE216" s="1">
        <v>75.25</v>
      </c>
      <c r="BF216" s="1">
        <v>8.92</v>
      </c>
      <c r="BG216" s="1"/>
      <c r="BH216" s="1"/>
      <c r="BI216" s="1"/>
      <c r="BJ216" s="1"/>
      <c r="BK216" s="1"/>
      <c r="BL216" s="1"/>
      <c r="BM216" s="1"/>
      <c r="BN216" s="1"/>
      <c r="BO216" s="1" t="s">
        <v>4550</v>
      </c>
      <c r="BP216" s="1" t="s">
        <v>4551</v>
      </c>
      <c r="BQ216" s="1" t="s">
        <v>4552</v>
      </c>
      <c r="BR216" s="1" t="s">
        <v>4553</v>
      </c>
      <c r="BS216" s="1">
        <v>7</v>
      </c>
      <c r="BT216" s="1" t="s">
        <v>4554</v>
      </c>
      <c r="BU216" s="1" t="str">
        <f>HYPERLINK("https://nconnect.nicmar.ac.in/storage/profile/ProfilePhoto_P25700205_853246.jpg","Download")</f>
        <v>0</v>
      </c>
      <c r="BV216" s="3"/>
      <c r="BW216" s="3"/>
    </row>
    <row r="217" spans="1:75">
      <c r="A217" s="1" t="s">
        <v>75</v>
      </c>
      <c r="B217" s="1" t="s">
        <v>446</v>
      </c>
      <c r="C217" s="1" t="s">
        <v>4555</v>
      </c>
      <c r="D217" s="1" t="s">
        <v>348</v>
      </c>
      <c r="E217" s="1"/>
      <c r="F217" s="1" t="s">
        <v>1320</v>
      </c>
      <c r="G217" s="1" t="s">
        <v>4556</v>
      </c>
      <c r="H217" s="1" t="s">
        <v>4557</v>
      </c>
      <c r="I217" s="1" t="s">
        <v>4558</v>
      </c>
      <c r="J217" s="1">
        <v>7017234043</v>
      </c>
      <c r="K217" s="1" t="s">
        <v>84</v>
      </c>
      <c r="L217" s="1" t="s">
        <v>4559</v>
      </c>
      <c r="M217" s="1" t="s">
        <v>86</v>
      </c>
      <c r="N217" s="1" t="s">
        <v>4278</v>
      </c>
      <c r="O217" s="1"/>
      <c r="P217" s="1" t="s">
        <v>507</v>
      </c>
      <c r="Q217" s="1" t="s">
        <v>4560</v>
      </c>
      <c r="R217" s="1" t="s">
        <v>4561</v>
      </c>
      <c r="S217" s="1">
        <v>9472028059</v>
      </c>
      <c r="T217" s="1" t="s">
        <v>4562</v>
      </c>
      <c r="U217" s="1" t="s">
        <v>4563</v>
      </c>
      <c r="V217" s="1">
        <v>9304728352</v>
      </c>
      <c r="W217" s="1" t="s">
        <v>161</v>
      </c>
      <c r="X217" s="1" t="s">
        <v>4564</v>
      </c>
      <c r="Y217" s="1" t="s">
        <v>648</v>
      </c>
      <c r="Z217" s="1" t="s">
        <v>649</v>
      </c>
      <c r="AA217" s="1" t="s">
        <v>4564</v>
      </c>
      <c r="AB217" s="1" t="s">
        <v>648</v>
      </c>
      <c r="AC217" s="1" t="s">
        <v>649</v>
      </c>
      <c r="AD217" s="1">
        <v>8.92</v>
      </c>
      <c r="AE217" s="1" t="s">
        <v>98</v>
      </c>
      <c r="AF217" s="1" t="s">
        <v>4565</v>
      </c>
      <c r="AG217" s="1" t="s">
        <v>4566</v>
      </c>
      <c r="AH217" s="1" t="s">
        <v>3285</v>
      </c>
      <c r="AI217" s="1" t="s">
        <v>2726</v>
      </c>
      <c r="AJ217" s="1">
        <v>91.2</v>
      </c>
      <c r="AK217" s="1">
        <v>9.6</v>
      </c>
      <c r="AL217" s="1" t="s">
        <v>4567</v>
      </c>
      <c r="AM217" s="1" t="s">
        <v>4568</v>
      </c>
      <c r="AN217" s="1" t="s">
        <v>465</v>
      </c>
      <c r="AO217" s="1" t="s">
        <v>101</v>
      </c>
      <c r="AP217" s="1" t="s">
        <v>136</v>
      </c>
      <c r="AQ217" s="1">
        <v>71.4</v>
      </c>
      <c r="AR217" s="1">
        <v>0</v>
      </c>
      <c r="AS217" s="1"/>
      <c r="AT217" s="1"/>
      <c r="AU217" s="1"/>
      <c r="AV217" s="1"/>
      <c r="AW217" s="1"/>
      <c r="AX217" s="1"/>
      <c r="AY217" s="1" t="s">
        <v>4569</v>
      </c>
      <c r="AZ217" s="1" t="s">
        <v>4570</v>
      </c>
      <c r="BA217" s="1" t="s">
        <v>466</v>
      </c>
      <c r="BB217" s="1" t="s">
        <v>467</v>
      </c>
      <c r="BC217" s="1" t="s">
        <v>342</v>
      </c>
      <c r="BD217" s="1" t="s">
        <v>313</v>
      </c>
      <c r="BE217" s="1">
        <v>77</v>
      </c>
      <c r="BF217" s="1">
        <v>7.7</v>
      </c>
      <c r="BG217" s="1" t="s">
        <v>4571</v>
      </c>
      <c r="BH217" s="1" t="s">
        <v>1586</v>
      </c>
      <c r="BI217" s="1" t="s">
        <v>2209</v>
      </c>
      <c r="BJ217" s="1" t="s">
        <v>4572</v>
      </c>
      <c r="BK217" s="1" t="s">
        <v>552</v>
      </c>
      <c r="BL217" s="1" t="s">
        <v>4573</v>
      </c>
      <c r="BM217" s="1">
        <v>70.6</v>
      </c>
      <c r="BN217" s="1">
        <v>7.56</v>
      </c>
      <c r="BO217" s="1" t="s">
        <v>4574</v>
      </c>
      <c r="BP217" s="1" t="s">
        <v>4575</v>
      </c>
      <c r="BQ217" s="1" t="s">
        <v>3291</v>
      </c>
      <c r="BR217" s="1" t="s">
        <v>4576</v>
      </c>
      <c r="BS217" s="1">
        <v>37</v>
      </c>
      <c r="BT217" s="1" t="s">
        <v>4577</v>
      </c>
      <c r="BU217" s="1" t="str">
        <f>HYPERLINK("https://nconnect.nicmar.ac.in/storage/profile/ProfilePhoto_P25700206_719562.jpg","Download")</f>
        <v>0</v>
      </c>
      <c r="BV217" s="3"/>
      <c r="BW217" s="3"/>
    </row>
    <row r="218" spans="1:75">
      <c r="A218" s="1" t="s">
        <v>75</v>
      </c>
      <c r="B218" s="1" t="s">
        <v>446</v>
      </c>
      <c r="C218" s="1" t="s">
        <v>4578</v>
      </c>
      <c r="D218" s="1" t="s">
        <v>4579</v>
      </c>
      <c r="E218" s="1"/>
      <c r="F218" s="1" t="s">
        <v>2772</v>
      </c>
      <c r="G218" s="1" t="s">
        <v>4580</v>
      </c>
      <c r="H218" s="1" t="s">
        <v>4581</v>
      </c>
      <c r="I218" s="1" t="s">
        <v>4582</v>
      </c>
      <c r="J218" s="1">
        <v>7618750839</v>
      </c>
      <c r="K218" s="1" t="s">
        <v>153</v>
      </c>
      <c r="L218" s="1" t="s">
        <v>4583</v>
      </c>
      <c r="M218" s="1" t="s">
        <v>86</v>
      </c>
      <c r="N218" s="1" t="s">
        <v>4584</v>
      </c>
      <c r="O218" s="1"/>
      <c r="P218" s="1" t="s">
        <v>481</v>
      </c>
      <c r="Q218" s="1" t="s">
        <v>4585</v>
      </c>
      <c r="R218" s="1" t="s">
        <v>4586</v>
      </c>
      <c r="S218" s="1">
        <v>9972864548</v>
      </c>
      <c r="T218" s="1" t="s">
        <v>4587</v>
      </c>
      <c r="U218" s="1" t="s">
        <v>4588</v>
      </c>
      <c r="V218" s="1">
        <v>8618172219</v>
      </c>
      <c r="W218" s="1" t="s">
        <v>278</v>
      </c>
      <c r="X218" s="1" t="s">
        <v>4589</v>
      </c>
      <c r="Y218" s="1" t="s">
        <v>4590</v>
      </c>
      <c r="Z218" s="1" t="s">
        <v>1210</v>
      </c>
      <c r="AA218" s="1" t="s">
        <v>4589</v>
      </c>
      <c r="AB218" s="1" t="s">
        <v>4590</v>
      </c>
      <c r="AC218" s="1" t="s">
        <v>1210</v>
      </c>
      <c r="AD218" s="1">
        <v>7.31</v>
      </c>
      <c r="AE218" s="1" t="s">
        <v>98</v>
      </c>
      <c r="AF218" s="1" t="s">
        <v>4591</v>
      </c>
      <c r="AG218" s="1" t="s">
        <v>4592</v>
      </c>
      <c r="AH218" s="1" t="s">
        <v>4593</v>
      </c>
      <c r="AI218" s="1" t="s">
        <v>171</v>
      </c>
      <c r="AJ218" s="1">
        <v>65</v>
      </c>
      <c r="AK218" s="1">
        <v>6.84</v>
      </c>
      <c r="AL218" s="1" t="s">
        <v>4594</v>
      </c>
      <c r="AM218" s="1" t="s">
        <v>4595</v>
      </c>
      <c r="AN218" s="1"/>
      <c r="AO218" s="1" t="s">
        <v>315</v>
      </c>
      <c r="AP218" s="1" t="s">
        <v>178</v>
      </c>
      <c r="AQ218" s="1">
        <v>71.5</v>
      </c>
      <c r="AR218" s="1">
        <v>7.53</v>
      </c>
      <c r="AS218" s="1"/>
      <c r="AT218" s="1"/>
      <c r="AU218" s="1"/>
      <c r="AV218" s="1"/>
      <c r="AW218" s="1"/>
      <c r="AX218" s="1"/>
      <c r="AY218" s="1" t="s">
        <v>4596</v>
      </c>
      <c r="AZ218" s="1" t="s">
        <v>4597</v>
      </c>
      <c r="BA218" s="1"/>
      <c r="BB218" s="1"/>
      <c r="BC218" s="1" t="s">
        <v>233</v>
      </c>
      <c r="BD218" s="1" t="s">
        <v>207</v>
      </c>
      <c r="BE218" s="1">
        <v>71</v>
      </c>
      <c r="BF218" s="1">
        <v>7.01</v>
      </c>
      <c r="BG218" s="1"/>
      <c r="BH218" s="1"/>
      <c r="BI218" s="1"/>
      <c r="BJ218" s="1"/>
      <c r="BK218" s="1"/>
      <c r="BL218" s="1"/>
      <c r="BM218" s="1"/>
      <c r="BN218" s="1"/>
      <c r="BO218" s="1" t="s">
        <v>4598</v>
      </c>
      <c r="BP218" s="1"/>
      <c r="BQ218" s="1"/>
      <c r="BR218" s="1" t="s">
        <v>4599</v>
      </c>
      <c r="BS218" s="1">
        <v>8</v>
      </c>
      <c r="BT218" s="1"/>
      <c r="BU218" s="1" t="str">
        <f>HYPERLINK("https://nconnect.nicmar.ac.in/storage/profile/ProfilePhoto_P25700207_975832.jpg","Download")</f>
        <v>0</v>
      </c>
      <c r="BV218" s="3"/>
      <c r="BW218" s="3"/>
    </row>
    <row r="219" spans="1:75">
      <c r="A219" s="1" t="s">
        <v>75</v>
      </c>
      <c r="B219" s="1" t="s">
        <v>446</v>
      </c>
      <c r="C219" s="1" t="s">
        <v>4600</v>
      </c>
      <c r="D219" s="1" t="s">
        <v>4601</v>
      </c>
      <c r="E219" s="1" t="s">
        <v>4602</v>
      </c>
      <c r="F219" s="1" t="s">
        <v>1320</v>
      </c>
      <c r="G219" s="1" t="s">
        <v>4603</v>
      </c>
      <c r="H219" s="1" t="s">
        <v>4604</v>
      </c>
      <c r="I219" s="1" t="s">
        <v>4605</v>
      </c>
      <c r="J219" s="1">
        <v>7019853366</v>
      </c>
      <c r="K219" s="1" t="s">
        <v>84</v>
      </c>
      <c r="L219" s="1" t="s">
        <v>3856</v>
      </c>
      <c r="M219" s="1" t="s">
        <v>86</v>
      </c>
      <c r="N219" s="1" t="s">
        <v>4606</v>
      </c>
      <c r="O219" s="1"/>
      <c r="P219" s="1" t="s">
        <v>507</v>
      </c>
      <c r="Q219" s="1" t="s">
        <v>4607</v>
      </c>
      <c r="R219" s="1" t="s">
        <v>4608</v>
      </c>
      <c r="S219" s="1">
        <v>9448056783</v>
      </c>
      <c r="T219" s="1" t="s">
        <v>92</v>
      </c>
      <c r="U219" s="1" t="s">
        <v>4609</v>
      </c>
      <c r="V219" s="1">
        <v>9449043899</v>
      </c>
      <c r="W219" s="1" t="s">
        <v>1552</v>
      </c>
      <c r="X219" s="1" t="s">
        <v>4610</v>
      </c>
      <c r="Y219" s="1" t="s">
        <v>4611</v>
      </c>
      <c r="Z219" s="1" t="s">
        <v>1210</v>
      </c>
      <c r="AA219" s="1" t="s">
        <v>4610</v>
      </c>
      <c r="AB219" s="1" t="s">
        <v>4611</v>
      </c>
      <c r="AC219" s="1" t="s">
        <v>1210</v>
      </c>
      <c r="AD219" s="1">
        <v>8.36</v>
      </c>
      <c r="AE219" s="1" t="s">
        <v>98</v>
      </c>
      <c r="AF219" s="1" t="s">
        <v>4612</v>
      </c>
      <c r="AG219" s="1" t="s">
        <v>4613</v>
      </c>
      <c r="AH219" s="1" t="s">
        <v>170</v>
      </c>
      <c r="AI219" s="1" t="s">
        <v>171</v>
      </c>
      <c r="AJ219" s="1">
        <v>78.2</v>
      </c>
      <c r="AK219" s="1"/>
      <c r="AL219" s="1" t="s">
        <v>4614</v>
      </c>
      <c r="AM219" s="1" t="s">
        <v>4615</v>
      </c>
      <c r="AN219" s="1"/>
      <c r="AO219" s="1" t="s">
        <v>106</v>
      </c>
      <c r="AP219" s="1" t="s">
        <v>468</v>
      </c>
      <c r="AQ219" s="1">
        <v>82.33</v>
      </c>
      <c r="AR219" s="1"/>
      <c r="AS219" s="1"/>
      <c r="AT219" s="1"/>
      <c r="AU219" s="1"/>
      <c r="AV219" s="1"/>
      <c r="AW219" s="1"/>
      <c r="AX219" s="1"/>
      <c r="AY219" s="1" t="s">
        <v>4616</v>
      </c>
      <c r="AZ219" s="1" t="s">
        <v>4617</v>
      </c>
      <c r="BA219" s="1"/>
      <c r="BB219" s="1"/>
      <c r="BC219" s="1" t="s">
        <v>468</v>
      </c>
      <c r="BD219" s="1" t="s">
        <v>207</v>
      </c>
      <c r="BE219" s="1">
        <v>54.6</v>
      </c>
      <c r="BF219" s="1">
        <v>6.21</v>
      </c>
      <c r="BG219" s="1"/>
      <c r="BH219" s="1"/>
      <c r="BI219" s="1"/>
      <c r="BJ219" s="1"/>
      <c r="BK219" s="1"/>
      <c r="BL219" s="1"/>
      <c r="BM219" s="1"/>
      <c r="BN219" s="1"/>
      <c r="BO219" s="1" t="s">
        <v>4618</v>
      </c>
      <c r="BP219" s="1" t="s">
        <v>4619</v>
      </c>
      <c r="BQ219" s="1" t="s">
        <v>1070</v>
      </c>
      <c r="BR219" s="1" t="s">
        <v>4620</v>
      </c>
      <c r="BS219" s="1">
        <v>60</v>
      </c>
      <c r="BT219" s="1" t="s">
        <v>4621</v>
      </c>
      <c r="BU219" s="1" t="str">
        <f>HYPERLINK("https://nconnect.nicmar.ac.in/storage/profile/ProfilePhoto_P25700208_794836.jpg","Download")</f>
        <v>0</v>
      </c>
      <c r="BV219" s="3"/>
      <c r="BW219" s="3"/>
    </row>
    <row r="220" spans="1:75">
      <c r="A220" s="1" t="s">
        <v>75</v>
      </c>
      <c r="B220" s="1" t="s">
        <v>446</v>
      </c>
      <c r="C220" s="1" t="s">
        <v>4622</v>
      </c>
      <c r="D220" s="1" t="s">
        <v>4623</v>
      </c>
      <c r="E220" s="1" t="s">
        <v>4624</v>
      </c>
      <c r="F220" s="1" t="s">
        <v>4625</v>
      </c>
      <c r="G220" s="1" t="s">
        <v>4626</v>
      </c>
      <c r="H220" s="1" t="s">
        <v>4627</v>
      </c>
      <c r="I220" s="1" t="s">
        <v>4628</v>
      </c>
      <c r="J220" s="1">
        <v>9372185523</v>
      </c>
      <c r="K220" s="1" t="s">
        <v>84</v>
      </c>
      <c r="L220" s="1" t="s">
        <v>4629</v>
      </c>
      <c r="M220" s="1" t="s">
        <v>86</v>
      </c>
      <c r="N220" s="1" t="s">
        <v>2507</v>
      </c>
      <c r="O220" s="1" t="s">
        <v>4630</v>
      </c>
      <c r="P220" s="1" t="s">
        <v>219</v>
      </c>
      <c r="Q220" s="1" t="s">
        <v>4631</v>
      </c>
      <c r="R220" s="1" t="s">
        <v>4632</v>
      </c>
      <c r="S220" s="1">
        <v>9004473416</v>
      </c>
      <c r="T220" s="1" t="s">
        <v>4633</v>
      </c>
      <c r="U220" s="1" t="s">
        <v>4634</v>
      </c>
      <c r="V220" s="1">
        <v>9372032013</v>
      </c>
      <c r="W220" s="1" t="s">
        <v>161</v>
      </c>
      <c r="X220" s="1" t="s">
        <v>4635</v>
      </c>
      <c r="Y220" s="1" t="s">
        <v>4302</v>
      </c>
      <c r="Z220" s="1" t="s">
        <v>97</v>
      </c>
      <c r="AA220" s="1" t="s">
        <v>4635</v>
      </c>
      <c r="AB220" s="1" t="s">
        <v>4302</v>
      </c>
      <c r="AC220" s="1" t="s">
        <v>97</v>
      </c>
      <c r="AD220" s="1">
        <v>8.15</v>
      </c>
      <c r="AE220" s="1" t="s">
        <v>98</v>
      </c>
      <c r="AF220" s="1" t="s">
        <v>4636</v>
      </c>
      <c r="AG220" s="1" t="s">
        <v>4637</v>
      </c>
      <c r="AH220" s="1" t="s">
        <v>166</v>
      </c>
      <c r="AI220" s="1" t="s">
        <v>1111</v>
      </c>
      <c r="AJ220" s="1">
        <v>84</v>
      </c>
      <c r="AK220" s="1"/>
      <c r="AL220" s="1"/>
      <c r="AM220" s="1"/>
      <c r="AN220" s="1" t="s">
        <v>2635</v>
      </c>
      <c r="AO220" s="1"/>
      <c r="AP220" s="1"/>
      <c r="AQ220" s="1"/>
      <c r="AR220" s="1"/>
      <c r="AS220" s="1" t="s">
        <v>4638</v>
      </c>
      <c r="AT220" s="1" t="s">
        <v>4639</v>
      </c>
      <c r="AU220" s="1" t="s">
        <v>1396</v>
      </c>
      <c r="AV220" s="1" t="s">
        <v>313</v>
      </c>
      <c r="AW220" s="1">
        <v>72.71</v>
      </c>
      <c r="AX220" s="1"/>
      <c r="AY220" s="1" t="s">
        <v>680</v>
      </c>
      <c r="AZ220" s="1" t="s">
        <v>4640</v>
      </c>
      <c r="BA220" s="1" t="s">
        <v>578</v>
      </c>
      <c r="BB220" s="1" t="s">
        <v>467</v>
      </c>
      <c r="BC220" s="1" t="s">
        <v>206</v>
      </c>
      <c r="BD220" s="1" t="s">
        <v>955</v>
      </c>
      <c r="BE220" s="1">
        <v>70</v>
      </c>
      <c r="BF220" s="1">
        <v>7.84</v>
      </c>
      <c r="BG220" s="1"/>
      <c r="BH220" s="1"/>
      <c r="BI220" s="1"/>
      <c r="BJ220" s="1"/>
      <c r="BK220" s="1"/>
      <c r="BL220" s="1"/>
      <c r="BM220" s="1"/>
      <c r="BN220" s="1"/>
      <c r="BO220" s="1" t="s">
        <v>4641</v>
      </c>
      <c r="BP220" s="1" t="s">
        <v>4642</v>
      </c>
      <c r="BQ220" s="1" t="s">
        <v>4149</v>
      </c>
      <c r="BR220" s="1" t="s">
        <v>4643</v>
      </c>
      <c r="BS220" s="1">
        <v>9</v>
      </c>
      <c r="BT220" s="1"/>
      <c r="BU220" s="1" t="str">
        <f>HYPERLINK("https://nconnect.nicmar.ac.in/storage/profile/ProfilePhoto_P25700209_172634.jpg","Download")</f>
        <v>0</v>
      </c>
      <c r="BV220" s="3"/>
      <c r="BW220" s="3"/>
    </row>
    <row r="221" spans="1:75">
      <c r="A221" s="1" t="s">
        <v>75</v>
      </c>
      <c r="B221" s="1" t="s">
        <v>446</v>
      </c>
      <c r="C221" s="1" t="s">
        <v>4644</v>
      </c>
      <c r="D221" s="1" t="s">
        <v>4645</v>
      </c>
      <c r="E221" s="1" t="s">
        <v>4646</v>
      </c>
      <c r="F221" s="1" t="s">
        <v>4647</v>
      </c>
      <c r="G221" s="1" t="s">
        <v>4648</v>
      </c>
      <c r="H221" s="1" t="s">
        <v>4649</v>
      </c>
      <c r="I221" s="1" t="s">
        <v>4650</v>
      </c>
      <c r="J221" s="1">
        <v>7666209600</v>
      </c>
      <c r="K221" s="1" t="s">
        <v>84</v>
      </c>
      <c r="L221" s="1" t="s">
        <v>4651</v>
      </c>
      <c r="M221" s="1" t="s">
        <v>86</v>
      </c>
      <c r="N221" s="1" t="s">
        <v>4652</v>
      </c>
      <c r="O221" s="1"/>
      <c r="P221" s="1" t="s">
        <v>1028</v>
      </c>
      <c r="Q221" s="1" t="s">
        <v>4653</v>
      </c>
      <c r="R221" s="1" t="s">
        <v>4646</v>
      </c>
      <c r="S221" s="1">
        <v>9890180702</v>
      </c>
      <c r="T221" s="1" t="s">
        <v>4654</v>
      </c>
      <c r="U221" s="1" t="s">
        <v>4655</v>
      </c>
      <c r="V221" s="1">
        <v>9970131300</v>
      </c>
      <c r="W221" s="1" t="s">
        <v>278</v>
      </c>
      <c r="X221" s="1" t="s">
        <v>4656</v>
      </c>
      <c r="Y221" s="1" t="s">
        <v>1989</v>
      </c>
      <c r="Z221" s="1" t="s">
        <v>97</v>
      </c>
      <c r="AA221" s="1" t="s">
        <v>4656</v>
      </c>
      <c r="AB221" s="1" t="s">
        <v>1989</v>
      </c>
      <c r="AC221" s="1" t="s">
        <v>97</v>
      </c>
      <c r="AD221" s="1">
        <v>7.77</v>
      </c>
      <c r="AE221" s="1" t="s">
        <v>98</v>
      </c>
      <c r="AF221" s="1" t="s">
        <v>4657</v>
      </c>
      <c r="AG221" s="1" t="s">
        <v>4658</v>
      </c>
      <c r="AH221" s="1" t="s">
        <v>106</v>
      </c>
      <c r="AI221" s="1" t="s">
        <v>414</v>
      </c>
      <c r="AJ221" s="1">
        <v>75.6</v>
      </c>
      <c r="AK221" s="1"/>
      <c r="AL221" s="1" t="s">
        <v>4659</v>
      </c>
      <c r="AM221" s="1" t="s">
        <v>4658</v>
      </c>
      <c r="AN221" s="1"/>
      <c r="AO221" s="1" t="s">
        <v>468</v>
      </c>
      <c r="AP221" s="1" t="s">
        <v>847</v>
      </c>
      <c r="AQ221" s="1">
        <v>71.67</v>
      </c>
      <c r="AR221" s="1"/>
      <c r="AS221" s="1"/>
      <c r="AT221" s="1"/>
      <c r="AU221" s="1"/>
      <c r="AV221" s="1"/>
      <c r="AW221" s="1"/>
      <c r="AX221" s="1"/>
      <c r="AY221" s="1" t="s">
        <v>4660</v>
      </c>
      <c r="AZ221" s="1" t="s">
        <v>4661</v>
      </c>
      <c r="BA221" s="1"/>
      <c r="BB221" s="1"/>
      <c r="BC221" s="1" t="s">
        <v>871</v>
      </c>
      <c r="BD221" s="1" t="s">
        <v>848</v>
      </c>
      <c r="BE221" s="1">
        <v>70.8</v>
      </c>
      <c r="BF221" s="1">
        <v>7.58</v>
      </c>
      <c r="BG221" s="1"/>
      <c r="BH221" s="1"/>
      <c r="BI221" s="1"/>
      <c r="BJ221" s="1"/>
      <c r="BK221" s="1"/>
      <c r="BL221" s="1"/>
      <c r="BM221" s="1"/>
      <c r="BN221" s="1"/>
      <c r="BO221" s="1" t="s">
        <v>1114</v>
      </c>
      <c r="BP221" s="1"/>
      <c r="BQ221" s="1"/>
      <c r="BR221" s="1" t="s">
        <v>4662</v>
      </c>
      <c r="BS221" s="1">
        <v>29</v>
      </c>
      <c r="BT221" s="1"/>
      <c r="BU221" s="1" t="str">
        <f>HYPERLINK("https://nconnect.nicmar.ac.in/storage/profile/ProfilePhoto_P25700210_974213.jpg","Download")</f>
        <v>0</v>
      </c>
      <c r="BV221" s="3"/>
      <c r="BW221" s="3"/>
    </row>
    <row r="222" spans="1:75">
      <c r="A222" s="1" t="s">
        <v>75</v>
      </c>
      <c r="B222" s="1" t="s">
        <v>446</v>
      </c>
      <c r="C222" s="1" t="s">
        <v>4663</v>
      </c>
      <c r="D222" s="1" t="s">
        <v>4664</v>
      </c>
      <c r="E222" s="1" t="s">
        <v>4665</v>
      </c>
      <c r="F222" s="1" t="s">
        <v>4037</v>
      </c>
      <c r="G222" s="1" t="s">
        <v>4666</v>
      </c>
      <c r="H222" s="1" t="s">
        <v>4667</v>
      </c>
      <c r="I222" s="1" t="s">
        <v>4668</v>
      </c>
      <c r="J222" s="1">
        <v>9985961499</v>
      </c>
      <c r="K222" s="1" t="s">
        <v>84</v>
      </c>
      <c r="L222" s="1" t="s">
        <v>4669</v>
      </c>
      <c r="M222" s="1" t="s">
        <v>86</v>
      </c>
      <c r="N222" s="1" t="s">
        <v>4670</v>
      </c>
      <c r="O222" s="1"/>
      <c r="P222" s="1" t="s">
        <v>507</v>
      </c>
      <c r="Q222" s="1" t="s">
        <v>4671</v>
      </c>
      <c r="R222" s="1" t="s">
        <v>4672</v>
      </c>
      <c r="S222" s="1">
        <v>9581649999</v>
      </c>
      <c r="T222" s="1" t="s">
        <v>3788</v>
      </c>
      <c r="U222" s="1" t="s">
        <v>4673</v>
      </c>
      <c r="V222" s="1">
        <v>9490761499</v>
      </c>
      <c r="W222" s="1" t="s">
        <v>4674</v>
      </c>
      <c r="X222" s="1" t="s">
        <v>4675</v>
      </c>
      <c r="Y222" s="1" t="s">
        <v>487</v>
      </c>
      <c r="Z222" s="1" t="s">
        <v>281</v>
      </c>
      <c r="AA222" s="1" t="s">
        <v>4675</v>
      </c>
      <c r="AB222" s="1" t="s">
        <v>487</v>
      </c>
      <c r="AC222" s="1" t="s">
        <v>281</v>
      </c>
      <c r="AD222" s="1">
        <v>8.31</v>
      </c>
      <c r="AE222" s="1" t="s">
        <v>98</v>
      </c>
      <c r="AF222" s="1" t="s">
        <v>4676</v>
      </c>
      <c r="AG222" s="1" t="s">
        <v>4677</v>
      </c>
      <c r="AH222" s="1" t="s">
        <v>106</v>
      </c>
      <c r="AI222" s="1" t="s">
        <v>547</v>
      </c>
      <c r="AJ222" s="1">
        <v>95</v>
      </c>
      <c r="AK222" s="1">
        <v>9.5</v>
      </c>
      <c r="AL222" s="1" t="s">
        <v>4678</v>
      </c>
      <c r="AM222" s="1" t="s">
        <v>4677</v>
      </c>
      <c r="AN222" s="1" t="s">
        <v>465</v>
      </c>
      <c r="AO222" s="1" t="s">
        <v>438</v>
      </c>
      <c r="AP222" s="1" t="s">
        <v>845</v>
      </c>
      <c r="AQ222" s="1">
        <v>94.8</v>
      </c>
      <c r="AR222" s="1"/>
      <c r="AS222" s="1"/>
      <c r="AT222" s="1"/>
      <c r="AU222" s="1"/>
      <c r="AV222" s="1"/>
      <c r="AW222" s="1"/>
      <c r="AX222" s="1"/>
      <c r="AY222" s="1" t="s">
        <v>4679</v>
      </c>
      <c r="AZ222" s="1" t="s">
        <v>4680</v>
      </c>
      <c r="BA222" s="1" t="s">
        <v>466</v>
      </c>
      <c r="BB222" s="1" t="s">
        <v>467</v>
      </c>
      <c r="BC222" s="1" t="s">
        <v>871</v>
      </c>
      <c r="BD222" s="1" t="s">
        <v>607</v>
      </c>
      <c r="BE222" s="1">
        <v>74.4</v>
      </c>
      <c r="BF222" s="1">
        <v>7.44</v>
      </c>
      <c r="BG222" s="1"/>
      <c r="BH222" s="1"/>
      <c r="BI222" s="1"/>
      <c r="BJ222" s="1"/>
      <c r="BK222" s="1"/>
      <c r="BL222" s="1"/>
      <c r="BM222" s="1"/>
      <c r="BN222" s="1"/>
      <c r="BO222" s="1" t="s">
        <v>4681</v>
      </c>
      <c r="BP222" s="1"/>
      <c r="BQ222" s="1"/>
      <c r="BR222" s="1" t="s">
        <v>4682</v>
      </c>
      <c r="BS222" s="1">
        <v>12</v>
      </c>
      <c r="BT222" s="1"/>
      <c r="BU222" s="1" t="str">
        <f>HYPERLINK("https://nconnect.nicmar.ac.in/storage/profile/ProfilePhoto_P25700211_374165.jpg","Download")</f>
        <v>0</v>
      </c>
      <c r="BV222" s="3"/>
      <c r="BW222" s="4">
        <v>1</v>
      </c>
    </row>
    <row r="223" spans="1:75">
      <c r="A223" s="1" t="s">
        <v>75</v>
      </c>
      <c r="B223" s="1" t="s">
        <v>446</v>
      </c>
      <c r="C223" s="1" t="s">
        <v>4683</v>
      </c>
      <c r="D223" s="1" t="s">
        <v>4684</v>
      </c>
      <c r="E223" s="1"/>
      <c r="F223" s="1" t="s">
        <v>4685</v>
      </c>
      <c r="G223" s="1" t="s">
        <v>4686</v>
      </c>
      <c r="H223" s="1" t="s">
        <v>4687</v>
      </c>
      <c r="I223" s="1" t="s">
        <v>4688</v>
      </c>
      <c r="J223" s="1">
        <v>7365981078</v>
      </c>
      <c r="K223" s="1" t="s">
        <v>84</v>
      </c>
      <c r="L223" s="1" t="s">
        <v>4689</v>
      </c>
      <c r="M223" s="1" t="s">
        <v>86</v>
      </c>
      <c r="N223" s="1" t="s">
        <v>4690</v>
      </c>
      <c r="O223" s="1"/>
      <c r="P223" s="1" t="s">
        <v>481</v>
      </c>
      <c r="Q223" s="1" t="s">
        <v>4691</v>
      </c>
      <c r="R223" s="1" t="s">
        <v>4692</v>
      </c>
      <c r="S223" s="1">
        <v>9475095594</v>
      </c>
      <c r="T223" s="1" t="s">
        <v>4693</v>
      </c>
      <c r="U223" s="1" t="s">
        <v>4694</v>
      </c>
      <c r="V223" s="1">
        <v>9474163930</v>
      </c>
      <c r="W223" s="1" t="s">
        <v>4695</v>
      </c>
      <c r="X223" s="1" t="s">
        <v>4696</v>
      </c>
      <c r="Y223" s="1" t="s">
        <v>4697</v>
      </c>
      <c r="Z223" s="1" t="s">
        <v>1234</v>
      </c>
      <c r="AA223" s="1" t="s">
        <v>4696</v>
      </c>
      <c r="AB223" s="1" t="s">
        <v>4697</v>
      </c>
      <c r="AC223" s="1" t="s">
        <v>1234</v>
      </c>
      <c r="AD223" s="1">
        <v>8.51</v>
      </c>
      <c r="AE223" s="1" t="s">
        <v>98</v>
      </c>
      <c r="AF223" s="1" t="s">
        <v>4698</v>
      </c>
      <c r="AG223" s="1" t="s">
        <v>4699</v>
      </c>
      <c r="AH223" s="1" t="s">
        <v>2822</v>
      </c>
      <c r="AI223" s="1" t="s">
        <v>518</v>
      </c>
      <c r="AJ223" s="1">
        <v>90.71</v>
      </c>
      <c r="AK223" s="1"/>
      <c r="AL223" s="1" t="s">
        <v>4698</v>
      </c>
      <c r="AM223" s="1" t="s">
        <v>3287</v>
      </c>
      <c r="AN223" s="1" t="s">
        <v>575</v>
      </c>
      <c r="AO223" s="1" t="s">
        <v>286</v>
      </c>
      <c r="AP223" s="1" t="s">
        <v>313</v>
      </c>
      <c r="AQ223" s="1">
        <v>73.8</v>
      </c>
      <c r="AR223" s="1"/>
      <c r="AS223" s="1"/>
      <c r="AT223" s="1"/>
      <c r="AU223" s="1"/>
      <c r="AV223" s="1"/>
      <c r="AW223" s="1"/>
      <c r="AX223" s="1"/>
      <c r="AY223" s="1" t="s">
        <v>1240</v>
      </c>
      <c r="AZ223" s="1" t="s">
        <v>4700</v>
      </c>
      <c r="BA223" s="1" t="s">
        <v>466</v>
      </c>
      <c r="BB223" s="1" t="s">
        <v>467</v>
      </c>
      <c r="BC223" s="1" t="s">
        <v>315</v>
      </c>
      <c r="BD223" s="1" t="s">
        <v>179</v>
      </c>
      <c r="BE223" s="1">
        <v>80.9</v>
      </c>
      <c r="BF223" s="1">
        <v>8.84</v>
      </c>
      <c r="BG223" s="1"/>
      <c r="BH223" s="1"/>
      <c r="BI223" s="1"/>
      <c r="BJ223" s="1"/>
      <c r="BK223" s="1"/>
      <c r="BL223" s="1"/>
      <c r="BM223" s="1"/>
      <c r="BN223" s="1"/>
      <c r="BO223" s="1" t="s">
        <v>4701</v>
      </c>
      <c r="BP223" s="1" t="s">
        <v>4702</v>
      </c>
      <c r="BQ223" s="1" t="s">
        <v>1482</v>
      </c>
      <c r="BR223" s="1" t="s">
        <v>4703</v>
      </c>
      <c r="BS223" s="1">
        <v>13</v>
      </c>
      <c r="BT223" s="1" t="s">
        <v>4704</v>
      </c>
      <c r="BU223" s="1" t="str">
        <f>HYPERLINK("https://nconnect.nicmar.ac.in/storage/profile/ProfilePhoto_P25700212_349562.jpg","Download")</f>
        <v>0</v>
      </c>
      <c r="BV223" s="3"/>
      <c r="BW223" s="4">
        <v>1</v>
      </c>
    </row>
    <row r="224" spans="1:75">
      <c r="A224" s="1" t="s">
        <v>75</v>
      </c>
      <c r="B224" s="1" t="s">
        <v>446</v>
      </c>
      <c r="C224" s="1" t="s">
        <v>4705</v>
      </c>
      <c r="D224" s="1" t="s">
        <v>4706</v>
      </c>
      <c r="E224" s="1" t="s">
        <v>4707</v>
      </c>
      <c r="F224" s="1" t="s">
        <v>4708</v>
      </c>
      <c r="G224" s="1" t="s">
        <v>4709</v>
      </c>
      <c r="H224" s="1" t="s">
        <v>4710</v>
      </c>
      <c r="I224" s="1" t="s">
        <v>4711</v>
      </c>
      <c r="J224" s="1">
        <v>9325432369</v>
      </c>
      <c r="K224" s="1" t="s">
        <v>84</v>
      </c>
      <c r="L224" s="1" t="s">
        <v>4712</v>
      </c>
      <c r="M224" s="1" t="s">
        <v>86</v>
      </c>
      <c r="N224" s="1" t="s">
        <v>4713</v>
      </c>
      <c r="O224" s="1"/>
      <c r="P224" s="1" t="s">
        <v>481</v>
      </c>
      <c r="Q224" s="1" t="s">
        <v>4714</v>
      </c>
      <c r="R224" s="1" t="s">
        <v>4715</v>
      </c>
      <c r="S224" s="1">
        <v>9823134286</v>
      </c>
      <c r="T224" s="1" t="s">
        <v>926</v>
      </c>
      <c r="U224" s="1" t="s">
        <v>4716</v>
      </c>
      <c r="V224" s="1">
        <v>9764117117</v>
      </c>
      <c r="W224" s="1" t="s">
        <v>161</v>
      </c>
      <c r="X224" s="1" t="s">
        <v>4717</v>
      </c>
      <c r="Y224" s="1" t="s">
        <v>196</v>
      </c>
      <c r="Z224" s="1" t="s">
        <v>97</v>
      </c>
      <c r="AA224" s="1" t="s">
        <v>4717</v>
      </c>
      <c r="AB224" s="1" t="s">
        <v>196</v>
      </c>
      <c r="AC224" s="1" t="s">
        <v>97</v>
      </c>
      <c r="AD224" s="1">
        <v>8.82</v>
      </c>
      <c r="AE224" s="1" t="s">
        <v>98</v>
      </c>
      <c r="AF224" s="1" t="s">
        <v>4718</v>
      </c>
      <c r="AG224" s="1" t="s">
        <v>4719</v>
      </c>
      <c r="AH224" s="1" t="s">
        <v>490</v>
      </c>
      <c r="AI224" s="1" t="s">
        <v>313</v>
      </c>
      <c r="AJ224" s="1">
        <v>76.8</v>
      </c>
      <c r="AK224" s="1"/>
      <c r="AL224" s="1" t="s">
        <v>4720</v>
      </c>
      <c r="AM224" s="1" t="s">
        <v>165</v>
      </c>
      <c r="AN224" s="1" t="s">
        <v>465</v>
      </c>
      <c r="AO224" s="1" t="s">
        <v>1040</v>
      </c>
      <c r="AP224" s="1" t="s">
        <v>441</v>
      </c>
      <c r="AQ224" s="1">
        <v>82</v>
      </c>
      <c r="AR224" s="1"/>
      <c r="AS224" s="1"/>
      <c r="AT224" s="1"/>
      <c r="AU224" s="1"/>
      <c r="AV224" s="1"/>
      <c r="AW224" s="1"/>
      <c r="AX224" s="1"/>
      <c r="AY224" s="1" t="s">
        <v>366</v>
      </c>
      <c r="AZ224" s="1" t="s">
        <v>4721</v>
      </c>
      <c r="BA224" s="1" t="s">
        <v>578</v>
      </c>
      <c r="BB224" s="1" t="s">
        <v>467</v>
      </c>
      <c r="BC224" s="1" t="s">
        <v>4722</v>
      </c>
      <c r="BD224" s="1" t="s">
        <v>848</v>
      </c>
      <c r="BE224" s="1">
        <v>77.42</v>
      </c>
      <c r="BF224" s="1">
        <v>8.15</v>
      </c>
      <c r="BG224" s="1"/>
      <c r="BH224" s="1"/>
      <c r="BI224" s="1"/>
      <c r="BJ224" s="1"/>
      <c r="BK224" s="1"/>
      <c r="BL224" s="1"/>
      <c r="BM224" s="1"/>
      <c r="BN224" s="1"/>
      <c r="BO224" s="1" t="s">
        <v>4723</v>
      </c>
      <c r="BP224" s="1"/>
      <c r="BQ224" s="1"/>
      <c r="BR224" s="1" t="s">
        <v>4724</v>
      </c>
      <c r="BS224" s="1">
        <v>13</v>
      </c>
      <c r="BT224" s="1"/>
      <c r="BU224" s="1" t="str">
        <f>HYPERLINK("https://nconnect.nicmar.ac.in/storage/profile/ProfilePhoto_P25700213_341679.jpg","Download")</f>
        <v>0</v>
      </c>
      <c r="BV224" s="3"/>
      <c r="BW224" s="3"/>
    </row>
    <row r="225" spans="1:75">
      <c r="A225" s="1" t="s">
        <v>75</v>
      </c>
      <c r="B225" s="1" t="s">
        <v>446</v>
      </c>
      <c r="C225" s="1" t="s">
        <v>4725</v>
      </c>
      <c r="D225" s="1" t="s">
        <v>4726</v>
      </c>
      <c r="E225" s="1" t="s">
        <v>4727</v>
      </c>
      <c r="F225" s="1" t="s">
        <v>4728</v>
      </c>
      <c r="G225" s="1" t="s">
        <v>4729</v>
      </c>
      <c r="H225" s="1" t="s">
        <v>4730</v>
      </c>
      <c r="I225" s="1" t="s">
        <v>4731</v>
      </c>
      <c r="J225" s="1">
        <v>7558763753</v>
      </c>
      <c r="K225" s="1" t="s">
        <v>84</v>
      </c>
      <c r="L225" s="1" t="s">
        <v>4732</v>
      </c>
      <c r="M225" s="1" t="s">
        <v>86</v>
      </c>
      <c r="N225" s="1" t="s">
        <v>903</v>
      </c>
      <c r="O225" s="1"/>
      <c r="P225" s="1" t="s">
        <v>455</v>
      </c>
      <c r="Q225" s="1" t="s">
        <v>4733</v>
      </c>
      <c r="R225" s="1" t="s">
        <v>4734</v>
      </c>
      <c r="S225" s="1">
        <v>9881388685</v>
      </c>
      <c r="T225" s="1" t="s">
        <v>4735</v>
      </c>
      <c r="U225" s="1" t="s">
        <v>4736</v>
      </c>
      <c r="V225" s="1">
        <v>8421519178</v>
      </c>
      <c r="W225" s="1" t="s">
        <v>161</v>
      </c>
      <c r="X225" s="1" t="s">
        <v>4737</v>
      </c>
      <c r="Y225" s="1" t="s">
        <v>163</v>
      </c>
      <c r="Z225" s="1" t="s">
        <v>97</v>
      </c>
      <c r="AA225" s="1" t="s">
        <v>4737</v>
      </c>
      <c r="AB225" s="1" t="s">
        <v>163</v>
      </c>
      <c r="AC225" s="1" t="s">
        <v>97</v>
      </c>
      <c r="AD225" s="1">
        <v>7.97</v>
      </c>
      <c r="AE225" s="1" t="s">
        <v>98</v>
      </c>
      <c r="AF225" s="1" t="s">
        <v>4738</v>
      </c>
      <c r="AG225" s="1" t="s">
        <v>165</v>
      </c>
      <c r="AH225" s="1" t="s">
        <v>200</v>
      </c>
      <c r="AI225" s="1" t="s">
        <v>286</v>
      </c>
      <c r="AJ225" s="1">
        <v>83.6</v>
      </c>
      <c r="AK225" s="1"/>
      <c r="AL225" s="1" t="s">
        <v>4739</v>
      </c>
      <c r="AM225" s="1" t="s">
        <v>165</v>
      </c>
      <c r="AN225" s="1" t="s">
        <v>465</v>
      </c>
      <c r="AO225" s="1" t="s">
        <v>364</v>
      </c>
      <c r="AP225" s="1" t="s">
        <v>4740</v>
      </c>
      <c r="AQ225" s="1">
        <v>62.92</v>
      </c>
      <c r="AR225" s="1"/>
      <c r="AS225" s="1"/>
      <c r="AT225" s="1"/>
      <c r="AU225" s="1"/>
      <c r="AV225" s="1"/>
      <c r="AW225" s="1"/>
      <c r="AX225" s="1"/>
      <c r="AY225" s="1" t="s">
        <v>4548</v>
      </c>
      <c r="AZ225" s="1" t="s">
        <v>4741</v>
      </c>
      <c r="BA225" s="1" t="s">
        <v>466</v>
      </c>
      <c r="BB225" s="1" t="s">
        <v>467</v>
      </c>
      <c r="BC225" s="1" t="s">
        <v>1192</v>
      </c>
      <c r="BD225" s="1" t="s">
        <v>4093</v>
      </c>
      <c r="BE225" s="1">
        <v>69.7</v>
      </c>
      <c r="BF225" s="1"/>
      <c r="BG225" s="1"/>
      <c r="BH225" s="1"/>
      <c r="BI225" s="1"/>
      <c r="BJ225" s="1"/>
      <c r="BK225" s="1"/>
      <c r="BL225" s="1"/>
      <c r="BM225" s="1"/>
      <c r="BN225" s="1"/>
      <c r="BO225" s="1" t="s">
        <v>4742</v>
      </c>
      <c r="BP225" s="1" t="s">
        <v>4743</v>
      </c>
      <c r="BQ225" s="1" t="s">
        <v>292</v>
      </c>
      <c r="BR225" s="1" t="s">
        <v>4744</v>
      </c>
      <c r="BS225" s="1">
        <v>73</v>
      </c>
      <c r="BT225" s="1" t="s">
        <v>4745</v>
      </c>
      <c r="BU225" s="1" t="str">
        <f>HYPERLINK("https://nconnect.nicmar.ac.in/storage/profile/ProfilePhoto_P25700214_983516.jpg","Download")</f>
        <v>0</v>
      </c>
      <c r="BV225" s="3"/>
      <c r="BW225" s="3"/>
    </row>
    <row r="226" spans="1:75">
      <c r="A226" s="1" t="s">
        <v>75</v>
      </c>
      <c r="B226" s="1" t="s">
        <v>446</v>
      </c>
      <c r="C226" s="1" t="s">
        <v>4746</v>
      </c>
      <c r="D226" s="1" t="s">
        <v>4747</v>
      </c>
      <c r="E226" s="1"/>
      <c r="F226" s="1" t="s">
        <v>4748</v>
      </c>
      <c r="G226" s="1" t="s">
        <v>4749</v>
      </c>
      <c r="H226" s="1" t="s">
        <v>4750</v>
      </c>
      <c r="I226" s="1" t="s">
        <v>4751</v>
      </c>
      <c r="J226" s="1">
        <v>7044064498</v>
      </c>
      <c r="K226" s="1" t="s">
        <v>84</v>
      </c>
      <c r="L226" s="1" t="s">
        <v>4752</v>
      </c>
      <c r="M226" s="1" t="s">
        <v>86</v>
      </c>
      <c r="N226" s="1" t="s">
        <v>4753</v>
      </c>
      <c r="O226" s="1"/>
      <c r="P226" s="1" t="s">
        <v>481</v>
      </c>
      <c r="Q226" s="1" t="s">
        <v>4754</v>
      </c>
      <c r="R226" s="1" t="s">
        <v>4755</v>
      </c>
      <c r="S226" s="1">
        <v>9830237334</v>
      </c>
      <c r="T226" s="1" t="s">
        <v>926</v>
      </c>
      <c r="U226" s="1" t="s">
        <v>4756</v>
      </c>
      <c r="V226" s="1">
        <v>7439245783</v>
      </c>
      <c r="W226" s="1" t="s">
        <v>161</v>
      </c>
      <c r="X226" s="1" t="s">
        <v>4757</v>
      </c>
      <c r="Y226" s="1" t="s">
        <v>3282</v>
      </c>
      <c r="Z226" s="1" t="s">
        <v>1234</v>
      </c>
      <c r="AA226" s="1" t="s">
        <v>4757</v>
      </c>
      <c r="AB226" s="1" t="s">
        <v>3282</v>
      </c>
      <c r="AC226" s="1" t="s">
        <v>1234</v>
      </c>
      <c r="AD226" s="1">
        <v>7.97</v>
      </c>
      <c r="AE226" s="1" t="s">
        <v>98</v>
      </c>
      <c r="AF226" s="1" t="s">
        <v>4758</v>
      </c>
      <c r="AG226" s="1" t="s">
        <v>4759</v>
      </c>
      <c r="AH226" s="1" t="s">
        <v>1110</v>
      </c>
      <c r="AI226" s="1" t="s">
        <v>627</v>
      </c>
      <c r="AJ226" s="1">
        <v>92.4</v>
      </c>
      <c r="AK226" s="1"/>
      <c r="AL226" s="1" t="s">
        <v>4758</v>
      </c>
      <c r="AM226" s="1" t="s">
        <v>4759</v>
      </c>
      <c r="AN226" s="1" t="s">
        <v>575</v>
      </c>
      <c r="AO226" s="1" t="s">
        <v>284</v>
      </c>
      <c r="AP226" s="1" t="s">
        <v>171</v>
      </c>
      <c r="AQ226" s="1">
        <v>82.75</v>
      </c>
      <c r="AR226" s="1"/>
      <c r="AS226" s="1"/>
      <c r="AT226" s="1"/>
      <c r="AU226" s="1"/>
      <c r="AV226" s="1"/>
      <c r="AW226" s="1"/>
      <c r="AX226" s="1"/>
      <c r="AY226" s="1" t="s">
        <v>4760</v>
      </c>
      <c r="AZ226" s="1" t="s">
        <v>4760</v>
      </c>
      <c r="BA226" s="1" t="s">
        <v>682</v>
      </c>
      <c r="BB226" s="1" t="s">
        <v>683</v>
      </c>
      <c r="BC226" s="1" t="s">
        <v>1065</v>
      </c>
      <c r="BD226" s="1" t="s">
        <v>955</v>
      </c>
      <c r="BE226" s="1">
        <v>80.8</v>
      </c>
      <c r="BF226" s="1"/>
      <c r="BG226" s="1"/>
      <c r="BH226" s="1"/>
      <c r="BI226" s="1"/>
      <c r="BJ226" s="1"/>
      <c r="BK226" s="1"/>
      <c r="BL226" s="1"/>
      <c r="BM226" s="1"/>
      <c r="BN226" s="1"/>
      <c r="BO226" s="1" t="s">
        <v>4761</v>
      </c>
      <c r="BP226" s="1" t="s">
        <v>4762</v>
      </c>
      <c r="BQ226" s="1" t="s">
        <v>471</v>
      </c>
      <c r="BR226" s="1" t="s">
        <v>4763</v>
      </c>
      <c r="BS226" s="1">
        <v>27</v>
      </c>
      <c r="BT226" s="1" t="s">
        <v>4764</v>
      </c>
      <c r="BU226" s="1" t="str">
        <f>HYPERLINK("https://nconnect.nicmar.ac.in/storage/profile/ProfilePhoto_P25700215_176495.jpg","Download")</f>
        <v>0</v>
      </c>
      <c r="BV226" s="3"/>
      <c r="BW226" s="3"/>
    </row>
    <row r="227" spans="1:75">
      <c r="A227" s="1" t="s">
        <v>75</v>
      </c>
      <c r="B227" s="1" t="s">
        <v>446</v>
      </c>
      <c r="C227" s="1" t="s">
        <v>4765</v>
      </c>
      <c r="D227" s="1" t="s">
        <v>4766</v>
      </c>
      <c r="E227" s="1"/>
      <c r="F227" s="1" t="s">
        <v>4767</v>
      </c>
      <c r="G227" s="1" t="s">
        <v>4768</v>
      </c>
      <c r="H227" s="1" t="s">
        <v>4769</v>
      </c>
      <c r="I227" s="1" t="s">
        <v>4770</v>
      </c>
      <c r="J227" s="1">
        <v>7249269448</v>
      </c>
      <c r="K227" s="1" t="s">
        <v>153</v>
      </c>
      <c r="L227" s="1" t="s">
        <v>4771</v>
      </c>
      <c r="M227" s="1" t="s">
        <v>86</v>
      </c>
      <c r="N227" s="1" t="s">
        <v>4772</v>
      </c>
      <c r="O227" s="1"/>
      <c r="P227" s="1" t="s">
        <v>455</v>
      </c>
      <c r="Q227" s="1" t="s">
        <v>4773</v>
      </c>
      <c r="R227" s="1" t="s">
        <v>4774</v>
      </c>
      <c r="S227" s="1">
        <v>9922586983</v>
      </c>
      <c r="T227" s="1" t="s">
        <v>3788</v>
      </c>
      <c r="U227" s="1" t="s">
        <v>4775</v>
      </c>
      <c r="V227" s="1">
        <v>9422331475</v>
      </c>
      <c r="W227" s="1" t="s">
        <v>4776</v>
      </c>
      <c r="X227" s="1" t="s">
        <v>4777</v>
      </c>
      <c r="Y227" s="1" t="s">
        <v>410</v>
      </c>
      <c r="Z227" s="1" t="s">
        <v>97</v>
      </c>
      <c r="AA227" s="1" t="s">
        <v>4777</v>
      </c>
      <c r="AB227" s="1" t="s">
        <v>410</v>
      </c>
      <c r="AC227" s="1" t="s">
        <v>97</v>
      </c>
      <c r="AD227" s="1">
        <v>7.62</v>
      </c>
      <c r="AE227" s="1" t="s">
        <v>98</v>
      </c>
      <c r="AF227" s="1" t="s">
        <v>4778</v>
      </c>
      <c r="AG227" s="1" t="s">
        <v>165</v>
      </c>
      <c r="AH227" s="1" t="s">
        <v>106</v>
      </c>
      <c r="AI227" s="1" t="s">
        <v>438</v>
      </c>
      <c r="AJ227" s="1">
        <v>77</v>
      </c>
      <c r="AK227" s="1"/>
      <c r="AL227" s="1"/>
      <c r="AM227" s="1"/>
      <c r="AN227" s="1" t="s">
        <v>1062</v>
      </c>
      <c r="AO227" s="1"/>
      <c r="AP227" s="1"/>
      <c r="AQ227" s="1"/>
      <c r="AR227" s="1"/>
      <c r="AS227" s="1" t="s">
        <v>103</v>
      </c>
      <c r="AT227" s="1" t="s">
        <v>4779</v>
      </c>
      <c r="AU227" s="1" t="s">
        <v>315</v>
      </c>
      <c r="AV227" s="1" t="s">
        <v>110</v>
      </c>
      <c r="AW227" s="1">
        <v>81.7</v>
      </c>
      <c r="AX227" s="1"/>
      <c r="AY227" s="1" t="s">
        <v>4780</v>
      </c>
      <c r="AZ227" s="1" t="s">
        <v>4781</v>
      </c>
      <c r="BA227" s="1" t="s">
        <v>578</v>
      </c>
      <c r="BB227" s="1" t="s">
        <v>467</v>
      </c>
      <c r="BC227" s="1" t="s">
        <v>1889</v>
      </c>
      <c r="BD227" s="1" t="s">
        <v>848</v>
      </c>
      <c r="BE227" s="1">
        <v>73.2</v>
      </c>
      <c r="BF227" s="1">
        <v>8.07</v>
      </c>
      <c r="BG227" s="1"/>
      <c r="BH227" s="1"/>
      <c r="BI227" s="1"/>
      <c r="BJ227" s="1"/>
      <c r="BK227" s="1"/>
      <c r="BL227" s="1"/>
      <c r="BM227" s="1"/>
      <c r="BN227" s="1"/>
      <c r="BO227" s="1" t="s">
        <v>4782</v>
      </c>
      <c r="BP227" s="1"/>
      <c r="BQ227" s="1"/>
      <c r="BR227" s="1" t="s">
        <v>4783</v>
      </c>
      <c r="BS227" s="1">
        <v>34</v>
      </c>
      <c r="BT227" s="1"/>
      <c r="BU227" s="1" t="str">
        <f>HYPERLINK("https://nconnect.nicmar.ac.in/storage/profile/ProfilePhoto_P25700216_187954.jpg","Download")</f>
        <v>0</v>
      </c>
      <c r="BV227" s="3"/>
      <c r="BW227" s="3"/>
    </row>
    <row r="228" spans="1:75">
      <c r="A228" s="1" t="s">
        <v>75</v>
      </c>
      <c r="B228" s="1" t="s">
        <v>446</v>
      </c>
      <c r="C228" s="1" t="s">
        <v>4784</v>
      </c>
      <c r="D228" s="1" t="s">
        <v>4785</v>
      </c>
      <c r="E228" s="1"/>
      <c r="F228" s="1" t="s">
        <v>1853</v>
      </c>
      <c r="G228" s="1" t="s">
        <v>4786</v>
      </c>
      <c r="H228" s="1" t="s">
        <v>4787</v>
      </c>
      <c r="I228" s="1" t="s">
        <v>4788</v>
      </c>
      <c r="J228" s="1">
        <v>9886180610</v>
      </c>
      <c r="K228" s="1" t="s">
        <v>153</v>
      </c>
      <c r="L228" s="1" t="s">
        <v>4789</v>
      </c>
      <c r="M228" s="1" t="s">
        <v>86</v>
      </c>
      <c r="N228" s="1" t="s">
        <v>1203</v>
      </c>
      <c r="O228" s="1"/>
      <c r="P228" s="1" t="s">
        <v>455</v>
      </c>
      <c r="Q228" s="1" t="s">
        <v>4790</v>
      </c>
      <c r="R228" s="1" t="s">
        <v>4791</v>
      </c>
      <c r="S228" s="1">
        <v>9986112113</v>
      </c>
      <c r="T228" s="1" t="s">
        <v>839</v>
      </c>
      <c r="U228" s="1" t="s">
        <v>4792</v>
      </c>
      <c r="V228" s="1">
        <v>9986040772</v>
      </c>
      <c r="W228" s="1" t="s">
        <v>539</v>
      </c>
      <c r="X228" s="1" t="s">
        <v>4793</v>
      </c>
      <c r="Y228" s="1" t="s">
        <v>3132</v>
      </c>
      <c r="Z228" s="1" t="s">
        <v>1210</v>
      </c>
      <c r="AA228" s="1" t="s">
        <v>4793</v>
      </c>
      <c r="AB228" s="1" t="s">
        <v>3132</v>
      </c>
      <c r="AC228" s="1" t="s">
        <v>1210</v>
      </c>
      <c r="AD228" s="1">
        <v>9.13</v>
      </c>
      <c r="AE228" s="1" t="s">
        <v>98</v>
      </c>
      <c r="AF228" s="1" t="s">
        <v>4794</v>
      </c>
      <c r="AG228" s="1" t="s">
        <v>4795</v>
      </c>
      <c r="AH228" s="1" t="s">
        <v>1602</v>
      </c>
      <c r="AI228" s="1" t="s">
        <v>170</v>
      </c>
      <c r="AJ228" s="1">
        <v>87.4</v>
      </c>
      <c r="AK228" s="1">
        <v>9.2</v>
      </c>
      <c r="AL228" s="1" t="s">
        <v>4796</v>
      </c>
      <c r="AM228" s="1" t="s">
        <v>3732</v>
      </c>
      <c r="AN228" s="1" t="s">
        <v>465</v>
      </c>
      <c r="AO228" s="1" t="s">
        <v>170</v>
      </c>
      <c r="AP228" s="1" t="s">
        <v>547</v>
      </c>
      <c r="AQ228" s="1">
        <v>80.33</v>
      </c>
      <c r="AR228" s="1">
        <v>0</v>
      </c>
      <c r="AS228" s="1"/>
      <c r="AT228" s="1"/>
      <c r="AU228" s="1"/>
      <c r="AV228" s="1"/>
      <c r="AW228" s="1"/>
      <c r="AX228" s="1"/>
      <c r="AY228" s="1" t="s">
        <v>1217</v>
      </c>
      <c r="AZ228" s="1" t="s">
        <v>4797</v>
      </c>
      <c r="BA228" s="1" t="s">
        <v>578</v>
      </c>
      <c r="BB228" s="1" t="s">
        <v>467</v>
      </c>
      <c r="BC228" s="1" t="s">
        <v>206</v>
      </c>
      <c r="BD228" s="1" t="s">
        <v>234</v>
      </c>
      <c r="BE228" s="1">
        <v>84.2</v>
      </c>
      <c r="BF228" s="1">
        <v>9.17</v>
      </c>
      <c r="BG228" s="1"/>
      <c r="BH228" s="1"/>
      <c r="BI228" s="1"/>
      <c r="BJ228" s="1"/>
      <c r="BK228" s="1"/>
      <c r="BL228" s="1"/>
      <c r="BM228" s="1"/>
      <c r="BN228" s="1"/>
      <c r="BO228" s="1" t="s">
        <v>4798</v>
      </c>
      <c r="BP228" s="1" t="s">
        <v>4799</v>
      </c>
      <c r="BQ228" s="1" t="s">
        <v>4149</v>
      </c>
      <c r="BR228" s="1" t="s">
        <v>4800</v>
      </c>
      <c r="BS228" s="1">
        <v>12</v>
      </c>
      <c r="BT228" s="1"/>
      <c r="BU228" s="1" t="str">
        <f>HYPERLINK("https://nconnect.nicmar.ac.in/storage/profile/ProfilePhoto_P25700217_691537.jpg","Download")</f>
        <v>0</v>
      </c>
      <c r="BV228" s="3"/>
      <c r="BW228" s="4">
        <v>1</v>
      </c>
    </row>
    <row r="229" spans="1:75">
      <c r="A229" s="1" t="s">
        <v>75</v>
      </c>
      <c r="B229" s="1" t="s">
        <v>446</v>
      </c>
      <c r="C229" s="1" t="s">
        <v>4801</v>
      </c>
      <c r="D229" s="1" t="s">
        <v>4293</v>
      </c>
      <c r="E229" s="1" t="s">
        <v>4802</v>
      </c>
      <c r="F229" s="1" t="s">
        <v>1361</v>
      </c>
      <c r="G229" s="1" t="s">
        <v>4803</v>
      </c>
      <c r="H229" s="1" t="s">
        <v>4804</v>
      </c>
      <c r="I229" s="1" t="s">
        <v>4805</v>
      </c>
      <c r="J229" s="1">
        <v>9449388363</v>
      </c>
      <c r="K229" s="1" t="s">
        <v>84</v>
      </c>
      <c r="L229" s="1" t="s">
        <v>4806</v>
      </c>
      <c r="M229" s="1" t="s">
        <v>86</v>
      </c>
      <c r="N229" s="1" t="s">
        <v>4412</v>
      </c>
      <c r="O229" s="1"/>
      <c r="P229" s="1" t="s">
        <v>455</v>
      </c>
      <c r="Q229" s="1" t="s">
        <v>4807</v>
      </c>
      <c r="R229" s="1" t="s">
        <v>4808</v>
      </c>
      <c r="S229" s="1">
        <v>9448039294</v>
      </c>
      <c r="T229" s="1" t="s">
        <v>92</v>
      </c>
      <c r="U229" s="1" t="s">
        <v>4809</v>
      </c>
      <c r="V229" s="1">
        <v>9449371589</v>
      </c>
      <c r="W229" s="1" t="s">
        <v>278</v>
      </c>
      <c r="X229" s="1" t="s">
        <v>4810</v>
      </c>
      <c r="Y229" s="1" t="s">
        <v>4069</v>
      </c>
      <c r="Z229" s="1" t="s">
        <v>1210</v>
      </c>
      <c r="AA229" s="1" t="s">
        <v>4810</v>
      </c>
      <c r="AB229" s="1" t="s">
        <v>4069</v>
      </c>
      <c r="AC229" s="1" t="s">
        <v>1210</v>
      </c>
      <c r="AD229" s="1">
        <v>7.97</v>
      </c>
      <c r="AE229" s="1" t="s">
        <v>98</v>
      </c>
      <c r="AF229" s="1" t="s">
        <v>4811</v>
      </c>
      <c r="AG229" s="1" t="s">
        <v>4812</v>
      </c>
      <c r="AH229" s="1" t="s">
        <v>573</v>
      </c>
      <c r="AI229" s="1" t="s">
        <v>171</v>
      </c>
      <c r="AJ229" s="1">
        <v>60.2</v>
      </c>
      <c r="AK229" s="1"/>
      <c r="AL229" s="1" t="s">
        <v>4813</v>
      </c>
      <c r="AM229" s="1" t="s">
        <v>4814</v>
      </c>
      <c r="AN229" s="1" t="s">
        <v>575</v>
      </c>
      <c r="AO229" s="1" t="s">
        <v>315</v>
      </c>
      <c r="AP229" s="1" t="s">
        <v>178</v>
      </c>
      <c r="AQ229" s="1">
        <v>82.5</v>
      </c>
      <c r="AR229" s="1"/>
      <c r="AS229" s="1"/>
      <c r="AT229" s="1"/>
      <c r="AU229" s="1"/>
      <c r="AV229" s="1"/>
      <c r="AW229" s="1"/>
      <c r="AX229" s="1"/>
      <c r="AY229" s="1" t="s">
        <v>4815</v>
      </c>
      <c r="AZ229" s="1" t="s">
        <v>4816</v>
      </c>
      <c r="BA229" s="1" t="s">
        <v>578</v>
      </c>
      <c r="BB229" s="1" t="s">
        <v>467</v>
      </c>
      <c r="BC229" s="1" t="s">
        <v>1647</v>
      </c>
      <c r="BD229" s="1" t="s">
        <v>1089</v>
      </c>
      <c r="BE229" s="1">
        <v>61.9</v>
      </c>
      <c r="BF229" s="1">
        <v>6.93</v>
      </c>
      <c r="BG229" s="1"/>
      <c r="BH229" s="1"/>
      <c r="BI229" s="1"/>
      <c r="BJ229" s="1"/>
      <c r="BK229" s="1"/>
      <c r="BL229" s="1"/>
      <c r="BM229" s="1"/>
      <c r="BN229" s="1"/>
      <c r="BO229" s="1" t="s">
        <v>369</v>
      </c>
      <c r="BP229" s="1" t="s">
        <v>4817</v>
      </c>
      <c r="BQ229" s="1" t="s">
        <v>471</v>
      </c>
      <c r="BR229" s="1" t="s">
        <v>4818</v>
      </c>
      <c r="BS229" s="1">
        <v>13</v>
      </c>
      <c r="BT229" s="1"/>
      <c r="BU229" s="1" t="str">
        <f>HYPERLINK("https://nconnect.nicmar.ac.in/storage/profile/ProfilePhoto_P25700218_745321.jpg","Download")</f>
        <v>0</v>
      </c>
      <c r="BV229" s="3"/>
      <c r="BW229" s="3"/>
    </row>
    <row r="230" spans="1:75">
      <c r="A230" s="1" t="s">
        <v>75</v>
      </c>
      <c r="B230" s="1" t="s">
        <v>446</v>
      </c>
      <c r="C230" s="1" t="s">
        <v>4819</v>
      </c>
      <c r="D230" s="1" t="s">
        <v>4820</v>
      </c>
      <c r="E230" s="1" t="s">
        <v>1464</v>
      </c>
      <c r="F230" s="1" t="s">
        <v>297</v>
      </c>
      <c r="G230" s="1" t="s">
        <v>4821</v>
      </c>
      <c r="H230" s="1" t="s">
        <v>4822</v>
      </c>
      <c r="I230" s="1" t="s">
        <v>4823</v>
      </c>
      <c r="J230" s="1">
        <v>7208137803</v>
      </c>
      <c r="K230" s="1" t="s">
        <v>84</v>
      </c>
      <c r="L230" s="1" t="s">
        <v>4824</v>
      </c>
      <c r="M230" s="1" t="s">
        <v>86</v>
      </c>
      <c r="N230" s="1" t="s">
        <v>1470</v>
      </c>
      <c r="O230" s="1" t="s">
        <v>1301</v>
      </c>
      <c r="P230" s="1" t="s">
        <v>507</v>
      </c>
      <c r="Q230" s="1" t="s">
        <v>4825</v>
      </c>
      <c r="R230" s="1" t="s">
        <v>4826</v>
      </c>
      <c r="S230" s="1">
        <v>9930730964</v>
      </c>
      <c r="T230" s="1" t="s">
        <v>125</v>
      </c>
      <c r="U230" s="1" t="s">
        <v>4827</v>
      </c>
      <c r="V230" s="1">
        <v>9769768556</v>
      </c>
      <c r="W230" s="1" t="s">
        <v>94</v>
      </c>
      <c r="X230" s="1" t="s">
        <v>4828</v>
      </c>
      <c r="Y230" s="1" t="s">
        <v>1882</v>
      </c>
      <c r="Z230" s="1" t="s">
        <v>97</v>
      </c>
      <c r="AA230" s="1" t="s">
        <v>4829</v>
      </c>
      <c r="AB230" s="1" t="s">
        <v>1012</v>
      </c>
      <c r="AC230" s="1" t="s">
        <v>97</v>
      </c>
      <c r="AD230" s="1">
        <v>8.51</v>
      </c>
      <c r="AE230" s="1" t="s">
        <v>98</v>
      </c>
      <c r="AF230" s="1" t="s">
        <v>4830</v>
      </c>
      <c r="AG230" s="1" t="s">
        <v>165</v>
      </c>
      <c r="AH230" s="1" t="s">
        <v>106</v>
      </c>
      <c r="AI230" s="1" t="s">
        <v>414</v>
      </c>
      <c r="AJ230" s="1">
        <v>63.2</v>
      </c>
      <c r="AK230" s="1"/>
      <c r="AL230" s="1"/>
      <c r="AM230" s="1"/>
      <c r="AN230" s="1"/>
      <c r="AO230" s="1"/>
      <c r="AP230" s="1"/>
      <c r="AQ230" s="1"/>
      <c r="AR230" s="1"/>
      <c r="AS230" s="1" t="s">
        <v>439</v>
      </c>
      <c r="AT230" s="1" t="s">
        <v>4831</v>
      </c>
      <c r="AU230" s="1" t="s">
        <v>315</v>
      </c>
      <c r="AV230" s="1" t="s">
        <v>110</v>
      </c>
      <c r="AW230" s="1">
        <v>83.3</v>
      </c>
      <c r="AX230" s="1"/>
      <c r="AY230" s="1" t="s">
        <v>258</v>
      </c>
      <c r="AZ230" s="1" t="s">
        <v>3660</v>
      </c>
      <c r="BA230" s="1"/>
      <c r="BB230" s="1"/>
      <c r="BC230" s="1" t="s">
        <v>1889</v>
      </c>
      <c r="BD230" s="1" t="s">
        <v>1401</v>
      </c>
      <c r="BE230" s="1">
        <v>68</v>
      </c>
      <c r="BF230" s="1">
        <v>7.51</v>
      </c>
      <c r="BG230" s="1"/>
      <c r="BH230" s="1"/>
      <c r="BI230" s="1"/>
      <c r="BJ230" s="1"/>
      <c r="BK230" s="1"/>
      <c r="BL230" s="1"/>
      <c r="BM230" s="1"/>
      <c r="BN230" s="1"/>
      <c r="BO230" s="1" t="s">
        <v>369</v>
      </c>
      <c r="BP230" s="1"/>
      <c r="BQ230" s="1"/>
      <c r="BR230" s="1" t="s">
        <v>4832</v>
      </c>
      <c r="BS230" s="1">
        <v>35</v>
      </c>
      <c r="BT230" s="1"/>
      <c r="BU230" s="1" t="str">
        <f>HYPERLINK("https://nconnect.nicmar.ac.in/storage/profile/ProfilePhoto_P25700219_247813.jpg","Download")</f>
        <v>0</v>
      </c>
      <c r="BV230" s="3"/>
      <c r="BW230" s="3"/>
    </row>
    <row r="231" spans="1:75">
      <c r="A231" s="1" t="s">
        <v>75</v>
      </c>
      <c r="B231" s="1" t="s">
        <v>446</v>
      </c>
      <c r="C231" s="1" t="s">
        <v>4833</v>
      </c>
      <c r="D231" s="1" t="s">
        <v>4834</v>
      </c>
      <c r="E231" s="1"/>
      <c r="F231" s="1" t="s">
        <v>4835</v>
      </c>
      <c r="G231" s="1" t="s">
        <v>4836</v>
      </c>
      <c r="H231" s="1" t="s">
        <v>4837</v>
      </c>
      <c r="I231" s="1" t="s">
        <v>4838</v>
      </c>
      <c r="J231" s="1">
        <v>9581678604</v>
      </c>
      <c r="K231" s="1" t="s">
        <v>84</v>
      </c>
      <c r="L231" s="1" t="s">
        <v>4839</v>
      </c>
      <c r="M231" s="1" t="s">
        <v>86</v>
      </c>
      <c r="N231" s="1" t="s">
        <v>4840</v>
      </c>
      <c r="O231" s="1"/>
      <c r="P231" s="1" t="s">
        <v>507</v>
      </c>
      <c r="Q231" s="1" t="s">
        <v>4841</v>
      </c>
      <c r="R231" s="1" t="s">
        <v>4842</v>
      </c>
      <c r="S231" s="1">
        <v>9885118637</v>
      </c>
      <c r="T231" s="1" t="s">
        <v>4843</v>
      </c>
      <c r="U231" s="1" t="s">
        <v>4844</v>
      </c>
      <c r="V231" s="1">
        <v>7013775932</v>
      </c>
      <c r="W231" s="1" t="s">
        <v>161</v>
      </c>
      <c r="X231" s="1" t="s">
        <v>4845</v>
      </c>
      <c r="Y231" s="1" t="s">
        <v>725</v>
      </c>
      <c r="Z231" s="1" t="s">
        <v>281</v>
      </c>
      <c r="AA231" s="1" t="s">
        <v>4845</v>
      </c>
      <c r="AB231" s="1" t="s">
        <v>725</v>
      </c>
      <c r="AC231" s="1" t="s">
        <v>281</v>
      </c>
      <c r="AD231" s="1">
        <v>7.92</v>
      </c>
      <c r="AE231" s="1" t="s">
        <v>98</v>
      </c>
      <c r="AF231" s="1" t="s">
        <v>4846</v>
      </c>
      <c r="AG231" s="1" t="s">
        <v>4847</v>
      </c>
      <c r="AH231" s="1" t="s">
        <v>106</v>
      </c>
      <c r="AI231" s="1" t="s">
        <v>313</v>
      </c>
      <c r="AJ231" s="1">
        <v>95</v>
      </c>
      <c r="AK231" s="1">
        <v>9.5</v>
      </c>
      <c r="AL231" s="1" t="s">
        <v>3033</v>
      </c>
      <c r="AM231" s="1" t="s">
        <v>4848</v>
      </c>
      <c r="AN231" s="1"/>
      <c r="AO231" s="1" t="s">
        <v>438</v>
      </c>
      <c r="AP231" s="1" t="s">
        <v>549</v>
      </c>
      <c r="AQ231" s="1">
        <v>78.4</v>
      </c>
      <c r="AR231" s="1">
        <v>7.84</v>
      </c>
      <c r="AS231" s="1"/>
      <c r="AT231" s="1"/>
      <c r="AU231" s="1"/>
      <c r="AV231" s="1"/>
      <c r="AW231" s="1"/>
      <c r="AX231" s="1"/>
      <c r="AY231" s="1" t="s">
        <v>550</v>
      </c>
      <c r="AZ231" s="1" t="s">
        <v>4849</v>
      </c>
      <c r="BA231" s="1"/>
      <c r="BB231" s="1"/>
      <c r="BC231" s="1" t="s">
        <v>552</v>
      </c>
      <c r="BD231" s="1" t="s">
        <v>1401</v>
      </c>
      <c r="BE231" s="1">
        <v>78.2</v>
      </c>
      <c r="BF231" s="1">
        <v>7.82</v>
      </c>
      <c r="BG231" s="1"/>
      <c r="BH231" s="1"/>
      <c r="BI231" s="1"/>
      <c r="BJ231" s="1"/>
      <c r="BK231" s="1"/>
      <c r="BL231" s="1"/>
      <c r="BM231" s="1"/>
      <c r="BN231" s="1"/>
      <c r="BO231" s="1" t="s">
        <v>369</v>
      </c>
      <c r="BP231" s="1"/>
      <c r="BQ231" s="1"/>
      <c r="BR231" s="1" t="s">
        <v>4850</v>
      </c>
      <c r="BS231" s="1">
        <v>13</v>
      </c>
      <c r="BT231" s="1"/>
      <c r="BU231" s="1" t="str">
        <f>HYPERLINK("https://nconnect.nicmar.ac.in/storage/profile/ProfilePhoto_P25700220_175482.jpg","Download")</f>
        <v>0</v>
      </c>
      <c r="BV231" s="3"/>
      <c r="BW231" s="4">
        <v>1</v>
      </c>
    </row>
    <row r="232" spans="1:75">
      <c r="A232" s="1" t="s">
        <v>75</v>
      </c>
      <c r="B232" s="1" t="s">
        <v>446</v>
      </c>
      <c r="C232" s="1" t="s">
        <v>4851</v>
      </c>
      <c r="D232" s="1" t="s">
        <v>4852</v>
      </c>
      <c r="E232" s="1"/>
      <c r="F232" s="1" t="s">
        <v>961</v>
      </c>
      <c r="G232" s="1" t="s">
        <v>4853</v>
      </c>
      <c r="H232" s="1" t="s">
        <v>4854</v>
      </c>
      <c r="I232" s="1" t="s">
        <v>4855</v>
      </c>
      <c r="J232" s="1">
        <v>7838679369</v>
      </c>
      <c r="K232" s="1" t="s">
        <v>84</v>
      </c>
      <c r="L232" s="1" t="s">
        <v>4856</v>
      </c>
      <c r="M232" s="1" t="s">
        <v>86</v>
      </c>
      <c r="N232" s="1" t="s">
        <v>4857</v>
      </c>
      <c r="O232" s="1"/>
      <c r="P232" s="1" t="s">
        <v>455</v>
      </c>
      <c r="Q232" s="1" t="s">
        <v>4858</v>
      </c>
      <c r="R232" s="1" t="s">
        <v>4859</v>
      </c>
      <c r="S232" s="1">
        <v>9717364227</v>
      </c>
      <c r="T232" s="1" t="s">
        <v>125</v>
      </c>
      <c r="U232" s="1" t="s">
        <v>4860</v>
      </c>
      <c r="V232" s="1">
        <v>9873513198</v>
      </c>
      <c r="W232" s="1" t="s">
        <v>541</v>
      </c>
      <c r="X232" s="1" t="s">
        <v>4861</v>
      </c>
      <c r="Y232" s="1" t="s">
        <v>1107</v>
      </c>
      <c r="Z232" s="1" t="s">
        <v>544</v>
      </c>
      <c r="AA232" s="1" t="s">
        <v>4861</v>
      </c>
      <c r="AB232" s="1" t="s">
        <v>1107</v>
      </c>
      <c r="AC232" s="1" t="s">
        <v>544</v>
      </c>
      <c r="AD232" s="1">
        <v>8.92</v>
      </c>
      <c r="AE232" s="1" t="s">
        <v>98</v>
      </c>
      <c r="AF232" s="1" t="s">
        <v>1624</v>
      </c>
      <c r="AG232" s="1" t="s">
        <v>4862</v>
      </c>
      <c r="AH232" s="1" t="s">
        <v>284</v>
      </c>
      <c r="AI232" s="1" t="s">
        <v>170</v>
      </c>
      <c r="AJ232" s="1">
        <v>95</v>
      </c>
      <c r="AK232" s="1">
        <v>10</v>
      </c>
      <c r="AL232" s="1" t="s">
        <v>1624</v>
      </c>
      <c r="AM232" s="1" t="s">
        <v>4862</v>
      </c>
      <c r="AN232" s="1" t="s">
        <v>465</v>
      </c>
      <c r="AO232" s="1" t="s">
        <v>490</v>
      </c>
      <c r="AP232" s="1" t="s">
        <v>313</v>
      </c>
      <c r="AQ232" s="1">
        <v>86.66</v>
      </c>
      <c r="AR232" s="1"/>
      <c r="AS232" s="1"/>
      <c r="AT232" s="1"/>
      <c r="AU232" s="1"/>
      <c r="AV232" s="1"/>
      <c r="AW232" s="1"/>
      <c r="AX232" s="1"/>
      <c r="AY232" s="1" t="s">
        <v>4863</v>
      </c>
      <c r="AZ232" s="1" t="s">
        <v>4864</v>
      </c>
      <c r="BA232" s="1" t="s">
        <v>466</v>
      </c>
      <c r="BB232" s="1" t="s">
        <v>467</v>
      </c>
      <c r="BC232" s="1" t="s">
        <v>315</v>
      </c>
      <c r="BD232" s="1" t="s">
        <v>391</v>
      </c>
      <c r="BE232" s="1">
        <v>88.1</v>
      </c>
      <c r="BF232" s="1"/>
      <c r="BG232" s="1"/>
      <c r="BH232" s="1"/>
      <c r="BI232" s="1"/>
      <c r="BJ232" s="1"/>
      <c r="BK232" s="1"/>
      <c r="BL232" s="1"/>
      <c r="BM232" s="1"/>
      <c r="BN232" s="1"/>
      <c r="BO232" s="1" t="s">
        <v>2035</v>
      </c>
      <c r="BP232" s="1"/>
      <c r="BQ232" s="1"/>
      <c r="BR232" s="1" t="s">
        <v>4865</v>
      </c>
      <c r="BS232" s="1">
        <v>41</v>
      </c>
      <c r="BT232" s="1" t="s">
        <v>4866</v>
      </c>
      <c r="BU232" s="1" t="str">
        <f>HYPERLINK("https://nconnect.nicmar.ac.in/storage/profile/ProfilePhoto_P25700222_137948.jpg","Download")</f>
        <v>0</v>
      </c>
      <c r="BV232" s="3"/>
      <c r="BW232" s="3"/>
    </row>
    <row r="233" spans="1:75">
      <c r="A233" s="1" t="s">
        <v>75</v>
      </c>
      <c r="B233" s="1" t="s">
        <v>446</v>
      </c>
      <c r="C233" s="1" t="s">
        <v>4867</v>
      </c>
      <c r="D233" s="1" t="s">
        <v>3493</v>
      </c>
      <c r="E233" s="1" t="s">
        <v>4707</v>
      </c>
      <c r="F233" s="1" t="s">
        <v>4868</v>
      </c>
      <c r="G233" s="1" t="s">
        <v>4869</v>
      </c>
      <c r="H233" s="1" t="s">
        <v>4870</v>
      </c>
      <c r="I233" s="1" t="s">
        <v>4871</v>
      </c>
      <c r="J233" s="1">
        <v>8669887387</v>
      </c>
      <c r="K233" s="1" t="s">
        <v>84</v>
      </c>
      <c r="L233" s="1" t="s">
        <v>4872</v>
      </c>
      <c r="M233" s="1" t="s">
        <v>86</v>
      </c>
      <c r="N233" s="1" t="s">
        <v>3500</v>
      </c>
      <c r="O233" s="1"/>
      <c r="P233" s="1" t="s">
        <v>455</v>
      </c>
      <c r="Q233" s="1" t="s">
        <v>4873</v>
      </c>
      <c r="R233" s="1" t="s">
        <v>4874</v>
      </c>
      <c r="S233" s="1">
        <v>8669887387</v>
      </c>
      <c r="T233" s="1" t="s">
        <v>4875</v>
      </c>
      <c r="U233" s="1" t="s">
        <v>4876</v>
      </c>
      <c r="V233" s="1">
        <v>7558383260</v>
      </c>
      <c r="W233" s="1" t="s">
        <v>161</v>
      </c>
      <c r="X233" s="1" t="s">
        <v>4877</v>
      </c>
      <c r="Y233" s="1" t="s">
        <v>1779</v>
      </c>
      <c r="Z233" s="1" t="s">
        <v>97</v>
      </c>
      <c r="AA233" s="1" t="s">
        <v>4877</v>
      </c>
      <c r="AB233" s="1" t="s">
        <v>1779</v>
      </c>
      <c r="AC233" s="1" t="s">
        <v>97</v>
      </c>
      <c r="AD233" s="1">
        <v>8.18</v>
      </c>
      <c r="AE233" s="1" t="s">
        <v>98</v>
      </c>
      <c r="AF233" s="1" t="s">
        <v>4878</v>
      </c>
      <c r="AG233" s="1" t="s">
        <v>165</v>
      </c>
      <c r="AH233" s="1" t="s">
        <v>101</v>
      </c>
      <c r="AI233" s="1" t="s">
        <v>102</v>
      </c>
      <c r="AJ233" s="1">
        <v>88.8</v>
      </c>
      <c r="AK233" s="1"/>
      <c r="AL233" s="1" t="s">
        <v>4879</v>
      </c>
      <c r="AM233" s="1" t="s">
        <v>165</v>
      </c>
      <c r="AN233" s="1" t="s">
        <v>575</v>
      </c>
      <c r="AO233" s="1" t="s">
        <v>167</v>
      </c>
      <c r="AP233" s="1" t="s">
        <v>518</v>
      </c>
      <c r="AQ233" s="1">
        <v>61.54</v>
      </c>
      <c r="AR233" s="1"/>
      <c r="AS233" s="1"/>
      <c r="AT233" s="1"/>
      <c r="AU233" s="1"/>
      <c r="AV233" s="1"/>
      <c r="AW233" s="1"/>
      <c r="AX233" s="1"/>
      <c r="AY233" s="1" t="s">
        <v>366</v>
      </c>
      <c r="AZ233" s="1" t="s">
        <v>4880</v>
      </c>
      <c r="BA233" s="1" t="s">
        <v>682</v>
      </c>
      <c r="BB233" s="1" t="s">
        <v>1561</v>
      </c>
      <c r="BC233" s="1" t="s">
        <v>170</v>
      </c>
      <c r="BD233" s="1" t="s">
        <v>179</v>
      </c>
      <c r="BE233" s="1">
        <v>71.21</v>
      </c>
      <c r="BF233" s="1">
        <v>7.8</v>
      </c>
      <c r="BG233" s="1"/>
      <c r="BH233" s="1"/>
      <c r="BI233" s="1"/>
      <c r="BJ233" s="1"/>
      <c r="BK233" s="1"/>
      <c r="BL233" s="1"/>
      <c r="BM233" s="1"/>
      <c r="BN233" s="1"/>
      <c r="BO233" s="1" t="s">
        <v>4881</v>
      </c>
      <c r="BP233" s="1" t="s">
        <v>4882</v>
      </c>
      <c r="BQ233" s="1" t="s">
        <v>4149</v>
      </c>
      <c r="BR233" s="1" t="s">
        <v>4883</v>
      </c>
      <c r="BS233" s="1">
        <v>33</v>
      </c>
      <c r="BT233" s="1"/>
      <c r="BU233" s="1" t="str">
        <f>HYPERLINK("https://nconnect.nicmar.ac.in/storage/profile/ProfilePhoto_P25700223_327691.jpg","Download")</f>
        <v>0</v>
      </c>
      <c r="BV233" s="3"/>
      <c r="BW233" s="3"/>
    </row>
    <row r="234" spans="1:75">
      <c r="A234" s="1" t="s">
        <v>75</v>
      </c>
      <c r="B234" s="1" t="s">
        <v>446</v>
      </c>
      <c r="C234" s="1" t="s">
        <v>4884</v>
      </c>
      <c r="D234" s="1" t="s">
        <v>1893</v>
      </c>
      <c r="E234" s="1" t="s">
        <v>4885</v>
      </c>
      <c r="F234" s="1" t="s">
        <v>4886</v>
      </c>
      <c r="G234" s="1" t="s">
        <v>4887</v>
      </c>
      <c r="H234" s="1" t="s">
        <v>4888</v>
      </c>
      <c r="I234" s="1" t="s">
        <v>4889</v>
      </c>
      <c r="J234" s="1">
        <v>7020212917</v>
      </c>
      <c r="K234" s="1" t="s">
        <v>84</v>
      </c>
      <c r="L234" s="1" t="s">
        <v>4890</v>
      </c>
      <c r="M234" s="1" t="s">
        <v>86</v>
      </c>
      <c r="N234" s="1" t="s">
        <v>4891</v>
      </c>
      <c r="O234" s="1"/>
      <c r="P234" s="1" t="s">
        <v>507</v>
      </c>
      <c r="Q234" s="1" t="s">
        <v>4892</v>
      </c>
      <c r="R234" s="1" t="s">
        <v>4893</v>
      </c>
      <c r="S234" s="1">
        <v>9860551989</v>
      </c>
      <c r="T234" s="1" t="s">
        <v>4894</v>
      </c>
      <c r="U234" s="1" t="s">
        <v>4895</v>
      </c>
      <c r="V234" s="1">
        <v>9860551989</v>
      </c>
      <c r="W234" s="1" t="s">
        <v>4896</v>
      </c>
      <c r="X234" s="1" t="s">
        <v>4897</v>
      </c>
      <c r="Y234" s="1" t="s">
        <v>196</v>
      </c>
      <c r="Z234" s="1" t="s">
        <v>97</v>
      </c>
      <c r="AA234" s="1" t="s">
        <v>4898</v>
      </c>
      <c r="AB234" s="1" t="s">
        <v>96</v>
      </c>
      <c r="AC234" s="1" t="s">
        <v>97</v>
      </c>
      <c r="AD234" s="1">
        <v>7.51</v>
      </c>
      <c r="AE234" s="1" t="s">
        <v>98</v>
      </c>
      <c r="AF234" s="1" t="s">
        <v>4899</v>
      </c>
      <c r="AG234" s="1" t="s">
        <v>165</v>
      </c>
      <c r="AH234" s="1" t="s">
        <v>102</v>
      </c>
      <c r="AI234" s="1" t="s">
        <v>1111</v>
      </c>
      <c r="AJ234" s="1">
        <v>68.8</v>
      </c>
      <c r="AK234" s="1">
        <v>0</v>
      </c>
      <c r="AL234" s="1" t="s">
        <v>4900</v>
      </c>
      <c r="AM234" s="1" t="s">
        <v>2725</v>
      </c>
      <c r="AN234" s="1" t="s">
        <v>575</v>
      </c>
      <c r="AO234" s="1" t="s">
        <v>518</v>
      </c>
      <c r="AP234" s="1" t="s">
        <v>1477</v>
      </c>
      <c r="AQ234" s="1">
        <v>80.46</v>
      </c>
      <c r="AR234" s="1">
        <v>0</v>
      </c>
      <c r="AS234" s="1"/>
      <c r="AT234" s="1"/>
      <c r="AU234" s="1"/>
      <c r="AV234" s="1"/>
      <c r="AW234" s="1"/>
      <c r="AX234" s="1"/>
      <c r="AY234" s="1" t="s">
        <v>4901</v>
      </c>
      <c r="AZ234" s="1" t="s">
        <v>4902</v>
      </c>
      <c r="BA234" s="1" t="s">
        <v>466</v>
      </c>
      <c r="BB234" s="1" t="s">
        <v>467</v>
      </c>
      <c r="BC234" s="1" t="s">
        <v>106</v>
      </c>
      <c r="BD234" s="1" t="s">
        <v>110</v>
      </c>
      <c r="BE234" s="1">
        <v>80.8</v>
      </c>
      <c r="BF234" s="1">
        <v>8.58</v>
      </c>
      <c r="BG234" s="1"/>
      <c r="BH234" s="1"/>
      <c r="BI234" s="1"/>
      <c r="BJ234" s="1"/>
      <c r="BK234" s="1"/>
      <c r="BL234" s="1"/>
      <c r="BM234" s="1"/>
      <c r="BN234" s="1"/>
      <c r="BO234" s="1" t="s">
        <v>1114</v>
      </c>
      <c r="BP234" s="1"/>
      <c r="BQ234" s="1"/>
      <c r="BR234" s="1" t="s">
        <v>4903</v>
      </c>
      <c r="BS234" s="1">
        <v>77</v>
      </c>
      <c r="BT234" s="1"/>
      <c r="BU234" s="1" t="str">
        <f>HYPERLINK("https://nconnect.nicmar.ac.in/storage/profile/ProfilePhoto_P25700224_261739.jpg","Download")</f>
        <v>0</v>
      </c>
      <c r="BV234" s="3"/>
      <c r="BW234" s="3"/>
    </row>
    <row r="235" spans="1:75">
      <c r="A235" s="1" t="s">
        <v>75</v>
      </c>
      <c r="B235" s="1" t="s">
        <v>446</v>
      </c>
      <c r="C235" s="1" t="s">
        <v>4904</v>
      </c>
      <c r="D235" s="1" t="s">
        <v>4905</v>
      </c>
      <c r="E235" s="1"/>
      <c r="F235" s="1" t="s">
        <v>1997</v>
      </c>
      <c r="G235" s="1" t="s">
        <v>4906</v>
      </c>
      <c r="H235" s="1" t="s">
        <v>4907</v>
      </c>
      <c r="I235" s="1" t="s">
        <v>4908</v>
      </c>
      <c r="J235" s="1">
        <v>7025870364</v>
      </c>
      <c r="K235" s="1" t="s">
        <v>153</v>
      </c>
      <c r="L235" s="1" t="s">
        <v>4909</v>
      </c>
      <c r="M235" s="1" t="s">
        <v>86</v>
      </c>
      <c r="N235" s="1" t="s">
        <v>4910</v>
      </c>
      <c r="O235" s="1"/>
      <c r="P235" s="1" t="s">
        <v>507</v>
      </c>
      <c r="Q235" s="1" t="s">
        <v>4911</v>
      </c>
      <c r="R235" s="1" t="s">
        <v>4912</v>
      </c>
      <c r="S235" s="1">
        <v>9744453264</v>
      </c>
      <c r="T235" s="1" t="s">
        <v>4913</v>
      </c>
      <c r="U235" s="1" t="s">
        <v>4914</v>
      </c>
      <c r="V235" s="1">
        <v>9562979284</v>
      </c>
      <c r="W235" s="1" t="s">
        <v>278</v>
      </c>
      <c r="X235" s="1" t="s">
        <v>4915</v>
      </c>
      <c r="Y235" s="1" t="s">
        <v>4916</v>
      </c>
      <c r="Z235" s="1" t="s">
        <v>130</v>
      </c>
      <c r="AA235" s="1" t="s">
        <v>4915</v>
      </c>
      <c r="AB235" s="1" t="s">
        <v>4916</v>
      </c>
      <c r="AC235" s="1" t="s">
        <v>130</v>
      </c>
      <c r="AD235" s="1">
        <v>9.03</v>
      </c>
      <c r="AE235" s="1" t="s">
        <v>98</v>
      </c>
      <c r="AF235" s="1" t="s">
        <v>4917</v>
      </c>
      <c r="AG235" s="1" t="s">
        <v>4918</v>
      </c>
      <c r="AH235" s="1" t="s">
        <v>573</v>
      </c>
      <c r="AI235" s="1" t="s">
        <v>171</v>
      </c>
      <c r="AJ235" s="1">
        <v>90</v>
      </c>
      <c r="AK235" s="1">
        <v>0</v>
      </c>
      <c r="AL235" s="1" t="s">
        <v>4917</v>
      </c>
      <c r="AM235" s="1" t="s">
        <v>4918</v>
      </c>
      <c r="AN235" s="1" t="s">
        <v>575</v>
      </c>
      <c r="AO235" s="1" t="s">
        <v>313</v>
      </c>
      <c r="AP235" s="1" t="s">
        <v>178</v>
      </c>
      <c r="AQ235" s="1">
        <v>93.92</v>
      </c>
      <c r="AR235" s="1">
        <v>0</v>
      </c>
      <c r="AS235" s="1"/>
      <c r="AT235" s="1"/>
      <c r="AU235" s="1"/>
      <c r="AV235" s="1"/>
      <c r="AW235" s="1"/>
      <c r="AX235" s="1"/>
      <c r="AY235" s="1" t="s">
        <v>137</v>
      </c>
      <c r="AZ235" s="1" t="s">
        <v>4919</v>
      </c>
      <c r="BA235" s="1" t="s">
        <v>466</v>
      </c>
      <c r="BB235" s="1" t="s">
        <v>467</v>
      </c>
      <c r="BC235" s="1" t="s">
        <v>1647</v>
      </c>
      <c r="BD235" s="1" t="s">
        <v>207</v>
      </c>
      <c r="BE235" s="1">
        <v>90.8</v>
      </c>
      <c r="BF235" s="1">
        <v>9.08</v>
      </c>
      <c r="BG235" s="1"/>
      <c r="BH235" s="1"/>
      <c r="BI235" s="1"/>
      <c r="BJ235" s="1"/>
      <c r="BK235" s="1"/>
      <c r="BL235" s="1"/>
      <c r="BM235" s="1"/>
      <c r="BN235" s="1"/>
      <c r="BO235" s="1" t="s">
        <v>4920</v>
      </c>
      <c r="BP235" s="1" t="s">
        <v>4921</v>
      </c>
      <c r="BQ235" s="1" t="s">
        <v>1070</v>
      </c>
      <c r="BR235" s="1" t="s">
        <v>4922</v>
      </c>
      <c r="BS235" s="1">
        <v>12</v>
      </c>
      <c r="BT235" s="1" t="s">
        <v>4923</v>
      </c>
      <c r="BU235" s="1" t="str">
        <f>HYPERLINK("https://nconnect.nicmar.ac.in/storage/profile/ProfilePhoto_P25700225_983512.jpg","Download")</f>
        <v>0</v>
      </c>
      <c r="BV235" s="3"/>
      <c r="BW235" s="3"/>
    </row>
    <row r="236" spans="1:75">
      <c r="A236" s="1" t="s">
        <v>75</v>
      </c>
      <c r="B236" s="1" t="s">
        <v>446</v>
      </c>
      <c r="C236" s="1" t="s">
        <v>4924</v>
      </c>
      <c r="D236" s="1" t="s">
        <v>4925</v>
      </c>
      <c r="E236" s="1" t="s">
        <v>4926</v>
      </c>
      <c r="F236" s="1" t="s">
        <v>1321</v>
      </c>
      <c r="G236" s="1" t="s">
        <v>4927</v>
      </c>
      <c r="H236" s="1" t="s">
        <v>4928</v>
      </c>
      <c r="I236" s="1" t="s">
        <v>4929</v>
      </c>
      <c r="J236" s="1">
        <v>7004652048</v>
      </c>
      <c r="K236" s="1" t="s">
        <v>153</v>
      </c>
      <c r="L236" s="1" t="s">
        <v>4930</v>
      </c>
      <c r="M236" s="1" t="s">
        <v>155</v>
      </c>
      <c r="N236" s="1" t="s">
        <v>4278</v>
      </c>
      <c r="O236" s="1" t="s">
        <v>88</v>
      </c>
      <c r="P236" s="1" t="s">
        <v>481</v>
      </c>
      <c r="Q236" s="1" t="s">
        <v>4931</v>
      </c>
      <c r="R236" s="1" t="s">
        <v>4932</v>
      </c>
      <c r="S236" s="1">
        <v>9386381598</v>
      </c>
      <c r="T236" s="1" t="s">
        <v>596</v>
      </c>
      <c r="U236" s="1" t="s">
        <v>4933</v>
      </c>
      <c r="V236" s="1">
        <v>9835041874</v>
      </c>
      <c r="W236" s="1" t="s">
        <v>161</v>
      </c>
      <c r="X236" s="1" t="s">
        <v>4934</v>
      </c>
      <c r="Y236" s="1" t="s">
        <v>3132</v>
      </c>
      <c r="Z236" s="1" t="s">
        <v>1210</v>
      </c>
      <c r="AA236" s="1" t="s">
        <v>4935</v>
      </c>
      <c r="AB236" s="1" t="s">
        <v>3132</v>
      </c>
      <c r="AC236" s="1" t="s">
        <v>1210</v>
      </c>
      <c r="AD236" s="1">
        <v>8.31</v>
      </c>
      <c r="AE236" s="1" t="s">
        <v>98</v>
      </c>
      <c r="AF236" s="1" t="s">
        <v>4936</v>
      </c>
      <c r="AG236" s="1" t="s">
        <v>4937</v>
      </c>
      <c r="AH236" s="1" t="s">
        <v>3770</v>
      </c>
      <c r="AI236" s="1" t="s">
        <v>1262</v>
      </c>
      <c r="AJ236" s="1">
        <v>79.8</v>
      </c>
      <c r="AK236" s="1">
        <v>8.4</v>
      </c>
      <c r="AL236" s="1" t="s">
        <v>4938</v>
      </c>
      <c r="AM236" s="1" t="s">
        <v>4939</v>
      </c>
      <c r="AN236" s="1" t="s">
        <v>465</v>
      </c>
      <c r="AO236" s="1" t="s">
        <v>342</v>
      </c>
      <c r="AP236" s="1" t="s">
        <v>4940</v>
      </c>
      <c r="AQ236" s="1">
        <v>75</v>
      </c>
      <c r="AR236" s="1"/>
      <c r="AS236" s="1"/>
      <c r="AT236" s="1"/>
      <c r="AU236" s="1"/>
      <c r="AV236" s="1"/>
      <c r="AW236" s="1"/>
      <c r="AX236" s="1"/>
      <c r="AY236" s="1" t="s">
        <v>1240</v>
      </c>
      <c r="AZ236" s="1" t="s">
        <v>4941</v>
      </c>
      <c r="BA236" s="1" t="s">
        <v>466</v>
      </c>
      <c r="BB236" s="1" t="s">
        <v>467</v>
      </c>
      <c r="BC236" s="1" t="s">
        <v>388</v>
      </c>
      <c r="BD236" s="1" t="s">
        <v>549</v>
      </c>
      <c r="BE236" s="1">
        <v>78.5</v>
      </c>
      <c r="BF236" s="1">
        <v>8.6</v>
      </c>
      <c r="BG236" s="1"/>
      <c r="BH236" s="1"/>
      <c r="BI236" s="1"/>
      <c r="BJ236" s="1"/>
      <c r="BK236" s="1"/>
      <c r="BL236" s="1"/>
      <c r="BM236" s="1"/>
      <c r="BN236" s="1"/>
      <c r="BO236" s="1" t="s">
        <v>4942</v>
      </c>
      <c r="BP236" s="1" t="s">
        <v>4943</v>
      </c>
      <c r="BQ236" s="1" t="s">
        <v>4944</v>
      </c>
      <c r="BR236" s="1" t="s">
        <v>4945</v>
      </c>
      <c r="BS236" s="1">
        <v>7</v>
      </c>
      <c r="BT236" s="1" t="s">
        <v>4946</v>
      </c>
      <c r="BU236" s="1" t="str">
        <f>HYPERLINK("https://nconnect.nicmar.ac.in/storage/profile/ProfilePhoto_P25700227_241753.jpg","Download")</f>
        <v>0</v>
      </c>
      <c r="BV236" s="3"/>
      <c r="BW236" s="4">
        <v>1</v>
      </c>
    </row>
    <row r="237" spans="1:75">
      <c r="A237" s="1" t="s">
        <v>75</v>
      </c>
      <c r="B237" s="1" t="s">
        <v>446</v>
      </c>
      <c r="C237" s="1" t="s">
        <v>4947</v>
      </c>
      <c r="D237" s="1" t="s">
        <v>4948</v>
      </c>
      <c r="E237" s="1"/>
      <c r="F237" s="1" t="s">
        <v>350</v>
      </c>
      <c r="G237" s="1" t="s">
        <v>4949</v>
      </c>
      <c r="H237" s="1" t="s">
        <v>4950</v>
      </c>
      <c r="I237" s="1" t="s">
        <v>4951</v>
      </c>
      <c r="J237" s="1">
        <v>6397491448</v>
      </c>
      <c r="K237" s="1" t="s">
        <v>84</v>
      </c>
      <c r="L237" s="1" t="s">
        <v>4952</v>
      </c>
      <c r="M237" s="1" t="s">
        <v>86</v>
      </c>
      <c r="N237" s="1" t="s">
        <v>4278</v>
      </c>
      <c r="O237" s="1" t="s">
        <v>4953</v>
      </c>
      <c r="P237" s="1" t="s">
        <v>122</v>
      </c>
      <c r="Q237" s="1" t="s">
        <v>4954</v>
      </c>
      <c r="R237" s="1" t="s">
        <v>4955</v>
      </c>
      <c r="S237" s="1">
        <v>6260257146</v>
      </c>
      <c r="T237" s="1" t="s">
        <v>1495</v>
      </c>
      <c r="U237" s="1" t="s">
        <v>4956</v>
      </c>
      <c r="V237" s="1">
        <v>8218895451</v>
      </c>
      <c r="W237" s="1" t="s">
        <v>161</v>
      </c>
      <c r="X237" s="1" t="s">
        <v>4957</v>
      </c>
      <c r="Y237" s="1" t="s">
        <v>196</v>
      </c>
      <c r="Z237" s="1" t="s">
        <v>97</v>
      </c>
      <c r="AA237" s="1" t="s">
        <v>4958</v>
      </c>
      <c r="AB237" s="1" t="s">
        <v>4959</v>
      </c>
      <c r="AC237" s="1" t="s">
        <v>544</v>
      </c>
      <c r="AD237" s="1">
        <v>9.0</v>
      </c>
      <c r="AE237" s="1" t="s">
        <v>98</v>
      </c>
      <c r="AF237" s="1" t="s">
        <v>4960</v>
      </c>
      <c r="AG237" s="1" t="s">
        <v>4961</v>
      </c>
      <c r="AH237" s="1" t="s">
        <v>102</v>
      </c>
      <c r="AI237" s="1" t="s">
        <v>627</v>
      </c>
      <c r="AJ237" s="1">
        <v>87.4</v>
      </c>
      <c r="AK237" s="1">
        <v>9.2</v>
      </c>
      <c r="AL237" s="1" t="s">
        <v>4960</v>
      </c>
      <c r="AM237" s="1" t="s">
        <v>4961</v>
      </c>
      <c r="AN237" s="1" t="s">
        <v>465</v>
      </c>
      <c r="AO237" s="1" t="s">
        <v>200</v>
      </c>
      <c r="AP237" s="1" t="s">
        <v>171</v>
      </c>
      <c r="AQ237" s="1">
        <v>85.2</v>
      </c>
      <c r="AR237" s="1"/>
      <c r="AS237" s="1"/>
      <c r="AT237" s="1"/>
      <c r="AU237" s="1"/>
      <c r="AV237" s="1"/>
      <c r="AW237" s="1"/>
      <c r="AX237" s="1"/>
      <c r="AY237" s="1" t="s">
        <v>4962</v>
      </c>
      <c r="AZ237" s="1" t="s">
        <v>4963</v>
      </c>
      <c r="BA237" s="1" t="s">
        <v>466</v>
      </c>
      <c r="BB237" s="1" t="s">
        <v>467</v>
      </c>
      <c r="BC237" s="1" t="s">
        <v>417</v>
      </c>
      <c r="BD237" s="1" t="s">
        <v>418</v>
      </c>
      <c r="BE237" s="1">
        <v>94.2</v>
      </c>
      <c r="BF237" s="1">
        <v>9.42</v>
      </c>
      <c r="BG237" s="1"/>
      <c r="BH237" s="1"/>
      <c r="BI237" s="1"/>
      <c r="BJ237" s="1"/>
      <c r="BK237" s="1"/>
      <c r="BL237" s="1"/>
      <c r="BM237" s="1"/>
      <c r="BN237" s="1"/>
      <c r="BO237" s="1" t="s">
        <v>1114</v>
      </c>
      <c r="BP237" s="1"/>
      <c r="BQ237" s="1"/>
      <c r="BR237" s="1" t="s">
        <v>4964</v>
      </c>
      <c r="BS237" s="1">
        <v>12</v>
      </c>
      <c r="BT237" s="1"/>
      <c r="BU237" s="1" t="str">
        <f>HYPERLINK("https://nconnect.nicmar.ac.in/storage/profile/ProfilePhoto_P25700228_279168.jpg","Download")</f>
        <v>0</v>
      </c>
      <c r="BV237" s="3"/>
      <c r="BW237" s="4">
        <v>1</v>
      </c>
    </row>
    <row r="238" spans="1:75">
      <c r="A238" s="1" t="s">
        <v>75</v>
      </c>
      <c r="B238" s="1" t="s">
        <v>446</v>
      </c>
      <c r="C238" s="1" t="s">
        <v>4965</v>
      </c>
      <c r="D238" s="1" t="s">
        <v>1319</v>
      </c>
      <c r="E238" s="1" t="s">
        <v>4966</v>
      </c>
      <c r="F238" s="1" t="s">
        <v>4967</v>
      </c>
      <c r="G238" s="1" t="s">
        <v>4968</v>
      </c>
      <c r="H238" s="1" t="s">
        <v>4969</v>
      </c>
      <c r="I238" s="1" t="s">
        <v>4970</v>
      </c>
      <c r="J238" s="1">
        <v>8850605554</v>
      </c>
      <c r="K238" s="1" t="s">
        <v>84</v>
      </c>
      <c r="L238" s="1" t="s">
        <v>4971</v>
      </c>
      <c r="M238" s="1" t="s">
        <v>86</v>
      </c>
      <c r="N238" s="1" t="s">
        <v>4972</v>
      </c>
      <c r="O238" s="1"/>
      <c r="P238" s="1" t="s">
        <v>507</v>
      </c>
      <c r="Q238" s="1" t="s">
        <v>4973</v>
      </c>
      <c r="R238" s="1" t="s">
        <v>4974</v>
      </c>
      <c r="S238" s="1">
        <v>9969579719</v>
      </c>
      <c r="T238" s="1" t="s">
        <v>1552</v>
      </c>
      <c r="U238" s="1" t="s">
        <v>4975</v>
      </c>
      <c r="V238" s="1">
        <v>9987624270</v>
      </c>
      <c r="W238" s="1" t="s">
        <v>2375</v>
      </c>
      <c r="X238" s="1" t="s">
        <v>4976</v>
      </c>
      <c r="Y238" s="1" t="s">
        <v>2259</v>
      </c>
      <c r="Z238" s="1" t="s">
        <v>97</v>
      </c>
      <c r="AA238" s="1" t="s">
        <v>4977</v>
      </c>
      <c r="AB238" s="1" t="s">
        <v>2259</v>
      </c>
      <c r="AC238" s="1" t="s">
        <v>97</v>
      </c>
      <c r="AD238" s="1">
        <v>7.97</v>
      </c>
      <c r="AE238" s="1" t="s">
        <v>98</v>
      </c>
      <c r="AF238" s="1" t="s">
        <v>4978</v>
      </c>
      <c r="AG238" s="1" t="s">
        <v>4979</v>
      </c>
      <c r="AH238" s="1" t="s">
        <v>1396</v>
      </c>
      <c r="AI238" s="1" t="s">
        <v>573</v>
      </c>
      <c r="AJ238" s="1">
        <v>76.6</v>
      </c>
      <c r="AK238" s="1">
        <v>0</v>
      </c>
      <c r="AL238" s="1" t="s">
        <v>4980</v>
      </c>
      <c r="AM238" s="1" t="s">
        <v>4979</v>
      </c>
      <c r="AN238" s="1"/>
      <c r="AO238" s="1" t="s">
        <v>388</v>
      </c>
      <c r="AP238" s="1" t="s">
        <v>203</v>
      </c>
      <c r="AQ238" s="1">
        <v>61.38</v>
      </c>
      <c r="AR238" s="1">
        <v>0</v>
      </c>
      <c r="AS238" s="1"/>
      <c r="AT238" s="1"/>
      <c r="AU238" s="1"/>
      <c r="AV238" s="1"/>
      <c r="AW238" s="1"/>
      <c r="AX238" s="1"/>
      <c r="AY238" s="1" t="s">
        <v>258</v>
      </c>
      <c r="AZ238" s="1" t="s">
        <v>4981</v>
      </c>
      <c r="BA238" s="1"/>
      <c r="BB238" s="1"/>
      <c r="BC238" s="1" t="s">
        <v>315</v>
      </c>
      <c r="BD238" s="1" t="s">
        <v>179</v>
      </c>
      <c r="BE238" s="1">
        <v>73.65</v>
      </c>
      <c r="BF238" s="1">
        <v>8.26</v>
      </c>
      <c r="BG238" s="1"/>
      <c r="BH238" s="1"/>
      <c r="BI238" s="1"/>
      <c r="BJ238" s="1"/>
      <c r="BK238" s="1"/>
      <c r="BL238" s="1"/>
      <c r="BM238" s="1"/>
      <c r="BN238" s="1"/>
      <c r="BO238" s="1" t="s">
        <v>4982</v>
      </c>
      <c r="BP238" s="1" t="s">
        <v>4983</v>
      </c>
      <c r="BQ238" s="1" t="s">
        <v>471</v>
      </c>
      <c r="BR238" s="1" t="s">
        <v>4984</v>
      </c>
      <c r="BS238" s="1">
        <v>16</v>
      </c>
      <c r="BT238" s="1" t="s">
        <v>4985</v>
      </c>
      <c r="BU238" s="1" t="str">
        <f>HYPERLINK("https://nconnect.nicmar.ac.in/storage/profile/ProfilePhoto_P25700229_187625.jpg","Download")</f>
        <v>0</v>
      </c>
      <c r="BV238" s="3"/>
      <c r="BW238" s="4">
        <v>1</v>
      </c>
    </row>
    <row r="239" spans="1:75">
      <c r="A239" s="1" t="s">
        <v>75</v>
      </c>
      <c r="B239" s="1" t="s">
        <v>446</v>
      </c>
      <c r="C239" s="1" t="s">
        <v>4986</v>
      </c>
      <c r="D239" s="1" t="s">
        <v>4987</v>
      </c>
      <c r="E239" s="1" t="s">
        <v>4988</v>
      </c>
      <c r="F239" s="1" t="s">
        <v>397</v>
      </c>
      <c r="G239" s="1" t="s">
        <v>4989</v>
      </c>
      <c r="H239" s="1" t="s">
        <v>4990</v>
      </c>
      <c r="I239" s="1" t="s">
        <v>4991</v>
      </c>
      <c r="J239" s="1">
        <v>8788178630</v>
      </c>
      <c r="K239" s="1" t="s">
        <v>153</v>
      </c>
      <c r="L239" s="1" t="s">
        <v>3184</v>
      </c>
      <c r="M239" s="1" t="s">
        <v>86</v>
      </c>
      <c r="N239" s="1" t="s">
        <v>4992</v>
      </c>
      <c r="O239" s="1"/>
      <c r="P239" s="1" t="s">
        <v>481</v>
      </c>
      <c r="Q239" s="1" t="s">
        <v>4993</v>
      </c>
      <c r="R239" s="1" t="s">
        <v>4994</v>
      </c>
      <c r="S239" s="1">
        <v>9422375756</v>
      </c>
      <c r="T239" s="1" t="s">
        <v>3788</v>
      </c>
      <c r="U239" s="1" t="s">
        <v>4995</v>
      </c>
      <c r="V239" s="1">
        <v>9405429316</v>
      </c>
      <c r="W239" s="1" t="s">
        <v>161</v>
      </c>
      <c r="X239" s="1" t="s">
        <v>4996</v>
      </c>
      <c r="Y239" s="1" t="s">
        <v>196</v>
      </c>
      <c r="Z239" s="1" t="s">
        <v>97</v>
      </c>
      <c r="AA239" s="1" t="s">
        <v>4996</v>
      </c>
      <c r="AB239" s="1" t="s">
        <v>196</v>
      </c>
      <c r="AC239" s="1" t="s">
        <v>97</v>
      </c>
      <c r="AD239" s="1">
        <v>8.54</v>
      </c>
      <c r="AE239" s="1" t="s">
        <v>98</v>
      </c>
      <c r="AF239" s="1" t="s">
        <v>4997</v>
      </c>
      <c r="AG239" s="1" t="s">
        <v>3052</v>
      </c>
      <c r="AH239" s="1" t="s">
        <v>167</v>
      </c>
      <c r="AI239" s="1" t="s">
        <v>170</v>
      </c>
      <c r="AJ239" s="1">
        <v>88</v>
      </c>
      <c r="AK239" s="1"/>
      <c r="AL239" s="1" t="s">
        <v>4998</v>
      </c>
      <c r="AM239" s="1" t="s">
        <v>165</v>
      </c>
      <c r="AN239" s="1"/>
      <c r="AO239" s="1" t="s">
        <v>106</v>
      </c>
      <c r="AP239" s="1" t="s">
        <v>203</v>
      </c>
      <c r="AQ239" s="1">
        <v>61.54</v>
      </c>
      <c r="AR239" s="1"/>
      <c r="AS239" s="1"/>
      <c r="AT239" s="1"/>
      <c r="AU239" s="1"/>
      <c r="AV239" s="1"/>
      <c r="AW239" s="1"/>
      <c r="AX239" s="1"/>
      <c r="AY239" s="1" t="s">
        <v>366</v>
      </c>
      <c r="AZ239" s="1" t="s">
        <v>4999</v>
      </c>
      <c r="BA239" s="1"/>
      <c r="BB239" s="1"/>
      <c r="BC239" s="1" t="s">
        <v>206</v>
      </c>
      <c r="BD239" s="1" t="s">
        <v>179</v>
      </c>
      <c r="BE239" s="1">
        <v>86.26</v>
      </c>
      <c r="BF239" s="1"/>
      <c r="BG239" s="1"/>
      <c r="BH239" s="1"/>
      <c r="BI239" s="1"/>
      <c r="BJ239" s="1"/>
      <c r="BK239" s="1"/>
      <c r="BL239" s="1"/>
      <c r="BM239" s="1"/>
      <c r="BN239" s="1"/>
      <c r="BO239" s="1" t="s">
        <v>5000</v>
      </c>
      <c r="BP239" s="1" t="s">
        <v>5001</v>
      </c>
      <c r="BQ239" s="1" t="s">
        <v>1482</v>
      </c>
      <c r="BR239" s="1" t="s">
        <v>5002</v>
      </c>
      <c r="BS239" s="1">
        <v>13</v>
      </c>
      <c r="BT239" s="1"/>
      <c r="BU239" s="1" t="str">
        <f>HYPERLINK("https://nconnect.nicmar.ac.in/storage/profile/ProfilePhoto_P25700230_398462.jpg","Download")</f>
        <v>0</v>
      </c>
      <c r="BV239" s="3"/>
      <c r="BW239" s="3"/>
    </row>
    <row r="240" spans="1:75">
      <c r="A240" s="1" t="s">
        <v>75</v>
      </c>
      <c r="B240" s="1" t="s">
        <v>446</v>
      </c>
      <c r="C240" s="1" t="s">
        <v>5003</v>
      </c>
      <c r="D240" s="1" t="s">
        <v>5004</v>
      </c>
      <c r="E240" s="1" t="s">
        <v>5005</v>
      </c>
      <c r="F240" s="1" t="s">
        <v>1872</v>
      </c>
      <c r="G240" s="1" t="s">
        <v>5006</v>
      </c>
      <c r="H240" s="1" t="s">
        <v>5007</v>
      </c>
      <c r="I240" s="1" t="s">
        <v>5008</v>
      </c>
      <c r="J240" s="1">
        <v>8766581679</v>
      </c>
      <c r="K240" s="1" t="s">
        <v>84</v>
      </c>
      <c r="L240" s="1" t="s">
        <v>5009</v>
      </c>
      <c r="M240" s="1" t="s">
        <v>86</v>
      </c>
      <c r="N240" s="1" t="s">
        <v>903</v>
      </c>
      <c r="O240" s="1"/>
      <c r="P240" s="1" t="s">
        <v>481</v>
      </c>
      <c r="Q240" s="1" t="s">
        <v>5010</v>
      </c>
      <c r="R240" s="1" t="s">
        <v>5005</v>
      </c>
      <c r="S240" s="1">
        <v>8888554858</v>
      </c>
      <c r="T240" s="1" t="s">
        <v>159</v>
      </c>
      <c r="U240" s="1" t="s">
        <v>5011</v>
      </c>
      <c r="V240" s="1">
        <v>9765895729</v>
      </c>
      <c r="W240" s="1" t="s">
        <v>161</v>
      </c>
      <c r="X240" s="1" t="s">
        <v>5012</v>
      </c>
      <c r="Y240" s="1" t="s">
        <v>434</v>
      </c>
      <c r="Z240" s="1" t="s">
        <v>97</v>
      </c>
      <c r="AA240" s="1" t="s">
        <v>5012</v>
      </c>
      <c r="AB240" s="1" t="s">
        <v>434</v>
      </c>
      <c r="AC240" s="1" t="s">
        <v>97</v>
      </c>
      <c r="AD240" s="1">
        <v>7.46</v>
      </c>
      <c r="AE240" s="1" t="s">
        <v>98</v>
      </c>
      <c r="AF240" s="1" t="s">
        <v>5013</v>
      </c>
      <c r="AG240" s="1" t="s">
        <v>996</v>
      </c>
      <c r="AH240" s="1" t="s">
        <v>1396</v>
      </c>
      <c r="AI240" s="1" t="s">
        <v>106</v>
      </c>
      <c r="AJ240" s="1">
        <v>76.2</v>
      </c>
      <c r="AK240" s="1"/>
      <c r="AL240" s="1" t="s">
        <v>5014</v>
      </c>
      <c r="AM240" s="1" t="s">
        <v>996</v>
      </c>
      <c r="AN240" s="1"/>
      <c r="AO240" s="1" t="s">
        <v>174</v>
      </c>
      <c r="AP240" s="1" t="s">
        <v>178</v>
      </c>
      <c r="AQ240" s="1">
        <v>66.92</v>
      </c>
      <c r="AR240" s="1"/>
      <c r="AS240" s="1"/>
      <c r="AT240" s="1"/>
      <c r="AU240" s="1"/>
      <c r="AV240" s="1"/>
      <c r="AW240" s="1"/>
      <c r="AX240" s="1"/>
      <c r="AY240" s="1" t="s">
        <v>5015</v>
      </c>
      <c r="AZ240" s="1" t="s">
        <v>5016</v>
      </c>
      <c r="BA240" s="1"/>
      <c r="BB240" s="1"/>
      <c r="BC240" s="1" t="s">
        <v>468</v>
      </c>
      <c r="BD240" s="1" t="s">
        <v>207</v>
      </c>
      <c r="BE240" s="1">
        <v>68.5</v>
      </c>
      <c r="BF240" s="1">
        <v>7.6</v>
      </c>
      <c r="BG240" s="1"/>
      <c r="BH240" s="1"/>
      <c r="BI240" s="1"/>
      <c r="BJ240" s="1"/>
      <c r="BK240" s="1"/>
      <c r="BL240" s="1"/>
      <c r="BM240" s="1"/>
      <c r="BN240" s="1"/>
      <c r="BO240" s="1" t="s">
        <v>5017</v>
      </c>
      <c r="BP240" s="1"/>
      <c r="BQ240" s="1"/>
      <c r="BR240" s="1" t="s">
        <v>5018</v>
      </c>
      <c r="BS240" s="1">
        <v>68</v>
      </c>
      <c r="BT240" s="1"/>
      <c r="BU240" s="1" t="str">
        <f>HYPERLINK("https://nconnect.nicmar.ac.in/storage/profile/ProfilePhoto_P25700231_485793.jpg","Download")</f>
        <v>0</v>
      </c>
      <c r="BV240" s="3"/>
      <c r="BW240" s="3"/>
    </row>
    <row r="241" spans="1:75">
      <c r="A241" s="1" t="s">
        <v>75</v>
      </c>
      <c r="B241" s="1" t="s">
        <v>446</v>
      </c>
      <c r="C241" s="1" t="s">
        <v>5019</v>
      </c>
      <c r="D241" s="1" t="s">
        <v>2829</v>
      </c>
      <c r="E241" s="1" t="s">
        <v>239</v>
      </c>
      <c r="F241" s="1" t="s">
        <v>5020</v>
      </c>
      <c r="G241" s="1" t="s">
        <v>5021</v>
      </c>
      <c r="H241" s="1" t="s">
        <v>5022</v>
      </c>
      <c r="I241" s="1" t="s">
        <v>5023</v>
      </c>
      <c r="J241" s="1">
        <v>8830849218</v>
      </c>
      <c r="K241" s="1" t="s">
        <v>84</v>
      </c>
      <c r="L241" s="1" t="s">
        <v>5024</v>
      </c>
      <c r="M241" s="1" t="s">
        <v>86</v>
      </c>
      <c r="N241" s="1" t="s">
        <v>5025</v>
      </c>
      <c r="O241" s="1"/>
      <c r="P241" s="1"/>
      <c r="Q241" s="1" t="s">
        <v>5026</v>
      </c>
      <c r="R241" s="1" t="s">
        <v>239</v>
      </c>
      <c r="S241" s="1">
        <v>9881246806</v>
      </c>
      <c r="T241" s="1" t="s">
        <v>5027</v>
      </c>
      <c r="U241" s="1" t="s">
        <v>5028</v>
      </c>
      <c r="V241" s="1">
        <v>9823724184</v>
      </c>
      <c r="W241" s="1" t="s">
        <v>127</v>
      </c>
      <c r="X241" s="1" t="s">
        <v>5029</v>
      </c>
      <c r="Y241" s="1" t="s">
        <v>5030</v>
      </c>
      <c r="Z241" s="1" t="s">
        <v>97</v>
      </c>
      <c r="AA241" s="1" t="s">
        <v>5029</v>
      </c>
      <c r="AB241" s="1" t="s">
        <v>5030</v>
      </c>
      <c r="AC241" s="1" t="s">
        <v>97</v>
      </c>
      <c r="AD241" s="1">
        <v>7.72</v>
      </c>
      <c r="AE241" s="1" t="s">
        <v>98</v>
      </c>
      <c r="AF241" s="1" t="s">
        <v>5031</v>
      </c>
      <c r="AG241" s="1" t="s">
        <v>5032</v>
      </c>
      <c r="AH241" s="1" t="s">
        <v>704</v>
      </c>
      <c r="AI241" s="1" t="s">
        <v>286</v>
      </c>
      <c r="AJ241" s="1">
        <v>87.2</v>
      </c>
      <c r="AK241" s="1"/>
      <c r="AL241" s="1" t="s">
        <v>5033</v>
      </c>
      <c r="AM241" s="1" t="s">
        <v>5032</v>
      </c>
      <c r="AN241" s="1" t="s">
        <v>465</v>
      </c>
      <c r="AO241" s="1" t="s">
        <v>414</v>
      </c>
      <c r="AP241" s="1" t="s">
        <v>365</v>
      </c>
      <c r="AQ241" s="1">
        <v>66.15</v>
      </c>
      <c r="AR241" s="1"/>
      <c r="AS241" s="1"/>
      <c r="AT241" s="1"/>
      <c r="AU241" s="1"/>
      <c r="AV241" s="1"/>
      <c r="AW241" s="1"/>
      <c r="AX241" s="1"/>
      <c r="AY241" s="1" t="s">
        <v>5034</v>
      </c>
      <c r="AZ241" s="1" t="s">
        <v>5035</v>
      </c>
      <c r="BA241" s="1" t="s">
        <v>578</v>
      </c>
      <c r="BB241" s="1" t="s">
        <v>467</v>
      </c>
      <c r="BC241" s="1" t="s">
        <v>890</v>
      </c>
      <c r="BD241" s="1" t="s">
        <v>207</v>
      </c>
      <c r="BE241" s="1">
        <v>72.1</v>
      </c>
      <c r="BF241" s="1">
        <v>7.96</v>
      </c>
      <c r="BG241" s="1"/>
      <c r="BH241" s="1"/>
      <c r="BI241" s="1"/>
      <c r="BJ241" s="1"/>
      <c r="BK241" s="1"/>
      <c r="BL241" s="1"/>
      <c r="BM241" s="1"/>
      <c r="BN241" s="1"/>
      <c r="BO241" s="1" t="s">
        <v>5036</v>
      </c>
      <c r="BP241" s="1" t="s">
        <v>5037</v>
      </c>
      <c r="BQ241" s="1" t="s">
        <v>2116</v>
      </c>
      <c r="BR241" s="1" t="s">
        <v>5038</v>
      </c>
      <c r="BS241" s="1">
        <v>12</v>
      </c>
      <c r="BT241" s="1" t="s">
        <v>5039</v>
      </c>
      <c r="BU241" s="1" t="str">
        <f>HYPERLINK("https://nconnect.nicmar.ac.in/storage/profile/ProfilePhoto_P25700232_974861.jpg","Download")</f>
        <v>0</v>
      </c>
      <c r="BV241" s="3"/>
      <c r="BW241" s="4">
        <v>1</v>
      </c>
    </row>
    <row r="242" spans="1:75">
      <c r="A242" s="1" t="s">
        <v>75</v>
      </c>
      <c r="B242" s="1" t="s">
        <v>446</v>
      </c>
      <c r="C242" s="1" t="s">
        <v>5040</v>
      </c>
      <c r="D242" s="1" t="s">
        <v>5041</v>
      </c>
      <c r="E242" s="1" t="s">
        <v>4331</v>
      </c>
      <c r="F242" s="1" t="s">
        <v>241</v>
      </c>
      <c r="G242" s="1" t="s">
        <v>5042</v>
      </c>
      <c r="H242" s="1" t="s">
        <v>5043</v>
      </c>
      <c r="I242" s="1" t="s">
        <v>5044</v>
      </c>
      <c r="J242" s="1">
        <v>8446882321</v>
      </c>
      <c r="K242" s="1" t="s">
        <v>153</v>
      </c>
      <c r="L242" s="1" t="s">
        <v>5045</v>
      </c>
      <c r="M242" s="1" t="s">
        <v>86</v>
      </c>
      <c r="N242" s="1" t="s">
        <v>1163</v>
      </c>
      <c r="O242" s="1"/>
      <c r="P242" s="1" t="s">
        <v>507</v>
      </c>
      <c r="Q242" s="1" t="s">
        <v>5046</v>
      </c>
      <c r="R242" s="1" t="s">
        <v>5047</v>
      </c>
      <c r="S242" s="1">
        <v>9423582073</v>
      </c>
      <c r="T242" s="1" t="s">
        <v>5048</v>
      </c>
      <c r="U242" s="1" t="s">
        <v>5049</v>
      </c>
      <c r="V242" s="1">
        <v>7378642004</v>
      </c>
      <c r="W242" s="1" t="s">
        <v>161</v>
      </c>
      <c r="X242" s="1" t="s">
        <v>5050</v>
      </c>
      <c r="Y242" s="1" t="s">
        <v>196</v>
      </c>
      <c r="Z242" s="1" t="s">
        <v>97</v>
      </c>
      <c r="AA242" s="1" t="s">
        <v>5050</v>
      </c>
      <c r="AB242" s="1" t="s">
        <v>196</v>
      </c>
      <c r="AC242" s="1" t="s">
        <v>97</v>
      </c>
      <c r="AD242" s="1">
        <v>7.72</v>
      </c>
      <c r="AE242" s="1" t="s">
        <v>98</v>
      </c>
      <c r="AF242" s="1" t="s">
        <v>5051</v>
      </c>
      <c r="AG242" s="1" t="s">
        <v>703</v>
      </c>
      <c r="AH242" s="1" t="s">
        <v>167</v>
      </c>
      <c r="AI242" s="1" t="s">
        <v>170</v>
      </c>
      <c r="AJ242" s="1">
        <v>77.9</v>
      </c>
      <c r="AK242" s="1">
        <v>8.2</v>
      </c>
      <c r="AL242" s="1"/>
      <c r="AM242" s="1"/>
      <c r="AN242" s="1"/>
      <c r="AO242" s="1"/>
      <c r="AP242" s="1"/>
      <c r="AQ242" s="1"/>
      <c r="AR242" s="1"/>
      <c r="AS242" s="1" t="s">
        <v>103</v>
      </c>
      <c r="AT242" s="1" t="s">
        <v>5052</v>
      </c>
      <c r="AU242" s="1" t="s">
        <v>230</v>
      </c>
      <c r="AV242" s="1" t="s">
        <v>175</v>
      </c>
      <c r="AW242" s="1">
        <v>87.79</v>
      </c>
      <c r="AX242" s="1"/>
      <c r="AY242" s="1" t="s">
        <v>366</v>
      </c>
      <c r="AZ242" s="1" t="s">
        <v>5053</v>
      </c>
      <c r="BA242" s="1" t="s">
        <v>682</v>
      </c>
      <c r="BB242" s="1"/>
      <c r="BC242" s="1" t="s">
        <v>368</v>
      </c>
      <c r="BD242" s="1" t="s">
        <v>848</v>
      </c>
      <c r="BE242" s="1">
        <v>68.7</v>
      </c>
      <c r="BF242" s="1">
        <v>7.72</v>
      </c>
      <c r="BG242" s="1"/>
      <c r="BH242" s="1"/>
      <c r="BI242" s="1"/>
      <c r="BJ242" s="1"/>
      <c r="BK242" s="1"/>
      <c r="BL242" s="1"/>
      <c r="BM242" s="1"/>
      <c r="BN242" s="1"/>
      <c r="BO242" s="1" t="s">
        <v>5054</v>
      </c>
      <c r="BP242" s="1"/>
      <c r="BQ242" s="1"/>
      <c r="BR242" s="1" t="s">
        <v>5055</v>
      </c>
      <c r="BS242" s="1">
        <v>31</v>
      </c>
      <c r="BT242" s="1"/>
      <c r="BU242" s="1" t="str">
        <f>HYPERLINK("https://nconnect.nicmar.ac.in/storage/profile/ProfilePhoto_P25700233_537914.jpg","Download")</f>
        <v>0</v>
      </c>
      <c r="BV242" s="3"/>
      <c r="BW242" s="3"/>
    </row>
    <row r="243" spans="1:75">
      <c r="A243" s="1" t="s">
        <v>75</v>
      </c>
      <c r="B243" s="1" t="s">
        <v>446</v>
      </c>
      <c r="C243" s="1" t="s">
        <v>5056</v>
      </c>
      <c r="D243" s="1" t="s">
        <v>5057</v>
      </c>
      <c r="E243" s="1"/>
      <c r="F243" s="1" t="s">
        <v>1380</v>
      </c>
      <c r="G243" s="1" t="s">
        <v>5058</v>
      </c>
      <c r="H243" s="1" t="s">
        <v>5059</v>
      </c>
      <c r="I243" s="1" t="s">
        <v>5060</v>
      </c>
      <c r="J243" s="1">
        <v>9967051993</v>
      </c>
      <c r="K243" s="1" t="s">
        <v>84</v>
      </c>
      <c r="L243" s="1" t="s">
        <v>5061</v>
      </c>
      <c r="M243" s="1" t="s">
        <v>86</v>
      </c>
      <c r="N243" s="1" t="s">
        <v>355</v>
      </c>
      <c r="O243" s="1"/>
      <c r="P243" s="1" t="s">
        <v>481</v>
      </c>
      <c r="Q243" s="1" t="s">
        <v>5062</v>
      </c>
      <c r="R243" s="1" t="s">
        <v>5063</v>
      </c>
      <c r="S243" s="1">
        <v>9819004104</v>
      </c>
      <c r="T243" s="1" t="s">
        <v>1495</v>
      </c>
      <c r="U243" s="1" t="s">
        <v>5064</v>
      </c>
      <c r="V243" s="1">
        <v>8850137183</v>
      </c>
      <c r="W243" s="1" t="s">
        <v>5065</v>
      </c>
      <c r="X243" s="1" t="s">
        <v>5066</v>
      </c>
      <c r="Y243" s="1" t="s">
        <v>2259</v>
      </c>
      <c r="Z243" s="1" t="s">
        <v>97</v>
      </c>
      <c r="AA243" s="1" t="s">
        <v>5066</v>
      </c>
      <c r="AB243" s="1" t="s">
        <v>2259</v>
      </c>
      <c r="AC243" s="1" t="s">
        <v>97</v>
      </c>
      <c r="AD243" s="1">
        <v>7.9</v>
      </c>
      <c r="AE243" s="1" t="s">
        <v>98</v>
      </c>
      <c r="AF243" s="1" t="s">
        <v>5067</v>
      </c>
      <c r="AG243" s="1" t="s">
        <v>5068</v>
      </c>
      <c r="AH243" s="1" t="s">
        <v>200</v>
      </c>
      <c r="AI243" s="1" t="s">
        <v>286</v>
      </c>
      <c r="AJ243" s="1">
        <v>87.8</v>
      </c>
      <c r="AK243" s="1"/>
      <c r="AL243" s="1" t="s">
        <v>5069</v>
      </c>
      <c r="AM243" s="1" t="s">
        <v>5068</v>
      </c>
      <c r="AN243" s="1"/>
      <c r="AO243" s="1" t="s">
        <v>203</v>
      </c>
      <c r="AP243" s="1" t="s">
        <v>365</v>
      </c>
      <c r="AQ243" s="1">
        <v>63.23</v>
      </c>
      <c r="AR243" s="1"/>
      <c r="AS243" s="1"/>
      <c r="AT243" s="1"/>
      <c r="AU243" s="1"/>
      <c r="AV243" s="1"/>
      <c r="AW243" s="1"/>
      <c r="AX243" s="1"/>
      <c r="AY243" s="1" t="s">
        <v>258</v>
      </c>
      <c r="AZ243" s="1" t="s">
        <v>2266</v>
      </c>
      <c r="BA243" s="1"/>
      <c r="BB243" s="1"/>
      <c r="BC243" s="1" t="s">
        <v>233</v>
      </c>
      <c r="BD243" s="1" t="s">
        <v>1132</v>
      </c>
      <c r="BE243" s="1">
        <v>69.42</v>
      </c>
      <c r="BF243" s="1"/>
      <c r="BG243" s="1"/>
      <c r="BH243" s="1"/>
      <c r="BI243" s="1"/>
      <c r="BJ243" s="1"/>
      <c r="BK243" s="1"/>
      <c r="BL243" s="1"/>
      <c r="BM243" s="1"/>
      <c r="BN243" s="1"/>
      <c r="BO243" s="1" t="s">
        <v>369</v>
      </c>
      <c r="BP243" s="1"/>
      <c r="BQ243" s="1"/>
      <c r="BR243" s="1" t="s">
        <v>5070</v>
      </c>
      <c r="BS243" s="1">
        <v>22</v>
      </c>
      <c r="BT243" s="1" t="s">
        <v>5071</v>
      </c>
      <c r="BU243" s="1" t="str">
        <f>HYPERLINK("https://nconnect.nicmar.ac.in/storage/profile/ProfilePhoto_P25700234_527634.jpg","Download")</f>
        <v>0</v>
      </c>
      <c r="BV243" s="3"/>
      <c r="BW243" s="3"/>
    </row>
    <row r="244" spans="1:75">
      <c r="A244" s="1" t="s">
        <v>75</v>
      </c>
      <c r="B244" s="1" t="s">
        <v>446</v>
      </c>
      <c r="C244" s="1" t="s">
        <v>5072</v>
      </c>
      <c r="D244" s="1" t="s">
        <v>5073</v>
      </c>
      <c r="E244" s="1" t="s">
        <v>5074</v>
      </c>
      <c r="F244" s="1" t="s">
        <v>3667</v>
      </c>
      <c r="G244" s="1" t="s">
        <v>5075</v>
      </c>
      <c r="H244" s="1" t="s">
        <v>5076</v>
      </c>
      <c r="I244" s="1" t="s">
        <v>5077</v>
      </c>
      <c r="J244" s="1">
        <v>8379979968</v>
      </c>
      <c r="K244" s="1" t="s">
        <v>84</v>
      </c>
      <c r="L244" s="1" t="s">
        <v>5078</v>
      </c>
      <c r="M244" s="1" t="s">
        <v>86</v>
      </c>
      <c r="N244" s="1" t="s">
        <v>1470</v>
      </c>
      <c r="O244" s="1"/>
      <c r="P244" s="1" t="s">
        <v>2062</v>
      </c>
      <c r="Q244" s="1" t="s">
        <v>5079</v>
      </c>
      <c r="R244" s="1" t="s">
        <v>5074</v>
      </c>
      <c r="S244" s="1">
        <v>8806122124</v>
      </c>
      <c r="T244" s="1" t="s">
        <v>159</v>
      </c>
      <c r="U244" s="1" t="s">
        <v>5080</v>
      </c>
      <c r="V244" s="1">
        <v>9579218689</v>
      </c>
      <c r="W244" s="1" t="s">
        <v>278</v>
      </c>
      <c r="X244" s="1" t="s">
        <v>5081</v>
      </c>
      <c r="Y244" s="1" t="s">
        <v>196</v>
      </c>
      <c r="Z244" s="1" t="s">
        <v>97</v>
      </c>
      <c r="AA244" s="1" t="s">
        <v>5082</v>
      </c>
      <c r="AB244" s="1" t="s">
        <v>5083</v>
      </c>
      <c r="AC244" s="1" t="s">
        <v>97</v>
      </c>
      <c r="AD244" s="1">
        <v>7.36</v>
      </c>
      <c r="AE244" s="1" t="s">
        <v>98</v>
      </c>
      <c r="AF244" s="1" t="s">
        <v>5084</v>
      </c>
      <c r="AG244" s="1" t="s">
        <v>5085</v>
      </c>
      <c r="AH244" s="1" t="s">
        <v>1396</v>
      </c>
      <c r="AI244" s="1" t="s">
        <v>200</v>
      </c>
      <c r="AJ244" s="1">
        <v>76.8</v>
      </c>
      <c r="AK244" s="1"/>
      <c r="AL244" s="1" t="s">
        <v>5086</v>
      </c>
      <c r="AM244" s="1" t="s">
        <v>5085</v>
      </c>
      <c r="AN244" s="1"/>
      <c r="AO244" s="1" t="s">
        <v>174</v>
      </c>
      <c r="AP244" s="1" t="s">
        <v>203</v>
      </c>
      <c r="AQ244" s="1">
        <v>60.77</v>
      </c>
      <c r="AR244" s="1"/>
      <c r="AS244" s="1"/>
      <c r="AT244" s="1"/>
      <c r="AU244" s="1"/>
      <c r="AV244" s="1"/>
      <c r="AW244" s="1"/>
      <c r="AX244" s="1"/>
      <c r="AY244" s="1" t="s">
        <v>366</v>
      </c>
      <c r="AZ244" s="1" t="s">
        <v>5087</v>
      </c>
      <c r="BA244" s="1"/>
      <c r="BB244" s="1"/>
      <c r="BC244" s="1" t="s">
        <v>315</v>
      </c>
      <c r="BD244" s="1" t="s">
        <v>579</v>
      </c>
      <c r="BE244" s="1">
        <v>66.31</v>
      </c>
      <c r="BF244" s="1">
        <v>6.98</v>
      </c>
      <c r="BG244" s="1"/>
      <c r="BH244" s="1"/>
      <c r="BI244" s="1"/>
      <c r="BJ244" s="1"/>
      <c r="BK244" s="1"/>
      <c r="BL244" s="1"/>
      <c r="BM244" s="1"/>
      <c r="BN244" s="1"/>
      <c r="BO244" s="1" t="s">
        <v>5088</v>
      </c>
      <c r="BP244" s="1" t="s">
        <v>5089</v>
      </c>
      <c r="BQ244" s="1" t="s">
        <v>1174</v>
      </c>
      <c r="BR244" s="1" t="s">
        <v>5090</v>
      </c>
      <c r="BS244" s="1">
        <v>100</v>
      </c>
      <c r="BT244" s="1"/>
      <c r="BU244" s="1" t="str">
        <f>HYPERLINK("https://nconnect.nicmar.ac.in/storage/profile/ProfilePhoto_P25700235_962375.jpg","Download")</f>
        <v>0</v>
      </c>
      <c r="BV244" s="3"/>
      <c r="BW244" s="3"/>
    </row>
    <row r="245" spans="1:75">
      <c r="A245" s="1" t="s">
        <v>75</v>
      </c>
      <c r="B245" s="1" t="s">
        <v>446</v>
      </c>
      <c r="C245" s="1" t="s">
        <v>5091</v>
      </c>
      <c r="D245" s="1" t="s">
        <v>5092</v>
      </c>
      <c r="E245" s="1"/>
      <c r="F245" s="1" t="s">
        <v>5093</v>
      </c>
      <c r="G245" s="1" t="s">
        <v>5094</v>
      </c>
      <c r="H245" s="1" t="s">
        <v>5095</v>
      </c>
      <c r="I245" s="1" t="s">
        <v>5096</v>
      </c>
      <c r="J245" s="1">
        <v>6002708878</v>
      </c>
      <c r="K245" s="1" t="s">
        <v>84</v>
      </c>
      <c r="L245" s="1" t="s">
        <v>5097</v>
      </c>
      <c r="M245" s="1" t="s">
        <v>86</v>
      </c>
      <c r="N245" s="1" t="s">
        <v>5098</v>
      </c>
      <c r="O245" s="1"/>
      <c r="P245" s="1" t="s">
        <v>2062</v>
      </c>
      <c r="Q245" s="1" t="s">
        <v>5099</v>
      </c>
      <c r="R245" s="1" t="s">
        <v>5100</v>
      </c>
      <c r="S245" s="1">
        <v>9435149156</v>
      </c>
      <c r="T245" s="1" t="s">
        <v>839</v>
      </c>
      <c r="U245" s="1" t="s">
        <v>5101</v>
      </c>
      <c r="V245" s="1">
        <v>8638013441</v>
      </c>
      <c r="W245" s="1" t="s">
        <v>5102</v>
      </c>
      <c r="X245" s="1" t="s">
        <v>5103</v>
      </c>
      <c r="Y245" s="1" t="s">
        <v>1555</v>
      </c>
      <c r="Z245" s="1" t="s">
        <v>1556</v>
      </c>
      <c r="AA245" s="1" t="s">
        <v>5103</v>
      </c>
      <c r="AB245" s="1" t="s">
        <v>1555</v>
      </c>
      <c r="AC245" s="1" t="s">
        <v>1556</v>
      </c>
      <c r="AD245" s="1">
        <v>8.15</v>
      </c>
      <c r="AE245" s="1" t="s">
        <v>98</v>
      </c>
      <c r="AF245" s="1" t="s">
        <v>5104</v>
      </c>
      <c r="AG245" s="1" t="s">
        <v>5105</v>
      </c>
      <c r="AH245" s="1" t="s">
        <v>490</v>
      </c>
      <c r="AI245" s="1" t="s">
        <v>313</v>
      </c>
      <c r="AJ245" s="1">
        <v>87</v>
      </c>
      <c r="AK245" s="1"/>
      <c r="AL245" s="1" t="s">
        <v>5104</v>
      </c>
      <c r="AM245" s="1" t="s">
        <v>5105</v>
      </c>
      <c r="AN245" s="1"/>
      <c r="AO245" s="1" t="s">
        <v>977</v>
      </c>
      <c r="AP245" s="1" t="s">
        <v>549</v>
      </c>
      <c r="AQ245" s="1">
        <v>78.8</v>
      </c>
      <c r="AR245" s="1"/>
      <c r="AS245" s="1"/>
      <c r="AT245" s="1"/>
      <c r="AU245" s="1"/>
      <c r="AV245" s="1"/>
      <c r="AW245" s="1"/>
      <c r="AX245" s="1"/>
      <c r="AY245" s="1" t="s">
        <v>5106</v>
      </c>
      <c r="AZ245" s="1" t="s">
        <v>5107</v>
      </c>
      <c r="BA245" s="1"/>
      <c r="BB245" s="1"/>
      <c r="BC245" s="1" t="s">
        <v>606</v>
      </c>
      <c r="BD245" s="1" t="s">
        <v>607</v>
      </c>
      <c r="BE245" s="1">
        <v>76</v>
      </c>
      <c r="BF245" s="1">
        <v>7.6</v>
      </c>
      <c r="BG245" s="1"/>
      <c r="BH245" s="1"/>
      <c r="BI245" s="1"/>
      <c r="BJ245" s="1"/>
      <c r="BK245" s="1"/>
      <c r="BL245" s="1"/>
      <c r="BM245" s="1"/>
      <c r="BN245" s="1"/>
      <c r="BO245" s="1" t="s">
        <v>849</v>
      </c>
      <c r="BP245" s="1"/>
      <c r="BQ245" s="1"/>
      <c r="BR245" s="1" t="s">
        <v>5108</v>
      </c>
      <c r="BS245" s="1">
        <v>18</v>
      </c>
      <c r="BT245" s="1"/>
      <c r="BU245" s="1" t="str">
        <f>HYPERLINK("https://nconnect.nicmar.ac.in/storage/profile/ProfilePhoto_P25700236_483619.jpg","Download")</f>
        <v>0</v>
      </c>
      <c r="BV245" s="3"/>
      <c r="BW245" s="3"/>
    </row>
    <row r="246" spans="1:75">
      <c r="A246" s="1" t="s">
        <v>75</v>
      </c>
      <c r="B246" s="1" t="s">
        <v>446</v>
      </c>
      <c r="C246" s="1" t="s">
        <v>5109</v>
      </c>
      <c r="D246" s="1" t="s">
        <v>372</v>
      </c>
      <c r="E246" s="1" t="s">
        <v>4966</v>
      </c>
      <c r="F246" s="1" t="s">
        <v>5110</v>
      </c>
      <c r="G246" s="1" t="s">
        <v>5111</v>
      </c>
      <c r="H246" s="1" t="s">
        <v>5112</v>
      </c>
      <c r="I246" s="1" t="s">
        <v>5113</v>
      </c>
      <c r="J246" s="1">
        <v>9869207119</v>
      </c>
      <c r="K246" s="1" t="s">
        <v>84</v>
      </c>
      <c r="L246" s="1" t="s">
        <v>5114</v>
      </c>
      <c r="M246" s="1" t="s">
        <v>86</v>
      </c>
      <c r="N246" s="1" t="s">
        <v>768</v>
      </c>
      <c r="O246" s="1" t="s">
        <v>5115</v>
      </c>
      <c r="P246" s="1" t="s">
        <v>122</v>
      </c>
      <c r="Q246" s="1" t="s">
        <v>5116</v>
      </c>
      <c r="R246" s="1" t="s">
        <v>4966</v>
      </c>
      <c r="S246" s="1">
        <v>9870709081</v>
      </c>
      <c r="T246" s="1" t="s">
        <v>5117</v>
      </c>
      <c r="U246" s="1" t="s">
        <v>5118</v>
      </c>
      <c r="V246" s="1">
        <v>9870709082</v>
      </c>
      <c r="W246" s="1" t="s">
        <v>161</v>
      </c>
      <c r="X246" s="1" t="s">
        <v>5119</v>
      </c>
      <c r="Y246" s="1" t="s">
        <v>2259</v>
      </c>
      <c r="Z246" s="1" t="s">
        <v>97</v>
      </c>
      <c r="AA246" s="1" t="s">
        <v>5119</v>
      </c>
      <c r="AB246" s="1" t="s">
        <v>2259</v>
      </c>
      <c r="AC246" s="1" t="s">
        <v>97</v>
      </c>
      <c r="AD246" s="1">
        <v>7.46</v>
      </c>
      <c r="AE246" s="1" t="s">
        <v>98</v>
      </c>
      <c r="AF246" s="1" t="s">
        <v>5120</v>
      </c>
      <c r="AG246" s="1" t="s">
        <v>5121</v>
      </c>
      <c r="AH246" s="1" t="s">
        <v>166</v>
      </c>
      <c r="AI246" s="1" t="s">
        <v>627</v>
      </c>
      <c r="AJ246" s="1">
        <v>71</v>
      </c>
      <c r="AK246" s="1">
        <v>0</v>
      </c>
      <c r="AL246" s="1"/>
      <c r="AM246" s="1"/>
      <c r="AN246" s="1"/>
      <c r="AO246" s="1"/>
      <c r="AP246" s="1"/>
      <c r="AQ246" s="1"/>
      <c r="AR246" s="1"/>
      <c r="AS246" s="1" t="s">
        <v>439</v>
      </c>
      <c r="AT246" s="1" t="s">
        <v>5122</v>
      </c>
      <c r="AU246" s="1" t="s">
        <v>139</v>
      </c>
      <c r="AV246" s="1" t="s">
        <v>233</v>
      </c>
      <c r="AW246" s="1">
        <v>71.82</v>
      </c>
      <c r="AX246" s="1">
        <v>0</v>
      </c>
      <c r="AY246" s="1" t="s">
        <v>258</v>
      </c>
      <c r="AZ246" s="1" t="s">
        <v>5123</v>
      </c>
      <c r="BA246" s="1"/>
      <c r="BB246" s="1"/>
      <c r="BC246" s="1" t="s">
        <v>178</v>
      </c>
      <c r="BD246" s="1" t="s">
        <v>179</v>
      </c>
      <c r="BE246" s="1">
        <v>69.06</v>
      </c>
      <c r="BF246" s="1">
        <v>7.75</v>
      </c>
      <c r="BG246" s="1"/>
      <c r="BH246" s="1"/>
      <c r="BI246" s="1"/>
      <c r="BJ246" s="1"/>
      <c r="BK246" s="1"/>
      <c r="BL246" s="1"/>
      <c r="BM246" s="1"/>
      <c r="BN246" s="1"/>
      <c r="BO246" s="1" t="s">
        <v>260</v>
      </c>
      <c r="BP246" s="1" t="s">
        <v>5124</v>
      </c>
      <c r="BQ246" s="1" t="s">
        <v>4149</v>
      </c>
      <c r="BR246" s="1" t="s">
        <v>5125</v>
      </c>
      <c r="BS246" s="1">
        <v>8</v>
      </c>
      <c r="BT246" s="1" t="s">
        <v>5126</v>
      </c>
      <c r="BU246" s="1" t="str">
        <f>HYPERLINK("https://nconnect.nicmar.ac.in/storage/profile/ProfilePhoto_P25700237_972643.jpg","Download")</f>
        <v>0</v>
      </c>
      <c r="BV246" s="3"/>
      <c r="BW246" s="3"/>
    </row>
    <row r="247" spans="1:75">
      <c r="A247" s="1" t="s">
        <v>75</v>
      </c>
      <c r="B247" s="1" t="s">
        <v>446</v>
      </c>
      <c r="C247" s="1" t="s">
        <v>5127</v>
      </c>
      <c r="D247" s="1" t="s">
        <v>5128</v>
      </c>
      <c r="E247" s="1"/>
      <c r="F247" s="1" t="s">
        <v>241</v>
      </c>
      <c r="G247" s="1" t="s">
        <v>5129</v>
      </c>
      <c r="H247" s="1" t="s">
        <v>5130</v>
      </c>
      <c r="I247" s="1" t="s">
        <v>5131</v>
      </c>
      <c r="J247" s="1">
        <v>6354105510</v>
      </c>
      <c r="K247" s="1" t="s">
        <v>84</v>
      </c>
      <c r="L247" s="1" t="s">
        <v>5132</v>
      </c>
      <c r="M247" s="1" t="s">
        <v>86</v>
      </c>
      <c r="N247" s="1" t="s">
        <v>5133</v>
      </c>
      <c r="O247" s="1"/>
      <c r="P247" s="1" t="s">
        <v>455</v>
      </c>
      <c r="Q247" s="1" t="s">
        <v>5134</v>
      </c>
      <c r="R247" s="1" t="s">
        <v>5135</v>
      </c>
      <c r="S247" s="1">
        <v>9998401535</v>
      </c>
      <c r="T247" s="1" t="s">
        <v>125</v>
      </c>
      <c r="U247" s="1" t="s">
        <v>5136</v>
      </c>
      <c r="V247" s="1">
        <v>8757507689</v>
      </c>
      <c r="W247" s="1" t="s">
        <v>161</v>
      </c>
      <c r="X247" s="1" t="s">
        <v>5137</v>
      </c>
      <c r="Y247" s="1" t="s">
        <v>5138</v>
      </c>
      <c r="Z247" s="1" t="s">
        <v>676</v>
      </c>
      <c r="AA247" s="1" t="s">
        <v>5139</v>
      </c>
      <c r="AB247" s="1" t="s">
        <v>5138</v>
      </c>
      <c r="AC247" s="1" t="s">
        <v>676</v>
      </c>
      <c r="AD247" s="1">
        <v>8.38</v>
      </c>
      <c r="AE247" s="1" t="s">
        <v>98</v>
      </c>
      <c r="AF247" s="1" t="s">
        <v>5140</v>
      </c>
      <c r="AG247" s="1" t="s">
        <v>5141</v>
      </c>
      <c r="AH247" s="1" t="s">
        <v>166</v>
      </c>
      <c r="AI247" s="1" t="s">
        <v>1111</v>
      </c>
      <c r="AJ247" s="1">
        <v>71.5</v>
      </c>
      <c r="AK247" s="1"/>
      <c r="AL247" s="1" t="s">
        <v>5140</v>
      </c>
      <c r="AM247" s="1" t="s">
        <v>5141</v>
      </c>
      <c r="AN247" s="1" t="s">
        <v>465</v>
      </c>
      <c r="AO247" s="1" t="s">
        <v>170</v>
      </c>
      <c r="AP247" s="1" t="s">
        <v>286</v>
      </c>
      <c r="AQ247" s="1">
        <v>70.3</v>
      </c>
      <c r="AR247" s="1"/>
      <c r="AS247" s="1"/>
      <c r="AT247" s="1"/>
      <c r="AU247" s="1"/>
      <c r="AV247" s="1"/>
      <c r="AW247" s="1"/>
      <c r="AX247" s="1"/>
      <c r="AY247" s="1" t="s">
        <v>5142</v>
      </c>
      <c r="AZ247" s="1" t="s">
        <v>5143</v>
      </c>
      <c r="BA247" s="1" t="s">
        <v>578</v>
      </c>
      <c r="BB247" s="1" t="s">
        <v>467</v>
      </c>
      <c r="BC247" s="1" t="s">
        <v>106</v>
      </c>
      <c r="BD247" s="1" t="s">
        <v>632</v>
      </c>
      <c r="BE247" s="1">
        <v>75.7</v>
      </c>
      <c r="BF247" s="1">
        <v>8.07</v>
      </c>
      <c r="BG247" s="1"/>
      <c r="BH247" s="1"/>
      <c r="BI247" s="1"/>
      <c r="BJ247" s="1"/>
      <c r="BK247" s="1"/>
      <c r="BL247" s="1"/>
      <c r="BM247" s="1"/>
      <c r="BN247" s="1"/>
      <c r="BO247" s="1" t="s">
        <v>5144</v>
      </c>
      <c r="BP247" s="1" t="s">
        <v>5145</v>
      </c>
      <c r="BQ247" s="1" t="s">
        <v>143</v>
      </c>
      <c r="BR247" s="1" t="s">
        <v>5146</v>
      </c>
      <c r="BS247" s="1">
        <v>21</v>
      </c>
      <c r="BT247" s="1" t="s">
        <v>5147</v>
      </c>
      <c r="BU247" s="1" t="str">
        <f>HYPERLINK("https://nconnect.nicmar.ac.in/storage/profile/ProfilePhoto_P25700238_975162.jpg","Download")</f>
        <v>0</v>
      </c>
      <c r="BV247" s="3"/>
      <c r="BW247" s="3"/>
    </row>
    <row r="248" spans="1:75">
      <c r="A248" s="1" t="s">
        <v>75</v>
      </c>
      <c r="B248" s="1" t="s">
        <v>446</v>
      </c>
      <c r="C248" s="1" t="s">
        <v>5148</v>
      </c>
      <c r="D248" s="1" t="s">
        <v>5149</v>
      </c>
      <c r="E248" s="1" t="s">
        <v>5150</v>
      </c>
      <c r="F248" s="1" t="s">
        <v>5151</v>
      </c>
      <c r="G248" s="1" t="s">
        <v>5152</v>
      </c>
      <c r="H248" s="1" t="s">
        <v>5153</v>
      </c>
      <c r="I248" s="1" t="s">
        <v>5154</v>
      </c>
      <c r="J248" s="1">
        <v>9511845197</v>
      </c>
      <c r="K248" s="1" t="s">
        <v>153</v>
      </c>
      <c r="L248" s="1" t="s">
        <v>5155</v>
      </c>
      <c r="M248" s="1" t="s">
        <v>86</v>
      </c>
      <c r="N248" s="1" t="s">
        <v>1027</v>
      </c>
      <c r="O248" s="1"/>
      <c r="P248" s="1" t="s">
        <v>455</v>
      </c>
      <c r="Q248" s="1" t="s">
        <v>5156</v>
      </c>
      <c r="R248" s="1" t="s">
        <v>5157</v>
      </c>
      <c r="S248" s="1">
        <v>9422825564</v>
      </c>
      <c r="T248" s="1" t="s">
        <v>92</v>
      </c>
      <c r="U248" s="1" t="s">
        <v>5158</v>
      </c>
      <c r="V248" s="1">
        <v>9421802298</v>
      </c>
      <c r="W248" s="1" t="s">
        <v>127</v>
      </c>
      <c r="X248" s="1" t="s">
        <v>5159</v>
      </c>
      <c r="Y248" s="1" t="s">
        <v>196</v>
      </c>
      <c r="Z248" s="1" t="s">
        <v>97</v>
      </c>
      <c r="AA248" s="1" t="s">
        <v>5160</v>
      </c>
      <c r="AB248" s="1" t="s">
        <v>410</v>
      </c>
      <c r="AC248" s="1" t="s">
        <v>97</v>
      </c>
      <c r="AD248" s="1">
        <v>8.82</v>
      </c>
      <c r="AE248" s="1" t="s">
        <v>98</v>
      </c>
      <c r="AF248" s="1" t="s">
        <v>5161</v>
      </c>
      <c r="AG248" s="1" t="s">
        <v>775</v>
      </c>
      <c r="AH248" s="1" t="s">
        <v>1110</v>
      </c>
      <c r="AI248" s="1" t="s">
        <v>627</v>
      </c>
      <c r="AJ248" s="1">
        <v>91.2</v>
      </c>
      <c r="AK248" s="1">
        <v>9.6</v>
      </c>
      <c r="AL248" s="1" t="s">
        <v>5162</v>
      </c>
      <c r="AM248" s="1" t="s">
        <v>5163</v>
      </c>
      <c r="AN248" s="1" t="s">
        <v>465</v>
      </c>
      <c r="AO248" s="1" t="s">
        <v>704</v>
      </c>
      <c r="AP248" s="1" t="s">
        <v>1477</v>
      </c>
      <c r="AQ248" s="1">
        <v>76</v>
      </c>
      <c r="AR248" s="1">
        <v>8</v>
      </c>
      <c r="AS248" s="1"/>
      <c r="AT248" s="1"/>
      <c r="AU248" s="1"/>
      <c r="AV248" s="1"/>
      <c r="AW248" s="1"/>
      <c r="AX248" s="1"/>
      <c r="AY248" s="1" t="s">
        <v>415</v>
      </c>
      <c r="AZ248" s="1" t="s">
        <v>5164</v>
      </c>
      <c r="BA248" s="1" t="s">
        <v>682</v>
      </c>
      <c r="BB248" s="1" t="s">
        <v>1479</v>
      </c>
      <c r="BC248" s="1" t="s">
        <v>1065</v>
      </c>
      <c r="BD248" s="1" t="s">
        <v>234</v>
      </c>
      <c r="BE248" s="1">
        <v>82.08</v>
      </c>
      <c r="BF248" s="1">
        <v>8.64</v>
      </c>
      <c r="BG248" s="1"/>
      <c r="BH248" s="1"/>
      <c r="BI248" s="1"/>
      <c r="BJ248" s="1"/>
      <c r="BK248" s="1"/>
      <c r="BL248" s="1"/>
      <c r="BM248" s="1"/>
      <c r="BN248" s="1"/>
      <c r="BO248" s="1" t="s">
        <v>5165</v>
      </c>
      <c r="BP248" s="1" t="s">
        <v>5166</v>
      </c>
      <c r="BQ248" s="1" t="s">
        <v>780</v>
      </c>
      <c r="BR248" s="1" t="s">
        <v>5167</v>
      </c>
      <c r="BS248" s="1">
        <v>44</v>
      </c>
      <c r="BT248" s="1" t="s">
        <v>5168</v>
      </c>
      <c r="BU248" s="1" t="str">
        <f>HYPERLINK("https://nconnect.nicmar.ac.in/storage/profile/ProfilePhoto_P25700239_319765.jpg","Download")</f>
        <v>0</v>
      </c>
      <c r="BV248" s="3"/>
      <c r="BW248" s="3"/>
    </row>
    <row r="249" spans="1:75">
      <c r="A249" s="1" t="s">
        <v>75</v>
      </c>
      <c r="B249" s="1" t="s">
        <v>446</v>
      </c>
      <c r="C249" s="1" t="s">
        <v>5169</v>
      </c>
      <c r="D249" s="1" t="s">
        <v>5170</v>
      </c>
      <c r="E249" s="1" t="s">
        <v>5171</v>
      </c>
      <c r="F249" s="1" t="s">
        <v>5172</v>
      </c>
      <c r="G249" s="1" t="s">
        <v>5173</v>
      </c>
      <c r="H249" s="1" t="s">
        <v>5174</v>
      </c>
      <c r="I249" s="1" t="s">
        <v>5175</v>
      </c>
      <c r="J249" s="1">
        <v>7249211429</v>
      </c>
      <c r="K249" s="1" t="s">
        <v>84</v>
      </c>
      <c r="L249" s="1" t="s">
        <v>5176</v>
      </c>
      <c r="M249" s="1" t="s">
        <v>86</v>
      </c>
      <c r="N249" s="1" t="s">
        <v>2988</v>
      </c>
      <c r="O249" s="1"/>
      <c r="P249" s="1" t="s">
        <v>2062</v>
      </c>
      <c r="Q249" s="1" t="s">
        <v>5177</v>
      </c>
      <c r="R249" s="1" t="s">
        <v>5178</v>
      </c>
      <c r="S249" s="1">
        <v>9403348856</v>
      </c>
      <c r="T249" s="1" t="s">
        <v>908</v>
      </c>
      <c r="U249" s="1" t="s">
        <v>5179</v>
      </c>
      <c r="V249" s="1">
        <v>9422061235</v>
      </c>
      <c r="W249" s="1" t="s">
        <v>127</v>
      </c>
      <c r="X249" s="1" t="s">
        <v>5180</v>
      </c>
      <c r="Y249" s="1" t="s">
        <v>5181</v>
      </c>
      <c r="Z249" s="1" t="s">
        <v>97</v>
      </c>
      <c r="AA249" s="1" t="s">
        <v>5180</v>
      </c>
      <c r="AB249" s="1" t="s">
        <v>5181</v>
      </c>
      <c r="AC249" s="1" t="s">
        <v>97</v>
      </c>
      <c r="AD249" s="1">
        <v>8.28</v>
      </c>
      <c r="AE249" s="1" t="s">
        <v>98</v>
      </c>
      <c r="AF249" s="1" t="s">
        <v>5182</v>
      </c>
      <c r="AG249" s="1" t="s">
        <v>5183</v>
      </c>
      <c r="AH249" s="1" t="s">
        <v>106</v>
      </c>
      <c r="AI249" s="1" t="s">
        <v>414</v>
      </c>
      <c r="AJ249" s="1">
        <v>85</v>
      </c>
      <c r="AK249" s="1">
        <v>0</v>
      </c>
      <c r="AL249" s="1"/>
      <c r="AM249" s="1"/>
      <c r="AN249" s="1"/>
      <c r="AO249" s="1"/>
      <c r="AP249" s="1"/>
      <c r="AQ249" s="1"/>
      <c r="AR249" s="1"/>
      <c r="AS249" s="1" t="s">
        <v>103</v>
      </c>
      <c r="AT249" s="1" t="s">
        <v>5184</v>
      </c>
      <c r="AU249" s="1" t="s">
        <v>206</v>
      </c>
      <c r="AV249" s="1" t="s">
        <v>1400</v>
      </c>
      <c r="AW249" s="1">
        <v>85.63</v>
      </c>
      <c r="AX249" s="1">
        <v>0</v>
      </c>
      <c r="AY249" s="1" t="s">
        <v>366</v>
      </c>
      <c r="AZ249" s="1" t="s">
        <v>5185</v>
      </c>
      <c r="BA249" s="1"/>
      <c r="BB249" s="1"/>
      <c r="BC249" s="1" t="s">
        <v>1802</v>
      </c>
      <c r="BD249" s="1" t="s">
        <v>553</v>
      </c>
      <c r="BE249" s="1">
        <v>87.4</v>
      </c>
      <c r="BF249" s="1">
        <v>9.49</v>
      </c>
      <c r="BG249" s="1"/>
      <c r="BH249" s="1"/>
      <c r="BI249" s="1"/>
      <c r="BJ249" s="1"/>
      <c r="BK249" s="1"/>
      <c r="BL249" s="1"/>
      <c r="BM249" s="1"/>
      <c r="BN249" s="1"/>
      <c r="BO249" s="1" t="s">
        <v>5186</v>
      </c>
      <c r="BP249" s="1"/>
      <c r="BQ249" s="1"/>
      <c r="BR249" s="1" t="s">
        <v>5187</v>
      </c>
      <c r="BS249" s="1">
        <v>35</v>
      </c>
      <c r="BT249" s="1"/>
      <c r="BU249" s="1" t="str">
        <f>HYPERLINK("https://nconnect.nicmar.ac.in/storage/profile/ProfilePhoto_P25700240_513948.jpg","Download")</f>
        <v>0</v>
      </c>
      <c r="BV249" s="3"/>
      <c r="BW249" s="3"/>
    </row>
    <row r="250" spans="1:75">
      <c r="A250" s="1" t="s">
        <v>75</v>
      </c>
      <c r="B250" s="1" t="s">
        <v>446</v>
      </c>
      <c r="C250" s="1" t="s">
        <v>5188</v>
      </c>
      <c r="D250" s="1" t="s">
        <v>586</v>
      </c>
      <c r="E250" s="1" t="s">
        <v>1274</v>
      </c>
      <c r="F250" s="1" t="s">
        <v>5189</v>
      </c>
      <c r="G250" s="1" t="s">
        <v>5190</v>
      </c>
      <c r="H250" s="1" t="s">
        <v>5191</v>
      </c>
      <c r="I250" s="1" t="s">
        <v>5192</v>
      </c>
      <c r="J250" s="1">
        <v>9526608654</v>
      </c>
      <c r="K250" s="1" t="s">
        <v>84</v>
      </c>
      <c r="L250" s="1" t="s">
        <v>5193</v>
      </c>
      <c r="M250" s="1" t="s">
        <v>86</v>
      </c>
      <c r="N250" s="1" t="s">
        <v>5194</v>
      </c>
      <c r="O250" s="1"/>
      <c r="P250" s="1" t="s">
        <v>507</v>
      </c>
      <c r="Q250" s="1" t="s">
        <v>5195</v>
      </c>
      <c r="R250" s="1" t="s">
        <v>5196</v>
      </c>
      <c r="S250" s="1">
        <v>9961775494</v>
      </c>
      <c r="T250" s="1" t="s">
        <v>1495</v>
      </c>
      <c r="U250" s="1" t="s">
        <v>5197</v>
      </c>
      <c r="V250" s="1">
        <v>8330041549</v>
      </c>
      <c r="W250" s="1" t="s">
        <v>161</v>
      </c>
      <c r="X250" s="1" t="s">
        <v>5198</v>
      </c>
      <c r="Y250" s="1" t="s">
        <v>1283</v>
      </c>
      <c r="Z250" s="1" t="s">
        <v>130</v>
      </c>
      <c r="AA250" s="1" t="s">
        <v>5198</v>
      </c>
      <c r="AB250" s="1" t="s">
        <v>1283</v>
      </c>
      <c r="AC250" s="1" t="s">
        <v>130</v>
      </c>
      <c r="AD250" s="1">
        <v>9.1</v>
      </c>
      <c r="AE250" s="1" t="s">
        <v>98</v>
      </c>
      <c r="AF250" s="1" t="s">
        <v>5199</v>
      </c>
      <c r="AG250" s="1" t="s">
        <v>5200</v>
      </c>
      <c r="AH250" s="1" t="s">
        <v>106</v>
      </c>
      <c r="AI250" s="1" t="s">
        <v>313</v>
      </c>
      <c r="AJ250" s="1">
        <v>95.2</v>
      </c>
      <c r="AK250" s="1"/>
      <c r="AL250" s="1" t="s">
        <v>5201</v>
      </c>
      <c r="AM250" s="1" t="s">
        <v>5202</v>
      </c>
      <c r="AN250" s="1" t="s">
        <v>575</v>
      </c>
      <c r="AO250" s="1" t="s">
        <v>468</v>
      </c>
      <c r="AP250" s="1" t="s">
        <v>549</v>
      </c>
      <c r="AQ250" s="1">
        <v>97.25</v>
      </c>
      <c r="AR250" s="1"/>
      <c r="AS250" s="1"/>
      <c r="AT250" s="1"/>
      <c r="AU250" s="1"/>
      <c r="AV250" s="1"/>
      <c r="AW250" s="1"/>
      <c r="AX250" s="1"/>
      <c r="AY250" s="1" t="s">
        <v>137</v>
      </c>
      <c r="AZ250" s="1" t="s">
        <v>5203</v>
      </c>
      <c r="BA250" s="1" t="s">
        <v>466</v>
      </c>
      <c r="BB250" s="1" t="s">
        <v>467</v>
      </c>
      <c r="BC250" s="1" t="s">
        <v>606</v>
      </c>
      <c r="BD250" s="1" t="s">
        <v>607</v>
      </c>
      <c r="BE250" s="1">
        <v>83.3</v>
      </c>
      <c r="BF250" s="1"/>
      <c r="BG250" s="1"/>
      <c r="BH250" s="1"/>
      <c r="BI250" s="1"/>
      <c r="BJ250" s="1"/>
      <c r="BK250" s="1"/>
      <c r="BL250" s="1"/>
      <c r="BM250" s="1"/>
      <c r="BN250" s="1"/>
      <c r="BO250" s="1" t="s">
        <v>5204</v>
      </c>
      <c r="BP250" s="1"/>
      <c r="BQ250" s="1"/>
      <c r="BR250" s="1" t="s">
        <v>5205</v>
      </c>
      <c r="BS250" s="1">
        <v>13</v>
      </c>
      <c r="BT250" s="1" t="s">
        <v>5206</v>
      </c>
      <c r="BU250" s="1" t="str">
        <f>HYPERLINK("https://nconnect.nicmar.ac.in/storage/profile/ProfilePhoto_P25700241_162534.jpg","Download")</f>
        <v>0</v>
      </c>
      <c r="BV250" s="3"/>
      <c r="BW250" s="4">
        <v>1</v>
      </c>
    </row>
    <row r="251" spans="1:75">
      <c r="A251" s="1" t="s">
        <v>75</v>
      </c>
      <c r="B251" s="1" t="s">
        <v>446</v>
      </c>
      <c r="C251" s="1" t="s">
        <v>5207</v>
      </c>
      <c r="D251" s="1" t="s">
        <v>5208</v>
      </c>
      <c r="E251" s="1"/>
      <c r="F251" s="1" t="s">
        <v>5209</v>
      </c>
      <c r="G251" s="1" t="s">
        <v>5210</v>
      </c>
      <c r="H251" s="1" t="s">
        <v>5211</v>
      </c>
      <c r="I251" s="1" t="s">
        <v>5212</v>
      </c>
      <c r="J251" s="1">
        <v>7047098155</v>
      </c>
      <c r="K251" s="1" t="s">
        <v>84</v>
      </c>
      <c r="L251" s="1" t="s">
        <v>5213</v>
      </c>
      <c r="M251" s="1" t="s">
        <v>86</v>
      </c>
      <c r="N251" s="1" t="s">
        <v>4278</v>
      </c>
      <c r="O251" s="1"/>
      <c r="P251" s="1" t="s">
        <v>481</v>
      </c>
      <c r="Q251" s="1" t="s">
        <v>5214</v>
      </c>
      <c r="R251" s="1" t="s">
        <v>5215</v>
      </c>
      <c r="S251" s="1">
        <v>9893878586</v>
      </c>
      <c r="T251" s="1" t="s">
        <v>5216</v>
      </c>
      <c r="U251" s="1" t="s">
        <v>5217</v>
      </c>
      <c r="V251" s="1">
        <v>9977083578</v>
      </c>
      <c r="W251" s="1" t="s">
        <v>161</v>
      </c>
      <c r="X251" s="1" t="s">
        <v>5218</v>
      </c>
      <c r="Y251" s="1" t="s">
        <v>5219</v>
      </c>
      <c r="Z251" s="1" t="s">
        <v>3419</v>
      </c>
      <c r="AA251" s="1" t="s">
        <v>5218</v>
      </c>
      <c r="AB251" s="1" t="s">
        <v>5219</v>
      </c>
      <c r="AC251" s="1" t="s">
        <v>3419</v>
      </c>
      <c r="AD251" s="1">
        <v>7.72</v>
      </c>
      <c r="AE251" s="1" t="s">
        <v>98</v>
      </c>
      <c r="AF251" s="1" t="s">
        <v>5220</v>
      </c>
      <c r="AG251" s="1" t="s">
        <v>5221</v>
      </c>
      <c r="AH251" s="1" t="s">
        <v>284</v>
      </c>
      <c r="AI251" s="1" t="s">
        <v>170</v>
      </c>
      <c r="AJ251" s="1">
        <v>76</v>
      </c>
      <c r="AK251" s="1"/>
      <c r="AL251" s="1" t="s">
        <v>5222</v>
      </c>
      <c r="AM251" s="1" t="s">
        <v>5223</v>
      </c>
      <c r="AN251" s="1" t="s">
        <v>465</v>
      </c>
      <c r="AO251" s="1" t="s">
        <v>490</v>
      </c>
      <c r="AP251" s="1" t="s">
        <v>313</v>
      </c>
      <c r="AQ251" s="1">
        <v>74.4</v>
      </c>
      <c r="AR251" s="1"/>
      <c r="AS251" s="1"/>
      <c r="AT251" s="1"/>
      <c r="AU251" s="1"/>
      <c r="AV251" s="1"/>
      <c r="AW251" s="1"/>
      <c r="AX251" s="1"/>
      <c r="AY251" s="1" t="s">
        <v>5224</v>
      </c>
      <c r="AZ251" s="1" t="s">
        <v>5225</v>
      </c>
      <c r="BA251" s="1" t="s">
        <v>466</v>
      </c>
      <c r="BB251" s="1" t="s">
        <v>467</v>
      </c>
      <c r="BC251" s="1" t="s">
        <v>175</v>
      </c>
      <c r="BD251" s="1" t="s">
        <v>1089</v>
      </c>
      <c r="BE251" s="1">
        <v>67.6</v>
      </c>
      <c r="BF251" s="1">
        <v>6.76</v>
      </c>
      <c r="BG251" s="1"/>
      <c r="BH251" s="1"/>
      <c r="BI251" s="1"/>
      <c r="BJ251" s="1"/>
      <c r="BK251" s="1"/>
      <c r="BL251" s="1"/>
      <c r="BM251" s="1"/>
      <c r="BN251" s="1"/>
      <c r="BO251" s="1" t="s">
        <v>369</v>
      </c>
      <c r="BP251" s="1"/>
      <c r="BQ251" s="1"/>
      <c r="BR251" s="1" t="s">
        <v>5226</v>
      </c>
      <c r="BS251" s="1">
        <v>27</v>
      </c>
      <c r="BT251" s="1" t="s">
        <v>5227</v>
      </c>
      <c r="BU251" s="1" t="str">
        <f>HYPERLINK("https://nconnect.nicmar.ac.in/storage/profile/ProfilePhoto_P25700242_529817.jpg","Download")</f>
        <v>0</v>
      </c>
      <c r="BV251" s="3"/>
      <c r="BW251" s="3"/>
    </row>
    <row r="252" spans="1:75">
      <c r="A252" s="1" t="s">
        <v>75</v>
      </c>
      <c r="B252" s="1" t="s">
        <v>446</v>
      </c>
      <c r="C252" s="1" t="s">
        <v>5228</v>
      </c>
      <c r="D252" s="1" t="s">
        <v>5229</v>
      </c>
      <c r="E252" s="1" t="s">
        <v>5230</v>
      </c>
      <c r="F252" s="1" t="s">
        <v>2099</v>
      </c>
      <c r="G252" s="1" t="s">
        <v>5231</v>
      </c>
      <c r="H252" s="1" t="s">
        <v>5232</v>
      </c>
      <c r="I252" s="1" t="s">
        <v>5233</v>
      </c>
      <c r="J252" s="1">
        <v>9099966861</v>
      </c>
      <c r="K252" s="1" t="s">
        <v>84</v>
      </c>
      <c r="L252" s="1" t="s">
        <v>5234</v>
      </c>
      <c r="M252" s="1" t="s">
        <v>86</v>
      </c>
      <c r="N252" s="1" t="s">
        <v>5235</v>
      </c>
      <c r="O252" s="1"/>
      <c r="P252" s="1" t="s">
        <v>507</v>
      </c>
      <c r="Q252" s="1" t="s">
        <v>5236</v>
      </c>
      <c r="R252" s="1" t="s">
        <v>5230</v>
      </c>
      <c r="S252" s="1">
        <v>9825025704</v>
      </c>
      <c r="T252" s="1" t="s">
        <v>5237</v>
      </c>
      <c r="U252" s="1" t="s">
        <v>5238</v>
      </c>
      <c r="V252" s="1">
        <v>9879618900</v>
      </c>
      <c r="W252" s="1" t="s">
        <v>839</v>
      </c>
      <c r="X252" s="1" t="s">
        <v>5239</v>
      </c>
      <c r="Y252" s="1" t="s">
        <v>5138</v>
      </c>
      <c r="Z252" s="1" t="s">
        <v>676</v>
      </c>
      <c r="AA252" s="1" t="s">
        <v>5239</v>
      </c>
      <c r="AB252" s="1" t="s">
        <v>5138</v>
      </c>
      <c r="AC252" s="1" t="s">
        <v>676</v>
      </c>
      <c r="AD252" s="1">
        <v>8.1</v>
      </c>
      <c r="AE252" s="1" t="s">
        <v>98</v>
      </c>
      <c r="AF252" s="1" t="s">
        <v>5240</v>
      </c>
      <c r="AG252" s="1" t="s">
        <v>796</v>
      </c>
      <c r="AH252" s="1" t="s">
        <v>284</v>
      </c>
      <c r="AI252" s="1" t="s">
        <v>170</v>
      </c>
      <c r="AJ252" s="1">
        <v>74.1</v>
      </c>
      <c r="AK252" s="1">
        <v>7.8</v>
      </c>
      <c r="AL252" s="1" t="s">
        <v>5240</v>
      </c>
      <c r="AM252" s="1" t="s">
        <v>796</v>
      </c>
      <c r="AN252" s="1" t="s">
        <v>465</v>
      </c>
      <c r="AO252" s="1" t="s">
        <v>490</v>
      </c>
      <c r="AP252" s="1" t="s">
        <v>313</v>
      </c>
      <c r="AQ252" s="1">
        <v>62.8</v>
      </c>
      <c r="AR252" s="1"/>
      <c r="AS252" s="1"/>
      <c r="AT252" s="1"/>
      <c r="AU252" s="1"/>
      <c r="AV252" s="1"/>
      <c r="AW252" s="1"/>
      <c r="AX252" s="1"/>
      <c r="AY252" s="1" t="s">
        <v>5241</v>
      </c>
      <c r="AZ252" s="1" t="s">
        <v>5242</v>
      </c>
      <c r="BA252" s="1" t="s">
        <v>578</v>
      </c>
      <c r="BB252" s="1" t="s">
        <v>467</v>
      </c>
      <c r="BC252" s="1" t="s">
        <v>438</v>
      </c>
      <c r="BD252" s="1" t="s">
        <v>234</v>
      </c>
      <c r="BE252" s="1">
        <v>73.8</v>
      </c>
      <c r="BF252" s="1">
        <v>7.88</v>
      </c>
      <c r="BG252" s="1"/>
      <c r="BH252" s="1"/>
      <c r="BI252" s="1"/>
      <c r="BJ252" s="1"/>
      <c r="BK252" s="1"/>
      <c r="BL252" s="1"/>
      <c r="BM252" s="1"/>
      <c r="BN252" s="1"/>
      <c r="BO252" s="1" t="s">
        <v>5243</v>
      </c>
      <c r="BP252" s="1"/>
      <c r="BQ252" s="1"/>
      <c r="BR252" s="1" t="s">
        <v>5244</v>
      </c>
      <c r="BS252" s="1">
        <v>129</v>
      </c>
      <c r="BT252" s="1"/>
      <c r="BU252" s="1" t="str">
        <f>HYPERLINK("https://nconnect.nicmar.ac.in/storage/profile/ProfilePhoto_P25700243_752468.jpg","Download")</f>
        <v>0</v>
      </c>
      <c r="BV252" s="3"/>
      <c r="BW252" s="3"/>
    </row>
    <row r="253" spans="1:75">
      <c r="A253" s="1" t="s">
        <v>75</v>
      </c>
      <c r="B253" s="1" t="s">
        <v>446</v>
      </c>
      <c r="C253" s="1" t="s">
        <v>5245</v>
      </c>
      <c r="D253" s="1" t="s">
        <v>348</v>
      </c>
      <c r="E253" s="1" t="s">
        <v>2098</v>
      </c>
      <c r="F253" s="1" t="s">
        <v>5246</v>
      </c>
      <c r="G253" s="1" t="s">
        <v>5247</v>
      </c>
      <c r="H253" s="1" t="s">
        <v>5248</v>
      </c>
      <c r="I253" s="1" t="s">
        <v>5249</v>
      </c>
      <c r="J253" s="1">
        <v>8390507869</v>
      </c>
      <c r="K253" s="1" t="s">
        <v>84</v>
      </c>
      <c r="L253" s="1" t="s">
        <v>5250</v>
      </c>
      <c r="M253" s="1" t="s">
        <v>86</v>
      </c>
      <c r="N253" s="1" t="s">
        <v>5251</v>
      </c>
      <c r="O253" s="1"/>
      <c r="P253" s="1"/>
      <c r="Q253" s="1" t="s">
        <v>5252</v>
      </c>
      <c r="R253" s="1" t="s">
        <v>5253</v>
      </c>
      <c r="S253" s="1">
        <v>8378860125</v>
      </c>
      <c r="T253" s="1" t="s">
        <v>839</v>
      </c>
      <c r="U253" s="1" t="s">
        <v>5254</v>
      </c>
      <c r="V253" s="1">
        <v>9309402750</v>
      </c>
      <c r="W253" s="1" t="s">
        <v>94</v>
      </c>
      <c r="X253" s="1" t="s">
        <v>5255</v>
      </c>
      <c r="Y253" s="1" t="s">
        <v>163</v>
      </c>
      <c r="Z253" s="1" t="s">
        <v>97</v>
      </c>
      <c r="AA253" s="1" t="s">
        <v>5255</v>
      </c>
      <c r="AB253" s="1" t="s">
        <v>163</v>
      </c>
      <c r="AC253" s="1" t="s">
        <v>97</v>
      </c>
      <c r="AD253" s="1">
        <v>8.49</v>
      </c>
      <c r="AE253" s="1" t="s">
        <v>98</v>
      </c>
      <c r="AF253" s="1" t="s">
        <v>5256</v>
      </c>
      <c r="AG253" s="1" t="s">
        <v>2745</v>
      </c>
      <c r="AH253" s="1" t="s">
        <v>101</v>
      </c>
      <c r="AI253" s="1" t="s">
        <v>102</v>
      </c>
      <c r="AJ253" s="1">
        <v>91.6</v>
      </c>
      <c r="AK253" s="1"/>
      <c r="AL253" s="1" t="s">
        <v>5257</v>
      </c>
      <c r="AM253" s="1" t="s">
        <v>2745</v>
      </c>
      <c r="AN253" s="1" t="s">
        <v>575</v>
      </c>
      <c r="AO253" s="1" t="s">
        <v>105</v>
      </c>
      <c r="AP253" s="1" t="s">
        <v>170</v>
      </c>
      <c r="AQ253" s="1">
        <v>73.69</v>
      </c>
      <c r="AR253" s="1"/>
      <c r="AS253" s="1"/>
      <c r="AT253" s="1"/>
      <c r="AU253" s="1"/>
      <c r="AV253" s="1"/>
      <c r="AW253" s="1"/>
      <c r="AX253" s="1"/>
      <c r="AY253" s="1" t="s">
        <v>442</v>
      </c>
      <c r="AZ253" s="1" t="s">
        <v>5258</v>
      </c>
      <c r="BA253" s="1" t="s">
        <v>578</v>
      </c>
      <c r="BB253" s="1" t="s">
        <v>467</v>
      </c>
      <c r="BC253" s="1" t="s">
        <v>230</v>
      </c>
      <c r="BD253" s="1" t="s">
        <v>549</v>
      </c>
      <c r="BE253" s="1">
        <v>75.53</v>
      </c>
      <c r="BF253" s="1"/>
      <c r="BG253" s="1"/>
      <c r="BH253" s="1"/>
      <c r="BI253" s="1"/>
      <c r="BJ253" s="1"/>
      <c r="BK253" s="1"/>
      <c r="BL253" s="1"/>
      <c r="BM253" s="1"/>
      <c r="BN253" s="1"/>
      <c r="BO253" s="1" t="s">
        <v>5259</v>
      </c>
      <c r="BP253" s="1" t="s">
        <v>5260</v>
      </c>
      <c r="BQ253" s="1" t="s">
        <v>2462</v>
      </c>
      <c r="BR253" s="1" t="s">
        <v>5261</v>
      </c>
      <c r="BS253" s="1">
        <v>8</v>
      </c>
      <c r="BT253" s="1"/>
      <c r="BU253" s="1" t="str">
        <f>HYPERLINK("https://nconnect.nicmar.ac.in/storage/profile/ProfilePhoto_P25700244_691843.jpg","Download")</f>
        <v>0</v>
      </c>
      <c r="BV253" s="3"/>
      <c r="BW253" s="4">
        <v>1</v>
      </c>
    </row>
    <row r="254" spans="1:75">
      <c r="A254" s="1" t="s">
        <v>75</v>
      </c>
      <c r="B254" s="1" t="s">
        <v>446</v>
      </c>
      <c r="C254" s="1" t="s">
        <v>5262</v>
      </c>
      <c r="D254" s="1" t="s">
        <v>5263</v>
      </c>
      <c r="E254" s="1" t="s">
        <v>4966</v>
      </c>
      <c r="F254" s="1" t="s">
        <v>5264</v>
      </c>
      <c r="G254" s="1" t="s">
        <v>5265</v>
      </c>
      <c r="H254" s="1" t="s">
        <v>5266</v>
      </c>
      <c r="I254" s="1" t="s">
        <v>5267</v>
      </c>
      <c r="J254" s="1">
        <v>8483031912</v>
      </c>
      <c r="K254" s="1" t="s">
        <v>153</v>
      </c>
      <c r="L254" s="1" t="s">
        <v>5268</v>
      </c>
      <c r="M254" s="1" t="s">
        <v>86</v>
      </c>
      <c r="N254" s="1" t="s">
        <v>618</v>
      </c>
      <c r="O254" s="1"/>
      <c r="P254" s="1" t="s">
        <v>2062</v>
      </c>
      <c r="Q254" s="1" t="s">
        <v>5269</v>
      </c>
      <c r="R254" s="1" t="s">
        <v>4966</v>
      </c>
      <c r="S254" s="1">
        <v>8767841534</v>
      </c>
      <c r="T254" s="1" t="s">
        <v>5270</v>
      </c>
      <c r="U254" s="1" t="s">
        <v>5271</v>
      </c>
      <c r="V254" s="1">
        <v>8483031912</v>
      </c>
      <c r="W254" s="1" t="s">
        <v>161</v>
      </c>
      <c r="X254" s="1" t="s">
        <v>5272</v>
      </c>
      <c r="Y254" s="1" t="s">
        <v>410</v>
      </c>
      <c r="Z254" s="1" t="s">
        <v>97</v>
      </c>
      <c r="AA254" s="1" t="s">
        <v>5272</v>
      </c>
      <c r="AB254" s="1" t="s">
        <v>410</v>
      </c>
      <c r="AC254" s="1" t="s">
        <v>97</v>
      </c>
      <c r="AD254" s="1">
        <v>8.05</v>
      </c>
      <c r="AE254" s="1" t="s">
        <v>98</v>
      </c>
      <c r="AF254" s="1" t="s">
        <v>5273</v>
      </c>
      <c r="AG254" s="1" t="s">
        <v>5274</v>
      </c>
      <c r="AH254" s="1" t="s">
        <v>573</v>
      </c>
      <c r="AI254" s="1" t="s">
        <v>171</v>
      </c>
      <c r="AJ254" s="1">
        <v>80.4</v>
      </c>
      <c r="AK254" s="1"/>
      <c r="AL254" s="1" t="s">
        <v>5275</v>
      </c>
      <c r="AM254" s="1" t="s">
        <v>5276</v>
      </c>
      <c r="AN254" s="1"/>
      <c r="AO254" s="1" t="s">
        <v>174</v>
      </c>
      <c r="AP254" s="1" t="s">
        <v>365</v>
      </c>
      <c r="AQ254" s="1">
        <v>67.85</v>
      </c>
      <c r="AR254" s="1"/>
      <c r="AS254" s="1"/>
      <c r="AT254" s="1"/>
      <c r="AU254" s="1"/>
      <c r="AV254" s="1"/>
      <c r="AW254" s="1"/>
      <c r="AX254" s="1"/>
      <c r="AY254" s="1" t="s">
        <v>415</v>
      </c>
      <c r="AZ254" s="1" t="s">
        <v>5277</v>
      </c>
      <c r="BA254" s="1"/>
      <c r="BB254" s="1"/>
      <c r="BC254" s="1" t="s">
        <v>178</v>
      </c>
      <c r="BD254" s="1" t="s">
        <v>5278</v>
      </c>
      <c r="BE254" s="1">
        <v>74</v>
      </c>
      <c r="BF254" s="1"/>
      <c r="BG254" s="1"/>
      <c r="BH254" s="1"/>
      <c r="BI254" s="1"/>
      <c r="BJ254" s="1"/>
      <c r="BK254" s="1"/>
      <c r="BL254" s="1"/>
      <c r="BM254" s="1"/>
      <c r="BN254" s="1"/>
      <c r="BO254" s="1" t="s">
        <v>5279</v>
      </c>
      <c r="BP254" s="1"/>
      <c r="BQ254" s="1"/>
      <c r="BR254" s="1" t="s">
        <v>5280</v>
      </c>
      <c r="BS254" s="1">
        <v>78</v>
      </c>
      <c r="BT254" s="1" t="s">
        <v>5281</v>
      </c>
      <c r="BU254" s="1" t="str">
        <f>HYPERLINK("https://nconnect.nicmar.ac.in/storage/profile/ProfilePhoto_P25700245_918463.jpg","Download")</f>
        <v>0</v>
      </c>
      <c r="BV254" s="3"/>
      <c r="BW254" s="3"/>
    </row>
    <row r="255" spans="1:75">
      <c r="A255" s="1" t="s">
        <v>75</v>
      </c>
      <c r="B255" s="1" t="s">
        <v>446</v>
      </c>
      <c r="C255" s="1" t="s">
        <v>5282</v>
      </c>
      <c r="D255" s="1" t="s">
        <v>1179</v>
      </c>
      <c r="E255" s="1" t="s">
        <v>3431</v>
      </c>
      <c r="F255" s="1" t="s">
        <v>149</v>
      </c>
      <c r="G255" s="1" t="s">
        <v>5283</v>
      </c>
      <c r="H255" s="1" t="s">
        <v>5284</v>
      </c>
      <c r="I255" s="1" t="s">
        <v>5285</v>
      </c>
      <c r="J255" s="1">
        <v>7900162345</v>
      </c>
      <c r="K255" s="1" t="s">
        <v>84</v>
      </c>
      <c r="L255" s="1" t="s">
        <v>3477</v>
      </c>
      <c r="M255" s="1" t="s">
        <v>86</v>
      </c>
      <c r="N255" s="1" t="s">
        <v>618</v>
      </c>
      <c r="O255" s="1"/>
      <c r="P255" s="1" t="s">
        <v>1028</v>
      </c>
      <c r="Q255" s="1" t="s">
        <v>5286</v>
      </c>
      <c r="R255" s="1" t="s">
        <v>5287</v>
      </c>
      <c r="S255" s="1">
        <v>9869781092</v>
      </c>
      <c r="T255" s="1" t="s">
        <v>221</v>
      </c>
      <c r="U255" s="1" t="s">
        <v>5288</v>
      </c>
      <c r="V255" s="1">
        <v>9969453439</v>
      </c>
      <c r="W255" s="1" t="s">
        <v>839</v>
      </c>
      <c r="X255" s="1" t="s">
        <v>5289</v>
      </c>
      <c r="Y255" s="1" t="s">
        <v>1012</v>
      </c>
      <c r="Z255" s="1" t="s">
        <v>97</v>
      </c>
      <c r="AA255" s="1" t="s">
        <v>5289</v>
      </c>
      <c r="AB255" s="1" t="s">
        <v>1012</v>
      </c>
      <c r="AC255" s="1" t="s">
        <v>97</v>
      </c>
      <c r="AD255" s="1">
        <v>8.56</v>
      </c>
      <c r="AE255" s="1" t="s">
        <v>98</v>
      </c>
      <c r="AF255" s="1" t="s">
        <v>5290</v>
      </c>
      <c r="AG255" s="1" t="s">
        <v>5291</v>
      </c>
      <c r="AH255" s="1" t="s">
        <v>101</v>
      </c>
      <c r="AI255" s="1" t="s">
        <v>573</v>
      </c>
      <c r="AJ255" s="1">
        <v>81</v>
      </c>
      <c r="AK255" s="1"/>
      <c r="AL255" s="1" t="s">
        <v>5292</v>
      </c>
      <c r="AM255" s="1" t="s">
        <v>5291</v>
      </c>
      <c r="AN255" s="1" t="s">
        <v>465</v>
      </c>
      <c r="AO255" s="1" t="s">
        <v>388</v>
      </c>
      <c r="AP255" s="1" t="s">
        <v>438</v>
      </c>
      <c r="AQ255" s="1">
        <v>67.69</v>
      </c>
      <c r="AR255" s="1"/>
      <c r="AS255" s="1"/>
      <c r="AT255" s="1"/>
      <c r="AU255" s="1"/>
      <c r="AV255" s="1"/>
      <c r="AW255" s="1"/>
      <c r="AX255" s="1"/>
      <c r="AY255" s="1" t="s">
        <v>5293</v>
      </c>
      <c r="AZ255" s="1" t="s">
        <v>5294</v>
      </c>
      <c r="BA255" s="1" t="s">
        <v>466</v>
      </c>
      <c r="BB255" s="1" t="s">
        <v>467</v>
      </c>
      <c r="BC255" s="1" t="s">
        <v>315</v>
      </c>
      <c r="BD255" s="1" t="s">
        <v>179</v>
      </c>
      <c r="BE255" s="1">
        <v>80.6</v>
      </c>
      <c r="BF255" s="1">
        <v>8.56</v>
      </c>
      <c r="BG255" s="1"/>
      <c r="BH255" s="1"/>
      <c r="BI255" s="1"/>
      <c r="BJ255" s="1"/>
      <c r="BK255" s="1"/>
      <c r="BL255" s="1"/>
      <c r="BM255" s="1"/>
      <c r="BN255" s="1"/>
      <c r="BO255" s="1" t="s">
        <v>5295</v>
      </c>
      <c r="BP255" s="1" t="s">
        <v>5296</v>
      </c>
      <c r="BQ255" s="1" t="s">
        <v>780</v>
      </c>
      <c r="BR255" s="1" t="s">
        <v>5297</v>
      </c>
      <c r="BS255" s="1">
        <v>34</v>
      </c>
      <c r="BT255" s="1" t="s">
        <v>5298</v>
      </c>
      <c r="BU255" s="1" t="str">
        <f>HYPERLINK("https://nconnect.nicmar.ac.in/storage/profile/ProfilePhoto_P25700246_546739.jpg","Download")</f>
        <v>0</v>
      </c>
      <c r="BV255" s="3"/>
      <c r="BW255" s="3"/>
    </row>
    <row r="256" spans="1:75">
      <c r="A256" s="1" t="s">
        <v>75</v>
      </c>
      <c r="B256" s="1" t="s">
        <v>446</v>
      </c>
      <c r="C256" s="1" t="s">
        <v>5299</v>
      </c>
      <c r="D256" s="1" t="s">
        <v>5300</v>
      </c>
      <c r="E256" s="1"/>
      <c r="F256" s="1" t="s">
        <v>5301</v>
      </c>
      <c r="G256" s="1" t="s">
        <v>5302</v>
      </c>
      <c r="H256" s="1" t="s">
        <v>5303</v>
      </c>
      <c r="I256" s="1" t="s">
        <v>5304</v>
      </c>
      <c r="J256" s="1">
        <v>9778349801</v>
      </c>
      <c r="K256" s="1" t="s">
        <v>153</v>
      </c>
      <c r="L256" s="1" t="s">
        <v>5305</v>
      </c>
      <c r="M256" s="1" t="s">
        <v>86</v>
      </c>
      <c r="N256" s="1" t="s">
        <v>5194</v>
      </c>
      <c r="O256" s="1" t="s">
        <v>5306</v>
      </c>
      <c r="P256" s="1" t="s">
        <v>219</v>
      </c>
      <c r="Q256" s="1" t="s">
        <v>5307</v>
      </c>
      <c r="R256" s="1" t="s">
        <v>5308</v>
      </c>
      <c r="S256" s="1">
        <v>9400983641</v>
      </c>
      <c r="T256" s="1" t="s">
        <v>5309</v>
      </c>
      <c r="U256" s="1" t="s">
        <v>5310</v>
      </c>
      <c r="V256" s="1">
        <v>9946724284</v>
      </c>
      <c r="W256" s="1" t="s">
        <v>5311</v>
      </c>
      <c r="X256" s="1" t="s">
        <v>5312</v>
      </c>
      <c r="Y256" s="1" t="s">
        <v>5313</v>
      </c>
      <c r="Z256" s="1" t="s">
        <v>130</v>
      </c>
      <c r="AA256" s="1" t="s">
        <v>5314</v>
      </c>
      <c r="AB256" s="1" t="s">
        <v>5313</v>
      </c>
      <c r="AC256" s="1" t="s">
        <v>130</v>
      </c>
      <c r="AD256" s="1">
        <v>8.85</v>
      </c>
      <c r="AE256" s="1" t="s">
        <v>98</v>
      </c>
      <c r="AF256" s="1" t="s">
        <v>5315</v>
      </c>
      <c r="AG256" s="1" t="s">
        <v>3486</v>
      </c>
      <c r="AH256" s="1" t="s">
        <v>167</v>
      </c>
      <c r="AI256" s="1" t="s">
        <v>200</v>
      </c>
      <c r="AJ256" s="1">
        <v>90</v>
      </c>
      <c r="AK256" s="1"/>
      <c r="AL256" s="1" t="s">
        <v>5316</v>
      </c>
      <c r="AM256" s="1" t="s">
        <v>5317</v>
      </c>
      <c r="AN256" s="1"/>
      <c r="AO256" s="1" t="s">
        <v>170</v>
      </c>
      <c r="AP256" s="1" t="s">
        <v>547</v>
      </c>
      <c r="AQ256" s="1">
        <v>96.08</v>
      </c>
      <c r="AR256" s="1"/>
      <c r="AS256" s="1"/>
      <c r="AT256" s="1"/>
      <c r="AU256" s="1"/>
      <c r="AV256" s="1"/>
      <c r="AW256" s="1"/>
      <c r="AX256" s="1"/>
      <c r="AY256" s="1" t="s">
        <v>5318</v>
      </c>
      <c r="AZ256" s="1" t="s">
        <v>5319</v>
      </c>
      <c r="BA256" s="1"/>
      <c r="BB256" s="1"/>
      <c r="BC256" s="1" t="s">
        <v>890</v>
      </c>
      <c r="BD256" s="1" t="s">
        <v>1242</v>
      </c>
      <c r="BE256" s="1">
        <v>81.9</v>
      </c>
      <c r="BF256" s="1">
        <v>8.19</v>
      </c>
      <c r="BG256" s="1"/>
      <c r="BH256" s="1"/>
      <c r="BI256" s="1"/>
      <c r="BJ256" s="1"/>
      <c r="BK256" s="1"/>
      <c r="BL256" s="1"/>
      <c r="BM256" s="1"/>
      <c r="BN256" s="1"/>
      <c r="BO256" s="1" t="s">
        <v>5320</v>
      </c>
      <c r="BP256" s="1"/>
      <c r="BQ256" s="1"/>
      <c r="BR256" s="1" t="s">
        <v>5321</v>
      </c>
      <c r="BS256" s="1">
        <v>12</v>
      </c>
      <c r="BT256" s="1" t="s">
        <v>5322</v>
      </c>
      <c r="BU256" s="1" t="str">
        <f>HYPERLINK("https://nconnect.nicmar.ac.in/storage/profile/ProfilePhoto_P25700247_237156.jpg","Download")</f>
        <v>0</v>
      </c>
      <c r="BV256" s="3"/>
      <c r="BW256" s="4">
        <v>1</v>
      </c>
    </row>
    <row r="257" spans="1:75">
      <c r="A257" s="1" t="s">
        <v>75</v>
      </c>
      <c r="B257" s="1" t="s">
        <v>446</v>
      </c>
      <c r="C257" s="1" t="s">
        <v>5323</v>
      </c>
      <c r="D257" s="1" t="s">
        <v>5324</v>
      </c>
      <c r="E257" s="1" t="s">
        <v>530</v>
      </c>
      <c r="F257" s="1" t="s">
        <v>5325</v>
      </c>
      <c r="G257" s="1" t="s">
        <v>5326</v>
      </c>
      <c r="H257" s="1" t="s">
        <v>5327</v>
      </c>
      <c r="I257" s="1" t="s">
        <v>5328</v>
      </c>
      <c r="J257" s="1">
        <v>8085305679</v>
      </c>
      <c r="K257" s="1" t="s">
        <v>84</v>
      </c>
      <c r="L257" s="1" t="s">
        <v>5329</v>
      </c>
      <c r="M257" s="1" t="s">
        <v>86</v>
      </c>
      <c r="N257" s="1" t="s">
        <v>5330</v>
      </c>
      <c r="O257" s="1"/>
      <c r="P257" s="1" t="s">
        <v>481</v>
      </c>
      <c r="Q257" s="1" t="s">
        <v>5331</v>
      </c>
      <c r="R257" s="1" t="s">
        <v>5332</v>
      </c>
      <c r="S257" s="1">
        <v>9827117689</v>
      </c>
      <c r="T257" s="1" t="s">
        <v>771</v>
      </c>
      <c r="U257" s="1" t="s">
        <v>5333</v>
      </c>
      <c r="V257" s="1">
        <v>9109505679</v>
      </c>
      <c r="W257" s="1" t="s">
        <v>94</v>
      </c>
      <c r="X257" s="1" t="s">
        <v>5334</v>
      </c>
      <c r="Y257" s="1" t="s">
        <v>5335</v>
      </c>
      <c r="Z257" s="1" t="s">
        <v>2933</v>
      </c>
      <c r="AA257" s="1" t="s">
        <v>5334</v>
      </c>
      <c r="AB257" s="1" t="s">
        <v>5335</v>
      </c>
      <c r="AC257" s="1" t="s">
        <v>2933</v>
      </c>
      <c r="AD257" s="1">
        <v>8.33</v>
      </c>
      <c r="AE257" s="1" t="s">
        <v>98</v>
      </c>
      <c r="AF257" s="1" t="s">
        <v>5336</v>
      </c>
      <c r="AG257" s="1" t="s">
        <v>5337</v>
      </c>
      <c r="AH257" s="1" t="s">
        <v>286</v>
      </c>
      <c r="AI257" s="1" t="s">
        <v>313</v>
      </c>
      <c r="AJ257" s="1">
        <v>82.2</v>
      </c>
      <c r="AK257" s="1">
        <v>0</v>
      </c>
      <c r="AL257" s="1" t="s">
        <v>1060</v>
      </c>
      <c r="AM257" s="1" t="s">
        <v>312</v>
      </c>
      <c r="AN257" s="1" t="s">
        <v>465</v>
      </c>
      <c r="AO257" s="1" t="s">
        <v>603</v>
      </c>
      <c r="AP257" s="1" t="s">
        <v>549</v>
      </c>
      <c r="AQ257" s="1">
        <v>77.4</v>
      </c>
      <c r="AR257" s="1">
        <v>0</v>
      </c>
      <c r="AS257" s="1"/>
      <c r="AT257" s="1"/>
      <c r="AU257" s="1"/>
      <c r="AV257" s="1"/>
      <c r="AW257" s="1"/>
      <c r="AX257" s="1"/>
      <c r="AY257" s="1" t="s">
        <v>5338</v>
      </c>
      <c r="AZ257" s="1" t="s">
        <v>5339</v>
      </c>
      <c r="BA257" s="1" t="s">
        <v>466</v>
      </c>
      <c r="BB257" s="1" t="s">
        <v>467</v>
      </c>
      <c r="BC257" s="1" t="s">
        <v>441</v>
      </c>
      <c r="BD257" s="1" t="s">
        <v>5340</v>
      </c>
      <c r="BE257" s="1">
        <v>66.14</v>
      </c>
      <c r="BF257" s="1">
        <v>6.99</v>
      </c>
      <c r="BG257" s="1"/>
      <c r="BH257" s="1"/>
      <c r="BI257" s="1"/>
      <c r="BJ257" s="1"/>
      <c r="BK257" s="1"/>
      <c r="BL257" s="1"/>
      <c r="BM257" s="1"/>
      <c r="BN257" s="1"/>
      <c r="BO257" s="1" t="s">
        <v>5341</v>
      </c>
      <c r="BP257" s="1"/>
      <c r="BQ257" s="1"/>
      <c r="BR257" s="1" t="s">
        <v>5342</v>
      </c>
      <c r="BS257" s="1">
        <v>38</v>
      </c>
      <c r="BT257" s="1" t="s">
        <v>5343</v>
      </c>
      <c r="BU257" s="1" t="str">
        <f>HYPERLINK("https://nconnect.nicmar.ac.in/storage/profile/ProfilePhoto_P25700248_864927.jpg","Download")</f>
        <v>0</v>
      </c>
      <c r="BV257" s="3"/>
      <c r="BW257" s="3"/>
    </row>
    <row r="258" spans="1:75">
      <c r="A258" s="1" t="s">
        <v>75</v>
      </c>
      <c r="B258" s="1" t="s">
        <v>446</v>
      </c>
      <c r="C258" s="1" t="s">
        <v>5344</v>
      </c>
      <c r="D258" s="1" t="s">
        <v>5345</v>
      </c>
      <c r="E258" s="1" t="s">
        <v>3431</v>
      </c>
      <c r="F258" s="1" t="s">
        <v>5346</v>
      </c>
      <c r="G258" s="1" t="s">
        <v>5347</v>
      </c>
      <c r="H258" s="1" t="s">
        <v>5348</v>
      </c>
      <c r="I258" s="1" t="s">
        <v>5349</v>
      </c>
      <c r="J258" s="1">
        <v>7621006513</v>
      </c>
      <c r="K258" s="1" t="s">
        <v>84</v>
      </c>
      <c r="L258" s="1" t="s">
        <v>5350</v>
      </c>
      <c r="M258" s="1" t="s">
        <v>86</v>
      </c>
      <c r="N258" s="1" t="s">
        <v>5351</v>
      </c>
      <c r="O258" s="1"/>
      <c r="P258" s="1" t="s">
        <v>507</v>
      </c>
      <c r="Q258" s="1" t="s">
        <v>5352</v>
      </c>
      <c r="R258" s="1" t="s">
        <v>5353</v>
      </c>
      <c r="S258" s="1">
        <v>9450437318</v>
      </c>
      <c r="T258" s="1" t="s">
        <v>5354</v>
      </c>
      <c r="U258" s="1" t="s">
        <v>5355</v>
      </c>
      <c r="V258" s="1">
        <v>9228309519</v>
      </c>
      <c r="W258" s="1" t="s">
        <v>161</v>
      </c>
      <c r="X258" s="1" t="s">
        <v>5356</v>
      </c>
      <c r="Y258" s="1" t="s">
        <v>2880</v>
      </c>
      <c r="Z258" s="1" t="s">
        <v>676</v>
      </c>
      <c r="AA258" s="1" t="s">
        <v>5356</v>
      </c>
      <c r="AB258" s="1" t="s">
        <v>2880</v>
      </c>
      <c r="AC258" s="1" t="s">
        <v>676</v>
      </c>
      <c r="AD258" s="1">
        <v>8.23</v>
      </c>
      <c r="AE258" s="1" t="s">
        <v>98</v>
      </c>
      <c r="AF258" s="1" t="s">
        <v>5357</v>
      </c>
      <c r="AG258" s="1" t="s">
        <v>5358</v>
      </c>
      <c r="AH258" s="1" t="s">
        <v>490</v>
      </c>
      <c r="AI258" s="1" t="s">
        <v>313</v>
      </c>
      <c r="AJ258" s="1">
        <v>87</v>
      </c>
      <c r="AK258" s="1"/>
      <c r="AL258" s="1" t="s">
        <v>5357</v>
      </c>
      <c r="AM258" s="1" t="s">
        <v>5358</v>
      </c>
      <c r="AN258" s="1" t="s">
        <v>465</v>
      </c>
      <c r="AO258" s="1" t="s">
        <v>977</v>
      </c>
      <c r="AP258" s="1" t="s">
        <v>549</v>
      </c>
      <c r="AQ258" s="1">
        <v>85.6</v>
      </c>
      <c r="AR258" s="1"/>
      <c r="AS258" s="1"/>
      <c r="AT258" s="1"/>
      <c r="AU258" s="1"/>
      <c r="AV258" s="1"/>
      <c r="AW258" s="1"/>
      <c r="AX258" s="1"/>
      <c r="AY258" s="1" t="s">
        <v>5359</v>
      </c>
      <c r="AZ258" s="1" t="s">
        <v>5360</v>
      </c>
      <c r="BA258" s="1" t="s">
        <v>578</v>
      </c>
      <c r="BB258" s="1" t="s">
        <v>467</v>
      </c>
      <c r="BC258" s="1" t="s">
        <v>606</v>
      </c>
      <c r="BD258" s="1" t="s">
        <v>553</v>
      </c>
      <c r="BE258" s="1">
        <v>70.93</v>
      </c>
      <c r="BF258" s="1"/>
      <c r="BG258" s="1"/>
      <c r="BH258" s="1"/>
      <c r="BI258" s="1"/>
      <c r="BJ258" s="1"/>
      <c r="BK258" s="1"/>
      <c r="BL258" s="1"/>
      <c r="BM258" s="1"/>
      <c r="BN258" s="1"/>
      <c r="BO258" s="1" t="s">
        <v>5361</v>
      </c>
      <c r="BP258" s="1"/>
      <c r="BQ258" s="1"/>
      <c r="BR258" s="1" t="s">
        <v>5362</v>
      </c>
      <c r="BS258" s="1">
        <v>13</v>
      </c>
      <c r="BT258" s="1" t="s">
        <v>5363</v>
      </c>
      <c r="BU258" s="1" t="str">
        <f>HYPERLINK("https://nconnect.nicmar.ac.in/storage/profile/ProfilePhoto_P25700249_159378.jpg","Download")</f>
        <v>0</v>
      </c>
      <c r="BV258" s="3"/>
      <c r="BW258" s="3"/>
    </row>
    <row r="259" spans="1:75">
      <c r="A259" s="1" t="s">
        <v>75</v>
      </c>
      <c r="B259" s="1" t="s">
        <v>446</v>
      </c>
      <c r="C259" s="1" t="s">
        <v>5364</v>
      </c>
      <c r="D259" s="1" t="s">
        <v>5365</v>
      </c>
      <c r="E259" s="1" t="s">
        <v>898</v>
      </c>
      <c r="F259" s="1" t="s">
        <v>2099</v>
      </c>
      <c r="G259" s="1" t="s">
        <v>5366</v>
      </c>
      <c r="H259" s="1" t="s">
        <v>5367</v>
      </c>
      <c r="I259" s="1" t="s">
        <v>5368</v>
      </c>
      <c r="J259" s="1">
        <v>8766972680</v>
      </c>
      <c r="K259" s="1" t="s">
        <v>153</v>
      </c>
      <c r="L259" s="1" t="s">
        <v>5369</v>
      </c>
      <c r="M259" s="1" t="s">
        <v>86</v>
      </c>
      <c r="N259" s="1" t="s">
        <v>5370</v>
      </c>
      <c r="O259" s="1"/>
      <c r="P259" s="1" t="s">
        <v>507</v>
      </c>
      <c r="Q259" s="1" t="s">
        <v>5371</v>
      </c>
      <c r="R259" s="1" t="s">
        <v>5372</v>
      </c>
      <c r="S259" s="1">
        <v>9765550909</v>
      </c>
      <c r="T259" s="1" t="s">
        <v>159</v>
      </c>
      <c r="U259" s="1" t="s">
        <v>5373</v>
      </c>
      <c r="V259" s="1">
        <v>8668877113</v>
      </c>
      <c r="W259" s="1" t="s">
        <v>94</v>
      </c>
      <c r="X259" s="1" t="s">
        <v>5374</v>
      </c>
      <c r="Y259" s="1" t="s">
        <v>196</v>
      </c>
      <c r="Z259" s="1" t="s">
        <v>97</v>
      </c>
      <c r="AA259" s="1" t="s">
        <v>5374</v>
      </c>
      <c r="AB259" s="1" t="s">
        <v>196</v>
      </c>
      <c r="AC259" s="1" t="s">
        <v>97</v>
      </c>
      <c r="AD259" s="1">
        <v>8.23</v>
      </c>
      <c r="AE259" s="1" t="s">
        <v>98</v>
      </c>
      <c r="AF259" s="1" t="s">
        <v>4489</v>
      </c>
      <c r="AG259" s="1" t="s">
        <v>5375</v>
      </c>
      <c r="AH259" s="1" t="s">
        <v>170</v>
      </c>
      <c r="AI259" s="1" t="s">
        <v>171</v>
      </c>
      <c r="AJ259" s="1">
        <v>81.8</v>
      </c>
      <c r="AK259" s="1">
        <v>8.61</v>
      </c>
      <c r="AL259" s="1" t="s">
        <v>5376</v>
      </c>
      <c r="AM259" s="1" t="s">
        <v>202</v>
      </c>
      <c r="AN259" s="1" t="s">
        <v>575</v>
      </c>
      <c r="AO259" s="1" t="s">
        <v>438</v>
      </c>
      <c r="AP259" s="1" t="s">
        <v>603</v>
      </c>
      <c r="AQ259" s="1">
        <v>60</v>
      </c>
      <c r="AR259" s="1">
        <v>6.31</v>
      </c>
      <c r="AS259" s="1"/>
      <c r="AT259" s="1"/>
      <c r="AU259" s="1"/>
      <c r="AV259" s="1"/>
      <c r="AW259" s="1"/>
      <c r="AX259" s="1"/>
      <c r="AY259" s="1" t="s">
        <v>366</v>
      </c>
      <c r="AZ259" s="1" t="s">
        <v>5377</v>
      </c>
      <c r="BA259" s="1" t="s">
        <v>578</v>
      </c>
      <c r="BB259" s="1" t="s">
        <v>467</v>
      </c>
      <c r="BC259" s="1" t="s">
        <v>890</v>
      </c>
      <c r="BD259" s="1" t="s">
        <v>207</v>
      </c>
      <c r="BE259" s="1">
        <v>73.3</v>
      </c>
      <c r="BF259" s="1">
        <v>8.08</v>
      </c>
      <c r="BG259" s="1"/>
      <c r="BH259" s="1"/>
      <c r="BI259" s="1"/>
      <c r="BJ259" s="1"/>
      <c r="BK259" s="1"/>
      <c r="BL259" s="1"/>
      <c r="BM259" s="1"/>
      <c r="BN259" s="1"/>
      <c r="BO259" s="1" t="s">
        <v>5378</v>
      </c>
      <c r="BP259" s="1"/>
      <c r="BQ259" s="1"/>
      <c r="BR259" s="1" t="s">
        <v>5379</v>
      </c>
      <c r="BS259" s="1">
        <v>13</v>
      </c>
      <c r="BT259" s="1" t="s">
        <v>5380</v>
      </c>
      <c r="BU259" s="1" t="str">
        <f>HYPERLINK("https://nconnect.nicmar.ac.in/storage/profile/ProfilePhoto_P25700250_825963.jpg","Download")</f>
        <v>0</v>
      </c>
      <c r="BV259" s="3"/>
      <c r="BW259" s="3"/>
    </row>
    <row r="260" spans="1:75">
      <c r="A260" s="1" t="s">
        <v>75</v>
      </c>
      <c r="B260" s="1" t="s">
        <v>446</v>
      </c>
      <c r="C260" s="1" t="s">
        <v>5381</v>
      </c>
      <c r="D260" s="1" t="s">
        <v>875</v>
      </c>
      <c r="E260" s="1"/>
      <c r="F260" s="1" t="s">
        <v>1320</v>
      </c>
      <c r="G260" s="1" t="s">
        <v>3598</v>
      </c>
      <c r="H260" s="1" t="s">
        <v>5382</v>
      </c>
      <c r="I260" s="1" t="s">
        <v>5383</v>
      </c>
      <c r="J260" s="1">
        <v>9097654676</v>
      </c>
      <c r="K260" s="1" t="s">
        <v>84</v>
      </c>
      <c r="L260" s="1" t="s">
        <v>3517</v>
      </c>
      <c r="M260" s="1" t="s">
        <v>86</v>
      </c>
      <c r="N260" s="1" t="s">
        <v>4278</v>
      </c>
      <c r="O260" s="1"/>
      <c r="P260" s="1" t="s">
        <v>455</v>
      </c>
      <c r="Q260" s="1" t="s">
        <v>5384</v>
      </c>
      <c r="R260" s="1" t="s">
        <v>5385</v>
      </c>
      <c r="S260" s="1">
        <v>9334265895</v>
      </c>
      <c r="T260" s="1" t="s">
        <v>926</v>
      </c>
      <c r="U260" s="1" t="s">
        <v>5386</v>
      </c>
      <c r="V260" s="1">
        <v>7295845373</v>
      </c>
      <c r="W260" s="1" t="s">
        <v>161</v>
      </c>
      <c r="X260" s="1" t="s">
        <v>5387</v>
      </c>
      <c r="Y260" s="1" t="s">
        <v>648</v>
      </c>
      <c r="Z260" s="1" t="s">
        <v>649</v>
      </c>
      <c r="AA260" s="1" t="s">
        <v>5387</v>
      </c>
      <c r="AB260" s="1" t="s">
        <v>648</v>
      </c>
      <c r="AC260" s="1" t="s">
        <v>649</v>
      </c>
      <c r="AD260" s="1">
        <v>8.82</v>
      </c>
      <c r="AE260" s="1" t="s">
        <v>98</v>
      </c>
      <c r="AF260" s="1" t="s">
        <v>4636</v>
      </c>
      <c r="AG260" s="1" t="s">
        <v>2205</v>
      </c>
      <c r="AH260" s="1" t="s">
        <v>200</v>
      </c>
      <c r="AI260" s="1" t="s">
        <v>286</v>
      </c>
      <c r="AJ260" s="1">
        <v>69.2</v>
      </c>
      <c r="AK260" s="1"/>
      <c r="AL260" s="1" t="s">
        <v>4636</v>
      </c>
      <c r="AM260" s="1" t="s">
        <v>2205</v>
      </c>
      <c r="AN260" s="1" t="s">
        <v>465</v>
      </c>
      <c r="AO260" s="1" t="s">
        <v>174</v>
      </c>
      <c r="AP260" s="1" t="s">
        <v>603</v>
      </c>
      <c r="AQ260" s="1">
        <v>77.6</v>
      </c>
      <c r="AR260" s="1"/>
      <c r="AS260" s="1"/>
      <c r="AT260" s="1"/>
      <c r="AU260" s="1"/>
      <c r="AV260" s="1"/>
      <c r="AW260" s="1"/>
      <c r="AX260" s="1"/>
      <c r="AY260" s="1" t="s">
        <v>5388</v>
      </c>
      <c r="AZ260" s="1" t="s">
        <v>5389</v>
      </c>
      <c r="BA260" s="1" t="s">
        <v>466</v>
      </c>
      <c r="BB260" s="1" t="s">
        <v>467</v>
      </c>
      <c r="BC260" s="1" t="s">
        <v>368</v>
      </c>
      <c r="BD260" s="1" t="s">
        <v>1242</v>
      </c>
      <c r="BE260" s="1">
        <v>74.77</v>
      </c>
      <c r="BF260" s="1">
        <v>8.31</v>
      </c>
      <c r="BG260" s="1"/>
      <c r="BH260" s="1"/>
      <c r="BI260" s="1"/>
      <c r="BJ260" s="1"/>
      <c r="BK260" s="1"/>
      <c r="BL260" s="1"/>
      <c r="BM260" s="1"/>
      <c r="BN260" s="1"/>
      <c r="BO260" s="1" t="s">
        <v>1114</v>
      </c>
      <c r="BP260" s="1"/>
      <c r="BQ260" s="1"/>
      <c r="BR260" s="1" t="s">
        <v>5390</v>
      </c>
      <c r="BS260" s="1">
        <v>49</v>
      </c>
      <c r="BT260" s="1" t="s">
        <v>2074</v>
      </c>
      <c r="BU260" s="1" t="str">
        <f>HYPERLINK("https://nconnect.nicmar.ac.in/storage/profile/ProfilePhoto_P25700251_793658.jpg","Download")</f>
        <v>0</v>
      </c>
      <c r="BV260" s="3"/>
      <c r="BW260" s="3"/>
    </row>
    <row r="261" spans="1:75">
      <c r="A261" s="1" t="s">
        <v>75</v>
      </c>
      <c r="B261" s="1" t="s">
        <v>446</v>
      </c>
      <c r="C261" s="1" t="s">
        <v>5391</v>
      </c>
      <c r="D261" s="1" t="s">
        <v>5392</v>
      </c>
      <c r="E261" s="1" t="s">
        <v>1612</v>
      </c>
      <c r="F261" s="1" t="s">
        <v>5393</v>
      </c>
      <c r="G261" s="1" t="s">
        <v>5394</v>
      </c>
      <c r="H261" s="1" t="s">
        <v>5395</v>
      </c>
      <c r="I261" s="1" t="s">
        <v>5396</v>
      </c>
      <c r="J261" s="1">
        <v>7666594354</v>
      </c>
      <c r="K261" s="1" t="s">
        <v>84</v>
      </c>
      <c r="L261" s="1" t="s">
        <v>5397</v>
      </c>
      <c r="M261" s="1" t="s">
        <v>86</v>
      </c>
      <c r="N261" s="1" t="s">
        <v>5398</v>
      </c>
      <c r="O261" s="1"/>
      <c r="P261" s="1"/>
      <c r="Q261" s="1" t="s">
        <v>5399</v>
      </c>
      <c r="R261" s="1" t="s">
        <v>1612</v>
      </c>
      <c r="S261" s="1">
        <v>8087240317</v>
      </c>
      <c r="T261" s="1" t="s">
        <v>645</v>
      </c>
      <c r="U261" s="1" t="s">
        <v>5400</v>
      </c>
      <c r="V261" s="1">
        <v>8421673677</v>
      </c>
      <c r="W261" s="1" t="s">
        <v>278</v>
      </c>
      <c r="X261" s="1" t="s">
        <v>5401</v>
      </c>
      <c r="Y261" s="1" t="s">
        <v>1989</v>
      </c>
      <c r="Z261" s="1" t="s">
        <v>97</v>
      </c>
      <c r="AA261" s="1" t="s">
        <v>5401</v>
      </c>
      <c r="AB261" s="1" t="s">
        <v>1989</v>
      </c>
      <c r="AC261" s="1" t="s">
        <v>97</v>
      </c>
      <c r="AD261" s="1">
        <v>7.92</v>
      </c>
      <c r="AE261" s="1" t="s">
        <v>98</v>
      </c>
      <c r="AF261" s="1" t="s">
        <v>5402</v>
      </c>
      <c r="AG261" s="1" t="s">
        <v>5403</v>
      </c>
      <c r="AH261" s="1" t="s">
        <v>167</v>
      </c>
      <c r="AI261" s="1" t="s">
        <v>170</v>
      </c>
      <c r="AJ261" s="1">
        <v>76.8</v>
      </c>
      <c r="AK261" s="1"/>
      <c r="AL261" s="1" t="s">
        <v>5404</v>
      </c>
      <c r="AM261" s="1" t="s">
        <v>5405</v>
      </c>
      <c r="AN261" s="1" t="s">
        <v>465</v>
      </c>
      <c r="AO261" s="1" t="s">
        <v>171</v>
      </c>
      <c r="AP261" s="1" t="s">
        <v>313</v>
      </c>
      <c r="AQ261" s="1">
        <v>66</v>
      </c>
      <c r="AR261" s="1"/>
      <c r="AS261" s="1"/>
      <c r="AT261" s="1"/>
      <c r="AU261" s="1"/>
      <c r="AV261" s="1"/>
      <c r="AW261" s="1"/>
      <c r="AX261" s="1"/>
      <c r="AY261" s="1" t="s">
        <v>1887</v>
      </c>
      <c r="AZ261" s="1" t="s">
        <v>5406</v>
      </c>
      <c r="BA261" s="1" t="s">
        <v>466</v>
      </c>
      <c r="BB261" s="1" t="s">
        <v>467</v>
      </c>
      <c r="BC261" s="1" t="s">
        <v>315</v>
      </c>
      <c r="BD261" s="1" t="s">
        <v>179</v>
      </c>
      <c r="BE261" s="1">
        <v>76.27</v>
      </c>
      <c r="BF261" s="1">
        <v>8.12</v>
      </c>
      <c r="BG261" s="1"/>
      <c r="BH261" s="1"/>
      <c r="BI261" s="1"/>
      <c r="BJ261" s="1"/>
      <c r="BK261" s="1"/>
      <c r="BL261" s="1"/>
      <c r="BM261" s="1"/>
      <c r="BN261" s="1"/>
      <c r="BO261" s="1" t="s">
        <v>1930</v>
      </c>
      <c r="BP261" s="1"/>
      <c r="BQ261" s="1"/>
      <c r="BR261" s="1" t="s">
        <v>5407</v>
      </c>
      <c r="BS261" s="1">
        <v>66</v>
      </c>
      <c r="BT261" s="1" t="s">
        <v>5408</v>
      </c>
      <c r="BU261" s="1" t="str">
        <f>HYPERLINK("https://nconnect.nicmar.ac.in/storage/profile/ProfilePhoto_P25700252_286139.jpg","Download")</f>
        <v>0</v>
      </c>
      <c r="BV261" s="3"/>
      <c r="BW261" s="3"/>
    </row>
    <row r="262" spans="1:75">
      <c r="A262" s="1" t="s">
        <v>75</v>
      </c>
      <c r="B262" s="1" t="s">
        <v>446</v>
      </c>
      <c r="C262" s="1" t="s">
        <v>5409</v>
      </c>
      <c r="D262" s="1" t="s">
        <v>3350</v>
      </c>
      <c r="E262" s="1" t="s">
        <v>1178</v>
      </c>
      <c r="F262" s="1" t="s">
        <v>5410</v>
      </c>
      <c r="G262" s="1" t="s">
        <v>5411</v>
      </c>
      <c r="H262" s="1" t="s">
        <v>5412</v>
      </c>
      <c r="I262" s="1" t="s">
        <v>5413</v>
      </c>
      <c r="J262" s="1">
        <v>9503125004</v>
      </c>
      <c r="K262" s="1" t="s">
        <v>84</v>
      </c>
      <c r="L262" s="1" t="s">
        <v>5414</v>
      </c>
      <c r="M262" s="1" t="s">
        <v>86</v>
      </c>
      <c r="N262" s="1" t="s">
        <v>768</v>
      </c>
      <c r="O262" s="1" t="s">
        <v>5415</v>
      </c>
      <c r="P262" s="1" t="s">
        <v>89</v>
      </c>
      <c r="Q262" s="1" t="s">
        <v>5416</v>
      </c>
      <c r="R262" s="1" t="s">
        <v>5417</v>
      </c>
      <c r="S262" s="1">
        <v>9518909421</v>
      </c>
      <c r="T262" s="1" t="s">
        <v>645</v>
      </c>
      <c r="U262" s="1" t="s">
        <v>5418</v>
      </c>
      <c r="V262" s="1">
        <v>9689173404</v>
      </c>
      <c r="W262" s="1" t="s">
        <v>2547</v>
      </c>
      <c r="X262" s="1" t="s">
        <v>5419</v>
      </c>
      <c r="Y262" s="1" t="s">
        <v>624</v>
      </c>
      <c r="Z262" s="1" t="s">
        <v>97</v>
      </c>
      <c r="AA262" s="1" t="s">
        <v>5420</v>
      </c>
      <c r="AB262" s="1" t="s">
        <v>196</v>
      </c>
      <c r="AC262" s="1" t="s">
        <v>97</v>
      </c>
      <c r="AD262" s="1">
        <v>8.08</v>
      </c>
      <c r="AE262" s="1" t="s">
        <v>98</v>
      </c>
      <c r="AF262" s="1" t="s">
        <v>5421</v>
      </c>
      <c r="AG262" s="1" t="s">
        <v>5422</v>
      </c>
      <c r="AH262" s="1" t="s">
        <v>573</v>
      </c>
      <c r="AI262" s="1" t="s">
        <v>171</v>
      </c>
      <c r="AJ262" s="1">
        <v>65.6</v>
      </c>
      <c r="AK262" s="1"/>
      <c r="AL262" s="1" t="s">
        <v>5423</v>
      </c>
      <c r="AM262" s="1" t="s">
        <v>5424</v>
      </c>
      <c r="AN262" s="1" t="s">
        <v>465</v>
      </c>
      <c r="AO262" s="1" t="s">
        <v>315</v>
      </c>
      <c r="AP262" s="1" t="s">
        <v>178</v>
      </c>
      <c r="AQ262" s="1">
        <v>63.85</v>
      </c>
      <c r="AR262" s="1"/>
      <c r="AS262" s="1"/>
      <c r="AT262" s="1"/>
      <c r="AU262" s="1"/>
      <c r="AV262" s="1"/>
      <c r="AW262" s="1"/>
      <c r="AX262" s="1"/>
      <c r="AY262" s="1" t="s">
        <v>5425</v>
      </c>
      <c r="AZ262" s="1" t="s">
        <v>5426</v>
      </c>
      <c r="BA262" s="1" t="s">
        <v>466</v>
      </c>
      <c r="BB262" s="1" t="s">
        <v>467</v>
      </c>
      <c r="BC262" s="1" t="s">
        <v>178</v>
      </c>
      <c r="BD262" s="1" t="s">
        <v>207</v>
      </c>
      <c r="BE262" s="1">
        <v>70.8</v>
      </c>
      <c r="BF262" s="1"/>
      <c r="BG262" s="1"/>
      <c r="BH262" s="1"/>
      <c r="BI262" s="1"/>
      <c r="BJ262" s="1"/>
      <c r="BK262" s="1"/>
      <c r="BL262" s="1"/>
      <c r="BM262" s="1"/>
      <c r="BN262" s="1"/>
      <c r="BO262" s="1" t="s">
        <v>1114</v>
      </c>
      <c r="BP262" s="1"/>
      <c r="BQ262" s="1"/>
      <c r="BR262" s="1" t="s">
        <v>5427</v>
      </c>
      <c r="BS262" s="1">
        <v>40</v>
      </c>
      <c r="BT262" s="1" t="s">
        <v>5428</v>
      </c>
      <c r="BU262" s="1" t="str">
        <f>HYPERLINK("https://nconnect.nicmar.ac.in/storage/profile/ProfilePhoto_P25700253_341298.jpg","Download")</f>
        <v>0</v>
      </c>
      <c r="BV262" s="3"/>
      <c r="BW262" s="3"/>
    </row>
    <row r="263" spans="1:75">
      <c r="A263" s="1" t="s">
        <v>75</v>
      </c>
      <c r="B263" s="1" t="s">
        <v>446</v>
      </c>
      <c r="C263" s="1" t="s">
        <v>5429</v>
      </c>
      <c r="D263" s="1" t="s">
        <v>5430</v>
      </c>
      <c r="E263" s="1" t="s">
        <v>2963</v>
      </c>
      <c r="F263" s="1" t="s">
        <v>3101</v>
      </c>
      <c r="G263" s="1" t="s">
        <v>5431</v>
      </c>
      <c r="H263" s="1" t="s">
        <v>5432</v>
      </c>
      <c r="I263" s="1" t="s">
        <v>5433</v>
      </c>
      <c r="J263" s="1">
        <v>8605809022</v>
      </c>
      <c r="K263" s="1" t="s">
        <v>84</v>
      </c>
      <c r="L263" s="1" t="s">
        <v>5434</v>
      </c>
      <c r="M263" s="1" t="s">
        <v>86</v>
      </c>
      <c r="N263" s="1" t="s">
        <v>4278</v>
      </c>
      <c r="O263" s="1"/>
      <c r="P263" s="1" t="s">
        <v>455</v>
      </c>
      <c r="Q263" s="1" t="s">
        <v>5435</v>
      </c>
      <c r="R263" s="1" t="s">
        <v>5436</v>
      </c>
      <c r="S263" s="1">
        <v>7083455130</v>
      </c>
      <c r="T263" s="1" t="s">
        <v>5437</v>
      </c>
      <c r="U263" s="1" t="s">
        <v>5438</v>
      </c>
      <c r="V263" s="1">
        <v>7875375321</v>
      </c>
      <c r="W263" s="1" t="s">
        <v>161</v>
      </c>
      <c r="X263" s="1" t="s">
        <v>5439</v>
      </c>
      <c r="Y263" s="1" t="s">
        <v>196</v>
      </c>
      <c r="Z263" s="1" t="s">
        <v>97</v>
      </c>
      <c r="AA263" s="1" t="s">
        <v>5440</v>
      </c>
      <c r="AB263" s="1" t="s">
        <v>96</v>
      </c>
      <c r="AC263" s="1" t="s">
        <v>97</v>
      </c>
      <c r="AD263" s="1">
        <v>8.15</v>
      </c>
      <c r="AE263" s="1" t="s">
        <v>98</v>
      </c>
      <c r="AF263" s="1" t="s">
        <v>5441</v>
      </c>
      <c r="AG263" s="1" t="s">
        <v>312</v>
      </c>
      <c r="AH263" s="1" t="s">
        <v>5442</v>
      </c>
      <c r="AI263" s="1" t="s">
        <v>171</v>
      </c>
      <c r="AJ263" s="1">
        <v>83.4</v>
      </c>
      <c r="AK263" s="1"/>
      <c r="AL263" s="1" t="s">
        <v>5443</v>
      </c>
      <c r="AM263" s="1" t="s">
        <v>165</v>
      </c>
      <c r="AN263" s="1" t="s">
        <v>465</v>
      </c>
      <c r="AO263" s="1" t="s">
        <v>106</v>
      </c>
      <c r="AP263" s="1" t="s">
        <v>365</v>
      </c>
      <c r="AQ263" s="1">
        <v>73.69</v>
      </c>
      <c r="AR263" s="1"/>
      <c r="AS263" s="1"/>
      <c r="AT263" s="1"/>
      <c r="AU263" s="1"/>
      <c r="AV263" s="1"/>
      <c r="AW263" s="1"/>
      <c r="AX263" s="1"/>
      <c r="AY263" s="1" t="s">
        <v>550</v>
      </c>
      <c r="AZ263" s="1" t="s">
        <v>5444</v>
      </c>
      <c r="BA263" s="1" t="s">
        <v>466</v>
      </c>
      <c r="BB263" s="1" t="s">
        <v>467</v>
      </c>
      <c r="BC263" s="1" t="s">
        <v>552</v>
      </c>
      <c r="BD263" s="1" t="s">
        <v>553</v>
      </c>
      <c r="BE263" s="1">
        <v>81.4</v>
      </c>
      <c r="BF263" s="1">
        <v>8.14</v>
      </c>
      <c r="BG263" s="1"/>
      <c r="BH263" s="1"/>
      <c r="BI263" s="1"/>
      <c r="BJ263" s="1"/>
      <c r="BK263" s="1"/>
      <c r="BL263" s="1"/>
      <c r="BM263" s="1"/>
      <c r="BN263" s="1"/>
      <c r="BO263" s="1" t="s">
        <v>5445</v>
      </c>
      <c r="BP263" s="1"/>
      <c r="BQ263" s="1"/>
      <c r="BR263" s="1" t="s">
        <v>5446</v>
      </c>
      <c r="BS263" s="1">
        <v>9</v>
      </c>
      <c r="BT263" s="1"/>
      <c r="BU263" s="1" t="str">
        <f>HYPERLINK("https://nconnect.nicmar.ac.in/storage/profile/6a73072f13df6.png","Download")</f>
        <v>0</v>
      </c>
      <c r="BV263" s="3"/>
      <c r="BW263" s="3"/>
    </row>
    <row r="264" spans="1:75">
      <c r="A264" s="1" t="s">
        <v>75</v>
      </c>
      <c r="B264" s="1" t="s">
        <v>446</v>
      </c>
      <c r="C264" s="1" t="s">
        <v>5447</v>
      </c>
      <c r="D264" s="1" t="s">
        <v>2829</v>
      </c>
      <c r="E264" s="1"/>
      <c r="F264" s="1" t="s">
        <v>5448</v>
      </c>
      <c r="G264" s="1" t="s">
        <v>5449</v>
      </c>
      <c r="H264" s="1" t="s">
        <v>5450</v>
      </c>
      <c r="I264" s="1" t="s">
        <v>5451</v>
      </c>
      <c r="J264" s="1">
        <v>9112180683</v>
      </c>
      <c r="K264" s="1" t="s">
        <v>84</v>
      </c>
      <c r="L264" s="1" t="s">
        <v>5452</v>
      </c>
      <c r="M264" s="1" t="s">
        <v>86</v>
      </c>
      <c r="N264" s="1" t="s">
        <v>1470</v>
      </c>
      <c r="O264" s="1"/>
      <c r="P264" s="1" t="s">
        <v>1028</v>
      </c>
      <c r="Q264" s="1" t="s">
        <v>5453</v>
      </c>
      <c r="R264" s="1" t="s">
        <v>5454</v>
      </c>
      <c r="S264" s="1">
        <v>9423110635</v>
      </c>
      <c r="T264" s="1" t="s">
        <v>125</v>
      </c>
      <c r="U264" s="1" t="s">
        <v>5455</v>
      </c>
      <c r="V264" s="1">
        <v>9420853675</v>
      </c>
      <c r="W264" s="1" t="s">
        <v>125</v>
      </c>
      <c r="X264" s="1" t="s">
        <v>5456</v>
      </c>
      <c r="Y264" s="1" t="s">
        <v>410</v>
      </c>
      <c r="Z264" s="1" t="s">
        <v>97</v>
      </c>
      <c r="AA264" s="1" t="s">
        <v>5456</v>
      </c>
      <c r="AB264" s="1" t="s">
        <v>410</v>
      </c>
      <c r="AC264" s="1" t="s">
        <v>97</v>
      </c>
      <c r="AD264" s="1">
        <v>8.69</v>
      </c>
      <c r="AE264" s="1" t="s">
        <v>98</v>
      </c>
      <c r="AF264" s="1" t="s">
        <v>5457</v>
      </c>
      <c r="AG264" s="1" t="s">
        <v>5458</v>
      </c>
      <c r="AH264" s="1" t="s">
        <v>573</v>
      </c>
      <c r="AI264" s="1" t="s">
        <v>171</v>
      </c>
      <c r="AJ264" s="1">
        <v>78.8</v>
      </c>
      <c r="AK264" s="1"/>
      <c r="AL264" s="1" t="s">
        <v>5459</v>
      </c>
      <c r="AM264" s="1" t="s">
        <v>165</v>
      </c>
      <c r="AN264" s="1" t="s">
        <v>465</v>
      </c>
      <c r="AO264" s="1" t="s">
        <v>203</v>
      </c>
      <c r="AP264" s="1" t="s">
        <v>365</v>
      </c>
      <c r="AQ264" s="1">
        <v>72.62</v>
      </c>
      <c r="AR264" s="1"/>
      <c r="AS264" s="1"/>
      <c r="AT264" s="1"/>
      <c r="AU264" s="1"/>
      <c r="AV264" s="1"/>
      <c r="AW264" s="1"/>
      <c r="AX264" s="1"/>
      <c r="AY264" s="1" t="s">
        <v>415</v>
      </c>
      <c r="AZ264" s="1" t="s">
        <v>5460</v>
      </c>
      <c r="BA264" s="1" t="s">
        <v>466</v>
      </c>
      <c r="BB264" s="1" t="s">
        <v>467</v>
      </c>
      <c r="BC264" s="1" t="s">
        <v>4740</v>
      </c>
      <c r="BD264" s="1" t="s">
        <v>5278</v>
      </c>
      <c r="BE264" s="1">
        <v>72.4</v>
      </c>
      <c r="BF264" s="1">
        <v>7.99</v>
      </c>
      <c r="BG264" s="1"/>
      <c r="BH264" s="1"/>
      <c r="BI264" s="1"/>
      <c r="BJ264" s="1"/>
      <c r="BK264" s="1"/>
      <c r="BL264" s="1"/>
      <c r="BM264" s="1"/>
      <c r="BN264" s="1"/>
      <c r="BO264" s="1" t="s">
        <v>5461</v>
      </c>
      <c r="BP264" s="1" t="s">
        <v>5462</v>
      </c>
      <c r="BQ264" s="1" t="s">
        <v>292</v>
      </c>
      <c r="BR264" s="1" t="s">
        <v>5463</v>
      </c>
      <c r="BS264" s="1">
        <v>35</v>
      </c>
      <c r="BT264" s="1" t="s">
        <v>5464</v>
      </c>
      <c r="BU264" s="1" t="str">
        <f>HYPERLINK("https://nconnect.nicmar.ac.in/storage/profile/6a6807d8292d9.png","Download")</f>
        <v>0</v>
      </c>
      <c r="BV264" s="3"/>
      <c r="BW264" s="3"/>
    </row>
    <row r="265" spans="1:75">
      <c r="A265" s="1" t="s">
        <v>75</v>
      </c>
      <c r="B265" s="1" t="s">
        <v>446</v>
      </c>
      <c r="C265" s="1" t="s">
        <v>5465</v>
      </c>
      <c r="D265" s="1" t="s">
        <v>5466</v>
      </c>
      <c r="E265" s="1" t="s">
        <v>1963</v>
      </c>
      <c r="F265" s="1" t="s">
        <v>5467</v>
      </c>
      <c r="G265" s="1" t="s">
        <v>5468</v>
      </c>
      <c r="H265" s="1" t="s">
        <v>5469</v>
      </c>
      <c r="I265" s="1" t="s">
        <v>5470</v>
      </c>
      <c r="J265" s="1">
        <v>9673618669</v>
      </c>
      <c r="K265" s="1" t="s">
        <v>84</v>
      </c>
      <c r="L265" s="1" t="s">
        <v>5471</v>
      </c>
      <c r="M265" s="1" t="s">
        <v>86</v>
      </c>
      <c r="N265" s="1" t="s">
        <v>5472</v>
      </c>
      <c r="O265" s="1"/>
      <c r="P265" s="1" t="s">
        <v>455</v>
      </c>
      <c r="Q265" s="1" t="s">
        <v>5473</v>
      </c>
      <c r="R265" s="1" t="s">
        <v>1963</v>
      </c>
      <c r="S265" s="1">
        <v>9730085909</v>
      </c>
      <c r="T265" s="1" t="s">
        <v>839</v>
      </c>
      <c r="U265" s="1" t="s">
        <v>1126</v>
      </c>
      <c r="V265" s="1">
        <v>9028085909</v>
      </c>
      <c r="W265" s="1" t="s">
        <v>278</v>
      </c>
      <c r="X265" s="1" t="s">
        <v>5474</v>
      </c>
      <c r="Y265" s="1" t="s">
        <v>1989</v>
      </c>
      <c r="Z265" s="1" t="s">
        <v>97</v>
      </c>
      <c r="AA265" s="1" t="s">
        <v>5474</v>
      </c>
      <c r="AB265" s="1" t="s">
        <v>1989</v>
      </c>
      <c r="AC265" s="1" t="s">
        <v>97</v>
      </c>
      <c r="AD265" s="1">
        <v>8.13</v>
      </c>
      <c r="AE265" s="1" t="s">
        <v>98</v>
      </c>
      <c r="AF265" s="1" t="s">
        <v>5475</v>
      </c>
      <c r="AG265" s="1" t="s">
        <v>5476</v>
      </c>
      <c r="AH265" s="1" t="s">
        <v>167</v>
      </c>
      <c r="AI265" s="1" t="s">
        <v>200</v>
      </c>
      <c r="AJ265" s="1">
        <v>78.6</v>
      </c>
      <c r="AK265" s="1"/>
      <c r="AL265" s="1"/>
      <c r="AM265" s="1"/>
      <c r="AN265" s="1"/>
      <c r="AO265" s="1"/>
      <c r="AP265" s="1"/>
      <c r="AQ265" s="1"/>
      <c r="AR265" s="1"/>
      <c r="AS265" s="1" t="s">
        <v>103</v>
      </c>
      <c r="AT265" s="1" t="s">
        <v>5477</v>
      </c>
      <c r="AU265" s="1" t="s">
        <v>388</v>
      </c>
      <c r="AV265" s="1" t="s">
        <v>417</v>
      </c>
      <c r="AW265" s="1">
        <v>82.58</v>
      </c>
      <c r="AX265" s="1"/>
      <c r="AY265" s="1" t="s">
        <v>366</v>
      </c>
      <c r="AZ265" s="1" t="s">
        <v>5478</v>
      </c>
      <c r="BA265" s="1" t="s">
        <v>578</v>
      </c>
      <c r="BB265" s="1" t="s">
        <v>467</v>
      </c>
      <c r="BC265" s="1" t="s">
        <v>178</v>
      </c>
      <c r="BD265" s="1" t="s">
        <v>955</v>
      </c>
      <c r="BE265" s="1">
        <v>77.2</v>
      </c>
      <c r="BF265" s="1">
        <v>8.47</v>
      </c>
      <c r="BG265" s="1"/>
      <c r="BH265" s="1"/>
      <c r="BI265" s="1"/>
      <c r="BJ265" s="1"/>
      <c r="BK265" s="1"/>
      <c r="BL265" s="1"/>
      <c r="BM265" s="1"/>
      <c r="BN265" s="1"/>
      <c r="BO265" s="1" t="s">
        <v>260</v>
      </c>
      <c r="BP265" s="1" t="s">
        <v>5479</v>
      </c>
      <c r="BQ265" s="1" t="s">
        <v>1357</v>
      </c>
      <c r="BR265" s="1" t="s">
        <v>5480</v>
      </c>
      <c r="BS265" s="1">
        <v>20</v>
      </c>
      <c r="BT265" s="1"/>
      <c r="BU265" s="1" t="str">
        <f>HYPERLINK("https://nconnect.nicmar.ac.in/storage/profile/ProfilePhoto_P25700256_314276.jpg","Download")</f>
        <v>0</v>
      </c>
      <c r="BV265" s="3"/>
      <c r="BW265" s="3"/>
    </row>
    <row r="266" spans="1:75">
      <c r="A266" s="1" t="s">
        <v>75</v>
      </c>
      <c r="B266" s="1" t="s">
        <v>446</v>
      </c>
      <c r="C266" s="1" t="s">
        <v>5481</v>
      </c>
      <c r="D266" s="1" t="s">
        <v>5482</v>
      </c>
      <c r="E266" s="1" t="s">
        <v>4707</v>
      </c>
      <c r="F266" s="1" t="s">
        <v>5483</v>
      </c>
      <c r="G266" s="1" t="s">
        <v>5484</v>
      </c>
      <c r="H266" s="1" t="s">
        <v>5485</v>
      </c>
      <c r="I266" s="1" t="s">
        <v>5486</v>
      </c>
      <c r="J266" s="1">
        <v>8600242149</v>
      </c>
      <c r="K266" s="1" t="s">
        <v>84</v>
      </c>
      <c r="L266" s="1" t="s">
        <v>5487</v>
      </c>
      <c r="M266" s="1" t="s">
        <v>86</v>
      </c>
      <c r="N266" s="1" t="s">
        <v>4972</v>
      </c>
      <c r="O266" s="1"/>
      <c r="P266" s="1" t="s">
        <v>507</v>
      </c>
      <c r="Q266" s="1" t="s">
        <v>5488</v>
      </c>
      <c r="R266" s="1" t="s">
        <v>5489</v>
      </c>
      <c r="S266" s="1">
        <v>7559482572</v>
      </c>
      <c r="T266" s="1" t="s">
        <v>125</v>
      </c>
      <c r="U266" s="1" t="s">
        <v>5490</v>
      </c>
      <c r="V266" s="1">
        <v>7030806048</v>
      </c>
      <c r="W266" s="1" t="s">
        <v>161</v>
      </c>
      <c r="X266" s="1" t="s">
        <v>5491</v>
      </c>
      <c r="Y266" s="1" t="s">
        <v>4302</v>
      </c>
      <c r="Z266" s="1" t="s">
        <v>97</v>
      </c>
      <c r="AA266" s="1" t="s">
        <v>5491</v>
      </c>
      <c r="AB266" s="1" t="s">
        <v>4302</v>
      </c>
      <c r="AC266" s="1" t="s">
        <v>97</v>
      </c>
      <c r="AD266" s="1">
        <v>8.15</v>
      </c>
      <c r="AE266" s="1" t="s">
        <v>98</v>
      </c>
      <c r="AF266" s="1" t="s">
        <v>5492</v>
      </c>
      <c r="AG266" s="1" t="s">
        <v>4979</v>
      </c>
      <c r="AH266" s="1" t="s">
        <v>388</v>
      </c>
      <c r="AI266" s="1" t="s">
        <v>171</v>
      </c>
      <c r="AJ266" s="1">
        <v>85.8</v>
      </c>
      <c r="AK266" s="1"/>
      <c r="AL266" s="1" t="s">
        <v>5493</v>
      </c>
      <c r="AM266" s="1" t="s">
        <v>4979</v>
      </c>
      <c r="AN266" s="1"/>
      <c r="AO266" s="1" t="s">
        <v>174</v>
      </c>
      <c r="AP266" s="1" t="s">
        <v>178</v>
      </c>
      <c r="AQ266" s="1">
        <v>76.15</v>
      </c>
      <c r="AR266" s="1"/>
      <c r="AS266" s="1"/>
      <c r="AT266" s="1"/>
      <c r="AU266" s="1"/>
      <c r="AV266" s="1"/>
      <c r="AW266" s="1"/>
      <c r="AX266" s="1"/>
      <c r="AY266" s="1" t="s">
        <v>258</v>
      </c>
      <c r="AZ266" s="1" t="s">
        <v>5494</v>
      </c>
      <c r="BA266" s="1"/>
      <c r="BB266" s="1"/>
      <c r="BC266" s="1" t="s">
        <v>1040</v>
      </c>
      <c r="BD266" s="1" t="s">
        <v>418</v>
      </c>
      <c r="BE266" s="1">
        <v>70.31</v>
      </c>
      <c r="BF266" s="1">
        <v>7.84</v>
      </c>
      <c r="BG266" s="1"/>
      <c r="BH266" s="1"/>
      <c r="BI266" s="1"/>
      <c r="BJ266" s="1"/>
      <c r="BK266" s="1"/>
      <c r="BL266" s="1"/>
      <c r="BM266" s="1"/>
      <c r="BN266" s="1"/>
      <c r="BO266" s="1" t="s">
        <v>5495</v>
      </c>
      <c r="BP266" s="1" t="s">
        <v>5496</v>
      </c>
      <c r="BQ266" s="1" t="s">
        <v>1043</v>
      </c>
      <c r="BR266" s="1" t="s">
        <v>5497</v>
      </c>
      <c r="BS266" s="1">
        <v>13</v>
      </c>
      <c r="BT266" s="1"/>
      <c r="BU266" s="1" t="str">
        <f>HYPERLINK("https://nconnect.nicmar.ac.in/storage/profile/ProfilePhoto_P25700257_416537.jpg","Download")</f>
        <v>0</v>
      </c>
      <c r="BV266" s="3"/>
      <c r="BW266" s="4">
        <v>1</v>
      </c>
    </row>
    <row r="267" spans="1:75">
      <c r="A267" s="1" t="s">
        <v>75</v>
      </c>
      <c r="B267" s="1" t="s">
        <v>446</v>
      </c>
      <c r="C267" s="1" t="s">
        <v>5498</v>
      </c>
      <c r="D267" s="1" t="s">
        <v>5499</v>
      </c>
      <c r="E267" s="1"/>
      <c r="F267" s="1" t="s">
        <v>1914</v>
      </c>
      <c r="G267" s="1" t="s">
        <v>5500</v>
      </c>
      <c r="H267" s="1" t="s">
        <v>5501</v>
      </c>
      <c r="I267" s="1" t="s">
        <v>5502</v>
      </c>
      <c r="J267" s="1">
        <v>9553045358</v>
      </c>
      <c r="K267" s="1" t="s">
        <v>84</v>
      </c>
      <c r="L267" s="1" t="s">
        <v>5503</v>
      </c>
      <c r="M267" s="1" t="s">
        <v>86</v>
      </c>
      <c r="N267" s="1" t="s">
        <v>5504</v>
      </c>
      <c r="O267" s="1"/>
      <c r="P267" s="1" t="s">
        <v>481</v>
      </c>
      <c r="Q267" s="1" t="s">
        <v>5505</v>
      </c>
      <c r="R267" s="1" t="s">
        <v>5506</v>
      </c>
      <c r="S267" s="1">
        <v>9491235174</v>
      </c>
      <c r="T267" s="1" t="s">
        <v>5507</v>
      </c>
      <c r="U267" s="1" t="s">
        <v>5508</v>
      </c>
      <c r="V267" s="1">
        <v>9000686105</v>
      </c>
      <c r="W267" s="1" t="s">
        <v>278</v>
      </c>
      <c r="X267" s="1" t="s">
        <v>5509</v>
      </c>
      <c r="Y267" s="1" t="s">
        <v>4048</v>
      </c>
      <c r="Z267" s="1" t="s">
        <v>461</v>
      </c>
      <c r="AA267" s="1" t="s">
        <v>5509</v>
      </c>
      <c r="AB267" s="1" t="s">
        <v>4048</v>
      </c>
      <c r="AC267" s="1" t="s">
        <v>461</v>
      </c>
      <c r="AD267" s="1">
        <v>7.85</v>
      </c>
      <c r="AE267" s="1" t="s">
        <v>98</v>
      </c>
      <c r="AF267" s="1" t="s">
        <v>5510</v>
      </c>
      <c r="AG267" s="1" t="s">
        <v>5511</v>
      </c>
      <c r="AH267" s="1" t="s">
        <v>3285</v>
      </c>
      <c r="AI267" s="1" t="s">
        <v>3965</v>
      </c>
      <c r="AJ267" s="1">
        <v>60</v>
      </c>
      <c r="AK267" s="1">
        <v>6</v>
      </c>
      <c r="AL267" s="1" t="s">
        <v>5512</v>
      </c>
      <c r="AM267" s="1" t="s">
        <v>5513</v>
      </c>
      <c r="AN267" s="1"/>
      <c r="AO267" s="1" t="s">
        <v>133</v>
      </c>
      <c r="AP267" s="1" t="s">
        <v>515</v>
      </c>
      <c r="AQ267" s="1">
        <v>81.2</v>
      </c>
      <c r="AR267" s="1"/>
      <c r="AS267" s="1"/>
      <c r="AT267" s="1"/>
      <c r="AU267" s="1"/>
      <c r="AV267" s="1"/>
      <c r="AW267" s="1"/>
      <c r="AX267" s="1"/>
      <c r="AY267" s="1" t="s">
        <v>287</v>
      </c>
      <c r="AZ267" s="1" t="s">
        <v>5514</v>
      </c>
      <c r="BA267" s="1"/>
      <c r="BB267" s="1"/>
      <c r="BC267" s="1" t="s">
        <v>5515</v>
      </c>
      <c r="BD267" s="1" t="s">
        <v>549</v>
      </c>
      <c r="BE267" s="1">
        <v>60.21</v>
      </c>
      <c r="BF267" s="1"/>
      <c r="BG267" s="1"/>
      <c r="BH267" s="1"/>
      <c r="BI267" s="1"/>
      <c r="BJ267" s="1"/>
      <c r="BK267" s="1"/>
      <c r="BL267" s="1"/>
      <c r="BM267" s="1"/>
      <c r="BN267" s="1"/>
      <c r="BO267" s="1" t="s">
        <v>1114</v>
      </c>
      <c r="BP267" s="1"/>
      <c r="BQ267" s="1"/>
      <c r="BR267" s="1" t="s">
        <v>5516</v>
      </c>
      <c r="BS267" s="1">
        <v>67</v>
      </c>
      <c r="BT267" s="1"/>
      <c r="BU267" s="1" t="str">
        <f>HYPERLINK("https://nconnect.nicmar.ac.in/storage/profile/ProfilePhoto_P25700258_493578.jpg","Download")</f>
        <v>0</v>
      </c>
      <c r="BV267" s="3"/>
      <c r="BW267" s="3"/>
    </row>
    <row r="268" spans="1:75">
      <c r="A268" s="1" t="s">
        <v>75</v>
      </c>
      <c r="B268" s="1" t="s">
        <v>446</v>
      </c>
      <c r="C268" s="1" t="s">
        <v>5517</v>
      </c>
      <c r="D268" s="1" t="s">
        <v>5518</v>
      </c>
      <c r="E268" s="1" t="s">
        <v>5519</v>
      </c>
      <c r="F268" s="1" t="s">
        <v>5520</v>
      </c>
      <c r="G268" s="1" t="s">
        <v>5521</v>
      </c>
      <c r="H268" s="1" t="s">
        <v>5522</v>
      </c>
      <c r="I268" s="1" t="s">
        <v>5523</v>
      </c>
      <c r="J268" s="1">
        <v>7382453686</v>
      </c>
      <c r="K268" s="1" t="s">
        <v>153</v>
      </c>
      <c r="L268" s="1" t="s">
        <v>5524</v>
      </c>
      <c r="M268" s="1" t="s">
        <v>86</v>
      </c>
      <c r="N268" s="1" t="s">
        <v>5525</v>
      </c>
      <c r="O268" s="1"/>
      <c r="P268" s="1" t="s">
        <v>507</v>
      </c>
      <c r="Q268" s="1" t="s">
        <v>5526</v>
      </c>
      <c r="R268" s="1" t="s">
        <v>5527</v>
      </c>
      <c r="S268" s="1">
        <v>9247328307</v>
      </c>
      <c r="T268" s="1" t="s">
        <v>5528</v>
      </c>
      <c r="U268" s="1" t="s">
        <v>5529</v>
      </c>
      <c r="V268" s="1">
        <v>8367378946</v>
      </c>
      <c r="W268" s="1" t="s">
        <v>127</v>
      </c>
      <c r="X268" s="1" t="s">
        <v>5530</v>
      </c>
      <c r="Y268" s="1" t="s">
        <v>2632</v>
      </c>
      <c r="Z268" s="1" t="s">
        <v>461</v>
      </c>
      <c r="AA268" s="1" t="s">
        <v>5531</v>
      </c>
      <c r="AB268" s="1" t="s">
        <v>2632</v>
      </c>
      <c r="AC268" s="1" t="s">
        <v>461</v>
      </c>
      <c r="AD268" s="1">
        <v>7.85</v>
      </c>
      <c r="AE268" s="1" t="s">
        <v>98</v>
      </c>
      <c r="AF268" s="1" t="s">
        <v>5532</v>
      </c>
      <c r="AG268" s="1" t="s">
        <v>463</v>
      </c>
      <c r="AH268" s="1" t="s">
        <v>135</v>
      </c>
      <c r="AI268" s="1" t="s">
        <v>342</v>
      </c>
      <c r="AJ268" s="1">
        <v>83</v>
      </c>
      <c r="AK268" s="1">
        <v>8.3</v>
      </c>
      <c r="AL268" s="1" t="s">
        <v>3033</v>
      </c>
      <c r="AM268" s="1" t="s">
        <v>3034</v>
      </c>
      <c r="AN268" s="1"/>
      <c r="AO268" s="1" t="s">
        <v>284</v>
      </c>
      <c r="AP268" s="1" t="s">
        <v>704</v>
      </c>
      <c r="AQ268" s="1">
        <v>82.5</v>
      </c>
      <c r="AR268" s="1">
        <v>8.25</v>
      </c>
      <c r="AS268" s="1"/>
      <c r="AT268" s="1"/>
      <c r="AU268" s="1"/>
      <c r="AV268" s="1"/>
      <c r="AW268" s="1"/>
      <c r="AX268" s="1"/>
      <c r="AY268" s="1" t="s">
        <v>5533</v>
      </c>
      <c r="AZ268" s="1" t="s">
        <v>5534</v>
      </c>
      <c r="BA268" s="1"/>
      <c r="BB268" s="1"/>
      <c r="BC268" s="1" t="s">
        <v>5535</v>
      </c>
      <c r="BD268" s="1" t="s">
        <v>1400</v>
      </c>
      <c r="BE268" s="1">
        <v>69</v>
      </c>
      <c r="BF268" s="1">
        <v>6.99</v>
      </c>
      <c r="BG268" s="1"/>
      <c r="BH268" s="1"/>
      <c r="BI268" s="1"/>
      <c r="BJ268" s="1"/>
      <c r="BK268" s="1"/>
      <c r="BL268" s="1"/>
      <c r="BM268" s="1"/>
      <c r="BN268" s="1"/>
      <c r="BO268" s="1" t="s">
        <v>5536</v>
      </c>
      <c r="BP268" s="1" t="s">
        <v>5537</v>
      </c>
      <c r="BQ268" s="1" t="s">
        <v>1482</v>
      </c>
      <c r="BR268" s="1" t="s">
        <v>5538</v>
      </c>
      <c r="BS268" s="1">
        <v>90</v>
      </c>
      <c r="BT268" s="1"/>
      <c r="BU268" s="1" t="str">
        <f>HYPERLINK("https://nconnect.nicmar.ac.in/storage/profile/ProfilePhoto_P25700259_153496.jpg","Download")</f>
        <v>0</v>
      </c>
      <c r="BV268" s="3"/>
      <c r="BW268" s="3"/>
    </row>
    <row r="269" spans="1:75">
      <c r="A269" s="1" t="s">
        <v>75</v>
      </c>
      <c r="B269" s="1" t="s">
        <v>446</v>
      </c>
      <c r="C269" s="1" t="s">
        <v>5539</v>
      </c>
      <c r="D269" s="1" t="s">
        <v>5540</v>
      </c>
      <c r="E269" s="1"/>
      <c r="F269" s="1" t="s">
        <v>5541</v>
      </c>
      <c r="G269" s="1" t="s">
        <v>5542</v>
      </c>
      <c r="H269" s="1" t="s">
        <v>5543</v>
      </c>
      <c r="I269" s="1" t="s">
        <v>5544</v>
      </c>
      <c r="J269" s="1">
        <v>7080247966</v>
      </c>
      <c r="K269" s="1" t="s">
        <v>84</v>
      </c>
      <c r="L269" s="1" t="s">
        <v>5545</v>
      </c>
      <c r="M269" s="1" t="s">
        <v>86</v>
      </c>
      <c r="N269" s="1" t="s">
        <v>246</v>
      </c>
      <c r="O269" s="1"/>
      <c r="P269" s="1" t="s">
        <v>1028</v>
      </c>
      <c r="Q269" s="1" t="s">
        <v>5546</v>
      </c>
      <c r="R269" s="1" t="s">
        <v>5547</v>
      </c>
      <c r="S269" s="1">
        <v>9369587129</v>
      </c>
      <c r="T269" s="1" t="s">
        <v>5548</v>
      </c>
      <c r="U269" s="1" t="s">
        <v>5549</v>
      </c>
      <c r="V269" s="1">
        <v>7380773645</v>
      </c>
      <c r="W269" s="1" t="s">
        <v>2547</v>
      </c>
      <c r="X269" s="1" t="s">
        <v>5550</v>
      </c>
      <c r="Y269" s="1" t="s">
        <v>5551</v>
      </c>
      <c r="Z269" s="1" t="s">
        <v>544</v>
      </c>
      <c r="AA269" s="1" t="s">
        <v>5550</v>
      </c>
      <c r="AB269" s="1" t="s">
        <v>5551</v>
      </c>
      <c r="AC269" s="1" t="s">
        <v>544</v>
      </c>
      <c r="AD269" s="1">
        <v>8.31</v>
      </c>
      <c r="AE269" s="1" t="s">
        <v>98</v>
      </c>
      <c r="AF269" s="1" t="s">
        <v>5552</v>
      </c>
      <c r="AG269" s="1" t="s">
        <v>5553</v>
      </c>
      <c r="AH269" s="1" t="s">
        <v>136</v>
      </c>
      <c r="AI269" s="1" t="s">
        <v>627</v>
      </c>
      <c r="AJ269" s="1">
        <v>89.3</v>
      </c>
      <c r="AK269" s="1">
        <v>9.4</v>
      </c>
      <c r="AL269" s="1" t="s">
        <v>5552</v>
      </c>
      <c r="AM269" s="1" t="s">
        <v>5553</v>
      </c>
      <c r="AN269" s="1" t="s">
        <v>465</v>
      </c>
      <c r="AO269" s="1" t="s">
        <v>573</v>
      </c>
      <c r="AP269" s="1" t="s">
        <v>171</v>
      </c>
      <c r="AQ269" s="1">
        <v>73.4</v>
      </c>
      <c r="AR269" s="1">
        <v>0</v>
      </c>
      <c r="AS269" s="1"/>
      <c r="AT269" s="1"/>
      <c r="AU269" s="1"/>
      <c r="AV269" s="1"/>
      <c r="AW269" s="1"/>
      <c r="AX269" s="1"/>
      <c r="AY269" s="1" t="s">
        <v>2090</v>
      </c>
      <c r="AZ269" s="1" t="s">
        <v>5554</v>
      </c>
      <c r="BA269" s="1" t="s">
        <v>466</v>
      </c>
      <c r="BB269" s="1" t="s">
        <v>467</v>
      </c>
      <c r="BC269" s="1" t="s">
        <v>468</v>
      </c>
      <c r="BD269" s="1" t="s">
        <v>207</v>
      </c>
      <c r="BE269" s="1">
        <v>82.8</v>
      </c>
      <c r="BF269" s="1">
        <v>8.28</v>
      </c>
      <c r="BG269" s="1"/>
      <c r="BH269" s="1"/>
      <c r="BI269" s="1"/>
      <c r="BJ269" s="1"/>
      <c r="BK269" s="1"/>
      <c r="BL269" s="1"/>
      <c r="BM269" s="1"/>
      <c r="BN269" s="1"/>
      <c r="BO269" s="1" t="s">
        <v>1114</v>
      </c>
      <c r="BP269" s="1"/>
      <c r="BQ269" s="1"/>
      <c r="BR269" s="1" t="s">
        <v>5555</v>
      </c>
      <c r="BS269" s="1">
        <v>14</v>
      </c>
      <c r="BT269" s="1"/>
      <c r="BU269" s="1" t="str">
        <f>HYPERLINK("https://nconnect.nicmar.ac.in/storage/profile/ProfilePhoto_P25700260_867251.jpg","Download")</f>
        <v>0</v>
      </c>
      <c r="BV269" s="3"/>
      <c r="BW269" s="3"/>
    </row>
    <row r="270" spans="1:75">
      <c r="A270" s="1" t="s">
        <v>75</v>
      </c>
      <c r="B270" s="1" t="s">
        <v>446</v>
      </c>
      <c r="C270" s="1" t="s">
        <v>5556</v>
      </c>
      <c r="D270" s="1" t="s">
        <v>5557</v>
      </c>
      <c r="E270" s="1"/>
      <c r="F270" s="1" t="s">
        <v>5558</v>
      </c>
      <c r="G270" s="1" t="s">
        <v>5559</v>
      </c>
      <c r="H270" s="1" t="s">
        <v>5560</v>
      </c>
      <c r="I270" s="1" t="s">
        <v>5561</v>
      </c>
      <c r="J270" s="1">
        <v>7897715939</v>
      </c>
      <c r="K270" s="1" t="s">
        <v>84</v>
      </c>
      <c r="L270" s="1" t="s">
        <v>5562</v>
      </c>
      <c r="M270" s="1" t="s">
        <v>86</v>
      </c>
      <c r="N270" s="1" t="s">
        <v>4278</v>
      </c>
      <c r="O270" s="1"/>
      <c r="P270" s="1" t="s">
        <v>507</v>
      </c>
      <c r="Q270" s="1" t="s">
        <v>5563</v>
      </c>
      <c r="R270" s="1" t="s">
        <v>5564</v>
      </c>
      <c r="S270" s="1">
        <v>9336053495</v>
      </c>
      <c r="T270" s="1" t="s">
        <v>125</v>
      </c>
      <c r="U270" s="1" t="s">
        <v>5565</v>
      </c>
      <c r="V270" s="1">
        <v>8840774313</v>
      </c>
      <c r="W270" s="1" t="s">
        <v>125</v>
      </c>
      <c r="X270" s="1" t="s">
        <v>5566</v>
      </c>
      <c r="Y270" s="1" t="s">
        <v>1059</v>
      </c>
      <c r="Z270" s="1" t="s">
        <v>544</v>
      </c>
      <c r="AA270" s="1" t="s">
        <v>5566</v>
      </c>
      <c r="AB270" s="1" t="s">
        <v>1059</v>
      </c>
      <c r="AC270" s="1" t="s">
        <v>544</v>
      </c>
      <c r="AD270" s="1">
        <v>7.85</v>
      </c>
      <c r="AE270" s="1" t="s">
        <v>98</v>
      </c>
      <c r="AF270" s="1" t="s">
        <v>5567</v>
      </c>
      <c r="AG270" s="1" t="s">
        <v>5568</v>
      </c>
      <c r="AH270" s="1" t="s">
        <v>1110</v>
      </c>
      <c r="AI270" s="1" t="s">
        <v>627</v>
      </c>
      <c r="AJ270" s="1">
        <v>78.16</v>
      </c>
      <c r="AK270" s="1">
        <v>8.22</v>
      </c>
      <c r="AL270" s="1" t="s">
        <v>3399</v>
      </c>
      <c r="AM270" s="1" t="s">
        <v>5569</v>
      </c>
      <c r="AN270" s="1" t="s">
        <v>465</v>
      </c>
      <c r="AO270" s="1" t="s">
        <v>704</v>
      </c>
      <c r="AP270" s="1" t="s">
        <v>171</v>
      </c>
      <c r="AQ270" s="1">
        <v>70.66</v>
      </c>
      <c r="AR270" s="1">
        <v>7.43</v>
      </c>
      <c r="AS270" s="1"/>
      <c r="AT270" s="1"/>
      <c r="AU270" s="1"/>
      <c r="AV270" s="1"/>
      <c r="AW270" s="1"/>
      <c r="AX270" s="1"/>
      <c r="AY270" s="1" t="s">
        <v>2614</v>
      </c>
      <c r="AZ270" s="1" t="s">
        <v>5570</v>
      </c>
      <c r="BA270" s="1" t="s">
        <v>466</v>
      </c>
      <c r="BB270" s="1" t="s">
        <v>467</v>
      </c>
      <c r="BC270" s="1" t="s">
        <v>171</v>
      </c>
      <c r="BD270" s="1" t="s">
        <v>632</v>
      </c>
      <c r="BE270" s="1">
        <v>80.6</v>
      </c>
      <c r="BF270" s="1">
        <v>8.06</v>
      </c>
      <c r="BG270" s="1"/>
      <c r="BH270" s="1"/>
      <c r="BI270" s="1"/>
      <c r="BJ270" s="1"/>
      <c r="BK270" s="1"/>
      <c r="BL270" s="1"/>
      <c r="BM270" s="1"/>
      <c r="BN270" s="1"/>
      <c r="BO270" s="1" t="s">
        <v>1114</v>
      </c>
      <c r="BP270" s="1" t="s">
        <v>5571</v>
      </c>
      <c r="BQ270" s="1" t="s">
        <v>471</v>
      </c>
      <c r="BR270" s="1" t="s">
        <v>5572</v>
      </c>
      <c r="BS270" s="1">
        <v>53</v>
      </c>
      <c r="BT270" s="1"/>
      <c r="BU270" s="1" t="str">
        <f>HYPERLINK("https://nconnect.nicmar.ac.in/storage/profile/ProfilePhoto_P25700261_127954.jpg","Download")</f>
        <v>0</v>
      </c>
      <c r="BV270" s="3"/>
      <c r="BW270" s="3"/>
    </row>
    <row r="271" spans="1:75">
      <c r="A271" s="1" t="s">
        <v>75</v>
      </c>
      <c r="B271" s="1" t="s">
        <v>446</v>
      </c>
      <c r="C271" s="1" t="s">
        <v>5573</v>
      </c>
      <c r="D271" s="1" t="s">
        <v>5574</v>
      </c>
      <c r="E271" s="1" t="s">
        <v>5575</v>
      </c>
      <c r="F271" s="1" t="s">
        <v>5576</v>
      </c>
      <c r="G271" s="1" t="s">
        <v>5577</v>
      </c>
      <c r="H271" s="1" t="s">
        <v>5578</v>
      </c>
      <c r="I271" s="1" t="s">
        <v>5579</v>
      </c>
      <c r="J271" s="1">
        <v>7030108300</v>
      </c>
      <c r="K271" s="1" t="s">
        <v>84</v>
      </c>
      <c r="L271" s="1" t="s">
        <v>5580</v>
      </c>
      <c r="M271" s="1" t="s">
        <v>86</v>
      </c>
      <c r="N271" s="1" t="s">
        <v>3568</v>
      </c>
      <c r="O271" s="1"/>
      <c r="P271" s="1" t="s">
        <v>507</v>
      </c>
      <c r="Q271" s="1" t="s">
        <v>5581</v>
      </c>
      <c r="R271" s="1" t="s">
        <v>5575</v>
      </c>
      <c r="S271" s="1">
        <v>9049759321</v>
      </c>
      <c r="T271" s="1" t="s">
        <v>5582</v>
      </c>
      <c r="U271" s="1" t="s">
        <v>2435</v>
      </c>
      <c r="V271" s="1">
        <v>8554922487</v>
      </c>
      <c r="W271" s="1" t="s">
        <v>541</v>
      </c>
      <c r="X271" s="1" t="s">
        <v>5583</v>
      </c>
      <c r="Y271" s="1" t="s">
        <v>5584</v>
      </c>
      <c r="Z271" s="1" t="s">
        <v>97</v>
      </c>
      <c r="AA271" s="1" t="s">
        <v>5583</v>
      </c>
      <c r="AB271" s="1" t="s">
        <v>5584</v>
      </c>
      <c r="AC271" s="1" t="s">
        <v>97</v>
      </c>
      <c r="AD271" s="1">
        <v>8.95</v>
      </c>
      <c r="AE271" s="1" t="s">
        <v>98</v>
      </c>
      <c r="AF271" s="1" t="s">
        <v>5585</v>
      </c>
      <c r="AG271" s="1" t="s">
        <v>165</v>
      </c>
      <c r="AH271" s="1" t="s">
        <v>167</v>
      </c>
      <c r="AI271" s="1" t="s">
        <v>170</v>
      </c>
      <c r="AJ271" s="1">
        <v>72.6</v>
      </c>
      <c r="AK271" s="1"/>
      <c r="AL271" s="1" t="s">
        <v>5586</v>
      </c>
      <c r="AM271" s="1" t="s">
        <v>165</v>
      </c>
      <c r="AN271" s="1" t="s">
        <v>575</v>
      </c>
      <c r="AO271" s="1" t="s">
        <v>171</v>
      </c>
      <c r="AP271" s="1" t="s">
        <v>313</v>
      </c>
      <c r="AQ271" s="1">
        <v>58</v>
      </c>
      <c r="AR271" s="1"/>
      <c r="AS271" s="1" t="s">
        <v>103</v>
      </c>
      <c r="AT271" s="1" t="s">
        <v>5587</v>
      </c>
      <c r="AU271" s="1" t="s">
        <v>206</v>
      </c>
      <c r="AV271" s="1" t="s">
        <v>441</v>
      </c>
      <c r="AW271" s="1">
        <v>87.84</v>
      </c>
      <c r="AX271" s="1"/>
      <c r="AY271" s="1" t="s">
        <v>415</v>
      </c>
      <c r="AZ271" s="1" t="s">
        <v>5588</v>
      </c>
      <c r="BA271" s="1" t="s">
        <v>466</v>
      </c>
      <c r="BB271" s="1" t="s">
        <v>467</v>
      </c>
      <c r="BC271" s="1" t="s">
        <v>606</v>
      </c>
      <c r="BD271" s="1" t="s">
        <v>207</v>
      </c>
      <c r="BE271" s="1">
        <v>84.7</v>
      </c>
      <c r="BF271" s="1">
        <v>9.22</v>
      </c>
      <c r="BG271" s="1"/>
      <c r="BH271" s="1"/>
      <c r="BI271" s="1"/>
      <c r="BJ271" s="1"/>
      <c r="BK271" s="1"/>
      <c r="BL271" s="1"/>
      <c r="BM271" s="1"/>
      <c r="BN271" s="1"/>
      <c r="BO271" s="1" t="s">
        <v>5589</v>
      </c>
      <c r="BP271" s="1"/>
      <c r="BQ271" s="1"/>
      <c r="BR271" s="1" t="s">
        <v>5590</v>
      </c>
      <c r="BS271" s="1">
        <v>34</v>
      </c>
      <c r="BT271" s="1"/>
      <c r="BU271" s="1" t="str">
        <f>HYPERLINK("https://nconnect.nicmar.ac.in/storage/profile/ProfilePhoto_P25700262_867913.jpg","Download")</f>
        <v>0</v>
      </c>
      <c r="BV271" s="3"/>
      <c r="BW271" s="3"/>
    </row>
    <row r="272" spans="1:75">
      <c r="A272" s="1" t="s">
        <v>75</v>
      </c>
      <c r="B272" s="1" t="s">
        <v>446</v>
      </c>
      <c r="C272" s="1" t="s">
        <v>5591</v>
      </c>
      <c r="D272" s="1" t="s">
        <v>5592</v>
      </c>
      <c r="E272" s="1" t="s">
        <v>5593</v>
      </c>
      <c r="F272" s="1" t="s">
        <v>5594</v>
      </c>
      <c r="G272" s="1" t="s">
        <v>5595</v>
      </c>
      <c r="H272" s="1" t="s">
        <v>5596</v>
      </c>
      <c r="I272" s="1" t="s">
        <v>5597</v>
      </c>
      <c r="J272" s="1">
        <v>8600550575</v>
      </c>
      <c r="K272" s="1" t="s">
        <v>84</v>
      </c>
      <c r="L272" s="1" t="s">
        <v>5598</v>
      </c>
      <c r="M272" s="1" t="s">
        <v>86</v>
      </c>
      <c r="N272" s="1" t="s">
        <v>5599</v>
      </c>
      <c r="O272" s="1"/>
      <c r="P272" s="1" t="s">
        <v>481</v>
      </c>
      <c r="Q272" s="1" t="s">
        <v>5600</v>
      </c>
      <c r="R272" s="1" t="s">
        <v>5593</v>
      </c>
      <c r="S272" s="1">
        <v>9823242722</v>
      </c>
      <c r="T272" s="1" t="s">
        <v>839</v>
      </c>
      <c r="U272" s="1" t="s">
        <v>5601</v>
      </c>
      <c r="V272" s="1">
        <v>9764326323</v>
      </c>
      <c r="W272" s="1" t="s">
        <v>127</v>
      </c>
      <c r="X272" s="1" t="s">
        <v>5602</v>
      </c>
      <c r="Y272" s="1" t="s">
        <v>163</v>
      </c>
      <c r="Z272" s="1" t="s">
        <v>97</v>
      </c>
      <c r="AA272" s="1" t="s">
        <v>5602</v>
      </c>
      <c r="AB272" s="1" t="s">
        <v>163</v>
      </c>
      <c r="AC272" s="1" t="s">
        <v>97</v>
      </c>
      <c r="AD272" s="1">
        <v>7.82</v>
      </c>
      <c r="AE272" s="1" t="s">
        <v>98</v>
      </c>
      <c r="AF272" s="1" t="s">
        <v>5603</v>
      </c>
      <c r="AG272" s="1" t="s">
        <v>5604</v>
      </c>
      <c r="AH272" s="1" t="s">
        <v>166</v>
      </c>
      <c r="AI272" s="1" t="s">
        <v>573</v>
      </c>
      <c r="AJ272" s="1">
        <v>62.2</v>
      </c>
      <c r="AK272" s="1"/>
      <c r="AL272" s="1" t="s">
        <v>3033</v>
      </c>
      <c r="AM272" s="1" t="s">
        <v>5605</v>
      </c>
      <c r="AN272" s="1" t="s">
        <v>465</v>
      </c>
      <c r="AO272" s="1" t="s">
        <v>170</v>
      </c>
      <c r="AP272" s="1" t="s">
        <v>313</v>
      </c>
      <c r="AQ272" s="1">
        <v>70.7</v>
      </c>
      <c r="AR272" s="1"/>
      <c r="AS272" s="1"/>
      <c r="AT272" s="1"/>
      <c r="AU272" s="1"/>
      <c r="AV272" s="1"/>
      <c r="AW272" s="1"/>
      <c r="AX272" s="1"/>
      <c r="AY272" s="1" t="s">
        <v>5606</v>
      </c>
      <c r="AZ272" s="1" t="s">
        <v>5607</v>
      </c>
      <c r="BA272" s="1" t="s">
        <v>466</v>
      </c>
      <c r="BB272" s="1" t="s">
        <v>467</v>
      </c>
      <c r="BC272" s="1" t="s">
        <v>313</v>
      </c>
      <c r="BD272" s="1" t="s">
        <v>955</v>
      </c>
      <c r="BE272" s="1">
        <v>79.2</v>
      </c>
      <c r="BF272" s="1">
        <v>7.92</v>
      </c>
      <c r="BG272" s="1"/>
      <c r="BH272" s="1"/>
      <c r="BI272" s="1"/>
      <c r="BJ272" s="1"/>
      <c r="BK272" s="1"/>
      <c r="BL272" s="1"/>
      <c r="BM272" s="1"/>
      <c r="BN272" s="1"/>
      <c r="BO272" s="1" t="s">
        <v>734</v>
      </c>
      <c r="BP272" s="1"/>
      <c r="BQ272" s="1"/>
      <c r="BR272" s="1" t="s">
        <v>5608</v>
      </c>
      <c r="BS272" s="1">
        <v>9</v>
      </c>
      <c r="BT272" s="1" t="s">
        <v>5609</v>
      </c>
      <c r="BU272" s="1" t="str">
        <f>HYPERLINK("https://nconnect.nicmar.ac.in/storage/profile/ProfilePhoto_P25700263_426175.jpg","Download")</f>
        <v>0</v>
      </c>
      <c r="BV272" s="3"/>
      <c r="BW272" s="3"/>
    </row>
    <row r="273" spans="1:75">
      <c r="A273" s="1" t="s">
        <v>75</v>
      </c>
      <c r="B273" s="1" t="s">
        <v>446</v>
      </c>
      <c r="C273" s="1" t="s">
        <v>5610</v>
      </c>
      <c r="D273" s="1" t="s">
        <v>5611</v>
      </c>
      <c r="E273" s="1" t="s">
        <v>1320</v>
      </c>
      <c r="F273" s="1" t="s">
        <v>5612</v>
      </c>
      <c r="G273" s="1" t="s">
        <v>5613</v>
      </c>
      <c r="H273" s="1" t="s">
        <v>5614</v>
      </c>
      <c r="I273" s="1" t="s">
        <v>5615</v>
      </c>
      <c r="J273" s="1">
        <v>9479765927</v>
      </c>
      <c r="K273" s="1" t="s">
        <v>84</v>
      </c>
      <c r="L273" s="1" t="s">
        <v>5616</v>
      </c>
      <c r="M273" s="1" t="s">
        <v>86</v>
      </c>
      <c r="N273" s="1" t="s">
        <v>355</v>
      </c>
      <c r="O273" s="1"/>
      <c r="P273" s="1" t="s">
        <v>455</v>
      </c>
      <c r="Q273" s="1" t="s">
        <v>5617</v>
      </c>
      <c r="R273" s="1" t="s">
        <v>5618</v>
      </c>
      <c r="S273" s="1">
        <v>9340086527</v>
      </c>
      <c r="T273" s="1" t="s">
        <v>1104</v>
      </c>
      <c r="U273" s="1" t="s">
        <v>5619</v>
      </c>
      <c r="V273" s="1">
        <v>9425866008</v>
      </c>
      <c r="W273" s="1" t="s">
        <v>5620</v>
      </c>
      <c r="X273" s="1" t="s">
        <v>5621</v>
      </c>
      <c r="Y273" s="1" t="s">
        <v>5622</v>
      </c>
      <c r="Z273" s="1" t="s">
        <v>3419</v>
      </c>
      <c r="AA273" s="1" t="s">
        <v>5621</v>
      </c>
      <c r="AB273" s="1" t="s">
        <v>5622</v>
      </c>
      <c r="AC273" s="1" t="s">
        <v>3419</v>
      </c>
      <c r="AD273" s="1">
        <v>8.54</v>
      </c>
      <c r="AE273" s="1" t="s">
        <v>98</v>
      </c>
      <c r="AF273" s="1" t="s">
        <v>5623</v>
      </c>
      <c r="AG273" s="1" t="s">
        <v>5624</v>
      </c>
      <c r="AH273" s="1" t="s">
        <v>286</v>
      </c>
      <c r="AI273" s="1" t="s">
        <v>313</v>
      </c>
      <c r="AJ273" s="1">
        <v>86</v>
      </c>
      <c r="AK273" s="1"/>
      <c r="AL273" s="1" t="s">
        <v>5623</v>
      </c>
      <c r="AM273" s="1" t="s">
        <v>5624</v>
      </c>
      <c r="AN273" s="1"/>
      <c r="AO273" s="1" t="s">
        <v>603</v>
      </c>
      <c r="AP273" s="1" t="s">
        <v>549</v>
      </c>
      <c r="AQ273" s="1">
        <v>79.4</v>
      </c>
      <c r="AR273" s="1"/>
      <c r="AS273" s="1"/>
      <c r="AT273" s="1"/>
      <c r="AU273" s="1"/>
      <c r="AV273" s="1"/>
      <c r="AW273" s="1"/>
      <c r="AX273" s="1"/>
      <c r="AY273" s="1" t="s">
        <v>5625</v>
      </c>
      <c r="AZ273" s="1" t="s">
        <v>5626</v>
      </c>
      <c r="BA273" s="1"/>
      <c r="BB273" s="1"/>
      <c r="BC273" s="1" t="s">
        <v>606</v>
      </c>
      <c r="BD273" s="1" t="s">
        <v>1401</v>
      </c>
      <c r="BE273" s="1">
        <v>71.7</v>
      </c>
      <c r="BF273" s="1">
        <v>7.17</v>
      </c>
      <c r="BG273" s="1"/>
      <c r="BH273" s="1"/>
      <c r="BI273" s="1"/>
      <c r="BJ273" s="1"/>
      <c r="BK273" s="1"/>
      <c r="BL273" s="1"/>
      <c r="BM273" s="1"/>
      <c r="BN273" s="1"/>
      <c r="BO273" s="1" t="s">
        <v>5627</v>
      </c>
      <c r="BP273" s="1"/>
      <c r="BQ273" s="1"/>
      <c r="BR273" s="1" t="s">
        <v>5628</v>
      </c>
      <c r="BS273" s="1">
        <v>37</v>
      </c>
      <c r="BT273" s="1"/>
      <c r="BU273" s="1" t="str">
        <f>HYPERLINK("https://nconnect.nicmar.ac.in/storage/profile/ProfilePhoto_P25700264_328496.jpg","Download")</f>
        <v>0</v>
      </c>
      <c r="BV273" s="3"/>
      <c r="BW273" s="3"/>
    </row>
    <row r="274" spans="1:75">
      <c r="A274" s="1" t="s">
        <v>75</v>
      </c>
      <c r="B274" s="1" t="s">
        <v>446</v>
      </c>
      <c r="C274" s="1" t="s">
        <v>5629</v>
      </c>
      <c r="D274" s="1" t="s">
        <v>5630</v>
      </c>
      <c r="E274" s="1" t="s">
        <v>530</v>
      </c>
      <c r="F274" s="1" t="s">
        <v>5631</v>
      </c>
      <c r="G274" s="1" t="s">
        <v>5632</v>
      </c>
      <c r="H274" s="1" t="s">
        <v>5633</v>
      </c>
      <c r="I274" s="1" t="s">
        <v>5634</v>
      </c>
      <c r="J274" s="1">
        <v>9713130520</v>
      </c>
      <c r="K274" s="1" t="s">
        <v>84</v>
      </c>
      <c r="L274" s="1" t="s">
        <v>1430</v>
      </c>
      <c r="M274" s="1" t="s">
        <v>86</v>
      </c>
      <c r="N274" s="1" t="s">
        <v>4278</v>
      </c>
      <c r="O274" s="1"/>
      <c r="P274" s="1" t="s">
        <v>455</v>
      </c>
      <c r="Q274" s="1" t="s">
        <v>5635</v>
      </c>
      <c r="R274" s="1" t="s">
        <v>5636</v>
      </c>
      <c r="S274" s="1">
        <v>8305210964</v>
      </c>
      <c r="T274" s="1" t="s">
        <v>5637</v>
      </c>
      <c r="U274" s="1" t="s">
        <v>5638</v>
      </c>
      <c r="V274" s="1">
        <v>9981668101</v>
      </c>
      <c r="W274" s="1" t="s">
        <v>5639</v>
      </c>
      <c r="X274" s="1" t="s">
        <v>5640</v>
      </c>
      <c r="Y274" s="1" t="s">
        <v>5641</v>
      </c>
      <c r="Z274" s="1" t="s">
        <v>3419</v>
      </c>
      <c r="AA274" s="1" t="s">
        <v>5640</v>
      </c>
      <c r="AB274" s="1" t="s">
        <v>5641</v>
      </c>
      <c r="AC274" s="1" t="s">
        <v>3419</v>
      </c>
      <c r="AD274" s="1">
        <v>7.79</v>
      </c>
      <c r="AE274" s="1" t="s">
        <v>98</v>
      </c>
      <c r="AF274" s="1" t="s">
        <v>5642</v>
      </c>
      <c r="AG274" s="1" t="s">
        <v>5643</v>
      </c>
      <c r="AH274" s="1" t="s">
        <v>339</v>
      </c>
      <c r="AI274" s="1" t="s">
        <v>313</v>
      </c>
      <c r="AJ274" s="1">
        <v>62.2</v>
      </c>
      <c r="AK274" s="1"/>
      <c r="AL274" s="1" t="s">
        <v>5644</v>
      </c>
      <c r="AM274" s="1" t="s">
        <v>5645</v>
      </c>
      <c r="AN274" s="1" t="s">
        <v>465</v>
      </c>
      <c r="AO274" s="1" t="s">
        <v>315</v>
      </c>
      <c r="AP274" s="1" t="s">
        <v>549</v>
      </c>
      <c r="AQ274" s="1">
        <v>62.2</v>
      </c>
      <c r="AR274" s="1"/>
      <c r="AS274" s="1"/>
      <c r="AT274" s="1"/>
      <c r="AU274" s="1"/>
      <c r="AV274" s="1"/>
      <c r="AW274" s="1"/>
      <c r="AX274" s="1"/>
      <c r="AY274" s="1" t="s">
        <v>5646</v>
      </c>
      <c r="AZ274" s="1" t="s">
        <v>5647</v>
      </c>
      <c r="BA274" s="1" t="s">
        <v>466</v>
      </c>
      <c r="BB274" s="1" t="s">
        <v>467</v>
      </c>
      <c r="BC274" s="1" t="s">
        <v>552</v>
      </c>
      <c r="BD274" s="1" t="s">
        <v>848</v>
      </c>
      <c r="BE274" s="1">
        <v>70.9</v>
      </c>
      <c r="BF274" s="1">
        <v>7.09</v>
      </c>
      <c r="BG274" s="1"/>
      <c r="BH274" s="1"/>
      <c r="BI274" s="1"/>
      <c r="BJ274" s="1"/>
      <c r="BK274" s="1"/>
      <c r="BL274" s="1"/>
      <c r="BM274" s="1"/>
      <c r="BN274" s="1"/>
      <c r="BO274" s="1" t="s">
        <v>1114</v>
      </c>
      <c r="BP274" s="1"/>
      <c r="BQ274" s="1"/>
      <c r="BR274" s="1" t="s">
        <v>5648</v>
      </c>
      <c r="BS274" s="1">
        <v>30</v>
      </c>
      <c r="BT274" s="1"/>
      <c r="BU274" s="1" t="str">
        <f>HYPERLINK("https://nconnect.nicmar.ac.in/storage/profile/ProfilePhoto_P25700265_158934.jpg","Download")</f>
        <v>0</v>
      </c>
      <c r="BV274" s="3"/>
      <c r="BW274" s="3"/>
    </row>
    <row r="275" spans="1:75">
      <c r="A275" s="1" t="s">
        <v>75</v>
      </c>
      <c r="B275" s="1" t="s">
        <v>446</v>
      </c>
      <c r="C275" s="1" t="s">
        <v>5649</v>
      </c>
      <c r="D275" s="1" t="s">
        <v>5365</v>
      </c>
      <c r="E275" s="1" t="s">
        <v>3042</v>
      </c>
      <c r="F275" s="1" t="s">
        <v>5650</v>
      </c>
      <c r="G275" s="1" t="s">
        <v>5651</v>
      </c>
      <c r="H275" s="1" t="s">
        <v>5652</v>
      </c>
      <c r="I275" s="1" t="s">
        <v>5653</v>
      </c>
      <c r="J275" s="1">
        <v>8669054183</v>
      </c>
      <c r="K275" s="1" t="s">
        <v>153</v>
      </c>
      <c r="L275" s="1" t="s">
        <v>5654</v>
      </c>
      <c r="M275" s="1" t="s">
        <v>86</v>
      </c>
      <c r="N275" s="1" t="s">
        <v>768</v>
      </c>
      <c r="O275" s="1"/>
      <c r="P275" s="1" t="s">
        <v>2021</v>
      </c>
      <c r="Q275" s="1" t="s">
        <v>5655</v>
      </c>
      <c r="R275" s="1" t="s">
        <v>5656</v>
      </c>
      <c r="S275" s="1">
        <v>8530777150</v>
      </c>
      <c r="T275" s="1" t="s">
        <v>98</v>
      </c>
      <c r="U275" s="1" t="s">
        <v>5657</v>
      </c>
      <c r="V275" s="1">
        <v>8530777150</v>
      </c>
      <c r="W275" s="1" t="s">
        <v>161</v>
      </c>
      <c r="X275" s="1" t="s">
        <v>5658</v>
      </c>
      <c r="Y275" s="1" t="s">
        <v>5659</v>
      </c>
      <c r="Z275" s="1" t="s">
        <v>97</v>
      </c>
      <c r="AA275" s="1" t="s">
        <v>5658</v>
      </c>
      <c r="AB275" s="1" t="s">
        <v>5659</v>
      </c>
      <c r="AC275" s="1" t="s">
        <v>97</v>
      </c>
      <c r="AD275" s="1">
        <v>8.49</v>
      </c>
      <c r="AE275" s="1" t="s">
        <v>98</v>
      </c>
      <c r="AF275" s="1" t="s">
        <v>5660</v>
      </c>
      <c r="AG275" s="1" t="s">
        <v>5661</v>
      </c>
      <c r="AH275" s="1" t="s">
        <v>170</v>
      </c>
      <c r="AI275" s="1" t="s">
        <v>106</v>
      </c>
      <c r="AJ275" s="1">
        <v>79.6</v>
      </c>
      <c r="AK275" s="1"/>
      <c r="AL275" s="1"/>
      <c r="AM275" s="1"/>
      <c r="AN275" s="1"/>
      <c r="AO275" s="1"/>
      <c r="AP275" s="1"/>
      <c r="AQ275" s="1"/>
      <c r="AR275" s="1"/>
      <c r="AS275" s="1" t="s">
        <v>439</v>
      </c>
      <c r="AT275" s="1" t="s">
        <v>5662</v>
      </c>
      <c r="AU275" s="1" t="s">
        <v>174</v>
      </c>
      <c r="AV275" s="1" t="s">
        <v>441</v>
      </c>
      <c r="AW275" s="1">
        <v>91.42</v>
      </c>
      <c r="AX275" s="1"/>
      <c r="AY275" s="1" t="s">
        <v>366</v>
      </c>
      <c r="AZ275" s="1" t="s">
        <v>5663</v>
      </c>
      <c r="BA275" s="1" t="s">
        <v>578</v>
      </c>
      <c r="BB275" s="1" t="s">
        <v>467</v>
      </c>
      <c r="BC275" s="1" t="s">
        <v>552</v>
      </c>
      <c r="BD275" s="1" t="s">
        <v>207</v>
      </c>
      <c r="BE275" s="1">
        <v>80.92</v>
      </c>
      <c r="BF275" s="1">
        <v>9.05</v>
      </c>
      <c r="BG275" s="1"/>
      <c r="BH275" s="1"/>
      <c r="BI275" s="1"/>
      <c r="BJ275" s="1"/>
      <c r="BK275" s="1"/>
      <c r="BL275" s="1"/>
      <c r="BM275" s="1"/>
      <c r="BN275" s="1"/>
      <c r="BO275" s="1" t="s">
        <v>5664</v>
      </c>
      <c r="BP275" s="1"/>
      <c r="BQ275" s="1"/>
      <c r="BR275" s="1" t="s">
        <v>5665</v>
      </c>
      <c r="BS275" s="1">
        <v>39</v>
      </c>
      <c r="BT275" s="1" t="s">
        <v>5666</v>
      </c>
      <c r="BU275" s="1" t="str">
        <f>HYPERLINK("https://nconnect.nicmar.ac.in/storage/profile/ProfilePhoto_P25700266_297863.jpg","Download")</f>
        <v>0</v>
      </c>
      <c r="BV275" s="3"/>
      <c r="BW275" s="4">
        <v>1</v>
      </c>
    </row>
    <row r="276" spans="1:75">
      <c r="A276" s="1" t="s">
        <v>75</v>
      </c>
      <c r="B276" s="1" t="s">
        <v>446</v>
      </c>
      <c r="C276" s="1" t="s">
        <v>5667</v>
      </c>
      <c r="D276" s="1" t="s">
        <v>1893</v>
      </c>
      <c r="E276" s="1" t="s">
        <v>5668</v>
      </c>
      <c r="F276" s="1" t="s">
        <v>5669</v>
      </c>
      <c r="G276" s="1" t="s">
        <v>5670</v>
      </c>
      <c r="H276" s="1" t="s">
        <v>5671</v>
      </c>
      <c r="I276" s="1" t="s">
        <v>5672</v>
      </c>
      <c r="J276" s="1">
        <v>8485054025</v>
      </c>
      <c r="K276" s="1" t="s">
        <v>84</v>
      </c>
      <c r="L276" s="1" t="s">
        <v>5673</v>
      </c>
      <c r="M276" s="1" t="s">
        <v>86</v>
      </c>
      <c r="N276" s="1" t="s">
        <v>618</v>
      </c>
      <c r="O276" s="1"/>
      <c r="P276" s="1" t="s">
        <v>455</v>
      </c>
      <c r="Q276" s="1" t="s">
        <v>5674</v>
      </c>
      <c r="R276" s="1" t="s">
        <v>5668</v>
      </c>
      <c r="S276" s="1">
        <v>9422256949</v>
      </c>
      <c r="T276" s="1" t="s">
        <v>5675</v>
      </c>
      <c r="U276" s="1" t="s">
        <v>2435</v>
      </c>
      <c r="V276" s="1">
        <v>9420690320</v>
      </c>
      <c r="W276" s="1" t="s">
        <v>127</v>
      </c>
      <c r="X276" s="1" t="s">
        <v>5676</v>
      </c>
      <c r="Y276" s="1" t="s">
        <v>910</v>
      </c>
      <c r="Z276" s="1" t="s">
        <v>97</v>
      </c>
      <c r="AA276" s="1" t="s">
        <v>5676</v>
      </c>
      <c r="AB276" s="1" t="s">
        <v>910</v>
      </c>
      <c r="AC276" s="1" t="s">
        <v>97</v>
      </c>
      <c r="AD276" s="1">
        <v>7.67</v>
      </c>
      <c r="AE276" s="1" t="s">
        <v>98</v>
      </c>
      <c r="AF276" s="1" t="s">
        <v>5677</v>
      </c>
      <c r="AG276" s="1" t="s">
        <v>996</v>
      </c>
      <c r="AH276" s="1" t="s">
        <v>170</v>
      </c>
      <c r="AI276" s="1" t="s">
        <v>286</v>
      </c>
      <c r="AJ276" s="1">
        <v>87</v>
      </c>
      <c r="AK276" s="1"/>
      <c r="AL276" s="1" t="s">
        <v>5678</v>
      </c>
      <c r="AM276" s="1" t="s">
        <v>996</v>
      </c>
      <c r="AN276" s="1" t="s">
        <v>575</v>
      </c>
      <c r="AO276" s="1" t="s">
        <v>438</v>
      </c>
      <c r="AP276" s="1" t="s">
        <v>365</v>
      </c>
      <c r="AQ276" s="1">
        <v>80.15</v>
      </c>
      <c r="AR276" s="1"/>
      <c r="AS276" s="1"/>
      <c r="AT276" s="1"/>
      <c r="AU276" s="1"/>
      <c r="AV276" s="1"/>
      <c r="AW276" s="1"/>
      <c r="AX276" s="1"/>
      <c r="AY276" s="1" t="s">
        <v>366</v>
      </c>
      <c r="AZ276" s="1" t="s">
        <v>5679</v>
      </c>
      <c r="BA276" s="1" t="s">
        <v>466</v>
      </c>
      <c r="BB276" s="1" t="s">
        <v>467</v>
      </c>
      <c r="BC276" s="1" t="s">
        <v>368</v>
      </c>
      <c r="BD276" s="1" t="s">
        <v>418</v>
      </c>
      <c r="BE276" s="1">
        <v>84.17</v>
      </c>
      <c r="BF276" s="1">
        <v>8.86</v>
      </c>
      <c r="BG276" s="1"/>
      <c r="BH276" s="1"/>
      <c r="BI276" s="1"/>
      <c r="BJ276" s="1"/>
      <c r="BK276" s="1"/>
      <c r="BL276" s="1"/>
      <c r="BM276" s="1"/>
      <c r="BN276" s="1"/>
      <c r="BO276" s="1" t="s">
        <v>5680</v>
      </c>
      <c r="BP276" s="1"/>
      <c r="BQ276" s="1"/>
      <c r="BR276" s="1" t="s">
        <v>5681</v>
      </c>
      <c r="BS276" s="1">
        <v>28</v>
      </c>
      <c r="BT276" s="1" t="s">
        <v>5682</v>
      </c>
      <c r="BU276" s="1" t="str">
        <f>HYPERLINK("https://nconnect.nicmar.ac.in/storage/profile/ProfilePhoto_P25700267_286547.jpg","Download")</f>
        <v>0</v>
      </c>
      <c r="BV276" s="3"/>
      <c r="BW276" s="3"/>
    </row>
    <row r="277" spans="1:75">
      <c r="A277" s="1" t="s">
        <v>75</v>
      </c>
      <c r="B277" s="1" t="s">
        <v>446</v>
      </c>
      <c r="C277" s="1" t="s">
        <v>5683</v>
      </c>
      <c r="D277" s="1" t="s">
        <v>5684</v>
      </c>
      <c r="E277" s="1"/>
      <c r="F277" s="1" t="s">
        <v>5685</v>
      </c>
      <c r="G277" s="1" t="s">
        <v>5686</v>
      </c>
      <c r="H277" s="1" t="s">
        <v>5687</v>
      </c>
      <c r="I277" s="1" t="s">
        <v>5688</v>
      </c>
      <c r="J277" s="1">
        <v>9479247569</v>
      </c>
      <c r="K277" s="1" t="s">
        <v>84</v>
      </c>
      <c r="L277" s="1" t="s">
        <v>5689</v>
      </c>
      <c r="M277" s="1" t="s">
        <v>86</v>
      </c>
      <c r="N277" s="1" t="s">
        <v>355</v>
      </c>
      <c r="O277" s="1"/>
      <c r="P277" s="1" t="s">
        <v>455</v>
      </c>
      <c r="Q277" s="1" t="s">
        <v>5690</v>
      </c>
      <c r="R277" s="1" t="s">
        <v>5691</v>
      </c>
      <c r="S277" s="1">
        <v>9752441310</v>
      </c>
      <c r="T277" s="1" t="s">
        <v>5692</v>
      </c>
      <c r="U277" s="1" t="s">
        <v>5693</v>
      </c>
      <c r="V277" s="1">
        <v>8109302891</v>
      </c>
      <c r="W277" s="1" t="s">
        <v>5694</v>
      </c>
      <c r="X277" s="1" t="s">
        <v>5695</v>
      </c>
      <c r="Y277" s="1" t="s">
        <v>5335</v>
      </c>
      <c r="Z277" s="1" t="s">
        <v>2933</v>
      </c>
      <c r="AA277" s="1" t="s">
        <v>5695</v>
      </c>
      <c r="AB277" s="1" t="s">
        <v>5335</v>
      </c>
      <c r="AC277" s="1" t="s">
        <v>2933</v>
      </c>
      <c r="AD277" s="1">
        <v>7.46</v>
      </c>
      <c r="AE277" s="1" t="s">
        <v>98</v>
      </c>
      <c r="AF277" s="1" t="s">
        <v>5696</v>
      </c>
      <c r="AG277" s="1" t="s">
        <v>5697</v>
      </c>
      <c r="AH277" s="1" t="s">
        <v>1477</v>
      </c>
      <c r="AI277" s="1" t="s">
        <v>313</v>
      </c>
      <c r="AJ277" s="1">
        <v>78</v>
      </c>
      <c r="AK277" s="1"/>
      <c r="AL277" s="1" t="s">
        <v>5698</v>
      </c>
      <c r="AM277" s="1" t="s">
        <v>5697</v>
      </c>
      <c r="AN277" s="1" t="s">
        <v>465</v>
      </c>
      <c r="AO277" s="1" t="s">
        <v>365</v>
      </c>
      <c r="AP277" s="1" t="s">
        <v>549</v>
      </c>
      <c r="AQ277" s="1">
        <v>65.8</v>
      </c>
      <c r="AR277" s="1"/>
      <c r="AS277" s="1"/>
      <c r="AT277" s="1"/>
      <c r="AU277" s="1"/>
      <c r="AV277" s="1"/>
      <c r="AW277" s="1"/>
      <c r="AX277" s="1"/>
      <c r="AY277" s="1" t="s">
        <v>2614</v>
      </c>
      <c r="AZ277" s="1" t="s">
        <v>5699</v>
      </c>
      <c r="BA277" s="1" t="s">
        <v>466</v>
      </c>
      <c r="BB277" s="1" t="s">
        <v>467</v>
      </c>
      <c r="BC277" s="1" t="s">
        <v>552</v>
      </c>
      <c r="BD277" s="1" t="s">
        <v>848</v>
      </c>
      <c r="BE277" s="1">
        <v>80.4</v>
      </c>
      <c r="BF277" s="1">
        <v>8.04</v>
      </c>
      <c r="BG277" s="1"/>
      <c r="BH277" s="1"/>
      <c r="BI277" s="1"/>
      <c r="BJ277" s="1"/>
      <c r="BK277" s="1"/>
      <c r="BL277" s="1"/>
      <c r="BM277" s="1"/>
      <c r="BN277" s="1"/>
      <c r="BO277" s="1" t="s">
        <v>2267</v>
      </c>
      <c r="BP277" s="1"/>
      <c r="BQ277" s="1"/>
      <c r="BR277" s="1" t="s">
        <v>5700</v>
      </c>
      <c r="BS277" s="1">
        <v>11</v>
      </c>
      <c r="BT277" s="1" t="s">
        <v>5701</v>
      </c>
      <c r="BU277" s="1" t="str">
        <f>HYPERLINK("https://nconnect.nicmar.ac.in/storage/profile/6a7ef2c6545b1.png","Download")</f>
        <v>0</v>
      </c>
      <c r="BV277" s="3"/>
      <c r="BW277" s="4">
        <v>1</v>
      </c>
    </row>
    <row r="278" spans="1:75">
      <c r="A278" s="1" t="s">
        <v>75</v>
      </c>
      <c r="B278" s="1" t="s">
        <v>446</v>
      </c>
      <c r="C278" s="1" t="s">
        <v>5702</v>
      </c>
      <c r="D278" s="1" t="s">
        <v>3493</v>
      </c>
      <c r="E278" s="1"/>
      <c r="F278" s="1" t="s">
        <v>2250</v>
      </c>
      <c r="G278" s="1" t="s">
        <v>5703</v>
      </c>
      <c r="H278" s="1" t="s">
        <v>5704</v>
      </c>
      <c r="I278" s="1" t="s">
        <v>5705</v>
      </c>
      <c r="J278" s="1">
        <v>7089670087</v>
      </c>
      <c r="K278" s="1" t="s">
        <v>84</v>
      </c>
      <c r="L278" s="1" t="s">
        <v>5706</v>
      </c>
      <c r="M278" s="1" t="s">
        <v>86</v>
      </c>
      <c r="N278" s="1" t="s">
        <v>4278</v>
      </c>
      <c r="O278" s="1"/>
      <c r="P278" s="1" t="s">
        <v>455</v>
      </c>
      <c r="Q278" s="1" t="s">
        <v>5707</v>
      </c>
      <c r="R278" s="1" t="s">
        <v>5708</v>
      </c>
      <c r="S278" s="1">
        <v>9893765981</v>
      </c>
      <c r="T278" s="1" t="s">
        <v>1104</v>
      </c>
      <c r="U278" s="1" t="s">
        <v>5709</v>
      </c>
      <c r="V278" s="1">
        <v>8085948592</v>
      </c>
      <c r="W278" s="1" t="s">
        <v>278</v>
      </c>
      <c r="X278" s="1" t="s">
        <v>5710</v>
      </c>
      <c r="Y278" s="1" t="s">
        <v>5335</v>
      </c>
      <c r="Z278" s="1" t="s">
        <v>2933</v>
      </c>
      <c r="AA278" s="1" t="s">
        <v>5710</v>
      </c>
      <c r="AB278" s="1" t="s">
        <v>5335</v>
      </c>
      <c r="AC278" s="1" t="s">
        <v>2933</v>
      </c>
      <c r="AD278" s="1">
        <v>7.95</v>
      </c>
      <c r="AE278" s="1" t="s">
        <v>98</v>
      </c>
      <c r="AF278" s="1" t="s">
        <v>5711</v>
      </c>
      <c r="AG278" s="1" t="s">
        <v>2475</v>
      </c>
      <c r="AH278" s="1" t="s">
        <v>1110</v>
      </c>
      <c r="AI278" s="1" t="s">
        <v>627</v>
      </c>
      <c r="AJ278" s="1">
        <v>79.83</v>
      </c>
      <c r="AK278" s="1">
        <v>8.4</v>
      </c>
      <c r="AL278" s="1" t="s">
        <v>5711</v>
      </c>
      <c r="AM278" s="1" t="s">
        <v>2475</v>
      </c>
      <c r="AN278" s="1" t="s">
        <v>465</v>
      </c>
      <c r="AO278" s="1" t="s">
        <v>704</v>
      </c>
      <c r="AP278" s="1" t="s">
        <v>171</v>
      </c>
      <c r="AQ278" s="1">
        <v>61.8</v>
      </c>
      <c r="AR278" s="1"/>
      <c r="AS278" s="1"/>
      <c r="AT278" s="1"/>
      <c r="AU278" s="1"/>
      <c r="AV278" s="1"/>
      <c r="AW278" s="1"/>
      <c r="AX278" s="1"/>
      <c r="AY278" s="1" t="s">
        <v>5712</v>
      </c>
      <c r="AZ278" s="1" t="s">
        <v>5713</v>
      </c>
      <c r="BA278" s="1" t="s">
        <v>466</v>
      </c>
      <c r="BB278" s="1" t="s">
        <v>467</v>
      </c>
      <c r="BC278" s="1" t="s">
        <v>174</v>
      </c>
      <c r="BD278" s="1" t="s">
        <v>632</v>
      </c>
      <c r="BE278" s="1">
        <v>71.54</v>
      </c>
      <c r="BF278" s="1">
        <v>7.81</v>
      </c>
      <c r="BG278" s="1"/>
      <c r="BH278" s="1"/>
      <c r="BI278" s="1"/>
      <c r="BJ278" s="1"/>
      <c r="BK278" s="1"/>
      <c r="BL278" s="1"/>
      <c r="BM278" s="1"/>
      <c r="BN278" s="1"/>
      <c r="BO278" s="1" t="s">
        <v>5714</v>
      </c>
      <c r="BP278" s="1"/>
      <c r="BQ278" s="1"/>
      <c r="BR278" s="1" t="s">
        <v>5715</v>
      </c>
      <c r="BS278" s="1">
        <v>13</v>
      </c>
      <c r="BT278" s="1"/>
      <c r="BU278" s="1" t="str">
        <f>HYPERLINK("https://nconnect.nicmar.ac.in/storage/profile/ProfilePhoto_P25700269_861432.jpg","Download")</f>
        <v>0</v>
      </c>
      <c r="BV278" s="3"/>
      <c r="BW278" s="3"/>
    </row>
    <row r="279" spans="1:75">
      <c r="A279" s="1" t="s">
        <v>75</v>
      </c>
      <c r="B279" s="1" t="s">
        <v>446</v>
      </c>
      <c r="C279" s="1" t="s">
        <v>5716</v>
      </c>
      <c r="D279" s="1" t="s">
        <v>5717</v>
      </c>
      <c r="E279" s="1"/>
      <c r="F279" s="1" t="s">
        <v>5718</v>
      </c>
      <c r="G279" s="1" t="s">
        <v>5719</v>
      </c>
      <c r="H279" s="1" t="s">
        <v>5720</v>
      </c>
      <c r="I279" s="1" t="s">
        <v>5721</v>
      </c>
      <c r="J279" s="1">
        <v>6264916607</v>
      </c>
      <c r="K279" s="1" t="s">
        <v>153</v>
      </c>
      <c r="L279" s="1" t="s">
        <v>5722</v>
      </c>
      <c r="M279" s="1" t="s">
        <v>86</v>
      </c>
      <c r="N279" s="1" t="s">
        <v>592</v>
      </c>
      <c r="O279" s="1"/>
      <c r="P279" s="1" t="s">
        <v>1028</v>
      </c>
      <c r="Q279" s="1" t="s">
        <v>5723</v>
      </c>
      <c r="R279" s="1" t="s">
        <v>5724</v>
      </c>
      <c r="S279" s="1">
        <v>8889944211</v>
      </c>
      <c r="T279" s="1" t="s">
        <v>645</v>
      </c>
      <c r="U279" s="1" t="s">
        <v>5725</v>
      </c>
      <c r="V279" s="1">
        <v>9826056277</v>
      </c>
      <c r="W279" s="1" t="s">
        <v>645</v>
      </c>
      <c r="X279" s="1" t="s">
        <v>5726</v>
      </c>
      <c r="Y279" s="1" t="s">
        <v>5641</v>
      </c>
      <c r="Z279" s="1" t="s">
        <v>3419</v>
      </c>
      <c r="AA279" s="1" t="s">
        <v>5726</v>
      </c>
      <c r="AB279" s="1" t="s">
        <v>5641</v>
      </c>
      <c r="AC279" s="1" t="s">
        <v>3419</v>
      </c>
      <c r="AD279" s="1">
        <v>7.82</v>
      </c>
      <c r="AE279" s="1" t="s">
        <v>98</v>
      </c>
      <c r="AF279" s="1" t="s">
        <v>5727</v>
      </c>
      <c r="AG279" s="1" t="s">
        <v>5728</v>
      </c>
      <c r="AH279" s="1" t="s">
        <v>171</v>
      </c>
      <c r="AI279" s="1" t="s">
        <v>313</v>
      </c>
      <c r="AJ279" s="1">
        <v>82</v>
      </c>
      <c r="AK279" s="1"/>
      <c r="AL279" s="1" t="s">
        <v>5729</v>
      </c>
      <c r="AM279" s="1" t="s">
        <v>5728</v>
      </c>
      <c r="AN279" s="1" t="s">
        <v>465</v>
      </c>
      <c r="AO279" s="1" t="s">
        <v>417</v>
      </c>
      <c r="AP279" s="1" t="s">
        <v>549</v>
      </c>
      <c r="AQ279" s="1">
        <v>84.4</v>
      </c>
      <c r="AR279" s="1"/>
      <c r="AS279" s="1"/>
      <c r="AT279" s="1"/>
      <c r="AU279" s="1"/>
      <c r="AV279" s="1"/>
      <c r="AW279" s="1"/>
      <c r="AX279" s="1"/>
      <c r="AY279" s="1" t="s">
        <v>5730</v>
      </c>
      <c r="AZ279" s="1" t="s">
        <v>5731</v>
      </c>
      <c r="BA279" s="1" t="s">
        <v>578</v>
      </c>
      <c r="BB279" s="1" t="s">
        <v>467</v>
      </c>
      <c r="BC279" s="1" t="s">
        <v>549</v>
      </c>
      <c r="BD279" s="1" t="s">
        <v>607</v>
      </c>
      <c r="BE279" s="1">
        <v>87.4</v>
      </c>
      <c r="BF279" s="1">
        <v>8.74</v>
      </c>
      <c r="BG279" s="1"/>
      <c r="BH279" s="1"/>
      <c r="BI279" s="1"/>
      <c r="BJ279" s="1"/>
      <c r="BK279" s="1"/>
      <c r="BL279" s="1"/>
      <c r="BM279" s="1"/>
      <c r="BN279" s="1"/>
      <c r="BO279" s="1" t="s">
        <v>5732</v>
      </c>
      <c r="BP279" s="1"/>
      <c r="BQ279" s="1"/>
      <c r="BR279" s="1" t="s">
        <v>5733</v>
      </c>
      <c r="BS279" s="1">
        <v>19</v>
      </c>
      <c r="BT279" s="1"/>
      <c r="BU279" s="1" t="str">
        <f>HYPERLINK("https://nconnect.nicmar.ac.in/storage/profile/ProfilePhoto_P25700270_194253.jpg","Download")</f>
        <v>0</v>
      </c>
      <c r="BV279" s="3"/>
      <c r="BW279" s="4">
        <v>1</v>
      </c>
    </row>
    <row r="280" spans="1:75">
      <c r="A280" s="1" t="s">
        <v>75</v>
      </c>
      <c r="B280" s="1" t="s">
        <v>446</v>
      </c>
      <c r="C280" s="1" t="s">
        <v>5734</v>
      </c>
      <c r="D280" s="1" t="s">
        <v>5735</v>
      </c>
      <c r="E280" s="1" t="s">
        <v>2098</v>
      </c>
      <c r="F280" s="1" t="s">
        <v>1872</v>
      </c>
      <c r="G280" s="1" t="s">
        <v>5736</v>
      </c>
      <c r="H280" s="1" t="s">
        <v>5737</v>
      </c>
      <c r="I280" s="1" t="s">
        <v>5738</v>
      </c>
      <c r="J280" s="1">
        <v>8308814050</v>
      </c>
      <c r="K280" s="1" t="s">
        <v>153</v>
      </c>
      <c r="L280" s="1" t="s">
        <v>5739</v>
      </c>
      <c r="M280" s="1" t="s">
        <v>86</v>
      </c>
      <c r="N280" s="1" t="s">
        <v>4263</v>
      </c>
      <c r="O280" s="1"/>
      <c r="P280" s="1" t="s">
        <v>507</v>
      </c>
      <c r="Q280" s="1" t="s">
        <v>5740</v>
      </c>
      <c r="R280" s="1" t="s">
        <v>5741</v>
      </c>
      <c r="S280" s="1">
        <v>9822089606</v>
      </c>
      <c r="T280" s="1" t="s">
        <v>5742</v>
      </c>
      <c r="U280" s="1" t="s">
        <v>5743</v>
      </c>
      <c r="V280" s="1">
        <v>9623389394</v>
      </c>
      <c r="W280" s="1" t="s">
        <v>161</v>
      </c>
      <c r="X280" s="1" t="s">
        <v>5744</v>
      </c>
      <c r="Y280" s="1" t="s">
        <v>1989</v>
      </c>
      <c r="Z280" s="1" t="s">
        <v>97</v>
      </c>
      <c r="AA280" s="1" t="s">
        <v>5744</v>
      </c>
      <c r="AB280" s="1" t="s">
        <v>1989</v>
      </c>
      <c r="AC280" s="1" t="s">
        <v>97</v>
      </c>
      <c r="AD280" s="1">
        <v>7.33</v>
      </c>
      <c r="AE280" s="1" t="s">
        <v>98</v>
      </c>
      <c r="AF280" s="1" t="s">
        <v>5745</v>
      </c>
      <c r="AG280" s="1" t="s">
        <v>5746</v>
      </c>
      <c r="AH280" s="1" t="s">
        <v>200</v>
      </c>
      <c r="AI280" s="1" t="s">
        <v>286</v>
      </c>
      <c r="AJ280" s="1">
        <v>87.8</v>
      </c>
      <c r="AK280" s="1"/>
      <c r="AL280" s="1" t="s">
        <v>5747</v>
      </c>
      <c r="AM280" s="1" t="s">
        <v>5746</v>
      </c>
      <c r="AN280" s="1" t="s">
        <v>465</v>
      </c>
      <c r="AO280" s="1" t="s">
        <v>174</v>
      </c>
      <c r="AP280" s="1" t="s">
        <v>178</v>
      </c>
      <c r="AQ280" s="1">
        <v>74.15</v>
      </c>
      <c r="AR280" s="1"/>
      <c r="AS280" s="1"/>
      <c r="AT280" s="1"/>
      <c r="AU280" s="1"/>
      <c r="AV280" s="1"/>
      <c r="AW280" s="1"/>
      <c r="AX280" s="1"/>
      <c r="AY280" s="1" t="s">
        <v>1038</v>
      </c>
      <c r="AZ280" s="1" t="s">
        <v>5748</v>
      </c>
      <c r="BA280" s="1" t="s">
        <v>5749</v>
      </c>
      <c r="BB280" s="1" t="s">
        <v>1561</v>
      </c>
      <c r="BC280" s="1" t="s">
        <v>368</v>
      </c>
      <c r="BD280" s="1" t="s">
        <v>848</v>
      </c>
      <c r="BE280" s="1">
        <v>72.02</v>
      </c>
      <c r="BF280" s="1">
        <v>7.91</v>
      </c>
      <c r="BG280" s="1"/>
      <c r="BH280" s="1"/>
      <c r="BI280" s="1"/>
      <c r="BJ280" s="1"/>
      <c r="BK280" s="1"/>
      <c r="BL280" s="1"/>
      <c r="BM280" s="1"/>
      <c r="BN280" s="1"/>
      <c r="BO280" s="1" t="s">
        <v>260</v>
      </c>
      <c r="BP280" s="1"/>
      <c r="BQ280" s="1"/>
      <c r="BR280" s="1" t="s">
        <v>5750</v>
      </c>
      <c r="BS280" s="1">
        <v>28</v>
      </c>
      <c r="BT280" s="1"/>
      <c r="BU280" s="1" t="str">
        <f>HYPERLINK("https://nconnect.nicmar.ac.in/storage/profile/ProfilePhoto_P25700271_135978.jpg","Download")</f>
        <v>0</v>
      </c>
      <c r="BV280" s="3"/>
      <c r="BW280" s="3"/>
    </row>
    <row r="281" spans="1:75">
      <c r="A281" s="1" t="s">
        <v>75</v>
      </c>
      <c r="B281" s="1" t="s">
        <v>446</v>
      </c>
      <c r="C281" s="1" t="s">
        <v>5751</v>
      </c>
      <c r="D281" s="1" t="s">
        <v>5752</v>
      </c>
      <c r="E281" s="1" t="s">
        <v>5753</v>
      </c>
      <c r="F281" s="1" t="s">
        <v>1872</v>
      </c>
      <c r="G281" s="1" t="s">
        <v>5754</v>
      </c>
      <c r="H281" s="1" t="s">
        <v>5755</v>
      </c>
      <c r="I281" s="1" t="s">
        <v>5756</v>
      </c>
      <c r="J281" s="1">
        <v>7057663329</v>
      </c>
      <c r="K281" s="1" t="s">
        <v>84</v>
      </c>
      <c r="L281" s="1" t="s">
        <v>5757</v>
      </c>
      <c r="M281" s="1" t="s">
        <v>86</v>
      </c>
      <c r="N281" s="1" t="s">
        <v>618</v>
      </c>
      <c r="O281" s="1"/>
      <c r="P281" s="1" t="s">
        <v>455</v>
      </c>
      <c r="Q281" s="1" t="s">
        <v>5758</v>
      </c>
      <c r="R281" s="1" t="s">
        <v>5759</v>
      </c>
      <c r="S281" s="1">
        <v>7507599299</v>
      </c>
      <c r="T281" s="1" t="s">
        <v>645</v>
      </c>
      <c r="U281" s="1" t="s">
        <v>5760</v>
      </c>
      <c r="V281" s="1">
        <v>8149732031</v>
      </c>
      <c r="W281" s="1" t="s">
        <v>1620</v>
      </c>
      <c r="X281" s="1" t="s">
        <v>5761</v>
      </c>
      <c r="Y281" s="1" t="s">
        <v>196</v>
      </c>
      <c r="Z281" s="1" t="s">
        <v>97</v>
      </c>
      <c r="AA281" s="1" t="s">
        <v>5761</v>
      </c>
      <c r="AB281" s="1" t="s">
        <v>196</v>
      </c>
      <c r="AC281" s="1" t="s">
        <v>97</v>
      </c>
      <c r="AD281" s="1">
        <v>8.51</v>
      </c>
      <c r="AE281" s="1" t="s">
        <v>98</v>
      </c>
      <c r="AF281" s="1" t="s">
        <v>5762</v>
      </c>
      <c r="AG281" s="1" t="s">
        <v>5763</v>
      </c>
      <c r="AH281" s="1" t="s">
        <v>3285</v>
      </c>
      <c r="AI281" s="1" t="s">
        <v>414</v>
      </c>
      <c r="AJ281" s="1">
        <v>78.2</v>
      </c>
      <c r="AK281" s="1"/>
      <c r="AL281" s="1"/>
      <c r="AM281" s="1"/>
      <c r="AN281" s="1" t="s">
        <v>1062</v>
      </c>
      <c r="AO281" s="1"/>
      <c r="AP281" s="1"/>
      <c r="AQ281" s="1"/>
      <c r="AR281" s="1"/>
      <c r="AS281" s="1" t="s">
        <v>439</v>
      </c>
      <c r="AT281" s="1" t="s">
        <v>5764</v>
      </c>
      <c r="AU281" s="1" t="s">
        <v>178</v>
      </c>
      <c r="AV281" s="1" t="s">
        <v>1400</v>
      </c>
      <c r="AW281" s="1">
        <v>79.53</v>
      </c>
      <c r="AX281" s="1"/>
      <c r="AY281" s="1" t="s">
        <v>366</v>
      </c>
      <c r="AZ281" s="1" t="s">
        <v>5765</v>
      </c>
      <c r="BA281" s="1" t="s">
        <v>466</v>
      </c>
      <c r="BB281" s="1" t="s">
        <v>467</v>
      </c>
      <c r="BC281" s="1" t="s">
        <v>1889</v>
      </c>
      <c r="BD281" s="1" t="s">
        <v>1401</v>
      </c>
      <c r="BE281" s="1">
        <v>70.8</v>
      </c>
      <c r="BF281" s="1">
        <v>7.83</v>
      </c>
      <c r="BG281" s="1"/>
      <c r="BH281" s="1"/>
      <c r="BI281" s="1"/>
      <c r="BJ281" s="1"/>
      <c r="BK281" s="1"/>
      <c r="BL281" s="1"/>
      <c r="BM281" s="1"/>
      <c r="BN281" s="1"/>
      <c r="BO281" s="1" t="s">
        <v>5766</v>
      </c>
      <c r="BP281" s="1"/>
      <c r="BQ281" s="1"/>
      <c r="BR281" s="1" t="s">
        <v>5767</v>
      </c>
      <c r="BS281" s="1">
        <v>12</v>
      </c>
      <c r="BT281" s="1" t="s">
        <v>5768</v>
      </c>
      <c r="BU281" s="1" t="str">
        <f>HYPERLINK("https://nconnect.nicmar.ac.in/storage/profile/ProfilePhoto_P25700272_839471.jpg","Download")</f>
        <v>0</v>
      </c>
      <c r="BV281" s="3"/>
      <c r="BW281" s="3"/>
    </row>
    <row r="282" spans="1:75">
      <c r="A282" s="1" t="s">
        <v>75</v>
      </c>
      <c r="B282" s="1" t="s">
        <v>446</v>
      </c>
      <c r="C282" s="1" t="s">
        <v>5769</v>
      </c>
      <c r="D282" s="1" t="s">
        <v>5770</v>
      </c>
      <c r="E282" s="1" t="s">
        <v>5771</v>
      </c>
      <c r="F282" s="1" t="s">
        <v>5772</v>
      </c>
      <c r="G282" s="1" t="s">
        <v>5773</v>
      </c>
      <c r="H282" s="1" t="s">
        <v>5774</v>
      </c>
      <c r="I282" s="1" t="s">
        <v>5775</v>
      </c>
      <c r="J282" s="1">
        <v>9786186787</v>
      </c>
      <c r="K282" s="1" t="s">
        <v>84</v>
      </c>
      <c r="L282" s="1" t="s">
        <v>5776</v>
      </c>
      <c r="M282" s="1" t="s">
        <v>86</v>
      </c>
      <c r="N282" s="1" t="s">
        <v>5777</v>
      </c>
      <c r="O282" s="1"/>
      <c r="P282" s="1" t="s">
        <v>455</v>
      </c>
      <c r="Q282" s="1" t="s">
        <v>5778</v>
      </c>
      <c r="R282" s="1" t="s">
        <v>5779</v>
      </c>
      <c r="S282" s="1">
        <v>9976467906</v>
      </c>
      <c r="T282" s="1" t="s">
        <v>839</v>
      </c>
      <c r="U282" s="1" t="s">
        <v>5780</v>
      </c>
      <c r="V282" s="1">
        <v>9976467955</v>
      </c>
      <c r="W282" s="1" t="s">
        <v>278</v>
      </c>
      <c r="X282" s="1" t="s">
        <v>5781</v>
      </c>
      <c r="Y282" s="1" t="s">
        <v>822</v>
      </c>
      <c r="Z282" s="1" t="s">
        <v>570</v>
      </c>
      <c r="AA282" s="1" t="s">
        <v>5781</v>
      </c>
      <c r="AB282" s="1" t="s">
        <v>822</v>
      </c>
      <c r="AC282" s="1" t="s">
        <v>570</v>
      </c>
      <c r="AD282" s="1">
        <v>6.92</v>
      </c>
      <c r="AE282" s="1" t="s">
        <v>98</v>
      </c>
      <c r="AF282" s="1" t="s">
        <v>5782</v>
      </c>
      <c r="AG282" s="1" t="s">
        <v>5783</v>
      </c>
      <c r="AH282" s="1" t="s">
        <v>106</v>
      </c>
      <c r="AI282" s="1" t="s">
        <v>313</v>
      </c>
      <c r="AJ282" s="1">
        <v>75.2</v>
      </c>
      <c r="AK282" s="1">
        <v>0</v>
      </c>
      <c r="AL282" s="1" t="s">
        <v>5784</v>
      </c>
      <c r="AM282" s="1" t="s">
        <v>5785</v>
      </c>
      <c r="AN282" s="1" t="s">
        <v>465</v>
      </c>
      <c r="AO282" s="1" t="s">
        <v>468</v>
      </c>
      <c r="AP282" s="1" t="s">
        <v>845</v>
      </c>
      <c r="AQ282" s="1">
        <v>81.11</v>
      </c>
      <c r="AR282" s="1">
        <v>0</v>
      </c>
      <c r="AS282" s="1"/>
      <c r="AT282" s="1"/>
      <c r="AU282" s="1"/>
      <c r="AV282" s="1"/>
      <c r="AW282" s="1"/>
      <c r="AX282" s="1"/>
      <c r="AY282" s="1" t="s">
        <v>576</v>
      </c>
      <c r="AZ282" s="1" t="s">
        <v>5786</v>
      </c>
      <c r="BA282" s="1" t="s">
        <v>578</v>
      </c>
      <c r="BB282" s="1" t="s">
        <v>467</v>
      </c>
      <c r="BC282" s="1" t="s">
        <v>441</v>
      </c>
      <c r="BD282" s="1" t="s">
        <v>607</v>
      </c>
      <c r="BE282" s="1">
        <v>72.2</v>
      </c>
      <c r="BF282" s="1">
        <v>7.22</v>
      </c>
      <c r="BG282" s="1"/>
      <c r="BH282" s="1"/>
      <c r="BI282" s="1"/>
      <c r="BJ282" s="1"/>
      <c r="BK282" s="1"/>
      <c r="BL282" s="1"/>
      <c r="BM282" s="1"/>
      <c r="BN282" s="1"/>
      <c r="BO282" s="1" t="s">
        <v>5787</v>
      </c>
      <c r="BP282" s="1"/>
      <c r="BQ282" s="1"/>
      <c r="BR282" s="1" t="s">
        <v>5788</v>
      </c>
      <c r="BS282" s="1">
        <v>18</v>
      </c>
      <c r="BT282" s="1"/>
      <c r="BU282" s="1" t="str">
        <f>HYPERLINK("https://nconnect.nicmar.ac.in/storage/profile/ProfilePhoto_P25700273_243176.jpg","Download")</f>
        <v>0</v>
      </c>
      <c r="BV282" s="3"/>
      <c r="BW282" s="3"/>
    </row>
    <row r="283" spans="1:75">
      <c r="A283" s="1" t="s">
        <v>75</v>
      </c>
      <c r="B283" s="1" t="s">
        <v>446</v>
      </c>
      <c r="C283" s="1" t="s">
        <v>5789</v>
      </c>
      <c r="D283" s="1" t="s">
        <v>5790</v>
      </c>
      <c r="E283" s="1" t="s">
        <v>5791</v>
      </c>
      <c r="F283" s="1" t="s">
        <v>5792</v>
      </c>
      <c r="G283" s="1" t="s">
        <v>5793</v>
      </c>
      <c r="H283" s="1" t="s">
        <v>5794</v>
      </c>
      <c r="I283" s="1" t="s">
        <v>5795</v>
      </c>
      <c r="J283" s="1">
        <v>9156448281</v>
      </c>
      <c r="K283" s="1" t="s">
        <v>153</v>
      </c>
      <c r="L283" s="1" t="s">
        <v>5796</v>
      </c>
      <c r="M283" s="1" t="s">
        <v>86</v>
      </c>
      <c r="N283" s="1" t="s">
        <v>618</v>
      </c>
      <c r="O283" s="1"/>
      <c r="P283" s="1" t="s">
        <v>455</v>
      </c>
      <c r="Q283" s="1" t="s">
        <v>5797</v>
      </c>
      <c r="R283" s="1" t="s">
        <v>5798</v>
      </c>
      <c r="S283" s="1">
        <v>9890101818</v>
      </c>
      <c r="T283" s="1" t="s">
        <v>3788</v>
      </c>
      <c r="U283" s="1" t="s">
        <v>5799</v>
      </c>
      <c r="V283" s="1">
        <v>7517420632</v>
      </c>
      <c r="W283" s="1" t="s">
        <v>161</v>
      </c>
      <c r="X283" s="1" t="s">
        <v>5800</v>
      </c>
      <c r="Y283" s="1" t="s">
        <v>5181</v>
      </c>
      <c r="Z283" s="1" t="s">
        <v>97</v>
      </c>
      <c r="AA283" s="1" t="s">
        <v>5800</v>
      </c>
      <c r="AB283" s="1" t="s">
        <v>5181</v>
      </c>
      <c r="AC283" s="1" t="s">
        <v>97</v>
      </c>
      <c r="AD283" s="1">
        <v>8.54</v>
      </c>
      <c r="AE283" s="1" t="s">
        <v>98</v>
      </c>
      <c r="AF283" s="1" t="s">
        <v>5801</v>
      </c>
      <c r="AG283" s="1" t="s">
        <v>165</v>
      </c>
      <c r="AH283" s="1" t="s">
        <v>106</v>
      </c>
      <c r="AI283" s="1" t="s">
        <v>414</v>
      </c>
      <c r="AJ283" s="1">
        <v>90</v>
      </c>
      <c r="AK283" s="1"/>
      <c r="AL283" s="1" t="s">
        <v>5802</v>
      </c>
      <c r="AM283" s="1" t="s">
        <v>165</v>
      </c>
      <c r="AN283" s="1" t="s">
        <v>465</v>
      </c>
      <c r="AO283" s="1" t="s">
        <v>178</v>
      </c>
      <c r="AP283" s="1" t="s">
        <v>1192</v>
      </c>
      <c r="AQ283" s="1">
        <v>93.33</v>
      </c>
      <c r="AR283" s="1"/>
      <c r="AS283" s="1"/>
      <c r="AT283" s="1"/>
      <c r="AU283" s="1"/>
      <c r="AV283" s="1"/>
      <c r="AW283" s="1"/>
      <c r="AX283" s="1"/>
      <c r="AY283" s="1" t="s">
        <v>5803</v>
      </c>
      <c r="AZ283" s="1" t="s">
        <v>5804</v>
      </c>
      <c r="BA283" s="1" t="s">
        <v>466</v>
      </c>
      <c r="BB283" s="1" t="s">
        <v>467</v>
      </c>
      <c r="BC283" s="1" t="s">
        <v>871</v>
      </c>
      <c r="BD283" s="1" t="s">
        <v>1401</v>
      </c>
      <c r="BE283" s="1">
        <v>76.7</v>
      </c>
      <c r="BF283" s="1">
        <v>8.17</v>
      </c>
      <c r="BG283" s="1"/>
      <c r="BH283" s="1"/>
      <c r="BI283" s="1"/>
      <c r="BJ283" s="1"/>
      <c r="BK283" s="1"/>
      <c r="BL283" s="1"/>
      <c r="BM283" s="1"/>
      <c r="BN283" s="1"/>
      <c r="BO283" s="1" t="s">
        <v>5805</v>
      </c>
      <c r="BP283" s="1"/>
      <c r="BQ283" s="1"/>
      <c r="BR283" s="1" t="s">
        <v>5806</v>
      </c>
      <c r="BS283" s="1">
        <v>14</v>
      </c>
      <c r="BT283" s="1"/>
      <c r="BU283" s="1" t="str">
        <f>HYPERLINK("https://nconnect.nicmar.ac.in/storage/profile/ProfilePhoto_P25700274_326758.jpg","Download")</f>
        <v>0</v>
      </c>
      <c r="BV283" s="3"/>
      <c r="BW283" s="3"/>
    </row>
    <row r="284" spans="1:75">
      <c r="A284" s="1" t="s">
        <v>75</v>
      </c>
      <c r="B284" s="1" t="s">
        <v>446</v>
      </c>
      <c r="C284" s="1" t="s">
        <v>5807</v>
      </c>
      <c r="D284" s="1" t="s">
        <v>5808</v>
      </c>
      <c r="E284" s="1"/>
      <c r="F284" s="1" t="s">
        <v>5809</v>
      </c>
      <c r="G284" s="1" t="s">
        <v>5810</v>
      </c>
      <c r="H284" s="1" t="s">
        <v>5811</v>
      </c>
      <c r="I284" s="1" t="s">
        <v>5812</v>
      </c>
      <c r="J284" s="1">
        <v>9877169590</v>
      </c>
      <c r="K284" s="1" t="s">
        <v>84</v>
      </c>
      <c r="L284" s="1" t="s">
        <v>1793</v>
      </c>
      <c r="M284" s="1" t="s">
        <v>86</v>
      </c>
      <c r="N284" s="1" t="s">
        <v>5813</v>
      </c>
      <c r="O284" s="1"/>
      <c r="P284" s="1" t="s">
        <v>507</v>
      </c>
      <c r="Q284" s="1" t="s">
        <v>5814</v>
      </c>
      <c r="R284" s="1" t="s">
        <v>5815</v>
      </c>
      <c r="S284" s="1">
        <v>8264724989</v>
      </c>
      <c r="T284" s="1" t="s">
        <v>159</v>
      </c>
      <c r="U284" s="1" t="s">
        <v>5816</v>
      </c>
      <c r="V284" s="1">
        <v>9815911683</v>
      </c>
      <c r="W284" s="1" t="s">
        <v>541</v>
      </c>
      <c r="X284" s="1" t="s">
        <v>5817</v>
      </c>
      <c r="Y284" s="1" t="s">
        <v>5818</v>
      </c>
      <c r="Z284" s="1" t="s">
        <v>972</v>
      </c>
      <c r="AA284" s="1" t="s">
        <v>5817</v>
      </c>
      <c r="AB284" s="1" t="s">
        <v>5818</v>
      </c>
      <c r="AC284" s="1" t="s">
        <v>972</v>
      </c>
      <c r="AD284" s="1">
        <v>0.0</v>
      </c>
      <c r="AE284" s="1" t="s">
        <v>98</v>
      </c>
      <c r="AF284" s="1" t="s">
        <v>5819</v>
      </c>
      <c r="AG284" s="1" t="s">
        <v>312</v>
      </c>
      <c r="AH284" s="1" t="s">
        <v>284</v>
      </c>
      <c r="AI284" s="1" t="s">
        <v>200</v>
      </c>
      <c r="AJ284" s="1">
        <v>62.7</v>
      </c>
      <c r="AK284" s="1">
        <v>6.6</v>
      </c>
      <c r="AL284" s="1" t="s">
        <v>5820</v>
      </c>
      <c r="AM284" s="1" t="s">
        <v>312</v>
      </c>
      <c r="AN284" s="1"/>
      <c r="AO284" s="1" t="s">
        <v>490</v>
      </c>
      <c r="AP284" s="1" t="s">
        <v>417</v>
      </c>
      <c r="AQ284" s="1">
        <v>66</v>
      </c>
      <c r="AR284" s="1"/>
      <c r="AS284" s="1"/>
      <c r="AT284" s="1"/>
      <c r="AU284" s="1"/>
      <c r="AV284" s="1"/>
      <c r="AW284" s="1"/>
      <c r="AX284" s="1"/>
      <c r="AY284" s="1" t="s">
        <v>5821</v>
      </c>
      <c r="AZ284" s="1" t="s">
        <v>5822</v>
      </c>
      <c r="BA284" s="1"/>
      <c r="BB284" s="1"/>
      <c r="BC284" s="1" t="s">
        <v>1040</v>
      </c>
      <c r="BD284" s="1" t="s">
        <v>1132</v>
      </c>
      <c r="BE284" s="1">
        <v>66</v>
      </c>
      <c r="BF284" s="1">
        <v>6.6</v>
      </c>
      <c r="BG284" s="1"/>
      <c r="BH284" s="1"/>
      <c r="BI284" s="1"/>
      <c r="BJ284" s="1"/>
      <c r="BK284" s="1"/>
      <c r="BL284" s="1"/>
      <c r="BM284" s="1"/>
      <c r="BN284" s="1"/>
      <c r="BO284" s="1" t="s">
        <v>5823</v>
      </c>
      <c r="BP284" s="1"/>
      <c r="BQ284" s="1"/>
      <c r="BR284" s="1" t="s">
        <v>5824</v>
      </c>
      <c r="BS284" s="1">
        <v>14</v>
      </c>
      <c r="BT284" s="1"/>
      <c r="BU284" s="1" t="str">
        <f>HYPERLINK("https://nconnect.nicmar.ac.in/storage/profile/ProfilePhoto_P25700275_563178.jpg","Download")</f>
        <v>0</v>
      </c>
      <c r="BV284" s="3"/>
      <c r="BW284" s="3"/>
    </row>
    <row r="285" spans="1:75">
      <c r="A285" s="1" t="s">
        <v>75</v>
      </c>
      <c r="B285" s="1" t="s">
        <v>446</v>
      </c>
      <c r="C285" s="1" t="s">
        <v>5825</v>
      </c>
      <c r="D285" s="1" t="s">
        <v>5826</v>
      </c>
      <c r="E285" s="1"/>
      <c r="F285" s="1" t="s">
        <v>116</v>
      </c>
      <c r="G285" s="1" t="s">
        <v>5827</v>
      </c>
      <c r="H285" s="1" t="s">
        <v>5828</v>
      </c>
      <c r="I285" s="1" t="s">
        <v>5829</v>
      </c>
      <c r="J285" s="1">
        <v>8075372847</v>
      </c>
      <c r="K285" s="1" t="s">
        <v>84</v>
      </c>
      <c r="L285" s="1" t="s">
        <v>5830</v>
      </c>
      <c r="M285" s="1" t="s">
        <v>86</v>
      </c>
      <c r="N285" s="1" t="s">
        <v>592</v>
      </c>
      <c r="O285" s="1"/>
      <c r="P285" s="1" t="s">
        <v>507</v>
      </c>
      <c r="Q285" s="1" t="s">
        <v>5831</v>
      </c>
      <c r="R285" s="1" t="s">
        <v>5832</v>
      </c>
      <c r="S285" s="1">
        <v>9387014966</v>
      </c>
      <c r="T285" s="1" t="s">
        <v>839</v>
      </c>
      <c r="U285" s="1" t="s">
        <v>5833</v>
      </c>
      <c r="V285" s="1">
        <v>9562443953</v>
      </c>
      <c r="W285" s="1" t="s">
        <v>278</v>
      </c>
      <c r="X285" s="1" t="s">
        <v>5834</v>
      </c>
      <c r="Y285" s="1" t="s">
        <v>5313</v>
      </c>
      <c r="Z285" s="1" t="s">
        <v>130</v>
      </c>
      <c r="AA285" s="1" t="s">
        <v>5834</v>
      </c>
      <c r="AB285" s="1" t="s">
        <v>5313</v>
      </c>
      <c r="AC285" s="1" t="s">
        <v>130</v>
      </c>
      <c r="AD285" s="1">
        <v>8.21</v>
      </c>
      <c r="AE285" s="1" t="s">
        <v>98</v>
      </c>
      <c r="AF285" s="1" t="s">
        <v>5835</v>
      </c>
      <c r="AG285" s="1" t="s">
        <v>5836</v>
      </c>
      <c r="AH285" s="1" t="s">
        <v>135</v>
      </c>
      <c r="AI285" s="1" t="s">
        <v>1110</v>
      </c>
      <c r="AJ285" s="1">
        <v>87.4</v>
      </c>
      <c r="AK285" s="1">
        <v>9.2</v>
      </c>
      <c r="AL285" s="1" t="s">
        <v>5835</v>
      </c>
      <c r="AM285" s="1" t="s">
        <v>5835</v>
      </c>
      <c r="AN285" s="1" t="s">
        <v>465</v>
      </c>
      <c r="AO285" s="1" t="s">
        <v>1396</v>
      </c>
      <c r="AP285" s="1" t="s">
        <v>200</v>
      </c>
      <c r="AQ285" s="1">
        <v>83.4</v>
      </c>
      <c r="AR285" s="1"/>
      <c r="AS285" s="1"/>
      <c r="AT285" s="1"/>
      <c r="AU285" s="1"/>
      <c r="AV285" s="1"/>
      <c r="AW285" s="1"/>
      <c r="AX285" s="1"/>
      <c r="AY285" s="1" t="s">
        <v>5837</v>
      </c>
      <c r="AZ285" s="1" t="s">
        <v>5838</v>
      </c>
      <c r="BA285" s="1" t="s">
        <v>466</v>
      </c>
      <c r="BB285" s="1" t="s">
        <v>467</v>
      </c>
      <c r="BC285" s="1" t="s">
        <v>1065</v>
      </c>
      <c r="BD285" s="1" t="s">
        <v>1400</v>
      </c>
      <c r="BE285" s="1">
        <v>66.2</v>
      </c>
      <c r="BF285" s="1">
        <v>6.62</v>
      </c>
      <c r="BG285" s="1"/>
      <c r="BH285" s="1"/>
      <c r="BI285" s="1"/>
      <c r="BJ285" s="1"/>
      <c r="BK285" s="1"/>
      <c r="BL285" s="1"/>
      <c r="BM285" s="1"/>
      <c r="BN285" s="1"/>
      <c r="BO285" s="1" t="s">
        <v>1114</v>
      </c>
      <c r="BP285" s="1" t="s">
        <v>5839</v>
      </c>
      <c r="BQ285" s="1" t="s">
        <v>345</v>
      </c>
      <c r="BR285" s="1" t="s">
        <v>5840</v>
      </c>
      <c r="BS285" s="1">
        <v>8</v>
      </c>
      <c r="BT285" s="1"/>
      <c r="BU285" s="1" t="str">
        <f>HYPERLINK("https://nconnect.nicmar.ac.in/storage/profile/ProfilePhoto_P25700277_438956.jpg","Download")</f>
        <v>0</v>
      </c>
      <c r="BV285" s="3"/>
      <c r="BW285" s="3"/>
    </row>
    <row r="286" spans="1:75">
      <c r="A286" s="1" t="s">
        <v>75</v>
      </c>
      <c r="B286" s="1" t="s">
        <v>446</v>
      </c>
      <c r="C286" s="1" t="s">
        <v>5841</v>
      </c>
      <c r="D286" s="1" t="s">
        <v>4214</v>
      </c>
      <c r="E286" s="1" t="s">
        <v>5842</v>
      </c>
      <c r="F286" s="1" t="s">
        <v>5843</v>
      </c>
      <c r="G286" s="1" t="s">
        <v>5844</v>
      </c>
      <c r="H286" s="1" t="s">
        <v>5845</v>
      </c>
      <c r="I286" s="1" t="s">
        <v>5846</v>
      </c>
      <c r="J286" s="1">
        <v>9579941848</v>
      </c>
      <c r="K286" s="1" t="s">
        <v>84</v>
      </c>
      <c r="L286" s="1" t="s">
        <v>4712</v>
      </c>
      <c r="M286" s="1" t="s">
        <v>86</v>
      </c>
      <c r="N286" s="1" t="s">
        <v>5847</v>
      </c>
      <c r="O286" s="1"/>
      <c r="P286" s="1" t="s">
        <v>507</v>
      </c>
      <c r="Q286" s="1" t="s">
        <v>5848</v>
      </c>
      <c r="R286" s="1" t="s">
        <v>5849</v>
      </c>
      <c r="S286" s="1">
        <v>8412868888</v>
      </c>
      <c r="T286" s="1" t="s">
        <v>839</v>
      </c>
      <c r="U286" s="1" t="s">
        <v>5850</v>
      </c>
      <c r="V286" s="1">
        <v>8668700298</v>
      </c>
      <c r="W286" s="1" t="s">
        <v>161</v>
      </c>
      <c r="X286" s="1" t="s">
        <v>5851</v>
      </c>
      <c r="Y286" s="1" t="s">
        <v>163</v>
      </c>
      <c r="Z286" s="1" t="s">
        <v>97</v>
      </c>
      <c r="AA286" s="1" t="s">
        <v>5852</v>
      </c>
      <c r="AB286" s="1" t="s">
        <v>163</v>
      </c>
      <c r="AC286" s="1" t="s">
        <v>97</v>
      </c>
      <c r="AD286" s="1">
        <v>7.05</v>
      </c>
      <c r="AE286" s="1" t="s">
        <v>98</v>
      </c>
      <c r="AF286" s="1" t="s">
        <v>5853</v>
      </c>
      <c r="AG286" s="1" t="s">
        <v>5854</v>
      </c>
      <c r="AH286" s="1" t="s">
        <v>171</v>
      </c>
      <c r="AI286" s="1" t="s">
        <v>414</v>
      </c>
      <c r="AJ286" s="1">
        <v>69.4</v>
      </c>
      <c r="AK286" s="1"/>
      <c r="AL286" s="1" t="s">
        <v>5855</v>
      </c>
      <c r="AM286" s="1" t="s">
        <v>5856</v>
      </c>
      <c r="AN286" s="1"/>
      <c r="AO286" s="1" t="s">
        <v>603</v>
      </c>
      <c r="AP286" s="1" t="s">
        <v>2304</v>
      </c>
      <c r="AQ286" s="1">
        <v>72.33</v>
      </c>
      <c r="AR286" s="1"/>
      <c r="AS286" s="1"/>
      <c r="AT286" s="1"/>
      <c r="AU286" s="1"/>
      <c r="AV286" s="1"/>
      <c r="AW286" s="1"/>
      <c r="AX286" s="1"/>
      <c r="AY286" s="1" t="s">
        <v>5857</v>
      </c>
      <c r="AZ286" s="1" t="s">
        <v>5858</v>
      </c>
      <c r="BA286" s="1"/>
      <c r="BB286" s="1"/>
      <c r="BC286" s="1" t="s">
        <v>847</v>
      </c>
      <c r="BD286" s="1" t="s">
        <v>553</v>
      </c>
      <c r="BE286" s="1">
        <v>71.07</v>
      </c>
      <c r="BF286" s="1">
        <v>8.26</v>
      </c>
      <c r="BG286" s="1"/>
      <c r="BH286" s="1"/>
      <c r="BI286" s="1"/>
      <c r="BJ286" s="1"/>
      <c r="BK286" s="1"/>
      <c r="BL286" s="1"/>
      <c r="BM286" s="1"/>
      <c r="BN286" s="1"/>
      <c r="BO286" s="1" t="s">
        <v>5859</v>
      </c>
      <c r="BP286" s="1"/>
      <c r="BQ286" s="1"/>
      <c r="BR286" s="1" t="s">
        <v>5860</v>
      </c>
      <c r="BS286" s="1">
        <v>17</v>
      </c>
      <c r="BT286" s="1" t="s">
        <v>5861</v>
      </c>
      <c r="BU286" s="1" t="str">
        <f>HYPERLINK("https://nconnect.nicmar.ac.in/storage/profile/ProfilePhoto_P25700278_937126.jpg","Download")</f>
        <v>0</v>
      </c>
      <c r="BV286" s="3"/>
      <c r="BW286" s="3"/>
    </row>
    <row r="287" spans="1:75">
      <c r="A287" s="1" t="s">
        <v>75</v>
      </c>
      <c r="B287" s="1" t="s">
        <v>446</v>
      </c>
      <c r="C287" s="1" t="s">
        <v>5862</v>
      </c>
      <c r="D287" s="1" t="s">
        <v>5863</v>
      </c>
      <c r="E287" s="1" t="s">
        <v>587</v>
      </c>
      <c r="F287" s="1" t="s">
        <v>5864</v>
      </c>
      <c r="G287" s="1" t="s">
        <v>5865</v>
      </c>
      <c r="H287" s="1" t="s">
        <v>5866</v>
      </c>
      <c r="I287" s="1" t="s">
        <v>5867</v>
      </c>
      <c r="J287" s="1">
        <v>9567563482</v>
      </c>
      <c r="K287" s="1" t="s">
        <v>84</v>
      </c>
      <c r="L287" s="1" t="s">
        <v>5868</v>
      </c>
      <c r="M287" s="1" t="s">
        <v>86</v>
      </c>
      <c r="N287" s="1" t="s">
        <v>5869</v>
      </c>
      <c r="O287" s="1" t="s">
        <v>157</v>
      </c>
      <c r="P287" s="1" t="s">
        <v>507</v>
      </c>
      <c r="Q287" s="1" t="s">
        <v>5870</v>
      </c>
      <c r="R287" s="1" t="s">
        <v>5871</v>
      </c>
      <c r="S287" s="1">
        <v>9447043944</v>
      </c>
      <c r="T287" s="1" t="s">
        <v>4894</v>
      </c>
      <c r="U287" s="1" t="s">
        <v>5872</v>
      </c>
      <c r="V287" s="1">
        <v>9497088960</v>
      </c>
      <c r="W287" s="1" t="s">
        <v>278</v>
      </c>
      <c r="X287" s="1" t="s">
        <v>5873</v>
      </c>
      <c r="Y287" s="1" t="s">
        <v>5874</v>
      </c>
      <c r="Z287" s="1" t="s">
        <v>130</v>
      </c>
      <c r="AA287" s="1" t="s">
        <v>5873</v>
      </c>
      <c r="AB287" s="1" t="s">
        <v>5874</v>
      </c>
      <c r="AC287" s="1" t="s">
        <v>130</v>
      </c>
      <c r="AD287" s="1">
        <v>8.92</v>
      </c>
      <c r="AE287" s="1" t="s">
        <v>98</v>
      </c>
      <c r="AF287" s="1" t="s">
        <v>5875</v>
      </c>
      <c r="AG287" s="1" t="s">
        <v>2181</v>
      </c>
      <c r="AH287" s="1" t="s">
        <v>170</v>
      </c>
      <c r="AI287" s="1" t="s">
        <v>171</v>
      </c>
      <c r="AJ287" s="1">
        <v>87.5</v>
      </c>
      <c r="AK287" s="1"/>
      <c r="AL287" s="1" t="s">
        <v>5876</v>
      </c>
      <c r="AM287" s="1" t="s">
        <v>2708</v>
      </c>
      <c r="AN287" s="1" t="s">
        <v>465</v>
      </c>
      <c r="AO287" s="1" t="s">
        <v>438</v>
      </c>
      <c r="AP287" s="1" t="s">
        <v>178</v>
      </c>
      <c r="AQ287" s="1">
        <v>93.17</v>
      </c>
      <c r="AR287" s="1"/>
      <c r="AS287" s="1"/>
      <c r="AT287" s="1"/>
      <c r="AU287" s="1"/>
      <c r="AV287" s="1"/>
      <c r="AW287" s="1"/>
      <c r="AX287" s="1"/>
      <c r="AY287" s="1" t="s">
        <v>5877</v>
      </c>
      <c r="AZ287" s="1" t="s">
        <v>2531</v>
      </c>
      <c r="BA287" s="1" t="s">
        <v>466</v>
      </c>
      <c r="BB287" s="1" t="s">
        <v>467</v>
      </c>
      <c r="BC287" s="1" t="s">
        <v>1040</v>
      </c>
      <c r="BD287" s="1" t="s">
        <v>418</v>
      </c>
      <c r="BE287" s="1">
        <v>79.7</v>
      </c>
      <c r="BF287" s="1">
        <v>7.97</v>
      </c>
      <c r="BG287" s="1"/>
      <c r="BH287" s="1"/>
      <c r="BI287" s="1"/>
      <c r="BJ287" s="1"/>
      <c r="BK287" s="1"/>
      <c r="BL287" s="1"/>
      <c r="BM287" s="1"/>
      <c r="BN287" s="1"/>
      <c r="BO287" s="1" t="s">
        <v>5878</v>
      </c>
      <c r="BP287" s="1"/>
      <c r="BQ287" s="1"/>
      <c r="BR287" s="1" t="s">
        <v>5879</v>
      </c>
      <c r="BS287" s="1">
        <v>61</v>
      </c>
      <c r="BT287" s="1" t="s">
        <v>5880</v>
      </c>
      <c r="BU287" s="1" t="str">
        <f>HYPERLINK("https://nconnect.nicmar.ac.in/storage/profile/ProfilePhoto_P25700280_693247.jpg","Download")</f>
        <v>0</v>
      </c>
      <c r="BV287" s="3"/>
      <c r="BW287" s="4">
        <v>1</v>
      </c>
    </row>
    <row r="288" spans="1:75">
      <c r="A288" s="1" t="s">
        <v>75</v>
      </c>
      <c r="B288" s="1" t="s">
        <v>446</v>
      </c>
      <c r="C288" s="1" t="s">
        <v>5881</v>
      </c>
      <c r="D288" s="1" t="s">
        <v>5882</v>
      </c>
      <c r="E288" s="1" t="s">
        <v>116</v>
      </c>
      <c r="F288" s="1" t="s">
        <v>5883</v>
      </c>
      <c r="G288" s="1" t="s">
        <v>5884</v>
      </c>
      <c r="H288" s="1" t="s">
        <v>5885</v>
      </c>
      <c r="I288" s="1" t="s">
        <v>5886</v>
      </c>
      <c r="J288" s="1">
        <v>9745629192</v>
      </c>
      <c r="K288" s="1" t="s">
        <v>153</v>
      </c>
      <c r="L288" s="1" t="s">
        <v>1140</v>
      </c>
      <c r="M288" s="1" t="s">
        <v>86</v>
      </c>
      <c r="N288" s="1" t="s">
        <v>5887</v>
      </c>
      <c r="O288" s="1"/>
      <c r="P288" s="1" t="s">
        <v>481</v>
      </c>
      <c r="Q288" s="1" t="s">
        <v>5888</v>
      </c>
      <c r="R288" s="1" t="s">
        <v>5889</v>
      </c>
      <c r="S288" s="1">
        <v>9446529192</v>
      </c>
      <c r="T288" s="1" t="s">
        <v>839</v>
      </c>
      <c r="U288" s="1" t="s">
        <v>5890</v>
      </c>
      <c r="V288" s="1">
        <v>9495929192</v>
      </c>
      <c r="W288" s="1" t="s">
        <v>278</v>
      </c>
      <c r="X288" s="1" t="s">
        <v>5891</v>
      </c>
      <c r="Y288" s="1" t="s">
        <v>1283</v>
      </c>
      <c r="Z288" s="1" t="s">
        <v>130</v>
      </c>
      <c r="AA288" s="1" t="s">
        <v>5891</v>
      </c>
      <c r="AB288" s="1" t="s">
        <v>1283</v>
      </c>
      <c r="AC288" s="1" t="s">
        <v>130</v>
      </c>
      <c r="AD288" s="1">
        <v>8.28</v>
      </c>
      <c r="AE288" s="1" t="s">
        <v>98</v>
      </c>
      <c r="AF288" s="1" t="s">
        <v>5835</v>
      </c>
      <c r="AG288" s="1" t="s">
        <v>312</v>
      </c>
      <c r="AH288" s="1" t="s">
        <v>573</v>
      </c>
      <c r="AI288" s="1" t="s">
        <v>286</v>
      </c>
      <c r="AJ288" s="1">
        <v>79</v>
      </c>
      <c r="AK288" s="1">
        <v>0</v>
      </c>
      <c r="AL288" s="1" t="s">
        <v>5892</v>
      </c>
      <c r="AM288" s="1" t="s">
        <v>5893</v>
      </c>
      <c r="AN288" s="1" t="s">
        <v>575</v>
      </c>
      <c r="AO288" s="1" t="s">
        <v>438</v>
      </c>
      <c r="AP288" s="1" t="s">
        <v>603</v>
      </c>
      <c r="AQ288" s="1">
        <v>78.5</v>
      </c>
      <c r="AR288" s="1">
        <v>0</v>
      </c>
      <c r="AS288" s="1"/>
      <c r="AT288" s="1"/>
      <c r="AU288" s="1"/>
      <c r="AV288" s="1"/>
      <c r="AW288" s="1"/>
      <c r="AX288" s="1"/>
      <c r="AY288" s="1" t="s">
        <v>137</v>
      </c>
      <c r="AZ288" s="1" t="s">
        <v>5894</v>
      </c>
      <c r="BA288" s="1" t="s">
        <v>466</v>
      </c>
      <c r="BB288" s="1" t="s">
        <v>467</v>
      </c>
      <c r="BC288" s="1" t="s">
        <v>140</v>
      </c>
      <c r="BD288" s="1" t="s">
        <v>607</v>
      </c>
      <c r="BE288" s="1">
        <v>74</v>
      </c>
      <c r="BF288" s="1">
        <v>7.4</v>
      </c>
      <c r="BG288" s="1"/>
      <c r="BH288" s="1"/>
      <c r="BI288" s="1"/>
      <c r="BJ288" s="1"/>
      <c r="BK288" s="1"/>
      <c r="BL288" s="1"/>
      <c r="BM288" s="1"/>
      <c r="BN288" s="1"/>
      <c r="BO288" s="1" t="s">
        <v>369</v>
      </c>
      <c r="BP288" s="1"/>
      <c r="BQ288" s="1"/>
      <c r="BR288" s="1" t="s">
        <v>5895</v>
      </c>
      <c r="BS288" s="1">
        <v>8</v>
      </c>
      <c r="BT288" s="1" t="s">
        <v>5896</v>
      </c>
      <c r="BU288" s="1" t="str">
        <f>HYPERLINK("https://nconnect.nicmar.ac.in/storage/profile/ProfilePhoto_P25700282_942538.jpg","Download")</f>
        <v>0</v>
      </c>
      <c r="BV288" s="3"/>
      <c r="BW288" s="4">
        <v>1</v>
      </c>
    </row>
    <row r="289" spans="1:75">
      <c r="A289" s="1" t="s">
        <v>75</v>
      </c>
      <c r="B289" s="1" t="s">
        <v>446</v>
      </c>
      <c r="C289" s="1" t="s">
        <v>5897</v>
      </c>
      <c r="D289" s="1" t="s">
        <v>2447</v>
      </c>
      <c r="E289" s="1" t="s">
        <v>5898</v>
      </c>
      <c r="F289" s="1" t="s">
        <v>5899</v>
      </c>
      <c r="G289" s="1" t="s">
        <v>5900</v>
      </c>
      <c r="H289" s="1" t="s">
        <v>5901</v>
      </c>
      <c r="I289" s="1" t="s">
        <v>5902</v>
      </c>
      <c r="J289" s="1">
        <v>8010828770</v>
      </c>
      <c r="K289" s="1" t="s">
        <v>84</v>
      </c>
      <c r="L289" s="1" t="s">
        <v>5903</v>
      </c>
      <c r="M289" s="1" t="s">
        <v>86</v>
      </c>
      <c r="N289" s="1" t="s">
        <v>903</v>
      </c>
      <c r="O289" s="1"/>
      <c r="P289" s="1" t="s">
        <v>5904</v>
      </c>
      <c r="Q289" s="1" t="s">
        <v>5905</v>
      </c>
      <c r="R289" s="1" t="s">
        <v>5906</v>
      </c>
      <c r="S289" s="1">
        <v>9527956934</v>
      </c>
      <c r="T289" s="1" t="s">
        <v>127</v>
      </c>
      <c r="U289" s="1" t="s">
        <v>5907</v>
      </c>
      <c r="V289" s="1">
        <v>9763979784</v>
      </c>
      <c r="W289" s="1" t="s">
        <v>161</v>
      </c>
      <c r="X289" s="1" t="s">
        <v>5908</v>
      </c>
      <c r="Y289" s="1" t="s">
        <v>196</v>
      </c>
      <c r="Z289" s="1" t="s">
        <v>97</v>
      </c>
      <c r="AA289" s="1" t="s">
        <v>5909</v>
      </c>
      <c r="AB289" s="1" t="s">
        <v>5910</v>
      </c>
      <c r="AC289" s="1" t="s">
        <v>97</v>
      </c>
      <c r="AD289" s="1">
        <v>8.28</v>
      </c>
      <c r="AE289" s="1" t="s">
        <v>98</v>
      </c>
      <c r="AF289" s="1" t="s">
        <v>5911</v>
      </c>
      <c r="AG289" s="1" t="s">
        <v>5912</v>
      </c>
      <c r="AH289" s="1" t="s">
        <v>167</v>
      </c>
      <c r="AI289" s="1" t="s">
        <v>170</v>
      </c>
      <c r="AJ289" s="1">
        <v>78.2</v>
      </c>
      <c r="AK289" s="1"/>
      <c r="AL289" s="1" t="s">
        <v>5913</v>
      </c>
      <c r="AM289" s="1" t="s">
        <v>5914</v>
      </c>
      <c r="AN289" s="1" t="s">
        <v>465</v>
      </c>
      <c r="AO289" s="1" t="s">
        <v>388</v>
      </c>
      <c r="AP289" s="1" t="s">
        <v>603</v>
      </c>
      <c r="AQ289" s="1">
        <v>77.85</v>
      </c>
      <c r="AR289" s="1"/>
      <c r="AS289" s="1"/>
      <c r="AT289" s="1"/>
      <c r="AU289" s="1"/>
      <c r="AV289" s="1"/>
      <c r="AW289" s="1"/>
      <c r="AX289" s="1"/>
      <c r="AY289" s="1" t="s">
        <v>366</v>
      </c>
      <c r="AZ289" s="1" t="s">
        <v>5915</v>
      </c>
      <c r="BA289" s="1" t="s">
        <v>578</v>
      </c>
      <c r="BB289" s="1" t="s">
        <v>467</v>
      </c>
      <c r="BC289" s="1" t="s">
        <v>368</v>
      </c>
      <c r="BD289" s="1" t="s">
        <v>207</v>
      </c>
      <c r="BE289" s="1">
        <v>74.6</v>
      </c>
      <c r="BF289" s="1">
        <v>8.3</v>
      </c>
      <c r="BG289" s="1"/>
      <c r="BH289" s="1"/>
      <c r="BI289" s="1"/>
      <c r="BJ289" s="1"/>
      <c r="BK289" s="1"/>
      <c r="BL289" s="1"/>
      <c r="BM289" s="1"/>
      <c r="BN289" s="1"/>
      <c r="BO289" s="1" t="s">
        <v>5916</v>
      </c>
      <c r="BP289" s="1"/>
      <c r="BQ289" s="1"/>
      <c r="BR289" s="1" t="s">
        <v>5917</v>
      </c>
      <c r="BS289" s="1">
        <v>8</v>
      </c>
      <c r="BT289" s="1" t="s">
        <v>5918</v>
      </c>
      <c r="BU289" s="1" t="str">
        <f>HYPERLINK("https://nconnect.nicmar.ac.in/storage/profile/ProfilePhoto_P25700283_529847.jpg","Download")</f>
        <v>0</v>
      </c>
      <c r="BV289" s="3"/>
      <c r="BW289" s="3"/>
    </row>
    <row r="290" spans="1:75">
      <c r="A290" s="1" t="s">
        <v>75</v>
      </c>
      <c r="B290" s="1" t="s">
        <v>446</v>
      </c>
      <c r="C290" s="1" t="s">
        <v>5919</v>
      </c>
      <c r="D290" s="1" t="s">
        <v>5920</v>
      </c>
      <c r="E290" s="1" t="s">
        <v>5921</v>
      </c>
      <c r="F290" s="1" t="s">
        <v>5922</v>
      </c>
      <c r="G290" s="1" t="s">
        <v>5923</v>
      </c>
      <c r="H290" s="1" t="s">
        <v>5924</v>
      </c>
      <c r="I290" s="1" t="s">
        <v>5925</v>
      </c>
      <c r="J290" s="1">
        <v>7620490959</v>
      </c>
      <c r="K290" s="1" t="s">
        <v>84</v>
      </c>
      <c r="L290" s="1" t="s">
        <v>5926</v>
      </c>
      <c r="M290" s="1" t="s">
        <v>86</v>
      </c>
      <c r="N290" s="1" t="s">
        <v>1101</v>
      </c>
      <c r="O290" s="1" t="s">
        <v>5927</v>
      </c>
      <c r="P290" s="1" t="s">
        <v>122</v>
      </c>
      <c r="Q290" s="1" t="s">
        <v>5928</v>
      </c>
      <c r="R290" s="1" t="s">
        <v>5929</v>
      </c>
      <c r="S290" s="1">
        <v>8999192909</v>
      </c>
      <c r="T290" s="1" t="s">
        <v>839</v>
      </c>
      <c r="U290" s="1" t="s">
        <v>5930</v>
      </c>
      <c r="V290" s="1">
        <v>7020057963</v>
      </c>
      <c r="W290" s="1" t="s">
        <v>161</v>
      </c>
      <c r="X290" s="1" t="s">
        <v>5931</v>
      </c>
      <c r="Y290" s="1" t="s">
        <v>196</v>
      </c>
      <c r="Z290" s="1" t="s">
        <v>97</v>
      </c>
      <c r="AA290" s="1" t="s">
        <v>5932</v>
      </c>
      <c r="AB290" s="1" t="s">
        <v>410</v>
      </c>
      <c r="AC290" s="1" t="s">
        <v>97</v>
      </c>
      <c r="AD290" s="1">
        <v>8.08</v>
      </c>
      <c r="AE290" s="1" t="s">
        <v>98</v>
      </c>
      <c r="AF290" s="1" t="s">
        <v>5933</v>
      </c>
      <c r="AG290" s="1" t="s">
        <v>363</v>
      </c>
      <c r="AH290" s="1" t="s">
        <v>170</v>
      </c>
      <c r="AI290" s="1" t="s">
        <v>286</v>
      </c>
      <c r="AJ290" s="1">
        <v>89.8</v>
      </c>
      <c r="AK290" s="1"/>
      <c r="AL290" s="1" t="s">
        <v>5934</v>
      </c>
      <c r="AM290" s="1" t="s">
        <v>363</v>
      </c>
      <c r="AN290" s="1" t="s">
        <v>575</v>
      </c>
      <c r="AO290" s="1" t="s">
        <v>438</v>
      </c>
      <c r="AP290" s="1" t="s">
        <v>468</v>
      </c>
      <c r="AQ290" s="1">
        <v>71.69</v>
      </c>
      <c r="AR290" s="1"/>
      <c r="AS290" s="1"/>
      <c r="AT290" s="1"/>
      <c r="AU290" s="1"/>
      <c r="AV290" s="1"/>
      <c r="AW290" s="1"/>
      <c r="AX290" s="1"/>
      <c r="AY290" s="1" t="s">
        <v>415</v>
      </c>
      <c r="AZ290" s="1" t="s">
        <v>5935</v>
      </c>
      <c r="BA290" s="1" t="s">
        <v>466</v>
      </c>
      <c r="BB290" s="1" t="s">
        <v>467</v>
      </c>
      <c r="BC290" s="1" t="s">
        <v>178</v>
      </c>
      <c r="BD290" s="1" t="s">
        <v>207</v>
      </c>
      <c r="BE290" s="1">
        <v>73</v>
      </c>
      <c r="BF290" s="1">
        <v>8.05</v>
      </c>
      <c r="BG290" s="1"/>
      <c r="BH290" s="1"/>
      <c r="BI290" s="1"/>
      <c r="BJ290" s="1"/>
      <c r="BK290" s="1"/>
      <c r="BL290" s="1"/>
      <c r="BM290" s="1"/>
      <c r="BN290" s="1"/>
      <c r="BO290" s="1" t="s">
        <v>5936</v>
      </c>
      <c r="BP290" s="1"/>
      <c r="BQ290" s="1"/>
      <c r="BR290" s="1" t="s">
        <v>5937</v>
      </c>
      <c r="BS290" s="1">
        <v>40</v>
      </c>
      <c r="BT290" s="1" t="s">
        <v>5938</v>
      </c>
      <c r="BU290" s="1" t="str">
        <f>HYPERLINK("https://nconnect.nicmar.ac.in/storage/profile/ProfilePhoto_P25700284_724851.jpg","Download")</f>
        <v>0</v>
      </c>
      <c r="BV290" s="3"/>
      <c r="BW290" s="3"/>
    </row>
    <row r="291" spans="1:75">
      <c r="A291" s="1" t="s">
        <v>75</v>
      </c>
      <c r="B291" s="1" t="s">
        <v>446</v>
      </c>
      <c r="C291" s="1" t="s">
        <v>5939</v>
      </c>
      <c r="D291" s="1" t="s">
        <v>4820</v>
      </c>
      <c r="E291" s="1" t="s">
        <v>5940</v>
      </c>
      <c r="F291" s="1" t="s">
        <v>5941</v>
      </c>
      <c r="G291" s="1" t="s">
        <v>5942</v>
      </c>
      <c r="H291" s="1" t="s">
        <v>5943</v>
      </c>
      <c r="I291" s="1" t="s">
        <v>5944</v>
      </c>
      <c r="J291" s="1">
        <v>9137909715</v>
      </c>
      <c r="K291" s="1" t="s">
        <v>84</v>
      </c>
      <c r="L291" s="1" t="s">
        <v>5945</v>
      </c>
      <c r="M291" s="1" t="s">
        <v>86</v>
      </c>
      <c r="N291" s="1" t="s">
        <v>3064</v>
      </c>
      <c r="O291" s="1"/>
      <c r="P291" s="1" t="s">
        <v>455</v>
      </c>
      <c r="Q291" s="1" t="s">
        <v>5946</v>
      </c>
      <c r="R291" s="1" t="s">
        <v>5947</v>
      </c>
      <c r="S291" s="1">
        <v>9004413615</v>
      </c>
      <c r="T291" s="1" t="s">
        <v>5948</v>
      </c>
      <c r="U291" s="1" t="s">
        <v>5949</v>
      </c>
      <c r="V291" s="1">
        <v>9137909715</v>
      </c>
      <c r="W291" s="1" t="s">
        <v>5950</v>
      </c>
      <c r="X291" s="1" t="s">
        <v>5951</v>
      </c>
      <c r="Y291" s="1" t="s">
        <v>2259</v>
      </c>
      <c r="Z291" s="1" t="s">
        <v>97</v>
      </c>
      <c r="AA291" s="1" t="s">
        <v>5951</v>
      </c>
      <c r="AB291" s="1" t="s">
        <v>2259</v>
      </c>
      <c r="AC291" s="1" t="s">
        <v>97</v>
      </c>
      <c r="AD291" s="1">
        <v>8.21</v>
      </c>
      <c r="AE291" s="1" t="s">
        <v>98</v>
      </c>
      <c r="AF291" s="1" t="s">
        <v>5952</v>
      </c>
      <c r="AG291" s="1" t="s">
        <v>5953</v>
      </c>
      <c r="AH291" s="1" t="s">
        <v>106</v>
      </c>
      <c r="AI291" s="1" t="s">
        <v>313</v>
      </c>
      <c r="AJ291" s="1">
        <v>61.8</v>
      </c>
      <c r="AK291" s="1">
        <v>0</v>
      </c>
      <c r="AL291" s="1"/>
      <c r="AM291" s="1"/>
      <c r="AN291" s="1"/>
      <c r="AO291" s="1"/>
      <c r="AP291" s="1"/>
      <c r="AQ291" s="1"/>
      <c r="AR291" s="1"/>
      <c r="AS291" s="1" t="s">
        <v>103</v>
      </c>
      <c r="AT291" s="1" t="s">
        <v>5954</v>
      </c>
      <c r="AU291" s="1" t="s">
        <v>315</v>
      </c>
      <c r="AV291" s="1" t="s">
        <v>110</v>
      </c>
      <c r="AW291" s="1">
        <v>90.16</v>
      </c>
      <c r="AX291" s="1">
        <v>0</v>
      </c>
      <c r="AY291" s="1" t="s">
        <v>258</v>
      </c>
      <c r="AZ291" s="1" t="s">
        <v>5955</v>
      </c>
      <c r="BA291" s="1" t="s">
        <v>578</v>
      </c>
      <c r="BB291" s="1" t="s">
        <v>467</v>
      </c>
      <c r="BC291" s="1" t="s">
        <v>1889</v>
      </c>
      <c r="BD291" s="1" t="s">
        <v>1401</v>
      </c>
      <c r="BE291" s="1">
        <v>66.65</v>
      </c>
      <c r="BF291" s="1">
        <v>7.32</v>
      </c>
      <c r="BG291" s="1"/>
      <c r="BH291" s="1"/>
      <c r="BI291" s="1"/>
      <c r="BJ291" s="1"/>
      <c r="BK291" s="1"/>
      <c r="BL291" s="1"/>
      <c r="BM291" s="1"/>
      <c r="BN291" s="1"/>
      <c r="BO291" s="1" t="s">
        <v>5956</v>
      </c>
      <c r="BP291" s="1"/>
      <c r="BQ291" s="1"/>
      <c r="BR291" s="1" t="s">
        <v>5957</v>
      </c>
      <c r="BS291" s="1">
        <v>26</v>
      </c>
      <c r="BT291" s="1" t="s">
        <v>5958</v>
      </c>
      <c r="BU291" s="1" t="str">
        <f>HYPERLINK("https://nconnect.nicmar.ac.in/storage/profile/6a6caffb11d26.png","Download")</f>
        <v>0</v>
      </c>
      <c r="BV291" s="3"/>
      <c r="BW291" s="3"/>
    </row>
    <row r="292" spans="1:75">
      <c r="A292" s="1" t="s">
        <v>75</v>
      </c>
      <c r="B292" s="1" t="s">
        <v>446</v>
      </c>
      <c r="C292" s="1" t="s">
        <v>5959</v>
      </c>
      <c r="D292" s="1" t="s">
        <v>3331</v>
      </c>
      <c r="E292" s="1" t="s">
        <v>5960</v>
      </c>
      <c r="F292" s="1" t="s">
        <v>587</v>
      </c>
      <c r="G292" s="1" t="s">
        <v>5961</v>
      </c>
      <c r="H292" s="1" t="s">
        <v>5962</v>
      </c>
      <c r="I292" s="1" t="s">
        <v>5963</v>
      </c>
      <c r="J292" s="1">
        <v>8139045033</v>
      </c>
      <c r="K292" s="1" t="s">
        <v>84</v>
      </c>
      <c r="L292" s="1" t="s">
        <v>5964</v>
      </c>
      <c r="M292" s="1" t="s">
        <v>86</v>
      </c>
      <c r="N292" s="1" t="s">
        <v>2521</v>
      </c>
      <c r="O292" s="1"/>
      <c r="P292" s="1" t="s">
        <v>507</v>
      </c>
      <c r="Q292" s="1" t="s">
        <v>5965</v>
      </c>
      <c r="R292" s="1" t="s">
        <v>5966</v>
      </c>
      <c r="S292" s="1">
        <v>9447453418</v>
      </c>
      <c r="T292" s="1" t="s">
        <v>5967</v>
      </c>
      <c r="U292" s="1" t="s">
        <v>5968</v>
      </c>
      <c r="V292" s="1">
        <v>6282314227</v>
      </c>
      <c r="W292" s="1" t="s">
        <v>5969</v>
      </c>
      <c r="X292" s="1" t="s">
        <v>5970</v>
      </c>
      <c r="Y292" s="1" t="s">
        <v>1283</v>
      </c>
      <c r="Z292" s="1" t="s">
        <v>130</v>
      </c>
      <c r="AA292" s="1" t="s">
        <v>5970</v>
      </c>
      <c r="AB292" s="1" t="s">
        <v>1283</v>
      </c>
      <c r="AC292" s="1" t="s">
        <v>130</v>
      </c>
      <c r="AD292" s="1">
        <v>9.08</v>
      </c>
      <c r="AE292" s="1" t="s">
        <v>98</v>
      </c>
      <c r="AF292" s="1" t="s">
        <v>5971</v>
      </c>
      <c r="AG292" s="1" t="s">
        <v>5972</v>
      </c>
      <c r="AH292" s="1" t="s">
        <v>286</v>
      </c>
      <c r="AI292" s="1" t="s">
        <v>313</v>
      </c>
      <c r="AJ292" s="1">
        <v>91</v>
      </c>
      <c r="AK292" s="1"/>
      <c r="AL292" s="1" t="s">
        <v>5971</v>
      </c>
      <c r="AM292" s="1" t="s">
        <v>5973</v>
      </c>
      <c r="AN292" s="1" t="s">
        <v>575</v>
      </c>
      <c r="AO292" s="1" t="s">
        <v>603</v>
      </c>
      <c r="AP292" s="1" t="s">
        <v>549</v>
      </c>
      <c r="AQ292" s="1">
        <v>98.66</v>
      </c>
      <c r="AR292" s="1"/>
      <c r="AS292" s="1"/>
      <c r="AT292" s="1"/>
      <c r="AU292" s="1"/>
      <c r="AV292" s="1"/>
      <c r="AW292" s="1"/>
      <c r="AX292" s="1"/>
      <c r="AY292" s="1" t="s">
        <v>137</v>
      </c>
      <c r="AZ292" s="1" t="s">
        <v>5974</v>
      </c>
      <c r="BA292" s="1" t="s">
        <v>466</v>
      </c>
      <c r="BB292" s="1" t="s">
        <v>467</v>
      </c>
      <c r="BC292" s="1" t="s">
        <v>140</v>
      </c>
      <c r="BD292" s="1" t="s">
        <v>848</v>
      </c>
      <c r="BE292" s="1">
        <v>83.9</v>
      </c>
      <c r="BF292" s="1"/>
      <c r="BG292" s="1"/>
      <c r="BH292" s="1"/>
      <c r="BI292" s="1"/>
      <c r="BJ292" s="1"/>
      <c r="BK292" s="1"/>
      <c r="BL292" s="1"/>
      <c r="BM292" s="1"/>
      <c r="BN292" s="1"/>
      <c r="BO292" s="1" t="s">
        <v>1114</v>
      </c>
      <c r="BP292" s="1"/>
      <c r="BQ292" s="1"/>
      <c r="BR292" s="1" t="s">
        <v>5975</v>
      </c>
      <c r="BS292" s="1">
        <v>7</v>
      </c>
      <c r="BT292" s="1" t="s">
        <v>5896</v>
      </c>
      <c r="BU292" s="1" t="str">
        <f>HYPERLINK("https://nconnect.nicmar.ac.in/storage/profile/ProfilePhoto_P25700286_398214.jpg","Download")</f>
        <v>0</v>
      </c>
      <c r="BV292" s="3"/>
      <c r="BW292" s="4">
        <v>1</v>
      </c>
    </row>
    <row r="293" spans="1:75">
      <c r="A293" s="1" t="s">
        <v>75</v>
      </c>
      <c r="B293" s="1" t="s">
        <v>446</v>
      </c>
      <c r="C293" s="1" t="s">
        <v>5976</v>
      </c>
      <c r="D293" s="1" t="s">
        <v>4852</v>
      </c>
      <c r="E293" s="1" t="s">
        <v>5977</v>
      </c>
      <c r="F293" s="1" t="s">
        <v>5978</v>
      </c>
      <c r="G293" s="1" t="s">
        <v>5979</v>
      </c>
      <c r="H293" s="1" t="s">
        <v>5980</v>
      </c>
      <c r="I293" s="1" t="s">
        <v>5981</v>
      </c>
      <c r="J293" s="1">
        <v>9834762330</v>
      </c>
      <c r="K293" s="1" t="s">
        <v>84</v>
      </c>
      <c r="L293" s="1" t="s">
        <v>5982</v>
      </c>
      <c r="M293" s="1" t="s">
        <v>86</v>
      </c>
      <c r="N293" s="1" t="s">
        <v>768</v>
      </c>
      <c r="O293" s="1"/>
      <c r="P293" s="1" t="s">
        <v>455</v>
      </c>
      <c r="Q293" s="1" t="s">
        <v>5983</v>
      </c>
      <c r="R293" s="1" t="s">
        <v>5984</v>
      </c>
      <c r="S293" s="1">
        <v>9421510620</v>
      </c>
      <c r="T293" s="1" t="s">
        <v>127</v>
      </c>
      <c r="U293" s="1" t="s">
        <v>5985</v>
      </c>
      <c r="V293" s="1">
        <v>9423114762</v>
      </c>
      <c r="W293" s="1" t="s">
        <v>127</v>
      </c>
      <c r="X293" s="1" t="s">
        <v>5986</v>
      </c>
      <c r="Y293" s="1" t="s">
        <v>910</v>
      </c>
      <c r="Z293" s="1" t="s">
        <v>97</v>
      </c>
      <c r="AA293" s="1" t="s">
        <v>5986</v>
      </c>
      <c r="AB293" s="1" t="s">
        <v>910</v>
      </c>
      <c r="AC293" s="1" t="s">
        <v>97</v>
      </c>
      <c r="AD293" s="1">
        <v>8.08</v>
      </c>
      <c r="AE293" s="1" t="s">
        <v>98</v>
      </c>
      <c r="AF293" s="1" t="s">
        <v>5987</v>
      </c>
      <c r="AG293" s="1" t="s">
        <v>1968</v>
      </c>
      <c r="AH293" s="1" t="s">
        <v>515</v>
      </c>
      <c r="AI293" s="1" t="s">
        <v>102</v>
      </c>
      <c r="AJ293" s="1">
        <v>85.8</v>
      </c>
      <c r="AK293" s="1"/>
      <c r="AL293" s="1" t="s">
        <v>5987</v>
      </c>
      <c r="AM293" s="1" t="s">
        <v>1968</v>
      </c>
      <c r="AN293" s="1" t="s">
        <v>575</v>
      </c>
      <c r="AO293" s="1" t="s">
        <v>517</v>
      </c>
      <c r="AP293" s="1" t="s">
        <v>518</v>
      </c>
      <c r="AQ293" s="1">
        <v>72</v>
      </c>
      <c r="AR293" s="1"/>
      <c r="AS293" s="1"/>
      <c r="AT293" s="1"/>
      <c r="AU293" s="1"/>
      <c r="AV293" s="1"/>
      <c r="AW293" s="1"/>
      <c r="AX293" s="1"/>
      <c r="AY293" s="1" t="s">
        <v>366</v>
      </c>
      <c r="AZ293" s="1" t="s">
        <v>5988</v>
      </c>
      <c r="BA293" s="1" t="s">
        <v>578</v>
      </c>
      <c r="BB293" s="1" t="s">
        <v>467</v>
      </c>
      <c r="BC293" s="1" t="s">
        <v>2112</v>
      </c>
      <c r="BD293" s="1" t="s">
        <v>845</v>
      </c>
      <c r="BE293" s="1">
        <v>63.7</v>
      </c>
      <c r="BF293" s="1">
        <v>7.12</v>
      </c>
      <c r="BG293" s="1"/>
      <c r="BH293" s="1"/>
      <c r="BI293" s="1"/>
      <c r="BJ293" s="1"/>
      <c r="BK293" s="1"/>
      <c r="BL293" s="1"/>
      <c r="BM293" s="1"/>
      <c r="BN293" s="1"/>
      <c r="BO293" s="1" t="s">
        <v>5989</v>
      </c>
      <c r="BP293" s="1" t="s">
        <v>5990</v>
      </c>
      <c r="BQ293" s="1" t="s">
        <v>582</v>
      </c>
      <c r="BR293" s="1" t="s">
        <v>5991</v>
      </c>
      <c r="BS293" s="1">
        <v>57</v>
      </c>
      <c r="BT293" s="1" t="s">
        <v>5992</v>
      </c>
      <c r="BU293" s="1" t="str">
        <f>HYPERLINK("https://nconnect.nicmar.ac.in/storage/profile/ProfilePhoto_P25700287_896372.jpg","Download")</f>
        <v>0</v>
      </c>
      <c r="BV293" s="3"/>
      <c r="BW293" s="3"/>
    </row>
    <row r="294" spans="1:75">
      <c r="A294" s="1" t="s">
        <v>75</v>
      </c>
      <c r="B294" s="1" t="s">
        <v>446</v>
      </c>
      <c r="C294" s="1" t="s">
        <v>5993</v>
      </c>
      <c r="D294" s="1" t="s">
        <v>663</v>
      </c>
      <c r="E294" s="1"/>
      <c r="F294" s="1" t="s">
        <v>5994</v>
      </c>
      <c r="G294" s="1" t="s">
        <v>5995</v>
      </c>
      <c r="H294" s="1" t="s">
        <v>5996</v>
      </c>
      <c r="I294" s="1" t="s">
        <v>5997</v>
      </c>
      <c r="J294" s="1">
        <v>7980380083</v>
      </c>
      <c r="K294" s="1" t="s">
        <v>84</v>
      </c>
      <c r="L294" s="1" t="s">
        <v>5998</v>
      </c>
      <c r="M294" s="1" t="s">
        <v>86</v>
      </c>
      <c r="N294" s="1" t="s">
        <v>1228</v>
      </c>
      <c r="O294" s="1"/>
      <c r="P294" s="1" t="s">
        <v>507</v>
      </c>
      <c r="Q294" s="1" t="s">
        <v>5999</v>
      </c>
      <c r="R294" s="1" t="s">
        <v>6000</v>
      </c>
      <c r="S294" s="1">
        <v>9831075337</v>
      </c>
      <c r="T294" s="1" t="s">
        <v>221</v>
      </c>
      <c r="U294" s="1" t="s">
        <v>6001</v>
      </c>
      <c r="V294" s="1">
        <v>9831735275</v>
      </c>
      <c r="W294" s="1" t="s">
        <v>94</v>
      </c>
      <c r="X294" s="1" t="s">
        <v>6002</v>
      </c>
      <c r="Y294" s="1" t="s">
        <v>1233</v>
      </c>
      <c r="Z294" s="1" t="s">
        <v>1234</v>
      </c>
      <c r="AA294" s="1" t="s">
        <v>6002</v>
      </c>
      <c r="AB294" s="1" t="s">
        <v>1233</v>
      </c>
      <c r="AC294" s="1" t="s">
        <v>1234</v>
      </c>
      <c r="AD294" s="1">
        <v>8.85</v>
      </c>
      <c r="AE294" s="1" t="s">
        <v>98</v>
      </c>
      <c r="AF294" s="1" t="s">
        <v>6003</v>
      </c>
      <c r="AG294" s="1" t="s">
        <v>6004</v>
      </c>
      <c r="AH294" s="1" t="s">
        <v>136</v>
      </c>
      <c r="AI294" s="1" t="s">
        <v>627</v>
      </c>
      <c r="AJ294" s="1">
        <v>77.9</v>
      </c>
      <c r="AK294" s="1">
        <v>8.2</v>
      </c>
      <c r="AL294" s="1" t="s">
        <v>6003</v>
      </c>
      <c r="AM294" s="1" t="s">
        <v>6004</v>
      </c>
      <c r="AN294" s="1" t="s">
        <v>575</v>
      </c>
      <c r="AO294" s="1" t="s">
        <v>171</v>
      </c>
      <c r="AP294" s="1" t="s">
        <v>313</v>
      </c>
      <c r="AQ294" s="1">
        <v>63.67</v>
      </c>
      <c r="AR294" s="1"/>
      <c r="AS294" s="1"/>
      <c r="AT294" s="1"/>
      <c r="AU294" s="1"/>
      <c r="AV294" s="1"/>
      <c r="AW294" s="1"/>
      <c r="AX294" s="1"/>
      <c r="AY294" s="1" t="s">
        <v>1240</v>
      </c>
      <c r="AZ294" s="1" t="s">
        <v>6005</v>
      </c>
      <c r="BA294" s="1" t="s">
        <v>466</v>
      </c>
      <c r="BB294" s="1" t="s">
        <v>467</v>
      </c>
      <c r="BC294" s="1" t="s">
        <v>206</v>
      </c>
      <c r="BD294" s="1" t="s">
        <v>234</v>
      </c>
      <c r="BE294" s="1">
        <v>73.9</v>
      </c>
      <c r="BF294" s="1">
        <v>8.14</v>
      </c>
      <c r="BG294" s="1"/>
      <c r="BH294" s="1"/>
      <c r="BI294" s="1"/>
      <c r="BJ294" s="1"/>
      <c r="BK294" s="1"/>
      <c r="BL294" s="1"/>
      <c r="BM294" s="1"/>
      <c r="BN294" s="1"/>
      <c r="BO294" s="1" t="s">
        <v>6006</v>
      </c>
      <c r="BP294" s="1" t="s">
        <v>6007</v>
      </c>
      <c r="BQ294" s="1" t="s">
        <v>1482</v>
      </c>
      <c r="BR294" s="1" t="s">
        <v>6008</v>
      </c>
      <c r="BS294" s="1">
        <v>14</v>
      </c>
      <c r="BT294" s="1" t="s">
        <v>6009</v>
      </c>
      <c r="BU294" s="1" t="str">
        <f>HYPERLINK("https://nconnect.nicmar.ac.in/storage/profile/ProfilePhoto_P25700288_156498.jpg","Download")</f>
        <v>0</v>
      </c>
      <c r="BV294" s="3"/>
      <c r="BW294" s="4">
        <v>1</v>
      </c>
    </row>
    <row r="295" spans="1:75">
      <c r="A295" s="1" t="s">
        <v>75</v>
      </c>
      <c r="B295" s="1" t="s">
        <v>446</v>
      </c>
      <c r="C295" s="1" t="s">
        <v>6010</v>
      </c>
      <c r="D295" s="1" t="s">
        <v>6011</v>
      </c>
      <c r="E295" s="1" t="s">
        <v>6012</v>
      </c>
      <c r="F295" s="1" t="s">
        <v>6013</v>
      </c>
      <c r="G295" s="1" t="s">
        <v>6014</v>
      </c>
      <c r="H295" s="1" t="s">
        <v>6015</v>
      </c>
      <c r="I295" s="1" t="s">
        <v>6016</v>
      </c>
      <c r="J295" s="1">
        <v>9689670454</v>
      </c>
      <c r="K295" s="1" t="s">
        <v>153</v>
      </c>
      <c r="L295" s="1" t="s">
        <v>6017</v>
      </c>
      <c r="M295" s="1" t="s">
        <v>86</v>
      </c>
      <c r="N295" s="1" t="s">
        <v>618</v>
      </c>
      <c r="O295" s="1"/>
      <c r="P295" s="1" t="s">
        <v>507</v>
      </c>
      <c r="Q295" s="1" t="s">
        <v>6018</v>
      </c>
      <c r="R295" s="1" t="s">
        <v>1669</v>
      </c>
      <c r="S295" s="1">
        <v>9823494139</v>
      </c>
      <c r="T295" s="1" t="s">
        <v>6019</v>
      </c>
      <c r="U295" s="1" t="s">
        <v>6020</v>
      </c>
      <c r="V295" s="1">
        <v>9158976637</v>
      </c>
      <c r="W295" s="1" t="s">
        <v>161</v>
      </c>
      <c r="X295" s="1" t="s">
        <v>6021</v>
      </c>
      <c r="Y295" s="1" t="s">
        <v>410</v>
      </c>
      <c r="Z295" s="1" t="s">
        <v>97</v>
      </c>
      <c r="AA295" s="1" t="s">
        <v>6021</v>
      </c>
      <c r="AB295" s="1" t="s">
        <v>410</v>
      </c>
      <c r="AC295" s="1" t="s">
        <v>97</v>
      </c>
      <c r="AD295" s="1">
        <v>8.15</v>
      </c>
      <c r="AE295" s="1" t="s">
        <v>98</v>
      </c>
      <c r="AF295" s="1" t="s">
        <v>6022</v>
      </c>
      <c r="AG295" s="1" t="s">
        <v>1968</v>
      </c>
      <c r="AH295" s="1" t="s">
        <v>166</v>
      </c>
      <c r="AI295" s="1" t="s">
        <v>167</v>
      </c>
      <c r="AJ295" s="1">
        <v>96</v>
      </c>
      <c r="AK295" s="1"/>
      <c r="AL295" s="1" t="s">
        <v>6023</v>
      </c>
      <c r="AM295" s="1" t="s">
        <v>1968</v>
      </c>
      <c r="AN295" s="1" t="s">
        <v>465</v>
      </c>
      <c r="AO295" s="1" t="s">
        <v>170</v>
      </c>
      <c r="AP295" s="1" t="s">
        <v>1477</v>
      </c>
      <c r="AQ295" s="1">
        <v>74</v>
      </c>
      <c r="AR295" s="1"/>
      <c r="AS295" s="1"/>
      <c r="AT295" s="1"/>
      <c r="AU295" s="1"/>
      <c r="AV295" s="1"/>
      <c r="AW295" s="1"/>
      <c r="AX295" s="1"/>
      <c r="AY295" s="1" t="s">
        <v>6024</v>
      </c>
      <c r="AZ295" s="1" t="s">
        <v>5460</v>
      </c>
      <c r="BA295" s="1" t="s">
        <v>466</v>
      </c>
      <c r="BB295" s="1" t="s">
        <v>467</v>
      </c>
      <c r="BC295" s="1" t="s">
        <v>1065</v>
      </c>
      <c r="BD295" s="1" t="s">
        <v>234</v>
      </c>
      <c r="BE295" s="1">
        <v>66.2</v>
      </c>
      <c r="BF295" s="1">
        <v>7.37</v>
      </c>
      <c r="BG295" s="1" t="s">
        <v>6025</v>
      </c>
      <c r="BH295" s="1" t="s">
        <v>6026</v>
      </c>
      <c r="BI295" s="1"/>
      <c r="BJ295" s="1"/>
      <c r="BK295" s="1" t="s">
        <v>391</v>
      </c>
      <c r="BL295" s="1" t="s">
        <v>553</v>
      </c>
      <c r="BM295" s="1">
        <v>58</v>
      </c>
      <c r="BN295" s="1"/>
      <c r="BO295" s="1" t="s">
        <v>6027</v>
      </c>
      <c r="BP295" s="1"/>
      <c r="BQ295" s="1"/>
      <c r="BR295" s="1" t="s">
        <v>6028</v>
      </c>
      <c r="BS295" s="1">
        <v>30</v>
      </c>
      <c r="BT295" s="1" t="s">
        <v>3596</v>
      </c>
      <c r="BU295" s="1" t="str">
        <f>HYPERLINK("https://nconnect.nicmar.ac.in/storage/profile/ProfilePhoto_P25700289_126498.jpg","Download")</f>
        <v>0</v>
      </c>
      <c r="BV295" s="3"/>
      <c r="BW295" s="3"/>
    </row>
    <row r="296" spans="1:75">
      <c r="A296" s="1" t="s">
        <v>75</v>
      </c>
      <c r="B296" s="1" t="s">
        <v>446</v>
      </c>
      <c r="C296" s="1" t="s">
        <v>6029</v>
      </c>
      <c r="D296" s="1" t="s">
        <v>5752</v>
      </c>
      <c r="E296" s="1" t="s">
        <v>1075</v>
      </c>
      <c r="F296" s="1" t="s">
        <v>6030</v>
      </c>
      <c r="G296" s="1" t="s">
        <v>6031</v>
      </c>
      <c r="H296" s="1" t="s">
        <v>6032</v>
      </c>
      <c r="I296" s="1" t="s">
        <v>6033</v>
      </c>
      <c r="J296" s="1">
        <v>9404709592</v>
      </c>
      <c r="K296" s="1" t="s">
        <v>84</v>
      </c>
      <c r="L296" s="1" t="s">
        <v>6034</v>
      </c>
      <c r="M296" s="1" t="s">
        <v>86</v>
      </c>
      <c r="N296" s="1" t="s">
        <v>618</v>
      </c>
      <c r="O296" s="1"/>
      <c r="P296" s="1" t="s">
        <v>507</v>
      </c>
      <c r="Q296" s="1" t="s">
        <v>6035</v>
      </c>
      <c r="R296" s="1" t="s">
        <v>6036</v>
      </c>
      <c r="S296" s="1">
        <v>9423669295</v>
      </c>
      <c r="T296" s="1" t="s">
        <v>159</v>
      </c>
      <c r="U296" s="1" t="s">
        <v>6037</v>
      </c>
      <c r="V296" s="1">
        <v>9373981479</v>
      </c>
      <c r="W296" s="1" t="s">
        <v>278</v>
      </c>
      <c r="X296" s="1" t="s">
        <v>6038</v>
      </c>
      <c r="Y296" s="1" t="s">
        <v>196</v>
      </c>
      <c r="Z296" s="1" t="s">
        <v>97</v>
      </c>
      <c r="AA296" s="1" t="s">
        <v>6039</v>
      </c>
      <c r="AB296" s="1" t="s">
        <v>410</v>
      </c>
      <c r="AC296" s="1" t="s">
        <v>97</v>
      </c>
      <c r="AD296" s="1">
        <v>8.28</v>
      </c>
      <c r="AE296" s="1" t="s">
        <v>98</v>
      </c>
      <c r="AF296" s="1" t="s">
        <v>6040</v>
      </c>
      <c r="AG296" s="1" t="s">
        <v>775</v>
      </c>
      <c r="AH296" s="1" t="s">
        <v>101</v>
      </c>
      <c r="AI296" s="1" t="s">
        <v>136</v>
      </c>
      <c r="AJ296" s="1">
        <v>70.3</v>
      </c>
      <c r="AK296" s="1">
        <v>7.4</v>
      </c>
      <c r="AL296" s="1" t="s">
        <v>1843</v>
      </c>
      <c r="AM296" s="1" t="s">
        <v>5605</v>
      </c>
      <c r="AN296" s="1" t="s">
        <v>465</v>
      </c>
      <c r="AO296" s="1" t="s">
        <v>342</v>
      </c>
      <c r="AP296" s="1" t="s">
        <v>200</v>
      </c>
      <c r="AQ296" s="1">
        <v>84.2</v>
      </c>
      <c r="AR296" s="1"/>
      <c r="AS296" s="1"/>
      <c r="AT296" s="1"/>
      <c r="AU296" s="1"/>
      <c r="AV296" s="1"/>
      <c r="AW296" s="1"/>
      <c r="AX296" s="1"/>
      <c r="AY296" s="1" t="s">
        <v>415</v>
      </c>
      <c r="AZ296" s="1" t="s">
        <v>6041</v>
      </c>
      <c r="BA296" s="1" t="s">
        <v>578</v>
      </c>
      <c r="BB296" s="1" t="s">
        <v>467</v>
      </c>
      <c r="BC296" s="1" t="s">
        <v>388</v>
      </c>
      <c r="BD296" s="1" t="s">
        <v>845</v>
      </c>
      <c r="BE296" s="1">
        <v>70.8</v>
      </c>
      <c r="BF296" s="1">
        <v>7.83</v>
      </c>
      <c r="BG296" s="1"/>
      <c r="BH296" s="1"/>
      <c r="BI296" s="1"/>
      <c r="BJ296" s="1"/>
      <c r="BK296" s="1"/>
      <c r="BL296" s="1"/>
      <c r="BM296" s="1"/>
      <c r="BN296" s="1"/>
      <c r="BO296" s="1" t="s">
        <v>6042</v>
      </c>
      <c r="BP296" s="1" t="s">
        <v>6043</v>
      </c>
      <c r="BQ296" s="1" t="s">
        <v>1357</v>
      </c>
      <c r="BR296" s="1" t="s">
        <v>6044</v>
      </c>
      <c r="BS296" s="1">
        <v>66</v>
      </c>
      <c r="BT296" s="1" t="s">
        <v>6045</v>
      </c>
      <c r="BU296" s="1" t="str">
        <f>HYPERLINK("https://nconnect.nicmar.ac.in/storage/profile/ProfilePhoto_P25700290_567841.jpg","Download")</f>
        <v>0</v>
      </c>
      <c r="BV296" s="3"/>
      <c r="BW296" s="4">
        <v>1</v>
      </c>
    </row>
    <row r="297" spans="1:75">
      <c r="A297" s="1" t="s">
        <v>75</v>
      </c>
      <c r="B297" s="1" t="s">
        <v>446</v>
      </c>
      <c r="C297" s="1" t="s">
        <v>6046</v>
      </c>
      <c r="D297" s="1" t="s">
        <v>940</v>
      </c>
      <c r="E297" s="1" t="s">
        <v>4707</v>
      </c>
      <c r="F297" s="1" t="s">
        <v>6047</v>
      </c>
      <c r="G297" s="1" t="s">
        <v>6048</v>
      </c>
      <c r="H297" s="1" t="s">
        <v>6049</v>
      </c>
      <c r="I297" s="1" t="s">
        <v>6050</v>
      </c>
      <c r="J297" s="1">
        <v>7768806989</v>
      </c>
      <c r="K297" s="1" t="s">
        <v>84</v>
      </c>
      <c r="L297" s="1" t="s">
        <v>6051</v>
      </c>
      <c r="M297" s="1" t="s">
        <v>86</v>
      </c>
      <c r="N297" s="1" t="s">
        <v>6052</v>
      </c>
      <c r="O297" s="1"/>
      <c r="P297" s="1" t="s">
        <v>455</v>
      </c>
      <c r="Q297" s="1" t="s">
        <v>6053</v>
      </c>
      <c r="R297" s="1" t="s">
        <v>4707</v>
      </c>
      <c r="S297" s="1">
        <v>9730033322</v>
      </c>
      <c r="T297" s="1" t="s">
        <v>839</v>
      </c>
      <c r="U297" s="1" t="s">
        <v>6054</v>
      </c>
      <c r="V297" s="1">
        <v>7588714571</v>
      </c>
      <c r="W297" s="1" t="s">
        <v>161</v>
      </c>
      <c r="X297" s="1" t="s">
        <v>6055</v>
      </c>
      <c r="Y297" s="1" t="s">
        <v>1189</v>
      </c>
      <c r="Z297" s="1" t="s">
        <v>97</v>
      </c>
      <c r="AA297" s="1" t="s">
        <v>6055</v>
      </c>
      <c r="AB297" s="1" t="s">
        <v>1189</v>
      </c>
      <c r="AC297" s="1" t="s">
        <v>97</v>
      </c>
      <c r="AD297" s="1">
        <v>8.77</v>
      </c>
      <c r="AE297" s="1" t="s">
        <v>98</v>
      </c>
      <c r="AF297" s="1" t="s">
        <v>6056</v>
      </c>
      <c r="AG297" s="1" t="s">
        <v>6057</v>
      </c>
      <c r="AH297" s="1" t="s">
        <v>167</v>
      </c>
      <c r="AI297" s="1" t="s">
        <v>200</v>
      </c>
      <c r="AJ297" s="1">
        <v>81.6</v>
      </c>
      <c r="AK297" s="1">
        <v>0</v>
      </c>
      <c r="AL297" s="1"/>
      <c r="AM297" s="1"/>
      <c r="AN297" s="1"/>
      <c r="AO297" s="1"/>
      <c r="AP297" s="1"/>
      <c r="AQ297" s="1"/>
      <c r="AR297" s="1"/>
      <c r="AS297" s="1" t="s">
        <v>439</v>
      </c>
      <c r="AT297" s="1" t="s">
        <v>6058</v>
      </c>
      <c r="AU297" s="1" t="s">
        <v>388</v>
      </c>
      <c r="AV297" s="1" t="s">
        <v>417</v>
      </c>
      <c r="AW297" s="1">
        <v>95.44</v>
      </c>
      <c r="AX297" s="1">
        <v>0</v>
      </c>
      <c r="AY297" s="1" t="s">
        <v>258</v>
      </c>
      <c r="AZ297" s="1" t="s">
        <v>6059</v>
      </c>
      <c r="BA297" s="1" t="s">
        <v>578</v>
      </c>
      <c r="BB297" s="1" t="s">
        <v>467</v>
      </c>
      <c r="BC297" s="1" t="s">
        <v>178</v>
      </c>
      <c r="BD297" s="1" t="s">
        <v>955</v>
      </c>
      <c r="BE297" s="1">
        <v>80.73</v>
      </c>
      <c r="BF297" s="1">
        <v>9.15</v>
      </c>
      <c r="BG297" s="1"/>
      <c r="BH297" s="1"/>
      <c r="BI297" s="1"/>
      <c r="BJ297" s="1"/>
      <c r="BK297" s="1"/>
      <c r="BL297" s="1"/>
      <c r="BM297" s="1"/>
      <c r="BN297" s="1"/>
      <c r="BO297" s="1" t="s">
        <v>6060</v>
      </c>
      <c r="BP297" s="1" t="s">
        <v>6061</v>
      </c>
      <c r="BQ297" s="1" t="s">
        <v>582</v>
      </c>
      <c r="BR297" s="1" t="s">
        <v>6062</v>
      </c>
      <c r="BS297" s="1">
        <v>83</v>
      </c>
      <c r="BT297" s="1"/>
      <c r="BU297" s="1" t="str">
        <f>HYPERLINK("https://nconnect.nicmar.ac.in/storage/profile/ProfilePhoto_P25700291_245196.jpg","Download")</f>
        <v>0</v>
      </c>
      <c r="BV297" s="3"/>
      <c r="BW297" s="3"/>
    </row>
    <row r="298" spans="1:75">
      <c r="A298" s="1" t="s">
        <v>75</v>
      </c>
      <c r="B298" s="1" t="s">
        <v>446</v>
      </c>
      <c r="C298" s="1" t="s">
        <v>6063</v>
      </c>
      <c r="D298" s="1" t="s">
        <v>6064</v>
      </c>
      <c r="E298" s="1"/>
      <c r="F298" s="1" t="s">
        <v>2538</v>
      </c>
      <c r="G298" s="1" t="s">
        <v>6065</v>
      </c>
      <c r="H298" s="1" t="s">
        <v>6066</v>
      </c>
      <c r="I298" s="1" t="s">
        <v>6067</v>
      </c>
      <c r="J298" s="1">
        <v>8085206366</v>
      </c>
      <c r="K298" s="1" t="s">
        <v>153</v>
      </c>
      <c r="L298" s="1" t="s">
        <v>6068</v>
      </c>
      <c r="M298" s="1" t="s">
        <v>86</v>
      </c>
      <c r="N298" s="1" t="s">
        <v>355</v>
      </c>
      <c r="O298" s="1"/>
      <c r="P298" s="1" t="s">
        <v>455</v>
      </c>
      <c r="Q298" s="1" t="s">
        <v>6069</v>
      </c>
      <c r="R298" s="1" t="s">
        <v>6070</v>
      </c>
      <c r="S298" s="1">
        <v>8085189955</v>
      </c>
      <c r="T298" s="1" t="s">
        <v>3396</v>
      </c>
      <c r="U298" s="1" t="s">
        <v>6071</v>
      </c>
      <c r="V298" s="1">
        <v>9752997968</v>
      </c>
      <c r="W298" s="1" t="s">
        <v>161</v>
      </c>
      <c r="X298" s="1" t="s">
        <v>6072</v>
      </c>
      <c r="Y298" s="1" t="s">
        <v>6073</v>
      </c>
      <c r="Z298" s="1" t="s">
        <v>2933</v>
      </c>
      <c r="AA298" s="1" t="s">
        <v>6072</v>
      </c>
      <c r="AB298" s="1" t="s">
        <v>6073</v>
      </c>
      <c r="AC298" s="1" t="s">
        <v>2933</v>
      </c>
      <c r="AD298" s="1">
        <v>8.26</v>
      </c>
      <c r="AE298" s="1" t="s">
        <v>98</v>
      </c>
      <c r="AF298" s="1" t="s">
        <v>6074</v>
      </c>
      <c r="AG298" s="1" t="s">
        <v>6075</v>
      </c>
      <c r="AH298" s="1" t="s">
        <v>200</v>
      </c>
      <c r="AI298" s="1" t="s">
        <v>171</v>
      </c>
      <c r="AJ298" s="1">
        <v>86.2</v>
      </c>
      <c r="AK298" s="1"/>
      <c r="AL298" s="1" t="s">
        <v>6076</v>
      </c>
      <c r="AM298" s="1" t="s">
        <v>6077</v>
      </c>
      <c r="AN298" s="1"/>
      <c r="AO298" s="1" t="s">
        <v>414</v>
      </c>
      <c r="AP298" s="1" t="s">
        <v>178</v>
      </c>
      <c r="AQ298" s="1">
        <v>78</v>
      </c>
      <c r="AR298" s="1"/>
      <c r="AS298" s="1"/>
      <c r="AT298" s="1"/>
      <c r="AU298" s="1"/>
      <c r="AV298" s="1"/>
      <c r="AW298" s="1"/>
      <c r="AX298" s="1"/>
      <c r="AY298" s="1" t="s">
        <v>5338</v>
      </c>
      <c r="AZ298" s="1" t="s">
        <v>6078</v>
      </c>
      <c r="BA298" s="1"/>
      <c r="BB298" s="1"/>
      <c r="BC298" s="1" t="s">
        <v>178</v>
      </c>
      <c r="BD298" s="1" t="s">
        <v>207</v>
      </c>
      <c r="BE298" s="1">
        <v>76.71</v>
      </c>
      <c r="BF298" s="1"/>
      <c r="BG298" s="1"/>
      <c r="BH298" s="1"/>
      <c r="BI298" s="1"/>
      <c r="BJ298" s="1"/>
      <c r="BK298" s="1"/>
      <c r="BL298" s="1"/>
      <c r="BM298" s="1"/>
      <c r="BN298" s="1"/>
      <c r="BO298" s="1" t="s">
        <v>6079</v>
      </c>
      <c r="BP298" s="1"/>
      <c r="BQ298" s="1"/>
      <c r="BR298" s="1" t="s">
        <v>6080</v>
      </c>
      <c r="BS298" s="1">
        <v>8</v>
      </c>
      <c r="BT298" s="1"/>
      <c r="BU298" s="1" t="str">
        <f>HYPERLINK("https://nconnect.nicmar.ac.in/storage/profile/ProfilePhoto_P25700292_526814.jpg","Download")</f>
        <v>0</v>
      </c>
      <c r="BV298" s="3"/>
      <c r="BW298" s="3"/>
    </row>
    <row r="299" spans="1:75">
      <c r="A299" s="1" t="s">
        <v>75</v>
      </c>
      <c r="B299" s="1" t="s">
        <v>446</v>
      </c>
      <c r="C299" s="1" t="s">
        <v>6081</v>
      </c>
      <c r="D299" s="1" t="s">
        <v>148</v>
      </c>
      <c r="E299" s="1" t="s">
        <v>6082</v>
      </c>
      <c r="F299" s="1" t="s">
        <v>6083</v>
      </c>
      <c r="G299" s="1" t="s">
        <v>6084</v>
      </c>
      <c r="H299" s="1" t="s">
        <v>6085</v>
      </c>
      <c r="I299" s="1" t="s">
        <v>6086</v>
      </c>
      <c r="J299" s="1">
        <v>8767880915</v>
      </c>
      <c r="K299" s="1" t="s">
        <v>153</v>
      </c>
      <c r="L299" s="1" t="s">
        <v>6087</v>
      </c>
      <c r="M299" s="1" t="s">
        <v>86</v>
      </c>
      <c r="N299" s="1" t="s">
        <v>6088</v>
      </c>
      <c r="O299" s="1"/>
      <c r="P299" s="1" t="s">
        <v>455</v>
      </c>
      <c r="Q299" s="1" t="s">
        <v>6089</v>
      </c>
      <c r="R299" s="1" t="s">
        <v>6082</v>
      </c>
      <c r="S299" s="1">
        <v>9823049607</v>
      </c>
      <c r="T299" s="1" t="s">
        <v>839</v>
      </c>
      <c r="U299" s="1" t="s">
        <v>6090</v>
      </c>
      <c r="V299" s="1">
        <v>7798726230</v>
      </c>
      <c r="W299" s="1" t="s">
        <v>161</v>
      </c>
      <c r="X299" s="1" t="s">
        <v>6091</v>
      </c>
      <c r="Y299" s="1" t="s">
        <v>196</v>
      </c>
      <c r="Z299" s="1" t="s">
        <v>97</v>
      </c>
      <c r="AA299" s="1" t="s">
        <v>6092</v>
      </c>
      <c r="AB299" s="1" t="s">
        <v>5181</v>
      </c>
      <c r="AC299" s="1" t="s">
        <v>97</v>
      </c>
      <c r="AD299" s="1">
        <v>8.97</v>
      </c>
      <c r="AE299" s="1" t="s">
        <v>98</v>
      </c>
      <c r="AF299" s="1" t="s">
        <v>6093</v>
      </c>
      <c r="AG299" s="1" t="s">
        <v>6094</v>
      </c>
      <c r="AH299" s="1" t="s">
        <v>167</v>
      </c>
      <c r="AI299" s="1" t="s">
        <v>200</v>
      </c>
      <c r="AJ299" s="1">
        <v>81</v>
      </c>
      <c r="AK299" s="1"/>
      <c r="AL299" s="1" t="s">
        <v>6095</v>
      </c>
      <c r="AM299" s="1" t="s">
        <v>6094</v>
      </c>
      <c r="AN299" s="1"/>
      <c r="AO299" s="1" t="s">
        <v>106</v>
      </c>
      <c r="AP299" s="1" t="s">
        <v>203</v>
      </c>
      <c r="AQ299" s="1">
        <v>66.77</v>
      </c>
      <c r="AR299" s="1"/>
      <c r="AS299" s="1"/>
      <c r="AT299" s="1"/>
      <c r="AU299" s="1"/>
      <c r="AV299" s="1"/>
      <c r="AW299" s="1"/>
      <c r="AX299" s="1"/>
      <c r="AY299" s="1" t="s">
        <v>366</v>
      </c>
      <c r="AZ299" s="1" t="s">
        <v>6096</v>
      </c>
      <c r="BA299" s="1"/>
      <c r="BB299" s="1"/>
      <c r="BC299" s="1" t="s">
        <v>206</v>
      </c>
      <c r="BD299" s="1" t="s">
        <v>234</v>
      </c>
      <c r="BE299" s="1">
        <v>79.65</v>
      </c>
      <c r="BF299" s="1">
        <v>8.95</v>
      </c>
      <c r="BG299" s="1"/>
      <c r="BH299" s="1"/>
      <c r="BI299" s="1"/>
      <c r="BJ299" s="1"/>
      <c r="BK299" s="1"/>
      <c r="BL299" s="1"/>
      <c r="BM299" s="1"/>
      <c r="BN299" s="1"/>
      <c r="BO299" s="1" t="s">
        <v>6097</v>
      </c>
      <c r="BP299" s="1"/>
      <c r="BQ299" s="1"/>
      <c r="BR299" s="1" t="s">
        <v>6098</v>
      </c>
      <c r="BS299" s="1">
        <v>30</v>
      </c>
      <c r="BT299" s="1"/>
      <c r="BU299" s="1" t="str">
        <f>HYPERLINK("https://nconnect.nicmar.ac.in/storage/profile/ProfilePhoto_P25700293_417563.jpg","Download")</f>
        <v>0</v>
      </c>
      <c r="BV299" s="3"/>
      <c r="BW299" s="3"/>
    </row>
    <row r="300" spans="1:75">
      <c r="A300" s="1" t="s">
        <v>75</v>
      </c>
      <c r="B300" s="1" t="s">
        <v>446</v>
      </c>
      <c r="C300" s="1" t="s">
        <v>6099</v>
      </c>
      <c r="D300" s="1" t="s">
        <v>6100</v>
      </c>
      <c r="E300" s="1" t="s">
        <v>6101</v>
      </c>
      <c r="F300" s="1" t="s">
        <v>6102</v>
      </c>
      <c r="G300" s="1" t="s">
        <v>6103</v>
      </c>
      <c r="H300" s="1" t="s">
        <v>6104</v>
      </c>
      <c r="I300" s="1" t="s">
        <v>6105</v>
      </c>
      <c r="J300" s="1">
        <v>7993688799</v>
      </c>
      <c r="K300" s="1" t="s">
        <v>84</v>
      </c>
      <c r="L300" s="1" t="s">
        <v>6106</v>
      </c>
      <c r="M300" s="1" t="s">
        <v>86</v>
      </c>
      <c r="N300" s="1" t="s">
        <v>6107</v>
      </c>
      <c r="O300" s="1"/>
      <c r="P300" s="1" t="s">
        <v>455</v>
      </c>
      <c r="Q300" s="1" t="s">
        <v>6108</v>
      </c>
      <c r="R300" s="1" t="s">
        <v>6101</v>
      </c>
      <c r="S300" s="1">
        <v>8412995054</v>
      </c>
      <c r="T300" s="1" t="s">
        <v>539</v>
      </c>
      <c r="U300" s="1" t="s">
        <v>6109</v>
      </c>
      <c r="V300" s="1">
        <v>8412995054</v>
      </c>
      <c r="W300" s="1" t="s">
        <v>541</v>
      </c>
      <c r="X300" s="1" t="s">
        <v>6110</v>
      </c>
      <c r="Y300" s="1" t="s">
        <v>196</v>
      </c>
      <c r="Z300" s="1" t="s">
        <v>97</v>
      </c>
      <c r="AA300" s="1" t="s">
        <v>6110</v>
      </c>
      <c r="AB300" s="1" t="s">
        <v>196</v>
      </c>
      <c r="AC300" s="1" t="s">
        <v>97</v>
      </c>
      <c r="AD300" s="1">
        <v>9.08</v>
      </c>
      <c r="AE300" s="1" t="s">
        <v>98</v>
      </c>
      <c r="AF300" s="1" t="s">
        <v>6111</v>
      </c>
      <c r="AG300" s="1" t="s">
        <v>6112</v>
      </c>
      <c r="AH300" s="1" t="s">
        <v>704</v>
      </c>
      <c r="AI300" s="1" t="s">
        <v>171</v>
      </c>
      <c r="AJ300" s="1">
        <v>75.8</v>
      </c>
      <c r="AK300" s="1"/>
      <c r="AL300" s="1" t="s">
        <v>3033</v>
      </c>
      <c r="AM300" s="1" t="s">
        <v>3034</v>
      </c>
      <c r="AN300" s="1" t="s">
        <v>465</v>
      </c>
      <c r="AO300" s="1" t="s">
        <v>547</v>
      </c>
      <c r="AP300" s="1" t="s">
        <v>468</v>
      </c>
      <c r="AQ300" s="1">
        <v>86</v>
      </c>
      <c r="AR300" s="1"/>
      <c r="AS300" s="1"/>
      <c r="AT300" s="1"/>
      <c r="AU300" s="1"/>
      <c r="AV300" s="1"/>
      <c r="AW300" s="1"/>
      <c r="AX300" s="1"/>
      <c r="AY300" s="1" t="s">
        <v>2614</v>
      </c>
      <c r="AZ300" s="1" t="s">
        <v>6113</v>
      </c>
      <c r="BA300" s="1" t="s">
        <v>466</v>
      </c>
      <c r="BB300" s="1" t="s">
        <v>467</v>
      </c>
      <c r="BC300" s="1" t="s">
        <v>1647</v>
      </c>
      <c r="BD300" s="1" t="s">
        <v>418</v>
      </c>
      <c r="BE300" s="1">
        <v>92.9</v>
      </c>
      <c r="BF300" s="1"/>
      <c r="BG300" s="1"/>
      <c r="BH300" s="1"/>
      <c r="BI300" s="1"/>
      <c r="BJ300" s="1"/>
      <c r="BK300" s="1"/>
      <c r="BL300" s="1"/>
      <c r="BM300" s="1"/>
      <c r="BN300" s="1"/>
      <c r="BO300" s="1" t="s">
        <v>6114</v>
      </c>
      <c r="BP300" s="1" t="s">
        <v>6115</v>
      </c>
      <c r="BQ300" s="1" t="s">
        <v>292</v>
      </c>
      <c r="BR300" s="1" t="s">
        <v>6116</v>
      </c>
      <c r="BS300" s="1">
        <v>13</v>
      </c>
      <c r="BT300" s="1"/>
      <c r="BU300" s="1" t="str">
        <f>HYPERLINK("https://nconnect.nicmar.ac.in/storage/profile/ProfilePhoto_P25700294_947681.jpg","Download")</f>
        <v>0</v>
      </c>
      <c r="BV300" s="3"/>
      <c r="BW300" s="3"/>
    </row>
    <row r="301" spans="1:75">
      <c r="A301" s="1" t="s">
        <v>75</v>
      </c>
      <c r="B301" s="1" t="s">
        <v>446</v>
      </c>
      <c r="C301" s="1" t="s">
        <v>6117</v>
      </c>
      <c r="D301" s="1" t="s">
        <v>1319</v>
      </c>
      <c r="E301" s="1" t="s">
        <v>6118</v>
      </c>
      <c r="F301" s="1" t="s">
        <v>241</v>
      </c>
      <c r="G301" s="1" t="s">
        <v>6119</v>
      </c>
      <c r="H301" s="1" t="s">
        <v>6120</v>
      </c>
      <c r="I301" s="1" t="s">
        <v>6121</v>
      </c>
      <c r="J301" s="1">
        <v>7620520360</v>
      </c>
      <c r="K301" s="1" t="s">
        <v>84</v>
      </c>
      <c r="L301" s="1" t="s">
        <v>6122</v>
      </c>
      <c r="M301" s="1" t="s">
        <v>86</v>
      </c>
      <c r="N301" s="1" t="s">
        <v>618</v>
      </c>
      <c r="O301" s="1" t="s">
        <v>157</v>
      </c>
      <c r="P301" s="1" t="s">
        <v>219</v>
      </c>
      <c r="Q301" s="1" t="s">
        <v>6123</v>
      </c>
      <c r="R301" s="1" t="s">
        <v>6124</v>
      </c>
      <c r="S301" s="1">
        <v>9923345160</v>
      </c>
      <c r="T301" s="1" t="s">
        <v>6125</v>
      </c>
      <c r="U301" s="1" t="s">
        <v>6126</v>
      </c>
      <c r="V301" s="1">
        <v>9403031440</v>
      </c>
      <c r="W301" s="1" t="s">
        <v>161</v>
      </c>
      <c r="X301" s="1" t="s">
        <v>6127</v>
      </c>
      <c r="Y301" s="1" t="s">
        <v>6128</v>
      </c>
      <c r="Z301" s="1" t="s">
        <v>97</v>
      </c>
      <c r="AA301" s="1" t="s">
        <v>6127</v>
      </c>
      <c r="AB301" s="1" t="s">
        <v>6128</v>
      </c>
      <c r="AC301" s="1" t="s">
        <v>97</v>
      </c>
      <c r="AD301" s="1">
        <v>8.56</v>
      </c>
      <c r="AE301" s="1" t="s">
        <v>98</v>
      </c>
      <c r="AF301" s="1" t="s">
        <v>6129</v>
      </c>
      <c r="AG301" s="1" t="s">
        <v>165</v>
      </c>
      <c r="AH301" s="1" t="s">
        <v>170</v>
      </c>
      <c r="AI301" s="1" t="s">
        <v>286</v>
      </c>
      <c r="AJ301" s="1">
        <v>90.6</v>
      </c>
      <c r="AK301" s="1"/>
      <c r="AL301" s="1"/>
      <c r="AM301" s="1"/>
      <c r="AN301" s="1"/>
      <c r="AO301" s="1"/>
      <c r="AP301" s="1"/>
      <c r="AQ301" s="1"/>
      <c r="AR301" s="1"/>
      <c r="AS301" s="1" t="s">
        <v>103</v>
      </c>
      <c r="AT301" s="1" t="s">
        <v>6130</v>
      </c>
      <c r="AU301" s="1" t="s">
        <v>1065</v>
      </c>
      <c r="AV301" s="1" t="s">
        <v>441</v>
      </c>
      <c r="AW301" s="1">
        <v>92.47</v>
      </c>
      <c r="AX301" s="1"/>
      <c r="AY301" s="1" t="s">
        <v>258</v>
      </c>
      <c r="AZ301" s="1" t="s">
        <v>6131</v>
      </c>
      <c r="BA301" s="1" t="s">
        <v>578</v>
      </c>
      <c r="BB301" s="1" t="s">
        <v>467</v>
      </c>
      <c r="BC301" s="1" t="s">
        <v>871</v>
      </c>
      <c r="BD301" s="1" t="s">
        <v>1089</v>
      </c>
      <c r="BE301" s="1">
        <v>60.13</v>
      </c>
      <c r="BF301" s="1"/>
      <c r="BG301" s="1"/>
      <c r="BH301" s="1"/>
      <c r="BI301" s="1"/>
      <c r="BJ301" s="1"/>
      <c r="BK301" s="1"/>
      <c r="BL301" s="1"/>
      <c r="BM301" s="1"/>
      <c r="BN301" s="1"/>
      <c r="BO301" s="1" t="s">
        <v>6132</v>
      </c>
      <c r="BP301" s="1" t="s">
        <v>6133</v>
      </c>
      <c r="BQ301" s="1" t="s">
        <v>658</v>
      </c>
      <c r="BR301" s="1" t="s">
        <v>6134</v>
      </c>
      <c r="BS301" s="1">
        <v>8</v>
      </c>
      <c r="BT301" s="1"/>
      <c r="BU301" s="1" t="str">
        <f>HYPERLINK("https://nconnect.nicmar.ac.in/storage/profile/ProfilePhoto_P25700295_417832.jpg","Download")</f>
        <v>0</v>
      </c>
      <c r="BV301" s="3"/>
      <c r="BW301" s="3"/>
    </row>
    <row r="302" spans="1:75">
      <c r="A302" s="1" t="s">
        <v>75</v>
      </c>
      <c r="B302" s="1" t="s">
        <v>446</v>
      </c>
      <c r="C302" s="1" t="s">
        <v>6135</v>
      </c>
      <c r="D302" s="1" t="s">
        <v>6136</v>
      </c>
      <c r="E302" s="1" t="s">
        <v>5753</v>
      </c>
      <c r="F302" s="1" t="s">
        <v>6137</v>
      </c>
      <c r="G302" s="1" t="s">
        <v>6138</v>
      </c>
      <c r="H302" s="1" t="s">
        <v>6139</v>
      </c>
      <c r="I302" s="1" t="s">
        <v>6140</v>
      </c>
      <c r="J302" s="1">
        <v>8317281697</v>
      </c>
      <c r="K302" s="1" t="s">
        <v>84</v>
      </c>
      <c r="L302" s="1" t="s">
        <v>6141</v>
      </c>
      <c r="M302" s="1" t="s">
        <v>86</v>
      </c>
      <c r="N302" s="1" t="s">
        <v>1080</v>
      </c>
      <c r="O302" s="1"/>
      <c r="P302" s="1" t="s">
        <v>455</v>
      </c>
      <c r="Q302" s="1" t="s">
        <v>6142</v>
      </c>
      <c r="R302" s="1" t="s">
        <v>6143</v>
      </c>
      <c r="S302" s="1">
        <v>9422459072</v>
      </c>
      <c r="T302" s="1" t="s">
        <v>3788</v>
      </c>
      <c r="U302" s="1" t="s">
        <v>6144</v>
      </c>
      <c r="V302" s="1">
        <v>7057241917</v>
      </c>
      <c r="W302" s="1" t="s">
        <v>278</v>
      </c>
      <c r="X302" s="1" t="s">
        <v>6145</v>
      </c>
      <c r="Y302" s="1" t="s">
        <v>410</v>
      </c>
      <c r="Z302" s="1" t="s">
        <v>97</v>
      </c>
      <c r="AA302" s="1" t="s">
        <v>6145</v>
      </c>
      <c r="AB302" s="1" t="s">
        <v>410</v>
      </c>
      <c r="AC302" s="1" t="s">
        <v>97</v>
      </c>
      <c r="AD302" s="1">
        <v>8.21</v>
      </c>
      <c r="AE302" s="1" t="s">
        <v>98</v>
      </c>
      <c r="AF302" s="1" t="s">
        <v>6146</v>
      </c>
      <c r="AG302" s="1" t="s">
        <v>165</v>
      </c>
      <c r="AH302" s="1" t="s">
        <v>171</v>
      </c>
      <c r="AI302" s="1" t="s">
        <v>438</v>
      </c>
      <c r="AJ302" s="1">
        <v>73.2</v>
      </c>
      <c r="AK302" s="1">
        <v>0</v>
      </c>
      <c r="AL302" s="1"/>
      <c r="AM302" s="1"/>
      <c r="AN302" s="1"/>
      <c r="AO302" s="1"/>
      <c r="AP302" s="1"/>
      <c r="AQ302" s="1"/>
      <c r="AR302" s="1"/>
      <c r="AS302" s="1" t="s">
        <v>228</v>
      </c>
      <c r="AT302" s="1" t="s">
        <v>6147</v>
      </c>
      <c r="AU302" s="1" t="s">
        <v>315</v>
      </c>
      <c r="AV302" s="1" t="s">
        <v>1400</v>
      </c>
      <c r="AW302" s="1">
        <v>75.95</v>
      </c>
      <c r="AX302" s="1">
        <v>0</v>
      </c>
      <c r="AY302" s="1" t="s">
        <v>366</v>
      </c>
      <c r="AZ302" s="1" t="s">
        <v>6148</v>
      </c>
      <c r="BA302" s="1"/>
      <c r="BB302" s="1"/>
      <c r="BC302" s="1" t="s">
        <v>1889</v>
      </c>
      <c r="BD302" s="1" t="s">
        <v>848</v>
      </c>
      <c r="BE302" s="1">
        <v>68.8</v>
      </c>
      <c r="BF302" s="1">
        <v>7.63</v>
      </c>
      <c r="BG302" s="1"/>
      <c r="BH302" s="1"/>
      <c r="BI302" s="1"/>
      <c r="BJ302" s="1"/>
      <c r="BK302" s="1"/>
      <c r="BL302" s="1"/>
      <c r="BM302" s="1"/>
      <c r="BN302" s="1"/>
      <c r="BO302" s="1" t="s">
        <v>6149</v>
      </c>
      <c r="BP302" s="1"/>
      <c r="BQ302" s="1"/>
      <c r="BR302" s="1" t="s">
        <v>6150</v>
      </c>
      <c r="BS302" s="1">
        <v>12</v>
      </c>
      <c r="BT302" s="1"/>
      <c r="BU302" s="1" t="str">
        <f>HYPERLINK("https://nconnect.nicmar.ac.in/storage/profile/ProfilePhoto_P25700296_392684.jpg","Download")</f>
        <v>0</v>
      </c>
      <c r="BV302" s="3"/>
      <c r="BW302" s="3"/>
    </row>
    <row r="303" spans="1:75">
      <c r="A303" s="1" t="s">
        <v>75</v>
      </c>
      <c r="B303" s="1" t="s">
        <v>446</v>
      </c>
      <c r="C303" s="1" t="s">
        <v>6151</v>
      </c>
      <c r="D303" s="1" t="s">
        <v>6152</v>
      </c>
      <c r="E303" s="1"/>
      <c r="F303" s="1" t="s">
        <v>6153</v>
      </c>
      <c r="G303" s="1" t="s">
        <v>6154</v>
      </c>
      <c r="H303" s="1" t="s">
        <v>6155</v>
      </c>
      <c r="I303" s="1" t="s">
        <v>6156</v>
      </c>
      <c r="J303" s="1">
        <v>8919304008</v>
      </c>
      <c r="K303" s="1" t="s">
        <v>84</v>
      </c>
      <c r="L303" s="1" t="s">
        <v>6157</v>
      </c>
      <c r="M303" s="1" t="s">
        <v>86</v>
      </c>
      <c r="N303" s="1" t="s">
        <v>5525</v>
      </c>
      <c r="O303" s="1"/>
      <c r="P303" s="1" t="s">
        <v>507</v>
      </c>
      <c r="Q303" s="1" t="s">
        <v>6158</v>
      </c>
      <c r="R303" s="1" t="s">
        <v>6159</v>
      </c>
      <c r="S303" s="1">
        <v>9866349968</v>
      </c>
      <c r="T303" s="1" t="s">
        <v>6160</v>
      </c>
      <c r="U303" s="1" t="s">
        <v>6161</v>
      </c>
      <c r="V303" s="1">
        <v>9491222511</v>
      </c>
      <c r="W303" s="1" t="s">
        <v>541</v>
      </c>
      <c r="X303" s="1" t="s">
        <v>6162</v>
      </c>
      <c r="Y303" s="1" t="s">
        <v>3031</v>
      </c>
      <c r="Z303" s="1" t="s">
        <v>461</v>
      </c>
      <c r="AA303" s="1" t="s">
        <v>6163</v>
      </c>
      <c r="AB303" s="1" t="s">
        <v>3031</v>
      </c>
      <c r="AC303" s="1" t="s">
        <v>461</v>
      </c>
      <c r="AD303" s="1">
        <v>8.59</v>
      </c>
      <c r="AE303" s="1" t="s">
        <v>98</v>
      </c>
      <c r="AF303" s="1" t="s">
        <v>6164</v>
      </c>
      <c r="AG303" s="1" t="s">
        <v>6165</v>
      </c>
      <c r="AH303" s="1" t="s">
        <v>106</v>
      </c>
      <c r="AI303" s="1" t="s">
        <v>313</v>
      </c>
      <c r="AJ303" s="1">
        <v>82</v>
      </c>
      <c r="AK303" s="1">
        <v>8.2</v>
      </c>
      <c r="AL303" s="1" t="s">
        <v>6166</v>
      </c>
      <c r="AM303" s="1" t="s">
        <v>6165</v>
      </c>
      <c r="AN303" s="1" t="s">
        <v>465</v>
      </c>
      <c r="AO303" s="1" t="s">
        <v>468</v>
      </c>
      <c r="AP303" s="1" t="s">
        <v>847</v>
      </c>
      <c r="AQ303" s="1">
        <v>81.4</v>
      </c>
      <c r="AR303" s="1">
        <v>8.14</v>
      </c>
      <c r="AS303" s="1"/>
      <c r="AT303" s="1"/>
      <c r="AU303" s="1"/>
      <c r="AV303" s="1"/>
      <c r="AW303" s="1"/>
      <c r="AX303" s="1"/>
      <c r="AY303" s="1" t="s">
        <v>6167</v>
      </c>
      <c r="AZ303" s="1" t="s">
        <v>6168</v>
      </c>
      <c r="BA303" s="1" t="s">
        <v>466</v>
      </c>
      <c r="BB303" s="1" t="s">
        <v>467</v>
      </c>
      <c r="BC303" s="1" t="s">
        <v>847</v>
      </c>
      <c r="BD303" s="1" t="s">
        <v>553</v>
      </c>
      <c r="BE303" s="1">
        <v>71.2</v>
      </c>
      <c r="BF303" s="1">
        <v>7.12</v>
      </c>
      <c r="BG303" s="1"/>
      <c r="BH303" s="1"/>
      <c r="BI303" s="1"/>
      <c r="BJ303" s="1"/>
      <c r="BK303" s="1"/>
      <c r="BL303" s="1"/>
      <c r="BM303" s="1"/>
      <c r="BN303" s="1"/>
      <c r="BO303" s="1" t="s">
        <v>6169</v>
      </c>
      <c r="BP303" s="1"/>
      <c r="BQ303" s="1"/>
      <c r="BR303" s="1" t="s">
        <v>6170</v>
      </c>
      <c r="BS303" s="1">
        <v>11</v>
      </c>
      <c r="BT303" s="1" t="s">
        <v>6171</v>
      </c>
      <c r="BU303" s="1" t="str">
        <f>HYPERLINK("https://nconnect.nicmar.ac.in/storage/profile/ProfilePhoto_P25700297_213596.jpg","Download")</f>
        <v>0</v>
      </c>
      <c r="BV303" s="3"/>
      <c r="BW303" s="3"/>
    </row>
    <row r="304" spans="1:75">
      <c r="A304" s="1" t="s">
        <v>75</v>
      </c>
      <c r="B304" s="1" t="s">
        <v>446</v>
      </c>
      <c r="C304" s="1" t="s">
        <v>6172</v>
      </c>
      <c r="D304" s="1" t="s">
        <v>5238</v>
      </c>
      <c r="E304" s="1" t="s">
        <v>6173</v>
      </c>
      <c r="F304" s="1" t="s">
        <v>3667</v>
      </c>
      <c r="G304" s="1" t="s">
        <v>6174</v>
      </c>
      <c r="H304" s="1" t="s">
        <v>6175</v>
      </c>
      <c r="I304" s="1" t="s">
        <v>6176</v>
      </c>
      <c r="J304" s="1">
        <v>8956224681</v>
      </c>
      <c r="K304" s="1" t="s">
        <v>153</v>
      </c>
      <c r="L304" s="1" t="s">
        <v>6177</v>
      </c>
      <c r="M304" s="1" t="s">
        <v>86</v>
      </c>
      <c r="N304" s="1" t="s">
        <v>6178</v>
      </c>
      <c r="O304" s="1" t="s">
        <v>4179</v>
      </c>
      <c r="P304" s="1" t="s">
        <v>122</v>
      </c>
      <c r="Q304" s="1" t="s">
        <v>6179</v>
      </c>
      <c r="R304" s="1" t="s">
        <v>6173</v>
      </c>
      <c r="S304" s="1">
        <v>7387747887</v>
      </c>
      <c r="T304" s="1" t="s">
        <v>839</v>
      </c>
      <c r="U304" s="1" t="s">
        <v>6180</v>
      </c>
      <c r="V304" s="1">
        <v>9890140647</v>
      </c>
      <c r="W304" s="1" t="s">
        <v>161</v>
      </c>
      <c r="X304" s="1" t="s">
        <v>6181</v>
      </c>
      <c r="Y304" s="1" t="s">
        <v>96</v>
      </c>
      <c r="Z304" s="1" t="s">
        <v>97</v>
      </c>
      <c r="AA304" s="1" t="s">
        <v>6181</v>
      </c>
      <c r="AB304" s="1" t="s">
        <v>96</v>
      </c>
      <c r="AC304" s="1" t="s">
        <v>97</v>
      </c>
      <c r="AD304" s="1">
        <v>7.92</v>
      </c>
      <c r="AE304" s="1" t="s">
        <v>98</v>
      </c>
      <c r="AF304" s="1" t="s">
        <v>6182</v>
      </c>
      <c r="AG304" s="1" t="s">
        <v>199</v>
      </c>
      <c r="AH304" s="1" t="s">
        <v>704</v>
      </c>
      <c r="AI304" s="1" t="s">
        <v>286</v>
      </c>
      <c r="AJ304" s="1">
        <v>90.2</v>
      </c>
      <c r="AK304" s="1">
        <v>0</v>
      </c>
      <c r="AL304" s="1" t="s">
        <v>6183</v>
      </c>
      <c r="AM304" s="1" t="s">
        <v>202</v>
      </c>
      <c r="AN304" s="1" t="s">
        <v>465</v>
      </c>
      <c r="AO304" s="1" t="s">
        <v>364</v>
      </c>
      <c r="AP304" s="1" t="s">
        <v>365</v>
      </c>
      <c r="AQ304" s="1">
        <v>66.92</v>
      </c>
      <c r="AR304" s="1">
        <v>0</v>
      </c>
      <c r="AS304" s="1"/>
      <c r="AT304" s="1"/>
      <c r="AU304" s="1"/>
      <c r="AV304" s="1"/>
      <c r="AW304" s="1"/>
      <c r="AX304" s="1"/>
      <c r="AY304" s="1" t="s">
        <v>4270</v>
      </c>
      <c r="AZ304" s="1" t="s">
        <v>6184</v>
      </c>
      <c r="BA304" s="1" t="s">
        <v>466</v>
      </c>
      <c r="BB304" s="1" t="s">
        <v>467</v>
      </c>
      <c r="BC304" s="1" t="s">
        <v>977</v>
      </c>
      <c r="BD304" s="1" t="s">
        <v>418</v>
      </c>
      <c r="BE304" s="1">
        <v>71.53</v>
      </c>
      <c r="BF304" s="1">
        <v>7.15</v>
      </c>
      <c r="BG304" s="1"/>
      <c r="BH304" s="1"/>
      <c r="BI304" s="1"/>
      <c r="BJ304" s="1"/>
      <c r="BK304" s="1"/>
      <c r="BL304" s="1"/>
      <c r="BM304" s="1"/>
      <c r="BN304" s="1"/>
      <c r="BO304" s="1" t="s">
        <v>6185</v>
      </c>
      <c r="BP304" s="1" t="s">
        <v>6186</v>
      </c>
      <c r="BQ304" s="1" t="s">
        <v>2093</v>
      </c>
      <c r="BR304" s="1" t="s">
        <v>6187</v>
      </c>
      <c r="BS304" s="1">
        <v>30</v>
      </c>
      <c r="BT304" s="1" t="s">
        <v>6188</v>
      </c>
      <c r="BU304" s="1" t="str">
        <f>HYPERLINK("https://nconnect.nicmar.ac.in/storage/profile/ProfilePhoto_P25700298_589421.jpg","Download")</f>
        <v>0</v>
      </c>
      <c r="BV304" s="3"/>
      <c r="BW304" s="3"/>
    </row>
    <row r="305" spans="1:75">
      <c r="A305" s="1" t="s">
        <v>75</v>
      </c>
      <c r="B305" s="1" t="s">
        <v>446</v>
      </c>
      <c r="C305" s="1" t="s">
        <v>6189</v>
      </c>
      <c r="D305" s="1" t="s">
        <v>2829</v>
      </c>
      <c r="E305" s="1"/>
      <c r="F305" s="1" t="s">
        <v>4886</v>
      </c>
      <c r="G305" s="1" t="s">
        <v>6190</v>
      </c>
      <c r="H305" s="1" t="s">
        <v>6191</v>
      </c>
      <c r="I305" s="1" t="s">
        <v>6192</v>
      </c>
      <c r="J305" s="1">
        <v>9881045980</v>
      </c>
      <c r="K305" s="1" t="s">
        <v>84</v>
      </c>
      <c r="L305" s="1" t="s">
        <v>3567</v>
      </c>
      <c r="M305" s="1" t="s">
        <v>86</v>
      </c>
      <c r="N305" s="1" t="s">
        <v>6193</v>
      </c>
      <c r="O305" s="1"/>
      <c r="P305" s="1" t="s">
        <v>507</v>
      </c>
      <c r="Q305" s="1" t="s">
        <v>6194</v>
      </c>
      <c r="R305" s="1" t="s">
        <v>5668</v>
      </c>
      <c r="S305" s="1">
        <v>9422531010</v>
      </c>
      <c r="T305" s="1" t="s">
        <v>926</v>
      </c>
      <c r="U305" s="1" t="s">
        <v>6195</v>
      </c>
      <c r="V305" s="1">
        <v>7522952032</v>
      </c>
      <c r="W305" s="1" t="s">
        <v>94</v>
      </c>
      <c r="X305" s="1" t="s">
        <v>6196</v>
      </c>
      <c r="Y305" s="1" t="s">
        <v>196</v>
      </c>
      <c r="Z305" s="1" t="s">
        <v>97</v>
      </c>
      <c r="AA305" s="1" t="s">
        <v>6197</v>
      </c>
      <c r="AB305" s="1" t="s">
        <v>96</v>
      </c>
      <c r="AC305" s="1" t="s">
        <v>97</v>
      </c>
      <c r="AD305" s="1">
        <v>7.9</v>
      </c>
      <c r="AE305" s="1" t="s">
        <v>98</v>
      </c>
      <c r="AF305" s="1" t="s">
        <v>6198</v>
      </c>
      <c r="AG305" s="1" t="s">
        <v>6199</v>
      </c>
      <c r="AH305" s="1" t="s">
        <v>106</v>
      </c>
      <c r="AI305" s="1" t="s">
        <v>313</v>
      </c>
      <c r="AJ305" s="1">
        <v>88.4</v>
      </c>
      <c r="AK305" s="1">
        <v>0</v>
      </c>
      <c r="AL305" s="1" t="s">
        <v>6200</v>
      </c>
      <c r="AM305" s="1" t="s">
        <v>165</v>
      </c>
      <c r="AN305" s="1"/>
      <c r="AO305" s="1" t="s">
        <v>468</v>
      </c>
      <c r="AP305" s="1" t="s">
        <v>845</v>
      </c>
      <c r="AQ305" s="1">
        <v>91.17</v>
      </c>
      <c r="AR305" s="1">
        <v>0</v>
      </c>
      <c r="AS305" s="1"/>
      <c r="AT305" s="1"/>
      <c r="AU305" s="1"/>
      <c r="AV305" s="1"/>
      <c r="AW305" s="1"/>
      <c r="AX305" s="1"/>
      <c r="AY305" s="1" t="s">
        <v>6201</v>
      </c>
      <c r="AZ305" s="1" t="s">
        <v>6202</v>
      </c>
      <c r="BA305" s="1"/>
      <c r="BB305" s="1"/>
      <c r="BC305" s="1" t="s">
        <v>871</v>
      </c>
      <c r="BD305" s="1" t="s">
        <v>848</v>
      </c>
      <c r="BE305" s="1">
        <v>66.19</v>
      </c>
      <c r="BF305" s="1">
        <v>6.61</v>
      </c>
      <c r="BG305" s="1"/>
      <c r="BH305" s="1"/>
      <c r="BI305" s="1"/>
      <c r="BJ305" s="1"/>
      <c r="BK305" s="1"/>
      <c r="BL305" s="1"/>
      <c r="BM305" s="1"/>
      <c r="BN305" s="1"/>
      <c r="BO305" s="1" t="s">
        <v>369</v>
      </c>
      <c r="BP305" s="1"/>
      <c r="BQ305" s="1"/>
      <c r="BR305" s="1"/>
      <c r="BS305" s="1"/>
      <c r="BT305" s="1"/>
      <c r="BU305" s="1" t="str">
        <f>HYPERLINK("https://nconnect.nicmar.ac.in/storage/profile/ProfilePhoto_P25700299_148926.jpg","Download")</f>
        <v>0</v>
      </c>
      <c r="BV305" s="3"/>
      <c r="BW305" s="3"/>
    </row>
    <row r="306" spans="1:75">
      <c r="A306" s="1" t="s">
        <v>75</v>
      </c>
      <c r="B306" s="1" t="s">
        <v>446</v>
      </c>
      <c r="C306" s="1" t="s">
        <v>6203</v>
      </c>
      <c r="D306" s="1" t="s">
        <v>6204</v>
      </c>
      <c r="E306" s="1" t="s">
        <v>6205</v>
      </c>
      <c r="F306" s="1" t="s">
        <v>6206</v>
      </c>
      <c r="G306" s="1" t="s">
        <v>6207</v>
      </c>
      <c r="H306" s="1" t="s">
        <v>6208</v>
      </c>
      <c r="I306" s="1" t="s">
        <v>6209</v>
      </c>
      <c r="J306" s="1">
        <v>7249391222</v>
      </c>
      <c r="K306" s="1" t="s">
        <v>84</v>
      </c>
      <c r="L306" s="1" t="s">
        <v>6210</v>
      </c>
      <c r="M306" s="1" t="s">
        <v>86</v>
      </c>
      <c r="N306" s="1" t="s">
        <v>618</v>
      </c>
      <c r="O306" s="1"/>
      <c r="P306" s="1" t="s">
        <v>455</v>
      </c>
      <c r="Q306" s="1" t="s">
        <v>6211</v>
      </c>
      <c r="R306" s="1" t="s">
        <v>6205</v>
      </c>
      <c r="S306" s="1">
        <v>9028294000</v>
      </c>
      <c r="T306" s="1" t="s">
        <v>839</v>
      </c>
      <c r="U306" s="1" t="s">
        <v>6212</v>
      </c>
      <c r="V306" s="1">
        <v>9421836969</v>
      </c>
      <c r="W306" s="1" t="s">
        <v>161</v>
      </c>
      <c r="X306" s="1" t="s">
        <v>6213</v>
      </c>
      <c r="Y306" s="1" t="s">
        <v>333</v>
      </c>
      <c r="Z306" s="1" t="s">
        <v>97</v>
      </c>
      <c r="AA306" s="1" t="s">
        <v>6213</v>
      </c>
      <c r="AB306" s="1" t="s">
        <v>333</v>
      </c>
      <c r="AC306" s="1" t="s">
        <v>97</v>
      </c>
      <c r="AD306" s="1">
        <v>7.59</v>
      </c>
      <c r="AE306" s="1" t="s">
        <v>98</v>
      </c>
      <c r="AF306" s="1" t="s">
        <v>6214</v>
      </c>
      <c r="AG306" s="1" t="s">
        <v>165</v>
      </c>
      <c r="AH306" s="1" t="s">
        <v>1213</v>
      </c>
      <c r="AI306" s="1" t="s">
        <v>438</v>
      </c>
      <c r="AJ306" s="1">
        <v>78.2</v>
      </c>
      <c r="AK306" s="1"/>
      <c r="AL306" s="1" t="s">
        <v>6215</v>
      </c>
      <c r="AM306" s="1" t="s">
        <v>165</v>
      </c>
      <c r="AN306" s="1" t="s">
        <v>465</v>
      </c>
      <c r="AO306" s="1" t="s">
        <v>315</v>
      </c>
      <c r="AP306" s="1" t="s">
        <v>441</v>
      </c>
      <c r="AQ306" s="1">
        <v>94.5</v>
      </c>
      <c r="AR306" s="1"/>
      <c r="AS306" s="1"/>
      <c r="AT306" s="1"/>
      <c r="AU306" s="1"/>
      <c r="AV306" s="1"/>
      <c r="AW306" s="1"/>
      <c r="AX306" s="1"/>
      <c r="AY306" s="1" t="s">
        <v>6216</v>
      </c>
      <c r="AZ306" s="1" t="s">
        <v>6217</v>
      </c>
      <c r="BA306" s="1" t="s">
        <v>578</v>
      </c>
      <c r="BB306" s="1" t="s">
        <v>467</v>
      </c>
      <c r="BC306" s="1" t="s">
        <v>871</v>
      </c>
      <c r="BD306" s="1" t="s">
        <v>1401</v>
      </c>
      <c r="BE306" s="1">
        <v>70.29</v>
      </c>
      <c r="BF306" s="1">
        <v>8.07</v>
      </c>
      <c r="BG306" s="1"/>
      <c r="BH306" s="1"/>
      <c r="BI306" s="1"/>
      <c r="BJ306" s="1"/>
      <c r="BK306" s="1"/>
      <c r="BL306" s="1"/>
      <c r="BM306" s="1"/>
      <c r="BN306" s="1"/>
      <c r="BO306" s="1" t="s">
        <v>6218</v>
      </c>
      <c r="BP306" s="1"/>
      <c r="BQ306" s="1"/>
      <c r="BR306" s="1" t="s">
        <v>6219</v>
      </c>
      <c r="BS306" s="1">
        <v>11</v>
      </c>
      <c r="BT306" s="1" t="s">
        <v>6220</v>
      </c>
      <c r="BU306" s="1" t="str">
        <f>HYPERLINK("https://nconnect.nicmar.ac.in/storage/profile/ProfilePhoto_P25700300_153649.jpg","Download")</f>
        <v>0</v>
      </c>
      <c r="BV306" s="3"/>
      <c r="BW306" s="3"/>
    </row>
    <row r="307" spans="1:75">
      <c r="A307" s="1" t="s">
        <v>75</v>
      </c>
      <c r="B307" s="1" t="s">
        <v>446</v>
      </c>
      <c r="C307" s="1" t="s">
        <v>6221</v>
      </c>
      <c r="D307" s="1" t="s">
        <v>6222</v>
      </c>
      <c r="E307" s="1"/>
      <c r="F307" s="1" t="s">
        <v>530</v>
      </c>
      <c r="G307" s="1" t="s">
        <v>6223</v>
      </c>
      <c r="H307" s="1" t="s">
        <v>6224</v>
      </c>
      <c r="I307" s="1" t="s">
        <v>6225</v>
      </c>
      <c r="J307" s="1">
        <v>7078578902</v>
      </c>
      <c r="K307" s="1" t="s">
        <v>84</v>
      </c>
      <c r="L307" s="1" t="s">
        <v>6226</v>
      </c>
      <c r="M307" s="1" t="s">
        <v>86</v>
      </c>
      <c r="N307" s="1" t="s">
        <v>246</v>
      </c>
      <c r="O307" s="1"/>
      <c r="P307" s="1" t="s">
        <v>455</v>
      </c>
      <c r="Q307" s="1" t="s">
        <v>6227</v>
      </c>
      <c r="R307" s="1" t="s">
        <v>6228</v>
      </c>
      <c r="S307" s="1">
        <v>7500947699</v>
      </c>
      <c r="T307" s="1" t="s">
        <v>3898</v>
      </c>
      <c r="U307" s="1" t="s">
        <v>6229</v>
      </c>
      <c r="V307" s="1">
        <v>7906433225</v>
      </c>
      <c r="W307" s="1" t="s">
        <v>161</v>
      </c>
      <c r="X307" s="1" t="s">
        <v>6230</v>
      </c>
      <c r="Y307" s="1" t="s">
        <v>6231</v>
      </c>
      <c r="Z307" s="1" t="s">
        <v>544</v>
      </c>
      <c r="AA307" s="1" t="s">
        <v>6230</v>
      </c>
      <c r="AB307" s="1" t="s">
        <v>6231</v>
      </c>
      <c r="AC307" s="1" t="s">
        <v>544</v>
      </c>
      <c r="AD307" s="1">
        <v>9.18</v>
      </c>
      <c r="AE307" s="1" t="s">
        <v>98</v>
      </c>
      <c r="AF307" s="1" t="s">
        <v>6232</v>
      </c>
      <c r="AG307" s="1" t="s">
        <v>6233</v>
      </c>
      <c r="AH307" s="1" t="s">
        <v>286</v>
      </c>
      <c r="AI307" s="1" t="s">
        <v>313</v>
      </c>
      <c r="AJ307" s="1">
        <v>86.4</v>
      </c>
      <c r="AK307" s="1"/>
      <c r="AL307" s="1" t="s">
        <v>6234</v>
      </c>
      <c r="AM307" s="1" t="s">
        <v>6233</v>
      </c>
      <c r="AN307" s="1" t="s">
        <v>465</v>
      </c>
      <c r="AO307" s="1" t="s">
        <v>977</v>
      </c>
      <c r="AP307" s="1" t="s">
        <v>549</v>
      </c>
      <c r="AQ307" s="1">
        <v>84.16</v>
      </c>
      <c r="AR307" s="1"/>
      <c r="AS307" s="1"/>
      <c r="AT307" s="1"/>
      <c r="AU307" s="1"/>
      <c r="AV307" s="1"/>
      <c r="AW307" s="1"/>
      <c r="AX307" s="1"/>
      <c r="AY307" s="1" t="s">
        <v>978</v>
      </c>
      <c r="AZ307" s="1" t="s">
        <v>6235</v>
      </c>
      <c r="BA307" s="1" t="s">
        <v>578</v>
      </c>
      <c r="BB307" s="1" t="s">
        <v>467</v>
      </c>
      <c r="BC307" s="1" t="s">
        <v>441</v>
      </c>
      <c r="BD307" s="1" t="s">
        <v>553</v>
      </c>
      <c r="BE307" s="1">
        <v>86.9</v>
      </c>
      <c r="BF307" s="1">
        <v>8.69</v>
      </c>
      <c r="BG307" s="1"/>
      <c r="BH307" s="1"/>
      <c r="BI307" s="1"/>
      <c r="BJ307" s="1"/>
      <c r="BK307" s="1"/>
      <c r="BL307" s="1"/>
      <c r="BM307" s="1"/>
      <c r="BN307" s="1"/>
      <c r="BO307" s="1" t="s">
        <v>6236</v>
      </c>
      <c r="BP307" s="1"/>
      <c r="BQ307" s="1"/>
      <c r="BR307" s="1" t="s">
        <v>6237</v>
      </c>
      <c r="BS307" s="1">
        <v>17</v>
      </c>
      <c r="BT307" s="1" t="s">
        <v>6238</v>
      </c>
      <c r="BU307" s="1" t="str">
        <f>HYPERLINK("https://nconnect.nicmar.ac.in/storage/profile/ProfilePhoto_P25700301_346981.jpg","Download")</f>
        <v>0</v>
      </c>
      <c r="BV307" s="3"/>
      <c r="BW307" s="4">
        <v>1</v>
      </c>
    </row>
    <row r="308" spans="1:75">
      <c r="A308" s="1" t="s">
        <v>75</v>
      </c>
      <c r="B308" s="1" t="s">
        <v>446</v>
      </c>
      <c r="C308" s="1" t="s">
        <v>6239</v>
      </c>
      <c r="D308" s="1" t="s">
        <v>6240</v>
      </c>
      <c r="E308" s="1" t="s">
        <v>6241</v>
      </c>
      <c r="F308" s="1" t="s">
        <v>1788</v>
      </c>
      <c r="G308" s="1" t="s">
        <v>6242</v>
      </c>
      <c r="H308" s="1" t="s">
        <v>6243</v>
      </c>
      <c r="I308" s="1" t="s">
        <v>6244</v>
      </c>
      <c r="J308" s="1">
        <v>7972098689</v>
      </c>
      <c r="K308" s="1" t="s">
        <v>84</v>
      </c>
      <c r="L308" s="1" t="s">
        <v>6245</v>
      </c>
      <c r="M308" s="1" t="s">
        <v>86</v>
      </c>
      <c r="N308" s="1" t="s">
        <v>6246</v>
      </c>
      <c r="O308" s="1"/>
      <c r="P308" s="1" t="s">
        <v>507</v>
      </c>
      <c r="Q308" s="1" t="s">
        <v>6247</v>
      </c>
      <c r="R308" s="1" t="s">
        <v>1788</v>
      </c>
      <c r="S308" s="1">
        <v>7972098689</v>
      </c>
      <c r="T308" s="1" t="s">
        <v>159</v>
      </c>
      <c r="U308" s="1" t="s">
        <v>3570</v>
      </c>
      <c r="V308" s="1">
        <v>7972098689</v>
      </c>
      <c r="W308" s="1" t="s">
        <v>161</v>
      </c>
      <c r="X308" s="1" t="s">
        <v>6248</v>
      </c>
      <c r="Y308" s="1" t="s">
        <v>196</v>
      </c>
      <c r="Z308" s="1" t="s">
        <v>97</v>
      </c>
      <c r="AA308" s="1" t="s">
        <v>6249</v>
      </c>
      <c r="AB308" s="1" t="s">
        <v>1189</v>
      </c>
      <c r="AC308" s="1" t="s">
        <v>97</v>
      </c>
      <c r="AD308" s="1">
        <v>8.44</v>
      </c>
      <c r="AE308" s="1" t="s">
        <v>98</v>
      </c>
      <c r="AF308" s="1" t="s">
        <v>6250</v>
      </c>
      <c r="AG308" s="1" t="s">
        <v>6251</v>
      </c>
      <c r="AH308" s="1" t="s">
        <v>3285</v>
      </c>
      <c r="AI308" s="1" t="s">
        <v>133</v>
      </c>
      <c r="AJ308" s="1">
        <v>81.27</v>
      </c>
      <c r="AK308" s="1"/>
      <c r="AL308" s="1" t="s">
        <v>6252</v>
      </c>
      <c r="AM308" s="1" t="s">
        <v>6253</v>
      </c>
      <c r="AN308" s="1" t="s">
        <v>465</v>
      </c>
      <c r="AO308" s="1" t="s">
        <v>1583</v>
      </c>
      <c r="AP308" s="1" t="s">
        <v>101</v>
      </c>
      <c r="AQ308" s="1">
        <v>66.31</v>
      </c>
      <c r="AR308" s="1"/>
      <c r="AS308" s="1"/>
      <c r="AT308" s="1"/>
      <c r="AU308" s="1"/>
      <c r="AV308" s="1"/>
      <c r="AW308" s="1"/>
      <c r="AX308" s="1"/>
      <c r="AY308" s="1" t="s">
        <v>366</v>
      </c>
      <c r="AZ308" s="1" t="s">
        <v>6254</v>
      </c>
      <c r="BA308" s="1" t="s">
        <v>578</v>
      </c>
      <c r="BB308" s="1" t="s">
        <v>467</v>
      </c>
      <c r="BC308" s="1" t="s">
        <v>135</v>
      </c>
      <c r="BD308" s="1" t="s">
        <v>174</v>
      </c>
      <c r="BE308" s="1">
        <v>65.54</v>
      </c>
      <c r="BF308" s="1"/>
      <c r="BG308" s="1"/>
      <c r="BH308" s="1"/>
      <c r="BI308" s="1"/>
      <c r="BJ308" s="1"/>
      <c r="BK308" s="1"/>
      <c r="BL308" s="1"/>
      <c r="BM308" s="1"/>
      <c r="BN308" s="1"/>
      <c r="BO308" s="1" t="s">
        <v>369</v>
      </c>
      <c r="BP308" s="1" t="s">
        <v>6255</v>
      </c>
      <c r="BQ308" s="1" t="s">
        <v>6256</v>
      </c>
      <c r="BR308" s="1" t="s">
        <v>6257</v>
      </c>
      <c r="BS308" s="1">
        <v>9</v>
      </c>
      <c r="BT308" s="1" t="s">
        <v>6258</v>
      </c>
      <c r="BU308" s="1" t="str">
        <f>HYPERLINK("https://nconnect.nicmar.ac.in/storage/profile/ProfilePhoto_P25700302_214356.jpg","Download")</f>
        <v>0</v>
      </c>
      <c r="BV308" s="3"/>
      <c r="BW308" s="3"/>
    </row>
    <row r="309" spans="1:75">
      <c r="A309" s="1" t="s">
        <v>75</v>
      </c>
      <c r="B309" s="1" t="s">
        <v>446</v>
      </c>
      <c r="C309" s="1" t="s">
        <v>6259</v>
      </c>
      <c r="D309" s="1" t="s">
        <v>2641</v>
      </c>
      <c r="E309" s="1" t="s">
        <v>5430</v>
      </c>
      <c r="F309" s="1" t="s">
        <v>3649</v>
      </c>
      <c r="G309" s="1" t="s">
        <v>6260</v>
      </c>
      <c r="H309" s="1" t="s">
        <v>6261</v>
      </c>
      <c r="I309" s="1" t="s">
        <v>6262</v>
      </c>
      <c r="J309" s="1">
        <v>9704344140</v>
      </c>
      <c r="K309" s="1" t="s">
        <v>84</v>
      </c>
      <c r="L309" s="1" t="s">
        <v>989</v>
      </c>
      <c r="M309" s="1" t="s">
        <v>86</v>
      </c>
      <c r="N309" s="1" t="s">
        <v>6263</v>
      </c>
      <c r="O309" s="1"/>
      <c r="P309" s="1" t="s">
        <v>481</v>
      </c>
      <c r="Q309" s="1" t="s">
        <v>6264</v>
      </c>
      <c r="R309" s="1" t="s">
        <v>6265</v>
      </c>
      <c r="S309" s="1">
        <v>8919045993</v>
      </c>
      <c r="T309" s="1" t="s">
        <v>839</v>
      </c>
      <c r="U309" s="1" t="s">
        <v>6266</v>
      </c>
      <c r="V309" s="1">
        <v>9618089886</v>
      </c>
      <c r="W309" s="1" t="s">
        <v>541</v>
      </c>
      <c r="X309" s="1" t="s">
        <v>6267</v>
      </c>
      <c r="Y309" s="1" t="s">
        <v>3846</v>
      </c>
      <c r="Z309" s="1" t="s">
        <v>281</v>
      </c>
      <c r="AA309" s="1" t="s">
        <v>6267</v>
      </c>
      <c r="AB309" s="1" t="s">
        <v>3846</v>
      </c>
      <c r="AC309" s="1" t="s">
        <v>281</v>
      </c>
      <c r="AD309" s="1">
        <v>8.26</v>
      </c>
      <c r="AE309" s="1" t="s">
        <v>98</v>
      </c>
      <c r="AF309" s="1" t="s">
        <v>6268</v>
      </c>
      <c r="AG309" s="1" t="s">
        <v>6269</v>
      </c>
      <c r="AH309" s="1" t="s">
        <v>200</v>
      </c>
      <c r="AI309" s="1" t="s">
        <v>171</v>
      </c>
      <c r="AJ309" s="1">
        <v>86</v>
      </c>
      <c r="AK309" s="1"/>
      <c r="AL309" s="1" t="s">
        <v>6270</v>
      </c>
      <c r="AM309" s="1" t="s">
        <v>6271</v>
      </c>
      <c r="AN309" s="1"/>
      <c r="AO309" s="1" t="s">
        <v>106</v>
      </c>
      <c r="AP309" s="1" t="s">
        <v>468</v>
      </c>
      <c r="AQ309" s="1">
        <v>84.3</v>
      </c>
      <c r="AR309" s="1">
        <v>8.86</v>
      </c>
      <c r="AS309" s="1"/>
      <c r="AT309" s="1"/>
      <c r="AU309" s="1"/>
      <c r="AV309" s="1"/>
      <c r="AW309" s="1"/>
      <c r="AX309" s="1"/>
      <c r="AY309" s="1" t="s">
        <v>287</v>
      </c>
      <c r="AZ309" s="1" t="s">
        <v>6272</v>
      </c>
      <c r="BA309" s="1"/>
      <c r="BB309" s="1"/>
      <c r="BC309" s="1" t="s">
        <v>1040</v>
      </c>
      <c r="BD309" s="1" t="s">
        <v>1089</v>
      </c>
      <c r="BE309" s="1">
        <v>72.82</v>
      </c>
      <c r="BF309" s="1">
        <v>7.76</v>
      </c>
      <c r="BG309" s="1"/>
      <c r="BH309" s="1"/>
      <c r="BI309" s="1"/>
      <c r="BJ309" s="1"/>
      <c r="BK309" s="1"/>
      <c r="BL309" s="1"/>
      <c r="BM309" s="1"/>
      <c r="BN309" s="1"/>
      <c r="BO309" s="1" t="s">
        <v>1930</v>
      </c>
      <c r="BP309" s="1"/>
      <c r="BQ309" s="1"/>
      <c r="BR309" s="1" t="s">
        <v>6273</v>
      </c>
      <c r="BS309" s="1">
        <v>30</v>
      </c>
      <c r="BT309" s="1"/>
      <c r="BU309" s="1" t="str">
        <f>HYPERLINK("https://nconnect.nicmar.ac.in/storage/profile/ProfilePhoto_P25700303_641892.jpg","Download")</f>
        <v>0</v>
      </c>
      <c r="BV309" s="3"/>
      <c r="BW309" s="3"/>
    </row>
    <row r="310" spans="1:75">
      <c r="A310" s="1" t="s">
        <v>75</v>
      </c>
      <c r="B310" s="1" t="s">
        <v>446</v>
      </c>
      <c r="C310" s="1" t="s">
        <v>6274</v>
      </c>
      <c r="D310" s="1" t="s">
        <v>6275</v>
      </c>
      <c r="E310" s="1" t="s">
        <v>6276</v>
      </c>
      <c r="F310" s="1" t="s">
        <v>6277</v>
      </c>
      <c r="G310" s="1" t="s">
        <v>6278</v>
      </c>
      <c r="H310" s="1" t="s">
        <v>6279</v>
      </c>
      <c r="I310" s="1" t="s">
        <v>6280</v>
      </c>
      <c r="J310" s="1">
        <v>9494842354</v>
      </c>
      <c r="K310" s="1" t="s">
        <v>84</v>
      </c>
      <c r="L310" s="1" t="s">
        <v>6281</v>
      </c>
      <c r="M310" s="1" t="s">
        <v>86</v>
      </c>
      <c r="N310" s="1" t="s">
        <v>4840</v>
      </c>
      <c r="O310" s="1"/>
      <c r="P310" s="1" t="s">
        <v>455</v>
      </c>
      <c r="Q310" s="1" t="s">
        <v>6282</v>
      </c>
      <c r="R310" s="1" t="s">
        <v>6283</v>
      </c>
      <c r="S310" s="1">
        <v>9948281111</v>
      </c>
      <c r="T310" s="1" t="s">
        <v>159</v>
      </c>
      <c r="U310" s="1" t="s">
        <v>6284</v>
      </c>
      <c r="V310" s="1">
        <v>9000911266</v>
      </c>
      <c r="W310" s="1" t="s">
        <v>278</v>
      </c>
      <c r="X310" s="1" t="s">
        <v>6285</v>
      </c>
      <c r="Y310" s="1" t="s">
        <v>3522</v>
      </c>
      <c r="Z310" s="1" t="s">
        <v>281</v>
      </c>
      <c r="AA310" s="1" t="s">
        <v>6285</v>
      </c>
      <c r="AB310" s="1" t="s">
        <v>3522</v>
      </c>
      <c r="AC310" s="1" t="s">
        <v>281</v>
      </c>
      <c r="AD310" s="1">
        <v>9.08</v>
      </c>
      <c r="AE310" s="1" t="s">
        <v>98</v>
      </c>
      <c r="AF310" s="1" t="s">
        <v>6286</v>
      </c>
      <c r="AG310" s="1" t="s">
        <v>6287</v>
      </c>
      <c r="AH310" s="1" t="s">
        <v>170</v>
      </c>
      <c r="AI310" s="1" t="s">
        <v>286</v>
      </c>
      <c r="AJ310" s="1">
        <v>95</v>
      </c>
      <c r="AK310" s="1">
        <v>9.5</v>
      </c>
      <c r="AL310" s="1" t="s">
        <v>6288</v>
      </c>
      <c r="AM310" s="1" t="s">
        <v>1420</v>
      </c>
      <c r="AN310" s="1"/>
      <c r="AO310" s="1" t="s">
        <v>106</v>
      </c>
      <c r="AP310" s="1" t="s">
        <v>603</v>
      </c>
      <c r="AQ310" s="1">
        <v>89.9</v>
      </c>
      <c r="AR310" s="1">
        <v>9.29</v>
      </c>
      <c r="AS310" s="1"/>
      <c r="AT310" s="1"/>
      <c r="AU310" s="1"/>
      <c r="AV310" s="1"/>
      <c r="AW310" s="1"/>
      <c r="AX310" s="1"/>
      <c r="AY310" s="1" t="s">
        <v>2654</v>
      </c>
      <c r="AZ310" s="1" t="s">
        <v>6289</v>
      </c>
      <c r="BA310" s="1"/>
      <c r="BB310" s="1"/>
      <c r="BC310" s="1" t="s">
        <v>468</v>
      </c>
      <c r="BD310" s="1" t="s">
        <v>1314</v>
      </c>
      <c r="BE310" s="1">
        <v>75.3</v>
      </c>
      <c r="BF310" s="1">
        <v>8.28</v>
      </c>
      <c r="BG310" s="1"/>
      <c r="BH310" s="1"/>
      <c r="BI310" s="1"/>
      <c r="BJ310" s="1"/>
      <c r="BK310" s="1"/>
      <c r="BL310" s="1"/>
      <c r="BM310" s="1"/>
      <c r="BN310" s="1"/>
      <c r="BO310" s="1" t="s">
        <v>369</v>
      </c>
      <c r="BP310" s="1"/>
      <c r="BQ310" s="1"/>
      <c r="BR310" s="1" t="s">
        <v>6290</v>
      </c>
      <c r="BS310" s="1">
        <v>26</v>
      </c>
      <c r="BT310" s="1"/>
      <c r="BU310" s="1" t="str">
        <f>HYPERLINK("https://nconnect.nicmar.ac.in/storage/profile/ProfilePhoto_P25700304_328576.jpg","Download")</f>
        <v>0</v>
      </c>
      <c r="BV310" s="3"/>
      <c r="BW310" s="4">
        <v>1</v>
      </c>
    </row>
    <row r="311" spans="1:75">
      <c r="A311" s="1" t="s">
        <v>75</v>
      </c>
      <c r="B311" s="1" t="s">
        <v>446</v>
      </c>
      <c r="C311" s="1" t="s">
        <v>6291</v>
      </c>
      <c r="D311" s="1" t="s">
        <v>761</v>
      </c>
      <c r="E311" s="1" t="s">
        <v>6292</v>
      </c>
      <c r="F311" s="1" t="s">
        <v>6293</v>
      </c>
      <c r="G311" s="1" t="s">
        <v>6294</v>
      </c>
      <c r="H311" s="1" t="s">
        <v>6295</v>
      </c>
      <c r="I311" s="1" t="s">
        <v>6296</v>
      </c>
      <c r="J311" s="1">
        <v>9325587022</v>
      </c>
      <c r="K311" s="1" t="s">
        <v>84</v>
      </c>
      <c r="L311" s="1" t="s">
        <v>3979</v>
      </c>
      <c r="M311" s="1" t="s">
        <v>86</v>
      </c>
      <c r="N311" s="1" t="s">
        <v>903</v>
      </c>
      <c r="O311" s="1"/>
      <c r="P311" s="1" t="s">
        <v>455</v>
      </c>
      <c r="Q311" s="1" t="s">
        <v>6297</v>
      </c>
      <c r="R311" s="1" t="s">
        <v>6298</v>
      </c>
      <c r="S311" s="1">
        <v>9158878170</v>
      </c>
      <c r="T311" s="1" t="s">
        <v>159</v>
      </c>
      <c r="U311" s="1" t="s">
        <v>6299</v>
      </c>
      <c r="V311" s="1">
        <v>9158878170</v>
      </c>
      <c r="W311" s="1" t="s">
        <v>161</v>
      </c>
      <c r="X311" s="1" t="s">
        <v>6300</v>
      </c>
      <c r="Y311" s="1" t="s">
        <v>1779</v>
      </c>
      <c r="Z311" s="1" t="s">
        <v>97</v>
      </c>
      <c r="AA311" s="1" t="s">
        <v>6300</v>
      </c>
      <c r="AB311" s="1" t="s">
        <v>1779</v>
      </c>
      <c r="AC311" s="1" t="s">
        <v>97</v>
      </c>
      <c r="AD311" s="1">
        <v>7.26</v>
      </c>
      <c r="AE311" s="1" t="s">
        <v>98</v>
      </c>
      <c r="AF311" s="1" t="s">
        <v>6301</v>
      </c>
      <c r="AG311" s="1" t="s">
        <v>6302</v>
      </c>
      <c r="AH311" s="1" t="s">
        <v>167</v>
      </c>
      <c r="AI311" s="1" t="s">
        <v>200</v>
      </c>
      <c r="AJ311" s="1">
        <v>70.6</v>
      </c>
      <c r="AK311" s="1">
        <v>0</v>
      </c>
      <c r="AL311" s="1" t="s">
        <v>6303</v>
      </c>
      <c r="AM311" s="1" t="s">
        <v>6304</v>
      </c>
      <c r="AN311" s="1"/>
      <c r="AO311" s="1" t="s">
        <v>106</v>
      </c>
      <c r="AP311" s="1" t="s">
        <v>203</v>
      </c>
      <c r="AQ311" s="1">
        <v>50.31</v>
      </c>
      <c r="AR311" s="1">
        <v>0</v>
      </c>
      <c r="AS311" s="1" t="s">
        <v>103</v>
      </c>
      <c r="AT311" s="1" t="s">
        <v>6305</v>
      </c>
      <c r="AU311" s="1" t="s">
        <v>438</v>
      </c>
      <c r="AV311" s="1" t="s">
        <v>845</v>
      </c>
      <c r="AW311" s="1">
        <v>81.89</v>
      </c>
      <c r="AX311" s="1">
        <v>0</v>
      </c>
      <c r="AY311" s="1" t="s">
        <v>366</v>
      </c>
      <c r="AZ311" s="1" t="s">
        <v>6306</v>
      </c>
      <c r="BA311" s="1"/>
      <c r="BB311" s="1"/>
      <c r="BC311" s="1" t="s">
        <v>871</v>
      </c>
      <c r="BD311" s="1" t="s">
        <v>418</v>
      </c>
      <c r="BE311" s="1">
        <v>60.4</v>
      </c>
      <c r="BF311" s="1">
        <v>6.79</v>
      </c>
      <c r="BG311" s="1"/>
      <c r="BH311" s="1"/>
      <c r="BI311" s="1"/>
      <c r="BJ311" s="1"/>
      <c r="BK311" s="1"/>
      <c r="BL311" s="1"/>
      <c r="BM311" s="1"/>
      <c r="BN311" s="1"/>
      <c r="BO311" s="1" t="s">
        <v>6307</v>
      </c>
      <c r="BP311" s="1" t="s">
        <v>6308</v>
      </c>
      <c r="BQ311" s="1" t="s">
        <v>1043</v>
      </c>
      <c r="BR311" s="1" t="s">
        <v>6309</v>
      </c>
      <c r="BS311" s="1">
        <v>9</v>
      </c>
      <c r="BT311" s="1" t="s">
        <v>6310</v>
      </c>
      <c r="BU311" s="1" t="str">
        <f>HYPERLINK("https://nconnect.nicmar.ac.in/storage/profile/ProfilePhoto_P25700305_358149.jpg","Download")</f>
        <v>0</v>
      </c>
      <c r="BV311" s="3"/>
      <c r="BW311" s="3"/>
    </row>
    <row r="312" spans="1:75">
      <c r="A312" s="1" t="s">
        <v>75</v>
      </c>
      <c r="B312" s="1" t="s">
        <v>446</v>
      </c>
      <c r="C312" s="1" t="s">
        <v>6311</v>
      </c>
      <c r="D312" s="1" t="s">
        <v>6312</v>
      </c>
      <c r="E312" s="1"/>
      <c r="F312" s="1" t="s">
        <v>6313</v>
      </c>
      <c r="G312" s="1" t="s">
        <v>6314</v>
      </c>
      <c r="H312" s="1" t="s">
        <v>6315</v>
      </c>
      <c r="I312" s="1" t="s">
        <v>6316</v>
      </c>
      <c r="J312" s="1">
        <v>9249411028</v>
      </c>
      <c r="K312" s="1" t="s">
        <v>84</v>
      </c>
      <c r="L312" s="1" t="s">
        <v>6317</v>
      </c>
      <c r="M312" s="1" t="s">
        <v>86</v>
      </c>
      <c r="N312" s="1" t="s">
        <v>592</v>
      </c>
      <c r="O312" s="1"/>
      <c r="P312" s="1" t="s">
        <v>507</v>
      </c>
      <c r="Q312" s="1" t="s">
        <v>6318</v>
      </c>
      <c r="R312" s="1" t="s">
        <v>6319</v>
      </c>
      <c r="S312" s="1">
        <v>9847281242</v>
      </c>
      <c r="T312" s="1" t="s">
        <v>839</v>
      </c>
      <c r="U312" s="1" t="s">
        <v>6320</v>
      </c>
      <c r="V312" s="1">
        <v>8089122440</v>
      </c>
      <c r="W312" s="1" t="s">
        <v>839</v>
      </c>
      <c r="X312" s="1" t="s">
        <v>6321</v>
      </c>
      <c r="Y312" s="1" t="s">
        <v>701</v>
      </c>
      <c r="Z312" s="1" t="s">
        <v>130</v>
      </c>
      <c r="AA312" s="1" t="s">
        <v>6321</v>
      </c>
      <c r="AB312" s="1" t="s">
        <v>701</v>
      </c>
      <c r="AC312" s="1" t="s">
        <v>130</v>
      </c>
      <c r="AD312" s="1">
        <v>8.62</v>
      </c>
      <c r="AE312" s="1" t="s">
        <v>98</v>
      </c>
      <c r="AF312" s="1" t="s">
        <v>6322</v>
      </c>
      <c r="AG312" s="1" t="s">
        <v>775</v>
      </c>
      <c r="AH312" s="1" t="s">
        <v>166</v>
      </c>
      <c r="AI312" s="1" t="s">
        <v>136</v>
      </c>
      <c r="AJ312" s="1">
        <v>83.6</v>
      </c>
      <c r="AK312" s="1">
        <v>8.8</v>
      </c>
      <c r="AL312" s="1" t="s">
        <v>6322</v>
      </c>
      <c r="AM312" s="1" t="s">
        <v>775</v>
      </c>
      <c r="AN312" s="1" t="s">
        <v>6323</v>
      </c>
      <c r="AO312" s="1" t="s">
        <v>167</v>
      </c>
      <c r="AP312" s="1" t="s">
        <v>573</v>
      </c>
      <c r="AQ312" s="1">
        <v>85.8</v>
      </c>
      <c r="AR312" s="1">
        <v>0</v>
      </c>
      <c r="AS312" s="1"/>
      <c r="AT312" s="1"/>
      <c r="AU312" s="1"/>
      <c r="AV312" s="1"/>
      <c r="AW312" s="1"/>
      <c r="AX312" s="1"/>
      <c r="AY312" s="1" t="s">
        <v>6324</v>
      </c>
      <c r="AZ312" s="1" t="s">
        <v>6325</v>
      </c>
      <c r="BA312" s="1" t="s">
        <v>682</v>
      </c>
      <c r="BB312" s="1" t="s">
        <v>683</v>
      </c>
      <c r="BC312" s="1" t="s">
        <v>230</v>
      </c>
      <c r="BD312" s="1" t="s">
        <v>521</v>
      </c>
      <c r="BE312" s="1">
        <v>65.9</v>
      </c>
      <c r="BF312" s="1">
        <v>6.59</v>
      </c>
      <c r="BG312" s="1"/>
      <c r="BH312" s="1"/>
      <c r="BI312" s="1"/>
      <c r="BJ312" s="1"/>
      <c r="BK312" s="1"/>
      <c r="BL312" s="1"/>
      <c r="BM312" s="1"/>
      <c r="BN312" s="1"/>
      <c r="BO312" s="1" t="s">
        <v>6326</v>
      </c>
      <c r="BP312" s="1" t="s">
        <v>6327</v>
      </c>
      <c r="BQ312" s="1" t="s">
        <v>4149</v>
      </c>
      <c r="BR312" s="1" t="s">
        <v>6328</v>
      </c>
      <c r="BS312" s="1">
        <v>70</v>
      </c>
      <c r="BT312" s="1"/>
      <c r="BU312" s="1" t="str">
        <f>HYPERLINK("https://nconnect.nicmar.ac.in/storage/profile/ProfilePhoto_P25700306_128963.jpg","Download")</f>
        <v>0</v>
      </c>
      <c r="BV312" s="3"/>
      <c r="BW312" s="3"/>
    </row>
    <row r="313" spans="1:75">
      <c r="A313" s="1" t="s">
        <v>75</v>
      </c>
      <c r="B313" s="1" t="s">
        <v>446</v>
      </c>
      <c r="C313" s="1" t="s">
        <v>6329</v>
      </c>
      <c r="D313" s="1" t="s">
        <v>6330</v>
      </c>
      <c r="E313" s="1" t="s">
        <v>6331</v>
      </c>
      <c r="F313" s="1" t="s">
        <v>6332</v>
      </c>
      <c r="G313" s="1" t="s">
        <v>6333</v>
      </c>
      <c r="H313" s="1" t="s">
        <v>6334</v>
      </c>
      <c r="I313" s="1" t="s">
        <v>6335</v>
      </c>
      <c r="J313" s="1">
        <v>8605723457</v>
      </c>
      <c r="K313" s="1" t="s">
        <v>84</v>
      </c>
      <c r="L313" s="1" t="s">
        <v>6336</v>
      </c>
      <c r="M313" s="1" t="s">
        <v>86</v>
      </c>
      <c r="N313" s="1" t="s">
        <v>618</v>
      </c>
      <c r="O313" s="1"/>
      <c r="P313" s="1" t="s">
        <v>481</v>
      </c>
      <c r="Q313" s="1" t="s">
        <v>6337</v>
      </c>
      <c r="R313" s="1" t="s">
        <v>6331</v>
      </c>
      <c r="S313" s="1">
        <v>8605723457</v>
      </c>
      <c r="T313" s="1" t="s">
        <v>98</v>
      </c>
      <c r="U313" s="1" t="s">
        <v>6338</v>
      </c>
      <c r="V313" s="1">
        <v>8862021135</v>
      </c>
      <c r="W313" s="1" t="s">
        <v>1513</v>
      </c>
      <c r="X313" s="1" t="s">
        <v>6339</v>
      </c>
      <c r="Y313" s="1" t="s">
        <v>196</v>
      </c>
      <c r="Z313" s="1" t="s">
        <v>97</v>
      </c>
      <c r="AA313" s="1" t="s">
        <v>6339</v>
      </c>
      <c r="AB313" s="1" t="s">
        <v>196</v>
      </c>
      <c r="AC313" s="1" t="s">
        <v>97</v>
      </c>
      <c r="AD313" s="1">
        <v>8.36</v>
      </c>
      <c r="AE313" s="1" t="s">
        <v>98</v>
      </c>
      <c r="AF313" s="1" t="s">
        <v>6340</v>
      </c>
      <c r="AG313" s="1" t="s">
        <v>165</v>
      </c>
      <c r="AH313" s="1" t="s">
        <v>166</v>
      </c>
      <c r="AI313" s="1" t="s">
        <v>167</v>
      </c>
      <c r="AJ313" s="1">
        <v>86.4</v>
      </c>
      <c r="AK313" s="1">
        <v>0</v>
      </c>
      <c r="AL313" s="1"/>
      <c r="AM313" s="1"/>
      <c r="AN313" s="1"/>
      <c r="AO313" s="1"/>
      <c r="AP313" s="1"/>
      <c r="AQ313" s="1"/>
      <c r="AR313" s="1"/>
      <c r="AS313" s="1" t="s">
        <v>103</v>
      </c>
      <c r="AT313" s="1" t="s">
        <v>6341</v>
      </c>
      <c r="AU313" s="1" t="s">
        <v>167</v>
      </c>
      <c r="AV313" s="1" t="s">
        <v>438</v>
      </c>
      <c r="AW313" s="1">
        <v>84.3</v>
      </c>
      <c r="AX313" s="1">
        <v>0</v>
      </c>
      <c r="AY313" s="1" t="s">
        <v>366</v>
      </c>
      <c r="AZ313" s="1" t="s">
        <v>6342</v>
      </c>
      <c r="BA313" s="1" t="s">
        <v>578</v>
      </c>
      <c r="BB313" s="1" t="s">
        <v>467</v>
      </c>
      <c r="BC313" s="1" t="s">
        <v>438</v>
      </c>
      <c r="BD313" s="1" t="s">
        <v>110</v>
      </c>
      <c r="BE313" s="1">
        <v>84.68</v>
      </c>
      <c r="BF313" s="1">
        <v>9.14</v>
      </c>
      <c r="BG313" s="1"/>
      <c r="BH313" s="1"/>
      <c r="BI313" s="1"/>
      <c r="BJ313" s="1"/>
      <c r="BK313" s="1"/>
      <c r="BL313" s="1"/>
      <c r="BM313" s="1"/>
      <c r="BN313" s="1"/>
      <c r="BO313" s="1" t="s">
        <v>6343</v>
      </c>
      <c r="BP313" s="1" t="s">
        <v>6344</v>
      </c>
      <c r="BQ313" s="1" t="s">
        <v>1070</v>
      </c>
      <c r="BR313" s="1" t="s">
        <v>6345</v>
      </c>
      <c r="BS313" s="1">
        <v>39</v>
      </c>
      <c r="BT313" s="1" t="s">
        <v>6346</v>
      </c>
      <c r="BU313" s="1" t="str">
        <f>HYPERLINK("https://nconnect.nicmar.ac.in/storage/profile/ProfilePhoto_P25700307_873512.jpg","Download")</f>
        <v>0</v>
      </c>
      <c r="BV313" s="3"/>
      <c r="BW313" s="4">
        <v>1</v>
      </c>
    </row>
    <row r="314" spans="1:75">
      <c r="A314" s="1" t="s">
        <v>75</v>
      </c>
      <c r="B314" s="1" t="s">
        <v>446</v>
      </c>
      <c r="C314" s="1" t="s">
        <v>6347</v>
      </c>
      <c r="D314" s="1" t="s">
        <v>6348</v>
      </c>
      <c r="E314" s="1"/>
      <c r="F314" s="1" t="s">
        <v>6349</v>
      </c>
      <c r="G314" s="1" t="s">
        <v>6350</v>
      </c>
      <c r="H314" s="1" t="s">
        <v>6351</v>
      </c>
      <c r="I314" s="1" t="s">
        <v>6352</v>
      </c>
      <c r="J314" s="1">
        <v>9162596927</v>
      </c>
      <c r="K314" s="1" t="s">
        <v>84</v>
      </c>
      <c r="L314" s="1" t="s">
        <v>6353</v>
      </c>
      <c r="M314" s="1" t="s">
        <v>86</v>
      </c>
      <c r="N314" s="1" t="s">
        <v>6354</v>
      </c>
      <c r="O314" s="1"/>
      <c r="P314" s="1" t="s">
        <v>455</v>
      </c>
      <c r="Q314" s="1" t="s">
        <v>6355</v>
      </c>
      <c r="R314" s="1" t="s">
        <v>6356</v>
      </c>
      <c r="S314" s="1">
        <v>6206009766</v>
      </c>
      <c r="T314" s="1" t="s">
        <v>125</v>
      </c>
      <c r="U314" s="1" t="s">
        <v>6357</v>
      </c>
      <c r="V314" s="1">
        <v>9162596927</v>
      </c>
      <c r="W314" s="1" t="s">
        <v>161</v>
      </c>
      <c r="X314" s="1" t="s">
        <v>6358</v>
      </c>
      <c r="Y314" s="1" t="s">
        <v>648</v>
      </c>
      <c r="Z314" s="1" t="s">
        <v>649</v>
      </c>
      <c r="AA314" s="1" t="s">
        <v>6358</v>
      </c>
      <c r="AB314" s="1" t="s">
        <v>648</v>
      </c>
      <c r="AC314" s="1" t="s">
        <v>649</v>
      </c>
      <c r="AD314" s="1">
        <v>7.28</v>
      </c>
      <c r="AE314" s="1" t="s">
        <v>98</v>
      </c>
      <c r="AF314" s="1" t="s">
        <v>6359</v>
      </c>
      <c r="AG314" s="1" t="s">
        <v>6360</v>
      </c>
      <c r="AH314" s="1" t="s">
        <v>3421</v>
      </c>
      <c r="AI314" s="1" t="s">
        <v>136</v>
      </c>
      <c r="AJ314" s="1">
        <v>74.1</v>
      </c>
      <c r="AK314" s="1">
        <v>7.8</v>
      </c>
      <c r="AL314" s="1" t="s">
        <v>6361</v>
      </c>
      <c r="AM314" s="1" t="s">
        <v>6362</v>
      </c>
      <c r="AN314" s="1"/>
      <c r="AO314" s="1" t="s">
        <v>200</v>
      </c>
      <c r="AP314" s="1" t="s">
        <v>414</v>
      </c>
      <c r="AQ314" s="1">
        <v>68</v>
      </c>
      <c r="AR314" s="1"/>
      <c r="AS314" s="1"/>
      <c r="AT314" s="1"/>
      <c r="AU314" s="1"/>
      <c r="AV314" s="1"/>
      <c r="AW314" s="1"/>
      <c r="AX314" s="1"/>
      <c r="AY314" s="1" t="s">
        <v>4962</v>
      </c>
      <c r="AZ314" s="1" t="s">
        <v>6363</v>
      </c>
      <c r="BA314" s="1"/>
      <c r="BB314" s="1"/>
      <c r="BC314" s="1" t="s">
        <v>438</v>
      </c>
      <c r="BD314" s="1" t="s">
        <v>955</v>
      </c>
      <c r="BE314" s="1">
        <v>82.2</v>
      </c>
      <c r="BF314" s="1">
        <v>8.22</v>
      </c>
      <c r="BG314" s="1"/>
      <c r="BH314" s="1"/>
      <c r="BI314" s="1"/>
      <c r="BJ314" s="1"/>
      <c r="BK314" s="1"/>
      <c r="BL314" s="1"/>
      <c r="BM314" s="1"/>
      <c r="BN314" s="1"/>
      <c r="BO314" s="1" t="s">
        <v>369</v>
      </c>
      <c r="BP314" s="1" t="s">
        <v>6364</v>
      </c>
      <c r="BQ314" s="1" t="s">
        <v>6365</v>
      </c>
      <c r="BR314" s="1" t="s">
        <v>6366</v>
      </c>
      <c r="BS314" s="1">
        <v>8</v>
      </c>
      <c r="BT314" s="1"/>
      <c r="BU314" s="1" t="str">
        <f>HYPERLINK("https://nconnect.nicmar.ac.in/storage/profile/ProfilePhoto_P25700308_942517.jpg","Download")</f>
        <v>0</v>
      </c>
      <c r="BV314" s="3"/>
      <c r="BW314" s="3"/>
    </row>
    <row r="315" spans="1:75">
      <c r="A315" s="1" t="s">
        <v>75</v>
      </c>
      <c r="B315" s="1" t="s">
        <v>446</v>
      </c>
      <c r="C315" s="1" t="s">
        <v>6367</v>
      </c>
      <c r="D315" s="1" t="s">
        <v>6368</v>
      </c>
      <c r="E315" s="1"/>
      <c r="F315" s="1" t="s">
        <v>3998</v>
      </c>
      <c r="G315" s="1" t="s">
        <v>6369</v>
      </c>
      <c r="H315" s="1" t="s">
        <v>6370</v>
      </c>
      <c r="I315" s="1" t="s">
        <v>6371</v>
      </c>
      <c r="J315" s="1">
        <v>9994273557</v>
      </c>
      <c r="K315" s="1" t="s">
        <v>84</v>
      </c>
      <c r="L315" s="1" t="s">
        <v>6372</v>
      </c>
      <c r="M315" s="1" t="s">
        <v>86</v>
      </c>
      <c r="N315" s="1" t="s">
        <v>6373</v>
      </c>
      <c r="O315" s="1"/>
      <c r="P315" s="1" t="s">
        <v>455</v>
      </c>
      <c r="Q315" s="1" t="s">
        <v>6374</v>
      </c>
      <c r="R315" s="1" t="s">
        <v>6375</v>
      </c>
      <c r="S315" s="1">
        <v>8012502994</v>
      </c>
      <c r="T315" s="1" t="s">
        <v>6376</v>
      </c>
      <c r="U315" s="1" t="s">
        <v>6377</v>
      </c>
      <c r="V315" s="1">
        <v>6369457817</v>
      </c>
      <c r="W315" s="1" t="s">
        <v>541</v>
      </c>
      <c r="X315" s="1" t="s">
        <v>6378</v>
      </c>
      <c r="Y315" s="1" t="s">
        <v>1864</v>
      </c>
      <c r="Z315" s="1" t="s">
        <v>570</v>
      </c>
      <c r="AA315" s="1" t="s">
        <v>6378</v>
      </c>
      <c r="AB315" s="1" t="s">
        <v>1864</v>
      </c>
      <c r="AC315" s="1" t="s">
        <v>570</v>
      </c>
      <c r="AD315" s="1">
        <v>8.31</v>
      </c>
      <c r="AE315" s="1" t="s">
        <v>98</v>
      </c>
      <c r="AF315" s="1" t="s">
        <v>6379</v>
      </c>
      <c r="AG315" s="1" t="s">
        <v>572</v>
      </c>
      <c r="AH315" s="1" t="s">
        <v>106</v>
      </c>
      <c r="AI315" s="1" t="s">
        <v>547</v>
      </c>
      <c r="AJ315" s="1">
        <v>83</v>
      </c>
      <c r="AK315" s="1">
        <v>0</v>
      </c>
      <c r="AL315" s="1" t="s">
        <v>6379</v>
      </c>
      <c r="AM315" s="1" t="s">
        <v>572</v>
      </c>
      <c r="AN315" s="1" t="s">
        <v>6380</v>
      </c>
      <c r="AO315" s="1" t="s">
        <v>468</v>
      </c>
      <c r="AP315" s="1" t="s">
        <v>549</v>
      </c>
      <c r="AQ315" s="1">
        <v>85</v>
      </c>
      <c r="AR315" s="1">
        <v>0</v>
      </c>
      <c r="AS315" s="1"/>
      <c r="AT315" s="1"/>
      <c r="AU315" s="1"/>
      <c r="AV315" s="1"/>
      <c r="AW315" s="1"/>
      <c r="AX315" s="1"/>
      <c r="AY315" s="1" t="s">
        <v>576</v>
      </c>
      <c r="AZ315" s="1" t="s">
        <v>6381</v>
      </c>
      <c r="BA315" s="1" t="s">
        <v>578</v>
      </c>
      <c r="BB315" s="1" t="s">
        <v>467</v>
      </c>
      <c r="BC315" s="1" t="s">
        <v>606</v>
      </c>
      <c r="BD315" s="1" t="s">
        <v>607</v>
      </c>
      <c r="BE315" s="1">
        <v>81.8</v>
      </c>
      <c r="BF315" s="1">
        <v>8.18</v>
      </c>
      <c r="BG315" s="1"/>
      <c r="BH315" s="1"/>
      <c r="BI315" s="1"/>
      <c r="BJ315" s="1"/>
      <c r="BK315" s="1"/>
      <c r="BL315" s="1"/>
      <c r="BM315" s="1"/>
      <c r="BN315" s="1"/>
      <c r="BO315" s="1" t="s">
        <v>6382</v>
      </c>
      <c r="BP315" s="1"/>
      <c r="BQ315" s="1"/>
      <c r="BR315" s="1" t="s">
        <v>6383</v>
      </c>
      <c r="BS315" s="1">
        <v>14</v>
      </c>
      <c r="BT315" s="1" t="s">
        <v>6384</v>
      </c>
      <c r="BU315" s="1" t="str">
        <f>HYPERLINK("https://nconnect.nicmar.ac.in/storage/profile/ProfilePhoto_P25700309_361294.jpg","Download")</f>
        <v>0</v>
      </c>
      <c r="BV315" s="3"/>
      <c r="BW315" s="3"/>
    </row>
    <row r="316" spans="1:75">
      <c r="A316" s="1" t="s">
        <v>75</v>
      </c>
      <c r="B316" s="1" t="s">
        <v>446</v>
      </c>
      <c r="C316" s="1" t="s">
        <v>6385</v>
      </c>
      <c r="D316" s="1" t="s">
        <v>5230</v>
      </c>
      <c r="E316" s="1"/>
      <c r="F316" s="1" t="s">
        <v>2867</v>
      </c>
      <c r="G316" s="1" t="s">
        <v>6386</v>
      </c>
      <c r="H316" s="1" t="s">
        <v>6387</v>
      </c>
      <c r="I316" s="1" t="s">
        <v>6388</v>
      </c>
      <c r="J316" s="1">
        <v>8669109766</v>
      </c>
      <c r="K316" s="1" t="s">
        <v>84</v>
      </c>
      <c r="L316" s="1" t="s">
        <v>6389</v>
      </c>
      <c r="M316" s="1" t="s">
        <v>86</v>
      </c>
      <c r="N316" s="1" t="s">
        <v>6390</v>
      </c>
      <c r="O316" s="1"/>
      <c r="P316" s="1" t="s">
        <v>455</v>
      </c>
      <c r="Q316" s="1" t="s">
        <v>6391</v>
      </c>
      <c r="R316" s="1" t="s">
        <v>6392</v>
      </c>
      <c r="S316" s="1">
        <v>9923699521</v>
      </c>
      <c r="T316" s="1" t="s">
        <v>1495</v>
      </c>
      <c r="U316" s="1" t="s">
        <v>6393</v>
      </c>
      <c r="V316" s="1">
        <v>8669101539</v>
      </c>
      <c r="W316" s="1" t="s">
        <v>161</v>
      </c>
      <c r="X316" s="1" t="s">
        <v>6394</v>
      </c>
      <c r="Y316" s="1" t="s">
        <v>410</v>
      </c>
      <c r="Z316" s="1" t="s">
        <v>97</v>
      </c>
      <c r="AA316" s="1" t="s">
        <v>6395</v>
      </c>
      <c r="AB316" s="1" t="s">
        <v>1012</v>
      </c>
      <c r="AC316" s="1" t="s">
        <v>97</v>
      </c>
      <c r="AD316" s="1">
        <v>8.87</v>
      </c>
      <c r="AE316" s="1" t="s">
        <v>98</v>
      </c>
      <c r="AF316" s="1" t="s">
        <v>6396</v>
      </c>
      <c r="AG316" s="1" t="s">
        <v>6397</v>
      </c>
      <c r="AH316" s="1" t="s">
        <v>286</v>
      </c>
      <c r="AI316" s="1" t="s">
        <v>414</v>
      </c>
      <c r="AJ316" s="1">
        <v>69.8</v>
      </c>
      <c r="AK316" s="1"/>
      <c r="AL316" s="1" t="s">
        <v>6398</v>
      </c>
      <c r="AM316" s="1" t="s">
        <v>6397</v>
      </c>
      <c r="AN316" s="1" t="s">
        <v>465</v>
      </c>
      <c r="AO316" s="1" t="s">
        <v>603</v>
      </c>
      <c r="AP316" s="1" t="s">
        <v>1192</v>
      </c>
      <c r="AQ316" s="1">
        <v>90.67</v>
      </c>
      <c r="AR316" s="1"/>
      <c r="AS316" s="1"/>
      <c r="AT316" s="1"/>
      <c r="AU316" s="1"/>
      <c r="AV316" s="1"/>
      <c r="AW316" s="1"/>
      <c r="AX316" s="1"/>
      <c r="AY316" s="1" t="s">
        <v>415</v>
      </c>
      <c r="AZ316" s="1" t="s">
        <v>6399</v>
      </c>
      <c r="BA316" s="1" t="s">
        <v>466</v>
      </c>
      <c r="BB316" s="1" t="s">
        <v>467</v>
      </c>
      <c r="BC316" s="1" t="s">
        <v>871</v>
      </c>
      <c r="BD316" s="1" t="s">
        <v>848</v>
      </c>
      <c r="BE316" s="1">
        <v>83.1</v>
      </c>
      <c r="BF316" s="1">
        <v>8.31</v>
      </c>
      <c r="BG316" s="1"/>
      <c r="BH316" s="1"/>
      <c r="BI316" s="1"/>
      <c r="BJ316" s="1"/>
      <c r="BK316" s="1"/>
      <c r="BL316" s="1"/>
      <c r="BM316" s="1"/>
      <c r="BN316" s="1"/>
      <c r="BO316" s="1" t="s">
        <v>6400</v>
      </c>
      <c r="BP316" s="1"/>
      <c r="BQ316" s="1"/>
      <c r="BR316" s="1" t="s">
        <v>6401</v>
      </c>
      <c r="BS316" s="1">
        <v>38</v>
      </c>
      <c r="BT316" s="1" t="s">
        <v>6402</v>
      </c>
      <c r="BU316" s="1" t="str">
        <f>HYPERLINK("https://nconnect.nicmar.ac.in/storage/profile/6a6247b201416.png","Download")</f>
        <v>0</v>
      </c>
      <c r="BV316" s="3"/>
      <c r="BW316" s="3"/>
    </row>
    <row r="317" spans="1:75">
      <c r="A317" s="1" t="s">
        <v>75</v>
      </c>
      <c r="B317" s="1" t="s">
        <v>446</v>
      </c>
      <c r="C317" s="1" t="s">
        <v>6403</v>
      </c>
      <c r="D317" s="1" t="s">
        <v>1749</v>
      </c>
      <c r="E317" s="1"/>
      <c r="F317" s="1" t="s">
        <v>1964</v>
      </c>
      <c r="G317" s="1" t="s">
        <v>6404</v>
      </c>
      <c r="H317" s="1" t="s">
        <v>6405</v>
      </c>
      <c r="I317" s="1" t="s">
        <v>6406</v>
      </c>
      <c r="J317" s="1">
        <v>9972187849</v>
      </c>
      <c r="K317" s="1" t="s">
        <v>153</v>
      </c>
      <c r="L317" s="1" t="s">
        <v>6407</v>
      </c>
      <c r="M317" s="1" t="s">
        <v>86</v>
      </c>
      <c r="N317" s="1" t="s">
        <v>4063</v>
      </c>
      <c r="O317" s="1" t="s">
        <v>6408</v>
      </c>
      <c r="P317" s="1" t="s">
        <v>219</v>
      </c>
      <c r="Q317" s="1" t="s">
        <v>6409</v>
      </c>
      <c r="R317" s="1" t="s">
        <v>6410</v>
      </c>
      <c r="S317" s="1">
        <v>9036267539</v>
      </c>
      <c r="T317" s="1" t="s">
        <v>6411</v>
      </c>
      <c r="U317" s="1" t="s">
        <v>6412</v>
      </c>
      <c r="V317" s="1">
        <v>9449642810</v>
      </c>
      <c r="W317" s="1" t="s">
        <v>541</v>
      </c>
      <c r="X317" s="1" t="s">
        <v>6413</v>
      </c>
      <c r="Y317" s="1" t="s">
        <v>6414</v>
      </c>
      <c r="Z317" s="1" t="s">
        <v>1210</v>
      </c>
      <c r="AA317" s="1" t="s">
        <v>6413</v>
      </c>
      <c r="AB317" s="1" t="s">
        <v>6414</v>
      </c>
      <c r="AC317" s="1" t="s">
        <v>1210</v>
      </c>
      <c r="AD317" s="1">
        <v>7.95</v>
      </c>
      <c r="AE317" s="1" t="s">
        <v>98</v>
      </c>
      <c r="AF317" s="1" t="s">
        <v>6415</v>
      </c>
      <c r="AG317" s="1" t="s">
        <v>6416</v>
      </c>
      <c r="AH317" s="1" t="s">
        <v>1262</v>
      </c>
      <c r="AI317" s="1" t="s">
        <v>136</v>
      </c>
      <c r="AJ317" s="1">
        <v>81.7</v>
      </c>
      <c r="AK317" s="1">
        <v>8.6</v>
      </c>
      <c r="AL317" s="1" t="s">
        <v>6417</v>
      </c>
      <c r="AM317" s="1" t="s">
        <v>6418</v>
      </c>
      <c r="AN317" s="1"/>
      <c r="AO317" s="1" t="s">
        <v>284</v>
      </c>
      <c r="AP317" s="1" t="s">
        <v>286</v>
      </c>
      <c r="AQ317" s="1">
        <v>73.66</v>
      </c>
      <c r="AR317" s="1"/>
      <c r="AS317" s="1"/>
      <c r="AT317" s="1"/>
      <c r="AU317" s="1" t="s">
        <v>233</v>
      </c>
      <c r="AV317" s="1" t="s">
        <v>935</v>
      </c>
      <c r="AW317" s="1"/>
      <c r="AX317" s="1"/>
      <c r="AY317" s="1" t="s">
        <v>6419</v>
      </c>
      <c r="AZ317" s="1" t="s">
        <v>6420</v>
      </c>
      <c r="BA317" s="1"/>
      <c r="BB317" s="1"/>
      <c r="BC317" s="1" t="s">
        <v>174</v>
      </c>
      <c r="BD317" s="1" t="s">
        <v>207</v>
      </c>
      <c r="BE317" s="1">
        <v>69.8</v>
      </c>
      <c r="BF317" s="1">
        <v>7.73</v>
      </c>
      <c r="BG317" s="1"/>
      <c r="BH317" s="1"/>
      <c r="BI317" s="1"/>
      <c r="BJ317" s="1"/>
      <c r="BK317" s="1"/>
      <c r="BL317" s="1"/>
      <c r="BM317" s="1"/>
      <c r="BN317" s="1"/>
      <c r="BO317" s="1" t="s">
        <v>6421</v>
      </c>
      <c r="BP317" s="1" t="s">
        <v>6422</v>
      </c>
      <c r="BQ317" s="1" t="s">
        <v>1070</v>
      </c>
      <c r="BR317" s="1" t="s">
        <v>6423</v>
      </c>
      <c r="BS317" s="1">
        <v>61</v>
      </c>
      <c r="BT317" s="1" t="s">
        <v>6424</v>
      </c>
      <c r="BU317" s="1" t="str">
        <f>HYPERLINK("https://nconnect.nicmar.ac.in/storage/profile/ProfilePhoto_P25700311_175346.jpg","Download")</f>
        <v>0</v>
      </c>
      <c r="BV317" s="3"/>
      <c r="BW317" s="3"/>
    </row>
    <row r="318" spans="1:75">
      <c r="A318" s="1" t="s">
        <v>75</v>
      </c>
      <c r="B318" s="1" t="s">
        <v>446</v>
      </c>
      <c r="C318" s="1" t="s">
        <v>6425</v>
      </c>
      <c r="D318" s="1" t="s">
        <v>6426</v>
      </c>
      <c r="E318" s="1" t="s">
        <v>6427</v>
      </c>
      <c r="F318" s="1" t="s">
        <v>1179</v>
      </c>
      <c r="G318" s="1" t="s">
        <v>6428</v>
      </c>
      <c r="H318" s="1" t="s">
        <v>6429</v>
      </c>
      <c r="I318" s="1" t="s">
        <v>6430</v>
      </c>
      <c r="J318" s="1">
        <v>9623087386</v>
      </c>
      <c r="K318" s="1" t="s">
        <v>84</v>
      </c>
      <c r="L318" s="1" t="s">
        <v>6431</v>
      </c>
      <c r="M318" s="1" t="s">
        <v>86</v>
      </c>
      <c r="N318" s="1" t="s">
        <v>4199</v>
      </c>
      <c r="O318" s="1"/>
      <c r="P318" s="1" t="s">
        <v>1028</v>
      </c>
      <c r="Q318" s="1" t="s">
        <v>6432</v>
      </c>
      <c r="R318" s="1" t="s">
        <v>6433</v>
      </c>
      <c r="S318" s="1">
        <v>9075184735</v>
      </c>
      <c r="T318" s="1" t="s">
        <v>159</v>
      </c>
      <c r="U318" s="1" t="s">
        <v>6434</v>
      </c>
      <c r="V318" s="1">
        <v>9075184735</v>
      </c>
      <c r="W318" s="1" t="s">
        <v>159</v>
      </c>
      <c r="X318" s="1" t="s">
        <v>6435</v>
      </c>
      <c r="Y318" s="1" t="s">
        <v>196</v>
      </c>
      <c r="Z318" s="1" t="s">
        <v>97</v>
      </c>
      <c r="AA318" s="1" t="s">
        <v>6435</v>
      </c>
      <c r="AB318" s="1" t="s">
        <v>196</v>
      </c>
      <c r="AC318" s="1" t="s">
        <v>97</v>
      </c>
      <c r="AD318" s="1">
        <v>7.82</v>
      </c>
      <c r="AE318" s="1" t="s">
        <v>98</v>
      </c>
      <c r="AF318" s="1" t="s">
        <v>6436</v>
      </c>
      <c r="AG318" s="1" t="s">
        <v>1968</v>
      </c>
      <c r="AH318" s="1" t="s">
        <v>101</v>
      </c>
      <c r="AI318" s="1" t="s">
        <v>102</v>
      </c>
      <c r="AJ318" s="1">
        <v>80.8</v>
      </c>
      <c r="AK318" s="1"/>
      <c r="AL318" s="1"/>
      <c r="AM318" s="1"/>
      <c r="AN318" s="1"/>
      <c r="AO318" s="1"/>
      <c r="AP318" s="1"/>
      <c r="AQ318" s="1"/>
      <c r="AR318" s="1"/>
      <c r="AS318" s="1" t="s">
        <v>103</v>
      </c>
      <c r="AT318" s="1" t="s">
        <v>6437</v>
      </c>
      <c r="AU318" s="1" t="s">
        <v>1065</v>
      </c>
      <c r="AV318" s="1" t="s">
        <v>441</v>
      </c>
      <c r="AW318" s="1">
        <v>92.11</v>
      </c>
      <c r="AX318" s="1"/>
      <c r="AY318" s="1" t="s">
        <v>366</v>
      </c>
      <c r="AZ318" s="1" t="s">
        <v>6438</v>
      </c>
      <c r="BA318" s="1" t="s">
        <v>578</v>
      </c>
      <c r="BB318" s="1" t="s">
        <v>467</v>
      </c>
      <c r="BC318" s="1" t="s">
        <v>606</v>
      </c>
      <c r="BD318" s="1" t="s">
        <v>1314</v>
      </c>
      <c r="BE318" s="1">
        <v>72.7</v>
      </c>
      <c r="BF318" s="1">
        <v>8.02</v>
      </c>
      <c r="BG318" s="1"/>
      <c r="BH318" s="1"/>
      <c r="BI318" s="1"/>
      <c r="BJ318" s="1"/>
      <c r="BK318" s="1"/>
      <c r="BL318" s="1"/>
      <c r="BM318" s="1"/>
      <c r="BN318" s="1"/>
      <c r="BO318" s="1" t="s">
        <v>6439</v>
      </c>
      <c r="BP318" s="1"/>
      <c r="BQ318" s="1"/>
      <c r="BR318" s="1" t="s">
        <v>6440</v>
      </c>
      <c r="BS318" s="1">
        <v>165</v>
      </c>
      <c r="BT318" s="1" t="s">
        <v>6441</v>
      </c>
      <c r="BU318" s="1" t="str">
        <f>HYPERLINK("https://nconnect.nicmar.ac.in/storage/profile/ProfilePhoto_P25700312_491872.jpg","Download")</f>
        <v>0</v>
      </c>
      <c r="BV318" s="3"/>
      <c r="BW318" s="3"/>
    </row>
    <row r="319" spans="1:75">
      <c r="A319" s="1" t="s">
        <v>75</v>
      </c>
      <c r="B319" s="1" t="s">
        <v>446</v>
      </c>
      <c r="C319" s="1" t="s">
        <v>6442</v>
      </c>
      <c r="D319" s="1" t="s">
        <v>500</v>
      </c>
      <c r="E319" s="1"/>
      <c r="F319" s="1" t="s">
        <v>6443</v>
      </c>
      <c r="G319" s="1" t="s">
        <v>6444</v>
      </c>
      <c r="H319" s="1" t="s">
        <v>6445</v>
      </c>
      <c r="I319" s="1" t="s">
        <v>6446</v>
      </c>
      <c r="J319" s="1">
        <v>7899628030</v>
      </c>
      <c r="K319" s="1" t="s">
        <v>84</v>
      </c>
      <c r="L319" s="1" t="s">
        <v>6447</v>
      </c>
      <c r="M319" s="1" t="s">
        <v>86</v>
      </c>
      <c r="N319" s="1" t="s">
        <v>4483</v>
      </c>
      <c r="O319" s="1" t="s">
        <v>6448</v>
      </c>
      <c r="P319" s="1" t="s">
        <v>219</v>
      </c>
      <c r="Q319" s="1" t="s">
        <v>6449</v>
      </c>
      <c r="R319" s="1" t="s">
        <v>6450</v>
      </c>
      <c r="S319" s="1">
        <v>9980809271</v>
      </c>
      <c r="T319" s="1" t="s">
        <v>159</v>
      </c>
      <c r="U319" s="1" t="s">
        <v>6451</v>
      </c>
      <c r="V319" s="1">
        <v>9980797785</v>
      </c>
      <c r="W319" s="1" t="s">
        <v>541</v>
      </c>
      <c r="X319" s="1" t="s">
        <v>6452</v>
      </c>
      <c r="Y319" s="1" t="s">
        <v>6453</v>
      </c>
      <c r="Z319" s="1" t="s">
        <v>1210</v>
      </c>
      <c r="AA319" s="1" t="s">
        <v>6454</v>
      </c>
      <c r="AB319" s="1" t="s">
        <v>6453</v>
      </c>
      <c r="AC319" s="1" t="s">
        <v>1210</v>
      </c>
      <c r="AD319" s="1">
        <v>8.46</v>
      </c>
      <c r="AE319" s="1" t="s">
        <v>98</v>
      </c>
      <c r="AF319" s="1" t="s">
        <v>6455</v>
      </c>
      <c r="AG319" s="1" t="s">
        <v>4490</v>
      </c>
      <c r="AH319" s="1" t="s">
        <v>101</v>
      </c>
      <c r="AI319" s="1" t="s">
        <v>136</v>
      </c>
      <c r="AJ319" s="1">
        <v>79.8</v>
      </c>
      <c r="AK319" s="1">
        <v>8.4</v>
      </c>
      <c r="AL319" s="1" t="s">
        <v>6456</v>
      </c>
      <c r="AM319" s="1" t="s">
        <v>6457</v>
      </c>
      <c r="AN319" s="1" t="s">
        <v>575</v>
      </c>
      <c r="AO319" s="1" t="s">
        <v>167</v>
      </c>
      <c r="AP319" s="1" t="s">
        <v>573</v>
      </c>
      <c r="AQ319" s="1">
        <v>89.67</v>
      </c>
      <c r="AR319" s="1">
        <v>0</v>
      </c>
      <c r="AS319" s="1"/>
      <c r="AT319" s="1"/>
      <c r="AU319" s="1"/>
      <c r="AV319" s="1"/>
      <c r="AW319" s="1"/>
      <c r="AX319" s="1"/>
      <c r="AY319" s="1" t="s">
        <v>1217</v>
      </c>
      <c r="AZ319" s="1" t="s">
        <v>6458</v>
      </c>
      <c r="BA319" s="1" t="s">
        <v>578</v>
      </c>
      <c r="BB319" s="1" t="s">
        <v>467</v>
      </c>
      <c r="BC319" s="1" t="s">
        <v>230</v>
      </c>
      <c r="BD319" s="1" t="s">
        <v>441</v>
      </c>
      <c r="BE319" s="1">
        <v>71.8</v>
      </c>
      <c r="BF319" s="1">
        <v>7.93</v>
      </c>
      <c r="BG319" s="1"/>
      <c r="BH319" s="1"/>
      <c r="BI319" s="1"/>
      <c r="BJ319" s="1"/>
      <c r="BK319" s="1"/>
      <c r="BL319" s="1"/>
      <c r="BM319" s="1"/>
      <c r="BN319" s="1"/>
      <c r="BO319" s="1" t="s">
        <v>6459</v>
      </c>
      <c r="BP319" s="1" t="s">
        <v>6460</v>
      </c>
      <c r="BQ319" s="1" t="s">
        <v>4944</v>
      </c>
      <c r="BR319" s="1" t="s">
        <v>6461</v>
      </c>
      <c r="BS319" s="1">
        <v>16</v>
      </c>
      <c r="BT319" s="1" t="s">
        <v>6462</v>
      </c>
      <c r="BU319" s="1" t="str">
        <f>HYPERLINK("https://nconnect.nicmar.ac.in/storage/profile/ProfilePhoto_P25700313_351694.jpg","Download")</f>
        <v>0</v>
      </c>
      <c r="BV319" s="3"/>
      <c r="BW319" s="4">
        <v>1</v>
      </c>
    </row>
    <row r="320" spans="1:75">
      <c r="A320" s="1" t="s">
        <v>75</v>
      </c>
      <c r="B320" s="1" t="s">
        <v>446</v>
      </c>
      <c r="C320" s="1" t="s">
        <v>6463</v>
      </c>
      <c r="D320" s="1" t="s">
        <v>6464</v>
      </c>
      <c r="E320" s="1" t="s">
        <v>149</v>
      </c>
      <c r="F320" s="1" t="s">
        <v>6465</v>
      </c>
      <c r="G320" s="1" t="s">
        <v>6466</v>
      </c>
      <c r="H320" s="1" t="s">
        <v>6467</v>
      </c>
      <c r="I320" s="1" t="s">
        <v>6468</v>
      </c>
      <c r="J320" s="1">
        <v>9403661274</v>
      </c>
      <c r="K320" s="1" t="s">
        <v>153</v>
      </c>
      <c r="L320" s="1" t="s">
        <v>6469</v>
      </c>
      <c r="M320" s="1" t="s">
        <v>86</v>
      </c>
      <c r="N320" s="1" t="s">
        <v>618</v>
      </c>
      <c r="O320" s="1"/>
      <c r="P320" s="1" t="s">
        <v>2062</v>
      </c>
      <c r="Q320" s="1" t="s">
        <v>6470</v>
      </c>
      <c r="R320" s="1" t="s">
        <v>149</v>
      </c>
      <c r="S320" s="1">
        <v>9975571256</v>
      </c>
      <c r="T320" s="1" t="s">
        <v>539</v>
      </c>
      <c r="U320" s="1" t="s">
        <v>6471</v>
      </c>
      <c r="V320" s="1">
        <v>9404684258</v>
      </c>
      <c r="W320" s="1" t="s">
        <v>541</v>
      </c>
      <c r="X320" s="1" t="s">
        <v>6472</v>
      </c>
      <c r="Y320" s="1" t="s">
        <v>196</v>
      </c>
      <c r="Z320" s="1" t="s">
        <v>97</v>
      </c>
      <c r="AA320" s="1" t="s">
        <v>6472</v>
      </c>
      <c r="AB320" s="1" t="s">
        <v>196</v>
      </c>
      <c r="AC320" s="1" t="s">
        <v>97</v>
      </c>
      <c r="AD320" s="1">
        <v>8.41</v>
      </c>
      <c r="AE320" s="1" t="s">
        <v>98</v>
      </c>
      <c r="AF320" s="1" t="s">
        <v>6473</v>
      </c>
      <c r="AG320" s="1" t="s">
        <v>6474</v>
      </c>
      <c r="AH320" s="1" t="s">
        <v>284</v>
      </c>
      <c r="AI320" s="1" t="s">
        <v>573</v>
      </c>
      <c r="AJ320" s="1">
        <v>84.8</v>
      </c>
      <c r="AK320" s="1"/>
      <c r="AL320" s="1"/>
      <c r="AM320" s="1"/>
      <c r="AN320" s="1"/>
      <c r="AO320" s="1"/>
      <c r="AP320" s="1"/>
      <c r="AQ320" s="1"/>
      <c r="AR320" s="1"/>
      <c r="AS320" s="1" t="s">
        <v>103</v>
      </c>
      <c r="AT320" s="1" t="s">
        <v>6475</v>
      </c>
      <c r="AU320" s="1" t="s">
        <v>230</v>
      </c>
      <c r="AV320" s="1" t="s">
        <v>1647</v>
      </c>
      <c r="AW320" s="1">
        <v>82.25</v>
      </c>
      <c r="AX320" s="1"/>
      <c r="AY320" s="1" t="s">
        <v>366</v>
      </c>
      <c r="AZ320" s="1" t="s">
        <v>6476</v>
      </c>
      <c r="BA320" s="1"/>
      <c r="BB320" s="1"/>
      <c r="BC320" s="1" t="s">
        <v>4740</v>
      </c>
      <c r="BD320" s="1" t="s">
        <v>179</v>
      </c>
      <c r="BE320" s="1">
        <v>77.87</v>
      </c>
      <c r="BF320" s="1">
        <v>8.75</v>
      </c>
      <c r="BG320" s="1"/>
      <c r="BH320" s="1"/>
      <c r="BI320" s="1"/>
      <c r="BJ320" s="1"/>
      <c r="BK320" s="1"/>
      <c r="BL320" s="1"/>
      <c r="BM320" s="1"/>
      <c r="BN320" s="1"/>
      <c r="BO320" s="1" t="s">
        <v>6027</v>
      </c>
      <c r="BP320" s="1"/>
      <c r="BQ320" s="1"/>
      <c r="BR320" s="1" t="s">
        <v>6477</v>
      </c>
      <c r="BS320" s="1">
        <v>13</v>
      </c>
      <c r="BT320" s="1" t="s">
        <v>6478</v>
      </c>
      <c r="BU320" s="1" t="str">
        <f>HYPERLINK("https://nconnect.nicmar.ac.in/storage/profile/ProfilePhoto_P25700314_541362.jpg","Download")</f>
        <v>0</v>
      </c>
      <c r="BV320" s="3"/>
      <c r="BW320" s="3"/>
    </row>
    <row r="321" spans="1:75">
      <c r="A321" s="1" t="s">
        <v>75</v>
      </c>
      <c r="B321" s="1" t="s">
        <v>446</v>
      </c>
      <c r="C321" s="1" t="s">
        <v>6479</v>
      </c>
      <c r="D321" s="1" t="s">
        <v>6480</v>
      </c>
      <c r="E321" s="1"/>
      <c r="F321" s="1" t="s">
        <v>2538</v>
      </c>
      <c r="G321" s="1" t="s">
        <v>6481</v>
      </c>
      <c r="H321" s="1" t="s">
        <v>6482</v>
      </c>
      <c r="I321" s="1" t="s">
        <v>6483</v>
      </c>
      <c r="J321" s="1">
        <v>9910143216</v>
      </c>
      <c r="K321" s="1" t="s">
        <v>84</v>
      </c>
      <c r="L321" s="1" t="s">
        <v>6484</v>
      </c>
      <c r="M321" s="1" t="s">
        <v>86</v>
      </c>
      <c r="N321" s="1" t="s">
        <v>246</v>
      </c>
      <c r="O321" s="1"/>
      <c r="P321" s="1" t="s">
        <v>481</v>
      </c>
      <c r="Q321" s="1" t="s">
        <v>6485</v>
      </c>
      <c r="R321" s="1" t="s">
        <v>6486</v>
      </c>
      <c r="S321" s="1">
        <v>7838414073</v>
      </c>
      <c r="T321" s="1" t="s">
        <v>125</v>
      </c>
      <c r="U321" s="1" t="s">
        <v>6487</v>
      </c>
      <c r="V321" s="1">
        <v>9582989699</v>
      </c>
      <c r="W321" s="1" t="s">
        <v>125</v>
      </c>
      <c r="X321" s="1" t="s">
        <v>6488</v>
      </c>
      <c r="Y321" s="1" t="s">
        <v>6489</v>
      </c>
      <c r="Z321" s="1" t="s">
        <v>1739</v>
      </c>
      <c r="AA321" s="1" t="s">
        <v>6488</v>
      </c>
      <c r="AB321" s="1" t="s">
        <v>6489</v>
      </c>
      <c r="AC321" s="1" t="s">
        <v>1739</v>
      </c>
      <c r="AD321" s="1">
        <v>8.95</v>
      </c>
      <c r="AE321" s="1" t="s">
        <v>98</v>
      </c>
      <c r="AF321" s="1" t="s">
        <v>6490</v>
      </c>
      <c r="AG321" s="1" t="s">
        <v>6491</v>
      </c>
      <c r="AH321" s="1" t="s">
        <v>136</v>
      </c>
      <c r="AI321" s="1" t="s">
        <v>627</v>
      </c>
      <c r="AJ321" s="1">
        <v>74.1</v>
      </c>
      <c r="AK321" s="1">
        <v>7.8</v>
      </c>
      <c r="AL321" s="1" t="s">
        <v>6490</v>
      </c>
      <c r="AM321" s="1" t="s">
        <v>6492</v>
      </c>
      <c r="AN321" s="1" t="s">
        <v>465</v>
      </c>
      <c r="AO321" s="1" t="s">
        <v>573</v>
      </c>
      <c r="AP321" s="1" t="s">
        <v>171</v>
      </c>
      <c r="AQ321" s="1">
        <v>73</v>
      </c>
      <c r="AR321" s="1"/>
      <c r="AS321" s="1"/>
      <c r="AT321" s="1"/>
      <c r="AU321" s="1"/>
      <c r="AV321" s="1"/>
      <c r="AW321" s="1"/>
      <c r="AX321" s="1"/>
      <c r="AY321" s="1" t="s">
        <v>6493</v>
      </c>
      <c r="AZ321" s="1" t="s">
        <v>6494</v>
      </c>
      <c r="BA321" s="1" t="s">
        <v>466</v>
      </c>
      <c r="BB321" s="1" t="s">
        <v>467</v>
      </c>
      <c r="BC321" s="1" t="s">
        <v>1065</v>
      </c>
      <c r="BD321" s="1" t="s">
        <v>289</v>
      </c>
      <c r="BE321" s="1">
        <v>84.4</v>
      </c>
      <c r="BF321" s="1"/>
      <c r="BG321" s="1"/>
      <c r="BH321" s="1"/>
      <c r="BI321" s="1"/>
      <c r="BJ321" s="1"/>
      <c r="BK321" s="1"/>
      <c r="BL321" s="1"/>
      <c r="BM321" s="1"/>
      <c r="BN321" s="1"/>
      <c r="BO321" s="1" t="s">
        <v>6495</v>
      </c>
      <c r="BP321" s="1"/>
      <c r="BQ321" s="1"/>
      <c r="BR321" s="1" t="s">
        <v>6496</v>
      </c>
      <c r="BS321" s="1">
        <v>17</v>
      </c>
      <c r="BT321" s="1" t="s">
        <v>6497</v>
      </c>
      <c r="BU321" s="1" t="str">
        <f>HYPERLINK("https://nconnect.nicmar.ac.in/storage/profile/ProfilePhoto_P25700316_645173.jpg","Download")</f>
        <v>0</v>
      </c>
      <c r="BV321" s="3"/>
      <c r="BW321" s="3"/>
    </row>
    <row r="322" spans="1:75">
      <c r="A322" s="1" t="s">
        <v>75</v>
      </c>
      <c r="B322" s="1" t="s">
        <v>446</v>
      </c>
      <c r="C322" s="1" t="s">
        <v>6498</v>
      </c>
      <c r="D322" s="1" t="s">
        <v>5365</v>
      </c>
      <c r="E322" s="1"/>
      <c r="F322" s="1" t="s">
        <v>6499</v>
      </c>
      <c r="G322" s="1" t="s">
        <v>6500</v>
      </c>
      <c r="H322" s="1" t="s">
        <v>6501</v>
      </c>
      <c r="I322" s="1" t="s">
        <v>6502</v>
      </c>
      <c r="J322" s="1">
        <v>7720858074</v>
      </c>
      <c r="K322" s="1" t="s">
        <v>153</v>
      </c>
      <c r="L322" s="1" t="s">
        <v>6503</v>
      </c>
      <c r="M322" s="1" t="s">
        <v>86</v>
      </c>
      <c r="N322" s="1" t="s">
        <v>6504</v>
      </c>
      <c r="O322" s="1" t="s">
        <v>157</v>
      </c>
      <c r="P322" s="1" t="s">
        <v>219</v>
      </c>
      <c r="Q322" s="1" t="s">
        <v>6505</v>
      </c>
      <c r="R322" s="1" t="s">
        <v>3042</v>
      </c>
      <c r="S322" s="1">
        <v>9422135541</v>
      </c>
      <c r="T322" s="1" t="s">
        <v>3439</v>
      </c>
      <c r="U322" s="1" t="s">
        <v>6506</v>
      </c>
      <c r="V322" s="1">
        <v>9422140540</v>
      </c>
      <c r="W322" s="1" t="s">
        <v>161</v>
      </c>
      <c r="X322" s="1" t="s">
        <v>6507</v>
      </c>
      <c r="Y322" s="1" t="s">
        <v>624</v>
      </c>
      <c r="Z322" s="1" t="s">
        <v>97</v>
      </c>
      <c r="AA322" s="1" t="s">
        <v>6507</v>
      </c>
      <c r="AB322" s="1" t="s">
        <v>624</v>
      </c>
      <c r="AC322" s="1" t="s">
        <v>97</v>
      </c>
      <c r="AD322" s="1">
        <v>8.1</v>
      </c>
      <c r="AE322" s="1" t="s">
        <v>98</v>
      </c>
      <c r="AF322" s="1" t="s">
        <v>6508</v>
      </c>
      <c r="AG322" s="1" t="s">
        <v>1968</v>
      </c>
      <c r="AH322" s="1" t="s">
        <v>166</v>
      </c>
      <c r="AI322" s="1" t="s">
        <v>1111</v>
      </c>
      <c r="AJ322" s="1">
        <v>71.6</v>
      </c>
      <c r="AK322" s="1"/>
      <c r="AL322" s="1" t="s">
        <v>6509</v>
      </c>
      <c r="AM322" s="1" t="s">
        <v>3034</v>
      </c>
      <c r="AN322" s="1" t="s">
        <v>465</v>
      </c>
      <c r="AO322" s="1" t="s">
        <v>170</v>
      </c>
      <c r="AP322" s="1" t="s">
        <v>286</v>
      </c>
      <c r="AQ322" s="1">
        <v>85</v>
      </c>
      <c r="AR322" s="1"/>
      <c r="AS322" s="1" t="s">
        <v>6510</v>
      </c>
      <c r="AT322" s="1" t="s">
        <v>6511</v>
      </c>
      <c r="AU322" s="1" t="s">
        <v>106</v>
      </c>
      <c r="AV322" s="1" t="s">
        <v>313</v>
      </c>
      <c r="AW322" s="1">
        <v>54.85</v>
      </c>
      <c r="AX322" s="1"/>
      <c r="AY322" s="1" t="s">
        <v>997</v>
      </c>
      <c r="AZ322" s="1" t="s">
        <v>6512</v>
      </c>
      <c r="BA322" s="1" t="s">
        <v>682</v>
      </c>
      <c r="BB322" s="1" t="s">
        <v>1479</v>
      </c>
      <c r="BC322" s="1" t="s">
        <v>438</v>
      </c>
      <c r="BD322" s="1" t="s">
        <v>207</v>
      </c>
      <c r="BE322" s="1">
        <v>66.4</v>
      </c>
      <c r="BF322" s="1">
        <v>7.21</v>
      </c>
      <c r="BG322" s="1"/>
      <c r="BH322" s="1"/>
      <c r="BI322" s="1"/>
      <c r="BJ322" s="1"/>
      <c r="BK322" s="1"/>
      <c r="BL322" s="1"/>
      <c r="BM322" s="1"/>
      <c r="BN322" s="1"/>
      <c r="BO322" s="1" t="s">
        <v>6513</v>
      </c>
      <c r="BP322" s="1"/>
      <c r="BQ322" s="1"/>
      <c r="BR322" s="1" t="s">
        <v>6514</v>
      </c>
      <c r="BS322" s="1">
        <v>42</v>
      </c>
      <c r="BT322" s="1"/>
      <c r="BU322" s="1" t="str">
        <f>HYPERLINK("https://nconnect.nicmar.ac.in/storage/profile/ProfilePhoto_P25700317_381597.jpg","Download")</f>
        <v>0</v>
      </c>
      <c r="BV322" s="3"/>
      <c r="BW322" s="3"/>
    </row>
    <row r="323" spans="1:75">
      <c r="A323" s="1" t="s">
        <v>75</v>
      </c>
      <c r="B323" s="1" t="s">
        <v>446</v>
      </c>
      <c r="C323" s="1" t="s">
        <v>6515</v>
      </c>
      <c r="D323" s="1" t="s">
        <v>6516</v>
      </c>
      <c r="E323" s="1" t="s">
        <v>6517</v>
      </c>
      <c r="F323" s="1" t="s">
        <v>6518</v>
      </c>
      <c r="G323" s="1" t="s">
        <v>6519</v>
      </c>
      <c r="H323" s="1" t="s">
        <v>6520</v>
      </c>
      <c r="I323" s="1" t="s">
        <v>6521</v>
      </c>
      <c r="J323" s="1">
        <v>9607229977</v>
      </c>
      <c r="K323" s="1" t="s">
        <v>84</v>
      </c>
      <c r="L323" s="1" t="s">
        <v>6522</v>
      </c>
      <c r="M323" s="1" t="s">
        <v>86</v>
      </c>
      <c r="N323" s="1" t="s">
        <v>768</v>
      </c>
      <c r="O323" s="1" t="s">
        <v>6523</v>
      </c>
      <c r="P323" s="1" t="s">
        <v>122</v>
      </c>
      <c r="Q323" s="1" t="s">
        <v>6524</v>
      </c>
      <c r="R323" s="1" t="s">
        <v>6525</v>
      </c>
      <c r="S323" s="1">
        <v>9420239215</v>
      </c>
      <c r="T323" s="1" t="s">
        <v>159</v>
      </c>
      <c r="U323" s="1" t="s">
        <v>6526</v>
      </c>
      <c r="V323" s="1">
        <v>9403005017</v>
      </c>
      <c r="W323" s="1" t="s">
        <v>6527</v>
      </c>
      <c r="X323" s="1" t="s">
        <v>6528</v>
      </c>
      <c r="Y323" s="1" t="s">
        <v>224</v>
      </c>
      <c r="Z323" s="1" t="s">
        <v>97</v>
      </c>
      <c r="AA323" s="1" t="s">
        <v>6529</v>
      </c>
      <c r="AB323" s="1" t="s">
        <v>196</v>
      </c>
      <c r="AC323" s="1" t="s">
        <v>97</v>
      </c>
      <c r="AD323" s="1">
        <v>7.72</v>
      </c>
      <c r="AE323" s="1" t="s">
        <v>98</v>
      </c>
      <c r="AF323" s="1" t="s">
        <v>6530</v>
      </c>
      <c r="AG323" s="1" t="s">
        <v>5914</v>
      </c>
      <c r="AH323" s="1" t="s">
        <v>133</v>
      </c>
      <c r="AI323" s="1" t="s">
        <v>106</v>
      </c>
      <c r="AJ323" s="1">
        <v>79.2</v>
      </c>
      <c r="AK323" s="1"/>
      <c r="AL323" s="1"/>
      <c r="AM323" s="1"/>
      <c r="AN323" s="1" t="s">
        <v>1062</v>
      </c>
      <c r="AO323" s="1"/>
      <c r="AP323" s="1"/>
      <c r="AQ323" s="1"/>
      <c r="AR323" s="1"/>
      <c r="AS323" s="1" t="s">
        <v>255</v>
      </c>
      <c r="AT323" s="1" t="s">
        <v>6531</v>
      </c>
      <c r="AU323" s="1" t="s">
        <v>1065</v>
      </c>
      <c r="AV323" s="1" t="s">
        <v>552</v>
      </c>
      <c r="AW323" s="1">
        <v>92.26</v>
      </c>
      <c r="AX323" s="1"/>
      <c r="AY323" s="1" t="s">
        <v>366</v>
      </c>
      <c r="AZ323" s="1" t="s">
        <v>6532</v>
      </c>
      <c r="BA323" s="1" t="s">
        <v>578</v>
      </c>
      <c r="BB323" s="1" t="s">
        <v>467</v>
      </c>
      <c r="BC323" s="1" t="s">
        <v>871</v>
      </c>
      <c r="BD323" s="1" t="s">
        <v>207</v>
      </c>
      <c r="BE323" s="1">
        <v>74.6</v>
      </c>
      <c r="BF323" s="1">
        <v>8.3</v>
      </c>
      <c r="BG323" s="1"/>
      <c r="BH323" s="1"/>
      <c r="BI323" s="1"/>
      <c r="BJ323" s="1"/>
      <c r="BK323" s="1"/>
      <c r="BL323" s="1"/>
      <c r="BM323" s="1"/>
      <c r="BN323" s="1"/>
      <c r="BO323" s="1" t="s">
        <v>6533</v>
      </c>
      <c r="BP323" s="1"/>
      <c r="BQ323" s="1"/>
      <c r="BR323" s="1" t="s">
        <v>6534</v>
      </c>
      <c r="BS323" s="1">
        <v>38</v>
      </c>
      <c r="BT323" s="1" t="s">
        <v>6535</v>
      </c>
      <c r="BU323" s="1" t="str">
        <f>HYPERLINK("https://nconnect.nicmar.ac.in/storage/profile/ProfilePhoto_P25700318_763418.jpg","Download")</f>
        <v>0</v>
      </c>
      <c r="BV323" s="3"/>
      <c r="BW323" s="3"/>
    </row>
    <row r="324" spans="1:75">
      <c r="A324" s="1" t="s">
        <v>75</v>
      </c>
      <c r="B324" s="1" t="s">
        <v>446</v>
      </c>
      <c r="C324" s="1" t="s">
        <v>6536</v>
      </c>
      <c r="D324" s="1" t="s">
        <v>1893</v>
      </c>
      <c r="E324" s="1"/>
      <c r="F324" s="1" t="s">
        <v>6537</v>
      </c>
      <c r="G324" s="1" t="s">
        <v>6538</v>
      </c>
      <c r="H324" s="1" t="s">
        <v>6539</v>
      </c>
      <c r="I324" s="1" t="s">
        <v>6540</v>
      </c>
      <c r="J324" s="1">
        <v>8390284585</v>
      </c>
      <c r="K324" s="1" t="s">
        <v>84</v>
      </c>
      <c r="L324" s="1" t="s">
        <v>6541</v>
      </c>
      <c r="M324" s="1" t="s">
        <v>86</v>
      </c>
      <c r="N324" s="1" t="s">
        <v>6542</v>
      </c>
      <c r="O324" s="1"/>
      <c r="P324" s="1" t="s">
        <v>481</v>
      </c>
      <c r="Q324" s="1" t="s">
        <v>6543</v>
      </c>
      <c r="R324" s="1" t="s">
        <v>6544</v>
      </c>
      <c r="S324" s="1">
        <v>9765376109</v>
      </c>
      <c r="T324" s="1" t="s">
        <v>125</v>
      </c>
      <c r="U324" s="1" t="s">
        <v>6545</v>
      </c>
      <c r="V324" s="1">
        <v>9823356378</v>
      </c>
      <c r="W324" s="1" t="s">
        <v>161</v>
      </c>
      <c r="X324" s="1" t="s">
        <v>6546</v>
      </c>
      <c r="Y324" s="1" t="s">
        <v>1779</v>
      </c>
      <c r="Z324" s="1" t="s">
        <v>97</v>
      </c>
      <c r="AA324" s="1" t="s">
        <v>6547</v>
      </c>
      <c r="AB324" s="1" t="s">
        <v>6548</v>
      </c>
      <c r="AC324" s="1" t="s">
        <v>6549</v>
      </c>
      <c r="AD324" s="1">
        <v>7.69</v>
      </c>
      <c r="AE324" s="1" t="s">
        <v>98</v>
      </c>
      <c r="AF324" s="1" t="s">
        <v>6550</v>
      </c>
      <c r="AG324" s="1" t="s">
        <v>6551</v>
      </c>
      <c r="AH324" s="1" t="s">
        <v>166</v>
      </c>
      <c r="AI324" s="1" t="s">
        <v>627</v>
      </c>
      <c r="AJ324" s="1">
        <v>74.67</v>
      </c>
      <c r="AK324" s="1"/>
      <c r="AL324" s="1" t="s">
        <v>6552</v>
      </c>
      <c r="AM324" s="1" t="s">
        <v>6551</v>
      </c>
      <c r="AN324" s="1" t="s">
        <v>575</v>
      </c>
      <c r="AO324" s="1" t="s">
        <v>170</v>
      </c>
      <c r="AP324" s="1" t="s">
        <v>490</v>
      </c>
      <c r="AQ324" s="1">
        <v>65.33</v>
      </c>
      <c r="AR324" s="1"/>
      <c r="AS324" s="1"/>
      <c r="AT324" s="1"/>
      <c r="AU324" s="1"/>
      <c r="AV324" s="1"/>
      <c r="AW324" s="1"/>
      <c r="AX324" s="1"/>
      <c r="AY324" s="1" t="s">
        <v>6553</v>
      </c>
      <c r="AZ324" s="1" t="s">
        <v>6554</v>
      </c>
      <c r="BA324" s="1" t="s">
        <v>578</v>
      </c>
      <c r="BB324" s="1" t="s">
        <v>467</v>
      </c>
      <c r="BC324" s="1" t="s">
        <v>1065</v>
      </c>
      <c r="BD324" s="1" t="s">
        <v>1802</v>
      </c>
      <c r="BE324" s="1">
        <v>60.6</v>
      </c>
      <c r="BF324" s="1"/>
      <c r="BG324" s="1"/>
      <c r="BH324" s="1"/>
      <c r="BI324" s="1"/>
      <c r="BJ324" s="1"/>
      <c r="BK324" s="1"/>
      <c r="BL324" s="1"/>
      <c r="BM324" s="1"/>
      <c r="BN324" s="1"/>
      <c r="BO324" s="1" t="s">
        <v>6555</v>
      </c>
      <c r="BP324" s="1" t="s">
        <v>6556</v>
      </c>
      <c r="BQ324" s="1" t="s">
        <v>6365</v>
      </c>
      <c r="BR324" s="1" t="s">
        <v>6557</v>
      </c>
      <c r="BS324" s="1">
        <v>9</v>
      </c>
      <c r="BT324" s="1" t="s">
        <v>6558</v>
      </c>
      <c r="BU324" s="1" t="str">
        <f>HYPERLINK("https://nconnect.nicmar.ac.in/storage/profile/ProfilePhoto_P25700320_432967.jpg","Download")</f>
        <v>0</v>
      </c>
      <c r="BV324" s="3"/>
      <c r="BW324" s="3"/>
    </row>
    <row r="325" spans="1:75">
      <c r="A325" s="1" t="s">
        <v>75</v>
      </c>
      <c r="B325" s="1" t="s">
        <v>446</v>
      </c>
      <c r="C325" s="1" t="s">
        <v>6559</v>
      </c>
      <c r="D325" s="1" t="s">
        <v>6560</v>
      </c>
      <c r="E325" s="1"/>
      <c r="F325" s="1" t="s">
        <v>6561</v>
      </c>
      <c r="G325" s="1" t="s">
        <v>6562</v>
      </c>
      <c r="H325" s="1" t="s">
        <v>6563</v>
      </c>
      <c r="I325" s="1" t="s">
        <v>6564</v>
      </c>
      <c r="J325" s="1">
        <v>7838940331</v>
      </c>
      <c r="K325" s="1" t="s">
        <v>84</v>
      </c>
      <c r="L325" s="1" t="s">
        <v>6565</v>
      </c>
      <c r="M325" s="1" t="s">
        <v>86</v>
      </c>
      <c r="N325" s="1" t="s">
        <v>6566</v>
      </c>
      <c r="O325" s="1"/>
      <c r="P325" s="1" t="s">
        <v>1028</v>
      </c>
      <c r="Q325" s="1" t="s">
        <v>6567</v>
      </c>
      <c r="R325" s="1" t="s">
        <v>6568</v>
      </c>
      <c r="S325" s="1">
        <v>9650036051</v>
      </c>
      <c r="T325" s="1" t="s">
        <v>6569</v>
      </c>
      <c r="U325" s="1" t="s">
        <v>6570</v>
      </c>
      <c r="V325" s="1">
        <v>9650036051</v>
      </c>
      <c r="W325" s="1" t="s">
        <v>161</v>
      </c>
      <c r="X325" s="1" t="s">
        <v>6571</v>
      </c>
      <c r="Y325" s="1" t="s">
        <v>196</v>
      </c>
      <c r="Z325" s="1" t="s">
        <v>97</v>
      </c>
      <c r="AA325" s="1" t="s">
        <v>6572</v>
      </c>
      <c r="AB325" s="1" t="s">
        <v>1738</v>
      </c>
      <c r="AC325" s="1" t="s">
        <v>1739</v>
      </c>
      <c r="AD325" s="1">
        <v>8.08</v>
      </c>
      <c r="AE325" s="1" t="s">
        <v>98</v>
      </c>
      <c r="AF325" s="1" t="s">
        <v>6573</v>
      </c>
      <c r="AG325" s="1" t="s">
        <v>6574</v>
      </c>
      <c r="AH325" s="1" t="s">
        <v>490</v>
      </c>
      <c r="AI325" s="1" t="s">
        <v>313</v>
      </c>
      <c r="AJ325" s="1">
        <v>93.4</v>
      </c>
      <c r="AK325" s="1">
        <v>0</v>
      </c>
      <c r="AL325" s="1" t="s">
        <v>6573</v>
      </c>
      <c r="AM325" s="1" t="s">
        <v>6574</v>
      </c>
      <c r="AN325" s="1" t="s">
        <v>465</v>
      </c>
      <c r="AO325" s="1" t="s">
        <v>977</v>
      </c>
      <c r="AP325" s="1" t="s">
        <v>549</v>
      </c>
      <c r="AQ325" s="1">
        <v>85.6</v>
      </c>
      <c r="AR325" s="1">
        <v>0</v>
      </c>
      <c r="AS325" s="1"/>
      <c r="AT325" s="1"/>
      <c r="AU325" s="1"/>
      <c r="AV325" s="1"/>
      <c r="AW325" s="1"/>
      <c r="AX325" s="1"/>
      <c r="AY325" s="1" t="s">
        <v>6575</v>
      </c>
      <c r="AZ325" s="1" t="s">
        <v>6576</v>
      </c>
      <c r="BA325" s="1" t="s">
        <v>466</v>
      </c>
      <c r="BB325" s="1" t="s">
        <v>467</v>
      </c>
      <c r="BC325" s="1" t="s">
        <v>871</v>
      </c>
      <c r="BD325" s="1" t="s">
        <v>553</v>
      </c>
      <c r="BE325" s="1">
        <v>87.9</v>
      </c>
      <c r="BF325" s="1">
        <v>8.79</v>
      </c>
      <c r="BG325" s="1"/>
      <c r="BH325" s="1"/>
      <c r="BI325" s="1"/>
      <c r="BJ325" s="1"/>
      <c r="BK325" s="1"/>
      <c r="BL325" s="1"/>
      <c r="BM325" s="1"/>
      <c r="BN325" s="1"/>
      <c r="BO325" s="1" t="s">
        <v>6577</v>
      </c>
      <c r="BP325" s="1"/>
      <c r="BQ325" s="1"/>
      <c r="BR325" s="1" t="s">
        <v>6578</v>
      </c>
      <c r="BS325" s="1">
        <v>14</v>
      </c>
      <c r="BT325" s="1" t="s">
        <v>6579</v>
      </c>
      <c r="BU325" s="1" t="str">
        <f>HYPERLINK("https://nconnect.nicmar.ac.in/storage/profile/ProfilePhoto_P25700321_248693.jpg","Download")</f>
        <v>0</v>
      </c>
      <c r="BV325" s="3"/>
      <c r="BW325" s="3"/>
    </row>
    <row r="326" spans="1:75">
      <c r="A326" s="1" t="s">
        <v>75</v>
      </c>
      <c r="B326" s="1" t="s">
        <v>446</v>
      </c>
      <c r="C326" s="1" t="s">
        <v>6580</v>
      </c>
      <c r="D326" s="1" t="s">
        <v>6581</v>
      </c>
      <c r="E326" s="1"/>
      <c r="F326" s="1" t="s">
        <v>6582</v>
      </c>
      <c r="G326" s="1" t="s">
        <v>6583</v>
      </c>
      <c r="H326" s="1" t="s">
        <v>6584</v>
      </c>
      <c r="I326" s="1" t="s">
        <v>6585</v>
      </c>
      <c r="J326" s="1">
        <v>8848590645</v>
      </c>
      <c r="K326" s="1" t="s">
        <v>84</v>
      </c>
      <c r="L326" s="1" t="s">
        <v>6586</v>
      </c>
      <c r="M326" s="1" t="s">
        <v>86</v>
      </c>
      <c r="N326" s="1" t="s">
        <v>6587</v>
      </c>
      <c r="O326" s="1"/>
      <c r="P326" s="1" t="s">
        <v>455</v>
      </c>
      <c r="Q326" s="1" t="s">
        <v>6588</v>
      </c>
      <c r="R326" s="1" t="s">
        <v>6589</v>
      </c>
      <c r="S326" s="1">
        <v>9495679411</v>
      </c>
      <c r="T326" s="1" t="s">
        <v>6590</v>
      </c>
      <c r="U326" s="1" t="s">
        <v>6591</v>
      </c>
      <c r="V326" s="1">
        <v>8281733209</v>
      </c>
      <c r="W326" s="1" t="s">
        <v>6590</v>
      </c>
      <c r="X326" s="1" t="s">
        <v>6592</v>
      </c>
      <c r="Y326" s="1" t="s">
        <v>3190</v>
      </c>
      <c r="Z326" s="1" t="s">
        <v>130</v>
      </c>
      <c r="AA326" s="1" t="s">
        <v>6592</v>
      </c>
      <c r="AB326" s="1" t="s">
        <v>3190</v>
      </c>
      <c r="AC326" s="1" t="s">
        <v>130</v>
      </c>
      <c r="AD326" s="1">
        <v>8.64</v>
      </c>
      <c r="AE326" s="1" t="s">
        <v>98</v>
      </c>
      <c r="AF326" s="1" t="s">
        <v>6593</v>
      </c>
      <c r="AG326" s="1" t="s">
        <v>6594</v>
      </c>
      <c r="AH326" s="1" t="s">
        <v>704</v>
      </c>
      <c r="AI326" s="1" t="s">
        <v>171</v>
      </c>
      <c r="AJ326" s="1">
        <v>92.6</v>
      </c>
      <c r="AK326" s="1"/>
      <c r="AL326" s="1" t="s">
        <v>6593</v>
      </c>
      <c r="AM326" s="1" t="s">
        <v>6594</v>
      </c>
      <c r="AN326" s="1" t="s">
        <v>6380</v>
      </c>
      <c r="AO326" s="1" t="s">
        <v>547</v>
      </c>
      <c r="AP326" s="1" t="s">
        <v>178</v>
      </c>
      <c r="AQ326" s="1">
        <v>90.2</v>
      </c>
      <c r="AR326" s="1"/>
      <c r="AS326" s="1"/>
      <c r="AT326" s="1"/>
      <c r="AU326" s="1"/>
      <c r="AV326" s="1"/>
      <c r="AW326" s="1"/>
      <c r="AX326" s="1"/>
      <c r="AY326" s="1" t="s">
        <v>137</v>
      </c>
      <c r="AZ326" s="1" t="s">
        <v>6595</v>
      </c>
      <c r="BA326" s="1" t="s">
        <v>466</v>
      </c>
      <c r="BB326" s="1" t="s">
        <v>467</v>
      </c>
      <c r="BC326" s="1" t="s">
        <v>606</v>
      </c>
      <c r="BD326" s="1" t="s">
        <v>607</v>
      </c>
      <c r="BE326" s="1">
        <v>71.4</v>
      </c>
      <c r="BF326" s="1"/>
      <c r="BG326" s="1"/>
      <c r="BH326" s="1"/>
      <c r="BI326" s="1"/>
      <c r="BJ326" s="1"/>
      <c r="BK326" s="1"/>
      <c r="BL326" s="1"/>
      <c r="BM326" s="1"/>
      <c r="BN326" s="1"/>
      <c r="BO326" s="1" t="s">
        <v>6596</v>
      </c>
      <c r="BP326" s="1"/>
      <c r="BQ326" s="1"/>
      <c r="BR326" s="1" t="s">
        <v>6597</v>
      </c>
      <c r="BS326" s="1">
        <v>9</v>
      </c>
      <c r="BT326" s="1"/>
      <c r="BU326" s="1" t="str">
        <f>HYPERLINK("https://nconnect.nicmar.ac.in/storage/profile/ProfilePhoto_P25700322_174659.jpg","Download")</f>
        <v>0</v>
      </c>
      <c r="BV326" s="3"/>
      <c r="BW326" s="3"/>
    </row>
    <row r="327" spans="1:75">
      <c r="A327" s="1" t="s">
        <v>75</v>
      </c>
      <c r="B327" s="1" t="s">
        <v>446</v>
      </c>
      <c r="C327" s="1" t="s">
        <v>6598</v>
      </c>
      <c r="D327" s="1" t="s">
        <v>6599</v>
      </c>
      <c r="E327" s="1"/>
      <c r="F327" s="1" t="s">
        <v>6600</v>
      </c>
      <c r="G327" s="1" t="s">
        <v>6601</v>
      </c>
      <c r="H327" s="1" t="s">
        <v>6602</v>
      </c>
      <c r="I327" s="1" t="s">
        <v>6603</v>
      </c>
      <c r="J327" s="1">
        <v>7385659046</v>
      </c>
      <c r="K327" s="1" t="s">
        <v>84</v>
      </c>
      <c r="L327" s="1" t="s">
        <v>6604</v>
      </c>
      <c r="M327" s="1" t="s">
        <v>86</v>
      </c>
      <c r="N327" s="1" t="s">
        <v>6605</v>
      </c>
      <c r="O327" s="1"/>
      <c r="P327" s="1" t="s">
        <v>507</v>
      </c>
      <c r="Q327" s="1" t="s">
        <v>6606</v>
      </c>
      <c r="R327" s="1" t="s">
        <v>6607</v>
      </c>
      <c r="S327" s="1">
        <v>7030882121</v>
      </c>
      <c r="T327" s="1" t="s">
        <v>6608</v>
      </c>
      <c r="U327" s="1" t="s">
        <v>6609</v>
      </c>
      <c r="V327" s="1">
        <v>9970767523</v>
      </c>
      <c r="W327" s="1" t="s">
        <v>127</v>
      </c>
      <c r="X327" s="1" t="s">
        <v>6610</v>
      </c>
      <c r="Y327" s="1" t="s">
        <v>163</v>
      </c>
      <c r="Z327" s="1" t="s">
        <v>97</v>
      </c>
      <c r="AA327" s="1" t="s">
        <v>6610</v>
      </c>
      <c r="AB327" s="1" t="s">
        <v>163</v>
      </c>
      <c r="AC327" s="1" t="s">
        <v>97</v>
      </c>
      <c r="AD327" s="1">
        <v>7.36</v>
      </c>
      <c r="AE327" s="1" t="s">
        <v>98</v>
      </c>
      <c r="AF327" s="1" t="s">
        <v>4738</v>
      </c>
      <c r="AG327" s="1" t="s">
        <v>6611</v>
      </c>
      <c r="AH327" s="1" t="s">
        <v>1110</v>
      </c>
      <c r="AI327" s="1" t="s">
        <v>167</v>
      </c>
      <c r="AJ327" s="1">
        <v>80.4</v>
      </c>
      <c r="AK327" s="1"/>
      <c r="AL327" s="1" t="s">
        <v>6612</v>
      </c>
      <c r="AM327" s="1" t="s">
        <v>6611</v>
      </c>
      <c r="AN327" s="1" t="s">
        <v>465</v>
      </c>
      <c r="AO327" s="1" t="s">
        <v>167</v>
      </c>
      <c r="AP327" s="1" t="s">
        <v>106</v>
      </c>
      <c r="AQ327" s="1">
        <v>74.15</v>
      </c>
      <c r="AR327" s="1"/>
      <c r="AS327" s="1"/>
      <c r="AT327" s="1"/>
      <c r="AU327" s="1"/>
      <c r="AV327" s="1"/>
      <c r="AW327" s="1"/>
      <c r="AX327" s="1"/>
      <c r="AY327" s="1" t="s">
        <v>6613</v>
      </c>
      <c r="AZ327" s="1" t="s">
        <v>6614</v>
      </c>
      <c r="BA327" s="1" t="s">
        <v>466</v>
      </c>
      <c r="BB327" s="1" t="s">
        <v>467</v>
      </c>
      <c r="BC327" s="1" t="s">
        <v>315</v>
      </c>
      <c r="BD327" s="1" t="s">
        <v>1400</v>
      </c>
      <c r="BE327" s="1">
        <v>81.6</v>
      </c>
      <c r="BF327" s="1">
        <v>8.66</v>
      </c>
      <c r="BG327" s="1"/>
      <c r="BH327" s="1"/>
      <c r="BI327" s="1"/>
      <c r="BJ327" s="1"/>
      <c r="BK327" s="1"/>
      <c r="BL327" s="1"/>
      <c r="BM327" s="1"/>
      <c r="BN327" s="1"/>
      <c r="BO327" s="1" t="s">
        <v>6615</v>
      </c>
      <c r="BP327" s="1"/>
      <c r="BQ327" s="1"/>
      <c r="BR327" s="1" t="s">
        <v>6616</v>
      </c>
      <c r="BS327" s="1">
        <v>14</v>
      </c>
      <c r="BT327" s="1" t="s">
        <v>6617</v>
      </c>
      <c r="BU327" s="1" t="str">
        <f>HYPERLINK("https://nconnect.nicmar.ac.in/storage/profile/ProfilePhoto_P25700323_852916.jpg","Download")</f>
        <v>0</v>
      </c>
      <c r="BV327" s="3"/>
      <c r="BW327" s="3"/>
    </row>
    <row r="328" spans="1:75">
      <c r="A328" s="1" t="s">
        <v>75</v>
      </c>
      <c r="B328" s="1" t="s">
        <v>446</v>
      </c>
      <c r="C328" s="1" t="s">
        <v>6618</v>
      </c>
      <c r="D328" s="1" t="s">
        <v>6619</v>
      </c>
      <c r="E328" s="1"/>
      <c r="F328" s="1" t="s">
        <v>5809</v>
      </c>
      <c r="G328" s="1" t="s">
        <v>6620</v>
      </c>
      <c r="H328" s="1" t="s">
        <v>6621</v>
      </c>
      <c r="I328" s="1" t="s">
        <v>6622</v>
      </c>
      <c r="J328" s="1">
        <v>9720745458</v>
      </c>
      <c r="K328" s="1" t="s">
        <v>84</v>
      </c>
      <c r="L328" s="1" t="s">
        <v>6623</v>
      </c>
      <c r="M328" s="1" t="s">
        <v>86</v>
      </c>
      <c r="N328" s="1" t="s">
        <v>355</v>
      </c>
      <c r="O328" s="1"/>
      <c r="P328" s="1" t="s">
        <v>507</v>
      </c>
      <c r="Q328" s="1" t="s">
        <v>6624</v>
      </c>
      <c r="R328" s="1" t="s">
        <v>6625</v>
      </c>
      <c r="S328" s="1">
        <v>9719832735</v>
      </c>
      <c r="T328" s="1" t="s">
        <v>159</v>
      </c>
      <c r="U328" s="1" t="s">
        <v>6626</v>
      </c>
      <c r="V328" s="1">
        <v>8006914895</v>
      </c>
      <c r="W328" s="1" t="s">
        <v>94</v>
      </c>
      <c r="X328" s="1" t="s">
        <v>6627</v>
      </c>
      <c r="Y328" s="1" t="s">
        <v>794</v>
      </c>
      <c r="Z328" s="1" t="s">
        <v>544</v>
      </c>
      <c r="AA328" s="1" t="s">
        <v>6627</v>
      </c>
      <c r="AB328" s="1" t="s">
        <v>794</v>
      </c>
      <c r="AC328" s="1" t="s">
        <v>544</v>
      </c>
      <c r="AD328" s="1">
        <v>8.05</v>
      </c>
      <c r="AE328" s="1" t="s">
        <v>98</v>
      </c>
      <c r="AF328" s="1" t="s">
        <v>6628</v>
      </c>
      <c r="AG328" s="1" t="s">
        <v>6629</v>
      </c>
      <c r="AH328" s="1" t="s">
        <v>704</v>
      </c>
      <c r="AI328" s="1" t="s">
        <v>171</v>
      </c>
      <c r="AJ328" s="1">
        <v>76.4</v>
      </c>
      <c r="AK328" s="1"/>
      <c r="AL328" s="1" t="s">
        <v>6630</v>
      </c>
      <c r="AM328" s="1" t="s">
        <v>6629</v>
      </c>
      <c r="AN328" s="1" t="s">
        <v>465</v>
      </c>
      <c r="AO328" s="1" t="s">
        <v>547</v>
      </c>
      <c r="AP328" s="1" t="s">
        <v>178</v>
      </c>
      <c r="AQ328" s="1">
        <v>75</v>
      </c>
      <c r="AR328" s="1"/>
      <c r="AS328" s="1"/>
      <c r="AT328" s="1"/>
      <c r="AU328" s="1"/>
      <c r="AV328" s="1"/>
      <c r="AW328" s="1"/>
      <c r="AX328" s="1"/>
      <c r="AY328" s="1" t="s">
        <v>6631</v>
      </c>
      <c r="AZ328" s="1" t="s">
        <v>6632</v>
      </c>
      <c r="BA328" s="1" t="s">
        <v>466</v>
      </c>
      <c r="BB328" s="1" t="s">
        <v>467</v>
      </c>
      <c r="BC328" s="1" t="s">
        <v>1040</v>
      </c>
      <c r="BD328" s="1" t="s">
        <v>1089</v>
      </c>
      <c r="BE328" s="1">
        <v>73.6</v>
      </c>
      <c r="BF328" s="1">
        <v>7.36</v>
      </c>
      <c r="BG328" s="1"/>
      <c r="BH328" s="1"/>
      <c r="BI328" s="1"/>
      <c r="BJ328" s="1"/>
      <c r="BK328" s="1"/>
      <c r="BL328" s="1"/>
      <c r="BM328" s="1"/>
      <c r="BN328" s="1"/>
      <c r="BO328" s="1" t="s">
        <v>2267</v>
      </c>
      <c r="BP328" s="1"/>
      <c r="BQ328" s="1"/>
      <c r="BR328" s="1" t="s">
        <v>6633</v>
      </c>
      <c r="BS328" s="1">
        <v>16</v>
      </c>
      <c r="BT328" s="1"/>
      <c r="BU328" s="1" t="str">
        <f>HYPERLINK("https://nconnect.nicmar.ac.in/storage/profile/ProfilePhoto_P25700324_649581.jpg","Download")</f>
        <v>0</v>
      </c>
      <c r="BV328" s="3"/>
      <c r="BW328" s="3"/>
    </row>
    <row r="329" spans="1:75">
      <c r="A329" s="1" t="s">
        <v>75</v>
      </c>
      <c r="B329" s="1" t="s">
        <v>446</v>
      </c>
      <c r="C329" s="1" t="s">
        <v>6634</v>
      </c>
      <c r="D329" s="1" t="s">
        <v>5752</v>
      </c>
      <c r="E329" s="1" t="s">
        <v>6635</v>
      </c>
      <c r="F329" s="1" t="s">
        <v>6636</v>
      </c>
      <c r="G329" s="1" t="s">
        <v>6637</v>
      </c>
      <c r="H329" s="1" t="s">
        <v>6638</v>
      </c>
      <c r="I329" s="1" t="s">
        <v>6639</v>
      </c>
      <c r="J329" s="1">
        <v>8866685393</v>
      </c>
      <c r="K329" s="1" t="s">
        <v>84</v>
      </c>
      <c r="L329" s="1" t="s">
        <v>6640</v>
      </c>
      <c r="M329" s="1" t="s">
        <v>86</v>
      </c>
      <c r="N329" s="1" t="s">
        <v>6641</v>
      </c>
      <c r="O329" s="1"/>
      <c r="P329" s="1" t="s">
        <v>507</v>
      </c>
      <c r="Q329" s="1" t="s">
        <v>6642</v>
      </c>
      <c r="R329" s="1" t="s">
        <v>6643</v>
      </c>
      <c r="S329" s="1">
        <v>9879360698</v>
      </c>
      <c r="T329" s="1" t="s">
        <v>6644</v>
      </c>
      <c r="U329" s="1" t="s">
        <v>6645</v>
      </c>
      <c r="V329" s="1">
        <v>7874786501</v>
      </c>
      <c r="W329" s="1" t="s">
        <v>127</v>
      </c>
      <c r="X329" s="1" t="s">
        <v>6646</v>
      </c>
      <c r="Y329" s="1" t="s">
        <v>5138</v>
      </c>
      <c r="Z329" s="1" t="s">
        <v>676</v>
      </c>
      <c r="AA329" s="1" t="s">
        <v>6646</v>
      </c>
      <c r="AB329" s="1" t="s">
        <v>5138</v>
      </c>
      <c r="AC329" s="1" t="s">
        <v>676</v>
      </c>
      <c r="AD329" s="1">
        <v>9.03</v>
      </c>
      <c r="AE329" s="1" t="s">
        <v>98</v>
      </c>
      <c r="AF329" s="1" t="s">
        <v>6647</v>
      </c>
      <c r="AG329" s="1" t="s">
        <v>6648</v>
      </c>
      <c r="AH329" s="1" t="s">
        <v>101</v>
      </c>
      <c r="AI329" s="1" t="s">
        <v>102</v>
      </c>
      <c r="AJ329" s="1">
        <v>71.5</v>
      </c>
      <c r="AK329" s="1">
        <v>0</v>
      </c>
      <c r="AL329" s="1" t="s">
        <v>6647</v>
      </c>
      <c r="AM329" s="1" t="s">
        <v>6648</v>
      </c>
      <c r="AN329" s="1" t="s">
        <v>465</v>
      </c>
      <c r="AO329" s="1" t="s">
        <v>167</v>
      </c>
      <c r="AP329" s="1" t="s">
        <v>200</v>
      </c>
      <c r="AQ329" s="1">
        <v>64</v>
      </c>
      <c r="AR329" s="1">
        <v>0</v>
      </c>
      <c r="AS329" s="1"/>
      <c r="AT329" s="1"/>
      <c r="AU329" s="1"/>
      <c r="AV329" s="1"/>
      <c r="AW329" s="1"/>
      <c r="AX329" s="1"/>
      <c r="AY329" s="1" t="s">
        <v>5241</v>
      </c>
      <c r="AZ329" s="1" t="s">
        <v>6649</v>
      </c>
      <c r="BA329" s="1" t="s">
        <v>578</v>
      </c>
      <c r="BB329" s="1" t="s">
        <v>467</v>
      </c>
      <c r="BC329" s="1" t="s">
        <v>388</v>
      </c>
      <c r="BD329" s="1" t="s">
        <v>847</v>
      </c>
      <c r="BE329" s="1">
        <v>77.8</v>
      </c>
      <c r="BF329" s="1">
        <v>8.28</v>
      </c>
      <c r="BG329" s="1"/>
      <c r="BH329" s="1"/>
      <c r="BI329" s="1"/>
      <c r="BJ329" s="1"/>
      <c r="BK329" s="1"/>
      <c r="BL329" s="1"/>
      <c r="BM329" s="1"/>
      <c r="BN329" s="1"/>
      <c r="BO329" s="1" t="s">
        <v>6650</v>
      </c>
      <c r="BP329" s="1" t="s">
        <v>6651</v>
      </c>
      <c r="BQ329" s="1" t="s">
        <v>6652</v>
      </c>
      <c r="BR329" s="1" t="s">
        <v>6653</v>
      </c>
      <c r="BS329" s="1">
        <v>9</v>
      </c>
      <c r="BT329" s="1" t="s">
        <v>6654</v>
      </c>
      <c r="BU329" s="1" t="str">
        <f>HYPERLINK("https://nconnect.nicmar.ac.in/storage/profile/6a6247e7c603e.png","Download")</f>
        <v>0</v>
      </c>
      <c r="BV329" s="3"/>
      <c r="BW329" s="4">
        <v>1</v>
      </c>
    </row>
    <row r="330" spans="1:75">
      <c r="A330" s="1" t="s">
        <v>75</v>
      </c>
      <c r="B330" s="1" t="s">
        <v>446</v>
      </c>
      <c r="C330" s="1" t="s">
        <v>6655</v>
      </c>
      <c r="D330" s="1" t="s">
        <v>6656</v>
      </c>
      <c r="E330" s="1"/>
      <c r="F330" s="1" t="s">
        <v>6657</v>
      </c>
      <c r="G330" s="1" t="s">
        <v>6658</v>
      </c>
      <c r="H330" s="1" t="s">
        <v>6659</v>
      </c>
      <c r="I330" s="1" t="s">
        <v>6660</v>
      </c>
      <c r="J330" s="1">
        <v>8618327899</v>
      </c>
      <c r="K330" s="1" t="s">
        <v>153</v>
      </c>
      <c r="L330" s="1" t="s">
        <v>6661</v>
      </c>
      <c r="M330" s="1" t="s">
        <v>86</v>
      </c>
      <c r="N330" s="1" t="s">
        <v>6662</v>
      </c>
      <c r="O330" s="1"/>
      <c r="P330" s="1" t="s">
        <v>507</v>
      </c>
      <c r="Q330" s="1" t="s">
        <v>6663</v>
      </c>
      <c r="R330" s="1" t="s">
        <v>6664</v>
      </c>
      <c r="S330" s="1">
        <v>7338431029</v>
      </c>
      <c r="T330" s="1" t="s">
        <v>125</v>
      </c>
      <c r="U330" s="1" t="s">
        <v>6665</v>
      </c>
      <c r="V330" s="1">
        <v>9535545539</v>
      </c>
      <c r="W330" s="1" t="s">
        <v>1577</v>
      </c>
      <c r="X330" s="1" t="s">
        <v>6666</v>
      </c>
      <c r="Y330" s="1" t="s">
        <v>3132</v>
      </c>
      <c r="Z330" s="1" t="s">
        <v>1210</v>
      </c>
      <c r="AA330" s="1" t="s">
        <v>6666</v>
      </c>
      <c r="AB330" s="1" t="s">
        <v>3132</v>
      </c>
      <c r="AC330" s="1" t="s">
        <v>1210</v>
      </c>
      <c r="AD330" s="1">
        <v>8.67</v>
      </c>
      <c r="AE330" s="1" t="s">
        <v>98</v>
      </c>
      <c r="AF330" s="1" t="s">
        <v>6667</v>
      </c>
      <c r="AG330" s="1" t="s">
        <v>6668</v>
      </c>
      <c r="AH330" s="1" t="s">
        <v>171</v>
      </c>
      <c r="AI330" s="1" t="s">
        <v>313</v>
      </c>
      <c r="AJ330" s="1">
        <v>81.9</v>
      </c>
      <c r="AK330" s="1">
        <v>0</v>
      </c>
      <c r="AL330" s="1" t="s">
        <v>4614</v>
      </c>
      <c r="AM330" s="1" t="s">
        <v>1216</v>
      </c>
      <c r="AN330" s="1"/>
      <c r="AO330" s="1" t="s">
        <v>315</v>
      </c>
      <c r="AP330" s="1" t="s">
        <v>549</v>
      </c>
      <c r="AQ330" s="1">
        <v>91.5</v>
      </c>
      <c r="AR330" s="1">
        <v>0</v>
      </c>
      <c r="AS330" s="1"/>
      <c r="AT330" s="1"/>
      <c r="AU330" s="1"/>
      <c r="AV330" s="1"/>
      <c r="AW330" s="1"/>
      <c r="AX330" s="1"/>
      <c r="AY330" s="1" t="s">
        <v>6669</v>
      </c>
      <c r="AZ330" s="1" t="s">
        <v>6670</v>
      </c>
      <c r="BA330" s="1"/>
      <c r="BB330" s="1"/>
      <c r="BC330" s="1" t="s">
        <v>140</v>
      </c>
      <c r="BD330" s="1" t="s">
        <v>553</v>
      </c>
      <c r="BE330" s="1">
        <v>76.3</v>
      </c>
      <c r="BF330" s="1">
        <v>7.63</v>
      </c>
      <c r="BG330" s="1"/>
      <c r="BH330" s="1"/>
      <c r="BI330" s="1"/>
      <c r="BJ330" s="1"/>
      <c r="BK330" s="1"/>
      <c r="BL330" s="1"/>
      <c r="BM330" s="1"/>
      <c r="BN330" s="1"/>
      <c r="BO330" s="1" t="s">
        <v>6671</v>
      </c>
      <c r="BP330" s="1"/>
      <c r="BQ330" s="1"/>
      <c r="BR330" s="1" t="s">
        <v>6672</v>
      </c>
      <c r="BS330" s="1">
        <v>13</v>
      </c>
      <c r="BT330" s="1"/>
      <c r="BU330" s="1" t="str">
        <f>HYPERLINK("https://nconnect.nicmar.ac.in/storage/profile/ProfilePhoto_P25700327_437895.jpg","Download")</f>
        <v>0</v>
      </c>
      <c r="BV330" s="3"/>
      <c r="BW330" s="3"/>
    </row>
    <row r="331" spans="1:75">
      <c r="A331" s="1" t="s">
        <v>75</v>
      </c>
      <c r="B331" s="1" t="s">
        <v>446</v>
      </c>
      <c r="C331" s="1" t="s">
        <v>6673</v>
      </c>
      <c r="D331" s="1" t="s">
        <v>6674</v>
      </c>
      <c r="E331" s="1" t="s">
        <v>3350</v>
      </c>
      <c r="F331" s="1" t="s">
        <v>149</v>
      </c>
      <c r="G331" s="1" t="s">
        <v>6675</v>
      </c>
      <c r="H331" s="1" t="s">
        <v>6676</v>
      </c>
      <c r="I331" s="1" t="s">
        <v>6677</v>
      </c>
      <c r="J331" s="1">
        <v>9730221414</v>
      </c>
      <c r="K331" s="1" t="s">
        <v>84</v>
      </c>
      <c r="L331" s="1" t="s">
        <v>6678</v>
      </c>
      <c r="M331" s="1" t="s">
        <v>86</v>
      </c>
      <c r="N331" s="1" t="s">
        <v>618</v>
      </c>
      <c r="O331" s="1"/>
      <c r="P331" s="1" t="s">
        <v>481</v>
      </c>
      <c r="Q331" s="1" t="s">
        <v>6679</v>
      </c>
      <c r="R331" s="1" t="s">
        <v>6680</v>
      </c>
      <c r="S331" s="1">
        <v>9403846002</v>
      </c>
      <c r="T331" s="1" t="s">
        <v>6681</v>
      </c>
      <c r="U331" s="1" t="s">
        <v>6682</v>
      </c>
      <c r="V331" s="1">
        <v>7038720012</v>
      </c>
      <c r="W331" s="1" t="s">
        <v>161</v>
      </c>
      <c r="X331" s="1" t="s">
        <v>6683</v>
      </c>
      <c r="Y331" s="1" t="s">
        <v>196</v>
      </c>
      <c r="Z331" s="1" t="s">
        <v>97</v>
      </c>
      <c r="AA331" s="1" t="s">
        <v>6684</v>
      </c>
      <c r="AB331" s="1" t="s">
        <v>3538</v>
      </c>
      <c r="AC331" s="1" t="s">
        <v>97</v>
      </c>
      <c r="AD331" s="1">
        <v>8.59</v>
      </c>
      <c r="AE331" s="1" t="s">
        <v>98</v>
      </c>
      <c r="AF331" s="1" t="s">
        <v>6685</v>
      </c>
      <c r="AG331" s="1" t="s">
        <v>996</v>
      </c>
      <c r="AH331" s="1" t="s">
        <v>170</v>
      </c>
      <c r="AI331" s="1" t="s">
        <v>286</v>
      </c>
      <c r="AJ331" s="1">
        <v>98.4</v>
      </c>
      <c r="AK331" s="1">
        <v>0</v>
      </c>
      <c r="AL331" s="1" t="s">
        <v>3966</v>
      </c>
      <c r="AM331" s="1" t="s">
        <v>996</v>
      </c>
      <c r="AN331" s="1" t="s">
        <v>465</v>
      </c>
      <c r="AO331" s="1" t="s">
        <v>315</v>
      </c>
      <c r="AP331" s="1" t="s">
        <v>365</v>
      </c>
      <c r="AQ331" s="1">
        <v>81.23</v>
      </c>
      <c r="AR331" s="1">
        <v>0</v>
      </c>
      <c r="AS331" s="1"/>
      <c r="AT331" s="1"/>
      <c r="AU331" s="1"/>
      <c r="AV331" s="1"/>
      <c r="AW331" s="1"/>
      <c r="AX331" s="1"/>
      <c r="AY331" s="1" t="s">
        <v>366</v>
      </c>
      <c r="AZ331" s="1" t="s">
        <v>6686</v>
      </c>
      <c r="BA331" s="1" t="s">
        <v>682</v>
      </c>
      <c r="BB331" s="1" t="s">
        <v>1561</v>
      </c>
      <c r="BC331" s="1" t="s">
        <v>1647</v>
      </c>
      <c r="BD331" s="1" t="s">
        <v>607</v>
      </c>
      <c r="BE331" s="1">
        <v>74.9</v>
      </c>
      <c r="BF331" s="1">
        <v>8.24</v>
      </c>
      <c r="BG331" s="1"/>
      <c r="BH331" s="1"/>
      <c r="BI331" s="1"/>
      <c r="BJ331" s="1"/>
      <c r="BK331" s="1"/>
      <c r="BL331" s="1"/>
      <c r="BM331" s="1"/>
      <c r="BN331" s="1"/>
      <c r="BO331" s="1" t="s">
        <v>6687</v>
      </c>
      <c r="BP331" s="1"/>
      <c r="BQ331" s="1"/>
      <c r="BR331" s="1" t="s">
        <v>6688</v>
      </c>
      <c r="BS331" s="1">
        <v>27</v>
      </c>
      <c r="BT331" s="1" t="s">
        <v>6689</v>
      </c>
      <c r="BU331" s="1" t="str">
        <f>HYPERLINK("https://nconnect.nicmar.ac.in/storage/profile/ProfilePhoto_P25700328_694123.jpg","Download")</f>
        <v>0</v>
      </c>
      <c r="BV331" s="3"/>
      <c r="BW331" s="3"/>
    </row>
    <row r="332" spans="1:75">
      <c r="A332" s="1" t="s">
        <v>75</v>
      </c>
      <c r="B332" s="1" t="s">
        <v>446</v>
      </c>
      <c r="C332" s="1" t="s">
        <v>6690</v>
      </c>
      <c r="D332" s="1" t="s">
        <v>6691</v>
      </c>
      <c r="E332" s="1" t="s">
        <v>6692</v>
      </c>
      <c r="F332" s="1" t="s">
        <v>2943</v>
      </c>
      <c r="G332" s="1" t="s">
        <v>6693</v>
      </c>
      <c r="H332" s="1" t="s">
        <v>6694</v>
      </c>
      <c r="I332" s="1" t="s">
        <v>6695</v>
      </c>
      <c r="J332" s="1">
        <v>9604854747</v>
      </c>
      <c r="K332" s="1" t="s">
        <v>153</v>
      </c>
      <c r="L332" s="1" t="s">
        <v>6696</v>
      </c>
      <c r="M332" s="1" t="s">
        <v>86</v>
      </c>
      <c r="N332" s="1" t="s">
        <v>768</v>
      </c>
      <c r="O332" s="1"/>
      <c r="P332" s="1" t="s">
        <v>481</v>
      </c>
      <c r="Q332" s="1" t="s">
        <v>6697</v>
      </c>
      <c r="R332" s="1" t="s">
        <v>6692</v>
      </c>
      <c r="S332" s="1">
        <v>8459551170</v>
      </c>
      <c r="T332" s="1" t="s">
        <v>127</v>
      </c>
      <c r="U332" s="1" t="s">
        <v>1900</v>
      </c>
      <c r="V332" s="1">
        <v>8208876304</v>
      </c>
      <c r="W332" s="1" t="s">
        <v>161</v>
      </c>
      <c r="X332" s="1" t="s">
        <v>6698</v>
      </c>
      <c r="Y332" s="1" t="s">
        <v>410</v>
      </c>
      <c r="Z332" s="1" t="s">
        <v>97</v>
      </c>
      <c r="AA332" s="1" t="s">
        <v>6698</v>
      </c>
      <c r="AB332" s="1" t="s">
        <v>410</v>
      </c>
      <c r="AC332" s="1" t="s">
        <v>97</v>
      </c>
      <c r="AD332" s="1">
        <v>8.03</v>
      </c>
      <c r="AE332" s="1" t="s">
        <v>98</v>
      </c>
      <c r="AF332" s="1" t="s">
        <v>6699</v>
      </c>
      <c r="AG332" s="1" t="s">
        <v>312</v>
      </c>
      <c r="AH332" s="1" t="s">
        <v>704</v>
      </c>
      <c r="AI332" s="1" t="s">
        <v>171</v>
      </c>
      <c r="AJ332" s="1">
        <v>79.8</v>
      </c>
      <c r="AK332" s="1"/>
      <c r="AL332" s="1" t="s">
        <v>6700</v>
      </c>
      <c r="AM332" s="1" t="s">
        <v>6701</v>
      </c>
      <c r="AN332" s="1" t="s">
        <v>465</v>
      </c>
      <c r="AO332" s="1" t="s">
        <v>438</v>
      </c>
      <c r="AP332" s="1" t="s">
        <v>468</v>
      </c>
      <c r="AQ332" s="1">
        <v>67.85</v>
      </c>
      <c r="AR332" s="1"/>
      <c r="AS332" s="1"/>
      <c r="AT332" s="1"/>
      <c r="AU332" s="1"/>
      <c r="AV332" s="1"/>
      <c r="AW332" s="1"/>
      <c r="AX332" s="1"/>
      <c r="AY332" s="1" t="s">
        <v>415</v>
      </c>
      <c r="AZ332" s="1" t="s">
        <v>5460</v>
      </c>
      <c r="BA332" s="1" t="s">
        <v>466</v>
      </c>
      <c r="BB332" s="1" t="s">
        <v>467</v>
      </c>
      <c r="BC332" s="1" t="s">
        <v>368</v>
      </c>
      <c r="BD332" s="1" t="s">
        <v>418</v>
      </c>
      <c r="BE332" s="1">
        <v>70.5</v>
      </c>
      <c r="BF332" s="1">
        <v>7.8</v>
      </c>
      <c r="BG332" s="1"/>
      <c r="BH332" s="1"/>
      <c r="BI332" s="1"/>
      <c r="BJ332" s="1"/>
      <c r="BK332" s="1"/>
      <c r="BL332" s="1"/>
      <c r="BM332" s="1"/>
      <c r="BN332" s="1"/>
      <c r="BO332" s="1" t="s">
        <v>6702</v>
      </c>
      <c r="BP332" s="1"/>
      <c r="BQ332" s="1"/>
      <c r="BR332" s="1" t="s">
        <v>6703</v>
      </c>
      <c r="BS332" s="1">
        <v>25</v>
      </c>
      <c r="BT332" s="1"/>
      <c r="BU332" s="1" t="str">
        <f>HYPERLINK("https://nconnect.nicmar.ac.in/storage/profile/ProfilePhoto_P25700329_934817.jpg","Download")</f>
        <v>0</v>
      </c>
      <c r="BV332" s="3"/>
      <c r="BW332" s="3"/>
    </row>
    <row r="333" spans="1:75">
      <c r="A333" s="1" t="s">
        <v>75</v>
      </c>
      <c r="B333" s="1" t="s">
        <v>446</v>
      </c>
      <c r="C333" s="1" t="s">
        <v>6704</v>
      </c>
      <c r="D333" s="1" t="s">
        <v>6705</v>
      </c>
      <c r="E333" s="1" t="s">
        <v>3639</v>
      </c>
      <c r="F333" s="1" t="s">
        <v>1179</v>
      </c>
      <c r="G333" s="1" t="s">
        <v>6706</v>
      </c>
      <c r="H333" s="1" t="s">
        <v>6707</v>
      </c>
      <c r="I333" s="1" t="s">
        <v>6708</v>
      </c>
      <c r="J333" s="1">
        <v>7798893088</v>
      </c>
      <c r="K333" s="1" t="s">
        <v>84</v>
      </c>
      <c r="L333" s="1" t="s">
        <v>6709</v>
      </c>
      <c r="M333" s="1" t="s">
        <v>86</v>
      </c>
      <c r="N333" s="1" t="s">
        <v>6710</v>
      </c>
      <c r="O333" s="1"/>
      <c r="P333" s="1" t="s">
        <v>1028</v>
      </c>
      <c r="Q333" s="1" t="s">
        <v>6711</v>
      </c>
      <c r="R333" s="1" t="s">
        <v>6712</v>
      </c>
      <c r="S333" s="1">
        <v>9922934423</v>
      </c>
      <c r="T333" s="1" t="s">
        <v>6713</v>
      </c>
      <c r="U333" s="1" t="s">
        <v>6714</v>
      </c>
      <c r="V333" s="1">
        <v>9922934423</v>
      </c>
      <c r="W333" s="1" t="s">
        <v>278</v>
      </c>
      <c r="X333" s="1" t="s">
        <v>6715</v>
      </c>
      <c r="Y333" s="1" t="s">
        <v>5659</v>
      </c>
      <c r="Z333" s="1" t="s">
        <v>97</v>
      </c>
      <c r="AA333" s="1" t="s">
        <v>6715</v>
      </c>
      <c r="AB333" s="1" t="s">
        <v>5659</v>
      </c>
      <c r="AC333" s="1" t="s">
        <v>97</v>
      </c>
      <c r="AD333" s="1">
        <v>6.54</v>
      </c>
      <c r="AE333" s="1" t="s">
        <v>98</v>
      </c>
      <c r="AF333" s="1" t="s">
        <v>6716</v>
      </c>
      <c r="AG333" s="1" t="s">
        <v>6717</v>
      </c>
      <c r="AH333" s="1" t="s">
        <v>101</v>
      </c>
      <c r="AI333" s="1" t="s">
        <v>102</v>
      </c>
      <c r="AJ333" s="1">
        <v>76.6</v>
      </c>
      <c r="AK333" s="1"/>
      <c r="AL333" s="1" t="s">
        <v>6718</v>
      </c>
      <c r="AM333" s="1" t="s">
        <v>6717</v>
      </c>
      <c r="AN333" s="1" t="s">
        <v>575</v>
      </c>
      <c r="AO333" s="1" t="s">
        <v>167</v>
      </c>
      <c r="AP333" s="1" t="s">
        <v>518</v>
      </c>
      <c r="AQ333" s="1">
        <v>56.77</v>
      </c>
      <c r="AR333" s="1"/>
      <c r="AS333" s="1" t="s">
        <v>103</v>
      </c>
      <c r="AT333" s="1" t="s">
        <v>6719</v>
      </c>
      <c r="AU333" s="1" t="s">
        <v>468</v>
      </c>
      <c r="AV333" s="1" t="s">
        <v>521</v>
      </c>
      <c r="AW333" s="1">
        <v>74.32</v>
      </c>
      <c r="AX333" s="1"/>
      <c r="AY333" s="1" t="s">
        <v>6720</v>
      </c>
      <c r="AZ333" s="1" t="s">
        <v>6721</v>
      </c>
      <c r="BA333" s="1" t="s">
        <v>578</v>
      </c>
      <c r="BB333" s="1" t="s">
        <v>467</v>
      </c>
      <c r="BC333" s="1" t="s">
        <v>1400</v>
      </c>
      <c r="BD333" s="1" t="s">
        <v>1401</v>
      </c>
      <c r="BE333" s="1">
        <v>66.36</v>
      </c>
      <c r="BF333" s="1">
        <v>7.19</v>
      </c>
      <c r="BG333" s="1"/>
      <c r="BH333" s="1"/>
      <c r="BI333" s="1"/>
      <c r="BJ333" s="1"/>
      <c r="BK333" s="1"/>
      <c r="BL333" s="1"/>
      <c r="BM333" s="1"/>
      <c r="BN333" s="1"/>
      <c r="BO333" s="1" t="s">
        <v>6722</v>
      </c>
      <c r="BP333" s="1"/>
      <c r="BQ333" s="1"/>
      <c r="BR333" s="1" t="s">
        <v>6723</v>
      </c>
      <c r="BS333" s="1">
        <v>8</v>
      </c>
      <c r="BT333" s="1" t="s">
        <v>6724</v>
      </c>
      <c r="BU333" s="1" t="str">
        <f>HYPERLINK("https://nconnect.nicmar.ac.in/storage/profile/ProfilePhoto_P25700330_839724.jpg","Download")</f>
        <v>0</v>
      </c>
      <c r="BV333" s="3"/>
      <c r="BW333" s="3"/>
    </row>
    <row r="334" spans="1:75">
      <c r="A334" s="1" t="s">
        <v>75</v>
      </c>
      <c r="B334" s="1" t="s">
        <v>446</v>
      </c>
      <c r="C334" s="1" t="s">
        <v>6725</v>
      </c>
      <c r="D334" s="1" t="s">
        <v>6726</v>
      </c>
      <c r="E334" s="1"/>
      <c r="F334" s="1" t="s">
        <v>6727</v>
      </c>
      <c r="G334" s="1" t="s">
        <v>6728</v>
      </c>
      <c r="H334" s="1" t="s">
        <v>6729</v>
      </c>
      <c r="I334" s="1" t="s">
        <v>6730</v>
      </c>
      <c r="J334" s="1">
        <v>8378929055</v>
      </c>
      <c r="K334" s="1" t="s">
        <v>153</v>
      </c>
      <c r="L334" s="1" t="s">
        <v>6731</v>
      </c>
      <c r="M334" s="1" t="s">
        <v>86</v>
      </c>
      <c r="N334" s="1" t="s">
        <v>6088</v>
      </c>
      <c r="O334" s="1"/>
      <c r="P334" s="1" t="s">
        <v>455</v>
      </c>
      <c r="Q334" s="1" t="s">
        <v>6732</v>
      </c>
      <c r="R334" s="1" t="s">
        <v>397</v>
      </c>
      <c r="S334" s="1">
        <v>9260278284</v>
      </c>
      <c r="T334" s="1" t="s">
        <v>6733</v>
      </c>
      <c r="U334" s="1" t="s">
        <v>4160</v>
      </c>
      <c r="V334" s="1">
        <v>8308476336</v>
      </c>
      <c r="W334" s="1" t="s">
        <v>161</v>
      </c>
      <c r="X334" s="1" t="s">
        <v>6734</v>
      </c>
      <c r="Y334" s="1" t="s">
        <v>196</v>
      </c>
      <c r="Z334" s="1" t="s">
        <v>97</v>
      </c>
      <c r="AA334" s="1" t="s">
        <v>6734</v>
      </c>
      <c r="AB334" s="1" t="s">
        <v>196</v>
      </c>
      <c r="AC334" s="1" t="s">
        <v>97</v>
      </c>
      <c r="AD334" s="1">
        <v>8.28</v>
      </c>
      <c r="AE334" s="1" t="s">
        <v>98</v>
      </c>
      <c r="AF334" s="1" t="s">
        <v>6735</v>
      </c>
      <c r="AG334" s="1" t="s">
        <v>6736</v>
      </c>
      <c r="AH334" s="1" t="s">
        <v>284</v>
      </c>
      <c r="AI334" s="1" t="s">
        <v>170</v>
      </c>
      <c r="AJ334" s="1">
        <v>84.8</v>
      </c>
      <c r="AK334" s="1"/>
      <c r="AL334" s="1" t="s">
        <v>6735</v>
      </c>
      <c r="AM334" s="1" t="s">
        <v>6737</v>
      </c>
      <c r="AN334" s="1" t="s">
        <v>465</v>
      </c>
      <c r="AO334" s="1" t="s">
        <v>388</v>
      </c>
      <c r="AP334" s="1" t="s">
        <v>313</v>
      </c>
      <c r="AQ334" s="1">
        <v>56</v>
      </c>
      <c r="AR334" s="1"/>
      <c r="AS334" s="1" t="s">
        <v>6735</v>
      </c>
      <c r="AT334" s="1" t="s">
        <v>6738</v>
      </c>
      <c r="AU334" s="1" t="s">
        <v>315</v>
      </c>
      <c r="AV334" s="1" t="s">
        <v>441</v>
      </c>
      <c r="AW334" s="1">
        <v>85.84</v>
      </c>
      <c r="AX334" s="1"/>
      <c r="AY334" s="1" t="s">
        <v>366</v>
      </c>
      <c r="AZ334" s="1" t="s">
        <v>6739</v>
      </c>
      <c r="BA334" s="1" t="s">
        <v>578</v>
      </c>
      <c r="BB334" s="1" t="s">
        <v>467</v>
      </c>
      <c r="BC334" s="1" t="s">
        <v>871</v>
      </c>
      <c r="BD334" s="1" t="s">
        <v>207</v>
      </c>
      <c r="BE334" s="1">
        <v>73.6</v>
      </c>
      <c r="BF334" s="1">
        <v>8.11</v>
      </c>
      <c r="BG334" s="1"/>
      <c r="BH334" s="1"/>
      <c r="BI334" s="1"/>
      <c r="BJ334" s="1"/>
      <c r="BK334" s="1"/>
      <c r="BL334" s="1"/>
      <c r="BM334" s="1"/>
      <c r="BN334" s="1"/>
      <c r="BO334" s="1" t="s">
        <v>260</v>
      </c>
      <c r="BP334" s="1"/>
      <c r="BQ334" s="1"/>
      <c r="BR334" s="1" t="s">
        <v>6740</v>
      </c>
      <c r="BS334" s="1">
        <v>29</v>
      </c>
      <c r="BT334" s="1"/>
      <c r="BU334" s="1" t="str">
        <f>HYPERLINK("https://nconnect.nicmar.ac.in/storage/profile/ProfilePhoto_P25700331_498125.jpg","Download")</f>
        <v>0</v>
      </c>
      <c r="BV334" s="3"/>
      <c r="BW334" s="3"/>
    </row>
    <row r="335" spans="1:75">
      <c r="A335" s="1" t="s">
        <v>75</v>
      </c>
      <c r="B335" s="1" t="s">
        <v>446</v>
      </c>
      <c r="C335" s="1" t="s">
        <v>6741</v>
      </c>
      <c r="D335" s="1" t="s">
        <v>6742</v>
      </c>
      <c r="E335" s="1" t="s">
        <v>1294</v>
      </c>
      <c r="F335" s="1" t="s">
        <v>1872</v>
      </c>
      <c r="G335" s="1" t="s">
        <v>6743</v>
      </c>
      <c r="H335" s="1" t="s">
        <v>6744</v>
      </c>
      <c r="I335" s="1" t="s">
        <v>6745</v>
      </c>
      <c r="J335" s="1">
        <v>9168137257</v>
      </c>
      <c r="K335" s="1" t="s">
        <v>84</v>
      </c>
      <c r="L335" s="1" t="s">
        <v>6746</v>
      </c>
      <c r="M335" s="1" t="s">
        <v>86</v>
      </c>
      <c r="N335" s="1" t="s">
        <v>6747</v>
      </c>
      <c r="O335" s="1"/>
      <c r="P335" s="1" t="s">
        <v>507</v>
      </c>
      <c r="Q335" s="1" t="s">
        <v>6748</v>
      </c>
      <c r="R335" s="1" t="s">
        <v>6749</v>
      </c>
      <c r="S335" s="1">
        <v>9890474823</v>
      </c>
      <c r="T335" s="1" t="s">
        <v>839</v>
      </c>
      <c r="U335" s="1" t="s">
        <v>6750</v>
      </c>
      <c r="V335" s="1">
        <v>9158816620</v>
      </c>
      <c r="W335" s="1" t="s">
        <v>1678</v>
      </c>
      <c r="X335" s="1" t="s">
        <v>6751</v>
      </c>
      <c r="Y335" s="1" t="s">
        <v>910</v>
      </c>
      <c r="Z335" s="1" t="s">
        <v>97</v>
      </c>
      <c r="AA335" s="1" t="s">
        <v>6751</v>
      </c>
      <c r="AB335" s="1" t="s">
        <v>910</v>
      </c>
      <c r="AC335" s="1" t="s">
        <v>97</v>
      </c>
      <c r="AD335" s="1">
        <v>7.69</v>
      </c>
      <c r="AE335" s="1" t="s">
        <v>98</v>
      </c>
      <c r="AF335" s="1" t="s">
        <v>3051</v>
      </c>
      <c r="AG335" s="1" t="s">
        <v>6752</v>
      </c>
      <c r="AH335" s="1" t="s">
        <v>286</v>
      </c>
      <c r="AI335" s="1" t="s">
        <v>414</v>
      </c>
      <c r="AJ335" s="1">
        <v>77.2</v>
      </c>
      <c r="AK335" s="1"/>
      <c r="AL335" s="1" t="s">
        <v>6753</v>
      </c>
      <c r="AM335" s="1" t="s">
        <v>6752</v>
      </c>
      <c r="AN335" s="1" t="s">
        <v>465</v>
      </c>
      <c r="AO335" s="1" t="s">
        <v>603</v>
      </c>
      <c r="AP335" s="1" t="s">
        <v>1192</v>
      </c>
      <c r="AQ335" s="1">
        <v>71.67</v>
      </c>
      <c r="AR335" s="1"/>
      <c r="AS335" s="1"/>
      <c r="AT335" s="1"/>
      <c r="AU335" s="1"/>
      <c r="AV335" s="1"/>
      <c r="AW335" s="1"/>
      <c r="AX335" s="1"/>
      <c r="AY335" s="1" t="s">
        <v>4232</v>
      </c>
      <c r="AZ335" s="1" t="s">
        <v>6754</v>
      </c>
      <c r="BA335" s="1" t="s">
        <v>466</v>
      </c>
      <c r="BB335" s="1" t="s">
        <v>467</v>
      </c>
      <c r="BC335" s="1" t="s">
        <v>549</v>
      </c>
      <c r="BD335" s="1" t="s">
        <v>1401</v>
      </c>
      <c r="BE335" s="1">
        <v>82.04</v>
      </c>
      <c r="BF335" s="1">
        <v>8.99</v>
      </c>
      <c r="BG335" s="1"/>
      <c r="BH335" s="1" t="s">
        <v>6026</v>
      </c>
      <c r="BI335" s="1"/>
      <c r="BJ335" s="1"/>
      <c r="BK335" s="1" t="s">
        <v>1401</v>
      </c>
      <c r="BL335" s="1" t="s">
        <v>6755</v>
      </c>
      <c r="BM335" s="1">
        <v>0</v>
      </c>
      <c r="BN335" s="1"/>
      <c r="BO335" s="1" t="s">
        <v>2267</v>
      </c>
      <c r="BP335" s="1"/>
      <c r="BQ335" s="1"/>
      <c r="BR335" s="1" t="s">
        <v>6756</v>
      </c>
      <c r="BS335" s="1">
        <v>34</v>
      </c>
      <c r="BT335" s="1"/>
      <c r="BU335" s="1" t="str">
        <f>HYPERLINK("https://nconnect.nicmar.ac.in/storage/profile/ProfilePhoto_P25700332_582631.jpg","Download")</f>
        <v>0</v>
      </c>
      <c r="BV335" s="3"/>
      <c r="BW335" s="3"/>
    </row>
    <row r="336" spans="1:75">
      <c r="A336" s="1" t="s">
        <v>75</v>
      </c>
      <c r="B336" s="1" t="s">
        <v>446</v>
      </c>
      <c r="C336" s="1" t="s">
        <v>6757</v>
      </c>
      <c r="D336" s="1" t="s">
        <v>6758</v>
      </c>
      <c r="E336" s="1" t="s">
        <v>4646</v>
      </c>
      <c r="F336" s="1" t="s">
        <v>6759</v>
      </c>
      <c r="G336" s="1" t="s">
        <v>6760</v>
      </c>
      <c r="H336" s="1" t="s">
        <v>6761</v>
      </c>
      <c r="I336" s="1" t="s">
        <v>6762</v>
      </c>
      <c r="J336" s="1">
        <v>9921918190</v>
      </c>
      <c r="K336" s="1" t="s">
        <v>84</v>
      </c>
      <c r="L336" s="1" t="s">
        <v>6763</v>
      </c>
      <c r="M336" s="1" t="s">
        <v>86</v>
      </c>
      <c r="N336" s="1" t="s">
        <v>156</v>
      </c>
      <c r="O336" s="1"/>
      <c r="P336" s="1" t="s">
        <v>455</v>
      </c>
      <c r="Q336" s="1" t="s">
        <v>6764</v>
      </c>
      <c r="R336" s="1" t="s">
        <v>4646</v>
      </c>
      <c r="S336" s="1">
        <v>9960772572</v>
      </c>
      <c r="T336" s="1" t="s">
        <v>2950</v>
      </c>
      <c r="U336" s="1" t="s">
        <v>6765</v>
      </c>
      <c r="V336" s="1">
        <v>9960772572</v>
      </c>
      <c r="W336" s="1" t="s">
        <v>161</v>
      </c>
      <c r="X336" s="1" t="s">
        <v>6766</v>
      </c>
      <c r="Y336" s="1" t="s">
        <v>1145</v>
      </c>
      <c r="Z336" s="1" t="s">
        <v>97</v>
      </c>
      <c r="AA336" s="1" t="s">
        <v>6766</v>
      </c>
      <c r="AB336" s="1" t="s">
        <v>1145</v>
      </c>
      <c r="AC336" s="1" t="s">
        <v>97</v>
      </c>
      <c r="AD336" s="1">
        <v>6.95</v>
      </c>
      <c r="AE336" s="1" t="s">
        <v>98</v>
      </c>
      <c r="AF336" s="1" t="s">
        <v>6767</v>
      </c>
      <c r="AG336" s="1" t="s">
        <v>1968</v>
      </c>
      <c r="AH336" s="1" t="s">
        <v>1213</v>
      </c>
      <c r="AI336" s="1" t="s">
        <v>101</v>
      </c>
      <c r="AJ336" s="1">
        <v>80</v>
      </c>
      <c r="AK336" s="1">
        <v>0</v>
      </c>
      <c r="AL336" s="1"/>
      <c r="AM336" s="1"/>
      <c r="AN336" s="1"/>
      <c r="AO336" s="1"/>
      <c r="AP336" s="1"/>
      <c r="AQ336" s="1"/>
      <c r="AR336" s="1"/>
      <c r="AS336" s="1" t="s">
        <v>103</v>
      </c>
      <c r="AT336" s="1" t="s">
        <v>6768</v>
      </c>
      <c r="AU336" s="1" t="s">
        <v>135</v>
      </c>
      <c r="AV336" s="1" t="s">
        <v>106</v>
      </c>
      <c r="AW336" s="1">
        <v>62.18</v>
      </c>
      <c r="AX336" s="1">
        <v>0</v>
      </c>
      <c r="AY336" s="1" t="s">
        <v>366</v>
      </c>
      <c r="AZ336" s="1" t="s">
        <v>6769</v>
      </c>
      <c r="BA336" s="1"/>
      <c r="BB336" s="1"/>
      <c r="BC336" s="1" t="s">
        <v>1065</v>
      </c>
      <c r="BD336" s="1" t="s">
        <v>549</v>
      </c>
      <c r="BE336" s="1">
        <v>67.05</v>
      </c>
      <c r="BF336" s="1">
        <v>7.62</v>
      </c>
      <c r="BG336" s="1"/>
      <c r="BH336" s="1"/>
      <c r="BI336" s="1"/>
      <c r="BJ336" s="1"/>
      <c r="BK336" s="1"/>
      <c r="BL336" s="1"/>
      <c r="BM336" s="1"/>
      <c r="BN336" s="1"/>
      <c r="BO336" s="1" t="s">
        <v>1890</v>
      </c>
      <c r="BP336" s="1"/>
      <c r="BQ336" s="1"/>
      <c r="BR336" s="1" t="s">
        <v>6770</v>
      </c>
      <c r="BS336" s="1">
        <v>9</v>
      </c>
      <c r="BT336" s="1"/>
      <c r="BU336" s="1" t="str">
        <f>HYPERLINK("https://nconnect.nicmar.ac.in/storage/profile/ProfilePhoto_P25700333_561738.jpg","Download")</f>
        <v>0</v>
      </c>
      <c r="BV336" s="3"/>
      <c r="BW336" s="3"/>
    </row>
    <row r="337" spans="1:75">
      <c r="A337" s="1" t="s">
        <v>75</v>
      </c>
      <c r="B337" s="1" t="s">
        <v>446</v>
      </c>
      <c r="C337" s="1" t="s">
        <v>6771</v>
      </c>
      <c r="D337" s="1" t="s">
        <v>6772</v>
      </c>
      <c r="E337" s="1" t="s">
        <v>6773</v>
      </c>
      <c r="F337" s="1" t="s">
        <v>6774</v>
      </c>
      <c r="G337" s="1" t="s">
        <v>6775</v>
      </c>
      <c r="H337" s="1" t="s">
        <v>6776</v>
      </c>
      <c r="I337" s="1" t="s">
        <v>6777</v>
      </c>
      <c r="J337" s="1">
        <v>6363819238</v>
      </c>
      <c r="K337" s="1" t="s">
        <v>84</v>
      </c>
      <c r="L337" s="1" t="s">
        <v>4297</v>
      </c>
      <c r="M337" s="1" t="s">
        <v>86</v>
      </c>
      <c r="N337" s="1" t="s">
        <v>3980</v>
      </c>
      <c r="O337" s="1"/>
      <c r="P337" s="1" t="s">
        <v>507</v>
      </c>
      <c r="Q337" s="1" t="s">
        <v>6778</v>
      </c>
      <c r="R337" s="1" t="s">
        <v>6773</v>
      </c>
      <c r="S337" s="1">
        <v>8105460508</v>
      </c>
      <c r="T337" s="1" t="s">
        <v>6779</v>
      </c>
      <c r="U337" s="1" t="s">
        <v>5080</v>
      </c>
      <c r="V337" s="1">
        <v>7624933838</v>
      </c>
      <c r="W337" s="1" t="s">
        <v>6780</v>
      </c>
      <c r="X337" s="1" t="s">
        <v>6781</v>
      </c>
      <c r="Y337" s="1" t="s">
        <v>196</v>
      </c>
      <c r="Z337" s="1" t="s">
        <v>97</v>
      </c>
      <c r="AA337" s="1" t="s">
        <v>6782</v>
      </c>
      <c r="AB337" s="1" t="s">
        <v>6783</v>
      </c>
      <c r="AC337" s="1" t="s">
        <v>1210</v>
      </c>
      <c r="AD337" s="1">
        <v>7.67</v>
      </c>
      <c r="AE337" s="1" t="s">
        <v>98</v>
      </c>
      <c r="AF337" s="1" t="s">
        <v>6784</v>
      </c>
      <c r="AG337" s="1" t="s">
        <v>6785</v>
      </c>
      <c r="AH337" s="1" t="s">
        <v>170</v>
      </c>
      <c r="AI337" s="1" t="s">
        <v>171</v>
      </c>
      <c r="AJ337" s="1">
        <v>88.16</v>
      </c>
      <c r="AK337" s="1"/>
      <c r="AL337" s="1" t="s">
        <v>6786</v>
      </c>
      <c r="AM337" s="1" t="s">
        <v>6787</v>
      </c>
      <c r="AN337" s="1" t="s">
        <v>575</v>
      </c>
      <c r="AO337" s="1" t="s">
        <v>106</v>
      </c>
      <c r="AP337" s="1" t="s">
        <v>178</v>
      </c>
      <c r="AQ337" s="1">
        <v>89.16</v>
      </c>
      <c r="AR337" s="1"/>
      <c r="AS337" s="1"/>
      <c r="AT337" s="1"/>
      <c r="AU337" s="1"/>
      <c r="AV337" s="1"/>
      <c r="AW337" s="1"/>
      <c r="AX337" s="1"/>
      <c r="AY337" s="1" t="s">
        <v>6788</v>
      </c>
      <c r="AZ337" s="1" t="s">
        <v>6789</v>
      </c>
      <c r="BA337" s="1" t="s">
        <v>578</v>
      </c>
      <c r="BB337" s="1" t="s">
        <v>467</v>
      </c>
      <c r="BC337" s="1" t="s">
        <v>1647</v>
      </c>
      <c r="BD337" s="1" t="s">
        <v>207</v>
      </c>
      <c r="BE337" s="1">
        <v>61</v>
      </c>
      <c r="BF337" s="1">
        <v>6.85</v>
      </c>
      <c r="BG337" s="1"/>
      <c r="BH337" s="1"/>
      <c r="BI337" s="1"/>
      <c r="BJ337" s="1"/>
      <c r="BK337" s="1"/>
      <c r="BL337" s="1"/>
      <c r="BM337" s="1"/>
      <c r="BN337" s="1"/>
      <c r="BO337" s="1" t="s">
        <v>6790</v>
      </c>
      <c r="BP337" s="1" t="s">
        <v>6791</v>
      </c>
      <c r="BQ337" s="1" t="s">
        <v>471</v>
      </c>
      <c r="BR337" s="1" t="s">
        <v>6792</v>
      </c>
      <c r="BS337" s="1">
        <v>14</v>
      </c>
      <c r="BT337" s="1"/>
      <c r="BU337" s="1" t="str">
        <f>HYPERLINK("https://nconnect.nicmar.ac.in/storage/profile/ProfilePhoto_P25700334_897625.jpg","Download")</f>
        <v>0</v>
      </c>
      <c r="BV337" s="3"/>
      <c r="BW337" s="3"/>
    </row>
    <row r="338" spans="1:75">
      <c r="A338" s="1" t="s">
        <v>75</v>
      </c>
      <c r="B338" s="1" t="s">
        <v>446</v>
      </c>
      <c r="C338" s="1" t="s">
        <v>6793</v>
      </c>
      <c r="D338" s="1" t="s">
        <v>5208</v>
      </c>
      <c r="E338" s="1"/>
      <c r="F338" s="1" t="s">
        <v>4625</v>
      </c>
      <c r="G338" s="1" t="s">
        <v>6794</v>
      </c>
      <c r="H338" s="1" t="s">
        <v>6795</v>
      </c>
      <c r="I338" s="1" t="s">
        <v>6796</v>
      </c>
      <c r="J338" s="1">
        <v>9129873073</v>
      </c>
      <c r="K338" s="1" t="s">
        <v>84</v>
      </c>
      <c r="L338" s="1" t="s">
        <v>6797</v>
      </c>
      <c r="M338" s="1" t="s">
        <v>86</v>
      </c>
      <c r="N338" s="1" t="s">
        <v>379</v>
      </c>
      <c r="O338" s="1"/>
      <c r="P338" s="1" t="s">
        <v>507</v>
      </c>
      <c r="Q338" s="1" t="s">
        <v>6798</v>
      </c>
      <c r="R338" s="1" t="s">
        <v>6799</v>
      </c>
      <c r="S338" s="1">
        <v>9473539987</v>
      </c>
      <c r="T338" s="1" t="s">
        <v>221</v>
      </c>
      <c r="U338" s="1" t="s">
        <v>6800</v>
      </c>
      <c r="V338" s="1">
        <v>9450363791</v>
      </c>
      <c r="W338" s="1" t="s">
        <v>278</v>
      </c>
      <c r="X338" s="1" t="s">
        <v>6801</v>
      </c>
      <c r="Y338" s="1" t="s">
        <v>1059</v>
      </c>
      <c r="Z338" s="1" t="s">
        <v>544</v>
      </c>
      <c r="AA338" s="1" t="s">
        <v>6801</v>
      </c>
      <c r="AB338" s="1" t="s">
        <v>1059</v>
      </c>
      <c r="AC338" s="1" t="s">
        <v>544</v>
      </c>
      <c r="AD338" s="1">
        <v>8.9</v>
      </c>
      <c r="AE338" s="1" t="s">
        <v>98</v>
      </c>
      <c r="AF338" s="1" t="s">
        <v>6802</v>
      </c>
      <c r="AG338" s="1" t="s">
        <v>6803</v>
      </c>
      <c r="AH338" s="1" t="s">
        <v>388</v>
      </c>
      <c r="AI338" s="1" t="s">
        <v>171</v>
      </c>
      <c r="AJ338" s="1">
        <v>93.6</v>
      </c>
      <c r="AK338" s="1"/>
      <c r="AL338" s="1" t="s">
        <v>6802</v>
      </c>
      <c r="AM338" s="1" t="s">
        <v>6803</v>
      </c>
      <c r="AN338" s="1"/>
      <c r="AO338" s="1" t="s">
        <v>315</v>
      </c>
      <c r="AP338" s="1" t="s">
        <v>178</v>
      </c>
      <c r="AQ338" s="1">
        <v>85.2</v>
      </c>
      <c r="AR338" s="1"/>
      <c r="AS338" s="1"/>
      <c r="AT338" s="1"/>
      <c r="AU338" s="1"/>
      <c r="AV338" s="1"/>
      <c r="AW338" s="1"/>
      <c r="AX338" s="1"/>
      <c r="AY338" s="1" t="s">
        <v>550</v>
      </c>
      <c r="AZ338" s="1" t="s">
        <v>6804</v>
      </c>
      <c r="BA338" s="1"/>
      <c r="BB338" s="1"/>
      <c r="BC338" s="1" t="s">
        <v>890</v>
      </c>
      <c r="BD338" s="1" t="s">
        <v>1242</v>
      </c>
      <c r="BE338" s="1">
        <v>77.5</v>
      </c>
      <c r="BF338" s="1">
        <v>7.75</v>
      </c>
      <c r="BG338" s="1"/>
      <c r="BH338" s="1"/>
      <c r="BI338" s="1"/>
      <c r="BJ338" s="1"/>
      <c r="BK338" s="1"/>
      <c r="BL338" s="1"/>
      <c r="BM338" s="1"/>
      <c r="BN338" s="1"/>
      <c r="BO338" s="1" t="s">
        <v>3508</v>
      </c>
      <c r="BP338" s="1"/>
      <c r="BQ338" s="1"/>
      <c r="BR338" s="1" t="s">
        <v>6805</v>
      </c>
      <c r="BS338" s="1">
        <v>26</v>
      </c>
      <c r="BT338" s="1" t="s">
        <v>6806</v>
      </c>
      <c r="BU338" s="1" t="str">
        <f>HYPERLINK("https://nconnect.nicmar.ac.in/storage/profile/ProfilePhoto_P25700335_235948.jpg","Download")</f>
        <v>0</v>
      </c>
      <c r="BV338" s="3"/>
      <c r="BW338" s="3"/>
    </row>
    <row r="339" spans="1:75">
      <c r="A339" s="1" t="s">
        <v>75</v>
      </c>
      <c r="B339" s="1" t="s">
        <v>446</v>
      </c>
      <c r="C339" s="1" t="s">
        <v>6807</v>
      </c>
      <c r="D339" s="1" t="s">
        <v>6808</v>
      </c>
      <c r="E339" s="1" t="s">
        <v>6809</v>
      </c>
      <c r="F339" s="1" t="s">
        <v>6810</v>
      </c>
      <c r="G339" s="1" t="s">
        <v>6811</v>
      </c>
      <c r="H339" s="1" t="s">
        <v>6812</v>
      </c>
      <c r="I339" s="1" t="s">
        <v>6813</v>
      </c>
      <c r="J339" s="1">
        <v>9130001162</v>
      </c>
      <c r="K339" s="1" t="s">
        <v>153</v>
      </c>
      <c r="L339" s="1" t="s">
        <v>6814</v>
      </c>
      <c r="M339" s="1" t="s">
        <v>155</v>
      </c>
      <c r="N339" s="1" t="s">
        <v>618</v>
      </c>
      <c r="O339" s="1"/>
      <c r="P339" s="1" t="s">
        <v>455</v>
      </c>
      <c r="Q339" s="1" t="s">
        <v>6815</v>
      </c>
      <c r="R339" s="1" t="s">
        <v>6816</v>
      </c>
      <c r="S339" s="1">
        <v>8275056631</v>
      </c>
      <c r="T339" s="1" t="s">
        <v>539</v>
      </c>
      <c r="U339" s="1" t="s">
        <v>6817</v>
      </c>
      <c r="V339" s="1">
        <v>8275056631</v>
      </c>
      <c r="W339" s="1" t="s">
        <v>161</v>
      </c>
      <c r="X339" s="1" t="s">
        <v>6818</v>
      </c>
      <c r="Y339" s="1" t="s">
        <v>196</v>
      </c>
      <c r="Z339" s="1" t="s">
        <v>97</v>
      </c>
      <c r="AA339" s="1" t="s">
        <v>6819</v>
      </c>
      <c r="AB339" s="1" t="s">
        <v>5083</v>
      </c>
      <c r="AC339" s="1" t="s">
        <v>97</v>
      </c>
      <c r="AD339" s="1">
        <v>8.28</v>
      </c>
      <c r="AE339" s="1" t="s">
        <v>98</v>
      </c>
      <c r="AF339" s="1" t="s">
        <v>6820</v>
      </c>
      <c r="AG339" s="1" t="s">
        <v>6821</v>
      </c>
      <c r="AH339" s="1" t="s">
        <v>1213</v>
      </c>
      <c r="AI339" s="1" t="s">
        <v>101</v>
      </c>
      <c r="AJ339" s="1">
        <v>75.4</v>
      </c>
      <c r="AK339" s="1"/>
      <c r="AL339" s="1"/>
      <c r="AM339" s="1"/>
      <c r="AN339" s="1"/>
      <c r="AO339" s="1"/>
      <c r="AP339" s="1"/>
      <c r="AQ339" s="1"/>
      <c r="AR339" s="1"/>
      <c r="AS339" s="1" t="s">
        <v>103</v>
      </c>
      <c r="AT339" s="1" t="s">
        <v>6822</v>
      </c>
      <c r="AU339" s="1" t="s">
        <v>257</v>
      </c>
      <c r="AV339" s="1" t="s">
        <v>170</v>
      </c>
      <c r="AW339" s="1">
        <v>65.76</v>
      </c>
      <c r="AX339" s="1"/>
      <c r="AY339" s="1" t="s">
        <v>340</v>
      </c>
      <c r="AZ339" s="1" t="s">
        <v>6823</v>
      </c>
      <c r="BA339" s="1" t="s">
        <v>578</v>
      </c>
      <c r="BB339" s="1" t="s">
        <v>467</v>
      </c>
      <c r="BC339" s="1" t="s">
        <v>230</v>
      </c>
      <c r="BD339" s="1" t="s">
        <v>417</v>
      </c>
      <c r="BE339" s="1">
        <v>97.07</v>
      </c>
      <c r="BF339" s="1">
        <v>9.26</v>
      </c>
      <c r="BG339" s="1"/>
      <c r="BH339" s="1"/>
      <c r="BI339" s="1"/>
      <c r="BJ339" s="1"/>
      <c r="BK339" s="1"/>
      <c r="BL339" s="1"/>
      <c r="BM339" s="1"/>
      <c r="BN339" s="1"/>
      <c r="BO339" s="1" t="s">
        <v>6824</v>
      </c>
      <c r="BP339" s="1" t="s">
        <v>6825</v>
      </c>
      <c r="BQ339" s="1" t="s">
        <v>757</v>
      </c>
      <c r="BR339" s="1" t="s">
        <v>6826</v>
      </c>
      <c r="BS339" s="1">
        <v>8</v>
      </c>
      <c r="BT339" s="1" t="s">
        <v>6827</v>
      </c>
      <c r="BU339" s="1" t="str">
        <f>HYPERLINK("https://nconnect.nicmar.ac.in/storage/profile/ProfilePhoto_P25700336_569138.jpg","Download")</f>
        <v>0</v>
      </c>
      <c r="BV339" s="3"/>
      <c r="BW339" s="3"/>
    </row>
    <row r="340" spans="1:75">
      <c r="A340" s="1" t="s">
        <v>75</v>
      </c>
      <c r="B340" s="1" t="s">
        <v>446</v>
      </c>
      <c r="C340" s="1" t="s">
        <v>6828</v>
      </c>
      <c r="D340" s="1" t="s">
        <v>6829</v>
      </c>
      <c r="E340" s="1"/>
      <c r="F340" s="1" t="s">
        <v>4625</v>
      </c>
      <c r="G340" s="1" t="s">
        <v>6830</v>
      </c>
      <c r="H340" s="1" t="s">
        <v>6831</v>
      </c>
      <c r="I340" s="1" t="s">
        <v>6832</v>
      </c>
      <c r="J340" s="1">
        <v>9630093454</v>
      </c>
      <c r="K340" s="1" t="s">
        <v>84</v>
      </c>
      <c r="L340" s="1" t="s">
        <v>1674</v>
      </c>
      <c r="M340" s="1" t="s">
        <v>86</v>
      </c>
      <c r="N340" s="1" t="s">
        <v>6833</v>
      </c>
      <c r="O340" s="1"/>
      <c r="P340" s="1" t="s">
        <v>507</v>
      </c>
      <c r="Q340" s="1" t="s">
        <v>6834</v>
      </c>
      <c r="R340" s="1" t="s">
        <v>6835</v>
      </c>
      <c r="S340" s="1">
        <v>9893418454</v>
      </c>
      <c r="T340" s="1" t="s">
        <v>839</v>
      </c>
      <c r="U340" s="1" t="s">
        <v>6836</v>
      </c>
      <c r="V340" s="1">
        <v>9981199606</v>
      </c>
      <c r="W340" s="1" t="s">
        <v>278</v>
      </c>
      <c r="X340" s="1" t="s">
        <v>6837</v>
      </c>
      <c r="Y340" s="1" t="s">
        <v>5641</v>
      </c>
      <c r="Z340" s="1" t="s">
        <v>3419</v>
      </c>
      <c r="AA340" s="1" t="s">
        <v>6837</v>
      </c>
      <c r="AB340" s="1" t="s">
        <v>5641</v>
      </c>
      <c r="AC340" s="1" t="s">
        <v>3419</v>
      </c>
      <c r="AD340" s="1">
        <v>7.0</v>
      </c>
      <c r="AE340" s="1" t="s">
        <v>98</v>
      </c>
      <c r="AF340" s="1" t="s">
        <v>6838</v>
      </c>
      <c r="AG340" s="1" t="s">
        <v>6839</v>
      </c>
      <c r="AH340" s="1" t="s">
        <v>200</v>
      </c>
      <c r="AI340" s="1" t="s">
        <v>171</v>
      </c>
      <c r="AJ340" s="1">
        <v>79.8</v>
      </c>
      <c r="AK340" s="1"/>
      <c r="AL340" s="1" t="s">
        <v>6840</v>
      </c>
      <c r="AM340" s="1" t="s">
        <v>6841</v>
      </c>
      <c r="AN340" s="1"/>
      <c r="AO340" s="1" t="s">
        <v>414</v>
      </c>
      <c r="AP340" s="1" t="s">
        <v>178</v>
      </c>
      <c r="AQ340" s="1">
        <v>71</v>
      </c>
      <c r="AR340" s="1"/>
      <c r="AS340" s="1"/>
      <c r="AT340" s="1"/>
      <c r="AU340" s="1"/>
      <c r="AV340" s="1"/>
      <c r="AW340" s="1"/>
      <c r="AX340" s="1"/>
      <c r="AY340" s="1" t="s">
        <v>2614</v>
      </c>
      <c r="AZ340" s="1" t="s">
        <v>6842</v>
      </c>
      <c r="BA340" s="1"/>
      <c r="BB340" s="1"/>
      <c r="BC340" s="1" t="s">
        <v>1040</v>
      </c>
      <c r="BD340" s="1" t="s">
        <v>418</v>
      </c>
      <c r="BE340" s="1">
        <v>82.5</v>
      </c>
      <c r="BF340" s="1">
        <v>8.25</v>
      </c>
      <c r="BG340" s="1"/>
      <c r="BH340" s="1"/>
      <c r="BI340" s="1"/>
      <c r="BJ340" s="1"/>
      <c r="BK340" s="1"/>
      <c r="BL340" s="1"/>
      <c r="BM340" s="1"/>
      <c r="BN340" s="1"/>
      <c r="BO340" s="1" t="s">
        <v>3308</v>
      </c>
      <c r="BP340" s="1"/>
      <c r="BQ340" s="1"/>
      <c r="BR340" s="1"/>
      <c r="BS340" s="1"/>
      <c r="BT340" s="1" t="s">
        <v>6843</v>
      </c>
      <c r="BU340" s="1" t="str">
        <f>HYPERLINK("https://nconnect.nicmar.ac.in/storage/profile/ProfilePhoto_P25700337_749123.jpg","Download")</f>
        <v>0</v>
      </c>
      <c r="BV340" s="3"/>
      <c r="BW340" s="3"/>
    </row>
    <row r="341" spans="1:75">
      <c r="A341" s="1" t="s">
        <v>75</v>
      </c>
      <c r="B341" s="1" t="s">
        <v>446</v>
      </c>
      <c r="C341" s="1" t="s">
        <v>6844</v>
      </c>
      <c r="D341" s="1" t="s">
        <v>1020</v>
      </c>
      <c r="E341" s="1"/>
      <c r="F341" s="1" t="s">
        <v>6845</v>
      </c>
      <c r="G341" s="1" t="s">
        <v>6846</v>
      </c>
      <c r="H341" s="1" t="s">
        <v>6847</v>
      </c>
      <c r="I341" s="1" t="s">
        <v>6848</v>
      </c>
      <c r="J341" s="1">
        <v>8793133181</v>
      </c>
      <c r="K341" s="1" t="s">
        <v>84</v>
      </c>
      <c r="L341" s="1" t="s">
        <v>5176</v>
      </c>
      <c r="M341" s="1" t="s">
        <v>86</v>
      </c>
      <c r="N341" s="1" t="s">
        <v>246</v>
      </c>
      <c r="O341" s="1"/>
      <c r="P341" s="1" t="s">
        <v>507</v>
      </c>
      <c r="Q341" s="1" t="s">
        <v>6849</v>
      </c>
      <c r="R341" s="1" t="s">
        <v>6850</v>
      </c>
      <c r="S341" s="1">
        <v>9811196678</v>
      </c>
      <c r="T341" s="1" t="s">
        <v>926</v>
      </c>
      <c r="U341" s="1" t="s">
        <v>6851</v>
      </c>
      <c r="V341" s="1">
        <v>9650523367</v>
      </c>
      <c r="W341" s="1" t="s">
        <v>161</v>
      </c>
      <c r="X341" s="1" t="s">
        <v>6852</v>
      </c>
      <c r="Y341" s="1" t="s">
        <v>6853</v>
      </c>
      <c r="Z341" s="1" t="s">
        <v>1739</v>
      </c>
      <c r="AA341" s="1" t="s">
        <v>6852</v>
      </c>
      <c r="AB341" s="1" t="s">
        <v>6853</v>
      </c>
      <c r="AC341" s="1" t="s">
        <v>1739</v>
      </c>
      <c r="AD341" s="1">
        <v>8.33</v>
      </c>
      <c r="AE341" s="1" t="s">
        <v>98</v>
      </c>
      <c r="AF341" s="1" t="s">
        <v>6854</v>
      </c>
      <c r="AG341" s="1" t="s">
        <v>4862</v>
      </c>
      <c r="AH341" s="1" t="s">
        <v>490</v>
      </c>
      <c r="AI341" s="1" t="s">
        <v>414</v>
      </c>
      <c r="AJ341" s="1">
        <v>94.8</v>
      </c>
      <c r="AK341" s="1"/>
      <c r="AL341" s="1" t="s">
        <v>6854</v>
      </c>
      <c r="AM341" s="1" t="s">
        <v>4862</v>
      </c>
      <c r="AN341" s="1" t="s">
        <v>465</v>
      </c>
      <c r="AO341" s="1" t="s">
        <v>977</v>
      </c>
      <c r="AP341" s="1" t="s">
        <v>1192</v>
      </c>
      <c r="AQ341" s="1">
        <v>90.4</v>
      </c>
      <c r="AR341" s="1"/>
      <c r="AS341" s="1"/>
      <c r="AT341" s="1"/>
      <c r="AU341" s="1"/>
      <c r="AV341" s="1"/>
      <c r="AW341" s="1"/>
      <c r="AX341" s="1"/>
      <c r="AY341" s="1" t="s">
        <v>6855</v>
      </c>
      <c r="AZ341" s="1" t="s">
        <v>6856</v>
      </c>
      <c r="BA341" s="1" t="s">
        <v>466</v>
      </c>
      <c r="BB341" s="1" t="s">
        <v>467</v>
      </c>
      <c r="BC341" s="1" t="s">
        <v>871</v>
      </c>
      <c r="BD341" s="1" t="s">
        <v>848</v>
      </c>
      <c r="BE341" s="1">
        <v>80.1</v>
      </c>
      <c r="BF341" s="1"/>
      <c r="BG341" s="1"/>
      <c r="BH341" s="1"/>
      <c r="BI341" s="1"/>
      <c r="BJ341" s="1"/>
      <c r="BK341" s="1"/>
      <c r="BL341" s="1"/>
      <c r="BM341" s="1"/>
      <c r="BN341" s="1"/>
      <c r="BO341" s="1" t="s">
        <v>6857</v>
      </c>
      <c r="BP341" s="1"/>
      <c r="BQ341" s="1"/>
      <c r="BR341" s="1" t="s">
        <v>6858</v>
      </c>
      <c r="BS341" s="1">
        <v>42</v>
      </c>
      <c r="BT341" s="1" t="s">
        <v>6859</v>
      </c>
      <c r="BU341" s="1" t="str">
        <f>HYPERLINK("https://nconnect.nicmar.ac.in/storage/profile/ProfilePhoto_P25700338_458312.jpg","Download")</f>
        <v>0</v>
      </c>
      <c r="BV341" s="3"/>
      <c r="BW341" s="3"/>
    </row>
    <row r="342" spans="1:75">
      <c r="A342" s="1" t="s">
        <v>75</v>
      </c>
      <c r="B342" s="1" t="s">
        <v>446</v>
      </c>
      <c r="C342" s="1" t="s">
        <v>6860</v>
      </c>
      <c r="D342" s="1" t="s">
        <v>6861</v>
      </c>
      <c r="E342" s="1" t="s">
        <v>6862</v>
      </c>
      <c r="F342" s="1" t="s">
        <v>6863</v>
      </c>
      <c r="G342" s="1" t="s">
        <v>6864</v>
      </c>
      <c r="H342" s="1" t="s">
        <v>6865</v>
      </c>
      <c r="I342" s="1" t="s">
        <v>6866</v>
      </c>
      <c r="J342" s="1">
        <v>9972468819</v>
      </c>
      <c r="K342" s="1" t="s">
        <v>84</v>
      </c>
      <c r="L342" s="1" t="s">
        <v>4482</v>
      </c>
      <c r="M342" s="1" t="s">
        <v>86</v>
      </c>
      <c r="N342" s="1" t="s">
        <v>6867</v>
      </c>
      <c r="O342" s="1"/>
      <c r="P342" s="1" t="s">
        <v>455</v>
      </c>
      <c r="Q342" s="1" t="s">
        <v>6868</v>
      </c>
      <c r="R342" s="1" t="s">
        <v>6862</v>
      </c>
      <c r="S342" s="1">
        <v>9448692432</v>
      </c>
      <c r="T342" s="1" t="s">
        <v>159</v>
      </c>
      <c r="U342" s="1" t="s">
        <v>6869</v>
      </c>
      <c r="V342" s="1">
        <v>9481108308</v>
      </c>
      <c r="W342" s="1" t="s">
        <v>278</v>
      </c>
      <c r="X342" s="1" t="s">
        <v>6870</v>
      </c>
      <c r="Y342" s="1" t="s">
        <v>6871</v>
      </c>
      <c r="Z342" s="1" t="s">
        <v>1210</v>
      </c>
      <c r="AA342" s="1" t="s">
        <v>6870</v>
      </c>
      <c r="AB342" s="1" t="s">
        <v>6871</v>
      </c>
      <c r="AC342" s="1" t="s">
        <v>1210</v>
      </c>
      <c r="AD342" s="1">
        <v>7.92</v>
      </c>
      <c r="AE342" s="1" t="s">
        <v>98</v>
      </c>
      <c r="AF342" s="1" t="s">
        <v>6872</v>
      </c>
      <c r="AG342" s="1" t="s">
        <v>6491</v>
      </c>
      <c r="AH342" s="1" t="s">
        <v>170</v>
      </c>
      <c r="AI342" s="1" t="s">
        <v>171</v>
      </c>
      <c r="AJ342" s="1">
        <v>73.4</v>
      </c>
      <c r="AK342" s="1"/>
      <c r="AL342" s="1" t="s">
        <v>6873</v>
      </c>
      <c r="AM342" s="1" t="s">
        <v>1216</v>
      </c>
      <c r="AN342" s="1" t="s">
        <v>465</v>
      </c>
      <c r="AO342" s="1" t="s">
        <v>106</v>
      </c>
      <c r="AP342" s="1" t="s">
        <v>178</v>
      </c>
      <c r="AQ342" s="1">
        <v>84.16</v>
      </c>
      <c r="AR342" s="1"/>
      <c r="AS342" s="1"/>
      <c r="AT342" s="1"/>
      <c r="AU342" s="1"/>
      <c r="AV342" s="1"/>
      <c r="AW342" s="1"/>
      <c r="AX342" s="1"/>
      <c r="AY342" s="1" t="s">
        <v>6874</v>
      </c>
      <c r="AZ342" s="1" t="s">
        <v>6874</v>
      </c>
      <c r="BA342" s="1" t="s">
        <v>578</v>
      </c>
      <c r="BB342" s="1" t="s">
        <v>467</v>
      </c>
      <c r="BC342" s="1" t="s">
        <v>368</v>
      </c>
      <c r="BD342" s="1" t="s">
        <v>1089</v>
      </c>
      <c r="BE342" s="1">
        <v>70.5</v>
      </c>
      <c r="BF342" s="1">
        <v>7.8</v>
      </c>
      <c r="BG342" s="1"/>
      <c r="BH342" s="1"/>
      <c r="BI342" s="1"/>
      <c r="BJ342" s="1"/>
      <c r="BK342" s="1"/>
      <c r="BL342" s="1"/>
      <c r="BM342" s="1"/>
      <c r="BN342" s="1"/>
      <c r="BO342" s="1" t="s">
        <v>6875</v>
      </c>
      <c r="BP342" s="1" t="s">
        <v>6876</v>
      </c>
      <c r="BQ342" s="1" t="s">
        <v>1070</v>
      </c>
      <c r="BR342" s="1" t="s">
        <v>6877</v>
      </c>
      <c r="BS342" s="1">
        <v>17</v>
      </c>
      <c r="BT342" s="1"/>
      <c r="BU342" s="1" t="str">
        <f>HYPERLINK("https://nconnect.nicmar.ac.in/storage/profile/ProfilePhoto_P25700339_893165.jpg","Download")</f>
        <v>0</v>
      </c>
      <c r="BV342" s="3"/>
      <c r="BW342" s="3"/>
    </row>
    <row r="343" spans="1:75">
      <c r="A343" s="1" t="s">
        <v>75</v>
      </c>
      <c r="B343" s="1" t="s">
        <v>446</v>
      </c>
      <c r="C343" s="1" t="s">
        <v>6878</v>
      </c>
      <c r="D343" s="1" t="s">
        <v>6879</v>
      </c>
      <c r="E343" s="1" t="s">
        <v>6880</v>
      </c>
      <c r="F343" s="1" t="s">
        <v>2735</v>
      </c>
      <c r="G343" s="1" t="s">
        <v>6881</v>
      </c>
      <c r="H343" s="1" t="s">
        <v>6882</v>
      </c>
      <c r="I343" s="1" t="s">
        <v>6882</v>
      </c>
      <c r="J343" s="1">
        <v>9322231409</v>
      </c>
      <c r="K343" s="1" t="s">
        <v>84</v>
      </c>
      <c r="L343" s="1" t="s">
        <v>6883</v>
      </c>
      <c r="M343" s="1" t="s">
        <v>86</v>
      </c>
      <c r="N343" s="1" t="s">
        <v>6884</v>
      </c>
      <c r="O343" s="1"/>
      <c r="P343" s="1" t="s">
        <v>507</v>
      </c>
      <c r="Q343" s="1" t="s">
        <v>6885</v>
      </c>
      <c r="R343" s="1" t="s">
        <v>6880</v>
      </c>
      <c r="S343" s="1">
        <v>9322231409</v>
      </c>
      <c r="T343" s="1" t="s">
        <v>127</v>
      </c>
      <c r="U343" s="1" t="s">
        <v>2178</v>
      </c>
      <c r="V343" s="1">
        <v>8275149693</v>
      </c>
      <c r="W343" s="1" t="s">
        <v>278</v>
      </c>
      <c r="X343" s="1" t="s">
        <v>6886</v>
      </c>
      <c r="Y343" s="1" t="s">
        <v>251</v>
      </c>
      <c r="Z343" s="1" t="s">
        <v>97</v>
      </c>
      <c r="AA343" s="1" t="s">
        <v>6886</v>
      </c>
      <c r="AB343" s="1" t="s">
        <v>251</v>
      </c>
      <c r="AC343" s="1" t="s">
        <v>97</v>
      </c>
      <c r="AD343" s="1">
        <v>7.49</v>
      </c>
      <c r="AE343" s="1" t="s">
        <v>98</v>
      </c>
      <c r="AF343" s="1" t="s">
        <v>6887</v>
      </c>
      <c r="AG343" s="1" t="s">
        <v>6888</v>
      </c>
      <c r="AH343" s="1" t="s">
        <v>106</v>
      </c>
      <c r="AI343" s="1" t="s">
        <v>313</v>
      </c>
      <c r="AJ343" s="1">
        <v>85</v>
      </c>
      <c r="AK343" s="1"/>
      <c r="AL343" s="1" t="s">
        <v>6889</v>
      </c>
      <c r="AM343" s="1" t="s">
        <v>6890</v>
      </c>
      <c r="AN343" s="1" t="s">
        <v>465</v>
      </c>
      <c r="AO343" s="1" t="s">
        <v>178</v>
      </c>
      <c r="AP343" s="1" t="s">
        <v>2304</v>
      </c>
      <c r="AQ343" s="1">
        <v>92.17</v>
      </c>
      <c r="AR343" s="1"/>
      <c r="AS343" s="1"/>
      <c r="AT343" s="1"/>
      <c r="AU343" s="1"/>
      <c r="AV343" s="1"/>
      <c r="AW343" s="1"/>
      <c r="AX343" s="1"/>
      <c r="AY343" s="1" t="s">
        <v>366</v>
      </c>
      <c r="AZ343" s="1" t="s">
        <v>6891</v>
      </c>
      <c r="BA343" s="1" t="s">
        <v>578</v>
      </c>
      <c r="BB343" s="1" t="s">
        <v>467</v>
      </c>
      <c r="BC343" s="1" t="s">
        <v>847</v>
      </c>
      <c r="BD343" s="1" t="s">
        <v>848</v>
      </c>
      <c r="BE343" s="1">
        <v>61.67</v>
      </c>
      <c r="BF343" s="1">
        <v>6.93</v>
      </c>
      <c r="BG343" s="1"/>
      <c r="BH343" s="1"/>
      <c r="BI343" s="1"/>
      <c r="BJ343" s="1"/>
      <c r="BK343" s="1"/>
      <c r="BL343" s="1"/>
      <c r="BM343" s="1"/>
      <c r="BN343" s="1"/>
      <c r="BO343" s="1" t="s">
        <v>6892</v>
      </c>
      <c r="BP343" s="1"/>
      <c r="BQ343" s="1"/>
      <c r="BR343" s="1" t="s">
        <v>6893</v>
      </c>
      <c r="BS343" s="1">
        <v>12</v>
      </c>
      <c r="BT343" s="1" t="s">
        <v>6894</v>
      </c>
      <c r="BU343" s="1" t="str">
        <f>HYPERLINK("https://nconnect.nicmar.ac.in/storage/profile/ProfilePhoto_P25700340_491823.jpg","Download")</f>
        <v>0</v>
      </c>
      <c r="BV343" s="3"/>
      <c r="BW343" s="3"/>
    </row>
    <row r="344" spans="1:75">
      <c r="A344" s="1" t="s">
        <v>75</v>
      </c>
      <c r="B344" s="1" t="s">
        <v>446</v>
      </c>
      <c r="C344" s="1" t="s">
        <v>6895</v>
      </c>
      <c r="D344" s="1" t="s">
        <v>2099</v>
      </c>
      <c r="E344" s="1" t="s">
        <v>6896</v>
      </c>
      <c r="F344" s="1" t="s">
        <v>4214</v>
      </c>
      <c r="G344" s="1" t="s">
        <v>6897</v>
      </c>
      <c r="H344" s="1" t="s">
        <v>6898</v>
      </c>
      <c r="I344" s="1" t="s">
        <v>6899</v>
      </c>
      <c r="J344" s="1">
        <v>9657575771</v>
      </c>
      <c r="K344" s="1" t="s">
        <v>84</v>
      </c>
      <c r="L344" s="1" t="s">
        <v>1183</v>
      </c>
      <c r="M344" s="1" t="s">
        <v>86</v>
      </c>
      <c r="N344" s="1" t="s">
        <v>618</v>
      </c>
      <c r="O344" s="1"/>
      <c r="P344" s="1" t="s">
        <v>481</v>
      </c>
      <c r="Q344" s="1" t="s">
        <v>6900</v>
      </c>
      <c r="R344" s="1" t="s">
        <v>4214</v>
      </c>
      <c r="S344" s="1">
        <v>9657577711</v>
      </c>
      <c r="T344" s="1" t="s">
        <v>926</v>
      </c>
      <c r="U344" s="1" t="s">
        <v>6901</v>
      </c>
      <c r="V344" s="1">
        <v>9552544771</v>
      </c>
      <c r="W344" s="1" t="s">
        <v>161</v>
      </c>
      <c r="X344" s="1" t="s">
        <v>6902</v>
      </c>
      <c r="Y344" s="1" t="s">
        <v>1033</v>
      </c>
      <c r="Z344" s="1" t="s">
        <v>97</v>
      </c>
      <c r="AA344" s="1" t="s">
        <v>6902</v>
      </c>
      <c r="AB344" s="1" t="s">
        <v>1033</v>
      </c>
      <c r="AC344" s="1" t="s">
        <v>97</v>
      </c>
      <c r="AD344" s="1">
        <v>7.77</v>
      </c>
      <c r="AE344" s="1" t="s">
        <v>98</v>
      </c>
      <c r="AF344" s="1" t="s">
        <v>6903</v>
      </c>
      <c r="AG344" s="1" t="s">
        <v>6904</v>
      </c>
      <c r="AH344" s="1" t="s">
        <v>106</v>
      </c>
      <c r="AI344" s="1" t="s">
        <v>414</v>
      </c>
      <c r="AJ344" s="1">
        <v>92.2</v>
      </c>
      <c r="AK344" s="1">
        <v>0</v>
      </c>
      <c r="AL344" s="1" t="s">
        <v>6905</v>
      </c>
      <c r="AM344" s="1" t="s">
        <v>6904</v>
      </c>
      <c r="AN344" s="1" t="s">
        <v>465</v>
      </c>
      <c r="AO344" s="1" t="s">
        <v>468</v>
      </c>
      <c r="AP344" s="1" t="s">
        <v>1192</v>
      </c>
      <c r="AQ344" s="1">
        <v>88.5</v>
      </c>
      <c r="AR344" s="1">
        <v>0</v>
      </c>
      <c r="AS344" s="1"/>
      <c r="AT344" s="1"/>
      <c r="AU344" s="1"/>
      <c r="AV344" s="1"/>
      <c r="AW344" s="1"/>
      <c r="AX344" s="1"/>
      <c r="AY344" s="1" t="s">
        <v>6906</v>
      </c>
      <c r="AZ344" s="1" t="s">
        <v>6907</v>
      </c>
      <c r="BA344" s="1" t="s">
        <v>466</v>
      </c>
      <c r="BB344" s="1" t="s">
        <v>467</v>
      </c>
      <c r="BC344" s="1" t="s">
        <v>140</v>
      </c>
      <c r="BD344" s="1" t="s">
        <v>1401</v>
      </c>
      <c r="BE344" s="1">
        <v>84.2</v>
      </c>
      <c r="BF344" s="1"/>
      <c r="BG344" s="1"/>
      <c r="BH344" s="1"/>
      <c r="BI344" s="1"/>
      <c r="BJ344" s="1"/>
      <c r="BK344" s="1"/>
      <c r="BL344" s="1"/>
      <c r="BM344" s="1"/>
      <c r="BN344" s="1"/>
      <c r="BO344" s="1" t="s">
        <v>6908</v>
      </c>
      <c r="BP344" s="1"/>
      <c r="BQ344" s="1"/>
      <c r="BR344" s="1" t="s">
        <v>6909</v>
      </c>
      <c r="BS344" s="1">
        <v>9</v>
      </c>
      <c r="BT344" s="1"/>
      <c r="BU344" s="1" t="str">
        <f>HYPERLINK("https://nconnect.nicmar.ac.in/storage/profile/ProfilePhoto_P25700341_527638.jpg","Download")</f>
        <v>0</v>
      </c>
      <c r="BV344" s="3"/>
      <c r="BW344" s="3"/>
    </row>
    <row r="345" spans="1:75">
      <c r="A345" s="1" t="s">
        <v>75</v>
      </c>
      <c r="B345" s="1" t="s">
        <v>446</v>
      </c>
      <c r="C345" s="1" t="s">
        <v>6910</v>
      </c>
      <c r="D345" s="1" t="s">
        <v>6911</v>
      </c>
      <c r="E345" s="1" t="s">
        <v>6912</v>
      </c>
      <c r="F345" s="1" t="s">
        <v>1179</v>
      </c>
      <c r="G345" s="1" t="s">
        <v>6913</v>
      </c>
      <c r="H345" s="1" t="s">
        <v>6914</v>
      </c>
      <c r="I345" s="1" t="s">
        <v>6915</v>
      </c>
      <c r="J345" s="1">
        <v>9022001835</v>
      </c>
      <c r="K345" s="1" t="s">
        <v>84</v>
      </c>
      <c r="L345" s="1" t="s">
        <v>6916</v>
      </c>
      <c r="M345" s="1" t="s">
        <v>86</v>
      </c>
      <c r="N345" s="1" t="s">
        <v>618</v>
      </c>
      <c r="O345" s="1"/>
      <c r="P345" s="1" t="s">
        <v>507</v>
      </c>
      <c r="Q345" s="1" t="s">
        <v>6917</v>
      </c>
      <c r="R345" s="1" t="s">
        <v>6918</v>
      </c>
      <c r="S345" s="1">
        <v>9049513669</v>
      </c>
      <c r="T345" s="1" t="s">
        <v>159</v>
      </c>
      <c r="U345" s="1" t="s">
        <v>1965</v>
      </c>
      <c r="V345" s="1">
        <v>9049513669</v>
      </c>
      <c r="W345" s="1" t="s">
        <v>541</v>
      </c>
      <c r="X345" s="1" t="s">
        <v>6919</v>
      </c>
      <c r="Y345" s="1" t="s">
        <v>196</v>
      </c>
      <c r="Z345" s="1" t="s">
        <v>97</v>
      </c>
      <c r="AA345" s="1" t="s">
        <v>6920</v>
      </c>
      <c r="AB345" s="1" t="s">
        <v>1033</v>
      </c>
      <c r="AC345" s="1" t="s">
        <v>97</v>
      </c>
      <c r="AD345" s="1">
        <v>7.54</v>
      </c>
      <c r="AE345" s="1" t="s">
        <v>98</v>
      </c>
      <c r="AF345" s="1" t="s">
        <v>6921</v>
      </c>
      <c r="AG345" s="1" t="s">
        <v>6922</v>
      </c>
      <c r="AH345" s="1" t="s">
        <v>167</v>
      </c>
      <c r="AI345" s="1" t="s">
        <v>200</v>
      </c>
      <c r="AJ345" s="1">
        <v>77.8</v>
      </c>
      <c r="AK345" s="1">
        <v>0</v>
      </c>
      <c r="AL345" s="1" t="s">
        <v>6923</v>
      </c>
      <c r="AM345" s="1" t="s">
        <v>6924</v>
      </c>
      <c r="AN345" s="1" t="s">
        <v>465</v>
      </c>
      <c r="AO345" s="1" t="s">
        <v>438</v>
      </c>
      <c r="AP345" s="1" t="s">
        <v>365</v>
      </c>
      <c r="AQ345" s="1">
        <v>73.69</v>
      </c>
      <c r="AR345" s="1"/>
      <c r="AS345" s="1"/>
      <c r="AT345" s="1"/>
      <c r="AU345" s="1"/>
      <c r="AV345" s="1"/>
      <c r="AW345" s="1"/>
      <c r="AX345" s="1"/>
      <c r="AY345" s="1" t="s">
        <v>6925</v>
      </c>
      <c r="AZ345" s="1" t="s">
        <v>6926</v>
      </c>
      <c r="BA345" s="1" t="s">
        <v>466</v>
      </c>
      <c r="BB345" s="1" t="s">
        <v>467</v>
      </c>
      <c r="BC345" s="1" t="s">
        <v>233</v>
      </c>
      <c r="BD345" s="1" t="s">
        <v>1242</v>
      </c>
      <c r="BE345" s="1">
        <v>65</v>
      </c>
      <c r="BF345" s="1">
        <v>7</v>
      </c>
      <c r="BG345" s="1"/>
      <c r="BH345" s="1"/>
      <c r="BI345" s="1"/>
      <c r="BJ345" s="1"/>
      <c r="BK345" s="1"/>
      <c r="BL345" s="1"/>
      <c r="BM345" s="1"/>
      <c r="BN345" s="1"/>
      <c r="BO345" s="1" t="s">
        <v>369</v>
      </c>
      <c r="BP345" s="1"/>
      <c r="BQ345" s="1"/>
      <c r="BR345" s="1" t="s">
        <v>6927</v>
      </c>
      <c r="BS345" s="1">
        <v>9</v>
      </c>
      <c r="BT345" s="1"/>
      <c r="BU345" s="1" t="str">
        <f>HYPERLINK("https://nconnect.nicmar.ac.in/storage/profile/ProfilePhoto_P25700342_917356.jpg","Download")</f>
        <v>0</v>
      </c>
      <c r="BV345" s="3"/>
      <c r="BW345" s="3"/>
    </row>
    <row r="346" spans="1:75">
      <c r="A346" s="1" t="s">
        <v>75</v>
      </c>
      <c r="B346" s="1" t="s">
        <v>446</v>
      </c>
      <c r="C346" s="1" t="s">
        <v>6928</v>
      </c>
      <c r="D346" s="1" t="s">
        <v>6929</v>
      </c>
      <c r="E346" s="1"/>
      <c r="F346" s="1" t="s">
        <v>3238</v>
      </c>
      <c r="G346" s="1" t="s">
        <v>6930</v>
      </c>
      <c r="H346" s="1" t="s">
        <v>6931</v>
      </c>
      <c r="I346" s="1" t="s">
        <v>6932</v>
      </c>
      <c r="J346" s="1">
        <v>9500644033</v>
      </c>
      <c r="K346" s="1" t="s">
        <v>84</v>
      </c>
      <c r="L346" s="1" t="s">
        <v>6933</v>
      </c>
      <c r="M346" s="1" t="s">
        <v>86</v>
      </c>
      <c r="N346" s="1" t="s">
        <v>2061</v>
      </c>
      <c r="O346" s="1"/>
      <c r="P346" s="1" t="s">
        <v>5904</v>
      </c>
      <c r="Q346" s="1" t="s">
        <v>6934</v>
      </c>
      <c r="R346" s="1" t="s">
        <v>6935</v>
      </c>
      <c r="S346" s="1">
        <v>9842710066</v>
      </c>
      <c r="T346" s="1" t="s">
        <v>839</v>
      </c>
      <c r="U346" s="1" t="s">
        <v>6936</v>
      </c>
      <c r="V346" s="1">
        <v>9965430493</v>
      </c>
      <c r="W346" s="1" t="s">
        <v>94</v>
      </c>
      <c r="X346" s="1" t="s">
        <v>6937</v>
      </c>
      <c r="Y346" s="1" t="s">
        <v>6938</v>
      </c>
      <c r="Z346" s="1" t="s">
        <v>570</v>
      </c>
      <c r="AA346" s="1" t="s">
        <v>6937</v>
      </c>
      <c r="AB346" s="1" t="s">
        <v>6938</v>
      </c>
      <c r="AC346" s="1" t="s">
        <v>570</v>
      </c>
      <c r="AD346" s="1">
        <v>8.44</v>
      </c>
      <c r="AE346" s="1" t="s">
        <v>98</v>
      </c>
      <c r="AF346" s="1" t="s">
        <v>6939</v>
      </c>
      <c r="AG346" s="1" t="s">
        <v>6940</v>
      </c>
      <c r="AH346" s="1" t="s">
        <v>3112</v>
      </c>
      <c r="AI346" s="1" t="s">
        <v>313</v>
      </c>
      <c r="AJ346" s="1">
        <v>90.2</v>
      </c>
      <c r="AK346" s="1"/>
      <c r="AL346" s="1" t="s">
        <v>6941</v>
      </c>
      <c r="AM346" s="1" t="s">
        <v>6940</v>
      </c>
      <c r="AN346" s="1" t="s">
        <v>465</v>
      </c>
      <c r="AO346" s="1" t="s">
        <v>438</v>
      </c>
      <c r="AP346" s="1" t="s">
        <v>549</v>
      </c>
      <c r="AQ346" s="1">
        <v>91.6</v>
      </c>
      <c r="AR346" s="1"/>
      <c r="AS346" s="1"/>
      <c r="AT346" s="1"/>
      <c r="AU346" s="1"/>
      <c r="AV346" s="1"/>
      <c r="AW346" s="1"/>
      <c r="AX346" s="1"/>
      <c r="AY346" s="1" t="s">
        <v>6942</v>
      </c>
      <c r="AZ346" s="1" t="s">
        <v>4110</v>
      </c>
      <c r="BA346" s="1" t="s">
        <v>466</v>
      </c>
      <c r="BB346" s="1" t="s">
        <v>467</v>
      </c>
      <c r="BC346" s="1" t="s">
        <v>552</v>
      </c>
      <c r="BD346" s="1" t="s">
        <v>553</v>
      </c>
      <c r="BE346" s="1">
        <v>73</v>
      </c>
      <c r="BF346" s="1">
        <v>7.3</v>
      </c>
      <c r="BG346" s="1"/>
      <c r="BH346" s="1"/>
      <c r="BI346" s="1"/>
      <c r="BJ346" s="1"/>
      <c r="BK346" s="1"/>
      <c r="BL346" s="1"/>
      <c r="BM346" s="1"/>
      <c r="BN346" s="1"/>
      <c r="BO346" s="1" t="s">
        <v>369</v>
      </c>
      <c r="BP346" s="1"/>
      <c r="BQ346" s="1"/>
      <c r="BR346" s="1" t="s">
        <v>6943</v>
      </c>
      <c r="BS346" s="1">
        <v>22</v>
      </c>
      <c r="BT346" s="1" t="s">
        <v>6944</v>
      </c>
      <c r="BU346" s="1" t="str">
        <f>HYPERLINK("https://nconnect.nicmar.ac.in/storage/profile/ProfilePhoto_P25700343_519836.jpg","Download")</f>
        <v>0</v>
      </c>
      <c r="BV346" s="3"/>
      <c r="BW346" s="3"/>
    </row>
    <row r="347" spans="1:75">
      <c r="A347" s="1" t="s">
        <v>75</v>
      </c>
      <c r="B347" s="1" t="s">
        <v>446</v>
      </c>
      <c r="C347" s="1" t="s">
        <v>6945</v>
      </c>
      <c r="D347" s="1" t="s">
        <v>6946</v>
      </c>
      <c r="E347" s="1" t="s">
        <v>6947</v>
      </c>
      <c r="F347" s="1" t="s">
        <v>6948</v>
      </c>
      <c r="G347" s="1" t="s">
        <v>6949</v>
      </c>
      <c r="H347" s="1" t="s">
        <v>6950</v>
      </c>
      <c r="I347" s="1" t="s">
        <v>6951</v>
      </c>
      <c r="J347" s="1">
        <v>7218952633</v>
      </c>
      <c r="K347" s="1" t="s">
        <v>84</v>
      </c>
      <c r="L347" s="1" t="s">
        <v>6952</v>
      </c>
      <c r="M347" s="1" t="s">
        <v>86</v>
      </c>
      <c r="N347" s="1" t="s">
        <v>903</v>
      </c>
      <c r="O347" s="1"/>
      <c r="P347" s="1" t="s">
        <v>455</v>
      </c>
      <c r="Q347" s="1" t="s">
        <v>6953</v>
      </c>
      <c r="R347" s="1" t="s">
        <v>6947</v>
      </c>
      <c r="S347" s="1">
        <v>9421567633</v>
      </c>
      <c r="T347" s="1" t="s">
        <v>159</v>
      </c>
      <c r="U347" s="1" t="s">
        <v>6954</v>
      </c>
      <c r="V347" s="1">
        <v>9421567633</v>
      </c>
      <c r="W347" s="1" t="s">
        <v>541</v>
      </c>
      <c r="X347" s="1" t="s">
        <v>6955</v>
      </c>
      <c r="Y347" s="1" t="s">
        <v>309</v>
      </c>
      <c r="Z347" s="1" t="s">
        <v>97</v>
      </c>
      <c r="AA347" s="1" t="s">
        <v>6955</v>
      </c>
      <c r="AB347" s="1" t="s">
        <v>309</v>
      </c>
      <c r="AC347" s="1" t="s">
        <v>97</v>
      </c>
      <c r="AD347" s="1">
        <v>7.26</v>
      </c>
      <c r="AE347" s="1" t="s">
        <v>98</v>
      </c>
      <c r="AF347" s="1" t="s">
        <v>6956</v>
      </c>
      <c r="AG347" s="1" t="s">
        <v>1968</v>
      </c>
      <c r="AH347" s="1" t="s">
        <v>101</v>
      </c>
      <c r="AI347" s="1" t="s">
        <v>166</v>
      </c>
      <c r="AJ347" s="1">
        <v>72.2</v>
      </c>
      <c r="AK347" s="1"/>
      <c r="AL347" s="1"/>
      <c r="AM347" s="1"/>
      <c r="AN347" s="1"/>
      <c r="AO347" s="1"/>
      <c r="AP347" s="1"/>
      <c r="AQ347" s="1"/>
      <c r="AR347" s="1"/>
      <c r="AS347" s="1" t="s">
        <v>103</v>
      </c>
      <c r="AT347" s="1" t="s">
        <v>6957</v>
      </c>
      <c r="AU347" s="1" t="s">
        <v>342</v>
      </c>
      <c r="AV347" s="1" t="s">
        <v>1040</v>
      </c>
      <c r="AW347" s="1">
        <v>60</v>
      </c>
      <c r="AX347" s="1"/>
      <c r="AY347" s="1" t="s">
        <v>6958</v>
      </c>
      <c r="AZ347" s="1" t="s">
        <v>6959</v>
      </c>
      <c r="BA347" s="1"/>
      <c r="BB347" s="1"/>
      <c r="BC347" s="1" t="s">
        <v>368</v>
      </c>
      <c r="BD347" s="1" t="s">
        <v>179</v>
      </c>
      <c r="BE347" s="1">
        <v>71.62</v>
      </c>
      <c r="BF347" s="1">
        <v>7.55</v>
      </c>
      <c r="BG347" s="1"/>
      <c r="BH347" s="1"/>
      <c r="BI347" s="1"/>
      <c r="BJ347" s="1"/>
      <c r="BK347" s="1"/>
      <c r="BL347" s="1"/>
      <c r="BM347" s="1"/>
      <c r="BN347" s="1"/>
      <c r="BO347" s="1" t="s">
        <v>6960</v>
      </c>
      <c r="BP347" s="1" t="s">
        <v>6961</v>
      </c>
      <c r="BQ347" s="1" t="s">
        <v>1357</v>
      </c>
      <c r="BR347" s="1" t="s">
        <v>6962</v>
      </c>
      <c r="BS347" s="1">
        <v>8</v>
      </c>
      <c r="BT347" s="1"/>
      <c r="BU347" s="1" t="str">
        <f>HYPERLINK("https://nconnect.nicmar.ac.in/storage/profile/ProfilePhoto_P25700344_278134.jpg","Download")</f>
        <v>0</v>
      </c>
      <c r="BV347" s="3"/>
      <c r="BW347" s="3"/>
    </row>
    <row r="348" spans="1:75">
      <c r="A348" s="1" t="s">
        <v>75</v>
      </c>
      <c r="B348" s="1" t="s">
        <v>446</v>
      </c>
      <c r="C348" s="1" t="s">
        <v>6963</v>
      </c>
      <c r="D348" s="1" t="s">
        <v>875</v>
      </c>
      <c r="E348" s="1" t="s">
        <v>1669</v>
      </c>
      <c r="F348" s="1" t="s">
        <v>6964</v>
      </c>
      <c r="G348" s="1" t="s">
        <v>6965</v>
      </c>
      <c r="H348" s="1" t="s">
        <v>6966</v>
      </c>
      <c r="I348" s="1" t="s">
        <v>6967</v>
      </c>
      <c r="J348" s="1">
        <v>7219070684</v>
      </c>
      <c r="K348" s="1" t="s">
        <v>84</v>
      </c>
      <c r="L348" s="1" t="s">
        <v>6968</v>
      </c>
      <c r="M348" s="1" t="s">
        <v>86</v>
      </c>
      <c r="N348" s="1" t="s">
        <v>6605</v>
      </c>
      <c r="O348" s="1"/>
      <c r="P348" s="1" t="s">
        <v>507</v>
      </c>
      <c r="Q348" s="1" t="s">
        <v>6969</v>
      </c>
      <c r="R348" s="1" t="s">
        <v>6970</v>
      </c>
      <c r="S348" s="1">
        <v>9325686281</v>
      </c>
      <c r="T348" s="1" t="s">
        <v>6971</v>
      </c>
      <c r="U348" s="1" t="s">
        <v>6972</v>
      </c>
      <c r="V348" s="1">
        <v>9890037065</v>
      </c>
      <c r="W348" s="1" t="s">
        <v>161</v>
      </c>
      <c r="X348" s="1" t="s">
        <v>6973</v>
      </c>
      <c r="Y348" s="1" t="s">
        <v>196</v>
      </c>
      <c r="Z348" s="1" t="s">
        <v>97</v>
      </c>
      <c r="AA348" s="1" t="s">
        <v>6973</v>
      </c>
      <c r="AB348" s="1" t="s">
        <v>196</v>
      </c>
      <c r="AC348" s="1" t="s">
        <v>97</v>
      </c>
      <c r="AD348" s="1">
        <v>8.38</v>
      </c>
      <c r="AE348" s="1" t="s">
        <v>98</v>
      </c>
      <c r="AF348" s="1" t="s">
        <v>6974</v>
      </c>
      <c r="AG348" s="1" t="s">
        <v>312</v>
      </c>
      <c r="AH348" s="1" t="s">
        <v>286</v>
      </c>
      <c r="AI348" s="1" t="s">
        <v>313</v>
      </c>
      <c r="AJ348" s="1">
        <v>83.8</v>
      </c>
      <c r="AK348" s="1"/>
      <c r="AL348" s="1"/>
      <c r="AM348" s="1"/>
      <c r="AN348" s="1"/>
      <c r="AO348" s="1"/>
      <c r="AP348" s="1"/>
      <c r="AQ348" s="1"/>
      <c r="AR348" s="1"/>
      <c r="AS348" s="1" t="s">
        <v>103</v>
      </c>
      <c r="AT348" s="1" t="s">
        <v>6975</v>
      </c>
      <c r="AU348" s="1" t="s">
        <v>438</v>
      </c>
      <c r="AV348" s="1" t="s">
        <v>110</v>
      </c>
      <c r="AW348" s="1">
        <v>83.8</v>
      </c>
      <c r="AX348" s="1"/>
      <c r="AY348" s="1" t="s">
        <v>6976</v>
      </c>
      <c r="AZ348" s="1" t="s">
        <v>6976</v>
      </c>
      <c r="BA348" s="1" t="s">
        <v>466</v>
      </c>
      <c r="BB348" s="1" t="s">
        <v>3661</v>
      </c>
      <c r="BC348" s="1" t="s">
        <v>1802</v>
      </c>
      <c r="BD348" s="1" t="s">
        <v>848</v>
      </c>
      <c r="BE348" s="1">
        <v>76.1</v>
      </c>
      <c r="BF348" s="1">
        <v>8.36</v>
      </c>
      <c r="BG348" s="1"/>
      <c r="BH348" s="1"/>
      <c r="BI348" s="1"/>
      <c r="BJ348" s="1"/>
      <c r="BK348" s="1"/>
      <c r="BL348" s="1"/>
      <c r="BM348" s="1"/>
      <c r="BN348" s="1"/>
      <c r="BO348" s="1" t="s">
        <v>6977</v>
      </c>
      <c r="BP348" s="1"/>
      <c r="BQ348" s="1"/>
      <c r="BR348" s="1" t="s">
        <v>6978</v>
      </c>
      <c r="BS348" s="1">
        <v>8</v>
      </c>
      <c r="BT348" s="1" t="s">
        <v>6979</v>
      </c>
      <c r="BU348" s="1" t="str">
        <f>HYPERLINK("https://nconnect.nicmar.ac.in/storage/profile/ProfilePhoto_P25700345_856793.jpg","Download")</f>
        <v>0</v>
      </c>
      <c r="BV348" s="3"/>
      <c r="BW348" s="3"/>
    </row>
    <row r="349" spans="1:75">
      <c r="A349" s="1" t="s">
        <v>75</v>
      </c>
      <c r="B349" s="1" t="s">
        <v>446</v>
      </c>
      <c r="C349" s="1" t="s">
        <v>6980</v>
      </c>
      <c r="D349" s="1" t="s">
        <v>6981</v>
      </c>
      <c r="E349" s="1"/>
      <c r="F349" s="1" t="s">
        <v>6982</v>
      </c>
      <c r="G349" s="1" t="s">
        <v>6983</v>
      </c>
      <c r="H349" s="1" t="s">
        <v>6984</v>
      </c>
      <c r="I349" s="1" t="s">
        <v>6985</v>
      </c>
      <c r="J349" s="1">
        <v>8886472020</v>
      </c>
      <c r="K349" s="1" t="s">
        <v>153</v>
      </c>
      <c r="L349" s="1" t="s">
        <v>6986</v>
      </c>
      <c r="M349" s="1" t="s">
        <v>86</v>
      </c>
      <c r="N349" s="1" t="s">
        <v>6987</v>
      </c>
      <c r="O349" s="1"/>
      <c r="P349" s="1" t="s">
        <v>1028</v>
      </c>
      <c r="Q349" s="1" t="s">
        <v>6988</v>
      </c>
      <c r="R349" s="1" t="s">
        <v>6989</v>
      </c>
      <c r="S349" s="1">
        <v>8886072020</v>
      </c>
      <c r="T349" s="1" t="s">
        <v>125</v>
      </c>
      <c r="U349" s="1" t="s">
        <v>6990</v>
      </c>
      <c r="V349" s="1">
        <v>8886172020</v>
      </c>
      <c r="W349" s="1" t="s">
        <v>645</v>
      </c>
      <c r="X349" s="1" t="s">
        <v>6991</v>
      </c>
      <c r="Y349" s="1" t="s">
        <v>3031</v>
      </c>
      <c r="Z349" s="1" t="s">
        <v>461</v>
      </c>
      <c r="AA349" s="1" t="s">
        <v>6991</v>
      </c>
      <c r="AB349" s="1" t="s">
        <v>3031</v>
      </c>
      <c r="AC349" s="1" t="s">
        <v>461</v>
      </c>
      <c r="AD349" s="1">
        <v>9.41</v>
      </c>
      <c r="AE349" s="1" t="s">
        <v>98</v>
      </c>
      <c r="AF349" s="1" t="s">
        <v>6992</v>
      </c>
      <c r="AG349" s="1" t="s">
        <v>6993</v>
      </c>
      <c r="AH349" s="1" t="s">
        <v>1111</v>
      </c>
      <c r="AI349" s="1" t="s">
        <v>170</v>
      </c>
      <c r="AJ349" s="1">
        <v>95</v>
      </c>
      <c r="AK349" s="1">
        <v>10</v>
      </c>
      <c r="AL349" s="1" t="s">
        <v>6994</v>
      </c>
      <c r="AM349" s="1" t="s">
        <v>6993</v>
      </c>
      <c r="AN349" s="1" t="s">
        <v>465</v>
      </c>
      <c r="AO349" s="1" t="s">
        <v>1477</v>
      </c>
      <c r="AP349" s="1" t="s">
        <v>313</v>
      </c>
      <c r="AQ349" s="1">
        <v>92</v>
      </c>
      <c r="AR349" s="1"/>
      <c r="AS349" s="1"/>
      <c r="AT349" s="1"/>
      <c r="AU349" s="1"/>
      <c r="AV349" s="1"/>
      <c r="AW349" s="1"/>
      <c r="AX349" s="1"/>
      <c r="AY349" s="1" t="s">
        <v>6995</v>
      </c>
      <c r="AZ349" s="1" t="s">
        <v>6996</v>
      </c>
      <c r="BA349" s="1" t="s">
        <v>682</v>
      </c>
      <c r="BB349" s="1" t="s">
        <v>6997</v>
      </c>
      <c r="BC349" s="1" t="s">
        <v>315</v>
      </c>
      <c r="BD349" s="1" t="s">
        <v>418</v>
      </c>
      <c r="BE349" s="1">
        <v>83.4</v>
      </c>
      <c r="BF349" s="1">
        <v>8.34</v>
      </c>
      <c r="BG349" s="1"/>
      <c r="BH349" s="1"/>
      <c r="BI349" s="1"/>
      <c r="BJ349" s="1"/>
      <c r="BK349" s="1"/>
      <c r="BL349" s="1"/>
      <c r="BM349" s="1"/>
      <c r="BN349" s="1"/>
      <c r="BO349" s="1" t="s">
        <v>6998</v>
      </c>
      <c r="BP349" s="1"/>
      <c r="BQ349" s="1"/>
      <c r="BR349" s="1" t="s">
        <v>6999</v>
      </c>
      <c r="BS349" s="1">
        <v>33</v>
      </c>
      <c r="BT349" s="1" t="s">
        <v>7000</v>
      </c>
      <c r="BU349" s="1" t="str">
        <f>HYPERLINK("https://nconnect.nicmar.ac.in/storage/profile/ProfilePhoto_P25700346_549627.jpg","Download")</f>
        <v>0</v>
      </c>
      <c r="BV349" s="3"/>
      <c r="BW349" s="3"/>
    </row>
    <row r="350" spans="1:75">
      <c r="A350" s="1" t="s">
        <v>75</v>
      </c>
      <c r="B350" s="1" t="s">
        <v>446</v>
      </c>
      <c r="C350" s="1" t="s">
        <v>7001</v>
      </c>
      <c r="D350" s="1" t="s">
        <v>7002</v>
      </c>
      <c r="E350" s="1" t="s">
        <v>7003</v>
      </c>
      <c r="F350" s="1" t="s">
        <v>1179</v>
      </c>
      <c r="G350" s="1" t="s">
        <v>7004</v>
      </c>
      <c r="H350" s="1" t="s">
        <v>7005</v>
      </c>
      <c r="I350" s="1" t="s">
        <v>7006</v>
      </c>
      <c r="J350" s="1">
        <v>9325973429</v>
      </c>
      <c r="K350" s="1" t="s">
        <v>84</v>
      </c>
      <c r="L350" s="1" t="s">
        <v>1857</v>
      </c>
      <c r="M350" s="1" t="s">
        <v>86</v>
      </c>
      <c r="N350" s="1" t="s">
        <v>6710</v>
      </c>
      <c r="O350" s="1"/>
      <c r="P350" s="1" t="s">
        <v>507</v>
      </c>
      <c r="Q350" s="1" t="s">
        <v>7007</v>
      </c>
      <c r="R350" s="1" t="s">
        <v>7008</v>
      </c>
      <c r="S350" s="1">
        <v>9423475025</v>
      </c>
      <c r="T350" s="1" t="s">
        <v>125</v>
      </c>
      <c r="U350" s="1" t="s">
        <v>7009</v>
      </c>
      <c r="V350" s="1">
        <v>7276718725</v>
      </c>
      <c r="W350" s="1" t="s">
        <v>161</v>
      </c>
      <c r="X350" s="1" t="s">
        <v>7010</v>
      </c>
      <c r="Y350" s="1" t="s">
        <v>910</v>
      </c>
      <c r="Z350" s="1" t="s">
        <v>97</v>
      </c>
      <c r="AA350" s="1" t="s">
        <v>7010</v>
      </c>
      <c r="AB350" s="1" t="s">
        <v>910</v>
      </c>
      <c r="AC350" s="1" t="s">
        <v>97</v>
      </c>
      <c r="AD350" s="1">
        <v>7.69</v>
      </c>
      <c r="AE350" s="1" t="s">
        <v>98</v>
      </c>
      <c r="AF350" s="1" t="s">
        <v>7011</v>
      </c>
      <c r="AG350" s="1" t="s">
        <v>6717</v>
      </c>
      <c r="AH350" s="1" t="s">
        <v>106</v>
      </c>
      <c r="AI350" s="1" t="s">
        <v>414</v>
      </c>
      <c r="AJ350" s="1">
        <v>68.4</v>
      </c>
      <c r="AK350" s="1"/>
      <c r="AL350" s="1" t="s">
        <v>7012</v>
      </c>
      <c r="AM350" s="1" t="s">
        <v>6717</v>
      </c>
      <c r="AN350" s="1" t="s">
        <v>575</v>
      </c>
      <c r="AO350" s="1" t="s">
        <v>468</v>
      </c>
      <c r="AP350" s="1" t="s">
        <v>1192</v>
      </c>
      <c r="AQ350" s="1">
        <v>73.67</v>
      </c>
      <c r="AR350" s="1"/>
      <c r="AS350" s="1"/>
      <c r="AT350" s="1"/>
      <c r="AU350" s="1"/>
      <c r="AV350" s="1"/>
      <c r="AW350" s="1"/>
      <c r="AX350" s="1"/>
      <c r="AY350" s="1" t="s">
        <v>366</v>
      </c>
      <c r="AZ350" s="1" t="s">
        <v>7013</v>
      </c>
      <c r="BA350" s="1" t="s">
        <v>466</v>
      </c>
      <c r="BB350" s="1" t="s">
        <v>467</v>
      </c>
      <c r="BC350" s="1" t="s">
        <v>871</v>
      </c>
      <c r="BD350" s="1" t="s">
        <v>1401</v>
      </c>
      <c r="BE350" s="1">
        <v>63.5</v>
      </c>
      <c r="BF350" s="1">
        <v>7.1</v>
      </c>
      <c r="BG350" s="1"/>
      <c r="BH350" s="1"/>
      <c r="BI350" s="1"/>
      <c r="BJ350" s="1"/>
      <c r="BK350" s="1"/>
      <c r="BL350" s="1"/>
      <c r="BM350" s="1"/>
      <c r="BN350" s="1"/>
      <c r="BO350" s="1" t="s">
        <v>7014</v>
      </c>
      <c r="BP350" s="1"/>
      <c r="BQ350" s="1"/>
      <c r="BR350" s="1" t="s">
        <v>7015</v>
      </c>
      <c r="BS350" s="1">
        <v>34</v>
      </c>
      <c r="BT350" s="1" t="s">
        <v>7016</v>
      </c>
      <c r="BU350" s="1" t="str">
        <f>HYPERLINK("https://nconnect.nicmar.ac.in/storage/profile/ProfilePhoto_P25700347_834162.jpg","Download")</f>
        <v>0</v>
      </c>
      <c r="BV350" s="3"/>
      <c r="BW350" s="3"/>
    </row>
    <row r="351" spans="1:75">
      <c r="A351" s="1" t="s">
        <v>75</v>
      </c>
      <c r="B351" s="1" t="s">
        <v>446</v>
      </c>
      <c r="C351" s="1" t="s">
        <v>7017</v>
      </c>
      <c r="D351" s="1" t="s">
        <v>7018</v>
      </c>
      <c r="E351" s="1"/>
      <c r="F351" s="1" t="s">
        <v>7019</v>
      </c>
      <c r="G351" s="1" t="s">
        <v>7020</v>
      </c>
      <c r="H351" s="1" t="s">
        <v>7021</v>
      </c>
      <c r="I351" s="1" t="s">
        <v>7022</v>
      </c>
      <c r="J351" s="1">
        <v>7506045865</v>
      </c>
      <c r="K351" s="1" t="s">
        <v>84</v>
      </c>
      <c r="L351" s="1" t="s">
        <v>7023</v>
      </c>
      <c r="M351" s="1" t="s">
        <v>86</v>
      </c>
      <c r="N351" s="1" t="s">
        <v>3568</v>
      </c>
      <c r="O351" s="1"/>
      <c r="P351" s="1" t="s">
        <v>481</v>
      </c>
      <c r="Q351" s="1" t="s">
        <v>7024</v>
      </c>
      <c r="R351" s="1" t="s">
        <v>4331</v>
      </c>
      <c r="S351" s="1">
        <v>9321776100</v>
      </c>
      <c r="T351" s="1" t="s">
        <v>125</v>
      </c>
      <c r="U351" s="1" t="s">
        <v>7025</v>
      </c>
      <c r="V351" s="1">
        <v>9702169187</v>
      </c>
      <c r="W351" s="1" t="s">
        <v>541</v>
      </c>
      <c r="X351" s="1" t="s">
        <v>7026</v>
      </c>
      <c r="Y351" s="1" t="s">
        <v>1189</v>
      </c>
      <c r="Z351" s="1" t="s">
        <v>97</v>
      </c>
      <c r="AA351" s="1" t="s">
        <v>7026</v>
      </c>
      <c r="AB351" s="1" t="s">
        <v>1189</v>
      </c>
      <c r="AC351" s="1" t="s">
        <v>97</v>
      </c>
      <c r="AD351" s="1">
        <v>6.74</v>
      </c>
      <c r="AE351" s="1" t="s">
        <v>98</v>
      </c>
      <c r="AF351" s="1" t="s">
        <v>1624</v>
      </c>
      <c r="AG351" s="1" t="s">
        <v>796</v>
      </c>
      <c r="AH351" s="1" t="s">
        <v>1214</v>
      </c>
      <c r="AI351" s="1" t="s">
        <v>136</v>
      </c>
      <c r="AJ351" s="1">
        <v>56</v>
      </c>
      <c r="AK351" s="1">
        <v>6.4</v>
      </c>
      <c r="AL351" s="1" t="s">
        <v>7027</v>
      </c>
      <c r="AM351" s="1" t="s">
        <v>7028</v>
      </c>
      <c r="AN351" s="1" t="s">
        <v>575</v>
      </c>
      <c r="AO351" s="1" t="s">
        <v>167</v>
      </c>
      <c r="AP351" s="1" t="s">
        <v>573</v>
      </c>
      <c r="AQ351" s="1">
        <v>49.69</v>
      </c>
      <c r="AR351" s="1"/>
      <c r="AS351" s="1" t="s">
        <v>439</v>
      </c>
      <c r="AT351" s="1" t="s">
        <v>7029</v>
      </c>
      <c r="AU351" s="1" t="s">
        <v>230</v>
      </c>
      <c r="AV351" s="1" t="s">
        <v>175</v>
      </c>
      <c r="AW351" s="1">
        <v>77.76</v>
      </c>
      <c r="AX351" s="1"/>
      <c r="AY351" s="1" t="s">
        <v>680</v>
      </c>
      <c r="AZ351" s="1" t="s">
        <v>7030</v>
      </c>
      <c r="BA351" s="1" t="s">
        <v>466</v>
      </c>
      <c r="BB351" s="1" t="s">
        <v>467</v>
      </c>
      <c r="BC351" s="1" t="s">
        <v>368</v>
      </c>
      <c r="BD351" s="1" t="s">
        <v>935</v>
      </c>
      <c r="BE351" s="1">
        <v>64.35</v>
      </c>
      <c r="BF351" s="1"/>
      <c r="BG351" s="1"/>
      <c r="BH351" s="1"/>
      <c r="BI351" s="1"/>
      <c r="BJ351" s="1"/>
      <c r="BK351" s="1"/>
      <c r="BL351" s="1"/>
      <c r="BM351" s="1"/>
      <c r="BN351" s="1"/>
      <c r="BO351" s="1" t="s">
        <v>7031</v>
      </c>
      <c r="BP351" s="1" t="s">
        <v>7032</v>
      </c>
      <c r="BQ351" s="1" t="s">
        <v>1357</v>
      </c>
      <c r="BR351" s="1" t="s">
        <v>7033</v>
      </c>
      <c r="BS351" s="1">
        <v>21</v>
      </c>
      <c r="BT351" s="1"/>
      <c r="BU351" s="1" t="str">
        <f>HYPERLINK("https://nconnect.nicmar.ac.in/storage/profile/ProfilePhoto_P25700348_398162.jpg","Download")</f>
        <v>0</v>
      </c>
      <c r="BV351" s="3"/>
      <c r="BW351" s="3"/>
    </row>
    <row r="352" spans="1:75">
      <c r="A352" s="1" t="s">
        <v>75</v>
      </c>
      <c r="B352" s="1" t="s">
        <v>446</v>
      </c>
      <c r="C352" s="1" t="s">
        <v>7034</v>
      </c>
      <c r="D352" s="1" t="s">
        <v>7035</v>
      </c>
      <c r="E352" s="1"/>
      <c r="F352" s="1" t="s">
        <v>530</v>
      </c>
      <c r="G352" s="1" t="s">
        <v>7036</v>
      </c>
      <c r="H352" s="1" t="s">
        <v>7037</v>
      </c>
      <c r="I352" s="1" t="s">
        <v>7038</v>
      </c>
      <c r="J352" s="1">
        <v>6388116291</v>
      </c>
      <c r="K352" s="1" t="s">
        <v>84</v>
      </c>
      <c r="L352" s="1" t="s">
        <v>7039</v>
      </c>
      <c r="M352" s="1" t="s">
        <v>86</v>
      </c>
      <c r="N352" s="1" t="s">
        <v>4278</v>
      </c>
      <c r="O352" s="1"/>
      <c r="P352" s="1" t="s">
        <v>481</v>
      </c>
      <c r="Q352" s="1" t="s">
        <v>7040</v>
      </c>
      <c r="R352" s="1" t="s">
        <v>7041</v>
      </c>
      <c r="S352" s="1">
        <v>9793169015</v>
      </c>
      <c r="T352" s="1" t="s">
        <v>330</v>
      </c>
      <c r="U352" s="1" t="s">
        <v>7042</v>
      </c>
      <c r="V352" s="1">
        <v>9793169015</v>
      </c>
      <c r="W352" s="1" t="s">
        <v>161</v>
      </c>
      <c r="X352" s="1" t="s">
        <v>7043</v>
      </c>
      <c r="Y352" s="1" t="s">
        <v>7044</v>
      </c>
      <c r="Z352" s="1" t="s">
        <v>544</v>
      </c>
      <c r="AA352" s="1" t="s">
        <v>7043</v>
      </c>
      <c r="AB352" s="1" t="s">
        <v>7044</v>
      </c>
      <c r="AC352" s="1" t="s">
        <v>544</v>
      </c>
      <c r="AD352" s="1">
        <v>8.18</v>
      </c>
      <c r="AE352" s="1" t="s">
        <v>98</v>
      </c>
      <c r="AF352" s="1" t="s">
        <v>7045</v>
      </c>
      <c r="AG352" s="1" t="s">
        <v>7046</v>
      </c>
      <c r="AH352" s="1" t="s">
        <v>254</v>
      </c>
      <c r="AI352" s="1" t="s">
        <v>1262</v>
      </c>
      <c r="AJ352" s="1">
        <v>87</v>
      </c>
      <c r="AK352" s="1"/>
      <c r="AL352" s="1" t="s">
        <v>7045</v>
      </c>
      <c r="AM352" s="1" t="s">
        <v>7046</v>
      </c>
      <c r="AN352" s="1" t="s">
        <v>465</v>
      </c>
      <c r="AO352" s="1" t="s">
        <v>135</v>
      </c>
      <c r="AP352" s="1" t="s">
        <v>627</v>
      </c>
      <c r="AQ352" s="1">
        <v>90</v>
      </c>
      <c r="AR352" s="1"/>
      <c r="AS352" s="1"/>
      <c r="AT352" s="1"/>
      <c r="AU352" s="1"/>
      <c r="AV352" s="1"/>
      <c r="AW352" s="1"/>
      <c r="AX352" s="1"/>
      <c r="AY352" s="1" t="s">
        <v>7047</v>
      </c>
      <c r="AZ352" s="1" t="s">
        <v>7048</v>
      </c>
      <c r="BA352" s="1" t="s">
        <v>466</v>
      </c>
      <c r="BB352" s="1" t="s">
        <v>467</v>
      </c>
      <c r="BC352" s="1" t="s">
        <v>1396</v>
      </c>
      <c r="BD352" s="1" t="s">
        <v>890</v>
      </c>
      <c r="BE352" s="1">
        <v>81.1</v>
      </c>
      <c r="BF352" s="1">
        <v>8.11</v>
      </c>
      <c r="BG352" s="1"/>
      <c r="BH352" s="1"/>
      <c r="BI352" s="1"/>
      <c r="BJ352" s="1"/>
      <c r="BK352" s="1"/>
      <c r="BL352" s="1"/>
      <c r="BM352" s="1"/>
      <c r="BN352" s="1"/>
      <c r="BO352" s="1" t="s">
        <v>7049</v>
      </c>
      <c r="BP352" s="1" t="s">
        <v>7050</v>
      </c>
      <c r="BQ352" s="1" t="s">
        <v>6652</v>
      </c>
      <c r="BR352" s="1" t="s">
        <v>7051</v>
      </c>
      <c r="BS352" s="1">
        <v>18</v>
      </c>
      <c r="BT352" s="1"/>
      <c r="BU352" s="1" t="str">
        <f>HYPERLINK("https://nconnect.nicmar.ac.in/storage/profile/ProfilePhoto_P25700349_261783.jpg","Download")</f>
        <v>0</v>
      </c>
      <c r="BV352" s="3"/>
      <c r="BW352" s="3"/>
    </row>
    <row r="353" spans="1:75">
      <c r="A353" s="1" t="s">
        <v>75</v>
      </c>
      <c r="B353" s="1" t="s">
        <v>446</v>
      </c>
      <c r="C353" s="1" t="s">
        <v>7052</v>
      </c>
      <c r="D353" s="1" t="s">
        <v>7053</v>
      </c>
      <c r="E353" s="1"/>
      <c r="F353" s="1" t="s">
        <v>1853</v>
      </c>
      <c r="G353" s="1" t="s">
        <v>7054</v>
      </c>
      <c r="H353" s="1" t="s">
        <v>7055</v>
      </c>
      <c r="I353" s="1" t="s">
        <v>7056</v>
      </c>
      <c r="J353" s="1">
        <v>9207542359</v>
      </c>
      <c r="K353" s="1" t="s">
        <v>84</v>
      </c>
      <c r="L353" s="1" t="s">
        <v>7057</v>
      </c>
      <c r="M353" s="1" t="s">
        <v>86</v>
      </c>
      <c r="N353" s="1" t="s">
        <v>7058</v>
      </c>
      <c r="O353" s="1"/>
      <c r="P353" s="1" t="s">
        <v>507</v>
      </c>
      <c r="Q353" s="1" t="s">
        <v>7059</v>
      </c>
      <c r="R353" s="1" t="s">
        <v>7060</v>
      </c>
      <c r="S353" s="1">
        <v>9745564006</v>
      </c>
      <c r="T353" s="1" t="s">
        <v>7061</v>
      </c>
      <c r="U353" s="1" t="s">
        <v>7062</v>
      </c>
      <c r="V353" s="1">
        <v>8547054710</v>
      </c>
      <c r="W353" s="1" t="s">
        <v>161</v>
      </c>
      <c r="X353" s="1" t="s">
        <v>7063</v>
      </c>
      <c r="Y353" s="1" t="s">
        <v>701</v>
      </c>
      <c r="Z353" s="1" t="s">
        <v>130</v>
      </c>
      <c r="AA353" s="1" t="s">
        <v>7063</v>
      </c>
      <c r="AB353" s="1" t="s">
        <v>701</v>
      </c>
      <c r="AC353" s="1" t="s">
        <v>130</v>
      </c>
      <c r="AD353" s="1">
        <v>9.0</v>
      </c>
      <c r="AE353" s="1" t="s">
        <v>98</v>
      </c>
      <c r="AF353" s="1" t="s">
        <v>7064</v>
      </c>
      <c r="AG353" s="1" t="s">
        <v>7065</v>
      </c>
      <c r="AH353" s="1" t="s">
        <v>166</v>
      </c>
      <c r="AI353" s="1" t="s">
        <v>627</v>
      </c>
      <c r="AJ353" s="1">
        <v>81.7</v>
      </c>
      <c r="AK353" s="1">
        <v>8.6</v>
      </c>
      <c r="AL353" s="1" t="s">
        <v>7064</v>
      </c>
      <c r="AM353" s="1" t="s">
        <v>7065</v>
      </c>
      <c r="AN353" s="1" t="s">
        <v>575</v>
      </c>
      <c r="AO353" s="1" t="s">
        <v>170</v>
      </c>
      <c r="AP353" s="1" t="s">
        <v>171</v>
      </c>
      <c r="AQ353" s="1">
        <v>73</v>
      </c>
      <c r="AR353" s="1"/>
      <c r="AS353" s="1"/>
      <c r="AT353" s="1"/>
      <c r="AU353" s="1"/>
      <c r="AV353" s="1"/>
      <c r="AW353" s="1"/>
      <c r="AX353" s="1"/>
      <c r="AY353" s="1" t="s">
        <v>137</v>
      </c>
      <c r="AZ353" s="1" t="s">
        <v>7066</v>
      </c>
      <c r="BA353" s="1" t="s">
        <v>466</v>
      </c>
      <c r="BB353" s="1" t="s">
        <v>467</v>
      </c>
      <c r="BC353" s="1" t="s">
        <v>1065</v>
      </c>
      <c r="BD353" s="1" t="s">
        <v>289</v>
      </c>
      <c r="BE353" s="1">
        <v>78.3</v>
      </c>
      <c r="BF353" s="1">
        <v>7.83</v>
      </c>
      <c r="BG353" s="1"/>
      <c r="BH353" s="1"/>
      <c r="BI353" s="1"/>
      <c r="BJ353" s="1"/>
      <c r="BK353" s="1"/>
      <c r="BL353" s="1"/>
      <c r="BM353" s="1"/>
      <c r="BN353" s="1"/>
      <c r="BO353" s="1" t="s">
        <v>7067</v>
      </c>
      <c r="BP353" s="1" t="s">
        <v>7068</v>
      </c>
      <c r="BQ353" s="1" t="s">
        <v>524</v>
      </c>
      <c r="BR353" s="1" t="s">
        <v>7069</v>
      </c>
      <c r="BS353" s="1">
        <v>38</v>
      </c>
      <c r="BT353" s="1" t="s">
        <v>7070</v>
      </c>
      <c r="BU353" s="1" t="str">
        <f>HYPERLINK("https://nconnect.nicmar.ac.in/storage/profile/ProfilePhoto_P25700350_594367.jpg","Download")</f>
        <v>0</v>
      </c>
      <c r="BV353" s="3"/>
      <c r="BW353" s="4">
        <v>1</v>
      </c>
    </row>
    <row r="354" spans="1:75">
      <c r="A354" s="1" t="s">
        <v>75</v>
      </c>
      <c r="B354" s="1" t="s">
        <v>446</v>
      </c>
      <c r="C354" s="1" t="s">
        <v>7071</v>
      </c>
      <c r="D354" s="1" t="s">
        <v>7072</v>
      </c>
      <c r="E354" s="1" t="s">
        <v>2599</v>
      </c>
      <c r="F354" s="1" t="s">
        <v>7073</v>
      </c>
      <c r="G354" s="1" t="s">
        <v>7074</v>
      </c>
      <c r="H354" s="1" t="s">
        <v>7075</v>
      </c>
      <c r="I354" s="1" t="s">
        <v>7076</v>
      </c>
      <c r="J354" s="1">
        <v>9970143717</v>
      </c>
      <c r="K354" s="1" t="s">
        <v>84</v>
      </c>
      <c r="L354" s="1" t="s">
        <v>7077</v>
      </c>
      <c r="M354" s="1" t="s">
        <v>86</v>
      </c>
      <c r="N354" s="1" t="s">
        <v>1470</v>
      </c>
      <c r="O354" s="1"/>
      <c r="P354" s="1" t="s">
        <v>481</v>
      </c>
      <c r="Q354" s="1" t="s">
        <v>7078</v>
      </c>
      <c r="R354" s="1" t="s">
        <v>7079</v>
      </c>
      <c r="S354" s="1">
        <v>9890630727</v>
      </c>
      <c r="T354" s="1" t="s">
        <v>4776</v>
      </c>
      <c r="U354" s="1" t="s">
        <v>7080</v>
      </c>
      <c r="V354" s="1">
        <v>9422349566</v>
      </c>
      <c r="W354" s="1" t="s">
        <v>127</v>
      </c>
      <c r="X354" s="1" t="s">
        <v>7081</v>
      </c>
      <c r="Y354" s="1" t="s">
        <v>1033</v>
      </c>
      <c r="Z354" s="1" t="s">
        <v>97</v>
      </c>
      <c r="AA354" s="1" t="s">
        <v>7081</v>
      </c>
      <c r="AB354" s="1" t="s">
        <v>1033</v>
      </c>
      <c r="AC354" s="1" t="s">
        <v>97</v>
      </c>
      <c r="AD354" s="1">
        <v>8.77</v>
      </c>
      <c r="AE354" s="1" t="s">
        <v>98</v>
      </c>
      <c r="AF354" s="1" t="s">
        <v>7082</v>
      </c>
      <c r="AG354" s="1" t="s">
        <v>7083</v>
      </c>
      <c r="AH354" s="1" t="s">
        <v>106</v>
      </c>
      <c r="AI354" s="1" t="s">
        <v>438</v>
      </c>
      <c r="AJ354" s="1">
        <v>94.8</v>
      </c>
      <c r="AK354" s="1"/>
      <c r="AL354" s="1" t="s">
        <v>3966</v>
      </c>
      <c r="AM354" s="1" t="s">
        <v>7083</v>
      </c>
      <c r="AN354" s="1" t="s">
        <v>465</v>
      </c>
      <c r="AO354" s="1" t="s">
        <v>468</v>
      </c>
      <c r="AP354" s="1" t="s">
        <v>441</v>
      </c>
      <c r="AQ354" s="1">
        <v>86</v>
      </c>
      <c r="AR354" s="1"/>
      <c r="AS354" s="1"/>
      <c r="AT354" s="1"/>
      <c r="AU354" s="1"/>
      <c r="AV354" s="1"/>
      <c r="AW354" s="1"/>
      <c r="AX354" s="1"/>
      <c r="AY354" s="1" t="s">
        <v>7084</v>
      </c>
      <c r="AZ354" s="1" t="s">
        <v>7085</v>
      </c>
      <c r="BA354" s="1" t="s">
        <v>466</v>
      </c>
      <c r="BB354" s="1" t="s">
        <v>467</v>
      </c>
      <c r="BC354" s="1" t="s">
        <v>871</v>
      </c>
      <c r="BD354" s="1" t="s">
        <v>848</v>
      </c>
      <c r="BE354" s="1">
        <v>68.8</v>
      </c>
      <c r="BF354" s="1">
        <v>7.63</v>
      </c>
      <c r="BG354" s="1"/>
      <c r="BH354" s="1"/>
      <c r="BI354" s="1"/>
      <c r="BJ354" s="1"/>
      <c r="BK354" s="1"/>
      <c r="BL354" s="1"/>
      <c r="BM354" s="1"/>
      <c r="BN354" s="1"/>
      <c r="BO354" s="1" t="s">
        <v>7086</v>
      </c>
      <c r="BP354" s="1"/>
      <c r="BQ354" s="1"/>
      <c r="BR354" s="1" t="s">
        <v>7087</v>
      </c>
      <c r="BS354" s="1">
        <v>11</v>
      </c>
      <c r="BT354" s="1" t="s">
        <v>7088</v>
      </c>
      <c r="BU354" s="1" t="str">
        <f>HYPERLINK("https://nconnect.nicmar.ac.in/storage/profile/ProfilePhoto_P25700351_712865.jpg","Download")</f>
        <v>0</v>
      </c>
      <c r="BV354" s="3"/>
      <c r="BW354" s="3"/>
    </row>
    <row r="355" spans="1:75">
      <c r="A355" s="1" t="s">
        <v>75</v>
      </c>
      <c r="B355" s="1" t="s">
        <v>446</v>
      </c>
      <c r="C355" s="1" t="s">
        <v>7089</v>
      </c>
      <c r="D355" s="1" t="s">
        <v>7090</v>
      </c>
      <c r="E355" s="1" t="s">
        <v>4310</v>
      </c>
      <c r="F355" s="1" t="s">
        <v>7091</v>
      </c>
      <c r="G355" s="1" t="s">
        <v>7092</v>
      </c>
      <c r="H355" s="1" t="s">
        <v>7093</v>
      </c>
      <c r="I355" s="1" t="s">
        <v>7094</v>
      </c>
      <c r="J355" s="1">
        <v>9082793384</v>
      </c>
      <c r="K355" s="1" t="s">
        <v>84</v>
      </c>
      <c r="L355" s="1" t="s">
        <v>7095</v>
      </c>
      <c r="M355" s="1" t="s">
        <v>86</v>
      </c>
      <c r="N355" s="1" t="s">
        <v>1470</v>
      </c>
      <c r="O355" s="1"/>
      <c r="P355" s="1" t="s">
        <v>507</v>
      </c>
      <c r="Q355" s="1" t="s">
        <v>7096</v>
      </c>
      <c r="R355" s="1" t="s">
        <v>7097</v>
      </c>
      <c r="S355" s="1">
        <v>9503114568</v>
      </c>
      <c r="T355" s="1" t="s">
        <v>7098</v>
      </c>
      <c r="U355" s="1" t="s">
        <v>7099</v>
      </c>
      <c r="V355" s="1">
        <v>9420063641</v>
      </c>
      <c r="W355" s="1" t="s">
        <v>161</v>
      </c>
      <c r="X355" s="1" t="s">
        <v>7100</v>
      </c>
      <c r="Y355" s="1" t="s">
        <v>196</v>
      </c>
      <c r="Z355" s="1" t="s">
        <v>97</v>
      </c>
      <c r="AA355" s="1" t="s">
        <v>7101</v>
      </c>
      <c r="AB355" s="1" t="s">
        <v>309</v>
      </c>
      <c r="AC355" s="1" t="s">
        <v>97</v>
      </c>
      <c r="AD355" s="1">
        <v>8.36</v>
      </c>
      <c r="AE355" s="1" t="s">
        <v>98</v>
      </c>
      <c r="AF355" s="1" t="s">
        <v>7102</v>
      </c>
      <c r="AG355" s="1" t="s">
        <v>312</v>
      </c>
      <c r="AH355" s="1" t="s">
        <v>101</v>
      </c>
      <c r="AI355" s="1" t="s">
        <v>136</v>
      </c>
      <c r="AJ355" s="1">
        <v>74.1</v>
      </c>
      <c r="AK355" s="1">
        <v>7.8</v>
      </c>
      <c r="AL355" s="1" t="s">
        <v>7103</v>
      </c>
      <c r="AM355" s="1" t="s">
        <v>7104</v>
      </c>
      <c r="AN355" s="1" t="s">
        <v>465</v>
      </c>
      <c r="AO355" s="1" t="s">
        <v>1111</v>
      </c>
      <c r="AP355" s="1" t="s">
        <v>518</v>
      </c>
      <c r="AQ355" s="1">
        <v>66</v>
      </c>
      <c r="AR355" s="1"/>
      <c r="AS355" s="1"/>
      <c r="AT355" s="1"/>
      <c r="AU355" s="1"/>
      <c r="AV355" s="1"/>
      <c r="AW355" s="1"/>
      <c r="AX355" s="1"/>
      <c r="AY355" s="1" t="s">
        <v>258</v>
      </c>
      <c r="AZ355" s="1" t="s">
        <v>7105</v>
      </c>
      <c r="BA355" s="1" t="s">
        <v>578</v>
      </c>
      <c r="BB355" s="1" t="s">
        <v>467</v>
      </c>
      <c r="BC355" s="1" t="s">
        <v>388</v>
      </c>
      <c r="BD355" s="1" t="s">
        <v>847</v>
      </c>
      <c r="BE355" s="1">
        <v>63.81</v>
      </c>
      <c r="BF355" s="1">
        <v>7.09</v>
      </c>
      <c r="BG355" s="1"/>
      <c r="BH355" s="1"/>
      <c r="BI355" s="1"/>
      <c r="BJ355" s="1"/>
      <c r="BK355" s="1"/>
      <c r="BL355" s="1"/>
      <c r="BM355" s="1"/>
      <c r="BN355" s="1"/>
      <c r="BO355" s="1" t="s">
        <v>7106</v>
      </c>
      <c r="BP355" s="1" t="s">
        <v>7107</v>
      </c>
      <c r="BQ355" s="1" t="s">
        <v>7108</v>
      </c>
      <c r="BR355" s="1" t="s">
        <v>7109</v>
      </c>
      <c r="BS355" s="1">
        <v>13</v>
      </c>
      <c r="BT355" s="1" t="s">
        <v>7110</v>
      </c>
      <c r="BU355" s="1" t="str">
        <f>HYPERLINK("https://nconnect.nicmar.ac.in/storage/profile/ProfilePhoto_P25700352_437125.jpg","Download")</f>
        <v>0</v>
      </c>
      <c r="BV355" s="3"/>
      <c r="BW355" s="3"/>
    </row>
    <row r="356" spans="1:75">
      <c r="A356" s="1" t="s">
        <v>75</v>
      </c>
      <c r="B356" s="1" t="s">
        <v>446</v>
      </c>
      <c r="C356" s="1" t="s">
        <v>7111</v>
      </c>
      <c r="D356" s="1" t="s">
        <v>321</v>
      </c>
      <c r="E356" s="1" t="s">
        <v>7112</v>
      </c>
      <c r="F356" s="1" t="s">
        <v>7113</v>
      </c>
      <c r="G356" s="1" t="s">
        <v>7114</v>
      </c>
      <c r="H356" s="1" t="s">
        <v>7115</v>
      </c>
      <c r="I356" s="1" t="s">
        <v>7116</v>
      </c>
      <c r="J356" s="1">
        <v>8379045231</v>
      </c>
      <c r="K356" s="1" t="s">
        <v>84</v>
      </c>
      <c r="L356" s="1" t="s">
        <v>7117</v>
      </c>
      <c r="M356" s="1" t="s">
        <v>86</v>
      </c>
      <c r="N356" s="1" t="s">
        <v>618</v>
      </c>
      <c r="O356" s="1"/>
      <c r="P356" s="1" t="s">
        <v>481</v>
      </c>
      <c r="Q356" s="1" t="s">
        <v>7118</v>
      </c>
      <c r="R356" s="1" t="s">
        <v>7119</v>
      </c>
      <c r="S356" s="1">
        <v>9011130331</v>
      </c>
      <c r="T356" s="1" t="s">
        <v>159</v>
      </c>
      <c r="U356" s="1" t="s">
        <v>7120</v>
      </c>
      <c r="V356" s="1">
        <v>7020577158</v>
      </c>
      <c r="W356" s="1" t="s">
        <v>161</v>
      </c>
      <c r="X356" s="1" t="s">
        <v>7121</v>
      </c>
      <c r="Y356" s="1" t="s">
        <v>196</v>
      </c>
      <c r="Z356" s="1" t="s">
        <v>97</v>
      </c>
      <c r="AA356" s="1" t="s">
        <v>7122</v>
      </c>
      <c r="AB356" s="1" t="s">
        <v>251</v>
      </c>
      <c r="AC356" s="1" t="s">
        <v>97</v>
      </c>
      <c r="AD356" s="1">
        <v>8.05</v>
      </c>
      <c r="AE356" s="1" t="s">
        <v>98</v>
      </c>
      <c r="AF356" s="1" t="s">
        <v>7123</v>
      </c>
      <c r="AG356" s="1" t="s">
        <v>4658</v>
      </c>
      <c r="AH356" s="1" t="s">
        <v>573</v>
      </c>
      <c r="AI356" s="1" t="s">
        <v>106</v>
      </c>
      <c r="AJ356" s="1">
        <v>90.6</v>
      </c>
      <c r="AK356" s="1"/>
      <c r="AL356" s="1"/>
      <c r="AM356" s="1"/>
      <c r="AN356" s="1"/>
      <c r="AO356" s="1"/>
      <c r="AP356" s="1"/>
      <c r="AQ356" s="1"/>
      <c r="AR356" s="1"/>
      <c r="AS356" s="1" t="s">
        <v>103</v>
      </c>
      <c r="AT356" s="1" t="s">
        <v>7124</v>
      </c>
      <c r="AU356" s="1" t="s">
        <v>1065</v>
      </c>
      <c r="AV356" s="1" t="s">
        <v>441</v>
      </c>
      <c r="AW356" s="1">
        <v>91.53</v>
      </c>
      <c r="AX356" s="1"/>
      <c r="AY356" s="1" t="s">
        <v>1906</v>
      </c>
      <c r="AZ356" s="1" t="s">
        <v>7125</v>
      </c>
      <c r="BA356" s="1" t="s">
        <v>578</v>
      </c>
      <c r="BB356" s="1" t="s">
        <v>467</v>
      </c>
      <c r="BC356" s="1" t="s">
        <v>871</v>
      </c>
      <c r="BD356" s="1" t="s">
        <v>207</v>
      </c>
      <c r="BE356" s="1">
        <v>80.12</v>
      </c>
      <c r="BF356" s="1">
        <v>8.76</v>
      </c>
      <c r="BG356" s="1"/>
      <c r="BH356" s="1"/>
      <c r="BI356" s="1"/>
      <c r="BJ356" s="1"/>
      <c r="BK356" s="1"/>
      <c r="BL356" s="1"/>
      <c r="BM356" s="1"/>
      <c r="BN356" s="1"/>
      <c r="BO356" s="1" t="s">
        <v>7126</v>
      </c>
      <c r="BP356" s="1"/>
      <c r="BQ356" s="1"/>
      <c r="BR356" s="1" t="s">
        <v>7127</v>
      </c>
      <c r="BS356" s="1">
        <v>13</v>
      </c>
      <c r="BT356" s="1" t="s">
        <v>7128</v>
      </c>
      <c r="BU356" s="1" t="str">
        <f>HYPERLINK("https://nconnect.nicmar.ac.in/storage/profile/ProfilePhoto_P25700353_496532.jpg","Download")</f>
        <v>0</v>
      </c>
      <c r="BV356" s="3"/>
      <c r="BW356" s="4">
        <v>1</v>
      </c>
    </row>
    <row r="357" spans="1:75">
      <c r="A357" s="1" t="s">
        <v>75</v>
      </c>
      <c r="B357" s="1" t="s">
        <v>446</v>
      </c>
      <c r="C357" s="1" t="s">
        <v>7129</v>
      </c>
      <c r="D357" s="1" t="s">
        <v>7130</v>
      </c>
      <c r="E357" s="1"/>
      <c r="F357" s="1" t="s">
        <v>6443</v>
      </c>
      <c r="G357" s="1" t="s">
        <v>7131</v>
      </c>
      <c r="H357" s="1" t="s">
        <v>7132</v>
      </c>
      <c r="I357" s="1" t="s">
        <v>7133</v>
      </c>
      <c r="J357" s="1">
        <v>7349789291</v>
      </c>
      <c r="K357" s="1" t="s">
        <v>153</v>
      </c>
      <c r="L357" s="1" t="s">
        <v>7134</v>
      </c>
      <c r="M357" s="1" t="s">
        <v>86</v>
      </c>
      <c r="N357" s="1" t="s">
        <v>7135</v>
      </c>
      <c r="O357" s="1"/>
      <c r="P357" s="1" t="s">
        <v>481</v>
      </c>
      <c r="Q357" s="1" t="s">
        <v>7136</v>
      </c>
      <c r="R357" s="1" t="s">
        <v>7137</v>
      </c>
      <c r="S357" s="1">
        <v>8056009509</v>
      </c>
      <c r="T357" s="1" t="s">
        <v>2950</v>
      </c>
      <c r="U357" s="1" t="s">
        <v>7138</v>
      </c>
      <c r="V357" s="1">
        <v>8217085374</v>
      </c>
      <c r="W357" s="1" t="s">
        <v>161</v>
      </c>
      <c r="X357" s="1" t="s">
        <v>7139</v>
      </c>
      <c r="Y357" s="1" t="s">
        <v>1209</v>
      </c>
      <c r="Z357" s="1" t="s">
        <v>1210</v>
      </c>
      <c r="AA357" s="1" t="s">
        <v>7139</v>
      </c>
      <c r="AB357" s="1" t="s">
        <v>1209</v>
      </c>
      <c r="AC357" s="1" t="s">
        <v>1210</v>
      </c>
      <c r="AD357" s="1">
        <v>8.82</v>
      </c>
      <c r="AE357" s="1" t="s">
        <v>98</v>
      </c>
      <c r="AF357" s="1" t="s">
        <v>7140</v>
      </c>
      <c r="AG357" s="1" t="s">
        <v>1946</v>
      </c>
      <c r="AH357" s="1" t="s">
        <v>627</v>
      </c>
      <c r="AI357" s="1" t="s">
        <v>704</v>
      </c>
      <c r="AJ357" s="1">
        <v>93.28</v>
      </c>
      <c r="AK357" s="1"/>
      <c r="AL357" s="1" t="s">
        <v>3033</v>
      </c>
      <c r="AM357" s="1" t="s">
        <v>3034</v>
      </c>
      <c r="AN357" s="1" t="s">
        <v>465</v>
      </c>
      <c r="AO357" s="1" t="s">
        <v>490</v>
      </c>
      <c r="AP357" s="1" t="s">
        <v>547</v>
      </c>
      <c r="AQ357" s="1">
        <v>94.9</v>
      </c>
      <c r="AR357" s="1"/>
      <c r="AS357" s="1"/>
      <c r="AT357" s="1"/>
      <c r="AU357" s="1"/>
      <c r="AV357" s="1"/>
      <c r="AW357" s="1"/>
      <c r="AX357" s="1"/>
      <c r="AY357" s="1" t="s">
        <v>1217</v>
      </c>
      <c r="AZ357" s="1" t="s">
        <v>7141</v>
      </c>
      <c r="BA357" s="1" t="s">
        <v>578</v>
      </c>
      <c r="BB357" s="1" t="s">
        <v>467</v>
      </c>
      <c r="BC357" s="1" t="s">
        <v>206</v>
      </c>
      <c r="BD357" s="1" t="s">
        <v>179</v>
      </c>
      <c r="BE357" s="1">
        <v>76.5</v>
      </c>
      <c r="BF357" s="1">
        <v>8.55</v>
      </c>
      <c r="BG357" s="1"/>
      <c r="BH357" s="1"/>
      <c r="BI357" s="1"/>
      <c r="BJ357" s="1"/>
      <c r="BK357" s="1"/>
      <c r="BL357" s="1"/>
      <c r="BM357" s="1"/>
      <c r="BN357" s="1"/>
      <c r="BO357" s="1" t="s">
        <v>7142</v>
      </c>
      <c r="BP357" s="1" t="s">
        <v>7143</v>
      </c>
      <c r="BQ357" s="1" t="s">
        <v>780</v>
      </c>
      <c r="BR357" s="1" t="s">
        <v>7144</v>
      </c>
      <c r="BS357" s="1">
        <v>14</v>
      </c>
      <c r="BT357" s="1"/>
      <c r="BU357" s="1" t="str">
        <f>HYPERLINK("https://nconnect.nicmar.ac.in/storage/profile/ProfilePhoto_P25700354_283475.jpg","Download")</f>
        <v>0</v>
      </c>
      <c r="BV357" s="3"/>
      <c r="BW357" s="4">
        <v>1</v>
      </c>
    </row>
    <row r="358" spans="1:75">
      <c r="A358" s="1" t="s">
        <v>75</v>
      </c>
      <c r="B358" s="1" t="s">
        <v>446</v>
      </c>
      <c r="C358" s="1" t="s">
        <v>7145</v>
      </c>
      <c r="D358" s="1" t="s">
        <v>7146</v>
      </c>
      <c r="E358" s="1" t="s">
        <v>1021</v>
      </c>
      <c r="F358" s="1" t="s">
        <v>7147</v>
      </c>
      <c r="G358" s="1" t="s">
        <v>7148</v>
      </c>
      <c r="H358" s="1" t="s">
        <v>7149</v>
      </c>
      <c r="I358" s="1" t="s">
        <v>7150</v>
      </c>
      <c r="J358" s="1">
        <v>9022608903</v>
      </c>
      <c r="K358" s="1" t="s">
        <v>84</v>
      </c>
      <c r="L358" s="1" t="s">
        <v>7151</v>
      </c>
      <c r="M358" s="1" t="s">
        <v>86</v>
      </c>
      <c r="N358" s="1" t="s">
        <v>7152</v>
      </c>
      <c r="O358" s="1"/>
      <c r="P358" s="1" t="s">
        <v>507</v>
      </c>
      <c r="Q358" s="1" t="s">
        <v>7153</v>
      </c>
      <c r="R358" s="1" t="s">
        <v>1021</v>
      </c>
      <c r="S358" s="1">
        <v>9518904078</v>
      </c>
      <c r="T358" s="1" t="s">
        <v>7154</v>
      </c>
      <c r="U358" s="1" t="s">
        <v>3000</v>
      </c>
      <c r="V358" s="1">
        <v>8262938572</v>
      </c>
      <c r="W358" s="1" t="s">
        <v>161</v>
      </c>
      <c r="X358" s="1" t="s">
        <v>7155</v>
      </c>
      <c r="Y358" s="1" t="s">
        <v>1989</v>
      </c>
      <c r="Z358" s="1" t="s">
        <v>97</v>
      </c>
      <c r="AA358" s="1" t="s">
        <v>7155</v>
      </c>
      <c r="AB358" s="1" t="s">
        <v>1989</v>
      </c>
      <c r="AC358" s="1" t="s">
        <v>97</v>
      </c>
      <c r="AD358" s="1">
        <v>7.79</v>
      </c>
      <c r="AE358" s="1" t="s">
        <v>98</v>
      </c>
      <c r="AF358" s="1" t="s">
        <v>7156</v>
      </c>
      <c r="AG358" s="1" t="s">
        <v>7157</v>
      </c>
      <c r="AH358" s="1" t="s">
        <v>106</v>
      </c>
      <c r="AI358" s="1" t="s">
        <v>414</v>
      </c>
      <c r="AJ358" s="1">
        <v>69.4</v>
      </c>
      <c r="AK358" s="1"/>
      <c r="AL358" s="1"/>
      <c r="AM358" s="1"/>
      <c r="AN358" s="1"/>
      <c r="AO358" s="1"/>
      <c r="AP358" s="1"/>
      <c r="AQ358" s="1"/>
      <c r="AR358" s="1"/>
      <c r="AS358" s="1" t="s">
        <v>439</v>
      </c>
      <c r="AT358" s="1" t="s">
        <v>1991</v>
      </c>
      <c r="AU358" s="1" t="s">
        <v>206</v>
      </c>
      <c r="AV358" s="1" t="s">
        <v>110</v>
      </c>
      <c r="AW358" s="1">
        <v>76.94</v>
      </c>
      <c r="AX358" s="1"/>
      <c r="AY358" s="1" t="s">
        <v>3713</v>
      </c>
      <c r="AZ358" s="1" t="s">
        <v>7158</v>
      </c>
      <c r="BA358" s="1" t="s">
        <v>466</v>
      </c>
      <c r="BB358" s="1" t="s">
        <v>467</v>
      </c>
      <c r="BC358" s="1" t="s">
        <v>1825</v>
      </c>
      <c r="BD358" s="1" t="s">
        <v>553</v>
      </c>
      <c r="BE358" s="1">
        <v>70.2</v>
      </c>
      <c r="BF358" s="1">
        <v>7.77</v>
      </c>
      <c r="BG358" s="1"/>
      <c r="BH358" s="1"/>
      <c r="BI358" s="1"/>
      <c r="BJ358" s="1"/>
      <c r="BK358" s="1"/>
      <c r="BL358" s="1"/>
      <c r="BM358" s="1"/>
      <c r="BN358" s="1"/>
      <c r="BO358" s="1" t="s">
        <v>7159</v>
      </c>
      <c r="BP358" s="1"/>
      <c r="BQ358" s="1"/>
      <c r="BR358" s="1" t="s">
        <v>7160</v>
      </c>
      <c r="BS358" s="1">
        <v>14</v>
      </c>
      <c r="BT358" s="1" t="s">
        <v>7161</v>
      </c>
      <c r="BU358" s="1" t="str">
        <f>HYPERLINK("https://nconnect.nicmar.ac.in/storage/profile/ProfilePhoto_P25700355_452968.jpg","Download")</f>
        <v>0</v>
      </c>
      <c r="BV358" s="3"/>
      <c r="BW358" s="3"/>
    </row>
    <row r="359" spans="1:75">
      <c r="A359" s="1" t="s">
        <v>75</v>
      </c>
      <c r="B359" s="1" t="s">
        <v>446</v>
      </c>
      <c r="C359" s="1" t="s">
        <v>7162</v>
      </c>
      <c r="D359" s="1" t="s">
        <v>6946</v>
      </c>
      <c r="E359" s="1" t="s">
        <v>663</v>
      </c>
      <c r="F359" s="1" t="s">
        <v>6810</v>
      </c>
      <c r="G359" s="1" t="s">
        <v>7163</v>
      </c>
      <c r="H359" s="1" t="s">
        <v>7164</v>
      </c>
      <c r="I359" s="1" t="s">
        <v>7165</v>
      </c>
      <c r="J359" s="1">
        <v>7977989701</v>
      </c>
      <c r="K359" s="1" t="s">
        <v>84</v>
      </c>
      <c r="L359" s="1" t="s">
        <v>4752</v>
      </c>
      <c r="M359" s="1" t="s">
        <v>86</v>
      </c>
      <c r="N359" s="1" t="s">
        <v>618</v>
      </c>
      <c r="O359" s="1"/>
      <c r="P359" s="1"/>
      <c r="Q359" s="1" t="s">
        <v>7166</v>
      </c>
      <c r="R359" s="1" t="s">
        <v>7167</v>
      </c>
      <c r="S359" s="1">
        <v>9322395763</v>
      </c>
      <c r="T359" s="1" t="s">
        <v>7168</v>
      </c>
      <c r="U359" s="1" t="s">
        <v>7169</v>
      </c>
      <c r="V359" s="1">
        <v>9320001998</v>
      </c>
      <c r="W359" s="1" t="s">
        <v>1678</v>
      </c>
      <c r="X359" s="1" t="s">
        <v>7170</v>
      </c>
      <c r="Y359" s="1" t="s">
        <v>1189</v>
      </c>
      <c r="Z359" s="1" t="s">
        <v>97</v>
      </c>
      <c r="AA359" s="1" t="s">
        <v>7170</v>
      </c>
      <c r="AB359" s="1" t="s">
        <v>1189</v>
      </c>
      <c r="AC359" s="1" t="s">
        <v>97</v>
      </c>
      <c r="AD359" s="1">
        <v>8.72</v>
      </c>
      <c r="AE359" s="1" t="s">
        <v>98</v>
      </c>
      <c r="AF359" s="1" t="s">
        <v>7171</v>
      </c>
      <c r="AG359" s="1" t="s">
        <v>796</v>
      </c>
      <c r="AH359" s="1" t="s">
        <v>1110</v>
      </c>
      <c r="AI359" s="1" t="s">
        <v>627</v>
      </c>
      <c r="AJ359" s="1">
        <v>88.6</v>
      </c>
      <c r="AK359" s="1">
        <v>9.6</v>
      </c>
      <c r="AL359" s="1"/>
      <c r="AM359" s="1"/>
      <c r="AN359" s="1"/>
      <c r="AO359" s="1"/>
      <c r="AP359" s="1"/>
      <c r="AQ359" s="1"/>
      <c r="AR359" s="1"/>
      <c r="AS359" s="1" t="s">
        <v>103</v>
      </c>
      <c r="AT359" s="1" t="s">
        <v>7172</v>
      </c>
      <c r="AU359" s="1" t="s">
        <v>167</v>
      </c>
      <c r="AV359" s="1" t="s">
        <v>438</v>
      </c>
      <c r="AW359" s="1">
        <v>76.73</v>
      </c>
      <c r="AX359" s="1"/>
      <c r="AY359" s="1" t="s">
        <v>680</v>
      </c>
      <c r="AZ359" s="1" t="s">
        <v>7173</v>
      </c>
      <c r="BA359" s="1" t="s">
        <v>578</v>
      </c>
      <c r="BB359" s="1" t="s">
        <v>467</v>
      </c>
      <c r="BC359" s="1" t="s">
        <v>206</v>
      </c>
      <c r="BD359" s="1" t="s">
        <v>110</v>
      </c>
      <c r="BE359" s="1">
        <v>71.55</v>
      </c>
      <c r="BF359" s="1">
        <v>7.99</v>
      </c>
      <c r="BG359" s="1"/>
      <c r="BH359" s="1"/>
      <c r="BI359" s="1"/>
      <c r="BJ359" s="1"/>
      <c r="BK359" s="1"/>
      <c r="BL359" s="1"/>
      <c r="BM359" s="1"/>
      <c r="BN359" s="1"/>
      <c r="BO359" s="1" t="s">
        <v>7174</v>
      </c>
      <c r="BP359" s="1"/>
      <c r="BQ359" s="1"/>
      <c r="BR359" s="1" t="s">
        <v>7175</v>
      </c>
      <c r="BS359" s="1">
        <v>16</v>
      </c>
      <c r="BT359" s="1" t="s">
        <v>7176</v>
      </c>
      <c r="BU359" s="1" t="str">
        <f>HYPERLINK("https://nconnect.nicmar.ac.in/storage/profile/ProfilePhoto_P25700356_431675.jpg","Download")</f>
        <v>0</v>
      </c>
      <c r="BV359" s="3"/>
      <c r="BW359" s="4">
        <v>1</v>
      </c>
    </row>
    <row r="360" spans="1:75">
      <c r="A360" s="1" t="s">
        <v>75</v>
      </c>
      <c r="B360" s="1" t="s">
        <v>446</v>
      </c>
      <c r="C360" s="1" t="s">
        <v>7177</v>
      </c>
      <c r="D360" s="1" t="s">
        <v>7178</v>
      </c>
      <c r="E360" s="1" t="s">
        <v>7179</v>
      </c>
      <c r="F360" s="1" t="s">
        <v>7180</v>
      </c>
      <c r="G360" s="1" t="s">
        <v>7181</v>
      </c>
      <c r="H360" s="1" t="s">
        <v>7182</v>
      </c>
      <c r="I360" s="1" t="s">
        <v>7183</v>
      </c>
      <c r="J360" s="1">
        <v>9099909063</v>
      </c>
      <c r="K360" s="1" t="s">
        <v>153</v>
      </c>
      <c r="L360" s="1" t="s">
        <v>7184</v>
      </c>
      <c r="M360" s="1" t="s">
        <v>86</v>
      </c>
      <c r="N360" s="1" t="s">
        <v>7185</v>
      </c>
      <c r="O360" s="1"/>
      <c r="P360" s="1" t="s">
        <v>455</v>
      </c>
      <c r="Q360" s="1" t="s">
        <v>7186</v>
      </c>
      <c r="R360" s="1" t="s">
        <v>7187</v>
      </c>
      <c r="S360" s="1">
        <v>9375608183</v>
      </c>
      <c r="T360" s="1" t="s">
        <v>926</v>
      </c>
      <c r="U360" s="1" t="s">
        <v>7188</v>
      </c>
      <c r="V360" s="1">
        <v>9099893523</v>
      </c>
      <c r="W360" s="1" t="s">
        <v>161</v>
      </c>
      <c r="X360" s="1" t="s">
        <v>7189</v>
      </c>
      <c r="Y360" s="1" t="s">
        <v>675</v>
      </c>
      <c r="Z360" s="1" t="s">
        <v>676</v>
      </c>
      <c r="AA360" s="1" t="s">
        <v>7189</v>
      </c>
      <c r="AB360" s="1" t="s">
        <v>675</v>
      </c>
      <c r="AC360" s="1" t="s">
        <v>676</v>
      </c>
      <c r="AD360" s="1">
        <v>8.87</v>
      </c>
      <c r="AE360" s="1" t="s">
        <v>98</v>
      </c>
      <c r="AF360" s="1" t="s">
        <v>7190</v>
      </c>
      <c r="AG360" s="1" t="s">
        <v>2181</v>
      </c>
      <c r="AH360" s="1" t="s">
        <v>286</v>
      </c>
      <c r="AI360" s="1" t="s">
        <v>313</v>
      </c>
      <c r="AJ360" s="1">
        <v>90</v>
      </c>
      <c r="AK360" s="1"/>
      <c r="AL360" s="1" t="s">
        <v>7190</v>
      </c>
      <c r="AM360" s="1" t="s">
        <v>7191</v>
      </c>
      <c r="AN360" s="1" t="s">
        <v>465</v>
      </c>
      <c r="AO360" s="1" t="s">
        <v>603</v>
      </c>
      <c r="AP360" s="1" t="s">
        <v>549</v>
      </c>
      <c r="AQ360" s="1">
        <v>92</v>
      </c>
      <c r="AR360" s="1"/>
      <c r="AS360" s="1"/>
      <c r="AT360" s="1"/>
      <c r="AU360" s="1"/>
      <c r="AV360" s="1"/>
      <c r="AW360" s="1"/>
      <c r="AX360" s="1"/>
      <c r="AY360" s="1" t="s">
        <v>7192</v>
      </c>
      <c r="AZ360" s="1" t="s">
        <v>7193</v>
      </c>
      <c r="BA360" s="1" t="s">
        <v>578</v>
      </c>
      <c r="BB360" s="1" t="s">
        <v>1993</v>
      </c>
      <c r="BC360" s="1" t="s">
        <v>140</v>
      </c>
      <c r="BD360" s="1" t="s">
        <v>1401</v>
      </c>
      <c r="BE360" s="1">
        <v>90.9</v>
      </c>
      <c r="BF360" s="1">
        <v>9.59</v>
      </c>
      <c r="BG360" s="1"/>
      <c r="BH360" s="1"/>
      <c r="BI360" s="1"/>
      <c r="BJ360" s="1"/>
      <c r="BK360" s="1"/>
      <c r="BL360" s="1"/>
      <c r="BM360" s="1"/>
      <c r="BN360" s="1"/>
      <c r="BO360" s="1" t="s">
        <v>7194</v>
      </c>
      <c r="BP360" s="1"/>
      <c r="BQ360" s="1"/>
      <c r="BR360" s="1" t="s">
        <v>7195</v>
      </c>
      <c r="BS360" s="1">
        <v>20</v>
      </c>
      <c r="BT360" s="1"/>
      <c r="BU360" s="1" t="str">
        <f>HYPERLINK("https://nconnect.nicmar.ac.in/storage/profile/ProfilePhoto_P25700357_834596.jpg","Download")</f>
        <v>0</v>
      </c>
      <c r="BV360" s="3"/>
      <c r="BW360" s="4">
        <v>1</v>
      </c>
    </row>
    <row r="361" spans="1:75">
      <c r="A361" s="1" t="s">
        <v>75</v>
      </c>
      <c r="B361" s="1" t="s">
        <v>446</v>
      </c>
      <c r="C361" s="1" t="s">
        <v>7196</v>
      </c>
      <c r="D361" s="1" t="s">
        <v>7197</v>
      </c>
      <c r="E361" s="1" t="s">
        <v>784</v>
      </c>
      <c r="F361" s="1" t="s">
        <v>4160</v>
      </c>
      <c r="G361" s="1" t="s">
        <v>7198</v>
      </c>
      <c r="H361" s="1" t="s">
        <v>7199</v>
      </c>
      <c r="I361" s="1" t="s">
        <v>7200</v>
      </c>
      <c r="J361" s="1">
        <v>9740134298</v>
      </c>
      <c r="K361" s="1" t="s">
        <v>153</v>
      </c>
      <c r="L361" s="1" t="s">
        <v>2811</v>
      </c>
      <c r="M361" s="1" t="s">
        <v>86</v>
      </c>
      <c r="N361" s="1" t="s">
        <v>7201</v>
      </c>
      <c r="O361" s="1"/>
      <c r="P361" s="1" t="s">
        <v>455</v>
      </c>
      <c r="Q361" s="1" t="s">
        <v>7202</v>
      </c>
      <c r="R361" s="1" t="s">
        <v>7203</v>
      </c>
      <c r="S361" s="1">
        <v>9740134298</v>
      </c>
      <c r="T361" s="1" t="s">
        <v>839</v>
      </c>
      <c r="U361" s="1" t="s">
        <v>7204</v>
      </c>
      <c r="V361" s="1">
        <v>9740134298</v>
      </c>
      <c r="W361" s="1" t="s">
        <v>5065</v>
      </c>
      <c r="X361" s="1" t="s">
        <v>7205</v>
      </c>
      <c r="Y361" s="1" t="s">
        <v>3190</v>
      </c>
      <c r="Z361" s="1" t="s">
        <v>130</v>
      </c>
      <c r="AA361" s="1" t="s">
        <v>7205</v>
      </c>
      <c r="AB361" s="1" t="s">
        <v>3190</v>
      </c>
      <c r="AC361" s="1" t="s">
        <v>130</v>
      </c>
      <c r="AD361" s="1">
        <v>8.51</v>
      </c>
      <c r="AE361" s="1" t="s">
        <v>98</v>
      </c>
      <c r="AF361" s="1" t="s">
        <v>7206</v>
      </c>
      <c r="AG361" s="1" t="s">
        <v>775</v>
      </c>
      <c r="AH361" s="1" t="s">
        <v>1262</v>
      </c>
      <c r="AI361" s="1" t="s">
        <v>136</v>
      </c>
      <c r="AJ361" s="1">
        <v>79.8</v>
      </c>
      <c r="AK361" s="1">
        <v>8.4</v>
      </c>
      <c r="AL361" s="1" t="s">
        <v>7206</v>
      </c>
      <c r="AM361" s="1" t="s">
        <v>775</v>
      </c>
      <c r="AN361" s="1" t="s">
        <v>465</v>
      </c>
      <c r="AO361" s="1" t="s">
        <v>627</v>
      </c>
      <c r="AP361" s="1" t="s">
        <v>573</v>
      </c>
      <c r="AQ361" s="1">
        <v>74.4</v>
      </c>
      <c r="AR361" s="1"/>
      <c r="AS361" s="1"/>
      <c r="AT361" s="1"/>
      <c r="AU361" s="1"/>
      <c r="AV361" s="1"/>
      <c r="AW361" s="1"/>
      <c r="AX361" s="1"/>
      <c r="AY361" s="1" t="s">
        <v>7207</v>
      </c>
      <c r="AZ361" s="1" t="s">
        <v>7208</v>
      </c>
      <c r="BA361" s="1" t="s">
        <v>682</v>
      </c>
      <c r="BB361" s="1" t="s">
        <v>1561</v>
      </c>
      <c r="BC361" s="1" t="s">
        <v>230</v>
      </c>
      <c r="BD361" s="1" t="s">
        <v>521</v>
      </c>
      <c r="BE361" s="1">
        <v>72.5</v>
      </c>
      <c r="BF361" s="1">
        <v>7.75</v>
      </c>
      <c r="BG361" s="1"/>
      <c r="BH361" s="1"/>
      <c r="BI361" s="1"/>
      <c r="BJ361" s="1"/>
      <c r="BK361" s="1"/>
      <c r="BL361" s="1"/>
      <c r="BM361" s="1"/>
      <c r="BN361" s="1"/>
      <c r="BO361" s="1" t="s">
        <v>7209</v>
      </c>
      <c r="BP361" s="1" t="s">
        <v>7210</v>
      </c>
      <c r="BQ361" s="1" t="s">
        <v>582</v>
      </c>
      <c r="BR361" s="1" t="s">
        <v>7211</v>
      </c>
      <c r="BS361" s="1">
        <v>27</v>
      </c>
      <c r="BT361" s="1" t="s">
        <v>7212</v>
      </c>
      <c r="BU361" s="1" t="str">
        <f>HYPERLINK("https://nconnect.nicmar.ac.in/storage/profile/ProfilePhoto_P25700358_381456.jpg","Download")</f>
        <v>0</v>
      </c>
      <c r="BV361" s="3"/>
      <c r="BW361" s="3"/>
    </row>
    <row r="362" spans="1:75">
      <c r="A362" s="1" t="s">
        <v>75</v>
      </c>
      <c r="B362" s="1" t="s">
        <v>446</v>
      </c>
      <c r="C362" s="1" t="s">
        <v>7213</v>
      </c>
      <c r="D362" s="1" t="s">
        <v>5073</v>
      </c>
      <c r="E362" s="1"/>
      <c r="F362" s="1" t="s">
        <v>7214</v>
      </c>
      <c r="G362" s="1" t="s">
        <v>7215</v>
      </c>
      <c r="H362" s="1" t="s">
        <v>7216</v>
      </c>
      <c r="I362" s="1" t="s">
        <v>7217</v>
      </c>
      <c r="J362" s="1">
        <v>6281400495</v>
      </c>
      <c r="K362" s="1" t="s">
        <v>84</v>
      </c>
      <c r="L362" s="1" t="s">
        <v>7218</v>
      </c>
      <c r="M362" s="1" t="s">
        <v>86</v>
      </c>
      <c r="N362" s="1" t="s">
        <v>7219</v>
      </c>
      <c r="O362" s="1"/>
      <c r="P362" s="1" t="s">
        <v>507</v>
      </c>
      <c r="Q362" s="1" t="s">
        <v>7220</v>
      </c>
      <c r="R362" s="1" t="s">
        <v>7221</v>
      </c>
      <c r="S362" s="1">
        <v>9391535733</v>
      </c>
      <c r="T362" s="1" t="s">
        <v>7222</v>
      </c>
      <c r="U362" s="1" t="s">
        <v>7223</v>
      </c>
      <c r="V362" s="1">
        <v>9391535733</v>
      </c>
      <c r="W362" s="1" t="s">
        <v>161</v>
      </c>
      <c r="X362" s="1" t="s">
        <v>7224</v>
      </c>
      <c r="Y362" s="1" t="s">
        <v>487</v>
      </c>
      <c r="Z362" s="1" t="s">
        <v>281</v>
      </c>
      <c r="AA362" s="1" t="s">
        <v>7224</v>
      </c>
      <c r="AB362" s="1" t="s">
        <v>487</v>
      </c>
      <c r="AC362" s="1" t="s">
        <v>281</v>
      </c>
      <c r="AD362" s="1">
        <v>8.36</v>
      </c>
      <c r="AE362" s="1" t="s">
        <v>98</v>
      </c>
      <c r="AF362" s="1" t="s">
        <v>7225</v>
      </c>
      <c r="AG362" s="1" t="s">
        <v>2341</v>
      </c>
      <c r="AH362" s="1" t="s">
        <v>106</v>
      </c>
      <c r="AI362" s="1" t="s">
        <v>547</v>
      </c>
      <c r="AJ362" s="1">
        <v>92</v>
      </c>
      <c r="AK362" s="1">
        <v>9.2</v>
      </c>
      <c r="AL362" s="1"/>
      <c r="AM362" s="1"/>
      <c r="AN362" s="1"/>
      <c r="AO362" s="1"/>
      <c r="AP362" s="1"/>
      <c r="AQ362" s="1"/>
      <c r="AR362" s="1"/>
      <c r="AS362" s="1" t="s">
        <v>439</v>
      </c>
      <c r="AT362" s="1" t="s">
        <v>7226</v>
      </c>
      <c r="AU362" s="1" t="s">
        <v>438</v>
      </c>
      <c r="AV362" s="1" t="s">
        <v>110</v>
      </c>
      <c r="AW362" s="1">
        <v>80.06</v>
      </c>
      <c r="AX362" s="1"/>
      <c r="AY362" s="1" t="s">
        <v>7227</v>
      </c>
      <c r="AZ362" s="1" t="s">
        <v>7228</v>
      </c>
      <c r="BA362" s="1" t="s">
        <v>466</v>
      </c>
      <c r="BB362" s="1" t="s">
        <v>467</v>
      </c>
      <c r="BC362" s="1" t="s">
        <v>1802</v>
      </c>
      <c r="BD362" s="1" t="s">
        <v>607</v>
      </c>
      <c r="BE362" s="1">
        <v>71.3</v>
      </c>
      <c r="BF362" s="1">
        <v>7.88</v>
      </c>
      <c r="BG362" s="1"/>
      <c r="BH362" s="1"/>
      <c r="BI362" s="1"/>
      <c r="BJ362" s="1"/>
      <c r="BK362" s="1"/>
      <c r="BL362" s="1"/>
      <c r="BM362" s="1"/>
      <c r="BN362" s="1"/>
      <c r="BO362" s="1" t="s">
        <v>7229</v>
      </c>
      <c r="BP362" s="1"/>
      <c r="BQ362" s="1"/>
      <c r="BR362" s="1" t="s">
        <v>7230</v>
      </c>
      <c r="BS362" s="1">
        <v>19</v>
      </c>
      <c r="BT362" s="1"/>
      <c r="BU362" s="1" t="str">
        <f>HYPERLINK("https://nconnect.nicmar.ac.in/storage/profile/ProfilePhoto_P25700359_948167.jpg","Download")</f>
        <v>0</v>
      </c>
      <c r="BV362" s="3"/>
      <c r="BW362" s="3"/>
    </row>
    <row r="363" spans="1:75">
      <c r="A363" s="1" t="s">
        <v>75</v>
      </c>
      <c r="B363" s="1" t="s">
        <v>446</v>
      </c>
      <c r="C363" s="1" t="s">
        <v>7231</v>
      </c>
      <c r="D363" s="1" t="s">
        <v>7232</v>
      </c>
      <c r="E363" s="1" t="s">
        <v>6082</v>
      </c>
      <c r="F363" s="1" t="s">
        <v>7233</v>
      </c>
      <c r="G363" s="1" t="s">
        <v>7234</v>
      </c>
      <c r="H363" s="1" t="s">
        <v>7235</v>
      </c>
      <c r="I363" s="1" t="s">
        <v>7236</v>
      </c>
      <c r="J363" s="1">
        <v>7420891177</v>
      </c>
      <c r="K363" s="1" t="s">
        <v>153</v>
      </c>
      <c r="L363" s="1" t="s">
        <v>7237</v>
      </c>
      <c r="M363" s="1" t="s">
        <v>86</v>
      </c>
      <c r="N363" s="1" t="s">
        <v>768</v>
      </c>
      <c r="O363" s="1"/>
      <c r="P363" s="1" t="s">
        <v>481</v>
      </c>
      <c r="Q363" s="1" t="s">
        <v>7238</v>
      </c>
      <c r="R363" s="1" t="s">
        <v>6082</v>
      </c>
      <c r="S363" s="1">
        <v>9096587095</v>
      </c>
      <c r="T363" s="1" t="s">
        <v>125</v>
      </c>
      <c r="U363" s="1" t="s">
        <v>7239</v>
      </c>
      <c r="V363" s="1">
        <v>8482959549</v>
      </c>
      <c r="W363" s="1" t="s">
        <v>94</v>
      </c>
      <c r="X363" s="1" t="s">
        <v>7240</v>
      </c>
      <c r="Y363" s="1" t="s">
        <v>7241</v>
      </c>
      <c r="Z363" s="1" t="s">
        <v>97</v>
      </c>
      <c r="AA363" s="1" t="s">
        <v>7240</v>
      </c>
      <c r="AB363" s="1" t="s">
        <v>7241</v>
      </c>
      <c r="AC363" s="1" t="s">
        <v>97</v>
      </c>
      <c r="AD363" s="1">
        <v>8.56</v>
      </c>
      <c r="AE363" s="1" t="s">
        <v>98</v>
      </c>
      <c r="AF363" s="1" t="s">
        <v>7242</v>
      </c>
      <c r="AG363" s="1" t="s">
        <v>165</v>
      </c>
      <c r="AH363" s="1" t="s">
        <v>101</v>
      </c>
      <c r="AI363" s="1" t="s">
        <v>102</v>
      </c>
      <c r="AJ363" s="1">
        <v>91.6</v>
      </c>
      <c r="AK363" s="1"/>
      <c r="AL363" s="1" t="s">
        <v>7243</v>
      </c>
      <c r="AM363" s="1" t="s">
        <v>7244</v>
      </c>
      <c r="AN363" s="1"/>
      <c r="AO363" s="1" t="s">
        <v>627</v>
      </c>
      <c r="AP363" s="1" t="s">
        <v>704</v>
      </c>
      <c r="AQ363" s="1">
        <v>90.7</v>
      </c>
      <c r="AR363" s="1"/>
      <c r="AS363" s="1"/>
      <c r="AT363" s="1"/>
      <c r="AU363" s="1"/>
      <c r="AV363" s="1"/>
      <c r="AW363" s="1"/>
      <c r="AX363" s="1"/>
      <c r="AY363" s="1" t="s">
        <v>7084</v>
      </c>
      <c r="AZ363" s="1" t="s">
        <v>7245</v>
      </c>
      <c r="BA363" s="1"/>
      <c r="BB363" s="1"/>
      <c r="BC363" s="1" t="s">
        <v>230</v>
      </c>
      <c r="BD363" s="1" t="s">
        <v>1192</v>
      </c>
      <c r="BE363" s="1">
        <v>78.5</v>
      </c>
      <c r="BF363" s="1">
        <v>8.6</v>
      </c>
      <c r="BG363" s="1"/>
      <c r="BH363" s="1"/>
      <c r="BI363" s="1"/>
      <c r="BJ363" s="1"/>
      <c r="BK363" s="1"/>
      <c r="BL363" s="1"/>
      <c r="BM363" s="1"/>
      <c r="BN363" s="1"/>
      <c r="BO363" s="1" t="s">
        <v>7246</v>
      </c>
      <c r="BP363" s="1"/>
      <c r="BQ363" s="1"/>
      <c r="BR363" s="1" t="s">
        <v>7247</v>
      </c>
      <c r="BS363" s="1">
        <v>16</v>
      </c>
      <c r="BT363" s="1" t="s">
        <v>7248</v>
      </c>
      <c r="BU363" s="1" t="str">
        <f>HYPERLINK("https://nconnect.nicmar.ac.in/storage/profile/ProfilePhoto_P25700360_657192.jpg","Download")</f>
        <v>0</v>
      </c>
      <c r="BV363" s="3"/>
      <c r="BW363" s="3"/>
    </row>
    <row r="364" spans="1:75">
      <c r="A364" s="1" t="s">
        <v>75</v>
      </c>
      <c r="B364" s="1" t="s">
        <v>446</v>
      </c>
      <c r="C364" s="1" t="s">
        <v>7249</v>
      </c>
      <c r="D364" s="1" t="s">
        <v>7250</v>
      </c>
      <c r="E364" s="1"/>
      <c r="F364" s="1" t="s">
        <v>7251</v>
      </c>
      <c r="G364" s="1" t="s">
        <v>7252</v>
      </c>
      <c r="H364" s="1" t="s">
        <v>7253</v>
      </c>
      <c r="I364" s="1" t="s">
        <v>7254</v>
      </c>
      <c r="J364" s="1">
        <v>6302736242</v>
      </c>
      <c r="K364" s="1" t="s">
        <v>84</v>
      </c>
      <c r="L364" s="1" t="s">
        <v>7255</v>
      </c>
      <c r="M364" s="1" t="s">
        <v>86</v>
      </c>
      <c r="N364" s="1" t="s">
        <v>7256</v>
      </c>
      <c r="O364" s="1"/>
      <c r="P364" s="1" t="s">
        <v>670</v>
      </c>
      <c r="Q364" s="1" t="s">
        <v>7257</v>
      </c>
      <c r="R364" s="1" t="s">
        <v>7258</v>
      </c>
      <c r="S364" s="1">
        <v>9703229871</v>
      </c>
      <c r="T364" s="1" t="s">
        <v>159</v>
      </c>
      <c r="U364" s="1" t="s">
        <v>7259</v>
      </c>
      <c r="V364" s="1">
        <v>9703229871</v>
      </c>
      <c r="W364" s="1" t="s">
        <v>161</v>
      </c>
      <c r="X364" s="1" t="s">
        <v>7260</v>
      </c>
      <c r="Y364" s="1" t="s">
        <v>3522</v>
      </c>
      <c r="Z364" s="1" t="s">
        <v>281</v>
      </c>
      <c r="AA364" s="1" t="s">
        <v>7260</v>
      </c>
      <c r="AB364" s="1" t="s">
        <v>3522</v>
      </c>
      <c r="AC364" s="1" t="s">
        <v>281</v>
      </c>
      <c r="AD364" s="1">
        <v>8.49</v>
      </c>
      <c r="AE364" s="1" t="s">
        <v>98</v>
      </c>
      <c r="AF364" s="1" t="s">
        <v>7261</v>
      </c>
      <c r="AG364" s="1" t="s">
        <v>7262</v>
      </c>
      <c r="AH364" s="1" t="s">
        <v>167</v>
      </c>
      <c r="AI364" s="1" t="s">
        <v>704</v>
      </c>
      <c r="AJ364" s="1">
        <v>95</v>
      </c>
      <c r="AK364" s="1">
        <v>9.5</v>
      </c>
      <c r="AL364" s="1"/>
      <c r="AM364" s="1"/>
      <c r="AN364" s="1" t="s">
        <v>1062</v>
      </c>
      <c r="AO364" s="1"/>
      <c r="AP364" s="1"/>
      <c r="AQ364" s="1"/>
      <c r="AR364" s="1"/>
      <c r="AS364" s="1" t="s">
        <v>7263</v>
      </c>
      <c r="AT364" s="1" t="s">
        <v>7264</v>
      </c>
      <c r="AU364" s="1" t="s">
        <v>170</v>
      </c>
      <c r="AV364" s="1" t="s">
        <v>977</v>
      </c>
      <c r="AW364" s="1">
        <v>89.29</v>
      </c>
      <c r="AX364" s="1"/>
      <c r="AY364" s="1" t="s">
        <v>7265</v>
      </c>
      <c r="AZ364" s="1" t="s">
        <v>7266</v>
      </c>
      <c r="BA364" s="1" t="s">
        <v>466</v>
      </c>
      <c r="BB364" s="1" t="s">
        <v>467</v>
      </c>
      <c r="BC364" s="1" t="s">
        <v>175</v>
      </c>
      <c r="BD364" s="1" t="s">
        <v>579</v>
      </c>
      <c r="BE364" s="1">
        <v>71</v>
      </c>
      <c r="BF364" s="1">
        <v>7.54</v>
      </c>
      <c r="BG364" s="1"/>
      <c r="BH364" s="1"/>
      <c r="BI364" s="1"/>
      <c r="BJ364" s="1"/>
      <c r="BK364" s="1"/>
      <c r="BL364" s="1"/>
      <c r="BM364" s="1"/>
      <c r="BN364" s="1"/>
      <c r="BO364" s="1" t="s">
        <v>7267</v>
      </c>
      <c r="BP364" s="1" t="s">
        <v>7268</v>
      </c>
      <c r="BQ364" s="1" t="s">
        <v>780</v>
      </c>
      <c r="BR364" s="1" t="s">
        <v>7269</v>
      </c>
      <c r="BS364" s="1">
        <v>7</v>
      </c>
      <c r="BT364" s="1" t="s">
        <v>7270</v>
      </c>
      <c r="BU364" s="1" t="str">
        <f>HYPERLINK("https://nconnect.nicmar.ac.in/storage/profile/ProfilePhoto_P25700361_138974.jpg","Download")</f>
        <v>0</v>
      </c>
      <c r="BV364" s="3"/>
      <c r="BW364" s="4">
        <v>1</v>
      </c>
    </row>
    <row r="365" spans="1:75">
      <c r="A365" s="1" t="s">
        <v>75</v>
      </c>
      <c r="B365" s="1" t="s">
        <v>446</v>
      </c>
      <c r="C365" s="1" t="s">
        <v>7271</v>
      </c>
      <c r="D365" s="1" t="s">
        <v>7272</v>
      </c>
      <c r="E365" s="1"/>
      <c r="F365" s="1" t="s">
        <v>1295</v>
      </c>
      <c r="G365" s="1" t="s">
        <v>7273</v>
      </c>
      <c r="H365" s="1" t="s">
        <v>7274</v>
      </c>
      <c r="I365" s="1" t="s">
        <v>7275</v>
      </c>
      <c r="J365" s="1">
        <v>8270382241</v>
      </c>
      <c r="K365" s="1" t="s">
        <v>84</v>
      </c>
      <c r="L365" s="1" t="s">
        <v>7276</v>
      </c>
      <c r="M365" s="1" t="s">
        <v>86</v>
      </c>
      <c r="N365" s="1" t="s">
        <v>564</v>
      </c>
      <c r="O365" s="1"/>
      <c r="P365" s="1" t="s">
        <v>455</v>
      </c>
      <c r="Q365" s="1" t="s">
        <v>7277</v>
      </c>
      <c r="R365" s="1" t="s">
        <v>7278</v>
      </c>
      <c r="S365" s="1">
        <v>9787149630</v>
      </c>
      <c r="T365" s="1" t="s">
        <v>7279</v>
      </c>
      <c r="U365" s="1" t="s">
        <v>7280</v>
      </c>
      <c r="V365" s="1">
        <v>9751094421</v>
      </c>
      <c r="W365" s="1" t="s">
        <v>7281</v>
      </c>
      <c r="X365" s="1" t="s">
        <v>7282</v>
      </c>
      <c r="Y365" s="1" t="s">
        <v>7283</v>
      </c>
      <c r="Z365" s="1" t="s">
        <v>570</v>
      </c>
      <c r="AA365" s="1" t="s">
        <v>7282</v>
      </c>
      <c r="AB365" s="1" t="s">
        <v>7283</v>
      </c>
      <c r="AC365" s="1" t="s">
        <v>570</v>
      </c>
      <c r="AD365" s="1">
        <v>8.56</v>
      </c>
      <c r="AE365" s="1" t="s">
        <v>98</v>
      </c>
      <c r="AF365" s="1" t="s">
        <v>7284</v>
      </c>
      <c r="AG365" s="1" t="s">
        <v>7285</v>
      </c>
      <c r="AH365" s="1" t="s">
        <v>106</v>
      </c>
      <c r="AI365" s="1" t="s">
        <v>313</v>
      </c>
      <c r="AJ365" s="1">
        <v>84.2</v>
      </c>
      <c r="AK365" s="1"/>
      <c r="AL365" s="1" t="s">
        <v>7284</v>
      </c>
      <c r="AM365" s="1" t="s">
        <v>7286</v>
      </c>
      <c r="AN365" s="1" t="s">
        <v>465</v>
      </c>
      <c r="AO365" s="1" t="s">
        <v>468</v>
      </c>
      <c r="AP365" s="1" t="s">
        <v>549</v>
      </c>
      <c r="AQ365" s="1">
        <v>86</v>
      </c>
      <c r="AR365" s="1"/>
      <c r="AS365" s="1"/>
      <c r="AT365" s="1"/>
      <c r="AU365" s="1"/>
      <c r="AV365" s="1"/>
      <c r="AW365" s="1"/>
      <c r="AX365" s="1"/>
      <c r="AY365" s="1" t="s">
        <v>7287</v>
      </c>
      <c r="AZ365" s="1" t="s">
        <v>7288</v>
      </c>
      <c r="BA365" s="1" t="s">
        <v>466</v>
      </c>
      <c r="BB365" s="1" t="s">
        <v>467</v>
      </c>
      <c r="BC365" s="1" t="s">
        <v>606</v>
      </c>
      <c r="BD365" s="1" t="s">
        <v>848</v>
      </c>
      <c r="BE365" s="1">
        <v>76.96</v>
      </c>
      <c r="BF365" s="1">
        <v>7.69</v>
      </c>
      <c r="BG365" s="1"/>
      <c r="BH365" s="1"/>
      <c r="BI365" s="1"/>
      <c r="BJ365" s="1"/>
      <c r="BK365" s="1"/>
      <c r="BL365" s="1"/>
      <c r="BM365" s="1"/>
      <c r="BN365" s="1"/>
      <c r="BO365" s="1" t="s">
        <v>7289</v>
      </c>
      <c r="BP365" s="1"/>
      <c r="BQ365" s="1"/>
      <c r="BR365" s="1" t="s">
        <v>7290</v>
      </c>
      <c r="BS365" s="1">
        <v>12</v>
      </c>
      <c r="BT365" s="1"/>
      <c r="BU365" s="1" t="str">
        <f>HYPERLINK("https://nconnect.nicmar.ac.in/storage/profile/ProfilePhoto_P25700362_519874.jpg","Download")</f>
        <v>0</v>
      </c>
      <c r="BV365" s="3"/>
      <c r="BW365" s="3"/>
    </row>
    <row r="366" spans="1:75">
      <c r="A366" s="1" t="s">
        <v>75</v>
      </c>
      <c r="B366" s="1" t="s">
        <v>446</v>
      </c>
      <c r="C366" s="1" t="s">
        <v>7291</v>
      </c>
      <c r="D366" s="1" t="s">
        <v>7292</v>
      </c>
      <c r="E366" s="1"/>
      <c r="F366" s="1" t="s">
        <v>350</v>
      </c>
      <c r="G366" s="1" t="s">
        <v>7293</v>
      </c>
      <c r="H366" s="1" t="s">
        <v>7294</v>
      </c>
      <c r="I366" s="1" t="s">
        <v>7295</v>
      </c>
      <c r="J366" s="1">
        <v>7420962677</v>
      </c>
      <c r="K366" s="1" t="s">
        <v>84</v>
      </c>
      <c r="L366" s="1" t="s">
        <v>7296</v>
      </c>
      <c r="M366" s="1" t="s">
        <v>86</v>
      </c>
      <c r="N366" s="1" t="s">
        <v>1163</v>
      </c>
      <c r="O366" s="1"/>
      <c r="P366" s="1" t="s">
        <v>5904</v>
      </c>
      <c r="Q366" s="1" t="s">
        <v>7297</v>
      </c>
      <c r="R366" s="1" t="s">
        <v>7298</v>
      </c>
      <c r="S366" s="1">
        <v>9422669692</v>
      </c>
      <c r="T366" s="1" t="s">
        <v>2414</v>
      </c>
      <c r="U366" s="1" t="s">
        <v>7299</v>
      </c>
      <c r="V366" s="1">
        <v>9307379451</v>
      </c>
      <c r="W366" s="1" t="s">
        <v>161</v>
      </c>
      <c r="X366" s="1" t="s">
        <v>7300</v>
      </c>
      <c r="Y366" s="1" t="s">
        <v>1012</v>
      </c>
      <c r="Z366" s="1" t="s">
        <v>97</v>
      </c>
      <c r="AA366" s="1" t="s">
        <v>7300</v>
      </c>
      <c r="AB366" s="1" t="s">
        <v>1012</v>
      </c>
      <c r="AC366" s="1" t="s">
        <v>97</v>
      </c>
      <c r="AD366" s="1">
        <v>8.51</v>
      </c>
      <c r="AE366" s="1" t="s">
        <v>98</v>
      </c>
      <c r="AF366" s="1" t="s">
        <v>7301</v>
      </c>
      <c r="AG366" s="1" t="s">
        <v>7302</v>
      </c>
      <c r="AH366" s="1" t="s">
        <v>102</v>
      </c>
      <c r="AI366" s="1" t="s">
        <v>1111</v>
      </c>
      <c r="AJ366" s="1">
        <v>81</v>
      </c>
      <c r="AK366" s="1"/>
      <c r="AL366" s="1"/>
      <c r="AM366" s="1"/>
      <c r="AN366" s="1"/>
      <c r="AO366" s="1"/>
      <c r="AP366" s="1"/>
      <c r="AQ366" s="1"/>
      <c r="AR366" s="1"/>
      <c r="AS366" s="1" t="s">
        <v>103</v>
      </c>
      <c r="AT366" s="1" t="s">
        <v>7303</v>
      </c>
      <c r="AU366" s="1" t="s">
        <v>139</v>
      </c>
      <c r="AV366" s="1" t="s">
        <v>438</v>
      </c>
      <c r="AW366" s="1">
        <v>68.73</v>
      </c>
      <c r="AX366" s="1"/>
      <c r="AY366" s="1" t="s">
        <v>258</v>
      </c>
      <c r="AZ366" s="1" t="s">
        <v>7304</v>
      </c>
      <c r="BA366" s="1"/>
      <c r="BB366" s="1"/>
      <c r="BC366" s="1" t="s">
        <v>206</v>
      </c>
      <c r="BD366" s="1" t="s">
        <v>632</v>
      </c>
      <c r="BE366" s="1">
        <v>71.88</v>
      </c>
      <c r="BF366" s="1">
        <v>8.19</v>
      </c>
      <c r="BG366" s="1"/>
      <c r="BH366" s="1"/>
      <c r="BI366" s="1"/>
      <c r="BJ366" s="1"/>
      <c r="BK366" s="1"/>
      <c r="BL366" s="1"/>
      <c r="BM366" s="1"/>
      <c r="BN366" s="1"/>
      <c r="BO366" s="1" t="s">
        <v>7305</v>
      </c>
      <c r="BP366" s="1" t="s">
        <v>7306</v>
      </c>
      <c r="BQ366" s="1" t="s">
        <v>345</v>
      </c>
      <c r="BR366" s="1" t="s">
        <v>7307</v>
      </c>
      <c r="BS366" s="1">
        <v>13</v>
      </c>
      <c r="BT366" s="1" t="s">
        <v>7308</v>
      </c>
      <c r="BU366" s="1" t="str">
        <f>HYPERLINK("https://nconnect.nicmar.ac.in/storage/profile/ProfilePhoto_P25700363_761958.jpg","Download")</f>
        <v>0</v>
      </c>
      <c r="BV366" s="3"/>
      <c r="BW366" s="3"/>
    </row>
    <row r="367" spans="1:75">
      <c r="A367" s="1" t="s">
        <v>75</v>
      </c>
      <c r="B367" s="1" t="s">
        <v>446</v>
      </c>
      <c r="C367" s="1" t="s">
        <v>7309</v>
      </c>
      <c r="D367" s="1" t="s">
        <v>6599</v>
      </c>
      <c r="E367" s="1" t="s">
        <v>2428</v>
      </c>
      <c r="F367" s="1" t="s">
        <v>7310</v>
      </c>
      <c r="G367" s="1" t="s">
        <v>7311</v>
      </c>
      <c r="H367" s="1" t="s">
        <v>7312</v>
      </c>
      <c r="I367" s="1" t="s">
        <v>7313</v>
      </c>
      <c r="J367" s="1">
        <v>9518506049</v>
      </c>
      <c r="K367" s="1" t="s">
        <v>84</v>
      </c>
      <c r="L367" s="1" t="s">
        <v>7314</v>
      </c>
      <c r="M367" s="1" t="s">
        <v>86</v>
      </c>
      <c r="N367" s="1" t="s">
        <v>618</v>
      </c>
      <c r="O367" s="1"/>
      <c r="P367" s="1" t="s">
        <v>481</v>
      </c>
      <c r="Q367" s="1" t="s">
        <v>7315</v>
      </c>
      <c r="R367" s="1" t="s">
        <v>2428</v>
      </c>
      <c r="S367" s="1">
        <v>9822408208</v>
      </c>
      <c r="T367" s="1" t="s">
        <v>926</v>
      </c>
      <c r="U367" s="1" t="s">
        <v>1900</v>
      </c>
      <c r="V367" s="1">
        <v>9168255208</v>
      </c>
      <c r="W367" s="1" t="s">
        <v>161</v>
      </c>
      <c r="X367" s="1" t="s">
        <v>7316</v>
      </c>
      <c r="Y367" s="1" t="s">
        <v>196</v>
      </c>
      <c r="Z367" s="1" t="s">
        <v>97</v>
      </c>
      <c r="AA367" s="1" t="s">
        <v>7316</v>
      </c>
      <c r="AB367" s="1" t="s">
        <v>196</v>
      </c>
      <c r="AC367" s="1" t="s">
        <v>97</v>
      </c>
      <c r="AD367" s="1">
        <v>8.82</v>
      </c>
      <c r="AE367" s="1" t="s">
        <v>98</v>
      </c>
      <c r="AF367" s="1" t="s">
        <v>7317</v>
      </c>
      <c r="AG367" s="1" t="s">
        <v>2379</v>
      </c>
      <c r="AH367" s="1" t="s">
        <v>106</v>
      </c>
      <c r="AI367" s="1" t="s">
        <v>313</v>
      </c>
      <c r="AJ367" s="1">
        <v>86</v>
      </c>
      <c r="AK367" s="1"/>
      <c r="AL367" s="1" t="s">
        <v>7318</v>
      </c>
      <c r="AM367" s="1" t="s">
        <v>2379</v>
      </c>
      <c r="AN367" s="1" t="s">
        <v>575</v>
      </c>
      <c r="AO367" s="1" t="s">
        <v>468</v>
      </c>
      <c r="AP367" s="1" t="s">
        <v>845</v>
      </c>
      <c r="AQ367" s="1">
        <v>91.17</v>
      </c>
      <c r="AR367" s="1"/>
      <c r="AS367" s="1"/>
      <c r="AT367" s="1"/>
      <c r="AU367" s="1"/>
      <c r="AV367" s="1"/>
      <c r="AW367" s="1"/>
      <c r="AX367" s="1"/>
      <c r="AY367" s="1" t="s">
        <v>366</v>
      </c>
      <c r="AZ367" s="1" t="s">
        <v>7319</v>
      </c>
      <c r="BA367" s="1" t="s">
        <v>578</v>
      </c>
      <c r="BB367" s="1" t="s">
        <v>467</v>
      </c>
      <c r="BC367" s="1" t="s">
        <v>871</v>
      </c>
      <c r="BD367" s="1" t="s">
        <v>848</v>
      </c>
      <c r="BE367" s="1">
        <v>73.78</v>
      </c>
      <c r="BF367" s="1">
        <v>8.29</v>
      </c>
      <c r="BG367" s="1"/>
      <c r="BH367" s="1"/>
      <c r="BI367" s="1"/>
      <c r="BJ367" s="1"/>
      <c r="BK367" s="1"/>
      <c r="BL367" s="1"/>
      <c r="BM367" s="1"/>
      <c r="BN367" s="1"/>
      <c r="BO367" s="1" t="s">
        <v>2267</v>
      </c>
      <c r="BP367" s="1"/>
      <c r="BQ367" s="1"/>
      <c r="BR367" s="1" t="s">
        <v>7320</v>
      </c>
      <c r="BS367" s="1">
        <v>12</v>
      </c>
      <c r="BT367" s="1"/>
      <c r="BU367" s="1" t="str">
        <f>HYPERLINK("https://nconnect.nicmar.ac.in/storage/profile/ProfilePhoto_P25700364_541382.jpg","Download")</f>
        <v>0</v>
      </c>
      <c r="BV367" s="3"/>
      <c r="BW367" s="3"/>
    </row>
    <row r="368" spans="1:75">
      <c r="A368" s="1" t="s">
        <v>75</v>
      </c>
      <c r="B368" s="1" t="s">
        <v>446</v>
      </c>
      <c r="C368" s="1" t="s">
        <v>7321</v>
      </c>
      <c r="D368" s="1" t="s">
        <v>1787</v>
      </c>
      <c r="E368" s="1" t="s">
        <v>4646</v>
      </c>
      <c r="F368" s="1" t="s">
        <v>241</v>
      </c>
      <c r="G368" s="1" t="s">
        <v>7322</v>
      </c>
      <c r="H368" s="1" t="s">
        <v>7323</v>
      </c>
      <c r="I368" s="1" t="s">
        <v>7324</v>
      </c>
      <c r="J368" s="1">
        <v>9607779797</v>
      </c>
      <c r="K368" s="1" t="s">
        <v>84</v>
      </c>
      <c r="L368" s="1" t="s">
        <v>6210</v>
      </c>
      <c r="M368" s="1" t="s">
        <v>86</v>
      </c>
      <c r="N368" s="1" t="s">
        <v>5599</v>
      </c>
      <c r="O368" s="1"/>
      <c r="P368" s="1"/>
      <c r="Q368" s="1" t="s">
        <v>7325</v>
      </c>
      <c r="R368" s="1" t="s">
        <v>7326</v>
      </c>
      <c r="S368" s="1">
        <v>9422039641</v>
      </c>
      <c r="T368" s="1" t="s">
        <v>92</v>
      </c>
      <c r="U368" s="1" t="s">
        <v>7327</v>
      </c>
      <c r="V368" s="1">
        <v>9422029441</v>
      </c>
      <c r="W368" s="1" t="s">
        <v>278</v>
      </c>
      <c r="X368" s="1" t="s">
        <v>7328</v>
      </c>
      <c r="Y368" s="1" t="s">
        <v>5181</v>
      </c>
      <c r="Z368" s="1" t="s">
        <v>97</v>
      </c>
      <c r="AA368" s="1" t="s">
        <v>7328</v>
      </c>
      <c r="AB368" s="1" t="s">
        <v>5181</v>
      </c>
      <c r="AC368" s="1" t="s">
        <v>97</v>
      </c>
      <c r="AD368" s="1">
        <v>8.21</v>
      </c>
      <c r="AE368" s="1" t="s">
        <v>98</v>
      </c>
      <c r="AF368" s="1" t="s">
        <v>7329</v>
      </c>
      <c r="AG368" s="1" t="s">
        <v>7330</v>
      </c>
      <c r="AH368" s="1" t="s">
        <v>7331</v>
      </c>
      <c r="AI368" s="1" t="s">
        <v>171</v>
      </c>
      <c r="AJ368" s="1">
        <v>81</v>
      </c>
      <c r="AK368" s="1"/>
      <c r="AL368" s="1" t="s">
        <v>7332</v>
      </c>
      <c r="AM368" s="1" t="s">
        <v>7333</v>
      </c>
      <c r="AN368" s="1" t="s">
        <v>465</v>
      </c>
      <c r="AO368" s="1" t="s">
        <v>106</v>
      </c>
      <c r="AP368" s="1" t="s">
        <v>365</v>
      </c>
      <c r="AQ368" s="1">
        <v>66.46</v>
      </c>
      <c r="AR368" s="1"/>
      <c r="AS368" s="1"/>
      <c r="AT368" s="1"/>
      <c r="AU368" s="1"/>
      <c r="AV368" s="1"/>
      <c r="AW368" s="1"/>
      <c r="AX368" s="1"/>
      <c r="AY368" s="1" t="s">
        <v>7334</v>
      </c>
      <c r="AZ368" s="1" t="s">
        <v>7335</v>
      </c>
      <c r="BA368" s="1" t="s">
        <v>466</v>
      </c>
      <c r="BB368" s="1" t="s">
        <v>467</v>
      </c>
      <c r="BC368" s="1" t="s">
        <v>178</v>
      </c>
      <c r="BD368" s="1" t="s">
        <v>1314</v>
      </c>
      <c r="BE368" s="1">
        <v>63.7</v>
      </c>
      <c r="BF368" s="1">
        <v>7.12</v>
      </c>
      <c r="BG368" s="1"/>
      <c r="BH368" s="1"/>
      <c r="BI368" s="1"/>
      <c r="BJ368" s="1"/>
      <c r="BK368" s="1"/>
      <c r="BL368" s="1"/>
      <c r="BM368" s="1"/>
      <c r="BN368" s="1"/>
      <c r="BO368" s="1" t="s">
        <v>7336</v>
      </c>
      <c r="BP368" s="1"/>
      <c r="BQ368" s="1"/>
      <c r="BR368" s="1" t="s">
        <v>7337</v>
      </c>
      <c r="BS368" s="1">
        <v>35</v>
      </c>
      <c r="BT368" s="1"/>
      <c r="BU368" s="1" t="str">
        <f>HYPERLINK("https://nconnect.nicmar.ac.in/storage/profile/ProfilePhoto_P25700366_956721.jpg","Download")</f>
        <v>0</v>
      </c>
      <c r="BV368" s="3"/>
      <c r="BW368" s="3"/>
    </row>
    <row r="369" spans="1:75">
      <c r="A369" s="1" t="s">
        <v>75</v>
      </c>
      <c r="B369" s="1" t="s">
        <v>446</v>
      </c>
      <c r="C369" s="1" t="s">
        <v>7338</v>
      </c>
      <c r="D369" s="1" t="s">
        <v>3639</v>
      </c>
      <c r="E369" s="1" t="s">
        <v>186</v>
      </c>
      <c r="F369" s="1" t="s">
        <v>7339</v>
      </c>
      <c r="G369" s="1" t="s">
        <v>7340</v>
      </c>
      <c r="H369" s="1" t="s">
        <v>7341</v>
      </c>
      <c r="I369" s="1" t="s">
        <v>7342</v>
      </c>
      <c r="J369" s="1">
        <v>7972203913</v>
      </c>
      <c r="K369" s="1" t="s">
        <v>84</v>
      </c>
      <c r="L369" s="1" t="s">
        <v>7343</v>
      </c>
      <c r="M369" s="1" t="s">
        <v>86</v>
      </c>
      <c r="N369" s="1" t="s">
        <v>1163</v>
      </c>
      <c r="O369" s="1"/>
      <c r="P369" s="1" t="s">
        <v>507</v>
      </c>
      <c r="Q369" s="1" t="s">
        <v>7344</v>
      </c>
      <c r="R369" s="1" t="s">
        <v>7345</v>
      </c>
      <c r="S369" s="1">
        <v>9405150730</v>
      </c>
      <c r="T369" s="1" t="s">
        <v>7346</v>
      </c>
      <c r="U369" s="1" t="s">
        <v>7347</v>
      </c>
      <c r="V369" s="1">
        <v>9403290644</v>
      </c>
      <c r="W369" s="1" t="s">
        <v>161</v>
      </c>
      <c r="X369" s="1" t="s">
        <v>7348</v>
      </c>
      <c r="Y369" s="1" t="s">
        <v>196</v>
      </c>
      <c r="Z369" s="1" t="s">
        <v>97</v>
      </c>
      <c r="AA369" s="1" t="s">
        <v>7349</v>
      </c>
      <c r="AB369" s="1" t="s">
        <v>410</v>
      </c>
      <c r="AC369" s="1" t="s">
        <v>97</v>
      </c>
      <c r="AD369" s="1">
        <v>8.21</v>
      </c>
      <c r="AE369" s="1" t="s">
        <v>98</v>
      </c>
      <c r="AF369" s="1" t="s">
        <v>7350</v>
      </c>
      <c r="AG369" s="1" t="s">
        <v>7351</v>
      </c>
      <c r="AH369" s="1" t="s">
        <v>1396</v>
      </c>
      <c r="AI369" s="1" t="s">
        <v>200</v>
      </c>
      <c r="AJ369" s="1">
        <v>79.2</v>
      </c>
      <c r="AK369" s="1">
        <v>8.4</v>
      </c>
      <c r="AL369" s="1" t="s">
        <v>7352</v>
      </c>
      <c r="AM369" s="1" t="s">
        <v>7353</v>
      </c>
      <c r="AN369" s="1"/>
      <c r="AO369" s="1" t="s">
        <v>174</v>
      </c>
      <c r="AP369" s="1" t="s">
        <v>315</v>
      </c>
      <c r="AQ369" s="1">
        <v>61.23</v>
      </c>
      <c r="AR369" s="1"/>
      <c r="AS369" s="1"/>
      <c r="AT369" s="1"/>
      <c r="AU369" s="1"/>
      <c r="AV369" s="1"/>
      <c r="AW369" s="1"/>
      <c r="AX369" s="1"/>
      <c r="AY369" s="1" t="s">
        <v>7354</v>
      </c>
      <c r="AZ369" s="1" t="s">
        <v>7355</v>
      </c>
      <c r="BA369" s="1"/>
      <c r="BB369" s="1"/>
      <c r="BC369" s="1" t="s">
        <v>206</v>
      </c>
      <c r="BD369" s="1" t="s">
        <v>179</v>
      </c>
      <c r="BE369" s="1">
        <v>64.7</v>
      </c>
      <c r="BF369" s="1">
        <v>7.22</v>
      </c>
      <c r="BG369" s="1"/>
      <c r="BH369" s="1"/>
      <c r="BI369" s="1"/>
      <c r="BJ369" s="1"/>
      <c r="BK369" s="1"/>
      <c r="BL369" s="1"/>
      <c r="BM369" s="1"/>
      <c r="BN369" s="1"/>
      <c r="BO369" s="1" t="s">
        <v>7356</v>
      </c>
      <c r="BP369" s="1"/>
      <c r="BQ369" s="1"/>
      <c r="BR369" s="1" t="s">
        <v>7357</v>
      </c>
      <c r="BS369" s="1">
        <v>73</v>
      </c>
      <c r="BT369" s="1"/>
      <c r="BU369" s="1" t="str">
        <f>HYPERLINK("https://nconnect.nicmar.ac.in/storage/profile/ProfilePhoto_P25700368_157439.jpg","Download")</f>
        <v>0</v>
      </c>
      <c r="BV369" s="3"/>
      <c r="BW369" s="3"/>
    </row>
    <row r="370" spans="1:75">
      <c r="A370" s="1" t="s">
        <v>75</v>
      </c>
      <c r="B370" s="1" t="s">
        <v>446</v>
      </c>
      <c r="C370" s="1" t="s">
        <v>7358</v>
      </c>
      <c r="D370" s="1" t="s">
        <v>5482</v>
      </c>
      <c r="E370" s="1" t="s">
        <v>2273</v>
      </c>
      <c r="F370" s="1" t="s">
        <v>147</v>
      </c>
      <c r="G370" s="1" t="s">
        <v>7359</v>
      </c>
      <c r="H370" s="1" t="s">
        <v>7360</v>
      </c>
      <c r="I370" s="1" t="s">
        <v>7361</v>
      </c>
      <c r="J370" s="1">
        <v>9511248747</v>
      </c>
      <c r="K370" s="1" t="s">
        <v>84</v>
      </c>
      <c r="L370" s="1" t="s">
        <v>5903</v>
      </c>
      <c r="M370" s="1" t="s">
        <v>86</v>
      </c>
      <c r="N370" s="1" t="s">
        <v>2174</v>
      </c>
      <c r="O370" s="1"/>
      <c r="P370" s="1" t="s">
        <v>481</v>
      </c>
      <c r="Q370" s="1" t="s">
        <v>7362</v>
      </c>
      <c r="R370" s="1" t="s">
        <v>2273</v>
      </c>
      <c r="S370" s="1">
        <v>9284050917</v>
      </c>
      <c r="T370" s="1" t="s">
        <v>159</v>
      </c>
      <c r="U370" s="1" t="s">
        <v>2281</v>
      </c>
      <c r="V370" s="1">
        <v>9665580920</v>
      </c>
      <c r="W370" s="1" t="s">
        <v>161</v>
      </c>
      <c r="X370" s="1" t="s">
        <v>7363</v>
      </c>
      <c r="Y370" s="1" t="s">
        <v>196</v>
      </c>
      <c r="Z370" s="1" t="s">
        <v>97</v>
      </c>
      <c r="AA370" s="1" t="s">
        <v>7364</v>
      </c>
      <c r="AB370" s="1" t="s">
        <v>1145</v>
      </c>
      <c r="AC370" s="1" t="s">
        <v>97</v>
      </c>
      <c r="AD370" s="1">
        <v>8.51</v>
      </c>
      <c r="AE370" s="1" t="s">
        <v>98</v>
      </c>
      <c r="AF370" s="1" t="s">
        <v>7365</v>
      </c>
      <c r="AG370" s="1" t="s">
        <v>7366</v>
      </c>
      <c r="AH370" s="1" t="s">
        <v>167</v>
      </c>
      <c r="AI370" s="1" t="s">
        <v>200</v>
      </c>
      <c r="AJ370" s="1">
        <v>89.2</v>
      </c>
      <c r="AK370" s="1"/>
      <c r="AL370" s="1"/>
      <c r="AM370" s="1"/>
      <c r="AN370" s="1"/>
      <c r="AO370" s="1"/>
      <c r="AP370" s="1"/>
      <c r="AQ370" s="1"/>
      <c r="AR370" s="1"/>
      <c r="AS370" s="1" t="s">
        <v>439</v>
      </c>
      <c r="AT370" s="1" t="s">
        <v>7367</v>
      </c>
      <c r="AU370" s="1" t="s">
        <v>230</v>
      </c>
      <c r="AV370" s="1" t="s">
        <v>175</v>
      </c>
      <c r="AW370" s="1">
        <v>91.32</v>
      </c>
      <c r="AX370" s="1"/>
      <c r="AY370" s="1" t="s">
        <v>366</v>
      </c>
      <c r="AZ370" s="1" t="s">
        <v>2113</v>
      </c>
      <c r="BA370" s="1" t="s">
        <v>578</v>
      </c>
      <c r="BB370" s="1" t="s">
        <v>467</v>
      </c>
      <c r="BC370" s="1" t="s">
        <v>368</v>
      </c>
      <c r="BD370" s="1" t="s">
        <v>179</v>
      </c>
      <c r="BE370" s="1">
        <v>74.36</v>
      </c>
      <c r="BF370" s="1">
        <v>8.28</v>
      </c>
      <c r="BG370" s="1"/>
      <c r="BH370" s="1"/>
      <c r="BI370" s="1"/>
      <c r="BJ370" s="1"/>
      <c r="BK370" s="1"/>
      <c r="BL370" s="1"/>
      <c r="BM370" s="1"/>
      <c r="BN370" s="1"/>
      <c r="BO370" s="1" t="s">
        <v>7368</v>
      </c>
      <c r="BP370" s="1"/>
      <c r="BQ370" s="1"/>
      <c r="BR370" s="1" t="s">
        <v>7369</v>
      </c>
      <c r="BS370" s="1">
        <v>30</v>
      </c>
      <c r="BT370" s="1" t="s">
        <v>7370</v>
      </c>
      <c r="BU370" s="1" t="str">
        <f>HYPERLINK("https://nconnect.nicmar.ac.in/storage/profile/ProfilePhoto_P25700369_745329.jpg","Download")</f>
        <v>0</v>
      </c>
      <c r="BV370" s="3"/>
      <c r="BW370" s="3"/>
    </row>
    <row r="371" spans="1:75">
      <c r="A371" s="1" t="s">
        <v>75</v>
      </c>
      <c r="B371" s="1" t="s">
        <v>446</v>
      </c>
      <c r="C371" s="1" t="s">
        <v>7371</v>
      </c>
      <c r="D371" s="1" t="s">
        <v>1294</v>
      </c>
      <c r="E371" s="1" t="s">
        <v>2428</v>
      </c>
      <c r="F371" s="1" t="s">
        <v>7372</v>
      </c>
      <c r="G371" s="1" t="s">
        <v>7373</v>
      </c>
      <c r="H371" s="1" t="s">
        <v>7374</v>
      </c>
      <c r="I371" s="1" t="s">
        <v>7375</v>
      </c>
      <c r="J371" s="1">
        <v>9326015827</v>
      </c>
      <c r="K371" s="1" t="s">
        <v>84</v>
      </c>
      <c r="L371" s="1" t="s">
        <v>7376</v>
      </c>
      <c r="M371" s="1" t="s">
        <v>86</v>
      </c>
      <c r="N371" s="1" t="s">
        <v>7377</v>
      </c>
      <c r="O371" s="1"/>
      <c r="P371" s="1" t="s">
        <v>481</v>
      </c>
      <c r="Q371" s="1" t="s">
        <v>7378</v>
      </c>
      <c r="R371" s="1" t="s">
        <v>2428</v>
      </c>
      <c r="S371" s="1">
        <v>9594039951</v>
      </c>
      <c r="T371" s="1" t="s">
        <v>7379</v>
      </c>
      <c r="U371" s="1" t="s">
        <v>7380</v>
      </c>
      <c r="V371" s="1">
        <v>9833379880</v>
      </c>
      <c r="W371" s="1" t="s">
        <v>161</v>
      </c>
      <c r="X371" s="1" t="s">
        <v>7381</v>
      </c>
      <c r="Y371" s="1" t="s">
        <v>2259</v>
      </c>
      <c r="Z371" s="1" t="s">
        <v>97</v>
      </c>
      <c r="AA371" s="1" t="s">
        <v>7382</v>
      </c>
      <c r="AB371" s="1" t="s">
        <v>2259</v>
      </c>
      <c r="AC371" s="1" t="s">
        <v>97</v>
      </c>
      <c r="AD371" s="1">
        <v>7.92</v>
      </c>
      <c r="AE371" s="1" t="s">
        <v>98</v>
      </c>
      <c r="AF371" s="1" t="s">
        <v>7383</v>
      </c>
      <c r="AG371" s="1" t="s">
        <v>165</v>
      </c>
      <c r="AH371" s="1" t="s">
        <v>342</v>
      </c>
      <c r="AI371" s="1" t="s">
        <v>627</v>
      </c>
      <c r="AJ371" s="1">
        <v>63.4</v>
      </c>
      <c r="AK371" s="1"/>
      <c r="AL371" s="1"/>
      <c r="AM371" s="1"/>
      <c r="AN371" s="1"/>
      <c r="AO371" s="1"/>
      <c r="AP371" s="1"/>
      <c r="AQ371" s="1"/>
      <c r="AR371" s="1"/>
      <c r="AS371" s="1" t="s">
        <v>439</v>
      </c>
      <c r="AT371" s="1" t="s">
        <v>7384</v>
      </c>
      <c r="AU371" s="1" t="s">
        <v>139</v>
      </c>
      <c r="AV371" s="1" t="s">
        <v>233</v>
      </c>
      <c r="AW371" s="1">
        <v>64.12</v>
      </c>
      <c r="AX371" s="1"/>
      <c r="AY371" s="1" t="s">
        <v>258</v>
      </c>
      <c r="AZ371" s="1" t="s">
        <v>5123</v>
      </c>
      <c r="BA371" s="1"/>
      <c r="BB371" s="1"/>
      <c r="BC371" s="1" t="s">
        <v>368</v>
      </c>
      <c r="BD371" s="1" t="s">
        <v>7385</v>
      </c>
      <c r="BE371" s="1">
        <v>68.86</v>
      </c>
      <c r="BF371" s="1">
        <v>7.84</v>
      </c>
      <c r="BG371" s="1"/>
      <c r="BH371" s="1"/>
      <c r="BI371" s="1"/>
      <c r="BJ371" s="1"/>
      <c r="BK371" s="1"/>
      <c r="BL371" s="1"/>
      <c r="BM371" s="1"/>
      <c r="BN371" s="1"/>
      <c r="BO371" s="1" t="s">
        <v>260</v>
      </c>
      <c r="BP371" s="1" t="s">
        <v>7386</v>
      </c>
      <c r="BQ371" s="1" t="s">
        <v>2213</v>
      </c>
      <c r="BR371" s="1" t="s">
        <v>7387</v>
      </c>
      <c r="BS371" s="1">
        <v>9</v>
      </c>
      <c r="BT371" s="1"/>
      <c r="BU371" s="1" t="str">
        <f>HYPERLINK("https://nconnect.nicmar.ac.in/storage/profile/ProfilePhoto_P25700370_895437.jpg","Download")</f>
        <v>0</v>
      </c>
      <c r="BV371" s="3"/>
      <c r="BW371" s="3"/>
    </row>
    <row r="372" spans="1:75">
      <c r="A372" s="1" t="s">
        <v>75</v>
      </c>
      <c r="B372" s="1" t="s">
        <v>446</v>
      </c>
      <c r="C372" s="1" t="s">
        <v>7388</v>
      </c>
      <c r="D372" s="1" t="s">
        <v>3216</v>
      </c>
      <c r="E372" s="1"/>
      <c r="F372" s="1" t="s">
        <v>1997</v>
      </c>
      <c r="G372" s="1" t="s">
        <v>7389</v>
      </c>
      <c r="H372" s="1" t="s">
        <v>7390</v>
      </c>
      <c r="I372" s="1" t="s">
        <v>7391</v>
      </c>
      <c r="J372" s="1">
        <v>9538399704</v>
      </c>
      <c r="K372" s="1" t="s">
        <v>153</v>
      </c>
      <c r="L372" s="1" t="s">
        <v>7392</v>
      </c>
      <c r="M372" s="1" t="s">
        <v>86</v>
      </c>
      <c r="N372" s="1" t="s">
        <v>1203</v>
      </c>
      <c r="O372" s="1"/>
      <c r="P372" s="1" t="s">
        <v>507</v>
      </c>
      <c r="Q372" s="1" t="s">
        <v>7393</v>
      </c>
      <c r="R372" s="1" t="s">
        <v>7394</v>
      </c>
      <c r="S372" s="1">
        <v>9448245386</v>
      </c>
      <c r="T372" s="1" t="s">
        <v>7395</v>
      </c>
      <c r="U372" s="1" t="s">
        <v>7396</v>
      </c>
      <c r="V372" s="1">
        <v>9448293831</v>
      </c>
      <c r="W372" s="1" t="s">
        <v>3303</v>
      </c>
      <c r="X372" s="1" t="s">
        <v>7397</v>
      </c>
      <c r="Y372" s="1" t="s">
        <v>1209</v>
      </c>
      <c r="Z372" s="1" t="s">
        <v>1210</v>
      </c>
      <c r="AA372" s="1" t="s">
        <v>7397</v>
      </c>
      <c r="AB372" s="1" t="s">
        <v>1209</v>
      </c>
      <c r="AC372" s="1" t="s">
        <v>1210</v>
      </c>
      <c r="AD372" s="1">
        <v>8.95</v>
      </c>
      <c r="AE372" s="1" t="s">
        <v>98</v>
      </c>
      <c r="AF372" s="1" t="s">
        <v>7398</v>
      </c>
      <c r="AG372" s="1" t="s">
        <v>7399</v>
      </c>
      <c r="AH372" s="1" t="s">
        <v>134</v>
      </c>
      <c r="AI372" s="1" t="s">
        <v>1262</v>
      </c>
      <c r="AJ372" s="1">
        <v>84.32</v>
      </c>
      <c r="AK372" s="1"/>
      <c r="AL372" s="1" t="s">
        <v>7400</v>
      </c>
      <c r="AM372" s="1" t="s">
        <v>7401</v>
      </c>
      <c r="AN372" s="1" t="s">
        <v>575</v>
      </c>
      <c r="AO372" s="1" t="s">
        <v>136</v>
      </c>
      <c r="AP372" s="1" t="s">
        <v>627</v>
      </c>
      <c r="AQ372" s="1">
        <v>76.66</v>
      </c>
      <c r="AR372" s="1"/>
      <c r="AS372" s="1"/>
      <c r="AT372" s="1"/>
      <c r="AU372" s="1"/>
      <c r="AV372" s="1"/>
      <c r="AW372" s="1"/>
      <c r="AX372" s="1"/>
      <c r="AY372" s="1" t="s">
        <v>1217</v>
      </c>
      <c r="AZ372" s="1" t="s">
        <v>7402</v>
      </c>
      <c r="BA372" s="1" t="s">
        <v>578</v>
      </c>
      <c r="BB372" s="1" t="s">
        <v>467</v>
      </c>
      <c r="BC372" s="1" t="s">
        <v>139</v>
      </c>
      <c r="BD372" s="1" t="s">
        <v>1040</v>
      </c>
      <c r="BE372" s="1">
        <v>74.2</v>
      </c>
      <c r="BF372" s="1">
        <v>8.17</v>
      </c>
      <c r="BG372" s="1" t="s">
        <v>1217</v>
      </c>
      <c r="BH372" s="1" t="s">
        <v>7403</v>
      </c>
      <c r="BI372" s="1"/>
      <c r="BJ372" s="1"/>
      <c r="BK372" s="1" t="s">
        <v>1647</v>
      </c>
      <c r="BL372" s="1" t="s">
        <v>1825</v>
      </c>
      <c r="BM372" s="1">
        <v>81.5</v>
      </c>
      <c r="BN372" s="1">
        <v>8.9</v>
      </c>
      <c r="BO372" s="1" t="s">
        <v>7404</v>
      </c>
      <c r="BP372" s="1" t="s">
        <v>7405</v>
      </c>
      <c r="BQ372" s="1" t="s">
        <v>757</v>
      </c>
      <c r="BR372" s="1" t="s">
        <v>7406</v>
      </c>
      <c r="BS372" s="1">
        <v>20</v>
      </c>
      <c r="BT372" s="1" t="s">
        <v>7407</v>
      </c>
      <c r="BU372" s="1" t="str">
        <f>HYPERLINK("https://nconnect.nicmar.ac.in/storage/profile/ProfilePhoto_P25700371_572389.jpg","Download")</f>
        <v>0</v>
      </c>
      <c r="BV372" s="3"/>
      <c r="BW372" s="4">
        <v>1</v>
      </c>
    </row>
    <row r="373" spans="1:75">
      <c r="A373" s="1" t="s">
        <v>75</v>
      </c>
      <c r="B373" s="1" t="s">
        <v>446</v>
      </c>
      <c r="C373" s="1" t="s">
        <v>7408</v>
      </c>
      <c r="D373" s="1" t="s">
        <v>7409</v>
      </c>
      <c r="E373" s="1"/>
      <c r="F373" s="1" t="s">
        <v>7410</v>
      </c>
      <c r="G373" s="1" t="s">
        <v>7411</v>
      </c>
      <c r="H373" s="1" t="s">
        <v>7412</v>
      </c>
      <c r="I373" s="1" t="s">
        <v>7413</v>
      </c>
      <c r="J373" s="1">
        <v>8077106036</v>
      </c>
      <c r="K373" s="1" t="s">
        <v>84</v>
      </c>
      <c r="L373" s="1" t="s">
        <v>7414</v>
      </c>
      <c r="M373" s="1" t="s">
        <v>86</v>
      </c>
      <c r="N373" s="1" t="s">
        <v>4278</v>
      </c>
      <c r="O373" s="1"/>
      <c r="P373" s="1" t="s">
        <v>481</v>
      </c>
      <c r="Q373" s="1" t="s">
        <v>7415</v>
      </c>
      <c r="R373" s="1" t="s">
        <v>7416</v>
      </c>
      <c r="S373" s="1">
        <v>7992311874</v>
      </c>
      <c r="T373" s="1" t="s">
        <v>645</v>
      </c>
      <c r="U373" s="1" t="s">
        <v>7417</v>
      </c>
      <c r="V373" s="1">
        <v>8279848766</v>
      </c>
      <c r="W373" s="1" t="s">
        <v>645</v>
      </c>
      <c r="X373" s="1" t="s">
        <v>7418</v>
      </c>
      <c r="Y373" s="1" t="s">
        <v>7419</v>
      </c>
      <c r="Z373" s="1" t="s">
        <v>544</v>
      </c>
      <c r="AA373" s="1" t="s">
        <v>7418</v>
      </c>
      <c r="AB373" s="1" t="s">
        <v>7419</v>
      </c>
      <c r="AC373" s="1" t="s">
        <v>544</v>
      </c>
      <c r="AD373" s="1">
        <v>9.28</v>
      </c>
      <c r="AE373" s="1" t="s">
        <v>98</v>
      </c>
      <c r="AF373" s="1" t="s">
        <v>7420</v>
      </c>
      <c r="AG373" s="1" t="s">
        <v>7421</v>
      </c>
      <c r="AH373" s="1" t="s">
        <v>136</v>
      </c>
      <c r="AI373" s="1" t="s">
        <v>627</v>
      </c>
      <c r="AJ373" s="1">
        <v>95</v>
      </c>
      <c r="AK373" s="1">
        <v>10</v>
      </c>
      <c r="AL373" s="1" t="s">
        <v>7422</v>
      </c>
      <c r="AM373" s="1" t="s">
        <v>312</v>
      </c>
      <c r="AN373" s="1" t="s">
        <v>465</v>
      </c>
      <c r="AO373" s="1" t="s">
        <v>170</v>
      </c>
      <c r="AP373" s="1" t="s">
        <v>171</v>
      </c>
      <c r="AQ373" s="1">
        <v>87.02</v>
      </c>
      <c r="AR373" s="1"/>
      <c r="AS373" s="1"/>
      <c r="AT373" s="1"/>
      <c r="AU373" s="1"/>
      <c r="AV373" s="1"/>
      <c r="AW373" s="1"/>
      <c r="AX373" s="1"/>
      <c r="AY373" s="1" t="s">
        <v>7423</v>
      </c>
      <c r="AZ373" s="1" t="s">
        <v>7423</v>
      </c>
      <c r="BA373" s="1" t="s">
        <v>466</v>
      </c>
      <c r="BB373" s="1" t="s">
        <v>467</v>
      </c>
      <c r="BC373" s="1" t="s">
        <v>174</v>
      </c>
      <c r="BD373" s="1" t="s">
        <v>1400</v>
      </c>
      <c r="BE373" s="1">
        <v>90.09</v>
      </c>
      <c r="BF373" s="1">
        <v>9.09</v>
      </c>
      <c r="BG373" s="1"/>
      <c r="BH373" s="1"/>
      <c r="BI373" s="1"/>
      <c r="BJ373" s="1"/>
      <c r="BK373" s="1"/>
      <c r="BL373" s="1"/>
      <c r="BM373" s="1"/>
      <c r="BN373" s="1"/>
      <c r="BO373" s="1" t="s">
        <v>7424</v>
      </c>
      <c r="BP373" s="1" t="s">
        <v>7425</v>
      </c>
      <c r="BQ373" s="1" t="s">
        <v>1482</v>
      </c>
      <c r="BR373" s="1" t="s">
        <v>7426</v>
      </c>
      <c r="BS373" s="1">
        <v>28</v>
      </c>
      <c r="BT373" s="1"/>
      <c r="BU373" s="1" t="str">
        <f>HYPERLINK("https://nconnect.nicmar.ac.in/storage/profile/ProfilePhoto_P25700372_298156.jpg","Download")</f>
        <v>0</v>
      </c>
      <c r="BV373" s="3"/>
      <c r="BW373" s="4">
        <v>1</v>
      </c>
    </row>
    <row r="374" spans="1:75">
      <c r="A374" s="1" t="s">
        <v>75</v>
      </c>
      <c r="B374" s="1" t="s">
        <v>446</v>
      </c>
      <c r="C374" s="1" t="s">
        <v>7427</v>
      </c>
      <c r="D374" s="1" t="s">
        <v>7428</v>
      </c>
      <c r="E374" s="1" t="s">
        <v>4310</v>
      </c>
      <c r="F374" s="1" t="s">
        <v>7429</v>
      </c>
      <c r="G374" s="1" t="s">
        <v>7430</v>
      </c>
      <c r="H374" s="1" t="s">
        <v>7431</v>
      </c>
      <c r="I374" s="1" t="s">
        <v>7432</v>
      </c>
      <c r="J374" s="1">
        <v>9175903302</v>
      </c>
      <c r="K374" s="1" t="s">
        <v>84</v>
      </c>
      <c r="L374" s="1" t="s">
        <v>7433</v>
      </c>
      <c r="M374" s="1" t="s">
        <v>86</v>
      </c>
      <c r="N374" s="1" t="s">
        <v>1470</v>
      </c>
      <c r="O374" s="1"/>
      <c r="P374" s="1" t="s">
        <v>507</v>
      </c>
      <c r="Q374" s="1" t="s">
        <v>7434</v>
      </c>
      <c r="R374" s="1" t="s">
        <v>7435</v>
      </c>
      <c r="S374" s="1">
        <v>9422003015</v>
      </c>
      <c r="T374" s="1" t="s">
        <v>839</v>
      </c>
      <c r="U374" s="1" t="s">
        <v>7436</v>
      </c>
      <c r="V374" s="1">
        <v>9423566570</v>
      </c>
      <c r="W374" s="1" t="s">
        <v>1552</v>
      </c>
      <c r="X374" s="1" t="s">
        <v>7437</v>
      </c>
      <c r="Y374" s="1" t="s">
        <v>196</v>
      </c>
      <c r="Z374" s="1" t="s">
        <v>97</v>
      </c>
      <c r="AA374" s="1" t="s">
        <v>7437</v>
      </c>
      <c r="AB374" s="1" t="s">
        <v>196</v>
      </c>
      <c r="AC374" s="1" t="s">
        <v>97</v>
      </c>
      <c r="AD374" s="1">
        <v>8.9</v>
      </c>
      <c r="AE374" s="1" t="s">
        <v>98</v>
      </c>
      <c r="AF374" s="1" t="s">
        <v>7438</v>
      </c>
      <c r="AG374" s="1" t="s">
        <v>3306</v>
      </c>
      <c r="AH374" s="1" t="s">
        <v>3794</v>
      </c>
      <c r="AI374" s="1" t="s">
        <v>171</v>
      </c>
      <c r="AJ374" s="1">
        <v>92.33</v>
      </c>
      <c r="AK374" s="1"/>
      <c r="AL374" s="1" t="s">
        <v>7439</v>
      </c>
      <c r="AM374" s="1" t="s">
        <v>7440</v>
      </c>
      <c r="AN374" s="1" t="s">
        <v>465</v>
      </c>
      <c r="AO374" s="1" t="s">
        <v>106</v>
      </c>
      <c r="AP374" s="1" t="s">
        <v>178</v>
      </c>
      <c r="AQ374" s="1">
        <v>77.54</v>
      </c>
      <c r="AR374" s="1"/>
      <c r="AS374" s="1"/>
      <c r="AT374" s="1"/>
      <c r="AU374" s="1"/>
      <c r="AV374" s="1"/>
      <c r="AW374" s="1"/>
      <c r="AX374" s="1"/>
      <c r="AY374" s="1" t="s">
        <v>366</v>
      </c>
      <c r="AZ374" s="1" t="s">
        <v>5053</v>
      </c>
      <c r="BA374" s="1" t="s">
        <v>682</v>
      </c>
      <c r="BB374" s="1" t="s">
        <v>683</v>
      </c>
      <c r="BC374" s="1" t="s">
        <v>178</v>
      </c>
      <c r="BD374" s="1" t="s">
        <v>848</v>
      </c>
      <c r="BE374" s="1">
        <v>65.15</v>
      </c>
      <c r="BF374" s="1">
        <v>7.32</v>
      </c>
      <c r="BG374" s="1"/>
      <c r="BH374" s="1"/>
      <c r="BI374" s="1"/>
      <c r="BJ374" s="1"/>
      <c r="BK374" s="1"/>
      <c r="BL374" s="1"/>
      <c r="BM374" s="1"/>
      <c r="BN374" s="1"/>
      <c r="BO374" s="1" t="s">
        <v>7441</v>
      </c>
      <c r="BP374" s="1"/>
      <c r="BQ374" s="1"/>
      <c r="BR374" s="1" t="s">
        <v>7442</v>
      </c>
      <c r="BS374" s="1">
        <v>25</v>
      </c>
      <c r="BT374" s="1" t="s">
        <v>7443</v>
      </c>
      <c r="BU374" s="1" t="str">
        <f>HYPERLINK("https://nconnect.nicmar.ac.in/storage/profile/ProfilePhoto_P25700373_975146.jpg","Download")</f>
        <v>0</v>
      </c>
      <c r="BV374" s="3"/>
      <c r="BW374" s="3"/>
    </row>
    <row r="375" spans="1:75">
      <c r="A375" s="1" t="s">
        <v>75</v>
      </c>
      <c r="B375" s="1" t="s">
        <v>446</v>
      </c>
      <c r="C375" s="1" t="s">
        <v>7444</v>
      </c>
      <c r="D375" s="1" t="s">
        <v>7445</v>
      </c>
      <c r="E375" s="1"/>
      <c r="F375" s="1" t="s">
        <v>7446</v>
      </c>
      <c r="G375" s="1" t="s">
        <v>7447</v>
      </c>
      <c r="H375" s="1" t="s">
        <v>7448</v>
      </c>
      <c r="I375" s="1" t="s">
        <v>7449</v>
      </c>
      <c r="J375" s="1">
        <v>9354817468</v>
      </c>
      <c r="K375" s="1" t="s">
        <v>153</v>
      </c>
      <c r="L375" s="1" t="s">
        <v>7314</v>
      </c>
      <c r="M375" s="1" t="s">
        <v>86</v>
      </c>
      <c r="N375" s="1" t="s">
        <v>7450</v>
      </c>
      <c r="O375" s="1"/>
      <c r="P375" s="1" t="s">
        <v>1028</v>
      </c>
      <c r="Q375" s="1" t="s">
        <v>7451</v>
      </c>
      <c r="R375" s="1" t="s">
        <v>7452</v>
      </c>
      <c r="S375" s="1">
        <v>9718078233</v>
      </c>
      <c r="T375" s="1" t="s">
        <v>1620</v>
      </c>
      <c r="U375" s="1" t="s">
        <v>7453</v>
      </c>
      <c r="V375" s="1">
        <v>7982767566</v>
      </c>
      <c r="W375" s="1" t="s">
        <v>541</v>
      </c>
      <c r="X375" s="1" t="s">
        <v>7454</v>
      </c>
      <c r="Y375" s="1" t="s">
        <v>2549</v>
      </c>
      <c r="Z375" s="1" t="s">
        <v>1700</v>
      </c>
      <c r="AA375" s="1" t="s">
        <v>7454</v>
      </c>
      <c r="AB375" s="1" t="s">
        <v>2549</v>
      </c>
      <c r="AC375" s="1" t="s">
        <v>1700</v>
      </c>
      <c r="AD375" s="1">
        <v>9.31</v>
      </c>
      <c r="AE375" s="1" t="s">
        <v>98</v>
      </c>
      <c r="AF375" s="1" t="s">
        <v>1624</v>
      </c>
      <c r="AG375" s="1" t="s">
        <v>312</v>
      </c>
      <c r="AH375" s="1" t="s">
        <v>284</v>
      </c>
      <c r="AI375" s="1" t="s">
        <v>170</v>
      </c>
      <c r="AJ375" s="1">
        <v>95</v>
      </c>
      <c r="AK375" s="1">
        <v>10</v>
      </c>
      <c r="AL375" s="1" t="s">
        <v>1624</v>
      </c>
      <c r="AM375" s="1" t="s">
        <v>312</v>
      </c>
      <c r="AN375" s="1" t="s">
        <v>465</v>
      </c>
      <c r="AO375" s="1" t="s">
        <v>490</v>
      </c>
      <c r="AP375" s="1" t="s">
        <v>313</v>
      </c>
      <c r="AQ375" s="1">
        <v>81.5</v>
      </c>
      <c r="AR375" s="1"/>
      <c r="AS375" s="1"/>
      <c r="AT375" s="1"/>
      <c r="AU375" s="1"/>
      <c r="AV375" s="1"/>
      <c r="AW375" s="1"/>
      <c r="AX375" s="1"/>
      <c r="AY375" s="1" t="s">
        <v>7455</v>
      </c>
      <c r="AZ375" s="1" t="s">
        <v>7456</v>
      </c>
      <c r="BA375" s="1" t="s">
        <v>466</v>
      </c>
      <c r="BB375" s="1" t="s">
        <v>467</v>
      </c>
      <c r="BC375" s="1" t="s">
        <v>206</v>
      </c>
      <c r="BD375" s="1" t="s">
        <v>391</v>
      </c>
      <c r="BE375" s="1">
        <v>70.01</v>
      </c>
      <c r="BF375" s="1">
        <v>7.37</v>
      </c>
      <c r="BG375" s="1"/>
      <c r="BH375" s="1"/>
      <c r="BI375" s="1"/>
      <c r="BJ375" s="1"/>
      <c r="BK375" s="1"/>
      <c r="BL375" s="1"/>
      <c r="BM375" s="1"/>
      <c r="BN375" s="1"/>
      <c r="BO375" s="1" t="s">
        <v>7457</v>
      </c>
      <c r="BP375" s="1"/>
      <c r="BQ375" s="1"/>
      <c r="BR375" s="1" t="s">
        <v>7458</v>
      </c>
      <c r="BS375" s="1">
        <v>50</v>
      </c>
      <c r="BT375" s="1" t="s">
        <v>7459</v>
      </c>
      <c r="BU375" s="1" t="str">
        <f>HYPERLINK("https://nconnect.nicmar.ac.in/storage/profile/ProfilePhoto_P25700374_374629.jpg","Download")</f>
        <v>0</v>
      </c>
      <c r="BV375" s="3"/>
      <c r="BW375" s="3"/>
    </row>
    <row r="376" spans="1:75">
      <c r="A376" s="1" t="s">
        <v>75</v>
      </c>
      <c r="B376" s="1" t="s">
        <v>446</v>
      </c>
      <c r="C376" s="1" t="s">
        <v>7460</v>
      </c>
      <c r="D376" s="1" t="s">
        <v>1294</v>
      </c>
      <c r="E376" s="1" t="s">
        <v>7461</v>
      </c>
      <c r="F376" s="1" t="s">
        <v>7462</v>
      </c>
      <c r="G376" s="1" t="s">
        <v>7463</v>
      </c>
      <c r="H376" s="1" t="s">
        <v>7464</v>
      </c>
      <c r="I376" s="1" t="s">
        <v>7465</v>
      </c>
      <c r="J376" s="1">
        <v>8380092678</v>
      </c>
      <c r="K376" s="1" t="s">
        <v>84</v>
      </c>
      <c r="L376" s="1" t="s">
        <v>7466</v>
      </c>
      <c r="M376" s="1" t="s">
        <v>86</v>
      </c>
      <c r="N376" s="1" t="s">
        <v>7467</v>
      </c>
      <c r="O376" s="1"/>
      <c r="P376" s="1" t="s">
        <v>455</v>
      </c>
      <c r="Q376" s="1" t="s">
        <v>7468</v>
      </c>
      <c r="R376" s="1" t="s">
        <v>7469</v>
      </c>
      <c r="S376" s="1">
        <v>9422147409</v>
      </c>
      <c r="T376" s="1" t="s">
        <v>839</v>
      </c>
      <c r="U376" s="1" t="s">
        <v>7470</v>
      </c>
      <c r="V376" s="1">
        <v>7030638158</v>
      </c>
      <c r="W376" s="1" t="s">
        <v>94</v>
      </c>
      <c r="X376" s="1" t="s">
        <v>7471</v>
      </c>
      <c r="Y376" s="1" t="s">
        <v>410</v>
      </c>
      <c r="Z376" s="1" t="s">
        <v>97</v>
      </c>
      <c r="AA376" s="1" t="s">
        <v>7471</v>
      </c>
      <c r="AB376" s="1" t="s">
        <v>410</v>
      </c>
      <c r="AC376" s="1" t="s">
        <v>97</v>
      </c>
      <c r="AD376" s="1">
        <v>8.59</v>
      </c>
      <c r="AE376" s="1" t="s">
        <v>98</v>
      </c>
      <c r="AF376" s="1" t="s">
        <v>7472</v>
      </c>
      <c r="AG376" s="1" t="s">
        <v>7473</v>
      </c>
      <c r="AH376" s="1" t="s">
        <v>490</v>
      </c>
      <c r="AI376" s="1" t="s">
        <v>313</v>
      </c>
      <c r="AJ376" s="1">
        <v>87.6</v>
      </c>
      <c r="AK376" s="1"/>
      <c r="AL376" s="1"/>
      <c r="AM376" s="1"/>
      <c r="AN376" s="1" t="s">
        <v>1062</v>
      </c>
      <c r="AO376" s="1"/>
      <c r="AP376" s="1"/>
      <c r="AQ376" s="1"/>
      <c r="AR376" s="1"/>
      <c r="AS376" s="1" t="s">
        <v>103</v>
      </c>
      <c r="AT376" s="1" t="s">
        <v>7474</v>
      </c>
      <c r="AU376" s="1" t="s">
        <v>315</v>
      </c>
      <c r="AV376" s="1" t="s">
        <v>110</v>
      </c>
      <c r="AW376" s="1">
        <v>91.7</v>
      </c>
      <c r="AX376" s="1"/>
      <c r="AY376" s="1" t="s">
        <v>4780</v>
      </c>
      <c r="AZ376" s="1" t="s">
        <v>7475</v>
      </c>
      <c r="BA376" s="1" t="s">
        <v>466</v>
      </c>
      <c r="BB376" s="1" t="s">
        <v>467</v>
      </c>
      <c r="BC376" s="1" t="s">
        <v>1889</v>
      </c>
      <c r="BD376" s="1" t="s">
        <v>553</v>
      </c>
      <c r="BE376" s="1">
        <v>81.8</v>
      </c>
      <c r="BF376" s="1">
        <v>8.18</v>
      </c>
      <c r="BG376" s="1"/>
      <c r="BH376" s="1"/>
      <c r="BI376" s="1"/>
      <c r="BJ376" s="1"/>
      <c r="BK376" s="1"/>
      <c r="BL376" s="1"/>
      <c r="BM376" s="1"/>
      <c r="BN376" s="1"/>
      <c r="BO376" s="1" t="s">
        <v>7476</v>
      </c>
      <c r="BP376" s="1" t="s">
        <v>7477</v>
      </c>
      <c r="BQ376" s="1" t="s">
        <v>7478</v>
      </c>
      <c r="BR376" s="1" t="s">
        <v>7479</v>
      </c>
      <c r="BS376" s="1">
        <v>27</v>
      </c>
      <c r="BT376" s="1"/>
      <c r="BU376" s="1" t="str">
        <f>HYPERLINK("https://nconnect.nicmar.ac.in/storage/profile/ProfilePhoto_P25700375_963157.jpg","Download")</f>
        <v>0</v>
      </c>
      <c r="BV376" s="3"/>
      <c r="BW376" s="3"/>
    </row>
    <row r="377" spans="1:75">
      <c r="A377" s="1" t="s">
        <v>75</v>
      </c>
      <c r="B377" s="1" t="s">
        <v>446</v>
      </c>
      <c r="C377" s="1" t="s">
        <v>7480</v>
      </c>
      <c r="D377" s="1" t="s">
        <v>1179</v>
      </c>
      <c r="E377" s="1" t="s">
        <v>7481</v>
      </c>
      <c r="F377" s="1" t="s">
        <v>2273</v>
      </c>
      <c r="G377" s="1" t="s">
        <v>7482</v>
      </c>
      <c r="H377" s="1" t="s">
        <v>7483</v>
      </c>
      <c r="I377" s="1" t="s">
        <v>7484</v>
      </c>
      <c r="J377" s="1">
        <v>7666525337</v>
      </c>
      <c r="K377" s="1" t="s">
        <v>153</v>
      </c>
      <c r="L377" s="1" t="s">
        <v>7485</v>
      </c>
      <c r="M377" s="1" t="s">
        <v>86</v>
      </c>
      <c r="N377" s="1" t="s">
        <v>618</v>
      </c>
      <c r="O377" s="1"/>
      <c r="P377" s="1" t="s">
        <v>507</v>
      </c>
      <c r="Q377" s="1" t="s">
        <v>7486</v>
      </c>
      <c r="R377" s="1" t="s">
        <v>7487</v>
      </c>
      <c r="S377" s="1">
        <v>8788168137</v>
      </c>
      <c r="T377" s="1" t="s">
        <v>1495</v>
      </c>
      <c r="U377" s="1" t="s">
        <v>7488</v>
      </c>
      <c r="V377" s="1">
        <v>8788614401</v>
      </c>
      <c r="W377" s="1" t="s">
        <v>278</v>
      </c>
      <c r="X377" s="1" t="s">
        <v>7489</v>
      </c>
      <c r="Y377" s="1" t="s">
        <v>309</v>
      </c>
      <c r="Z377" s="1" t="s">
        <v>97</v>
      </c>
      <c r="AA377" s="1" t="s">
        <v>7489</v>
      </c>
      <c r="AB377" s="1" t="s">
        <v>309</v>
      </c>
      <c r="AC377" s="1" t="s">
        <v>97</v>
      </c>
      <c r="AD377" s="1">
        <v>9.26</v>
      </c>
      <c r="AE377" s="1" t="s">
        <v>98</v>
      </c>
      <c r="AF377" s="1" t="s">
        <v>7490</v>
      </c>
      <c r="AG377" s="1" t="s">
        <v>165</v>
      </c>
      <c r="AH377" s="1" t="s">
        <v>170</v>
      </c>
      <c r="AI377" s="1" t="s">
        <v>286</v>
      </c>
      <c r="AJ377" s="1">
        <v>80.8</v>
      </c>
      <c r="AK377" s="1"/>
      <c r="AL377" s="1"/>
      <c r="AM377" s="1"/>
      <c r="AN377" s="1"/>
      <c r="AO377" s="1"/>
      <c r="AP377" s="1"/>
      <c r="AQ377" s="1"/>
      <c r="AR377" s="1"/>
      <c r="AS377" s="1" t="s">
        <v>103</v>
      </c>
      <c r="AT377" s="1" t="s">
        <v>7491</v>
      </c>
      <c r="AU377" s="1" t="s">
        <v>1065</v>
      </c>
      <c r="AV377" s="1" t="s">
        <v>441</v>
      </c>
      <c r="AW377" s="1">
        <v>93.84</v>
      </c>
      <c r="AX377" s="1"/>
      <c r="AY377" s="1" t="s">
        <v>366</v>
      </c>
      <c r="AZ377" s="1" t="s">
        <v>3054</v>
      </c>
      <c r="BA377" s="1" t="s">
        <v>578</v>
      </c>
      <c r="BB377" s="1" t="s">
        <v>467</v>
      </c>
      <c r="BC377" s="1" t="s">
        <v>606</v>
      </c>
      <c r="BD377" s="1" t="s">
        <v>1314</v>
      </c>
      <c r="BE377" s="1">
        <v>85.4</v>
      </c>
      <c r="BF377" s="1">
        <v>9.2</v>
      </c>
      <c r="BG377" s="1"/>
      <c r="BH377" s="1"/>
      <c r="BI377" s="1"/>
      <c r="BJ377" s="1"/>
      <c r="BK377" s="1"/>
      <c r="BL377" s="1"/>
      <c r="BM377" s="1"/>
      <c r="BN377" s="1"/>
      <c r="BO377" s="1" t="s">
        <v>7492</v>
      </c>
      <c r="BP377" s="1"/>
      <c r="BQ377" s="1"/>
      <c r="BR377" s="1" t="s">
        <v>7493</v>
      </c>
      <c r="BS377" s="1">
        <v>12</v>
      </c>
      <c r="BT377" s="1"/>
      <c r="BU377" s="1" t="str">
        <f>HYPERLINK("https://nconnect.nicmar.ac.in/storage/profile/ProfilePhoto_P25700376_736185.jpg","Download")</f>
        <v>0</v>
      </c>
      <c r="BV377" s="3"/>
      <c r="BW377" s="3"/>
    </row>
    <row r="378" spans="1:75">
      <c r="A378" s="1" t="s">
        <v>75</v>
      </c>
      <c r="B378" s="1" t="s">
        <v>446</v>
      </c>
      <c r="C378" s="1" t="s">
        <v>7494</v>
      </c>
      <c r="D378" s="1" t="s">
        <v>3493</v>
      </c>
      <c r="E378" s="1" t="s">
        <v>7003</v>
      </c>
      <c r="F378" s="1" t="s">
        <v>7495</v>
      </c>
      <c r="G378" s="1" t="s">
        <v>7496</v>
      </c>
      <c r="H378" s="1" t="s">
        <v>7497</v>
      </c>
      <c r="I378" s="1" t="s">
        <v>7498</v>
      </c>
      <c r="J378" s="1">
        <v>7744972198</v>
      </c>
      <c r="K378" s="1" t="s">
        <v>84</v>
      </c>
      <c r="L378" s="1" t="s">
        <v>7499</v>
      </c>
      <c r="M378" s="1" t="s">
        <v>86</v>
      </c>
      <c r="N378" s="1" t="s">
        <v>7152</v>
      </c>
      <c r="O378" s="1"/>
      <c r="P378" s="1" t="s">
        <v>481</v>
      </c>
      <c r="Q378" s="1" t="s">
        <v>7500</v>
      </c>
      <c r="R378" s="1" t="s">
        <v>7003</v>
      </c>
      <c r="S378" s="1">
        <v>9011625074</v>
      </c>
      <c r="T378" s="1" t="s">
        <v>127</v>
      </c>
      <c r="U378" s="1" t="s">
        <v>2240</v>
      </c>
      <c r="V378" s="1">
        <v>7218626391</v>
      </c>
      <c r="W378" s="1" t="s">
        <v>161</v>
      </c>
      <c r="X378" s="1" t="s">
        <v>7501</v>
      </c>
      <c r="Y378" s="1" t="s">
        <v>1989</v>
      </c>
      <c r="Z378" s="1" t="s">
        <v>97</v>
      </c>
      <c r="AA378" s="1" t="s">
        <v>7502</v>
      </c>
      <c r="AB378" s="1" t="s">
        <v>1989</v>
      </c>
      <c r="AC378" s="1" t="s">
        <v>97</v>
      </c>
      <c r="AD378" s="1">
        <v>9.38</v>
      </c>
      <c r="AE378" s="1" t="s">
        <v>98</v>
      </c>
      <c r="AF378" s="1" t="s">
        <v>7503</v>
      </c>
      <c r="AG378" s="1" t="s">
        <v>7157</v>
      </c>
      <c r="AH378" s="1" t="s">
        <v>106</v>
      </c>
      <c r="AI378" s="1" t="s">
        <v>414</v>
      </c>
      <c r="AJ378" s="1">
        <v>93.2</v>
      </c>
      <c r="AK378" s="1"/>
      <c r="AL378" s="1"/>
      <c r="AM378" s="1"/>
      <c r="AN378" s="1" t="s">
        <v>1062</v>
      </c>
      <c r="AO378" s="1"/>
      <c r="AP378" s="1"/>
      <c r="AQ378" s="1"/>
      <c r="AR378" s="1"/>
      <c r="AS378" s="1" t="s">
        <v>7504</v>
      </c>
      <c r="AT378" s="1" t="s">
        <v>7505</v>
      </c>
      <c r="AU378" s="1" t="s">
        <v>206</v>
      </c>
      <c r="AV378" s="1" t="s">
        <v>1400</v>
      </c>
      <c r="AW378" s="1">
        <v>88.53</v>
      </c>
      <c r="AX378" s="1"/>
      <c r="AY378" s="1" t="s">
        <v>3713</v>
      </c>
      <c r="AZ378" s="1" t="s">
        <v>7158</v>
      </c>
      <c r="BA378" s="1" t="s">
        <v>466</v>
      </c>
      <c r="BB378" s="1" t="s">
        <v>467</v>
      </c>
      <c r="BC378" s="1" t="s">
        <v>1889</v>
      </c>
      <c r="BD378" s="1" t="s">
        <v>553</v>
      </c>
      <c r="BE378" s="1">
        <v>79.1</v>
      </c>
      <c r="BF378" s="1">
        <v>8.66</v>
      </c>
      <c r="BG378" s="1"/>
      <c r="BH378" s="1"/>
      <c r="BI378" s="1"/>
      <c r="BJ378" s="1"/>
      <c r="BK378" s="1"/>
      <c r="BL378" s="1"/>
      <c r="BM378" s="1"/>
      <c r="BN378" s="1"/>
      <c r="BO378" s="1" t="s">
        <v>7506</v>
      </c>
      <c r="BP378" s="1"/>
      <c r="BQ378" s="1"/>
      <c r="BR378" s="1" t="s">
        <v>7507</v>
      </c>
      <c r="BS378" s="1">
        <v>9</v>
      </c>
      <c r="BT378" s="1" t="s">
        <v>7508</v>
      </c>
      <c r="BU378" s="1" t="str">
        <f>HYPERLINK("https://nconnect.nicmar.ac.in/storage/profile/ProfilePhoto_P25700378_896243.jpg","Download")</f>
        <v>0</v>
      </c>
      <c r="BV378" s="3"/>
      <c r="BW378" s="3"/>
    </row>
    <row r="379" spans="1:75">
      <c r="A379" s="1" t="s">
        <v>75</v>
      </c>
      <c r="B379" s="1" t="s">
        <v>446</v>
      </c>
      <c r="C379" s="1" t="s">
        <v>7509</v>
      </c>
      <c r="D379" s="1" t="s">
        <v>6241</v>
      </c>
      <c r="E379" s="1" t="s">
        <v>7510</v>
      </c>
      <c r="F379" s="1" t="s">
        <v>7511</v>
      </c>
      <c r="G379" s="1" t="s">
        <v>7512</v>
      </c>
      <c r="H379" s="1" t="s">
        <v>7513</v>
      </c>
      <c r="I379" s="1" t="s">
        <v>7514</v>
      </c>
      <c r="J379" s="1">
        <v>7743877477</v>
      </c>
      <c r="K379" s="1" t="s">
        <v>84</v>
      </c>
      <c r="L379" s="1" t="s">
        <v>7515</v>
      </c>
      <c r="M379" s="1" t="s">
        <v>86</v>
      </c>
      <c r="N379" s="1" t="s">
        <v>2433</v>
      </c>
      <c r="O379" s="1"/>
      <c r="P379" s="1" t="s">
        <v>481</v>
      </c>
      <c r="Q379" s="1" t="s">
        <v>7516</v>
      </c>
      <c r="R379" s="1" t="s">
        <v>7510</v>
      </c>
      <c r="S379" s="1">
        <v>9422651797</v>
      </c>
      <c r="T379" s="1" t="s">
        <v>839</v>
      </c>
      <c r="U379" s="1" t="s">
        <v>2240</v>
      </c>
      <c r="V379" s="1">
        <v>7350519677</v>
      </c>
      <c r="W379" s="1" t="s">
        <v>278</v>
      </c>
      <c r="X379" s="1" t="s">
        <v>7517</v>
      </c>
      <c r="Y379" s="1" t="s">
        <v>163</v>
      </c>
      <c r="Z379" s="1" t="s">
        <v>97</v>
      </c>
      <c r="AA379" s="1" t="s">
        <v>7517</v>
      </c>
      <c r="AB379" s="1" t="s">
        <v>163</v>
      </c>
      <c r="AC379" s="1" t="s">
        <v>97</v>
      </c>
      <c r="AD379" s="1">
        <v>7.51</v>
      </c>
      <c r="AE379" s="1" t="s">
        <v>98</v>
      </c>
      <c r="AF379" s="1" t="s">
        <v>7518</v>
      </c>
      <c r="AG379" s="1" t="s">
        <v>165</v>
      </c>
      <c r="AH379" s="1" t="s">
        <v>101</v>
      </c>
      <c r="AI379" s="1" t="s">
        <v>136</v>
      </c>
      <c r="AJ379" s="1">
        <v>79.4</v>
      </c>
      <c r="AK379" s="1"/>
      <c r="AL379" s="1" t="s">
        <v>7519</v>
      </c>
      <c r="AM379" s="1" t="s">
        <v>165</v>
      </c>
      <c r="AN379" s="1" t="s">
        <v>465</v>
      </c>
      <c r="AO379" s="1" t="s">
        <v>167</v>
      </c>
      <c r="AP379" s="1" t="s">
        <v>573</v>
      </c>
      <c r="AQ379" s="1">
        <v>54.77</v>
      </c>
      <c r="AR379" s="1"/>
      <c r="AS379" s="1" t="s">
        <v>7520</v>
      </c>
      <c r="AT379" s="1" t="s">
        <v>361</v>
      </c>
      <c r="AU379" s="1" t="s">
        <v>388</v>
      </c>
      <c r="AV379" s="1" t="s">
        <v>438</v>
      </c>
      <c r="AW379" s="1">
        <v>83.45</v>
      </c>
      <c r="AX379" s="1"/>
      <c r="AY379" s="1" t="s">
        <v>366</v>
      </c>
      <c r="AZ379" s="1" t="s">
        <v>7521</v>
      </c>
      <c r="BA379" s="1" t="s">
        <v>578</v>
      </c>
      <c r="BB379" s="1" t="s">
        <v>467</v>
      </c>
      <c r="BC379" s="1" t="s">
        <v>315</v>
      </c>
      <c r="BD379" s="1" t="s">
        <v>110</v>
      </c>
      <c r="BE379" s="1">
        <v>80.63</v>
      </c>
      <c r="BF379" s="1">
        <v>9.06</v>
      </c>
      <c r="BG379" s="1"/>
      <c r="BH379" s="1"/>
      <c r="BI379" s="1"/>
      <c r="BJ379" s="1"/>
      <c r="BK379" s="1"/>
      <c r="BL379" s="1"/>
      <c r="BM379" s="1"/>
      <c r="BN379" s="1"/>
      <c r="BO379" s="1" t="s">
        <v>7522</v>
      </c>
      <c r="BP379" s="1"/>
      <c r="BQ379" s="1"/>
      <c r="BR379" s="1" t="s">
        <v>7523</v>
      </c>
      <c r="BS379" s="1">
        <v>69</v>
      </c>
      <c r="BT379" s="1"/>
      <c r="BU379" s="1" t="str">
        <f>HYPERLINK("https://nconnect.nicmar.ac.in/storage/profile/ProfilePhoto_P25700379_143659.jpg","Download")</f>
        <v>0</v>
      </c>
      <c r="BV379" s="3"/>
      <c r="BW379" s="3"/>
    </row>
    <row r="380" spans="1:75">
      <c r="A380" s="1" t="s">
        <v>75</v>
      </c>
      <c r="B380" s="1" t="s">
        <v>446</v>
      </c>
      <c r="C380" s="1" t="s">
        <v>7524</v>
      </c>
      <c r="D380" s="1" t="s">
        <v>7525</v>
      </c>
      <c r="E380" s="1"/>
      <c r="F380" s="1" t="s">
        <v>7526</v>
      </c>
      <c r="G380" s="1" t="s">
        <v>7527</v>
      </c>
      <c r="H380" s="1" t="s">
        <v>7528</v>
      </c>
      <c r="I380" s="1" t="s">
        <v>7529</v>
      </c>
      <c r="J380" s="1">
        <v>9809408093</v>
      </c>
      <c r="K380" s="1" t="s">
        <v>153</v>
      </c>
      <c r="L380" s="1" t="s">
        <v>7530</v>
      </c>
      <c r="M380" s="1" t="s">
        <v>86</v>
      </c>
      <c r="N380" s="1" t="s">
        <v>5194</v>
      </c>
      <c r="O380" s="1"/>
      <c r="P380" s="1" t="s">
        <v>455</v>
      </c>
      <c r="Q380" s="1" t="s">
        <v>7531</v>
      </c>
      <c r="R380" s="1" t="s">
        <v>7532</v>
      </c>
      <c r="S380" s="1">
        <v>9349607906</v>
      </c>
      <c r="T380" s="1" t="s">
        <v>839</v>
      </c>
      <c r="U380" s="1" t="s">
        <v>7533</v>
      </c>
      <c r="V380" s="1">
        <v>8075241580</v>
      </c>
      <c r="W380" s="1" t="s">
        <v>278</v>
      </c>
      <c r="X380" s="1" t="s">
        <v>7534</v>
      </c>
      <c r="Y380" s="1" t="s">
        <v>1307</v>
      </c>
      <c r="Z380" s="1" t="s">
        <v>130</v>
      </c>
      <c r="AA380" s="1" t="s">
        <v>7534</v>
      </c>
      <c r="AB380" s="1" t="s">
        <v>1307</v>
      </c>
      <c r="AC380" s="1" t="s">
        <v>130</v>
      </c>
      <c r="AD380" s="1">
        <v>8.85</v>
      </c>
      <c r="AE380" s="1" t="s">
        <v>98</v>
      </c>
      <c r="AF380" s="1" t="s">
        <v>7535</v>
      </c>
      <c r="AG380" s="1" t="s">
        <v>7536</v>
      </c>
      <c r="AH380" s="1" t="s">
        <v>170</v>
      </c>
      <c r="AI380" s="1" t="s">
        <v>171</v>
      </c>
      <c r="AJ380" s="1">
        <v>95</v>
      </c>
      <c r="AK380" s="1"/>
      <c r="AL380" s="1" t="s">
        <v>7535</v>
      </c>
      <c r="AM380" s="1" t="s">
        <v>1286</v>
      </c>
      <c r="AN380" s="1"/>
      <c r="AO380" s="1" t="s">
        <v>438</v>
      </c>
      <c r="AP380" s="1" t="s">
        <v>178</v>
      </c>
      <c r="AQ380" s="1">
        <v>94.5</v>
      </c>
      <c r="AR380" s="1"/>
      <c r="AS380" s="1"/>
      <c r="AT380" s="1"/>
      <c r="AU380" s="1"/>
      <c r="AV380" s="1"/>
      <c r="AW380" s="1"/>
      <c r="AX380" s="1"/>
      <c r="AY380" s="1" t="s">
        <v>137</v>
      </c>
      <c r="AZ380" s="1" t="s">
        <v>7537</v>
      </c>
      <c r="BA380" s="1"/>
      <c r="BB380" s="1"/>
      <c r="BC380" s="1" t="s">
        <v>1040</v>
      </c>
      <c r="BD380" s="1" t="s">
        <v>1089</v>
      </c>
      <c r="BE380" s="1">
        <v>86.9</v>
      </c>
      <c r="BF380" s="1">
        <v>8.69</v>
      </c>
      <c r="BG380" s="1"/>
      <c r="BH380" s="1"/>
      <c r="BI380" s="1"/>
      <c r="BJ380" s="1"/>
      <c r="BK380" s="1"/>
      <c r="BL380" s="1"/>
      <c r="BM380" s="1"/>
      <c r="BN380" s="1"/>
      <c r="BO380" s="1" t="s">
        <v>7538</v>
      </c>
      <c r="BP380" s="1" t="s">
        <v>7539</v>
      </c>
      <c r="BQ380" s="1" t="s">
        <v>893</v>
      </c>
      <c r="BR380" s="1" t="s">
        <v>7540</v>
      </c>
      <c r="BS380" s="1">
        <v>9</v>
      </c>
      <c r="BT380" s="1" t="s">
        <v>7541</v>
      </c>
      <c r="BU380" s="1" t="str">
        <f>HYPERLINK("https://nconnect.nicmar.ac.in/storage/profile/ProfilePhoto_P25700380_857362.jpg","Download")</f>
        <v>0</v>
      </c>
      <c r="BV380" s="3"/>
      <c r="BW380" s="3"/>
    </row>
    <row r="381" spans="1:75">
      <c r="A381" s="1" t="s">
        <v>75</v>
      </c>
      <c r="B381" s="1" t="s">
        <v>446</v>
      </c>
      <c r="C381" s="1" t="s">
        <v>7542</v>
      </c>
      <c r="D381" s="1" t="s">
        <v>7543</v>
      </c>
      <c r="E381" s="1" t="s">
        <v>7544</v>
      </c>
      <c r="F381" s="1" t="s">
        <v>7545</v>
      </c>
      <c r="G381" s="1" t="s">
        <v>7546</v>
      </c>
      <c r="H381" s="1" t="s">
        <v>7547</v>
      </c>
      <c r="I381" s="1" t="s">
        <v>7548</v>
      </c>
      <c r="J381" s="1">
        <v>8459420348</v>
      </c>
      <c r="K381" s="1" t="s">
        <v>84</v>
      </c>
      <c r="L381" s="1" t="s">
        <v>7549</v>
      </c>
      <c r="M381" s="1" t="s">
        <v>86</v>
      </c>
      <c r="N381" s="1" t="s">
        <v>7550</v>
      </c>
      <c r="O381" s="1"/>
      <c r="P381" s="1" t="s">
        <v>481</v>
      </c>
      <c r="Q381" s="1" t="s">
        <v>7551</v>
      </c>
      <c r="R381" s="1" t="s">
        <v>7544</v>
      </c>
      <c r="S381" s="1">
        <v>9423193558</v>
      </c>
      <c r="T381" s="1" t="s">
        <v>382</v>
      </c>
      <c r="U381" s="1" t="s">
        <v>3000</v>
      </c>
      <c r="V381" s="1">
        <v>9423980598</v>
      </c>
      <c r="W381" s="1" t="s">
        <v>94</v>
      </c>
      <c r="X381" s="1" t="s">
        <v>7552</v>
      </c>
      <c r="Y381" s="1" t="s">
        <v>5659</v>
      </c>
      <c r="Z381" s="1" t="s">
        <v>97</v>
      </c>
      <c r="AA381" s="1" t="s">
        <v>7552</v>
      </c>
      <c r="AB381" s="1" t="s">
        <v>5659</v>
      </c>
      <c r="AC381" s="1" t="s">
        <v>97</v>
      </c>
      <c r="AD381" s="1">
        <v>9.51</v>
      </c>
      <c r="AE381" s="1" t="s">
        <v>98</v>
      </c>
      <c r="AF381" s="1" t="s">
        <v>7553</v>
      </c>
      <c r="AG381" s="1" t="s">
        <v>7554</v>
      </c>
      <c r="AH381" s="1" t="s">
        <v>167</v>
      </c>
      <c r="AI381" s="1" t="s">
        <v>313</v>
      </c>
      <c r="AJ381" s="1">
        <v>94.6</v>
      </c>
      <c r="AK381" s="1"/>
      <c r="AL381" s="1" t="s">
        <v>7555</v>
      </c>
      <c r="AM381" s="1" t="s">
        <v>7556</v>
      </c>
      <c r="AN381" s="1" t="s">
        <v>465</v>
      </c>
      <c r="AO381" s="1" t="s">
        <v>206</v>
      </c>
      <c r="AP381" s="1" t="s">
        <v>441</v>
      </c>
      <c r="AQ381" s="1">
        <v>91.17</v>
      </c>
      <c r="AR381" s="1"/>
      <c r="AS381" s="1"/>
      <c r="AT381" s="1"/>
      <c r="AU381" s="1"/>
      <c r="AV381" s="1"/>
      <c r="AW381" s="1"/>
      <c r="AX381" s="1"/>
      <c r="AY381" s="1" t="s">
        <v>7557</v>
      </c>
      <c r="AZ381" s="1" t="s">
        <v>7558</v>
      </c>
      <c r="BA381" s="1" t="s">
        <v>466</v>
      </c>
      <c r="BB381" s="1" t="s">
        <v>467</v>
      </c>
      <c r="BC381" s="1" t="s">
        <v>549</v>
      </c>
      <c r="BD381" s="1" t="s">
        <v>1401</v>
      </c>
      <c r="BE381" s="1">
        <v>89.2</v>
      </c>
      <c r="BF381" s="1">
        <v>9.67</v>
      </c>
      <c r="BG381" s="1"/>
      <c r="BH381" s="1"/>
      <c r="BI381" s="1"/>
      <c r="BJ381" s="1"/>
      <c r="BK381" s="1"/>
      <c r="BL381" s="1"/>
      <c r="BM381" s="1"/>
      <c r="BN381" s="1"/>
      <c r="BO381" s="1" t="s">
        <v>7559</v>
      </c>
      <c r="BP381" s="1"/>
      <c r="BQ381" s="1"/>
      <c r="BR381" s="1" t="s">
        <v>7560</v>
      </c>
      <c r="BS381" s="1">
        <v>34</v>
      </c>
      <c r="BT381" s="1"/>
      <c r="BU381" s="1" t="str">
        <f>HYPERLINK("https://nconnect.nicmar.ac.in/storage/profile/ProfilePhoto_P25700381_413569.jpg","Download")</f>
        <v>0</v>
      </c>
      <c r="BV381" s="3"/>
      <c r="BW381" s="3"/>
    </row>
    <row r="382" spans="1:75">
      <c r="A382" s="1" t="s">
        <v>75</v>
      </c>
      <c r="B382" s="1" t="s">
        <v>446</v>
      </c>
      <c r="C382" s="1" t="s">
        <v>7561</v>
      </c>
      <c r="D382" s="1" t="s">
        <v>7562</v>
      </c>
      <c r="E382" s="1" t="s">
        <v>7563</v>
      </c>
      <c r="F382" s="1" t="s">
        <v>4037</v>
      </c>
      <c r="G382" s="1" t="s">
        <v>7564</v>
      </c>
      <c r="H382" s="1" t="s">
        <v>7565</v>
      </c>
      <c r="I382" s="1" t="s">
        <v>7566</v>
      </c>
      <c r="J382" s="1">
        <v>9989995766</v>
      </c>
      <c r="K382" s="1" t="s">
        <v>84</v>
      </c>
      <c r="L382" s="1" t="s">
        <v>7567</v>
      </c>
      <c r="M382" s="1" t="s">
        <v>86</v>
      </c>
      <c r="N382" s="1" t="s">
        <v>272</v>
      </c>
      <c r="O382" s="1"/>
      <c r="P382" s="1" t="s">
        <v>455</v>
      </c>
      <c r="Q382" s="1" t="s">
        <v>7568</v>
      </c>
      <c r="R382" s="1" t="s">
        <v>7569</v>
      </c>
      <c r="S382" s="1">
        <v>9989995766</v>
      </c>
      <c r="T382" s="1" t="s">
        <v>839</v>
      </c>
      <c r="U382" s="1" t="s">
        <v>7570</v>
      </c>
      <c r="V382" s="1">
        <v>9989995766</v>
      </c>
      <c r="W382" s="1" t="s">
        <v>94</v>
      </c>
      <c r="X382" s="1" t="s">
        <v>7571</v>
      </c>
      <c r="Y382" s="1" t="s">
        <v>1454</v>
      </c>
      <c r="Z382" s="1" t="s">
        <v>281</v>
      </c>
      <c r="AA382" s="1" t="s">
        <v>7571</v>
      </c>
      <c r="AB382" s="1" t="s">
        <v>1454</v>
      </c>
      <c r="AC382" s="1" t="s">
        <v>281</v>
      </c>
      <c r="AD382" s="1">
        <v>7.69</v>
      </c>
      <c r="AE382" s="1" t="s">
        <v>98</v>
      </c>
      <c r="AF382" s="1" t="s">
        <v>7572</v>
      </c>
      <c r="AG382" s="1" t="s">
        <v>7573</v>
      </c>
      <c r="AH382" s="1" t="s">
        <v>167</v>
      </c>
      <c r="AI382" s="1" t="s">
        <v>200</v>
      </c>
      <c r="AJ382" s="1">
        <v>88</v>
      </c>
      <c r="AK382" s="1"/>
      <c r="AL382" s="1"/>
      <c r="AM382" s="1"/>
      <c r="AN382" s="1" t="s">
        <v>1062</v>
      </c>
      <c r="AO382" s="1"/>
      <c r="AP382" s="1"/>
      <c r="AQ382" s="1"/>
      <c r="AR382" s="1"/>
      <c r="AS382" s="1" t="s">
        <v>439</v>
      </c>
      <c r="AT382" s="1" t="s">
        <v>7574</v>
      </c>
      <c r="AU382" s="1" t="s">
        <v>170</v>
      </c>
      <c r="AV382" s="1" t="s">
        <v>1886</v>
      </c>
      <c r="AW382" s="1">
        <v>68.43</v>
      </c>
      <c r="AX382" s="1"/>
      <c r="AY382" s="1" t="s">
        <v>7575</v>
      </c>
      <c r="AZ382" s="1" t="s">
        <v>7576</v>
      </c>
      <c r="BA382" s="1" t="s">
        <v>466</v>
      </c>
      <c r="BB382" s="1" t="s">
        <v>467</v>
      </c>
      <c r="BC382" s="1" t="s">
        <v>289</v>
      </c>
      <c r="BD382" s="1" t="s">
        <v>607</v>
      </c>
      <c r="BE382" s="1">
        <v>77.52</v>
      </c>
      <c r="BF382" s="1">
        <v>8.16</v>
      </c>
      <c r="BG382" s="1"/>
      <c r="BH382" s="1"/>
      <c r="BI382" s="1"/>
      <c r="BJ382" s="1"/>
      <c r="BK382" s="1"/>
      <c r="BL382" s="1"/>
      <c r="BM382" s="1"/>
      <c r="BN382" s="1"/>
      <c r="BO382" s="1" t="s">
        <v>7577</v>
      </c>
      <c r="BP382" s="1"/>
      <c r="BQ382" s="1"/>
      <c r="BR382" s="1" t="s">
        <v>7578</v>
      </c>
      <c r="BS382" s="1">
        <v>39</v>
      </c>
      <c r="BT382" s="1"/>
      <c r="BU382" s="1" t="str">
        <f>HYPERLINK("https://nconnect.nicmar.ac.in/storage/profile/ProfilePhoto_P25700382_413295.jpg","Download")</f>
        <v>0</v>
      </c>
      <c r="BV382" s="3"/>
      <c r="BW382" s="3"/>
    </row>
    <row r="383" spans="1:75">
      <c r="A383" s="1" t="s">
        <v>75</v>
      </c>
      <c r="B383" s="1" t="s">
        <v>446</v>
      </c>
      <c r="C383" s="1" t="s">
        <v>7579</v>
      </c>
      <c r="D383" s="1" t="s">
        <v>1997</v>
      </c>
      <c r="E383" s="1"/>
      <c r="F383" s="1" t="s">
        <v>7580</v>
      </c>
      <c r="G383" s="1" t="s">
        <v>7581</v>
      </c>
      <c r="H383" s="1" t="s">
        <v>7582</v>
      </c>
      <c r="I383" s="1" t="s">
        <v>7583</v>
      </c>
      <c r="J383" s="1">
        <v>6309627275</v>
      </c>
      <c r="K383" s="1" t="s">
        <v>84</v>
      </c>
      <c r="L383" s="1" t="s">
        <v>7584</v>
      </c>
      <c r="M383" s="1" t="s">
        <v>86</v>
      </c>
      <c r="N383" s="1" t="s">
        <v>7585</v>
      </c>
      <c r="O383" s="1"/>
      <c r="P383" s="1" t="s">
        <v>507</v>
      </c>
      <c r="Q383" s="1" t="s">
        <v>7586</v>
      </c>
      <c r="R383" s="1" t="s">
        <v>7587</v>
      </c>
      <c r="S383" s="1">
        <v>9490418388</v>
      </c>
      <c r="T383" s="1" t="s">
        <v>7588</v>
      </c>
      <c r="U383" s="1" t="s">
        <v>7589</v>
      </c>
      <c r="V383" s="1">
        <v>9000371190</v>
      </c>
      <c r="W383" s="1" t="s">
        <v>278</v>
      </c>
      <c r="X383" s="1" t="s">
        <v>7590</v>
      </c>
      <c r="Y383" s="1" t="s">
        <v>3464</v>
      </c>
      <c r="Z383" s="1" t="s">
        <v>281</v>
      </c>
      <c r="AA383" s="1" t="s">
        <v>7591</v>
      </c>
      <c r="AB383" s="1" t="s">
        <v>1924</v>
      </c>
      <c r="AC383" s="1" t="s">
        <v>281</v>
      </c>
      <c r="AD383" s="1">
        <v>7.54</v>
      </c>
      <c r="AE383" s="1" t="s">
        <v>98</v>
      </c>
      <c r="AF383" s="1" t="s">
        <v>7592</v>
      </c>
      <c r="AG383" s="1" t="s">
        <v>7593</v>
      </c>
      <c r="AH383" s="1" t="s">
        <v>170</v>
      </c>
      <c r="AI383" s="1" t="s">
        <v>490</v>
      </c>
      <c r="AJ383" s="1">
        <v>63</v>
      </c>
      <c r="AK383" s="1">
        <v>6.3</v>
      </c>
      <c r="AL383" s="1" t="s">
        <v>7594</v>
      </c>
      <c r="AM383" s="1" t="s">
        <v>2343</v>
      </c>
      <c r="AN383" s="1"/>
      <c r="AO383" s="1" t="s">
        <v>438</v>
      </c>
      <c r="AP383" s="1" t="s">
        <v>468</v>
      </c>
      <c r="AQ383" s="1">
        <v>79.4</v>
      </c>
      <c r="AR383" s="1">
        <v>7.94</v>
      </c>
      <c r="AS383" s="1"/>
      <c r="AT383" s="1"/>
      <c r="AU383" s="1"/>
      <c r="AV383" s="1"/>
      <c r="AW383" s="1"/>
      <c r="AX383" s="1"/>
      <c r="AY383" s="1" t="s">
        <v>7595</v>
      </c>
      <c r="AZ383" s="1" t="s">
        <v>7596</v>
      </c>
      <c r="BA383" s="1"/>
      <c r="BB383" s="1"/>
      <c r="BC383" s="1" t="s">
        <v>233</v>
      </c>
      <c r="BD383" s="1" t="s">
        <v>207</v>
      </c>
      <c r="BE383" s="1">
        <v>73.2</v>
      </c>
      <c r="BF383" s="1">
        <v>7.32</v>
      </c>
      <c r="BG383" s="1"/>
      <c r="BH383" s="1"/>
      <c r="BI383" s="1"/>
      <c r="BJ383" s="1"/>
      <c r="BK383" s="1"/>
      <c r="BL383" s="1"/>
      <c r="BM383" s="1"/>
      <c r="BN383" s="1"/>
      <c r="BO383" s="1" t="s">
        <v>7597</v>
      </c>
      <c r="BP383" s="1"/>
      <c r="BQ383" s="1"/>
      <c r="BR383" s="1" t="s">
        <v>7598</v>
      </c>
      <c r="BS383" s="1">
        <v>69</v>
      </c>
      <c r="BT383" s="1"/>
      <c r="BU383" s="1" t="str">
        <f>HYPERLINK("https://nconnect.nicmar.ac.in/storage/profile/ProfilePhoto_P25700383_831254.jpg","Download")</f>
        <v>0</v>
      </c>
      <c r="BV383" s="3"/>
      <c r="BW383" s="3"/>
    </row>
    <row r="384" spans="1:75">
      <c r="A384" s="1" t="s">
        <v>75</v>
      </c>
      <c r="B384" s="1" t="s">
        <v>446</v>
      </c>
      <c r="C384" s="1" t="s">
        <v>7599</v>
      </c>
      <c r="D384" s="1" t="s">
        <v>7600</v>
      </c>
      <c r="E384" s="1" t="s">
        <v>2098</v>
      </c>
      <c r="F384" s="1" t="s">
        <v>7601</v>
      </c>
      <c r="G384" s="1" t="s">
        <v>7602</v>
      </c>
      <c r="H384" s="1" t="s">
        <v>7603</v>
      </c>
      <c r="I384" s="1" t="s">
        <v>7604</v>
      </c>
      <c r="J384" s="1">
        <v>9373944569</v>
      </c>
      <c r="K384" s="1" t="s">
        <v>153</v>
      </c>
      <c r="L384" s="1" t="s">
        <v>7605</v>
      </c>
      <c r="M384" s="1" t="s">
        <v>86</v>
      </c>
      <c r="N384" s="1" t="s">
        <v>618</v>
      </c>
      <c r="O384" s="1"/>
      <c r="P384" s="1" t="s">
        <v>455</v>
      </c>
      <c r="Q384" s="1" t="s">
        <v>7606</v>
      </c>
      <c r="R384" s="1" t="s">
        <v>2098</v>
      </c>
      <c r="S384" s="1">
        <v>8888493967</v>
      </c>
      <c r="T384" s="1" t="s">
        <v>2375</v>
      </c>
      <c r="U384" s="1" t="s">
        <v>7607</v>
      </c>
      <c r="V384" s="1">
        <v>9921942123</v>
      </c>
      <c r="W384" s="1" t="s">
        <v>161</v>
      </c>
      <c r="X384" s="1" t="s">
        <v>7608</v>
      </c>
      <c r="Y384" s="1" t="s">
        <v>333</v>
      </c>
      <c r="Z384" s="1" t="s">
        <v>97</v>
      </c>
      <c r="AA384" s="1" t="s">
        <v>7608</v>
      </c>
      <c r="AB384" s="1" t="s">
        <v>333</v>
      </c>
      <c r="AC384" s="1" t="s">
        <v>97</v>
      </c>
      <c r="AD384" s="1">
        <v>8.79</v>
      </c>
      <c r="AE384" s="1" t="s">
        <v>98</v>
      </c>
      <c r="AF384" s="1" t="s">
        <v>3504</v>
      </c>
      <c r="AG384" s="1" t="s">
        <v>3658</v>
      </c>
      <c r="AH384" s="1" t="s">
        <v>170</v>
      </c>
      <c r="AI384" s="1" t="s">
        <v>106</v>
      </c>
      <c r="AJ384" s="1">
        <v>89.4</v>
      </c>
      <c r="AK384" s="1"/>
      <c r="AL384" s="1" t="s">
        <v>7609</v>
      </c>
      <c r="AM384" s="1" t="s">
        <v>3658</v>
      </c>
      <c r="AN384" s="1" t="s">
        <v>575</v>
      </c>
      <c r="AO384" s="1" t="s">
        <v>315</v>
      </c>
      <c r="AP384" s="1" t="s">
        <v>178</v>
      </c>
      <c r="AQ384" s="1">
        <v>79.23</v>
      </c>
      <c r="AR384" s="1"/>
      <c r="AS384" s="1"/>
      <c r="AT384" s="1"/>
      <c r="AU384" s="1"/>
      <c r="AV384" s="1"/>
      <c r="AW384" s="1"/>
      <c r="AX384" s="1"/>
      <c r="AY384" s="1" t="s">
        <v>340</v>
      </c>
      <c r="AZ384" s="1" t="s">
        <v>7610</v>
      </c>
      <c r="BA384" s="1" t="s">
        <v>578</v>
      </c>
      <c r="BB384" s="1" t="s">
        <v>467</v>
      </c>
      <c r="BC384" s="1" t="s">
        <v>890</v>
      </c>
      <c r="BD384" s="1" t="s">
        <v>207</v>
      </c>
      <c r="BE384" s="1">
        <v>71.8</v>
      </c>
      <c r="BF384" s="1">
        <v>7.93</v>
      </c>
      <c r="BG384" s="1"/>
      <c r="BH384" s="1"/>
      <c r="BI384" s="1"/>
      <c r="BJ384" s="1"/>
      <c r="BK384" s="1"/>
      <c r="BL384" s="1"/>
      <c r="BM384" s="1"/>
      <c r="BN384" s="1"/>
      <c r="BO384" s="1" t="s">
        <v>7611</v>
      </c>
      <c r="BP384" s="1"/>
      <c r="BQ384" s="1"/>
      <c r="BR384" s="1" t="s">
        <v>7612</v>
      </c>
      <c r="BS384" s="1">
        <v>7</v>
      </c>
      <c r="BT384" s="1" t="s">
        <v>7613</v>
      </c>
      <c r="BU384" s="1" t="str">
        <f>HYPERLINK("https://nconnect.nicmar.ac.in/storage/profile/ProfilePhoto_P25700384_318246.jpg","Download")</f>
        <v>0</v>
      </c>
      <c r="BV384" s="3"/>
      <c r="BW384" s="3"/>
    </row>
    <row r="385" spans="1:75">
      <c r="A385" s="1" t="s">
        <v>75</v>
      </c>
      <c r="B385" s="1" t="s">
        <v>446</v>
      </c>
      <c r="C385" s="1" t="s">
        <v>7614</v>
      </c>
      <c r="D385" s="1" t="s">
        <v>2098</v>
      </c>
      <c r="E385" s="1"/>
      <c r="F385" s="1" t="s">
        <v>7615</v>
      </c>
      <c r="G385" s="1" t="s">
        <v>7616</v>
      </c>
      <c r="H385" s="1" t="s">
        <v>7617</v>
      </c>
      <c r="I385" s="1" t="s">
        <v>7618</v>
      </c>
      <c r="J385" s="1">
        <v>8431133606</v>
      </c>
      <c r="K385" s="1" t="s">
        <v>84</v>
      </c>
      <c r="L385" s="1" t="s">
        <v>5673</v>
      </c>
      <c r="M385" s="1" t="s">
        <v>86</v>
      </c>
      <c r="N385" s="1" t="s">
        <v>3980</v>
      </c>
      <c r="O385" s="1"/>
      <c r="P385" s="1" t="s">
        <v>507</v>
      </c>
      <c r="Q385" s="1" t="s">
        <v>7619</v>
      </c>
      <c r="R385" s="1" t="s">
        <v>7620</v>
      </c>
      <c r="S385" s="1">
        <v>9972444704</v>
      </c>
      <c r="T385" s="1" t="s">
        <v>7621</v>
      </c>
      <c r="U385" s="1" t="s">
        <v>7622</v>
      </c>
      <c r="V385" s="1">
        <v>9741390770</v>
      </c>
      <c r="W385" s="1" t="s">
        <v>278</v>
      </c>
      <c r="X385" s="1" t="s">
        <v>7623</v>
      </c>
      <c r="Y385" s="1" t="s">
        <v>1349</v>
      </c>
      <c r="Z385" s="1" t="s">
        <v>1210</v>
      </c>
      <c r="AA385" s="1" t="s">
        <v>7623</v>
      </c>
      <c r="AB385" s="1" t="s">
        <v>1349</v>
      </c>
      <c r="AC385" s="1" t="s">
        <v>1210</v>
      </c>
      <c r="AD385" s="1">
        <v>8.82</v>
      </c>
      <c r="AE385" s="1" t="s">
        <v>98</v>
      </c>
      <c r="AF385" s="1" t="s">
        <v>7624</v>
      </c>
      <c r="AG385" s="1" t="s">
        <v>1946</v>
      </c>
      <c r="AH385" s="1" t="s">
        <v>170</v>
      </c>
      <c r="AI385" s="1" t="s">
        <v>490</v>
      </c>
      <c r="AJ385" s="1">
        <v>86.72</v>
      </c>
      <c r="AK385" s="1"/>
      <c r="AL385" s="1" t="s">
        <v>7625</v>
      </c>
      <c r="AM385" s="1" t="s">
        <v>1216</v>
      </c>
      <c r="AN385" s="1" t="s">
        <v>575</v>
      </c>
      <c r="AO385" s="1" t="s">
        <v>438</v>
      </c>
      <c r="AP385" s="1" t="s">
        <v>603</v>
      </c>
      <c r="AQ385" s="1">
        <v>79.33</v>
      </c>
      <c r="AR385" s="1"/>
      <c r="AS385" s="1"/>
      <c r="AT385" s="1"/>
      <c r="AU385" s="1"/>
      <c r="AV385" s="1"/>
      <c r="AW385" s="1"/>
      <c r="AX385" s="1"/>
      <c r="AY385" s="1" t="s">
        <v>1217</v>
      </c>
      <c r="AZ385" s="1" t="s">
        <v>7626</v>
      </c>
      <c r="BA385" s="1" t="s">
        <v>578</v>
      </c>
      <c r="BB385" s="1" t="s">
        <v>467</v>
      </c>
      <c r="BC385" s="1" t="s">
        <v>233</v>
      </c>
      <c r="BD385" s="1" t="s">
        <v>207</v>
      </c>
      <c r="BE385" s="1">
        <v>75.5</v>
      </c>
      <c r="BF385" s="1">
        <v>8.3</v>
      </c>
      <c r="BG385" s="1"/>
      <c r="BH385" s="1"/>
      <c r="BI385" s="1"/>
      <c r="BJ385" s="1"/>
      <c r="BK385" s="1"/>
      <c r="BL385" s="1"/>
      <c r="BM385" s="1"/>
      <c r="BN385" s="1"/>
      <c r="BO385" s="1" t="s">
        <v>7627</v>
      </c>
      <c r="BP385" s="1" t="s">
        <v>7628</v>
      </c>
      <c r="BQ385" s="1" t="s">
        <v>471</v>
      </c>
      <c r="BR385" s="1" t="s">
        <v>7629</v>
      </c>
      <c r="BS385" s="1">
        <v>11</v>
      </c>
      <c r="BT385" s="1" t="s">
        <v>7630</v>
      </c>
      <c r="BU385" s="1" t="str">
        <f>HYPERLINK("https://nconnect.nicmar.ac.in/storage/profile/ProfilePhoto_P25700385_936548.jpg","Download")</f>
        <v>0</v>
      </c>
      <c r="BV385" s="3"/>
      <c r="BW385" s="3"/>
    </row>
    <row r="386" spans="1:75">
      <c r="A386" s="1" t="s">
        <v>75</v>
      </c>
      <c r="B386" s="1" t="s">
        <v>446</v>
      </c>
      <c r="C386" s="1" t="s">
        <v>7631</v>
      </c>
      <c r="D386" s="1" t="s">
        <v>7632</v>
      </c>
      <c r="E386" s="1"/>
      <c r="F386" s="1" t="s">
        <v>1320</v>
      </c>
      <c r="G386" s="1" t="s">
        <v>7633</v>
      </c>
      <c r="H386" s="1" t="s">
        <v>7634</v>
      </c>
      <c r="I386" s="1" t="s">
        <v>7635</v>
      </c>
      <c r="J386" s="1">
        <v>7017412065</v>
      </c>
      <c r="K386" s="1" t="s">
        <v>84</v>
      </c>
      <c r="L386" s="1" t="s">
        <v>7636</v>
      </c>
      <c r="M386" s="1" t="s">
        <v>86</v>
      </c>
      <c r="N386" s="1" t="s">
        <v>4278</v>
      </c>
      <c r="O386" s="1"/>
      <c r="P386" s="1" t="s">
        <v>481</v>
      </c>
      <c r="Q386" s="1" t="s">
        <v>7637</v>
      </c>
      <c r="R386" s="1" t="s">
        <v>7638</v>
      </c>
      <c r="S386" s="1">
        <v>9955912826</v>
      </c>
      <c r="T386" s="1" t="s">
        <v>159</v>
      </c>
      <c r="U386" s="1" t="s">
        <v>306</v>
      </c>
      <c r="V386" s="1">
        <v>8271961319</v>
      </c>
      <c r="W386" s="1" t="s">
        <v>161</v>
      </c>
      <c r="X386" s="1" t="s">
        <v>7639</v>
      </c>
      <c r="Y386" s="1" t="s">
        <v>96</v>
      </c>
      <c r="Z386" s="1" t="s">
        <v>649</v>
      </c>
      <c r="AA386" s="1" t="s">
        <v>7639</v>
      </c>
      <c r="AB386" s="1" t="s">
        <v>96</v>
      </c>
      <c r="AC386" s="1" t="s">
        <v>649</v>
      </c>
      <c r="AD386" s="1">
        <v>8.23</v>
      </c>
      <c r="AE386" s="1" t="s">
        <v>98</v>
      </c>
      <c r="AF386" s="1" t="s">
        <v>7640</v>
      </c>
      <c r="AG386" s="1" t="s">
        <v>7641</v>
      </c>
      <c r="AH386" s="1" t="s">
        <v>3421</v>
      </c>
      <c r="AI386" s="1" t="s">
        <v>135</v>
      </c>
      <c r="AJ386" s="1">
        <v>81.6</v>
      </c>
      <c r="AK386" s="1">
        <v>8.6</v>
      </c>
      <c r="AL386" s="1" t="s">
        <v>7642</v>
      </c>
      <c r="AM386" s="1" t="s">
        <v>7643</v>
      </c>
      <c r="AN386" s="1"/>
      <c r="AO386" s="1" t="s">
        <v>1110</v>
      </c>
      <c r="AP386" s="1" t="s">
        <v>1396</v>
      </c>
      <c r="AQ386" s="1">
        <v>64</v>
      </c>
      <c r="AR386" s="1"/>
      <c r="AS386" s="1"/>
      <c r="AT386" s="1"/>
      <c r="AU386" s="1"/>
      <c r="AV386" s="1"/>
      <c r="AW386" s="1"/>
      <c r="AX386" s="1"/>
      <c r="AY386" s="1" t="s">
        <v>7644</v>
      </c>
      <c r="AZ386" s="1" t="s">
        <v>7645</v>
      </c>
      <c r="BA386" s="1"/>
      <c r="BB386" s="1"/>
      <c r="BC386" s="1" t="s">
        <v>139</v>
      </c>
      <c r="BD386" s="1" t="s">
        <v>178</v>
      </c>
      <c r="BE386" s="1">
        <v>61.8</v>
      </c>
      <c r="BF386" s="1">
        <v>6.18</v>
      </c>
      <c r="BG386" s="1"/>
      <c r="BH386" s="1"/>
      <c r="BI386" s="1"/>
      <c r="BJ386" s="1"/>
      <c r="BK386" s="1"/>
      <c r="BL386" s="1"/>
      <c r="BM386" s="1"/>
      <c r="BN386" s="1"/>
      <c r="BO386" s="1" t="s">
        <v>1114</v>
      </c>
      <c r="BP386" s="1" t="s">
        <v>7646</v>
      </c>
      <c r="BQ386" s="1" t="s">
        <v>7647</v>
      </c>
      <c r="BR386" s="1" t="s">
        <v>7648</v>
      </c>
      <c r="BS386" s="1">
        <v>23</v>
      </c>
      <c r="BT386" s="1"/>
      <c r="BU386" s="1" t="str">
        <f>HYPERLINK("https://nconnect.nicmar.ac.in/storage/profile/ProfilePhoto_P25700386_189623.jpg","Download")</f>
        <v>0</v>
      </c>
      <c r="BV386" s="3"/>
      <c r="BW386" s="3"/>
    </row>
    <row r="387" spans="1:75">
      <c r="A387" s="1" t="s">
        <v>75</v>
      </c>
      <c r="B387" s="1" t="s">
        <v>446</v>
      </c>
      <c r="C387" s="1" t="s">
        <v>7649</v>
      </c>
      <c r="D387" s="1" t="s">
        <v>422</v>
      </c>
      <c r="E387" s="1" t="s">
        <v>2098</v>
      </c>
      <c r="F387" s="1" t="s">
        <v>7650</v>
      </c>
      <c r="G387" s="1" t="s">
        <v>7651</v>
      </c>
      <c r="H387" s="1" t="s">
        <v>7652</v>
      </c>
      <c r="I387" s="1" t="s">
        <v>7653</v>
      </c>
      <c r="J387" s="1">
        <v>9767413833</v>
      </c>
      <c r="K387" s="1" t="s">
        <v>153</v>
      </c>
      <c r="L387" s="1" t="s">
        <v>7654</v>
      </c>
      <c r="M387" s="1" t="s">
        <v>86</v>
      </c>
      <c r="N387" s="1" t="s">
        <v>618</v>
      </c>
      <c r="O387" s="1"/>
      <c r="P387" s="1" t="s">
        <v>507</v>
      </c>
      <c r="Q387" s="1" t="s">
        <v>7655</v>
      </c>
      <c r="R387" s="1" t="s">
        <v>7656</v>
      </c>
      <c r="S387" s="1">
        <v>9922615090</v>
      </c>
      <c r="T387" s="1" t="s">
        <v>4776</v>
      </c>
      <c r="U387" s="1" t="s">
        <v>7657</v>
      </c>
      <c r="V387" s="1">
        <v>9922263755</v>
      </c>
      <c r="W387" s="1" t="s">
        <v>94</v>
      </c>
      <c r="X387" s="1" t="s">
        <v>7658</v>
      </c>
      <c r="Y387" s="1" t="s">
        <v>5181</v>
      </c>
      <c r="Z387" s="1" t="s">
        <v>97</v>
      </c>
      <c r="AA387" s="1" t="s">
        <v>7658</v>
      </c>
      <c r="AB387" s="1" t="s">
        <v>5181</v>
      </c>
      <c r="AC387" s="1" t="s">
        <v>97</v>
      </c>
      <c r="AD387" s="1">
        <v>8.74</v>
      </c>
      <c r="AE387" s="1" t="s">
        <v>98</v>
      </c>
      <c r="AF387" s="1" t="s">
        <v>7659</v>
      </c>
      <c r="AG387" s="1" t="s">
        <v>7660</v>
      </c>
      <c r="AH387" s="1" t="s">
        <v>627</v>
      </c>
      <c r="AI387" s="1" t="s">
        <v>170</v>
      </c>
      <c r="AJ387" s="1">
        <v>79.6</v>
      </c>
      <c r="AK387" s="1"/>
      <c r="AL387" s="1" t="s">
        <v>7661</v>
      </c>
      <c r="AM387" s="1" t="s">
        <v>7662</v>
      </c>
      <c r="AN387" s="1"/>
      <c r="AO387" s="1" t="s">
        <v>171</v>
      </c>
      <c r="AP387" s="1" t="s">
        <v>313</v>
      </c>
      <c r="AQ387" s="1">
        <v>66.15</v>
      </c>
      <c r="AR387" s="1"/>
      <c r="AS387" s="1"/>
      <c r="AT387" s="1"/>
      <c r="AU387" s="1"/>
      <c r="AV387" s="1"/>
      <c r="AW387" s="1"/>
      <c r="AX387" s="1"/>
      <c r="AY387" s="1" t="s">
        <v>366</v>
      </c>
      <c r="AZ387" s="1" t="s">
        <v>7663</v>
      </c>
      <c r="BA387" s="1"/>
      <c r="BB387" s="1"/>
      <c r="BC387" s="1" t="s">
        <v>206</v>
      </c>
      <c r="BD387" s="1" t="s">
        <v>179</v>
      </c>
      <c r="BE387" s="1">
        <v>73.5</v>
      </c>
      <c r="BF387" s="1">
        <v>7.88</v>
      </c>
      <c r="BG387" s="1"/>
      <c r="BH387" s="1"/>
      <c r="BI387" s="1"/>
      <c r="BJ387" s="1"/>
      <c r="BK387" s="1"/>
      <c r="BL387" s="1"/>
      <c r="BM387" s="1"/>
      <c r="BN387" s="1"/>
      <c r="BO387" s="1" t="s">
        <v>7664</v>
      </c>
      <c r="BP387" s="1" t="s">
        <v>7665</v>
      </c>
      <c r="BQ387" s="1" t="s">
        <v>582</v>
      </c>
      <c r="BR387" s="1" t="s">
        <v>7666</v>
      </c>
      <c r="BS387" s="1">
        <v>13</v>
      </c>
      <c r="BT387" s="1"/>
      <c r="BU387" s="1" t="str">
        <f>HYPERLINK("https://nconnect.nicmar.ac.in/storage/profile/ProfilePhoto_P25700387_318952.jpg","Download")</f>
        <v>0</v>
      </c>
      <c r="BV387" s="3"/>
      <c r="BW387" s="3"/>
    </row>
    <row r="388" spans="1:75">
      <c r="A388" s="1" t="s">
        <v>75</v>
      </c>
      <c r="B388" s="1" t="s">
        <v>446</v>
      </c>
      <c r="C388" s="1" t="s">
        <v>7667</v>
      </c>
      <c r="D388" s="1" t="s">
        <v>7668</v>
      </c>
      <c r="E388" s="1"/>
      <c r="F388" s="1" t="s">
        <v>1361</v>
      </c>
      <c r="G388" s="1" t="s">
        <v>7669</v>
      </c>
      <c r="H388" s="1" t="s">
        <v>7670</v>
      </c>
      <c r="I388" s="1" t="s">
        <v>7671</v>
      </c>
      <c r="J388" s="1">
        <v>6282413343</v>
      </c>
      <c r="K388" s="1" t="s">
        <v>84</v>
      </c>
      <c r="L388" s="1" t="s">
        <v>7672</v>
      </c>
      <c r="M388" s="1" t="s">
        <v>86</v>
      </c>
      <c r="N388" s="1" t="s">
        <v>7673</v>
      </c>
      <c r="O388" s="1" t="s">
        <v>1301</v>
      </c>
      <c r="P388" s="1" t="s">
        <v>122</v>
      </c>
      <c r="Q388" s="1" t="s">
        <v>7674</v>
      </c>
      <c r="R388" s="1" t="s">
        <v>7675</v>
      </c>
      <c r="S388" s="1">
        <v>9497884301</v>
      </c>
      <c r="T388" s="1" t="s">
        <v>7676</v>
      </c>
      <c r="U388" s="1" t="s">
        <v>7677</v>
      </c>
      <c r="V388" s="1">
        <v>8547634302</v>
      </c>
      <c r="W388" s="1" t="s">
        <v>7676</v>
      </c>
      <c r="X388" s="1" t="s">
        <v>7678</v>
      </c>
      <c r="Y388" s="1" t="s">
        <v>7679</v>
      </c>
      <c r="Z388" s="1" t="s">
        <v>130</v>
      </c>
      <c r="AA388" s="1" t="s">
        <v>7678</v>
      </c>
      <c r="AB388" s="1" t="s">
        <v>7679</v>
      </c>
      <c r="AC388" s="1" t="s">
        <v>130</v>
      </c>
      <c r="AD388" s="1">
        <v>9.15</v>
      </c>
      <c r="AE388" s="1" t="s">
        <v>98</v>
      </c>
      <c r="AF388" s="1" t="s">
        <v>7680</v>
      </c>
      <c r="AG388" s="1" t="s">
        <v>312</v>
      </c>
      <c r="AH388" s="1" t="s">
        <v>627</v>
      </c>
      <c r="AI388" s="1" t="s">
        <v>171</v>
      </c>
      <c r="AJ388" s="1">
        <v>85</v>
      </c>
      <c r="AK388" s="1"/>
      <c r="AL388" s="1" t="s">
        <v>7680</v>
      </c>
      <c r="AM388" s="1" t="s">
        <v>312</v>
      </c>
      <c r="AN388" s="1" t="s">
        <v>575</v>
      </c>
      <c r="AO388" s="1" t="s">
        <v>313</v>
      </c>
      <c r="AP388" s="1" t="s">
        <v>178</v>
      </c>
      <c r="AQ388" s="1">
        <v>83.2</v>
      </c>
      <c r="AR388" s="1"/>
      <c r="AS388" s="1"/>
      <c r="AT388" s="1"/>
      <c r="AU388" s="1"/>
      <c r="AV388" s="1"/>
      <c r="AW388" s="1"/>
      <c r="AX388" s="1"/>
      <c r="AY388" s="1" t="s">
        <v>137</v>
      </c>
      <c r="AZ388" s="1" t="s">
        <v>7681</v>
      </c>
      <c r="BA388" s="1" t="s">
        <v>466</v>
      </c>
      <c r="BB388" s="1" t="s">
        <v>467</v>
      </c>
      <c r="BC388" s="1" t="s">
        <v>175</v>
      </c>
      <c r="BD388" s="1" t="s">
        <v>207</v>
      </c>
      <c r="BE388" s="1">
        <v>82.2</v>
      </c>
      <c r="BF388" s="1">
        <v>8.22</v>
      </c>
      <c r="BG388" s="1"/>
      <c r="BH388" s="1"/>
      <c r="BI388" s="1"/>
      <c r="BJ388" s="1"/>
      <c r="BK388" s="1"/>
      <c r="BL388" s="1"/>
      <c r="BM388" s="1"/>
      <c r="BN388" s="1"/>
      <c r="BO388" s="1" t="s">
        <v>7682</v>
      </c>
      <c r="BP388" s="1"/>
      <c r="BQ388" s="1"/>
      <c r="BR388" s="1" t="s">
        <v>7683</v>
      </c>
      <c r="BS388" s="1">
        <v>10</v>
      </c>
      <c r="BT388" s="1" t="s">
        <v>7684</v>
      </c>
      <c r="BU388" s="1" t="str">
        <f>HYPERLINK("https://nconnect.nicmar.ac.in/storage/profile/ProfilePhoto_P25700388_863591.jpg","Download")</f>
        <v>0</v>
      </c>
      <c r="BV388" s="3"/>
      <c r="BW388" s="3"/>
    </row>
    <row r="389" spans="1:75">
      <c r="A389" s="1" t="s">
        <v>75</v>
      </c>
      <c r="B389" s="1" t="s">
        <v>446</v>
      </c>
      <c r="C389" s="1" t="s">
        <v>7685</v>
      </c>
      <c r="D389" s="1" t="s">
        <v>2829</v>
      </c>
      <c r="E389" s="1" t="s">
        <v>7686</v>
      </c>
      <c r="F389" s="1" t="s">
        <v>7687</v>
      </c>
      <c r="G389" s="1" t="s">
        <v>7688</v>
      </c>
      <c r="H389" s="1" t="s">
        <v>7689</v>
      </c>
      <c r="I389" s="1" t="s">
        <v>7690</v>
      </c>
      <c r="J389" s="1">
        <v>7507067672</v>
      </c>
      <c r="K389" s="1" t="s">
        <v>84</v>
      </c>
      <c r="L389" s="1" t="s">
        <v>7691</v>
      </c>
      <c r="M389" s="1" t="s">
        <v>86</v>
      </c>
      <c r="N389" s="1" t="s">
        <v>2988</v>
      </c>
      <c r="O389" s="1"/>
      <c r="P389" s="1" t="s">
        <v>481</v>
      </c>
      <c r="Q389" s="1" t="s">
        <v>7692</v>
      </c>
      <c r="R389" s="1" t="s">
        <v>4966</v>
      </c>
      <c r="S389" s="1">
        <v>9422852015</v>
      </c>
      <c r="T389" s="1" t="s">
        <v>276</v>
      </c>
      <c r="U389" s="1" t="s">
        <v>2281</v>
      </c>
      <c r="V389" s="1">
        <v>9975145373</v>
      </c>
      <c r="W389" s="1" t="s">
        <v>161</v>
      </c>
      <c r="X389" s="1" t="s">
        <v>7693</v>
      </c>
      <c r="Y389" s="1" t="s">
        <v>7694</v>
      </c>
      <c r="Z389" s="1" t="s">
        <v>97</v>
      </c>
      <c r="AA389" s="1" t="s">
        <v>7693</v>
      </c>
      <c r="AB389" s="1" t="s">
        <v>7694</v>
      </c>
      <c r="AC389" s="1" t="s">
        <v>97</v>
      </c>
      <c r="AD389" s="1">
        <v>8.56</v>
      </c>
      <c r="AE389" s="1" t="s">
        <v>98</v>
      </c>
      <c r="AF389" s="1" t="s">
        <v>7695</v>
      </c>
      <c r="AG389" s="1" t="s">
        <v>165</v>
      </c>
      <c r="AH389" s="1" t="s">
        <v>133</v>
      </c>
      <c r="AI389" s="1" t="s">
        <v>1457</v>
      </c>
      <c r="AJ389" s="1">
        <v>75.64</v>
      </c>
      <c r="AK389" s="1">
        <v>7.96</v>
      </c>
      <c r="AL389" s="1"/>
      <c r="AM389" s="1"/>
      <c r="AN389" s="1" t="s">
        <v>1062</v>
      </c>
      <c r="AO389" s="1"/>
      <c r="AP389" s="1"/>
      <c r="AQ389" s="1"/>
      <c r="AR389" s="1"/>
      <c r="AS389" s="1" t="s">
        <v>103</v>
      </c>
      <c r="AT389" s="1" t="s">
        <v>7696</v>
      </c>
      <c r="AU389" s="1" t="s">
        <v>804</v>
      </c>
      <c r="AV389" s="1" t="s">
        <v>167</v>
      </c>
      <c r="AW389" s="1">
        <v>79.88</v>
      </c>
      <c r="AX389" s="1">
        <v>8.4</v>
      </c>
      <c r="AY389" s="1" t="s">
        <v>7697</v>
      </c>
      <c r="AZ389" s="1" t="s">
        <v>7698</v>
      </c>
      <c r="BA389" s="1" t="s">
        <v>578</v>
      </c>
      <c r="BB389" s="1" t="s">
        <v>467</v>
      </c>
      <c r="BC389" s="1" t="s">
        <v>139</v>
      </c>
      <c r="BD389" s="1" t="s">
        <v>315</v>
      </c>
      <c r="BE389" s="1">
        <v>67.9</v>
      </c>
      <c r="BF389" s="1">
        <v>7.54</v>
      </c>
      <c r="BG389" s="1"/>
      <c r="BH389" s="1"/>
      <c r="BI389" s="1"/>
      <c r="BJ389" s="1"/>
      <c r="BK389" s="1"/>
      <c r="BL389" s="1"/>
      <c r="BM389" s="1"/>
      <c r="BN389" s="1"/>
      <c r="BO389" s="1" t="s">
        <v>7699</v>
      </c>
      <c r="BP389" s="1" t="s">
        <v>7700</v>
      </c>
      <c r="BQ389" s="1" t="s">
        <v>7701</v>
      </c>
      <c r="BR389" s="1" t="s">
        <v>7702</v>
      </c>
      <c r="BS389" s="1">
        <v>41</v>
      </c>
      <c r="BT389" s="1" t="s">
        <v>7703</v>
      </c>
      <c r="BU389" s="1" t="str">
        <f>HYPERLINK("https://nconnect.nicmar.ac.in/storage/profile/ProfilePhoto_P25700389_893247.jpg","Download")</f>
        <v>0</v>
      </c>
      <c r="BV389" s="3"/>
      <c r="BW389" s="3"/>
    </row>
    <row r="390" spans="1:75">
      <c r="A390" s="1" t="s">
        <v>75</v>
      </c>
      <c r="B390" s="1" t="s">
        <v>446</v>
      </c>
      <c r="C390" s="1" t="s">
        <v>7704</v>
      </c>
      <c r="D390" s="1" t="s">
        <v>7705</v>
      </c>
      <c r="E390" s="1" t="s">
        <v>239</v>
      </c>
      <c r="F390" s="1" t="s">
        <v>7706</v>
      </c>
      <c r="G390" s="1" t="s">
        <v>7707</v>
      </c>
      <c r="H390" s="1" t="s">
        <v>7708</v>
      </c>
      <c r="I390" s="1" t="s">
        <v>7709</v>
      </c>
      <c r="J390" s="1">
        <v>8669341501</v>
      </c>
      <c r="K390" s="1" t="s">
        <v>84</v>
      </c>
      <c r="L390" s="1" t="s">
        <v>7710</v>
      </c>
      <c r="M390" s="1" t="s">
        <v>86</v>
      </c>
      <c r="N390" s="1" t="s">
        <v>3568</v>
      </c>
      <c r="O390" s="1"/>
      <c r="P390" s="1" t="s">
        <v>507</v>
      </c>
      <c r="Q390" s="1" t="s">
        <v>7711</v>
      </c>
      <c r="R390" s="1" t="s">
        <v>7712</v>
      </c>
      <c r="S390" s="1">
        <v>9096064250</v>
      </c>
      <c r="T390" s="1" t="s">
        <v>7713</v>
      </c>
      <c r="U390" s="1" t="s">
        <v>7714</v>
      </c>
      <c r="V390" s="1">
        <v>9970125918</v>
      </c>
      <c r="W390" s="1" t="s">
        <v>161</v>
      </c>
      <c r="X390" s="1" t="s">
        <v>7715</v>
      </c>
      <c r="Y390" s="1" t="s">
        <v>196</v>
      </c>
      <c r="Z390" s="1" t="s">
        <v>97</v>
      </c>
      <c r="AA390" s="1" t="s">
        <v>7716</v>
      </c>
      <c r="AB390" s="1" t="s">
        <v>384</v>
      </c>
      <c r="AC390" s="1" t="s">
        <v>97</v>
      </c>
      <c r="AD390" s="1">
        <v>0.0</v>
      </c>
      <c r="AE390" s="1" t="s">
        <v>98</v>
      </c>
      <c r="AF390" s="1" t="s">
        <v>7717</v>
      </c>
      <c r="AG390" s="1" t="s">
        <v>7718</v>
      </c>
      <c r="AH390" s="1" t="s">
        <v>490</v>
      </c>
      <c r="AI390" s="1" t="s">
        <v>313</v>
      </c>
      <c r="AJ390" s="1">
        <v>68.4</v>
      </c>
      <c r="AK390" s="1">
        <v>7.2</v>
      </c>
      <c r="AL390" s="1" t="s">
        <v>7719</v>
      </c>
      <c r="AM390" s="1" t="s">
        <v>7718</v>
      </c>
      <c r="AN390" s="1"/>
      <c r="AO390" s="1" t="s">
        <v>417</v>
      </c>
      <c r="AP390" s="1" t="s">
        <v>441</v>
      </c>
      <c r="AQ390" s="1">
        <v>71.5</v>
      </c>
      <c r="AR390" s="1"/>
      <c r="AS390" s="1"/>
      <c r="AT390" s="1"/>
      <c r="AU390" s="1"/>
      <c r="AV390" s="1"/>
      <c r="AW390" s="1"/>
      <c r="AX390" s="1"/>
      <c r="AY390" s="1" t="s">
        <v>366</v>
      </c>
      <c r="AZ390" s="1" t="s">
        <v>7720</v>
      </c>
      <c r="BA390" s="1"/>
      <c r="BB390" s="1"/>
      <c r="BC390" s="1" t="s">
        <v>4722</v>
      </c>
      <c r="BD390" s="1" t="s">
        <v>553</v>
      </c>
      <c r="BE390" s="1">
        <v>68.3</v>
      </c>
      <c r="BF390" s="1">
        <v>7.19</v>
      </c>
      <c r="BG390" s="1"/>
      <c r="BH390" s="1"/>
      <c r="BI390" s="1"/>
      <c r="BJ390" s="1"/>
      <c r="BK390" s="1"/>
      <c r="BL390" s="1"/>
      <c r="BM390" s="1"/>
      <c r="BN390" s="1"/>
      <c r="BO390" s="1" t="s">
        <v>369</v>
      </c>
      <c r="BP390" s="1"/>
      <c r="BQ390" s="1"/>
      <c r="BR390" s="1" t="s">
        <v>7721</v>
      </c>
      <c r="BS390" s="1">
        <v>25</v>
      </c>
      <c r="BT390" s="1"/>
      <c r="BU390" s="1" t="str">
        <f>HYPERLINK("https://nconnect.nicmar.ac.in/storage/profile/ProfilePhoto_P25700390_748536.jpg","Download")</f>
        <v>0</v>
      </c>
      <c r="BV390" s="3"/>
      <c r="BW390" s="3"/>
    </row>
    <row r="391" spans="1:75">
      <c r="A391" s="1" t="s">
        <v>75</v>
      </c>
      <c r="B391" s="1" t="s">
        <v>446</v>
      </c>
      <c r="C391" s="1" t="s">
        <v>7722</v>
      </c>
      <c r="D391" s="1" t="s">
        <v>7723</v>
      </c>
      <c r="E391" s="1" t="s">
        <v>1853</v>
      </c>
      <c r="F391" s="1" t="s">
        <v>7724</v>
      </c>
      <c r="G391" s="1" t="s">
        <v>7725</v>
      </c>
      <c r="H391" s="1" t="s">
        <v>7726</v>
      </c>
      <c r="I391" s="1" t="s">
        <v>7727</v>
      </c>
      <c r="J391" s="1">
        <v>9082006296</v>
      </c>
      <c r="K391" s="1" t="s">
        <v>84</v>
      </c>
      <c r="L391" s="1" t="s">
        <v>2103</v>
      </c>
      <c r="M391" s="1" t="s">
        <v>86</v>
      </c>
      <c r="N391" s="1" t="s">
        <v>7728</v>
      </c>
      <c r="O391" s="1"/>
      <c r="P391" s="1" t="s">
        <v>507</v>
      </c>
      <c r="Q391" s="1" t="s">
        <v>7729</v>
      </c>
      <c r="R391" s="1" t="s">
        <v>7730</v>
      </c>
      <c r="S391" s="1">
        <v>9833560917</v>
      </c>
      <c r="T391" s="1" t="s">
        <v>698</v>
      </c>
      <c r="U391" s="1" t="s">
        <v>7731</v>
      </c>
      <c r="V391" s="1">
        <v>9833635302</v>
      </c>
      <c r="W391" s="1" t="s">
        <v>161</v>
      </c>
      <c r="X391" s="1" t="s">
        <v>7732</v>
      </c>
      <c r="Y391" s="1" t="s">
        <v>1189</v>
      </c>
      <c r="Z391" s="1" t="s">
        <v>97</v>
      </c>
      <c r="AA391" s="1" t="s">
        <v>7732</v>
      </c>
      <c r="AB391" s="1" t="s">
        <v>1189</v>
      </c>
      <c r="AC391" s="1" t="s">
        <v>97</v>
      </c>
      <c r="AD391" s="1">
        <v>7.72</v>
      </c>
      <c r="AE391" s="1" t="s">
        <v>98</v>
      </c>
      <c r="AF391" s="1" t="s">
        <v>7733</v>
      </c>
      <c r="AG391" s="1" t="s">
        <v>7734</v>
      </c>
      <c r="AH391" s="1" t="s">
        <v>284</v>
      </c>
      <c r="AI391" s="1" t="s">
        <v>170</v>
      </c>
      <c r="AJ391" s="1">
        <v>89.3</v>
      </c>
      <c r="AK391" s="1">
        <v>9.4</v>
      </c>
      <c r="AL391" s="1" t="s">
        <v>7735</v>
      </c>
      <c r="AM391" s="1" t="s">
        <v>7734</v>
      </c>
      <c r="AN391" s="1" t="s">
        <v>465</v>
      </c>
      <c r="AO391" s="1" t="s">
        <v>490</v>
      </c>
      <c r="AP391" s="1" t="s">
        <v>313</v>
      </c>
      <c r="AQ391" s="1">
        <v>67.2</v>
      </c>
      <c r="AR391" s="1">
        <v>7.4</v>
      </c>
      <c r="AS391" s="1"/>
      <c r="AT391" s="1"/>
      <c r="AU391" s="1"/>
      <c r="AV391" s="1"/>
      <c r="AW391" s="1"/>
      <c r="AX391" s="1"/>
      <c r="AY391" s="1" t="s">
        <v>258</v>
      </c>
      <c r="AZ391" s="1" t="s">
        <v>7736</v>
      </c>
      <c r="BA391" s="1" t="s">
        <v>578</v>
      </c>
      <c r="BB391" s="1" t="s">
        <v>467</v>
      </c>
      <c r="BC391" s="1" t="s">
        <v>438</v>
      </c>
      <c r="BD391" s="1" t="s">
        <v>7737</v>
      </c>
      <c r="BE391" s="1">
        <v>68.68</v>
      </c>
      <c r="BF391" s="1">
        <v>7.78</v>
      </c>
      <c r="BG391" s="1"/>
      <c r="BH391" s="1"/>
      <c r="BI391" s="1"/>
      <c r="BJ391" s="1"/>
      <c r="BK391" s="1"/>
      <c r="BL391" s="1"/>
      <c r="BM391" s="1"/>
      <c r="BN391" s="1"/>
      <c r="BO391" s="1" t="s">
        <v>7738</v>
      </c>
      <c r="BP391" s="1"/>
      <c r="BQ391" s="1"/>
      <c r="BR391" s="1" t="s">
        <v>7739</v>
      </c>
      <c r="BS391" s="1">
        <v>93</v>
      </c>
      <c r="BT391" s="1" t="s">
        <v>849</v>
      </c>
      <c r="BU391" s="1" t="str">
        <f>HYPERLINK("https://nconnect.nicmar.ac.in/storage/profile/ProfilePhoto_P25700391_259437.jpg","Download")</f>
        <v>0</v>
      </c>
      <c r="BV391" s="3"/>
      <c r="BW391" s="3"/>
    </row>
    <row r="392" spans="1:75">
      <c r="A392" s="1" t="s">
        <v>75</v>
      </c>
      <c r="B392" s="1" t="s">
        <v>446</v>
      </c>
      <c r="C392" s="1" t="s">
        <v>7740</v>
      </c>
      <c r="D392" s="1" t="s">
        <v>7741</v>
      </c>
      <c r="E392" s="1"/>
      <c r="F392" s="1" t="s">
        <v>1964</v>
      </c>
      <c r="G392" s="1" t="s">
        <v>7742</v>
      </c>
      <c r="H392" s="1" t="s">
        <v>7743</v>
      </c>
      <c r="I392" s="1" t="s">
        <v>7744</v>
      </c>
      <c r="J392" s="1">
        <v>9538442621</v>
      </c>
      <c r="K392" s="1" t="s">
        <v>153</v>
      </c>
      <c r="L392" s="1" t="s">
        <v>3690</v>
      </c>
      <c r="M392" s="1" t="s">
        <v>86</v>
      </c>
      <c r="N392" s="1" t="s">
        <v>7745</v>
      </c>
      <c r="O392" s="1" t="s">
        <v>7746</v>
      </c>
      <c r="P392" s="1" t="s">
        <v>89</v>
      </c>
      <c r="Q392" s="1" t="s">
        <v>7747</v>
      </c>
      <c r="R392" s="1" t="s">
        <v>7748</v>
      </c>
      <c r="S392" s="1">
        <v>9611984367</v>
      </c>
      <c r="T392" s="1" t="s">
        <v>7749</v>
      </c>
      <c r="U392" s="1" t="s">
        <v>7750</v>
      </c>
      <c r="V392" s="1">
        <v>9620857969</v>
      </c>
      <c r="W392" s="1" t="s">
        <v>94</v>
      </c>
      <c r="X392" s="1" t="s">
        <v>7751</v>
      </c>
      <c r="Y392" s="1" t="s">
        <v>3132</v>
      </c>
      <c r="Z392" s="1" t="s">
        <v>1210</v>
      </c>
      <c r="AA392" s="1" t="s">
        <v>7751</v>
      </c>
      <c r="AB392" s="1" t="s">
        <v>3132</v>
      </c>
      <c r="AC392" s="1" t="s">
        <v>1210</v>
      </c>
      <c r="AD392" s="1">
        <v>8.87</v>
      </c>
      <c r="AE392" s="1" t="s">
        <v>98</v>
      </c>
      <c r="AF392" s="1" t="s">
        <v>7752</v>
      </c>
      <c r="AG392" s="1" t="s">
        <v>1946</v>
      </c>
      <c r="AH392" s="1" t="s">
        <v>573</v>
      </c>
      <c r="AI392" s="1" t="s">
        <v>490</v>
      </c>
      <c r="AJ392" s="1">
        <v>95.68</v>
      </c>
      <c r="AK392" s="1"/>
      <c r="AL392" s="1" t="s">
        <v>7753</v>
      </c>
      <c r="AM392" s="1" t="s">
        <v>4011</v>
      </c>
      <c r="AN392" s="1" t="s">
        <v>575</v>
      </c>
      <c r="AO392" s="1" t="s">
        <v>203</v>
      </c>
      <c r="AP392" s="1" t="s">
        <v>603</v>
      </c>
      <c r="AQ392" s="1">
        <v>79.66</v>
      </c>
      <c r="AR392" s="1"/>
      <c r="AS392" s="1"/>
      <c r="AT392" s="1"/>
      <c r="AU392" s="1"/>
      <c r="AV392" s="1"/>
      <c r="AW392" s="1"/>
      <c r="AX392" s="1"/>
      <c r="AY392" s="1" t="s">
        <v>7754</v>
      </c>
      <c r="AZ392" s="1" t="s">
        <v>1217</v>
      </c>
      <c r="BA392" s="1" t="s">
        <v>682</v>
      </c>
      <c r="BB392" s="1" t="s">
        <v>1561</v>
      </c>
      <c r="BC392" s="1" t="s">
        <v>233</v>
      </c>
      <c r="BD392" s="1" t="s">
        <v>607</v>
      </c>
      <c r="BE392" s="1">
        <v>66.9</v>
      </c>
      <c r="BF392" s="1">
        <v>7.44</v>
      </c>
      <c r="BG392" s="1"/>
      <c r="BH392" s="1"/>
      <c r="BI392" s="1"/>
      <c r="BJ392" s="1"/>
      <c r="BK392" s="1"/>
      <c r="BL392" s="1"/>
      <c r="BM392" s="1"/>
      <c r="BN392" s="1"/>
      <c r="BO392" s="1" t="s">
        <v>7755</v>
      </c>
      <c r="BP392" s="1"/>
      <c r="BQ392" s="1"/>
      <c r="BR392" s="1" t="s">
        <v>7756</v>
      </c>
      <c r="BS392" s="1">
        <v>24</v>
      </c>
      <c r="BT392" s="1" t="s">
        <v>7757</v>
      </c>
      <c r="BU392" s="1" t="str">
        <f>HYPERLINK("https://nconnect.nicmar.ac.in/storage/profile/ProfilePhoto_P25700392_517643.jpg","Download")</f>
        <v>0</v>
      </c>
      <c r="BV392" s="3"/>
      <c r="BW392" s="3"/>
    </row>
    <row r="393" spans="1:75">
      <c r="A393" s="1" t="s">
        <v>75</v>
      </c>
      <c r="B393" s="1" t="s">
        <v>446</v>
      </c>
      <c r="C393" s="1" t="s">
        <v>7758</v>
      </c>
      <c r="D393" s="1" t="s">
        <v>7759</v>
      </c>
      <c r="E393" s="1"/>
      <c r="F393" s="1" t="s">
        <v>7760</v>
      </c>
      <c r="G393" s="1" t="s">
        <v>7761</v>
      </c>
      <c r="H393" s="1" t="s">
        <v>7762</v>
      </c>
      <c r="I393" s="1" t="s">
        <v>7763</v>
      </c>
      <c r="J393" s="1">
        <v>9110471281</v>
      </c>
      <c r="K393" s="1" t="s">
        <v>84</v>
      </c>
      <c r="L393" s="1" t="s">
        <v>7764</v>
      </c>
      <c r="M393" s="1" t="s">
        <v>86</v>
      </c>
      <c r="N393" s="1" t="s">
        <v>7765</v>
      </c>
      <c r="O393" s="1"/>
      <c r="P393" s="1" t="s">
        <v>455</v>
      </c>
      <c r="Q393" s="1" t="s">
        <v>7766</v>
      </c>
      <c r="R393" s="1" t="s">
        <v>7767</v>
      </c>
      <c r="S393" s="1">
        <v>7019330358</v>
      </c>
      <c r="T393" s="1" t="s">
        <v>7768</v>
      </c>
      <c r="U393" s="1" t="s">
        <v>7769</v>
      </c>
      <c r="V393" s="1">
        <v>9113098618</v>
      </c>
      <c r="W393" s="1" t="s">
        <v>161</v>
      </c>
      <c r="X393" s="1" t="s">
        <v>7770</v>
      </c>
      <c r="Y393" s="1" t="s">
        <v>1209</v>
      </c>
      <c r="Z393" s="1" t="s">
        <v>1210</v>
      </c>
      <c r="AA393" s="1" t="s">
        <v>7770</v>
      </c>
      <c r="AB393" s="1" t="s">
        <v>1209</v>
      </c>
      <c r="AC393" s="1" t="s">
        <v>1210</v>
      </c>
      <c r="AD393" s="1">
        <v>8.41</v>
      </c>
      <c r="AE393" s="1" t="s">
        <v>98</v>
      </c>
      <c r="AF393" s="1" t="s">
        <v>7771</v>
      </c>
      <c r="AG393" s="1" t="s">
        <v>312</v>
      </c>
      <c r="AH393" s="1" t="s">
        <v>1262</v>
      </c>
      <c r="AI393" s="1" t="s">
        <v>102</v>
      </c>
      <c r="AJ393" s="1">
        <v>72.2</v>
      </c>
      <c r="AK393" s="1">
        <v>7.6</v>
      </c>
      <c r="AL393" s="1"/>
      <c r="AM393" s="1"/>
      <c r="AN393" s="1"/>
      <c r="AO393" s="1"/>
      <c r="AP393" s="1"/>
      <c r="AQ393" s="1"/>
      <c r="AR393" s="1"/>
      <c r="AS393" s="1" t="s">
        <v>7772</v>
      </c>
      <c r="AT393" s="1" t="s">
        <v>7773</v>
      </c>
      <c r="AU393" s="1" t="s">
        <v>170</v>
      </c>
      <c r="AV393" s="1" t="s">
        <v>1647</v>
      </c>
      <c r="AW393" s="1">
        <v>83.74</v>
      </c>
      <c r="AX393" s="1"/>
      <c r="AY393" s="1" t="s">
        <v>7774</v>
      </c>
      <c r="AZ393" s="1" t="s">
        <v>7775</v>
      </c>
      <c r="BA393" s="1" t="s">
        <v>466</v>
      </c>
      <c r="BB393" s="1" t="s">
        <v>7776</v>
      </c>
      <c r="BC393" s="1" t="s">
        <v>368</v>
      </c>
      <c r="BD393" s="1" t="s">
        <v>5278</v>
      </c>
      <c r="BE393" s="1">
        <v>69.2</v>
      </c>
      <c r="BF393" s="1">
        <v>7.67</v>
      </c>
      <c r="BG393" s="1"/>
      <c r="BH393" s="1"/>
      <c r="BI393" s="1"/>
      <c r="BJ393" s="1"/>
      <c r="BK393" s="1"/>
      <c r="BL393" s="1"/>
      <c r="BM393" s="1"/>
      <c r="BN393" s="1"/>
      <c r="BO393" s="1" t="s">
        <v>7777</v>
      </c>
      <c r="BP393" s="1" t="s">
        <v>7778</v>
      </c>
      <c r="BQ393" s="1" t="s">
        <v>2326</v>
      </c>
      <c r="BR393" s="1" t="s">
        <v>7779</v>
      </c>
      <c r="BS393" s="1">
        <v>22</v>
      </c>
      <c r="BT393" s="1"/>
      <c r="BU393" s="1" t="str">
        <f>HYPERLINK("https://nconnect.nicmar.ac.in/storage/profile/ProfilePhoto_P25700393_435691.jpg","Download")</f>
        <v>0</v>
      </c>
      <c r="BV393" s="3"/>
      <c r="BW393" s="3"/>
    </row>
    <row r="394" spans="1:75">
      <c r="A394" s="1" t="s">
        <v>75</v>
      </c>
      <c r="B394" s="1" t="s">
        <v>446</v>
      </c>
      <c r="C394" s="1" t="s">
        <v>7780</v>
      </c>
      <c r="D394" s="1" t="s">
        <v>3666</v>
      </c>
      <c r="E394" s="1"/>
      <c r="F394" s="1" t="s">
        <v>3666</v>
      </c>
      <c r="G394" s="1" t="s">
        <v>7781</v>
      </c>
      <c r="H394" s="1" t="s">
        <v>7782</v>
      </c>
      <c r="I394" s="1" t="s">
        <v>7783</v>
      </c>
      <c r="J394" s="1">
        <v>9588774772</v>
      </c>
      <c r="K394" s="1" t="s">
        <v>84</v>
      </c>
      <c r="L394" s="1" t="s">
        <v>7784</v>
      </c>
      <c r="M394" s="1" t="s">
        <v>86</v>
      </c>
      <c r="N394" s="1" t="s">
        <v>7785</v>
      </c>
      <c r="O394" s="1"/>
      <c r="P394" s="1" t="s">
        <v>481</v>
      </c>
      <c r="Q394" s="1" t="s">
        <v>7786</v>
      </c>
      <c r="R394" s="1" t="s">
        <v>7787</v>
      </c>
      <c r="S394" s="1">
        <v>9416719637</v>
      </c>
      <c r="T394" s="1" t="s">
        <v>127</v>
      </c>
      <c r="U394" s="1" t="s">
        <v>7788</v>
      </c>
      <c r="V394" s="1">
        <v>9416703927</v>
      </c>
      <c r="W394" s="1" t="s">
        <v>127</v>
      </c>
      <c r="X394" s="1" t="s">
        <v>7789</v>
      </c>
      <c r="Y394" s="1" t="s">
        <v>7790</v>
      </c>
      <c r="Z394" s="1" t="s">
        <v>1700</v>
      </c>
      <c r="AA394" s="1" t="s">
        <v>7789</v>
      </c>
      <c r="AB394" s="1" t="s">
        <v>7790</v>
      </c>
      <c r="AC394" s="1" t="s">
        <v>1700</v>
      </c>
      <c r="AD394" s="1">
        <v>9.1</v>
      </c>
      <c r="AE394" s="1" t="s">
        <v>98</v>
      </c>
      <c r="AF394" s="1" t="s">
        <v>7791</v>
      </c>
      <c r="AG394" s="1" t="s">
        <v>2551</v>
      </c>
      <c r="AH394" s="1" t="s">
        <v>704</v>
      </c>
      <c r="AI394" s="1" t="s">
        <v>171</v>
      </c>
      <c r="AJ394" s="1">
        <v>62.8</v>
      </c>
      <c r="AK394" s="1"/>
      <c r="AL394" s="1" t="s">
        <v>7792</v>
      </c>
      <c r="AM394" s="1" t="s">
        <v>7793</v>
      </c>
      <c r="AN394" s="1" t="s">
        <v>575</v>
      </c>
      <c r="AO394" s="1" t="s">
        <v>547</v>
      </c>
      <c r="AP394" s="1" t="s">
        <v>178</v>
      </c>
      <c r="AQ394" s="1">
        <v>87.8</v>
      </c>
      <c r="AR394" s="1">
        <v>8.2</v>
      </c>
      <c r="AS394" s="1"/>
      <c r="AT394" s="1"/>
      <c r="AU394" s="1"/>
      <c r="AV394" s="1"/>
      <c r="AW394" s="1"/>
      <c r="AX394" s="1"/>
      <c r="AY394" s="1" t="s">
        <v>7794</v>
      </c>
      <c r="AZ394" s="1" t="s">
        <v>7794</v>
      </c>
      <c r="BA394" s="1" t="s">
        <v>578</v>
      </c>
      <c r="BB394" s="1" t="s">
        <v>467</v>
      </c>
      <c r="BC394" s="1" t="s">
        <v>1647</v>
      </c>
      <c r="BD394" s="1" t="s">
        <v>1089</v>
      </c>
      <c r="BE394" s="1">
        <v>74.2</v>
      </c>
      <c r="BF394" s="1">
        <v>7.42</v>
      </c>
      <c r="BG394" s="1"/>
      <c r="BH394" s="1"/>
      <c r="BI394" s="1"/>
      <c r="BJ394" s="1"/>
      <c r="BK394" s="1"/>
      <c r="BL394" s="1"/>
      <c r="BM394" s="1"/>
      <c r="BN394" s="1"/>
      <c r="BO394" s="1" t="s">
        <v>7795</v>
      </c>
      <c r="BP394" s="1"/>
      <c r="BQ394" s="1"/>
      <c r="BR394" s="1" t="s">
        <v>7796</v>
      </c>
      <c r="BS394" s="1">
        <v>28</v>
      </c>
      <c r="BT394" s="1"/>
      <c r="BU394" s="1" t="str">
        <f>HYPERLINK("https://nconnect.nicmar.ac.in/storage/profile/ProfilePhoto_P25700394_167349.jpg","Download")</f>
        <v>0</v>
      </c>
      <c r="BV394" s="3"/>
      <c r="BW394" s="3"/>
    </row>
    <row r="395" spans="1:75">
      <c r="A395" s="1" t="s">
        <v>75</v>
      </c>
      <c r="B395" s="1" t="s">
        <v>446</v>
      </c>
      <c r="C395" s="1" t="s">
        <v>7797</v>
      </c>
      <c r="D395" s="1" t="s">
        <v>7798</v>
      </c>
      <c r="E395" s="1" t="s">
        <v>373</v>
      </c>
      <c r="F395" s="1" t="s">
        <v>3313</v>
      </c>
      <c r="G395" s="1" t="s">
        <v>7799</v>
      </c>
      <c r="H395" s="1" t="s">
        <v>7800</v>
      </c>
      <c r="I395" s="1" t="s">
        <v>7801</v>
      </c>
      <c r="J395" s="1">
        <v>7506570941</v>
      </c>
      <c r="K395" s="1" t="s">
        <v>84</v>
      </c>
      <c r="L395" s="1" t="s">
        <v>7802</v>
      </c>
      <c r="M395" s="1" t="s">
        <v>86</v>
      </c>
      <c r="N395" s="1" t="s">
        <v>768</v>
      </c>
      <c r="O395" s="1"/>
      <c r="P395" s="1" t="s">
        <v>481</v>
      </c>
      <c r="Q395" s="1" t="s">
        <v>7803</v>
      </c>
      <c r="R395" s="1" t="s">
        <v>7804</v>
      </c>
      <c r="S395" s="1">
        <v>9930577125</v>
      </c>
      <c r="T395" s="1" t="s">
        <v>839</v>
      </c>
      <c r="U395" s="1" t="s">
        <v>7805</v>
      </c>
      <c r="V395" s="1">
        <v>8291997908</v>
      </c>
      <c r="W395" s="1" t="s">
        <v>161</v>
      </c>
      <c r="X395" s="1" t="s">
        <v>7806</v>
      </c>
      <c r="Y395" s="1" t="s">
        <v>2259</v>
      </c>
      <c r="Z395" s="1" t="s">
        <v>97</v>
      </c>
      <c r="AA395" s="1" t="s">
        <v>7806</v>
      </c>
      <c r="AB395" s="1" t="s">
        <v>2259</v>
      </c>
      <c r="AC395" s="1" t="s">
        <v>97</v>
      </c>
      <c r="AD395" s="1">
        <v>7.67</v>
      </c>
      <c r="AE395" s="1" t="s">
        <v>98</v>
      </c>
      <c r="AF395" s="1" t="s">
        <v>7807</v>
      </c>
      <c r="AG395" s="1" t="s">
        <v>7808</v>
      </c>
      <c r="AH395" s="1" t="s">
        <v>166</v>
      </c>
      <c r="AI395" s="1" t="s">
        <v>1111</v>
      </c>
      <c r="AJ395" s="1">
        <v>60</v>
      </c>
      <c r="AK395" s="1"/>
      <c r="AL395" s="1"/>
      <c r="AM395" s="1"/>
      <c r="AN395" s="1" t="s">
        <v>1062</v>
      </c>
      <c r="AO395" s="1"/>
      <c r="AP395" s="1"/>
      <c r="AQ395" s="1"/>
      <c r="AR395" s="1"/>
      <c r="AS395" s="1" t="s">
        <v>103</v>
      </c>
      <c r="AT395" s="1" t="s">
        <v>2265</v>
      </c>
      <c r="AU395" s="1" t="s">
        <v>139</v>
      </c>
      <c r="AV395" s="1" t="s">
        <v>175</v>
      </c>
      <c r="AW395" s="1">
        <v>80.06</v>
      </c>
      <c r="AX395" s="1"/>
      <c r="AY395" s="1" t="s">
        <v>680</v>
      </c>
      <c r="AZ395" s="1" t="s">
        <v>7809</v>
      </c>
      <c r="BA395" s="1" t="s">
        <v>578</v>
      </c>
      <c r="BB395" s="1" t="s">
        <v>467</v>
      </c>
      <c r="BC395" s="1" t="s">
        <v>368</v>
      </c>
      <c r="BD395" s="1" t="s">
        <v>955</v>
      </c>
      <c r="BE395" s="1">
        <v>69.54</v>
      </c>
      <c r="BF395" s="1">
        <v>7.32</v>
      </c>
      <c r="BG395" s="1"/>
      <c r="BH395" s="1"/>
      <c r="BI395" s="1"/>
      <c r="BJ395" s="1"/>
      <c r="BK395" s="1"/>
      <c r="BL395" s="1"/>
      <c r="BM395" s="1"/>
      <c r="BN395" s="1"/>
      <c r="BO395" s="1" t="s">
        <v>2267</v>
      </c>
      <c r="BP395" s="1" t="s">
        <v>7810</v>
      </c>
      <c r="BQ395" s="1" t="s">
        <v>1152</v>
      </c>
      <c r="BR395" s="1" t="s">
        <v>7811</v>
      </c>
      <c r="BS395" s="1">
        <v>8</v>
      </c>
      <c r="BT395" s="1"/>
      <c r="BU395" s="1" t="str">
        <f>HYPERLINK("https://nconnect.nicmar.ac.in/storage/profile/ProfilePhoto_P25700395_597218.jpg","Download")</f>
        <v>0</v>
      </c>
      <c r="BV395" s="3"/>
      <c r="BW395" s="3"/>
    </row>
    <row r="396" spans="1:75">
      <c r="A396" s="1" t="s">
        <v>75</v>
      </c>
      <c r="B396" s="1" t="s">
        <v>446</v>
      </c>
      <c r="C396" s="1" t="s">
        <v>7812</v>
      </c>
      <c r="D396" s="1" t="s">
        <v>7813</v>
      </c>
      <c r="E396" s="1" t="s">
        <v>4310</v>
      </c>
      <c r="F396" s="1" t="s">
        <v>7814</v>
      </c>
      <c r="G396" s="1" t="s">
        <v>7815</v>
      </c>
      <c r="H396" s="1" t="s">
        <v>7816</v>
      </c>
      <c r="I396" s="1" t="s">
        <v>7817</v>
      </c>
      <c r="J396" s="1">
        <v>7666829049</v>
      </c>
      <c r="K396" s="1" t="s">
        <v>84</v>
      </c>
      <c r="L396" s="1" t="s">
        <v>7818</v>
      </c>
      <c r="M396" s="1" t="s">
        <v>86</v>
      </c>
      <c r="N396" s="1" t="s">
        <v>7819</v>
      </c>
      <c r="O396" s="1"/>
      <c r="P396" s="1" t="s">
        <v>481</v>
      </c>
      <c r="Q396" s="1" t="s">
        <v>7820</v>
      </c>
      <c r="R396" s="1" t="s">
        <v>7821</v>
      </c>
      <c r="S396" s="1">
        <v>9370789041</v>
      </c>
      <c r="T396" s="1" t="s">
        <v>7822</v>
      </c>
      <c r="U396" s="1" t="s">
        <v>7823</v>
      </c>
      <c r="V396" s="1">
        <v>9130823409</v>
      </c>
      <c r="W396" s="1" t="s">
        <v>161</v>
      </c>
      <c r="X396" s="1" t="s">
        <v>7824</v>
      </c>
      <c r="Y396" s="1" t="s">
        <v>5659</v>
      </c>
      <c r="Z396" s="1" t="s">
        <v>97</v>
      </c>
      <c r="AA396" s="1" t="s">
        <v>7824</v>
      </c>
      <c r="AB396" s="1" t="s">
        <v>5659</v>
      </c>
      <c r="AC396" s="1" t="s">
        <v>97</v>
      </c>
      <c r="AD396" s="1">
        <v>7.85</v>
      </c>
      <c r="AE396" s="1" t="s">
        <v>98</v>
      </c>
      <c r="AF396" s="1" t="s">
        <v>7825</v>
      </c>
      <c r="AG396" s="1" t="s">
        <v>796</v>
      </c>
      <c r="AH396" s="1" t="s">
        <v>171</v>
      </c>
      <c r="AI396" s="1" t="s">
        <v>313</v>
      </c>
      <c r="AJ396" s="1">
        <v>70.8</v>
      </c>
      <c r="AK396" s="1">
        <v>7.45</v>
      </c>
      <c r="AL396" s="1"/>
      <c r="AM396" s="1"/>
      <c r="AN396" s="1"/>
      <c r="AO396" s="1"/>
      <c r="AP396" s="1"/>
      <c r="AQ396" s="1"/>
      <c r="AR396" s="1"/>
      <c r="AS396" s="1" t="s">
        <v>103</v>
      </c>
      <c r="AT396" s="1" t="s">
        <v>7826</v>
      </c>
      <c r="AU396" s="1" t="s">
        <v>315</v>
      </c>
      <c r="AV396" s="1" t="s">
        <v>1400</v>
      </c>
      <c r="AW396" s="1">
        <v>85.11</v>
      </c>
      <c r="AX396" s="1"/>
      <c r="AY396" s="1" t="s">
        <v>7827</v>
      </c>
      <c r="AZ396" s="1" t="s">
        <v>7828</v>
      </c>
      <c r="BA396" s="1" t="s">
        <v>466</v>
      </c>
      <c r="BB396" s="1" t="s">
        <v>467</v>
      </c>
      <c r="BC396" s="1" t="s">
        <v>110</v>
      </c>
      <c r="BD396" s="1" t="s">
        <v>553</v>
      </c>
      <c r="BE396" s="1">
        <v>73.8</v>
      </c>
      <c r="BF396" s="1">
        <v>7.77</v>
      </c>
      <c r="BG396" s="1"/>
      <c r="BH396" s="1"/>
      <c r="BI396" s="1"/>
      <c r="BJ396" s="1"/>
      <c r="BK396" s="1"/>
      <c r="BL396" s="1"/>
      <c r="BM396" s="1"/>
      <c r="BN396" s="1"/>
      <c r="BO396" s="1" t="s">
        <v>1114</v>
      </c>
      <c r="BP396" s="1"/>
      <c r="BQ396" s="1"/>
      <c r="BR396" s="1" t="s">
        <v>7829</v>
      </c>
      <c r="BS396" s="1">
        <v>34</v>
      </c>
      <c r="BT396" s="1" t="s">
        <v>7830</v>
      </c>
      <c r="BU396" s="1" t="str">
        <f>HYPERLINK("https://nconnect.nicmar.ac.in/storage/profile/ProfilePhoto_P25700396_127438.jpg","Download")</f>
        <v>0</v>
      </c>
      <c r="BV396" s="3"/>
      <c r="BW396" s="3"/>
    </row>
    <row r="397" spans="1:75">
      <c r="A397" s="1" t="s">
        <v>75</v>
      </c>
      <c r="B397" s="1" t="s">
        <v>446</v>
      </c>
      <c r="C397" s="1" t="s">
        <v>7831</v>
      </c>
      <c r="D397" s="1" t="s">
        <v>5466</v>
      </c>
      <c r="E397" s="1" t="s">
        <v>762</v>
      </c>
      <c r="F397" s="1" t="s">
        <v>7832</v>
      </c>
      <c r="G397" s="1" t="s">
        <v>7833</v>
      </c>
      <c r="H397" s="1" t="s">
        <v>7834</v>
      </c>
      <c r="I397" s="1" t="s">
        <v>7835</v>
      </c>
      <c r="J397" s="1">
        <v>8530265005</v>
      </c>
      <c r="K397" s="1" t="s">
        <v>84</v>
      </c>
      <c r="L397" s="1" t="s">
        <v>7836</v>
      </c>
      <c r="M397" s="1" t="s">
        <v>86</v>
      </c>
      <c r="N397" s="1" t="s">
        <v>7837</v>
      </c>
      <c r="O397" s="1"/>
      <c r="P397" s="1" t="s">
        <v>455</v>
      </c>
      <c r="Q397" s="1" t="s">
        <v>7838</v>
      </c>
      <c r="R397" s="1" t="s">
        <v>7839</v>
      </c>
      <c r="S397" s="1">
        <v>9689052282</v>
      </c>
      <c r="T397" s="1" t="s">
        <v>7840</v>
      </c>
      <c r="U397" s="1" t="s">
        <v>7841</v>
      </c>
      <c r="V397" s="1">
        <v>8080699685</v>
      </c>
      <c r="W397" s="1" t="s">
        <v>161</v>
      </c>
      <c r="X397" s="1" t="s">
        <v>7842</v>
      </c>
      <c r="Y397" s="1" t="s">
        <v>196</v>
      </c>
      <c r="Z397" s="1" t="s">
        <v>97</v>
      </c>
      <c r="AA397" s="1" t="s">
        <v>7843</v>
      </c>
      <c r="AB397" s="1" t="s">
        <v>1189</v>
      </c>
      <c r="AC397" s="1" t="s">
        <v>97</v>
      </c>
      <c r="AD397" s="1">
        <v>8.21</v>
      </c>
      <c r="AE397" s="1" t="s">
        <v>98</v>
      </c>
      <c r="AF397" s="1" t="s">
        <v>7844</v>
      </c>
      <c r="AG397" s="1" t="s">
        <v>7845</v>
      </c>
      <c r="AH397" s="1" t="s">
        <v>167</v>
      </c>
      <c r="AI397" s="1" t="s">
        <v>170</v>
      </c>
      <c r="AJ397" s="1">
        <v>64.2</v>
      </c>
      <c r="AK397" s="1"/>
      <c r="AL397" s="1"/>
      <c r="AM397" s="1"/>
      <c r="AN397" s="1"/>
      <c r="AO397" s="1"/>
      <c r="AP397" s="1"/>
      <c r="AQ397" s="1"/>
      <c r="AR397" s="1"/>
      <c r="AS397" s="1" t="s">
        <v>103</v>
      </c>
      <c r="AT397" s="1" t="s">
        <v>7846</v>
      </c>
      <c r="AU397" s="1" t="s">
        <v>230</v>
      </c>
      <c r="AV397" s="1" t="s">
        <v>175</v>
      </c>
      <c r="AW397" s="1">
        <v>80.68</v>
      </c>
      <c r="AX397" s="1"/>
      <c r="AY397" s="1" t="s">
        <v>366</v>
      </c>
      <c r="AZ397" s="1" t="s">
        <v>7847</v>
      </c>
      <c r="BA397" s="1" t="s">
        <v>578</v>
      </c>
      <c r="BB397" s="1" t="s">
        <v>467</v>
      </c>
      <c r="BC397" s="1" t="s">
        <v>368</v>
      </c>
      <c r="BD397" s="1" t="s">
        <v>179</v>
      </c>
      <c r="BE397" s="1">
        <v>74.48</v>
      </c>
      <c r="BF397" s="1">
        <v>8.29</v>
      </c>
      <c r="BG397" s="1"/>
      <c r="BH397" s="1"/>
      <c r="BI397" s="1"/>
      <c r="BJ397" s="1"/>
      <c r="BK397" s="1"/>
      <c r="BL397" s="1"/>
      <c r="BM397" s="1"/>
      <c r="BN397" s="1"/>
      <c r="BO397" s="1" t="s">
        <v>7848</v>
      </c>
      <c r="BP397" s="1" t="s">
        <v>7849</v>
      </c>
      <c r="BQ397" s="1" t="s">
        <v>1152</v>
      </c>
      <c r="BR397" s="1" t="s">
        <v>7850</v>
      </c>
      <c r="BS397" s="1">
        <v>15</v>
      </c>
      <c r="BT397" s="1" t="s">
        <v>7851</v>
      </c>
      <c r="BU397" s="1" t="str">
        <f>HYPERLINK("https://nconnect.nicmar.ac.in/storage/profile/ProfilePhoto_P25700397_947536.jpg","Download")</f>
        <v>0</v>
      </c>
      <c r="BV397" s="3"/>
      <c r="BW397" s="4">
        <v>1</v>
      </c>
    </row>
    <row r="398" spans="1:75">
      <c r="A398" s="1" t="s">
        <v>75</v>
      </c>
      <c r="B398" s="1" t="s">
        <v>446</v>
      </c>
      <c r="C398" s="1" t="s">
        <v>7852</v>
      </c>
      <c r="D398" s="1" t="s">
        <v>7853</v>
      </c>
      <c r="E398" s="1" t="s">
        <v>673</v>
      </c>
      <c r="F398" s="1" t="s">
        <v>762</v>
      </c>
      <c r="G398" s="1" t="s">
        <v>7854</v>
      </c>
      <c r="H398" s="1" t="s">
        <v>7855</v>
      </c>
      <c r="I398" s="1" t="s">
        <v>7856</v>
      </c>
      <c r="J398" s="1">
        <v>9307500543</v>
      </c>
      <c r="K398" s="1" t="s">
        <v>153</v>
      </c>
      <c r="L398" s="1" t="s">
        <v>7857</v>
      </c>
      <c r="M398" s="1" t="s">
        <v>86</v>
      </c>
      <c r="N398" s="1" t="s">
        <v>903</v>
      </c>
      <c r="O398" s="1"/>
      <c r="P398" s="1" t="s">
        <v>455</v>
      </c>
      <c r="Q398" s="1" t="s">
        <v>7858</v>
      </c>
      <c r="R398" s="1" t="s">
        <v>762</v>
      </c>
      <c r="S398" s="1">
        <v>9423266066</v>
      </c>
      <c r="T398" s="1" t="s">
        <v>839</v>
      </c>
      <c r="U398" s="1" t="s">
        <v>7859</v>
      </c>
      <c r="V398" s="1">
        <v>9403492325</v>
      </c>
      <c r="W398" s="1" t="s">
        <v>161</v>
      </c>
      <c r="X398" s="1" t="s">
        <v>7860</v>
      </c>
      <c r="Y398" s="1" t="s">
        <v>196</v>
      </c>
      <c r="Z398" s="1" t="s">
        <v>97</v>
      </c>
      <c r="AA398" s="1" t="s">
        <v>7861</v>
      </c>
      <c r="AB398" s="1" t="s">
        <v>5083</v>
      </c>
      <c r="AC398" s="1" t="s">
        <v>97</v>
      </c>
      <c r="AD398" s="1">
        <v>8.85</v>
      </c>
      <c r="AE398" s="1" t="s">
        <v>98</v>
      </c>
      <c r="AF398" s="1" t="s">
        <v>7862</v>
      </c>
      <c r="AG398" s="1" t="s">
        <v>629</v>
      </c>
      <c r="AH398" s="1" t="s">
        <v>106</v>
      </c>
      <c r="AI398" s="1" t="s">
        <v>438</v>
      </c>
      <c r="AJ398" s="1">
        <v>86.8</v>
      </c>
      <c r="AK398" s="1"/>
      <c r="AL398" s="1"/>
      <c r="AM398" s="1"/>
      <c r="AN398" s="1"/>
      <c r="AO398" s="1"/>
      <c r="AP398" s="1"/>
      <c r="AQ398" s="1"/>
      <c r="AR398" s="1"/>
      <c r="AS398" s="1" t="s">
        <v>103</v>
      </c>
      <c r="AT398" s="1" t="s">
        <v>7863</v>
      </c>
      <c r="AU398" s="1" t="s">
        <v>206</v>
      </c>
      <c r="AV398" s="1" t="s">
        <v>110</v>
      </c>
      <c r="AW398" s="1">
        <v>88.2</v>
      </c>
      <c r="AX398" s="1"/>
      <c r="AY398" s="1" t="s">
        <v>366</v>
      </c>
      <c r="AZ398" s="1" t="s">
        <v>7125</v>
      </c>
      <c r="BA398" s="1" t="s">
        <v>578</v>
      </c>
      <c r="BB398" s="1" t="s">
        <v>467</v>
      </c>
      <c r="BC398" s="1" t="s">
        <v>1889</v>
      </c>
      <c r="BD398" s="1" t="s">
        <v>848</v>
      </c>
      <c r="BE398" s="1">
        <v>79.16</v>
      </c>
      <c r="BF398" s="1">
        <v>8.68</v>
      </c>
      <c r="BG398" s="1"/>
      <c r="BH398" s="1"/>
      <c r="BI398" s="1"/>
      <c r="BJ398" s="1"/>
      <c r="BK398" s="1"/>
      <c r="BL398" s="1"/>
      <c r="BM398" s="1"/>
      <c r="BN398" s="1"/>
      <c r="BO398" s="1" t="s">
        <v>7246</v>
      </c>
      <c r="BP398" s="1"/>
      <c r="BQ398" s="1"/>
      <c r="BR398" s="1" t="s">
        <v>7864</v>
      </c>
      <c r="BS398" s="1">
        <v>13</v>
      </c>
      <c r="BT398" s="1"/>
      <c r="BU398" s="1" t="str">
        <f>HYPERLINK("https://nconnect.nicmar.ac.in/storage/profile/ProfilePhoto_P25700398_439256.jpg","Download")</f>
        <v>0</v>
      </c>
      <c r="BV398" s="3"/>
      <c r="BW398" s="3"/>
    </row>
    <row r="399" spans="1:75">
      <c r="A399" s="1" t="s">
        <v>75</v>
      </c>
      <c r="B399" s="1" t="s">
        <v>446</v>
      </c>
      <c r="C399" s="1" t="s">
        <v>7865</v>
      </c>
      <c r="D399" s="1" t="s">
        <v>500</v>
      </c>
      <c r="E399" s="1" t="s">
        <v>7866</v>
      </c>
      <c r="F399" s="1" t="s">
        <v>7867</v>
      </c>
      <c r="G399" s="1" t="s">
        <v>7868</v>
      </c>
      <c r="H399" s="1" t="s">
        <v>7869</v>
      </c>
      <c r="I399" s="1" t="s">
        <v>7870</v>
      </c>
      <c r="J399" s="1">
        <v>7899767043</v>
      </c>
      <c r="K399" s="1" t="s">
        <v>84</v>
      </c>
      <c r="L399" s="1" t="s">
        <v>7871</v>
      </c>
      <c r="M399" s="1" t="s">
        <v>86</v>
      </c>
      <c r="N399" s="1" t="s">
        <v>7872</v>
      </c>
      <c r="O399" s="1"/>
      <c r="P399" s="1" t="s">
        <v>455</v>
      </c>
      <c r="Q399" s="1" t="s">
        <v>7873</v>
      </c>
      <c r="R399" s="1" t="s">
        <v>7874</v>
      </c>
      <c r="S399" s="1">
        <v>9945817044</v>
      </c>
      <c r="T399" s="1" t="s">
        <v>7875</v>
      </c>
      <c r="U399" s="1" t="s">
        <v>7876</v>
      </c>
      <c r="V399" s="1">
        <v>9008951479</v>
      </c>
      <c r="W399" s="1" t="s">
        <v>278</v>
      </c>
      <c r="X399" s="1" t="s">
        <v>7877</v>
      </c>
      <c r="Y399" s="1" t="s">
        <v>1944</v>
      </c>
      <c r="Z399" s="1" t="s">
        <v>1210</v>
      </c>
      <c r="AA399" s="1" t="s">
        <v>7877</v>
      </c>
      <c r="AB399" s="1" t="s">
        <v>1944</v>
      </c>
      <c r="AC399" s="1" t="s">
        <v>1210</v>
      </c>
      <c r="AD399" s="1">
        <v>8.49</v>
      </c>
      <c r="AE399" s="1" t="s">
        <v>98</v>
      </c>
      <c r="AF399" s="1" t="s">
        <v>7878</v>
      </c>
      <c r="AG399" s="1" t="s">
        <v>1946</v>
      </c>
      <c r="AH399" s="1" t="s">
        <v>106</v>
      </c>
      <c r="AI399" s="1" t="s">
        <v>547</v>
      </c>
      <c r="AJ399" s="1">
        <v>78.4</v>
      </c>
      <c r="AK399" s="1"/>
      <c r="AL399" s="1"/>
      <c r="AM399" s="1"/>
      <c r="AN399" s="1"/>
      <c r="AO399" s="1"/>
      <c r="AP399" s="1"/>
      <c r="AQ399" s="1"/>
      <c r="AR399" s="1"/>
      <c r="AS399" s="1" t="s">
        <v>439</v>
      </c>
      <c r="AT399" s="1" t="s">
        <v>7879</v>
      </c>
      <c r="AU399" s="1" t="s">
        <v>438</v>
      </c>
      <c r="AV399" s="1" t="s">
        <v>521</v>
      </c>
      <c r="AW399" s="1">
        <v>78.43</v>
      </c>
      <c r="AX399" s="1"/>
      <c r="AY399" s="1" t="s">
        <v>1217</v>
      </c>
      <c r="AZ399" s="1" t="s">
        <v>7880</v>
      </c>
      <c r="BA399" s="1"/>
      <c r="BB399" s="1"/>
      <c r="BC399" s="1" t="s">
        <v>2765</v>
      </c>
      <c r="BD399" s="1" t="s">
        <v>553</v>
      </c>
      <c r="BE399" s="1">
        <v>80.6</v>
      </c>
      <c r="BF399" s="1">
        <v>8.06</v>
      </c>
      <c r="BG399" s="1"/>
      <c r="BH399" s="1"/>
      <c r="BI399" s="1"/>
      <c r="BJ399" s="1"/>
      <c r="BK399" s="1"/>
      <c r="BL399" s="1"/>
      <c r="BM399" s="1"/>
      <c r="BN399" s="1"/>
      <c r="BO399" s="1" t="s">
        <v>7881</v>
      </c>
      <c r="BP399" s="1"/>
      <c r="BQ399" s="1"/>
      <c r="BR399" s="1" t="s">
        <v>7882</v>
      </c>
      <c r="BS399" s="1">
        <v>15</v>
      </c>
      <c r="BT399" s="1" t="s">
        <v>7883</v>
      </c>
      <c r="BU399" s="1" t="str">
        <f>HYPERLINK("https://nconnect.nicmar.ac.in/storage/profile/ProfilePhoto_P25700399_623841.jpg","Download")</f>
        <v>0</v>
      </c>
      <c r="BV399" s="3"/>
      <c r="BW399" s="4">
        <v>1</v>
      </c>
    </row>
    <row r="400" spans="1:75">
      <c r="A400" s="1" t="s">
        <v>75</v>
      </c>
      <c r="B400" s="1" t="s">
        <v>446</v>
      </c>
      <c r="C400" s="1" t="s">
        <v>7884</v>
      </c>
      <c r="D400" s="1" t="s">
        <v>7885</v>
      </c>
      <c r="E400" s="1" t="s">
        <v>7886</v>
      </c>
      <c r="F400" s="1" t="s">
        <v>4966</v>
      </c>
      <c r="G400" s="1" t="s">
        <v>7887</v>
      </c>
      <c r="H400" s="1" t="s">
        <v>7888</v>
      </c>
      <c r="I400" s="1" t="s">
        <v>7889</v>
      </c>
      <c r="J400" s="1">
        <v>8698165098</v>
      </c>
      <c r="K400" s="1" t="s">
        <v>84</v>
      </c>
      <c r="L400" s="1" t="s">
        <v>7890</v>
      </c>
      <c r="M400" s="1" t="s">
        <v>86</v>
      </c>
      <c r="N400" s="1" t="s">
        <v>7467</v>
      </c>
      <c r="O400" s="1"/>
      <c r="P400" s="1" t="s">
        <v>455</v>
      </c>
      <c r="Q400" s="1" t="s">
        <v>7891</v>
      </c>
      <c r="R400" s="1" t="s">
        <v>4966</v>
      </c>
      <c r="S400" s="1">
        <v>9922671642</v>
      </c>
      <c r="T400" s="1" t="s">
        <v>4654</v>
      </c>
      <c r="U400" s="1" t="s">
        <v>7892</v>
      </c>
      <c r="V400" s="1">
        <v>8669566807</v>
      </c>
      <c r="W400" s="1" t="s">
        <v>278</v>
      </c>
      <c r="X400" s="1" t="s">
        <v>7893</v>
      </c>
      <c r="Y400" s="1" t="s">
        <v>1989</v>
      </c>
      <c r="Z400" s="1" t="s">
        <v>97</v>
      </c>
      <c r="AA400" s="1" t="s">
        <v>7893</v>
      </c>
      <c r="AB400" s="1" t="s">
        <v>1989</v>
      </c>
      <c r="AC400" s="1" t="s">
        <v>97</v>
      </c>
      <c r="AD400" s="1">
        <v>7.92</v>
      </c>
      <c r="AE400" s="1" t="s">
        <v>98</v>
      </c>
      <c r="AF400" s="1" t="s">
        <v>7894</v>
      </c>
      <c r="AG400" s="1" t="s">
        <v>165</v>
      </c>
      <c r="AH400" s="1" t="s">
        <v>167</v>
      </c>
      <c r="AI400" s="1" t="s">
        <v>414</v>
      </c>
      <c r="AJ400" s="1">
        <v>68.2</v>
      </c>
      <c r="AK400" s="1"/>
      <c r="AL400" s="1"/>
      <c r="AM400" s="1"/>
      <c r="AN400" s="1"/>
      <c r="AO400" s="1"/>
      <c r="AP400" s="1"/>
      <c r="AQ400" s="1"/>
      <c r="AR400" s="1"/>
      <c r="AS400" s="1" t="s">
        <v>439</v>
      </c>
      <c r="AT400" s="1" t="s">
        <v>7895</v>
      </c>
      <c r="AU400" s="1" t="s">
        <v>206</v>
      </c>
      <c r="AV400" s="1" t="s">
        <v>110</v>
      </c>
      <c r="AW400" s="1">
        <v>84.7</v>
      </c>
      <c r="AX400" s="1"/>
      <c r="AY400" s="1" t="s">
        <v>7896</v>
      </c>
      <c r="AZ400" s="1" t="s">
        <v>7897</v>
      </c>
      <c r="BA400" s="1" t="s">
        <v>578</v>
      </c>
      <c r="BB400" s="1" t="s">
        <v>7898</v>
      </c>
      <c r="BC400" s="1" t="s">
        <v>1889</v>
      </c>
      <c r="BD400" s="1" t="s">
        <v>848</v>
      </c>
      <c r="BE400" s="1">
        <v>64.2</v>
      </c>
      <c r="BF400" s="1">
        <v>7.17</v>
      </c>
      <c r="BG400" s="1"/>
      <c r="BH400" s="1"/>
      <c r="BI400" s="1"/>
      <c r="BJ400" s="1"/>
      <c r="BK400" s="1"/>
      <c r="BL400" s="1"/>
      <c r="BM400" s="1"/>
      <c r="BN400" s="1"/>
      <c r="BO400" s="1" t="s">
        <v>7246</v>
      </c>
      <c r="BP400" s="1"/>
      <c r="BQ400" s="1"/>
      <c r="BR400" s="1" t="s">
        <v>7899</v>
      </c>
      <c r="BS400" s="1">
        <v>12</v>
      </c>
      <c r="BT400" s="1"/>
      <c r="BU400" s="1" t="str">
        <f>HYPERLINK("https://nconnect.nicmar.ac.in/storage/profile/ProfilePhoto_P25700400_638452.jpg","Download")</f>
        <v>0</v>
      </c>
      <c r="BV400" s="3"/>
      <c r="BW400" s="3"/>
    </row>
    <row r="401" spans="1:75">
      <c r="A401" s="1" t="s">
        <v>75</v>
      </c>
      <c r="B401" s="1" t="s">
        <v>446</v>
      </c>
      <c r="C401" s="1" t="s">
        <v>7900</v>
      </c>
      <c r="D401" s="1" t="s">
        <v>7901</v>
      </c>
      <c r="E401" s="1" t="s">
        <v>3042</v>
      </c>
      <c r="F401" s="1" t="s">
        <v>1179</v>
      </c>
      <c r="G401" s="1" t="s">
        <v>7902</v>
      </c>
      <c r="H401" s="1" t="s">
        <v>7903</v>
      </c>
      <c r="I401" s="1" t="s">
        <v>7904</v>
      </c>
      <c r="J401" s="1">
        <v>8484048841</v>
      </c>
      <c r="K401" s="1" t="s">
        <v>84</v>
      </c>
      <c r="L401" s="1" t="s">
        <v>7905</v>
      </c>
      <c r="M401" s="1" t="s">
        <v>86</v>
      </c>
      <c r="N401" s="1" t="s">
        <v>7906</v>
      </c>
      <c r="O401" s="1"/>
      <c r="P401" s="1" t="s">
        <v>455</v>
      </c>
      <c r="Q401" s="1" t="s">
        <v>7907</v>
      </c>
      <c r="R401" s="1" t="s">
        <v>3042</v>
      </c>
      <c r="S401" s="1">
        <v>9689268062</v>
      </c>
      <c r="T401" s="1" t="s">
        <v>7908</v>
      </c>
      <c r="U401" s="1" t="s">
        <v>7909</v>
      </c>
      <c r="V401" s="1">
        <v>7030575878</v>
      </c>
      <c r="W401" s="1" t="s">
        <v>7908</v>
      </c>
      <c r="X401" s="1" t="s">
        <v>7910</v>
      </c>
      <c r="Y401" s="1" t="s">
        <v>7911</v>
      </c>
      <c r="Z401" s="1" t="s">
        <v>97</v>
      </c>
      <c r="AA401" s="1" t="s">
        <v>7912</v>
      </c>
      <c r="AB401" s="1" t="s">
        <v>7911</v>
      </c>
      <c r="AC401" s="1" t="s">
        <v>97</v>
      </c>
      <c r="AD401" s="1">
        <v>7.87</v>
      </c>
      <c r="AE401" s="1" t="s">
        <v>98</v>
      </c>
      <c r="AF401" s="1" t="s">
        <v>7913</v>
      </c>
      <c r="AG401" s="1" t="s">
        <v>165</v>
      </c>
      <c r="AH401" s="1" t="s">
        <v>167</v>
      </c>
      <c r="AI401" s="1" t="s">
        <v>388</v>
      </c>
      <c r="AJ401" s="1">
        <v>92.4</v>
      </c>
      <c r="AK401" s="1"/>
      <c r="AL401" s="1" t="s">
        <v>7914</v>
      </c>
      <c r="AM401" s="1" t="s">
        <v>7366</v>
      </c>
      <c r="AN401" s="1"/>
      <c r="AO401" s="1" t="s">
        <v>1065</v>
      </c>
      <c r="AP401" s="1" t="s">
        <v>315</v>
      </c>
      <c r="AQ401" s="1">
        <v>71.08</v>
      </c>
      <c r="AR401" s="1"/>
      <c r="AS401" s="1"/>
      <c r="AT401" s="1"/>
      <c r="AU401" s="1"/>
      <c r="AV401" s="1"/>
      <c r="AW401" s="1"/>
      <c r="AX401" s="1"/>
      <c r="AY401" s="1" t="s">
        <v>366</v>
      </c>
      <c r="AZ401" s="1" t="s">
        <v>7915</v>
      </c>
      <c r="BA401" s="1"/>
      <c r="BB401" s="1"/>
      <c r="BC401" s="1" t="s">
        <v>206</v>
      </c>
      <c r="BD401" s="1" t="s">
        <v>179</v>
      </c>
      <c r="BE401" s="1">
        <v>71.2</v>
      </c>
      <c r="BF401" s="1">
        <v>7.87</v>
      </c>
      <c r="BG401" s="1"/>
      <c r="BH401" s="1"/>
      <c r="BI401" s="1"/>
      <c r="BJ401" s="1"/>
      <c r="BK401" s="1"/>
      <c r="BL401" s="1"/>
      <c r="BM401" s="1"/>
      <c r="BN401" s="1"/>
      <c r="BO401" s="1" t="s">
        <v>2555</v>
      </c>
      <c r="BP401" s="1" t="s">
        <v>7916</v>
      </c>
      <c r="BQ401" s="1" t="s">
        <v>7917</v>
      </c>
      <c r="BR401" s="1" t="s">
        <v>7918</v>
      </c>
      <c r="BS401" s="1">
        <v>43</v>
      </c>
      <c r="BT401" s="1" t="s">
        <v>7919</v>
      </c>
      <c r="BU401" s="1" t="str">
        <f>HYPERLINK("https://nconnect.nicmar.ac.in/storage/profile/ProfilePhoto_P25700401_764591.jpg","Download")</f>
        <v>0</v>
      </c>
      <c r="BV401" s="3"/>
      <c r="BW401" s="3"/>
    </row>
    <row r="402" spans="1:75">
      <c r="A402" s="1" t="s">
        <v>75</v>
      </c>
      <c r="B402" s="1" t="s">
        <v>446</v>
      </c>
      <c r="C402" s="1" t="s">
        <v>7920</v>
      </c>
      <c r="D402" s="1" t="s">
        <v>4706</v>
      </c>
      <c r="E402" s="1"/>
      <c r="F402" s="1" t="s">
        <v>530</v>
      </c>
      <c r="G402" s="1" t="s">
        <v>7921</v>
      </c>
      <c r="H402" s="1" t="s">
        <v>7922</v>
      </c>
      <c r="I402" s="1" t="s">
        <v>7923</v>
      </c>
      <c r="J402" s="1">
        <v>7302951885</v>
      </c>
      <c r="K402" s="1" t="s">
        <v>84</v>
      </c>
      <c r="L402" s="1" t="s">
        <v>7924</v>
      </c>
      <c r="M402" s="1" t="s">
        <v>86</v>
      </c>
      <c r="N402" s="1" t="s">
        <v>87</v>
      </c>
      <c r="O402" s="1"/>
      <c r="P402" s="1" t="s">
        <v>1028</v>
      </c>
      <c r="Q402" s="1" t="s">
        <v>7925</v>
      </c>
      <c r="R402" s="1" t="s">
        <v>7926</v>
      </c>
      <c r="S402" s="1">
        <v>9634332185</v>
      </c>
      <c r="T402" s="1" t="s">
        <v>539</v>
      </c>
      <c r="U402" s="1" t="s">
        <v>7927</v>
      </c>
      <c r="V402" s="1">
        <v>8266970780</v>
      </c>
      <c r="W402" s="1" t="s">
        <v>161</v>
      </c>
      <c r="X402" s="1" t="s">
        <v>7928</v>
      </c>
      <c r="Y402" s="1" t="s">
        <v>7929</v>
      </c>
      <c r="Z402" s="1" t="s">
        <v>7930</v>
      </c>
      <c r="AA402" s="1" t="s">
        <v>7928</v>
      </c>
      <c r="AB402" s="1" t="s">
        <v>7929</v>
      </c>
      <c r="AC402" s="1" t="s">
        <v>7930</v>
      </c>
      <c r="AD402" s="1">
        <v>8.38</v>
      </c>
      <c r="AE402" s="1" t="s">
        <v>98</v>
      </c>
      <c r="AF402" s="1" t="s">
        <v>7931</v>
      </c>
      <c r="AG402" s="1" t="s">
        <v>7932</v>
      </c>
      <c r="AH402" s="1" t="s">
        <v>704</v>
      </c>
      <c r="AI402" s="1" t="s">
        <v>171</v>
      </c>
      <c r="AJ402" s="1">
        <v>77</v>
      </c>
      <c r="AK402" s="1"/>
      <c r="AL402" s="1" t="s">
        <v>7931</v>
      </c>
      <c r="AM402" s="1" t="s">
        <v>7932</v>
      </c>
      <c r="AN402" s="1"/>
      <c r="AO402" s="1" t="s">
        <v>547</v>
      </c>
      <c r="AP402" s="1" t="s">
        <v>178</v>
      </c>
      <c r="AQ402" s="1">
        <v>77</v>
      </c>
      <c r="AR402" s="1"/>
      <c r="AS402" s="1"/>
      <c r="AT402" s="1"/>
      <c r="AU402" s="1"/>
      <c r="AV402" s="1"/>
      <c r="AW402" s="1"/>
      <c r="AX402" s="1"/>
      <c r="AY402" s="1" t="s">
        <v>7933</v>
      </c>
      <c r="AZ402" s="1" t="s">
        <v>7934</v>
      </c>
      <c r="BA402" s="1"/>
      <c r="BB402" s="1"/>
      <c r="BC402" s="1" t="s">
        <v>890</v>
      </c>
      <c r="BD402" s="1" t="s">
        <v>1089</v>
      </c>
      <c r="BE402" s="1">
        <v>73.47</v>
      </c>
      <c r="BF402" s="1"/>
      <c r="BG402" s="1"/>
      <c r="BH402" s="1"/>
      <c r="BI402" s="1"/>
      <c r="BJ402" s="1"/>
      <c r="BK402" s="1"/>
      <c r="BL402" s="1"/>
      <c r="BM402" s="1"/>
      <c r="BN402" s="1"/>
      <c r="BO402" s="1" t="s">
        <v>7935</v>
      </c>
      <c r="BP402" s="1"/>
      <c r="BQ402" s="1"/>
      <c r="BR402" s="1" t="s">
        <v>7936</v>
      </c>
      <c r="BS402" s="1">
        <v>17</v>
      </c>
      <c r="BT402" s="1" t="s">
        <v>7937</v>
      </c>
      <c r="BU402" s="1" t="str">
        <f>HYPERLINK("https://nconnect.nicmar.ac.in/storage/profile/ProfilePhoto_P25700402_718253.jpg","Download")</f>
        <v>0</v>
      </c>
      <c r="BV402" s="3"/>
      <c r="BW402" s="3"/>
    </row>
    <row r="403" spans="1:75">
      <c r="A403" s="1" t="s">
        <v>75</v>
      </c>
      <c r="B403" s="1" t="s">
        <v>446</v>
      </c>
      <c r="C403" s="1" t="s">
        <v>7938</v>
      </c>
      <c r="D403" s="1" t="s">
        <v>7292</v>
      </c>
      <c r="E403" s="1"/>
      <c r="F403" s="1" t="s">
        <v>7939</v>
      </c>
      <c r="G403" s="1" t="s">
        <v>7940</v>
      </c>
      <c r="H403" s="1" t="s">
        <v>7941</v>
      </c>
      <c r="I403" s="1" t="s">
        <v>7942</v>
      </c>
      <c r="J403" s="1">
        <v>8085725222</v>
      </c>
      <c r="K403" s="1" t="s">
        <v>84</v>
      </c>
      <c r="L403" s="1" t="s">
        <v>7943</v>
      </c>
      <c r="M403" s="1" t="s">
        <v>86</v>
      </c>
      <c r="N403" s="1" t="s">
        <v>7944</v>
      </c>
      <c r="O403" s="1"/>
      <c r="P403" s="1" t="s">
        <v>455</v>
      </c>
      <c r="Q403" s="1" t="s">
        <v>7945</v>
      </c>
      <c r="R403" s="1" t="s">
        <v>7946</v>
      </c>
      <c r="S403" s="1">
        <v>9826289522</v>
      </c>
      <c r="T403" s="1" t="s">
        <v>839</v>
      </c>
      <c r="U403" s="1" t="s">
        <v>7947</v>
      </c>
      <c r="V403" s="1">
        <v>9826557992</v>
      </c>
      <c r="W403" s="1" t="s">
        <v>161</v>
      </c>
      <c r="X403" s="1" t="s">
        <v>7948</v>
      </c>
      <c r="Y403" s="1" t="s">
        <v>7949</v>
      </c>
      <c r="Z403" s="1" t="s">
        <v>3419</v>
      </c>
      <c r="AA403" s="1" t="s">
        <v>7948</v>
      </c>
      <c r="AB403" s="1" t="s">
        <v>7949</v>
      </c>
      <c r="AC403" s="1" t="s">
        <v>3419</v>
      </c>
      <c r="AD403" s="1">
        <v>8.59</v>
      </c>
      <c r="AE403" s="1" t="s">
        <v>98</v>
      </c>
      <c r="AF403" s="1" t="s">
        <v>7950</v>
      </c>
      <c r="AG403" s="1" t="s">
        <v>7951</v>
      </c>
      <c r="AH403" s="1" t="s">
        <v>490</v>
      </c>
      <c r="AI403" s="1" t="s">
        <v>313</v>
      </c>
      <c r="AJ403" s="1">
        <v>82.4</v>
      </c>
      <c r="AK403" s="1">
        <v>8.67</v>
      </c>
      <c r="AL403" s="1" t="s">
        <v>7950</v>
      </c>
      <c r="AM403" s="1" t="s">
        <v>7951</v>
      </c>
      <c r="AN403" s="1"/>
      <c r="AO403" s="1" t="s">
        <v>977</v>
      </c>
      <c r="AP403" s="1" t="s">
        <v>549</v>
      </c>
      <c r="AQ403" s="1">
        <v>91.2</v>
      </c>
      <c r="AR403" s="1">
        <v>9.6</v>
      </c>
      <c r="AS403" s="1"/>
      <c r="AT403" s="1"/>
      <c r="AU403" s="1"/>
      <c r="AV403" s="1"/>
      <c r="AW403" s="1"/>
      <c r="AX403" s="1"/>
      <c r="AY403" s="1" t="s">
        <v>7952</v>
      </c>
      <c r="AZ403" s="1" t="s">
        <v>7953</v>
      </c>
      <c r="BA403" s="1"/>
      <c r="BB403" s="1"/>
      <c r="BC403" s="1" t="s">
        <v>871</v>
      </c>
      <c r="BD403" s="1" t="s">
        <v>848</v>
      </c>
      <c r="BE403" s="1">
        <v>82.36</v>
      </c>
      <c r="BF403" s="1">
        <v>8.67</v>
      </c>
      <c r="BG403" s="1"/>
      <c r="BH403" s="1"/>
      <c r="BI403" s="1"/>
      <c r="BJ403" s="1"/>
      <c r="BK403" s="1"/>
      <c r="BL403" s="1"/>
      <c r="BM403" s="1"/>
      <c r="BN403" s="1"/>
      <c r="BO403" s="1" t="s">
        <v>7954</v>
      </c>
      <c r="BP403" s="1"/>
      <c r="BQ403" s="1"/>
      <c r="BR403" s="1" t="s">
        <v>7955</v>
      </c>
      <c r="BS403" s="1">
        <v>15</v>
      </c>
      <c r="BT403" s="1" t="s">
        <v>7956</v>
      </c>
      <c r="BU403" s="1" t="str">
        <f>HYPERLINK("https://nconnect.nicmar.ac.in/storage/profile/ProfilePhoto_P25700403_273965.jpg","Download")</f>
        <v>0</v>
      </c>
      <c r="BV403" s="3"/>
      <c r="BW403" s="3"/>
    </row>
    <row r="404" spans="1:75">
      <c r="A404" s="1" t="s">
        <v>75</v>
      </c>
      <c r="B404" s="1" t="s">
        <v>446</v>
      </c>
      <c r="C404" s="1" t="s">
        <v>7957</v>
      </c>
      <c r="D404" s="1" t="s">
        <v>7958</v>
      </c>
      <c r="E404" s="1" t="s">
        <v>2098</v>
      </c>
      <c r="F404" s="1" t="s">
        <v>7959</v>
      </c>
      <c r="G404" s="1" t="s">
        <v>7960</v>
      </c>
      <c r="H404" s="1" t="s">
        <v>7961</v>
      </c>
      <c r="I404" s="1" t="s">
        <v>7962</v>
      </c>
      <c r="J404" s="1">
        <v>9823574514</v>
      </c>
      <c r="K404" s="1" t="s">
        <v>84</v>
      </c>
      <c r="L404" s="1" t="s">
        <v>7963</v>
      </c>
      <c r="M404" s="1" t="s">
        <v>86</v>
      </c>
      <c r="N404" s="1" t="s">
        <v>618</v>
      </c>
      <c r="O404" s="1"/>
      <c r="P404" s="1" t="s">
        <v>1028</v>
      </c>
      <c r="Q404" s="1" t="s">
        <v>7964</v>
      </c>
      <c r="R404" s="1" t="s">
        <v>7965</v>
      </c>
      <c r="S404" s="1">
        <v>9823594114</v>
      </c>
      <c r="T404" s="1" t="s">
        <v>2128</v>
      </c>
      <c r="U404" s="1" t="s">
        <v>7966</v>
      </c>
      <c r="V404" s="1">
        <v>9022477348</v>
      </c>
      <c r="W404" s="1" t="s">
        <v>94</v>
      </c>
      <c r="X404" s="1" t="s">
        <v>7967</v>
      </c>
      <c r="Y404" s="1" t="s">
        <v>96</v>
      </c>
      <c r="Z404" s="1" t="s">
        <v>97</v>
      </c>
      <c r="AA404" s="1" t="s">
        <v>7967</v>
      </c>
      <c r="AB404" s="1" t="s">
        <v>96</v>
      </c>
      <c r="AC404" s="1" t="s">
        <v>97</v>
      </c>
      <c r="AD404" s="1">
        <v>7.69</v>
      </c>
      <c r="AE404" s="1" t="s">
        <v>98</v>
      </c>
      <c r="AF404" s="1" t="s">
        <v>975</v>
      </c>
      <c r="AG404" s="1" t="s">
        <v>7968</v>
      </c>
      <c r="AH404" s="1" t="s">
        <v>7331</v>
      </c>
      <c r="AI404" s="1" t="s">
        <v>106</v>
      </c>
      <c r="AJ404" s="1">
        <v>69.83</v>
      </c>
      <c r="AK404" s="1"/>
      <c r="AL404" s="1" t="s">
        <v>7969</v>
      </c>
      <c r="AM404" s="1" t="s">
        <v>165</v>
      </c>
      <c r="AN404" s="1" t="s">
        <v>465</v>
      </c>
      <c r="AO404" s="1" t="s">
        <v>106</v>
      </c>
      <c r="AP404" s="1" t="s">
        <v>468</v>
      </c>
      <c r="AQ404" s="1">
        <v>62.31</v>
      </c>
      <c r="AR404" s="1"/>
      <c r="AS404" s="1"/>
      <c r="AT404" s="1"/>
      <c r="AU404" s="1"/>
      <c r="AV404" s="1"/>
      <c r="AW404" s="1"/>
      <c r="AX404" s="1"/>
      <c r="AY404" s="1" t="s">
        <v>107</v>
      </c>
      <c r="AZ404" s="1" t="s">
        <v>7970</v>
      </c>
      <c r="BA404" s="1" t="s">
        <v>466</v>
      </c>
      <c r="BB404" s="1" t="s">
        <v>467</v>
      </c>
      <c r="BC404" s="1" t="s">
        <v>368</v>
      </c>
      <c r="BD404" s="1" t="s">
        <v>1089</v>
      </c>
      <c r="BE404" s="1">
        <v>64.5</v>
      </c>
      <c r="BF404" s="1">
        <v>6.95</v>
      </c>
      <c r="BG404" s="1"/>
      <c r="BH404" s="1"/>
      <c r="BI404" s="1"/>
      <c r="BJ404" s="1"/>
      <c r="BK404" s="1"/>
      <c r="BL404" s="1"/>
      <c r="BM404" s="1"/>
      <c r="BN404" s="1"/>
      <c r="BO404" s="1" t="s">
        <v>1114</v>
      </c>
      <c r="BP404" s="1"/>
      <c r="BQ404" s="1"/>
      <c r="BR404" s="1" t="s">
        <v>7971</v>
      </c>
      <c r="BS404" s="1">
        <v>21</v>
      </c>
      <c r="BT404" s="1" t="s">
        <v>849</v>
      </c>
      <c r="BU404" s="1" t="str">
        <f>HYPERLINK("https://nconnect.nicmar.ac.in/storage/profile/ProfilePhoto_P25700404_821954.jpg","Download")</f>
        <v>0</v>
      </c>
      <c r="BV404" s="3"/>
      <c r="BW404" s="3"/>
    </row>
    <row r="405" spans="1:75">
      <c r="A405" s="1" t="s">
        <v>75</v>
      </c>
      <c r="B405" s="1" t="s">
        <v>446</v>
      </c>
      <c r="C405" s="1" t="s">
        <v>7972</v>
      </c>
      <c r="D405" s="1" t="s">
        <v>7973</v>
      </c>
      <c r="E405" s="1"/>
      <c r="F405" s="1" t="s">
        <v>7974</v>
      </c>
      <c r="G405" s="1" t="s">
        <v>7975</v>
      </c>
      <c r="H405" s="1" t="s">
        <v>7976</v>
      </c>
      <c r="I405" s="1" t="s">
        <v>7977</v>
      </c>
      <c r="J405" s="1">
        <v>8891658174</v>
      </c>
      <c r="K405" s="1" t="s">
        <v>153</v>
      </c>
      <c r="L405" s="1" t="s">
        <v>7978</v>
      </c>
      <c r="M405" s="1" t="s">
        <v>86</v>
      </c>
      <c r="N405" s="1" t="s">
        <v>7058</v>
      </c>
      <c r="O405" s="1"/>
      <c r="P405" s="1" t="s">
        <v>455</v>
      </c>
      <c r="Q405" s="1" t="s">
        <v>7979</v>
      </c>
      <c r="R405" s="1" t="s">
        <v>7980</v>
      </c>
      <c r="S405" s="1">
        <v>9567129624</v>
      </c>
      <c r="T405" s="1" t="s">
        <v>7981</v>
      </c>
      <c r="U405" s="1" t="s">
        <v>7982</v>
      </c>
      <c r="V405" s="1">
        <v>9446748024</v>
      </c>
      <c r="W405" s="1" t="s">
        <v>541</v>
      </c>
      <c r="X405" s="1" t="s">
        <v>7983</v>
      </c>
      <c r="Y405" s="1" t="s">
        <v>701</v>
      </c>
      <c r="Z405" s="1" t="s">
        <v>130</v>
      </c>
      <c r="AA405" s="1" t="s">
        <v>7983</v>
      </c>
      <c r="AB405" s="1" t="s">
        <v>701</v>
      </c>
      <c r="AC405" s="1" t="s">
        <v>130</v>
      </c>
      <c r="AD405" s="1">
        <v>8.05</v>
      </c>
      <c r="AE405" s="1" t="s">
        <v>98</v>
      </c>
      <c r="AF405" s="1" t="s">
        <v>7984</v>
      </c>
      <c r="AG405" s="1" t="s">
        <v>7985</v>
      </c>
      <c r="AH405" s="1" t="s">
        <v>106</v>
      </c>
      <c r="AI405" s="1" t="s">
        <v>313</v>
      </c>
      <c r="AJ405" s="1">
        <v>81.8</v>
      </c>
      <c r="AK405" s="1"/>
      <c r="AL405" s="1" t="s">
        <v>7986</v>
      </c>
      <c r="AM405" s="1" t="s">
        <v>5973</v>
      </c>
      <c r="AN405" s="1" t="s">
        <v>575</v>
      </c>
      <c r="AO405" s="1" t="s">
        <v>438</v>
      </c>
      <c r="AP405" s="1" t="s">
        <v>549</v>
      </c>
      <c r="AQ405" s="1">
        <v>86.41</v>
      </c>
      <c r="AR405" s="1"/>
      <c r="AS405" s="1"/>
      <c r="AT405" s="1"/>
      <c r="AU405" s="1"/>
      <c r="AV405" s="1"/>
      <c r="AW405" s="1"/>
      <c r="AX405" s="1"/>
      <c r="AY405" s="1" t="s">
        <v>137</v>
      </c>
      <c r="AZ405" s="1" t="s">
        <v>7987</v>
      </c>
      <c r="BA405" s="1" t="s">
        <v>466</v>
      </c>
      <c r="BB405" s="1" t="s">
        <v>467</v>
      </c>
      <c r="BC405" s="1" t="s">
        <v>2304</v>
      </c>
      <c r="BD405" s="1" t="s">
        <v>607</v>
      </c>
      <c r="BE405" s="1">
        <v>71.7</v>
      </c>
      <c r="BF405" s="1">
        <v>7.17</v>
      </c>
      <c r="BG405" s="1"/>
      <c r="BH405" s="1"/>
      <c r="BI405" s="1"/>
      <c r="BJ405" s="1"/>
      <c r="BK405" s="1"/>
      <c r="BL405" s="1"/>
      <c r="BM405" s="1"/>
      <c r="BN405" s="1"/>
      <c r="BO405" s="1" t="s">
        <v>7988</v>
      </c>
      <c r="BP405" s="1"/>
      <c r="BQ405" s="1"/>
      <c r="BR405" s="1" t="s">
        <v>7989</v>
      </c>
      <c r="BS405" s="1">
        <v>8</v>
      </c>
      <c r="BT405" s="1"/>
      <c r="BU405" s="1" t="str">
        <f>HYPERLINK("https://nconnect.nicmar.ac.in/storage/profile/ProfilePhoto_P25700405_326714.jpg","Download")</f>
        <v>0</v>
      </c>
      <c r="BV405" s="3"/>
      <c r="BW405" s="3"/>
    </row>
    <row r="406" spans="1:75">
      <c r="A406" s="1" t="s">
        <v>75</v>
      </c>
      <c r="B406" s="1" t="s">
        <v>446</v>
      </c>
      <c r="C406" s="1" t="s">
        <v>7990</v>
      </c>
      <c r="D406" s="1" t="s">
        <v>7991</v>
      </c>
      <c r="E406" s="1"/>
      <c r="F406" s="1" t="s">
        <v>7992</v>
      </c>
      <c r="G406" s="1" t="s">
        <v>7993</v>
      </c>
      <c r="H406" s="1" t="s">
        <v>7994</v>
      </c>
      <c r="I406" s="1" t="s">
        <v>7995</v>
      </c>
      <c r="J406" s="1">
        <v>7024932567</v>
      </c>
      <c r="K406" s="1" t="s">
        <v>84</v>
      </c>
      <c r="L406" s="1" t="s">
        <v>7996</v>
      </c>
      <c r="M406" s="1" t="s">
        <v>86</v>
      </c>
      <c r="N406" s="1" t="s">
        <v>6390</v>
      </c>
      <c r="O406" s="1"/>
      <c r="P406" s="1" t="s">
        <v>455</v>
      </c>
      <c r="Q406" s="1" t="s">
        <v>7997</v>
      </c>
      <c r="R406" s="1" t="s">
        <v>7998</v>
      </c>
      <c r="S406" s="1">
        <v>9993191567</v>
      </c>
      <c r="T406" s="1" t="s">
        <v>159</v>
      </c>
      <c r="U406" s="1" t="s">
        <v>7999</v>
      </c>
      <c r="V406" s="1">
        <v>6263883748</v>
      </c>
      <c r="W406" s="1" t="s">
        <v>161</v>
      </c>
      <c r="X406" s="1" t="s">
        <v>8000</v>
      </c>
      <c r="Y406" s="1" t="s">
        <v>8001</v>
      </c>
      <c r="Z406" s="1" t="s">
        <v>3419</v>
      </c>
      <c r="AA406" s="1" t="s">
        <v>8002</v>
      </c>
      <c r="AB406" s="1" t="s">
        <v>8001</v>
      </c>
      <c r="AC406" s="1" t="s">
        <v>3419</v>
      </c>
      <c r="AD406" s="1">
        <v>8.1</v>
      </c>
      <c r="AE406" s="1" t="s">
        <v>98</v>
      </c>
      <c r="AF406" s="1" t="s">
        <v>8003</v>
      </c>
      <c r="AG406" s="1" t="s">
        <v>8004</v>
      </c>
      <c r="AH406" s="1" t="s">
        <v>798</v>
      </c>
      <c r="AI406" s="1" t="s">
        <v>136</v>
      </c>
      <c r="AJ406" s="1">
        <v>81.7</v>
      </c>
      <c r="AK406" s="1">
        <v>8.6</v>
      </c>
      <c r="AL406" s="1" t="s">
        <v>8005</v>
      </c>
      <c r="AM406" s="1" t="s">
        <v>8006</v>
      </c>
      <c r="AN406" s="1" t="s">
        <v>465</v>
      </c>
      <c r="AO406" s="1" t="s">
        <v>1111</v>
      </c>
      <c r="AP406" s="1" t="s">
        <v>200</v>
      </c>
      <c r="AQ406" s="1">
        <v>82</v>
      </c>
      <c r="AR406" s="1"/>
      <c r="AS406" s="1"/>
      <c r="AT406" s="1"/>
      <c r="AU406" s="1"/>
      <c r="AV406" s="1"/>
      <c r="AW406" s="1"/>
      <c r="AX406" s="1"/>
      <c r="AY406" s="1" t="s">
        <v>415</v>
      </c>
      <c r="AZ406" s="1" t="s">
        <v>8007</v>
      </c>
      <c r="BA406" s="1" t="s">
        <v>578</v>
      </c>
      <c r="BB406" s="1" t="s">
        <v>467</v>
      </c>
      <c r="BC406" s="1" t="s">
        <v>230</v>
      </c>
      <c r="BD406" s="1" t="s">
        <v>845</v>
      </c>
      <c r="BE406" s="1">
        <v>62.2</v>
      </c>
      <c r="BF406" s="1">
        <v>6.97</v>
      </c>
      <c r="BG406" s="1"/>
      <c r="BH406" s="1"/>
      <c r="BI406" s="1"/>
      <c r="BJ406" s="1"/>
      <c r="BK406" s="1"/>
      <c r="BL406" s="1"/>
      <c r="BM406" s="1"/>
      <c r="BN406" s="1"/>
      <c r="BO406" s="1" t="s">
        <v>8008</v>
      </c>
      <c r="BP406" s="1" t="s">
        <v>8009</v>
      </c>
      <c r="BQ406" s="1" t="s">
        <v>8010</v>
      </c>
      <c r="BR406" s="1" t="s">
        <v>8011</v>
      </c>
      <c r="BS406" s="1">
        <v>8</v>
      </c>
      <c r="BT406" s="1" t="s">
        <v>8012</v>
      </c>
      <c r="BU406" s="1" t="str">
        <f>HYPERLINK("https://nconnect.nicmar.ac.in/storage/profile/ProfilePhoto_P25700406_627149.jpg","Download")</f>
        <v>0</v>
      </c>
      <c r="BV406" s="3"/>
      <c r="BW406" s="3"/>
    </row>
    <row r="407" spans="1:75">
      <c r="A407" s="1" t="s">
        <v>75</v>
      </c>
      <c r="B407" s="1" t="s">
        <v>446</v>
      </c>
      <c r="C407" s="1" t="s">
        <v>8013</v>
      </c>
      <c r="D407" s="1" t="s">
        <v>8014</v>
      </c>
      <c r="E407" s="1" t="s">
        <v>8015</v>
      </c>
      <c r="F407" s="1" t="s">
        <v>116</v>
      </c>
      <c r="G407" s="1" t="s">
        <v>8016</v>
      </c>
      <c r="H407" s="1" t="s">
        <v>8017</v>
      </c>
      <c r="I407" s="1" t="s">
        <v>8018</v>
      </c>
      <c r="J407" s="1">
        <v>7904240080</v>
      </c>
      <c r="K407" s="1" t="s">
        <v>84</v>
      </c>
      <c r="L407" s="1" t="s">
        <v>8019</v>
      </c>
      <c r="M407" s="1" t="s">
        <v>86</v>
      </c>
      <c r="N407" s="1" t="s">
        <v>8020</v>
      </c>
      <c r="O407" s="1"/>
      <c r="P407" s="1" t="s">
        <v>670</v>
      </c>
      <c r="Q407" s="1" t="s">
        <v>8021</v>
      </c>
      <c r="R407" s="1" t="s">
        <v>8022</v>
      </c>
      <c r="S407" s="1">
        <v>9486953457</v>
      </c>
      <c r="T407" s="1" t="s">
        <v>8023</v>
      </c>
      <c r="U407" s="1" t="s">
        <v>8024</v>
      </c>
      <c r="V407" s="1">
        <v>9486971574</v>
      </c>
      <c r="W407" s="1" t="s">
        <v>127</v>
      </c>
      <c r="X407" s="1" t="s">
        <v>8025</v>
      </c>
      <c r="Y407" s="1" t="s">
        <v>1864</v>
      </c>
      <c r="Z407" s="1" t="s">
        <v>570</v>
      </c>
      <c r="AA407" s="1" t="s">
        <v>8025</v>
      </c>
      <c r="AB407" s="1" t="s">
        <v>1864</v>
      </c>
      <c r="AC407" s="1" t="s">
        <v>570</v>
      </c>
      <c r="AD407" s="1">
        <v>7.59</v>
      </c>
      <c r="AE407" s="1" t="s">
        <v>98</v>
      </c>
      <c r="AF407" s="1" t="s">
        <v>8026</v>
      </c>
      <c r="AG407" s="1" t="s">
        <v>8027</v>
      </c>
      <c r="AH407" s="1" t="s">
        <v>704</v>
      </c>
      <c r="AI407" s="1" t="s">
        <v>286</v>
      </c>
      <c r="AJ407" s="1">
        <v>81</v>
      </c>
      <c r="AK407" s="1"/>
      <c r="AL407" s="1" t="s">
        <v>8026</v>
      </c>
      <c r="AM407" s="1" t="s">
        <v>8027</v>
      </c>
      <c r="AN407" s="1" t="s">
        <v>575</v>
      </c>
      <c r="AO407" s="1" t="s">
        <v>547</v>
      </c>
      <c r="AP407" s="1" t="s">
        <v>603</v>
      </c>
      <c r="AQ407" s="1">
        <v>82.6</v>
      </c>
      <c r="AR407" s="1"/>
      <c r="AS407" s="1"/>
      <c r="AT407" s="1"/>
      <c r="AU407" s="1"/>
      <c r="AV407" s="1"/>
      <c r="AW407" s="1"/>
      <c r="AX407" s="1"/>
      <c r="AY407" s="1" t="s">
        <v>8028</v>
      </c>
      <c r="AZ407" s="1" t="s">
        <v>8029</v>
      </c>
      <c r="BA407" s="1" t="s">
        <v>578</v>
      </c>
      <c r="BB407" s="1" t="s">
        <v>467</v>
      </c>
      <c r="BC407" s="1" t="s">
        <v>977</v>
      </c>
      <c r="BD407" s="1" t="s">
        <v>1314</v>
      </c>
      <c r="BE407" s="1">
        <v>81.6</v>
      </c>
      <c r="BF407" s="1">
        <v>8.16</v>
      </c>
      <c r="BG407" s="1"/>
      <c r="BH407" s="1"/>
      <c r="BI407" s="1"/>
      <c r="BJ407" s="1"/>
      <c r="BK407" s="1"/>
      <c r="BL407" s="1"/>
      <c r="BM407" s="1"/>
      <c r="BN407" s="1"/>
      <c r="BO407" s="1" t="s">
        <v>8030</v>
      </c>
      <c r="BP407" s="1"/>
      <c r="BQ407" s="1"/>
      <c r="BR407" s="1" t="s">
        <v>8031</v>
      </c>
      <c r="BS407" s="1">
        <v>38</v>
      </c>
      <c r="BT407" s="1" t="s">
        <v>8032</v>
      </c>
      <c r="BU407" s="1" t="str">
        <f>HYPERLINK("https://nconnect.nicmar.ac.in/storage/profile/ProfilePhoto_P25700408_658397.jpg","Download")</f>
        <v>0</v>
      </c>
      <c r="BV407" s="3"/>
      <c r="BW407" s="3"/>
    </row>
    <row r="408" spans="1:75">
      <c r="A408" s="1" t="s">
        <v>75</v>
      </c>
      <c r="B408" s="1" t="s">
        <v>446</v>
      </c>
      <c r="C408" s="1" t="s">
        <v>8033</v>
      </c>
      <c r="D408" s="1" t="s">
        <v>8034</v>
      </c>
      <c r="E408" s="1" t="s">
        <v>8035</v>
      </c>
      <c r="F408" s="1" t="s">
        <v>1179</v>
      </c>
      <c r="G408" s="1" t="s">
        <v>8036</v>
      </c>
      <c r="H408" s="1" t="s">
        <v>8037</v>
      </c>
      <c r="I408" s="1" t="s">
        <v>8038</v>
      </c>
      <c r="J408" s="1">
        <v>9324590042</v>
      </c>
      <c r="K408" s="1" t="s">
        <v>84</v>
      </c>
      <c r="L408" s="1" t="s">
        <v>6797</v>
      </c>
      <c r="M408" s="1" t="s">
        <v>86</v>
      </c>
      <c r="N408" s="1" t="s">
        <v>3568</v>
      </c>
      <c r="O408" s="1"/>
      <c r="P408" s="1" t="s">
        <v>507</v>
      </c>
      <c r="Q408" s="1" t="s">
        <v>8039</v>
      </c>
      <c r="R408" s="1" t="s">
        <v>8040</v>
      </c>
      <c r="S408" s="1">
        <v>8928000737</v>
      </c>
      <c r="T408" s="1" t="s">
        <v>92</v>
      </c>
      <c r="U408" s="1" t="s">
        <v>8041</v>
      </c>
      <c r="V408" s="1">
        <v>7666007593</v>
      </c>
      <c r="W408" s="1" t="s">
        <v>161</v>
      </c>
      <c r="X408" s="1" t="s">
        <v>8042</v>
      </c>
      <c r="Y408" s="1" t="s">
        <v>1012</v>
      </c>
      <c r="Z408" s="1" t="s">
        <v>97</v>
      </c>
      <c r="AA408" s="1" t="s">
        <v>8042</v>
      </c>
      <c r="AB408" s="1" t="s">
        <v>1012</v>
      </c>
      <c r="AC408" s="1" t="s">
        <v>97</v>
      </c>
      <c r="AD408" s="1">
        <v>8.64</v>
      </c>
      <c r="AE408" s="1" t="s">
        <v>98</v>
      </c>
      <c r="AF408" s="1" t="s">
        <v>8043</v>
      </c>
      <c r="AG408" s="1" t="s">
        <v>8044</v>
      </c>
      <c r="AH408" s="1" t="s">
        <v>106</v>
      </c>
      <c r="AI408" s="1" t="s">
        <v>414</v>
      </c>
      <c r="AJ408" s="1">
        <v>76.4</v>
      </c>
      <c r="AK408" s="1"/>
      <c r="AL408" s="1"/>
      <c r="AM408" s="1"/>
      <c r="AN408" s="1"/>
      <c r="AO408" s="1"/>
      <c r="AP408" s="1"/>
      <c r="AQ408" s="1"/>
      <c r="AR408" s="1"/>
      <c r="AS408" s="1" t="s">
        <v>439</v>
      </c>
      <c r="AT408" s="1" t="s">
        <v>8045</v>
      </c>
      <c r="AU408" s="1" t="s">
        <v>315</v>
      </c>
      <c r="AV408" s="1" t="s">
        <v>110</v>
      </c>
      <c r="AW408" s="1">
        <v>83.57</v>
      </c>
      <c r="AX408" s="1"/>
      <c r="AY408" s="1" t="s">
        <v>258</v>
      </c>
      <c r="AZ408" s="1" t="s">
        <v>8046</v>
      </c>
      <c r="BA408" s="1"/>
      <c r="BB408" s="1"/>
      <c r="BC408" s="1" t="s">
        <v>1889</v>
      </c>
      <c r="BD408" s="1" t="s">
        <v>848</v>
      </c>
      <c r="BE408" s="1">
        <v>68.33</v>
      </c>
      <c r="BF408" s="1">
        <v>7.63</v>
      </c>
      <c r="BG408" s="1"/>
      <c r="BH408" s="1"/>
      <c r="BI408" s="1"/>
      <c r="BJ408" s="1"/>
      <c r="BK408" s="1"/>
      <c r="BL408" s="1"/>
      <c r="BM408" s="1"/>
      <c r="BN408" s="1"/>
      <c r="BO408" s="1" t="s">
        <v>8047</v>
      </c>
      <c r="BP408" s="1"/>
      <c r="BQ408" s="1"/>
      <c r="BR408" s="1" t="s">
        <v>8048</v>
      </c>
      <c r="BS408" s="1">
        <v>42</v>
      </c>
      <c r="BT408" s="1"/>
      <c r="BU408" s="1" t="str">
        <f>HYPERLINK("https://nconnect.nicmar.ac.in/storage/profile/ProfilePhoto_P25700409_123987.jpg","Download")</f>
        <v>0</v>
      </c>
      <c r="BV408" s="3"/>
      <c r="BW408" s="3"/>
    </row>
    <row r="409" spans="1:75">
      <c r="A409" s="1" t="s">
        <v>75</v>
      </c>
      <c r="B409" s="1" t="s">
        <v>446</v>
      </c>
      <c r="C409" s="1" t="s">
        <v>8049</v>
      </c>
      <c r="D409" s="1" t="s">
        <v>8050</v>
      </c>
      <c r="E409" s="1"/>
      <c r="F409" s="1" t="s">
        <v>8051</v>
      </c>
      <c r="G409" s="1" t="s">
        <v>8052</v>
      </c>
      <c r="H409" s="1" t="s">
        <v>8053</v>
      </c>
      <c r="I409" s="1" t="s">
        <v>8054</v>
      </c>
      <c r="J409" s="1">
        <v>7306098393</v>
      </c>
      <c r="K409" s="1" t="s">
        <v>84</v>
      </c>
      <c r="L409" s="1" t="s">
        <v>378</v>
      </c>
      <c r="M409" s="1" t="s">
        <v>86</v>
      </c>
      <c r="N409" s="1" t="s">
        <v>121</v>
      </c>
      <c r="O409" s="1"/>
      <c r="P409" s="1" t="s">
        <v>455</v>
      </c>
      <c r="Q409" s="1" t="s">
        <v>8055</v>
      </c>
      <c r="R409" s="1" t="s">
        <v>8056</v>
      </c>
      <c r="S409" s="1">
        <v>8129707777</v>
      </c>
      <c r="T409" s="1" t="s">
        <v>839</v>
      </c>
      <c r="U409" s="1" t="s">
        <v>8057</v>
      </c>
      <c r="V409" s="1">
        <v>8129433773</v>
      </c>
      <c r="W409" s="1" t="s">
        <v>539</v>
      </c>
      <c r="X409" s="1" t="s">
        <v>8058</v>
      </c>
      <c r="Y409" s="1" t="s">
        <v>701</v>
      </c>
      <c r="Z409" s="1" t="s">
        <v>130</v>
      </c>
      <c r="AA409" s="1" t="s">
        <v>8058</v>
      </c>
      <c r="AB409" s="1" t="s">
        <v>701</v>
      </c>
      <c r="AC409" s="1" t="s">
        <v>130</v>
      </c>
      <c r="AD409" s="1">
        <v>9.23</v>
      </c>
      <c r="AE409" s="1" t="s">
        <v>98</v>
      </c>
      <c r="AF409" s="1" t="s">
        <v>8059</v>
      </c>
      <c r="AG409" s="1" t="s">
        <v>8060</v>
      </c>
      <c r="AH409" s="1" t="s">
        <v>167</v>
      </c>
      <c r="AI409" s="1" t="s">
        <v>170</v>
      </c>
      <c r="AJ409" s="1">
        <v>95</v>
      </c>
      <c r="AK409" s="1">
        <v>10</v>
      </c>
      <c r="AL409" s="1" t="s">
        <v>8061</v>
      </c>
      <c r="AM409" s="1" t="s">
        <v>8062</v>
      </c>
      <c r="AN409" s="1" t="s">
        <v>575</v>
      </c>
      <c r="AO409" s="1" t="s">
        <v>170</v>
      </c>
      <c r="AP409" s="1" t="s">
        <v>414</v>
      </c>
      <c r="AQ409" s="1">
        <v>98.41</v>
      </c>
      <c r="AR409" s="1"/>
      <c r="AS409" s="1"/>
      <c r="AT409" s="1"/>
      <c r="AU409" s="1"/>
      <c r="AV409" s="1"/>
      <c r="AW409" s="1"/>
      <c r="AX409" s="1"/>
      <c r="AY409" s="1" t="s">
        <v>137</v>
      </c>
      <c r="AZ409" s="1" t="s">
        <v>1646</v>
      </c>
      <c r="BA409" s="1" t="s">
        <v>466</v>
      </c>
      <c r="BB409" s="1" t="s">
        <v>467</v>
      </c>
      <c r="BC409" s="1" t="s">
        <v>206</v>
      </c>
      <c r="BD409" s="1" t="s">
        <v>391</v>
      </c>
      <c r="BE409" s="1">
        <v>89</v>
      </c>
      <c r="BF409" s="1">
        <v>8.9</v>
      </c>
      <c r="BG409" s="1"/>
      <c r="BH409" s="1"/>
      <c r="BI409" s="1"/>
      <c r="BJ409" s="1"/>
      <c r="BK409" s="1"/>
      <c r="BL409" s="1"/>
      <c r="BM409" s="1"/>
      <c r="BN409" s="1"/>
      <c r="BO409" s="1" t="s">
        <v>369</v>
      </c>
      <c r="BP409" s="1" t="s">
        <v>8063</v>
      </c>
      <c r="BQ409" s="1" t="s">
        <v>1070</v>
      </c>
      <c r="BR409" s="1" t="s">
        <v>8064</v>
      </c>
      <c r="BS409" s="1">
        <v>9</v>
      </c>
      <c r="BT409" s="1"/>
      <c r="BU409" s="1" t="str">
        <f>HYPERLINK("https://nconnect.nicmar.ac.in/storage/profile/ProfilePhoto_P25700410_465312.jpg","Download")</f>
        <v>0</v>
      </c>
      <c r="BV409" s="3"/>
      <c r="BW409" s="3"/>
    </row>
    <row r="410" spans="1:75">
      <c r="A410" s="1" t="s">
        <v>75</v>
      </c>
      <c r="B410" s="1" t="s">
        <v>446</v>
      </c>
      <c r="C410" s="1" t="s">
        <v>8065</v>
      </c>
      <c r="D410" s="1" t="s">
        <v>8066</v>
      </c>
      <c r="E410" s="1"/>
      <c r="F410" s="1" t="s">
        <v>8067</v>
      </c>
      <c r="G410" s="1" t="s">
        <v>8068</v>
      </c>
      <c r="H410" s="1" t="s">
        <v>8069</v>
      </c>
      <c r="I410" s="1" t="s">
        <v>8070</v>
      </c>
      <c r="J410" s="1">
        <v>7620468815</v>
      </c>
      <c r="K410" s="1" t="s">
        <v>153</v>
      </c>
      <c r="L410" s="1" t="s">
        <v>8071</v>
      </c>
      <c r="M410" s="1" t="s">
        <v>86</v>
      </c>
      <c r="N410" s="1" t="s">
        <v>8072</v>
      </c>
      <c r="O410" s="1"/>
      <c r="P410" s="1" t="s">
        <v>455</v>
      </c>
      <c r="Q410" s="1" t="s">
        <v>8073</v>
      </c>
      <c r="R410" s="1" t="s">
        <v>8074</v>
      </c>
      <c r="S410" s="1">
        <v>7083909199</v>
      </c>
      <c r="T410" s="1" t="s">
        <v>8075</v>
      </c>
      <c r="U410" s="1" t="s">
        <v>8076</v>
      </c>
      <c r="V410" s="1">
        <v>9987646993</v>
      </c>
      <c r="W410" s="1" t="s">
        <v>161</v>
      </c>
      <c r="X410" s="1" t="s">
        <v>8077</v>
      </c>
      <c r="Y410" s="1" t="s">
        <v>196</v>
      </c>
      <c r="Z410" s="1" t="s">
        <v>97</v>
      </c>
      <c r="AA410" s="1" t="s">
        <v>8077</v>
      </c>
      <c r="AB410" s="1" t="s">
        <v>196</v>
      </c>
      <c r="AC410" s="1" t="s">
        <v>97</v>
      </c>
      <c r="AD410" s="1">
        <v>9.33</v>
      </c>
      <c r="AE410" s="1" t="s">
        <v>98</v>
      </c>
      <c r="AF410" s="1" t="s">
        <v>8078</v>
      </c>
      <c r="AG410" s="1" t="s">
        <v>775</v>
      </c>
      <c r="AH410" s="1" t="s">
        <v>1110</v>
      </c>
      <c r="AI410" s="1" t="s">
        <v>627</v>
      </c>
      <c r="AJ410" s="1">
        <v>93.1</v>
      </c>
      <c r="AK410" s="1">
        <v>9.8</v>
      </c>
      <c r="AL410" s="1" t="s">
        <v>8079</v>
      </c>
      <c r="AM410" s="1" t="s">
        <v>312</v>
      </c>
      <c r="AN410" s="1" t="s">
        <v>465</v>
      </c>
      <c r="AO410" s="1" t="s">
        <v>704</v>
      </c>
      <c r="AP410" s="1" t="s">
        <v>171</v>
      </c>
      <c r="AQ410" s="1">
        <v>84.4</v>
      </c>
      <c r="AR410" s="1"/>
      <c r="AS410" s="1"/>
      <c r="AT410" s="1"/>
      <c r="AU410" s="1"/>
      <c r="AV410" s="1"/>
      <c r="AW410" s="1"/>
      <c r="AX410" s="1"/>
      <c r="AY410" s="1" t="s">
        <v>366</v>
      </c>
      <c r="AZ410" s="1" t="s">
        <v>8080</v>
      </c>
      <c r="BA410" s="1" t="s">
        <v>466</v>
      </c>
      <c r="BB410" s="1" t="s">
        <v>467</v>
      </c>
      <c r="BC410" s="1" t="s">
        <v>1065</v>
      </c>
      <c r="BD410" s="1" t="s">
        <v>632</v>
      </c>
      <c r="BE410" s="1">
        <v>83.42</v>
      </c>
      <c r="BF410" s="1">
        <v>9.48</v>
      </c>
      <c r="BG410" s="1"/>
      <c r="BH410" s="1"/>
      <c r="BI410" s="1"/>
      <c r="BJ410" s="1"/>
      <c r="BK410" s="1"/>
      <c r="BL410" s="1"/>
      <c r="BM410" s="1"/>
      <c r="BN410" s="1"/>
      <c r="BO410" s="1" t="s">
        <v>8081</v>
      </c>
      <c r="BP410" s="1" t="s">
        <v>8082</v>
      </c>
      <c r="BQ410" s="1" t="s">
        <v>345</v>
      </c>
      <c r="BR410" s="1" t="s">
        <v>8083</v>
      </c>
      <c r="BS410" s="1">
        <v>29</v>
      </c>
      <c r="BT410" s="1" t="s">
        <v>8084</v>
      </c>
      <c r="BU410" s="1" t="str">
        <f>HYPERLINK("https://nconnect.nicmar.ac.in/storage/profile/ProfilePhoto_P25700411_579146.jpg","Download")</f>
        <v>0</v>
      </c>
      <c r="BV410" s="3"/>
      <c r="BW410" s="4">
        <v>1</v>
      </c>
    </row>
    <row r="411" spans="1:75">
      <c r="A411" s="1" t="s">
        <v>75</v>
      </c>
      <c r="B411" s="1" t="s">
        <v>446</v>
      </c>
      <c r="C411" s="1" t="s">
        <v>8085</v>
      </c>
      <c r="D411" s="1" t="s">
        <v>2097</v>
      </c>
      <c r="E411" s="1"/>
      <c r="F411" s="1" t="s">
        <v>8086</v>
      </c>
      <c r="G411" s="1" t="s">
        <v>8087</v>
      </c>
      <c r="H411" s="1" t="s">
        <v>8088</v>
      </c>
      <c r="I411" s="1" t="s">
        <v>8089</v>
      </c>
      <c r="J411" s="1">
        <v>6360667579</v>
      </c>
      <c r="K411" s="1" t="s">
        <v>84</v>
      </c>
      <c r="L411" s="1" t="s">
        <v>8090</v>
      </c>
      <c r="M411" s="1" t="s">
        <v>86</v>
      </c>
      <c r="N411" s="1" t="s">
        <v>8091</v>
      </c>
      <c r="O411" s="1"/>
      <c r="P411" s="1" t="s">
        <v>481</v>
      </c>
      <c r="Q411" s="1" t="s">
        <v>8092</v>
      </c>
      <c r="R411" s="1" t="s">
        <v>8093</v>
      </c>
      <c r="S411" s="1">
        <v>9620030680</v>
      </c>
      <c r="T411" s="1" t="s">
        <v>839</v>
      </c>
      <c r="U411" s="1" t="s">
        <v>8094</v>
      </c>
      <c r="V411" s="1">
        <v>8497016301</v>
      </c>
      <c r="W411" s="1" t="s">
        <v>94</v>
      </c>
      <c r="X411" s="1" t="s">
        <v>8095</v>
      </c>
      <c r="Y411" s="1" t="s">
        <v>4611</v>
      </c>
      <c r="Z411" s="1" t="s">
        <v>1210</v>
      </c>
      <c r="AA411" s="1" t="s">
        <v>8095</v>
      </c>
      <c r="AB411" s="1" t="s">
        <v>4611</v>
      </c>
      <c r="AC411" s="1" t="s">
        <v>1210</v>
      </c>
      <c r="AD411" s="1">
        <v>8.97</v>
      </c>
      <c r="AE411" s="1" t="s">
        <v>98</v>
      </c>
      <c r="AF411" s="1" t="s">
        <v>8096</v>
      </c>
      <c r="AG411" s="1" t="s">
        <v>8097</v>
      </c>
      <c r="AH411" s="1" t="s">
        <v>101</v>
      </c>
      <c r="AI411" s="1" t="s">
        <v>136</v>
      </c>
      <c r="AJ411" s="1">
        <v>80.16</v>
      </c>
      <c r="AK411" s="1">
        <v>0</v>
      </c>
      <c r="AL411" s="1" t="s">
        <v>8098</v>
      </c>
      <c r="AM411" s="1" t="s">
        <v>8099</v>
      </c>
      <c r="AN411" s="1" t="s">
        <v>575</v>
      </c>
      <c r="AO411" s="1" t="s">
        <v>167</v>
      </c>
      <c r="AP411" s="1" t="s">
        <v>573</v>
      </c>
      <c r="AQ411" s="1">
        <v>84.66</v>
      </c>
      <c r="AR411" s="1">
        <v>0</v>
      </c>
      <c r="AS411" s="1"/>
      <c r="AT411" s="1"/>
      <c r="AU411" s="1"/>
      <c r="AV411" s="1"/>
      <c r="AW411" s="1"/>
      <c r="AX411" s="1"/>
      <c r="AY411" s="1" t="s">
        <v>1217</v>
      </c>
      <c r="AZ411" s="1" t="s">
        <v>8100</v>
      </c>
      <c r="BA411" s="1" t="s">
        <v>578</v>
      </c>
      <c r="BB411" s="1" t="s">
        <v>467</v>
      </c>
      <c r="BC411" s="1" t="s">
        <v>230</v>
      </c>
      <c r="BD411" s="1" t="s">
        <v>441</v>
      </c>
      <c r="BE411" s="1">
        <v>72.3</v>
      </c>
      <c r="BF411" s="1">
        <v>7.98</v>
      </c>
      <c r="BG411" s="1"/>
      <c r="BH411" s="1"/>
      <c r="BI411" s="1"/>
      <c r="BJ411" s="1"/>
      <c r="BK411" s="1"/>
      <c r="BL411" s="1"/>
      <c r="BM411" s="1"/>
      <c r="BN411" s="1"/>
      <c r="BO411" s="1" t="s">
        <v>8101</v>
      </c>
      <c r="BP411" s="1" t="s">
        <v>8102</v>
      </c>
      <c r="BQ411" s="1" t="s">
        <v>4149</v>
      </c>
      <c r="BR411" s="1" t="s">
        <v>8103</v>
      </c>
      <c r="BS411" s="1">
        <v>8</v>
      </c>
      <c r="BT411" s="1"/>
      <c r="BU411" s="1" t="str">
        <f>HYPERLINK("https://nconnect.nicmar.ac.in/storage/profile/ProfilePhoto_P25700412_865394.jpg","Download")</f>
        <v>0</v>
      </c>
      <c r="BV411" s="3"/>
      <c r="BW411" s="3"/>
    </row>
    <row r="412" spans="1:75">
      <c r="A412" s="1" t="s">
        <v>75</v>
      </c>
      <c r="B412" s="1" t="s">
        <v>446</v>
      </c>
      <c r="C412" s="1" t="s">
        <v>8104</v>
      </c>
      <c r="D412" s="1" t="s">
        <v>7146</v>
      </c>
      <c r="E412" s="1" t="s">
        <v>8105</v>
      </c>
      <c r="F412" s="1" t="s">
        <v>8106</v>
      </c>
      <c r="G412" s="1" t="s">
        <v>8107</v>
      </c>
      <c r="H412" s="1" t="s">
        <v>8108</v>
      </c>
      <c r="I412" s="1" t="s">
        <v>8109</v>
      </c>
      <c r="J412" s="1">
        <v>9324100050</v>
      </c>
      <c r="K412" s="1" t="s">
        <v>84</v>
      </c>
      <c r="L412" s="1" t="s">
        <v>8110</v>
      </c>
      <c r="M412" s="1" t="s">
        <v>86</v>
      </c>
      <c r="N412" s="1" t="s">
        <v>1163</v>
      </c>
      <c r="O412" s="1"/>
      <c r="P412" s="1" t="s">
        <v>481</v>
      </c>
      <c r="Q412" s="1" t="s">
        <v>8111</v>
      </c>
      <c r="R412" s="1" t="s">
        <v>8112</v>
      </c>
      <c r="S412" s="1">
        <v>8080406777</v>
      </c>
      <c r="T412" s="1" t="s">
        <v>839</v>
      </c>
      <c r="U412" s="1" t="s">
        <v>8113</v>
      </c>
      <c r="V412" s="1">
        <v>9594289981</v>
      </c>
      <c r="W412" s="1" t="s">
        <v>161</v>
      </c>
      <c r="X412" s="1" t="s">
        <v>8114</v>
      </c>
      <c r="Y412" s="1" t="s">
        <v>1012</v>
      </c>
      <c r="Z412" s="1" t="s">
        <v>97</v>
      </c>
      <c r="AA412" s="1" t="s">
        <v>8114</v>
      </c>
      <c r="AB412" s="1" t="s">
        <v>1012</v>
      </c>
      <c r="AC412" s="1" t="s">
        <v>97</v>
      </c>
      <c r="AD412" s="1">
        <v>8.03</v>
      </c>
      <c r="AE412" s="1" t="s">
        <v>98</v>
      </c>
      <c r="AF412" s="1" t="s">
        <v>8115</v>
      </c>
      <c r="AG412" s="1" t="s">
        <v>4324</v>
      </c>
      <c r="AH412" s="1" t="s">
        <v>106</v>
      </c>
      <c r="AI412" s="1" t="s">
        <v>313</v>
      </c>
      <c r="AJ412" s="1">
        <v>70.6</v>
      </c>
      <c r="AK412" s="1"/>
      <c r="AL412" s="1"/>
      <c r="AM412" s="1"/>
      <c r="AN412" s="1"/>
      <c r="AO412" s="1"/>
      <c r="AP412" s="1"/>
      <c r="AQ412" s="1"/>
      <c r="AR412" s="1"/>
      <c r="AS412" s="1" t="s">
        <v>439</v>
      </c>
      <c r="AT412" s="1" t="s">
        <v>1885</v>
      </c>
      <c r="AU412" s="1" t="s">
        <v>315</v>
      </c>
      <c r="AV412" s="1" t="s">
        <v>1400</v>
      </c>
      <c r="AW412" s="1">
        <v>70.58</v>
      </c>
      <c r="AX412" s="1">
        <v>0</v>
      </c>
      <c r="AY412" s="1" t="s">
        <v>680</v>
      </c>
      <c r="AZ412" s="1" t="s">
        <v>4031</v>
      </c>
      <c r="BA412" s="1" t="s">
        <v>578</v>
      </c>
      <c r="BB412" s="1" t="s">
        <v>3661</v>
      </c>
      <c r="BC412" s="1" t="s">
        <v>1889</v>
      </c>
      <c r="BD412" s="1" t="s">
        <v>848</v>
      </c>
      <c r="BE412" s="1">
        <v>62.14</v>
      </c>
      <c r="BF412" s="1">
        <v>6.98</v>
      </c>
      <c r="BG412" s="1"/>
      <c r="BH412" s="1"/>
      <c r="BI412" s="1"/>
      <c r="BJ412" s="1"/>
      <c r="BK412" s="1"/>
      <c r="BL412" s="1"/>
      <c r="BM412" s="1"/>
      <c r="BN412" s="1"/>
      <c r="BO412" s="1" t="s">
        <v>8116</v>
      </c>
      <c r="BP412" s="1"/>
      <c r="BQ412" s="1"/>
      <c r="BR412" s="1" t="s">
        <v>8117</v>
      </c>
      <c r="BS412" s="1">
        <v>13</v>
      </c>
      <c r="BT412" s="1"/>
      <c r="BU412" s="1" t="str">
        <f>HYPERLINK("https://nconnect.nicmar.ac.in/storage/profile/ProfilePhoto_P25700413_347268.jpg","Download")</f>
        <v>0</v>
      </c>
      <c r="BV412" s="3"/>
      <c r="BW412" s="3"/>
    </row>
    <row r="413" spans="1:75">
      <c r="A413" s="1" t="s">
        <v>75</v>
      </c>
      <c r="B413" s="1" t="s">
        <v>446</v>
      </c>
      <c r="C413" s="1" t="s">
        <v>8118</v>
      </c>
      <c r="D413" s="1" t="s">
        <v>8119</v>
      </c>
      <c r="E413" s="1"/>
      <c r="F413" s="1" t="s">
        <v>4802</v>
      </c>
      <c r="G413" s="1" t="s">
        <v>8120</v>
      </c>
      <c r="H413" s="1" t="s">
        <v>8121</v>
      </c>
      <c r="I413" s="1" t="s">
        <v>8122</v>
      </c>
      <c r="J413" s="1">
        <v>7338337037</v>
      </c>
      <c r="K413" s="1" t="s">
        <v>84</v>
      </c>
      <c r="L413" s="1" t="s">
        <v>8123</v>
      </c>
      <c r="M413" s="1" t="s">
        <v>86</v>
      </c>
      <c r="N413" s="1" t="s">
        <v>8124</v>
      </c>
      <c r="O413" s="1"/>
      <c r="P413" s="1" t="s">
        <v>507</v>
      </c>
      <c r="Q413" s="1" t="s">
        <v>8125</v>
      </c>
      <c r="R413" s="1" t="s">
        <v>8126</v>
      </c>
      <c r="S413" s="1">
        <v>9740148104</v>
      </c>
      <c r="T413" s="1" t="s">
        <v>926</v>
      </c>
      <c r="U413" s="1" t="s">
        <v>8127</v>
      </c>
      <c r="V413" s="1">
        <v>9008749887</v>
      </c>
      <c r="W413" s="1" t="s">
        <v>94</v>
      </c>
      <c r="X413" s="1" t="s">
        <v>8128</v>
      </c>
      <c r="Y413" s="1" t="s">
        <v>3132</v>
      </c>
      <c r="Z413" s="1" t="s">
        <v>1210</v>
      </c>
      <c r="AA413" s="1" t="s">
        <v>8128</v>
      </c>
      <c r="AB413" s="1" t="s">
        <v>3132</v>
      </c>
      <c r="AC413" s="1" t="s">
        <v>1210</v>
      </c>
      <c r="AD413" s="1">
        <v>8.82</v>
      </c>
      <c r="AE413" s="1" t="s">
        <v>98</v>
      </c>
      <c r="AF413" s="1" t="s">
        <v>8129</v>
      </c>
      <c r="AG413" s="1" t="s">
        <v>1946</v>
      </c>
      <c r="AH413" s="1" t="s">
        <v>1110</v>
      </c>
      <c r="AI413" s="1" t="s">
        <v>284</v>
      </c>
      <c r="AJ413" s="1">
        <v>92.96</v>
      </c>
      <c r="AK413" s="1"/>
      <c r="AL413" s="1" t="s">
        <v>8130</v>
      </c>
      <c r="AM413" s="1" t="s">
        <v>8131</v>
      </c>
      <c r="AN413" s="1" t="s">
        <v>465</v>
      </c>
      <c r="AO413" s="1" t="s">
        <v>573</v>
      </c>
      <c r="AP413" s="1" t="s">
        <v>171</v>
      </c>
      <c r="AQ413" s="1">
        <v>76.33</v>
      </c>
      <c r="AR413" s="1"/>
      <c r="AS413" s="1"/>
      <c r="AT413" s="1"/>
      <c r="AU413" s="1"/>
      <c r="AV413" s="1"/>
      <c r="AW413" s="1"/>
      <c r="AX413" s="1"/>
      <c r="AY413" s="1" t="s">
        <v>8132</v>
      </c>
      <c r="AZ413" s="1" t="s">
        <v>8133</v>
      </c>
      <c r="BA413" s="1" t="s">
        <v>682</v>
      </c>
      <c r="BB413" s="1" t="s">
        <v>1479</v>
      </c>
      <c r="BC413" s="1" t="s">
        <v>106</v>
      </c>
      <c r="BD413" s="1" t="s">
        <v>234</v>
      </c>
      <c r="BE413" s="1">
        <v>73.3</v>
      </c>
      <c r="BF413" s="1">
        <v>8.08</v>
      </c>
      <c r="BG413" s="1"/>
      <c r="BH413" s="1"/>
      <c r="BI413" s="1"/>
      <c r="BJ413" s="1"/>
      <c r="BK413" s="1"/>
      <c r="BL413" s="1"/>
      <c r="BM413" s="1"/>
      <c r="BN413" s="1"/>
      <c r="BO413" s="1" t="s">
        <v>8134</v>
      </c>
      <c r="BP413" s="1" t="s">
        <v>8135</v>
      </c>
      <c r="BQ413" s="1" t="s">
        <v>1070</v>
      </c>
      <c r="BR413" s="1" t="s">
        <v>8136</v>
      </c>
      <c r="BS413" s="1">
        <v>78</v>
      </c>
      <c r="BT413" s="1" t="s">
        <v>8137</v>
      </c>
      <c r="BU413" s="1" t="str">
        <f>HYPERLINK("https://nconnect.nicmar.ac.in/storage/profile/ProfilePhoto_P25700414_835714.jpg","Download")</f>
        <v>0</v>
      </c>
      <c r="BV413" s="3"/>
      <c r="BW413" s="3"/>
    </row>
    <row r="414" spans="1:75">
      <c r="A414" s="1" t="s">
        <v>75</v>
      </c>
      <c r="B414" s="1" t="s">
        <v>446</v>
      </c>
      <c r="C414" s="1" t="s">
        <v>8138</v>
      </c>
      <c r="D414" s="1" t="s">
        <v>1404</v>
      </c>
      <c r="E414" s="1" t="s">
        <v>8139</v>
      </c>
      <c r="F414" s="1" t="s">
        <v>8140</v>
      </c>
      <c r="G414" s="1" t="s">
        <v>8141</v>
      </c>
      <c r="H414" s="1" t="s">
        <v>8142</v>
      </c>
      <c r="I414" s="1" t="s">
        <v>8143</v>
      </c>
      <c r="J414" s="1">
        <v>7620170426</v>
      </c>
      <c r="K414" s="1" t="s">
        <v>153</v>
      </c>
      <c r="L414" s="1" t="s">
        <v>8144</v>
      </c>
      <c r="M414" s="1" t="s">
        <v>86</v>
      </c>
      <c r="N414" s="1" t="s">
        <v>3568</v>
      </c>
      <c r="O414" s="1"/>
      <c r="P414" s="1" t="s">
        <v>507</v>
      </c>
      <c r="Q414" s="1" t="s">
        <v>8145</v>
      </c>
      <c r="R414" s="1" t="s">
        <v>8139</v>
      </c>
      <c r="S414" s="1">
        <v>8999722459</v>
      </c>
      <c r="T414" s="1" t="s">
        <v>8146</v>
      </c>
      <c r="U414" s="1" t="s">
        <v>6212</v>
      </c>
      <c r="V414" s="1">
        <v>8788934800</v>
      </c>
      <c r="W414" s="1" t="s">
        <v>278</v>
      </c>
      <c r="X414" s="1" t="s">
        <v>8147</v>
      </c>
      <c r="Y414" s="1" t="s">
        <v>1882</v>
      </c>
      <c r="Z414" s="1" t="s">
        <v>97</v>
      </c>
      <c r="AA414" s="1" t="s">
        <v>8147</v>
      </c>
      <c r="AB414" s="1" t="s">
        <v>1882</v>
      </c>
      <c r="AC414" s="1" t="s">
        <v>97</v>
      </c>
      <c r="AD414" s="1">
        <v>8.64</v>
      </c>
      <c r="AE414" s="1" t="s">
        <v>98</v>
      </c>
      <c r="AF414" s="1" t="s">
        <v>8148</v>
      </c>
      <c r="AG414" s="1" t="s">
        <v>4979</v>
      </c>
      <c r="AH414" s="1" t="s">
        <v>170</v>
      </c>
      <c r="AI414" s="1" t="s">
        <v>171</v>
      </c>
      <c r="AJ414" s="1">
        <v>76</v>
      </c>
      <c r="AK414" s="1">
        <v>8</v>
      </c>
      <c r="AL414" s="1" t="s">
        <v>8149</v>
      </c>
      <c r="AM414" s="1" t="s">
        <v>4979</v>
      </c>
      <c r="AN414" s="1" t="s">
        <v>2995</v>
      </c>
      <c r="AO414" s="1" t="s">
        <v>438</v>
      </c>
      <c r="AP414" s="1" t="s">
        <v>417</v>
      </c>
      <c r="AQ414" s="1">
        <v>60.77</v>
      </c>
      <c r="AR414" s="1">
        <v>6.39</v>
      </c>
      <c r="AS414" s="1" t="s">
        <v>439</v>
      </c>
      <c r="AT414" s="1" t="s">
        <v>8150</v>
      </c>
      <c r="AU414" s="1" t="s">
        <v>233</v>
      </c>
      <c r="AV414" s="1" t="s">
        <v>1400</v>
      </c>
      <c r="AW414" s="1">
        <v>86.84</v>
      </c>
      <c r="AX414" s="1">
        <v>9.14</v>
      </c>
      <c r="AY414" s="1" t="s">
        <v>5494</v>
      </c>
      <c r="AZ414" s="1" t="s">
        <v>8151</v>
      </c>
      <c r="BA414" s="1" t="s">
        <v>578</v>
      </c>
      <c r="BB414" s="1" t="s">
        <v>467</v>
      </c>
      <c r="BC414" s="1" t="s">
        <v>1889</v>
      </c>
      <c r="BD414" s="1" t="s">
        <v>1401</v>
      </c>
      <c r="BE414" s="1">
        <v>71.43</v>
      </c>
      <c r="BF414" s="1">
        <v>8.08</v>
      </c>
      <c r="BG414" s="1"/>
      <c r="BH414" s="1"/>
      <c r="BI414" s="1"/>
      <c r="BJ414" s="1"/>
      <c r="BK414" s="1"/>
      <c r="BL414" s="1"/>
      <c r="BM414" s="1"/>
      <c r="BN414" s="1"/>
      <c r="BO414" s="1" t="s">
        <v>8152</v>
      </c>
      <c r="BP414" s="1"/>
      <c r="BQ414" s="1"/>
      <c r="BR414" s="1" t="s">
        <v>8153</v>
      </c>
      <c r="BS414" s="1">
        <v>11</v>
      </c>
      <c r="BT414" s="1" t="s">
        <v>8154</v>
      </c>
      <c r="BU414" s="1" t="str">
        <f>HYPERLINK("https://nconnect.nicmar.ac.in/storage/profile/ProfilePhoto_P25700415_861234.jpg","Download")</f>
        <v>0</v>
      </c>
      <c r="BV414" s="3"/>
      <c r="BW414" s="3"/>
    </row>
    <row r="415" spans="1:75">
      <c r="A415" s="1" t="s">
        <v>75</v>
      </c>
      <c r="B415" s="1" t="s">
        <v>446</v>
      </c>
      <c r="C415" s="1" t="s">
        <v>8155</v>
      </c>
      <c r="D415" s="1" t="s">
        <v>8156</v>
      </c>
      <c r="E415" s="1" t="s">
        <v>8157</v>
      </c>
      <c r="F415" s="1" t="s">
        <v>2867</v>
      </c>
      <c r="G415" s="1" t="s">
        <v>8158</v>
      </c>
      <c r="H415" s="1" t="s">
        <v>8159</v>
      </c>
      <c r="I415" s="1" t="s">
        <v>8160</v>
      </c>
      <c r="J415" s="1">
        <v>9825848642</v>
      </c>
      <c r="K415" s="1" t="s">
        <v>84</v>
      </c>
      <c r="L415" s="1" t="s">
        <v>8161</v>
      </c>
      <c r="M415" s="1" t="s">
        <v>86</v>
      </c>
      <c r="N415" s="1" t="s">
        <v>6354</v>
      </c>
      <c r="O415" s="1"/>
      <c r="P415" s="1" t="s">
        <v>455</v>
      </c>
      <c r="Q415" s="1" t="s">
        <v>8162</v>
      </c>
      <c r="R415" s="1" t="s">
        <v>8163</v>
      </c>
      <c r="S415" s="1">
        <v>9825848641</v>
      </c>
      <c r="T415" s="1" t="s">
        <v>839</v>
      </c>
      <c r="U415" s="1" t="s">
        <v>8164</v>
      </c>
      <c r="V415" s="1">
        <v>8758839151</v>
      </c>
      <c r="W415" s="1" t="s">
        <v>541</v>
      </c>
      <c r="X415" s="1" t="s">
        <v>8165</v>
      </c>
      <c r="Y415" s="1" t="s">
        <v>8166</v>
      </c>
      <c r="Z415" s="1" t="s">
        <v>676</v>
      </c>
      <c r="AA415" s="1" t="s">
        <v>8165</v>
      </c>
      <c r="AB415" s="1" t="s">
        <v>8166</v>
      </c>
      <c r="AC415" s="1" t="s">
        <v>676</v>
      </c>
      <c r="AD415" s="1">
        <v>8.59</v>
      </c>
      <c r="AE415" s="1" t="s">
        <v>98</v>
      </c>
      <c r="AF415" s="1" t="s">
        <v>8167</v>
      </c>
      <c r="AG415" s="1" t="s">
        <v>8168</v>
      </c>
      <c r="AH415" s="1" t="s">
        <v>286</v>
      </c>
      <c r="AI415" s="1" t="s">
        <v>414</v>
      </c>
      <c r="AJ415" s="1">
        <v>78</v>
      </c>
      <c r="AK415" s="1">
        <v>0</v>
      </c>
      <c r="AL415" s="1" t="s">
        <v>8167</v>
      </c>
      <c r="AM415" s="1" t="s">
        <v>8168</v>
      </c>
      <c r="AN415" s="1" t="s">
        <v>465</v>
      </c>
      <c r="AO415" s="1" t="s">
        <v>417</v>
      </c>
      <c r="AP415" s="1" t="s">
        <v>845</v>
      </c>
      <c r="AQ415" s="1">
        <v>74.5</v>
      </c>
      <c r="AR415" s="1">
        <v>0</v>
      </c>
      <c r="AS415" s="1"/>
      <c r="AT415" s="1"/>
      <c r="AU415" s="1"/>
      <c r="AV415" s="1"/>
      <c r="AW415" s="1"/>
      <c r="AX415" s="1"/>
      <c r="AY415" s="1" t="s">
        <v>8169</v>
      </c>
      <c r="AZ415" s="1" t="s">
        <v>8170</v>
      </c>
      <c r="BA415" s="1" t="s">
        <v>466</v>
      </c>
      <c r="BB415" s="1" t="s">
        <v>467</v>
      </c>
      <c r="BC415" s="1" t="s">
        <v>606</v>
      </c>
      <c r="BD415" s="1" t="s">
        <v>553</v>
      </c>
      <c r="BE415" s="1">
        <v>70.4</v>
      </c>
      <c r="BF415" s="1">
        <v>7.54</v>
      </c>
      <c r="BG415" s="1"/>
      <c r="BH415" s="1"/>
      <c r="BI415" s="1"/>
      <c r="BJ415" s="1"/>
      <c r="BK415" s="1"/>
      <c r="BL415" s="1"/>
      <c r="BM415" s="1"/>
      <c r="BN415" s="1"/>
      <c r="BO415" s="1" t="s">
        <v>8171</v>
      </c>
      <c r="BP415" s="1"/>
      <c r="BQ415" s="1"/>
      <c r="BR415" s="1" t="s">
        <v>8172</v>
      </c>
      <c r="BS415" s="1">
        <v>30</v>
      </c>
      <c r="BT415" s="1" t="s">
        <v>8173</v>
      </c>
      <c r="BU415" s="1" t="str">
        <f>HYPERLINK("https://nconnect.nicmar.ac.in/storage/profile/ProfilePhoto_P25700416_291456.jpg","Download")</f>
        <v>0</v>
      </c>
      <c r="BV415" s="3"/>
      <c r="BW415" s="3"/>
    </row>
    <row r="416" spans="1:75">
      <c r="A416" s="1" t="s">
        <v>75</v>
      </c>
      <c r="B416" s="1" t="s">
        <v>446</v>
      </c>
      <c r="C416" s="1" t="s">
        <v>8174</v>
      </c>
      <c r="D416" s="1" t="s">
        <v>5540</v>
      </c>
      <c r="E416" s="1"/>
      <c r="F416" s="1" t="s">
        <v>8175</v>
      </c>
      <c r="G416" s="1" t="s">
        <v>8176</v>
      </c>
      <c r="H416" s="1" t="s">
        <v>8177</v>
      </c>
      <c r="I416" s="1" t="s">
        <v>8178</v>
      </c>
      <c r="J416" s="1">
        <v>9785037991</v>
      </c>
      <c r="K416" s="1" t="s">
        <v>84</v>
      </c>
      <c r="L416" s="1" t="s">
        <v>8179</v>
      </c>
      <c r="M416" s="1" t="s">
        <v>155</v>
      </c>
      <c r="N416" s="1" t="s">
        <v>4278</v>
      </c>
      <c r="O416" s="1"/>
      <c r="P416" s="1" t="s">
        <v>1028</v>
      </c>
      <c r="Q416" s="1" t="s">
        <v>8180</v>
      </c>
      <c r="R416" s="1" t="s">
        <v>8181</v>
      </c>
      <c r="S416" s="1">
        <v>7737471080</v>
      </c>
      <c r="T416" s="1" t="s">
        <v>1495</v>
      </c>
      <c r="U416" s="1" t="s">
        <v>8182</v>
      </c>
      <c r="V416" s="1">
        <v>9694125868</v>
      </c>
      <c r="W416" s="1" t="s">
        <v>278</v>
      </c>
      <c r="X416" s="1" t="s">
        <v>8183</v>
      </c>
      <c r="Y416" s="1" t="s">
        <v>8184</v>
      </c>
      <c r="Z416" s="1" t="s">
        <v>2153</v>
      </c>
      <c r="AA416" s="1" t="s">
        <v>8183</v>
      </c>
      <c r="AB416" s="1" t="s">
        <v>8184</v>
      </c>
      <c r="AC416" s="1" t="s">
        <v>2153</v>
      </c>
      <c r="AD416" s="1">
        <v>9.0</v>
      </c>
      <c r="AE416" s="1" t="s">
        <v>98</v>
      </c>
      <c r="AF416" s="1" t="s">
        <v>8185</v>
      </c>
      <c r="AG416" s="1" t="s">
        <v>8186</v>
      </c>
      <c r="AH416" s="1" t="s">
        <v>3770</v>
      </c>
      <c r="AI416" s="1" t="s">
        <v>1457</v>
      </c>
      <c r="AJ416" s="1">
        <v>85.5</v>
      </c>
      <c r="AK416" s="1">
        <v>9</v>
      </c>
      <c r="AL416" s="1" t="s">
        <v>8185</v>
      </c>
      <c r="AM416" s="1" t="s">
        <v>8186</v>
      </c>
      <c r="AN416" s="1" t="s">
        <v>465</v>
      </c>
      <c r="AO416" s="1" t="s">
        <v>1214</v>
      </c>
      <c r="AP416" s="1" t="s">
        <v>102</v>
      </c>
      <c r="AQ416" s="1">
        <v>81</v>
      </c>
      <c r="AR416" s="1"/>
      <c r="AS416" s="1"/>
      <c r="AT416" s="1"/>
      <c r="AU416" s="1"/>
      <c r="AV416" s="1"/>
      <c r="AW416" s="1"/>
      <c r="AX416" s="1"/>
      <c r="AY416" s="1" t="s">
        <v>8187</v>
      </c>
      <c r="AZ416" s="1" t="s">
        <v>8188</v>
      </c>
      <c r="BA416" s="1" t="s">
        <v>466</v>
      </c>
      <c r="BB416" s="1" t="s">
        <v>467</v>
      </c>
      <c r="BC416" s="1" t="s">
        <v>342</v>
      </c>
      <c r="BD416" s="1" t="s">
        <v>315</v>
      </c>
      <c r="BE416" s="1">
        <v>77.78</v>
      </c>
      <c r="BF416" s="1">
        <v>8.74</v>
      </c>
      <c r="BG416" s="1" t="s">
        <v>8189</v>
      </c>
      <c r="BH416" s="1" t="s">
        <v>8189</v>
      </c>
      <c r="BI416" s="1" t="s">
        <v>2209</v>
      </c>
      <c r="BJ416" s="1" t="s">
        <v>1585</v>
      </c>
      <c r="BK416" s="1" t="s">
        <v>110</v>
      </c>
      <c r="BL416" s="1" t="s">
        <v>1089</v>
      </c>
      <c r="BM416" s="1">
        <v>85</v>
      </c>
      <c r="BN416" s="1">
        <v>8.5</v>
      </c>
      <c r="BO416" s="1" t="s">
        <v>8190</v>
      </c>
      <c r="BP416" s="1"/>
      <c r="BQ416" s="1"/>
      <c r="BR416" s="1" t="s">
        <v>8191</v>
      </c>
      <c r="BS416" s="1">
        <v>8</v>
      </c>
      <c r="BT416" s="1" t="s">
        <v>8192</v>
      </c>
      <c r="BU416" s="1" t="str">
        <f>HYPERLINK("https://nconnect.nicmar.ac.in/storage/profile/ProfilePhoto_P25700417_451862.jpg","Download")</f>
        <v>0</v>
      </c>
      <c r="BV416" s="3"/>
      <c r="BW416" s="3"/>
    </row>
    <row r="417" spans="1:75">
      <c r="A417" s="1" t="s">
        <v>75</v>
      </c>
      <c r="B417" s="1" t="s">
        <v>446</v>
      </c>
      <c r="C417" s="1" t="s">
        <v>8193</v>
      </c>
      <c r="D417" s="1" t="s">
        <v>8194</v>
      </c>
      <c r="E417" s="1"/>
      <c r="F417" s="1" t="s">
        <v>8195</v>
      </c>
      <c r="G417" s="1" t="s">
        <v>8196</v>
      </c>
      <c r="H417" s="1" t="s">
        <v>8197</v>
      </c>
      <c r="I417" s="1" t="s">
        <v>8198</v>
      </c>
      <c r="J417" s="1">
        <v>9384198048</v>
      </c>
      <c r="K417" s="1" t="s">
        <v>84</v>
      </c>
      <c r="L417" s="1" t="s">
        <v>8199</v>
      </c>
      <c r="M417" s="1" t="s">
        <v>86</v>
      </c>
      <c r="N417" s="1" t="s">
        <v>246</v>
      </c>
      <c r="O417" s="1"/>
      <c r="P417" s="1" t="s">
        <v>455</v>
      </c>
      <c r="Q417" s="1" t="s">
        <v>8200</v>
      </c>
      <c r="R417" s="1" t="s">
        <v>8201</v>
      </c>
      <c r="S417" s="1">
        <v>9425789216</v>
      </c>
      <c r="T417" s="1" t="s">
        <v>3396</v>
      </c>
      <c r="U417" s="1" t="s">
        <v>8202</v>
      </c>
      <c r="V417" s="1">
        <v>9425120617</v>
      </c>
      <c r="W417" s="1" t="s">
        <v>541</v>
      </c>
      <c r="X417" s="1" t="s">
        <v>8203</v>
      </c>
      <c r="Y417" s="1" t="s">
        <v>7949</v>
      </c>
      <c r="Z417" s="1" t="s">
        <v>3419</v>
      </c>
      <c r="AA417" s="1" t="s">
        <v>8203</v>
      </c>
      <c r="AB417" s="1" t="s">
        <v>7949</v>
      </c>
      <c r="AC417" s="1" t="s">
        <v>3419</v>
      </c>
      <c r="AD417" s="1">
        <v>9.03</v>
      </c>
      <c r="AE417" s="1" t="s">
        <v>98</v>
      </c>
      <c r="AF417" s="1" t="s">
        <v>8204</v>
      </c>
      <c r="AG417" s="1" t="s">
        <v>8205</v>
      </c>
      <c r="AH417" s="1" t="s">
        <v>3421</v>
      </c>
      <c r="AI417" s="1" t="s">
        <v>1262</v>
      </c>
      <c r="AJ417" s="1">
        <v>72.2</v>
      </c>
      <c r="AK417" s="1">
        <v>7.6</v>
      </c>
      <c r="AL417" s="1" t="s">
        <v>8206</v>
      </c>
      <c r="AM417" s="1" t="s">
        <v>8207</v>
      </c>
      <c r="AN417" s="1" t="s">
        <v>465</v>
      </c>
      <c r="AO417" s="1" t="s">
        <v>102</v>
      </c>
      <c r="AP417" s="1" t="s">
        <v>627</v>
      </c>
      <c r="AQ417" s="1">
        <v>68</v>
      </c>
      <c r="AR417" s="1"/>
      <c r="AS417" s="1"/>
      <c r="AT417" s="1"/>
      <c r="AU417" s="1"/>
      <c r="AV417" s="1"/>
      <c r="AW417" s="1"/>
      <c r="AX417" s="1"/>
      <c r="AY417" s="1" t="s">
        <v>4493</v>
      </c>
      <c r="AZ417" s="1" t="s">
        <v>8208</v>
      </c>
      <c r="BA417" s="1" t="s">
        <v>466</v>
      </c>
      <c r="BB417" s="1" t="s">
        <v>467</v>
      </c>
      <c r="BC417" s="1" t="s">
        <v>1396</v>
      </c>
      <c r="BD417" s="1" t="s">
        <v>468</v>
      </c>
      <c r="BE417" s="1">
        <v>72.8</v>
      </c>
      <c r="BF417" s="1">
        <v>7.28</v>
      </c>
      <c r="BG417" s="1"/>
      <c r="BH417" s="1"/>
      <c r="BI417" s="1"/>
      <c r="BJ417" s="1"/>
      <c r="BK417" s="1"/>
      <c r="BL417" s="1"/>
      <c r="BM417" s="1"/>
      <c r="BN417" s="1"/>
      <c r="BO417" s="1" t="s">
        <v>8209</v>
      </c>
      <c r="BP417" s="1" t="s">
        <v>8210</v>
      </c>
      <c r="BQ417" s="1" t="s">
        <v>582</v>
      </c>
      <c r="BR417" s="1" t="s">
        <v>8211</v>
      </c>
      <c r="BS417" s="1">
        <v>15</v>
      </c>
      <c r="BT417" s="1" t="s">
        <v>8212</v>
      </c>
      <c r="BU417" s="1" t="str">
        <f>HYPERLINK("https://nconnect.nicmar.ac.in/storage/profile/ProfilePhoto_P25700418_528617.jpg","Download")</f>
        <v>0</v>
      </c>
      <c r="BV417" s="3"/>
      <c r="BW417" s="4">
        <v>1</v>
      </c>
    </row>
    <row r="418" spans="1:75">
      <c r="A418" s="1" t="s">
        <v>75</v>
      </c>
      <c r="B418" s="1" t="s">
        <v>446</v>
      </c>
      <c r="C418" s="1" t="s">
        <v>8213</v>
      </c>
      <c r="D418" s="1" t="s">
        <v>319</v>
      </c>
      <c r="E418" s="1" t="s">
        <v>1464</v>
      </c>
      <c r="F418" s="1" t="s">
        <v>241</v>
      </c>
      <c r="G418" s="1" t="s">
        <v>8214</v>
      </c>
      <c r="H418" s="1" t="s">
        <v>8215</v>
      </c>
      <c r="I418" s="1" t="s">
        <v>8216</v>
      </c>
      <c r="J418" s="1">
        <v>9309983597</v>
      </c>
      <c r="K418" s="1" t="s">
        <v>84</v>
      </c>
      <c r="L418" s="1" t="s">
        <v>8217</v>
      </c>
      <c r="M418" s="1" t="s">
        <v>86</v>
      </c>
      <c r="N418" s="1" t="s">
        <v>768</v>
      </c>
      <c r="O418" s="1" t="s">
        <v>8218</v>
      </c>
      <c r="P418" s="1" t="s">
        <v>507</v>
      </c>
      <c r="Q418" s="1" t="s">
        <v>8219</v>
      </c>
      <c r="R418" s="1" t="s">
        <v>8220</v>
      </c>
      <c r="S418" s="1">
        <v>9421480654</v>
      </c>
      <c r="T418" s="1" t="s">
        <v>8221</v>
      </c>
      <c r="U418" s="1" t="s">
        <v>8222</v>
      </c>
      <c r="V418" s="1">
        <v>7796339869</v>
      </c>
      <c r="W418" s="1" t="s">
        <v>161</v>
      </c>
      <c r="X418" s="1" t="s">
        <v>8223</v>
      </c>
      <c r="Y418" s="1" t="s">
        <v>7911</v>
      </c>
      <c r="Z418" s="1" t="s">
        <v>97</v>
      </c>
      <c r="AA418" s="1" t="s">
        <v>8223</v>
      </c>
      <c r="AB418" s="1" t="s">
        <v>7911</v>
      </c>
      <c r="AC418" s="1" t="s">
        <v>97</v>
      </c>
      <c r="AD418" s="1">
        <v>9.26</v>
      </c>
      <c r="AE418" s="1" t="s">
        <v>98</v>
      </c>
      <c r="AF418" s="1" t="s">
        <v>8224</v>
      </c>
      <c r="AG418" s="1" t="s">
        <v>8225</v>
      </c>
      <c r="AH418" s="1" t="s">
        <v>1110</v>
      </c>
      <c r="AI418" s="1" t="s">
        <v>1111</v>
      </c>
      <c r="AJ418" s="1">
        <v>83</v>
      </c>
      <c r="AK418" s="1"/>
      <c r="AL418" s="1" t="s">
        <v>8226</v>
      </c>
      <c r="AM418" s="1" t="s">
        <v>8225</v>
      </c>
      <c r="AN418" s="1" t="s">
        <v>465</v>
      </c>
      <c r="AO418" s="1" t="s">
        <v>704</v>
      </c>
      <c r="AP418" s="1" t="s">
        <v>1477</v>
      </c>
      <c r="AQ418" s="1">
        <v>72.92</v>
      </c>
      <c r="AR418" s="1"/>
      <c r="AS418" s="1"/>
      <c r="AT418" s="1"/>
      <c r="AU418" s="1"/>
      <c r="AV418" s="1"/>
      <c r="AW418" s="1"/>
      <c r="AX418" s="1"/>
      <c r="AY418" s="1" t="s">
        <v>8227</v>
      </c>
      <c r="AZ418" s="1" t="s">
        <v>8228</v>
      </c>
      <c r="BA418" s="1" t="s">
        <v>578</v>
      </c>
      <c r="BB418" s="1" t="s">
        <v>467</v>
      </c>
      <c r="BC418" s="1" t="s">
        <v>106</v>
      </c>
      <c r="BD418" s="1" t="s">
        <v>110</v>
      </c>
      <c r="BE418" s="1">
        <v>90.46</v>
      </c>
      <c r="BF418" s="1">
        <v>9.49</v>
      </c>
      <c r="BG418" s="1"/>
      <c r="BH418" s="1"/>
      <c r="BI418" s="1"/>
      <c r="BJ418" s="1"/>
      <c r="BK418" s="1"/>
      <c r="BL418" s="1"/>
      <c r="BM418" s="1"/>
      <c r="BN418" s="1"/>
      <c r="BO418" s="1" t="s">
        <v>8229</v>
      </c>
      <c r="BP418" s="1" t="s">
        <v>8230</v>
      </c>
      <c r="BQ418" s="1" t="s">
        <v>345</v>
      </c>
      <c r="BR418" s="1" t="s">
        <v>8231</v>
      </c>
      <c r="BS418" s="1">
        <v>13</v>
      </c>
      <c r="BT418" s="1" t="s">
        <v>8232</v>
      </c>
      <c r="BU418" s="1" t="str">
        <f>HYPERLINK("https://nconnect.nicmar.ac.in/storage/profile/ProfilePhoto_P25700419_475938.jpg","Download")</f>
        <v>0</v>
      </c>
      <c r="BV418" s="3"/>
      <c r="BW418" s="3"/>
    </row>
    <row r="419" spans="1:75">
      <c r="A419" s="1" t="s">
        <v>75</v>
      </c>
      <c r="B419" s="1" t="s">
        <v>446</v>
      </c>
      <c r="C419" s="1" t="s">
        <v>8233</v>
      </c>
      <c r="D419" s="1" t="s">
        <v>8234</v>
      </c>
      <c r="E419" s="1"/>
      <c r="F419" s="1" t="s">
        <v>1853</v>
      </c>
      <c r="G419" s="1" t="s">
        <v>8235</v>
      </c>
      <c r="H419" s="1" t="s">
        <v>8236</v>
      </c>
      <c r="I419" s="1" t="s">
        <v>8237</v>
      </c>
      <c r="J419" s="1">
        <v>7975346656</v>
      </c>
      <c r="K419" s="1" t="s">
        <v>153</v>
      </c>
      <c r="L419" s="1" t="s">
        <v>8238</v>
      </c>
      <c r="M419" s="1" t="s">
        <v>86</v>
      </c>
      <c r="N419" s="1" t="s">
        <v>8239</v>
      </c>
      <c r="O419" s="1"/>
      <c r="P419" s="1" t="s">
        <v>481</v>
      </c>
      <c r="Q419" s="1" t="s">
        <v>8240</v>
      </c>
      <c r="R419" s="1" t="s">
        <v>8241</v>
      </c>
      <c r="S419" s="1">
        <v>9845428751</v>
      </c>
      <c r="T419" s="1" t="s">
        <v>4894</v>
      </c>
      <c r="U419" s="1" t="s">
        <v>8242</v>
      </c>
      <c r="V419" s="1">
        <v>8095132865</v>
      </c>
      <c r="W419" s="1" t="s">
        <v>278</v>
      </c>
      <c r="X419" s="1" t="s">
        <v>8243</v>
      </c>
      <c r="Y419" s="1" t="s">
        <v>3132</v>
      </c>
      <c r="Z419" s="1" t="s">
        <v>1210</v>
      </c>
      <c r="AA419" s="1" t="s">
        <v>8243</v>
      </c>
      <c r="AB419" s="1" t="s">
        <v>3132</v>
      </c>
      <c r="AC419" s="1" t="s">
        <v>1210</v>
      </c>
      <c r="AD419" s="1">
        <v>8.85</v>
      </c>
      <c r="AE419" s="1" t="s">
        <v>98</v>
      </c>
      <c r="AF419" s="1" t="s">
        <v>8244</v>
      </c>
      <c r="AG419" s="1" t="s">
        <v>8245</v>
      </c>
      <c r="AH419" s="1" t="s">
        <v>166</v>
      </c>
      <c r="AI419" s="1" t="s">
        <v>627</v>
      </c>
      <c r="AJ419" s="1">
        <v>84.5</v>
      </c>
      <c r="AK419" s="1">
        <v>0</v>
      </c>
      <c r="AL419" s="1" t="s">
        <v>8246</v>
      </c>
      <c r="AM419" s="1" t="s">
        <v>8247</v>
      </c>
      <c r="AN419" s="1" t="s">
        <v>575</v>
      </c>
      <c r="AO419" s="1" t="s">
        <v>170</v>
      </c>
      <c r="AP419" s="1" t="s">
        <v>171</v>
      </c>
      <c r="AQ419" s="1">
        <v>69.83</v>
      </c>
      <c r="AR419" s="1">
        <v>0</v>
      </c>
      <c r="AS419" s="1"/>
      <c r="AT419" s="1"/>
      <c r="AU419" s="1"/>
      <c r="AV419" s="1"/>
      <c r="AW419" s="1"/>
      <c r="AX419" s="1"/>
      <c r="AY419" s="1" t="s">
        <v>1217</v>
      </c>
      <c r="AZ419" s="1" t="s">
        <v>8248</v>
      </c>
      <c r="BA419" s="1" t="s">
        <v>682</v>
      </c>
      <c r="BB419" s="1" t="s">
        <v>1561</v>
      </c>
      <c r="BC419" s="1" t="s">
        <v>106</v>
      </c>
      <c r="BD419" s="1" t="s">
        <v>7385</v>
      </c>
      <c r="BE419" s="1">
        <v>71.7</v>
      </c>
      <c r="BF419" s="1">
        <v>7.92</v>
      </c>
      <c r="BG419" s="1"/>
      <c r="BH419" s="1"/>
      <c r="BI419" s="1"/>
      <c r="BJ419" s="1"/>
      <c r="BK419" s="1"/>
      <c r="BL419" s="1"/>
      <c r="BM419" s="1"/>
      <c r="BN419" s="1"/>
      <c r="BO419" s="1" t="s">
        <v>8249</v>
      </c>
      <c r="BP419" s="1" t="s">
        <v>8250</v>
      </c>
      <c r="BQ419" s="1" t="s">
        <v>1070</v>
      </c>
      <c r="BR419" s="1" t="s">
        <v>8251</v>
      </c>
      <c r="BS419" s="1">
        <v>23</v>
      </c>
      <c r="BT419" s="1"/>
      <c r="BU419" s="1" t="str">
        <f>HYPERLINK("https://nconnect.nicmar.ac.in/storage/profile/ProfilePhoto_P25700420_287643.jpg","Download")</f>
        <v>0</v>
      </c>
      <c r="BV419" s="3"/>
      <c r="BW419" s="3"/>
    </row>
    <row r="420" spans="1:75">
      <c r="A420" s="1" t="s">
        <v>75</v>
      </c>
      <c r="B420" s="1" t="s">
        <v>446</v>
      </c>
      <c r="C420" s="1" t="s">
        <v>8252</v>
      </c>
      <c r="D420" s="1" t="s">
        <v>1294</v>
      </c>
      <c r="E420" s="1" t="s">
        <v>1853</v>
      </c>
      <c r="F420" s="1" t="s">
        <v>8253</v>
      </c>
      <c r="G420" s="1" t="s">
        <v>8254</v>
      </c>
      <c r="H420" s="1" t="s">
        <v>8255</v>
      </c>
      <c r="I420" s="1" t="s">
        <v>8256</v>
      </c>
      <c r="J420" s="1">
        <v>8792287682</v>
      </c>
      <c r="K420" s="1" t="s">
        <v>84</v>
      </c>
      <c r="L420" s="1" t="s">
        <v>8257</v>
      </c>
      <c r="M420" s="1" t="s">
        <v>86</v>
      </c>
      <c r="N420" s="1" t="s">
        <v>8258</v>
      </c>
      <c r="O420" s="1"/>
      <c r="P420" s="1" t="s">
        <v>481</v>
      </c>
      <c r="Q420" s="1" t="s">
        <v>8259</v>
      </c>
      <c r="R420" s="1" t="s">
        <v>8260</v>
      </c>
      <c r="S420" s="1">
        <v>8007326759</v>
      </c>
      <c r="T420" s="1" t="s">
        <v>539</v>
      </c>
      <c r="U420" s="1" t="s">
        <v>8261</v>
      </c>
      <c r="V420" s="1">
        <v>9035436462</v>
      </c>
      <c r="W420" s="1" t="s">
        <v>541</v>
      </c>
      <c r="X420" s="1" t="s">
        <v>8262</v>
      </c>
      <c r="Y420" s="1" t="s">
        <v>8263</v>
      </c>
      <c r="Z420" s="1" t="s">
        <v>1210</v>
      </c>
      <c r="AA420" s="1" t="s">
        <v>8262</v>
      </c>
      <c r="AB420" s="1" t="s">
        <v>8263</v>
      </c>
      <c r="AC420" s="1" t="s">
        <v>1210</v>
      </c>
      <c r="AD420" s="1">
        <v>8.72</v>
      </c>
      <c r="AE420" s="1" t="s">
        <v>98</v>
      </c>
      <c r="AF420" s="1" t="s">
        <v>8264</v>
      </c>
      <c r="AG420" s="1" t="s">
        <v>1946</v>
      </c>
      <c r="AH420" s="1" t="s">
        <v>284</v>
      </c>
      <c r="AI420" s="1" t="s">
        <v>573</v>
      </c>
      <c r="AJ420" s="1">
        <v>94.88</v>
      </c>
      <c r="AK420" s="1"/>
      <c r="AL420" s="1" t="s">
        <v>8265</v>
      </c>
      <c r="AM420" s="1" t="s">
        <v>1946</v>
      </c>
      <c r="AN420" s="1" t="s">
        <v>465</v>
      </c>
      <c r="AO420" s="1" t="s">
        <v>286</v>
      </c>
      <c r="AP420" s="1" t="s">
        <v>547</v>
      </c>
      <c r="AQ420" s="1">
        <v>90.88</v>
      </c>
      <c r="AR420" s="1"/>
      <c r="AS420" s="1"/>
      <c r="AT420" s="1"/>
      <c r="AU420" s="1"/>
      <c r="AV420" s="1"/>
      <c r="AW420" s="1"/>
      <c r="AX420" s="1"/>
      <c r="AY420" s="1" t="s">
        <v>8266</v>
      </c>
      <c r="AZ420" s="1" t="s">
        <v>8267</v>
      </c>
      <c r="BA420" s="1" t="s">
        <v>466</v>
      </c>
      <c r="BB420" s="1" t="s">
        <v>467</v>
      </c>
      <c r="BC420" s="1" t="s">
        <v>438</v>
      </c>
      <c r="BD420" s="1" t="s">
        <v>955</v>
      </c>
      <c r="BE420" s="1">
        <v>83.3</v>
      </c>
      <c r="BF420" s="1">
        <v>8.33</v>
      </c>
      <c r="BG420" s="1"/>
      <c r="BH420" s="1"/>
      <c r="BI420" s="1"/>
      <c r="BJ420" s="1"/>
      <c r="BK420" s="1"/>
      <c r="BL420" s="1"/>
      <c r="BM420" s="1"/>
      <c r="BN420" s="1"/>
      <c r="BO420" s="1" t="s">
        <v>8268</v>
      </c>
      <c r="BP420" s="1" t="s">
        <v>8269</v>
      </c>
      <c r="BQ420" s="1" t="s">
        <v>780</v>
      </c>
      <c r="BR420" s="1" t="s">
        <v>8270</v>
      </c>
      <c r="BS420" s="1">
        <v>34</v>
      </c>
      <c r="BT420" s="1"/>
      <c r="BU420" s="1" t="str">
        <f>HYPERLINK("https://nconnect.nicmar.ac.in/storage/profile/ProfilePhoto_P25700421_961834.jpg","Download")</f>
        <v>0</v>
      </c>
      <c r="BV420" s="3"/>
      <c r="BW420" s="4">
        <v>1</v>
      </c>
    </row>
    <row r="421" spans="1:75">
      <c r="A421" s="1" t="s">
        <v>75</v>
      </c>
      <c r="B421" s="1" t="s">
        <v>446</v>
      </c>
      <c r="C421" s="1" t="s">
        <v>8271</v>
      </c>
      <c r="D421" s="1" t="s">
        <v>8272</v>
      </c>
      <c r="E421" s="1"/>
      <c r="F421" s="1" t="s">
        <v>961</v>
      </c>
      <c r="G421" s="1" t="s">
        <v>8273</v>
      </c>
      <c r="H421" s="1" t="s">
        <v>8274</v>
      </c>
      <c r="I421" s="1" t="s">
        <v>8275</v>
      </c>
      <c r="J421" s="1">
        <v>6232156909</v>
      </c>
      <c r="K421" s="1" t="s">
        <v>84</v>
      </c>
      <c r="L421" s="1" t="s">
        <v>8276</v>
      </c>
      <c r="M421" s="1" t="s">
        <v>86</v>
      </c>
      <c r="N421" s="1" t="s">
        <v>8277</v>
      </c>
      <c r="O421" s="1"/>
      <c r="P421" s="1" t="s">
        <v>507</v>
      </c>
      <c r="Q421" s="1" t="s">
        <v>8278</v>
      </c>
      <c r="R421" s="1" t="s">
        <v>8279</v>
      </c>
      <c r="S421" s="1">
        <v>9425430025</v>
      </c>
      <c r="T421" s="1" t="s">
        <v>839</v>
      </c>
      <c r="U421" s="1" t="s">
        <v>8280</v>
      </c>
      <c r="V421" s="1">
        <v>9425430025</v>
      </c>
      <c r="W421" s="1" t="s">
        <v>6569</v>
      </c>
      <c r="X421" s="1" t="s">
        <v>8281</v>
      </c>
      <c r="Y421" s="1" t="s">
        <v>7949</v>
      </c>
      <c r="Z421" s="1" t="s">
        <v>3419</v>
      </c>
      <c r="AA421" s="1" t="s">
        <v>8281</v>
      </c>
      <c r="AB421" s="1" t="s">
        <v>7949</v>
      </c>
      <c r="AC421" s="1" t="s">
        <v>3419</v>
      </c>
      <c r="AD421" s="1">
        <v>7.82</v>
      </c>
      <c r="AE421" s="1" t="s">
        <v>98</v>
      </c>
      <c r="AF421" s="1" t="s">
        <v>8282</v>
      </c>
      <c r="AG421" s="1" t="s">
        <v>312</v>
      </c>
      <c r="AH421" s="1" t="s">
        <v>200</v>
      </c>
      <c r="AI421" s="1" t="s">
        <v>171</v>
      </c>
      <c r="AJ421" s="1">
        <v>81</v>
      </c>
      <c r="AK421" s="1">
        <v>8.52</v>
      </c>
      <c r="AL421" s="1" t="s">
        <v>8283</v>
      </c>
      <c r="AM421" s="1" t="s">
        <v>312</v>
      </c>
      <c r="AN421" s="1" t="s">
        <v>465</v>
      </c>
      <c r="AO421" s="1" t="s">
        <v>414</v>
      </c>
      <c r="AP421" s="1" t="s">
        <v>417</v>
      </c>
      <c r="AQ421" s="1">
        <v>65.2</v>
      </c>
      <c r="AR421" s="1">
        <v>6.86</v>
      </c>
      <c r="AS421" s="1"/>
      <c r="AT421" s="1"/>
      <c r="AU421" s="1"/>
      <c r="AV421" s="1"/>
      <c r="AW421" s="1"/>
      <c r="AX421" s="1"/>
      <c r="AY421" s="1" t="s">
        <v>3771</v>
      </c>
      <c r="AZ421" s="1" t="s">
        <v>8284</v>
      </c>
      <c r="BA421" s="1" t="s">
        <v>466</v>
      </c>
      <c r="BB421" s="1" t="s">
        <v>8285</v>
      </c>
      <c r="BC421" s="1" t="s">
        <v>977</v>
      </c>
      <c r="BD421" s="1" t="s">
        <v>207</v>
      </c>
      <c r="BE421" s="1">
        <v>80.3</v>
      </c>
      <c r="BF421" s="1">
        <v>8.03</v>
      </c>
      <c r="BG421" s="1"/>
      <c r="BH421" s="1"/>
      <c r="BI421" s="1"/>
      <c r="BJ421" s="1"/>
      <c r="BK421" s="1"/>
      <c r="BL421" s="1"/>
      <c r="BM421" s="1"/>
      <c r="BN421" s="1"/>
      <c r="BO421" s="1" t="s">
        <v>8286</v>
      </c>
      <c r="BP421" s="1"/>
      <c r="BQ421" s="1"/>
      <c r="BR421" s="1" t="s">
        <v>8287</v>
      </c>
      <c r="BS421" s="1">
        <v>31</v>
      </c>
      <c r="BT421" s="1"/>
      <c r="BU421" s="1" t="str">
        <f>HYPERLINK("https://nconnect.nicmar.ac.in/storage/profile/ProfilePhoto_P25700422_634185.jpg","Download")</f>
        <v>0</v>
      </c>
      <c r="BV421" s="3"/>
      <c r="BW421" s="3"/>
    </row>
    <row r="422" spans="1:75">
      <c r="A422" s="1" t="s">
        <v>75</v>
      </c>
      <c r="B422" s="1" t="s">
        <v>446</v>
      </c>
      <c r="C422" s="1" t="s">
        <v>8288</v>
      </c>
      <c r="D422" s="1" t="s">
        <v>3493</v>
      </c>
      <c r="E422" s="1"/>
      <c r="F422" s="1" t="s">
        <v>530</v>
      </c>
      <c r="G422" s="1" t="s">
        <v>8289</v>
      </c>
      <c r="H422" s="1" t="s">
        <v>8290</v>
      </c>
      <c r="I422" s="1" t="s">
        <v>8291</v>
      </c>
      <c r="J422" s="1">
        <v>6206576334</v>
      </c>
      <c r="K422" s="1" t="s">
        <v>84</v>
      </c>
      <c r="L422" s="1" t="s">
        <v>8292</v>
      </c>
      <c r="M422" s="1" t="s">
        <v>86</v>
      </c>
      <c r="N422" s="1" t="s">
        <v>8293</v>
      </c>
      <c r="O422" s="1"/>
      <c r="P422" s="1" t="s">
        <v>507</v>
      </c>
      <c r="Q422" s="1" t="s">
        <v>8294</v>
      </c>
      <c r="R422" s="1" t="s">
        <v>8295</v>
      </c>
      <c r="S422" s="1">
        <v>8757741621</v>
      </c>
      <c r="T422" s="1" t="s">
        <v>645</v>
      </c>
      <c r="U422" s="1" t="s">
        <v>8296</v>
      </c>
      <c r="V422" s="1">
        <v>7017133725</v>
      </c>
      <c r="W422" s="1" t="s">
        <v>541</v>
      </c>
      <c r="X422" s="1" t="s">
        <v>8297</v>
      </c>
      <c r="Y422" s="1" t="s">
        <v>648</v>
      </c>
      <c r="Z422" s="1" t="s">
        <v>649</v>
      </c>
      <c r="AA422" s="1" t="s">
        <v>8298</v>
      </c>
      <c r="AB422" s="1" t="s">
        <v>8299</v>
      </c>
      <c r="AC422" s="1" t="s">
        <v>2955</v>
      </c>
      <c r="AD422" s="1" t="s">
        <v>98</v>
      </c>
      <c r="AE422" s="1" t="s">
        <v>98</v>
      </c>
      <c r="AF422" s="1" t="s">
        <v>8300</v>
      </c>
      <c r="AG422" s="1" t="s">
        <v>8301</v>
      </c>
      <c r="AH422" s="1" t="s">
        <v>704</v>
      </c>
      <c r="AI422" s="1" t="s">
        <v>171</v>
      </c>
      <c r="AJ422" s="1">
        <v>76.2</v>
      </c>
      <c r="AK422" s="1">
        <v>7.62</v>
      </c>
      <c r="AL422" s="1" t="s">
        <v>8300</v>
      </c>
      <c r="AM422" s="1" t="s">
        <v>8302</v>
      </c>
      <c r="AN422" s="1"/>
      <c r="AO422" s="1" t="s">
        <v>547</v>
      </c>
      <c r="AP422" s="1" t="s">
        <v>890</v>
      </c>
      <c r="AQ422" s="1">
        <v>73.16</v>
      </c>
      <c r="AR422" s="1">
        <v>7.31</v>
      </c>
      <c r="AS422" s="1"/>
      <c r="AT422" s="1"/>
      <c r="AU422" s="1"/>
      <c r="AV422" s="1"/>
      <c r="AW422" s="1"/>
      <c r="AX422" s="1"/>
      <c r="AY422" s="1" t="s">
        <v>5106</v>
      </c>
      <c r="AZ422" s="1" t="s">
        <v>5107</v>
      </c>
      <c r="BA422" s="1"/>
      <c r="BB422" s="1"/>
      <c r="BC422" s="1" t="s">
        <v>417</v>
      </c>
      <c r="BD422" s="1" t="s">
        <v>1089</v>
      </c>
      <c r="BE422" s="1">
        <v>69.3</v>
      </c>
      <c r="BF422" s="1">
        <v>6.93</v>
      </c>
      <c r="BG422" s="1"/>
      <c r="BH422" s="1"/>
      <c r="BI422" s="1"/>
      <c r="BJ422" s="1"/>
      <c r="BK422" s="1"/>
      <c r="BL422" s="1"/>
      <c r="BM422" s="1"/>
      <c r="BN422" s="1"/>
      <c r="BO422" s="1" t="s">
        <v>8303</v>
      </c>
      <c r="BP422" s="1"/>
      <c r="BQ422" s="1"/>
      <c r="BR422" s="1" t="s">
        <v>8304</v>
      </c>
      <c r="BS422" s="1">
        <v>17</v>
      </c>
      <c r="BT422" s="1"/>
      <c r="BU422" s="1" t="str">
        <f>HYPERLINK("https://nconnect.nicmar.ac.in/storage/profile/ProfilePhoto_P25700424_432817.jpg","Download")</f>
        <v>0</v>
      </c>
      <c r="BV422" s="3"/>
      <c r="BW422" s="3"/>
    </row>
    <row r="423" spans="1:75">
      <c r="A423" s="1" t="s">
        <v>75</v>
      </c>
      <c r="B423" s="1" t="s">
        <v>446</v>
      </c>
      <c r="C423" s="1" t="s">
        <v>8305</v>
      </c>
      <c r="D423" s="1" t="s">
        <v>1118</v>
      </c>
      <c r="E423" s="1" t="s">
        <v>2098</v>
      </c>
      <c r="F423" s="1" t="s">
        <v>8306</v>
      </c>
      <c r="G423" s="1" t="s">
        <v>8307</v>
      </c>
      <c r="H423" s="1" t="s">
        <v>8308</v>
      </c>
      <c r="I423" s="1" t="s">
        <v>8309</v>
      </c>
      <c r="J423" s="1">
        <v>7058986096</v>
      </c>
      <c r="K423" s="1" t="s">
        <v>84</v>
      </c>
      <c r="L423" s="1" t="s">
        <v>8310</v>
      </c>
      <c r="M423" s="1" t="s">
        <v>86</v>
      </c>
      <c r="N423" s="1" t="s">
        <v>768</v>
      </c>
      <c r="O423" s="1"/>
      <c r="P423" s="1"/>
      <c r="Q423" s="1" t="s">
        <v>8311</v>
      </c>
      <c r="R423" s="1" t="s">
        <v>8312</v>
      </c>
      <c r="S423" s="1">
        <v>9405440044</v>
      </c>
      <c r="T423" s="1" t="s">
        <v>926</v>
      </c>
      <c r="U423" s="1" t="s">
        <v>8313</v>
      </c>
      <c r="V423" s="1">
        <v>7058986096</v>
      </c>
      <c r="W423" s="1" t="s">
        <v>8314</v>
      </c>
      <c r="X423" s="1" t="s">
        <v>8315</v>
      </c>
      <c r="Y423" s="1" t="s">
        <v>1033</v>
      </c>
      <c r="Z423" s="1" t="s">
        <v>97</v>
      </c>
      <c r="AA423" s="1" t="s">
        <v>8316</v>
      </c>
      <c r="AB423" s="1" t="s">
        <v>434</v>
      </c>
      <c r="AC423" s="1" t="s">
        <v>97</v>
      </c>
      <c r="AD423" s="1">
        <v>8.59</v>
      </c>
      <c r="AE423" s="1" t="s">
        <v>98</v>
      </c>
      <c r="AF423" s="1" t="s">
        <v>8317</v>
      </c>
      <c r="AG423" s="1" t="s">
        <v>165</v>
      </c>
      <c r="AH423" s="1" t="s">
        <v>170</v>
      </c>
      <c r="AI423" s="1" t="s">
        <v>286</v>
      </c>
      <c r="AJ423" s="1">
        <v>89.2</v>
      </c>
      <c r="AK423" s="1">
        <v>0</v>
      </c>
      <c r="AL423" s="1" t="s">
        <v>8318</v>
      </c>
      <c r="AM423" s="1" t="s">
        <v>165</v>
      </c>
      <c r="AN423" s="1" t="s">
        <v>465</v>
      </c>
      <c r="AO423" s="1" t="s">
        <v>438</v>
      </c>
      <c r="AP423" s="1" t="s">
        <v>365</v>
      </c>
      <c r="AQ423" s="1">
        <v>66.31</v>
      </c>
      <c r="AR423" s="1">
        <v>0</v>
      </c>
      <c r="AS423" s="1"/>
      <c r="AT423" s="1"/>
      <c r="AU423" s="1"/>
      <c r="AV423" s="1"/>
      <c r="AW423" s="1"/>
      <c r="AX423" s="1"/>
      <c r="AY423" s="1" t="s">
        <v>8319</v>
      </c>
      <c r="AZ423" s="1" t="s">
        <v>8320</v>
      </c>
      <c r="BA423" s="1" t="s">
        <v>466</v>
      </c>
      <c r="BB423" s="1" t="s">
        <v>467</v>
      </c>
      <c r="BC423" s="1" t="s">
        <v>1040</v>
      </c>
      <c r="BD423" s="1" t="s">
        <v>207</v>
      </c>
      <c r="BE423" s="1">
        <v>64.4</v>
      </c>
      <c r="BF423" s="1">
        <v>6.94</v>
      </c>
      <c r="BG423" s="1"/>
      <c r="BH423" s="1"/>
      <c r="BI423" s="1"/>
      <c r="BJ423" s="1"/>
      <c r="BK423" s="1"/>
      <c r="BL423" s="1"/>
      <c r="BM423" s="1"/>
      <c r="BN423" s="1"/>
      <c r="BO423" s="1" t="s">
        <v>8321</v>
      </c>
      <c r="BP423" s="1"/>
      <c r="BQ423" s="1"/>
      <c r="BR423" s="1" t="s">
        <v>8322</v>
      </c>
      <c r="BS423" s="1">
        <v>9</v>
      </c>
      <c r="BT423" s="1"/>
      <c r="BU423" s="1" t="str">
        <f>HYPERLINK("https://nconnect.nicmar.ac.in/storage/profile/ProfilePhoto_P25700425_379841.jpg","Download")</f>
        <v>0</v>
      </c>
      <c r="BV423" s="3"/>
      <c r="BW423" s="3"/>
    </row>
    <row r="424" spans="1:75">
      <c r="A424" s="1" t="s">
        <v>75</v>
      </c>
      <c r="B424" s="1" t="s">
        <v>446</v>
      </c>
      <c r="C424" s="1" t="s">
        <v>8323</v>
      </c>
      <c r="D424" s="1" t="s">
        <v>8324</v>
      </c>
      <c r="E424" s="1" t="s">
        <v>8325</v>
      </c>
      <c r="F424" s="1" t="s">
        <v>8326</v>
      </c>
      <c r="G424" s="1" t="s">
        <v>8327</v>
      </c>
      <c r="H424" s="1" t="s">
        <v>8328</v>
      </c>
      <c r="I424" s="1" t="s">
        <v>8329</v>
      </c>
      <c r="J424" s="1">
        <v>7840994016</v>
      </c>
      <c r="K424" s="1" t="s">
        <v>153</v>
      </c>
      <c r="L424" s="1" t="s">
        <v>8330</v>
      </c>
      <c r="M424" s="1" t="s">
        <v>86</v>
      </c>
      <c r="N424" s="1" t="s">
        <v>768</v>
      </c>
      <c r="O424" s="1"/>
      <c r="P424" s="1" t="s">
        <v>507</v>
      </c>
      <c r="Q424" s="1" t="s">
        <v>8331</v>
      </c>
      <c r="R424" s="1" t="s">
        <v>8325</v>
      </c>
      <c r="S424" s="1">
        <v>9518593832</v>
      </c>
      <c r="T424" s="1" t="s">
        <v>127</v>
      </c>
      <c r="U424" s="1" t="s">
        <v>6090</v>
      </c>
      <c r="V424" s="1">
        <v>7972685693</v>
      </c>
      <c r="W424" s="1" t="s">
        <v>8332</v>
      </c>
      <c r="X424" s="1" t="s">
        <v>8333</v>
      </c>
      <c r="Y424" s="1" t="s">
        <v>3538</v>
      </c>
      <c r="Z424" s="1" t="s">
        <v>97</v>
      </c>
      <c r="AA424" s="1" t="s">
        <v>8333</v>
      </c>
      <c r="AB424" s="1" t="s">
        <v>3538</v>
      </c>
      <c r="AC424" s="1" t="s">
        <v>97</v>
      </c>
      <c r="AD424" s="1">
        <v>7.95</v>
      </c>
      <c r="AE424" s="1" t="s">
        <v>98</v>
      </c>
      <c r="AF424" s="1" t="s">
        <v>8334</v>
      </c>
      <c r="AG424" s="1" t="s">
        <v>165</v>
      </c>
      <c r="AH424" s="1" t="s">
        <v>106</v>
      </c>
      <c r="AI424" s="1" t="s">
        <v>414</v>
      </c>
      <c r="AJ424" s="1">
        <v>77.2</v>
      </c>
      <c r="AK424" s="1">
        <v>0</v>
      </c>
      <c r="AL424" s="1" t="s">
        <v>8335</v>
      </c>
      <c r="AM424" s="1" t="s">
        <v>165</v>
      </c>
      <c r="AN424" s="1" t="s">
        <v>465</v>
      </c>
      <c r="AO424" s="1" t="s">
        <v>468</v>
      </c>
      <c r="AP424" s="1" t="s">
        <v>1192</v>
      </c>
      <c r="AQ424" s="1">
        <v>93.17</v>
      </c>
      <c r="AR424" s="1">
        <v>0</v>
      </c>
      <c r="AS424" s="1"/>
      <c r="AT424" s="1"/>
      <c r="AU424" s="1"/>
      <c r="AV424" s="1"/>
      <c r="AW424" s="1"/>
      <c r="AX424" s="1"/>
      <c r="AY424" s="1" t="s">
        <v>550</v>
      </c>
      <c r="AZ424" s="1" t="s">
        <v>8336</v>
      </c>
      <c r="BA424" s="1" t="s">
        <v>466</v>
      </c>
      <c r="BB424" s="1" t="s">
        <v>467</v>
      </c>
      <c r="BC424" s="1" t="s">
        <v>441</v>
      </c>
      <c r="BD424" s="1" t="s">
        <v>1401</v>
      </c>
      <c r="BE424" s="1">
        <v>77.3</v>
      </c>
      <c r="BF424" s="1">
        <v>7.73</v>
      </c>
      <c r="BG424" s="1"/>
      <c r="BH424" s="1"/>
      <c r="BI424" s="1"/>
      <c r="BJ424" s="1"/>
      <c r="BK424" s="1"/>
      <c r="BL424" s="1"/>
      <c r="BM424" s="1"/>
      <c r="BN424" s="1"/>
      <c r="BO424" s="1" t="s">
        <v>8337</v>
      </c>
      <c r="BP424" s="1"/>
      <c r="BQ424" s="1"/>
      <c r="BR424" s="1" t="s">
        <v>8338</v>
      </c>
      <c r="BS424" s="1">
        <v>17</v>
      </c>
      <c r="BT424" s="1"/>
      <c r="BU424" s="1" t="str">
        <f>HYPERLINK("https://nconnect.nicmar.ac.in/storage/profile/ProfilePhoto_P25700426_957814.jpg","Download")</f>
        <v>0</v>
      </c>
      <c r="BV424" s="3"/>
      <c r="BW424" s="3"/>
    </row>
    <row r="425" spans="1:75">
      <c r="A425" s="1" t="s">
        <v>75</v>
      </c>
      <c r="B425" s="1" t="s">
        <v>446</v>
      </c>
      <c r="C425" s="1" t="s">
        <v>8339</v>
      </c>
      <c r="D425" s="1" t="s">
        <v>8340</v>
      </c>
      <c r="E425" s="1" t="s">
        <v>8341</v>
      </c>
      <c r="F425" s="1" t="s">
        <v>8342</v>
      </c>
      <c r="G425" s="1" t="s">
        <v>8343</v>
      </c>
      <c r="H425" s="1" t="s">
        <v>8344</v>
      </c>
      <c r="I425" s="1" t="s">
        <v>8345</v>
      </c>
      <c r="J425" s="1">
        <v>8332899933</v>
      </c>
      <c r="K425" s="1" t="s">
        <v>84</v>
      </c>
      <c r="L425" s="1" t="s">
        <v>8346</v>
      </c>
      <c r="M425" s="1" t="s">
        <v>86</v>
      </c>
      <c r="N425" s="1" t="s">
        <v>8347</v>
      </c>
      <c r="O425" s="1"/>
      <c r="P425" s="1" t="s">
        <v>455</v>
      </c>
      <c r="Q425" s="1" t="s">
        <v>8348</v>
      </c>
      <c r="R425" s="1" t="s">
        <v>8349</v>
      </c>
      <c r="S425" s="1">
        <v>9849766553</v>
      </c>
      <c r="T425" s="1" t="s">
        <v>771</v>
      </c>
      <c r="U425" s="1" t="s">
        <v>8350</v>
      </c>
      <c r="V425" s="1">
        <v>9440491271</v>
      </c>
      <c r="W425" s="1" t="s">
        <v>278</v>
      </c>
      <c r="X425" s="1" t="s">
        <v>8351</v>
      </c>
      <c r="Y425" s="1" t="s">
        <v>8352</v>
      </c>
      <c r="Z425" s="1" t="s">
        <v>461</v>
      </c>
      <c r="AA425" s="1" t="s">
        <v>8351</v>
      </c>
      <c r="AB425" s="1" t="s">
        <v>8352</v>
      </c>
      <c r="AC425" s="1" t="s">
        <v>461</v>
      </c>
      <c r="AD425" s="1">
        <v>8.03</v>
      </c>
      <c r="AE425" s="1" t="s">
        <v>98</v>
      </c>
      <c r="AF425" s="1" t="s">
        <v>8353</v>
      </c>
      <c r="AG425" s="1" t="s">
        <v>8354</v>
      </c>
      <c r="AH425" s="1" t="s">
        <v>170</v>
      </c>
      <c r="AI425" s="1" t="s">
        <v>286</v>
      </c>
      <c r="AJ425" s="1">
        <v>78.85</v>
      </c>
      <c r="AK425" s="1">
        <v>8.3</v>
      </c>
      <c r="AL425" s="1" t="s">
        <v>1603</v>
      </c>
      <c r="AM425" s="1" t="s">
        <v>8355</v>
      </c>
      <c r="AN425" s="1"/>
      <c r="AO425" s="1" t="s">
        <v>438</v>
      </c>
      <c r="AP425" s="1" t="s">
        <v>603</v>
      </c>
      <c r="AQ425" s="1">
        <v>79.2</v>
      </c>
      <c r="AR425" s="1"/>
      <c r="AS425" s="1"/>
      <c r="AT425" s="1"/>
      <c r="AU425" s="1"/>
      <c r="AV425" s="1"/>
      <c r="AW425" s="1"/>
      <c r="AX425" s="1"/>
      <c r="AY425" s="1" t="s">
        <v>1823</v>
      </c>
      <c r="AZ425" s="1" t="s">
        <v>8356</v>
      </c>
      <c r="BA425" s="1"/>
      <c r="BB425" s="1"/>
      <c r="BC425" s="1" t="s">
        <v>1040</v>
      </c>
      <c r="BD425" s="1" t="s">
        <v>418</v>
      </c>
      <c r="BE425" s="1">
        <v>63.1</v>
      </c>
      <c r="BF425" s="1">
        <v>6.81</v>
      </c>
      <c r="BG425" s="1"/>
      <c r="BH425" s="1"/>
      <c r="BI425" s="1"/>
      <c r="BJ425" s="1"/>
      <c r="BK425" s="1"/>
      <c r="BL425" s="1"/>
      <c r="BM425" s="1"/>
      <c r="BN425" s="1"/>
      <c r="BO425" s="1" t="s">
        <v>8357</v>
      </c>
      <c r="BP425" s="1"/>
      <c r="BQ425" s="1"/>
      <c r="BR425" s="1" t="s">
        <v>8358</v>
      </c>
      <c r="BS425" s="1">
        <v>8</v>
      </c>
      <c r="BT425" s="1"/>
      <c r="BU425" s="1" t="str">
        <f>HYPERLINK("https://nconnect.nicmar.ac.in/storage/profile/ProfilePhoto_P25700427_561483.jpg","Download")</f>
        <v>0</v>
      </c>
      <c r="BV425" s="3"/>
      <c r="BW425" s="3"/>
    </row>
    <row r="426" spans="1:75">
      <c r="A426" s="1" t="s">
        <v>75</v>
      </c>
      <c r="B426" s="1" t="s">
        <v>446</v>
      </c>
      <c r="C426" s="1" t="s">
        <v>8359</v>
      </c>
      <c r="D426" s="1" t="s">
        <v>8360</v>
      </c>
      <c r="E426" s="1" t="s">
        <v>6012</v>
      </c>
      <c r="F426" s="1" t="s">
        <v>8361</v>
      </c>
      <c r="G426" s="1" t="s">
        <v>8362</v>
      </c>
      <c r="H426" s="1" t="s">
        <v>8363</v>
      </c>
      <c r="I426" s="1" t="s">
        <v>8364</v>
      </c>
      <c r="J426" s="1">
        <v>9923155346</v>
      </c>
      <c r="K426" s="1" t="s">
        <v>84</v>
      </c>
      <c r="L426" s="1" t="s">
        <v>8365</v>
      </c>
      <c r="M426" s="1" t="s">
        <v>86</v>
      </c>
      <c r="N426" s="1" t="s">
        <v>618</v>
      </c>
      <c r="O426" s="1"/>
      <c r="P426" s="1" t="s">
        <v>481</v>
      </c>
      <c r="Q426" s="1" t="s">
        <v>8366</v>
      </c>
      <c r="R426" s="1" t="s">
        <v>8367</v>
      </c>
      <c r="S426" s="1">
        <v>9420566475</v>
      </c>
      <c r="T426" s="1" t="s">
        <v>839</v>
      </c>
      <c r="U426" s="1" t="s">
        <v>8368</v>
      </c>
      <c r="V426" s="1">
        <v>9405936731</v>
      </c>
      <c r="W426" s="1" t="s">
        <v>278</v>
      </c>
      <c r="X426" s="1" t="s">
        <v>8369</v>
      </c>
      <c r="Y426" s="1" t="s">
        <v>410</v>
      </c>
      <c r="Z426" s="1" t="s">
        <v>97</v>
      </c>
      <c r="AA426" s="1" t="s">
        <v>8369</v>
      </c>
      <c r="AB426" s="1" t="s">
        <v>410</v>
      </c>
      <c r="AC426" s="1" t="s">
        <v>97</v>
      </c>
      <c r="AD426" s="1">
        <v>8.51</v>
      </c>
      <c r="AE426" s="1" t="s">
        <v>98</v>
      </c>
      <c r="AF426" s="1" t="s">
        <v>8370</v>
      </c>
      <c r="AG426" s="1" t="s">
        <v>8371</v>
      </c>
      <c r="AH426" s="1" t="s">
        <v>200</v>
      </c>
      <c r="AI426" s="1" t="s">
        <v>286</v>
      </c>
      <c r="AJ426" s="1">
        <v>87.6</v>
      </c>
      <c r="AK426" s="1"/>
      <c r="AL426" s="1" t="s">
        <v>8372</v>
      </c>
      <c r="AM426" s="1" t="s">
        <v>8371</v>
      </c>
      <c r="AN426" s="1"/>
      <c r="AO426" s="1" t="s">
        <v>203</v>
      </c>
      <c r="AP426" s="1" t="s">
        <v>365</v>
      </c>
      <c r="AQ426" s="1">
        <v>64.62</v>
      </c>
      <c r="AR426" s="1"/>
      <c r="AS426" s="1"/>
      <c r="AT426" s="1"/>
      <c r="AU426" s="1"/>
      <c r="AV426" s="1"/>
      <c r="AW426" s="1"/>
      <c r="AX426" s="1"/>
      <c r="AY426" s="1" t="s">
        <v>415</v>
      </c>
      <c r="AZ426" s="1" t="s">
        <v>8373</v>
      </c>
      <c r="BA426" s="1"/>
      <c r="BB426" s="1"/>
      <c r="BC426" s="1" t="s">
        <v>368</v>
      </c>
      <c r="BD426" s="1" t="s">
        <v>418</v>
      </c>
      <c r="BE426" s="1">
        <v>64.6</v>
      </c>
      <c r="BF426" s="1">
        <v>7.21</v>
      </c>
      <c r="BG426" s="1"/>
      <c r="BH426" s="1"/>
      <c r="BI426" s="1"/>
      <c r="BJ426" s="1"/>
      <c r="BK426" s="1"/>
      <c r="BL426" s="1"/>
      <c r="BM426" s="1"/>
      <c r="BN426" s="1"/>
      <c r="BO426" s="1" t="s">
        <v>8374</v>
      </c>
      <c r="BP426" s="1" t="s">
        <v>8375</v>
      </c>
      <c r="BQ426" s="1" t="s">
        <v>1070</v>
      </c>
      <c r="BR426" s="1" t="s">
        <v>8376</v>
      </c>
      <c r="BS426" s="1">
        <v>21</v>
      </c>
      <c r="BT426" s="1" t="s">
        <v>8377</v>
      </c>
      <c r="BU426" s="1" t="str">
        <f>HYPERLINK("https://nconnect.nicmar.ac.in/storage/profile/ProfilePhoto_P25700428_648923.jpg","Download")</f>
        <v>0</v>
      </c>
      <c r="BV426" s="3"/>
      <c r="BW426" s="3"/>
    </row>
    <row r="427" spans="1:75">
      <c r="A427" s="1" t="s">
        <v>75</v>
      </c>
      <c r="B427" s="1" t="s">
        <v>446</v>
      </c>
      <c r="C427" s="1" t="s">
        <v>8378</v>
      </c>
      <c r="D427" s="1" t="s">
        <v>8379</v>
      </c>
      <c r="E427" s="1" t="s">
        <v>8380</v>
      </c>
      <c r="F427" s="1" t="s">
        <v>8381</v>
      </c>
      <c r="G427" s="1" t="s">
        <v>8382</v>
      </c>
      <c r="H427" s="1" t="s">
        <v>8383</v>
      </c>
      <c r="I427" s="1" t="s">
        <v>8384</v>
      </c>
      <c r="J427" s="1">
        <v>9370401293</v>
      </c>
      <c r="K427" s="1" t="s">
        <v>84</v>
      </c>
      <c r="L427" s="1" t="s">
        <v>8385</v>
      </c>
      <c r="M427" s="1" t="s">
        <v>86</v>
      </c>
      <c r="N427" s="1" t="s">
        <v>1163</v>
      </c>
      <c r="O427" s="1"/>
      <c r="P427" s="1" t="s">
        <v>507</v>
      </c>
      <c r="Q427" s="1" t="s">
        <v>8386</v>
      </c>
      <c r="R427" s="1" t="s">
        <v>8387</v>
      </c>
      <c r="S427" s="1">
        <v>8275219980</v>
      </c>
      <c r="T427" s="1" t="s">
        <v>127</v>
      </c>
      <c r="U427" s="1" t="s">
        <v>8388</v>
      </c>
      <c r="V427" s="1">
        <v>8275219980</v>
      </c>
      <c r="W427" s="1" t="s">
        <v>161</v>
      </c>
      <c r="X427" s="1" t="s">
        <v>8389</v>
      </c>
      <c r="Y427" s="1" t="s">
        <v>333</v>
      </c>
      <c r="Z427" s="1" t="s">
        <v>97</v>
      </c>
      <c r="AA427" s="1" t="s">
        <v>8389</v>
      </c>
      <c r="AB427" s="1" t="s">
        <v>333</v>
      </c>
      <c r="AC427" s="1" t="s">
        <v>97</v>
      </c>
      <c r="AD427" s="1">
        <v>9.05</v>
      </c>
      <c r="AE427" s="1" t="s">
        <v>98</v>
      </c>
      <c r="AF427" s="1" t="s">
        <v>8390</v>
      </c>
      <c r="AG427" s="1" t="s">
        <v>2475</v>
      </c>
      <c r="AH427" s="1" t="s">
        <v>170</v>
      </c>
      <c r="AI427" s="1" t="s">
        <v>171</v>
      </c>
      <c r="AJ427" s="1">
        <v>80.4</v>
      </c>
      <c r="AK427" s="1">
        <v>0</v>
      </c>
      <c r="AL427" s="1"/>
      <c r="AM427" s="1"/>
      <c r="AN427" s="1"/>
      <c r="AO427" s="1"/>
      <c r="AP427" s="1"/>
      <c r="AQ427" s="1"/>
      <c r="AR427" s="1"/>
      <c r="AS427" s="1" t="s">
        <v>439</v>
      </c>
      <c r="AT427" s="1" t="s">
        <v>8391</v>
      </c>
      <c r="AU427" s="1" t="s">
        <v>1065</v>
      </c>
      <c r="AV427" s="1" t="s">
        <v>552</v>
      </c>
      <c r="AW427" s="1">
        <v>86.85</v>
      </c>
      <c r="AX427" s="1">
        <v>0</v>
      </c>
      <c r="AY427" s="1" t="s">
        <v>8392</v>
      </c>
      <c r="AZ427" s="1" t="s">
        <v>8393</v>
      </c>
      <c r="BA427" s="1" t="s">
        <v>466</v>
      </c>
      <c r="BB427" s="1" t="s">
        <v>467</v>
      </c>
      <c r="BC427" s="1" t="s">
        <v>871</v>
      </c>
      <c r="BD427" s="1" t="s">
        <v>207</v>
      </c>
      <c r="BE427" s="1">
        <v>80</v>
      </c>
      <c r="BF427" s="1">
        <v>8</v>
      </c>
      <c r="BG427" s="1"/>
      <c r="BH427" s="1"/>
      <c r="BI427" s="1"/>
      <c r="BJ427" s="1"/>
      <c r="BK427" s="1"/>
      <c r="BL427" s="1"/>
      <c r="BM427" s="1"/>
      <c r="BN427" s="1"/>
      <c r="BO427" s="1" t="s">
        <v>8394</v>
      </c>
      <c r="BP427" s="1"/>
      <c r="BQ427" s="1"/>
      <c r="BR427" s="1" t="s">
        <v>8395</v>
      </c>
      <c r="BS427" s="1">
        <v>9</v>
      </c>
      <c r="BT427" s="1" t="s">
        <v>8396</v>
      </c>
      <c r="BU427" s="1" t="str">
        <f>HYPERLINK("https://nconnect.nicmar.ac.in/storage/profile/ProfilePhoto_P25700429_627859.jpg","Download")</f>
        <v>0</v>
      </c>
      <c r="BV427" s="3"/>
      <c r="BW427" s="3"/>
    </row>
    <row r="428" spans="1:75">
      <c r="A428" s="1" t="s">
        <v>75</v>
      </c>
      <c r="B428" s="1" t="s">
        <v>446</v>
      </c>
      <c r="C428" s="1" t="s">
        <v>8397</v>
      </c>
      <c r="D428" s="1" t="s">
        <v>8398</v>
      </c>
      <c r="E428" s="1" t="s">
        <v>3042</v>
      </c>
      <c r="F428" s="1" t="s">
        <v>8399</v>
      </c>
      <c r="G428" s="1" t="s">
        <v>8400</v>
      </c>
      <c r="H428" s="1" t="s">
        <v>8401</v>
      </c>
      <c r="I428" s="1" t="s">
        <v>8402</v>
      </c>
      <c r="J428" s="1">
        <v>7738999969</v>
      </c>
      <c r="K428" s="1" t="s">
        <v>84</v>
      </c>
      <c r="L428" s="1" t="s">
        <v>8403</v>
      </c>
      <c r="M428" s="1" t="s">
        <v>86</v>
      </c>
      <c r="N428" s="1" t="s">
        <v>5370</v>
      </c>
      <c r="O428" s="1"/>
      <c r="P428" s="1" t="s">
        <v>481</v>
      </c>
      <c r="Q428" s="1" t="s">
        <v>8404</v>
      </c>
      <c r="R428" s="1" t="s">
        <v>8405</v>
      </c>
      <c r="S428" s="1">
        <v>7900049032</v>
      </c>
      <c r="T428" s="1" t="s">
        <v>8406</v>
      </c>
      <c r="U428" s="1" t="s">
        <v>8407</v>
      </c>
      <c r="V428" s="1">
        <v>7700036459</v>
      </c>
      <c r="W428" s="1" t="s">
        <v>161</v>
      </c>
      <c r="X428" s="1" t="s">
        <v>8408</v>
      </c>
      <c r="Y428" s="1" t="s">
        <v>1012</v>
      </c>
      <c r="Z428" s="1" t="s">
        <v>97</v>
      </c>
      <c r="AA428" s="1" t="s">
        <v>8408</v>
      </c>
      <c r="AB428" s="1" t="s">
        <v>1012</v>
      </c>
      <c r="AC428" s="1" t="s">
        <v>97</v>
      </c>
      <c r="AD428" s="1">
        <v>8.67</v>
      </c>
      <c r="AE428" s="1" t="s">
        <v>98</v>
      </c>
      <c r="AF428" s="1" t="s">
        <v>8409</v>
      </c>
      <c r="AG428" s="1" t="s">
        <v>165</v>
      </c>
      <c r="AH428" s="1" t="s">
        <v>102</v>
      </c>
      <c r="AI428" s="1" t="s">
        <v>1111</v>
      </c>
      <c r="AJ428" s="1">
        <v>78.6</v>
      </c>
      <c r="AK428" s="1"/>
      <c r="AL428" s="1"/>
      <c r="AM428" s="1"/>
      <c r="AN428" s="1"/>
      <c r="AO428" s="1"/>
      <c r="AP428" s="1"/>
      <c r="AQ428" s="1"/>
      <c r="AR428" s="1"/>
      <c r="AS428" s="1" t="s">
        <v>103</v>
      </c>
      <c r="AT428" s="1" t="s">
        <v>8410</v>
      </c>
      <c r="AU428" s="1" t="s">
        <v>1396</v>
      </c>
      <c r="AV428" s="1" t="s">
        <v>438</v>
      </c>
      <c r="AW428" s="1">
        <v>74.18</v>
      </c>
      <c r="AX428" s="1"/>
      <c r="AY428" s="1" t="s">
        <v>680</v>
      </c>
      <c r="AZ428" s="1" t="s">
        <v>8411</v>
      </c>
      <c r="BA428" s="1"/>
      <c r="BB428" s="1"/>
      <c r="BC428" s="1" t="s">
        <v>315</v>
      </c>
      <c r="BD428" s="1" t="s">
        <v>110</v>
      </c>
      <c r="BE428" s="1">
        <v>69.48</v>
      </c>
      <c r="BF428" s="1">
        <v>7.75</v>
      </c>
      <c r="BG428" s="1"/>
      <c r="BH428" s="1"/>
      <c r="BI428" s="1"/>
      <c r="BJ428" s="1"/>
      <c r="BK428" s="1"/>
      <c r="BL428" s="1"/>
      <c r="BM428" s="1"/>
      <c r="BN428" s="1"/>
      <c r="BO428" s="1" t="s">
        <v>1114</v>
      </c>
      <c r="BP428" s="1" t="s">
        <v>8412</v>
      </c>
      <c r="BQ428" s="1" t="s">
        <v>3404</v>
      </c>
      <c r="BR428" s="1" t="s">
        <v>8413</v>
      </c>
      <c r="BS428" s="1">
        <v>8</v>
      </c>
      <c r="BT428" s="1"/>
      <c r="BU428" s="1" t="str">
        <f>HYPERLINK("https://nconnect.nicmar.ac.in/storage/profile/ProfilePhoto_P25700430_384715.jpg","Download")</f>
        <v>0</v>
      </c>
      <c r="BV428" s="3"/>
      <c r="BW428" s="3"/>
    </row>
    <row r="429" spans="1:75">
      <c r="A429" s="1" t="s">
        <v>75</v>
      </c>
      <c r="B429" s="1" t="s">
        <v>446</v>
      </c>
      <c r="C429" s="1" t="s">
        <v>8414</v>
      </c>
      <c r="D429" s="1" t="s">
        <v>8415</v>
      </c>
      <c r="E429" s="1"/>
      <c r="F429" s="1" t="s">
        <v>3910</v>
      </c>
      <c r="G429" s="1" t="s">
        <v>8416</v>
      </c>
      <c r="H429" s="1" t="s">
        <v>8417</v>
      </c>
      <c r="I429" s="1" t="s">
        <v>8418</v>
      </c>
      <c r="J429" s="1">
        <v>9337010182</v>
      </c>
      <c r="K429" s="1" t="s">
        <v>84</v>
      </c>
      <c r="L429" s="1" t="s">
        <v>8419</v>
      </c>
      <c r="M429" s="1" t="s">
        <v>86</v>
      </c>
      <c r="N429" s="1" t="s">
        <v>8420</v>
      </c>
      <c r="O429" s="1"/>
      <c r="P429" s="1" t="s">
        <v>507</v>
      </c>
      <c r="Q429" s="1" t="s">
        <v>8421</v>
      </c>
      <c r="R429" s="1" t="s">
        <v>8422</v>
      </c>
      <c r="S429" s="1">
        <v>7978990750</v>
      </c>
      <c r="T429" s="1" t="s">
        <v>8423</v>
      </c>
      <c r="U429" s="1" t="s">
        <v>8424</v>
      </c>
      <c r="V429" s="1">
        <v>7008831481</v>
      </c>
      <c r="W429" s="1" t="s">
        <v>8423</v>
      </c>
      <c r="X429" s="1" t="s">
        <v>8425</v>
      </c>
      <c r="Y429" s="1" t="s">
        <v>8426</v>
      </c>
      <c r="Z429" s="1" t="s">
        <v>865</v>
      </c>
      <c r="AA429" s="1" t="s">
        <v>8425</v>
      </c>
      <c r="AB429" s="1" t="s">
        <v>8426</v>
      </c>
      <c r="AC429" s="1" t="s">
        <v>865</v>
      </c>
      <c r="AD429" s="1">
        <v>8.87</v>
      </c>
      <c r="AE429" s="1" t="s">
        <v>98</v>
      </c>
      <c r="AF429" s="1" t="s">
        <v>3465</v>
      </c>
      <c r="AG429" s="1" t="s">
        <v>8427</v>
      </c>
      <c r="AH429" s="1" t="s">
        <v>284</v>
      </c>
      <c r="AI429" s="1" t="s">
        <v>170</v>
      </c>
      <c r="AJ429" s="1">
        <v>95</v>
      </c>
      <c r="AK429" s="1">
        <v>10</v>
      </c>
      <c r="AL429" s="1" t="s">
        <v>1260</v>
      </c>
      <c r="AM429" s="1" t="s">
        <v>2032</v>
      </c>
      <c r="AN429" s="1" t="s">
        <v>575</v>
      </c>
      <c r="AO429" s="1" t="s">
        <v>388</v>
      </c>
      <c r="AP429" s="1" t="s">
        <v>313</v>
      </c>
      <c r="AQ429" s="1">
        <v>71.2</v>
      </c>
      <c r="AR429" s="1"/>
      <c r="AS429" s="1"/>
      <c r="AT429" s="1"/>
      <c r="AU429" s="1"/>
      <c r="AV429" s="1"/>
      <c r="AW429" s="1"/>
      <c r="AX429" s="1"/>
      <c r="AY429" s="1" t="s">
        <v>5106</v>
      </c>
      <c r="AZ429" s="1" t="s">
        <v>8428</v>
      </c>
      <c r="BA429" s="1" t="s">
        <v>682</v>
      </c>
      <c r="BB429" s="1" t="s">
        <v>1479</v>
      </c>
      <c r="BC429" s="1" t="s">
        <v>315</v>
      </c>
      <c r="BD429" s="1" t="s">
        <v>1314</v>
      </c>
      <c r="BE429" s="1">
        <v>87.4</v>
      </c>
      <c r="BF429" s="1">
        <v>8.74</v>
      </c>
      <c r="BG429" s="1"/>
      <c r="BH429" s="1"/>
      <c r="BI429" s="1"/>
      <c r="BJ429" s="1"/>
      <c r="BK429" s="1"/>
      <c r="BL429" s="1"/>
      <c r="BM429" s="1"/>
      <c r="BN429" s="1"/>
      <c r="BO429" s="1" t="s">
        <v>8429</v>
      </c>
      <c r="BP429" s="1" t="s">
        <v>8430</v>
      </c>
      <c r="BQ429" s="1" t="s">
        <v>471</v>
      </c>
      <c r="BR429" s="1" t="s">
        <v>8431</v>
      </c>
      <c r="BS429" s="1">
        <v>34</v>
      </c>
      <c r="BT429" s="1"/>
      <c r="BU429" s="1" t="str">
        <f>HYPERLINK("https://nconnect.nicmar.ac.in/storage/profile/ProfilePhoto_P25700431_926174.jpg","Download")</f>
        <v>0</v>
      </c>
      <c r="BV429" s="3"/>
      <c r="BW429" s="3"/>
    </row>
    <row r="430" spans="1:75">
      <c r="A430" s="1" t="s">
        <v>75</v>
      </c>
      <c r="B430" s="1" t="s">
        <v>446</v>
      </c>
      <c r="C430" s="1" t="s">
        <v>8432</v>
      </c>
      <c r="D430" s="1" t="s">
        <v>3493</v>
      </c>
      <c r="E430" s="1"/>
      <c r="F430" s="1" t="s">
        <v>8433</v>
      </c>
      <c r="G430" s="1" t="s">
        <v>8434</v>
      </c>
      <c r="H430" s="1" t="s">
        <v>8435</v>
      </c>
      <c r="I430" s="1" t="s">
        <v>8436</v>
      </c>
      <c r="J430" s="1">
        <v>7000150551</v>
      </c>
      <c r="K430" s="1" t="s">
        <v>84</v>
      </c>
      <c r="L430" s="1" t="s">
        <v>8437</v>
      </c>
      <c r="M430" s="1" t="s">
        <v>86</v>
      </c>
      <c r="N430" s="1" t="s">
        <v>8438</v>
      </c>
      <c r="O430" s="1"/>
      <c r="P430" s="1" t="s">
        <v>1028</v>
      </c>
      <c r="Q430" s="1" t="s">
        <v>8439</v>
      </c>
      <c r="R430" s="1" t="s">
        <v>8440</v>
      </c>
      <c r="S430" s="1">
        <v>9827589630</v>
      </c>
      <c r="T430" s="1" t="s">
        <v>8441</v>
      </c>
      <c r="U430" s="1" t="s">
        <v>8442</v>
      </c>
      <c r="V430" s="1">
        <v>9340888192</v>
      </c>
      <c r="W430" s="1" t="s">
        <v>278</v>
      </c>
      <c r="X430" s="1" t="s">
        <v>8443</v>
      </c>
      <c r="Y430" s="1" t="s">
        <v>7949</v>
      </c>
      <c r="Z430" s="1" t="s">
        <v>3419</v>
      </c>
      <c r="AA430" s="1" t="s">
        <v>8443</v>
      </c>
      <c r="AB430" s="1" t="s">
        <v>7949</v>
      </c>
      <c r="AC430" s="1" t="s">
        <v>3419</v>
      </c>
      <c r="AD430" s="1">
        <v>8.15</v>
      </c>
      <c r="AE430" s="1" t="s">
        <v>98</v>
      </c>
      <c r="AF430" s="1" t="s">
        <v>8444</v>
      </c>
      <c r="AG430" s="1" t="s">
        <v>8445</v>
      </c>
      <c r="AH430" s="1" t="s">
        <v>2726</v>
      </c>
      <c r="AI430" s="1" t="s">
        <v>134</v>
      </c>
      <c r="AJ430" s="1">
        <v>87.4</v>
      </c>
      <c r="AK430" s="1">
        <v>9.2</v>
      </c>
      <c r="AL430" s="1" t="s">
        <v>8444</v>
      </c>
      <c r="AM430" s="1" t="s">
        <v>8445</v>
      </c>
      <c r="AN430" s="1" t="s">
        <v>465</v>
      </c>
      <c r="AO430" s="1" t="s">
        <v>1262</v>
      </c>
      <c r="AP430" s="1" t="s">
        <v>136</v>
      </c>
      <c r="AQ430" s="1">
        <v>60.4</v>
      </c>
      <c r="AR430" s="1">
        <v>0</v>
      </c>
      <c r="AS430" s="1"/>
      <c r="AT430" s="1"/>
      <c r="AU430" s="1"/>
      <c r="AV430" s="1"/>
      <c r="AW430" s="1"/>
      <c r="AX430" s="1"/>
      <c r="AY430" s="1" t="s">
        <v>5224</v>
      </c>
      <c r="AZ430" s="1" t="s">
        <v>8446</v>
      </c>
      <c r="BA430" s="1" t="s">
        <v>578</v>
      </c>
      <c r="BB430" s="1" t="s">
        <v>467</v>
      </c>
      <c r="BC430" s="1" t="s">
        <v>166</v>
      </c>
      <c r="BD430" s="1" t="s">
        <v>438</v>
      </c>
      <c r="BE430" s="1">
        <v>64.7</v>
      </c>
      <c r="BF430" s="1">
        <v>6.47</v>
      </c>
      <c r="BG430" s="1"/>
      <c r="BH430" s="1"/>
      <c r="BI430" s="1"/>
      <c r="BJ430" s="1"/>
      <c r="BK430" s="1"/>
      <c r="BL430" s="1"/>
      <c r="BM430" s="1"/>
      <c r="BN430" s="1"/>
      <c r="BO430" s="1" t="s">
        <v>8447</v>
      </c>
      <c r="BP430" s="1" t="s">
        <v>8448</v>
      </c>
      <c r="BQ430" s="1" t="s">
        <v>1564</v>
      </c>
      <c r="BR430" s="1" t="s">
        <v>8449</v>
      </c>
      <c r="BS430" s="1">
        <v>10</v>
      </c>
      <c r="BT430" s="1"/>
      <c r="BU430" s="1" t="str">
        <f>HYPERLINK("https://nconnect.nicmar.ac.in/storage/profile/ProfilePhoto_P25700432_658914.jpg","Download")</f>
        <v>0</v>
      </c>
      <c r="BV430" s="3"/>
      <c r="BW430" s="3"/>
    </row>
    <row r="431" spans="1:75">
      <c r="A431" s="1" t="s">
        <v>75</v>
      </c>
      <c r="B431" s="1" t="s">
        <v>446</v>
      </c>
      <c r="C431" s="1" t="s">
        <v>8450</v>
      </c>
      <c r="D431" s="1" t="s">
        <v>3493</v>
      </c>
      <c r="E431" s="1" t="s">
        <v>3954</v>
      </c>
      <c r="F431" s="1" t="s">
        <v>8451</v>
      </c>
      <c r="G431" s="1" t="s">
        <v>8452</v>
      </c>
      <c r="H431" s="1" t="s">
        <v>8453</v>
      </c>
      <c r="I431" s="1" t="s">
        <v>8454</v>
      </c>
      <c r="J431" s="1">
        <v>7719921717</v>
      </c>
      <c r="K431" s="1" t="s">
        <v>84</v>
      </c>
      <c r="L431" s="1" t="s">
        <v>8455</v>
      </c>
      <c r="M431" s="1" t="s">
        <v>86</v>
      </c>
      <c r="N431" s="1" t="s">
        <v>8456</v>
      </c>
      <c r="O431" s="1"/>
      <c r="P431" s="1" t="s">
        <v>455</v>
      </c>
      <c r="Q431" s="1" t="s">
        <v>8457</v>
      </c>
      <c r="R431" s="1" t="s">
        <v>8458</v>
      </c>
      <c r="S431" s="1">
        <v>7057320017</v>
      </c>
      <c r="T431" s="1" t="s">
        <v>8459</v>
      </c>
      <c r="U431" s="1" t="s">
        <v>2567</v>
      </c>
      <c r="V431" s="1">
        <v>7057330017</v>
      </c>
      <c r="W431" s="1" t="s">
        <v>161</v>
      </c>
      <c r="X431" s="1" t="s">
        <v>8460</v>
      </c>
      <c r="Y431" s="1" t="s">
        <v>3538</v>
      </c>
      <c r="Z431" s="1" t="s">
        <v>97</v>
      </c>
      <c r="AA431" s="1" t="s">
        <v>8460</v>
      </c>
      <c r="AB431" s="1" t="s">
        <v>3538</v>
      </c>
      <c r="AC431" s="1" t="s">
        <v>97</v>
      </c>
      <c r="AD431" s="1">
        <v>8.31</v>
      </c>
      <c r="AE431" s="1" t="s">
        <v>98</v>
      </c>
      <c r="AF431" s="1" t="s">
        <v>8461</v>
      </c>
      <c r="AG431" s="1" t="s">
        <v>165</v>
      </c>
      <c r="AH431" s="1" t="s">
        <v>133</v>
      </c>
      <c r="AI431" s="1" t="s">
        <v>1213</v>
      </c>
      <c r="AJ431" s="1">
        <v>84.2</v>
      </c>
      <c r="AK431" s="1"/>
      <c r="AL431" s="1"/>
      <c r="AM431" s="1"/>
      <c r="AN431" s="1"/>
      <c r="AO431" s="1"/>
      <c r="AP431" s="1"/>
      <c r="AQ431" s="1"/>
      <c r="AR431" s="1"/>
      <c r="AS431" s="1" t="s">
        <v>103</v>
      </c>
      <c r="AT431" s="1" t="s">
        <v>8462</v>
      </c>
      <c r="AU431" s="1" t="s">
        <v>1213</v>
      </c>
      <c r="AV431" s="1" t="s">
        <v>167</v>
      </c>
      <c r="AW431" s="1">
        <v>85.94</v>
      </c>
      <c r="AX431" s="1"/>
      <c r="AY431" s="1" t="s">
        <v>3172</v>
      </c>
      <c r="AZ431" s="1" t="s">
        <v>8463</v>
      </c>
      <c r="BA431" s="1"/>
      <c r="BB431" s="1"/>
      <c r="BC431" s="1" t="s">
        <v>167</v>
      </c>
      <c r="BD431" s="1" t="s">
        <v>315</v>
      </c>
      <c r="BE431" s="1">
        <v>68.11</v>
      </c>
      <c r="BF431" s="1">
        <v>7.74</v>
      </c>
      <c r="BG431" s="1"/>
      <c r="BH431" s="1"/>
      <c r="BI431" s="1"/>
      <c r="BJ431" s="1"/>
      <c r="BK431" s="1"/>
      <c r="BL431" s="1"/>
      <c r="BM431" s="1"/>
      <c r="BN431" s="1"/>
      <c r="BO431" s="1" t="s">
        <v>1114</v>
      </c>
      <c r="BP431" s="1" t="s">
        <v>8464</v>
      </c>
      <c r="BQ431" s="1" t="s">
        <v>345</v>
      </c>
      <c r="BR431" s="1" t="s">
        <v>8465</v>
      </c>
      <c r="BS431" s="1">
        <v>8</v>
      </c>
      <c r="BT431" s="1"/>
      <c r="BU431" s="1" t="str">
        <f>HYPERLINK("https://nconnect.nicmar.ac.in/storage/profile/ProfilePhoto_P25700433_873965.jpg","Download")</f>
        <v>0</v>
      </c>
      <c r="BV431" s="3"/>
      <c r="BW431" s="3"/>
    </row>
    <row r="432" spans="1:75">
      <c r="A432" s="1" t="s">
        <v>75</v>
      </c>
      <c r="B432" s="1" t="s">
        <v>446</v>
      </c>
      <c r="C432" s="1" t="s">
        <v>8466</v>
      </c>
      <c r="D432" s="1" t="s">
        <v>6560</v>
      </c>
      <c r="E432" s="1" t="s">
        <v>500</v>
      </c>
      <c r="F432" s="1" t="s">
        <v>2250</v>
      </c>
      <c r="G432" s="1" t="s">
        <v>8467</v>
      </c>
      <c r="H432" s="1" t="s">
        <v>8468</v>
      </c>
      <c r="I432" s="1" t="s">
        <v>8469</v>
      </c>
      <c r="J432" s="1">
        <v>7744977229</v>
      </c>
      <c r="K432" s="1" t="s">
        <v>84</v>
      </c>
      <c r="L432" s="1" t="s">
        <v>8470</v>
      </c>
      <c r="M432" s="1" t="s">
        <v>86</v>
      </c>
      <c r="N432" s="1" t="s">
        <v>8471</v>
      </c>
      <c r="O432" s="1"/>
      <c r="P432" s="1" t="s">
        <v>481</v>
      </c>
      <c r="Q432" s="1" t="s">
        <v>8472</v>
      </c>
      <c r="R432" s="1" t="s">
        <v>500</v>
      </c>
      <c r="S432" s="1">
        <v>9822246222</v>
      </c>
      <c r="T432" s="1" t="s">
        <v>839</v>
      </c>
      <c r="U432" s="1" t="s">
        <v>1955</v>
      </c>
      <c r="V432" s="1">
        <v>9823258144</v>
      </c>
      <c r="W432" s="1" t="s">
        <v>541</v>
      </c>
      <c r="X432" s="1" t="s">
        <v>8473</v>
      </c>
      <c r="Y432" s="1" t="s">
        <v>196</v>
      </c>
      <c r="Z432" s="1" t="s">
        <v>97</v>
      </c>
      <c r="AA432" s="1" t="s">
        <v>8473</v>
      </c>
      <c r="AB432" s="1" t="s">
        <v>196</v>
      </c>
      <c r="AC432" s="1" t="s">
        <v>97</v>
      </c>
      <c r="AD432" s="1">
        <v>9.21</v>
      </c>
      <c r="AE432" s="1" t="s">
        <v>98</v>
      </c>
      <c r="AF432" s="1" t="s">
        <v>8474</v>
      </c>
      <c r="AG432" s="1" t="s">
        <v>8475</v>
      </c>
      <c r="AH432" s="1" t="s">
        <v>106</v>
      </c>
      <c r="AI432" s="1" t="s">
        <v>313</v>
      </c>
      <c r="AJ432" s="1">
        <v>95</v>
      </c>
      <c r="AK432" s="1"/>
      <c r="AL432" s="1" t="s">
        <v>2511</v>
      </c>
      <c r="AM432" s="1" t="s">
        <v>8476</v>
      </c>
      <c r="AN432" s="1"/>
      <c r="AO432" s="1" t="s">
        <v>178</v>
      </c>
      <c r="AP432" s="1" t="s">
        <v>845</v>
      </c>
      <c r="AQ432" s="1">
        <v>88.5</v>
      </c>
      <c r="AR432" s="1"/>
      <c r="AS432" s="1"/>
      <c r="AT432" s="1"/>
      <c r="AU432" s="1"/>
      <c r="AV432" s="1"/>
      <c r="AW432" s="1"/>
      <c r="AX432" s="1"/>
      <c r="AY432" s="1" t="s">
        <v>366</v>
      </c>
      <c r="AZ432" s="1" t="s">
        <v>6025</v>
      </c>
      <c r="BA432" s="1"/>
      <c r="BB432" s="1"/>
      <c r="BC432" s="1" t="s">
        <v>871</v>
      </c>
      <c r="BD432" s="1" t="s">
        <v>848</v>
      </c>
      <c r="BE432" s="1">
        <v>84.3</v>
      </c>
      <c r="BF432" s="1">
        <v>8.93</v>
      </c>
      <c r="BG432" s="1"/>
      <c r="BH432" s="1"/>
      <c r="BI432" s="1"/>
      <c r="BJ432" s="1"/>
      <c r="BK432" s="1"/>
      <c r="BL432" s="1"/>
      <c r="BM432" s="1"/>
      <c r="BN432" s="1"/>
      <c r="BO432" s="1" t="s">
        <v>8477</v>
      </c>
      <c r="BP432" s="1"/>
      <c r="BQ432" s="1"/>
      <c r="BR432" s="1" t="s">
        <v>8478</v>
      </c>
      <c r="BS432" s="1">
        <v>16</v>
      </c>
      <c r="BT432" s="1"/>
      <c r="BU432" s="1" t="str">
        <f>HYPERLINK("https://nconnect.nicmar.ac.in/storage/profile/ProfilePhoto_P25700434_157429.jpg","Download")</f>
        <v>0</v>
      </c>
      <c r="BV432" s="3"/>
      <c r="BW432" s="3"/>
    </row>
    <row r="433" spans="1:75">
      <c r="A433" s="1" t="s">
        <v>75</v>
      </c>
      <c r="B433" s="1" t="s">
        <v>446</v>
      </c>
      <c r="C433" s="1" t="s">
        <v>8479</v>
      </c>
      <c r="D433" s="1" t="s">
        <v>8342</v>
      </c>
      <c r="E433" s="1" t="s">
        <v>8480</v>
      </c>
      <c r="F433" s="1" t="s">
        <v>8481</v>
      </c>
      <c r="G433" s="1" t="s">
        <v>8482</v>
      </c>
      <c r="H433" s="1" t="s">
        <v>8483</v>
      </c>
      <c r="I433" s="1" t="s">
        <v>8484</v>
      </c>
      <c r="J433" s="1">
        <v>7993699465</v>
      </c>
      <c r="K433" s="1" t="s">
        <v>153</v>
      </c>
      <c r="L433" s="1" t="s">
        <v>8485</v>
      </c>
      <c r="M433" s="1" t="s">
        <v>86</v>
      </c>
      <c r="N433" s="1" t="s">
        <v>8486</v>
      </c>
      <c r="O433" s="1"/>
      <c r="P433" s="1" t="s">
        <v>455</v>
      </c>
      <c r="Q433" s="1" t="s">
        <v>8487</v>
      </c>
      <c r="R433" s="1" t="s">
        <v>8488</v>
      </c>
      <c r="S433" s="1">
        <v>9849544624</v>
      </c>
      <c r="T433" s="1" t="s">
        <v>8489</v>
      </c>
      <c r="U433" s="1" t="s">
        <v>8490</v>
      </c>
      <c r="V433" s="1">
        <v>8328436838</v>
      </c>
      <c r="W433" s="1" t="s">
        <v>839</v>
      </c>
      <c r="X433" s="1" t="s">
        <v>8491</v>
      </c>
      <c r="Y433" s="1" t="s">
        <v>3090</v>
      </c>
      <c r="Z433" s="1" t="s">
        <v>281</v>
      </c>
      <c r="AA433" s="1" t="s">
        <v>8491</v>
      </c>
      <c r="AB433" s="1" t="s">
        <v>3090</v>
      </c>
      <c r="AC433" s="1" t="s">
        <v>281</v>
      </c>
      <c r="AD433" s="1">
        <v>8.85</v>
      </c>
      <c r="AE433" s="1" t="s">
        <v>98</v>
      </c>
      <c r="AF433" s="1" t="s">
        <v>8492</v>
      </c>
      <c r="AG433" s="1" t="s">
        <v>1418</v>
      </c>
      <c r="AH433" s="1" t="s">
        <v>167</v>
      </c>
      <c r="AI433" s="1" t="s">
        <v>200</v>
      </c>
      <c r="AJ433" s="1">
        <v>97</v>
      </c>
      <c r="AK433" s="1">
        <v>9.7</v>
      </c>
      <c r="AL433" s="1" t="s">
        <v>8493</v>
      </c>
      <c r="AM433" s="1" t="s">
        <v>2343</v>
      </c>
      <c r="AN433" s="1" t="s">
        <v>465</v>
      </c>
      <c r="AO433" s="1" t="s">
        <v>388</v>
      </c>
      <c r="AP433" s="1" t="s">
        <v>547</v>
      </c>
      <c r="AQ433" s="1">
        <v>84</v>
      </c>
      <c r="AR433" s="1">
        <v>8.44</v>
      </c>
      <c r="AS433" s="1"/>
      <c r="AT433" s="1"/>
      <c r="AU433" s="1"/>
      <c r="AV433" s="1"/>
      <c r="AW433" s="1"/>
      <c r="AX433" s="1"/>
      <c r="AY433" s="1" t="s">
        <v>8493</v>
      </c>
      <c r="AZ433" s="1" t="s">
        <v>8493</v>
      </c>
      <c r="BA433" s="1" t="s">
        <v>466</v>
      </c>
      <c r="BB433" s="1" t="s">
        <v>467</v>
      </c>
      <c r="BC433" s="1" t="s">
        <v>438</v>
      </c>
      <c r="BD433" s="1" t="s">
        <v>955</v>
      </c>
      <c r="BE433" s="1">
        <v>92</v>
      </c>
      <c r="BF433" s="1">
        <v>9.2</v>
      </c>
      <c r="BG433" s="1"/>
      <c r="BH433" s="1"/>
      <c r="BI433" s="1"/>
      <c r="BJ433" s="1"/>
      <c r="BK433" s="1"/>
      <c r="BL433" s="1"/>
      <c r="BM433" s="1"/>
      <c r="BN433" s="1"/>
      <c r="BO433" s="1" t="s">
        <v>8494</v>
      </c>
      <c r="BP433" s="1"/>
      <c r="BQ433" s="1"/>
      <c r="BR433" s="1" t="s">
        <v>8495</v>
      </c>
      <c r="BS433" s="1">
        <v>8</v>
      </c>
      <c r="BT433" s="1" t="s">
        <v>8496</v>
      </c>
      <c r="BU433" s="1" t="str">
        <f>HYPERLINK("https://nconnect.nicmar.ac.in/storage/profile/ProfilePhoto_P25700435_234951.jpg","Download")</f>
        <v>0</v>
      </c>
      <c r="BV433" s="3"/>
      <c r="BW433" s="4">
        <v>1</v>
      </c>
    </row>
    <row r="434" spans="1:75">
      <c r="A434" s="1" t="s">
        <v>75</v>
      </c>
      <c r="B434" s="1" t="s">
        <v>446</v>
      </c>
      <c r="C434" s="1" t="s">
        <v>8497</v>
      </c>
      <c r="D434" s="1" t="s">
        <v>8498</v>
      </c>
      <c r="E434" s="1" t="s">
        <v>8499</v>
      </c>
      <c r="F434" s="1" t="s">
        <v>2538</v>
      </c>
      <c r="G434" s="1" t="s">
        <v>8500</v>
      </c>
      <c r="H434" s="1" t="s">
        <v>8501</v>
      </c>
      <c r="I434" s="1" t="s">
        <v>8502</v>
      </c>
      <c r="J434" s="1">
        <v>7020783464</v>
      </c>
      <c r="K434" s="1" t="s">
        <v>84</v>
      </c>
      <c r="L434" s="1" t="s">
        <v>8503</v>
      </c>
      <c r="M434" s="1" t="s">
        <v>86</v>
      </c>
      <c r="N434" s="1" t="s">
        <v>6833</v>
      </c>
      <c r="O434" s="1"/>
      <c r="P434" s="1" t="s">
        <v>481</v>
      </c>
      <c r="Q434" s="1" t="s">
        <v>8504</v>
      </c>
      <c r="R434" s="1" t="s">
        <v>8505</v>
      </c>
      <c r="S434" s="1">
        <v>8421793301</v>
      </c>
      <c r="T434" s="1" t="s">
        <v>839</v>
      </c>
      <c r="U434" s="1" t="s">
        <v>8506</v>
      </c>
      <c r="V434" s="1">
        <v>7058313575</v>
      </c>
      <c r="W434" s="1" t="s">
        <v>161</v>
      </c>
      <c r="X434" s="1" t="s">
        <v>8507</v>
      </c>
      <c r="Y434" s="1" t="s">
        <v>333</v>
      </c>
      <c r="Z434" s="1" t="s">
        <v>97</v>
      </c>
      <c r="AA434" s="1" t="s">
        <v>8507</v>
      </c>
      <c r="AB434" s="1" t="s">
        <v>333</v>
      </c>
      <c r="AC434" s="1" t="s">
        <v>97</v>
      </c>
      <c r="AD434" s="1">
        <v>8.15</v>
      </c>
      <c r="AE434" s="1" t="s">
        <v>98</v>
      </c>
      <c r="AF434" s="1" t="s">
        <v>8508</v>
      </c>
      <c r="AG434" s="1" t="s">
        <v>165</v>
      </c>
      <c r="AH434" s="1" t="s">
        <v>388</v>
      </c>
      <c r="AI434" s="1" t="s">
        <v>171</v>
      </c>
      <c r="AJ434" s="1">
        <v>63.8</v>
      </c>
      <c r="AK434" s="1"/>
      <c r="AL434" s="1"/>
      <c r="AM434" s="1"/>
      <c r="AN434" s="1"/>
      <c r="AO434" s="1"/>
      <c r="AP434" s="1"/>
      <c r="AQ434" s="1"/>
      <c r="AR434" s="1"/>
      <c r="AS434" s="1" t="s">
        <v>103</v>
      </c>
      <c r="AT434" s="1" t="s">
        <v>8509</v>
      </c>
      <c r="AU434" s="1" t="s">
        <v>106</v>
      </c>
      <c r="AV434" s="1" t="s">
        <v>549</v>
      </c>
      <c r="AW434" s="1">
        <v>79.11</v>
      </c>
      <c r="AX434" s="1"/>
      <c r="AY434" s="1" t="s">
        <v>340</v>
      </c>
      <c r="AZ434" s="1" t="s">
        <v>7610</v>
      </c>
      <c r="BA434" s="1"/>
      <c r="BB434" s="1"/>
      <c r="BC434" s="1" t="s">
        <v>549</v>
      </c>
      <c r="BD434" s="1" t="s">
        <v>1089</v>
      </c>
      <c r="BE434" s="1">
        <v>66.22</v>
      </c>
      <c r="BF434" s="1">
        <v>7.5</v>
      </c>
      <c r="BG434" s="1"/>
      <c r="BH434" s="1"/>
      <c r="BI434" s="1"/>
      <c r="BJ434" s="1"/>
      <c r="BK434" s="1"/>
      <c r="BL434" s="1"/>
      <c r="BM434" s="1"/>
      <c r="BN434" s="1"/>
      <c r="BO434" s="1" t="s">
        <v>2555</v>
      </c>
      <c r="BP434" s="1"/>
      <c r="BQ434" s="1"/>
      <c r="BR434" s="1" t="s">
        <v>8510</v>
      </c>
      <c r="BS434" s="1">
        <v>8</v>
      </c>
      <c r="BT434" s="1" t="s">
        <v>8511</v>
      </c>
      <c r="BU434" s="1" t="str">
        <f>HYPERLINK("https://nconnect.nicmar.ac.in/storage/profile/ProfilePhoto_P25700436_561982.jpg","Download")</f>
        <v>0</v>
      </c>
      <c r="BV434" s="3"/>
      <c r="BW434" s="3"/>
    </row>
    <row r="435" spans="1:75">
      <c r="A435" s="1" t="s">
        <v>75</v>
      </c>
      <c r="B435" s="1" t="s">
        <v>446</v>
      </c>
      <c r="C435" s="1" t="s">
        <v>8512</v>
      </c>
      <c r="D435" s="1" t="s">
        <v>8513</v>
      </c>
      <c r="E435" s="1" t="s">
        <v>8514</v>
      </c>
      <c r="F435" s="1" t="s">
        <v>8515</v>
      </c>
      <c r="G435" s="1" t="s">
        <v>8516</v>
      </c>
      <c r="H435" s="1" t="s">
        <v>8517</v>
      </c>
      <c r="I435" s="1" t="s">
        <v>8518</v>
      </c>
      <c r="J435" s="1">
        <v>9604493618</v>
      </c>
      <c r="K435" s="1" t="s">
        <v>84</v>
      </c>
      <c r="L435" s="1" t="s">
        <v>8519</v>
      </c>
      <c r="M435" s="1" t="s">
        <v>86</v>
      </c>
      <c r="N435" s="1" t="s">
        <v>8520</v>
      </c>
      <c r="O435" s="1"/>
      <c r="P435" s="1" t="s">
        <v>455</v>
      </c>
      <c r="Q435" s="1" t="s">
        <v>8521</v>
      </c>
      <c r="R435" s="1" t="s">
        <v>8514</v>
      </c>
      <c r="S435" s="1">
        <v>9168085461</v>
      </c>
      <c r="T435" s="1" t="s">
        <v>159</v>
      </c>
      <c r="U435" s="1" t="s">
        <v>8522</v>
      </c>
      <c r="V435" s="1">
        <v>8317272994</v>
      </c>
      <c r="W435" s="1" t="s">
        <v>161</v>
      </c>
      <c r="X435" s="1" t="s">
        <v>8523</v>
      </c>
      <c r="Y435" s="1" t="s">
        <v>1012</v>
      </c>
      <c r="Z435" s="1" t="s">
        <v>97</v>
      </c>
      <c r="AA435" s="1" t="s">
        <v>8523</v>
      </c>
      <c r="AB435" s="1" t="s">
        <v>1012</v>
      </c>
      <c r="AC435" s="1" t="s">
        <v>97</v>
      </c>
      <c r="AD435" s="1">
        <v>9.03</v>
      </c>
      <c r="AE435" s="1" t="s">
        <v>98</v>
      </c>
      <c r="AF435" s="1" t="s">
        <v>8524</v>
      </c>
      <c r="AG435" s="1" t="s">
        <v>1968</v>
      </c>
      <c r="AH435" s="1" t="s">
        <v>166</v>
      </c>
      <c r="AI435" s="1" t="s">
        <v>167</v>
      </c>
      <c r="AJ435" s="1">
        <v>82.4</v>
      </c>
      <c r="AK435" s="1"/>
      <c r="AL435" s="1"/>
      <c r="AM435" s="1"/>
      <c r="AN435" s="1"/>
      <c r="AO435" s="1"/>
      <c r="AP435" s="1"/>
      <c r="AQ435" s="1"/>
      <c r="AR435" s="1"/>
      <c r="AS435" s="1" t="s">
        <v>439</v>
      </c>
      <c r="AT435" s="1" t="s">
        <v>8525</v>
      </c>
      <c r="AU435" s="1" t="s">
        <v>139</v>
      </c>
      <c r="AV435" s="1" t="s">
        <v>438</v>
      </c>
      <c r="AW435" s="1">
        <v>59.39</v>
      </c>
      <c r="AX435" s="1"/>
      <c r="AY435" s="1" t="s">
        <v>258</v>
      </c>
      <c r="AZ435" s="1" t="s">
        <v>8526</v>
      </c>
      <c r="BA435" s="1" t="s">
        <v>578</v>
      </c>
      <c r="BB435" s="1" t="s">
        <v>467</v>
      </c>
      <c r="BC435" s="1" t="s">
        <v>206</v>
      </c>
      <c r="BD435" s="1" t="s">
        <v>632</v>
      </c>
      <c r="BE435" s="1">
        <v>68.2</v>
      </c>
      <c r="BF435" s="1"/>
      <c r="BG435" s="1"/>
      <c r="BH435" s="1"/>
      <c r="BI435" s="1"/>
      <c r="BJ435" s="1"/>
      <c r="BK435" s="1"/>
      <c r="BL435" s="1"/>
      <c r="BM435" s="1"/>
      <c r="BN435" s="1"/>
      <c r="BO435" s="1" t="s">
        <v>7246</v>
      </c>
      <c r="BP435" s="1" t="s">
        <v>8527</v>
      </c>
      <c r="BQ435" s="1" t="s">
        <v>582</v>
      </c>
      <c r="BR435" s="1" t="s">
        <v>8528</v>
      </c>
      <c r="BS435" s="1">
        <v>27</v>
      </c>
      <c r="BT435" s="1" t="s">
        <v>8529</v>
      </c>
      <c r="BU435" s="1" t="str">
        <f>HYPERLINK("https://nconnect.nicmar.ac.in/storage/profile/6a60b9b9a8f6d.png","Download")</f>
        <v>0</v>
      </c>
      <c r="BV435" s="3"/>
      <c r="BW435" s="3"/>
    </row>
    <row r="436" spans="1:75">
      <c r="A436" s="1" t="s">
        <v>75</v>
      </c>
      <c r="B436" s="1" t="s">
        <v>446</v>
      </c>
      <c r="C436" s="1" t="s">
        <v>8530</v>
      </c>
      <c r="D436" s="1" t="s">
        <v>3216</v>
      </c>
      <c r="E436" s="1"/>
      <c r="F436" s="1" t="s">
        <v>3040</v>
      </c>
      <c r="G436" s="1" t="s">
        <v>8531</v>
      </c>
      <c r="H436" s="1" t="s">
        <v>8532</v>
      </c>
      <c r="I436" s="1" t="s">
        <v>8533</v>
      </c>
      <c r="J436" s="1">
        <v>9067577085</v>
      </c>
      <c r="K436" s="1" t="s">
        <v>153</v>
      </c>
      <c r="L436" s="1" t="s">
        <v>8534</v>
      </c>
      <c r="M436" s="1" t="s">
        <v>86</v>
      </c>
      <c r="N436" s="1" t="s">
        <v>3568</v>
      </c>
      <c r="O436" s="1"/>
      <c r="P436" s="1" t="s">
        <v>455</v>
      </c>
      <c r="Q436" s="1" t="s">
        <v>8535</v>
      </c>
      <c r="R436" s="1" t="s">
        <v>8536</v>
      </c>
      <c r="S436" s="1">
        <v>9765309777</v>
      </c>
      <c r="T436" s="1" t="s">
        <v>645</v>
      </c>
      <c r="U436" s="1" t="s">
        <v>8537</v>
      </c>
      <c r="V436" s="1">
        <v>8421821114</v>
      </c>
      <c r="W436" s="1" t="s">
        <v>161</v>
      </c>
      <c r="X436" s="1" t="s">
        <v>8538</v>
      </c>
      <c r="Y436" s="1" t="s">
        <v>96</v>
      </c>
      <c r="Z436" s="1" t="s">
        <v>97</v>
      </c>
      <c r="AA436" s="1" t="s">
        <v>8539</v>
      </c>
      <c r="AB436" s="1" t="s">
        <v>96</v>
      </c>
      <c r="AC436" s="1" t="s">
        <v>97</v>
      </c>
      <c r="AD436" s="1">
        <v>8.36</v>
      </c>
      <c r="AE436" s="1" t="s">
        <v>98</v>
      </c>
      <c r="AF436" s="1" t="s">
        <v>6198</v>
      </c>
      <c r="AG436" s="1" t="s">
        <v>8540</v>
      </c>
      <c r="AH436" s="1" t="s">
        <v>106</v>
      </c>
      <c r="AI436" s="1" t="s">
        <v>313</v>
      </c>
      <c r="AJ436" s="1">
        <v>87</v>
      </c>
      <c r="AK436" s="1">
        <v>0</v>
      </c>
      <c r="AL436" s="1" t="s">
        <v>8541</v>
      </c>
      <c r="AM436" s="1" t="s">
        <v>165</v>
      </c>
      <c r="AN436" s="1"/>
      <c r="AO436" s="1" t="s">
        <v>468</v>
      </c>
      <c r="AP436" s="1" t="s">
        <v>845</v>
      </c>
      <c r="AQ436" s="1">
        <v>94.33</v>
      </c>
      <c r="AR436" s="1">
        <v>0</v>
      </c>
      <c r="AS436" s="1"/>
      <c r="AT436" s="1"/>
      <c r="AU436" s="1"/>
      <c r="AV436" s="1"/>
      <c r="AW436" s="1"/>
      <c r="AX436" s="1"/>
      <c r="AY436" s="1" t="s">
        <v>6201</v>
      </c>
      <c r="AZ436" s="1" t="s">
        <v>6202</v>
      </c>
      <c r="BA436" s="1"/>
      <c r="BB436" s="1"/>
      <c r="BC436" s="1" t="s">
        <v>871</v>
      </c>
      <c r="BD436" s="1" t="s">
        <v>848</v>
      </c>
      <c r="BE436" s="1">
        <v>78.18</v>
      </c>
      <c r="BF436" s="1">
        <v>7.75</v>
      </c>
      <c r="BG436" s="1"/>
      <c r="BH436" s="1"/>
      <c r="BI436" s="1"/>
      <c r="BJ436" s="1"/>
      <c r="BK436" s="1"/>
      <c r="BL436" s="1"/>
      <c r="BM436" s="1"/>
      <c r="BN436" s="1"/>
      <c r="BO436" s="1" t="s">
        <v>2267</v>
      </c>
      <c r="BP436" s="1"/>
      <c r="BQ436" s="1"/>
      <c r="BR436" s="1" t="s">
        <v>8542</v>
      </c>
      <c r="BS436" s="1">
        <v>13</v>
      </c>
      <c r="BT436" s="1"/>
      <c r="BU436" s="1" t="str">
        <f>HYPERLINK("https://nconnect.nicmar.ac.in/storage/profile/ProfilePhoto_P25700438_752491.jpg","Download")</f>
        <v>0</v>
      </c>
      <c r="BV436" s="3"/>
      <c r="BW436" s="3"/>
    </row>
    <row r="437" spans="1:75">
      <c r="A437" s="1" t="s">
        <v>75</v>
      </c>
      <c r="B437" s="1" t="s">
        <v>446</v>
      </c>
      <c r="C437" s="1" t="s">
        <v>8543</v>
      </c>
      <c r="D437" s="1" t="s">
        <v>8544</v>
      </c>
      <c r="E437" s="1" t="s">
        <v>2098</v>
      </c>
      <c r="F437" s="1" t="s">
        <v>147</v>
      </c>
      <c r="G437" s="1" t="s">
        <v>8545</v>
      </c>
      <c r="H437" s="1" t="s">
        <v>8546</v>
      </c>
      <c r="I437" s="1" t="s">
        <v>8547</v>
      </c>
      <c r="J437" s="1">
        <v>9356632434</v>
      </c>
      <c r="K437" s="1" t="s">
        <v>153</v>
      </c>
      <c r="L437" s="1" t="s">
        <v>8548</v>
      </c>
      <c r="M437" s="1" t="s">
        <v>86</v>
      </c>
      <c r="N437" s="1" t="s">
        <v>618</v>
      </c>
      <c r="O437" s="1"/>
      <c r="P437" s="1" t="s">
        <v>481</v>
      </c>
      <c r="Q437" s="1" t="s">
        <v>8549</v>
      </c>
      <c r="R437" s="1" t="s">
        <v>2098</v>
      </c>
      <c r="S437" s="1">
        <v>8605104257</v>
      </c>
      <c r="T437" s="1" t="s">
        <v>92</v>
      </c>
      <c r="U437" s="1" t="s">
        <v>5907</v>
      </c>
      <c r="V437" s="1">
        <v>8888704257</v>
      </c>
      <c r="W437" s="1" t="s">
        <v>3844</v>
      </c>
      <c r="X437" s="1" t="s">
        <v>8550</v>
      </c>
      <c r="Y437" s="1" t="s">
        <v>1033</v>
      </c>
      <c r="Z437" s="1" t="s">
        <v>97</v>
      </c>
      <c r="AA437" s="1" t="s">
        <v>8550</v>
      </c>
      <c r="AB437" s="1" t="s">
        <v>1033</v>
      </c>
      <c r="AC437" s="1" t="s">
        <v>97</v>
      </c>
      <c r="AD437" s="1">
        <v>9.18</v>
      </c>
      <c r="AE437" s="1" t="s">
        <v>98</v>
      </c>
      <c r="AF437" s="1" t="s">
        <v>8551</v>
      </c>
      <c r="AG437" s="1" t="s">
        <v>8552</v>
      </c>
      <c r="AH437" s="1" t="s">
        <v>106</v>
      </c>
      <c r="AI437" s="1" t="s">
        <v>414</v>
      </c>
      <c r="AJ437" s="1">
        <v>94.6</v>
      </c>
      <c r="AK437" s="1"/>
      <c r="AL437" s="1" t="s">
        <v>8553</v>
      </c>
      <c r="AM437" s="1" t="s">
        <v>8552</v>
      </c>
      <c r="AN437" s="1" t="s">
        <v>465</v>
      </c>
      <c r="AO437" s="1" t="s">
        <v>468</v>
      </c>
      <c r="AP437" s="1" t="s">
        <v>1192</v>
      </c>
      <c r="AQ437" s="1">
        <v>94.83</v>
      </c>
      <c r="AR437" s="1"/>
      <c r="AS437" s="1"/>
      <c r="AT437" s="1"/>
      <c r="AU437" s="1"/>
      <c r="AV437" s="1"/>
      <c r="AW437" s="1"/>
      <c r="AX437" s="1"/>
      <c r="AY437" s="1" t="s">
        <v>1038</v>
      </c>
      <c r="AZ437" s="1" t="s">
        <v>8554</v>
      </c>
      <c r="BA437" s="1" t="s">
        <v>466</v>
      </c>
      <c r="BB437" s="1" t="s">
        <v>467</v>
      </c>
      <c r="BC437" s="1" t="s">
        <v>368</v>
      </c>
      <c r="BD437" s="1" t="s">
        <v>848</v>
      </c>
      <c r="BE437" s="1">
        <v>65.3</v>
      </c>
      <c r="BF437" s="1">
        <v>7.28</v>
      </c>
      <c r="BG437" s="1"/>
      <c r="BH437" s="1"/>
      <c r="BI437" s="1"/>
      <c r="BJ437" s="1"/>
      <c r="BK437" s="1"/>
      <c r="BL437" s="1"/>
      <c r="BM437" s="1"/>
      <c r="BN437" s="1"/>
      <c r="BO437" s="1" t="s">
        <v>8555</v>
      </c>
      <c r="BP437" s="1"/>
      <c r="BQ437" s="1"/>
      <c r="BR437" s="1" t="s">
        <v>8556</v>
      </c>
      <c r="BS437" s="1">
        <v>15</v>
      </c>
      <c r="BT437" s="1" t="s">
        <v>4866</v>
      </c>
      <c r="BU437" s="1" t="str">
        <f>HYPERLINK("https://nconnect.nicmar.ac.in/storage/profile/ProfilePhoto_P25700439_567421.jpg","Download")</f>
        <v>0</v>
      </c>
      <c r="BV437" s="3"/>
      <c r="BW437" s="3"/>
    </row>
    <row r="438" spans="1:75">
      <c r="A438" s="1" t="s">
        <v>75</v>
      </c>
      <c r="B438" s="1" t="s">
        <v>446</v>
      </c>
      <c r="C438" s="1" t="s">
        <v>8557</v>
      </c>
      <c r="D438" s="1" t="s">
        <v>8558</v>
      </c>
      <c r="E438" s="1" t="s">
        <v>5575</v>
      </c>
      <c r="F438" s="1" t="s">
        <v>8559</v>
      </c>
      <c r="G438" s="1" t="s">
        <v>8560</v>
      </c>
      <c r="H438" s="1" t="s">
        <v>8561</v>
      </c>
      <c r="I438" s="1" t="s">
        <v>8562</v>
      </c>
      <c r="J438" s="1">
        <v>8788588413</v>
      </c>
      <c r="K438" s="1" t="s">
        <v>153</v>
      </c>
      <c r="L438" s="1" t="s">
        <v>8563</v>
      </c>
      <c r="M438" s="1" t="s">
        <v>86</v>
      </c>
      <c r="N438" s="1" t="s">
        <v>768</v>
      </c>
      <c r="O438" s="1"/>
      <c r="P438" s="1" t="s">
        <v>507</v>
      </c>
      <c r="Q438" s="1" t="s">
        <v>8564</v>
      </c>
      <c r="R438" s="1" t="s">
        <v>8565</v>
      </c>
      <c r="S438" s="1">
        <v>9096930712</v>
      </c>
      <c r="T438" s="1" t="s">
        <v>645</v>
      </c>
      <c r="U438" s="1" t="s">
        <v>8566</v>
      </c>
      <c r="V438" s="1">
        <v>9987173686</v>
      </c>
      <c r="W438" s="1" t="s">
        <v>645</v>
      </c>
      <c r="X438" s="1" t="s">
        <v>8567</v>
      </c>
      <c r="Y438" s="1" t="s">
        <v>4302</v>
      </c>
      <c r="Z438" s="1" t="s">
        <v>97</v>
      </c>
      <c r="AA438" s="1" t="s">
        <v>8568</v>
      </c>
      <c r="AB438" s="1" t="s">
        <v>4302</v>
      </c>
      <c r="AC438" s="1" t="s">
        <v>97</v>
      </c>
      <c r="AD438" s="1">
        <v>8.23</v>
      </c>
      <c r="AE438" s="1" t="s">
        <v>98</v>
      </c>
      <c r="AF438" s="1" t="s">
        <v>8569</v>
      </c>
      <c r="AG438" s="1" t="s">
        <v>8570</v>
      </c>
      <c r="AH438" s="1" t="s">
        <v>1111</v>
      </c>
      <c r="AI438" s="1" t="s">
        <v>200</v>
      </c>
      <c r="AJ438" s="1">
        <v>76.4</v>
      </c>
      <c r="AK438" s="1">
        <v>8.4</v>
      </c>
      <c r="AL438" s="1"/>
      <c r="AM438" s="1"/>
      <c r="AN438" s="1"/>
      <c r="AO438" s="1"/>
      <c r="AP438" s="1"/>
      <c r="AQ438" s="1"/>
      <c r="AR438" s="1"/>
      <c r="AS438" s="1" t="s">
        <v>103</v>
      </c>
      <c r="AT438" s="1" t="s">
        <v>8571</v>
      </c>
      <c r="AU438" s="1" t="s">
        <v>315</v>
      </c>
      <c r="AV438" s="1" t="s">
        <v>1400</v>
      </c>
      <c r="AW438" s="1">
        <v>80.89</v>
      </c>
      <c r="AX438" s="1">
        <v>8.51</v>
      </c>
      <c r="AY438" s="1" t="s">
        <v>680</v>
      </c>
      <c r="AZ438" s="1" t="s">
        <v>8571</v>
      </c>
      <c r="BA438" s="1" t="s">
        <v>578</v>
      </c>
      <c r="BB438" s="1" t="s">
        <v>467</v>
      </c>
      <c r="BC438" s="1" t="s">
        <v>110</v>
      </c>
      <c r="BD438" s="1" t="s">
        <v>553</v>
      </c>
      <c r="BE438" s="1">
        <v>73.48</v>
      </c>
      <c r="BF438" s="1">
        <v>8.33</v>
      </c>
      <c r="BG438" s="1"/>
      <c r="BH438" s="1"/>
      <c r="BI438" s="1"/>
      <c r="BJ438" s="1"/>
      <c r="BK438" s="1"/>
      <c r="BL438" s="1"/>
      <c r="BM438" s="1"/>
      <c r="BN438" s="1"/>
      <c r="BO438" s="1" t="s">
        <v>8572</v>
      </c>
      <c r="BP438" s="1"/>
      <c r="BQ438" s="1"/>
      <c r="BR438" s="1" t="s">
        <v>8573</v>
      </c>
      <c r="BS438" s="1">
        <v>8</v>
      </c>
      <c r="BT438" s="1" t="s">
        <v>8574</v>
      </c>
      <c r="BU438" s="1" t="str">
        <f>HYPERLINK("https://nconnect.nicmar.ac.in/storage/profile/ProfilePhoto_P25700440_435897.jpg","Download")</f>
        <v>0</v>
      </c>
      <c r="BV438" s="3"/>
      <c r="BW438" s="3"/>
    </row>
    <row r="439" spans="1:75">
      <c r="A439" s="1" t="s">
        <v>75</v>
      </c>
      <c r="B439" s="1" t="s">
        <v>446</v>
      </c>
      <c r="C439" s="1" t="s">
        <v>8575</v>
      </c>
      <c r="D439" s="1" t="s">
        <v>812</v>
      </c>
      <c r="E439" s="1"/>
      <c r="F439" s="1" t="s">
        <v>8576</v>
      </c>
      <c r="G439" s="1" t="s">
        <v>8577</v>
      </c>
      <c r="H439" s="1" t="s">
        <v>8578</v>
      </c>
      <c r="I439" s="1" t="s">
        <v>8579</v>
      </c>
      <c r="J439" s="1">
        <v>6303397745</v>
      </c>
      <c r="K439" s="1" t="s">
        <v>84</v>
      </c>
      <c r="L439" s="1" t="s">
        <v>8580</v>
      </c>
      <c r="M439" s="1" t="s">
        <v>86</v>
      </c>
      <c r="N439" s="1" t="s">
        <v>8581</v>
      </c>
      <c r="O439" s="1"/>
      <c r="P439" s="1" t="s">
        <v>455</v>
      </c>
      <c r="Q439" s="1" t="s">
        <v>8582</v>
      </c>
      <c r="R439" s="1" t="s">
        <v>8583</v>
      </c>
      <c r="S439" s="1">
        <v>8309682167</v>
      </c>
      <c r="T439" s="1" t="s">
        <v>3788</v>
      </c>
      <c r="U439" s="1" t="s">
        <v>8584</v>
      </c>
      <c r="V439" s="1">
        <v>7013296229</v>
      </c>
      <c r="W439" s="1" t="s">
        <v>541</v>
      </c>
      <c r="X439" s="1" t="s">
        <v>8585</v>
      </c>
      <c r="Y439" s="1" t="s">
        <v>3846</v>
      </c>
      <c r="Z439" s="1" t="s">
        <v>281</v>
      </c>
      <c r="AA439" s="1" t="s">
        <v>8586</v>
      </c>
      <c r="AB439" s="1" t="s">
        <v>3846</v>
      </c>
      <c r="AC439" s="1" t="s">
        <v>281</v>
      </c>
      <c r="AD439" s="1">
        <v>8.77</v>
      </c>
      <c r="AE439" s="1" t="s">
        <v>98</v>
      </c>
      <c r="AF439" s="1" t="s">
        <v>1624</v>
      </c>
      <c r="AG439" s="1" t="s">
        <v>8587</v>
      </c>
      <c r="AH439" s="1" t="s">
        <v>170</v>
      </c>
      <c r="AI439" s="1" t="s">
        <v>106</v>
      </c>
      <c r="AJ439" s="1">
        <v>79.4</v>
      </c>
      <c r="AK439" s="1"/>
      <c r="AL439" s="1" t="s">
        <v>4614</v>
      </c>
      <c r="AM439" s="1" t="s">
        <v>8588</v>
      </c>
      <c r="AN439" s="1" t="s">
        <v>465</v>
      </c>
      <c r="AO439" s="1" t="s">
        <v>438</v>
      </c>
      <c r="AP439" s="1" t="s">
        <v>468</v>
      </c>
      <c r="AQ439" s="1">
        <v>66.6</v>
      </c>
      <c r="AR439" s="1"/>
      <c r="AS439" s="1"/>
      <c r="AT439" s="1"/>
      <c r="AU439" s="1"/>
      <c r="AV439" s="1"/>
      <c r="AW439" s="1"/>
      <c r="AX439" s="1"/>
      <c r="AY439" s="1" t="s">
        <v>4616</v>
      </c>
      <c r="AZ439" s="1" t="s">
        <v>8589</v>
      </c>
      <c r="BA439" s="1" t="s">
        <v>466</v>
      </c>
      <c r="BB439" s="1" t="s">
        <v>467</v>
      </c>
      <c r="BC439" s="1" t="s">
        <v>178</v>
      </c>
      <c r="BD439" s="1" t="s">
        <v>207</v>
      </c>
      <c r="BE439" s="1">
        <v>63.5</v>
      </c>
      <c r="BF439" s="1">
        <v>7.1</v>
      </c>
      <c r="BG439" s="1"/>
      <c r="BH439" s="1"/>
      <c r="BI439" s="1"/>
      <c r="BJ439" s="1"/>
      <c r="BK439" s="1"/>
      <c r="BL439" s="1"/>
      <c r="BM439" s="1"/>
      <c r="BN439" s="1"/>
      <c r="BO439" s="1" t="s">
        <v>8590</v>
      </c>
      <c r="BP439" s="1" t="s">
        <v>8591</v>
      </c>
      <c r="BQ439" s="1" t="s">
        <v>2577</v>
      </c>
      <c r="BR439" s="1" t="s">
        <v>8592</v>
      </c>
      <c r="BS439" s="1">
        <v>9</v>
      </c>
      <c r="BT439" s="1"/>
      <c r="BU439" s="1" t="str">
        <f>HYPERLINK("https://nconnect.nicmar.ac.in/storage/profile/ProfilePhoto_P25700441_579146.jpg","Download")</f>
        <v>0</v>
      </c>
      <c r="BV439" s="3"/>
      <c r="BW439" s="3"/>
    </row>
    <row r="440" spans="1:75">
      <c r="A440" s="1" t="s">
        <v>75</v>
      </c>
      <c r="B440" s="1" t="s">
        <v>446</v>
      </c>
      <c r="C440" s="1" t="s">
        <v>8593</v>
      </c>
      <c r="D440" s="1" t="s">
        <v>8594</v>
      </c>
      <c r="E440" s="1" t="s">
        <v>7638</v>
      </c>
      <c r="F440" s="1" t="s">
        <v>8595</v>
      </c>
      <c r="G440" s="1" t="s">
        <v>8596</v>
      </c>
      <c r="H440" s="1" t="s">
        <v>8597</v>
      </c>
      <c r="I440" s="1" t="s">
        <v>8598</v>
      </c>
      <c r="J440" s="1">
        <v>9324044109</v>
      </c>
      <c r="K440" s="1" t="s">
        <v>153</v>
      </c>
      <c r="L440" s="1" t="s">
        <v>6226</v>
      </c>
      <c r="M440" s="1" t="s">
        <v>86</v>
      </c>
      <c r="N440" s="1" t="s">
        <v>618</v>
      </c>
      <c r="O440" s="1"/>
      <c r="P440" s="1" t="s">
        <v>481</v>
      </c>
      <c r="Q440" s="1" t="s">
        <v>8599</v>
      </c>
      <c r="R440" s="1" t="s">
        <v>8600</v>
      </c>
      <c r="S440" s="1">
        <v>9405856999</v>
      </c>
      <c r="T440" s="1" t="s">
        <v>159</v>
      </c>
      <c r="U440" s="1" t="s">
        <v>8601</v>
      </c>
      <c r="V440" s="1">
        <v>9921163311</v>
      </c>
      <c r="W440" s="1" t="s">
        <v>161</v>
      </c>
      <c r="X440" s="1" t="s">
        <v>8602</v>
      </c>
      <c r="Y440" s="1" t="s">
        <v>1033</v>
      </c>
      <c r="Z440" s="1" t="s">
        <v>97</v>
      </c>
      <c r="AA440" s="1" t="s">
        <v>8602</v>
      </c>
      <c r="AB440" s="1" t="s">
        <v>1033</v>
      </c>
      <c r="AC440" s="1" t="s">
        <v>97</v>
      </c>
      <c r="AD440" s="1">
        <v>8.69</v>
      </c>
      <c r="AE440" s="1" t="s">
        <v>98</v>
      </c>
      <c r="AF440" s="1" t="s">
        <v>6111</v>
      </c>
      <c r="AG440" s="1" t="s">
        <v>8603</v>
      </c>
      <c r="AH440" s="1" t="s">
        <v>106</v>
      </c>
      <c r="AI440" s="1" t="s">
        <v>438</v>
      </c>
      <c r="AJ440" s="1">
        <v>75.6</v>
      </c>
      <c r="AK440" s="1">
        <v>7.95</v>
      </c>
      <c r="AL440" s="1" t="s">
        <v>8604</v>
      </c>
      <c r="AM440" s="1" t="s">
        <v>1968</v>
      </c>
      <c r="AN440" s="1" t="s">
        <v>465</v>
      </c>
      <c r="AO440" s="1" t="s">
        <v>178</v>
      </c>
      <c r="AP440" s="1" t="s">
        <v>441</v>
      </c>
      <c r="AQ440" s="1">
        <v>92.83</v>
      </c>
      <c r="AR440" s="1">
        <v>9.77</v>
      </c>
      <c r="AS440" s="1"/>
      <c r="AT440" s="1"/>
      <c r="AU440" s="1"/>
      <c r="AV440" s="1"/>
      <c r="AW440" s="1"/>
      <c r="AX440" s="1"/>
      <c r="AY440" s="1" t="s">
        <v>8605</v>
      </c>
      <c r="AZ440" s="1" t="s">
        <v>8606</v>
      </c>
      <c r="BA440" s="1" t="s">
        <v>466</v>
      </c>
      <c r="BB440" s="1" t="s">
        <v>467</v>
      </c>
      <c r="BC440" s="1" t="s">
        <v>441</v>
      </c>
      <c r="BD440" s="1" t="s">
        <v>1401</v>
      </c>
      <c r="BE440" s="1">
        <v>86.9</v>
      </c>
      <c r="BF440" s="1">
        <v>8.69</v>
      </c>
      <c r="BG440" s="1"/>
      <c r="BH440" s="1"/>
      <c r="BI440" s="1"/>
      <c r="BJ440" s="1"/>
      <c r="BK440" s="1"/>
      <c r="BL440" s="1"/>
      <c r="BM440" s="1"/>
      <c r="BN440" s="1"/>
      <c r="BO440" s="1" t="s">
        <v>8607</v>
      </c>
      <c r="BP440" s="1"/>
      <c r="BQ440" s="1"/>
      <c r="BR440" s="1" t="s">
        <v>8608</v>
      </c>
      <c r="BS440" s="1">
        <v>27</v>
      </c>
      <c r="BT440" s="1" t="s">
        <v>8609</v>
      </c>
      <c r="BU440" s="1" t="str">
        <f>HYPERLINK("https://nconnect.nicmar.ac.in/storage/profile/ProfilePhoto_P25700442_698427.jpg","Download")</f>
        <v>0</v>
      </c>
      <c r="BV440" s="3"/>
      <c r="BW440" s="3"/>
    </row>
    <row r="441" spans="1:75">
      <c r="A441" s="1" t="s">
        <v>75</v>
      </c>
      <c r="B441" s="1" t="s">
        <v>446</v>
      </c>
      <c r="C441" s="1" t="s">
        <v>8610</v>
      </c>
      <c r="D441" s="1" t="s">
        <v>6946</v>
      </c>
      <c r="E441" s="1" t="s">
        <v>8611</v>
      </c>
      <c r="F441" s="1" t="s">
        <v>1179</v>
      </c>
      <c r="G441" s="1" t="s">
        <v>8612</v>
      </c>
      <c r="H441" s="1" t="s">
        <v>8613</v>
      </c>
      <c r="I441" s="1" t="s">
        <v>8614</v>
      </c>
      <c r="J441" s="1">
        <v>7507570459</v>
      </c>
      <c r="K441" s="1" t="s">
        <v>84</v>
      </c>
      <c r="L441" s="1" t="s">
        <v>8615</v>
      </c>
      <c r="M441" s="1" t="s">
        <v>86</v>
      </c>
      <c r="N441" s="1" t="s">
        <v>768</v>
      </c>
      <c r="O441" s="1"/>
      <c r="P441" s="1" t="s">
        <v>1028</v>
      </c>
      <c r="Q441" s="1" t="s">
        <v>8616</v>
      </c>
      <c r="R441" s="1" t="s">
        <v>8617</v>
      </c>
      <c r="S441" s="1">
        <v>8830014225</v>
      </c>
      <c r="T441" s="1" t="s">
        <v>159</v>
      </c>
      <c r="U441" s="1" t="s">
        <v>3939</v>
      </c>
      <c r="V441" s="1">
        <v>9767991960</v>
      </c>
      <c r="W441" s="1" t="s">
        <v>161</v>
      </c>
      <c r="X441" s="1" t="s">
        <v>8618</v>
      </c>
      <c r="Y441" s="1" t="s">
        <v>309</v>
      </c>
      <c r="Z441" s="1" t="s">
        <v>97</v>
      </c>
      <c r="AA441" s="1" t="s">
        <v>8618</v>
      </c>
      <c r="AB441" s="1" t="s">
        <v>309</v>
      </c>
      <c r="AC441" s="1" t="s">
        <v>97</v>
      </c>
      <c r="AD441" s="1">
        <v>8.77</v>
      </c>
      <c r="AE441" s="1" t="s">
        <v>98</v>
      </c>
      <c r="AF441" s="1" t="s">
        <v>8619</v>
      </c>
      <c r="AG441" s="1" t="s">
        <v>312</v>
      </c>
      <c r="AH441" s="1" t="s">
        <v>167</v>
      </c>
      <c r="AI441" s="1" t="s">
        <v>170</v>
      </c>
      <c r="AJ441" s="1">
        <v>79.8</v>
      </c>
      <c r="AK441" s="1">
        <v>8.4</v>
      </c>
      <c r="AL441" s="1" t="s">
        <v>8619</v>
      </c>
      <c r="AM441" s="1" t="s">
        <v>312</v>
      </c>
      <c r="AN441" s="1"/>
      <c r="AO441" s="1" t="s">
        <v>171</v>
      </c>
      <c r="AP441" s="1" t="s">
        <v>313</v>
      </c>
      <c r="AQ441" s="1">
        <v>56</v>
      </c>
      <c r="AR441" s="1"/>
      <c r="AS441" s="1" t="s">
        <v>103</v>
      </c>
      <c r="AT441" s="1" t="s">
        <v>8620</v>
      </c>
      <c r="AU441" s="1" t="s">
        <v>206</v>
      </c>
      <c r="AV441" s="1" t="s">
        <v>552</v>
      </c>
      <c r="AW441" s="1">
        <v>90.89</v>
      </c>
      <c r="AX441" s="1"/>
      <c r="AY441" s="1" t="s">
        <v>366</v>
      </c>
      <c r="AZ441" s="1" t="s">
        <v>8621</v>
      </c>
      <c r="BA441" s="1"/>
      <c r="BB441" s="1"/>
      <c r="BC441" s="1" t="s">
        <v>871</v>
      </c>
      <c r="BD441" s="1" t="s">
        <v>207</v>
      </c>
      <c r="BE441" s="1">
        <v>68.7</v>
      </c>
      <c r="BF441" s="1">
        <v>7.72</v>
      </c>
      <c r="BG441" s="1"/>
      <c r="BH441" s="1"/>
      <c r="BI441" s="1"/>
      <c r="BJ441" s="1"/>
      <c r="BK441" s="1"/>
      <c r="BL441" s="1"/>
      <c r="BM441" s="1"/>
      <c r="BN441" s="1"/>
      <c r="BO441" s="1" t="s">
        <v>8622</v>
      </c>
      <c r="BP441" s="1"/>
      <c r="BQ441" s="1"/>
      <c r="BR441" s="1" t="s">
        <v>8623</v>
      </c>
      <c r="BS441" s="1">
        <v>60</v>
      </c>
      <c r="BT441" s="1" t="s">
        <v>8624</v>
      </c>
      <c r="BU441" s="1" t="str">
        <f>HYPERLINK("https://nconnect.nicmar.ac.in/storage/profile/ProfilePhoto_P25700443_397648.jpg","Download")</f>
        <v>0</v>
      </c>
      <c r="BV441" s="3"/>
      <c r="BW441" s="3"/>
    </row>
    <row r="442" spans="1:75">
      <c r="A442" s="1" t="s">
        <v>75</v>
      </c>
      <c r="B442" s="1" t="s">
        <v>446</v>
      </c>
      <c r="C442" s="1" t="s">
        <v>8625</v>
      </c>
      <c r="D442" s="1" t="s">
        <v>8626</v>
      </c>
      <c r="E442" s="1"/>
      <c r="F442" s="1" t="s">
        <v>1295</v>
      </c>
      <c r="G442" s="1" t="s">
        <v>8627</v>
      </c>
      <c r="H442" s="1" t="s">
        <v>8628</v>
      </c>
      <c r="I442" s="1" t="s">
        <v>8629</v>
      </c>
      <c r="J442" s="1">
        <v>7358012493</v>
      </c>
      <c r="K442" s="1" t="s">
        <v>84</v>
      </c>
      <c r="L442" s="1" t="s">
        <v>8630</v>
      </c>
      <c r="M442" s="1" t="s">
        <v>86</v>
      </c>
      <c r="N442" s="1" t="s">
        <v>2061</v>
      </c>
      <c r="O442" s="1"/>
      <c r="P442" s="1" t="s">
        <v>670</v>
      </c>
      <c r="Q442" s="1" t="s">
        <v>8631</v>
      </c>
      <c r="R442" s="1" t="s">
        <v>8632</v>
      </c>
      <c r="S442" s="1">
        <v>7337392771</v>
      </c>
      <c r="T442" s="1" t="s">
        <v>92</v>
      </c>
      <c r="U442" s="1" t="s">
        <v>8633</v>
      </c>
      <c r="V442" s="1">
        <v>7358297076</v>
      </c>
      <c r="W442" s="1" t="s">
        <v>8634</v>
      </c>
      <c r="X442" s="1" t="s">
        <v>8635</v>
      </c>
      <c r="Y442" s="1" t="s">
        <v>4249</v>
      </c>
      <c r="Z442" s="1" t="s">
        <v>570</v>
      </c>
      <c r="AA442" s="1" t="s">
        <v>8635</v>
      </c>
      <c r="AB442" s="1" t="s">
        <v>4249</v>
      </c>
      <c r="AC442" s="1" t="s">
        <v>570</v>
      </c>
      <c r="AD442" s="1">
        <v>7.54</v>
      </c>
      <c r="AE442" s="1" t="s">
        <v>98</v>
      </c>
      <c r="AF442" s="1" t="s">
        <v>8636</v>
      </c>
      <c r="AG442" s="1" t="s">
        <v>8637</v>
      </c>
      <c r="AH442" s="1" t="s">
        <v>106</v>
      </c>
      <c r="AI442" s="1" t="s">
        <v>414</v>
      </c>
      <c r="AJ442" s="1">
        <v>64.2</v>
      </c>
      <c r="AK442" s="1"/>
      <c r="AL442" s="1"/>
      <c r="AM442" s="1"/>
      <c r="AN442" s="1"/>
      <c r="AO442" s="1"/>
      <c r="AP442" s="1"/>
      <c r="AQ442" s="1"/>
      <c r="AR442" s="1"/>
      <c r="AS442" s="1" t="s">
        <v>439</v>
      </c>
      <c r="AT442" s="1" t="s">
        <v>8638</v>
      </c>
      <c r="AU442" s="1" t="s">
        <v>438</v>
      </c>
      <c r="AV442" s="1" t="s">
        <v>632</v>
      </c>
      <c r="AW442" s="1">
        <v>85</v>
      </c>
      <c r="AX442" s="1"/>
      <c r="AY442" s="1" t="s">
        <v>576</v>
      </c>
      <c r="AZ442" s="1" t="s">
        <v>8639</v>
      </c>
      <c r="BA442" s="1"/>
      <c r="BB442" s="1"/>
      <c r="BC442" s="1" t="s">
        <v>289</v>
      </c>
      <c r="BD442" s="1" t="s">
        <v>553</v>
      </c>
      <c r="BE442" s="1">
        <v>68.3</v>
      </c>
      <c r="BF442" s="1">
        <v>6.83</v>
      </c>
      <c r="BG442" s="1"/>
      <c r="BH442" s="1"/>
      <c r="BI442" s="1"/>
      <c r="BJ442" s="1"/>
      <c r="BK442" s="1"/>
      <c r="BL442" s="1"/>
      <c r="BM442" s="1"/>
      <c r="BN442" s="1"/>
      <c r="BO442" s="1" t="s">
        <v>369</v>
      </c>
      <c r="BP442" s="1"/>
      <c r="BQ442" s="1"/>
      <c r="BR442" s="1" t="s">
        <v>8640</v>
      </c>
      <c r="BS442" s="1">
        <v>17</v>
      </c>
      <c r="BT442" s="1"/>
      <c r="BU442" s="1" t="str">
        <f>HYPERLINK("https://nconnect.nicmar.ac.in/storage/profile/ProfilePhoto_P25700444_392578.jpg","Download")</f>
        <v>0</v>
      </c>
      <c r="BV442" s="3"/>
      <c r="BW442" s="3"/>
    </row>
    <row r="443" spans="1:75">
      <c r="A443" s="1" t="s">
        <v>75</v>
      </c>
      <c r="B443" s="1" t="s">
        <v>446</v>
      </c>
      <c r="C443" s="1" t="s">
        <v>8641</v>
      </c>
      <c r="D443" s="1" t="s">
        <v>8642</v>
      </c>
      <c r="E443" s="1" t="s">
        <v>898</v>
      </c>
      <c r="F443" s="1" t="s">
        <v>241</v>
      </c>
      <c r="G443" s="1" t="s">
        <v>8643</v>
      </c>
      <c r="H443" s="1" t="s">
        <v>8644</v>
      </c>
      <c r="I443" s="1" t="s">
        <v>8645</v>
      </c>
      <c r="J443" s="1">
        <v>8999899441</v>
      </c>
      <c r="K443" s="1" t="s">
        <v>84</v>
      </c>
      <c r="L443" s="1" t="s">
        <v>8646</v>
      </c>
      <c r="M443" s="1" t="s">
        <v>86</v>
      </c>
      <c r="N443" s="1" t="s">
        <v>8647</v>
      </c>
      <c r="O443" s="1"/>
      <c r="P443" s="1" t="s">
        <v>481</v>
      </c>
      <c r="Q443" s="1" t="s">
        <v>8648</v>
      </c>
      <c r="R443" s="1" t="s">
        <v>898</v>
      </c>
      <c r="S443" s="1">
        <v>9922437367</v>
      </c>
      <c r="T443" s="1" t="s">
        <v>2414</v>
      </c>
      <c r="U443" s="1" t="s">
        <v>2666</v>
      </c>
      <c r="V443" s="1">
        <v>9960974766</v>
      </c>
      <c r="W443" s="1" t="s">
        <v>161</v>
      </c>
      <c r="X443" s="1" t="s">
        <v>8649</v>
      </c>
      <c r="Y443" s="1" t="s">
        <v>196</v>
      </c>
      <c r="Z443" s="1" t="s">
        <v>97</v>
      </c>
      <c r="AA443" s="1" t="s">
        <v>8649</v>
      </c>
      <c r="AB443" s="1" t="s">
        <v>196</v>
      </c>
      <c r="AC443" s="1" t="s">
        <v>97</v>
      </c>
      <c r="AD443" s="1">
        <v>7.41</v>
      </c>
      <c r="AE443" s="1" t="s">
        <v>98</v>
      </c>
      <c r="AF443" s="1" t="s">
        <v>8650</v>
      </c>
      <c r="AG443" s="1" t="s">
        <v>165</v>
      </c>
      <c r="AH443" s="1" t="s">
        <v>1213</v>
      </c>
      <c r="AI443" s="1" t="s">
        <v>101</v>
      </c>
      <c r="AJ443" s="1">
        <v>86.2</v>
      </c>
      <c r="AK443" s="1">
        <v>0</v>
      </c>
      <c r="AL443" s="1" t="s">
        <v>8651</v>
      </c>
      <c r="AM443" s="1" t="s">
        <v>8652</v>
      </c>
      <c r="AN443" s="1" t="s">
        <v>465</v>
      </c>
      <c r="AO443" s="1" t="s">
        <v>166</v>
      </c>
      <c r="AP443" s="1" t="s">
        <v>627</v>
      </c>
      <c r="AQ443" s="1">
        <v>60.46</v>
      </c>
      <c r="AR443" s="1">
        <v>0</v>
      </c>
      <c r="AS443" s="1"/>
      <c r="AT443" s="1"/>
      <c r="AU443" s="1"/>
      <c r="AV443" s="1"/>
      <c r="AW443" s="1"/>
      <c r="AX443" s="1"/>
      <c r="AY443" s="1" t="s">
        <v>366</v>
      </c>
      <c r="AZ443" s="1" t="s">
        <v>8653</v>
      </c>
      <c r="BA443" s="1" t="s">
        <v>578</v>
      </c>
      <c r="BB443" s="1" t="s">
        <v>467</v>
      </c>
      <c r="BC443" s="1" t="s">
        <v>1396</v>
      </c>
      <c r="BD443" s="1" t="s">
        <v>549</v>
      </c>
      <c r="BE443" s="1">
        <v>64.5</v>
      </c>
      <c r="BF443" s="1"/>
      <c r="BG443" s="1"/>
      <c r="BH443" s="1"/>
      <c r="BI443" s="1"/>
      <c r="BJ443" s="1"/>
      <c r="BK443" s="1"/>
      <c r="BL443" s="1"/>
      <c r="BM443" s="1"/>
      <c r="BN443" s="1"/>
      <c r="BO443" s="1" t="s">
        <v>8654</v>
      </c>
      <c r="BP443" s="1" t="s">
        <v>8655</v>
      </c>
      <c r="BQ443" s="1" t="s">
        <v>7647</v>
      </c>
      <c r="BR443" s="1" t="s">
        <v>8656</v>
      </c>
      <c r="BS443" s="1">
        <v>8</v>
      </c>
      <c r="BT443" s="1"/>
      <c r="BU443" s="1" t="str">
        <f>HYPERLINK("https://nconnect.nicmar.ac.in/storage/profile/ProfilePhoto_P25700445_174289.jpg","Download")</f>
        <v>0</v>
      </c>
      <c r="BV443" s="3"/>
      <c r="BW443" s="3"/>
    </row>
    <row r="444" spans="1:75">
      <c r="A444" s="1" t="s">
        <v>75</v>
      </c>
      <c r="B444" s="1" t="s">
        <v>446</v>
      </c>
      <c r="C444" s="1" t="s">
        <v>8657</v>
      </c>
      <c r="D444" s="1" t="s">
        <v>8558</v>
      </c>
      <c r="E444" s="1" t="s">
        <v>4310</v>
      </c>
      <c r="F444" s="1" t="s">
        <v>8658</v>
      </c>
      <c r="G444" s="1" t="s">
        <v>8659</v>
      </c>
      <c r="H444" s="1" t="s">
        <v>8660</v>
      </c>
      <c r="I444" s="1" t="s">
        <v>8661</v>
      </c>
      <c r="J444" s="1">
        <v>8806005851</v>
      </c>
      <c r="K444" s="1" t="s">
        <v>153</v>
      </c>
      <c r="L444" s="1" t="s">
        <v>8662</v>
      </c>
      <c r="M444" s="1" t="s">
        <v>86</v>
      </c>
      <c r="N444" s="1" t="s">
        <v>618</v>
      </c>
      <c r="O444" s="1"/>
      <c r="P444" s="1" t="s">
        <v>481</v>
      </c>
      <c r="Q444" s="1" t="s">
        <v>8663</v>
      </c>
      <c r="R444" s="1" t="s">
        <v>8664</v>
      </c>
      <c r="S444" s="1">
        <v>9049373272</v>
      </c>
      <c r="T444" s="1" t="s">
        <v>159</v>
      </c>
      <c r="U444" s="1" t="s">
        <v>8665</v>
      </c>
      <c r="V444" s="1">
        <v>8793292232</v>
      </c>
      <c r="W444" s="1" t="s">
        <v>161</v>
      </c>
      <c r="X444" s="1" t="s">
        <v>8666</v>
      </c>
      <c r="Y444" s="1" t="s">
        <v>1189</v>
      </c>
      <c r="Z444" s="1" t="s">
        <v>97</v>
      </c>
      <c r="AA444" s="1" t="s">
        <v>8666</v>
      </c>
      <c r="AB444" s="1" t="s">
        <v>1189</v>
      </c>
      <c r="AC444" s="1" t="s">
        <v>97</v>
      </c>
      <c r="AD444" s="1">
        <v>7.95</v>
      </c>
      <c r="AE444" s="1" t="s">
        <v>98</v>
      </c>
      <c r="AF444" s="1" t="s">
        <v>8667</v>
      </c>
      <c r="AG444" s="1" t="s">
        <v>165</v>
      </c>
      <c r="AH444" s="1" t="s">
        <v>167</v>
      </c>
      <c r="AI444" s="1" t="s">
        <v>200</v>
      </c>
      <c r="AJ444" s="1">
        <v>80.2</v>
      </c>
      <c r="AK444" s="1"/>
      <c r="AL444" s="1" t="s">
        <v>8668</v>
      </c>
      <c r="AM444" s="1" t="s">
        <v>165</v>
      </c>
      <c r="AN444" s="1" t="s">
        <v>575</v>
      </c>
      <c r="AO444" s="1" t="s">
        <v>106</v>
      </c>
      <c r="AP444" s="1" t="s">
        <v>203</v>
      </c>
      <c r="AQ444" s="1">
        <v>62.15</v>
      </c>
      <c r="AR444" s="1"/>
      <c r="AS444" s="1"/>
      <c r="AT444" s="1"/>
      <c r="AU444" s="1"/>
      <c r="AV444" s="1"/>
      <c r="AW444" s="1"/>
      <c r="AX444" s="1"/>
      <c r="AY444" s="1" t="s">
        <v>680</v>
      </c>
      <c r="AZ444" s="1" t="s">
        <v>8669</v>
      </c>
      <c r="BA444" s="1" t="s">
        <v>466</v>
      </c>
      <c r="BB444" s="1" t="s">
        <v>467</v>
      </c>
      <c r="BC444" s="1" t="s">
        <v>206</v>
      </c>
      <c r="BD444" s="1" t="s">
        <v>8670</v>
      </c>
      <c r="BE444" s="1">
        <v>64</v>
      </c>
      <c r="BF444" s="1">
        <v>7.15</v>
      </c>
      <c r="BG444" s="1"/>
      <c r="BH444" s="1"/>
      <c r="BI444" s="1"/>
      <c r="BJ444" s="1"/>
      <c r="BK444" s="1"/>
      <c r="BL444" s="1"/>
      <c r="BM444" s="1"/>
      <c r="BN444" s="1"/>
      <c r="BO444" s="1" t="s">
        <v>8671</v>
      </c>
      <c r="BP444" s="1"/>
      <c r="BQ444" s="1"/>
      <c r="BR444" s="1" t="s">
        <v>8672</v>
      </c>
      <c r="BS444" s="1">
        <v>9</v>
      </c>
      <c r="BT444" s="1"/>
      <c r="BU444" s="1" t="str">
        <f>HYPERLINK("https://nconnect.nicmar.ac.in/storage/profile/ProfilePhoto_P25700446_625137.jpg","Download")</f>
        <v>0</v>
      </c>
      <c r="BV444" s="3"/>
      <c r="BW444" s="3"/>
    </row>
    <row r="445" spans="1:75">
      <c r="A445" s="1" t="s">
        <v>75</v>
      </c>
      <c r="B445" s="1" t="s">
        <v>446</v>
      </c>
      <c r="C445" s="1" t="s">
        <v>8673</v>
      </c>
      <c r="D445" s="1" t="s">
        <v>8674</v>
      </c>
      <c r="E445" s="1" t="s">
        <v>529</v>
      </c>
      <c r="F445" s="1" t="s">
        <v>530</v>
      </c>
      <c r="G445" s="1" t="s">
        <v>8675</v>
      </c>
      <c r="H445" s="1" t="s">
        <v>8676</v>
      </c>
      <c r="I445" s="1" t="s">
        <v>8677</v>
      </c>
      <c r="J445" s="1">
        <v>8445489675</v>
      </c>
      <c r="K445" s="1" t="s">
        <v>84</v>
      </c>
      <c r="L445" s="1" t="s">
        <v>8678</v>
      </c>
      <c r="M445" s="1" t="s">
        <v>86</v>
      </c>
      <c r="N445" s="1" t="s">
        <v>8679</v>
      </c>
      <c r="O445" s="1"/>
      <c r="P445" s="1" t="s">
        <v>507</v>
      </c>
      <c r="Q445" s="1" t="s">
        <v>8680</v>
      </c>
      <c r="R445" s="1" t="s">
        <v>8681</v>
      </c>
      <c r="S445" s="1">
        <v>8126123456</v>
      </c>
      <c r="T445" s="1" t="s">
        <v>125</v>
      </c>
      <c r="U445" s="1" t="s">
        <v>8682</v>
      </c>
      <c r="V445" s="1">
        <v>6396047747</v>
      </c>
      <c r="W445" s="1" t="s">
        <v>278</v>
      </c>
      <c r="X445" s="1" t="s">
        <v>8683</v>
      </c>
      <c r="Y445" s="1" t="s">
        <v>8684</v>
      </c>
      <c r="Z445" s="1" t="s">
        <v>544</v>
      </c>
      <c r="AA445" s="1" t="s">
        <v>8683</v>
      </c>
      <c r="AB445" s="1" t="s">
        <v>8684</v>
      </c>
      <c r="AC445" s="1" t="s">
        <v>544</v>
      </c>
      <c r="AD445" s="1">
        <v>8.23</v>
      </c>
      <c r="AE445" s="1" t="s">
        <v>98</v>
      </c>
      <c r="AF445" s="1" t="s">
        <v>8685</v>
      </c>
      <c r="AG445" s="1" t="s">
        <v>8685</v>
      </c>
      <c r="AH445" s="1" t="s">
        <v>1110</v>
      </c>
      <c r="AI445" s="1" t="s">
        <v>627</v>
      </c>
      <c r="AJ445" s="1">
        <v>79.8</v>
      </c>
      <c r="AK445" s="1">
        <v>8.4</v>
      </c>
      <c r="AL445" s="1" t="s">
        <v>8685</v>
      </c>
      <c r="AM445" s="1" t="s">
        <v>312</v>
      </c>
      <c r="AN445" s="1" t="s">
        <v>465</v>
      </c>
      <c r="AO445" s="1" t="s">
        <v>704</v>
      </c>
      <c r="AP445" s="1" t="s">
        <v>171</v>
      </c>
      <c r="AQ445" s="1">
        <v>61</v>
      </c>
      <c r="AR445" s="1"/>
      <c r="AS445" s="1"/>
      <c r="AT445" s="1"/>
      <c r="AU445" s="1"/>
      <c r="AV445" s="1"/>
      <c r="AW445" s="1"/>
      <c r="AX445" s="1"/>
      <c r="AY445" s="1" t="s">
        <v>8686</v>
      </c>
      <c r="AZ445" s="1" t="s">
        <v>8687</v>
      </c>
      <c r="BA445" s="1" t="s">
        <v>466</v>
      </c>
      <c r="BB445" s="1" t="s">
        <v>467</v>
      </c>
      <c r="BC445" s="1" t="s">
        <v>174</v>
      </c>
      <c r="BD445" s="1" t="s">
        <v>1400</v>
      </c>
      <c r="BE445" s="1">
        <v>68.7</v>
      </c>
      <c r="BF445" s="1">
        <v>6.87</v>
      </c>
      <c r="BG445" s="1"/>
      <c r="BH445" s="1"/>
      <c r="BI445" s="1"/>
      <c r="BJ445" s="1"/>
      <c r="BK445" s="1"/>
      <c r="BL445" s="1"/>
      <c r="BM445" s="1"/>
      <c r="BN445" s="1"/>
      <c r="BO445" s="1" t="s">
        <v>8688</v>
      </c>
      <c r="BP445" s="1" t="s">
        <v>8689</v>
      </c>
      <c r="BQ445" s="1" t="s">
        <v>3949</v>
      </c>
      <c r="BR445" s="1" t="s">
        <v>8690</v>
      </c>
      <c r="BS445" s="1">
        <v>8</v>
      </c>
      <c r="BT445" s="1" t="s">
        <v>8691</v>
      </c>
      <c r="BU445" s="1" t="str">
        <f>HYPERLINK("https://nconnect.nicmar.ac.in/storage/profile/ProfilePhoto_P25700447_624183.jpg","Download")</f>
        <v>0</v>
      </c>
      <c r="BV445" s="3"/>
      <c r="BW445" s="3"/>
    </row>
    <row r="446" spans="1:75">
      <c r="A446" s="1" t="s">
        <v>75</v>
      </c>
      <c r="B446" s="1" t="s">
        <v>446</v>
      </c>
      <c r="C446" s="1" t="s">
        <v>8692</v>
      </c>
      <c r="D446" s="1" t="s">
        <v>8693</v>
      </c>
      <c r="E446" s="1"/>
      <c r="F446" s="1" t="s">
        <v>8694</v>
      </c>
      <c r="G446" s="1" t="s">
        <v>8695</v>
      </c>
      <c r="H446" s="1" t="s">
        <v>8696</v>
      </c>
      <c r="I446" s="1" t="s">
        <v>8697</v>
      </c>
      <c r="J446" s="1">
        <v>7418269162</v>
      </c>
      <c r="K446" s="1" t="s">
        <v>84</v>
      </c>
      <c r="L446" s="1" t="s">
        <v>8698</v>
      </c>
      <c r="M446" s="1" t="s">
        <v>86</v>
      </c>
      <c r="N446" s="1" t="s">
        <v>8699</v>
      </c>
      <c r="O446" s="1"/>
      <c r="P446" s="1" t="s">
        <v>507</v>
      </c>
      <c r="Q446" s="1" t="s">
        <v>8700</v>
      </c>
      <c r="R446" s="1" t="s">
        <v>8701</v>
      </c>
      <c r="S446" s="1">
        <v>9840810292</v>
      </c>
      <c r="T446" s="1" t="s">
        <v>8702</v>
      </c>
      <c r="U446" s="1" t="s">
        <v>8703</v>
      </c>
      <c r="V446" s="1">
        <v>7904909123</v>
      </c>
      <c r="W446" s="1" t="s">
        <v>8704</v>
      </c>
      <c r="X446" s="1" t="s">
        <v>8705</v>
      </c>
      <c r="Y446" s="1" t="s">
        <v>196</v>
      </c>
      <c r="Z446" s="1" t="s">
        <v>97</v>
      </c>
      <c r="AA446" s="1" t="s">
        <v>8706</v>
      </c>
      <c r="AB446" s="1" t="s">
        <v>1498</v>
      </c>
      <c r="AC446" s="1" t="s">
        <v>570</v>
      </c>
      <c r="AD446" s="1">
        <v>9.33</v>
      </c>
      <c r="AE446" s="1" t="s">
        <v>98</v>
      </c>
      <c r="AF446" s="1" t="s">
        <v>8707</v>
      </c>
      <c r="AG446" s="1" t="s">
        <v>775</v>
      </c>
      <c r="AH446" s="1" t="s">
        <v>166</v>
      </c>
      <c r="AI446" s="1" t="s">
        <v>627</v>
      </c>
      <c r="AJ446" s="1">
        <v>77.9</v>
      </c>
      <c r="AK446" s="1">
        <v>8.2</v>
      </c>
      <c r="AL446" s="1" t="s">
        <v>8708</v>
      </c>
      <c r="AM446" s="1" t="s">
        <v>8637</v>
      </c>
      <c r="AN446" s="1" t="s">
        <v>575</v>
      </c>
      <c r="AO446" s="1" t="s">
        <v>170</v>
      </c>
      <c r="AP446" s="1" t="s">
        <v>171</v>
      </c>
      <c r="AQ446" s="1">
        <v>88.5</v>
      </c>
      <c r="AR446" s="1">
        <v>0</v>
      </c>
      <c r="AS446" s="1"/>
      <c r="AT446" s="1"/>
      <c r="AU446" s="1"/>
      <c r="AV446" s="1"/>
      <c r="AW446" s="1"/>
      <c r="AX446" s="1"/>
      <c r="AY446" s="1" t="s">
        <v>576</v>
      </c>
      <c r="AZ446" s="1" t="s">
        <v>8709</v>
      </c>
      <c r="BA446" s="1" t="s">
        <v>578</v>
      </c>
      <c r="BB446" s="1" t="s">
        <v>467</v>
      </c>
      <c r="BC446" s="1" t="s">
        <v>175</v>
      </c>
      <c r="BD446" s="1" t="s">
        <v>1242</v>
      </c>
      <c r="BE446" s="1">
        <v>90</v>
      </c>
      <c r="BF446" s="1">
        <v>9</v>
      </c>
      <c r="BG446" s="1"/>
      <c r="BH446" s="1"/>
      <c r="BI446" s="1"/>
      <c r="BJ446" s="1"/>
      <c r="BK446" s="1"/>
      <c r="BL446" s="1"/>
      <c r="BM446" s="1"/>
      <c r="BN446" s="1"/>
      <c r="BO446" s="1" t="s">
        <v>2267</v>
      </c>
      <c r="BP446" s="1" t="s">
        <v>8710</v>
      </c>
      <c r="BQ446" s="1" t="s">
        <v>1070</v>
      </c>
      <c r="BR446" s="1" t="s">
        <v>8711</v>
      </c>
      <c r="BS446" s="1">
        <v>12</v>
      </c>
      <c r="BT446" s="1" t="s">
        <v>8712</v>
      </c>
      <c r="BU446" s="1" t="str">
        <f>HYPERLINK("https://nconnect.nicmar.ac.in/storage/profile/ProfilePhoto_P25700448_675934.jpg","Download")</f>
        <v>0</v>
      </c>
      <c r="BV446" s="3"/>
      <c r="BW446" s="3"/>
    </row>
    <row r="447" spans="1:75">
      <c r="A447" s="1" t="s">
        <v>75</v>
      </c>
      <c r="B447" s="1" t="s">
        <v>446</v>
      </c>
      <c r="C447" s="1" t="s">
        <v>8713</v>
      </c>
      <c r="D447" s="1" t="s">
        <v>8714</v>
      </c>
      <c r="E447" s="1" t="s">
        <v>1963</v>
      </c>
      <c r="F447" s="1" t="s">
        <v>8715</v>
      </c>
      <c r="G447" s="1" t="s">
        <v>8716</v>
      </c>
      <c r="H447" s="1" t="s">
        <v>8717</v>
      </c>
      <c r="I447" s="1" t="s">
        <v>8718</v>
      </c>
      <c r="J447" s="1">
        <v>9307267462</v>
      </c>
      <c r="K447" s="1" t="s">
        <v>84</v>
      </c>
      <c r="L447" s="1" t="s">
        <v>8719</v>
      </c>
      <c r="M447" s="1" t="s">
        <v>86</v>
      </c>
      <c r="N447" s="1" t="s">
        <v>8720</v>
      </c>
      <c r="O447" s="1"/>
      <c r="P447" s="1" t="s">
        <v>507</v>
      </c>
      <c r="Q447" s="1" t="s">
        <v>8721</v>
      </c>
      <c r="R447" s="1" t="s">
        <v>8722</v>
      </c>
      <c r="S447" s="1">
        <v>9422941112</v>
      </c>
      <c r="T447" s="1" t="s">
        <v>127</v>
      </c>
      <c r="U447" s="1" t="s">
        <v>8723</v>
      </c>
      <c r="V447" s="1">
        <v>9370959374</v>
      </c>
      <c r="W447" s="1" t="s">
        <v>127</v>
      </c>
      <c r="X447" s="1" t="s">
        <v>8724</v>
      </c>
      <c r="Y447" s="1" t="s">
        <v>1145</v>
      </c>
      <c r="Z447" s="1" t="s">
        <v>97</v>
      </c>
      <c r="AA447" s="1" t="s">
        <v>8724</v>
      </c>
      <c r="AB447" s="1" t="s">
        <v>1145</v>
      </c>
      <c r="AC447" s="1" t="s">
        <v>97</v>
      </c>
      <c r="AD447" s="1">
        <v>8.33</v>
      </c>
      <c r="AE447" s="1" t="s">
        <v>98</v>
      </c>
      <c r="AF447" s="1" t="s">
        <v>8725</v>
      </c>
      <c r="AG447" s="1" t="s">
        <v>8726</v>
      </c>
      <c r="AH447" s="1" t="s">
        <v>106</v>
      </c>
      <c r="AI447" s="1" t="s">
        <v>313</v>
      </c>
      <c r="AJ447" s="1">
        <v>96.2</v>
      </c>
      <c r="AK447" s="1"/>
      <c r="AL447" s="1" t="s">
        <v>8727</v>
      </c>
      <c r="AM447" s="1" t="s">
        <v>8728</v>
      </c>
      <c r="AN447" s="1" t="s">
        <v>465</v>
      </c>
      <c r="AO447" s="1" t="s">
        <v>468</v>
      </c>
      <c r="AP447" s="1" t="s">
        <v>845</v>
      </c>
      <c r="AQ447" s="1">
        <v>92</v>
      </c>
      <c r="AR447" s="1"/>
      <c r="AS447" s="1"/>
      <c r="AT447" s="1"/>
      <c r="AU447" s="1"/>
      <c r="AV447" s="1"/>
      <c r="AW447" s="1"/>
      <c r="AX447" s="1"/>
      <c r="AY447" s="1" t="s">
        <v>8729</v>
      </c>
      <c r="AZ447" s="1" t="s">
        <v>8730</v>
      </c>
      <c r="BA447" s="1" t="s">
        <v>466</v>
      </c>
      <c r="BB447" s="1" t="s">
        <v>467</v>
      </c>
      <c r="BC447" s="1" t="s">
        <v>441</v>
      </c>
      <c r="BD447" s="1" t="s">
        <v>553</v>
      </c>
      <c r="BE447" s="1">
        <v>78</v>
      </c>
      <c r="BF447" s="1">
        <v>8.6</v>
      </c>
      <c r="BG447" s="1"/>
      <c r="BH447" s="1"/>
      <c r="BI447" s="1"/>
      <c r="BJ447" s="1"/>
      <c r="BK447" s="1"/>
      <c r="BL447" s="1"/>
      <c r="BM447" s="1"/>
      <c r="BN447" s="1"/>
      <c r="BO447" s="1" t="s">
        <v>369</v>
      </c>
      <c r="BP447" s="1"/>
      <c r="BQ447" s="1"/>
      <c r="BR447" s="1" t="s">
        <v>8731</v>
      </c>
      <c r="BS447" s="1">
        <v>90</v>
      </c>
      <c r="BT447" s="1"/>
      <c r="BU447" s="1" t="str">
        <f>HYPERLINK("https://nconnect.nicmar.ac.in/storage/profile/ProfilePhoto_P25700449_946731.jpg","Download")</f>
        <v>0</v>
      </c>
      <c r="BV447" s="3"/>
      <c r="BW447" s="3"/>
    </row>
    <row r="448" spans="1:75">
      <c r="A448" s="1" t="s">
        <v>75</v>
      </c>
      <c r="B448" s="1" t="s">
        <v>446</v>
      </c>
      <c r="C448" s="1" t="s">
        <v>8732</v>
      </c>
      <c r="D448" s="1" t="s">
        <v>8733</v>
      </c>
      <c r="E448" s="1" t="s">
        <v>3100</v>
      </c>
      <c r="F448" s="1" t="s">
        <v>8734</v>
      </c>
      <c r="G448" s="1" t="s">
        <v>8735</v>
      </c>
      <c r="H448" s="1" t="s">
        <v>8736</v>
      </c>
      <c r="I448" s="1" t="s">
        <v>8737</v>
      </c>
      <c r="J448" s="1">
        <v>9624951503</v>
      </c>
      <c r="K448" s="1" t="s">
        <v>84</v>
      </c>
      <c r="L448" s="1" t="s">
        <v>8738</v>
      </c>
      <c r="M448" s="1" t="s">
        <v>86</v>
      </c>
      <c r="N448" s="1" t="s">
        <v>8739</v>
      </c>
      <c r="O448" s="1"/>
      <c r="P448" s="1" t="s">
        <v>455</v>
      </c>
      <c r="Q448" s="1" t="s">
        <v>8740</v>
      </c>
      <c r="R448" s="1" t="s">
        <v>8741</v>
      </c>
      <c r="S448" s="1">
        <v>7990856554</v>
      </c>
      <c r="T448" s="1" t="s">
        <v>125</v>
      </c>
      <c r="U448" s="1" t="s">
        <v>8742</v>
      </c>
      <c r="V448" s="1">
        <v>9265635667</v>
      </c>
      <c r="W448" s="1" t="s">
        <v>161</v>
      </c>
      <c r="X448" s="1" t="s">
        <v>8743</v>
      </c>
      <c r="Y448" s="1" t="s">
        <v>8744</v>
      </c>
      <c r="Z448" s="1" t="s">
        <v>676</v>
      </c>
      <c r="AA448" s="1" t="s">
        <v>8743</v>
      </c>
      <c r="AB448" s="1" t="s">
        <v>8744</v>
      </c>
      <c r="AC448" s="1" t="s">
        <v>676</v>
      </c>
      <c r="AD448" s="1">
        <v>8.21</v>
      </c>
      <c r="AE448" s="1" t="s">
        <v>98</v>
      </c>
      <c r="AF448" s="1" t="s">
        <v>8745</v>
      </c>
      <c r="AG448" s="1" t="s">
        <v>8746</v>
      </c>
      <c r="AH448" s="1" t="s">
        <v>101</v>
      </c>
      <c r="AI448" s="1" t="s">
        <v>166</v>
      </c>
      <c r="AJ448" s="1">
        <v>74</v>
      </c>
      <c r="AK448" s="1">
        <v>0</v>
      </c>
      <c r="AL448" s="1" t="s">
        <v>8747</v>
      </c>
      <c r="AM448" s="1" t="s">
        <v>8746</v>
      </c>
      <c r="AN448" s="1" t="s">
        <v>465</v>
      </c>
      <c r="AO448" s="1" t="s">
        <v>167</v>
      </c>
      <c r="AP448" s="1" t="s">
        <v>573</v>
      </c>
      <c r="AQ448" s="1">
        <v>63.85</v>
      </c>
      <c r="AR448" s="1">
        <v>0</v>
      </c>
      <c r="AS448" s="1"/>
      <c r="AT448" s="1"/>
      <c r="AU448" s="1"/>
      <c r="AV448" s="1"/>
      <c r="AW448" s="1"/>
      <c r="AX448" s="1"/>
      <c r="AY448" s="1" t="s">
        <v>5241</v>
      </c>
      <c r="AZ448" s="1" t="s">
        <v>8748</v>
      </c>
      <c r="BA448" s="1" t="s">
        <v>578</v>
      </c>
      <c r="BB448" s="1" t="s">
        <v>467</v>
      </c>
      <c r="BC448" s="1" t="s">
        <v>230</v>
      </c>
      <c r="BD448" s="1" t="s">
        <v>847</v>
      </c>
      <c r="BE448" s="1">
        <v>74.4</v>
      </c>
      <c r="BF448" s="1">
        <v>7.94</v>
      </c>
      <c r="BG448" s="1"/>
      <c r="BH448" s="1"/>
      <c r="BI448" s="1"/>
      <c r="BJ448" s="1"/>
      <c r="BK448" s="1"/>
      <c r="BL448" s="1"/>
      <c r="BM448" s="1"/>
      <c r="BN448" s="1"/>
      <c r="BO448" s="1" t="s">
        <v>8749</v>
      </c>
      <c r="BP448" s="1" t="s">
        <v>8750</v>
      </c>
      <c r="BQ448" s="1" t="s">
        <v>1070</v>
      </c>
      <c r="BR448" s="1" t="s">
        <v>8751</v>
      </c>
      <c r="BS448" s="1">
        <v>9</v>
      </c>
      <c r="BT448" s="1" t="s">
        <v>8752</v>
      </c>
      <c r="BU448" s="1" t="str">
        <f>HYPERLINK("https://nconnect.nicmar.ac.in/storage/profile/ProfilePhoto_P25700450_896257.jpg","Download")</f>
        <v>0</v>
      </c>
      <c r="BV448" s="3"/>
      <c r="BW448" s="3"/>
    </row>
    <row r="449" spans="1:75">
      <c r="A449" s="1" t="s">
        <v>75</v>
      </c>
      <c r="B449" s="1" t="s">
        <v>446</v>
      </c>
      <c r="C449" s="1" t="s">
        <v>8753</v>
      </c>
      <c r="D449" s="1" t="s">
        <v>8272</v>
      </c>
      <c r="E449" s="1" t="s">
        <v>1320</v>
      </c>
      <c r="F449" s="1" t="s">
        <v>8754</v>
      </c>
      <c r="G449" s="1" t="s">
        <v>8755</v>
      </c>
      <c r="H449" s="1" t="s">
        <v>8756</v>
      </c>
      <c r="I449" s="1" t="s">
        <v>8757</v>
      </c>
      <c r="J449" s="1">
        <v>9669982217</v>
      </c>
      <c r="K449" s="1" t="s">
        <v>84</v>
      </c>
      <c r="L449" s="1" t="s">
        <v>8758</v>
      </c>
      <c r="M449" s="1" t="s">
        <v>86</v>
      </c>
      <c r="N449" s="1" t="s">
        <v>618</v>
      </c>
      <c r="O449" s="1"/>
      <c r="P449" s="1" t="s">
        <v>507</v>
      </c>
      <c r="Q449" s="1" t="s">
        <v>8759</v>
      </c>
      <c r="R449" s="1" t="s">
        <v>8760</v>
      </c>
      <c r="S449" s="1">
        <v>7693895796</v>
      </c>
      <c r="T449" s="1" t="s">
        <v>839</v>
      </c>
      <c r="U449" s="1" t="s">
        <v>8761</v>
      </c>
      <c r="V449" s="1">
        <v>7693895796</v>
      </c>
      <c r="W449" s="1" t="s">
        <v>94</v>
      </c>
      <c r="X449" s="1" t="s">
        <v>8762</v>
      </c>
      <c r="Y449" s="1" t="s">
        <v>8763</v>
      </c>
      <c r="Z449" s="1" t="s">
        <v>3419</v>
      </c>
      <c r="AA449" s="1" t="s">
        <v>8762</v>
      </c>
      <c r="AB449" s="1" t="s">
        <v>8763</v>
      </c>
      <c r="AC449" s="1" t="s">
        <v>3419</v>
      </c>
      <c r="AD449" s="1">
        <v>7.51</v>
      </c>
      <c r="AE449" s="1" t="s">
        <v>98</v>
      </c>
      <c r="AF449" s="1" t="s">
        <v>8764</v>
      </c>
      <c r="AG449" s="1" t="s">
        <v>8765</v>
      </c>
      <c r="AH449" s="1" t="s">
        <v>1110</v>
      </c>
      <c r="AI449" s="1" t="s">
        <v>627</v>
      </c>
      <c r="AJ449" s="1">
        <v>79.8</v>
      </c>
      <c r="AK449" s="1">
        <v>8.4</v>
      </c>
      <c r="AL449" s="1" t="s">
        <v>8764</v>
      </c>
      <c r="AM449" s="1" t="s">
        <v>8765</v>
      </c>
      <c r="AN449" s="1"/>
      <c r="AO449" s="1" t="s">
        <v>704</v>
      </c>
      <c r="AP449" s="1" t="s">
        <v>171</v>
      </c>
      <c r="AQ449" s="1">
        <v>65</v>
      </c>
      <c r="AR449" s="1"/>
      <c r="AS449" s="1"/>
      <c r="AT449" s="1"/>
      <c r="AU449" s="1"/>
      <c r="AV449" s="1"/>
      <c r="AW449" s="1"/>
      <c r="AX449" s="1"/>
      <c r="AY449" s="1" t="s">
        <v>2206</v>
      </c>
      <c r="AZ449" s="1" t="s">
        <v>8766</v>
      </c>
      <c r="BA449" s="1"/>
      <c r="BB449" s="1"/>
      <c r="BC449" s="1" t="s">
        <v>1065</v>
      </c>
      <c r="BD449" s="1" t="s">
        <v>5278</v>
      </c>
      <c r="BE449" s="1">
        <v>69</v>
      </c>
      <c r="BF449" s="1">
        <v>6.9</v>
      </c>
      <c r="BG449" s="1"/>
      <c r="BH449" s="1"/>
      <c r="BI449" s="1"/>
      <c r="BJ449" s="1"/>
      <c r="BK449" s="1"/>
      <c r="BL449" s="1"/>
      <c r="BM449" s="1"/>
      <c r="BN449" s="1"/>
      <c r="BO449" s="1" t="s">
        <v>8767</v>
      </c>
      <c r="BP449" s="1"/>
      <c r="BQ449" s="1"/>
      <c r="BR449" s="1" t="s">
        <v>8768</v>
      </c>
      <c r="BS449" s="1">
        <v>52</v>
      </c>
      <c r="BT449" s="1" t="s">
        <v>8769</v>
      </c>
      <c r="BU449" s="1" t="str">
        <f>HYPERLINK("https://nconnect.nicmar.ac.in/storage/profile/ProfilePhoto_P25700451_316894.jpg","Download")</f>
        <v>0</v>
      </c>
      <c r="BV449" s="3"/>
      <c r="BW449" s="3"/>
    </row>
    <row r="450" spans="1:75">
      <c r="A450" s="1" t="s">
        <v>75</v>
      </c>
      <c r="B450" s="1" t="s">
        <v>446</v>
      </c>
      <c r="C450" s="1" t="s">
        <v>8770</v>
      </c>
      <c r="D450" s="1" t="s">
        <v>2272</v>
      </c>
      <c r="E450" s="1"/>
      <c r="F450" s="1" t="s">
        <v>8771</v>
      </c>
      <c r="G450" s="1" t="s">
        <v>8772</v>
      </c>
      <c r="H450" s="1" t="s">
        <v>8773</v>
      </c>
      <c r="I450" s="1" t="s">
        <v>8774</v>
      </c>
      <c r="J450" s="1">
        <v>9526915241</v>
      </c>
      <c r="K450" s="1" t="s">
        <v>84</v>
      </c>
      <c r="L450" s="1" t="s">
        <v>3392</v>
      </c>
      <c r="M450" s="1" t="s">
        <v>86</v>
      </c>
      <c r="N450" s="1" t="s">
        <v>8775</v>
      </c>
      <c r="O450" s="1"/>
      <c r="P450" s="1" t="s">
        <v>481</v>
      </c>
      <c r="Q450" s="1" t="s">
        <v>8776</v>
      </c>
      <c r="R450" s="1" t="s">
        <v>8777</v>
      </c>
      <c r="S450" s="1">
        <v>9446104143</v>
      </c>
      <c r="T450" s="1" t="s">
        <v>8778</v>
      </c>
      <c r="U450" s="1" t="s">
        <v>8779</v>
      </c>
      <c r="V450" s="1">
        <v>9446317836</v>
      </c>
      <c r="W450" s="1" t="s">
        <v>8780</v>
      </c>
      <c r="X450" s="1" t="s">
        <v>8781</v>
      </c>
      <c r="Y450" s="1" t="s">
        <v>196</v>
      </c>
      <c r="Z450" s="1" t="s">
        <v>97</v>
      </c>
      <c r="AA450" s="1" t="s">
        <v>8782</v>
      </c>
      <c r="AB450" s="1" t="s">
        <v>701</v>
      </c>
      <c r="AC450" s="1" t="s">
        <v>130</v>
      </c>
      <c r="AD450" s="1">
        <v>7.28</v>
      </c>
      <c r="AE450" s="1" t="s">
        <v>98</v>
      </c>
      <c r="AF450" s="1" t="s">
        <v>8783</v>
      </c>
      <c r="AG450" s="1" t="s">
        <v>8784</v>
      </c>
      <c r="AH450" s="1" t="s">
        <v>101</v>
      </c>
      <c r="AI450" s="1" t="s">
        <v>102</v>
      </c>
      <c r="AJ450" s="1">
        <v>70.3</v>
      </c>
      <c r="AK450" s="1">
        <v>7.4</v>
      </c>
      <c r="AL450" s="1" t="s">
        <v>702</v>
      </c>
      <c r="AM450" s="1" t="s">
        <v>8784</v>
      </c>
      <c r="AN450" s="1"/>
      <c r="AO450" s="1" t="s">
        <v>167</v>
      </c>
      <c r="AP450" s="1" t="s">
        <v>200</v>
      </c>
      <c r="AQ450" s="1">
        <v>68</v>
      </c>
      <c r="AR450" s="1">
        <v>6.8</v>
      </c>
      <c r="AS450" s="1"/>
      <c r="AT450" s="1"/>
      <c r="AU450" s="1"/>
      <c r="AV450" s="1"/>
      <c r="AW450" s="1"/>
      <c r="AX450" s="1"/>
      <c r="AY450" s="1" t="s">
        <v>2614</v>
      </c>
      <c r="AZ450" s="1" t="s">
        <v>6168</v>
      </c>
      <c r="BA450" s="1"/>
      <c r="BB450" s="1"/>
      <c r="BC450" s="1" t="s">
        <v>106</v>
      </c>
      <c r="BD450" s="1" t="s">
        <v>632</v>
      </c>
      <c r="BE450" s="1">
        <v>71</v>
      </c>
      <c r="BF450" s="1">
        <v>7.1</v>
      </c>
      <c r="BG450" s="1"/>
      <c r="BH450" s="1"/>
      <c r="BI450" s="1"/>
      <c r="BJ450" s="1"/>
      <c r="BK450" s="1"/>
      <c r="BL450" s="1"/>
      <c r="BM450" s="1"/>
      <c r="BN450" s="1"/>
      <c r="BO450" s="1" t="s">
        <v>8785</v>
      </c>
      <c r="BP450" s="1" t="s">
        <v>8786</v>
      </c>
      <c r="BQ450" s="1" t="s">
        <v>780</v>
      </c>
      <c r="BR450" s="1" t="s">
        <v>8787</v>
      </c>
      <c r="BS450" s="1">
        <v>8</v>
      </c>
      <c r="BT450" s="1"/>
      <c r="BU450" s="1" t="str">
        <f>HYPERLINK("https://nconnect.nicmar.ac.in/storage/profile/ProfilePhoto_P25700452_132786.jpg","Download")</f>
        <v>0</v>
      </c>
      <c r="BV450" s="3"/>
      <c r="BW450" s="3"/>
    </row>
    <row r="451" spans="1:75">
      <c r="A451" s="1" t="s">
        <v>75</v>
      </c>
      <c r="B451" s="1" t="s">
        <v>446</v>
      </c>
      <c r="C451" s="1" t="s">
        <v>8788</v>
      </c>
      <c r="D451" s="1" t="s">
        <v>8789</v>
      </c>
      <c r="E451" s="1" t="s">
        <v>8790</v>
      </c>
      <c r="F451" s="1" t="s">
        <v>8791</v>
      </c>
      <c r="G451" s="1" t="s">
        <v>8792</v>
      </c>
      <c r="H451" s="1" t="s">
        <v>8793</v>
      </c>
      <c r="I451" s="1" t="s">
        <v>8794</v>
      </c>
      <c r="J451" s="1">
        <v>9370776955</v>
      </c>
      <c r="K451" s="1" t="s">
        <v>84</v>
      </c>
      <c r="L451" s="1" t="s">
        <v>8795</v>
      </c>
      <c r="M451" s="1" t="s">
        <v>86</v>
      </c>
      <c r="N451" s="1" t="s">
        <v>1470</v>
      </c>
      <c r="O451" s="1"/>
      <c r="P451" s="1" t="s">
        <v>455</v>
      </c>
      <c r="Q451" s="1" t="s">
        <v>8796</v>
      </c>
      <c r="R451" s="1" t="s">
        <v>8797</v>
      </c>
      <c r="S451" s="1">
        <v>9422137293</v>
      </c>
      <c r="T451" s="1" t="s">
        <v>159</v>
      </c>
      <c r="U451" s="1" t="s">
        <v>8798</v>
      </c>
      <c r="V451" s="1">
        <v>8390902629</v>
      </c>
      <c r="W451" s="1" t="s">
        <v>94</v>
      </c>
      <c r="X451" s="1" t="s">
        <v>8799</v>
      </c>
      <c r="Y451" s="1" t="s">
        <v>624</v>
      </c>
      <c r="Z451" s="1" t="s">
        <v>97</v>
      </c>
      <c r="AA451" s="1" t="s">
        <v>8799</v>
      </c>
      <c r="AB451" s="1" t="s">
        <v>624</v>
      </c>
      <c r="AC451" s="1" t="s">
        <v>97</v>
      </c>
      <c r="AD451" s="1">
        <v>8.59</v>
      </c>
      <c r="AE451" s="1" t="s">
        <v>98</v>
      </c>
      <c r="AF451" s="1" t="s">
        <v>8800</v>
      </c>
      <c r="AG451" s="1" t="s">
        <v>8801</v>
      </c>
      <c r="AH451" s="1" t="s">
        <v>1110</v>
      </c>
      <c r="AI451" s="1" t="s">
        <v>1111</v>
      </c>
      <c r="AJ451" s="1">
        <v>81.7</v>
      </c>
      <c r="AK451" s="1">
        <v>8.6</v>
      </c>
      <c r="AL451" s="1" t="s">
        <v>8802</v>
      </c>
      <c r="AM451" s="1" t="s">
        <v>8803</v>
      </c>
      <c r="AN451" s="1" t="s">
        <v>465</v>
      </c>
      <c r="AO451" s="1" t="s">
        <v>170</v>
      </c>
      <c r="AP451" s="1" t="s">
        <v>286</v>
      </c>
      <c r="AQ451" s="1">
        <v>61.54</v>
      </c>
      <c r="AR451" s="1"/>
      <c r="AS451" s="1"/>
      <c r="AT451" s="1"/>
      <c r="AU451" s="1"/>
      <c r="AV451" s="1"/>
      <c r="AW451" s="1"/>
      <c r="AX451" s="1"/>
      <c r="AY451" s="1" t="s">
        <v>415</v>
      </c>
      <c r="AZ451" s="1" t="s">
        <v>8804</v>
      </c>
      <c r="BA451" s="1" t="s">
        <v>578</v>
      </c>
      <c r="BB451" s="1" t="s">
        <v>467</v>
      </c>
      <c r="BC451" s="1" t="s">
        <v>1065</v>
      </c>
      <c r="BD451" s="1" t="s">
        <v>110</v>
      </c>
      <c r="BE451" s="1">
        <v>80.3</v>
      </c>
      <c r="BF451" s="1">
        <v>8.78</v>
      </c>
      <c r="BG451" s="1"/>
      <c r="BH451" s="1"/>
      <c r="BI451" s="1"/>
      <c r="BJ451" s="1"/>
      <c r="BK451" s="1"/>
      <c r="BL451" s="1"/>
      <c r="BM451" s="1"/>
      <c r="BN451" s="1"/>
      <c r="BO451" s="1" t="s">
        <v>8805</v>
      </c>
      <c r="BP451" s="1" t="s">
        <v>8806</v>
      </c>
      <c r="BQ451" s="1" t="s">
        <v>1564</v>
      </c>
      <c r="BR451" s="1" t="s">
        <v>8807</v>
      </c>
      <c r="BS451" s="1">
        <v>13</v>
      </c>
      <c r="BT451" s="1" t="s">
        <v>8808</v>
      </c>
      <c r="BU451" s="1" t="str">
        <f>HYPERLINK("https://nconnect.nicmar.ac.in/storage/profile/ProfilePhoto_P25700453_982314.jpg","Download")</f>
        <v>0</v>
      </c>
      <c r="BV451" s="3"/>
      <c r="BW451" s="4">
        <v>1</v>
      </c>
    </row>
    <row r="452" spans="1:75">
      <c r="A452" s="1" t="s">
        <v>75</v>
      </c>
      <c r="B452" s="1" t="s">
        <v>446</v>
      </c>
      <c r="C452" s="1" t="s">
        <v>8809</v>
      </c>
      <c r="D452" s="1" t="s">
        <v>8810</v>
      </c>
      <c r="E452" s="1"/>
      <c r="F452" s="1" t="s">
        <v>8811</v>
      </c>
      <c r="G452" s="1" t="s">
        <v>8812</v>
      </c>
      <c r="H452" s="1" t="s">
        <v>8813</v>
      </c>
      <c r="I452" s="1" t="s">
        <v>8814</v>
      </c>
      <c r="J452" s="1">
        <v>8610181085</v>
      </c>
      <c r="K452" s="1" t="s">
        <v>84</v>
      </c>
      <c r="L452" s="1" t="s">
        <v>8815</v>
      </c>
      <c r="M452" s="1" t="s">
        <v>86</v>
      </c>
      <c r="N452" s="1" t="s">
        <v>8816</v>
      </c>
      <c r="O452" s="1"/>
      <c r="P452" s="1" t="s">
        <v>455</v>
      </c>
      <c r="Q452" s="1" t="s">
        <v>8817</v>
      </c>
      <c r="R452" s="1" t="s">
        <v>8818</v>
      </c>
      <c r="S452" s="1">
        <v>8940067277</v>
      </c>
      <c r="T452" s="1" t="s">
        <v>8819</v>
      </c>
      <c r="U452" s="1" t="s">
        <v>8820</v>
      </c>
      <c r="V452" s="1">
        <v>9655697277</v>
      </c>
      <c r="W452" s="1" t="s">
        <v>278</v>
      </c>
      <c r="X452" s="1" t="s">
        <v>8821</v>
      </c>
      <c r="Y452" s="1" t="s">
        <v>8822</v>
      </c>
      <c r="Z452" s="1" t="s">
        <v>570</v>
      </c>
      <c r="AA452" s="1" t="s">
        <v>8821</v>
      </c>
      <c r="AB452" s="1" t="s">
        <v>8822</v>
      </c>
      <c r="AC452" s="1" t="s">
        <v>570</v>
      </c>
      <c r="AD452" s="1">
        <v>8.38</v>
      </c>
      <c r="AE452" s="1" t="s">
        <v>98</v>
      </c>
      <c r="AF452" s="1" t="s">
        <v>8823</v>
      </c>
      <c r="AG452" s="1" t="s">
        <v>8824</v>
      </c>
      <c r="AH452" s="1" t="s">
        <v>106</v>
      </c>
      <c r="AI452" s="1" t="s">
        <v>313</v>
      </c>
      <c r="AJ452" s="1">
        <v>93.4</v>
      </c>
      <c r="AK452" s="1"/>
      <c r="AL452" s="1" t="s">
        <v>8823</v>
      </c>
      <c r="AM452" s="1" t="s">
        <v>8824</v>
      </c>
      <c r="AN452" s="1" t="s">
        <v>465</v>
      </c>
      <c r="AO452" s="1" t="s">
        <v>468</v>
      </c>
      <c r="AP452" s="1" t="s">
        <v>549</v>
      </c>
      <c r="AQ452" s="1">
        <v>96.2</v>
      </c>
      <c r="AR452" s="1"/>
      <c r="AS452" s="1"/>
      <c r="AT452" s="1"/>
      <c r="AU452" s="1"/>
      <c r="AV452" s="1"/>
      <c r="AW452" s="1"/>
      <c r="AX452" s="1"/>
      <c r="AY452" s="1" t="s">
        <v>576</v>
      </c>
      <c r="AZ452" s="1" t="s">
        <v>8825</v>
      </c>
      <c r="BA452" s="1" t="s">
        <v>578</v>
      </c>
      <c r="BB452" s="1" t="s">
        <v>467</v>
      </c>
      <c r="BC452" s="1" t="s">
        <v>441</v>
      </c>
      <c r="BD452" s="1" t="s">
        <v>553</v>
      </c>
      <c r="BE452" s="1">
        <v>74.9</v>
      </c>
      <c r="BF452" s="1">
        <v>7.49</v>
      </c>
      <c r="BG452" s="1"/>
      <c r="BH452" s="1"/>
      <c r="BI452" s="1"/>
      <c r="BJ452" s="1"/>
      <c r="BK452" s="1"/>
      <c r="BL452" s="1"/>
      <c r="BM452" s="1"/>
      <c r="BN452" s="1"/>
      <c r="BO452" s="1" t="s">
        <v>8826</v>
      </c>
      <c r="BP452" s="1"/>
      <c r="BQ452" s="1"/>
      <c r="BR452" s="1" t="s">
        <v>8827</v>
      </c>
      <c r="BS452" s="1">
        <v>13</v>
      </c>
      <c r="BT452" s="1"/>
      <c r="BU452" s="1" t="str">
        <f>HYPERLINK("https://nconnect.nicmar.ac.in/storage/profile/ProfilePhoto_P25700454_245369.jpg","Download")</f>
        <v>0</v>
      </c>
      <c r="BV452" s="3"/>
      <c r="BW452" s="3"/>
    </row>
    <row r="453" spans="1:75">
      <c r="A453" s="1" t="s">
        <v>75</v>
      </c>
      <c r="B453" s="1" t="s">
        <v>446</v>
      </c>
      <c r="C453" s="1" t="s">
        <v>8828</v>
      </c>
      <c r="D453" s="1" t="s">
        <v>348</v>
      </c>
      <c r="E453" s="1" t="s">
        <v>6912</v>
      </c>
      <c r="F453" s="1" t="s">
        <v>4393</v>
      </c>
      <c r="G453" s="1" t="s">
        <v>8829</v>
      </c>
      <c r="H453" s="1" t="s">
        <v>8830</v>
      </c>
      <c r="I453" s="1" t="s">
        <v>8831</v>
      </c>
      <c r="J453" s="1">
        <v>9423785516</v>
      </c>
      <c r="K453" s="1" t="s">
        <v>84</v>
      </c>
      <c r="L453" s="1" t="s">
        <v>8832</v>
      </c>
      <c r="M453" s="1" t="s">
        <v>86</v>
      </c>
      <c r="N453" s="1" t="s">
        <v>768</v>
      </c>
      <c r="O453" s="1"/>
      <c r="P453" s="1" t="s">
        <v>455</v>
      </c>
      <c r="Q453" s="1" t="s">
        <v>8833</v>
      </c>
      <c r="R453" s="1" t="s">
        <v>6912</v>
      </c>
      <c r="S453" s="1">
        <v>9423530082</v>
      </c>
      <c r="T453" s="1" t="s">
        <v>125</v>
      </c>
      <c r="U453" s="1" t="s">
        <v>2281</v>
      </c>
      <c r="V453" s="1">
        <v>9423530082</v>
      </c>
      <c r="W453" s="1" t="s">
        <v>161</v>
      </c>
      <c r="X453" s="1" t="s">
        <v>8834</v>
      </c>
      <c r="Y453" s="1" t="s">
        <v>196</v>
      </c>
      <c r="Z453" s="1" t="s">
        <v>97</v>
      </c>
      <c r="AA453" s="1" t="s">
        <v>8835</v>
      </c>
      <c r="AB453" s="1" t="s">
        <v>1779</v>
      </c>
      <c r="AC453" s="1" t="s">
        <v>97</v>
      </c>
      <c r="AD453" s="1">
        <v>8.62</v>
      </c>
      <c r="AE453" s="1" t="s">
        <v>98</v>
      </c>
      <c r="AF453" s="1" t="s">
        <v>8836</v>
      </c>
      <c r="AG453" s="1" t="s">
        <v>165</v>
      </c>
      <c r="AH453" s="1" t="s">
        <v>133</v>
      </c>
      <c r="AI453" s="1" t="s">
        <v>1213</v>
      </c>
      <c r="AJ453" s="1">
        <v>85.09</v>
      </c>
      <c r="AK453" s="1"/>
      <c r="AL453" s="1" t="s">
        <v>8837</v>
      </c>
      <c r="AM453" s="1" t="s">
        <v>165</v>
      </c>
      <c r="AN453" s="1" t="s">
        <v>575</v>
      </c>
      <c r="AO453" s="1" t="s">
        <v>1583</v>
      </c>
      <c r="AP453" s="1" t="s">
        <v>136</v>
      </c>
      <c r="AQ453" s="1">
        <v>62.15</v>
      </c>
      <c r="AR453" s="1"/>
      <c r="AS453" s="1"/>
      <c r="AT453" s="1"/>
      <c r="AU453" s="1"/>
      <c r="AV453" s="1"/>
      <c r="AW453" s="1"/>
      <c r="AX453" s="1"/>
      <c r="AY453" s="1" t="s">
        <v>366</v>
      </c>
      <c r="AZ453" s="1" t="s">
        <v>8838</v>
      </c>
      <c r="BA453" s="1" t="s">
        <v>578</v>
      </c>
      <c r="BB453" s="1" t="s">
        <v>467</v>
      </c>
      <c r="BC453" s="1" t="s">
        <v>342</v>
      </c>
      <c r="BD453" s="1" t="s">
        <v>175</v>
      </c>
      <c r="BE453" s="1">
        <v>64.76</v>
      </c>
      <c r="BF453" s="1">
        <v>7.36</v>
      </c>
      <c r="BG453" s="1"/>
      <c r="BH453" s="1"/>
      <c r="BI453" s="1"/>
      <c r="BJ453" s="1"/>
      <c r="BK453" s="1"/>
      <c r="BL453" s="1"/>
      <c r="BM453" s="1"/>
      <c r="BN453" s="1"/>
      <c r="BO453" s="1" t="s">
        <v>8839</v>
      </c>
      <c r="BP453" s="1" t="s">
        <v>8840</v>
      </c>
      <c r="BQ453" s="1" t="s">
        <v>4944</v>
      </c>
      <c r="BR453" s="1" t="s">
        <v>8841</v>
      </c>
      <c r="BS453" s="1">
        <v>9</v>
      </c>
      <c r="BT453" s="1" t="s">
        <v>8842</v>
      </c>
      <c r="BU453" s="1" t="str">
        <f>HYPERLINK("https://nconnect.nicmar.ac.in/storage/profile/ProfilePhoto_P25700455_781534.jpg","Download")</f>
        <v>0</v>
      </c>
      <c r="BV453" s="3"/>
      <c r="BW453" s="3"/>
    </row>
    <row r="454" spans="1:75">
      <c r="A454" s="1" t="s">
        <v>75</v>
      </c>
      <c r="B454" s="1" t="s">
        <v>446</v>
      </c>
      <c r="C454" s="1" t="s">
        <v>8843</v>
      </c>
      <c r="D454" s="1" t="s">
        <v>8844</v>
      </c>
      <c r="E454" s="1" t="s">
        <v>1021</v>
      </c>
      <c r="F454" s="1" t="s">
        <v>8845</v>
      </c>
      <c r="G454" s="1" t="s">
        <v>8846</v>
      </c>
      <c r="H454" s="1" t="s">
        <v>8847</v>
      </c>
      <c r="I454" s="1" t="s">
        <v>8848</v>
      </c>
      <c r="J454" s="1">
        <v>9284555590</v>
      </c>
      <c r="K454" s="1" t="s">
        <v>84</v>
      </c>
      <c r="L454" s="1" t="s">
        <v>8849</v>
      </c>
      <c r="M454" s="1" t="s">
        <v>86</v>
      </c>
      <c r="N454" s="1" t="s">
        <v>8850</v>
      </c>
      <c r="O454" s="1"/>
      <c r="P454" s="1" t="s">
        <v>455</v>
      </c>
      <c r="Q454" s="1" t="s">
        <v>8851</v>
      </c>
      <c r="R454" s="1" t="s">
        <v>8852</v>
      </c>
      <c r="S454" s="1">
        <v>7020000124</v>
      </c>
      <c r="T454" s="1" t="s">
        <v>839</v>
      </c>
      <c r="U454" s="1" t="s">
        <v>8853</v>
      </c>
      <c r="V454" s="1">
        <v>9422374434</v>
      </c>
      <c r="W454" s="1" t="s">
        <v>1964</v>
      </c>
      <c r="X454" s="1" t="s">
        <v>8854</v>
      </c>
      <c r="Y454" s="1" t="s">
        <v>5659</v>
      </c>
      <c r="Z454" s="1" t="s">
        <v>97</v>
      </c>
      <c r="AA454" s="1" t="s">
        <v>8855</v>
      </c>
      <c r="AB454" s="1" t="s">
        <v>5659</v>
      </c>
      <c r="AC454" s="1" t="s">
        <v>97</v>
      </c>
      <c r="AD454" s="1">
        <v>8.28</v>
      </c>
      <c r="AE454" s="1" t="s">
        <v>98</v>
      </c>
      <c r="AF454" s="1" t="s">
        <v>8856</v>
      </c>
      <c r="AG454" s="1" t="s">
        <v>8857</v>
      </c>
      <c r="AH454" s="1" t="s">
        <v>1213</v>
      </c>
      <c r="AI454" s="1" t="s">
        <v>515</v>
      </c>
      <c r="AJ454" s="1">
        <v>65.2</v>
      </c>
      <c r="AK454" s="1"/>
      <c r="AL454" s="1" t="s">
        <v>8858</v>
      </c>
      <c r="AM454" s="1" t="s">
        <v>8857</v>
      </c>
      <c r="AN454" s="1" t="s">
        <v>465</v>
      </c>
      <c r="AO454" s="1" t="s">
        <v>102</v>
      </c>
      <c r="AP454" s="1" t="s">
        <v>517</v>
      </c>
      <c r="AQ454" s="1">
        <v>55.85</v>
      </c>
      <c r="AR454" s="1"/>
      <c r="AS454" s="1" t="s">
        <v>103</v>
      </c>
      <c r="AT454" s="1" t="s">
        <v>8859</v>
      </c>
      <c r="AU454" s="1" t="s">
        <v>170</v>
      </c>
      <c r="AV454" s="1" t="s">
        <v>438</v>
      </c>
      <c r="AW454" s="1">
        <v>69.82</v>
      </c>
      <c r="AX454" s="1"/>
      <c r="AY454" s="1" t="s">
        <v>107</v>
      </c>
      <c r="AZ454" s="1" t="s">
        <v>8860</v>
      </c>
      <c r="BA454" s="1" t="s">
        <v>466</v>
      </c>
      <c r="BB454" s="1" t="s">
        <v>467</v>
      </c>
      <c r="BC454" s="1" t="s">
        <v>438</v>
      </c>
      <c r="BD454" s="1" t="s">
        <v>110</v>
      </c>
      <c r="BE454" s="1">
        <v>82.6</v>
      </c>
      <c r="BF454" s="1">
        <v>8.76</v>
      </c>
      <c r="BG454" s="1"/>
      <c r="BH454" s="1"/>
      <c r="BI454" s="1"/>
      <c r="BJ454" s="1"/>
      <c r="BK454" s="1"/>
      <c r="BL454" s="1"/>
      <c r="BM454" s="1"/>
      <c r="BN454" s="1"/>
      <c r="BO454" s="1" t="s">
        <v>1114</v>
      </c>
      <c r="BP454" s="1" t="s">
        <v>8861</v>
      </c>
      <c r="BQ454" s="1" t="s">
        <v>8862</v>
      </c>
      <c r="BR454" s="1" t="s">
        <v>8863</v>
      </c>
      <c r="BS454" s="1">
        <v>34</v>
      </c>
      <c r="BT454" s="1" t="s">
        <v>8864</v>
      </c>
      <c r="BU454" s="1" t="str">
        <f>HYPERLINK("https://nconnect.nicmar.ac.in/storage/profile/ProfilePhoto_P25700456_195823.jpg","Download")</f>
        <v>0</v>
      </c>
      <c r="BV454" s="3"/>
      <c r="BW454" s="4">
        <v>1</v>
      </c>
    </row>
    <row r="455" spans="1:75">
      <c r="A455" s="1" t="s">
        <v>75</v>
      </c>
      <c r="B455" s="1" t="s">
        <v>446</v>
      </c>
      <c r="C455" s="1" t="s">
        <v>8865</v>
      </c>
      <c r="D455" s="1" t="s">
        <v>8866</v>
      </c>
      <c r="E455" s="1"/>
      <c r="F455" s="1" t="s">
        <v>8867</v>
      </c>
      <c r="G455" s="1" t="s">
        <v>8868</v>
      </c>
      <c r="H455" s="1" t="s">
        <v>8869</v>
      </c>
      <c r="I455" s="1" t="s">
        <v>8870</v>
      </c>
      <c r="J455" s="1">
        <v>6374242665</v>
      </c>
      <c r="K455" s="1" t="s">
        <v>153</v>
      </c>
      <c r="L455" s="1" t="s">
        <v>8871</v>
      </c>
      <c r="M455" s="1" t="s">
        <v>86</v>
      </c>
      <c r="N455" s="1" t="s">
        <v>8872</v>
      </c>
      <c r="O455" s="1"/>
      <c r="P455" s="1" t="s">
        <v>455</v>
      </c>
      <c r="Q455" s="1" t="s">
        <v>8873</v>
      </c>
      <c r="R455" s="1" t="s">
        <v>8874</v>
      </c>
      <c r="S455" s="1">
        <v>9865834887</v>
      </c>
      <c r="T455" s="1" t="s">
        <v>8875</v>
      </c>
      <c r="U455" s="1" t="s">
        <v>8876</v>
      </c>
      <c r="V455" s="1">
        <v>9865873484</v>
      </c>
      <c r="W455" s="1" t="s">
        <v>127</v>
      </c>
      <c r="X455" s="1" t="s">
        <v>8877</v>
      </c>
      <c r="Y455" s="1" t="s">
        <v>8878</v>
      </c>
      <c r="Z455" s="1" t="s">
        <v>570</v>
      </c>
      <c r="AA455" s="1" t="s">
        <v>8877</v>
      </c>
      <c r="AB455" s="1" t="s">
        <v>8878</v>
      </c>
      <c r="AC455" s="1" t="s">
        <v>570</v>
      </c>
      <c r="AD455" s="1">
        <v>8.46</v>
      </c>
      <c r="AE455" s="1" t="s">
        <v>98</v>
      </c>
      <c r="AF455" s="1" t="s">
        <v>8879</v>
      </c>
      <c r="AG455" s="1" t="s">
        <v>8880</v>
      </c>
      <c r="AH455" s="1" t="s">
        <v>106</v>
      </c>
      <c r="AI455" s="1" t="s">
        <v>547</v>
      </c>
      <c r="AJ455" s="1">
        <v>86.8</v>
      </c>
      <c r="AK455" s="1"/>
      <c r="AL455" s="1" t="s">
        <v>8879</v>
      </c>
      <c r="AM455" s="1" t="s">
        <v>8880</v>
      </c>
      <c r="AN455" s="1" t="s">
        <v>575</v>
      </c>
      <c r="AO455" s="1" t="s">
        <v>468</v>
      </c>
      <c r="AP455" s="1" t="s">
        <v>549</v>
      </c>
      <c r="AQ455" s="1">
        <v>87.75</v>
      </c>
      <c r="AR455" s="1"/>
      <c r="AS455" s="1"/>
      <c r="AT455" s="1"/>
      <c r="AU455" s="1"/>
      <c r="AV455" s="1"/>
      <c r="AW455" s="1"/>
      <c r="AX455" s="1"/>
      <c r="AY455" s="1" t="s">
        <v>7287</v>
      </c>
      <c r="AZ455" s="1" t="s">
        <v>7287</v>
      </c>
      <c r="BA455" s="1" t="s">
        <v>466</v>
      </c>
      <c r="BB455" s="1" t="s">
        <v>467</v>
      </c>
      <c r="BC455" s="1" t="s">
        <v>552</v>
      </c>
      <c r="BD455" s="1" t="s">
        <v>553</v>
      </c>
      <c r="BE455" s="1">
        <v>75.4</v>
      </c>
      <c r="BF455" s="1">
        <v>7.54</v>
      </c>
      <c r="BG455" s="1"/>
      <c r="BH455" s="1"/>
      <c r="BI455" s="1"/>
      <c r="BJ455" s="1"/>
      <c r="BK455" s="1"/>
      <c r="BL455" s="1"/>
      <c r="BM455" s="1"/>
      <c r="BN455" s="1"/>
      <c r="BO455" s="1" t="s">
        <v>8881</v>
      </c>
      <c r="BP455" s="1"/>
      <c r="BQ455" s="1"/>
      <c r="BR455" s="1" t="s">
        <v>8882</v>
      </c>
      <c r="BS455" s="1">
        <v>7</v>
      </c>
      <c r="BT455" s="1" t="s">
        <v>8883</v>
      </c>
      <c r="BU455" s="1" t="str">
        <f>HYPERLINK("https://nconnect.nicmar.ac.in/storage/profile/ProfilePhoto_P25700457_793145.jpg","Download")</f>
        <v>0</v>
      </c>
      <c r="BV455" s="3"/>
      <c r="BW455" s="4">
        <v>1</v>
      </c>
    </row>
    <row r="456" spans="1:75">
      <c r="A456" s="1" t="s">
        <v>75</v>
      </c>
      <c r="B456" s="1" t="s">
        <v>446</v>
      </c>
      <c r="C456" s="1" t="s">
        <v>8884</v>
      </c>
      <c r="D456" s="1" t="s">
        <v>1320</v>
      </c>
      <c r="E456" s="1"/>
      <c r="F456" s="1" t="s">
        <v>8885</v>
      </c>
      <c r="G456" s="1" t="s">
        <v>8886</v>
      </c>
      <c r="H456" s="1" t="s">
        <v>8887</v>
      </c>
      <c r="I456" s="1" t="s">
        <v>8888</v>
      </c>
      <c r="J456" s="1">
        <v>9682500421</v>
      </c>
      <c r="K456" s="1" t="s">
        <v>84</v>
      </c>
      <c r="L456" s="1" t="s">
        <v>8889</v>
      </c>
      <c r="M456" s="1" t="s">
        <v>86</v>
      </c>
      <c r="N456" s="1" t="s">
        <v>7450</v>
      </c>
      <c r="O456" s="1"/>
      <c r="P456" s="1" t="s">
        <v>481</v>
      </c>
      <c r="Q456" s="1" t="s">
        <v>8890</v>
      </c>
      <c r="R456" s="1" t="s">
        <v>8891</v>
      </c>
      <c r="S456" s="1">
        <v>9469141363</v>
      </c>
      <c r="T456" s="1" t="s">
        <v>8892</v>
      </c>
      <c r="U456" s="1" t="s">
        <v>8893</v>
      </c>
      <c r="V456" s="1">
        <v>9086596964</v>
      </c>
      <c r="W456" s="1" t="s">
        <v>161</v>
      </c>
      <c r="X456" s="1" t="s">
        <v>8894</v>
      </c>
      <c r="Y456" s="1" t="s">
        <v>8895</v>
      </c>
      <c r="Z456" s="1" t="s">
        <v>8896</v>
      </c>
      <c r="AA456" s="1" t="s">
        <v>8894</v>
      </c>
      <c r="AB456" s="1" t="s">
        <v>8895</v>
      </c>
      <c r="AC456" s="1" t="s">
        <v>8896</v>
      </c>
      <c r="AD456" s="1">
        <v>8.44</v>
      </c>
      <c r="AE456" s="1" t="s">
        <v>98</v>
      </c>
      <c r="AF456" s="1" t="s">
        <v>8897</v>
      </c>
      <c r="AG456" s="1" t="s">
        <v>796</v>
      </c>
      <c r="AH456" s="1" t="s">
        <v>704</v>
      </c>
      <c r="AI456" s="1" t="s">
        <v>171</v>
      </c>
      <c r="AJ456" s="1">
        <v>82</v>
      </c>
      <c r="AK456" s="1"/>
      <c r="AL456" s="1" t="s">
        <v>8897</v>
      </c>
      <c r="AM456" s="1" t="s">
        <v>796</v>
      </c>
      <c r="AN456" s="1" t="s">
        <v>465</v>
      </c>
      <c r="AO456" s="1" t="s">
        <v>547</v>
      </c>
      <c r="AP456" s="1" t="s">
        <v>178</v>
      </c>
      <c r="AQ456" s="1">
        <v>79.2</v>
      </c>
      <c r="AR456" s="1"/>
      <c r="AS456" s="1"/>
      <c r="AT456" s="1"/>
      <c r="AU456" s="1"/>
      <c r="AV456" s="1"/>
      <c r="AW456" s="1"/>
      <c r="AX456" s="1"/>
      <c r="AY456" s="1" t="s">
        <v>8898</v>
      </c>
      <c r="AZ456" s="1" t="s">
        <v>8899</v>
      </c>
      <c r="BA456" s="1" t="s">
        <v>466</v>
      </c>
      <c r="BB456" s="1" t="s">
        <v>467</v>
      </c>
      <c r="BC456" s="1" t="s">
        <v>1040</v>
      </c>
      <c r="BD456" s="1" t="s">
        <v>1242</v>
      </c>
      <c r="BE456" s="1">
        <v>70.76</v>
      </c>
      <c r="BF456" s="1">
        <v>7.45</v>
      </c>
      <c r="BG456" s="1"/>
      <c r="BH456" s="1"/>
      <c r="BI456" s="1"/>
      <c r="BJ456" s="1"/>
      <c r="BK456" s="1"/>
      <c r="BL456" s="1"/>
      <c r="BM456" s="1"/>
      <c r="BN456" s="1"/>
      <c r="BO456" s="1" t="s">
        <v>8900</v>
      </c>
      <c r="BP456" s="1"/>
      <c r="BQ456" s="1"/>
      <c r="BR456" s="1" t="s">
        <v>8901</v>
      </c>
      <c r="BS456" s="1">
        <v>34</v>
      </c>
      <c r="BT456" s="1" t="s">
        <v>8902</v>
      </c>
      <c r="BU456" s="1" t="str">
        <f>HYPERLINK("https://nconnect.nicmar.ac.in/storage/profile/ProfilePhoto_P25700458_218963.jpg","Download")</f>
        <v>0</v>
      </c>
      <c r="BV456" s="3"/>
      <c r="BW456" s="3"/>
    </row>
    <row r="457" spans="1:75">
      <c r="A457" s="1" t="s">
        <v>75</v>
      </c>
      <c r="B457" s="1" t="s">
        <v>446</v>
      </c>
      <c r="C457" s="1" t="s">
        <v>8903</v>
      </c>
      <c r="D457" s="1" t="s">
        <v>8904</v>
      </c>
      <c r="E457" s="1" t="s">
        <v>1669</v>
      </c>
      <c r="F457" s="1" t="s">
        <v>1179</v>
      </c>
      <c r="G457" s="1" t="s">
        <v>8905</v>
      </c>
      <c r="H457" s="1" t="s">
        <v>8906</v>
      </c>
      <c r="I457" s="1" t="s">
        <v>8907</v>
      </c>
      <c r="J457" s="1">
        <v>7776833773</v>
      </c>
      <c r="K457" s="1" t="s">
        <v>84</v>
      </c>
      <c r="L457" s="1" t="s">
        <v>8908</v>
      </c>
      <c r="M457" s="1" t="s">
        <v>86</v>
      </c>
      <c r="N457" s="1" t="s">
        <v>618</v>
      </c>
      <c r="O457" s="1"/>
      <c r="P457" s="1" t="s">
        <v>481</v>
      </c>
      <c r="Q457" s="1" t="s">
        <v>8909</v>
      </c>
      <c r="R457" s="1" t="s">
        <v>1669</v>
      </c>
      <c r="S457" s="1">
        <v>7620077100</v>
      </c>
      <c r="T457" s="1" t="s">
        <v>839</v>
      </c>
      <c r="U457" s="1" t="s">
        <v>8910</v>
      </c>
      <c r="V457" s="1">
        <v>7776833773</v>
      </c>
      <c r="W457" s="1" t="s">
        <v>2547</v>
      </c>
      <c r="X457" s="1" t="s">
        <v>8911</v>
      </c>
      <c r="Y457" s="1" t="s">
        <v>309</v>
      </c>
      <c r="Z457" s="1" t="s">
        <v>97</v>
      </c>
      <c r="AA457" s="1" t="s">
        <v>8911</v>
      </c>
      <c r="AB457" s="1" t="s">
        <v>309</v>
      </c>
      <c r="AC457" s="1" t="s">
        <v>97</v>
      </c>
      <c r="AD457" s="1">
        <v>9.03</v>
      </c>
      <c r="AE457" s="1" t="s">
        <v>98</v>
      </c>
      <c r="AF457" s="1" t="s">
        <v>8912</v>
      </c>
      <c r="AG457" s="1" t="s">
        <v>8913</v>
      </c>
      <c r="AH457" s="1" t="s">
        <v>167</v>
      </c>
      <c r="AI457" s="1" t="s">
        <v>704</v>
      </c>
      <c r="AJ457" s="1">
        <v>93.2</v>
      </c>
      <c r="AK457" s="1"/>
      <c r="AL457" s="1" t="s">
        <v>8914</v>
      </c>
      <c r="AM457" s="1" t="s">
        <v>8915</v>
      </c>
      <c r="AN457" s="1" t="s">
        <v>465</v>
      </c>
      <c r="AO457" s="1" t="s">
        <v>106</v>
      </c>
      <c r="AP457" s="1" t="s">
        <v>547</v>
      </c>
      <c r="AQ457" s="1">
        <v>76.77</v>
      </c>
      <c r="AR457" s="1"/>
      <c r="AS457" s="1"/>
      <c r="AT457" s="1"/>
      <c r="AU457" s="1"/>
      <c r="AV457" s="1"/>
      <c r="AW457" s="1"/>
      <c r="AX457" s="1"/>
      <c r="AY457" s="1" t="s">
        <v>366</v>
      </c>
      <c r="AZ457" s="1" t="s">
        <v>8916</v>
      </c>
      <c r="BA457" s="1" t="s">
        <v>466</v>
      </c>
      <c r="BB457" s="1" t="s">
        <v>467</v>
      </c>
      <c r="BC457" s="1" t="s">
        <v>315</v>
      </c>
      <c r="BD457" s="1" t="s">
        <v>234</v>
      </c>
      <c r="BE457" s="1">
        <v>87</v>
      </c>
      <c r="BF457" s="1">
        <v>9.45</v>
      </c>
      <c r="BG457" s="1"/>
      <c r="BH457" s="1"/>
      <c r="BI457" s="1"/>
      <c r="BJ457" s="1"/>
      <c r="BK457" s="1"/>
      <c r="BL457" s="1"/>
      <c r="BM457" s="1"/>
      <c r="BN457" s="1"/>
      <c r="BO457" s="1" t="s">
        <v>8917</v>
      </c>
      <c r="BP457" s="1" t="s">
        <v>8918</v>
      </c>
      <c r="BQ457" s="1" t="s">
        <v>780</v>
      </c>
      <c r="BR457" s="1" t="s">
        <v>8919</v>
      </c>
      <c r="BS457" s="1">
        <v>34</v>
      </c>
      <c r="BT457" s="1" t="s">
        <v>8920</v>
      </c>
      <c r="BU457" s="1" t="str">
        <f>HYPERLINK("https://nconnect.nicmar.ac.in/storage/profile/ProfilePhoto_P25700459_341756.jpg","Download")</f>
        <v>0</v>
      </c>
      <c r="BV457" s="3"/>
      <c r="BW457" s="3"/>
    </row>
    <row r="458" spans="1:75">
      <c r="A458" s="1" t="s">
        <v>75</v>
      </c>
      <c r="B458" s="1" t="s">
        <v>446</v>
      </c>
      <c r="C458" s="1" t="s">
        <v>8921</v>
      </c>
      <c r="D458" s="1" t="s">
        <v>8922</v>
      </c>
      <c r="E458" s="1"/>
      <c r="F458" s="1" t="s">
        <v>8923</v>
      </c>
      <c r="G458" s="1" t="s">
        <v>8924</v>
      </c>
      <c r="H458" s="1" t="s">
        <v>8925</v>
      </c>
      <c r="I458" s="1" t="s">
        <v>8926</v>
      </c>
      <c r="J458" s="1">
        <v>8610896413</v>
      </c>
      <c r="K458" s="1" t="s">
        <v>84</v>
      </c>
      <c r="L458" s="1" t="s">
        <v>8927</v>
      </c>
      <c r="M458" s="1" t="s">
        <v>86</v>
      </c>
      <c r="N458" s="1" t="s">
        <v>5777</v>
      </c>
      <c r="O458" s="1"/>
      <c r="P458" s="1" t="s">
        <v>507</v>
      </c>
      <c r="Q458" s="1" t="s">
        <v>8928</v>
      </c>
      <c r="R458" s="1" t="s">
        <v>8923</v>
      </c>
      <c r="S458" s="1">
        <v>9363044241</v>
      </c>
      <c r="T458" s="1" t="s">
        <v>839</v>
      </c>
      <c r="U458" s="1" t="s">
        <v>8929</v>
      </c>
      <c r="V458" s="1">
        <v>9442644241</v>
      </c>
      <c r="W458" s="1" t="s">
        <v>278</v>
      </c>
      <c r="X458" s="1" t="s">
        <v>8930</v>
      </c>
      <c r="Y458" s="1" t="s">
        <v>8931</v>
      </c>
      <c r="Z458" s="1" t="s">
        <v>570</v>
      </c>
      <c r="AA458" s="1" t="s">
        <v>8930</v>
      </c>
      <c r="AB458" s="1" t="s">
        <v>8931</v>
      </c>
      <c r="AC458" s="1" t="s">
        <v>570</v>
      </c>
      <c r="AD458" s="1">
        <v>7.97</v>
      </c>
      <c r="AE458" s="1" t="s">
        <v>98</v>
      </c>
      <c r="AF458" s="1" t="s">
        <v>8932</v>
      </c>
      <c r="AG458" s="1" t="s">
        <v>8933</v>
      </c>
      <c r="AH458" s="1" t="s">
        <v>704</v>
      </c>
      <c r="AI458" s="1" t="s">
        <v>313</v>
      </c>
      <c r="AJ458" s="1">
        <v>70.8</v>
      </c>
      <c r="AK458" s="1"/>
      <c r="AL458" s="1" t="s">
        <v>8932</v>
      </c>
      <c r="AM458" s="1" t="s">
        <v>8933</v>
      </c>
      <c r="AN458" s="1" t="s">
        <v>465</v>
      </c>
      <c r="AO458" s="1" t="s">
        <v>704</v>
      </c>
      <c r="AP458" s="1" t="s">
        <v>549</v>
      </c>
      <c r="AQ458" s="1">
        <v>78.8</v>
      </c>
      <c r="AR458" s="1"/>
      <c r="AS458" s="1"/>
      <c r="AT458" s="1"/>
      <c r="AU458" s="1"/>
      <c r="AV458" s="1"/>
      <c r="AW458" s="1"/>
      <c r="AX458" s="1"/>
      <c r="AY458" s="1" t="s">
        <v>550</v>
      </c>
      <c r="AZ458" s="1" t="s">
        <v>8934</v>
      </c>
      <c r="BA458" s="1" t="s">
        <v>466</v>
      </c>
      <c r="BB458" s="1" t="s">
        <v>467</v>
      </c>
      <c r="BC458" s="1" t="s">
        <v>552</v>
      </c>
      <c r="BD458" s="1" t="s">
        <v>553</v>
      </c>
      <c r="BE458" s="1">
        <v>79.2</v>
      </c>
      <c r="BF458" s="1">
        <v>7.92</v>
      </c>
      <c r="BG458" s="1"/>
      <c r="BH458" s="1"/>
      <c r="BI458" s="1"/>
      <c r="BJ458" s="1"/>
      <c r="BK458" s="1"/>
      <c r="BL458" s="1"/>
      <c r="BM458" s="1"/>
      <c r="BN458" s="1"/>
      <c r="BO458" s="1" t="s">
        <v>8935</v>
      </c>
      <c r="BP458" s="1"/>
      <c r="BQ458" s="1"/>
      <c r="BR458" s="1" t="s">
        <v>8936</v>
      </c>
      <c r="BS458" s="1">
        <v>13</v>
      </c>
      <c r="BT458" s="1" t="s">
        <v>8937</v>
      </c>
      <c r="BU458" s="1" t="str">
        <f>HYPERLINK("https://nconnect.nicmar.ac.in/storage/profile/ProfilePhoto_P25700460_479385.jpg","Download")</f>
        <v>0</v>
      </c>
      <c r="BV458" s="3"/>
      <c r="BW458" s="3"/>
    </row>
    <row r="459" spans="1:75">
      <c r="A459" s="1" t="s">
        <v>75</v>
      </c>
      <c r="B459" s="1" t="s">
        <v>446</v>
      </c>
      <c r="C459" s="1" t="s">
        <v>8938</v>
      </c>
      <c r="D459" s="1" t="s">
        <v>761</v>
      </c>
      <c r="E459" s="1" t="s">
        <v>8939</v>
      </c>
      <c r="F459" s="1" t="s">
        <v>3218</v>
      </c>
      <c r="G459" s="1" t="s">
        <v>8940</v>
      </c>
      <c r="H459" s="1" t="s">
        <v>8941</v>
      </c>
      <c r="I459" s="1" t="s">
        <v>8942</v>
      </c>
      <c r="J459" s="1">
        <v>8999541427</v>
      </c>
      <c r="K459" s="1" t="s">
        <v>84</v>
      </c>
      <c r="L459" s="1" t="s">
        <v>8943</v>
      </c>
      <c r="M459" s="1" t="s">
        <v>86</v>
      </c>
      <c r="N459" s="1" t="s">
        <v>4972</v>
      </c>
      <c r="O459" s="1"/>
      <c r="P459" s="1" t="s">
        <v>455</v>
      </c>
      <c r="Q459" s="1" t="s">
        <v>8944</v>
      </c>
      <c r="R459" s="1" t="s">
        <v>8939</v>
      </c>
      <c r="S459" s="1">
        <v>9921418107</v>
      </c>
      <c r="T459" s="1" t="s">
        <v>159</v>
      </c>
      <c r="U459" s="1" t="s">
        <v>8522</v>
      </c>
      <c r="V459" s="1">
        <v>9834640632</v>
      </c>
      <c r="W459" s="1" t="s">
        <v>8945</v>
      </c>
      <c r="X459" s="1" t="s">
        <v>8946</v>
      </c>
      <c r="Y459" s="1" t="s">
        <v>196</v>
      </c>
      <c r="Z459" s="1" t="s">
        <v>97</v>
      </c>
      <c r="AA459" s="1" t="s">
        <v>8946</v>
      </c>
      <c r="AB459" s="1" t="s">
        <v>196</v>
      </c>
      <c r="AC459" s="1" t="s">
        <v>97</v>
      </c>
      <c r="AD459" s="1">
        <v>8.03</v>
      </c>
      <c r="AE459" s="1" t="s">
        <v>98</v>
      </c>
      <c r="AF459" s="1" t="s">
        <v>8947</v>
      </c>
      <c r="AG459" s="1" t="s">
        <v>8948</v>
      </c>
      <c r="AH459" s="1" t="s">
        <v>106</v>
      </c>
      <c r="AI459" s="1" t="s">
        <v>414</v>
      </c>
      <c r="AJ459" s="1">
        <v>75.2</v>
      </c>
      <c r="AK459" s="1"/>
      <c r="AL459" s="1"/>
      <c r="AM459" s="1"/>
      <c r="AN459" s="1"/>
      <c r="AO459" s="1"/>
      <c r="AP459" s="1"/>
      <c r="AQ459" s="1"/>
      <c r="AR459" s="1"/>
      <c r="AS459" s="1" t="s">
        <v>103</v>
      </c>
      <c r="AT459" s="1" t="s">
        <v>8949</v>
      </c>
      <c r="AU459" s="1" t="s">
        <v>206</v>
      </c>
      <c r="AV459" s="1" t="s">
        <v>110</v>
      </c>
      <c r="AW459" s="1">
        <v>77.4</v>
      </c>
      <c r="AX459" s="1"/>
      <c r="AY459" s="1" t="s">
        <v>366</v>
      </c>
      <c r="AZ459" s="1" t="s">
        <v>8950</v>
      </c>
      <c r="BA459" s="1"/>
      <c r="BB459" s="1"/>
      <c r="BC459" s="1" t="s">
        <v>1889</v>
      </c>
      <c r="BD459" s="1" t="s">
        <v>848</v>
      </c>
      <c r="BE459" s="1">
        <v>66.3</v>
      </c>
      <c r="BF459" s="1">
        <v>7.38</v>
      </c>
      <c r="BG459" s="1"/>
      <c r="BH459" s="1"/>
      <c r="BI459" s="1"/>
      <c r="BJ459" s="1"/>
      <c r="BK459" s="1"/>
      <c r="BL459" s="1"/>
      <c r="BM459" s="1"/>
      <c r="BN459" s="1"/>
      <c r="BO459" s="1" t="s">
        <v>8951</v>
      </c>
      <c r="BP459" s="1"/>
      <c r="BQ459" s="1"/>
      <c r="BR459" s="1" t="s">
        <v>8952</v>
      </c>
      <c r="BS459" s="1">
        <v>13</v>
      </c>
      <c r="BT459" s="1" t="s">
        <v>8953</v>
      </c>
      <c r="BU459" s="1" t="str">
        <f>HYPERLINK("https://nconnect.nicmar.ac.in/storage/profile/ProfilePhoto_P25700461_475293.jpg","Download")</f>
        <v>0</v>
      </c>
      <c r="BV459" s="3"/>
      <c r="BW459" s="3"/>
    </row>
    <row r="460" spans="1:75">
      <c r="A460" s="1" t="s">
        <v>75</v>
      </c>
      <c r="B460" s="1" t="s">
        <v>446</v>
      </c>
      <c r="C460" s="1" t="s">
        <v>8954</v>
      </c>
      <c r="D460" s="1" t="s">
        <v>8955</v>
      </c>
      <c r="E460" s="1"/>
      <c r="F460" s="1" t="s">
        <v>239</v>
      </c>
      <c r="G460" s="1" t="s">
        <v>8956</v>
      </c>
      <c r="H460" s="1" t="s">
        <v>8957</v>
      </c>
      <c r="I460" s="1" t="s">
        <v>8958</v>
      </c>
      <c r="J460" s="1">
        <v>8757777788</v>
      </c>
      <c r="K460" s="1" t="s">
        <v>84</v>
      </c>
      <c r="L460" s="1" t="s">
        <v>8959</v>
      </c>
      <c r="M460" s="1" t="s">
        <v>86</v>
      </c>
      <c r="N460" s="1" t="s">
        <v>1101</v>
      </c>
      <c r="O460" s="1"/>
      <c r="P460" s="1" t="s">
        <v>507</v>
      </c>
      <c r="Q460" s="1" t="s">
        <v>8960</v>
      </c>
      <c r="R460" s="1" t="s">
        <v>8961</v>
      </c>
      <c r="S460" s="1">
        <v>8102728777</v>
      </c>
      <c r="T460" s="1" t="s">
        <v>839</v>
      </c>
      <c r="U460" s="1" t="s">
        <v>8962</v>
      </c>
      <c r="V460" s="1">
        <v>9905023432</v>
      </c>
      <c r="W460" s="1" t="s">
        <v>94</v>
      </c>
      <c r="X460" s="1" t="s">
        <v>8963</v>
      </c>
      <c r="Y460" s="1" t="s">
        <v>196</v>
      </c>
      <c r="Z460" s="1" t="s">
        <v>97</v>
      </c>
      <c r="AA460" s="1" t="s">
        <v>8964</v>
      </c>
      <c r="AB460" s="1" t="s">
        <v>648</v>
      </c>
      <c r="AC460" s="1" t="s">
        <v>649</v>
      </c>
      <c r="AD460" s="1">
        <v>8.33</v>
      </c>
      <c r="AE460" s="1" t="s">
        <v>98</v>
      </c>
      <c r="AF460" s="1" t="s">
        <v>8965</v>
      </c>
      <c r="AG460" s="1" t="s">
        <v>8966</v>
      </c>
      <c r="AH460" s="1" t="s">
        <v>1214</v>
      </c>
      <c r="AI460" s="1" t="s">
        <v>136</v>
      </c>
      <c r="AJ460" s="1">
        <v>95</v>
      </c>
      <c r="AK460" s="1">
        <v>10</v>
      </c>
      <c r="AL460" s="1" t="s">
        <v>8967</v>
      </c>
      <c r="AM460" s="1" t="s">
        <v>8966</v>
      </c>
      <c r="AN460" s="1" t="s">
        <v>465</v>
      </c>
      <c r="AO460" s="1" t="s">
        <v>490</v>
      </c>
      <c r="AP460" s="1" t="s">
        <v>313</v>
      </c>
      <c r="AQ460" s="1">
        <v>66.2</v>
      </c>
      <c r="AR460" s="1"/>
      <c r="AS460" s="1"/>
      <c r="AT460" s="1"/>
      <c r="AU460" s="1"/>
      <c r="AV460" s="1"/>
      <c r="AW460" s="1"/>
      <c r="AX460" s="1"/>
      <c r="AY460" s="1" t="s">
        <v>366</v>
      </c>
      <c r="AZ460" s="1" t="s">
        <v>4721</v>
      </c>
      <c r="BA460" s="1" t="s">
        <v>578</v>
      </c>
      <c r="BB460" s="1" t="s">
        <v>467</v>
      </c>
      <c r="BC460" s="1" t="s">
        <v>206</v>
      </c>
      <c r="BD460" s="1" t="s">
        <v>179</v>
      </c>
      <c r="BE460" s="1">
        <v>69.24</v>
      </c>
      <c r="BF460" s="1">
        <v>7.78</v>
      </c>
      <c r="BG460" s="1"/>
      <c r="BH460" s="1"/>
      <c r="BI460" s="1"/>
      <c r="BJ460" s="1"/>
      <c r="BK460" s="1"/>
      <c r="BL460" s="1"/>
      <c r="BM460" s="1"/>
      <c r="BN460" s="1"/>
      <c r="BO460" s="1" t="s">
        <v>8968</v>
      </c>
      <c r="BP460" s="1" t="s">
        <v>8969</v>
      </c>
      <c r="BQ460" s="1" t="s">
        <v>1174</v>
      </c>
      <c r="BR460" s="1" t="s">
        <v>8970</v>
      </c>
      <c r="BS460" s="1">
        <v>36</v>
      </c>
      <c r="BT460" s="1" t="s">
        <v>8971</v>
      </c>
      <c r="BU460" s="1" t="str">
        <f>HYPERLINK("https://nconnect.nicmar.ac.in/storage/profile/ProfilePhoto_P25700462_461837.jpg","Download")</f>
        <v>0</v>
      </c>
      <c r="BV460" s="3"/>
      <c r="BW460" s="3"/>
    </row>
    <row r="461" spans="1:75">
      <c r="A461" s="1" t="s">
        <v>75</v>
      </c>
      <c r="B461" s="1" t="s">
        <v>446</v>
      </c>
      <c r="C461" s="1" t="s">
        <v>8972</v>
      </c>
      <c r="D461" s="1" t="s">
        <v>8973</v>
      </c>
      <c r="E461" s="1" t="s">
        <v>8974</v>
      </c>
      <c r="F461" s="1" t="s">
        <v>398</v>
      </c>
      <c r="G461" s="1" t="s">
        <v>8975</v>
      </c>
      <c r="H461" s="1" t="s">
        <v>8976</v>
      </c>
      <c r="I461" s="1" t="s">
        <v>8977</v>
      </c>
      <c r="J461" s="1">
        <v>9175048718</v>
      </c>
      <c r="K461" s="1" t="s">
        <v>153</v>
      </c>
      <c r="L461" s="1" t="s">
        <v>4042</v>
      </c>
      <c r="M461" s="1" t="s">
        <v>86</v>
      </c>
      <c r="N461" s="1" t="s">
        <v>4972</v>
      </c>
      <c r="O461" s="1"/>
      <c r="P461" s="1" t="s">
        <v>455</v>
      </c>
      <c r="Q461" s="1" t="s">
        <v>8978</v>
      </c>
      <c r="R461" s="1" t="s">
        <v>8979</v>
      </c>
      <c r="S461" s="1">
        <v>9850353247</v>
      </c>
      <c r="T461" s="1" t="s">
        <v>3898</v>
      </c>
      <c r="U461" s="1" t="s">
        <v>8980</v>
      </c>
      <c r="V461" s="1">
        <v>9850721288</v>
      </c>
      <c r="W461" s="1" t="s">
        <v>161</v>
      </c>
      <c r="X461" s="1" t="s">
        <v>8981</v>
      </c>
      <c r="Y461" s="1" t="s">
        <v>410</v>
      </c>
      <c r="Z461" s="1" t="s">
        <v>97</v>
      </c>
      <c r="AA461" s="1" t="s">
        <v>8982</v>
      </c>
      <c r="AB461" s="1" t="s">
        <v>410</v>
      </c>
      <c r="AC461" s="1" t="s">
        <v>97</v>
      </c>
      <c r="AD461" s="1">
        <v>8.51</v>
      </c>
      <c r="AE461" s="1" t="s">
        <v>98</v>
      </c>
      <c r="AF461" s="1" t="s">
        <v>8983</v>
      </c>
      <c r="AG461" s="1" t="s">
        <v>312</v>
      </c>
      <c r="AH461" s="1" t="s">
        <v>4593</v>
      </c>
      <c r="AI461" s="1" t="s">
        <v>313</v>
      </c>
      <c r="AJ461" s="1">
        <v>81.2</v>
      </c>
      <c r="AK461" s="1">
        <v>0</v>
      </c>
      <c r="AL461" s="1" t="s">
        <v>8984</v>
      </c>
      <c r="AM461" s="1" t="s">
        <v>1968</v>
      </c>
      <c r="AN461" s="1" t="s">
        <v>465</v>
      </c>
      <c r="AO461" s="1" t="s">
        <v>315</v>
      </c>
      <c r="AP461" s="1" t="s">
        <v>441</v>
      </c>
      <c r="AQ461" s="1">
        <v>95.33</v>
      </c>
      <c r="AR461" s="1">
        <v>0</v>
      </c>
      <c r="AS461" s="1"/>
      <c r="AT461" s="1"/>
      <c r="AU461" s="1"/>
      <c r="AV461" s="1"/>
      <c r="AW461" s="1"/>
      <c r="AX461" s="1"/>
      <c r="AY461" s="1" t="s">
        <v>8985</v>
      </c>
      <c r="AZ461" s="1" t="s">
        <v>8986</v>
      </c>
      <c r="BA461" s="1" t="s">
        <v>466</v>
      </c>
      <c r="BB461" s="1" t="s">
        <v>467</v>
      </c>
      <c r="BC461" s="1" t="s">
        <v>871</v>
      </c>
      <c r="BD461" s="1" t="s">
        <v>848</v>
      </c>
      <c r="BE461" s="1">
        <v>68.79</v>
      </c>
      <c r="BF461" s="1">
        <v>7.63</v>
      </c>
      <c r="BG461" s="1"/>
      <c r="BH461" s="1"/>
      <c r="BI461" s="1"/>
      <c r="BJ461" s="1"/>
      <c r="BK461" s="1"/>
      <c r="BL461" s="1"/>
      <c r="BM461" s="1"/>
      <c r="BN461" s="1"/>
      <c r="BO461" s="1" t="s">
        <v>8987</v>
      </c>
      <c r="BP461" s="1"/>
      <c r="BQ461" s="1"/>
      <c r="BR461" s="1" t="s">
        <v>8988</v>
      </c>
      <c r="BS461" s="1">
        <v>23</v>
      </c>
      <c r="BT461" s="1"/>
      <c r="BU461" s="1" t="str">
        <f>HYPERLINK("https://nconnect.nicmar.ac.in/storage/profile/ProfilePhoto_P25700463_384196.jpg","Download")</f>
        <v>0</v>
      </c>
      <c r="BV461" s="3"/>
      <c r="BW461" s="3"/>
    </row>
    <row r="462" spans="1:75">
      <c r="A462" s="1" t="s">
        <v>75</v>
      </c>
      <c r="B462" s="1" t="s">
        <v>446</v>
      </c>
      <c r="C462" s="1" t="s">
        <v>8989</v>
      </c>
      <c r="D462" s="1" t="s">
        <v>8990</v>
      </c>
      <c r="E462" s="1"/>
      <c r="F462" s="1" t="s">
        <v>8991</v>
      </c>
      <c r="G462" s="1" t="s">
        <v>8992</v>
      </c>
      <c r="H462" s="1" t="s">
        <v>8993</v>
      </c>
      <c r="I462" s="1" t="s">
        <v>8994</v>
      </c>
      <c r="J462" s="1">
        <v>8184975124</v>
      </c>
      <c r="K462" s="1" t="s">
        <v>84</v>
      </c>
      <c r="L462" s="1" t="s">
        <v>8995</v>
      </c>
      <c r="M462" s="1" t="s">
        <v>86</v>
      </c>
      <c r="N462" s="1" t="s">
        <v>8996</v>
      </c>
      <c r="O462" s="1"/>
      <c r="P462" s="1" t="s">
        <v>1028</v>
      </c>
      <c r="Q462" s="1" t="s">
        <v>8997</v>
      </c>
      <c r="R462" s="1" t="s">
        <v>8998</v>
      </c>
      <c r="S462" s="1">
        <v>9030871186</v>
      </c>
      <c r="T462" s="1" t="s">
        <v>8999</v>
      </c>
      <c r="U462" s="1" t="s">
        <v>6954</v>
      </c>
      <c r="V462" s="1">
        <v>9346051186</v>
      </c>
      <c r="W462" s="1" t="s">
        <v>278</v>
      </c>
      <c r="X462" s="1" t="s">
        <v>9000</v>
      </c>
      <c r="Y462" s="1" t="s">
        <v>9001</v>
      </c>
      <c r="Z462" s="1" t="s">
        <v>461</v>
      </c>
      <c r="AA462" s="1" t="s">
        <v>9000</v>
      </c>
      <c r="AB462" s="1" t="s">
        <v>9001</v>
      </c>
      <c r="AC462" s="1" t="s">
        <v>461</v>
      </c>
      <c r="AD462" s="1">
        <v>7.72</v>
      </c>
      <c r="AE462" s="1" t="s">
        <v>98</v>
      </c>
      <c r="AF462" s="1" t="s">
        <v>9002</v>
      </c>
      <c r="AG462" s="1" t="s">
        <v>463</v>
      </c>
      <c r="AH462" s="1" t="s">
        <v>170</v>
      </c>
      <c r="AI462" s="1" t="s">
        <v>286</v>
      </c>
      <c r="AJ462" s="1">
        <v>80.76</v>
      </c>
      <c r="AK462" s="1">
        <v>8.5</v>
      </c>
      <c r="AL462" s="1"/>
      <c r="AM462" s="1"/>
      <c r="AN462" s="1"/>
      <c r="AO462" s="1"/>
      <c r="AP462" s="1"/>
      <c r="AQ462" s="1"/>
      <c r="AR462" s="1"/>
      <c r="AS462" s="1" t="s">
        <v>439</v>
      </c>
      <c r="AT462" s="1" t="s">
        <v>9003</v>
      </c>
      <c r="AU462" s="1" t="s">
        <v>106</v>
      </c>
      <c r="AV462" s="1" t="s">
        <v>549</v>
      </c>
      <c r="AW462" s="1">
        <v>58.5</v>
      </c>
      <c r="AX462" s="1">
        <v>6.35</v>
      </c>
      <c r="AY462" s="1" t="s">
        <v>9004</v>
      </c>
      <c r="AZ462" s="1" t="s">
        <v>9005</v>
      </c>
      <c r="BA462" s="1" t="s">
        <v>466</v>
      </c>
      <c r="BB462" s="1" t="s">
        <v>467</v>
      </c>
      <c r="BC462" s="1" t="s">
        <v>552</v>
      </c>
      <c r="BD462" s="1" t="s">
        <v>1314</v>
      </c>
      <c r="BE462" s="1">
        <v>73.4</v>
      </c>
      <c r="BF462" s="1">
        <v>7.84</v>
      </c>
      <c r="BG462" s="1"/>
      <c r="BH462" s="1"/>
      <c r="BI462" s="1"/>
      <c r="BJ462" s="1"/>
      <c r="BK462" s="1"/>
      <c r="BL462" s="1"/>
      <c r="BM462" s="1"/>
      <c r="BN462" s="1"/>
      <c r="BO462" s="1" t="s">
        <v>9006</v>
      </c>
      <c r="BP462" s="1" t="s">
        <v>9007</v>
      </c>
      <c r="BQ462" s="1" t="s">
        <v>1070</v>
      </c>
      <c r="BR462" s="1" t="s">
        <v>9008</v>
      </c>
      <c r="BS462" s="1">
        <v>32</v>
      </c>
      <c r="BT462" s="1"/>
      <c r="BU462" s="1" t="str">
        <f>HYPERLINK("https://nconnect.nicmar.ac.in/storage/profile/ProfilePhoto_P25700464_638752.jpg","Download")</f>
        <v>0</v>
      </c>
      <c r="BV462" s="3"/>
      <c r="BW462" s="3"/>
    </row>
    <row r="463" spans="1:75">
      <c r="A463" s="1" t="s">
        <v>75</v>
      </c>
      <c r="B463" s="1" t="s">
        <v>446</v>
      </c>
      <c r="C463" s="1" t="s">
        <v>9009</v>
      </c>
      <c r="D463" s="1" t="s">
        <v>2660</v>
      </c>
      <c r="E463" s="1"/>
      <c r="F463" s="1" t="s">
        <v>1853</v>
      </c>
      <c r="G463" s="1" t="s">
        <v>9010</v>
      </c>
      <c r="H463" s="1" t="s">
        <v>9011</v>
      </c>
      <c r="I463" s="1" t="s">
        <v>9012</v>
      </c>
      <c r="J463" s="1">
        <v>6382968542</v>
      </c>
      <c r="K463" s="1" t="s">
        <v>84</v>
      </c>
      <c r="L463" s="1" t="s">
        <v>9013</v>
      </c>
      <c r="M463" s="1" t="s">
        <v>86</v>
      </c>
      <c r="N463" s="1" t="s">
        <v>9014</v>
      </c>
      <c r="O463" s="1"/>
      <c r="P463" s="1" t="s">
        <v>455</v>
      </c>
      <c r="Q463" s="1" t="s">
        <v>9015</v>
      </c>
      <c r="R463" s="1" t="s">
        <v>9016</v>
      </c>
      <c r="S463" s="1">
        <v>9443864602</v>
      </c>
      <c r="T463" s="1" t="s">
        <v>9017</v>
      </c>
      <c r="U463" s="1" t="s">
        <v>9018</v>
      </c>
      <c r="V463" s="1">
        <v>9443864602</v>
      </c>
      <c r="W463" s="1" t="s">
        <v>9019</v>
      </c>
      <c r="X463" s="1" t="s">
        <v>9020</v>
      </c>
      <c r="Y463" s="1" t="s">
        <v>9021</v>
      </c>
      <c r="Z463" s="1" t="s">
        <v>570</v>
      </c>
      <c r="AA463" s="1" t="s">
        <v>9020</v>
      </c>
      <c r="AB463" s="1" t="s">
        <v>9021</v>
      </c>
      <c r="AC463" s="1" t="s">
        <v>570</v>
      </c>
      <c r="AD463" s="1">
        <v>8.56</v>
      </c>
      <c r="AE463" s="1" t="s">
        <v>98</v>
      </c>
      <c r="AF463" s="1" t="s">
        <v>9022</v>
      </c>
      <c r="AG463" s="1" t="s">
        <v>9023</v>
      </c>
      <c r="AH463" s="1" t="s">
        <v>170</v>
      </c>
      <c r="AI463" s="1" t="s">
        <v>171</v>
      </c>
      <c r="AJ463" s="1">
        <v>64.4</v>
      </c>
      <c r="AK463" s="1"/>
      <c r="AL463" s="1" t="s">
        <v>9024</v>
      </c>
      <c r="AM463" s="1" t="s">
        <v>9025</v>
      </c>
      <c r="AN463" s="1" t="s">
        <v>575</v>
      </c>
      <c r="AO463" s="1" t="s">
        <v>315</v>
      </c>
      <c r="AP463" s="1" t="s">
        <v>178</v>
      </c>
      <c r="AQ463" s="1">
        <v>80.2</v>
      </c>
      <c r="AR463" s="1"/>
      <c r="AS463" s="1"/>
      <c r="AT463" s="1"/>
      <c r="AU463" s="1"/>
      <c r="AV463" s="1"/>
      <c r="AW463" s="1"/>
      <c r="AX463" s="1"/>
      <c r="AY463" s="1" t="s">
        <v>9026</v>
      </c>
      <c r="AZ463" s="1" t="s">
        <v>9027</v>
      </c>
      <c r="BA463" s="1" t="s">
        <v>682</v>
      </c>
      <c r="BB463" s="1" t="s">
        <v>1479</v>
      </c>
      <c r="BC463" s="1" t="s">
        <v>468</v>
      </c>
      <c r="BD463" s="1" t="s">
        <v>848</v>
      </c>
      <c r="BE463" s="1">
        <v>87.6</v>
      </c>
      <c r="BF463" s="1">
        <v>8.76</v>
      </c>
      <c r="BG463" s="1"/>
      <c r="BH463" s="1"/>
      <c r="BI463" s="1"/>
      <c r="BJ463" s="1"/>
      <c r="BK463" s="1"/>
      <c r="BL463" s="1"/>
      <c r="BM463" s="1"/>
      <c r="BN463" s="1"/>
      <c r="BO463" s="1" t="s">
        <v>9028</v>
      </c>
      <c r="BP463" s="1"/>
      <c r="BQ463" s="1"/>
      <c r="BR463" s="1" t="s">
        <v>9029</v>
      </c>
      <c r="BS463" s="1">
        <v>35</v>
      </c>
      <c r="BT463" s="1"/>
      <c r="BU463" s="1" t="str">
        <f>HYPERLINK("https://nconnect.nicmar.ac.in/storage/profile/ProfilePhoto_P25700465_781254.jpg","Download")</f>
        <v>0</v>
      </c>
      <c r="BV463" s="3"/>
      <c r="BW463" s="3"/>
    </row>
    <row r="464" spans="1:75">
      <c r="A464" s="1" t="s">
        <v>75</v>
      </c>
      <c r="B464" s="1" t="s">
        <v>446</v>
      </c>
      <c r="C464" s="1" t="s">
        <v>9030</v>
      </c>
      <c r="D464" s="1" t="s">
        <v>422</v>
      </c>
      <c r="E464" s="1" t="s">
        <v>9031</v>
      </c>
      <c r="F464" s="1" t="s">
        <v>1179</v>
      </c>
      <c r="G464" s="1" t="s">
        <v>9032</v>
      </c>
      <c r="H464" s="1" t="s">
        <v>9033</v>
      </c>
      <c r="I464" s="1" t="s">
        <v>9034</v>
      </c>
      <c r="J464" s="1">
        <v>9022703156</v>
      </c>
      <c r="K464" s="1" t="s">
        <v>153</v>
      </c>
      <c r="L464" s="1" t="s">
        <v>2698</v>
      </c>
      <c r="M464" s="1" t="s">
        <v>155</v>
      </c>
      <c r="N464" s="1" t="s">
        <v>618</v>
      </c>
      <c r="O464" s="1"/>
      <c r="P464" s="1" t="s">
        <v>507</v>
      </c>
      <c r="Q464" s="1" t="s">
        <v>9035</v>
      </c>
      <c r="R464" s="1" t="s">
        <v>4707</v>
      </c>
      <c r="S464" s="1">
        <v>9657735550</v>
      </c>
      <c r="T464" s="1" t="s">
        <v>9036</v>
      </c>
      <c r="U464" s="1" t="s">
        <v>4988</v>
      </c>
      <c r="V464" s="1">
        <v>8805854784</v>
      </c>
      <c r="W464" s="1" t="s">
        <v>278</v>
      </c>
      <c r="X464" s="1" t="s">
        <v>9037</v>
      </c>
      <c r="Y464" s="1" t="s">
        <v>1012</v>
      </c>
      <c r="Z464" s="1" t="s">
        <v>97</v>
      </c>
      <c r="AA464" s="1" t="s">
        <v>9038</v>
      </c>
      <c r="AB464" s="1" t="s">
        <v>4302</v>
      </c>
      <c r="AC464" s="1" t="s">
        <v>97</v>
      </c>
      <c r="AD464" s="1">
        <v>7.21</v>
      </c>
      <c r="AE464" s="1" t="s">
        <v>98</v>
      </c>
      <c r="AF464" s="1" t="s">
        <v>9039</v>
      </c>
      <c r="AG464" s="1" t="s">
        <v>165</v>
      </c>
      <c r="AH464" s="1" t="s">
        <v>170</v>
      </c>
      <c r="AI464" s="1" t="s">
        <v>286</v>
      </c>
      <c r="AJ464" s="1">
        <v>81.6</v>
      </c>
      <c r="AK464" s="1">
        <v>0</v>
      </c>
      <c r="AL464" s="1" t="s">
        <v>9040</v>
      </c>
      <c r="AM464" s="1" t="s">
        <v>165</v>
      </c>
      <c r="AN464" s="1" t="s">
        <v>575</v>
      </c>
      <c r="AO464" s="1" t="s">
        <v>438</v>
      </c>
      <c r="AP464" s="1" t="s">
        <v>365</v>
      </c>
      <c r="AQ464" s="1">
        <v>69.69</v>
      </c>
      <c r="AR464" s="1">
        <v>0</v>
      </c>
      <c r="AS464" s="1"/>
      <c r="AT464" s="1"/>
      <c r="AU464" s="1"/>
      <c r="AV464" s="1"/>
      <c r="AW464" s="1"/>
      <c r="AX464" s="1"/>
      <c r="AY464" s="1" t="s">
        <v>680</v>
      </c>
      <c r="AZ464" s="1" t="s">
        <v>9041</v>
      </c>
      <c r="BA464" s="1" t="s">
        <v>578</v>
      </c>
      <c r="BB464" s="1" t="s">
        <v>467</v>
      </c>
      <c r="BC464" s="1" t="s">
        <v>468</v>
      </c>
      <c r="BD464" s="1" t="s">
        <v>848</v>
      </c>
      <c r="BE464" s="1">
        <v>69.23</v>
      </c>
      <c r="BF464" s="1">
        <v>7.46</v>
      </c>
      <c r="BG464" s="1"/>
      <c r="BH464" s="1"/>
      <c r="BI464" s="1"/>
      <c r="BJ464" s="1"/>
      <c r="BK464" s="1"/>
      <c r="BL464" s="1"/>
      <c r="BM464" s="1"/>
      <c r="BN464" s="1"/>
      <c r="BO464" s="1" t="s">
        <v>9042</v>
      </c>
      <c r="BP464" s="1"/>
      <c r="BQ464" s="1"/>
      <c r="BR464" s="1" t="s">
        <v>9043</v>
      </c>
      <c r="BS464" s="1">
        <v>8</v>
      </c>
      <c r="BT464" s="1"/>
      <c r="BU464" s="1" t="str">
        <f>HYPERLINK("https://nconnect.nicmar.ac.in/storage/profile/ProfilePhoto_P25700466_237615.jpg","Download")</f>
        <v>0</v>
      </c>
      <c r="BV464" s="3"/>
      <c r="BW464" s="3"/>
    </row>
    <row r="465" spans="1:75">
      <c r="A465" s="1" t="s">
        <v>75</v>
      </c>
      <c r="B465" s="1" t="s">
        <v>446</v>
      </c>
      <c r="C465" s="1" t="s">
        <v>9044</v>
      </c>
      <c r="D465" s="1" t="s">
        <v>9045</v>
      </c>
      <c r="E465" s="1"/>
      <c r="F465" s="1" t="s">
        <v>9046</v>
      </c>
      <c r="G465" s="1" t="s">
        <v>9047</v>
      </c>
      <c r="H465" s="1" t="s">
        <v>9048</v>
      </c>
      <c r="I465" s="1" t="s">
        <v>9049</v>
      </c>
      <c r="J465" s="1">
        <v>8318035615</v>
      </c>
      <c r="K465" s="1" t="s">
        <v>84</v>
      </c>
      <c r="L465" s="1" t="s">
        <v>9050</v>
      </c>
      <c r="M465" s="1" t="s">
        <v>86</v>
      </c>
      <c r="N465" s="1" t="s">
        <v>4278</v>
      </c>
      <c r="O465" s="1" t="s">
        <v>9051</v>
      </c>
      <c r="P465" s="1" t="s">
        <v>122</v>
      </c>
      <c r="Q465" s="1" t="s">
        <v>9052</v>
      </c>
      <c r="R465" s="1" t="s">
        <v>9053</v>
      </c>
      <c r="S465" s="1">
        <v>6388241703</v>
      </c>
      <c r="T465" s="1" t="s">
        <v>9054</v>
      </c>
      <c r="U465" s="1" t="s">
        <v>9055</v>
      </c>
      <c r="V465" s="1">
        <v>9140420240</v>
      </c>
      <c r="W465" s="1" t="s">
        <v>9054</v>
      </c>
      <c r="X465" s="1" t="s">
        <v>9056</v>
      </c>
      <c r="Y465" s="1" t="s">
        <v>9057</v>
      </c>
      <c r="Z465" s="1" t="s">
        <v>544</v>
      </c>
      <c r="AA465" s="1" t="s">
        <v>9056</v>
      </c>
      <c r="AB465" s="1" t="s">
        <v>9057</v>
      </c>
      <c r="AC465" s="1" t="s">
        <v>544</v>
      </c>
      <c r="AD465" s="1">
        <v>8.23</v>
      </c>
      <c r="AE465" s="1" t="s">
        <v>98</v>
      </c>
      <c r="AF465" s="1" t="s">
        <v>9058</v>
      </c>
      <c r="AG465" s="1" t="s">
        <v>9059</v>
      </c>
      <c r="AH465" s="1" t="s">
        <v>490</v>
      </c>
      <c r="AI465" s="1" t="s">
        <v>313</v>
      </c>
      <c r="AJ465" s="1">
        <v>90.4</v>
      </c>
      <c r="AK465" s="1">
        <v>9.51</v>
      </c>
      <c r="AL465" s="1" t="s">
        <v>9058</v>
      </c>
      <c r="AM465" s="1" t="s">
        <v>9059</v>
      </c>
      <c r="AN465" s="1" t="s">
        <v>465</v>
      </c>
      <c r="AO465" s="1" t="s">
        <v>977</v>
      </c>
      <c r="AP465" s="1" t="s">
        <v>549</v>
      </c>
      <c r="AQ465" s="1">
        <v>88.83</v>
      </c>
      <c r="AR465" s="1">
        <v>9.35</v>
      </c>
      <c r="AS465" s="1"/>
      <c r="AT465" s="1"/>
      <c r="AU465" s="1"/>
      <c r="AV465" s="1"/>
      <c r="AW465" s="1"/>
      <c r="AX465" s="1"/>
      <c r="AY465" s="1" t="s">
        <v>550</v>
      </c>
      <c r="AZ465" s="1" t="s">
        <v>6168</v>
      </c>
      <c r="BA465" s="1" t="s">
        <v>466</v>
      </c>
      <c r="BB465" s="1" t="s">
        <v>467</v>
      </c>
      <c r="BC465" s="1" t="s">
        <v>552</v>
      </c>
      <c r="BD465" s="1" t="s">
        <v>553</v>
      </c>
      <c r="BE465" s="1">
        <v>78.9</v>
      </c>
      <c r="BF465" s="1">
        <v>7.89</v>
      </c>
      <c r="BG465" s="1"/>
      <c r="BH465" s="1"/>
      <c r="BI465" s="1"/>
      <c r="BJ465" s="1"/>
      <c r="BK465" s="1"/>
      <c r="BL465" s="1"/>
      <c r="BM465" s="1"/>
      <c r="BN465" s="1"/>
      <c r="BO465" s="1" t="s">
        <v>9060</v>
      </c>
      <c r="BP465" s="1"/>
      <c r="BQ465" s="1"/>
      <c r="BR465" s="1" t="s">
        <v>9061</v>
      </c>
      <c r="BS465" s="1">
        <v>12</v>
      </c>
      <c r="BT465" s="1"/>
      <c r="BU465" s="1" t="str">
        <f>HYPERLINK("https://nconnect.nicmar.ac.in/storage/profile/6a8f390e9099b.png","Download")</f>
        <v>0</v>
      </c>
      <c r="BV465" s="3"/>
      <c r="BW465" s="4">
        <v>1</v>
      </c>
    </row>
    <row r="466" spans="1:75">
      <c r="A466" s="1" t="s">
        <v>75</v>
      </c>
      <c r="B466" s="1" t="s">
        <v>446</v>
      </c>
      <c r="C466" s="1" t="s">
        <v>9062</v>
      </c>
      <c r="D466" s="1" t="s">
        <v>9063</v>
      </c>
      <c r="E466" s="1" t="s">
        <v>4802</v>
      </c>
      <c r="F466" s="1" t="s">
        <v>9064</v>
      </c>
      <c r="G466" s="1" t="s">
        <v>9065</v>
      </c>
      <c r="H466" s="1" t="s">
        <v>9066</v>
      </c>
      <c r="I466" s="1" t="s">
        <v>9067</v>
      </c>
      <c r="J466" s="1">
        <v>6361837707</v>
      </c>
      <c r="K466" s="1" t="s">
        <v>84</v>
      </c>
      <c r="L466" s="1" t="s">
        <v>9068</v>
      </c>
      <c r="M466" s="1" t="s">
        <v>86</v>
      </c>
      <c r="N466" s="1" t="s">
        <v>9069</v>
      </c>
      <c r="O466" s="1"/>
      <c r="P466" s="1" t="s">
        <v>455</v>
      </c>
      <c r="Q466" s="1" t="s">
        <v>9070</v>
      </c>
      <c r="R466" s="1" t="s">
        <v>9071</v>
      </c>
      <c r="S466" s="1">
        <v>8660703603</v>
      </c>
      <c r="T466" s="1" t="s">
        <v>159</v>
      </c>
      <c r="U466" s="1" t="s">
        <v>9072</v>
      </c>
      <c r="V466" s="1">
        <v>9686646486</v>
      </c>
      <c r="W466" s="1" t="s">
        <v>278</v>
      </c>
      <c r="X466" s="1" t="s">
        <v>9073</v>
      </c>
      <c r="Y466" s="1" t="s">
        <v>9074</v>
      </c>
      <c r="Z466" s="1" t="s">
        <v>1210</v>
      </c>
      <c r="AA466" s="1" t="s">
        <v>9073</v>
      </c>
      <c r="AB466" s="1" t="s">
        <v>9074</v>
      </c>
      <c r="AC466" s="1" t="s">
        <v>1210</v>
      </c>
      <c r="AD466" s="1">
        <v>8.1</v>
      </c>
      <c r="AE466" s="1" t="s">
        <v>98</v>
      </c>
      <c r="AF466" s="1" t="s">
        <v>9075</v>
      </c>
      <c r="AG466" s="1" t="s">
        <v>9076</v>
      </c>
      <c r="AH466" s="1" t="s">
        <v>167</v>
      </c>
      <c r="AI466" s="1" t="s">
        <v>573</v>
      </c>
      <c r="AJ466" s="1">
        <v>65.16</v>
      </c>
      <c r="AK466" s="1"/>
      <c r="AL466" s="1" t="s">
        <v>9077</v>
      </c>
      <c r="AM466" s="1" t="s">
        <v>3732</v>
      </c>
      <c r="AN466" s="1" t="s">
        <v>575</v>
      </c>
      <c r="AO466" s="1" t="s">
        <v>171</v>
      </c>
      <c r="AP466" s="1" t="s">
        <v>414</v>
      </c>
      <c r="AQ466" s="1">
        <v>74.66</v>
      </c>
      <c r="AR466" s="1"/>
      <c r="AS466" s="1"/>
      <c r="AT466" s="1"/>
      <c r="AU466" s="1"/>
      <c r="AV466" s="1"/>
      <c r="AW466" s="1"/>
      <c r="AX466" s="1"/>
      <c r="AY466" s="1" t="s">
        <v>7595</v>
      </c>
      <c r="AZ466" s="1" t="s">
        <v>4072</v>
      </c>
      <c r="BA466" s="1" t="s">
        <v>466</v>
      </c>
      <c r="BB466" s="1" t="s">
        <v>467</v>
      </c>
      <c r="BC466" s="1" t="s">
        <v>206</v>
      </c>
      <c r="BD466" s="1" t="s">
        <v>234</v>
      </c>
      <c r="BE466" s="1">
        <v>77.3</v>
      </c>
      <c r="BF466" s="1">
        <v>7.73</v>
      </c>
      <c r="BG466" s="1"/>
      <c r="BH466" s="1"/>
      <c r="BI466" s="1"/>
      <c r="BJ466" s="1"/>
      <c r="BK466" s="1"/>
      <c r="BL466" s="1"/>
      <c r="BM466" s="1"/>
      <c r="BN466" s="1"/>
      <c r="BO466" s="1" t="s">
        <v>9078</v>
      </c>
      <c r="BP466" s="1"/>
      <c r="BQ466" s="1"/>
      <c r="BR466" s="1" t="s">
        <v>9079</v>
      </c>
      <c r="BS466" s="1">
        <v>14</v>
      </c>
      <c r="BT466" s="1" t="s">
        <v>9080</v>
      </c>
      <c r="BU466" s="1" t="str">
        <f>HYPERLINK("https://nconnect.nicmar.ac.in/storage/profile/ProfilePhoto_P25700468_981762.jpg","Download")</f>
        <v>0</v>
      </c>
      <c r="BV466" s="3"/>
      <c r="BW466" s="4">
        <v>1</v>
      </c>
    </row>
    <row r="467" spans="1:75">
      <c r="A467" s="1" t="s">
        <v>75</v>
      </c>
      <c r="B467" s="1" t="s">
        <v>446</v>
      </c>
      <c r="C467" s="1" t="s">
        <v>9081</v>
      </c>
      <c r="D467" s="1" t="s">
        <v>6947</v>
      </c>
      <c r="E467" s="1" t="s">
        <v>186</v>
      </c>
      <c r="F467" s="1" t="s">
        <v>9082</v>
      </c>
      <c r="G467" s="1" t="s">
        <v>9083</v>
      </c>
      <c r="H467" s="1" t="s">
        <v>9084</v>
      </c>
      <c r="I467" s="1" t="s">
        <v>9085</v>
      </c>
      <c r="J467" s="1">
        <v>7588134455</v>
      </c>
      <c r="K467" s="1" t="s">
        <v>84</v>
      </c>
      <c r="L467" s="1" t="s">
        <v>9086</v>
      </c>
      <c r="M467" s="1" t="s">
        <v>86</v>
      </c>
      <c r="N467" s="1" t="s">
        <v>9087</v>
      </c>
      <c r="O467" s="1"/>
      <c r="P467" s="1" t="s">
        <v>507</v>
      </c>
      <c r="Q467" s="1" t="s">
        <v>9088</v>
      </c>
      <c r="R467" s="1" t="s">
        <v>186</v>
      </c>
      <c r="S467" s="1">
        <v>9823016462</v>
      </c>
      <c r="T467" s="1" t="s">
        <v>926</v>
      </c>
      <c r="U467" s="1" t="s">
        <v>3502</v>
      </c>
      <c r="V467" s="1">
        <v>9403080278</v>
      </c>
      <c r="W467" s="1" t="s">
        <v>161</v>
      </c>
      <c r="X467" s="1" t="s">
        <v>9089</v>
      </c>
      <c r="Y467" s="1" t="s">
        <v>196</v>
      </c>
      <c r="Z467" s="1" t="s">
        <v>97</v>
      </c>
      <c r="AA467" s="1" t="s">
        <v>9089</v>
      </c>
      <c r="AB467" s="1" t="s">
        <v>196</v>
      </c>
      <c r="AC467" s="1" t="s">
        <v>97</v>
      </c>
      <c r="AD467" s="1">
        <v>8.51</v>
      </c>
      <c r="AE467" s="1" t="s">
        <v>98</v>
      </c>
      <c r="AF467" s="1" t="s">
        <v>9090</v>
      </c>
      <c r="AG467" s="1" t="s">
        <v>4324</v>
      </c>
      <c r="AH467" s="1" t="s">
        <v>106</v>
      </c>
      <c r="AI467" s="1" t="s">
        <v>313</v>
      </c>
      <c r="AJ467" s="1">
        <v>83.4</v>
      </c>
      <c r="AK467" s="1"/>
      <c r="AL467" s="1" t="s">
        <v>9090</v>
      </c>
      <c r="AM467" s="1" t="s">
        <v>4324</v>
      </c>
      <c r="AN467" s="1" t="s">
        <v>465</v>
      </c>
      <c r="AO467" s="1" t="s">
        <v>438</v>
      </c>
      <c r="AP467" s="1" t="s">
        <v>845</v>
      </c>
      <c r="AQ467" s="1">
        <v>87.17</v>
      </c>
      <c r="AR467" s="1"/>
      <c r="AS467" s="1"/>
      <c r="AT467" s="1"/>
      <c r="AU467" s="1"/>
      <c r="AV467" s="1"/>
      <c r="AW467" s="1"/>
      <c r="AX467" s="1"/>
      <c r="AY467" s="1" t="s">
        <v>8336</v>
      </c>
      <c r="AZ467" s="1" t="s">
        <v>8336</v>
      </c>
      <c r="BA467" s="1" t="s">
        <v>466</v>
      </c>
      <c r="BB467" s="1" t="s">
        <v>467</v>
      </c>
      <c r="BC467" s="1" t="s">
        <v>552</v>
      </c>
      <c r="BD467" s="1" t="s">
        <v>553</v>
      </c>
      <c r="BE467" s="1">
        <v>84.9</v>
      </c>
      <c r="BF467" s="1">
        <v>8.49</v>
      </c>
      <c r="BG467" s="1"/>
      <c r="BH467" s="1"/>
      <c r="BI467" s="1"/>
      <c r="BJ467" s="1"/>
      <c r="BK467" s="1"/>
      <c r="BL467" s="1"/>
      <c r="BM467" s="1"/>
      <c r="BN467" s="1"/>
      <c r="BO467" s="1" t="s">
        <v>9091</v>
      </c>
      <c r="BP467" s="1"/>
      <c r="BQ467" s="1"/>
      <c r="BR467" s="1" t="s">
        <v>9092</v>
      </c>
      <c r="BS467" s="1">
        <v>21</v>
      </c>
      <c r="BT467" s="1" t="s">
        <v>9093</v>
      </c>
      <c r="BU467" s="1" t="str">
        <f>HYPERLINK("https://nconnect.nicmar.ac.in/storage/profile/ProfilePhoto_P25700470_843725.jpg","Download")</f>
        <v>0</v>
      </c>
      <c r="BV467" s="3"/>
      <c r="BW467" s="3"/>
    </row>
    <row r="468" spans="1:75">
      <c r="A468" s="1" t="s">
        <v>75</v>
      </c>
      <c r="B468" s="1" t="s">
        <v>446</v>
      </c>
      <c r="C468" s="1" t="s">
        <v>9094</v>
      </c>
      <c r="D468" s="1" t="s">
        <v>2829</v>
      </c>
      <c r="E468" s="1"/>
      <c r="F468" s="1" t="s">
        <v>4625</v>
      </c>
      <c r="G468" s="1" t="s">
        <v>9095</v>
      </c>
      <c r="H468" s="1" t="s">
        <v>9096</v>
      </c>
      <c r="I468" s="1" t="s">
        <v>9097</v>
      </c>
      <c r="J468" s="1">
        <v>9425961340</v>
      </c>
      <c r="K468" s="1" t="s">
        <v>84</v>
      </c>
      <c r="L468" s="1" t="s">
        <v>9098</v>
      </c>
      <c r="M468" s="1" t="s">
        <v>86</v>
      </c>
      <c r="N468" s="1" t="s">
        <v>4278</v>
      </c>
      <c r="O468" s="1"/>
      <c r="P468" s="1" t="s">
        <v>481</v>
      </c>
      <c r="Q468" s="1" t="s">
        <v>9099</v>
      </c>
      <c r="R468" s="1" t="s">
        <v>9100</v>
      </c>
      <c r="S468" s="1">
        <v>9131958600</v>
      </c>
      <c r="T468" s="1" t="s">
        <v>5620</v>
      </c>
      <c r="U468" s="1" t="s">
        <v>9101</v>
      </c>
      <c r="V468" s="1">
        <v>9691271545</v>
      </c>
      <c r="W468" s="1" t="s">
        <v>5620</v>
      </c>
      <c r="X468" s="1" t="s">
        <v>9102</v>
      </c>
      <c r="Y468" s="1" t="s">
        <v>9103</v>
      </c>
      <c r="Z468" s="1" t="s">
        <v>3419</v>
      </c>
      <c r="AA468" s="1" t="s">
        <v>9102</v>
      </c>
      <c r="AB468" s="1" t="s">
        <v>9103</v>
      </c>
      <c r="AC468" s="1" t="s">
        <v>3419</v>
      </c>
      <c r="AD468" s="1">
        <v>7.18</v>
      </c>
      <c r="AE468" s="1" t="s">
        <v>98</v>
      </c>
      <c r="AF468" s="1" t="s">
        <v>9104</v>
      </c>
      <c r="AG468" s="1" t="s">
        <v>9105</v>
      </c>
      <c r="AH468" s="1" t="s">
        <v>166</v>
      </c>
      <c r="AI468" s="1" t="s">
        <v>167</v>
      </c>
      <c r="AJ468" s="1">
        <v>77.9</v>
      </c>
      <c r="AK468" s="1">
        <v>8.2</v>
      </c>
      <c r="AL468" s="1" t="s">
        <v>9106</v>
      </c>
      <c r="AM468" s="1" t="s">
        <v>9107</v>
      </c>
      <c r="AN468" s="1"/>
      <c r="AO468" s="1" t="s">
        <v>170</v>
      </c>
      <c r="AP468" s="1" t="s">
        <v>106</v>
      </c>
      <c r="AQ468" s="1">
        <v>61.2</v>
      </c>
      <c r="AR468" s="1"/>
      <c r="AS468" s="1"/>
      <c r="AT468" s="1"/>
      <c r="AU468" s="1"/>
      <c r="AV468" s="1"/>
      <c r="AW468" s="1"/>
      <c r="AX468" s="1"/>
      <c r="AY468" s="1" t="s">
        <v>9108</v>
      </c>
      <c r="AZ468" s="1" t="s">
        <v>9109</v>
      </c>
      <c r="BA468" s="1"/>
      <c r="BB468" s="1"/>
      <c r="BC468" s="1" t="s">
        <v>1065</v>
      </c>
      <c r="BD468" s="1" t="s">
        <v>289</v>
      </c>
      <c r="BE468" s="1">
        <v>69.7</v>
      </c>
      <c r="BF468" s="1">
        <v>6.97</v>
      </c>
      <c r="BG468" s="1"/>
      <c r="BH468" s="1"/>
      <c r="BI468" s="1"/>
      <c r="BJ468" s="1"/>
      <c r="BK468" s="1"/>
      <c r="BL468" s="1"/>
      <c r="BM468" s="1"/>
      <c r="BN468" s="1"/>
      <c r="BO468" s="1" t="s">
        <v>369</v>
      </c>
      <c r="BP468" s="1" t="s">
        <v>9110</v>
      </c>
      <c r="BQ468" s="1" t="s">
        <v>9111</v>
      </c>
      <c r="BR468" s="1" t="s">
        <v>9112</v>
      </c>
      <c r="BS468" s="1">
        <v>9</v>
      </c>
      <c r="BT468" s="1" t="s">
        <v>9113</v>
      </c>
      <c r="BU468" s="1" t="str">
        <f>HYPERLINK("https://nconnect.nicmar.ac.in/storage/profile/ProfilePhoto_P25700471_756394.jpg","Download")</f>
        <v>0</v>
      </c>
      <c r="BV468" s="3"/>
      <c r="BW468" s="3"/>
    </row>
    <row r="469" spans="1:75">
      <c r="A469" s="1" t="s">
        <v>75</v>
      </c>
      <c r="B469" s="1" t="s">
        <v>446</v>
      </c>
      <c r="C469" s="1" t="s">
        <v>9114</v>
      </c>
      <c r="D469" s="1" t="s">
        <v>2500</v>
      </c>
      <c r="E469" s="1" t="s">
        <v>4707</v>
      </c>
      <c r="F469" s="1" t="s">
        <v>2099</v>
      </c>
      <c r="G469" s="1" t="s">
        <v>9115</v>
      </c>
      <c r="H469" s="1" t="s">
        <v>9116</v>
      </c>
      <c r="I469" s="1" t="s">
        <v>9117</v>
      </c>
      <c r="J469" s="1">
        <v>7841023889</v>
      </c>
      <c r="K469" s="1" t="s">
        <v>84</v>
      </c>
      <c r="L469" s="1" t="s">
        <v>9118</v>
      </c>
      <c r="M469" s="1" t="s">
        <v>86</v>
      </c>
      <c r="N469" s="1" t="s">
        <v>1163</v>
      </c>
      <c r="O469" s="1"/>
      <c r="P469" s="1" t="s">
        <v>2062</v>
      </c>
      <c r="Q469" s="1" t="s">
        <v>9119</v>
      </c>
      <c r="R469" s="1" t="s">
        <v>9120</v>
      </c>
      <c r="S469" s="1">
        <v>9423058325</v>
      </c>
      <c r="T469" s="1" t="s">
        <v>159</v>
      </c>
      <c r="U469" s="1" t="s">
        <v>9121</v>
      </c>
      <c r="V469" s="1">
        <v>7798204891</v>
      </c>
      <c r="W469" s="1" t="s">
        <v>9122</v>
      </c>
      <c r="X469" s="1" t="s">
        <v>9123</v>
      </c>
      <c r="Y469" s="1" t="s">
        <v>196</v>
      </c>
      <c r="Z469" s="1" t="s">
        <v>97</v>
      </c>
      <c r="AA469" s="1" t="s">
        <v>9124</v>
      </c>
      <c r="AB469" s="1" t="s">
        <v>196</v>
      </c>
      <c r="AC469" s="1" t="s">
        <v>97</v>
      </c>
      <c r="AD469" s="1">
        <v>8.62</v>
      </c>
      <c r="AE469" s="1" t="s">
        <v>98</v>
      </c>
      <c r="AF469" s="1" t="s">
        <v>9125</v>
      </c>
      <c r="AG469" s="1" t="s">
        <v>165</v>
      </c>
      <c r="AH469" s="1" t="s">
        <v>167</v>
      </c>
      <c r="AI469" s="1" t="s">
        <v>200</v>
      </c>
      <c r="AJ469" s="1">
        <v>83.2</v>
      </c>
      <c r="AK469" s="1">
        <v>0</v>
      </c>
      <c r="AL469" s="1" t="s">
        <v>9126</v>
      </c>
      <c r="AM469" s="1" t="s">
        <v>165</v>
      </c>
      <c r="AN469" s="1" t="s">
        <v>465</v>
      </c>
      <c r="AO469" s="1" t="s">
        <v>106</v>
      </c>
      <c r="AP469" s="1" t="s">
        <v>203</v>
      </c>
      <c r="AQ469" s="1">
        <v>66.77</v>
      </c>
      <c r="AR469" s="1">
        <v>0</v>
      </c>
      <c r="AS469" s="1"/>
      <c r="AT469" s="1"/>
      <c r="AU469" s="1"/>
      <c r="AV469" s="1"/>
      <c r="AW469" s="1"/>
      <c r="AX469" s="1"/>
      <c r="AY469" s="1" t="s">
        <v>366</v>
      </c>
      <c r="AZ469" s="1" t="s">
        <v>9127</v>
      </c>
      <c r="BA469" s="1" t="s">
        <v>578</v>
      </c>
      <c r="BB469" s="1" t="s">
        <v>467</v>
      </c>
      <c r="BC469" s="1" t="s">
        <v>206</v>
      </c>
      <c r="BD469" s="1" t="s">
        <v>955</v>
      </c>
      <c r="BE469" s="1">
        <v>72.9</v>
      </c>
      <c r="BF469" s="1">
        <v>8.04</v>
      </c>
      <c r="BG469" s="1"/>
      <c r="BH469" s="1"/>
      <c r="BI469" s="1"/>
      <c r="BJ469" s="1"/>
      <c r="BK469" s="1"/>
      <c r="BL469" s="1"/>
      <c r="BM469" s="1"/>
      <c r="BN469" s="1"/>
      <c r="BO469" s="1" t="s">
        <v>9128</v>
      </c>
      <c r="BP469" s="1" t="s">
        <v>9129</v>
      </c>
      <c r="BQ469" s="1" t="s">
        <v>2245</v>
      </c>
      <c r="BR469" s="1" t="s">
        <v>9130</v>
      </c>
      <c r="BS469" s="1">
        <v>14</v>
      </c>
      <c r="BT469" s="1" t="s">
        <v>9131</v>
      </c>
      <c r="BU469" s="1" t="str">
        <f>HYPERLINK("https://nconnect.nicmar.ac.in/storage/profile/ProfilePhoto_P25700472_563742.jpg","Download")</f>
        <v>0</v>
      </c>
      <c r="BV469" s="3"/>
      <c r="BW469" s="4">
        <v>1</v>
      </c>
    </row>
    <row r="470" spans="1:75">
      <c r="A470" s="1" t="s">
        <v>75</v>
      </c>
      <c r="B470" s="1" t="s">
        <v>446</v>
      </c>
      <c r="C470" s="1" t="s">
        <v>9132</v>
      </c>
      <c r="D470" s="1" t="s">
        <v>9133</v>
      </c>
      <c r="E470" s="1" t="s">
        <v>9134</v>
      </c>
      <c r="F470" s="1" t="s">
        <v>9135</v>
      </c>
      <c r="G470" s="1" t="s">
        <v>9136</v>
      </c>
      <c r="H470" s="1" t="s">
        <v>9137</v>
      </c>
      <c r="I470" s="1" t="s">
        <v>9138</v>
      </c>
      <c r="J470" s="1">
        <v>8291691754</v>
      </c>
      <c r="K470" s="1" t="s">
        <v>84</v>
      </c>
      <c r="L470" s="1" t="s">
        <v>9139</v>
      </c>
      <c r="M470" s="1" t="s">
        <v>86</v>
      </c>
      <c r="N470" s="1" t="s">
        <v>1470</v>
      </c>
      <c r="O470" s="1"/>
      <c r="P470" s="1" t="s">
        <v>455</v>
      </c>
      <c r="Q470" s="1" t="s">
        <v>9140</v>
      </c>
      <c r="R470" s="1" t="s">
        <v>9141</v>
      </c>
      <c r="S470" s="1">
        <v>9930811145</v>
      </c>
      <c r="T470" s="1" t="s">
        <v>125</v>
      </c>
      <c r="U470" s="1" t="s">
        <v>9142</v>
      </c>
      <c r="V470" s="1">
        <v>9930320469</v>
      </c>
      <c r="W470" s="1" t="s">
        <v>645</v>
      </c>
      <c r="X470" s="1" t="s">
        <v>9143</v>
      </c>
      <c r="Y470" s="1" t="s">
        <v>1012</v>
      </c>
      <c r="Z470" s="1" t="s">
        <v>97</v>
      </c>
      <c r="AA470" s="1" t="s">
        <v>9143</v>
      </c>
      <c r="AB470" s="1" t="s">
        <v>1012</v>
      </c>
      <c r="AC470" s="1" t="s">
        <v>97</v>
      </c>
      <c r="AD470" s="1">
        <v>7.28</v>
      </c>
      <c r="AE470" s="1" t="s">
        <v>98</v>
      </c>
      <c r="AF470" s="1" t="s">
        <v>9144</v>
      </c>
      <c r="AG470" s="1" t="s">
        <v>165</v>
      </c>
      <c r="AH470" s="1" t="s">
        <v>166</v>
      </c>
      <c r="AI470" s="1" t="s">
        <v>627</v>
      </c>
      <c r="AJ470" s="1">
        <v>73.4</v>
      </c>
      <c r="AK470" s="1"/>
      <c r="AL470" s="1"/>
      <c r="AM470" s="1"/>
      <c r="AN470" s="1"/>
      <c r="AO470" s="1"/>
      <c r="AP470" s="1"/>
      <c r="AQ470" s="1"/>
      <c r="AR470" s="1"/>
      <c r="AS470" s="1" t="s">
        <v>103</v>
      </c>
      <c r="AT470" s="1" t="s">
        <v>9145</v>
      </c>
      <c r="AU470" s="1" t="s">
        <v>139</v>
      </c>
      <c r="AV470" s="1" t="s">
        <v>438</v>
      </c>
      <c r="AW470" s="1">
        <v>73.39</v>
      </c>
      <c r="AX470" s="1"/>
      <c r="AY470" s="1" t="s">
        <v>258</v>
      </c>
      <c r="AZ470" s="1" t="s">
        <v>9146</v>
      </c>
      <c r="BA470" s="1" t="s">
        <v>578</v>
      </c>
      <c r="BB470" s="1" t="s">
        <v>467</v>
      </c>
      <c r="BC470" s="1" t="s">
        <v>206</v>
      </c>
      <c r="BD470" s="1" t="s">
        <v>110</v>
      </c>
      <c r="BE470" s="1">
        <v>68.04</v>
      </c>
      <c r="BF470" s="1">
        <v>7.59</v>
      </c>
      <c r="BG470" s="1"/>
      <c r="BH470" s="1"/>
      <c r="BI470" s="1"/>
      <c r="BJ470" s="1"/>
      <c r="BK470" s="1"/>
      <c r="BL470" s="1"/>
      <c r="BM470" s="1"/>
      <c r="BN470" s="1"/>
      <c r="BO470" s="1" t="s">
        <v>6132</v>
      </c>
      <c r="BP470" s="1" t="s">
        <v>9147</v>
      </c>
      <c r="BQ470" s="1" t="s">
        <v>7647</v>
      </c>
      <c r="BR470" s="1" t="s">
        <v>9148</v>
      </c>
      <c r="BS470" s="1">
        <v>8</v>
      </c>
      <c r="BT470" s="1"/>
      <c r="BU470" s="1" t="str">
        <f>HYPERLINK("https://nconnect.nicmar.ac.in/storage/profile/ProfilePhoto_P25700473_341952.jpg","Download")</f>
        <v>0</v>
      </c>
      <c r="BV470" s="3"/>
      <c r="BW470" s="3"/>
    </row>
    <row r="471" spans="1:75">
      <c r="A471" s="1" t="s">
        <v>75</v>
      </c>
      <c r="B471" s="1" t="s">
        <v>446</v>
      </c>
      <c r="C471" s="1" t="s">
        <v>9149</v>
      </c>
      <c r="D471" s="1" t="s">
        <v>9082</v>
      </c>
      <c r="E471" s="1" t="s">
        <v>9150</v>
      </c>
      <c r="F471" s="1" t="s">
        <v>9151</v>
      </c>
      <c r="G471" s="1" t="s">
        <v>9152</v>
      </c>
      <c r="H471" s="1" t="s">
        <v>9153</v>
      </c>
      <c r="I471" s="1" t="s">
        <v>9154</v>
      </c>
      <c r="J471" s="1">
        <v>7028905422</v>
      </c>
      <c r="K471" s="1" t="s">
        <v>84</v>
      </c>
      <c r="L471" s="1" t="s">
        <v>9155</v>
      </c>
      <c r="M471" s="1" t="s">
        <v>86</v>
      </c>
      <c r="N471" s="1" t="s">
        <v>1163</v>
      </c>
      <c r="O471" s="1"/>
      <c r="P471" s="1" t="s">
        <v>481</v>
      </c>
      <c r="Q471" s="1" t="s">
        <v>9156</v>
      </c>
      <c r="R471" s="1" t="s">
        <v>9151</v>
      </c>
      <c r="S471" s="1">
        <v>8862026202</v>
      </c>
      <c r="T471" s="1" t="s">
        <v>839</v>
      </c>
      <c r="U471" s="1" t="s">
        <v>9157</v>
      </c>
      <c r="V471" s="1">
        <v>9561335801</v>
      </c>
      <c r="W471" s="1" t="s">
        <v>9158</v>
      </c>
      <c r="X471" s="1" t="s">
        <v>9159</v>
      </c>
      <c r="Y471" s="1" t="s">
        <v>196</v>
      </c>
      <c r="Z471" s="1" t="s">
        <v>97</v>
      </c>
      <c r="AA471" s="1" t="s">
        <v>9159</v>
      </c>
      <c r="AB471" s="1" t="s">
        <v>196</v>
      </c>
      <c r="AC471" s="1" t="s">
        <v>97</v>
      </c>
      <c r="AD471" s="1">
        <v>9.03</v>
      </c>
      <c r="AE471" s="1" t="s">
        <v>98</v>
      </c>
      <c r="AF471" s="1" t="s">
        <v>9160</v>
      </c>
      <c r="AG471" s="1" t="s">
        <v>165</v>
      </c>
      <c r="AH471" s="1" t="s">
        <v>286</v>
      </c>
      <c r="AI471" s="1" t="s">
        <v>414</v>
      </c>
      <c r="AJ471" s="1">
        <v>76</v>
      </c>
      <c r="AK471" s="1"/>
      <c r="AL471" s="1" t="s">
        <v>9160</v>
      </c>
      <c r="AM471" s="1" t="s">
        <v>165</v>
      </c>
      <c r="AN471" s="1" t="s">
        <v>465</v>
      </c>
      <c r="AO471" s="1" t="s">
        <v>417</v>
      </c>
      <c r="AP471" s="1" t="s">
        <v>845</v>
      </c>
      <c r="AQ471" s="1">
        <v>73.83</v>
      </c>
      <c r="AR471" s="1"/>
      <c r="AS471" s="1"/>
      <c r="AT471" s="1"/>
      <c r="AU471" s="1"/>
      <c r="AV471" s="1"/>
      <c r="AW471" s="1"/>
      <c r="AX471" s="1"/>
      <c r="AY471" s="1" t="s">
        <v>366</v>
      </c>
      <c r="AZ471" s="1" t="s">
        <v>9161</v>
      </c>
      <c r="BA471" s="1" t="s">
        <v>578</v>
      </c>
      <c r="BB471" s="1" t="s">
        <v>467</v>
      </c>
      <c r="BC471" s="1" t="s">
        <v>871</v>
      </c>
      <c r="BD471" s="1" t="s">
        <v>848</v>
      </c>
      <c r="BE471" s="1">
        <v>68.08</v>
      </c>
      <c r="BF471" s="1">
        <v>7.65</v>
      </c>
      <c r="BG471" s="1"/>
      <c r="BH471" s="1"/>
      <c r="BI471" s="1"/>
      <c r="BJ471" s="1"/>
      <c r="BK471" s="1"/>
      <c r="BL471" s="1"/>
      <c r="BM471" s="1"/>
      <c r="BN471" s="1"/>
      <c r="BO471" s="1" t="s">
        <v>9162</v>
      </c>
      <c r="BP471" s="1"/>
      <c r="BQ471" s="1"/>
      <c r="BR471" s="1" t="s">
        <v>9163</v>
      </c>
      <c r="BS471" s="1">
        <v>12</v>
      </c>
      <c r="BT471" s="1"/>
      <c r="BU471" s="1" t="str">
        <f>HYPERLINK("https://nconnect.nicmar.ac.in/storage/profile/ProfilePhoto_P25700474_921674.jpg","Download")</f>
        <v>0</v>
      </c>
      <c r="BV471" s="3"/>
      <c r="BW471" s="3"/>
    </row>
    <row r="472" spans="1:75">
      <c r="A472" s="1" t="s">
        <v>75</v>
      </c>
      <c r="B472" s="1" t="s">
        <v>446</v>
      </c>
      <c r="C472" s="1" t="s">
        <v>9164</v>
      </c>
      <c r="D472" s="1" t="s">
        <v>3217</v>
      </c>
      <c r="E472" s="1"/>
      <c r="F472" s="1" t="s">
        <v>9165</v>
      </c>
      <c r="G472" s="1" t="s">
        <v>9166</v>
      </c>
      <c r="H472" s="1" t="s">
        <v>9167</v>
      </c>
      <c r="I472" s="1" t="s">
        <v>9168</v>
      </c>
      <c r="J472" s="1">
        <v>7708192164</v>
      </c>
      <c r="K472" s="1" t="s">
        <v>84</v>
      </c>
      <c r="L472" s="1" t="s">
        <v>9169</v>
      </c>
      <c r="M472" s="1" t="s">
        <v>86</v>
      </c>
      <c r="N472" s="1" t="s">
        <v>5777</v>
      </c>
      <c r="O472" s="1"/>
      <c r="P472" s="1" t="s">
        <v>507</v>
      </c>
      <c r="Q472" s="1" t="s">
        <v>9170</v>
      </c>
      <c r="R472" s="1" t="s">
        <v>9171</v>
      </c>
      <c r="S472" s="1">
        <v>9443341744</v>
      </c>
      <c r="T472" s="1" t="s">
        <v>839</v>
      </c>
      <c r="U472" s="1" t="s">
        <v>9172</v>
      </c>
      <c r="V472" s="1">
        <v>9487541744</v>
      </c>
      <c r="W472" s="1" t="s">
        <v>541</v>
      </c>
      <c r="X472" s="1" t="s">
        <v>9173</v>
      </c>
      <c r="Y472" s="1" t="s">
        <v>9174</v>
      </c>
      <c r="Z472" s="1" t="s">
        <v>570</v>
      </c>
      <c r="AA472" s="1" t="s">
        <v>9173</v>
      </c>
      <c r="AB472" s="1" t="s">
        <v>9174</v>
      </c>
      <c r="AC472" s="1" t="s">
        <v>570</v>
      </c>
      <c r="AD472" s="1">
        <v>8.41</v>
      </c>
      <c r="AE472" s="1" t="s">
        <v>98</v>
      </c>
      <c r="AF472" s="1" t="s">
        <v>7284</v>
      </c>
      <c r="AG472" s="1" t="s">
        <v>9175</v>
      </c>
      <c r="AH472" s="1" t="s">
        <v>490</v>
      </c>
      <c r="AI472" s="1" t="s">
        <v>313</v>
      </c>
      <c r="AJ472" s="1">
        <v>86.2</v>
      </c>
      <c r="AK472" s="1"/>
      <c r="AL472" s="1" t="s">
        <v>7284</v>
      </c>
      <c r="AM472" s="1" t="s">
        <v>9175</v>
      </c>
      <c r="AN472" s="1" t="s">
        <v>465</v>
      </c>
      <c r="AO472" s="1" t="s">
        <v>977</v>
      </c>
      <c r="AP472" s="1" t="s">
        <v>549</v>
      </c>
      <c r="AQ472" s="1">
        <v>88.4</v>
      </c>
      <c r="AR472" s="1"/>
      <c r="AS472" s="1"/>
      <c r="AT472" s="1"/>
      <c r="AU472" s="1"/>
      <c r="AV472" s="1"/>
      <c r="AW472" s="1"/>
      <c r="AX472" s="1"/>
      <c r="AY472" s="1" t="s">
        <v>550</v>
      </c>
      <c r="AZ472" s="1" t="s">
        <v>9176</v>
      </c>
      <c r="BA472" s="1" t="s">
        <v>466</v>
      </c>
      <c r="BB472" s="1" t="s">
        <v>467</v>
      </c>
      <c r="BC472" s="1" t="s">
        <v>552</v>
      </c>
      <c r="BD472" s="1" t="s">
        <v>553</v>
      </c>
      <c r="BE472" s="1">
        <v>88.4</v>
      </c>
      <c r="BF472" s="1">
        <v>8.84</v>
      </c>
      <c r="BG472" s="1"/>
      <c r="BH472" s="1"/>
      <c r="BI472" s="1"/>
      <c r="BJ472" s="1"/>
      <c r="BK472" s="1"/>
      <c r="BL472" s="1"/>
      <c r="BM472" s="1"/>
      <c r="BN472" s="1"/>
      <c r="BO472" s="1" t="s">
        <v>6132</v>
      </c>
      <c r="BP472" s="1"/>
      <c r="BQ472" s="1"/>
      <c r="BR472" s="1" t="s">
        <v>9177</v>
      </c>
      <c r="BS472" s="1">
        <v>33</v>
      </c>
      <c r="BT472" s="1" t="s">
        <v>9178</v>
      </c>
      <c r="BU472" s="1" t="str">
        <f>HYPERLINK("https://nconnect.nicmar.ac.in/storage/profile/ProfilePhoto_P25700475_418297.jpg","Download")</f>
        <v>0</v>
      </c>
      <c r="BV472" s="3"/>
      <c r="BW472" s="3"/>
    </row>
    <row r="473" spans="1:75">
      <c r="A473" s="1" t="s">
        <v>75</v>
      </c>
      <c r="B473" s="1" t="s">
        <v>446</v>
      </c>
      <c r="C473" s="1" t="s">
        <v>9179</v>
      </c>
      <c r="D473" s="1" t="s">
        <v>9180</v>
      </c>
      <c r="E473" s="1"/>
      <c r="F473" s="1" t="s">
        <v>9181</v>
      </c>
      <c r="G473" s="1" t="s">
        <v>9182</v>
      </c>
      <c r="H473" s="1" t="s">
        <v>9183</v>
      </c>
      <c r="I473" s="1" t="s">
        <v>9184</v>
      </c>
      <c r="J473" s="1">
        <v>9678538506</v>
      </c>
      <c r="K473" s="1" t="s">
        <v>84</v>
      </c>
      <c r="L473" s="1" t="s">
        <v>9185</v>
      </c>
      <c r="M473" s="1" t="s">
        <v>86</v>
      </c>
      <c r="N473" s="1" t="s">
        <v>9186</v>
      </c>
      <c r="O473" s="1"/>
      <c r="P473" s="1" t="s">
        <v>481</v>
      </c>
      <c r="Q473" s="1" t="s">
        <v>9187</v>
      </c>
      <c r="R473" s="1" t="s">
        <v>9188</v>
      </c>
      <c r="S473" s="1">
        <v>9613177123</v>
      </c>
      <c r="T473" s="1" t="s">
        <v>4693</v>
      </c>
      <c r="U473" s="1" t="s">
        <v>9189</v>
      </c>
      <c r="V473" s="1">
        <v>9101597034</v>
      </c>
      <c r="W473" s="1" t="s">
        <v>161</v>
      </c>
      <c r="X473" s="1" t="s">
        <v>9190</v>
      </c>
      <c r="Y473" s="1" t="s">
        <v>9191</v>
      </c>
      <c r="Z473" s="1" t="s">
        <v>1556</v>
      </c>
      <c r="AA473" s="1" t="s">
        <v>9190</v>
      </c>
      <c r="AB473" s="1" t="s">
        <v>9191</v>
      </c>
      <c r="AC473" s="1" t="s">
        <v>1556</v>
      </c>
      <c r="AD473" s="1">
        <v>9.31</v>
      </c>
      <c r="AE473" s="1" t="s">
        <v>98</v>
      </c>
      <c r="AF473" s="1" t="s">
        <v>9192</v>
      </c>
      <c r="AG473" s="1" t="s">
        <v>9193</v>
      </c>
      <c r="AH473" s="1" t="s">
        <v>134</v>
      </c>
      <c r="AI473" s="1" t="s">
        <v>1262</v>
      </c>
      <c r="AJ473" s="1">
        <v>87.4</v>
      </c>
      <c r="AK473" s="1">
        <v>9.2</v>
      </c>
      <c r="AL473" s="1" t="s">
        <v>9194</v>
      </c>
      <c r="AM473" s="1" t="s">
        <v>9195</v>
      </c>
      <c r="AN473" s="1" t="s">
        <v>465</v>
      </c>
      <c r="AO473" s="1" t="s">
        <v>166</v>
      </c>
      <c r="AP473" s="1" t="s">
        <v>167</v>
      </c>
      <c r="AQ473" s="1">
        <v>87.4</v>
      </c>
      <c r="AR473" s="1"/>
      <c r="AS473" s="1"/>
      <c r="AT473" s="1"/>
      <c r="AU473" s="1"/>
      <c r="AV473" s="1"/>
      <c r="AW473" s="1"/>
      <c r="AX473" s="1"/>
      <c r="AY473" s="1" t="s">
        <v>9196</v>
      </c>
      <c r="AZ473" s="1" t="s">
        <v>9197</v>
      </c>
      <c r="BA473" s="1" t="s">
        <v>578</v>
      </c>
      <c r="BB473" s="1" t="s">
        <v>467</v>
      </c>
      <c r="BC473" s="1" t="s">
        <v>139</v>
      </c>
      <c r="BD473" s="1" t="s">
        <v>417</v>
      </c>
      <c r="BE473" s="1">
        <v>71.42</v>
      </c>
      <c r="BF473" s="1"/>
      <c r="BG473" s="1"/>
      <c r="BH473" s="1"/>
      <c r="BI473" s="1"/>
      <c r="BJ473" s="1"/>
      <c r="BK473" s="1"/>
      <c r="BL473" s="1"/>
      <c r="BM473" s="1"/>
      <c r="BN473" s="1"/>
      <c r="BO473" s="1" t="s">
        <v>9198</v>
      </c>
      <c r="BP473" s="1" t="s">
        <v>9199</v>
      </c>
      <c r="BQ473" s="1" t="s">
        <v>757</v>
      </c>
      <c r="BR473" s="1" t="s">
        <v>9200</v>
      </c>
      <c r="BS473" s="1">
        <v>8</v>
      </c>
      <c r="BT473" s="1"/>
      <c r="BU473" s="1" t="str">
        <f>HYPERLINK("https://nconnect.nicmar.ac.in/storage/profile/ProfilePhoto_P25700476_725986.jpg","Download")</f>
        <v>0</v>
      </c>
      <c r="BV473" s="3"/>
      <c r="BW473" s="4">
        <v>1</v>
      </c>
    </row>
    <row r="474" spans="1:75">
      <c r="A474" s="1" t="s">
        <v>75</v>
      </c>
      <c r="B474" s="1" t="s">
        <v>446</v>
      </c>
      <c r="C474" s="1" t="s">
        <v>9201</v>
      </c>
      <c r="D474" s="1" t="s">
        <v>761</v>
      </c>
      <c r="E474" s="1" t="s">
        <v>1136</v>
      </c>
      <c r="F474" s="1" t="s">
        <v>9202</v>
      </c>
      <c r="G474" s="1" t="s">
        <v>9203</v>
      </c>
      <c r="H474" s="1" t="s">
        <v>9204</v>
      </c>
      <c r="I474" s="1" t="s">
        <v>9205</v>
      </c>
      <c r="J474" s="1">
        <v>7030406464</v>
      </c>
      <c r="K474" s="1" t="s">
        <v>84</v>
      </c>
      <c r="L474" s="1" t="s">
        <v>9206</v>
      </c>
      <c r="M474" s="1" t="s">
        <v>86</v>
      </c>
      <c r="N474" s="1" t="s">
        <v>903</v>
      </c>
      <c r="O474" s="1"/>
      <c r="P474" s="1" t="s">
        <v>507</v>
      </c>
      <c r="Q474" s="1" t="s">
        <v>9207</v>
      </c>
      <c r="R474" s="1" t="s">
        <v>1136</v>
      </c>
      <c r="S474" s="1">
        <v>9823661700</v>
      </c>
      <c r="T474" s="1" t="s">
        <v>159</v>
      </c>
      <c r="U474" s="1" t="s">
        <v>9208</v>
      </c>
      <c r="V474" s="1">
        <v>9823661700</v>
      </c>
      <c r="W474" s="1" t="s">
        <v>161</v>
      </c>
      <c r="X474" s="1" t="s">
        <v>9209</v>
      </c>
      <c r="Y474" s="1" t="s">
        <v>910</v>
      </c>
      <c r="Z474" s="1" t="s">
        <v>97</v>
      </c>
      <c r="AA474" s="1" t="s">
        <v>9209</v>
      </c>
      <c r="AB474" s="1" t="s">
        <v>910</v>
      </c>
      <c r="AC474" s="1" t="s">
        <v>97</v>
      </c>
      <c r="AD474" s="1">
        <v>9.21</v>
      </c>
      <c r="AE474" s="1" t="s">
        <v>98</v>
      </c>
      <c r="AF474" s="1" t="s">
        <v>9210</v>
      </c>
      <c r="AG474" s="1" t="s">
        <v>6717</v>
      </c>
      <c r="AH474" s="1" t="s">
        <v>167</v>
      </c>
      <c r="AI474" s="1" t="s">
        <v>200</v>
      </c>
      <c r="AJ474" s="1">
        <v>89.6</v>
      </c>
      <c r="AK474" s="1"/>
      <c r="AL474" s="1"/>
      <c r="AM474" s="1"/>
      <c r="AN474" s="1"/>
      <c r="AO474" s="1"/>
      <c r="AP474" s="1"/>
      <c r="AQ474" s="1"/>
      <c r="AR474" s="1"/>
      <c r="AS474" s="1" t="s">
        <v>439</v>
      </c>
      <c r="AT474" s="1" t="s">
        <v>9211</v>
      </c>
      <c r="AU474" s="1" t="s">
        <v>170</v>
      </c>
      <c r="AV474" s="1" t="s">
        <v>175</v>
      </c>
      <c r="AW474" s="1">
        <v>88.21</v>
      </c>
      <c r="AX474" s="1"/>
      <c r="AY474" s="1" t="s">
        <v>366</v>
      </c>
      <c r="AZ474" s="1" t="s">
        <v>9212</v>
      </c>
      <c r="BA474" s="1"/>
      <c r="BB474" s="1"/>
      <c r="BC474" s="1" t="s">
        <v>368</v>
      </c>
      <c r="BD474" s="1" t="s">
        <v>955</v>
      </c>
      <c r="BE474" s="1">
        <v>74.3</v>
      </c>
      <c r="BF474" s="1">
        <v>8.18</v>
      </c>
      <c r="BG474" s="1"/>
      <c r="BH474" s="1"/>
      <c r="BI474" s="1"/>
      <c r="BJ474" s="1"/>
      <c r="BK474" s="1"/>
      <c r="BL474" s="1"/>
      <c r="BM474" s="1"/>
      <c r="BN474" s="1"/>
      <c r="BO474" s="1" t="s">
        <v>9213</v>
      </c>
      <c r="BP474" s="1" t="s">
        <v>9214</v>
      </c>
      <c r="BQ474" s="1" t="s">
        <v>658</v>
      </c>
      <c r="BR474" s="1" t="s">
        <v>9215</v>
      </c>
      <c r="BS474" s="1">
        <v>25</v>
      </c>
      <c r="BT474" s="1" t="s">
        <v>9216</v>
      </c>
      <c r="BU474" s="1" t="str">
        <f>HYPERLINK("https://nconnect.nicmar.ac.in/storage/profile/ProfilePhoto_P25700477_351924.jpg","Download")</f>
        <v>0</v>
      </c>
      <c r="BV474" s="3"/>
      <c r="BW474" s="3"/>
    </row>
    <row r="475" spans="1:75">
      <c r="A475" s="1" t="s">
        <v>75</v>
      </c>
      <c r="B475" s="1" t="s">
        <v>446</v>
      </c>
      <c r="C475" s="1" t="s">
        <v>9217</v>
      </c>
      <c r="D475" s="1" t="s">
        <v>9218</v>
      </c>
      <c r="E475" s="1"/>
      <c r="F475" s="1" t="s">
        <v>2250</v>
      </c>
      <c r="G475" s="1" t="s">
        <v>9219</v>
      </c>
      <c r="H475" s="1" t="s">
        <v>9220</v>
      </c>
      <c r="I475" s="1" t="s">
        <v>9221</v>
      </c>
      <c r="J475" s="1">
        <v>8505965550</v>
      </c>
      <c r="K475" s="1" t="s">
        <v>84</v>
      </c>
      <c r="L475" s="1" t="s">
        <v>6389</v>
      </c>
      <c r="M475" s="1" t="s">
        <v>86</v>
      </c>
      <c r="N475" s="1" t="s">
        <v>4278</v>
      </c>
      <c r="O475" s="1"/>
      <c r="P475" s="1" t="s">
        <v>455</v>
      </c>
      <c r="Q475" s="1" t="s">
        <v>9222</v>
      </c>
      <c r="R475" s="1" t="s">
        <v>9223</v>
      </c>
      <c r="S475" s="1">
        <v>8505965550</v>
      </c>
      <c r="T475" s="1" t="s">
        <v>6733</v>
      </c>
      <c r="U475" s="1" t="s">
        <v>9224</v>
      </c>
      <c r="V475" s="1">
        <v>8505965550</v>
      </c>
      <c r="W475" s="1" t="s">
        <v>161</v>
      </c>
      <c r="X475" s="1" t="s">
        <v>9225</v>
      </c>
      <c r="Y475" s="1" t="s">
        <v>9226</v>
      </c>
      <c r="Z475" s="1" t="s">
        <v>1739</v>
      </c>
      <c r="AA475" s="1" t="s">
        <v>9225</v>
      </c>
      <c r="AB475" s="1" t="s">
        <v>9226</v>
      </c>
      <c r="AC475" s="1" t="s">
        <v>1739</v>
      </c>
      <c r="AD475" s="1">
        <v>9.0</v>
      </c>
      <c r="AE475" s="1" t="s">
        <v>98</v>
      </c>
      <c r="AF475" s="1" t="s">
        <v>9227</v>
      </c>
      <c r="AG475" s="1" t="s">
        <v>703</v>
      </c>
      <c r="AH475" s="1" t="s">
        <v>490</v>
      </c>
      <c r="AI475" s="1" t="s">
        <v>313</v>
      </c>
      <c r="AJ475" s="1">
        <v>88</v>
      </c>
      <c r="AK475" s="1"/>
      <c r="AL475" s="1" t="s">
        <v>9227</v>
      </c>
      <c r="AM475" s="1" t="s">
        <v>703</v>
      </c>
      <c r="AN475" s="1" t="s">
        <v>465</v>
      </c>
      <c r="AO475" s="1" t="s">
        <v>977</v>
      </c>
      <c r="AP475" s="1" t="s">
        <v>847</v>
      </c>
      <c r="AQ475" s="1">
        <v>85.5</v>
      </c>
      <c r="AR475" s="1"/>
      <c r="AS475" s="1"/>
      <c r="AT475" s="1"/>
      <c r="AU475" s="1"/>
      <c r="AV475" s="1"/>
      <c r="AW475" s="1"/>
      <c r="AX475" s="1"/>
      <c r="AY475" s="1" t="s">
        <v>9228</v>
      </c>
      <c r="AZ475" s="1" t="s">
        <v>9228</v>
      </c>
      <c r="BA475" s="1" t="s">
        <v>466</v>
      </c>
      <c r="BB475" s="1" t="s">
        <v>467</v>
      </c>
      <c r="BC475" s="1" t="s">
        <v>606</v>
      </c>
      <c r="BD475" s="1" t="s">
        <v>553</v>
      </c>
      <c r="BE475" s="1">
        <v>76</v>
      </c>
      <c r="BF475" s="1">
        <v>7.6</v>
      </c>
      <c r="BG475" s="1"/>
      <c r="BH475" s="1"/>
      <c r="BI475" s="1"/>
      <c r="BJ475" s="1"/>
      <c r="BK475" s="1"/>
      <c r="BL475" s="1"/>
      <c r="BM475" s="1"/>
      <c r="BN475" s="1"/>
      <c r="BO475" s="1" t="s">
        <v>9229</v>
      </c>
      <c r="BP475" s="1"/>
      <c r="BQ475" s="1"/>
      <c r="BR475" s="1" t="s">
        <v>9230</v>
      </c>
      <c r="BS475" s="1">
        <v>21</v>
      </c>
      <c r="BT475" s="1" t="s">
        <v>9231</v>
      </c>
      <c r="BU475" s="1" t="str">
        <f>HYPERLINK("https://nconnect.nicmar.ac.in/storage/profile/ProfilePhoto_P25700478_489325.jpg","Download")</f>
        <v>0</v>
      </c>
      <c r="BV475" s="3"/>
      <c r="BW475" s="4">
        <v>1</v>
      </c>
    </row>
    <row r="476" spans="1:75">
      <c r="A476" s="1" t="s">
        <v>75</v>
      </c>
      <c r="B476" s="1" t="s">
        <v>446</v>
      </c>
      <c r="C476" s="1" t="s">
        <v>9232</v>
      </c>
      <c r="D476" s="1" t="s">
        <v>9233</v>
      </c>
      <c r="E476" s="1" t="s">
        <v>9234</v>
      </c>
      <c r="F476" s="1" t="s">
        <v>9235</v>
      </c>
      <c r="G476" s="1" t="s">
        <v>9236</v>
      </c>
      <c r="H476" s="1" t="s">
        <v>9237</v>
      </c>
      <c r="I476" s="1" t="s">
        <v>9238</v>
      </c>
      <c r="J476" s="1">
        <v>9137489224</v>
      </c>
      <c r="K476" s="1" t="s">
        <v>84</v>
      </c>
      <c r="L476" s="1" t="s">
        <v>9239</v>
      </c>
      <c r="M476" s="1" t="s">
        <v>86</v>
      </c>
      <c r="N476" s="1" t="s">
        <v>8647</v>
      </c>
      <c r="O476" s="1"/>
      <c r="P476" s="1" t="s">
        <v>2062</v>
      </c>
      <c r="Q476" s="1" t="s">
        <v>9240</v>
      </c>
      <c r="R476" s="1" t="s">
        <v>9235</v>
      </c>
      <c r="S476" s="1">
        <v>8605128946</v>
      </c>
      <c r="T476" s="1" t="s">
        <v>159</v>
      </c>
      <c r="U476" s="1" t="s">
        <v>2567</v>
      </c>
      <c r="V476" s="1">
        <v>7977052725</v>
      </c>
      <c r="W476" s="1" t="s">
        <v>161</v>
      </c>
      <c r="X476" s="1" t="s">
        <v>9241</v>
      </c>
      <c r="Y476" s="1" t="s">
        <v>163</v>
      </c>
      <c r="Z476" s="1" t="s">
        <v>97</v>
      </c>
      <c r="AA476" s="1" t="s">
        <v>9241</v>
      </c>
      <c r="AB476" s="1" t="s">
        <v>163</v>
      </c>
      <c r="AC476" s="1" t="s">
        <v>97</v>
      </c>
      <c r="AD476" s="1">
        <v>8.64</v>
      </c>
      <c r="AE476" s="1" t="s">
        <v>98</v>
      </c>
      <c r="AF476" s="1" t="s">
        <v>9242</v>
      </c>
      <c r="AG476" s="1" t="s">
        <v>9243</v>
      </c>
      <c r="AH476" s="1" t="s">
        <v>167</v>
      </c>
      <c r="AI476" s="1" t="s">
        <v>200</v>
      </c>
      <c r="AJ476" s="1">
        <v>90.2</v>
      </c>
      <c r="AK476" s="1"/>
      <c r="AL476" s="1"/>
      <c r="AM476" s="1"/>
      <c r="AN476" s="1"/>
      <c r="AO476" s="1"/>
      <c r="AP476" s="1"/>
      <c r="AQ476" s="1"/>
      <c r="AR476" s="1"/>
      <c r="AS476" s="1" t="s">
        <v>439</v>
      </c>
      <c r="AT476" s="1" t="s">
        <v>1969</v>
      </c>
      <c r="AU476" s="1" t="s">
        <v>230</v>
      </c>
      <c r="AV476" s="1" t="s">
        <v>468</v>
      </c>
      <c r="AW476" s="1">
        <v>83.45</v>
      </c>
      <c r="AX476" s="1"/>
      <c r="AY476" s="1" t="s">
        <v>366</v>
      </c>
      <c r="AZ476" s="1" t="s">
        <v>9244</v>
      </c>
      <c r="BA476" s="1"/>
      <c r="BB476" s="1"/>
      <c r="BC476" s="1" t="s">
        <v>549</v>
      </c>
      <c r="BD476" s="1" t="s">
        <v>207</v>
      </c>
      <c r="BE476" s="1">
        <v>76.5</v>
      </c>
      <c r="BF476" s="1">
        <v>8.4</v>
      </c>
      <c r="BG476" s="1"/>
      <c r="BH476" s="1"/>
      <c r="BI476" s="1"/>
      <c r="BJ476" s="1"/>
      <c r="BK476" s="1"/>
      <c r="BL476" s="1"/>
      <c r="BM476" s="1"/>
      <c r="BN476" s="1"/>
      <c r="BO476" s="1" t="s">
        <v>9245</v>
      </c>
      <c r="BP476" s="1" t="s">
        <v>9246</v>
      </c>
      <c r="BQ476" s="1" t="s">
        <v>1357</v>
      </c>
      <c r="BR476" s="1" t="s">
        <v>9247</v>
      </c>
      <c r="BS476" s="1">
        <v>28</v>
      </c>
      <c r="BT476" s="1" t="s">
        <v>9248</v>
      </c>
      <c r="BU476" s="1" t="str">
        <f>HYPERLINK("https://nconnect.nicmar.ac.in/storage/profile/ProfilePhoto_P25700479_865294.jpg","Download")</f>
        <v>0</v>
      </c>
      <c r="BV476" s="3"/>
      <c r="BW476" s="3"/>
    </row>
    <row r="477" spans="1:75">
      <c r="A477" s="1" t="s">
        <v>75</v>
      </c>
      <c r="B477" s="1" t="s">
        <v>446</v>
      </c>
      <c r="C477" s="1" t="s">
        <v>9249</v>
      </c>
      <c r="D477" s="1" t="s">
        <v>761</v>
      </c>
      <c r="E477" s="1" t="s">
        <v>9250</v>
      </c>
      <c r="F477" s="1" t="s">
        <v>9251</v>
      </c>
      <c r="G477" s="1" t="s">
        <v>9252</v>
      </c>
      <c r="H477" s="1" t="s">
        <v>9253</v>
      </c>
      <c r="I477" s="1" t="s">
        <v>9254</v>
      </c>
      <c r="J477" s="1">
        <v>9359507651</v>
      </c>
      <c r="K477" s="1" t="s">
        <v>84</v>
      </c>
      <c r="L477" s="1" t="s">
        <v>9255</v>
      </c>
      <c r="M477" s="1" t="s">
        <v>86</v>
      </c>
      <c r="N477" s="1" t="s">
        <v>618</v>
      </c>
      <c r="O477" s="1"/>
      <c r="P477" s="1" t="s">
        <v>507</v>
      </c>
      <c r="Q477" s="1" t="s">
        <v>9256</v>
      </c>
      <c r="R477" s="1" t="s">
        <v>9250</v>
      </c>
      <c r="S477" s="1">
        <v>9823434100</v>
      </c>
      <c r="T477" s="1" t="s">
        <v>9257</v>
      </c>
      <c r="U477" s="1" t="s">
        <v>3000</v>
      </c>
      <c r="V477" s="1">
        <v>9823615100</v>
      </c>
      <c r="W477" s="1" t="s">
        <v>161</v>
      </c>
      <c r="X477" s="1" t="s">
        <v>9258</v>
      </c>
      <c r="Y477" s="1" t="s">
        <v>5181</v>
      </c>
      <c r="Z477" s="1" t="s">
        <v>97</v>
      </c>
      <c r="AA477" s="1" t="s">
        <v>9258</v>
      </c>
      <c r="AB477" s="1" t="s">
        <v>5181</v>
      </c>
      <c r="AC477" s="1" t="s">
        <v>97</v>
      </c>
      <c r="AD477" s="1">
        <v>9.18</v>
      </c>
      <c r="AE477" s="1" t="s">
        <v>98</v>
      </c>
      <c r="AF477" s="1" t="s">
        <v>9259</v>
      </c>
      <c r="AG477" s="1" t="s">
        <v>8552</v>
      </c>
      <c r="AH477" s="1" t="s">
        <v>170</v>
      </c>
      <c r="AI477" s="1" t="s">
        <v>286</v>
      </c>
      <c r="AJ477" s="1">
        <v>85.4</v>
      </c>
      <c r="AK477" s="1"/>
      <c r="AL477" s="1" t="s">
        <v>9260</v>
      </c>
      <c r="AM477" s="1" t="s">
        <v>8552</v>
      </c>
      <c r="AN477" s="1" t="s">
        <v>575</v>
      </c>
      <c r="AO477" s="1" t="s">
        <v>364</v>
      </c>
      <c r="AP477" s="1" t="s">
        <v>365</v>
      </c>
      <c r="AQ477" s="1">
        <v>61.38</v>
      </c>
      <c r="AR477" s="1"/>
      <c r="AS477" s="1"/>
      <c r="AT477" s="1"/>
      <c r="AU477" s="1"/>
      <c r="AV477" s="1"/>
      <c r="AW477" s="1"/>
      <c r="AX477" s="1"/>
      <c r="AY477" s="1" t="s">
        <v>1038</v>
      </c>
      <c r="AZ477" s="1" t="s">
        <v>8554</v>
      </c>
      <c r="BA477" s="1" t="s">
        <v>466</v>
      </c>
      <c r="BB477" s="1" t="s">
        <v>467</v>
      </c>
      <c r="BC477" s="1" t="s">
        <v>368</v>
      </c>
      <c r="BD477" s="1" t="s">
        <v>848</v>
      </c>
      <c r="BE477" s="1">
        <v>63.9</v>
      </c>
      <c r="BF477" s="1">
        <v>7.14</v>
      </c>
      <c r="BG477" s="1"/>
      <c r="BH477" s="1"/>
      <c r="BI477" s="1"/>
      <c r="BJ477" s="1"/>
      <c r="BK477" s="1"/>
      <c r="BL477" s="1"/>
      <c r="BM477" s="1"/>
      <c r="BN477" s="1"/>
      <c r="BO477" s="1" t="s">
        <v>7336</v>
      </c>
      <c r="BP477" s="1"/>
      <c r="BQ477" s="1"/>
      <c r="BR477" s="1" t="s">
        <v>9261</v>
      </c>
      <c r="BS477" s="1">
        <v>15</v>
      </c>
      <c r="BT477" s="1" t="s">
        <v>4866</v>
      </c>
      <c r="BU477" s="1" t="str">
        <f>HYPERLINK("https://nconnect.nicmar.ac.in/storage/profile/ProfilePhoto_P25700480_918634.jpg","Download")</f>
        <v>0</v>
      </c>
      <c r="BV477" s="3"/>
      <c r="BW477" s="3"/>
    </row>
    <row r="478" spans="1:75">
      <c r="A478" s="1" t="s">
        <v>75</v>
      </c>
      <c r="B478" s="1" t="s">
        <v>446</v>
      </c>
      <c r="C478" s="1" t="s">
        <v>9262</v>
      </c>
      <c r="D478" s="1" t="s">
        <v>7146</v>
      </c>
      <c r="E478" s="1" t="s">
        <v>4447</v>
      </c>
      <c r="F478" s="1" t="s">
        <v>9263</v>
      </c>
      <c r="G478" s="1" t="s">
        <v>9264</v>
      </c>
      <c r="H478" s="1" t="s">
        <v>9265</v>
      </c>
      <c r="I478" s="1" t="s">
        <v>9266</v>
      </c>
      <c r="J478" s="1">
        <v>9527336651</v>
      </c>
      <c r="K478" s="1" t="s">
        <v>84</v>
      </c>
      <c r="L478" s="1" t="s">
        <v>9267</v>
      </c>
      <c r="M478" s="1" t="s">
        <v>86</v>
      </c>
      <c r="N478" s="1" t="s">
        <v>9268</v>
      </c>
      <c r="O478" s="1"/>
      <c r="P478" s="1" t="s">
        <v>507</v>
      </c>
      <c r="Q478" s="1" t="s">
        <v>9269</v>
      </c>
      <c r="R478" s="1" t="s">
        <v>4447</v>
      </c>
      <c r="S478" s="1">
        <v>9604648313</v>
      </c>
      <c r="T478" s="1" t="s">
        <v>4776</v>
      </c>
      <c r="U478" s="1" t="s">
        <v>2240</v>
      </c>
      <c r="V478" s="1">
        <v>8329367333</v>
      </c>
      <c r="W478" s="1" t="s">
        <v>278</v>
      </c>
      <c r="X478" s="1" t="s">
        <v>9270</v>
      </c>
      <c r="Y478" s="1" t="s">
        <v>1012</v>
      </c>
      <c r="Z478" s="1" t="s">
        <v>97</v>
      </c>
      <c r="AA478" s="1" t="s">
        <v>9270</v>
      </c>
      <c r="AB478" s="1" t="s">
        <v>1012</v>
      </c>
      <c r="AC478" s="1" t="s">
        <v>97</v>
      </c>
      <c r="AD478" s="1">
        <v>8.95</v>
      </c>
      <c r="AE478" s="1" t="s">
        <v>98</v>
      </c>
      <c r="AF478" s="1" t="s">
        <v>9271</v>
      </c>
      <c r="AG478" s="1" t="s">
        <v>165</v>
      </c>
      <c r="AH478" s="1" t="s">
        <v>166</v>
      </c>
      <c r="AI478" s="1" t="s">
        <v>1111</v>
      </c>
      <c r="AJ478" s="1">
        <v>86.6</v>
      </c>
      <c r="AK478" s="1"/>
      <c r="AL478" s="1" t="s">
        <v>9272</v>
      </c>
      <c r="AM478" s="1" t="s">
        <v>165</v>
      </c>
      <c r="AN478" s="1" t="s">
        <v>575</v>
      </c>
      <c r="AO478" s="1" t="s">
        <v>170</v>
      </c>
      <c r="AP478" s="1" t="s">
        <v>171</v>
      </c>
      <c r="AQ478" s="1">
        <v>63.69</v>
      </c>
      <c r="AR478" s="1"/>
      <c r="AS478" s="1" t="s">
        <v>439</v>
      </c>
      <c r="AT478" s="1" t="s">
        <v>9273</v>
      </c>
      <c r="AU478" s="1" t="s">
        <v>1065</v>
      </c>
      <c r="AV478" s="1" t="s">
        <v>175</v>
      </c>
      <c r="AW478" s="1">
        <v>87.05</v>
      </c>
      <c r="AX478" s="1"/>
      <c r="AY478" s="1" t="s">
        <v>680</v>
      </c>
      <c r="AZ478" s="1" t="s">
        <v>9274</v>
      </c>
      <c r="BA478" s="1" t="s">
        <v>578</v>
      </c>
      <c r="BB478" s="1" t="s">
        <v>467</v>
      </c>
      <c r="BC478" s="1" t="s">
        <v>233</v>
      </c>
      <c r="BD478" s="1" t="s">
        <v>955</v>
      </c>
      <c r="BE478" s="1">
        <v>76.4</v>
      </c>
      <c r="BF478" s="1"/>
      <c r="BG478" s="1"/>
      <c r="BH478" s="1"/>
      <c r="BI478" s="1"/>
      <c r="BJ478" s="1"/>
      <c r="BK478" s="1"/>
      <c r="BL478" s="1"/>
      <c r="BM478" s="1"/>
      <c r="BN478" s="1"/>
      <c r="BO478" s="1" t="s">
        <v>260</v>
      </c>
      <c r="BP478" s="1" t="s">
        <v>9275</v>
      </c>
      <c r="BQ478" s="1" t="s">
        <v>1174</v>
      </c>
      <c r="BR478" s="1" t="s">
        <v>9276</v>
      </c>
      <c r="BS478" s="1">
        <v>16</v>
      </c>
      <c r="BT478" s="1" t="s">
        <v>9277</v>
      </c>
      <c r="BU478" s="1" t="str">
        <f>HYPERLINK("https://nconnect.nicmar.ac.in/storage/profile/ProfilePhoto_P25700481_569471.jpg","Download")</f>
        <v>0</v>
      </c>
      <c r="BV478" s="3"/>
      <c r="BW478" s="3"/>
    </row>
    <row r="479" spans="1:75">
      <c r="A479" s="1" t="s">
        <v>75</v>
      </c>
      <c r="B479" s="1" t="s">
        <v>446</v>
      </c>
      <c r="C479" s="1" t="s">
        <v>9278</v>
      </c>
      <c r="D479" s="1" t="s">
        <v>1464</v>
      </c>
      <c r="E479" s="1"/>
      <c r="F479" s="1" t="s">
        <v>9279</v>
      </c>
      <c r="G479" s="1" t="s">
        <v>9280</v>
      </c>
      <c r="H479" s="1" t="s">
        <v>9281</v>
      </c>
      <c r="I479" s="1" t="s">
        <v>9282</v>
      </c>
      <c r="J479" s="1">
        <v>9787193939</v>
      </c>
      <c r="K479" s="1" t="s">
        <v>84</v>
      </c>
      <c r="L479" s="1" t="s">
        <v>9283</v>
      </c>
      <c r="M479" s="1" t="s">
        <v>86</v>
      </c>
      <c r="N479" s="1" t="s">
        <v>5777</v>
      </c>
      <c r="O479" s="1"/>
      <c r="P479" s="1" t="s">
        <v>455</v>
      </c>
      <c r="Q479" s="1" t="s">
        <v>9284</v>
      </c>
      <c r="R479" s="1" t="s">
        <v>9285</v>
      </c>
      <c r="S479" s="1">
        <v>9842472734</v>
      </c>
      <c r="T479" s="1" t="s">
        <v>839</v>
      </c>
      <c r="U479" s="1" t="s">
        <v>9286</v>
      </c>
      <c r="V479" s="1">
        <v>9942472734</v>
      </c>
      <c r="W479" s="1" t="s">
        <v>278</v>
      </c>
      <c r="X479" s="1" t="s">
        <v>9287</v>
      </c>
      <c r="Y479" s="1" t="s">
        <v>9021</v>
      </c>
      <c r="Z479" s="1" t="s">
        <v>570</v>
      </c>
      <c r="AA479" s="1" t="s">
        <v>9287</v>
      </c>
      <c r="AB479" s="1" t="s">
        <v>9021</v>
      </c>
      <c r="AC479" s="1" t="s">
        <v>570</v>
      </c>
      <c r="AD479" s="1">
        <v>9.03</v>
      </c>
      <c r="AE479" s="1" t="s">
        <v>98</v>
      </c>
      <c r="AF479" s="1" t="s">
        <v>9022</v>
      </c>
      <c r="AG479" s="1" t="s">
        <v>9288</v>
      </c>
      <c r="AH479" s="1" t="s">
        <v>106</v>
      </c>
      <c r="AI479" s="1" t="s">
        <v>313</v>
      </c>
      <c r="AJ479" s="1">
        <v>69.2</v>
      </c>
      <c r="AK479" s="1"/>
      <c r="AL479" s="1" t="s">
        <v>9022</v>
      </c>
      <c r="AM479" s="1" t="s">
        <v>9288</v>
      </c>
      <c r="AN479" s="1" t="s">
        <v>465</v>
      </c>
      <c r="AO479" s="1" t="s">
        <v>468</v>
      </c>
      <c r="AP479" s="1" t="s">
        <v>549</v>
      </c>
      <c r="AQ479" s="1">
        <v>84.6</v>
      </c>
      <c r="AR479" s="1"/>
      <c r="AS479" s="1"/>
      <c r="AT479" s="1"/>
      <c r="AU479" s="1"/>
      <c r="AV479" s="1"/>
      <c r="AW479" s="1"/>
      <c r="AX479" s="1"/>
      <c r="AY479" s="1" t="s">
        <v>576</v>
      </c>
      <c r="AZ479" s="1" t="s">
        <v>9289</v>
      </c>
      <c r="BA479" s="1" t="s">
        <v>578</v>
      </c>
      <c r="BB479" s="1" t="s">
        <v>467</v>
      </c>
      <c r="BC479" s="1" t="s">
        <v>140</v>
      </c>
      <c r="BD479" s="1" t="s">
        <v>607</v>
      </c>
      <c r="BE479" s="1">
        <v>85</v>
      </c>
      <c r="BF479" s="1"/>
      <c r="BG479" s="1"/>
      <c r="BH479" s="1"/>
      <c r="BI479" s="1"/>
      <c r="BJ479" s="1"/>
      <c r="BK479" s="1"/>
      <c r="BL479" s="1"/>
      <c r="BM479" s="1"/>
      <c r="BN479" s="1"/>
      <c r="BO479" s="1" t="s">
        <v>9290</v>
      </c>
      <c r="BP479" s="1"/>
      <c r="BQ479" s="1"/>
      <c r="BR479" s="1" t="s">
        <v>9291</v>
      </c>
      <c r="BS479" s="1">
        <v>24</v>
      </c>
      <c r="BT479" s="1" t="s">
        <v>9292</v>
      </c>
      <c r="BU479" s="1" t="str">
        <f>HYPERLINK("https://nconnect.nicmar.ac.in/storage/profile/ProfilePhoto_P25700482_765438.jpg","Download")</f>
        <v>0</v>
      </c>
      <c r="BV479" s="3"/>
      <c r="BW479" s="3"/>
    </row>
    <row r="480" spans="1:75">
      <c r="A480" s="1" t="s">
        <v>75</v>
      </c>
      <c r="B480" s="1" t="s">
        <v>446</v>
      </c>
      <c r="C480" s="1" t="s">
        <v>9293</v>
      </c>
      <c r="D480" s="1" t="s">
        <v>9294</v>
      </c>
      <c r="E480" s="1" t="s">
        <v>9295</v>
      </c>
      <c r="F480" s="1" t="s">
        <v>9296</v>
      </c>
      <c r="G480" s="1" t="s">
        <v>9297</v>
      </c>
      <c r="H480" s="1" t="s">
        <v>9298</v>
      </c>
      <c r="I480" s="1" t="s">
        <v>9299</v>
      </c>
      <c r="J480" s="1">
        <v>7507513437</v>
      </c>
      <c r="K480" s="1" t="s">
        <v>84</v>
      </c>
      <c r="L480" s="1" t="s">
        <v>9300</v>
      </c>
      <c r="M480" s="1" t="s">
        <v>86</v>
      </c>
      <c r="N480" s="1" t="s">
        <v>618</v>
      </c>
      <c r="O480" s="1"/>
      <c r="P480" s="1" t="s">
        <v>507</v>
      </c>
      <c r="Q480" s="1" t="s">
        <v>9301</v>
      </c>
      <c r="R480" s="1" t="s">
        <v>9302</v>
      </c>
      <c r="S480" s="1">
        <v>9823325325</v>
      </c>
      <c r="T480" s="1" t="s">
        <v>382</v>
      </c>
      <c r="U480" s="1" t="s">
        <v>9303</v>
      </c>
      <c r="V480" s="1">
        <v>7499329248</v>
      </c>
      <c r="W480" s="1" t="s">
        <v>278</v>
      </c>
      <c r="X480" s="1" t="s">
        <v>9304</v>
      </c>
      <c r="Y480" s="1" t="s">
        <v>910</v>
      </c>
      <c r="Z480" s="1" t="s">
        <v>97</v>
      </c>
      <c r="AA480" s="1" t="s">
        <v>9304</v>
      </c>
      <c r="AB480" s="1" t="s">
        <v>910</v>
      </c>
      <c r="AC480" s="1" t="s">
        <v>97</v>
      </c>
      <c r="AD480" s="1">
        <v>8.64</v>
      </c>
      <c r="AE480" s="1" t="s">
        <v>98</v>
      </c>
      <c r="AF480" s="1" t="s">
        <v>9305</v>
      </c>
      <c r="AG480" s="1" t="s">
        <v>2745</v>
      </c>
      <c r="AH480" s="1" t="s">
        <v>200</v>
      </c>
      <c r="AI480" s="1" t="s">
        <v>286</v>
      </c>
      <c r="AJ480" s="1">
        <v>84.6</v>
      </c>
      <c r="AK480" s="1"/>
      <c r="AL480" s="1" t="s">
        <v>9306</v>
      </c>
      <c r="AM480" s="1" t="s">
        <v>2745</v>
      </c>
      <c r="AN480" s="1" t="s">
        <v>465</v>
      </c>
      <c r="AO480" s="1" t="s">
        <v>315</v>
      </c>
      <c r="AP480" s="1" t="s">
        <v>365</v>
      </c>
      <c r="AQ480" s="1">
        <v>74.31</v>
      </c>
      <c r="AR480" s="1"/>
      <c r="AS480" s="1"/>
      <c r="AT480" s="1"/>
      <c r="AU480" s="1"/>
      <c r="AV480" s="1"/>
      <c r="AW480" s="1"/>
      <c r="AX480" s="1"/>
      <c r="AY480" s="1" t="s">
        <v>366</v>
      </c>
      <c r="AZ480" s="1" t="s">
        <v>9307</v>
      </c>
      <c r="BA480" s="1" t="s">
        <v>578</v>
      </c>
      <c r="BB480" s="1" t="s">
        <v>467</v>
      </c>
      <c r="BC480" s="1" t="s">
        <v>417</v>
      </c>
      <c r="BD480" s="1" t="s">
        <v>418</v>
      </c>
      <c r="BE480" s="1">
        <v>74.5</v>
      </c>
      <c r="BF480" s="1">
        <v>8.2</v>
      </c>
      <c r="BG480" s="1"/>
      <c r="BH480" s="1"/>
      <c r="BI480" s="1"/>
      <c r="BJ480" s="1"/>
      <c r="BK480" s="1"/>
      <c r="BL480" s="1"/>
      <c r="BM480" s="1"/>
      <c r="BN480" s="1"/>
      <c r="BO480" s="1" t="s">
        <v>9308</v>
      </c>
      <c r="BP480" s="1" t="s">
        <v>9309</v>
      </c>
      <c r="BQ480" s="1" t="s">
        <v>1070</v>
      </c>
      <c r="BR480" s="1" t="s">
        <v>9310</v>
      </c>
      <c r="BS480" s="1">
        <v>13</v>
      </c>
      <c r="BT480" s="1" t="s">
        <v>9311</v>
      </c>
      <c r="BU480" s="1" t="str">
        <f>HYPERLINK("https://nconnect.nicmar.ac.in/storage/profile/ProfilePhoto_P25700483_846325.jpg","Download")</f>
        <v>0</v>
      </c>
      <c r="BV480" s="3"/>
      <c r="BW480" s="3"/>
    </row>
    <row r="481" spans="1:75">
      <c r="A481" s="1" t="s">
        <v>75</v>
      </c>
      <c r="B481" s="1" t="s">
        <v>446</v>
      </c>
      <c r="C481" s="1" t="s">
        <v>9312</v>
      </c>
      <c r="D481" s="1" t="s">
        <v>9313</v>
      </c>
      <c r="E481" s="1" t="s">
        <v>186</v>
      </c>
      <c r="F481" s="1" t="s">
        <v>9314</v>
      </c>
      <c r="G481" s="1" t="s">
        <v>9315</v>
      </c>
      <c r="H481" s="1" t="s">
        <v>9316</v>
      </c>
      <c r="I481" s="1" t="s">
        <v>9317</v>
      </c>
      <c r="J481" s="1">
        <v>7057521752</v>
      </c>
      <c r="K481" s="1" t="s">
        <v>84</v>
      </c>
      <c r="L481" s="1" t="s">
        <v>9318</v>
      </c>
      <c r="M481" s="1" t="s">
        <v>86</v>
      </c>
      <c r="N481" s="1" t="s">
        <v>1163</v>
      </c>
      <c r="O481" s="1"/>
      <c r="P481" s="1" t="s">
        <v>507</v>
      </c>
      <c r="Q481" s="1" t="s">
        <v>9319</v>
      </c>
      <c r="R481" s="1" t="s">
        <v>186</v>
      </c>
      <c r="S481" s="1">
        <v>9422722731</v>
      </c>
      <c r="T481" s="1" t="s">
        <v>159</v>
      </c>
      <c r="U481" s="1" t="s">
        <v>4655</v>
      </c>
      <c r="V481" s="1">
        <v>9921717790</v>
      </c>
      <c r="W481" s="1" t="s">
        <v>161</v>
      </c>
      <c r="X481" s="1" t="s">
        <v>9320</v>
      </c>
      <c r="Y481" s="1" t="s">
        <v>96</v>
      </c>
      <c r="Z481" s="1" t="s">
        <v>97</v>
      </c>
      <c r="AA481" s="1" t="s">
        <v>9321</v>
      </c>
      <c r="AB481" s="1" t="s">
        <v>96</v>
      </c>
      <c r="AC481" s="1" t="s">
        <v>97</v>
      </c>
      <c r="AD481" s="1">
        <v>7.85</v>
      </c>
      <c r="AE481" s="1" t="s">
        <v>98</v>
      </c>
      <c r="AF481" s="1" t="s">
        <v>9322</v>
      </c>
      <c r="AG481" s="1" t="s">
        <v>165</v>
      </c>
      <c r="AH481" s="1" t="s">
        <v>166</v>
      </c>
      <c r="AI481" s="1" t="s">
        <v>167</v>
      </c>
      <c r="AJ481" s="1">
        <v>86.4</v>
      </c>
      <c r="AK481" s="1"/>
      <c r="AL481" s="1" t="s">
        <v>9323</v>
      </c>
      <c r="AM481" s="1" t="s">
        <v>165</v>
      </c>
      <c r="AN481" s="1"/>
      <c r="AO481" s="1" t="s">
        <v>573</v>
      </c>
      <c r="AP481" s="1" t="s">
        <v>171</v>
      </c>
      <c r="AQ481" s="1">
        <v>55.38</v>
      </c>
      <c r="AR481" s="1"/>
      <c r="AS481" s="1" t="s">
        <v>439</v>
      </c>
      <c r="AT481" s="1" t="s">
        <v>9324</v>
      </c>
      <c r="AU481" s="1" t="s">
        <v>1477</v>
      </c>
      <c r="AV481" s="1" t="s">
        <v>175</v>
      </c>
      <c r="AW481" s="1">
        <v>80.74</v>
      </c>
      <c r="AX481" s="1"/>
      <c r="AY481" s="1" t="s">
        <v>107</v>
      </c>
      <c r="AZ481" s="1" t="s">
        <v>9325</v>
      </c>
      <c r="BA481" s="1"/>
      <c r="BB481" s="1"/>
      <c r="BC481" s="1" t="s">
        <v>441</v>
      </c>
      <c r="BD481" s="1" t="s">
        <v>179</v>
      </c>
      <c r="BE481" s="1">
        <v>77</v>
      </c>
      <c r="BF481" s="1">
        <v>8.2</v>
      </c>
      <c r="BG481" s="1"/>
      <c r="BH481" s="1"/>
      <c r="BI481" s="1"/>
      <c r="BJ481" s="1"/>
      <c r="BK481" s="1"/>
      <c r="BL481" s="1"/>
      <c r="BM481" s="1"/>
      <c r="BN481" s="1"/>
      <c r="BO481" s="1" t="s">
        <v>2267</v>
      </c>
      <c r="BP481" s="1"/>
      <c r="BQ481" s="1"/>
      <c r="BR481" s="1" t="s">
        <v>9326</v>
      </c>
      <c r="BS481" s="1">
        <v>28</v>
      </c>
      <c r="BT481" s="1" t="s">
        <v>9327</v>
      </c>
      <c r="BU481" s="1" t="str">
        <f>HYPERLINK("https://nconnect.nicmar.ac.in/storage/profile/ProfilePhoto_P25700484_254718.jpg","Download")</f>
        <v>0</v>
      </c>
      <c r="BV481" s="3"/>
      <c r="BW481" s="3"/>
    </row>
    <row r="482" spans="1:75">
      <c r="A482" s="1" t="s">
        <v>75</v>
      </c>
      <c r="B482" s="1" t="s">
        <v>446</v>
      </c>
      <c r="C482" s="1" t="s">
        <v>9328</v>
      </c>
      <c r="D482" s="1" t="s">
        <v>9329</v>
      </c>
      <c r="E482" s="1" t="s">
        <v>2098</v>
      </c>
      <c r="F482" s="1" t="s">
        <v>9330</v>
      </c>
      <c r="G482" s="1" t="s">
        <v>9331</v>
      </c>
      <c r="H482" s="1" t="s">
        <v>9332</v>
      </c>
      <c r="I482" s="1" t="s">
        <v>9333</v>
      </c>
      <c r="J482" s="1">
        <v>9158630126</v>
      </c>
      <c r="K482" s="1" t="s">
        <v>84</v>
      </c>
      <c r="L482" s="1" t="s">
        <v>9334</v>
      </c>
      <c r="M482" s="1" t="s">
        <v>86</v>
      </c>
      <c r="N482" s="1" t="s">
        <v>3568</v>
      </c>
      <c r="O482" s="1"/>
      <c r="P482" s="1" t="s">
        <v>507</v>
      </c>
      <c r="Q482" s="1" t="s">
        <v>9335</v>
      </c>
      <c r="R482" s="1" t="s">
        <v>2098</v>
      </c>
      <c r="S482" s="1">
        <v>9890907602</v>
      </c>
      <c r="T482" s="1" t="s">
        <v>159</v>
      </c>
      <c r="U482" s="1" t="s">
        <v>9336</v>
      </c>
      <c r="V482" s="1">
        <v>7719900971</v>
      </c>
      <c r="W482" s="1" t="s">
        <v>161</v>
      </c>
      <c r="X482" s="1" t="s">
        <v>9337</v>
      </c>
      <c r="Y482" s="1" t="s">
        <v>5030</v>
      </c>
      <c r="Z482" s="1" t="s">
        <v>97</v>
      </c>
      <c r="AA482" s="1" t="s">
        <v>9337</v>
      </c>
      <c r="AB482" s="1" t="s">
        <v>5030</v>
      </c>
      <c r="AC482" s="1" t="s">
        <v>97</v>
      </c>
      <c r="AD482" s="1">
        <v>7.77</v>
      </c>
      <c r="AE482" s="1" t="s">
        <v>98</v>
      </c>
      <c r="AF482" s="1" t="s">
        <v>9338</v>
      </c>
      <c r="AG482" s="1" t="s">
        <v>9339</v>
      </c>
      <c r="AH482" s="1" t="s">
        <v>170</v>
      </c>
      <c r="AI482" s="1" t="s">
        <v>106</v>
      </c>
      <c r="AJ482" s="1">
        <v>90</v>
      </c>
      <c r="AK482" s="1"/>
      <c r="AL482" s="1" t="s">
        <v>9340</v>
      </c>
      <c r="AM482" s="1" t="s">
        <v>9341</v>
      </c>
      <c r="AN482" s="1" t="s">
        <v>465</v>
      </c>
      <c r="AO482" s="1" t="s">
        <v>9342</v>
      </c>
      <c r="AP482" s="1" t="s">
        <v>178</v>
      </c>
      <c r="AQ482" s="1">
        <v>68.92</v>
      </c>
      <c r="AR482" s="1"/>
      <c r="AS482" s="1"/>
      <c r="AT482" s="1"/>
      <c r="AU482" s="1"/>
      <c r="AV482" s="1"/>
      <c r="AW482" s="1"/>
      <c r="AX482" s="1"/>
      <c r="AY482" s="1" t="s">
        <v>366</v>
      </c>
      <c r="AZ482" s="1" t="s">
        <v>9343</v>
      </c>
      <c r="BA482" s="1" t="s">
        <v>578</v>
      </c>
      <c r="BB482" s="1" t="s">
        <v>467</v>
      </c>
      <c r="BC482" s="1" t="s">
        <v>368</v>
      </c>
      <c r="BD482" s="1" t="s">
        <v>207</v>
      </c>
      <c r="BE482" s="1">
        <v>70.1</v>
      </c>
      <c r="BF482" s="1">
        <v>7.76</v>
      </c>
      <c r="BG482" s="1"/>
      <c r="BH482" s="1"/>
      <c r="BI482" s="1"/>
      <c r="BJ482" s="1"/>
      <c r="BK482" s="1"/>
      <c r="BL482" s="1"/>
      <c r="BM482" s="1"/>
      <c r="BN482" s="1"/>
      <c r="BO482" s="1" t="s">
        <v>9344</v>
      </c>
      <c r="BP482" s="1" t="s">
        <v>9345</v>
      </c>
      <c r="BQ482" s="1" t="s">
        <v>1070</v>
      </c>
      <c r="BR482" s="1" t="s">
        <v>9346</v>
      </c>
      <c r="BS482" s="1">
        <v>15</v>
      </c>
      <c r="BT482" s="1"/>
      <c r="BU482" s="1" t="str">
        <f>HYPERLINK("https://nconnect.nicmar.ac.in/storage/profile/ProfilePhoto_P25700485_129836.jpg","Download")</f>
        <v>0</v>
      </c>
      <c r="BV482" s="3"/>
      <c r="BW482" s="3"/>
    </row>
    <row r="483" spans="1:75">
      <c r="A483" s="1" t="s">
        <v>75</v>
      </c>
      <c r="B483" s="1" t="s">
        <v>446</v>
      </c>
      <c r="C483" s="1" t="s">
        <v>9347</v>
      </c>
      <c r="D483" s="1" t="s">
        <v>9348</v>
      </c>
      <c r="E483" s="1" t="s">
        <v>9349</v>
      </c>
      <c r="F483" s="1" t="s">
        <v>9350</v>
      </c>
      <c r="G483" s="1" t="s">
        <v>9351</v>
      </c>
      <c r="H483" s="1" t="s">
        <v>9352</v>
      </c>
      <c r="I483" s="1" t="s">
        <v>9353</v>
      </c>
      <c r="J483" s="1">
        <v>9156789718</v>
      </c>
      <c r="K483" s="1" t="s">
        <v>84</v>
      </c>
      <c r="L483" s="1" t="s">
        <v>9354</v>
      </c>
      <c r="M483" s="1" t="s">
        <v>86</v>
      </c>
      <c r="N483" s="1" t="s">
        <v>618</v>
      </c>
      <c r="O483" s="1"/>
      <c r="P483" s="1" t="s">
        <v>507</v>
      </c>
      <c r="Q483" s="1" t="s">
        <v>9355</v>
      </c>
      <c r="R483" s="1" t="s">
        <v>9349</v>
      </c>
      <c r="S483" s="1">
        <v>9422049718</v>
      </c>
      <c r="T483" s="1" t="s">
        <v>9356</v>
      </c>
      <c r="U483" s="1" t="s">
        <v>9357</v>
      </c>
      <c r="V483" s="1">
        <v>9604248677</v>
      </c>
      <c r="W483" s="1" t="s">
        <v>161</v>
      </c>
      <c r="X483" s="1" t="s">
        <v>9358</v>
      </c>
      <c r="Y483" s="1" t="s">
        <v>1989</v>
      </c>
      <c r="Z483" s="1" t="s">
        <v>97</v>
      </c>
      <c r="AA483" s="1" t="s">
        <v>9358</v>
      </c>
      <c r="AB483" s="1" t="s">
        <v>1989</v>
      </c>
      <c r="AC483" s="1" t="s">
        <v>97</v>
      </c>
      <c r="AD483" s="1">
        <v>8.62</v>
      </c>
      <c r="AE483" s="1" t="s">
        <v>98</v>
      </c>
      <c r="AF483" s="1" t="s">
        <v>9359</v>
      </c>
      <c r="AG483" s="1" t="s">
        <v>9360</v>
      </c>
      <c r="AH483" s="1" t="s">
        <v>170</v>
      </c>
      <c r="AI483" s="1" t="s">
        <v>106</v>
      </c>
      <c r="AJ483" s="1">
        <v>92.2</v>
      </c>
      <c r="AK483" s="1"/>
      <c r="AL483" s="1" t="s">
        <v>9361</v>
      </c>
      <c r="AM483" s="1" t="s">
        <v>9360</v>
      </c>
      <c r="AN483" s="1" t="s">
        <v>465</v>
      </c>
      <c r="AO483" s="1" t="s">
        <v>315</v>
      </c>
      <c r="AP483" s="1" t="s">
        <v>178</v>
      </c>
      <c r="AQ483" s="1">
        <v>80.77</v>
      </c>
      <c r="AR483" s="1"/>
      <c r="AS483" s="1"/>
      <c r="AT483" s="1"/>
      <c r="AU483" s="1"/>
      <c r="AV483" s="1"/>
      <c r="AW483" s="1"/>
      <c r="AX483" s="1"/>
      <c r="AY483" s="1" t="s">
        <v>9362</v>
      </c>
      <c r="AZ483" s="1" t="s">
        <v>9363</v>
      </c>
      <c r="BA483" s="1" t="s">
        <v>466</v>
      </c>
      <c r="BB483" s="1" t="s">
        <v>467</v>
      </c>
      <c r="BC483" s="1" t="s">
        <v>178</v>
      </c>
      <c r="BD483" s="1" t="s">
        <v>207</v>
      </c>
      <c r="BE483" s="1">
        <v>67</v>
      </c>
      <c r="BF483" s="1"/>
      <c r="BG483" s="1"/>
      <c r="BH483" s="1"/>
      <c r="BI483" s="1"/>
      <c r="BJ483" s="1"/>
      <c r="BK483" s="1"/>
      <c r="BL483" s="1"/>
      <c r="BM483" s="1"/>
      <c r="BN483" s="1"/>
      <c r="BO483" s="1" t="s">
        <v>9364</v>
      </c>
      <c r="BP483" s="1"/>
      <c r="BQ483" s="1"/>
      <c r="BR483" s="1" t="s">
        <v>9365</v>
      </c>
      <c r="BS483" s="1">
        <v>35</v>
      </c>
      <c r="BT483" s="1" t="s">
        <v>9366</v>
      </c>
      <c r="BU483" s="1" t="str">
        <f>HYPERLINK("https://nconnect.nicmar.ac.in/storage/profile/ProfilePhoto_P25700486_729541.jpg","Download")</f>
        <v>0</v>
      </c>
      <c r="BV483" s="3"/>
      <c r="BW483" s="3"/>
    </row>
    <row r="484" spans="1:75">
      <c r="A484" s="1" t="s">
        <v>75</v>
      </c>
      <c r="B484" s="1" t="s">
        <v>446</v>
      </c>
      <c r="C484" s="1" t="s">
        <v>9367</v>
      </c>
      <c r="D484" s="1" t="s">
        <v>9368</v>
      </c>
      <c r="E484" s="1" t="s">
        <v>9369</v>
      </c>
      <c r="F484" s="1" t="s">
        <v>9370</v>
      </c>
      <c r="G484" s="1" t="s">
        <v>9371</v>
      </c>
      <c r="H484" s="1" t="s">
        <v>9372</v>
      </c>
      <c r="I484" s="1" t="s">
        <v>9373</v>
      </c>
      <c r="J484" s="1">
        <v>9511695706</v>
      </c>
      <c r="K484" s="1" t="s">
        <v>84</v>
      </c>
      <c r="L484" s="1" t="s">
        <v>9374</v>
      </c>
      <c r="M484" s="1" t="s">
        <v>86</v>
      </c>
      <c r="N484" s="1" t="s">
        <v>9375</v>
      </c>
      <c r="O484" s="1"/>
      <c r="P484" s="1" t="s">
        <v>481</v>
      </c>
      <c r="Q484" s="1" t="s">
        <v>9376</v>
      </c>
      <c r="R484" s="1" t="s">
        <v>9369</v>
      </c>
      <c r="S484" s="1">
        <v>9421724330</v>
      </c>
      <c r="T484" s="1" t="s">
        <v>645</v>
      </c>
      <c r="U484" s="1" t="s">
        <v>9377</v>
      </c>
      <c r="V484" s="1">
        <v>7498405538</v>
      </c>
      <c r="W484" s="1" t="s">
        <v>94</v>
      </c>
      <c r="X484" s="1" t="s">
        <v>9378</v>
      </c>
      <c r="Y484" s="1" t="s">
        <v>624</v>
      </c>
      <c r="Z484" s="1" t="s">
        <v>97</v>
      </c>
      <c r="AA484" s="1" t="s">
        <v>9378</v>
      </c>
      <c r="AB484" s="1" t="s">
        <v>624</v>
      </c>
      <c r="AC484" s="1" t="s">
        <v>97</v>
      </c>
      <c r="AD484" s="1">
        <v>8.1</v>
      </c>
      <c r="AE484" s="1" t="s">
        <v>98</v>
      </c>
      <c r="AF484" s="1" t="s">
        <v>9379</v>
      </c>
      <c r="AG484" s="1" t="s">
        <v>9380</v>
      </c>
      <c r="AH484" s="1" t="s">
        <v>101</v>
      </c>
      <c r="AI484" s="1" t="s">
        <v>166</v>
      </c>
      <c r="AJ484" s="1">
        <v>82.8</v>
      </c>
      <c r="AK484" s="1"/>
      <c r="AL484" s="1" t="s">
        <v>9381</v>
      </c>
      <c r="AM484" s="1" t="s">
        <v>2379</v>
      </c>
      <c r="AN484" s="1" t="s">
        <v>465</v>
      </c>
      <c r="AO484" s="1" t="s">
        <v>167</v>
      </c>
      <c r="AP484" s="1" t="s">
        <v>573</v>
      </c>
      <c r="AQ484" s="1">
        <v>70.46</v>
      </c>
      <c r="AR484" s="1"/>
      <c r="AS484" s="1"/>
      <c r="AT484" s="1"/>
      <c r="AU484" s="1"/>
      <c r="AV484" s="1"/>
      <c r="AW484" s="1"/>
      <c r="AX484" s="1"/>
      <c r="AY484" s="1" t="s">
        <v>6216</v>
      </c>
      <c r="AZ484" s="1" t="s">
        <v>9382</v>
      </c>
      <c r="BA484" s="1" t="s">
        <v>578</v>
      </c>
      <c r="BB484" s="1" t="s">
        <v>467</v>
      </c>
      <c r="BC484" s="1" t="s">
        <v>388</v>
      </c>
      <c r="BD484" s="1" t="s">
        <v>441</v>
      </c>
      <c r="BE484" s="1">
        <v>89.77</v>
      </c>
      <c r="BF484" s="1">
        <v>9.83</v>
      </c>
      <c r="BG484" s="1"/>
      <c r="BH484" s="1"/>
      <c r="BI484" s="1"/>
      <c r="BJ484" s="1"/>
      <c r="BK484" s="1"/>
      <c r="BL484" s="1"/>
      <c r="BM484" s="1"/>
      <c r="BN484" s="1"/>
      <c r="BO484" s="1" t="s">
        <v>9383</v>
      </c>
      <c r="BP484" s="1" t="s">
        <v>9384</v>
      </c>
      <c r="BQ484" s="1" t="s">
        <v>2116</v>
      </c>
      <c r="BR484" s="1" t="s">
        <v>9385</v>
      </c>
      <c r="BS484" s="1">
        <v>19</v>
      </c>
      <c r="BT484" s="1" t="s">
        <v>9386</v>
      </c>
      <c r="BU484" s="1" t="str">
        <f>HYPERLINK("https://nconnect.nicmar.ac.in/storage/profile/ProfilePhoto_P25700487_319528.jpg","Download")</f>
        <v>0</v>
      </c>
      <c r="BV484" s="3"/>
      <c r="BW484" s="3"/>
    </row>
    <row r="485" spans="1:75">
      <c r="A485" s="1" t="s">
        <v>75</v>
      </c>
      <c r="B485" s="1" t="s">
        <v>446</v>
      </c>
      <c r="C485" s="1" t="s">
        <v>9387</v>
      </c>
      <c r="D485" s="1" t="s">
        <v>9388</v>
      </c>
      <c r="E485" s="1" t="s">
        <v>116</v>
      </c>
      <c r="F485" s="1" t="s">
        <v>9389</v>
      </c>
      <c r="G485" s="1" t="s">
        <v>9390</v>
      </c>
      <c r="H485" s="1" t="s">
        <v>9391</v>
      </c>
      <c r="I485" s="1" t="s">
        <v>9392</v>
      </c>
      <c r="J485" s="1">
        <v>8884749505</v>
      </c>
      <c r="K485" s="1" t="s">
        <v>84</v>
      </c>
      <c r="L485" s="1" t="s">
        <v>9393</v>
      </c>
      <c r="M485" s="1" t="s">
        <v>86</v>
      </c>
      <c r="N485" s="1" t="s">
        <v>4412</v>
      </c>
      <c r="O485" s="1"/>
      <c r="P485" s="1" t="s">
        <v>481</v>
      </c>
      <c r="Q485" s="1" t="s">
        <v>9394</v>
      </c>
      <c r="R485" s="1" t="s">
        <v>9395</v>
      </c>
      <c r="S485" s="1">
        <v>9480295749</v>
      </c>
      <c r="T485" s="1" t="s">
        <v>127</v>
      </c>
      <c r="U485" s="1" t="s">
        <v>9396</v>
      </c>
      <c r="V485" s="1">
        <v>9483118399</v>
      </c>
      <c r="W485" s="1" t="s">
        <v>127</v>
      </c>
      <c r="X485" s="1" t="s">
        <v>9397</v>
      </c>
      <c r="Y485" s="1" t="s">
        <v>3011</v>
      </c>
      <c r="Z485" s="1" t="s">
        <v>1210</v>
      </c>
      <c r="AA485" s="1" t="s">
        <v>9397</v>
      </c>
      <c r="AB485" s="1" t="s">
        <v>3011</v>
      </c>
      <c r="AC485" s="1" t="s">
        <v>1210</v>
      </c>
      <c r="AD485" s="1">
        <v>8.64</v>
      </c>
      <c r="AE485" s="1" t="s">
        <v>98</v>
      </c>
      <c r="AF485" s="1" t="s">
        <v>9398</v>
      </c>
      <c r="AG485" s="1" t="s">
        <v>9399</v>
      </c>
      <c r="AH485" s="1" t="s">
        <v>101</v>
      </c>
      <c r="AI485" s="1" t="s">
        <v>1110</v>
      </c>
      <c r="AJ485" s="1">
        <v>89.44</v>
      </c>
      <c r="AK485" s="1"/>
      <c r="AL485" s="1" t="s">
        <v>9400</v>
      </c>
      <c r="AM485" s="1" t="s">
        <v>9401</v>
      </c>
      <c r="AN485" s="1" t="s">
        <v>575</v>
      </c>
      <c r="AO485" s="1" t="s">
        <v>627</v>
      </c>
      <c r="AP485" s="1" t="s">
        <v>200</v>
      </c>
      <c r="AQ485" s="1">
        <v>76.5</v>
      </c>
      <c r="AR485" s="1"/>
      <c r="AS485" s="1"/>
      <c r="AT485" s="1"/>
      <c r="AU485" s="1"/>
      <c r="AV485" s="1"/>
      <c r="AW485" s="1"/>
      <c r="AX485" s="1"/>
      <c r="AY485" s="1" t="s">
        <v>1217</v>
      </c>
      <c r="AZ485" s="1" t="s">
        <v>9402</v>
      </c>
      <c r="BA485" s="1" t="s">
        <v>578</v>
      </c>
      <c r="BB485" s="1" t="s">
        <v>467</v>
      </c>
      <c r="BC485" s="1" t="s">
        <v>5535</v>
      </c>
      <c r="BD485" s="1" t="s">
        <v>441</v>
      </c>
      <c r="BE485" s="1">
        <v>63.4</v>
      </c>
      <c r="BF485" s="1">
        <v>7.09</v>
      </c>
      <c r="BG485" s="1"/>
      <c r="BH485" s="1"/>
      <c r="BI485" s="1"/>
      <c r="BJ485" s="1"/>
      <c r="BK485" s="1"/>
      <c r="BL485" s="1"/>
      <c r="BM485" s="1"/>
      <c r="BN485" s="1"/>
      <c r="BO485" s="1" t="s">
        <v>9403</v>
      </c>
      <c r="BP485" s="1" t="s">
        <v>9404</v>
      </c>
      <c r="BQ485" s="1" t="s">
        <v>9405</v>
      </c>
      <c r="BR485" s="1" t="s">
        <v>9406</v>
      </c>
      <c r="BS485" s="1">
        <v>13</v>
      </c>
      <c r="BT485" s="1" t="s">
        <v>9407</v>
      </c>
      <c r="BU485" s="1" t="str">
        <f>HYPERLINK("https://nconnect.nicmar.ac.in/storage/profile/ProfilePhoto_P25700488_586793.jpg","Download")</f>
        <v>0</v>
      </c>
      <c r="BV485" s="3"/>
      <c r="BW485" s="3"/>
    </row>
    <row r="486" spans="1:75">
      <c r="A486" s="1" t="s">
        <v>75</v>
      </c>
      <c r="B486" s="1" t="s">
        <v>446</v>
      </c>
      <c r="C486" s="1" t="s">
        <v>9408</v>
      </c>
      <c r="D486" s="1" t="s">
        <v>7813</v>
      </c>
      <c r="E486" s="1" t="s">
        <v>5171</v>
      </c>
      <c r="F486" s="1" t="s">
        <v>9409</v>
      </c>
      <c r="G486" s="1" t="s">
        <v>9410</v>
      </c>
      <c r="H486" s="1" t="s">
        <v>9411</v>
      </c>
      <c r="I486" s="1" t="s">
        <v>9412</v>
      </c>
      <c r="J486" s="1">
        <v>8080830336</v>
      </c>
      <c r="K486" s="1" t="s">
        <v>84</v>
      </c>
      <c r="L486" s="1" t="s">
        <v>9413</v>
      </c>
      <c r="M486" s="1" t="s">
        <v>86</v>
      </c>
      <c r="N486" s="1" t="s">
        <v>618</v>
      </c>
      <c r="O486" s="1"/>
      <c r="P486" s="1" t="s">
        <v>1028</v>
      </c>
      <c r="Q486" s="1" t="s">
        <v>9414</v>
      </c>
      <c r="R486" s="1" t="s">
        <v>5171</v>
      </c>
      <c r="S486" s="1">
        <v>9511671711</v>
      </c>
      <c r="T486" s="1" t="s">
        <v>645</v>
      </c>
      <c r="U486" s="1" t="s">
        <v>9415</v>
      </c>
      <c r="V486" s="1">
        <v>8999342823</v>
      </c>
      <c r="W486" s="1" t="s">
        <v>839</v>
      </c>
      <c r="X486" s="1" t="s">
        <v>9416</v>
      </c>
      <c r="Y486" s="1" t="s">
        <v>1033</v>
      </c>
      <c r="Z486" s="1" t="s">
        <v>97</v>
      </c>
      <c r="AA486" s="1" t="s">
        <v>9416</v>
      </c>
      <c r="AB486" s="1" t="s">
        <v>1033</v>
      </c>
      <c r="AC486" s="1" t="s">
        <v>97</v>
      </c>
      <c r="AD486" s="1">
        <v>8.18</v>
      </c>
      <c r="AE486" s="1" t="s">
        <v>98</v>
      </c>
      <c r="AF486" s="1" t="s">
        <v>6111</v>
      </c>
      <c r="AG486" s="1" t="s">
        <v>703</v>
      </c>
      <c r="AH486" s="1" t="s">
        <v>106</v>
      </c>
      <c r="AI486" s="1" t="s">
        <v>313</v>
      </c>
      <c r="AJ486" s="1">
        <v>78.8</v>
      </c>
      <c r="AK486" s="1">
        <v>0</v>
      </c>
      <c r="AL486" s="1" t="s">
        <v>9417</v>
      </c>
      <c r="AM486" s="1" t="s">
        <v>165</v>
      </c>
      <c r="AN486" s="1" t="s">
        <v>465</v>
      </c>
      <c r="AO486" s="1" t="s">
        <v>468</v>
      </c>
      <c r="AP486" s="1" t="s">
        <v>441</v>
      </c>
      <c r="AQ486" s="1">
        <v>88.83</v>
      </c>
      <c r="AR486" s="1">
        <v>0</v>
      </c>
      <c r="AS486" s="1"/>
      <c r="AT486" s="1"/>
      <c r="AU486" s="1"/>
      <c r="AV486" s="1"/>
      <c r="AW486" s="1"/>
      <c r="AX486" s="1"/>
      <c r="AY486" s="1" t="s">
        <v>1038</v>
      </c>
      <c r="AZ486" s="1" t="s">
        <v>9418</v>
      </c>
      <c r="BA486" s="1" t="s">
        <v>466</v>
      </c>
      <c r="BB486" s="1" t="s">
        <v>467</v>
      </c>
      <c r="BC486" s="1" t="s">
        <v>871</v>
      </c>
      <c r="BD486" s="1" t="s">
        <v>848</v>
      </c>
      <c r="BE486" s="1">
        <v>69.7</v>
      </c>
      <c r="BF486" s="1">
        <v>7.72</v>
      </c>
      <c r="BG486" s="1"/>
      <c r="BH486" s="1"/>
      <c r="BI486" s="1"/>
      <c r="BJ486" s="1"/>
      <c r="BK486" s="1"/>
      <c r="BL486" s="1"/>
      <c r="BM486" s="1"/>
      <c r="BN486" s="1"/>
      <c r="BO486" s="1" t="s">
        <v>9419</v>
      </c>
      <c r="BP486" s="1"/>
      <c r="BQ486" s="1"/>
      <c r="BR486" s="1" t="s">
        <v>9420</v>
      </c>
      <c r="BS486" s="1">
        <v>31</v>
      </c>
      <c r="BT486" s="1" t="s">
        <v>9421</v>
      </c>
      <c r="BU486" s="1" t="str">
        <f>HYPERLINK("https://nconnect.nicmar.ac.in/storage/profile/ProfilePhoto_P25700489_381496.jpg","Download")</f>
        <v>0</v>
      </c>
      <c r="BV486" s="3"/>
      <c r="BW486" s="3"/>
    </row>
    <row r="487" spans="1:75">
      <c r="A487" s="1" t="s">
        <v>75</v>
      </c>
      <c r="B487" s="1" t="s">
        <v>446</v>
      </c>
      <c r="C487" s="1" t="s">
        <v>9422</v>
      </c>
      <c r="D487" s="1" t="s">
        <v>9423</v>
      </c>
      <c r="E487" s="1" t="s">
        <v>9424</v>
      </c>
      <c r="F487" s="1" t="s">
        <v>9425</v>
      </c>
      <c r="G487" s="1" t="s">
        <v>9426</v>
      </c>
      <c r="H487" s="1" t="s">
        <v>9427</v>
      </c>
      <c r="I487" s="1" t="s">
        <v>9428</v>
      </c>
      <c r="J487" s="1">
        <v>7875865501</v>
      </c>
      <c r="K487" s="1" t="s">
        <v>84</v>
      </c>
      <c r="L487" s="1" t="s">
        <v>9429</v>
      </c>
      <c r="M487" s="1" t="s">
        <v>86</v>
      </c>
      <c r="N487" s="1" t="s">
        <v>618</v>
      </c>
      <c r="O487" s="1"/>
      <c r="P487" s="1"/>
      <c r="Q487" s="1" t="s">
        <v>9430</v>
      </c>
      <c r="R487" s="1" t="s">
        <v>9431</v>
      </c>
      <c r="S487" s="1">
        <v>9860358887</v>
      </c>
      <c r="T487" s="1" t="s">
        <v>839</v>
      </c>
      <c r="U487" s="1" t="s">
        <v>9432</v>
      </c>
      <c r="V487" s="1">
        <v>7218170260</v>
      </c>
      <c r="W487" s="1" t="s">
        <v>161</v>
      </c>
      <c r="X487" s="1" t="s">
        <v>9433</v>
      </c>
      <c r="Y487" s="1" t="s">
        <v>5083</v>
      </c>
      <c r="Z487" s="1" t="s">
        <v>97</v>
      </c>
      <c r="AA487" s="1" t="s">
        <v>9433</v>
      </c>
      <c r="AB487" s="1" t="s">
        <v>5083</v>
      </c>
      <c r="AC487" s="1" t="s">
        <v>97</v>
      </c>
      <c r="AD487" s="1">
        <v>8.97</v>
      </c>
      <c r="AE487" s="1" t="s">
        <v>98</v>
      </c>
      <c r="AF487" s="1" t="s">
        <v>9434</v>
      </c>
      <c r="AG487" s="1" t="s">
        <v>9435</v>
      </c>
      <c r="AH487" s="1" t="s">
        <v>1396</v>
      </c>
      <c r="AI487" s="1" t="s">
        <v>704</v>
      </c>
      <c r="AJ487" s="1">
        <v>87.8</v>
      </c>
      <c r="AK487" s="1">
        <v>9.4</v>
      </c>
      <c r="AL487" s="1" t="s">
        <v>9436</v>
      </c>
      <c r="AM487" s="1" t="s">
        <v>165</v>
      </c>
      <c r="AN487" s="1" t="s">
        <v>465</v>
      </c>
      <c r="AO487" s="1" t="s">
        <v>174</v>
      </c>
      <c r="AP487" s="1" t="s">
        <v>547</v>
      </c>
      <c r="AQ487" s="1">
        <v>72.77</v>
      </c>
      <c r="AR487" s="1"/>
      <c r="AS487" s="1"/>
      <c r="AT487" s="1"/>
      <c r="AU487" s="1"/>
      <c r="AV487" s="1"/>
      <c r="AW487" s="1"/>
      <c r="AX487" s="1"/>
      <c r="AY487" s="1" t="s">
        <v>415</v>
      </c>
      <c r="AZ487" s="1" t="s">
        <v>9437</v>
      </c>
      <c r="BA487" s="1" t="s">
        <v>578</v>
      </c>
      <c r="BB487" s="1" t="s">
        <v>467</v>
      </c>
      <c r="BC487" s="1" t="s">
        <v>206</v>
      </c>
      <c r="BD487" s="1" t="s">
        <v>234</v>
      </c>
      <c r="BE487" s="1">
        <v>88.9</v>
      </c>
      <c r="BF487" s="1">
        <v>8.89</v>
      </c>
      <c r="BG487" s="1"/>
      <c r="BH487" s="1"/>
      <c r="BI487" s="1"/>
      <c r="BJ487" s="1"/>
      <c r="BK487" s="1"/>
      <c r="BL487" s="1"/>
      <c r="BM487" s="1"/>
      <c r="BN487" s="1"/>
      <c r="BO487" s="1" t="s">
        <v>9438</v>
      </c>
      <c r="BP487" s="1" t="s">
        <v>9439</v>
      </c>
      <c r="BQ487" s="1" t="s">
        <v>4149</v>
      </c>
      <c r="BR487" s="1" t="s">
        <v>9440</v>
      </c>
      <c r="BS487" s="1">
        <v>39</v>
      </c>
      <c r="BT487" s="1" t="s">
        <v>9441</v>
      </c>
      <c r="BU487" s="1" t="str">
        <f>HYPERLINK("https://nconnect.nicmar.ac.in/storage/profile/ProfilePhoto_P25700490_978215.jpg","Download")</f>
        <v>0</v>
      </c>
      <c r="BV487" s="3"/>
      <c r="BW487" s="3"/>
    </row>
    <row r="488" spans="1:75">
      <c r="A488" s="1" t="s">
        <v>75</v>
      </c>
      <c r="B488" s="1" t="s">
        <v>446</v>
      </c>
      <c r="C488" s="1" t="s">
        <v>9442</v>
      </c>
      <c r="D488" s="1" t="s">
        <v>2500</v>
      </c>
      <c r="E488" s="1" t="s">
        <v>9443</v>
      </c>
      <c r="F488" s="1" t="s">
        <v>7180</v>
      </c>
      <c r="G488" s="1" t="s">
        <v>9444</v>
      </c>
      <c r="H488" s="1" t="s">
        <v>9445</v>
      </c>
      <c r="I488" s="1" t="s">
        <v>9446</v>
      </c>
      <c r="J488" s="1">
        <v>8623836346</v>
      </c>
      <c r="K488" s="1" t="s">
        <v>84</v>
      </c>
      <c r="L488" s="1" t="s">
        <v>2334</v>
      </c>
      <c r="M488" s="1" t="s">
        <v>86</v>
      </c>
      <c r="N488" s="1" t="s">
        <v>768</v>
      </c>
      <c r="O488" s="1"/>
      <c r="P488" s="1" t="s">
        <v>507</v>
      </c>
      <c r="Q488" s="1" t="s">
        <v>9447</v>
      </c>
      <c r="R488" s="1" t="s">
        <v>9448</v>
      </c>
      <c r="S488" s="1">
        <v>9850056147</v>
      </c>
      <c r="T488" s="1" t="s">
        <v>9449</v>
      </c>
      <c r="U488" s="1" t="s">
        <v>9450</v>
      </c>
      <c r="V488" s="1">
        <v>7972878952</v>
      </c>
      <c r="W488" s="1" t="s">
        <v>9451</v>
      </c>
      <c r="X488" s="1" t="s">
        <v>9452</v>
      </c>
      <c r="Y488" s="1" t="s">
        <v>196</v>
      </c>
      <c r="Z488" s="1" t="s">
        <v>97</v>
      </c>
      <c r="AA488" s="1" t="s">
        <v>9453</v>
      </c>
      <c r="AB488" s="1" t="s">
        <v>5181</v>
      </c>
      <c r="AC488" s="1" t="s">
        <v>97</v>
      </c>
      <c r="AD488" s="1">
        <v>8.9</v>
      </c>
      <c r="AE488" s="1" t="s">
        <v>98</v>
      </c>
      <c r="AF488" s="1" t="s">
        <v>9454</v>
      </c>
      <c r="AG488" s="1" t="s">
        <v>165</v>
      </c>
      <c r="AH488" s="1" t="s">
        <v>627</v>
      </c>
      <c r="AI488" s="1" t="s">
        <v>573</v>
      </c>
      <c r="AJ488" s="1">
        <v>96.4</v>
      </c>
      <c r="AK488" s="1">
        <v>0</v>
      </c>
      <c r="AL488" s="1"/>
      <c r="AM488" s="1"/>
      <c r="AN488" s="1"/>
      <c r="AO488" s="1"/>
      <c r="AP488" s="1"/>
      <c r="AQ488" s="1"/>
      <c r="AR488" s="1"/>
      <c r="AS488" s="1" t="s">
        <v>103</v>
      </c>
      <c r="AT488" s="1" t="s">
        <v>9455</v>
      </c>
      <c r="AU488" s="1" t="s">
        <v>170</v>
      </c>
      <c r="AV488" s="1" t="s">
        <v>175</v>
      </c>
      <c r="AW488" s="1">
        <v>84.68</v>
      </c>
      <c r="AX488" s="1">
        <v>0</v>
      </c>
      <c r="AY488" s="1" t="s">
        <v>9456</v>
      </c>
      <c r="AZ488" s="1" t="s">
        <v>9457</v>
      </c>
      <c r="BA488" s="1" t="s">
        <v>466</v>
      </c>
      <c r="BB488" s="1" t="s">
        <v>467</v>
      </c>
      <c r="BC488" s="1" t="s">
        <v>890</v>
      </c>
      <c r="BD488" s="1" t="s">
        <v>234</v>
      </c>
      <c r="BE488" s="1">
        <v>83.9</v>
      </c>
      <c r="BF488" s="1">
        <v>9.14</v>
      </c>
      <c r="BG488" s="1"/>
      <c r="BH488" s="1"/>
      <c r="BI488" s="1"/>
      <c r="BJ488" s="1"/>
      <c r="BK488" s="1"/>
      <c r="BL488" s="1"/>
      <c r="BM488" s="1"/>
      <c r="BN488" s="1"/>
      <c r="BO488" s="1" t="s">
        <v>9458</v>
      </c>
      <c r="BP488" s="1"/>
      <c r="BQ488" s="1"/>
      <c r="BR488" s="1" t="s">
        <v>9459</v>
      </c>
      <c r="BS488" s="1">
        <v>38</v>
      </c>
      <c r="BT488" s="1" t="s">
        <v>9460</v>
      </c>
      <c r="BU488" s="1" t="str">
        <f>HYPERLINK("https://nconnect.nicmar.ac.in/storage/profile/ProfilePhoto_P25700491_473681.jpg","Download")</f>
        <v>0</v>
      </c>
      <c r="BV488" s="3"/>
      <c r="BW488" s="3"/>
    </row>
    <row r="489" spans="1:75">
      <c r="A489" s="1" t="s">
        <v>75</v>
      </c>
      <c r="B489" s="1" t="s">
        <v>446</v>
      </c>
      <c r="C489" s="1" t="s">
        <v>9461</v>
      </c>
      <c r="D489" s="1" t="s">
        <v>9462</v>
      </c>
      <c r="E489" s="1" t="s">
        <v>1020</v>
      </c>
      <c r="F489" s="1" t="s">
        <v>9463</v>
      </c>
      <c r="G489" s="1" t="s">
        <v>9464</v>
      </c>
      <c r="H489" s="1" t="s">
        <v>9465</v>
      </c>
      <c r="I489" s="1" t="s">
        <v>9466</v>
      </c>
      <c r="J489" s="1">
        <v>9284329038</v>
      </c>
      <c r="K489" s="1" t="s">
        <v>84</v>
      </c>
      <c r="L489" s="1" t="s">
        <v>9467</v>
      </c>
      <c r="M489" s="1" t="s">
        <v>86</v>
      </c>
      <c r="N489" s="1" t="s">
        <v>618</v>
      </c>
      <c r="O489" s="1"/>
      <c r="P489" s="1" t="s">
        <v>455</v>
      </c>
      <c r="Q489" s="1" t="s">
        <v>9468</v>
      </c>
      <c r="R489" s="1" t="s">
        <v>1020</v>
      </c>
      <c r="S489" s="1">
        <v>9823243636</v>
      </c>
      <c r="T489" s="1" t="s">
        <v>9469</v>
      </c>
      <c r="U489" s="1" t="s">
        <v>9470</v>
      </c>
      <c r="V489" s="1">
        <v>9823244536</v>
      </c>
      <c r="W489" s="1" t="s">
        <v>278</v>
      </c>
      <c r="X489" s="1" t="s">
        <v>9471</v>
      </c>
      <c r="Y489" s="1" t="s">
        <v>4302</v>
      </c>
      <c r="Z489" s="1" t="s">
        <v>97</v>
      </c>
      <c r="AA489" s="1" t="s">
        <v>9471</v>
      </c>
      <c r="AB489" s="1" t="s">
        <v>4302</v>
      </c>
      <c r="AC489" s="1" t="s">
        <v>97</v>
      </c>
      <c r="AD489" s="1">
        <v>8.67</v>
      </c>
      <c r="AE489" s="1" t="s">
        <v>98</v>
      </c>
      <c r="AF489" s="1" t="s">
        <v>9472</v>
      </c>
      <c r="AG489" s="1" t="s">
        <v>312</v>
      </c>
      <c r="AH489" s="1" t="s">
        <v>3112</v>
      </c>
      <c r="AI489" s="1" t="s">
        <v>414</v>
      </c>
      <c r="AJ489" s="1">
        <v>84.8</v>
      </c>
      <c r="AK489" s="1">
        <v>0</v>
      </c>
      <c r="AL489" s="1" t="s">
        <v>9473</v>
      </c>
      <c r="AM489" s="1" t="s">
        <v>5121</v>
      </c>
      <c r="AN489" s="1" t="s">
        <v>465</v>
      </c>
      <c r="AO489" s="1" t="s">
        <v>206</v>
      </c>
      <c r="AP489" s="1" t="s">
        <v>441</v>
      </c>
      <c r="AQ489" s="1">
        <v>87.17</v>
      </c>
      <c r="AR489" s="1">
        <v>0</v>
      </c>
      <c r="AS489" s="1"/>
      <c r="AT489" s="1"/>
      <c r="AU489" s="1"/>
      <c r="AV489" s="1"/>
      <c r="AW489" s="1"/>
      <c r="AX489" s="1"/>
      <c r="AY489" s="1" t="s">
        <v>680</v>
      </c>
      <c r="AZ489" s="1" t="s">
        <v>9474</v>
      </c>
      <c r="BA489" s="1" t="s">
        <v>578</v>
      </c>
      <c r="BB489" s="1" t="s">
        <v>467</v>
      </c>
      <c r="BC489" s="1" t="s">
        <v>871</v>
      </c>
      <c r="BD489" s="1" t="s">
        <v>553</v>
      </c>
      <c r="BE489" s="1">
        <v>74.45</v>
      </c>
      <c r="BF489" s="1">
        <v>8.44</v>
      </c>
      <c r="BG489" s="1"/>
      <c r="BH489" s="1"/>
      <c r="BI489" s="1"/>
      <c r="BJ489" s="1"/>
      <c r="BK489" s="1"/>
      <c r="BL489" s="1"/>
      <c r="BM489" s="1"/>
      <c r="BN489" s="1"/>
      <c r="BO489" s="1" t="s">
        <v>9475</v>
      </c>
      <c r="BP489" s="1"/>
      <c r="BQ489" s="1"/>
      <c r="BR489" s="1" t="s">
        <v>9476</v>
      </c>
      <c r="BS489" s="1">
        <v>13</v>
      </c>
      <c r="BT489" s="1" t="s">
        <v>9477</v>
      </c>
      <c r="BU489" s="1" t="str">
        <f>HYPERLINK("https://nconnect.nicmar.ac.in/storage/profile/ProfilePhoto_P25700492_715349.jpg","Download")</f>
        <v>0</v>
      </c>
      <c r="BV489" s="3"/>
      <c r="BW489" s="4">
        <v>1</v>
      </c>
    </row>
    <row r="490" spans="1:75">
      <c r="A490" s="1" t="s">
        <v>75</v>
      </c>
      <c r="B490" s="1" t="s">
        <v>446</v>
      </c>
      <c r="C490" s="1" t="s">
        <v>9478</v>
      </c>
      <c r="D490" s="1" t="s">
        <v>3545</v>
      </c>
      <c r="E490" s="1"/>
      <c r="F490" s="1" t="s">
        <v>9424</v>
      </c>
      <c r="G490" s="1" t="s">
        <v>9479</v>
      </c>
      <c r="H490" s="1" t="s">
        <v>9480</v>
      </c>
      <c r="I490" s="1" t="s">
        <v>9481</v>
      </c>
      <c r="J490" s="1">
        <v>9496757593</v>
      </c>
      <c r="K490" s="1" t="s">
        <v>84</v>
      </c>
      <c r="L490" s="1" t="s">
        <v>9482</v>
      </c>
      <c r="M490" s="1" t="s">
        <v>86</v>
      </c>
      <c r="N490" s="1" t="s">
        <v>9483</v>
      </c>
      <c r="O490" s="1"/>
      <c r="P490" s="1" t="s">
        <v>2062</v>
      </c>
      <c r="Q490" s="1" t="s">
        <v>9484</v>
      </c>
      <c r="R490" s="1" t="s">
        <v>9485</v>
      </c>
      <c r="S490" s="1">
        <v>9496731968</v>
      </c>
      <c r="T490" s="1" t="s">
        <v>9486</v>
      </c>
      <c r="U490" s="1" t="s">
        <v>9487</v>
      </c>
      <c r="V490" s="1">
        <v>9656731968</v>
      </c>
      <c r="W490" s="1" t="s">
        <v>161</v>
      </c>
      <c r="X490" s="1" t="s">
        <v>9488</v>
      </c>
      <c r="Y490" s="1" t="s">
        <v>2526</v>
      </c>
      <c r="Z490" s="1" t="s">
        <v>130</v>
      </c>
      <c r="AA490" s="1" t="s">
        <v>9488</v>
      </c>
      <c r="AB490" s="1" t="s">
        <v>2526</v>
      </c>
      <c r="AC490" s="1" t="s">
        <v>130</v>
      </c>
      <c r="AD490" s="1">
        <v>8.74</v>
      </c>
      <c r="AE490" s="1" t="s">
        <v>98</v>
      </c>
      <c r="AF490" s="1" t="s">
        <v>9489</v>
      </c>
      <c r="AG490" s="1" t="s">
        <v>9490</v>
      </c>
      <c r="AH490" s="1" t="s">
        <v>136</v>
      </c>
      <c r="AI490" s="1" t="s">
        <v>627</v>
      </c>
      <c r="AJ490" s="1">
        <v>95</v>
      </c>
      <c r="AK490" s="1">
        <v>10</v>
      </c>
      <c r="AL490" s="1" t="s">
        <v>9489</v>
      </c>
      <c r="AM490" s="1" t="s">
        <v>9490</v>
      </c>
      <c r="AN490" s="1" t="s">
        <v>465</v>
      </c>
      <c r="AO490" s="1" t="s">
        <v>573</v>
      </c>
      <c r="AP490" s="1" t="s">
        <v>171</v>
      </c>
      <c r="AQ490" s="1">
        <v>79.8</v>
      </c>
      <c r="AR490" s="1">
        <v>8.4</v>
      </c>
      <c r="AS490" s="1"/>
      <c r="AT490" s="1"/>
      <c r="AU490" s="1"/>
      <c r="AV490" s="1"/>
      <c r="AW490" s="1"/>
      <c r="AX490" s="1"/>
      <c r="AY490" s="1" t="s">
        <v>9491</v>
      </c>
      <c r="AZ490" s="1" t="s">
        <v>9491</v>
      </c>
      <c r="BA490" s="1" t="s">
        <v>466</v>
      </c>
      <c r="BB490" s="1" t="s">
        <v>467</v>
      </c>
      <c r="BC490" s="1" t="s">
        <v>174</v>
      </c>
      <c r="BD490" s="1" t="s">
        <v>632</v>
      </c>
      <c r="BE490" s="1">
        <v>75.8</v>
      </c>
      <c r="BF490" s="1">
        <v>7.58</v>
      </c>
      <c r="BG490" s="1"/>
      <c r="BH490" s="1"/>
      <c r="BI490" s="1"/>
      <c r="BJ490" s="1"/>
      <c r="BK490" s="1"/>
      <c r="BL490" s="1"/>
      <c r="BM490" s="1"/>
      <c r="BN490" s="1"/>
      <c r="BO490" s="1" t="s">
        <v>9492</v>
      </c>
      <c r="BP490" s="1" t="s">
        <v>9493</v>
      </c>
      <c r="BQ490" s="1" t="s">
        <v>9111</v>
      </c>
      <c r="BR490" s="1" t="s">
        <v>9494</v>
      </c>
      <c r="BS490" s="1">
        <v>12</v>
      </c>
      <c r="BT490" s="1" t="s">
        <v>9495</v>
      </c>
      <c r="BU490" s="1" t="str">
        <f>HYPERLINK("https://nconnect.nicmar.ac.in/storage/profile/ProfilePhoto_P25700493_683249.jpg","Download")</f>
        <v>0</v>
      </c>
      <c r="BV490" s="3"/>
      <c r="BW490" s="4">
        <v>1</v>
      </c>
    </row>
    <row r="491" spans="1:75">
      <c r="A491" s="1" t="s">
        <v>75</v>
      </c>
      <c r="B491" s="1" t="s">
        <v>446</v>
      </c>
      <c r="C491" s="1" t="s">
        <v>9496</v>
      </c>
      <c r="D491" s="1" t="s">
        <v>9497</v>
      </c>
      <c r="E491" s="1"/>
      <c r="F491" s="1" t="s">
        <v>3910</v>
      </c>
      <c r="G491" s="1" t="s">
        <v>9498</v>
      </c>
      <c r="H491" s="1" t="s">
        <v>9499</v>
      </c>
      <c r="I491" s="1" t="s">
        <v>9500</v>
      </c>
      <c r="J491" s="1">
        <v>9496041855</v>
      </c>
      <c r="K491" s="1" t="s">
        <v>84</v>
      </c>
      <c r="L491" s="1" t="s">
        <v>9501</v>
      </c>
      <c r="M491" s="1" t="s">
        <v>86</v>
      </c>
      <c r="N491" s="1" t="s">
        <v>9502</v>
      </c>
      <c r="O491" s="1"/>
      <c r="P491" s="1" t="s">
        <v>455</v>
      </c>
      <c r="Q491" s="1" t="s">
        <v>9503</v>
      </c>
      <c r="R491" s="1" t="s">
        <v>9504</v>
      </c>
      <c r="S491" s="1">
        <v>9446015855</v>
      </c>
      <c r="T491" s="1" t="s">
        <v>125</v>
      </c>
      <c r="U491" s="1" t="s">
        <v>9505</v>
      </c>
      <c r="V491" s="1">
        <v>8547679555</v>
      </c>
      <c r="W491" s="1" t="s">
        <v>125</v>
      </c>
      <c r="X491" s="1" t="s">
        <v>9506</v>
      </c>
      <c r="Y491" s="1" t="s">
        <v>1307</v>
      </c>
      <c r="Z491" s="1" t="s">
        <v>130</v>
      </c>
      <c r="AA491" s="1" t="s">
        <v>9506</v>
      </c>
      <c r="AB491" s="1" t="s">
        <v>1307</v>
      </c>
      <c r="AC491" s="1" t="s">
        <v>130</v>
      </c>
      <c r="AD491" s="1">
        <v>8.74</v>
      </c>
      <c r="AE491" s="1" t="s">
        <v>98</v>
      </c>
      <c r="AF491" s="1" t="s">
        <v>9507</v>
      </c>
      <c r="AG491" s="1" t="s">
        <v>9508</v>
      </c>
      <c r="AH491" s="1" t="s">
        <v>1213</v>
      </c>
      <c r="AI491" s="1" t="s">
        <v>101</v>
      </c>
      <c r="AJ491" s="1">
        <v>89.3</v>
      </c>
      <c r="AK491" s="1">
        <v>9.4</v>
      </c>
      <c r="AL491" s="1" t="s">
        <v>9507</v>
      </c>
      <c r="AM491" s="1" t="s">
        <v>9508</v>
      </c>
      <c r="AN491" s="1"/>
      <c r="AO491" s="1" t="s">
        <v>166</v>
      </c>
      <c r="AP491" s="1" t="s">
        <v>167</v>
      </c>
      <c r="AQ491" s="1">
        <v>81</v>
      </c>
      <c r="AR491" s="1"/>
      <c r="AS491" s="1"/>
      <c r="AT491" s="1"/>
      <c r="AU491" s="1"/>
      <c r="AV491" s="1"/>
      <c r="AW491" s="1"/>
      <c r="AX491" s="1"/>
      <c r="AY491" s="1" t="s">
        <v>137</v>
      </c>
      <c r="AZ491" s="1" t="s">
        <v>9509</v>
      </c>
      <c r="BA491" s="1"/>
      <c r="BB491" s="1"/>
      <c r="BC491" s="1" t="s">
        <v>139</v>
      </c>
      <c r="BD491" s="1" t="s">
        <v>1647</v>
      </c>
      <c r="BE491" s="1">
        <v>64.15</v>
      </c>
      <c r="BF491" s="1">
        <v>6.79</v>
      </c>
      <c r="BG491" s="1"/>
      <c r="BH491" s="1"/>
      <c r="BI491" s="1"/>
      <c r="BJ491" s="1"/>
      <c r="BK491" s="1"/>
      <c r="BL491" s="1"/>
      <c r="BM491" s="1"/>
      <c r="BN491" s="1"/>
      <c r="BO491" s="1" t="s">
        <v>9510</v>
      </c>
      <c r="BP491" s="1"/>
      <c r="BQ491" s="1"/>
      <c r="BR491" s="1" t="s">
        <v>9511</v>
      </c>
      <c r="BS491" s="1">
        <v>18</v>
      </c>
      <c r="BT491" s="1" t="s">
        <v>9512</v>
      </c>
      <c r="BU491" s="1" t="str">
        <f>HYPERLINK("https://nconnect.nicmar.ac.in/storage/profile/ProfilePhoto_P25700494_935762.jpg","Download")</f>
        <v>0</v>
      </c>
      <c r="BV491" s="3"/>
      <c r="BW491" s="3"/>
    </row>
    <row r="492" spans="1:75">
      <c r="A492" s="1" t="s">
        <v>75</v>
      </c>
      <c r="B492" s="1" t="s">
        <v>446</v>
      </c>
      <c r="C492" s="1" t="s">
        <v>9513</v>
      </c>
      <c r="D492" s="1" t="s">
        <v>1319</v>
      </c>
      <c r="E492" s="1" t="s">
        <v>1464</v>
      </c>
      <c r="F492" s="1" t="s">
        <v>9514</v>
      </c>
      <c r="G492" s="1" t="s">
        <v>9515</v>
      </c>
      <c r="H492" s="1" t="s">
        <v>9516</v>
      </c>
      <c r="I492" s="1" t="s">
        <v>9517</v>
      </c>
      <c r="J492" s="1">
        <v>9637115783</v>
      </c>
      <c r="K492" s="1" t="s">
        <v>84</v>
      </c>
      <c r="L492" s="1" t="s">
        <v>9518</v>
      </c>
      <c r="M492" s="1" t="s">
        <v>86</v>
      </c>
      <c r="N492" s="1" t="s">
        <v>1470</v>
      </c>
      <c r="O492" s="1"/>
      <c r="P492" s="1" t="s">
        <v>455</v>
      </c>
      <c r="Q492" s="1" t="s">
        <v>9519</v>
      </c>
      <c r="R492" s="1" t="s">
        <v>9520</v>
      </c>
      <c r="S492" s="1">
        <v>8888766765</v>
      </c>
      <c r="T492" s="1" t="s">
        <v>2375</v>
      </c>
      <c r="U492" s="1" t="s">
        <v>9521</v>
      </c>
      <c r="V492" s="1">
        <v>9860406011</v>
      </c>
      <c r="W492" s="1" t="s">
        <v>161</v>
      </c>
      <c r="X492" s="1" t="s">
        <v>9522</v>
      </c>
      <c r="Y492" s="1" t="s">
        <v>196</v>
      </c>
      <c r="Z492" s="1" t="s">
        <v>97</v>
      </c>
      <c r="AA492" s="1" t="s">
        <v>9522</v>
      </c>
      <c r="AB492" s="1" t="s">
        <v>196</v>
      </c>
      <c r="AC492" s="1" t="s">
        <v>97</v>
      </c>
      <c r="AD492" s="1">
        <v>7.46</v>
      </c>
      <c r="AE492" s="1" t="s">
        <v>98</v>
      </c>
      <c r="AF492" s="1" t="s">
        <v>9523</v>
      </c>
      <c r="AG492" s="1" t="s">
        <v>9524</v>
      </c>
      <c r="AH492" s="1" t="s">
        <v>2783</v>
      </c>
      <c r="AI492" s="1" t="s">
        <v>170</v>
      </c>
      <c r="AJ492" s="1">
        <v>80.2</v>
      </c>
      <c r="AK492" s="1">
        <v>8.6</v>
      </c>
      <c r="AL492" s="1"/>
      <c r="AM492" s="1"/>
      <c r="AN492" s="1"/>
      <c r="AO492" s="1"/>
      <c r="AP492" s="1"/>
      <c r="AQ492" s="1"/>
      <c r="AR492" s="1"/>
      <c r="AS492" s="1" t="s">
        <v>103</v>
      </c>
      <c r="AT492" s="1" t="s">
        <v>9525</v>
      </c>
      <c r="AU492" s="1" t="s">
        <v>5535</v>
      </c>
      <c r="AV492" s="1" t="s">
        <v>468</v>
      </c>
      <c r="AW492" s="1">
        <v>71.79</v>
      </c>
      <c r="AX492" s="1"/>
      <c r="AY492" s="1" t="s">
        <v>9526</v>
      </c>
      <c r="AZ492" s="1" t="s">
        <v>9527</v>
      </c>
      <c r="BA492" s="1"/>
      <c r="BB492" s="1"/>
      <c r="BC492" s="1" t="s">
        <v>890</v>
      </c>
      <c r="BD492" s="1" t="s">
        <v>9528</v>
      </c>
      <c r="BE492" s="1">
        <v>72.09</v>
      </c>
      <c r="BF492" s="1">
        <v>8.1</v>
      </c>
      <c r="BG492" s="1"/>
      <c r="BH492" s="1"/>
      <c r="BI492" s="1"/>
      <c r="BJ492" s="1"/>
      <c r="BK492" s="1"/>
      <c r="BL492" s="1"/>
      <c r="BM492" s="1"/>
      <c r="BN492" s="1"/>
      <c r="BO492" s="1" t="s">
        <v>3308</v>
      </c>
      <c r="BP492" s="1" t="s">
        <v>9529</v>
      </c>
      <c r="BQ492" s="1" t="s">
        <v>658</v>
      </c>
      <c r="BR492" s="1"/>
      <c r="BS492" s="1"/>
      <c r="BT492" s="1"/>
      <c r="BU492" s="1" t="str">
        <f>HYPERLINK("https://nconnect.nicmar.ac.in/storage/profile/ProfilePhoto_P25700495_845126.jpg","Download")</f>
        <v>0</v>
      </c>
      <c r="BV492" s="3"/>
      <c r="BW492" s="3"/>
    </row>
    <row r="493" spans="1:75">
      <c r="A493" s="1" t="s">
        <v>75</v>
      </c>
      <c r="B493" s="1" t="s">
        <v>446</v>
      </c>
      <c r="C493" s="1" t="s">
        <v>9530</v>
      </c>
      <c r="D493" s="1" t="s">
        <v>9531</v>
      </c>
      <c r="E493" s="1" t="s">
        <v>6525</v>
      </c>
      <c r="F493" s="1" t="s">
        <v>9532</v>
      </c>
      <c r="G493" s="1" t="s">
        <v>9533</v>
      </c>
      <c r="H493" s="1" t="s">
        <v>9534</v>
      </c>
      <c r="I493" s="1" t="s">
        <v>9535</v>
      </c>
      <c r="J493" s="1">
        <v>7558471099</v>
      </c>
      <c r="K493" s="1" t="s">
        <v>84</v>
      </c>
      <c r="L493" s="1" t="s">
        <v>9536</v>
      </c>
      <c r="M493" s="1" t="s">
        <v>86</v>
      </c>
      <c r="N493" s="1" t="s">
        <v>9537</v>
      </c>
      <c r="O493" s="1"/>
      <c r="P493" s="1"/>
      <c r="Q493" s="1" t="s">
        <v>9538</v>
      </c>
      <c r="R493" s="1" t="s">
        <v>6525</v>
      </c>
      <c r="S493" s="1">
        <v>9421418121</v>
      </c>
      <c r="T493" s="1" t="s">
        <v>926</v>
      </c>
      <c r="U493" s="1" t="s">
        <v>9539</v>
      </c>
      <c r="V493" s="1">
        <v>9405107811</v>
      </c>
      <c r="W493" s="1" t="s">
        <v>94</v>
      </c>
      <c r="X493" s="1" t="s">
        <v>9540</v>
      </c>
      <c r="Y493" s="1" t="s">
        <v>196</v>
      </c>
      <c r="Z493" s="1" t="s">
        <v>97</v>
      </c>
      <c r="AA493" s="1" t="s">
        <v>9541</v>
      </c>
      <c r="AB493" s="1" t="s">
        <v>96</v>
      </c>
      <c r="AC493" s="1" t="s">
        <v>97</v>
      </c>
      <c r="AD493" s="1">
        <v>8.49</v>
      </c>
      <c r="AE493" s="1" t="s">
        <v>98</v>
      </c>
      <c r="AF493" s="1" t="s">
        <v>9542</v>
      </c>
      <c r="AG493" s="1" t="s">
        <v>9543</v>
      </c>
      <c r="AH493" s="1" t="s">
        <v>102</v>
      </c>
      <c r="AI493" s="1" t="s">
        <v>1111</v>
      </c>
      <c r="AJ493" s="1">
        <v>88.2</v>
      </c>
      <c r="AK493" s="1"/>
      <c r="AL493" s="1" t="s">
        <v>9544</v>
      </c>
      <c r="AM493" s="1" t="s">
        <v>9543</v>
      </c>
      <c r="AN493" s="1" t="s">
        <v>575</v>
      </c>
      <c r="AO493" s="1" t="s">
        <v>1477</v>
      </c>
      <c r="AP493" s="1" t="s">
        <v>203</v>
      </c>
      <c r="AQ493" s="1">
        <v>60</v>
      </c>
      <c r="AR493" s="1"/>
      <c r="AS493" s="1"/>
      <c r="AT493" s="1"/>
      <c r="AU493" s="1"/>
      <c r="AV493" s="1"/>
      <c r="AW493" s="1"/>
      <c r="AX493" s="1"/>
      <c r="AY493" s="1" t="s">
        <v>9545</v>
      </c>
      <c r="AZ493" s="1" t="s">
        <v>9546</v>
      </c>
      <c r="BA493" s="1" t="s">
        <v>578</v>
      </c>
      <c r="BB493" s="1" t="s">
        <v>467</v>
      </c>
      <c r="BC493" s="1" t="s">
        <v>206</v>
      </c>
      <c r="BD493" s="1" t="s">
        <v>955</v>
      </c>
      <c r="BE493" s="1">
        <v>72.3</v>
      </c>
      <c r="BF493" s="1">
        <v>7.98</v>
      </c>
      <c r="BG493" s="1"/>
      <c r="BH493" s="1"/>
      <c r="BI493" s="1"/>
      <c r="BJ493" s="1"/>
      <c r="BK493" s="1"/>
      <c r="BL493" s="1"/>
      <c r="BM493" s="1"/>
      <c r="BN493" s="1"/>
      <c r="BO493" s="1" t="s">
        <v>9547</v>
      </c>
      <c r="BP493" s="1" t="s">
        <v>9548</v>
      </c>
      <c r="BQ493" s="1" t="s">
        <v>1152</v>
      </c>
      <c r="BR493" s="1" t="s">
        <v>9549</v>
      </c>
      <c r="BS493" s="1">
        <v>8</v>
      </c>
      <c r="BT493" s="1" t="s">
        <v>9550</v>
      </c>
      <c r="BU493" s="1" t="str">
        <f>HYPERLINK("https://nconnect.nicmar.ac.in/storage/profile/ProfilePhoto_P25700496_421673.jpg","Download")</f>
        <v>0</v>
      </c>
      <c r="BV493" s="3"/>
      <c r="BW493" s="4">
        <v>1</v>
      </c>
    </row>
    <row r="494" spans="1:75">
      <c r="A494" s="1" t="s">
        <v>75</v>
      </c>
      <c r="B494" s="1" t="s">
        <v>446</v>
      </c>
      <c r="C494" s="1" t="s">
        <v>9551</v>
      </c>
      <c r="D494" s="1" t="s">
        <v>348</v>
      </c>
      <c r="E494" s="1"/>
      <c r="F494" s="1" t="s">
        <v>9552</v>
      </c>
      <c r="G494" s="1" t="s">
        <v>9553</v>
      </c>
      <c r="H494" s="1" t="s">
        <v>9554</v>
      </c>
      <c r="I494" s="1" t="s">
        <v>9555</v>
      </c>
      <c r="J494" s="1">
        <v>6303601977</v>
      </c>
      <c r="K494" s="1" t="s">
        <v>84</v>
      </c>
      <c r="L494" s="1" t="s">
        <v>9556</v>
      </c>
      <c r="M494" s="1" t="s">
        <v>86</v>
      </c>
      <c r="N494" s="1" t="s">
        <v>8347</v>
      </c>
      <c r="O494" s="1"/>
      <c r="P494" s="1"/>
      <c r="Q494" s="1" t="s">
        <v>9557</v>
      </c>
      <c r="R494" s="1" t="s">
        <v>9558</v>
      </c>
      <c r="S494" s="1">
        <v>9440414965</v>
      </c>
      <c r="T494" s="1" t="s">
        <v>1620</v>
      </c>
      <c r="U494" s="1" t="s">
        <v>9559</v>
      </c>
      <c r="V494" s="1">
        <v>9182069742</v>
      </c>
      <c r="W494" s="1" t="s">
        <v>541</v>
      </c>
      <c r="X494" s="1" t="s">
        <v>9560</v>
      </c>
      <c r="Y494" s="1" t="s">
        <v>1454</v>
      </c>
      <c r="Z494" s="1" t="s">
        <v>281</v>
      </c>
      <c r="AA494" s="1" t="s">
        <v>9560</v>
      </c>
      <c r="AB494" s="1" t="s">
        <v>1454</v>
      </c>
      <c r="AC494" s="1" t="s">
        <v>281</v>
      </c>
      <c r="AD494" s="1">
        <v>8.26</v>
      </c>
      <c r="AE494" s="1" t="s">
        <v>98</v>
      </c>
      <c r="AF494" s="1" t="s">
        <v>9561</v>
      </c>
      <c r="AG494" s="1" t="s">
        <v>9562</v>
      </c>
      <c r="AH494" s="1" t="s">
        <v>171</v>
      </c>
      <c r="AI494" s="1" t="s">
        <v>313</v>
      </c>
      <c r="AJ494" s="1">
        <v>68.4</v>
      </c>
      <c r="AK494" s="1"/>
      <c r="AL494" s="1" t="s">
        <v>9563</v>
      </c>
      <c r="AM494" s="1" t="s">
        <v>9564</v>
      </c>
      <c r="AN494" s="1" t="s">
        <v>465</v>
      </c>
      <c r="AO494" s="1" t="s">
        <v>438</v>
      </c>
      <c r="AP494" s="1" t="s">
        <v>178</v>
      </c>
      <c r="AQ494" s="1">
        <v>88.9</v>
      </c>
      <c r="AR494" s="1"/>
      <c r="AS494" s="1"/>
      <c r="AT494" s="1"/>
      <c r="AU494" s="1"/>
      <c r="AV494" s="1"/>
      <c r="AW494" s="1"/>
      <c r="AX494" s="1"/>
      <c r="AY494" s="1" t="s">
        <v>9565</v>
      </c>
      <c r="AZ494" s="1" t="s">
        <v>9566</v>
      </c>
      <c r="BA494" s="1" t="s">
        <v>466</v>
      </c>
      <c r="BB494" s="1" t="s">
        <v>467</v>
      </c>
      <c r="BC494" s="1" t="s">
        <v>552</v>
      </c>
      <c r="BD494" s="1" t="s">
        <v>848</v>
      </c>
      <c r="BE494" s="1">
        <v>63</v>
      </c>
      <c r="BF494" s="1">
        <v>7.05</v>
      </c>
      <c r="BG494" s="1"/>
      <c r="BH494" s="1"/>
      <c r="BI494" s="1"/>
      <c r="BJ494" s="1"/>
      <c r="BK494" s="1"/>
      <c r="BL494" s="1"/>
      <c r="BM494" s="1"/>
      <c r="BN494" s="1"/>
      <c r="BO494" s="1" t="s">
        <v>9567</v>
      </c>
      <c r="BP494" s="1"/>
      <c r="BQ494" s="1"/>
      <c r="BR494" s="1" t="s">
        <v>9568</v>
      </c>
      <c r="BS494" s="1">
        <v>24</v>
      </c>
      <c r="BT494" s="1" t="s">
        <v>9569</v>
      </c>
      <c r="BU494" s="1" t="str">
        <f>HYPERLINK("https://nconnect.nicmar.ac.in/storage/profile/ProfilePhoto_P25700497_461735.jpg","Download")</f>
        <v>0</v>
      </c>
      <c r="BV494" s="3"/>
      <c r="BW494" s="3"/>
    </row>
    <row r="495" spans="1:75">
      <c r="A495" s="1" t="s">
        <v>75</v>
      </c>
      <c r="B495" s="1" t="s">
        <v>446</v>
      </c>
      <c r="C495" s="1" t="s">
        <v>9570</v>
      </c>
      <c r="D495" s="1" t="s">
        <v>3350</v>
      </c>
      <c r="E495" s="1"/>
      <c r="F495" s="1" t="s">
        <v>9571</v>
      </c>
      <c r="G495" s="1" t="s">
        <v>9572</v>
      </c>
      <c r="H495" s="1" t="s">
        <v>9573</v>
      </c>
      <c r="I495" s="1" t="s">
        <v>9574</v>
      </c>
      <c r="J495" s="1">
        <v>7008400781</v>
      </c>
      <c r="K495" s="1" t="s">
        <v>84</v>
      </c>
      <c r="L495" s="1" t="s">
        <v>9575</v>
      </c>
      <c r="M495" s="1" t="s">
        <v>86</v>
      </c>
      <c r="N495" s="1" t="s">
        <v>858</v>
      </c>
      <c r="O495" s="1"/>
      <c r="P495" s="1" t="s">
        <v>481</v>
      </c>
      <c r="Q495" s="1" t="s">
        <v>9576</v>
      </c>
      <c r="R495" s="1" t="s">
        <v>9577</v>
      </c>
      <c r="S495" s="1">
        <v>9668601082</v>
      </c>
      <c r="T495" s="1" t="s">
        <v>9578</v>
      </c>
      <c r="U495" s="1" t="s">
        <v>9579</v>
      </c>
      <c r="V495" s="1">
        <v>9777995200</v>
      </c>
      <c r="W495" s="1" t="s">
        <v>161</v>
      </c>
      <c r="X495" s="1" t="s">
        <v>9580</v>
      </c>
      <c r="Y495" s="1" t="s">
        <v>9581</v>
      </c>
      <c r="Z495" s="1" t="s">
        <v>865</v>
      </c>
      <c r="AA495" s="1" t="s">
        <v>9580</v>
      </c>
      <c r="AB495" s="1" t="s">
        <v>9581</v>
      </c>
      <c r="AC495" s="1" t="s">
        <v>865</v>
      </c>
      <c r="AD495" s="1">
        <v>7.82</v>
      </c>
      <c r="AE495" s="1" t="s">
        <v>98</v>
      </c>
      <c r="AF495" s="1" t="s">
        <v>9582</v>
      </c>
      <c r="AG495" s="1" t="s">
        <v>9583</v>
      </c>
      <c r="AH495" s="1" t="s">
        <v>284</v>
      </c>
      <c r="AI495" s="1" t="s">
        <v>200</v>
      </c>
      <c r="AJ495" s="1">
        <v>95</v>
      </c>
      <c r="AK495" s="1">
        <v>10</v>
      </c>
      <c r="AL495" s="1" t="s">
        <v>9582</v>
      </c>
      <c r="AM495" s="1" t="s">
        <v>9583</v>
      </c>
      <c r="AN495" s="1"/>
      <c r="AO495" s="1" t="s">
        <v>171</v>
      </c>
      <c r="AP495" s="1" t="s">
        <v>547</v>
      </c>
      <c r="AQ495" s="1">
        <v>61.2</v>
      </c>
      <c r="AR495" s="1"/>
      <c r="AS495" s="1"/>
      <c r="AT495" s="1"/>
      <c r="AU495" s="1"/>
      <c r="AV495" s="1"/>
      <c r="AW495" s="1"/>
      <c r="AX495" s="1"/>
      <c r="AY495" s="1" t="s">
        <v>9584</v>
      </c>
      <c r="AZ495" s="1" t="s">
        <v>9585</v>
      </c>
      <c r="BA495" s="1"/>
      <c r="BB495" s="1"/>
      <c r="BC495" s="1" t="s">
        <v>441</v>
      </c>
      <c r="BD495" s="1" t="s">
        <v>553</v>
      </c>
      <c r="BE495" s="1">
        <v>66.9</v>
      </c>
      <c r="BF495" s="1">
        <v>7.19</v>
      </c>
      <c r="BG495" s="1"/>
      <c r="BH495" s="1"/>
      <c r="BI495" s="1"/>
      <c r="BJ495" s="1"/>
      <c r="BK495" s="1"/>
      <c r="BL495" s="1"/>
      <c r="BM495" s="1"/>
      <c r="BN495" s="1"/>
      <c r="BO495" s="1" t="s">
        <v>9586</v>
      </c>
      <c r="BP495" s="1"/>
      <c r="BQ495" s="1"/>
      <c r="BR495" s="1" t="s">
        <v>9587</v>
      </c>
      <c r="BS495" s="1">
        <v>17</v>
      </c>
      <c r="BT495" s="1" t="s">
        <v>9588</v>
      </c>
      <c r="BU495" s="1" t="str">
        <f>HYPERLINK("https://nconnect.nicmar.ac.in/storage/profile/ProfilePhoto_P25700498_498652.jpg","Download")</f>
        <v>0</v>
      </c>
      <c r="BV495" s="3"/>
      <c r="BW495" s="3"/>
    </row>
    <row r="496" spans="1:75">
      <c r="A496" s="1" t="s">
        <v>75</v>
      </c>
      <c r="B496" s="1" t="s">
        <v>446</v>
      </c>
      <c r="C496" s="1" t="s">
        <v>9589</v>
      </c>
      <c r="D496" s="1" t="s">
        <v>9590</v>
      </c>
      <c r="E496" s="1" t="s">
        <v>1320</v>
      </c>
      <c r="F496" s="1" t="s">
        <v>9591</v>
      </c>
      <c r="G496" s="1" t="s">
        <v>9592</v>
      </c>
      <c r="H496" s="1" t="s">
        <v>9593</v>
      </c>
      <c r="I496" s="1" t="s">
        <v>9594</v>
      </c>
      <c r="J496" s="1">
        <v>9699447311</v>
      </c>
      <c r="K496" s="1" t="s">
        <v>84</v>
      </c>
      <c r="L496" s="1" t="s">
        <v>9595</v>
      </c>
      <c r="M496" s="1" t="s">
        <v>155</v>
      </c>
      <c r="N496" s="1" t="s">
        <v>6504</v>
      </c>
      <c r="O496" s="1"/>
      <c r="P496" s="1" t="s">
        <v>455</v>
      </c>
      <c r="Q496" s="1" t="s">
        <v>9596</v>
      </c>
      <c r="R496" s="1" t="s">
        <v>9597</v>
      </c>
      <c r="S496" s="1">
        <v>9321555715</v>
      </c>
      <c r="T496" s="1" t="s">
        <v>9598</v>
      </c>
      <c r="U496" s="1" t="s">
        <v>9599</v>
      </c>
      <c r="V496" s="1">
        <v>8446346783</v>
      </c>
      <c r="W496" s="1" t="s">
        <v>161</v>
      </c>
      <c r="X496" s="1" t="s">
        <v>9600</v>
      </c>
      <c r="Y496" s="1" t="s">
        <v>4302</v>
      </c>
      <c r="Z496" s="1" t="s">
        <v>97</v>
      </c>
      <c r="AA496" s="1" t="s">
        <v>9600</v>
      </c>
      <c r="AB496" s="1" t="s">
        <v>4302</v>
      </c>
      <c r="AC496" s="1" t="s">
        <v>97</v>
      </c>
      <c r="AD496" s="1">
        <v>7.85</v>
      </c>
      <c r="AE496" s="1" t="s">
        <v>98</v>
      </c>
      <c r="AF496" s="1" t="s">
        <v>9601</v>
      </c>
      <c r="AG496" s="1" t="s">
        <v>9602</v>
      </c>
      <c r="AH496" s="1" t="s">
        <v>133</v>
      </c>
      <c r="AI496" s="1" t="s">
        <v>1213</v>
      </c>
      <c r="AJ496" s="1">
        <v>74.91</v>
      </c>
      <c r="AK496" s="1"/>
      <c r="AL496" s="1" t="s">
        <v>9603</v>
      </c>
      <c r="AM496" s="1" t="s">
        <v>9602</v>
      </c>
      <c r="AN496" s="1" t="s">
        <v>575</v>
      </c>
      <c r="AO496" s="1" t="s">
        <v>101</v>
      </c>
      <c r="AP496" s="1" t="s">
        <v>166</v>
      </c>
      <c r="AQ496" s="1">
        <v>53.23</v>
      </c>
      <c r="AR496" s="1"/>
      <c r="AS496" s="1" t="s">
        <v>103</v>
      </c>
      <c r="AT496" s="1" t="s">
        <v>9602</v>
      </c>
      <c r="AU496" s="1" t="s">
        <v>105</v>
      </c>
      <c r="AV496" s="1" t="s">
        <v>170</v>
      </c>
      <c r="AW496" s="1">
        <v>75</v>
      </c>
      <c r="AX496" s="1"/>
      <c r="AY496" s="1" t="s">
        <v>680</v>
      </c>
      <c r="AZ496" s="1" t="s">
        <v>9602</v>
      </c>
      <c r="BA496" s="1" t="s">
        <v>578</v>
      </c>
      <c r="BB496" s="1" t="s">
        <v>467</v>
      </c>
      <c r="BC496" s="1" t="s">
        <v>230</v>
      </c>
      <c r="BD496" s="1" t="s">
        <v>175</v>
      </c>
      <c r="BE496" s="1">
        <v>67.43</v>
      </c>
      <c r="BF496" s="1">
        <v>7.49</v>
      </c>
      <c r="BG496" s="1"/>
      <c r="BH496" s="1"/>
      <c r="BI496" s="1"/>
      <c r="BJ496" s="1"/>
      <c r="BK496" s="1"/>
      <c r="BL496" s="1"/>
      <c r="BM496" s="1"/>
      <c r="BN496" s="1"/>
      <c r="BO496" s="1" t="s">
        <v>9604</v>
      </c>
      <c r="BP496" s="1" t="s">
        <v>9605</v>
      </c>
      <c r="BQ496" s="1" t="s">
        <v>9606</v>
      </c>
      <c r="BR496" s="1" t="s">
        <v>9607</v>
      </c>
      <c r="BS496" s="1">
        <v>9</v>
      </c>
      <c r="BT496" s="1" t="s">
        <v>9608</v>
      </c>
      <c r="BU496" s="1" t="str">
        <f>HYPERLINK("https://nconnect.nicmar.ac.in/storage/profile/ProfilePhoto_P25700499_582613.jpg","Download")</f>
        <v>0</v>
      </c>
      <c r="BV496" s="3"/>
      <c r="BW496" s="3"/>
    </row>
    <row r="497" spans="1:75">
      <c r="A497" s="1" t="s">
        <v>75</v>
      </c>
      <c r="B497" s="1" t="s">
        <v>446</v>
      </c>
      <c r="C497" s="1" t="s">
        <v>9609</v>
      </c>
      <c r="D497" s="1" t="s">
        <v>9610</v>
      </c>
      <c r="E497" s="1"/>
      <c r="F497" s="1" t="s">
        <v>9611</v>
      </c>
      <c r="G497" s="1" t="s">
        <v>9612</v>
      </c>
      <c r="H497" s="1" t="s">
        <v>9613</v>
      </c>
      <c r="I497" s="1" t="s">
        <v>9614</v>
      </c>
      <c r="J497" s="1">
        <v>8019699355</v>
      </c>
      <c r="K497" s="1" t="s">
        <v>84</v>
      </c>
      <c r="L497" s="1" t="s">
        <v>9615</v>
      </c>
      <c r="M497" s="1" t="s">
        <v>86</v>
      </c>
      <c r="N497" s="1" t="s">
        <v>8347</v>
      </c>
      <c r="O497" s="1"/>
      <c r="P497" s="1" t="s">
        <v>481</v>
      </c>
      <c r="Q497" s="1" t="s">
        <v>9616</v>
      </c>
      <c r="R497" s="1" t="s">
        <v>9617</v>
      </c>
      <c r="S497" s="1">
        <v>8008640029</v>
      </c>
      <c r="T497" s="1" t="s">
        <v>159</v>
      </c>
      <c r="U497" s="1" t="s">
        <v>9618</v>
      </c>
      <c r="V497" s="1">
        <v>9494754174</v>
      </c>
      <c r="W497" s="1" t="s">
        <v>278</v>
      </c>
      <c r="X497" s="1" t="s">
        <v>9619</v>
      </c>
      <c r="Y497" s="1" t="s">
        <v>3464</v>
      </c>
      <c r="Z497" s="1" t="s">
        <v>281</v>
      </c>
      <c r="AA497" s="1" t="s">
        <v>9619</v>
      </c>
      <c r="AB497" s="1" t="s">
        <v>3464</v>
      </c>
      <c r="AC497" s="1" t="s">
        <v>281</v>
      </c>
      <c r="AD497" s="1">
        <v>8.74</v>
      </c>
      <c r="AE497" s="1" t="s">
        <v>98</v>
      </c>
      <c r="AF497" s="1" t="s">
        <v>9620</v>
      </c>
      <c r="AG497" s="1" t="s">
        <v>2341</v>
      </c>
      <c r="AH497" s="1" t="s">
        <v>170</v>
      </c>
      <c r="AI497" s="1" t="s">
        <v>106</v>
      </c>
      <c r="AJ497" s="1">
        <v>98</v>
      </c>
      <c r="AK497" s="1">
        <v>9.8</v>
      </c>
      <c r="AL497" s="1" t="s">
        <v>9621</v>
      </c>
      <c r="AM497" s="1" t="s">
        <v>2343</v>
      </c>
      <c r="AN497" s="1" t="s">
        <v>465</v>
      </c>
      <c r="AO497" s="1" t="s">
        <v>106</v>
      </c>
      <c r="AP497" s="1" t="s">
        <v>468</v>
      </c>
      <c r="AQ497" s="1">
        <v>96.2</v>
      </c>
      <c r="AR497" s="1">
        <v>9.88</v>
      </c>
      <c r="AS497" s="1"/>
      <c r="AT497" s="1"/>
      <c r="AU497" s="1"/>
      <c r="AV497" s="1"/>
      <c r="AW497" s="1"/>
      <c r="AX497" s="1"/>
      <c r="AY497" s="1" t="s">
        <v>9622</v>
      </c>
      <c r="AZ497" s="1" t="s">
        <v>9623</v>
      </c>
      <c r="BA497" s="1" t="s">
        <v>466</v>
      </c>
      <c r="BB497" s="1" t="s">
        <v>467</v>
      </c>
      <c r="BC497" s="1" t="s">
        <v>368</v>
      </c>
      <c r="BD497" s="1" t="s">
        <v>418</v>
      </c>
      <c r="BE497" s="1">
        <v>73.3</v>
      </c>
      <c r="BF497" s="1">
        <v>7.83</v>
      </c>
      <c r="BG497" s="1"/>
      <c r="BH497" s="1"/>
      <c r="BI497" s="1"/>
      <c r="BJ497" s="1"/>
      <c r="BK497" s="1"/>
      <c r="BL497" s="1"/>
      <c r="BM497" s="1"/>
      <c r="BN497" s="1"/>
      <c r="BO497" s="1" t="s">
        <v>9624</v>
      </c>
      <c r="BP497" s="1" t="s">
        <v>9625</v>
      </c>
      <c r="BQ497" s="1" t="s">
        <v>1070</v>
      </c>
      <c r="BR497" s="1" t="s">
        <v>9626</v>
      </c>
      <c r="BS497" s="1">
        <v>12</v>
      </c>
      <c r="BT497" s="1" t="s">
        <v>9627</v>
      </c>
      <c r="BU497" s="1" t="str">
        <f>HYPERLINK("https://nconnect.nicmar.ac.in/storage/profile/ProfilePhoto_P25700500_496237.jpg","Download")</f>
        <v>0</v>
      </c>
      <c r="BV497" s="3"/>
      <c r="BW497" s="4">
        <v>1</v>
      </c>
    </row>
    <row r="498" spans="1:75">
      <c r="A498" s="1" t="s">
        <v>75</v>
      </c>
      <c r="B498" s="1" t="s">
        <v>446</v>
      </c>
      <c r="C498" s="1" t="s">
        <v>9628</v>
      </c>
      <c r="D498" s="1" t="s">
        <v>9629</v>
      </c>
      <c r="E498" s="1" t="s">
        <v>9630</v>
      </c>
      <c r="F498" s="1" t="s">
        <v>9631</v>
      </c>
      <c r="G498" s="1" t="s">
        <v>9632</v>
      </c>
      <c r="H498" s="1" t="s">
        <v>9633</v>
      </c>
      <c r="I498" s="1" t="s">
        <v>9634</v>
      </c>
      <c r="J498" s="1">
        <v>8790404862</v>
      </c>
      <c r="K498" s="1" t="s">
        <v>84</v>
      </c>
      <c r="L498" s="1" t="s">
        <v>8470</v>
      </c>
      <c r="M498" s="1" t="s">
        <v>86</v>
      </c>
      <c r="N498" s="1" t="s">
        <v>9635</v>
      </c>
      <c r="O498" s="1"/>
      <c r="P498" s="1" t="s">
        <v>507</v>
      </c>
      <c r="Q498" s="1" t="s">
        <v>9636</v>
      </c>
      <c r="R498" s="1" t="s">
        <v>9637</v>
      </c>
      <c r="S498" s="1">
        <v>8341194093</v>
      </c>
      <c r="T498" s="1" t="s">
        <v>9638</v>
      </c>
      <c r="U498" s="1" t="s">
        <v>9639</v>
      </c>
      <c r="V498" s="1">
        <v>9704636806</v>
      </c>
      <c r="W498" s="1" t="s">
        <v>9640</v>
      </c>
      <c r="X498" s="1" t="s">
        <v>9641</v>
      </c>
      <c r="Y498" s="1" t="s">
        <v>3031</v>
      </c>
      <c r="Z498" s="1" t="s">
        <v>461</v>
      </c>
      <c r="AA498" s="1" t="s">
        <v>9641</v>
      </c>
      <c r="AB498" s="1" t="s">
        <v>3031</v>
      </c>
      <c r="AC498" s="1" t="s">
        <v>461</v>
      </c>
      <c r="AD498" s="1">
        <v>7.31</v>
      </c>
      <c r="AE498" s="1" t="s">
        <v>98</v>
      </c>
      <c r="AF498" s="1" t="s">
        <v>9642</v>
      </c>
      <c r="AG498" s="1" t="s">
        <v>2634</v>
      </c>
      <c r="AH498" s="1" t="s">
        <v>170</v>
      </c>
      <c r="AI498" s="1" t="s">
        <v>286</v>
      </c>
      <c r="AJ498" s="1">
        <v>82</v>
      </c>
      <c r="AK498" s="1">
        <v>8.2</v>
      </c>
      <c r="AL498" s="1" t="s">
        <v>3033</v>
      </c>
      <c r="AM498" s="1" t="s">
        <v>3034</v>
      </c>
      <c r="AN498" s="1" t="s">
        <v>465</v>
      </c>
      <c r="AO498" s="1" t="s">
        <v>106</v>
      </c>
      <c r="AP498" s="1" t="s">
        <v>603</v>
      </c>
      <c r="AQ498" s="1">
        <v>65.9</v>
      </c>
      <c r="AR498" s="1">
        <v>0</v>
      </c>
      <c r="AS498" s="1"/>
      <c r="AT498" s="1"/>
      <c r="AU498" s="1"/>
      <c r="AV498" s="1"/>
      <c r="AW498" s="1"/>
      <c r="AX498" s="1"/>
      <c r="AY498" s="1" t="s">
        <v>9643</v>
      </c>
      <c r="AZ498" s="1" t="s">
        <v>9644</v>
      </c>
      <c r="BA498" s="1" t="s">
        <v>578</v>
      </c>
      <c r="BB498" s="1" t="s">
        <v>467</v>
      </c>
      <c r="BC498" s="1" t="s">
        <v>468</v>
      </c>
      <c r="BD498" s="1" t="s">
        <v>8670</v>
      </c>
      <c r="BE498" s="1">
        <v>57.77</v>
      </c>
      <c r="BF498" s="1">
        <v>6.3</v>
      </c>
      <c r="BG498" s="1"/>
      <c r="BH498" s="1"/>
      <c r="BI498" s="1"/>
      <c r="BJ498" s="1"/>
      <c r="BK498" s="1"/>
      <c r="BL498" s="1"/>
      <c r="BM498" s="1"/>
      <c r="BN498" s="1"/>
      <c r="BO498" s="1" t="s">
        <v>9645</v>
      </c>
      <c r="BP498" s="1"/>
      <c r="BQ498" s="1"/>
      <c r="BR498" s="1" t="s">
        <v>9646</v>
      </c>
      <c r="BS498" s="1">
        <v>26</v>
      </c>
      <c r="BT498" s="1" t="s">
        <v>9647</v>
      </c>
      <c r="BU498" s="1" t="str">
        <f>HYPERLINK("https://nconnect.nicmar.ac.in/storage/profile/ProfilePhoto_P25700501_931728.jpg","Download")</f>
        <v>0</v>
      </c>
      <c r="BV498" s="3"/>
      <c r="BW498" s="3"/>
    </row>
    <row r="499" spans="1:75">
      <c r="A499" s="1" t="s">
        <v>75</v>
      </c>
      <c r="B499" s="1" t="s">
        <v>446</v>
      </c>
      <c r="C499" s="1" t="s">
        <v>9648</v>
      </c>
      <c r="D499" s="1" t="s">
        <v>9649</v>
      </c>
      <c r="E499" s="1"/>
      <c r="F499" s="1" t="s">
        <v>9650</v>
      </c>
      <c r="G499" s="1" t="s">
        <v>9651</v>
      </c>
      <c r="H499" s="1" t="s">
        <v>9652</v>
      </c>
      <c r="I499" s="1" t="s">
        <v>9652</v>
      </c>
      <c r="J499" s="1">
        <v>9999999999</v>
      </c>
      <c r="K499" s="1"/>
      <c r="L499" s="1"/>
      <c r="M499" s="1"/>
      <c r="N499" s="1"/>
      <c r="O499" s="1"/>
      <c r="P499" s="1"/>
      <c r="Q499" s="1"/>
      <c r="R499" s="1"/>
      <c r="S499" s="1"/>
      <c r="T499" s="1"/>
      <c r="U499" s="1"/>
      <c r="V499" s="1"/>
      <c r="W499" s="1"/>
      <c r="X499" s="1"/>
      <c r="Y499" s="1"/>
      <c r="Z499" s="1"/>
      <c r="AA499" s="1"/>
      <c r="AB499" s="1"/>
      <c r="AC499" s="1"/>
      <c r="AD499" s="1">
        <v>7.1</v>
      </c>
      <c r="AE499" s="1" t="s">
        <v>98</v>
      </c>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t="s">
        <v>9653</v>
      </c>
      <c r="BV499" s="3"/>
      <c r="BW499" s="3"/>
    </row>
    <row r="500" spans="1:75">
      <c r="A500" s="1" t="s">
        <v>75</v>
      </c>
      <c r="B500" s="1" t="s">
        <v>76</v>
      </c>
      <c r="C500" s="1" t="s">
        <v>9654</v>
      </c>
      <c r="D500" s="1" t="s">
        <v>9655</v>
      </c>
      <c r="E500" s="1"/>
      <c r="F500" s="1" t="s">
        <v>1295</v>
      </c>
      <c r="G500" s="1" t="s">
        <v>9656</v>
      </c>
      <c r="H500" s="1" t="s">
        <v>9657</v>
      </c>
      <c r="I500" s="1" t="s">
        <v>9658</v>
      </c>
      <c r="J500" s="1">
        <v>6364248400</v>
      </c>
      <c r="K500" s="1" t="s">
        <v>84</v>
      </c>
      <c r="L500" s="1" t="s">
        <v>5369</v>
      </c>
      <c r="M500" s="1" t="s">
        <v>86</v>
      </c>
      <c r="N500" s="1" t="s">
        <v>9659</v>
      </c>
      <c r="O500" s="1"/>
      <c r="P500" s="1" t="s">
        <v>356</v>
      </c>
      <c r="Q500" s="1"/>
      <c r="R500" s="1" t="s">
        <v>9660</v>
      </c>
      <c r="S500" s="1">
        <v>7337613316</v>
      </c>
      <c r="T500" s="1" t="s">
        <v>9661</v>
      </c>
      <c r="U500" s="1" t="s">
        <v>9662</v>
      </c>
      <c r="V500" s="1">
        <v>9481633061</v>
      </c>
      <c r="W500" s="1" t="s">
        <v>9663</v>
      </c>
      <c r="X500" s="1" t="s">
        <v>9664</v>
      </c>
      <c r="Y500" s="1" t="s">
        <v>6414</v>
      </c>
      <c r="Z500" s="1" t="s">
        <v>1210</v>
      </c>
      <c r="AA500" s="1" t="s">
        <v>9664</v>
      </c>
      <c r="AB500" s="1" t="s">
        <v>6414</v>
      </c>
      <c r="AC500" s="1" t="s">
        <v>1210</v>
      </c>
      <c r="AD500" s="1" t="s">
        <v>98</v>
      </c>
      <c r="AE500" s="1" t="s">
        <v>98</v>
      </c>
      <c r="AF500" s="1" t="s">
        <v>9665</v>
      </c>
      <c r="AG500" s="1" t="s">
        <v>796</v>
      </c>
      <c r="AH500" s="1" t="s">
        <v>166</v>
      </c>
      <c r="AI500" s="1" t="s">
        <v>106</v>
      </c>
      <c r="AJ500" s="1">
        <v>86.2</v>
      </c>
      <c r="AK500" s="1">
        <v>8.6</v>
      </c>
      <c r="AL500" s="1" t="s">
        <v>9666</v>
      </c>
      <c r="AM500" s="1" t="s">
        <v>1210</v>
      </c>
      <c r="AN500" s="1"/>
      <c r="AO500" s="1" t="s">
        <v>174</v>
      </c>
      <c r="AP500" s="1" t="s">
        <v>890</v>
      </c>
      <c r="AQ500" s="1">
        <v>69</v>
      </c>
      <c r="AR500" s="1">
        <v>6.9</v>
      </c>
      <c r="AS500" s="1"/>
      <c r="AT500" s="1"/>
      <c r="AU500" s="1"/>
      <c r="AV500" s="1"/>
      <c r="AW500" s="1"/>
      <c r="AX500" s="1"/>
      <c r="AY500" s="1" t="s">
        <v>1217</v>
      </c>
      <c r="AZ500" s="1" t="s">
        <v>9667</v>
      </c>
      <c r="BA500" s="1"/>
      <c r="BB500" s="1"/>
      <c r="BC500" s="1" t="s">
        <v>178</v>
      </c>
      <c r="BD500" s="1" t="s">
        <v>1242</v>
      </c>
      <c r="BE500" s="1">
        <v>65</v>
      </c>
      <c r="BF500" s="1">
        <v>7.23</v>
      </c>
      <c r="BG500" s="1"/>
      <c r="BH500" s="1"/>
      <c r="BI500" s="1"/>
      <c r="BJ500" s="1"/>
      <c r="BK500" s="1"/>
      <c r="BL500" s="1"/>
      <c r="BM500" s="1"/>
      <c r="BN500" s="1"/>
      <c r="BO500" s="1" t="s">
        <v>9668</v>
      </c>
      <c r="BP500" s="1"/>
      <c r="BQ500" s="1"/>
      <c r="BR500" s="1"/>
      <c r="BS500" s="1"/>
      <c r="BT500" s="1"/>
      <c r="BU500" s="1" t="s">
        <v>9653</v>
      </c>
      <c r="BV500" s="3"/>
      <c r="BW500" s="3"/>
    </row>
    <row r="501" spans="1:75">
      <c r="A501" s="1" t="s">
        <v>75</v>
      </c>
      <c r="B501" s="1" t="s">
        <v>76</v>
      </c>
      <c r="C501" s="1" t="s">
        <v>9669</v>
      </c>
      <c r="D501" s="1" t="s">
        <v>9670</v>
      </c>
      <c r="E501" s="1"/>
      <c r="F501" s="1" t="s">
        <v>9671</v>
      </c>
      <c r="G501" s="1" t="s">
        <v>9672</v>
      </c>
      <c r="H501" s="1" t="s">
        <v>9673</v>
      </c>
      <c r="I501" s="1" t="s">
        <v>9674</v>
      </c>
      <c r="J501" s="1">
        <v>8077900120</v>
      </c>
      <c r="K501" s="1" t="s">
        <v>84</v>
      </c>
      <c r="L501" s="1" t="s">
        <v>9675</v>
      </c>
      <c r="M501" s="1" t="s">
        <v>86</v>
      </c>
      <c r="N501" s="1" t="s">
        <v>8293</v>
      </c>
      <c r="O501" s="1"/>
      <c r="P501" s="1" t="s">
        <v>122</v>
      </c>
      <c r="Q501" s="1"/>
      <c r="R501" s="1" t="s">
        <v>9676</v>
      </c>
      <c r="S501" s="1">
        <v>9149280722</v>
      </c>
      <c r="T501" s="1" t="s">
        <v>9677</v>
      </c>
      <c r="U501" s="1" t="s">
        <v>9678</v>
      </c>
      <c r="V501" s="1">
        <v>8475068805</v>
      </c>
      <c r="W501" s="1" t="s">
        <v>9679</v>
      </c>
      <c r="X501" s="1" t="s">
        <v>9680</v>
      </c>
      <c r="Y501" s="1" t="s">
        <v>1059</v>
      </c>
      <c r="Z501" s="1" t="s">
        <v>544</v>
      </c>
      <c r="AA501" s="1" t="s">
        <v>9680</v>
      </c>
      <c r="AB501" s="1" t="s">
        <v>1059</v>
      </c>
      <c r="AC501" s="1" t="s">
        <v>544</v>
      </c>
      <c r="AD501" s="1" t="s">
        <v>98</v>
      </c>
      <c r="AE501" s="1" t="s">
        <v>98</v>
      </c>
      <c r="AF501" s="1" t="s">
        <v>9681</v>
      </c>
      <c r="AG501" s="1" t="s">
        <v>9682</v>
      </c>
      <c r="AH501" s="1" t="s">
        <v>3421</v>
      </c>
      <c r="AI501" s="1" t="s">
        <v>1262</v>
      </c>
      <c r="AJ501" s="1">
        <v>83.6</v>
      </c>
      <c r="AK501" s="1">
        <v>8.8</v>
      </c>
      <c r="AL501" s="1" t="s">
        <v>9683</v>
      </c>
      <c r="AM501" s="1" t="s">
        <v>9682</v>
      </c>
      <c r="AN501" s="1"/>
      <c r="AO501" s="1" t="s">
        <v>1110</v>
      </c>
      <c r="AP501" s="1" t="s">
        <v>627</v>
      </c>
      <c r="AQ501" s="1">
        <v>71.4</v>
      </c>
      <c r="AR501" s="1"/>
      <c r="AS501" s="1"/>
      <c r="AT501" s="1"/>
      <c r="AU501" s="1"/>
      <c r="AV501" s="1"/>
      <c r="AW501" s="1"/>
      <c r="AX501" s="1"/>
      <c r="AY501" s="1" t="s">
        <v>9684</v>
      </c>
      <c r="AZ501" s="1" t="s">
        <v>9685</v>
      </c>
      <c r="BA501" s="1"/>
      <c r="BB501" s="1"/>
      <c r="BC501" s="1" t="s">
        <v>388</v>
      </c>
      <c r="BD501" s="1" t="s">
        <v>845</v>
      </c>
      <c r="BE501" s="1">
        <v>72.9</v>
      </c>
      <c r="BF501" s="1">
        <v>7.29</v>
      </c>
      <c r="BG501" s="1" t="s">
        <v>9686</v>
      </c>
      <c r="BH501" s="1" t="s">
        <v>9687</v>
      </c>
      <c r="BI501" s="1"/>
      <c r="BJ501" s="1"/>
      <c r="BK501" s="1" t="s">
        <v>1089</v>
      </c>
      <c r="BL501" s="1" t="s">
        <v>9688</v>
      </c>
      <c r="BM501" s="1">
        <v>77.23</v>
      </c>
      <c r="BN501" s="1">
        <v>8.13</v>
      </c>
      <c r="BO501" s="1" t="s">
        <v>9689</v>
      </c>
      <c r="BP501" s="1"/>
      <c r="BQ501" s="1"/>
      <c r="BR501" s="1"/>
      <c r="BS501" s="1"/>
      <c r="BT501" s="1"/>
      <c r="BU501" s="1" t="s">
        <v>9653</v>
      </c>
      <c r="BV501" s="3"/>
      <c r="BW501" s="3"/>
    </row>
    <row r="502" spans="1:75">
      <c r="A502" s="1" t="s">
        <v>75</v>
      </c>
      <c r="B502" s="1" t="s">
        <v>446</v>
      </c>
      <c r="C502" s="1" t="s">
        <v>9690</v>
      </c>
      <c r="D502" s="1" t="s">
        <v>9691</v>
      </c>
      <c r="E502" s="1" t="s">
        <v>9692</v>
      </c>
      <c r="F502" s="1" t="s">
        <v>9693</v>
      </c>
      <c r="G502" s="1" t="s">
        <v>9694</v>
      </c>
      <c r="H502" s="1" t="s">
        <v>9695</v>
      </c>
      <c r="I502" s="1" t="s">
        <v>9696</v>
      </c>
      <c r="J502" s="1">
        <v>7721074764</v>
      </c>
      <c r="K502" s="1" t="s">
        <v>84</v>
      </c>
      <c r="L502" s="1" t="s">
        <v>9697</v>
      </c>
      <c r="M502" s="1" t="s">
        <v>86</v>
      </c>
      <c r="N502" s="1" t="s">
        <v>2988</v>
      </c>
      <c r="O502" s="1"/>
      <c r="P502" s="1" t="s">
        <v>507</v>
      </c>
      <c r="Q502" s="1" t="s">
        <v>9698</v>
      </c>
      <c r="R502" s="1" t="s">
        <v>9699</v>
      </c>
      <c r="S502" s="1">
        <v>7277921217</v>
      </c>
      <c r="T502" s="1" t="s">
        <v>9700</v>
      </c>
      <c r="U502" s="1" t="s">
        <v>9701</v>
      </c>
      <c r="V502" s="1">
        <v>9698711131</v>
      </c>
      <c r="W502" s="1" t="s">
        <v>161</v>
      </c>
      <c r="X502" s="1" t="s">
        <v>9702</v>
      </c>
      <c r="Y502" s="1" t="s">
        <v>1989</v>
      </c>
      <c r="Z502" s="1" t="s">
        <v>97</v>
      </c>
      <c r="AA502" s="1" t="s">
        <v>9702</v>
      </c>
      <c r="AB502" s="1" t="s">
        <v>1989</v>
      </c>
      <c r="AC502" s="1" t="s">
        <v>97</v>
      </c>
      <c r="AD502" s="1" t="s">
        <v>98</v>
      </c>
      <c r="AE502" s="1" t="s">
        <v>98</v>
      </c>
      <c r="AF502" s="1" t="s">
        <v>9703</v>
      </c>
      <c r="AG502" s="1" t="s">
        <v>312</v>
      </c>
      <c r="AH502" s="1" t="s">
        <v>336</v>
      </c>
      <c r="AI502" s="1" t="s">
        <v>2822</v>
      </c>
      <c r="AJ502" s="1">
        <v>95</v>
      </c>
      <c r="AK502" s="1">
        <v>10</v>
      </c>
      <c r="AL502" s="1" t="s">
        <v>9704</v>
      </c>
      <c r="AM502" s="1" t="s">
        <v>1968</v>
      </c>
      <c r="AN502" s="1"/>
      <c r="AO502" s="1" t="s">
        <v>517</v>
      </c>
      <c r="AP502" s="1" t="s">
        <v>1477</v>
      </c>
      <c r="AQ502" s="1">
        <v>81.85</v>
      </c>
      <c r="AR502" s="1"/>
      <c r="AS502" s="1"/>
      <c r="AT502" s="1"/>
      <c r="AU502" s="1"/>
      <c r="AV502" s="1"/>
      <c r="AW502" s="1"/>
      <c r="AX502" s="1"/>
      <c r="AY502" s="1" t="s">
        <v>1217</v>
      </c>
      <c r="AZ502" s="1" t="s">
        <v>9705</v>
      </c>
      <c r="BA502" s="1"/>
      <c r="BB502" s="1"/>
      <c r="BC502" s="1" t="s">
        <v>1065</v>
      </c>
      <c r="BD502" s="1" t="s">
        <v>1825</v>
      </c>
      <c r="BE502" s="1">
        <v>73.5</v>
      </c>
      <c r="BF502" s="1">
        <v>8.1</v>
      </c>
      <c r="BG502" s="1"/>
      <c r="BH502" s="1"/>
      <c r="BI502" s="1"/>
      <c r="BJ502" s="1"/>
      <c r="BK502" s="1"/>
      <c r="BL502" s="1"/>
      <c r="BM502" s="1"/>
      <c r="BN502" s="1"/>
      <c r="BO502" s="1" t="s">
        <v>9706</v>
      </c>
      <c r="BP502" s="1" t="s">
        <v>9707</v>
      </c>
      <c r="BQ502" s="1" t="s">
        <v>1174</v>
      </c>
      <c r="BR502" s="1" t="s">
        <v>9708</v>
      </c>
      <c r="BS502" s="1">
        <v>8</v>
      </c>
      <c r="BT502" s="1" t="s">
        <v>9709</v>
      </c>
      <c r="BU502" s="1" t="str">
        <f>HYPERLINK("https://nconnect.nicmar.ac.in/storage/profile/ProfilePhoto_P25700085_527189.jpg","Download")</f>
        <v>0</v>
      </c>
      <c r="BV502" s="3"/>
      <c r="BW502" s="3"/>
    </row>
    <row r="503" spans="1:75">
      <c r="A503" s="1" t="s">
        <v>75</v>
      </c>
      <c r="B503" s="1" t="s">
        <v>446</v>
      </c>
      <c r="C503" s="1" t="s">
        <v>9710</v>
      </c>
      <c r="D503" s="1" t="s">
        <v>8789</v>
      </c>
      <c r="E503" s="1" t="s">
        <v>3932</v>
      </c>
      <c r="F503" s="1" t="s">
        <v>8399</v>
      </c>
      <c r="G503" s="1" t="s">
        <v>9711</v>
      </c>
      <c r="H503" s="1" t="s">
        <v>9712</v>
      </c>
      <c r="I503" s="1" t="s">
        <v>9713</v>
      </c>
      <c r="J503" s="1">
        <v>9920520638</v>
      </c>
      <c r="K503" s="1" t="s">
        <v>84</v>
      </c>
      <c r="L503" s="1" t="s">
        <v>9714</v>
      </c>
      <c r="M503" s="1" t="s">
        <v>86</v>
      </c>
      <c r="N503" s="1" t="s">
        <v>1163</v>
      </c>
      <c r="O503" s="1"/>
      <c r="P503" s="1" t="s">
        <v>481</v>
      </c>
      <c r="Q503" s="1" t="s">
        <v>9715</v>
      </c>
      <c r="R503" s="1" t="s">
        <v>9716</v>
      </c>
      <c r="S503" s="1">
        <v>9867149867</v>
      </c>
      <c r="T503" s="1" t="s">
        <v>98</v>
      </c>
      <c r="U503" s="1" t="s">
        <v>9717</v>
      </c>
      <c r="V503" s="1">
        <v>9867149867</v>
      </c>
      <c r="W503" s="1" t="s">
        <v>161</v>
      </c>
      <c r="X503" s="1" t="s">
        <v>9718</v>
      </c>
      <c r="Y503" s="1" t="s">
        <v>1012</v>
      </c>
      <c r="Z503" s="1" t="s">
        <v>97</v>
      </c>
      <c r="AA503" s="1" t="s">
        <v>9718</v>
      </c>
      <c r="AB503" s="1" t="s">
        <v>1012</v>
      </c>
      <c r="AC503" s="1" t="s">
        <v>97</v>
      </c>
      <c r="AD503" s="1">
        <v>9.31</v>
      </c>
      <c r="AE503" s="1" t="s">
        <v>98</v>
      </c>
      <c r="AF503" s="1" t="s">
        <v>4636</v>
      </c>
      <c r="AG503" s="1" t="s">
        <v>996</v>
      </c>
      <c r="AH503" s="1" t="s">
        <v>9719</v>
      </c>
      <c r="AI503" s="1" t="s">
        <v>101</v>
      </c>
      <c r="AJ503" s="1">
        <v>84.2</v>
      </c>
      <c r="AK503" s="1"/>
      <c r="AL503" s="1"/>
      <c r="AM503" s="1"/>
      <c r="AN503" s="1"/>
      <c r="AO503" s="1"/>
      <c r="AP503" s="1"/>
      <c r="AQ503" s="1"/>
      <c r="AR503" s="1"/>
      <c r="AS503" s="1" t="s">
        <v>103</v>
      </c>
      <c r="AT503" s="1" t="s">
        <v>9720</v>
      </c>
      <c r="AU503" s="1" t="s">
        <v>257</v>
      </c>
      <c r="AV503" s="1" t="s">
        <v>170</v>
      </c>
      <c r="AW503" s="1">
        <v>78.67</v>
      </c>
      <c r="AX503" s="1"/>
      <c r="AY503" s="1" t="s">
        <v>680</v>
      </c>
      <c r="AZ503" s="1" t="s">
        <v>9721</v>
      </c>
      <c r="BA503" s="1"/>
      <c r="BB503" s="1"/>
      <c r="BC503" s="1" t="s">
        <v>230</v>
      </c>
      <c r="BD503" s="1" t="s">
        <v>175</v>
      </c>
      <c r="BE503" s="1">
        <v>75.4</v>
      </c>
      <c r="BF503" s="1">
        <v>8.29</v>
      </c>
      <c r="BG503" s="1"/>
      <c r="BH503" s="1"/>
      <c r="BI503" s="1"/>
      <c r="BJ503" s="1"/>
      <c r="BK503" s="1"/>
      <c r="BL503" s="1"/>
      <c r="BM503" s="1"/>
      <c r="BN503" s="1"/>
      <c r="BO503" s="1" t="s">
        <v>1114</v>
      </c>
      <c r="BP503" s="1" t="s">
        <v>9722</v>
      </c>
      <c r="BQ503" s="1" t="s">
        <v>582</v>
      </c>
      <c r="BR503" s="1" t="s">
        <v>9723</v>
      </c>
      <c r="BS503" s="1">
        <v>33</v>
      </c>
      <c r="BT503" s="1" t="s">
        <v>9724</v>
      </c>
      <c r="BU503" s="1" t="str">
        <f>HYPERLINK("https://nconnect.nicmar.ac.in/storage/profile/ProfilePhoto_P25700096_597461.jpg","Download")</f>
        <v>0</v>
      </c>
      <c r="BV503" s="3"/>
      <c r="BW503" s="3"/>
    </row>
    <row r="504" spans="1:75">
      <c r="A504" s="1" t="s">
        <v>75</v>
      </c>
      <c r="B504" s="1" t="s">
        <v>446</v>
      </c>
      <c r="C504" s="1" t="s">
        <v>9725</v>
      </c>
      <c r="D504" s="1" t="s">
        <v>761</v>
      </c>
      <c r="E504" s="1" t="s">
        <v>762</v>
      </c>
      <c r="F504" s="1" t="s">
        <v>8306</v>
      </c>
      <c r="G504" s="1" t="s">
        <v>9726</v>
      </c>
      <c r="H504" s="1" t="s">
        <v>9727</v>
      </c>
      <c r="I504" s="1" t="s">
        <v>9728</v>
      </c>
      <c r="J504" s="1">
        <v>9146964130</v>
      </c>
      <c r="K504" s="1" t="s">
        <v>84</v>
      </c>
      <c r="L504" s="1" t="s">
        <v>9729</v>
      </c>
      <c r="M504" s="1" t="s">
        <v>86</v>
      </c>
      <c r="N504" s="1" t="s">
        <v>903</v>
      </c>
      <c r="O504" s="1"/>
      <c r="P504" s="1" t="s">
        <v>455</v>
      </c>
      <c r="Q504" s="1" t="s">
        <v>9730</v>
      </c>
      <c r="R504" s="1" t="s">
        <v>9731</v>
      </c>
      <c r="S504" s="1">
        <v>9822678983</v>
      </c>
      <c r="T504" s="1" t="s">
        <v>839</v>
      </c>
      <c r="U504" s="1" t="s">
        <v>9732</v>
      </c>
      <c r="V504" s="1">
        <v>9021220811</v>
      </c>
      <c r="W504" s="1" t="s">
        <v>161</v>
      </c>
      <c r="X504" s="1" t="s">
        <v>9733</v>
      </c>
      <c r="Y504" s="1" t="s">
        <v>196</v>
      </c>
      <c r="Z504" s="1" t="s">
        <v>97</v>
      </c>
      <c r="AA504" s="1" t="s">
        <v>9733</v>
      </c>
      <c r="AB504" s="1" t="s">
        <v>196</v>
      </c>
      <c r="AC504" s="1" t="s">
        <v>97</v>
      </c>
      <c r="AD504" s="1">
        <v>0.0</v>
      </c>
      <c r="AE504" s="1" t="s">
        <v>98</v>
      </c>
      <c r="AF504" s="1" t="s">
        <v>9734</v>
      </c>
      <c r="AG504" s="1" t="s">
        <v>165</v>
      </c>
      <c r="AH504" s="1" t="s">
        <v>106</v>
      </c>
      <c r="AI504" s="1" t="s">
        <v>313</v>
      </c>
      <c r="AJ504" s="1">
        <v>67.2</v>
      </c>
      <c r="AK504" s="1"/>
      <c r="AL504" s="1"/>
      <c r="AM504" s="1"/>
      <c r="AN504" s="1"/>
      <c r="AO504" s="1"/>
      <c r="AP504" s="1"/>
      <c r="AQ504" s="1"/>
      <c r="AR504" s="1"/>
      <c r="AS504" s="1" t="s">
        <v>103</v>
      </c>
      <c r="AT504" s="1" t="s">
        <v>9735</v>
      </c>
      <c r="AU504" s="1" t="s">
        <v>206</v>
      </c>
      <c r="AV504" s="1" t="s">
        <v>1400</v>
      </c>
      <c r="AW504" s="1">
        <v>69.21</v>
      </c>
      <c r="AX504" s="1"/>
      <c r="AY504" s="1" t="s">
        <v>9736</v>
      </c>
      <c r="AZ504" s="1" t="s">
        <v>9737</v>
      </c>
      <c r="BA504" s="1"/>
      <c r="BB504" s="1"/>
      <c r="BC504" s="1" t="s">
        <v>1400</v>
      </c>
      <c r="BD504" s="1" t="s">
        <v>553</v>
      </c>
      <c r="BE504" s="1">
        <v>75.13</v>
      </c>
      <c r="BF504" s="1">
        <v>7.51</v>
      </c>
      <c r="BG504" s="1"/>
      <c r="BH504" s="1"/>
      <c r="BI504" s="1"/>
      <c r="BJ504" s="1"/>
      <c r="BK504" s="1"/>
      <c r="BL504" s="1"/>
      <c r="BM504" s="1"/>
      <c r="BN504" s="1"/>
      <c r="BO504" s="1" t="s">
        <v>369</v>
      </c>
      <c r="BP504" s="1"/>
      <c r="BQ504" s="1"/>
      <c r="BR504" s="1"/>
      <c r="BS504" s="1"/>
      <c r="BT504" s="1"/>
      <c r="BU504" s="1" t="str">
        <f>HYPERLINK("https://nconnect.nicmar.ac.in/storage/profile/ProfilePhoto_P25700115_875296.jpg","Download")</f>
        <v>0</v>
      </c>
      <c r="BV504" s="3"/>
      <c r="BW504" s="3"/>
    </row>
    <row r="505" spans="1:75">
      <c r="A505" s="1" t="s">
        <v>75</v>
      </c>
      <c r="B505" s="1" t="s">
        <v>446</v>
      </c>
      <c r="C505" s="1" t="s">
        <v>9738</v>
      </c>
      <c r="D505" s="1" t="s">
        <v>9739</v>
      </c>
      <c r="E505" s="1" t="s">
        <v>9740</v>
      </c>
      <c r="F505" s="1" t="s">
        <v>9741</v>
      </c>
      <c r="G505" s="1" t="s">
        <v>9742</v>
      </c>
      <c r="H505" s="1" t="s">
        <v>9743</v>
      </c>
      <c r="I505" s="1" t="s">
        <v>9744</v>
      </c>
      <c r="J505" s="1">
        <v>6363192809</v>
      </c>
      <c r="K505" s="1" t="s">
        <v>84</v>
      </c>
      <c r="L505" s="1" t="s">
        <v>9745</v>
      </c>
      <c r="M505" s="1" t="s">
        <v>86</v>
      </c>
      <c r="N505" s="1" t="s">
        <v>1101</v>
      </c>
      <c r="O505" s="1"/>
      <c r="P505" s="1" t="s">
        <v>507</v>
      </c>
      <c r="Q505" s="1" t="s">
        <v>9746</v>
      </c>
      <c r="R505" s="1" t="s">
        <v>9747</v>
      </c>
      <c r="S505" s="1">
        <v>7795257731</v>
      </c>
      <c r="T505" s="1" t="s">
        <v>839</v>
      </c>
      <c r="U505" s="1" t="s">
        <v>9748</v>
      </c>
      <c r="V505" s="1">
        <v>8971620131</v>
      </c>
      <c r="W505" s="1" t="s">
        <v>278</v>
      </c>
      <c r="X505" s="1" t="s">
        <v>9749</v>
      </c>
      <c r="Y505" s="1" t="s">
        <v>3985</v>
      </c>
      <c r="Z505" s="1" t="s">
        <v>1210</v>
      </c>
      <c r="AA505" s="1" t="s">
        <v>9749</v>
      </c>
      <c r="AB505" s="1" t="s">
        <v>3985</v>
      </c>
      <c r="AC505" s="1" t="s">
        <v>1210</v>
      </c>
      <c r="AD505" s="1">
        <v>7.15</v>
      </c>
      <c r="AE505" s="1" t="s">
        <v>98</v>
      </c>
      <c r="AF505" s="1" t="s">
        <v>9750</v>
      </c>
      <c r="AG505" s="1" t="s">
        <v>9751</v>
      </c>
      <c r="AH505" s="1" t="s">
        <v>167</v>
      </c>
      <c r="AI505" s="1" t="s">
        <v>573</v>
      </c>
      <c r="AJ505" s="1">
        <v>79.68</v>
      </c>
      <c r="AK505" s="1"/>
      <c r="AL505" s="1" t="s">
        <v>9752</v>
      </c>
      <c r="AM505" s="1" t="s">
        <v>9751</v>
      </c>
      <c r="AN505" s="1" t="s">
        <v>575</v>
      </c>
      <c r="AO505" s="1" t="s">
        <v>230</v>
      </c>
      <c r="AP505" s="1" t="s">
        <v>547</v>
      </c>
      <c r="AQ505" s="1">
        <v>74.66</v>
      </c>
      <c r="AR505" s="1"/>
      <c r="AS505" s="1"/>
      <c r="AT505" s="1"/>
      <c r="AU505" s="1"/>
      <c r="AV505" s="1"/>
      <c r="AW505" s="1"/>
      <c r="AX505" s="1"/>
      <c r="AY505" s="1" t="s">
        <v>9753</v>
      </c>
      <c r="AZ505" s="1" t="s">
        <v>9754</v>
      </c>
      <c r="BA505" s="1" t="s">
        <v>682</v>
      </c>
      <c r="BB505" s="1" t="s">
        <v>1561</v>
      </c>
      <c r="BC505" s="1" t="s">
        <v>109</v>
      </c>
      <c r="BD505" s="1" t="s">
        <v>418</v>
      </c>
      <c r="BE505" s="1">
        <v>66.8</v>
      </c>
      <c r="BF505" s="1">
        <v>7.43</v>
      </c>
      <c r="BG505" s="1"/>
      <c r="BH505" s="1"/>
      <c r="BI505" s="1"/>
      <c r="BJ505" s="1"/>
      <c r="BK505" s="1"/>
      <c r="BL505" s="1"/>
      <c r="BM505" s="1"/>
      <c r="BN505" s="1"/>
      <c r="BO505" s="1" t="s">
        <v>9755</v>
      </c>
      <c r="BP505" s="1" t="s">
        <v>9756</v>
      </c>
      <c r="BQ505" s="1" t="s">
        <v>471</v>
      </c>
      <c r="BR505" s="1" t="s">
        <v>9757</v>
      </c>
      <c r="BS505" s="1">
        <v>42</v>
      </c>
      <c r="BT505" s="1"/>
      <c r="BU505" s="1" t="str">
        <f>HYPERLINK("https://nconnect.nicmar.ac.in/storage/profile/ProfilePhoto_P25700502_714592.jpg","Download")</f>
        <v>0</v>
      </c>
      <c r="BV505" s="3"/>
      <c r="BW505" s="3"/>
    </row>
    <row r="506" spans="1:75">
      <c r="A506" s="1" t="s">
        <v>75</v>
      </c>
      <c r="B506" s="1" t="s">
        <v>446</v>
      </c>
      <c r="C506" s="1" t="s">
        <v>9758</v>
      </c>
      <c r="D506" s="1" t="s">
        <v>9759</v>
      </c>
      <c r="E506" s="1"/>
      <c r="F506" s="1" t="s">
        <v>4802</v>
      </c>
      <c r="G506" s="1" t="s">
        <v>9760</v>
      </c>
      <c r="H506" s="1" t="s">
        <v>9761</v>
      </c>
      <c r="I506" s="1" t="s">
        <v>9762</v>
      </c>
      <c r="J506" s="1">
        <v>9791895523</v>
      </c>
      <c r="K506" s="1" t="s">
        <v>84</v>
      </c>
      <c r="L506" s="1" t="s">
        <v>9763</v>
      </c>
      <c r="M506" s="1" t="s">
        <v>86</v>
      </c>
      <c r="N506" s="1" t="s">
        <v>2356</v>
      </c>
      <c r="O506" s="1"/>
      <c r="P506" s="1" t="s">
        <v>455</v>
      </c>
      <c r="Q506" s="1" t="s">
        <v>9764</v>
      </c>
      <c r="R506" s="1" t="s">
        <v>9765</v>
      </c>
      <c r="S506" s="1">
        <v>9865525525</v>
      </c>
      <c r="T506" s="1" t="s">
        <v>9766</v>
      </c>
      <c r="U506" s="1" t="s">
        <v>9767</v>
      </c>
      <c r="V506" s="1">
        <v>9597675525</v>
      </c>
      <c r="W506" s="1" t="s">
        <v>9768</v>
      </c>
      <c r="X506" s="1" t="s">
        <v>9769</v>
      </c>
      <c r="Y506" s="1" t="s">
        <v>9770</v>
      </c>
      <c r="Z506" s="1" t="s">
        <v>570</v>
      </c>
      <c r="AA506" s="1" t="s">
        <v>9769</v>
      </c>
      <c r="AB506" s="1" t="s">
        <v>9770</v>
      </c>
      <c r="AC506" s="1" t="s">
        <v>570</v>
      </c>
      <c r="AD506" s="1">
        <v>8.95</v>
      </c>
      <c r="AE506" s="1" t="s">
        <v>98</v>
      </c>
      <c r="AF506" s="1" t="s">
        <v>9771</v>
      </c>
      <c r="AG506" s="1" t="s">
        <v>8637</v>
      </c>
      <c r="AH506" s="1" t="s">
        <v>200</v>
      </c>
      <c r="AI506" s="1" t="s">
        <v>286</v>
      </c>
      <c r="AJ506" s="1">
        <v>92</v>
      </c>
      <c r="AK506" s="1"/>
      <c r="AL506" s="1" t="s">
        <v>9772</v>
      </c>
      <c r="AM506" s="1" t="s">
        <v>8637</v>
      </c>
      <c r="AN506" s="1" t="s">
        <v>575</v>
      </c>
      <c r="AO506" s="1" t="s">
        <v>286</v>
      </c>
      <c r="AP506" s="1" t="s">
        <v>603</v>
      </c>
      <c r="AQ506" s="1">
        <v>86.33</v>
      </c>
      <c r="AR506" s="1"/>
      <c r="AS506" s="1"/>
      <c r="AT506" s="1"/>
      <c r="AU506" s="1"/>
      <c r="AV506" s="1"/>
      <c r="AW506" s="1"/>
      <c r="AX506" s="1"/>
      <c r="AY506" s="1" t="s">
        <v>576</v>
      </c>
      <c r="AZ506" s="1" t="s">
        <v>9773</v>
      </c>
      <c r="BA506" s="1" t="s">
        <v>682</v>
      </c>
      <c r="BB506" s="1" t="s">
        <v>683</v>
      </c>
      <c r="BC506" s="1" t="s">
        <v>175</v>
      </c>
      <c r="BD506" s="1" t="s">
        <v>607</v>
      </c>
      <c r="BE506" s="1">
        <v>78.9</v>
      </c>
      <c r="BF506" s="1"/>
      <c r="BG506" s="1"/>
      <c r="BH506" s="1"/>
      <c r="BI506" s="1"/>
      <c r="BJ506" s="1"/>
      <c r="BK506" s="1"/>
      <c r="BL506" s="1"/>
      <c r="BM506" s="1"/>
      <c r="BN506" s="1"/>
      <c r="BO506" s="1" t="s">
        <v>9774</v>
      </c>
      <c r="BP506" s="1"/>
      <c r="BQ506" s="1"/>
      <c r="BR506" s="1" t="s">
        <v>9775</v>
      </c>
      <c r="BS506" s="1">
        <v>27</v>
      </c>
      <c r="BT506" s="1" t="s">
        <v>9776</v>
      </c>
      <c r="BU506" s="1" t="str">
        <f>HYPERLINK("https://nconnect.nicmar.ac.in/storage/profile/ProfilePhoto_P25700503_618932.jpg","Download")</f>
        <v>0</v>
      </c>
      <c r="BV506" s="3"/>
      <c r="BW506" s="3"/>
    </row>
    <row r="507" spans="1:75">
      <c r="A507" s="1" t="s">
        <v>75</v>
      </c>
      <c r="B507" s="1" t="s">
        <v>446</v>
      </c>
      <c r="C507" s="1" t="s">
        <v>9777</v>
      </c>
      <c r="D507" s="1" t="s">
        <v>1095</v>
      </c>
      <c r="E507" s="1" t="s">
        <v>4707</v>
      </c>
      <c r="F507" s="1" t="s">
        <v>9778</v>
      </c>
      <c r="G507" s="1" t="s">
        <v>9779</v>
      </c>
      <c r="H507" s="1" t="s">
        <v>9780</v>
      </c>
      <c r="I507" s="1" t="s">
        <v>9781</v>
      </c>
      <c r="J507" s="1">
        <v>8412819597</v>
      </c>
      <c r="K507" s="1" t="s">
        <v>84</v>
      </c>
      <c r="L507" s="1" t="s">
        <v>9782</v>
      </c>
      <c r="M507" s="1" t="s">
        <v>86</v>
      </c>
      <c r="N507" s="1" t="s">
        <v>2174</v>
      </c>
      <c r="O507" s="1"/>
      <c r="P507" s="1" t="s">
        <v>481</v>
      </c>
      <c r="Q507" s="1" t="s">
        <v>9783</v>
      </c>
      <c r="R507" s="1" t="s">
        <v>9784</v>
      </c>
      <c r="S507" s="1">
        <v>8087902210</v>
      </c>
      <c r="T507" s="1" t="s">
        <v>6125</v>
      </c>
      <c r="U507" s="1" t="s">
        <v>9785</v>
      </c>
      <c r="V507" s="1">
        <v>8788501617</v>
      </c>
      <c r="W507" s="1" t="s">
        <v>8945</v>
      </c>
      <c r="X507" s="1" t="s">
        <v>9786</v>
      </c>
      <c r="Y507" s="1" t="s">
        <v>196</v>
      </c>
      <c r="Z507" s="1" t="s">
        <v>97</v>
      </c>
      <c r="AA507" s="1" t="s">
        <v>9787</v>
      </c>
      <c r="AB507" s="1" t="s">
        <v>9788</v>
      </c>
      <c r="AC507" s="1" t="s">
        <v>97</v>
      </c>
      <c r="AD507" s="1">
        <v>8.33</v>
      </c>
      <c r="AE507" s="1" t="s">
        <v>98</v>
      </c>
      <c r="AF507" s="1" t="s">
        <v>9789</v>
      </c>
      <c r="AG507" s="1" t="s">
        <v>9790</v>
      </c>
      <c r="AH507" s="1" t="s">
        <v>166</v>
      </c>
      <c r="AI507" s="1" t="s">
        <v>167</v>
      </c>
      <c r="AJ507" s="1">
        <v>80</v>
      </c>
      <c r="AK507" s="1"/>
      <c r="AL507" s="1" t="s">
        <v>9791</v>
      </c>
      <c r="AM507" s="1" t="s">
        <v>9792</v>
      </c>
      <c r="AN507" s="1" t="s">
        <v>465</v>
      </c>
      <c r="AO507" s="1" t="s">
        <v>388</v>
      </c>
      <c r="AP507" s="1" t="s">
        <v>106</v>
      </c>
      <c r="AQ507" s="1">
        <v>81.23</v>
      </c>
      <c r="AR507" s="1"/>
      <c r="AS507" s="1"/>
      <c r="AT507" s="1"/>
      <c r="AU507" s="1"/>
      <c r="AV507" s="1"/>
      <c r="AW507" s="1"/>
      <c r="AX507" s="1"/>
      <c r="AY507" s="1" t="s">
        <v>680</v>
      </c>
      <c r="AZ507" s="1" t="s">
        <v>9793</v>
      </c>
      <c r="BA507" s="1" t="s">
        <v>682</v>
      </c>
      <c r="BB507" s="1" t="s">
        <v>1561</v>
      </c>
      <c r="BC507" s="1" t="s">
        <v>174</v>
      </c>
      <c r="BD507" s="1" t="s">
        <v>234</v>
      </c>
      <c r="BE507" s="1">
        <v>63.94</v>
      </c>
      <c r="BF507" s="1">
        <v>7.02</v>
      </c>
      <c r="BG507" s="1"/>
      <c r="BH507" s="1"/>
      <c r="BI507" s="1"/>
      <c r="BJ507" s="1"/>
      <c r="BK507" s="1"/>
      <c r="BL507" s="1"/>
      <c r="BM507" s="1"/>
      <c r="BN507" s="1"/>
      <c r="BO507" s="1" t="s">
        <v>9794</v>
      </c>
      <c r="BP507" s="1" t="s">
        <v>9795</v>
      </c>
      <c r="BQ507" s="1" t="s">
        <v>1357</v>
      </c>
      <c r="BR507" s="1" t="s">
        <v>9796</v>
      </c>
      <c r="BS507" s="1">
        <v>30</v>
      </c>
      <c r="BT507" s="1"/>
      <c r="BU507" s="1" t="str">
        <f>HYPERLINK("https://nconnect.nicmar.ac.in/storage/profile/ProfilePhoto_P25700504_842731.jpg","Download")</f>
        <v>0</v>
      </c>
      <c r="BV507" s="3"/>
      <c r="BW507" s="3"/>
    </row>
    <row r="508" spans="1:75">
      <c r="A508" s="1" t="s">
        <v>75</v>
      </c>
      <c r="B508" s="1" t="s">
        <v>446</v>
      </c>
      <c r="C508" s="1" t="s">
        <v>9797</v>
      </c>
      <c r="D508" s="1" t="s">
        <v>9798</v>
      </c>
      <c r="E508" s="1" t="s">
        <v>1136</v>
      </c>
      <c r="F508" s="1" t="s">
        <v>9799</v>
      </c>
      <c r="G508" s="1" t="s">
        <v>9800</v>
      </c>
      <c r="H508" s="1" t="s">
        <v>9801</v>
      </c>
      <c r="I508" s="1" t="s">
        <v>9802</v>
      </c>
      <c r="J508" s="1">
        <v>9403022763</v>
      </c>
      <c r="K508" s="1" t="s">
        <v>84</v>
      </c>
      <c r="L508" s="1" t="s">
        <v>9803</v>
      </c>
      <c r="M508" s="1" t="s">
        <v>86</v>
      </c>
      <c r="N508" s="1" t="s">
        <v>618</v>
      </c>
      <c r="O508" s="1"/>
      <c r="P508" s="1" t="s">
        <v>507</v>
      </c>
      <c r="Q508" s="1" t="s">
        <v>9804</v>
      </c>
      <c r="R508" s="1" t="s">
        <v>9805</v>
      </c>
      <c r="S508" s="1">
        <v>9403022763</v>
      </c>
      <c r="T508" s="1" t="s">
        <v>9806</v>
      </c>
      <c r="U508" s="1" t="s">
        <v>9807</v>
      </c>
      <c r="V508" s="1">
        <v>9834483234</v>
      </c>
      <c r="W508" s="1" t="s">
        <v>161</v>
      </c>
      <c r="X508" s="1" t="s">
        <v>9808</v>
      </c>
      <c r="Y508" s="1" t="s">
        <v>196</v>
      </c>
      <c r="Z508" s="1" t="s">
        <v>97</v>
      </c>
      <c r="AA508" s="1" t="s">
        <v>9808</v>
      </c>
      <c r="AB508" s="1" t="s">
        <v>196</v>
      </c>
      <c r="AC508" s="1" t="s">
        <v>97</v>
      </c>
      <c r="AD508" s="1">
        <v>8.36</v>
      </c>
      <c r="AE508" s="1" t="s">
        <v>98</v>
      </c>
      <c r="AF508" s="1" t="s">
        <v>9809</v>
      </c>
      <c r="AG508" s="1" t="s">
        <v>9810</v>
      </c>
      <c r="AH508" s="1" t="s">
        <v>1602</v>
      </c>
      <c r="AI508" s="1" t="s">
        <v>286</v>
      </c>
      <c r="AJ508" s="1">
        <v>91.83</v>
      </c>
      <c r="AK508" s="1"/>
      <c r="AL508" s="1" t="s">
        <v>9811</v>
      </c>
      <c r="AM508" s="1" t="s">
        <v>9812</v>
      </c>
      <c r="AN508" s="1" t="s">
        <v>465</v>
      </c>
      <c r="AO508" s="1" t="s">
        <v>106</v>
      </c>
      <c r="AP508" s="1" t="s">
        <v>1040</v>
      </c>
      <c r="AQ508" s="1">
        <v>82.15</v>
      </c>
      <c r="AR508" s="1"/>
      <c r="AS508" s="1"/>
      <c r="AT508" s="1"/>
      <c r="AU508" s="1"/>
      <c r="AV508" s="1"/>
      <c r="AW508" s="1"/>
      <c r="AX508" s="1"/>
      <c r="AY508" s="1" t="s">
        <v>9813</v>
      </c>
      <c r="AZ508" s="1" t="s">
        <v>9814</v>
      </c>
      <c r="BA508" s="1" t="s">
        <v>578</v>
      </c>
      <c r="BB508" s="1" t="s">
        <v>467</v>
      </c>
      <c r="BC508" s="1" t="s">
        <v>368</v>
      </c>
      <c r="BD508" s="1" t="s">
        <v>1268</v>
      </c>
      <c r="BE508" s="1">
        <v>72.5</v>
      </c>
      <c r="BF508" s="1">
        <v>8</v>
      </c>
      <c r="BG508" s="1"/>
      <c r="BH508" s="1"/>
      <c r="BI508" s="1"/>
      <c r="BJ508" s="1"/>
      <c r="BK508" s="1"/>
      <c r="BL508" s="1"/>
      <c r="BM508" s="1"/>
      <c r="BN508" s="1"/>
      <c r="BO508" s="1" t="s">
        <v>9815</v>
      </c>
      <c r="BP508" s="1"/>
      <c r="BQ508" s="1"/>
      <c r="BR508" s="1" t="s">
        <v>9816</v>
      </c>
      <c r="BS508" s="1">
        <v>40</v>
      </c>
      <c r="BT508" s="1" t="s">
        <v>849</v>
      </c>
      <c r="BU508" s="1" t="str">
        <f>HYPERLINK("https://nconnect.nicmar.ac.in/storage/profile/ProfilePhoto_P25700505_843196.jpg","Download")</f>
        <v>0</v>
      </c>
      <c r="BV508" s="3"/>
      <c r="BW508" s="4">
        <v>1</v>
      </c>
    </row>
    <row r="509" spans="1:75">
      <c r="A509" s="1" t="s">
        <v>75</v>
      </c>
      <c r="B509" s="1" t="s">
        <v>446</v>
      </c>
      <c r="C509" s="1" t="s">
        <v>9817</v>
      </c>
      <c r="D509" s="1" t="s">
        <v>9818</v>
      </c>
      <c r="E509" s="1"/>
      <c r="F509" s="1" t="s">
        <v>1321</v>
      </c>
      <c r="G509" s="1" t="s">
        <v>9819</v>
      </c>
      <c r="H509" s="1" t="s">
        <v>9820</v>
      </c>
      <c r="I509" s="1" t="s">
        <v>9821</v>
      </c>
      <c r="J509" s="1">
        <v>8578865315</v>
      </c>
      <c r="K509" s="1" t="s">
        <v>84</v>
      </c>
      <c r="L509" s="1" t="s">
        <v>9822</v>
      </c>
      <c r="M509" s="1" t="s">
        <v>86</v>
      </c>
      <c r="N509" s="1" t="s">
        <v>246</v>
      </c>
      <c r="O509" s="1" t="s">
        <v>9823</v>
      </c>
      <c r="P509" s="1" t="s">
        <v>455</v>
      </c>
      <c r="Q509" s="1" t="s">
        <v>9824</v>
      </c>
      <c r="R509" s="1" t="s">
        <v>9825</v>
      </c>
      <c r="S509" s="1">
        <v>9835925814</v>
      </c>
      <c r="T509" s="1" t="s">
        <v>127</v>
      </c>
      <c r="U509" s="1" t="s">
        <v>9826</v>
      </c>
      <c r="V509" s="1">
        <v>9798313891</v>
      </c>
      <c r="W509" s="1" t="s">
        <v>127</v>
      </c>
      <c r="X509" s="1" t="s">
        <v>9827</v>
      </c>
      <c r="Y509" s="1" t="s">
        <v>9828</v>
      </c>
      <c r="Z509" s="1" t="s">
        <v>2955</v>
      </c>
      <c r="AA509" s="1" t="s">
        <v>9829</v>
      </c>
      <c r="AB509" s="1" t="s">
        <v>196</v>
      </c>
      <c r="AC509" s="1" t="s">
        <v>97</v>
      </c>
      <c r="AD509" s="1">
        <v>8.26</v>
      </c>
      <c r="AE509" s="1" t="s">
        <v>98</v>
      </c>
      <c r="AF509" s="1" t="s">
        <v>9830</v>
      </c>
      <c r="AG509" s="1" t="s">
        <v>775</v>
      </c>
      <c r="AH509" s="1" t="s">
        <v>136</v>
      </c>
      <c r="AI509" s="1" t="s">
        <v>627</v>
      </c>
      <c r="AJ509" s="1">
        <v>64.6</v>
      </c>
      <c r="AK509" s="1">
        <v>6.8</v>
      </c>
      <c r="AL509" s="1" t="s">
        <v>9831</v>
      </c>
      <c r="AM509" s="1" t="s">
        <v>9832</v>
      </c>
      <c r="AN509" s="1" t="s">
        <v>465</v>
      </c>
      <c r="AO509" s="1" t="s">
        <v>170</v>
      </c>
      <c r="AP509" s="1" t="s">
        <v>438</v>
      </c>
      <c r="AQ509" s="1">
        <v>64.8</v>
      </c>
      <c r="AR509" s="1"/>
      <c r="AS509" s="1"/>
      <c r="AT509" s="1"/>
      <c r="AU509" s="1"/>
      <c r="AV509" s="1"/>
      <c r="AW509" s="1"/>
      <c r="AX509" s="1"/>
      <c r="AY509" s="1" t="s">
        <v>9833</v>
      </c>
      <c r="AZ509" s="1" t="s">
        <v>9834</v>
      </c>
      <c r="BA509" s="1" t="s">
        <v>466</v>
      </c>
      <c r="BB509" s="1" t="s">
        <v>467</v>
      </c>
      <c r="BC509" s="1" t="s">
        <v>438</v>
      </c>
      <c r="BD509" s="1" t="s">
        <v>234</v>
      </c>
      <c r="BE509" s="1">
        <v>73.7</v>
      </c>
      <c r="BF509" s="1">
        <v>7.87</v>
      </c>
      <c r="BG509" s="1"/>
      <c r="BH509" s="1"/>
      <c r="BI509" s="1"/>
      <c r="BJ509" s="1"/>
      <c r="BK509" s="1"/>
      <c r="BL509" s="1"/>
      <c r="BM509" s="1"/>
      <c r="BN509" s="1"/>
      <c r="BO509" s="1" t="s">
        <v>9835</v>
      </c>
      <c r="BP509" s="1" t="s">
        <v>9836</v>
      </c>
      <c r="BQ509" s="1" t="s">
        <v>4149</v>
      </c>
      <c r="BR509" s="1" t="s">
        <v>9837</v>
      </c>
      <c r="BS509" s="1">
        <v>12</v>
      </c>
      <c r="BT509" s="1"/>
      <c r="BU509" s="1" t="str">
        <f>HYPERLINK("https://nconnect.nicmar.ac.in/storage/profile/ProfilePhoto_P25700506_716935.jpg","Download")</f>
        <v>0</v>
      </c>
      <c r="BV509" s="3"/>
      <c r="BW509" s="4">
        <v>1</v>
      </c>
    </row>
    <row r="510" spans="1:75">
      <c r="A510" s="1" t="s">
        <v>75</v>
      </c>
      <c r="B510" s="1" t="s">
        <v>446</v>
      </c>
      <c r="C510" s="1" t="s">
        <v>9838</v>
      </c>
      <c r="D510" s="1" t="s">
        <v>9839</v>
      </c>
      <c r="E510" s="1" t="s">
        <v>2273</v>
      </c>
      <c r="F510" s="1" t="s">
        <v>8306</v>
      </c>
      <c r="G510" s="1" t="s">
        <v>9840</v>
      </c>
      <c r="H510" s="1" t="s">
        <v>9841</v>
      </c>
      <c r="I510" s="1" t="s">
        <v>9842</v>
      </c>
      <c r="J510" s="1">
        <v>8007264118</v>
      </c>
      <c r="K510" s="1" t="s">
        <v>84</v>
      </c>
      <c r="L510" s="1" t="s">
        <v>9843</v>
      </c>
      <c r="M510" s="1" t="s">
        <v>86</v>
      </c>
      <c r="N510" s="1" t="s">
        <v>1163</v>
      </c>
      <c r="O510" s="1"/>
      <c r="P510" s="1" t="s">
        <v>481</v>
      </c>
      <c r="Q510" s="1" t="s">
        <v>9844</v>
      </c>
      <c r="R510" s="1" t="s">
        <v>9845</v>
      </c>
      <c r="S510" s="1">
        <v>9867232754</v>
      </c>
      <c r="T510" s="1" t="s">
        <v>2375</v>
      </c>
      <c r="U510" s="1" t="s">
        <v>9846</v>
      </c>
      <c r="V510" s="1">
        <v>8805149778</v>
      </c>
      <c r="W510" s="1" t="s">
        <v>278</v>
      </c>
      <c r="X510" s="1" t="s">
        <v>9847</v>
      </c>
      <c r="Y510" s="1" t="s">
        <v>1012</v>
      </c>
      <c r="Z510" s="1" t="s">
        <v>97</v>
      </c>
      <c r="AA510" s="1" t="s">
        <v>9847</v>
      </c>
      <c r="AB510" s="1" t="s">
        <v>1012</v>
      </c>
      <c r="AC510" s="1" t="s">
        <v>97</v>
      </c>
      <c r="AD510" s="1">
        <v>7.79</v>
      </c>
      <c r="AE510" s="1" t="s">
        <v>98</v>
      </c>
      <c r="AF510" s="1" t="s">
        <v>9848</v>
      </c>
      <c r="AG510" s="1" t="s">
        <v>165</v>
      </c>
      <c r="AH510" s="1" t="s">
        <v>101</v>
      </c>
      <c r="AI510" s="1" t="s">
        <v>166</v>
      </c>
      <c r="AJ510" s="1">
        <v>78.6</v>
      </c>
      <c r="AK510" s="1"/>
      <c r="AL510" s="1"/>
      <c r="AM510" s="1"/>
      <c r="AN510" s="1"/>
      <c r="AO510" s="1"/>
      <c r="AP510" s="1"/>
      <c r="AQ510" s="1"/>
      <c r="AR510" s="1"/>
      <c r="AS510" s="1" t="s">
        <v>439</v>
      </c>
      <c r="AT510" s="1" t="s">
        <v>9849</v>
      </c>
      <c r="AU510" s="1" t="s">
        <v>166</v>
      </c>
      <c r="AV510" s="1" t="s">
        <v>106</v>
      </c>
      <c r="AW510" s="1">
        <v>72.67</v>
      </c>
      <c r="AX510" s="1"/>
      <c r="AY510" s="1" t="s">
        <v>680</v>
      </c>
      <c r="AZ510" s="1" t="s">
        <v>9850</v>
      </c>
      <c r="BA510" s="1"/>
      <c r="BB510" s="1"/>
      <c r="BC510" s="1" t="s">
        <v>174</v>
      </c>
      <c r="BD510" s="1" t="s">
        <v>549</v>
      </c>
      <c r="BE510" s="1">
        <v>64.16</v>
      </c>
      <c r="BF510" s="1"/>
      <c r="BG510" s="1"/>
      <c r="BH510" s="1"/>
      <c r="BI510" s="1"/>
      <c r="BJ510" s="1"/>
      <c r="BK510" s="1"/>
      <c r="BL510" s="1"/>
      <c r="BM510" s="1"/>
      <c r="BN510" s="1"/>
      <c r="BO510" s="1" t="s">
        <v>9851</v>
      </c>
      <c r="BP510" s="1"/>
      <c r="BQ510" s="1"/>
      <c r="BR510" s="1" t="s">
        <v>9852</v>
      </c>
      <c r="BS510" s="1">
        <v>9</v>
      </c>
      <c r="BT510" s="1" t="s">
        <v>9853</v>
      </c>
      <c r="BU510" s="1" t="str">
        <f>HYPERLINK("https://nconnect.nicmar.ac.in/storage/profile/ProfilePhoto_P25700507_128367.jpg","Download")</f>
        <v>0</v>
      </c>
      <c r="BV510" s="3"/>
      <c r="BW510" s="3"/>
    </row>
    <row r="511" spans="1:75">
      <c r="A511" s="1" t="s">
        <v>75</v>
      </c>
      <c r="B511" s="1" t="s">
        <v>446</v>
      </c>
      <c r="C511" s="1" t="s">
        <v>9854</v>
      </c>
      <c r="D511" s="1" t="s">
        <v>9855</v>
      </c>
      <c r="E511" s="1" t="s">
        <v>9691</v>
      </c>
      <c r="F511" s="1" t="s">
        <v>9856</v>
      </c>
      <c r="G511" s="1" t="s">
        <v>9857</v>
      </c>
      <c r="H511" s="1" t="s">
        <v>9858</v>
      </c>
      <c r="I511" s="1" t="s">
        <v>9859</v>
      </c>
      <c r="J511" s="1">
        <v>8686631717</v>
      </c>
      <c r="K511" s="1" t="s">
        <v>84</v>
      </c>
      <c r="L511" s="1" t="s">
        <v>9860</v>
      </c>
      <c r="M511" s="1" t="s">
        <v>86</v>
      </c>
      <c r="N511" s="1" t="s">
        <v>618</v>
      </c>
      <c r="O511" s="1"/>
      <c r="P511" s="1" t="s">
        <v>2062</v>
      </c>
      <c r="Q511" s="1" t="s">
        <v>9861</v>
      </c>
      <c r="R511" s="1" t="s">
        <v>9862</v>
      </c>
      <c r="S511" s="1">
        <v>8329418137</v>
      </c>
      <c r="T511" s="1" t="s">
        <v>125</v>
      </c>
      <c r="U511" s="1" t="s">
        <v>9863</v>
      </c>
      <c r="V511" s="1">
        <v>9767840788</v>
      </c>
      <c r="W511" s="1" t="s">
        <v>161</v>
      </c>
      <c r="X511" s="1" t="s">
        <v>9864</v>
      </c>
      <c r="Y511" s="1" t="s">
        <v>196</v>
      </c>
      <c r="Z511" s="1" t="s">
        <v>97</v>
      </c>
      <c r="AA511" s="1" t="s">
        <v>9864</v>
      </c>
      <c r="AB511" s="1" t="s">
        <v>196</v>
      </c>
      <c r="AC511" s="1" t="s">
        <v>97</v>
      </c>
      <c r="AD511" s="1">
        <v>8.08</v>
      </c>
      <c r="AE511" s="1" t="s">
        <v>98</v>
      </c>
      <c r="AF511" s="1" t="s">
        <v>9865</v>
      </c>
      <c r="AG511" s="1" t="s">
        <v>165</v>
      </c>
      <c r="AH511" s="1" t="s">
        <v>166</v>
      </c>
      <c r="AI511" s="1" t="s">
        <v>167</v>
      </c>
      <c r="AJ511" s="1">
        <v>84.8</v>
      </c>
      <c r="AK511" s="1"/>
      <c r="AL511" s="1"/>
      <c r="AM511" s="1"/>
      <c r="AN511" s="1"/>
      <c r="AO511" s="1"/>
      <c r="AP511" s="1"/>
      <c r="AQ511" s="1"/>
      <c r="AR511" s="1"/>
      <c r="AS511" s="1" t="s">
        <v>103</v>
      </c>
      <c r="AT511" s="1" t="s">
        <v>9866</v>
      </c>
      <c r="AU511" s="1" t="s">
        <v>139</v>
      </c>
      <c r="AV511" s="1" t="s">
        <v>438</v>
      </c>
      <c r="AW511" s="1">
        <v>83.45</v>
      </c>
      <c r="AX511" s="1"/>
      <c r="AY511" s="1" t="s">
        <v>366</v>
      </c>
      <c r="AZ511" s="1" t="s">
        <v>9867</v>
      </c>
      <c r="BA511" s="1" t="s">
        <v>578</v>
      </c>
      <c r="BB511" s="1" t="s">
        <v>467</v>
      </c>
      <c r="BC511" s="1" t="s">
        <v>206</v>
      </c>
      <c r="BD511" s="1" t="s">
        <v>110</v>
      </c>
      <c r="BE511" s="1">
        <v>80.6</v>
      </c>
      <c r="BF511" s="1">
        <v>8.8</v>
      </c>
      <c r="BG511" s="1"/>
      <c r="BH511" s="1"/>
      <c r="BI511" s="1"/>
      <c r="BJ511" s="1"/>
      <c r="BK511" s="1"/>
      <c r="BL511" s="1"/>
      <c r="BM511" s="1"/>
      <c r="BN511" s="1"/>
      <c r="BO511" s="1" t="s">
        <v>9868</v>
      </c>
      <c r="BP511" s="1" t="s">
        <v>9869</v>
      </c>
      <c r="BQ511" s="1" t="s">
        <v>582</v>
      </c>
      <c r="BR511" s="1" t="s">
        <v>9870</v>
      </c>
      <c r="BS511" s="1">
        <v>8</v>
      </c>
      <c r="BT511" s="1"/>
      <c r="BU511" s="1" t="str">
        <f>HYPERLINK("https://nconnect.nicmar.ac.in/storage/profile/ProfilePhoto_P25700508_846395.jpg","Download")</f>
        <v>0</v>
      </c>
      <c r="BV511" s="3"/>
      <c r="BW511" s="3"/>
    </row>
    <row r="512" spans="1:75">
      <c r="A512" s="1" t="s">
        <v>75</v>
      </c>
      <c r="B512" s="1" t="s">
        <v>446</v>
      </c>
      <c r="C512" s="1" t="s">
        <v>9871</v>
      </c>
      <c r="D512" s="1" t="s">
        <v>6599</v>
      </c>
      <c r="E512" s="1" t="s">
        <v>1464</v>
      </c>
      <c r="F512" s="1" t="s">
        <v>9872</v>
      </c>
      <c r="G512" s="1" t="s">
        <v>9873</v>
      </c>
      <c r="H512" s="1" t="s">
        <v>9874</v>
      </c>
      <c r="I512" s="1" t="s">
        <v>9875</v>
      </c>
      <c r="J512" s="1">
        <v>8668742356</v>
      </c>
      <c r="K512" s="1" t="s">
        <v>84</v>
      </c>
      <c r="L512" s="1" t="s">
        <v>9876</v>
      </c>
      <c r="M512" s="1" t="s">
        <v>86</v>
      </c>
      <c r="N512" s="1" t="s">
        <v>618</v>
      </c>
      <c r="O512" s="1"/>
      <c r="P512" s="1" t="s">
        <v>481</v>
      </c>
      <c r="Q512" s="1" t="s">
        <v>9877</v>
      </c>
      <c r="R512" s="1" t="s">
        <v>1464</v>
      </c>
      <c r="S512" s="1">
        <v>9922282544</v>
      </c>
      <c r="T512" s="1" t="s">
        <v>9878</v>
      </c>
      <c r="U512" s="1" t="s">
        <v>9879</v>
      </c>
      <c r="V512" s="1">
        <v>9922282544</v>
      </c>
      <c r="W512" s="1" t="s">
        <v>161</v>
      </c>
      <c r="X512" s="1" t="s">
        <v>9880</v>
      </c>
      <c r="Y512" s="1" t="s">
        <v>196</v>
      </c>
      <c r="Z512" s="1" t="s">
        <v>97</v>
      </c>
      <c r="AA512" s="1" t="s">
        <v>9881</v>
      </c>
      <c r="AB512" s="1" t="s">
        <v>224</v>
      </c>
      <c r="AC512" s="1" t="s">
        <v>97</v>
      </c>
      <c r="AD512" s="1">
        <v>8.54</v>
      </c>
      <c r="AE512" s="1" t="s">
        <v>98</v>
      </c>
      <c r="AF512" s="1" t="s">
        <v>9882</v>
      </c>
      <c r="AG512" s="1" t="s">
        <v>775</v>
      </c>
      <c r="AH512" s="1" t="s">
        <v>135</v>
      </c>
      <c r="AI512" s="1" t="s">
        <v>166</v>
      </c>
      <c r="AJ512" s="1">
        <v>68.4</v>
      </c>
      <c r="AK512" s="1">
        <v>7.2</v>
      </c>
      <c r="AL512" s="1"/>
      <c r="AM512" s="1"/>
      <c r="AN512" s="1"/>
      <c r="AO512" s="1"/>
      <c r="AP512" s="1"/>
      <c r="AQ512" s="1"/>
      <c r="AR512" s="1"/>
      <c r="AS512" s="1" t="s">
        <v>103</v>
      </c>
      <c r="AT512" s="1" t="s">
        <v>9883</v>
      </c>
      <c r="AU512" s="1" t="s">
        <v>105</v>
      </c>
      <c r="AV512" s="1" t="s">
        <v>106</v>
      </c>
      <c r="AW512" s="1">
        <v>72.24</v>
      </c>
      <c r="AX512" s="1"/>
      <c r="AY512" s="1" t="s">
        <v>340</v>
      </c>
      <c r="AZ512" s="1" t="s">
        <v>9884</v>
      </c>
      <c r="BA512" s="1" t="s">
        <v>578</v>
      </c>
      <c r="BB512" s="1" t="s">
        <v>467</v>
      </c>
      <c r="BC512" s="1" t="s">
        <v>1040</v>
      </c>
      <c r="BD512" s="1" t="s">
        <v>441</v>
      </c>
      <c r="BE512" s="1">
        <v>89.92</v>
      </c>
      <c r="BF512" s="1">
        <v>9.72</v>
      </c>
      <c r="BG512" s="1"/>
      <c r="BH512" s="1"/>
      <c r="BI512" s="1"/>
      <c r="BJ512" s="1"/>
      <c r="BK512" s="1"/>
      <c r="BL512" s="1"/>
      <c r="BM512" s="1"/>
      <c r="BN512" s="1"/>
      <c r="BO512" s="1" t="s">
        <v>9885</v>
      </c>
      <c r="BP512" s="1" t="s">
        <v>9886</v>
      </c>
      <c r="BQ512" s="1" t="s">
        <v>1043</v>
      </c>
      <c r="BR512" s="1" t="s">
        <v>9887</v>
      </c>
      <c r="BS512" s="1">
        <v>16</v>
      </c>
      <c r="BT512" s="1"/>
      <c r="BU512" s="1" t="str">
        <f>HYPERLINK("https://nconnect.nicmar.ac.in/storage/profile/ProfilePhoto_P25700510_528964.jpg","Download")</f>
        <v>0</v>
      </c>
      <c r="BV512" s="3"/>
      <c r="BW512" s="3"/>
    </row>
    <row r="513" spans="1:75">
      <c r="A513" s="1" t="s">
        <v>75</v>
      </c>
      <c r="B513" s="1" t="s">
        <v>446</v>
      </c>
      <c r="C513" s="1" t="s">
        <v>9888</v>
      </c>
      <c r="D513" s="1" t="s">
        <v>9889</v>
      </c>
      <c r="E513" s="1" t="s">
        <v>8325</v>
      </c>
      <c r="F513" s="1" t="s">
        <v>1872</v>
      </c>
      <c r="G513" s="1" t="s">
        <v>9890</v>
      </c>
      <c r="H513" s="1" t="s">
        <v>9891</v>
      </c>
      <c r="I513" s="1" t="s">
        <v>9892</v>
      </c>
      <c r="J513" s="1">
        <v>7038723267</v>
      </c>
      <c r="K513" s="1" t="s">
        <v>84</v>
      </c>
      <c r="L513" s="1" t="s">
        <v>9893</v>
      </c>
      <c r="M513" s="1" t="s">
        <v>86</v>
      </c>
      <c r="N513" s="1" t="s">
        <v>3568</v>
      </c>
      <c r="O513" s="1"/>
      <c r="P513" s="1" t="s">
        <v>481</v>
      </c>
      <c r="Q513" s="1" t="s">
        <v>9894</v>
      </c>
      <c r="R513" s="1" t="s">
        <v>9895</v>
      </c>
      <c r="S513" s="1">
        <v>9881233297</v>
      </c>
      <c r="T513" s="1" t="s">
        <v>9700</v>
      </c>
      <c r="U513" s="1" t="s">
        <v>6011</v>
      </c>
      <c r="V513" s="1">
        <v>7721811600</v>
      </c>
      <c r="W513" s="1" t="s">
        <v>278</v>
      </c>
      <c r="X513" s="1" t="s">
        <v>9896</v>
      </c>
      <c r="Y513" s="1" t="s">
        <v>5181</v>
      </c>
      <c r="Z513" s="1" t="s">
        <v>97</v>
      </c>
      <c r="AA513" s="1" t="s">
        <v>9896</v>
      </c>
      <c r="AB513" s="1" t="s">
        <v>5181</v>
      </c>
      <c r="AC513" s="1" t="s">
        <v>97</v>
      </c>
      <c r="AD513" s="1">
        <v>8.23</v>
      </c>
      <c r="AE513" s="1" t="s">
        <v>98</v>
      </c>
      <c r="AF513" s="1" t="s">
        <v>9897</v>
      </c>
      <c r="AG513" s="1" t="s">
        <v>312</v>
      </c>
      <c r="AH513" s="1" t="s">
        <v>704</v>
      </c>
      <c r="AI513" s="1" t="s">
        <v>171</v>
      </c>
      <c r="AJ513" s="1">
        <v>63</v>
      </c>
      <c r="AK513" s="1"/>
      <c r="AL513" s="1"/>
      <c r="AM513" s="1"/>
      <c r="AN513" s="1" t="s">
        <v>1062</v>
      </c>
      <c r="AO513" s="1"/>
      <c r="AP513" s="1"/>
      <c r="AQ513" s="1"/>
      <c r="AR513" s="1"/>
      <c r="AS513" s="1" t="s">
        <v>439</v>
      </c>
      <c r="AT513" s="1" t="s">
        <v>9898</v>
      </c>
      <c r="AU513" s="1" t="s">
        <v>1065</v>
      </c>
      <c r="AV513" s="1" t="s">
        <v>441</v>
      </c>
      <c r="AW513" s="1">
        <v>80.74</v>
      </c>
      <c r="AX513" s="1"/>
      <c r="AY513" s="1" t="s">
        <v>366</v>
      </c>
      <c r="AZ513" s="1" t="s">
        <v>9899</v>
      </c>
      <c r="BA513" s="1" t="s">
        <v>578</v>
      </c>
      <c r="BB513" s="1" t="s">
        <v>467</v>
      </c>
      <c r="BC513" s="1" t="s">
        <v>606</v>
      </c>
      <c r="BD513" s="1" t="s">
        <v>207</v>
      </c>
      <c r="BE513" s="1">
        <v>67.68</v>
      </c>
      <c r="BF513" s="1">
        <v>7.32</v>
      </c>
      <c r="BG513" s="1"/>
      <c r="BH513" s="1"/>
      <c r="BI513" s="1"/>
      <c r="BJ513" s="1"/>
      <c r="BK513" s="1"/>
      <c r="BL513" s="1"/>
      <c r="BM513" s="1"/>
      <c r="BN513" s="1"/>
      <c r="BO513" s="1" t="s">
        <v>9900</v>
      </c>
      <c r="BP513" s="1"/>
      <c r="BQ513" s="1"/>
      <c r="BR513" s="1" t="s">
        <v>9901</v>
      </c>
      <c r="BS513" s="1">
        <v>39</v>
      </c>
      <c r="BT513" s="1"/>
      <c r="BU513" s="1" t="str">
        <f>HYPERLINK("https://nconnect.nicmar.ac.in/storage/profile/ProfilePhoto_P25700511_196873.jpg","Download")</f>
        <v>0</v>
      </c>
      <c r="BV513" s="3"/>
      <c r="BW513" s="3"/>
    </row>
    <row r="514" spans="1:75">
      <c r="A514" s="1" t="s">
        <v>75</v>
      </c>
      <c r="B514" s="1" t="s">
        <v>446</v>
      </c>
      <c r="C514" s="1" t="s">
        <v>9902</v>
      </c>
      <c r="D514" s="1" t="s">
        <v>448</v>
      </c>
      <c r="E514" s="1" t="s">
        <v>7866</v>
      </c>
      <c r="F514" s="1" t="s">
        <v>9903</v>
      </c>
      <c r="G514" s="1" t="s">
        <v>9904</v>
      </c>
      <c r="H514" s="1" t="s">
        <v>9905</v>
      </c>
      <c r="I514" s="1" t="s">
        <v>9906</v>
      </c>
      <c r="J514" s="1">
        <v>9902316104</v>
      </c>
      <c r="K514" s="1" t="s">
        <v>84</v>
      </c>
      <c r="L514" s="1" t="s">
        <v>4824</v>
      </c>
      <c r="M514" s="1" t="s">
        <v>86</v>
      </c>
      <c r="N514" s="1" t="s">
        <v>3980</v>
      </c>
      <c r="O514" s="1"/>
      <c r="P514" s="1" t="s">
        <v>507</v>
      </c>
      <c r="Q514" s="1" t="s">
        <v>9907</v>
      </c>
      <c r="R514" s="1" t="s">
        <v>9908</v>
      </c>
      <c r="S514" s="1">
        <v>9035358740</v>
      </c>
      <c r="T514" s="1" t="s">
        <v>9909</v>
      </c>
      <c r="U514" s="1" t="s">
        <v>9910</v>
      </c>
      <c r="V514" s="1">
        <v>9740798983</v>
      </c>
      <c r="W514" s="1" t="s">
        <v>278</v>
      </c>
      <c r="X514" s="1" t="s">
        <v>9911</v>
      </c>
      <c r="Y514" s="1" t="s">
        <v>9912</v>
      </c>
      <c r="Z514" s="1" t="s">
        <v>1210</v>
      </c>
      <c r="AA514" s="1" t="s">
        <v>9911</v>
      </c>
      <c r="AB514" s="1" t="s">
        <v>9912</v>
      </c>
      <c r="AC514" s="1" t="s">
        <v>1210</v>
      </c>
      <c r="AD514" s="1">
        <v>8.28</v>
      </c>
      <c r="AE514" s="1" t="s">
        <v>98</v>
      </c>
      <c r="AF514" s="1" t="s">
        <v>9913</v>
      </c>
      <c r="AG514" s="1" t="s">
        <v>727</v>
      </c>
      <c r="AH514" s="1" t="s">
        <v>7331</v>
      </c>
      <c r="AI514" s="1" t="s">
        <v>490</v>
      </c>
      <c r="AJ514" s="1">
        <v>86.56</v>
      </c>
      <c r="AK514" s="1"/>
      <c r="AL514" s="1" t="s">
        <v>9914</v>
      </c>
      <c r="AM514" s="1" t="s">
        <v>1216</v>
      </c>
      <c r="AN514" s="1" t="s">
        <v>575</v>
      </c>
      <c r="AO514" s="1" t="s">
        <v>313</v>
      </c>
      <c r="AP514" s="1" t="s">
        <v>603</v>
      </c>
      <c r="AQ514" s="1">
        <v>85</v>
      </c>
      <c r="AR514" s="1"/>
      <c r="AS514" s="1"/>
      <c r="AT514" s="1"/>
      <c r="AU514" s="1"/>
      <c r="AV514" s="1"/>
      <c r="AW514" s="1"/>
      <c r="AX514" s="1"/>
      <c r="AY514" s="1" t="s">
        <v>8132</v>
      </c>
      <c r="AZ514" s="1" t="s">
        <v>7754</v>
      </c>
      <c r="BA514" s="1" t="s">
        <v>682</v>
      </c>
      <c r="BB514" s="1" t="s">
        <v>683</v>
      </c>
      <c r="BC514" s="1" t="s">
        <v>233</v>
      </c>
      <c r="BD514" s="1" t="s">
        <v>1401</v>
      </c>
      <c r="BE514" s="1">
        <v>66.1</v>
      </c>
      <c r="BF514" s="1">
        <v>7.36</v>
      </c>
      <c r="BG514" s="1"/>
      <c r="BH514" s="1"/>
      <c r="BI514" s="1"/>
      <c r="BJ514" s="1"/>
      <c r="BK514" s="1"/>
      <c r="BL514" s="1"/>
      <c r="BM514" s="1"/>
      <c r="BN514" s="1"/>
      <c r="BO514" s="1" t="s">
        <v>9915</v>
      </c>
      <c r="BP514" s="1"/>
      <c r="BQ514" s="1"/>
      <c r="BR514" s="1" t="s">
        <v>9916</v>
      </c>
      <c r="BS514" s="1">
        <v>26</v>
      </c>
      <c r="BT514" s="1" t="s">
        <v>9917</v>
      </c>
      <c r="BU514" s="1" t="str">
        <f>HYPERLINK("https://nconnect.nicmar.ac.in/storage/profile/ProfilePhoto_P25700512_136547.jpg","Download")</f>
        <v>0</v>
      </c>
      <c r="BV514" s="3"/>
      <c r="BW514" s="3"/>
    </row>
    <row r="515" spans="1:75">
      <c r="A515" s="1" t="s">
        <v>75</v>
      </c>
      <c r="B515" s="1" t="s">
        <v>446</v>
      </c>
      <c r="C515" s="1" t="s">
        <v>9918</v>
      </c>
      <c r="D515" s="1" t="s">
        <v>7759</v>
      </c>
      <c r="E515" s="1"/>
      <c r="F515" s="1" t="s">
        <v>1361</v>
      </c>
      <c r="G515" s="1" t="s">
        <v>9919</v>
      </c>
      <c r="H515" s="1" t="s">
        <v>9920</v>
      </c>
      <c r="I515" s="1" t="s">
        <v>9921</v>
      </c>
      <c r="J515" s="1">
        <v>9844434731</v>
      </c>
      <c r="K515" s="1" t="s">
        <v>84</v>
      </c>
      <c r="L515" s="1" t="s">
        <v>9922</v>
      </c>
      <c r="M515" s="1" t="s">
        <v>86</v>
      </c>
      <c r="N515" s="1" t="s">
        <v>9923</v>
      </c>
      <c r="O515" s="1"/>
      <c r="P515" s="1" t="s">
        <v>507</v>
      </c>
      <c r="Q515" s="1" t="s">
        <v>9924</v>
      </c>
      <c r="R515" s="1" t="s">
        <v>9925</v>
      </c>
      <c r="S515" s="1">
        <v>7090443380</v>
      </c>
      <c r="T515" s="1" t="s">
        <v>596</v>
      </c>
      <c r="U515" s="1" t="s">
        <v>9926</v>
      </c>
      <c r="V515" s="1">
        <v>9108558880</v>
      </c>
      <c r="W515" s="1" t="s">
        <v>161</v>
      </c>
      <c r="X515" s="1" t="s">
        <v>9927</v>
      </c>
      <c r="Y515" s="1" t="s">
        <v>3132</v>
      </c>
      <c r="Z515" s="1" t="s">
        <v>1210</v>
      </c>
      <c r="AA515" s="1" t="s">
        <v>9928</v>
      </c>
      <c r="AB515" s="1" t="s">
        <v>9929</v>
      </c>
      <c r="AC515" s="1" t="s">
        <v>1210</v>
      </c>
      <c r="AD515" s="1">
        <v>8.21</v>
      </c>
      <c r="AE515" s="1" t="s">
        <v>98</v>
      </c>
      <c r="AF515" s="1" t="s">
        <v>9930</v>
      </c>
      <c r="AG515" s="1" t="s">
        <v>1946</v>
      </c>
      <c r="AH515" s="1" t="s">
        <v>170</v>
      </c>
      <c r="AI515" s="1" t="s">
        <v>490</v>
      </c>
      <c r="AJ515" s="1">
        <v>83.04</v>
      </c>
      <c r="AK515" s="1"/>
      <c r="AL515" s="1" t="s">
        <v>9931</v>
      </c>
      <c r="AM515" s="1" t="s">
        <v>1216</v>
      </c>
      <c r="AN515" s="1"/>
      <c r="AO515" s="1" t="s">
        <v>438</v>
      </c>
      <c r="AP515" s="1" t="s">
        <v>603</v>
      </c>
      <c r="AQ515" s="1">
        <v>70.16</v>
      </c>
      <c r="AR515" s="1"/>
      <c r="AS515" s="1"/>
      <c r="AT515" s="1"/>
      <c r="AU515" s="1"/>
      <c r="AV515" s="1"/>
      <c r="AW515" s="1"/>
      <c r="AX515" s="1"/>
      <c r="AY515" s="1" t="s">
        <v>731</v>
      </c>
      <c r="AZ515" s="1" t="s">
        <v>9932</v>
      </c>
      <c r="BA515" s="1"/>
      <c r="BB515" s="1"/>
      <c r="BC515" s="1" t="s">
        <v>233</v>
      </c>
      <c r="BD515" s="1" t="s">
        <v>418</v>
      </c>
      <c r="BE515" s="1">
        <v>66.7</v>
      </c>
      <c r="BF515" s="1">
        <v>7.42</v>
      </c>
      <c r="BG515" s="1"/>
      <c r="BH515" s="1"/>
      <c r="BI515" s="1"/>
      <c r="BJ515" s="1"/>
      <c r="BK515" s="1"/>
      <c r="BL515" s="1"/>
      <c r="BM515" s="1"/>
      <c r="BN515" s="1"/>
      <c r="BO515" s="1" t="s">
        <v>9933</v>
      </c>
      <c r="BP515" s="1"/>
      <c r="BQ515" s="1"/>
      <c r="BR515" s="1" t="s">
        <v>9934</v>
      </c>
      <c r="BS515" s="1">
        <v>26</v>
      </c>
      <c r="BT515" s="1" t="s">
        <v>9935</v>
      </c>
      <c r="BU515" s="1" t="str">
        <f>HYPERLINK("https://nconnect.nicmar.ac.in/storage/profile/ProfilePhoto_P25700513_941562.jpg","Download")</f>
        <v>0</v>
      </c>
      <c r="BV515" s="3"/>
      <c r="BW515" s="3"/>
    </row>
    <row r="516" spans="1:75">
      <c r="A516" s="1" t="s">
        <v>75</v>
      </c>
      <c r="B516" s="1" t="s">
        <v>446</v>
      </c>
      <c r="C516" s="1" t="s">
        <v>9936</v>
      </c>
      <c r="D516" s="1" t="s">
        <v>7668</v>
      </c>
      <c r="E516" s="1"/>
      <c r="F516" s="1" t="s">
        <v>961</v>
      </c>
      <c r="G516" s="1" t="s">
        <v>9937</v>
      </c>
      <c r="H516" s="1" t="s">
        <v>9938</v>
      </c>
      <c r="I516" s="1" t="s">
        <v>9939</v>
      </c>
      <c r="J516" s="1">
        <v>8219340773</v>
      </c>
      <c r="K516" s="1" t="s">
        <v>84</v>
      </c>
      <c r="L516" s="1" t="s">
        <v>9940</v>
      </c>
      <c r="M516" s="1" t="s">
        <v>86</v>
      </c>
      <c r="N516" s="1" t="s">
        <v>246</v>
      </c>
      <c r="O516" s="1"/>
      <c r="P516" s="1" t="s">
        <v>481</v>
      </c>
      <c r="Q516" s="1" t="s">
        <v>9941</v>
      </c>
      <c r="R516" s="1" t="s">
        <v>9942</v>
      </c>
      <c r="S516" s="1">
        <v>8219544128</v>
      </c>
      <c r="T516" s="1" t="s">
        <v>9943</v>
      </c>
      <c r="U516" s="1" t="s">
        <v>9944</v>
      </c>
      <c r="V516" s="1">
        <v>9418016871</v>
      </c>
      <c r="W516" s="1" t="s">
        <v>539</v>
      </c>
      <c r="X516" s="1" t="s">
        <v>9945</v>
      </c>
      <c r="Y516" s="1" t="s">
        <v>3902</v>
      </c>
      <c r="Z516" s="1" t="s">
        <v>2608</v>
      </c>
      <c r="AA516" s="1" t="s">
        <v>9945</v>
      </c>
      <c r="AB516" s="1" t="s">
        <v>3902</v>
      </c>
      <c r="AC516" s="1" t="s">
        <v>2608</v>
      </c>
      <c r="AD516" s="1">
        <v>8.33</v>
      </c>
      <c r="AE516" s="1" t="s">
        <v>98</v>
      </c>
      <c r="AF516" s="1" t="s">
        <v>9946</v>
      </c>
      <c r="AG516" s="1" t="s">
        <v>9947</v>
      </c>
      <c r="AH516" s="1" t="s">
        <v>573</v>
      </c>
      <c r="AI516" s="1" t="s">
        <v>171</v>
      </c>
      <c r="AJ516" s="1">
        <v>65.6</v>
      </c>
      <c r="AK516" s="1"/>
      <c r="AL516" s="1" t="s">
        <v>9948</v>
      </c>
      <c r="AM516" s="1" t="s">
        <v>9949</v>
      </c>
      <c r="AN516" s="1" t="s">
        <v>465</v>
      </c>
      <c r="AO516" s="1" t="s">
        <v>438</v>
      </c>
      <c r="AP516" s="1" t="s">
        <v>468</v>
      </c>
      <c r="AQ516" s="1">
        <v>67</v>
      </c>
      <c r="AR516" s="1"/>
      <c r="AS516" s="1"/>
      <c r="AT516" s="1"/>
      <c r="AU516" s="1"/>
      <c r="AV516" s="1"/>
      <c r="AW516" s="1"/>
      <c r="AX516" s="1"/>
      <c r="AY516" s="1" t="s">
        <v>9950</v>
      </c>
      <c r="AZ516" s="1" t="s">
        <v>9951</v>
      </c>
      <c r="BA516" s="1" t="s">
        <v>466</v>
      </c>
      <c r="BB516" s="1" t="s">
        <v>467</v>
      </c>
      <c r="BC516" s="1" t="s">
        <v>175</v>
      </c>
      <c r="BD516" s="1" t="s">
        <v>1089</v>
      </c>
      <c r="BE516" s="1">
        <v>74.29</v>
      </c>
      <c r="BF516" s="1">
        <v>7.82</v>
      </c>
      <c r="BG516" s="1"/>
      <c r="BH516" s="1"/>
      <c r="BI516" s="1"/>
      <c r="BJ516" s="1"/>
      <c r="BK516" s="1"/>
      <c r="BL516" s="1"/>
      <c r="BM516" s="1"/>
      <c r="BN516" s="1"/>
      <c r="BO516" s="1" t="s">
        <v>9952</v>
      </c>
      <c r="BP516" s="1"/>
      <c r="BQ516" s="1"/>
      <c r="BR516" s="1" t="s">
        <v>9953</v>
      </c>
      <c r="BS516" s="1">
        <v>39</v>
      </c>
      <c r="BT516" s="1" t="s">
        <v>9954</v>
      </c>
      <c r="BU516" s="1" t="str">
        <f>HYPERLINK("https://nconnect.nicmar.ac.in/storage/profile/ProfilePhoto_P25700514_542397.jpg","Download")</f>
        <v>0</v>
      </c>
      <c r="BV516" s="3"/>
      <c r="BW516" s="4">
        <v>1</v>
      </c>
    </row>
    <row r="517" spans="1:75">
      <c r="A517" s="1" t="s">
        <v>75</v>
      </c>
      <c r="B517" s="1" t="s">
        <v>446</v>
      </c>
      <c r="C517" s="1" t="s">
        <v>9955</v>
      </c>
      <c r="D517" s="1" t="s">
        <v>5170</v>
      </c>
      <c r="E517" s="1" t="s">
        <v>2273</v>
      </c>
      <c r="F517" s="1" t="s">
        <v>9956</v>
      </c>
      <c r="G517" s="1" t="s">
        <v>9957</v>
      </c>
      <c r="H517" s="1" t="s">
        <v>9958</v>
      </c>
      <c r="I517" s="1" t="s">
        <v>9959</v>
      </c>
      <c r="J517" s="1">
        <v>9922596396</v>
      </c>
      <c r="K517" s="1" t="s">
        <v>84</v>
      </c>
      <c r="L517" s="1" t="s">
        <v>354</v>
      </c>
      <c r="M517" s="1" t="s">
        <v>86</v>
      </c>
      <c r="N517" s="1" t="s">
        <v>3568</v>
      </c>
      <c r="O517" s="1"/>
      <c r="P517" s="1" t="s">
        <v>481</v>
      </c>
      <c r="Q517" s="1" t="s">
        <v>9960</v>
      </c>
      <c r="R517" s="1" t="s">
        <v>2273</v>
      </c>
      <c r="S517" s="1">
        <v>9822596346</v>
      </c>
      <c r="T517" s="1" t="s">
        <v>159</v>
      </c>
      <c r="U517" s="1" t="s">
        <v>9961</v>
      </c>
      <c r="V517" s="1">
        <v>9404403646</v>
      </c>
      <c r="W517" s="1" t="s">
        <v>161</v>
      </c>
      <c r="X517" s="1" t="s">
        <v>9962</v>
      </c>
      <c r="Y517" s="1" t="s">
        <v>5181</v>
      </c>
      <c r="Z517" s="1" t="s">
        <v>97</v>
      </c>
      <c r="AA517" s="1" t="s">
        <v>9962</v>
      </c>
      <c r="AB517" s="1" t="s">
        <v>5181</v>
      </c>
      <c r="AC517" s="1" t="s">
        <v>97</v>
      </c>
      <c r="AD517" s="1">
        <v>8.67</v>
      </c>
      <c r="AE517" s="1" t="s">
        <v>98</v>
      </c>
      <c r="AF517" s="1" t="s">
        <v>9963</v>
      </c>
      <c r="AG517" s="1" t="s">
        <v>2745</v>
      </c>
      <c r="AH517" s="1" t="s">
        <v>170</v>
      </c>
      <c r="AI517" s="1" t="s">
        <v>286</v>
      </c>
      <c r="AJ517" s="1">
        <v>87.2</v>
      </c>
      <c r="AK517" s="1">
        <v>0</v>
      </c>
      <c r="AL517" s="1" t="s">
        <v>9964</v>
      </c>
      <c r="AM517" s="1" t="s">
        <v>2745</v>
      </c>
      <c r="AN517" s="1" t="s">
        <v>465</v>
      </c>
      <c r="AO517" s="1" t="s">
        <v>438</v>
      </c>
      <c r="AP517" s="1" t="s">
        <v>603</v>
      </c>
      <c r="AQ517" s="1">
        <v>63.54</v>
      </c>
      <c r="AR517" s="1">
        <v>0</v>
      </c>
      <c r="AS517" s="1"/>
      <c r="AT517" s="1"/>
      <c r="AU517" s="1"/>
      <c r="AV517" s="1"/>
      <c r="AW517" s="1"/>
      <c r="AX517" s="1"/>
      <c r="AY517" s="1" t="s">
        <v>366</v>
      </c>
      <c r="AZ517" s="1" t="s">
        <v>9965</v>
      </c>
      <c r="BA517" s="1" t="s">
        <v>578</v>
      </c>
      <c r="BB517" s="1" t="s">
        <v>467</v>
      </c>
      <c r="BC517" s="1" t="s">
        <v>368</v>
      </c>
      <c r="BD517" s="1" t="s">
        <v>207</v>
      </c>
      <c r="BE517" s="1">
        <v>66</v>
      </c>
      <c r="BF517" s="1">
        <v>7.35</v>
      </c>
      <c r="BG517" s="1"/>
      <c r="BH517" s="1"/>
      <c r="BI517" s="1"/>
      <c r="BJ517" s="1"/>
      <c r="BK517" s="1"/>
      <c r="BL517" s="1"/>
      <c r="BM517" s="1"/>
      <c r="BN517" s="1"/>
      <c r="BO517" s="1" t="s">
        <v>9966</v>
      </c>
      <c r="BP517" s="1"/>
      <c r="BQ517" s="1"/>
      <c r="BR517" s="1" t="s">
        <v>9967</v>
      </c>
      <c r="BS517" s="1">
        <v>11</v>
      </c>
      <c r="BT517" s="1"/>
      <c r="BU517" s="1" t="str">
        <f>HYPERLINK("https://nconnect.nicmar.ac.in/storage/profile/ProfilePhoto_P25700515_823165.jpg","Download")</f>
        <v>0</v>
      </c>
      <c r="BV517" s="3"/>
      <c r="BW517" s="3"/>
    </row>
    <row r="518" spans="1:75">
      <c r="A518" s="1" t="s">
        <v>75</v>
      </c>
      <c r="B518" s="1" t="s">
        <v>446</v>
      </c>
      <c r="C518" s="1" t="s">
        <v>9968</v>
      </c>
      <c r="D518" s="1" t="s">
        <v>761</v>
      </c>
      <c r="E518" s="1" t="s">
        <v>4966</v>
      </c>
      <c r="F518" s="1" t="s">
        <v>9969</v>
      </c>
      <c r="G518" s="1" t="s">
        <v>9970</v>
      </c>
      <c r="H518" s="1" t="s">
        <v>9971</v>
      </c>
      <c r="I518" s="1" t="s">
        <v>9972</v>
      </c>
      <c r="J518" s="1">
        <v>9307621134</v>
      </c>
      <c r="K518" s="1" t="s">
        <v>84</v>
      </c>
      <c r="L518" s="1" t="s">
        <v>9973</v>
      </c>
      <c r="M518" s="1" t="s">
        <v>86</v>
      </c>
      <c r="N518" s="1" t="s">
        <v>618</v>
      </c>
      <c r="O518" s="1"/>
      <c r="P518" s="1" t="s">
        <v>455</v>
      </c>
      <c r="Q518" s="1" t="s">
        <v>9974</v>
      </c>
      <c r="R518" s="1" t="s">
        <v>4966</v>
      </c>
      <c r="S518" s="1">
        <v>9096785329</v>
      </c>
      <c r="T518" s="1" t="s">
        <v>125</v>
      </c>
      <c r="U518" s="1" t="s">
        <v>9975</v>
      </c>
      <c r="V518" s="1">
        <v>8788918431</v>
      </c>
      <c r="W518" s="1" t="s">
        <v>161</v>
      </c>
      <c r="X518" s="1" t="s">
        <v>9976</v>
      </c>
      <c r="Y518" s="1" t="s">
        <v>196</v>
      </c>
      <c r="Z518" s="1" t="s">
        <v>97</v>
      </c>
      <c r="AA518" s="1" t="s">
        <v>9977</v>
      </c>
      <c r="AB518" s="1" t="s">
        <v>3538</v>
      </c>
      <c r="AC518" s="1" t="s">
        <v>97</v>
      </c>
      <c r="AD518" s="1">
        <v>8.95</v>
      </c>
      <c r="AE518" s="1" t="s">
        <v>98</v>
      </c>
      <c r="AF518" s="1" t="s">
        <v>9978</v>
      </c>
      <c r="AG518" s="1" t="s">
        <v>165</v>
      </c>
      <c r="AH518" s="1" t="s">
        <v>166</v>
      </c>
      <c r="AI518" s="1" t="s">
        <v>167</v>
      </c>
      <c r="AJ518" s="1">
        <v>89.2</v>
      </c>
      <c r="AK518" s="1"/>
      <c r="AL518" s="1"/>
      <c r="AM518" s="1"/>
      <c r="AN518" s="1"/>
      <c r="AO518" s="1"/>
      <c r="AP518" s="1"/>
      <c r="AQ518" s="1"/>
      <c r="AR518" s="1"/>
      <c r="AS518" s="1" t="s">
        <v>103</v>
      </c>
      <c r="AT518" s="1" t="s">
        <v>9979</v>
      </c>
      <c r="AU518" s="1" t="s">
        <v>1396</v>
      </c>
      <c r="AV518" s="1" t="s">
        <v>438</v>
      </c>
      <c r="AW518" s="1">
        <v>82.36</v>
      </c>
      <c r="AX518" s="1"/>
      <c r="AY518" s="1" t="s">
        <v>366</v>
      </c>
      <c r="AZ518" s="1" t="s">
        <v>9980</v>
      </c>
      <c r="BA518" s="1"/>
      <c r="BB518" s="1"/>
      <c r="BC518" s="1" t="s">
        <v>206</v>
      </c>
      <c r="BD518" s="1" t="s">
        <v>110</v>
      </c>
      <c r="BE518" s="1">
        <v>83.3</v>
      </c>
      <c r="BF518" s="1">
        <v>9.36</v>
      </c>
      <c r="BG518" s="1"/>
      <c r="BH518" s="1"/>
      <c r="BI518" s="1"/>
      <c r="BJ518" s="1"/>
      <c r="BK518" s="1"/>
      <c r="BL518" s="1"/>
      <c r="BM518" s="1"/>
      <c r="BN518" s="1"/>
      <c r="BO518" s="1" t="s">
        <v>9981</v>
      </c>
      <c r="BP518" s="1" t="s">
        <v>9982</v>
      </c>
      <c r="BQ518" s="1" t="s">
        <v>736</v>
      </c>
      <c r="BR518" s="1" t="s">
        <v>9983</v>
      </c>
      <c r="BS518" s="1">
        <v>8</v>
      </c>
      <c r="BT518" s="1"/>
      <c r="BU518" s="1" t="str">
        <f>HYPERLINK("https://nconnect.nicmar.ac.in/storage/profile/ProfilePhoto_P25700516_637824.jpg","Download")</f>
        <v>0</v>
      </c>
      <c r="BV518" s="3"/>
      <c r="BW518" s="4">
        <v>1</v>
      </c>
    </row>
    <row r="519" spans="1:75">
      <c r="A519" s="1" t="s">
        <v>75</v>
      </c>
      <c r="B519" s="1" t="s">
        <v>446</v>
      </c>
      <c r="C519" s="1" t="s">
        <v>9984</v>
      </c>
      <c r="D519" s="1" t="s">
        <v>2500</v>
      </c>
      <c r="E519" s="1" t="s">
        <v>9985</v>
      </c>
      <c r="F519" s="1" t="s">
        <v>9986</v>
      </c>
      <c r="G519" s="1" t="s">
        <v>9987</v>
      </c>
      <c r="H519" s="1" t="s">
        <v>9988</v>
      </c>
      <c r="I519" s="1" t="s">
        <v>9989</v>
      </c>
      <c r="J519" s="1">
        <v>9076063062</v>
      </c>
      <c r="K519" s="1" t="s">
        <v>84</v>
      </c>
      <c r="L519" s="1" t="s">
        <v>1616</v>
      </c>
      <c r="M519" s="1" t="s">
        <v>86</v>
      </c>
      <c r="N519" s="1" t="s">
        <v>9990</v>
      </c>
      <c r="O519" s="1"/>
      <c r="P519" s="1" t="s">
        <v>507</v>
      </c>
      <c r="Q519" s="1" t="s">
        <v>9991</v>
      </c>
      <c r="R519" s="1" t="s">
        <v>9992</v>
      </c>
      <c r="S519" s="1">
        <v>9324239435</v>
      </c>
      <c r="T519" s="1" t="s">
        <v>9993</v>
      </c>
      <c r="U519" s="1" t="s">
        <v>9994</v>
      </c>
      <c r="V519" s="1">
        <v>9322753316</v>
      </c>
      <c r="W519" s="1" t="s">
        <v>161</v>
      </c>
      <c r="X519" s="1" t="s">
        <v>9995</v>
      </c>
      <c r="Y519" s="1" t="s">
        <v>1012</v>
      </c>
      <c r="Z519" s="1" t="s">
        <v>97</v>
      </c>
      <c r="AA519" s="1" t="s">
        <v>9995</v>
      </c>
      <c r="AB519" s="1" t="s">
        <v>1012</v>
      </c>
      <c r="AC519" s="1" t="s">
        <v>97</v>
      </c>
      <c r="AD519" s="1">
        <v>8.23</v>
      </c>
      <c r="AE519" s="1" t="s">
        <v>98</v>
      </c>
      <c r="AF519" s="1" t="s">
        <v>9996</v>
      </c>
      <c r="AG519" s="1" t="s">
        <v>1968</v>
      </c>
      <c r="AH519" s="1" t="s">
        <v>167</v>
      </c>
      <c r="AI519" s="1" t="s">
        <v>200</v>
      </c>
      <c r="AJ519" s="1">
        <v>76.8</v>
      </c>
      <c r="AK519" s="1"/>
      <c r="AL519" s="1" t="s">
        <v>9997</v>
      </c>
      <c r="AM519" s="1" t="s">
        <v>1968</v>
      </c>
      <c r="AN519" s="1"/>
      <c r="AO519" s="1" t="s">
        <v>388</v>
      </c>
      <c r="AP519" s="1" t="s">
        <v>203</v>
      </c>
      <c r="AQ519" s="1">
        <v>66.31</v>
      </c>
      <c r="AR519" s="1"/>
      <c r="AS519" s="1"/>
      <c r="AT519" s="1"/>
      <c r="AU519" s="1"/>
      <c r="AV519" s="1"/>
      <c r="AW519" s="1"/>
      <c r="AX519" s="1"/>
      <c r="AY519" s="1" t="s">
        <v>258</v>
      </c>
      <c r="AZ519" s="1" t="s">
        <v>9998</v>
      </c>
      <c r="BA519" s="1"/>
      <c r="BB519" s="1"/>
      <c r="BC519" s="1" t="s">
        <v>206</v>
      </c>
      <c r="BD519" s="1" t="s">
        <v>935</v>
      </c>
      <c r="BE519" s="1">
        <v>68.56</v>
      </c>
      <c r="BF519" s="1">
        <v>7.76</v>
      </c>
      <c r="BG519" s="1"/>
      <c r="BH519" s="1"/>
      <c r="BI519" s="1"/>
      <c r="BJ519" s="1"/>
      <c r="BK519" s="1"/>
      <c r="BL519" s="1"/>
      <c r="BM519" s="1"/>
      <c r="BN519" s="1"/>
      <c r="BO519" s="1" t="s">
        <v>9999</v>
      </c>
      <c r="BP519" s="1" t="s">
        <v>10000</v>
      </c>
      <c r="BQ519" s="1" t="s">
        <v>582</v>
      </c>
      <c r="BR519" s="1" t="s">
        <v>10001</v>
      </c>
      <c r="BS519" s="1">
        <v>10</v>
      </c>
      <c r="BT519" s="1" t="s">
        <v>10002</v>
      </c>
      <c r="BU519" s="1" t="str">
        <f>HYPERLINK("https://nconnect.nicmar.ac.in/storage/profile/ProfilePhoto_P25700518_691543.jpg","Download")</f>
        <v>0</v>
      </c>
      <c r="BV519" s="3"/>
      <c r="BW519" s="3"/>
    </row>
    <row r="520" spans="1:75">
      <c r="A520" s="1" t="s">
        <v>75</v>
      </c>
      <c r="B520" s="1" t="s">
        <v>446</v>
      </c>
      <c r="C520" s="1" t="s">
        <v>10003</v>
      </c>
      <c r="D520" s="1" t="s">
        <v>6946</v>
      </c>
      <c r="E520" s="1" t="s">
        <v>10004</v>
      </c>
      <c r="F520" s="1" t="s">
        <v>10005</v>
      </c>
      <c r="G520" s="1" t="s">
        <v>10006</v>
      </c>
      <c r="H520" s="1" t="s">
        <v>10007</v>
      </c>
      <c r="I520" s="1" t="s">
        <v>10008</v>
      </c>
      <c r="J520" s="1">
        <v>9021176308</v>
      </c>
      <c r="K520" s="1" t="s">
        <v>84</v>
      </c>
      <c r="L520" s="1" t="s">
        <v>1278</v>
      </c>
      <c r="M520" s="1" t="s">
        <v>86</v>
      </c>
      <c r="N520" s="1" t="s">
        <v>10009</v>
      </c>
      <c r="O520" s="1"/>
      <c r="P520" s="1" t="s">
        <v>507</v>
      </c>
      <c r="Q520" s="1" t="s">
        <v>10010</v>
      </c>
      <c r="R520" s="1" t="s">
        <v>10004</v>
      </c>
      <c r="S520" s="1">
        <v>8788024171</v>
      </c>
      <c r="T520" s="1" t="s">
        <v>8423</v>
      </c>
      <c r="U520" s="1" t="s">
        <v>10011</v>
      </c>
      <c r="V520" s="1">
        <v>8482965232</v>
      </c>
      <c r="W520" s="1" t="s">
        <v>94</v>
      </c>
      <c r="X520" s="1" t="s">
        <v>10012</v>
      </c>
      <c r="Y520" s="1" t="s">
        <v>196</v>
      </c>
      <c r="Z520" s="1" t="s">
        <v>97</v>
      </c>
      <c r="AA520" s="1" t="s">
        <v>10013</v>
      </c>
      <c r="AB520" s="1" t="s">
        <v>163</v>
      </c>
      <c r="AC520" s="1" t="s">
        <v>97</v>
      </c>
      <c r="AD520" s="1">
        <v>7.26</v>
      </c>
      <c r="AE520" s="1" t="s">
        <v>98</v>
      </c>
      <c r="AF520" s="1" t="s">
        <v>10014</v>
      </c>
      <c r="AG520" s="1" t="s">
        <v>10015</v>
      </c>
      <c r="AH520" s="1" t="s">
        <v>166</v>
      </c>
      <c r="AI520" s="1" t="s">
        <v>167</v>
      </c>
      <c r="AJ520" s="1">
        <v>70.4</v>
      </c>
      <c r="AK520" s="1"/>
      <c r="AL520" s="1"/>
      <c r="AM520" s="1"/>
      <c r="AN520" s="1" t="s">
        <v>2635</v>
      </c>
      <c r="AO520" s="1"/>
      <c r="AP520" s="1"/>
      <c r="AQ520" s="1"/>
      <c r="AR520" s="1"/>
      <c r="AS520" s="1" t="s">
        <v>103</v>
      </c>
      <c r="AT520" s="1" t="s">
        <v>10016</v>
      </c>
      <c r="AU520" s="1" t="s">
        <v>167</v>
      </c>
      <c r="AV520" s="1" t="s">
        <v>438</v>
      </c>
      <c r="AW520" s="1">
        <v>70.61</v>
      </c>
      <c r="AX520" s="1"/>
      <c r="AY520" s="1" t="s">
        <v>4548</v>
      </c>
      <c r="AZ520" s="1" t="s">
        <v>10017</v>
      </c>
      <c r="BA520" s="1" t="s">
        <v>466</v>
      </c>
      <c r="BB520" s="1" t="s">
        <v>467</v>
      </c>
      <c r="BC520" s="1" t="s">
        <v>315</v>
      </c>
      <c r="BD520" s="1" t="s">
        <v>110</v>
      </c>
      <c r="BE520" s="1">
        <v>72.86</v>
      </c>
      <c r="BF520" s="1">
        <v>8.71</v>
      </c>
      <c r="BG520" s="1"/>
      <c r="BH520" s="1"/>
      <c r="BI520" s="1"/>
      <c r="BJ520" s="1"/>
      <c r="BK520" s="1"/>
      <c r="BL520" s="1"/>
      <c r="BM520" s="1"/>
      <c r="BN520" s="1"/>
      <c r="BO520" s="1" t="s">
        <v>10018</v>
      </c>
      <c r="BP520" s="1" t="s">
        <v>10019</v>
      </c>
      <c r="BQ520" s="1" t="s">
        <v>1357</v>
      </c>
      <c r="BR520" s="1" t="s">
        <v>10020</v>
      </c>
      <c r="BS520" s="1">
        <v>33</v>
      </c>
      <c r="BT520" s="1" t="s">
        <v>10021</v>
      </c>
      <c r="BU520" s="1" t="str">
        <f>HYPERLINK("https://nconnect.nicmar.ac.in/storage/profile/ProfilePhoto_P25700519_691532.jpg","Download")</f>
        <v>0</v>
      </c>
      <c r="BV520" s="3"/>
      <c r="BW520" s="3"/>
    </row>
    <row r="521" spans="1:75">
      <c r="A521" s="1" t="s">
        <v>75</v>
      </c>
      <c r="B521" s="1" t="s">
        <v>446</v>
      </c>
      <c r="C521" s="1" t="s">
        <v>10022</v>
      </c>
      <c r="D521" s="1" t="s">
        <v>1179</v>
      </c>
      <c r="E521" s="1" t="s">
        <v>1425</v>
      </c>
      <c r="F521" s="1" t="s">
        <v>1320</v>
      </c>
      <c r="G521" s="1" t="s">
        <v>10023</v>
      </c>
      <c r="H521" s="1" t="s">
        <v>10024</v>
      </c>
      <c r="I521" s="1" t="s">
        <v>10025</v>
      </c>
      <c r="J521" s="1">
        <v>7799077947</v>
      </c>
      <c r="K521" s="1" t="s">
        <v>84</v>
      </c>
      <c r="L521" s="1" t="s">
        <v>2314</v>
      </c>
      <c r="M521" s="1" t="s">
        <v>86</v>
      </c>
      <c r="N521" s="1" t="s">
        <v>10026</v>
      </c>
      <c r="O521" s="1"/>
      <c r="P521" s="1" t="s">
        <v>455</v>
      </c>
      <c r="Q521" s="1" t="s">
        <v>10027</v>
      </c>
      <c r="R521" s="1" t="s">
        <v>10028</v>
      </c>
      <c r="S521" s="1">
        <v>9848182964</v>
      </c>
      <c r="T521" s="1" t="s">
        <v>10029</v>
      </c>
      <c r="U521" s="1" t="s">
        <v>10030</v>
      </c>
      <c r="V521" s="1">
        <v>8341872855</v>
      </c>
      <c r="W521" s="1" t="s">
        <v>161</v>
      </c>
      <c r="X521" s="1" t="s">
        <v>10031</v>
      </c>
      <c r="Y521" s="1" t="s">
        <v>4048</v>
      </c>
      <c r="Z521" s="1" t="s">
        <v>461</v>
      </c>
      <c r="AA521" s="1" t="s">
        <v>10031</v>
      </c>
      <c r="AB521" s="1" t="s">
        <v>4048</v>
      </c>
      <c r="AC521" s="1" t="s">
        <v>461</v>
      </c>
      <c r="AD521" s="1">
        <v>7.79</v>
      </c>
      <c r="AE521" s="1" t="s">
        <v>98</v>
      </c>
      <c r="AF521" s="1" t="s">
        <v>10032</v>
      </c>
      <c r="AG521" s="1" t="s">
        <v>3592</v>
      </c>
      <c r="AH521" s="1" t="s">
        <v>167</v>
      </c>
      <c r="AI521" s="1" t="s">
        <v>200</v>
      </c>
      <c r="AJ521" s="1">
        <v>88.35</v>
      </c>
      <c r="AK521" s="1">
        <v>9.3</v>
      </c>
      <c r="AL521" s="1" t="s">
        <v>10033</v>
      </c>
      <c r="AM521" s="1" t="s">
        <v>10034</v>
      </c>
      <c r="AN521" s="1" t="s">
        <v>465</v>
      </c>
      <c r="AO521" s="1" t="s">
        <v>170</v>
      </c>
      <c r="AP521" s="1" t="s">
        <v>414</v>
      </c>
      <c r="AQ521" s="1">
        <v>92.6</v>
      </c>
      <c r="AR521" s="1">
        <v>9.26</v>
      </c>
      <c r="AS521" s="1"/>
      <c r="AT521" s="1"/>
      <c r="AU521" s="1"/>
      <c r="AV521" s="1"/>
      <c r="AW521" s="1"/>
      <c r="AX521" s="1"/>
      <c r="AY521" s="1" t="s">
        <v>10035</v>
      </c>
      <c r="AZ521" s="1" t="s">
        <v>10036</v>
      </c>
      <c r="BA521" s="1" t="s">
        <v>466</v>
      </c>
      <c r="BB521" s="1" t="s">
        <v>467</v>
      </c>
      <c r="BC521" s="1" t="s">
        <v>315</v>
      </c>
      <c r="BD521" s="1" t="s">
        <v>10037</v>
      </c>
      <c r="BE521" s="1">
        <v>62.7</v>
      </c>
      <c r="BF521" s="1">
        <v>6.77</v>
      </c>
      <c r="BG521" s="1"/>
      <c r="BH521" s="1"/>
      <c r="BI521" s="1"/>
      <c r="BJ521" s="1"/>
      <c r="BK521" s="1"/>
      <c r="BL521" s="1"/>
      <c r="BM521" s="1"/>
      <c r="BN521" s="1"/>
      <c r="BO521" s="1" t="s">
        <v>10038</v>
      </c>
      <c r="BP521" s="1" t="s">
        <v>10039</v>
      </c>
      <c r="BQ521" s="1" t="s">
        <v>658</v>
      </c>
      <c r="BR521" s="1" t="s">
        <v>10040</v>
      </c>
      <c r="BS521" s="1">
        <v>34</v>
      </c>
      <c r="BT521" s="1" t="s">
        <v>10041</v>
      </c>
      <c r="BU521" s="1" t="str">
        <f>HYPERLINK("https://nconnect.nicmar.ac.in/storage/profile/ProfilePhoto_P25700520_925738.jpg","Download")</f>
        <v>0</v>
      </c>
      <c r="BV521" s="3"/>
      <c r="BW521" s="3"/>
    </row>
    <row r="522" spans="1:75">
      <c r="A522" s="1" t="s">
        <v>75</v>
      </c>
      <c r="B522" s="1" t="s">
        <v>446</v>
      </c>
      <c r="C522" s="1" t="s">
        <v>10042</v>
      </c>
      <c r="D522" s="1" t="s">
        <v>10043</v>
      </c>
      <c r="E522" s="1" t="s">
        <v>10044</v>
      </c>
      <c r="F522" s="1" t="s">
        <v>10045</v>
      </c>
      <c r="G522" s="1" t="s">
        <v>10046</v>
      </c>
      <c r="H522" s="1" t="s">
        <v>10047</v>
      </c>
      <c r="I522" s="1" t="s">
        <v>10048</v>
      </c>
      <c r="J522" s="1">
        <v>9767879369</v>
      </c>
      <c r="K522" s="1" t="s">
        <v>84</v>
      </c>
      <c r="L522" s="1" t="s">
        <v>10049</v>
      </c>
      <c r="M522" s="1" t="s">
        <v>86</v>
      </c>
      <c r="N522" s="1" t="s">
        <v>5370</v>
      </c>
      <c r="O522" s="1"/>
      <c r="P522" s="1" t="s">
        <v>455</v>
      </c>
      <c r="Q522" s="1" t="s">
        <v>10050</v>
      </c>
      <c r="R522" s="1" t="s">
        <v>10051</v>
      </c>
      <c r="S522" s="1">
        <v>9422360231</v>
      </c>
      <c r="T522" s="1" t="s">
        <v>10052</v>
      </c>
      <c r="U522" s="1" t="s">
        <v>10053</v>
      </c>
      <c r="V522" s="1">
        <v>9421931938</v>
      </c>
      <c r="W522" s="1" t="s">
        <v>161</v>
      </c>
      <c r="X522" s="1" t="s">
        <v>10054</v>
      </c>
      <c r="Y522" s="1" t="s">
        <v>7694</v>
      </c>
      <c r="Z522" s="1" t="s">
        <v>97</v>
      </c>
      <c r="AA522" s="1" t="s">
        <v>10054</v>
      </c>
      <c r="AB522" s="1" t="s">
        <v>7694</v>
      </c>
      <c r="AC522" s="1" t="s">
        <v>97</v>
      </c>
      <c r="AD522" s="1">
        <v>7.51</v>
      </c>
      <c r="AE522" s="1" t="s">
        <v>98</v>
      </c>
      <c r="AF522" s="1" t="s">
        <v>10055</v>
      </c>
      <c r="AG522" s="1" t="s">
        <v>10056</v>
      </c>
      <c r="AH522" s="1" t="s">
        <v>136</v>
      </c>
      <c r="AI522" s="1" t="s">
        <v>627</v>
      </c>
      <c r="AJ522" s="1">
        <v>71.2</v>
      </c>
      <c r="AK522" s="1">
        <v>7.8</v>
      </c>
      <c r="AL522" s="1" t="s">
        <v>10057</v>
      </c>
      <c r="AM522" s="1" t="s">
        <v>10058</v>
      </c>
      <c r="AN522" s="1"/>
      <c r="AO522" s="1" t="s">
        <v>1396</v>
      </c>
      <c r="AP522" s="1" t="s">
        <v>106</v>
      </c>
      <c r="AQ522" s="1">
        <v>60.31</v>
      </c>
      <c r="AR522" s="1"/>
      <c r="AS522" s="1"/>
      <c r="AT522" s="1"/>
      <c r="AU522" s="1"/>
      <c r="AV522" s="1"/>
      <c r="AW522" s="1"/>
      <c r="AX522" s="1"/>
      <c r="AY522" s="1" t="s">
        <v>366</v>
      </c>
      <c r="AZ522" s="1" t="s">
        <v>10059</v>
      </c>
      <c r="BA522" s="1"/>
      <c r="BB522" s="1"/>
      <c r="BC522" s="1" t="s">
        <v>1065</v>
      </c>
      <c r="BD522" s="1" t="s">
        <v>179</v>
      </c>
      <c r="BE522" s="1">
        <v>64.1</v>
      </c>
      <c r="BF522" s="1">
        <v>7.16</v>
      </c>
      <c r="BG522" s="1"/>
      <c r="BH522" s="1"/>
      <c r="BI522" s="1"/>
      <c r="BJ522" s="1"/>
      <c r="BK522" s="1"/>
      <c r="BL522" s="1"/>
      <c r="BM522" s="1"/>
      <c r="BN522" s="1"/>
      <c r="BO522" s="1" t="s">
        <v>3308</v>
      </c>
      <c r="BP522" s="1" t="s">
        <v>10060</v>
      </c>
      <c r="BQ522" s="1" t="s">
        <v>658</v>
      </c>
      <c r="BR522" s="1" t="s">
        <v>10061</v>
      </c>
      <c r="BS522" s="1">
        <v>8</v>
      </c>
      <c r="BT522" s="1"/>
      <c r="BU522" s="1" t="str">
        <f>HYPERLINK("https://nconnect.nicmar.ac.in/storage/profile/ProfilePhoto_P25700521_734961.jpg","Download")</f>
        <v>0</v>
      </c>
      <c r="BV522" s="3"/>
      <c r="BW522" s="3"/>
    </row>
    <row r="523" spans="1:75">
      <c r="A523" s="1" t="s">
        <v>75</v>
      </c>
      <c r="B523" s="1" t="s">
        <v>446</v>
      </c>
      <c r="C523" s="1" t="s">
        <v>10062</v>
      </c>
      <c r="D523" s="1" t="s">
        <v>10063</v>
      </c>
      <c r="E523" s="1"/>
      <c r="F523" s="1" t="s">
        <v>10064</v>
      </c>
      <c r="G523" s="1" t="s">
        <v>10065</v>
      </c>
      <c r="H523" s="1" t="s">
        <v>10066</v>
      </c>
      <c r="I523" s="1" t="s">
        <v>10067</v>
      </c>
      <c r="J523" s="1">
        <v>7001957741</v>
      </c>
      <c r="K523" s="1" t="s">
        <v>84</v>
      </c>
      <c r="L523" s="1" t="s">
        <v>10068</v>
      </c>
      <c r="M523" s="1" t="s">
        <v>86</v>
      </c>
      <c r="N523" s="1" t="s">
        <v>3615</v>
      </c>
      <c r="O523" s="1"/>
      <c r="P523" s="1" t="s">
        <v>507</v>
      </c>
      <c r="Q523" s="1" t="s">
        <v>10069</v>
      </c>
      <c r="R523" s="1" t="s">
        <v>10070</v>
      </c>
      <c r="S523" s="1">
        <v>9475017404</v>
      </c>
      <c r="T523" s="1" t="s">
        <v>10071</v>
      </c>
      <c r="U523" s="1" t="s">
        <v>10072</v>
      </c>
      <c r="V523" s="1">
        <v>9474400329</v>
      </c>
      <c r="W523" s="1" t="s">
        <v>278</v>
      </c>
      <c r="X523" s="1" t="s">
        <v>10073</v>
      </c>
      <c r="Y523" s="1" t="s">
        <v>1233</v>
      </c>
      <c r="Z523" s="1" t="s">
        <v>1234</v>
      </c>
      <c r="AA523" s="1" t="s">
        <v>10073</v>
      </c>
      <c r="AB523" s="1" t="s">
        <v>1233</v>
      </c>
      <c r="AC523" s="1" t="s">
        <v>1234</v>
      </c>
      <c r="AD523" s="1">
        <v>7.49</v>
      </c>
      <c r="AE523" s="1" t="s">
        <v>98</v>
      </c>
      <c r="AF523" s="1" t="s">
        <v>10074</v>
      </c>
      <c r="AG523" s="1" t="s">
        <v>3284</v>
      </c>
      <c r="AH523" s="1" t="s">
        <v>1214</v>
      </c>
      <c r="AI523" s="1" t="s">
        <v>136</v>
      </c>
      <c r="AJ523" s="1">
        <v>84.71</v>
      </c>
      <c r="AK523" s="1"/>
      <c r="AL523" s="1" t="s">
        <v>10075</v>
      </c>
      <c r="AM523" s="1" t="s">
        <v>3287</v>
      </c>
      <c r="AN523" s="1" t="s">
        <v>575</v>
      </c>
      <c r="AO523" s="1" t="s">
        <v>627</v>
      </c>
      <c r="AP523" s="1" t="s">
        <v>573</v>
      </c>
      <c r="AQ523" s="1">
        <v>70.6</v>
      </c>
      <c r="AR523" s="1"/>
      <c r="AS523" s="1"/>
      <c r="AT523" s="1"/>
      <c r="AU523" s="1"/>
      <c r="AV523" s="1"/>
      <c r="AW523" s="1"/>
      <c r="AX523" s="1"/>
      <c r="AY523" s="1" t="s">
        <v>10076</v>
      </c>
      <c r="AZ523" s="1" t="s">
        <v>10077</v>
      </c>
      <c r="BA523" s="1" t="s">
        <v>466</v>
      </c>
      <c r="BB523" s="1" t="s">
        <v>467</v>
      </c>
      <c r="BC523" s="1" t="s">
        <v>388</v>
      </c>
      <c r="BD523" s="1" t="s">
        <v>549</v>
      </c>
      <c r="BE523" s="1">
        <v>69.8</v>
      </c>
      <c r="BF523" s="1"/>
      <c r="BG523" s="1"/>
      <c r="BH523" s="1"/>
      <c r="BI523" s="1"/>
      <c r="BJ523" s="1"/>
      <c r="BK523" s="1"/>
      <c r="BL523" s="1"/>
      <c r="BM523" s="1"/>
      <c r="BN523" s="1"/>
      <c r="BO523" s="1" t="s">
        <v>10078</v>
      </c>
      <c r="BP523" s="1" t="s">
        <v>10079</v>
      </c>
      <c r="BQ523" s="1" t="s">
        <v>8010</v>
      </c>
      <c r="BR523" s="1" t="s">
        <v>10080</v>
      </c>
      <c r="BS523" s="1">
        <v>9</v>
      </c>
      <c r="BT523" s="1" t="s">
        <v>10081</v>
      </c>
      <c r="BU523" s="1" t="str">
        <f>HYPERLINK("https://nconnect.nicmar.ac.in/storage/profile/ProfilePhoto_P25700522_658429.jpg","Download")</f>
        <v>0</v>
      </c>
      <c r="BV523" s="3"/>
      <c r="BW523" s="3"/>
    </row>
    <row r="524" spans="1:75">
      <c r="A524" s="1" t="s">
        <v>75</v>
      </c>
      <c r="B524" s="1" t="s">
        <v>446</v>
      </c>
      <c r="C524" s="1" t="s">
        <v>10082</v>
      </c>
      <c r="D524" s="1" t="s">
        <v>10083</v>
      </c>
      <c r="E524" s="1"/>
      <c r="F524" s="1" t="s">
        <v>10084</v>
      </c>
      <c r="G524" s="1" t="s">
        <v>10085</v>
      </c>
      <c r="H524" s="1" t="s">
        <v>10086</v>
      </c>
      <c r="I524" s="1" t="s">
        <v>10087</v>
      </c>
      <c r="J524" s="1">
        <v>9495201735</v>
      </c>
      <c r="K524" s="1" t="s">
        <v>84</v>
      </c>
      <c r="L524" s="1" t="s">
        <v>1183</v>
      </c>
      <c r="M524" s="1" t="s">
        <v>86</v>
      </c>
      <c r="N524" s="1" t="s">
        <v>10088</v>
      </c>
      <c r="O524" s="1"/>
      <c r="P524" s="1" t="s">
        <v>455</v>
      </c>
      <c r="Q524" s="1" t="s">
        <v>10089</v>
      </c>
      <c r="R524" s="1" t="s">
        <v>10090</v>
      </c>
      <c r="S524" s="1">
        <v>9447053735</v>
      </c>
      <c r="T524" s="1" t="s">
        <v>125</v>
      </c>
      <c r="U524" s="1" t="s">
        <v>10091</v>
      </c>
      <c r="V524" s="1">
        <v>9497091530</v>
      </c>
      <c r="W524" s="1" t="s">
        <v>127</v>
      </c>
      <c r="X524" s="1" t="s">
        <v>10092</v>
      </c>
      <c r="Y524" s="1" t="s">
        <v>2526</v>
      </c>
      <c r="Z524" s="1" t="s">
        <v>130</v>
      </c>
      <c r="AA524" s="1" t="s">
        <v>10092</v>
      </c>
      <c r="AB524" s="1" t="s">
        <v>2526</v>
      </c>
      <c r="AC524" s="1" t="s">
        <v>130</v>
      </c>
      <c r="AD524" s="1">
        <v>8.69</v>
      </c>
      <c r="AE524" s="1" t="s">
        <v>98</v>
      </c>
      <c r="AF524" s="1" t="s">
        <v>10093</v>
      </c>
      <c r="AG524" s="1" t="s">
        <v>10094</v>
      </c>
      <c r="AH524" s="1" t="s">
        <v>106</v>
      </c>
      <c r="AI524" s="1" t="s">
        <v>313</v>
      </c>
      <c r="AJ524" s="1">
        <v>82.6</v>
      </c>
      <c r="AK524" s="1"/>
      <c r="AL524" s="1" t="s">
        <v>10095</v>
      </c>
      <c r="AM524" s="1" t="s">
        <v>10096</v>
      </c>
      <c r="AN524" s="1" t="s">
        <v>6380</v>
      </c>
      <c r="AO524" s="1" t="s">
        <v>468</v>
      </c>
      <c r="AP524" s="1" t="s">
        <v>549</v>
      </c>
      <c r="AQ524" s="1">
        <v>96.9</v>
      </c>
      <c r="AR524" s="1"/>
      <c r="AS524" s="1"/>
      <c r="AT524" s="1"/>
      <c r="AU524" s="1"/>
      <c r="AV524" s="1"/>
      <c r="AW524" s="1"/>
      <c r="AX524" s="1"/>
      <c r="AY524" s="1" t="s">
        <v>604</v>
      </c>
      <c r="AZ524" s="1" t="s">
        <v>10097</v>
      </c>
      <c r="BA524" s="1" t="s">
        <v>466</v>
      </c>
      <c r="BB524" s="1" t="s">
        <v>467</v>
      </c>
      <c r="BC524" s="1" t="s">
        <v>606</v>
      </c>
      <c r="BD524" s="1" t="s">
        <v>553</v>
      </c>
      <c r="BE524" s="1">
        <v>72.17</v>
      </c>
      <c r="BF524" s="1">
        <v>7.36</v>
      </c>
      <c r="BG524" s="1"/>
      <c r="BH524" s="1"/>
      <c r="BI524" s="1"/>
      <c r="BJ524" s="1"/>
      <c r="BK524" s="1"/>
      <c r="BL524" s="1"/>
      <c r="BM524" s="1"/>
      <c r="BN524" s="1"/>
      <c r="BO524" s="1" t="s">
        <v>10098</v>
      </c>
      <c r="BP524" s="1"/>
      <c r="BQ524" s="1"/>
      <c r="BR524" s="1" t="s">
        <v>10099</v>
      </c>
      <c r="BS524" s="1">
        <v>11</v>
      </c>
      <c r="BT524" s="1" t="s">
        <v>10100</v>
      </c>
      <c r="BU524" s="1" t="str">
        <f>HYPERLINK("https://nconnect.nicmar.ac.in/storage/profile/ProfilePhoto_P25700524_859374.jpg","Download")</f>
        <v>0</v>
      </c>
      <c r="BV524" s="3"/>
      <c r="BW524" s="4">
        <v>1</v>
      </c>
    </row>
    <row r="525" spans="1:75">
      <c r="A525" s="1" t="s">
        <v>75</v>
      </c>
      <c r="B525" s="1" t="s">
        <v>446</v>
      </c>
      <c r="C525" s="1" t="s">
        <v>10101</v>
      </c>
      <c r="D525" s="1" t="s">
        <v>6742</v>
      </c>
      <c r="E525" s="1" t="s">
        <v>4310</v>
      </c>
      <c r="F525" s="1" t="s">
        <v>10102</v>
      </c>
      <c r="G525" s="1" t="s">
        <v>10103</v>
      </c>
      <c r="H525" s="1" t="s">
        <v>10104</v>
      </c>
      <c r="I525" s="1" t="s">
        <v>10105</v>
      </c>
      <c r="J525" s="1">
        <v>9820589566</v>
      </c>
      <c r="K525" s="1" t="s">
        <v>84</v>
      </c>
      <c r="L525" s="1" t="s">
        <v>10106</v>
      </c>
      <c r="M525" s="1" t="s">
        <v>86</v>
      </c>
      <c r="N525" s="1" t="s">
        <v>618</v>
      </c>
      <c r="O525" s="1"/>
      <c r="P525" s="1" t="s">
        <v>455</v>
      </c>
      <c r="Q525" s="1" t="s">
        <v>10107</v>
      </c>
      <c r="R525" s="1" t="s">
        <v>10108</v>
      </c>
      <c r="S525" s="1">
        <v>9833060168</v>
      </c>
      <c r="T525" s="1" t="s">
        <v>839</v>
      </c>
      <c r="U525" s="1" t="s">
        <v>10109</v>
      </c>
      <c r="V525" s="1">
        <v>9769471340</v>
      </c>
      <c r="W525" s="1" t="s">
        <v>161</v>
      </c>
      <c r="X525" s="1" t="s">
        <v>10110</v>
      </c>
      <c r="Y525" s="1" t="s">
        <v>2259</v>
      </c>
      <c r="Z525" s="1" t="s">
        <v>97</v>
      </c>
      <c r="AA525" s="1" t="s">
        <v>10110</v>
      </c>
      <c r="AB525" s="1" t="s">
        <v>2259</v>
      </c>
      <c r="AC525" s="1" t="s">
        <v>97</v>
      </c>
      <c r="AD525" s="1">
        <v>7.82</v>
      </c>
      <c r="AE525" s="1" t="s">
        <v>98</v>
      </c>
      <c r="AF525" s="1" t="s">
        <v>10111</v>
      </c>
      <c r="AG525" s="1" t="s">
        <v>1968</v>
      </c>
      <c r="AH525" s="1" t="s">
        <v>166</v>
      </c>
      <c r="AI525" s="1" t="s">
        <v>167</v>
      </c>
      <c r="AJ525" s="1">
        <v>80.4</v>
      </c>
      <c r="AK525" s="1"/>
      <c r="AL525" s="1" t="s">
        <v>2263</v>
      </c>
      <c r="AM525" s="1" t="s">
        <v>1968</v>
      </c>
      <c r="AN525" s="1"/>
      <c r="AO525" s="1" t="s">
        <v>170</v>
      </c>
      <c r="AP525" s="1" t="s">
        <v>171</v>
      </c>
      <c r="AQ525" s="1">
        <v>67.23</v>
      </c>
      <c r="AR525" s="1"/>
      <c r="AS525" s="1"/>
      <c r="AT525" s="1"/>
      <c r="AU525" s="1"/>
      <c r="AV525" s="1"/>
      <c r="AW525" s="1"/>
      <c r="AX525" s="1"/>
      <c r="AY525" s="1" t="s">
        <v>258</v>
      </c>
      <c r="AZ525" s="1" t="s">
        <v>10112</v>
      </c>
      <c r="BA525" s="1"/>
      <c r="BB525" s="1"/>
      <c r="BC525" s="1" t="s">
        <v>174</v>
      </c>
      <c r="BD525" s="1" t="s">
        <v>289</v>
      </c>
      <c r="BE525" s="1">
        <v>75.27</v>
      </c>
      <c r="BF525" s="1"/>
      <c r="BG525" s="1"/>
      <c r="BH525" s="1"/>
      <c r="BI525" s="1"/>
      <c r="BJ525" s="1"/>
      <c r="BK525" s="1"/>
      <c r="BL525" s="1"/>
      <c r="BM525" s="1"/>
      <c r="BN525" s="1"/>
      <c r="BO525" s="1" t="s">
        <v>1114</v>
      </c>
      <c r="BP525" s="1" t="s">
        <v>10113</v>
      </c>
      <c r="BQ525" s="1" t="s">
        <v>143</v>
      </c>
      <c r="BR525" s="1" t="s">
        <v>10114</v>
      </c>
      <c r="BS525" s="1">
        <v>17</v>
      </c>
      <c r="BT525" s="1" t="s">
        <v>10115</v>
      </c>
      <c r="BU525" s="1" t="str">
        <f>HYPERLINK("https://nconnect.nicmar.ac.in/storage/profile/ProfilePhoto_P25700525_376924.jpg","Download")</f>
        <v>0</v>
      </c>
      <c r="BV525" s="3"/>
      <c r="BW525" s="4">
        <v>1</v>
      </c>
    </row>
    <row r="526" spans="1:75">
      <c r="A526" s="1" t="s">
        <v>75</v>
      </c>
      <c r="B526" s="1" t="s">
        <v>446</v>
      </c>
      <c r="C526" s="1" t="s">
        <v>10116</v>
      </c>
      <c r="D526" s="1" t="s">
        <v>10117</v>
      </c>
      <c r="E526" s="1" t="s">
        <v>4625</v>
      </c>
      <c r="F526" s="1" t="s">
        <v>10118</v>
      </c>
      <c r="G526" s="1" t="s">
        <v>10119</v>
      </c>
      <c r="H526" s="1" t="s">
        <v>10120</v>
      </c>
      <c r="I526" s="1" t="s">
        <v>10121</v>
      </c>
      <c r="J526" s="1">
        <v>9370261603</v>
      </c>
      <c r="K526" s="1" t="s">
        <v>153</v>
      </c>
      <c r="L526" s="1" t="s">
        <v>7871</v>
      </c>
      <c r="M526" s="1" t="s">
        <v>86</v>
      </c>
      <c r="N526" s="1" t="s">
        <v>618</v>
      </c>
      <c r="O526" s="1"/>
      <c r="P526" s="1" t="s">
        <v>455</v>
      </c>
      <c r="Q526" s="1" t="s">
        <v>10122</v>
      </c>
      <c r="R526" s="1" t="s">
        <v>10123</v>
      </c>
      <c r="S526" s="1">
        <v>9370646504</v>
      </c>
      <c r="T526" s="1" t="s">
        <v>6733</v>
      </c>
      <c r="U526" s="1" t="s">
        <v>10124</v>
      </c>
      <c r="V526" s="1">
        <v>9370646504</v>
      </c>
      <c r="W526" s="1" t="s">
        <v>278</v>
      </c>
      <c r="X526" s="1" t="s">
        <v>10125</v>
      </c>
      <c r="Y526" s="1" t="s">
        <v>5083</v>
      </c>
      <c r="Z526" s="1" t="s">
        <v>97</v>
      </c>
      <c r="AA526" s="1" t="s">
        <v>10125</v>
      </c>
      <c r="AB526" s="1" t="s">
        <v>5083</v>
      </c>
      <c r="AC526" s="1" t="s">
        <v>97</v>
      </c>
      <c r="AD526" s="1">
        <v>7.56</v>
      </c>
      <c r="AE526" s="1" t="s">
        <v>98</v>
      </c>
      <c r="AF526" s="1" t="s">
        <v>10126</v>
      </c>
      <c r="AG526" s="1" t="s">
        <v>165</v>
      </c>
      <c r="AH526" s="1" t="s">
        <v>170</v>
      </c>
      <c r="AI526" s="1" t="s">
        <v>313</v>
      </c>
      <c r="AJ526" s="1">
        <v>84.2</v>
      </c>
      <c r="AK526" s="1"/>
      <c r="AL526" s="1" t="s">
        <v>10127</v>
      </c>
      <c r="AM526" s="1" t="s">
        <v>165</v>
      </c>
      <c r="AN526" s="1"/>
      <c r="AO526" s="1" t="s">
        <v>438</v>
      </c>
      <c r="AP526" s="1" t="s">
        <v>847</v>
      </c>
      <c r="AQ526" s="1">
        <v>92.33</v>
      </c>
      <c r="AR526" s="1"/>
      <c r="AS526" s="1"/>
      <c r="AT526" s="1"/>
      <c r="AU526" s="1"/>
      <c r="AV526" s="1"/>
      <c r="AW526" s="1"/>
      <c r="AX526" s="1"/>
      <c r="AY526" s="1" t="s">
        <v>366</v>
      </c>
      <c r="AZ526" s="1" t="s">
        <v>10128</v>
      </c>
      <c r="BA526" s="1"/>
      <c r="BB526" s="1"/>
      <c r="BC526" s="1" t="s">
        <v>441</v>
      </c>
      <c r="BD526" s="1" t="s">
        <v>553</v>
      </c>
      <c r="BE526" s="1">
        <v>66</v>
      </c>
      <c r="BF526" s="1">
        <v>7.35</v>
      </c>
      <c r="BG526" s="1"/>
      <c r="BH526" s="1"/>
      <c r="BI526" s="1"/>
      <c r="BJ526" s="1"/>
      <c r="BK526" s="1"/>
      <c r="BL526" s="1"/>
      <c r="BM526" s="1"/>
      <c r="BN526" s="1"/>
      <c r="BO526" s="1" t="s">
        <v>5787</v>
      </c>
      <c r="BP526" s="1"/>
      <c r="BQ526" s="1"/>
      <c r="BR526" s="1" t="s">
        <v>10129</v>
      </c>
      <c r="BS526" s="1">
        <v>12</v>
      </c>
      <c r="BT526" s="1" t="s">
        <v>10130</v>
      </c>
      <c r="BU526" s="1" t="str">
        <f>HYPERLINK("https://nconnect.nicmar.ac.in/storage/profile/ProfilePhoto_P25700526_147892.jpg","Download")</f>
        <v>0</v>
      </c>
      <c r="BV526" s="3"/>
      <c r="BW526" s="3"/>
    </row>
    <row r="527" spans="1:75">
      <c r="A527" s="1" t="s">
        <v>75</v>
      </c>
      <c r="B527" s="1" t="s">
        <v>446</v>
      </c>
      <c r="C527" s="1" t="s">
        <v>10131</v>
      </c>
      <c r="D527" s="1" t="s">
        <v>10132</v>
      </c>
      <c r="E527" s="1" t="s">
        <v>673</v>
      </c>
      <c r="F527" s="1" t="s">
        <v>10133</v>
      </c>
      <c r="G527" s="1" t="s">
        <v>10134</v>
      </c>
      <c r="H527" s="1" t="s">
        <v>10135</v>
      </c>
      <c r="I527" s="1" t="s">
        <v>10136</v>
      </c>
      <c r="J527" s="1">
        <v>9014703535</v>
      </c>
      <c r="K527" s="1" t="s">
        <v>153</v>
      </c>
      <c r="L527" s="1" t="s">
        <v>10137</v>
      </c>
      <c r="M527" s="1" t="s">
        <v>86</v>
      </c>
      <c r="N527" s="1" t="s">
        <v>7219</v>
      </c>
      <c r="O527" s="1"/>
      <c r="P527" s="1" t="s">
        <v>507</v>
      </c>
      <c r="Q527" s="1" t="s">
        <v>10138</v>
      </c>
      <c r="R527" s="1" t="s">
        <v>10139</v>
      </c>
      <c r="S527" s="1">
        <v>9985438447</v>
      </c>
      <c r="T527" s="1" t="s">
        <v>539</v>
      </c>
      <c r="U527" s="1" t="s">
        <v>10140</v>
      </c>
      <c r="V527" s="1">
        <v>9642174648</v>
      </c>
      <c r="W527" s="1" t="s">
        <v>1552</v>
      </c>
      <c r="X527" s="1" t="s">
        <v>10141</v>
      </c>
      <c r="Y527" s="1" t="s">
        <v>9001</v>
      </c>
      <c r="Z527" s="1" t="s">
        <v>461</v>
      </c>
      <c r="AA527" s="1" t="s">
        <v>10141</v>
      </c>
      <c r="AB527" s="1" t="s">
        <v>9001</v>
      </c>
      <c r="AC527" s="1" t="s">
        <v>461</v>
      </c>
      <c r="AD527" s="1">
        <v>8.0</v>
      </c>
      <c r="AE527" s="1" t="s">
        <v>98</v>
      </c>
      <c r="AF527" s="1" t="s">
        <v>10142</v>
      </c>
      <c r="AG527" s="1" t="s">
        <v>10143</v>
      </c>
      <c r="AH527" s="1" t="s">
        <v>106</v>
      </c>
      <c r="AI527" s="1" t="s">
        <v>414</v>
      </c>
      <c r="AJ527" s="1">
        <v>85.5</v>
      </c>
      <c r="AK527" s="1">
        <v>9</v>
      </c>
      <c r="AL527" s="1"/>
      <c r="AM527" s="1"/>
      <c r="AN527" s="1"/>
      <c r="AO527" s="1"/>
      <c r="AP527" s="1"/>
      <c r="AQ527" s="1"/>
      <c r="AR527" s="1"/>
      <c r="AS527" s="1" t="s">
        <v>439</v>
      </c>
      <c r="AT527" s="1" t="s">
        <v>10144</v>
      </c>
      <c r="AU527" s="1" t="s">
        <v>438</v>
      </c>
      <c r="AV527" s="1" t="s">
        <v>110</v>
      </c>
      <c r="AW527" s="1">
        <v>81.5</v>
      </c>
      <c r="AX527" s="1">
        <v>8.6</v>
      </c>
      <c r="AY527" s="1" t="s">
        <v>4145</v>
      </c>
      <c r="AZ527" s="1" t="s">
        <v>10145</v>
      </c>
      <c r="BA527" s="1"/>
      <c r="BB527" s="1"/>
      <c r="BC527" s="1" t="s">
        <v>1802</v>
      </c>
      <c r="BD527" s="1" t="s">
        <v>553</v>
      </c>
      <c r="BE527" s="1">
        <v>67.7</v>
      </c>
      <c r="BF527" s="1">
        <v>7.27</v>
      </c>
      <c r="BG527" s="1"/>
      <c r="BH527" s="1"/>
      <c r="BI527" s="1"/>
      <c r="BJ527" s="1"/>
      <c r="BK527" s="1"/>
      <c r="BL527" s="1"/>
      <c r="BM527" s="1"/>
      <c r="BN527" s="1"/>
      <c r="BO527" s="1" t="s">
        <v>10146</v>
      </c>
      <c r="BP527" s="1"/>
      <c r="BQ527" s="1"/>
      <c r="BR527" s="1" t="s">
        <v>10147</v>
      </c>
      <c r="BS527" s="1">
        <v>14</v>
      </c>
      <c r="BT527" s="1"/>
      <c r="BU527" s="1" t="str">
        <f>HYPERLINK("https://nconnect.nicmar.ac.in/storage/profile/ProfilePhoto_P25700527_758192.jpg","Download")</f>
        <v>0</v>
      </c>
      <c r="BV527" s="3"/>
      <c r="BW527" s="3"/>
    </row>
    <row r="528" spans="1:75">
      <c r="A528" s="1" t="s">
        <v>75</v>
      </c>
      <c r="B528" s="1" t="s">
        <v>446</v>
      </c>
      <c r="C528" s="1" t="s">
        <v>10148</v>
      </c>
      <c r="D528" s="1" t="s">
        <v>4766</v>
      </c>
      <c r="E528" s="1"/>
      <c r="F528" s="1" t="s">
        <v>10149</v>
      </c>
      <c r="G528" s="1" t="s">
        <v>10150</v>
      </c>
      <c r="H528" s="1" t="s">
        <v>10151</v>
      </c>
      <c r="I528" s="1" t="s">
        <v>10152</v>
      </c>
      <c r="J528" s="1">
        <v>8788155243</v>
      </c>
      <c r="K528" s="1" t="s">
        <v>153</v>
      </c>
      <c r="L528" s="1" t="s">
        <v>2626</v>
      </c>
      <c r="M528" s="1" t="s">
        <v>86</v>
      </c>
      <c r="N528" s="1" t="s">
        <v>4278</v>
      </c>
      <c r="O528" s="1"/>
      <c r="P528" s="1"/>
      <c r="Q528" s="1" t="s">
        <v>10153</v>
      </c>
      <c r="R528" s="1" t="s">
        <v>10154</v>
      </c>
      <c r="S528" s="1">
        <v>7876884559</v>
      </c>
      <c r="T528" s="1" t="s">
        <v>125</v>
      </c>
      <c r="U528" s="1" t="s">
        <v>10155</v>
      </c>
      <c r="V528" s="1">
        <v>8975577221</v>
      </c>
      <c r="W528" s="1" t="s">
        <v>278</v>
      </c>
      <c r="X528" s="1" t="s">
        <v>10156</v>
      </c>
      <c r="Y528" s="1" t="s">
        <v>196</v>
      </c>
      <c r="Z528" s="1" t="s">
        <v>97</v>
      </c>
      <c r="AA528" s="1" t="s">
        <v>10156</v>
      </c>
      <c r="AB528" s="1" t="s">
        <v>196</v>
      </c>
      <c r="AC528" s="1" t="s">
        <v>97</v>
      </c>
      <c r="AD528" s="1">
        <v>8.74</v>
      </c>
      <c r="AE528" s="1" t="s">
        <v>98</v>
      </c>
      <c r="AF528" s="1" t="s">
        <v>10157</v>
      </c>
      <c r="AG528" s="1" t="s">
        <v>796</v>
      </c>
      <c r="AH528" s="1" t="s">
        <v>171</v>
      </c>
      <c r="AI528" s="1" t="s">
        <v>313</v>
      </c>
      <c r="AJ528" s="1">
        <v>95.2</v>
      </c>
      <c r="AK528" s="1"/>
      <c r="AL528" s="1" t="s">
        <v>10158</v>
      </c>
      <c r="AM528" s="1" t="s">
        <v>796</v>
      </c>
      <c r="AN528" s="1"/>
      <c r="AO528" s="1" t="s">
        <v>977</v>
      </c>
      <c r="AP528" s="1" t="s">
        <v>549</v>
      </c>
      <c r="AQ528" s="1">
        <v>80</v>
      </c>
      <c r="AR528" s="1"/>
      <c r="AS528" s="1"/>
      <c r="AT528" s="1"/>
      <c r="AU528" s="1"/>
      <c r="AV528" s="1"/>
      <c r="AW528" s="1"/>
      <c r="AX528" s="1"/>
      <c r="AY528" s="1" t="s">
        <v>7423</v>
      </c>
      <c r="AZ528" s="1" t="s">
        <v>10159</v>
      </c>
      <c r="BA528" s="1"/>
      <c r="BB528" s="1"/>
      <c r="BC528" s="1" t="s">
        <v>552</v>
      </c>
      <c r="BD528" s="1" t="s">
        <v>848</v>
      </c>
      <c r="BE528" s="1">
        <v>74.2</v>
      </c>
      <c r="BF528" s="1">
        <v>7.42</v>
      </c>
      <c r="BG528" s="1"/>
      <c r="BH528" s="1"/>
      <c r="BI528" s="1"/>
      <c r="BJ528" s="1"/>
      <c r="BK528" s="1"/>
      <c r="BL528" s="1"/>
      <c r="BM528" s="1"/>
      <c r="BN528" s="1"/>
      <c r="BO528" s="1" t="s">
        <v>260</v>
      </c>
      <c r="BP528" s="1"/>
      <c r="BQ528" s="1"/>
      <c r="BR528" s="1" t="s">
        <v>10160</v>
      </c>
      <c r="BS528" s="1">
        <v>29</v>
      </c>
      <c r="BT528" s="1" t="s">
        <v>10161</v>
      </c>
      <c r="BU528" s="1" t="str">
        <f>HYPERLINK("https://nconnect.nicmar.ac.in/storage/profile/ProfilePhoto_P25700528_814675.jpg","Download")</f>
        <v>0</v>
      </c>
      <c r="BV528" s="3"/>
      <c r="BW528" s="4">
        <v>1</v>
      </c>
    </row>
    <row r="529" spans="1:75">
      <c r="A529" s="1" t="s">
        <v>75</v>
      </c>
      <c r="B529" s="1" t="s">
        <v>446</v>
      </c>
      <c r="C529" s="1" t="s">
        <v>10162</v>
      </c>
      <c r="D529" s="1" t="s">
        <v>10163</v>
      </c>
      <c r="E529" s="1" t="s">
        <v>397</v>
      </c>
      <c r="F529" s="1" t="s">
        <v>1179</v>
      </c>
      <c r="G529" s="1" t="s">
        <v>10164</v>
      </c>
      <c r="H529" s="1" t="s">
        <v>10165</v>
      </c>
      <c r="I529" s="1" t="s">
        <v>10166</v>
      </c>
      <c r="J529" s="1">
        <v>7038343990</v>
      </c>
      <c r="K529" s="1" t="s">
        <v>153</v>
      </c>
      <c r="L529" s="1" t="s">
        <v>10167</v>
      </c>
      <c r="M529" s="1" t="s">
        <v>86</v>
      </c>
      <c r="N529" s="1" t="s">
        <v>618</v>
      </c>
      <c r="O529" s="1"/>
      <c r="P529" s="1" t="s">
        <v>507</v>
      </c>
      <c r="Q529" s="1" t="s">
        <v>10168</v>
      </c>
      <c r="R529" s="1" t="s">
        <v>10169</v>
      </c>
      <c r="S529" s="1">
        <v>9850396810</v>
      </c>
      <c r="T529" s="1" t="s">
        <v>10170</v>
      </c>
      <c r="U529" s="1" t="s">
        <v>10171</v>
      </c>
      <c r="V529" s="1">
        <v>9921816810</v>
      </c>
      <c r="W529" s="1" t="s">
        <v>6733</v>
      </c>
      <c r="X529" s="1" t="s">
        <v>10172</v>
      </c>
      <c r="Y529" s="1" t="s">
        <v>196</v>
      </c>
      <c r="Z529" s="1" t="s">
        <v>97</v>
      </c>
      <c r="AA529" s="1" t="s">
        <v>10172</v>
      </c>
      <c r="AB529" s="1" t="s">
        <v>196</v>
      </c>
      <c r="AC529" s="1" t="s">
        <v>97</v>
      </c>
      <c r="AD529" s="1">
        <v>9.31</v>
      </c>
      <c r="AE529" s="1" t="s">
        <v>98</v>
      </c>
      <c r="AF529" s="1" t="s">
        <v>9897</v>
      </c>
      <c r="AG529" s="1" t="s">
        <v>312</v>
      </c>
      <c r="AH529" s="1" t="s">
        <v>134</v>
      </c>
      <c r="AI529" s="1" t="s">
        <v>1262</v>
      </c>
      <c r="AJ529" s="1">
        <v>89.3</v>
      </c>
      <c r="AK529" s="1">
        <v>9.4</v>
      </c>
      <c r="AL529" s="1" t="s">
        <v>9897</v>
      </c>
      <c r="AM529" s="1" t="s">
        <v>312</v>
      </c>
      <c r="AN529" s="1" t="s">
        <v>575</v>
      </c>
      <c r="AO529" s="1" t="s">
        <v>136</v>
      </c>
      <c r="AP529" s="1" t="s">
        <v>627</v>
      </c>
      <c r="AQ529" s="1">
        <v>82.2</v>
      </c>
      <c r="AR529" s="1"/>
      <c r="AS529" s="1"/>
      <c r="AT529" s="1"/>
      <c r="AU529" s="1"/>
      <c r="AV529" s="1"/>
      <c r="AW529" s="1"/>
      <c r="AX529" s="1"/>
      <c r="AY529" s="1" t="s">
        <v>366</v>
      </c>
      <c r="AZ529" s="1" t="s">
        <v>10173</v>
      </c>
      <c r="BA529" s="1" t="s">
        <v>578</v>
      </c>
      <c r="BB529" s="1" t="s">
        <v>467</v>
      </c>
      <c r="BC529" s="1" t="s">
        <v>1396</v>
      </c>
      <c r="BD529" s="1" t="s">
        <v>977</v>
      </c>
      <c r="BE529" s="1">
        <v>74.9</v>
      </c>
      <c r="BF529" s="1">
        <v>8.24</v>
      </c>
      <c r="BG529" s="1"/>
      <c r="BH529" s="1"/>
      <c r="BI529" s="1"/>
      <c r="BJ529" s="1"/>
      <c r="BK529" s="1"/>
      <c r="BL529" s="1"/>
      <c r="BM529" s="1"/>
      <c r="BN529" s="1"/>
      <c r="BO529" s="1" t="s">
        <v>10174</v>
      </c>
      <c r="BP529" s="1" t="s">
        <v>10175</v>
      </c>
      <c r="BQ529" s="1" t="s">
        <v>345</v>
      </c>
      <c r="BR529" s="1" t="s">
        <v>10176</v>
      </c>
      <c r="BS529" s="1">
        <v>8</v>
      </c>
      <c r="BT529" s="1" t="s">
        <v>10177</v>
      </c>
      <c r="BU529" s="1" t="str">
        <f>HYPERLINK("https://nconnect.nicmar.ac.in/storage/profile/ProfilePhoto_P25700529_642317.jpg","Download")</f>
        <v>0</v>
      </c>
      <c r="BV529" s="3"/>
      <c r="BW529" s="3"/>
    </row>
    <row r="530" spans="1:75">
      <c r="A530" s="1" t="s">
        <v>75</v>
      </c>
      <c r="B530" s="1" t="s">
        <v>446</v>
      </c>
      <c r="C530" s="1" t="s">
        <v>10178</v>
      </c>
      <c r="D530" s="1" t="s">
        <v>10179</v>
      </c>
      <c r="E530" s="1" t="s">
        <v>10180</v>
      </c>
      <c r="F530" s="1" t="s">
        <v>10181</v>
      </c>
      <c r="G530" s="1" t="s">
        <v>10182</v>
      </c>
      <c r="H530" s="1" t="s">
        <v>10183</v>
      </c>
      <c r="I530" s="1" t="s">
        <v>10184</v>
      </c>
      <c r="J530" s="1">
        <v>7777971746</v>
      </c>
      <c r="K530" s="1" t="s">
        <v>153</v>
      </c>
      <c r="L530" s="1" t="s">
        <v>10185</v>
      </c>
      <c r="M530" s="1" t="s">
        <v>86</v>
      </c>
      <c r="N530" s="1" t="s">
        <v>7185</v>
      </c>
      <c r="O530" s="1"/>
      <c r="P530" s="1" t="s">
        <v>670</v>
      </c>
      <c r="Q530" s="1" t="s">
        <v>10186</v>
      </c>
      <c r="R530" s="1" t="s">
        <v>10187</v>
      </c>
      <c r="S530" s="1">
        <v>9904020358</v>
      </c>
      <c r="T530" s="1" t="s">
        <v>127</v>
      </c>
      <c r="U530" s="1" t="s">
        <v>10188</v>
      </c>
      <c r="V530" s="1">
        <v>8780051606</v>
      </c>
      <c r="W530" s="1" t="s">
        <v>161</v>
      </c>
      <c r="X530" s="1" t="s">
        <v>10189</v>
      </c>
      <c r="Y530" s="1" t="s">
        <v>10190</v>
      </c>
      <c r="Z530" s="1" t="s">
        <v>676</v>
      </c>
      <c r="AA530" s="1" t="s">
        <v>10189</v>
      </c>
      <c r="AB530" s="1" t="s">
        <v>10190</v>
      </c>
      <c r="AC530" s="1" t="s">
        <v>676</v>
      </c>
      <c r="AD530" s="1">
        <v>7.87</v>
      </c>
      <c r="AE530" s="1" t="s">
        <v>98</v>
      </c>
      <c r="AF530" s="1" t="s">
        <v>10191</v>
      </c>
      <c r="AG530" s="1" t="s">
        <v>10192</v>
      </c>
      <c r="AH530" s="1" t="s">
        <v>171</v>
      </c>
      <c r="AI530" s="1" t="s">
        <v>414</v>
      </c>
      <c r="AJ530" s="1">
        <v>82.66</v>
      </c>
      <c r="AK530" s="1"/>
      <c r="AL530" s="1" t="s">
        <v>10193</v>
      </c>
      <c r="AM530" s="1" t="s">
        <v>10192</v>
      </c>
      <c r="AN530" s="1" t="s">
        <v>465</v>
      </c>
      <c r="AO530" s="1" t="s">
        <v>438</v>
      </c>
      <c r="AP530" s="1" t="s">
        <v>549</v>
      </c>
      <c r="AQ530" s="1">
        <v>88.15</v>
      </c>
      <c r="AR530" s="1"/>
      <c r="AS530" s="1"/>
      <c r="AT530" s="1"/>
      <c r="AU530" s="1"/>
      <c r="AV530" s="1"/>
      <c r="AW530" s="1"/>
      <c r="AX530" s="1"/>
      <c r="AY530" s="1" t="s">
        <v>5241</v>
      </c>
      <c r="AZ530" s="1" t="s">
        <v>10194</v>
      </c>
      <c r="BA530" s="1" t="s">
        <v>578</v>
      </c>
      <c r="BB530" s="1" t="s">
        <v>467</v>
      </c>
      <c r="BC530" s="1" t="s">
        <v>441</v>
      </c>
      <c r="BD530" s="1" t="s">
        <v>553</v>
      </c>
      <c r="BE530" s="1">
        <v>69.9</v>
      </c>
      <c r="BF530" s="1"/>
      <c r="BG530" s="1"/>
      <c r="BH530" s="1"/>
      <c r="BI530" s="1"/>
      <c r="BJ530" s="1"/>
      <c r="BK530" s="1"/>
      <c r="BL530" s="1"/>
      <c r="BM530" s="1"/>
      <c r="BN530" s="1"/>
      <c r="BO530" s="1" t="s">
        <v>10195</v>
      </c>
      <c r="BP530" s="1"/>
      <c r="BQ530" s="1"/>
      <c r="BR530" s="1" t="s">
        <v>10196</v>
      </c>
      <c r="BS530" s="1">
        <v>21</v>
      </c>
      <c r="BT530" s="1"/>
      <c r="BU530" s="1" t="str">
        <f>HYPERLINK("https://nconnect.nicmar.ac.in/storage/profile/ProfilePhoto_P25700530_647152.jpg","Download")</f>
        <v>0</v>
      </c>
      <c r="BV530" s="3"/>
      <c r="BW530" s="3"/>
    </row>
    <row r="531" spans="1:75">
      <c r="A531" s="1" t="s">
        <v>75</v>
      </c>
      <c r="B531" s="1" t="s">
        <v>446</v>
      </c>
      <c r="C531" s="1" t="s">
        <v>10197</v>
      </c>
      <c r="D531" s="1" t="s">
        <v>10198</v>
      </c>
      <c r="E531" s="1" t="s">
        <v>10199</v>
      </c>
      <c r="F531" s="1" t="s">
        <v>9739</v>
      </c>
      <c r="G531" s="1" t="s">
        <v>10200</v>
      </c>
      <c r="H531" s="1" t="s">
        <v>10201</v>
      </c>
      <c r="I531" s="1" t="s">
        <v>10202</v>
      </c>
      <c r="J531" s="1">
        <v>9890252449</v>
      </c>
      <c r="K531" s="1" t="s">
        <v>153</v>
      </c>
      <c r="L531" s="1" t="s">
        <v>10203</v>
      </c>
      <c r="M531" s="1" t="s">
        <v>86</v>
      </c>
      <c r="N531" s="1" t="s">
        <v>10204</v>
      </c>
      <c r="O531" s="1"/>
      <c r="P531" s="1" t="s">
        <v>455</v>
      </c>
      <c r="Q531" s="1" t="s">
        <v>10205</v>
      </c>
      <c r="R531" s="1" t="s">
        <v>10206</v>
      </c>
      <c r="S531" s="1">
        <v>9890776481</v>
      </c>
      <c r="T531" s="1" t="s">
        <v>839</v>
      </c>
      <c r="U531" s="1" t="s">
        <v>10207</v>
      </c>
      <c r="V531" s="1">
        <v>8329400140</v>
      </c>
      <c r="W531" s="1" t="s">
        <v>541</v>
      </c>
      <c r="X531" s="1" t="s">
        <v>10208</v>
      </c>
      <c r="Y531" s="1" t="s">
        <v>163</v>
      </c>
      <c r="Z531" s="1" t="s">
        <v>97</v>
      </c>
      <c r="AA531" s="1" t="s">
        <v>10208</v>
      </c>
      <c r="AB531" s="1" t="s">
        <v>163</v>
      </c>
      <c r="AC531" s="1" t="s">
        <v>97</v>
      </c>
      <c r="AD531" s="1">
        <v>7.92</v>
      </c>
      <c r="AE531" s="1" t="s">
        <v>98</v>
      </c>
      <c r="AF531" s="1" t="s">
        <v>10209</v>
      </c>
      <c r="AG531" s="1" t="s">
        <v>165</v>
      </c>
      <c r="AH531" s="1" t="s">
        <v>106</v>
      </c>
      <c r="AI531" s="1" t="s">
        <v>414</v>
      </c>
      <c r="AJ531" s="1">
        <v>75.2</v>
      </c>
      <c r="AK531" s="1"/>
      <c r="AL531" s="1" t="s">
        <v>10210</v>
      </c>
      <c r="AM531" s="1" t="s">
        <v>165</v>
      </c>
      <c r="AN531" s="1" t="s">
        <v>465</v>
      </c>
      <c r="AO531" s="1" t="s">
        <v>315</v>
      </c>
      <c r="AP531" s="1" t="s">
        <v>1192</v>
      </c>
      <c r="AQ531" s="1">
        <v>85.5</v>
      </c>
      <c r="AR531" s="1"/>
      <c r="AS531" s="1"/>
      <c r="AT531" s="1"/>
      <c r="AU531" s="1"/>
      <c r="AV531" s="1"/>
      <c r="AW531" s="1"/>
      <c r="AX531" s="1"/>
      <c r="AY531" s="1" t="s">
        <v>8319</v>
      </c>
      <c r="AZ531" s="1" t="s">
        <v>10211</v>
      </c>
      <c r="BA531" s="1" t="s">
        <v>466</v>
      </c>
      <c r="BB531" s="1" t="s">
        <v>467</v>
      </c>
      <c r="BC531" s="1" t="s">
        <v>871</v>
      </c>
      <c r="BD531" s="1" t="s">
        <v>5340</v>
      </c>
      <c r="BE531" s="1">
        <v>68.3</v>
      </c>
      <c r="BF531" s="1">
        <v>7.33</v>
      </c>
      <c r="BG531" s="1"/>
      <c r="BH531" s="1"/>
      <c r="BI531" s="1"/>
      <c r="BJ531" s="1"/>
      <c r="BK531" s="1"/>
      <c r="BL531" s="1"/>
      <c r="BM531" s="1"/>
      <c r="BN531" s="1"/>
      <c r="BO531" s="1"/>
      <c r="BP531" s="1"/>
      <c r="BQ531" s="1"/>
      <c r="BR531" s="1" t="s">
        <v>10212</v>
      </c>
      <c r="BS531" s="1">
        <v>19</v>
      </c>
      <c r="BT531" s="1" t="s">
        <v>10213</v>
      </c>
      <c r="BU531" s="1" t="str">
        <f>HYPERLINK("https://nconnect.nicmar.ac.in/storage/profile/ProfilePhoto_P25700531_843916.jpg","Download")</f>
        <v>0</v>
      </c>
      <c r="BV531" s="3"/>
      <c r="BW531" s="3"/>
    </row>
    <row r="532" spans="1:75">
      <c r="A532" s="1" t="s">
        <v>75</v>
      </c>
      <c r="B532" s="1" t="s">
        <v>446</v>
      </c>
      <c r="C532" s="1" t="s">
        <v>10214</v>
      </c>
      <c r="D532" s="1" t="s">
        <v>10215</v>
      </c>
      <c r="E532" s="1" t="s">
        <v>10216</v>
      </c>
      <c r="F532" s="1" t="s">
        <v>10217</v>
      </c>
      <c r="G532" s="1" t="s">
        <v>10218</v>
      </c>
      <c r="H532" s="1" t="s">
        <v>10219</v>
      </c>
      <c r="I532" s="1" t="s">
        <v>10220</v>
      </c>
      <c r="J532" s="1">
        <v>8861370552</v>
      </c>
      <c r="K532" s="1" t="s">
        <v>153</v>
      </c>
      <c r="L532" s="1" t="s">
        <v>10221</v>
      </c>
      <c r="M532" s="1" t="s">
        <v>86</v>
      </c>
      <c r="N532" s="1" t="s">
        <v>10222</v>
      </c>
      <c r="O532" s="1"/>
      <c r="P532" s="1" t="s">
        <v>455</v>
      </c>
      <c r="Q532" s="1" t="s">
        <v>10223</v>
      </c>
      <c r="R532" s="1" t="s">
        <v>10224</v>
      </c>
      <c r="S532" s="1">
        <v>9448543807</v>
      </c>
      <c r="T532" s="1" t="s">
        <v>1552</v>
      </c>
      <c r="U532" s="1" t="s">
        <v>10225</v>
      </c>
      <c r="V532" s="1">
        <v>7204840063</v>
      </c>
      <c r="W532" s="1" t="s">
        <v>161</v>
      </c>
      <c r="X532" s="1" t="s">
        <v>10226</v>
      </c>
      <c r="Y532" s="1" t="s">
        <v>3011</v>
      </c>
      <c r="Z532" s="1" t="s">
        <v>1210</v>
      </c>
      <c r="AA532" s="1" t="s">
        <v>10226</v>
      </c>
      <c r="AB532" s="1" t="s">
        <v>3011</v>
      </c>
      <c r="AC532" s="1" t="s">
        <v>1210</v>
      </c>
      <c r="AD532" s="1">
        <v>8.64</v>
      </c>
      <c r="AE532" s="1" t="s">
        <v>98</v>
      </c>
      <c r="AF532" s="1" t="s">
        <v>10227</v>
      </c>
      <c r="AG532" s="1" t="s">
        <v>10228</v>
      </c>
      <c r="AH532" s="1" t="s">
        <v>1602</v>
      </c>
      <c r="AI532" s="1" t="s">
        <v>2030</v>
      </c>
      <c r="AJ532" s="1">
        <v>74.6</v>
      </c>
      <c r="AK532" s="1">
        <v>0</v>
      </c>
      <c r="AL532" s="1" t="s">
        <v>10229</v>
      </c>
      <c r="AM532" s="1" t="s">
        <v>10230</v>
      </c>
      <c r="AN532" s="1"/>
      <c r="AO532" s="1" t="s">
        <v>3794</v>
      </c>
      <c r="AP532" s="1" t="s">
        <v>10231</v>
      </c>
      <c r="AQ532" s="1">
        <v>86.5</v>
      </c>
      <c r="AR532" s="1"/>
      <c r="AS532" s="1"/>
      <c r="AT532" s="1"/>
      <c r="AU532" s="1"/>
      <c r="AV532" s="1"/>
      <c r="AW532" s="1"/>
      <c r="AX532" s="1"/>
      <c r="AY532" s="1" t="s">
        <v>10232</v>
      </c>
      <c r="AZ532" s="1" t="s">
        <v>10233</v>
      </c>
      <c r="BA532" s="1" t="s">
        <v>578</v>
      </c>
      <c r="BB532" s="1" t="s">
        <v>467</v>
      </c>
      <c r="BC532" s="1" t="s">
        <v>10234</v>
      </c>
      <c r="BD532" s="1" t="s">
        <v>133</v>
      </c>
      <c r="BE532" s="1">
        <v>75</v>
      </c>
      <c r="BF532" s="1">
        <v>8.25</v>
      </c>
      <c r="BG532" s="1" t="s">
        <v>10232</v>
      </c>
      <c r="BH532" s="1" t="s">
        <v>10235</v>
      </c>
      <c r="BI532" s="1" t="s">
        <v>2209</v>
      </c>
      <c r="BJ532" s="1" t="s">
        <v>1585</v>
      </c>
      <c r="BK532" s="1" t="s">
        <v>10236</v>
      </c>
      <c r="BL532" s="1" t="s">
        <v>10237</v>
      </c>
      <c r="BM532" s="1">
        <v>69.79</v>
      </c>
      <c r="BN532" s="1"/>
      <c r="BO532" s="1" t="s">
        <v>10238</v>
      </c>
      <c r="BP532" s="1" t="s">
        <v>10239</v>
      </c>
      <c r="BQ532" s="1" t="s">
        <v>10240</v>
      </c>
      <c r="BR532" s="1" t="s">
        <v>10241</v>
      </c>
      <c r="BS532" s="1">
        <v>51</v>
      </c>
      <c r="BT532" s="1" t="s">
        <v>10242</v>
      </c>
      <c r="BU532" s="1" t="str">
        <f>HYPERLINK("https://nconnect.nicmar.ac.in/storage/profile/ProfilePhoto_P25700532_741398.jpg","Download")</f>
        <v>0</v>
      </c>
      <c r="BV532" s="3"/>
      <c r="BW532" s="3"/>
    </row>
    <row r="533" spans="1:75">
      <c r="A533" s="1" t="s">
        <v>75</v>
      </c>
      <c r="B533" s="1" t="s">
        <v>446</v>
      </c>
      <c r="C533" s="1" t="s">
        <v>10243</v>
      </c>
      <c r="D533" s="1" t="s">
        <v>10244</v>
      </c>
      <c r="E533" s="1" t="s">
        <v>1963</v>
      </c>
      <c r="F533" s="1" t="s">
        <v>10245</v>
      </c>
      <c r="G533" s="1" t="s">
        <v>10246</v>
      </c>
      <c r="H533" s="1" t="s">
        <v>10247</v>
      </c>
      <c r="I533" s="1" t="s">
        <v>10248</v>
      </c>
      <c r="J533" s="1">
        <v>9145752292</v>
      </c>
      <c r="K533" s="1" t="s">
        <v>153</v>
      </c>
      <c r="L533" s="1" t="s">
        <v>5598</v>
      </c>
      <c r="M533" s="1" t="s">
        <v>86</v>
      </c>
      <c r="N533" s="1" t="s">
        <v>1163</v>
      </c>
      <c r="O533" s="1"/>
      <c r="P533" s="1" t="s">
        <v>455</v>
      </c>
      <c r="Q533" s="1" t="s">
        <v>10249</v>
      </c>
      <c r="R533" s="1" t="s">
        <v>10250</v>
      </c>
      <c r="S533" s="1">
        <v>9270415260</v>
      </c>
      <c r="T533" s="1" t="s">
        <v>159</v>
      </c>
      <c r="U533" s="1" t="s">
        <v>10251</v>
      </c>
      <c r="V533" s="1">
        <v>9270415260</v>
      </c>
      <c r="W533" s="1" t="s">
        <v>278</v>
      </c>
      <c r="X533" s="1" t="s">
        <v>10252</v>
      </c>
      <c r="Y533" s="1" t="s">
        <v>410</v>
      </c>
      <c r="Z533" s="1" t="s">
        <v>97</v>
      </c>
      <c r="AA533" s="1" t="s">
        <v>10252</v>
      </c>
      <c r="AB533" s="1" t="s">
        <v>410</v>
      </c>
      <c r="AC533" s="1" t="s">
        <v>97</v>
      </c>
      <c r="AD533" s="1">
        <v>7.41</v>
      </c>
      <c r="AE533" s="1" t="s">
        <v>98</v>
      </c>
      <c r="AF533" s="1" t="s">
        <v>10253</v>
      </c>
      <c r="AG533" s="1" t="s">
        <v>10254</v>
      </c>
      <c r="AH533" s="1" t="s">
        <v>166</v>
      </c>
      <c r="AI533" s="1" t="s">
        <v>627</v>
      </c>
      <c r="AJ533" s="1">
        <v>73.2</v>
      </c>
      <c r="AK533" s="1"/>
      <c r="AL533" s="1"/>
      <c r="AM533" s="1"/>
      <c r="AN533" s="1"/>
      <c r="AO533" s="1"/>
      <c r="AP533" s="1"/>
      <c r="AQ533" s="1"/>
      <c r="AR533" s="1"/>
      <c r="AS533" s="1" t="s">
        <v>439</v>
      </c>
      <c r="AT533" s="1" t="s">
        <v>10255</v>
      </c>
      <c r="AU533" s="1" t="s">
        <v>230</v>
      </c>
      <c r="AV533" s="1" t="s">
        <v>417</v>
      </c>
      <c r="AW533" s="1">
        <v>70.13</v>
      </c>
      <c r="AX533" s="1"/>
      <c r="AY533" s="1" t="s">
        <v>997</v>
      </c>
      <c r="AZ533" s="1" t="s">
        <v>10256</v>
      </c>
      <c r="BA533" s="1"/>
      <c r="BB533" s="1"/>
      <c r="BC533" s="1" t="s">
        <v>1040</v>
      </c>
      <c r="BD533" s="1" t="s">
        <v>955</v>
      </c>
      <c r="BE533" s="1">
        <v>72.21</v>
      </c>
      <c r="BF533" s="1">
        <v>7.13</v>
      </c>
      <c r="BG533" s="1"/>
      <c r="BH533" s="1"/>
      <c r="BI533" s="1"/>
      <c r="BJ533" s="1"/>
      <c r="BK533" s="1"/>
      <c r="BL533" s="1"/>
      <c r="BM533" s="1"/>
      <c r="BN533" s="1"/>
      <c r="BO533" s="1" t="s">
        <v>10257</v>
      </c>
      <c r="BP533" s="1"/>
      <c r="BQ533" s="1"/>
      <c r="BR533" s="1" t="s">
        <v>10258</v>
      </c>
      <c r="BS533" s="1">
        <v>69</v>
      </c>
      <c r="BT533" s="1" t="s">
        <v>10259</v>
      </c>
      <c r="BU533" s="1" t="str">
        <f>HYPERLINK("https://nconnect.nicmar.ac.in/storage/profile/ProfilePhoto_P25700533_726583.jpg","Download")</f>
        <v>0</v>
      </c>
      <c r="BV533" s="3"/>
      <c r="BW533" s="4">
        <v>1</v>
      </c>
    </row>
    <row r="534" spans="1:75">
      <c r="A534" s="1" t="s">
        <v>75</v>
      </c>
      <c r="B534" s="1" t="s">
        <v>446</v>
      </c>
      <c r="C534" s="1" t="s">
        <v>10260</v>
      </c>
      <c r="D534" s="1" t="s">
        <v>10261</v>
      </c>
      <c r="E534" s="1" t="s">
        <v>10262</v>
      </c>
      <c r="F534" s="1" t="s">
        <v>10263</v>
      </c>
      <c r="G534" s="1" t="s">
        <v>10264</v>
      </c>
      <c r="H534" s="1" t="s">
        <v>10265</v>
      </c>
      <c r="I534" s="1" t="s">
        <v>10266</v>
      </c>
      <c r="J534" s="1">
        <v>8007720746</v>
      </c>
      <c r="K534" s="1" t="s">
        <v>153</v>
      </c>
      <c r="L534" s="1" t="s">
        <v>3708</v>
      </c>
      <c r="M534" s="1" t="s">
        <v>86</v>
      </c>
      <c r="N534" s="1" t="s">
        <v>618</v>
      </c>
      <c r="O534" s="1"/>
      <c r="P534" s="1" t="s">
        <v>1028</v>
      </c>
      <c r="Q534" s="1" t="s">
        <v>10267</v>
      </c>
      <c r="R534" s="1" t="s">
        <v>10268</v>
      </c>
      <c r="S534" s="1">
        <v>9923400172</v>
      </c>
      <c r="T534" s="1" t="s">
        <v>10269</v>
      </c>
      <c r="U534" s="1" t="s">
        <v>10270</v>
      </c>
      <c r="V534" s="1">
        <v>7020796760</v>
      </c>
      <c r="W534" s="1" t="s">
        <v>278</v>
      </c>
      <c r="X534" s="1" t="s">
        <v>10271</v>
      </c>
      <c r="Y534" s="1" t="s">
        <v>624</v>
      </c>
      <c r="Z534" s="1" t="s">
        <v>97</v>
      </c>
      <c r="AA534" s="1" t="s">
        <v>10271</v>
      </c>
      <c r="AB534" s="1" t="s">
        <v>624</v>
      </c>
      <c r="AC534" s="1" t="s">
        <v>97</v>
      </c>
      <c r="AD534" s="1">
        <v>8.49</v>
      </c>
      <c r="AE534" s="1" t="s">
        <v>98</v>
      </c>
      <c r="AF534" s="1" t="s">
        <v>1535</v>
      </c>
      <c r="AG534" s="1" t="s">
        <v>10272</v>
      </c>
      <c r="AH534" s="1" t="s">
        <v>106</v>
      </c>
      <c r="AI534" s="1" t="s">
        <v>313</v>
      </c>
      <c r="AJ534" s="1">
        <v>88.2</v>
      </c>
      <c r="AK534" s="1"/>
      <c r="AL534" s="1" t="s">
        <v>1535</v>
      </c>
      <c r="AM534" s="1" t="s">
        <v>312</v>
      </c>
      <c r="AN534" s="1" t="s">
        <v>465</v>
      </c>
      <c r="AO534" s="1" t="s">
        <v>438</v>
      </c>
      <c r="AP534" s="1" t="s">
        <v>845</v>
      </c>
      <c r="AQ534" s="1">
        <v>85</v>
      </c>
      <c r="AR534" s="1"/>
      <c r="AS534" s="1"/>
      <c r="AT534" s="1"/>
      <c r="AU534" s="1"/>
      <c r="AV534" s="1"/>
      <c r="AW534" s="1"/>
      <c r="AX534" s="1"/>
      <c r="AY534" s="1" t="s">
        <v>10273</v>
      </c>
      <c r="AZ534" s="1" t="s">
        <v>10274</v>
      </c>
      <c r="BA534" s="1" t="s">
        <v>466</v>
      </c>
      <c r="BB534" s="1" t="s">
        <v>467</v>
      </c>
      <c r="BC534" s="1" t="s">
        <v>549</v>
      </c>
      <c r="BD534" s="1" t="s">
        <v>553</v>
      </c>
      <c r="BE534" s="1">
        <v>69.78</v>
      </c>
      <c r="BF534" s="1">
        <v>7.3</v>
      </c>
      <c r="BG534" s="1"/>
      <c r="BH534" s="1"/>
      <c r="BI534" s="1"/>
      <c r="BJ534" s="1"/>
      <c r="BK534" s="1"/>
      <c r="BL534" s="1"/>
      <c r="BM534" s="1"/>
      <c r="BN534" s="1"/>
      <c r="BO534" s="1" t="s">
        <v>10275</v>
      </c>
      <c r="BP534" s="1"/>
      <c r="BQ534" s="1"/>
      <c r="BR534" s="1" t="s">
        <v>10276</v>
      </c>
      <c r="BS534" s="1">
        <v>12</v>
      </c>
      <c r="BT534" s="1" t="s">
        <v>10277</v>
      </c>
      <c r="BU534" s="1" t="str">
        <f>HYPERLINK("https://nconnect.nicmar.ac.in/storage/profile/ProfilePhoto_P25700534_342198.jpg","Download")</f>
        <v>0</v>
      </c>
      <c r="BV534" s="3"/>
      <c r="BW534" s="3"/>
    </row>
    <row r="535" spans="1:75">
      <c r="A535" s="1" t="s">
        <v>75</v>
      </c>
      <c r="B535" s="1" t="s">
        <v>446</v>
      </c>
      <c r="C535" s="1" t="s">
        <v>10278</v>
      </c>
      <c r="D535" s="1" t="s">
        <v>10279</v>
      </c>
      <c r="E535" s="1" t="s">
        <v>500</v>
      </c>
      <c r="F535" s="1" t="s">
        <v>5172</v>
      </c>
      <c r="G535" s="1" t="s">
        <v>10280</v>
      </c>
      <c r="H535" s="1" t="s">
        <v>10281</v>
      </c>
      <c r="I535" s="1" t="s">
        <v>10282</v>
      </c>
      <c r="J535" s="1">
        <v>7738609236</v>
      </c>
      <c r="K535" s="1" t="s">
        <v>153</v>
      </c>
      <c r="L535" s="1" t="s">
        <v>10283</v>
      </c>
      <c r="M535" s="1" t="s">
        <v>86</v>
      </c>
      <c r="N535" s="1" t="s">
        <v>10284</v>
      </c>
      <c r="O535" s="1"/>
      <c r="P535" s="1" t="s">
        <v>455</v>
      </c>
      <c r="Q535" s="1" t="s">
        <v>10285</v>
      </c>
      <c r="R535" s="1" t="s">
        <v>10286</v>
      </c>
      <c r="S535" s="1">
        <v>9869929529</v>
      </c>
      <c r="T535" s="1" t="s">
        <v>645</v>
      </c>
      <c r="U535" s="1" t="s">
        <v>10287</v>
      </c>
      <c r="V535" s="1">
        <v>9969553067</v>
      </c>
      <c r="W535" s="1" t="s">
        <v>94</v>
      </c>
      <c r="X535" s="1" t="s">
        <v>10288</v>
      </c>
      <c r="Y535" s="1" t="s">
        <v>1012</v>
      </c>
      <c r="Z535" s="1" t="s">
        <v>97</v>
      </c>
      <c r="AA535" s="1" t="s">
        <v>10288</v>
      </c>
      <c r="AB535" s="1" t="s">
        <v>1012</v>
      </c>
      <c r="AC535" s="1" t="s">
        <v>97</v>
      </c>
      <c r="AD535" s="1">
        <v>7.46</v>
      </c>
      <c r="AE535" s="1" t="s">
        <v>98</v>
      </c>
      <c r="AF535" s="1" t="s">
        <v>10289</v>
      </c>
      <c r="AG535" s="1" t="s">
        <v>629</v>
      </c>
      <c r="AH535" s="1" t="s">
        <v>106</v>
      </c>
      <c r="AI535" s="1" t="s">
        <v>414</v>
      </c>
      <c r="AJ535" s="1">
        <v>71.6</v>
      </c>
      <c r="AK535" s="1">
        <v>0</v>
      </c>
      <c r="AL535" s="1"/>
      <c r="AM535" s="1"/>
      <c r="AN535" s="1"/>
      <c r="AO535" s="1"/>
      <c r="AP535" s="1"/>
      <c r="AQ535" s="1"/>
      <c r="AR535" s="1"/>
      <c r="AS535" s="1" t="s">
        <v>439</v>
      </c>
      <c r="AT535" s="1" t="s">
        <v>10290</v>
      </c>
      <c r="AU535" s="1" t="s">
        <v>315</v>
      </c>
      <c r="AV535" s="1" t="s">
        <v>1400</v>
      </c>
      <c r="AW535" s="1">
        <v>80.21</v>
      </c>
      <c r="AX535" s="1">
        <v>0</v>
      </c>
      <c r="AY535" s="1" t="s">
        <v>680</v>
      </c>
      <c r="AZ535" s="1" t="s">
        <v>10291</v>
      </c>
      <c r="BA535" s="1"/>
      <c r="BB535" s="1"/>
      <c r="BC535" s="1" t="s">
        <v>1802</v>
      </c>
      <c r="BD535" s="1" t="s">
        <v>553</v>
      </c>
      <c r="BE535" s="1">
        <v>66.87</v>
      </c>
      <c r="BF535" s="1">
        <v>8.05</v>
      </c>
      <c r="BG535" s="1"/>
      <c r="BH535" s="1"/>
      <c r="BI535" s="1"/>
      <c r="BJ535" s="1"/>
      <c r="BK535" s="1"/>
      <c r="BL535" s="1"/>
      <c r="BM535" s="1"/>
      <c r="BN535" s="1"/>
      <c r="BO535" s="1" t="s">
        <v>10292</v>
      </c>
      <c r="BP535" s="1"/>
      <c r="BQ535" s="1"/>
      <c r="BR535" s="1" t="s">
        <v>10293</v>
      </c>
      <c r="BS535" s="1">
        <v>12</v>
      </c>
      <c r="BT535" s="1"/>
      <c r="BU535" s="1" t="str">
        <f>HYPERLINK("https://nconnect.nicmar.ac.in/storage/profile/ProfilePhoto_P25700535_218456.jpg","Download")</f>
        <v>0</v>
      </c>
      <c r="BV535" s="3"/>
      <c r="BW535" s="3"/>
    </row>
    <row r="536" spans="1:75">
      <c r="A536" s="1" t="s">
        <v>75</v>
      </c>
      <c r="B536" s="1" t="s">
        <v>446</v>
      </c>
      <c r="C536" s="1" t="s">
        <v>10294</v>
      </c>
      <c r="D536" s="1" t="s">
        <v>10295</v>
      </c>
      <c r="E536" s="1"/>
      <c r="F536" s="1" t="s">
        <v>10296</v>
      </c>
      <c r="G536" s="1" t="s">
        <v>10297</v>
      </c>
      <c r="H536" s="1" t="s">
        <v>10298</v>
      </c>
      <c r="I536" s="1" t="s">
        <v>10299</v>
      </c>
      <c r="J536" s="1">
        <v>9560890504</v>
      </c>
      <c r="K536" s="1" t="s">
        <v>153</v>
      </c>
      <c r="L536" s="1" t="s">
        <v>10300</v>
      </c>
      <c r="M536" s="1" t="s">
        <v>86</v>
      </c>
      <c r="N536" s="1" t="s">
        <v>246</v>
      </c>
      <c r="O536" s="1" t="s">
        <v>10301</v>
      </c>
      <c r="P536" s="1" t="s">
        <v>122</v>
      </c>
      <c r="Q536" s="1" t="s">
        <v>10302</v>
      </c>
      <c r="R536" s="1" t="s">
        <v>10303</v>
      </c>
      <c r="S536" s="1">
        <v>9955933782</v>
      </c>
      <c r="T536" s="1" t="s">
        <v>10304</v>
      </c>
      <c r="U536" s="1" t="s">
        <v>10305</v>
      </c>
      <c r="V536" s="1">
        <v>9113156060</v>
      </c>
      <c r="W536" s="1" t="s">
        <v>10306</v>
      </c>
      <c r="X536" s="1" t="s">
        <v>10307</v>
      </c>
      <c r="Y536" s="1" t="s">
        <v>1107</v>
      </c>
      <c r="Z536" s="1" t="s">
        <v>544</v>
      </c>
      <c r="AA536" s="1" t="s">
        <v>10307</v>
      </c>
      <c r="AB536" s="1" t="s">
        <v>1107</v>
      </c>
      <c r="AC536" s="1" t="s">
        <v>544</v>
      </c>
      <c r="AD536" s="1">
        <v>9.13</v>
      </c>
      <c r="AE536" s="1" t="s">
        <v>98</v>
      </c>
      <c r="AF536" s="1" t="s">
        <v>10308</v>
      </c>
      <c r="AG536" s="1" t="s">
        <v>2155</v>
      </c>
      <c r="AH536" s="1" t="s">
        <v>3923</v>
      </c>
      <c r="AI536" s="1" t="s">
        <v>3965</v>
      </c>
      <c r="AJ536" s="1">
        <v>95</v>
      </c>
      <c r="AK536" s="1">
        <v>10</v>
      </c>
      <c r="AL536" s="1" t="s">
        <v>10308</v>
      </c>
      <c r="AM536" s="1" t="s">
        <v>2155</v>
      </c>
      <c r="AN536" s="1" t="s">
        <v>465</v>
      </c>
      <c r="AO536" s="1" t="s">
        <v>1583</v>
      </c>
      <c r="AP536" s="1" t="s">
        <v>515</v>
      </c>
      <c r="AQ536" s="1">
        <v>91</v>
      </c>
      <c r="AR536" s="1"/>
      <c r="AS536" s="1"/>
      <c r="AT536" s="1"/>
      <c r="AU536" s="1"/>
      <c r="AV536" s="1"/>
      <c r="AW536" s="1"/>
      <c r="AX536" s="1"/>
      <c r="AY536" s="1" t="s">
        <v>10309</v>
      </c>
      <c r="AZ536" s="1" t="s">
        <v>10310</v>
      </c>
      <c r="BA536" s="1" t="s">
        <v>682</v>
      </c>
      <c r="BB536" s="1" t="s">
        <v>1479</v>
      </c>
      <c r="BC536" s="1" t="s">
        <v>105</v>
      </c>
      <c r="BD536" s="1" t="s">
        <v>178</v>
      </c>
      <c r="BE536" s="1">
        <v>80.42</v>
      </c>
      <c r="BF536" s="1"/>
      <c r="BG536" s="1"/>
      <c r="BH536" s="1"/>
      <c r="BI536" s="1"/>
      <c r="BJ536" s="1"/>
      <c r="BK536" s="1"/>
      <c r="BL536" s="1"/>
      <c r="BM536" s="1"/>
      <c r="BN536" s="1"/>
      <c r="BO536" s="1" t="s">
        <v>10311</v>
      </c>
      <c r="BP536" s="1"/>
      <c r="BQ536" s="1"/>
      <c r="BR536" s="1" t="s">
        <v>10312</v>
      </c>
      <c r="BS536" s="1">
        <v>32</v>
      </c>
      <c r="BT536" s="1" t="s">
        <v>10313</v>
      </c>
      <c r="BU536" s="1" t="str">
        <f>HYPERLINK("https://nconnect.nicmar.ac.in/storage/profile/ProfilePhoto_P25700536_349728.jpg","Download")</f>
        <v>0</v>
      </c>
      <c r="BV536" s="3"/>
      <c r="BW536" s="3"/>
    </row>
    <row r="537" spans="1:75">
      <c r="A537" s="1" t="s">
        <v>75</v>
      </c>
      <c r="B537" s="1" t="s">
        <v>446</v>
      </c>
      <c r="C537" s="1" t="s">
        <v>10314</v>
      </c>
      <c r="D537" s="1" t="s">
        <v>10315</v>
      </c>
      <c r="E537" s="1"/>
      <c r="F537" s="1" t="s">
        <v>784</v>
      </c>
      <c r="G537" s="1" t="s">
        <v>10316</v>
      </c>
      <c r="H537" s="1" t="s">
        <v>10317</v>
      </c>
      <c r="I537" s="1" t="s">
        <v>10318</v>
      </c>
      <c r="J537" s="1">
        <v>9072871323</v>
      </c>
      <c r="K537" s="1" t="s">
        <v>153</v>
      </c>
      <c r="L537" s="1" t="s">
        <v>923</v>
      </c>
      <c r="M537" s="1" t="s">
        <v>86</v>
      </c>
      <c r="N537" s="1" t="s">
        <v>9483</v>
      </c>
      <c r="O537" s="1"/>
      <c r="P537" s="1" t="s">
        <v>507</v>
      </c>
      <c r="Q537" s="1" t="s">
        <v>10319</v>
      </c>
      <c r="R537" s="1" t="s">
        <v>10320</v>
      </c>
      <c r="S537" s="1">
        <v>9446771323</v>
      </c>
      <c r="T537" s="1" t="s">
        <v>10321</v>
      </c>
      <c r="U537" s="1" t="s">
        <v>10322</v>
      </c>
      <c r="V537" s="1">
        <v>9495082521</v>
      </c>
      <c r="W537" s="1" t="s">
        <v>10323</v>
      </c>
      <c r="X537" s="1" t="s">
        <v>10324</v>
      </c>
      <c r="Y537" s="1" t="s">
        <v>7679</v>
      </c>
      <c r="Z537" s="1" t="s">
        <v>130</v>
      </c>
      <c r="AA537" s="1" t="s">
        <v>10324</v>
      </c>
      <c r="AB537" s="1" t="s">
        <v>7679</v>
      </c>
      <c r="AC537" s="1" t="s">
        <v>130</v>
      </c>
      <c r="AD537" s="1">
        <v>8.82</v>
      </c>
      <c r="AE537" s="1" t="s">
        <v>98</v>
      </c>
      <c r="AF537" s="1" t="s">
        <v>10325</v>
      </c>
      <c r="AG537" s="1" t="s">
        <v>6474</v>
      </c>
      <c r="AH537" s="1" t="s">
        <v>170</v>
      </c>
      <c r="AI537" s="1" t="s">
        <v>171</v>
      </c>
      <c r="AJ537" s="1">
        <v>88.4</v>
      </c>
      <c r="AK537" s="1"/>
      <c r="AL537" s="1" t="s">
        <v>10325</v>
      </c>
      <c r="AM537" s="1" t="s">
        <v>5569</v>
      </c>
      <c r="AN537" s="1" t="s">
        <v>575</v>
      </c>
      <c r="AO537" s="1" t="s">
        <v>438</v>
      </c>
      <c r="AP537" s="1" t="s">
        <v>178</v>
      </c>
      <c r="AQ537" s="1">
        <v>81.25</v>
      </c>
      <c r="AR537" s="1"/>
      <c r="AS537" s="1"/>
      <c r="AT537" s="1"/>
      <c r="AU537" s="1"/>
      <c r="AV537" s="1"/>
      <c r="AW537" s="1"/>
      <c r="AX537" s="1"/>
      <c r="AY537" s="1" t="s">
        <v>137</v>
      </c>
      <c r="AZ537" s="1" t="s">
        <v>10326</v>
      </c>
      <c r="BA537" s="1" t="s">
        <v>466</v>
      </c>
      <c r="BB537" s="1" t="s">
        <v>467</v>
      </c>
      <c r="BC537" s="1" t="s">
        <v>175</v>
      </c>
      <c r="BD537" s="1" t="s">
        <v>1268</v>
      </c>
      <c r="BE537" s="1">
        <v>70.6</v>
      </c>
      <c r="BF537" s="1">
        <v>7.06</v>
      </c>
      <c r="BG537" s="1"/>
      <c r="BH537" s="1"/>
      <c r="BI537" s="1"/>
      <c r="BJ537" s="1"/>
      <c r="BK537" s="1"/>
      <c r="BL537" s="1"/>
      <c r="BM537" s="1"/>
      <c r="BN537" s="1"/>
      <c r="BO537" s="1" t="s">
        <v>1114</v>
      </c>
      <c r="BP537" s="1"/>
      <c r="BQ537" s="1"/>
      <c r="BR537" s="1" t="s">
        <v>10327</v>
      </c>
      <c r="BS537" s="1">
        <v>8</v>
      </c>
      <c r="BT537" s="1" t="s">
        <v>10328</v>
      </c>
      <c r="BU537" s="1" t="str">
        <f>HYPERLINK("https://nconnect.nicmar.ac.in/storage/profile/ProfilePhoto_P25700537_596821.jpg","Download")</f>
        <v>0</v>
      </c>
      <c r="BV537" s="3"/>
      <c r="BW537" s="4">
        <v>1</v>
      </c>
    </row>
    <row r="538" spans="1:75">
      <c r="A538" s="1" t="s">
        <v>75</v>
      </c>
      <c r="B538" s="1" t="s">
        <v>446</v>
      </c>
      <c r="C538" s="1" t="s">
        <v>10329</v>
      </c>
      <c r="D538" s="1" t="s">
        <v>10330</v>
      </c>
      <c r="E538" s="1"/>
      <c r="F538" s="1" t="s">
        <v>784</v>
      </c>
      <c r="G538" s="1" t="s">
        <v>10331</v>
      </c>
      <c r="H538" s="1" t="s">
        <v>10332</v>
      </c>
      <c r="I538" s="1" t="s">
        <v>10333</v>
      </c>
      <c r="J538" s="1">
        <v>8301069860</v>
      </c>
      <c r="K538" s="1" t="s">
        <v>153</v>
      </c>
      <c r="L538" s="1" t="s">
        <v>10334</v>
      </c>
      <c r="M538" s="1" t="s">
        <v>86</v>
      </c>
      <c r="N538" s="1" t="s">
        <v>4910</v>
      </c>
      <c r="O538" s="1"/>
      <c r="P538" s="1" t="s">
        <v>455</v>
      </c>
      <c r="Q538" s="1" t="s">
        <v>10335</v>
      </c>
      <c r="R538" s="1" t="s">
        <v>10336</v>
      </c>
      <c r="S538" s="1">
        <v>9496149860</v>
      </c>
      <c r="T538" s="1" t="s">
        <v>10337</v>
      </c>
      <c r="U538" s="1" t="s">
        <v>10338</v>
      </c>
      <c r="V538" s="1">
        <v>9544329170</v>
      </c>
      <c r="W538" s="1" t="s">
        <v>161</v>
      </c>
      <c r="X538" s="1" t="s">
        <v>10339</v>
      </c>
      <c r="Y538" s="1" t="s">
        <v>5313</v>
      </c>
      <c r="Z538" s="1" t="s">
        <v>130</v>
      </c>
      <c r="AA538" s="1" t="s">
        <v>10339</v>
      </c>
      <c r="AB538" s="1" t="s">
        <v>5313</v>
      </c>
      <c r="AC538" s="1" t="s">
        <v>130</v>
      </c>
      <c r="AD538" s="1">
        <v>8.69</v>
      </c>
      <c r="AE538" s="1" t="s">
        <v>98</v>
      </c>
      <c r="AF538" s="1" t="s">
        <v>10340</v>
      </c>
      <c r="AG538" s="1" t="s">
        <v>312</v>
      </c>
      <c r="AH538" s="1" t="s">
        <v>167</v>
      </c>
      <c r="AI538" s="1" t="s">
        <v>200</v>
      </c>
      <c r="AJ538" s="1">
        <v>95</v>
      </c>
      <c r="AK538" s="1">
        <v>10</v>
      </c>
      <c r="AL538" s="1" t="s">
        <v>10341</v>
      </c>
      <c r="AM538" s="1" t="s">
        <v>10342</v>
      </c>
      <c r="AN538" s="1" t="s">
        <v>2995</v>
      </c>
      <c r="AO538" s="1" t="s">
        <v>106</v>
      </c>
      <c r="AP538" s="1" t="s">
        <v>414</v>
      </c>
      <c r="AQ538" s="1">
        <v>90.41</v>
      </c>
      <c r="AR538" s="1"/>
      <c r="AS538" s="1"/>
      <c r="AT538" s="1"/>
      <c r="AU538" s="1"/>
      <c r="AV538" s="1"/>
      <c r="AW538" s="1"/>
      <c r="AX538" s="1"/>
      <c r="AY538" s="1" t="s">
        <v>137</v>
      </c>
      <c r="AZ538" s="1" t="s">
        <v>5974</v>
      </c>
      <c r="BA538" s="1" t="s">
        <v>466</v>
      </c>
      <c r="BB538" s="1" t="s">
        <v>467</v>
      </c>
      <c r="BC538" s="1" t="s">
        <v>1040</v>
      </c>
      <c r="BD538" s="1" t="s">
        <v>207</v>
      </c>
      <c r="BE538" s="1">
        <v>77.2</v>
      </c>
      <c r="BF538" s="1">
        <v>7.72</v>
      </c>
      <c r="BG538" s="1"/>
      <c r="BH538" s="1"/>
      <c r="BI538" s="1"/>
      <c r="BJ538" s="1"/>
      <c r="BK538" s="1"/>
      <c r="BL538" s="1"/>
      <c r="BM538" s="1"/>
      <c r="BN538" s="1"/>
      <c r="BO538" s="1" t="s">
        <v>10343</v>
      </c>
      <c r="BP538" s="1"/>
      <c r="BQ538" s="1"/>
      <c r="BR538" s="1" t="s">
        <v>10344</v>
      </c>
      <c r="BS538" s="1">
        <v>34</v>
      </c>
      <c r="BT538" s="1" t="s">
        <v>10345</v>
      </c>
      <c r="BU538" s="1" t="str">
        <f>HYPERLINK("https://nconnect.nicmar.ac.in/storage/profile/ProfilePhoto_P25700538_648517.jpg","Download")</f>
        <v>0</v>
      </c>
      <c r="BV538" s="3"/>
      <c r="BW538" s="3"/>
    </row>
    <row r="539" spans="1:75">
      <c r="A539" s="1" t="s">
        <v>75</v>
      </c>
      <c r="B539" s="1" t="s">
        <v>446</v>
      </c>
      <c r="C539" s="1" t="s">
        <v>10346</v>
      </c>
      <c r="D539" s="1" t="s">
        <v>10347</v>
      </c>
      <c r="E539" s="1"/>
      <c r="F539" s="1" t="s">
        <v>10348</v>
      </c>
      <c r="G539" s="1" t="s">
        <v>10349</v>
      </c>
      <c r="H539" s="1" t="s">
        <v>10350</v>
      </c>
      <c r="I539" s="1" t="s">
        <v>10351</v>
      </c>
      <c r="J539" s="1">
        <v>7987506803</v>
      </c>
      <c r="K539" s="1" t="s">
        <v>153</v>
      </c>
      <c r="L539" s="1" t="s">
        <v>10352</v>
      </c>
      <c r="M539" s="1" t="s">
        <v>86</v>
      </c>
      <c r="N539" s="1" t="s">
        <v>10353</v>
      </c>
      <c r="O539" s="1"/>
      <c r="P539" s="1" t="s">
        <v>507</v>
      </c>
      <c r="Q539" s="1" t="s">
        <v>10354</v>
      </c>
      <c r="R539" s="1" t="s">
        <v>10355</v>
      </c>
      <c r="S539" s="1">
        <v>9826698890</v>
      </c>
      <c r="T539" s="1" t="s">
        <v>926</v>
      </c>
      <c r="U539" s="1" t="s">
        <v>10356</v>
      </c>
      <c r="V539" s="1">
        <v>8435027464</v>
      </c>
      <c r="W539" s="1" t="s">
        <v>94</v>
      </c>
      <c r="X539" s="1" t="s">
        <v>10357</v>
      </c>
      <c r="Y539" s="1" t="s">
        <v>196</v>
      </c>
      <c r="Z539" s="1" t="s">
        <v>97</v>
      </c>
      <c r="AA539" s="1" t="s">
        <v>10358</v>
      </c>
      <c r="AB539" s="1" t="s">
        <v>10359</v>
      </c>
      <c r="AC539" s="1" t="s">
        <v>3419</v>
      </c>
      <c r="AD539" s="1">
        <v>8.56</v>
      </c>
      <c r="AE539" s="1" t="s">
        <v>98</v>
      </c>
      <c r="AF539" s="1" t="s">
        <v>10360</v>
      </c>
      <c r="AG539" s="1" t="s">
        <v>775</v>
      </c>
      <c r="AH539" s="1" t="s">
        <v>3421</v>
      </c>
      <c r="AI539" s="1" t="s">
        <v>1262</v>
      </c>
      <c r="AJ539" s="1">
        <v>81.7</v>
      </c>
      <c r="AK539" s="1">
        <v>8.6</v>
      </c>
      <c r="AL539" s="1" t="s">
        <v>10360</v>
      </c>
      <c r="AM539" s="1" t="s">
        <v>775</v>
      </c>
      <c r="AN539" s="1"/>
      <c r="AO539" s="1" t="s">
        <v>1110</v>
      </c>
      <c r="AP539" s="1" t="s">
        <v>627</v>
      </c>
      <c r="AQ539" s="1">
        <v>64.8</v>
      </c>
      <c r="AR539" s="1">
        <v>0</v>
      </c>
      <c r="AS539" s="1"/>
      <c r="AT539" s="1"/>
      <c r="AU539" s="1"/>
      <c r="AV539" s="1"/>
      <c r="AW539" s="1"/>
      <c r="AX539" s="1"/>
      <c r="AY539" s="1" t="s">
        <v>366</v>
      </c>
      <c r="AZ539" s="1" t="s">
        <v>10361</v>
      </c>
      <c r="BA539" s="1"/>
      <c r="BB539" s="1"/>
      <c r="BC539" s="1" t="s">
        <v>230</v>
      </c>
      <c r="BD539" s="1" t="s">
        <v>1400</v>
      </c>
      <c r="BE539" s="1">
        <v>70.5</v>
      </c>
      <c r="BF539" s="1">
        <v>7.8</v>
      </c>
      <c r="BG539" s="1"/>
      <c r="BH539" s="1"/>
      <c r="BI539" s="1"/>
      <c r="BJ539" s="1"/>
      <c r="BK539" s="1"/>
      <c r="BL539" s="1"/>
      <c r="BM539" s="1"/>
      <c r="BN539" s="1"/>
      <c r="BO539" s="1" t="s">
        <v>10362</v>
      </c>
      <c r="BP539" s="1" t="s">
        <v>10363</v>
      </c>
      <c r="BQ539" s="1" t="s">
        <v>1152</v>
      </c>
      <c r="BR539" s="1" t="s">
        <v>10364</v>
      </c>
      <c r="BS539" s="1">
        <v>29</v>
      </c>
      <c r="BT539" s="1" t="s">
        <v>10365</v>
      </c>
      <c r="BU539" s="1" t="str">
        <f>HYPERLINK("https://nconnect.nicmar.ac.in/storage/profile/ProfilePhoto_P25700539_189627.jpg","Download")</f>
        <v>0</v>
      </c>
      <c r="BV539" s="3"/>
      <c r="BW539" s="3"/>
    </row>
    <row r="540" spans="1:75">
      <c r="A540" s="1" t="s">
        <v>75</v>
      </c>
      <c r="B540" s="1" t="s">
        <v>446</v>
      </c>
      <c r="C540" s="1" t="s">
        <v>10366</v>
      </c>
      <c r="D540" s="1" t="s">
        <v>10367</v>
      </c>
      <c r="E540" s="1" t="s">
        <v>10368</v>
      </c>
      <c r="F540" s="1" t="s">
        <v>10369</v>
      </c>
      <c r="G540" s="1" t="s">
        <v>10370</v>
      </c>
      <c r="H540" s="1" t="s">
        <v>10371</v>
      </c>
      <c r="I540" s="1" t="s">
        <v>10372</v>
      </c>
      <c r="J540" s="1">
        <v>7248976751</v>
      </c>
      <c r="K540" s="1" t="s">
        <v>84</v>
      </c>
      <c r="L540" s="1" t="s">
        <v>10049</v>
      </c>
      <c r="M540" s="1" t="s">
        <v>86</v>
      </c>
      <c r="N540" s="1" t="s">
        <v>3568</v>
      </c>
      <c r="O540" s="1"/>
      <c r="P540" s="1" t="s">
        <v>507</v>
      </c>
      <c r="Q540" s="1" t="s">
        <v>10373</v>
      </c>
      <c r="R540" s="1" t="s">
        <v>10374</v>
      </c>
      <c r="S540" s="1">
        <v>9850209913</v>
      </c>
      <c r="T540" s="1" t="s">
        <v>125</v>
      </c>
      <c r="U540" s="1" t="s">
        <v>10375</v>
      </c>
      <c r="V540" s="1">
        <v>9970937262</v>
      </c>
      <c r="W540" s="1" t="s">
        <v>125</v>
      </c>
      <c r="X540" s="1" t="s">
        <v>10376</v>
      </c>
      <c r="Y540" s="1" t="s">
        <v>196</v>
      </c>
      <c r="Z540" s="1" t="s">
        <v>97</v>
      </c>
      <c r="AA540" s="1" t="s">
        <v>10377</v>
      </c>
      <c r="AB540" s="1" t="s">
        <v>410</v>
      </c>
      <c r="AC540" s="1" t="s">
        <v>97</v>
      </c>
      <c r="AD540" s="1">
        <v>8.74</v>
      </c>
      <c r="AE540" s="1" t="s">
        <v>98</v>
      </c>
      <c r="AF540" s="1" t="s">
        <v>10378</v>
      </c>
      <c r="AG540" s="1" t="s">
        <v>312</v>
      </c>
      <c r="AH540" s="1" t="s">
        <v>166</v>
      </c>
      <c r="AI540" s="1" t="s">
        <v>627</v>
      </c>
      <c r="AJ540" s="1">
        <v>93.1</v>
      </c>
      <c r="AK540" s="1">
        <v>9.8</v>
      </c>
      <c r="AL540" s="1" t="s">
        <v>10379</v>
      </c>
      <c r="AM540" s="1" t="s">
        <v>3658</v>
      </c>
      <c r="AN540" s="1" t="s">
        <v>465</v>
      </c>
      <c r="AO540" s="1" t="s">
        <v>167</v>
      </c>
      <c r="AP540" s="1" t="s">
        <v>171</v>
      </c>
      <c r="AQ540" s="1">
        <v>74.62</v>
      </c>
      <c r="AR540" s="1"/>
      <c r="AS540" s="1"/>
      <c r="AT540" s="1"/>
      <c r="AU540" s="1"/>
      <c r="AV540" s="1"/>
      <c r="AW540" s="1"/>
      <c r="AX540" s="1"/>
      <c r="AY540" s="1" t="s">
        <v>10380</v>
      </c>
      <c r="AZ540" s="1" t="s">
        <v>9437</v>
      </c>
      <c r="BA540" s="1" t="s">
        <v>578</v>
      </c>
      <c r="BB540" s="1" t="s">
        <v>467</v>
      </c>
      <c r="BC540" s="1" t="s">
        <v>1065</v>
      </c>
      <c r="BD540" s="1" t="s">
        <v>632</v>
      </c>
      <c r="BE540" s="1">
        <v>81.8</v>
      </c>
      <c r="BF540" s="1">
        <v>8.18</v>
      </c>
      <c r="BG540" s="1"/>
      <c r="BH540" s="1"/>
      <c r="BI540" s="1"/>
      <c r="BJ540" s="1"/>
      <c r="BK540" s="1"/>
      <c r="BL540" s="1"/>
      <c r="BM540" s="1"/>
      <c r="BN540" s="1"/>
      <c r="BO540" s="1" t="s">
        <v>10381</v>
      </c>
      <c r="BP540" s="1" t="s">
        <v>10382</v>
      </c>
      <c r="BQ540" s="1" t="s">
        <v>582</v>
      </c>
      <c r="BR540" s="1" t="s">
        <v>10383</v>
      </c>
      <c r="BS540" s="1">
        <v>14</v>
      </c>
      <c r="BT540" s="1" t="s">
        <v>10384</v>
      </c>
      <c r="BU540" s="1" t="str">
        <f>HYPERLINK("https://nconnect.nicmar.ac.in/storage/profile/ProfilePhoto_P25700540_731968.jpg","Download")</f>
        <v>0</v>
      </c>
      <c r="BV540" s="3"/>
      <c r="BW540" s="4">
        <v>1</v>
      </c>
    </row>
    <row r="541" spans="1:75">
      <c r="A541" s="1" t="s">
        <v>75</v>
      </c>
      <c r="B541" s="1" t="s">
        <v>446</v>
      </c>
      <c r="C541" s="1" t="s">
        <v>10385</v>
      </c>
      <c r="D541" s="1" t="s">
        <v>10386</v>
      </c>
      <c r="E541" s="1" t="s">
        <v>1178</v>
      </c>
      <c r="F541" s="1" t="s">
        <v>10387</v>
      </c>
      <c r="G541" s="1" t="s">
        <v>10388</v>
      </c>
      <c r="H541" s="1" t="s">
        <v>10389</v>
      </c>
      <c r="I541" s="1" t="s">
        <v>10390</v>
      </c>
      <c r="J541" s="1">
        <v>8855884281</v>
      </c>
      <c r="K541" s="1" t="s">
        <v>84</v>
      </c>
      <c r="L541" s="1" t="s">
        <v>1691</v>
      </c>
      <c r="M541" s="1" t="s">
        <v>86</v>
      </c>
      <c r="N541" s="1" t="s">
        <v>903</v>
      </c>
      <c r="O541" s="1"/>
      <c r="P541" s="1" t="s">
        <v>507</v>
      </c>
      <c r="Q541" s="1" t="s">
        <v>10391</v>
      </c>
      <c r="R541" s="1" t="s">
        <v>1178</v>
      </c>
      <c r="S541" s="1">
        <v>8668505500</v>
      </c>
      <c r="T541" s="1" t="s">
        <v>4693</v>
      </c>
      <c r="U541" s="1" t="s">
        <v>1126</v>
      </c>
      <c r="V541" s="1">
        <v>9284724442</v>
      </c>
      <c r="W541" s="1" t="s">
        <v>127</v>
      </c>
      <c r="X541" s="1" t="s">
        <v>10392</v>
      </c>
      <c r="Y541" s="1" t="s">
        <v>1779</v>
      </c>
      <c r="Z541" s="1" t="s">
        <v>97</v>
      </c>
      <c r="AA541" s="1" t="s">
        <v>10392</v>
      </c>
      <c r="AB541" s="1" t="s">
        <v>1779</v>
      </c>
      <c r="AC541" s="1" t="s">
        <v>97</v>
      </c>
      <c r="AD541" s="1">
        <v>8.08</v>
      </c>
      <c r="AE541" s="1" t="s">
        <v>98</v>
      </c>
      <c r="AF541" s="1" t="s">
        <v>10393</v>
      </c>
      <c r="AG541" s="1" t="s">
        <v>629</v>
      </c>
      <c r="AH541" s="1" t="s">
        <v>1111</v>
      </c>
      <c r="AI541" s="1" t="s">
        <v>200</v>
      </c>
      <c r="AJ541" s="1">
        <v>81</v>
      </c>
      <c r="AK541" s="1"/>
      <c r="AL541" s="1" t="s">
        <v>10394</v>
      </c>
      <c r="AM541" s="1" t="s">
        <v>629</v>
      </c>
      <c r="AN541" s="1" t="s">
        <v>575</v>
      </c>
      <c r="AO541" s="1" t="s">
        <v>490</v>
      </c>
      <c r="AP541" s="1" t="s">
        <v>203</v>
      </c>
      <c r="AQ541" s="1">
        <v>63.54</v>
      </c>
      <c r="AR541" s="1"/>
      <c r="AS541" s="1"/>
      <c r="AT541" s="1"/>
      <c r="AU541" s="1"/>
      <c r="AV541" s="1"/>
      <c r="AW541" s="1"/>
      <c r="AX541" s="1"/>
      <c r="AY541" s="1" t="s">
        <v>7896</v>
      </c>
      <c r="AZ541" s="1" t="s">
        <v>10395</v>
      </c>
      <c r="BA541" s="1" t="s">
        <v>578</v>
      </c>
      <c r="BB541" s="1" t="s">
        <v>467</v>
      </c>
      <c r="BC541" s="1" t="s">
        <v>206</v>
      </c>
      <c r="BD541" s="1" t="s">
        <v>179</v>
      </c>
      <c r="BE541" s="1">
        <v>70.5</v>
      </c>
      <c r="BF541" s="1">
        <v>7.8</v>
      </c>
      <c r="BG541" s="1"/>
      <c r="BH541" s="1"/>
      <c r="BI541" s="1"/>
      <c r="BJ541" s="1"/>
      <c r="BK541" s="1"/>
      <c r="BL541" s="1"/>
      <c r="BM541" s="1"/>
      <c r="BN541" s="1"/>
      <c r="BO541" s="1" t="s">
        <v>369</v>
      </c>
      <c r="BP541" s="1"/>
      <c r="BQ541" s="1"/>
      <c r="BR541" s="1" t="s">
        <v>10396</v>
      </c>
      <c r="BS541" s="1">
        <v>38</v>
      </c>
      <c r="BT541" s="1" t="s">
        <v>10397</v>
      </c>
      <c r="BU541" s="1" t="str">
        <f>HYPERLINK("https://nconnect.nicmar.ac.in/storage/profile/ProfilePhoto_P25700541_148765.jpg","Download")</f>
        <v>0</v>
      </c>
      <c r="BV541" s="3"/>
      <c r="BW541" s="4">
        <v>1</v>
      </c>
    </row>
    <row r="542" spans="1:75">
      <c r="A542" s="1" t="s">
        <v>75</v>
      </c>
      <c r="B542" s="1" t="s">
        <v>446</v>
      </c>
      <c r="C542" s="1" t="s">
        <v>10398</v>
      </c>
      <c r="D542" s="1" t="s">
        <v>10399</v>
      </c>
      <c r="E542" s="1" t="s">
        <v>2405</v>
      </c>
      <c r="F542" s="1" t="s">
        <v>1872</v>
      </c>
      <c r="G542" s="1" t="s">
        <v>10400</v>
      </c>
      <c r="H542" s="1" t="s">
        <v>10401</v>
      </c>
      <c r="I542" s="1" t="s">
        <v>10402</v>
      </c>
      <c r="J542" s="1">
        <v>9021666927</v>
      </c>
      <c r="K542" s="1" t="s">
        <v>84</v>
      </c>
      <c r="L542" s="1" t="s">
        <v>8365</v>
      </c>
      <c r="M542" s="1" t="s">
        <v>86</v>
      </c>
      <c r="N542" s="1" t="s">
        <v>618</v>
      </c>
      <c r="O542" s="1"/>
      <c r="P542" s="1" t="s">
        <v>507</v>
      </c>
      <c r="Q542" s="1" t="s">
        <v>10403</v>
      </c>
      <c r="R542" s="1" t="s">
        <v>10404</v>
      </c>
      <c r="S542" s="1">
        <v>9422258357</v>
      </c>
      <c r="T542" s="1" t="s">
        <v>9700</v>
      </c>
      <c r="U542" s="1" t="s">
        <v>10405</v>
      </c>
      <c r="V542" s="1">
        <v>9423972867</v>
      </c>
      <c r="W542" s="1" t="s">
        <v>161</v>
      </c>
      <c r="X542" s="1" t="s">
        <v>10406</v>
      </c>
      <c r="Y542" s="1" t="s">
        <v>910</v>
      </c>
      <c r="Z542" s="1" t="s">
        <v>97</v>
      </c>
      <c r="AA542" s="1" t="s">
        <v>10406</v>
      </c>
      <c r="AB542" s="1" t="s">
        <v>910</v>
      </c>
      <c r="AC542" s="1" t="s">
        <v>97</v>
      </c>
      <c r="AD542" s="1">
        <v>9.05</v>
      </c>
      <c r="AE542" s="1" t="s">
        <v>98</v>
      </c>
      <c r="AF542" s="1" t="s">
        <v>10407</v>
      </c>
      <c r="AG542" s="1" t="s">
        <v>165</v>
      </c>
      <c r="AH542" s="1" t="s">
        <v>170</v>
      </c>
      <c r="AI542" s="1" t="s">
        <v>106</v>
      </c>
      <c r="AJ542" s="1">
        <v>94.8</v>
      </c>
      <c r="AK542" s="1"/>
      <c r="AL542" s="1" t="s">
        <v>10408</v>
      </c>
      <c r="AM542" s="1" t="s">
        <v>165</v>
      </c>
      <c r="AN542" s="1" t="s">
        <v>465</v>
      </c>
      <c r="AO542" s="1" t="s">
        <v>315</v>
      </c>
      <c r="AP542" s="1" t="s">
        <v>1040</v>
      </c>
      <c r="AQ542" s="1">
        <v>79.38</v>
      </c>
      <c r="AR542" s="1"/>
      <c r="AS542" s="1"/>
      <c r="AT542" s="1"/>
      <c r="AU542" s="1"/>
      <c r="AV542" s="1"/>
      <c r="AW542" s="1"/>
      <c r="AX542" s="1"/>
      <c r="AY542" s="1" t="s">
        <v>366</v>
      </c>
      <c r="AZ542" s="1" t="s">
        <v>10409</v>
      </c>
      <c r="BA542" s="1" t="s">
        <v>466</v>
      </c>
      <c r="BB542" s="1" t="s">
        <v>467</v>
      </c>
      <c r="BC542" s="1" t="s">
        <v>368</v>
      </c>
      <c r="BD542" s="1" t="s">
        <v>207</v>
      </c>
      <c r="BE542" s="1">
        <v>74.9</v>
      </c>
      <c r="BF542" s="1">
        <v>7.99</v>
      </c>
      <c r="BG542" s="1"/>
      <c r="BH542" s="1"/>
      <c r="BI542" s="1"/>
      <c r="BJ542" s="1"/>
      <c r="BK542" s="1"/>
      <c r="BL542" s="1"/>
      <c r="BM542" s="1"/>
      <c r="BN542" s="1"/>
      <c r="BO542" s="1" t="s">
        <v>10410</v>
      </c>
      <c r="BP542" s="1"/>
      <c r="BQ542" s="1"/>
      <c r="BR542" s="1" t="s">
        <v>10411</v>
      </c>
      <c r="BS542" s="1">
        <v>47</v>
      </c>
      <c r="BT542" s="1" t="s">
        <v>10412</v>
      </c>
      <c r="BU542" s="1" t="str">
        <f>HYPERLINK("https://nconnect.nicmar.ac.in/storage/profile/ProfilePhoto_P25700542_891354.jpg","Download")</f>
        <v>0</v>
      </c>
      <c r="BV542" s="3"/>
      <c r="BW542" s="3"/>
    </row>
    <row r="543" spans="1:75">
      <c r="A543" s="1" t="s">
        <v>75</v>
      </c>
      <c r="B543" s="1" t="s">
        <v>446</v>
      </c>
      <c r="C543" s="1" t="s">
        <v>10413</v>
      </c>
      <c r="D543" s="1" t="s">
        <v>10414</v>
      </c>
      <c r="E543" s="1"/>
      <c r="F543" s="1" t="s">
        <v>10415</v>
      </c>
      <c r="G543" s="1" t="s">
        <v>10416</v>
      </c>
      <c r="H543" s="1" t="s">
        <v>10417</v>
      </c>
      <c r="I543" s="1" t="s">
        <v>10418</v>
      </c>
      <c r="J543" s="1">
        <v>9895721858</v>
      </c>
      <c r="K543" s="1" t="s">
        <v>84</v>
      </c>
      <c r="L543" s="1" t="s">
        <v>10419</v>
      </c>
      <c r="M543" s="1" t="s">
        <v>86</v>
      </c>
      <c r="N543" s="1" t="s">
        <v>5194</v>
      </c>
      <c r="O543" s="1"/>
      <c r="P543" s="1" t="s">
        <v>1028</v>
      </c>
      <c r="Q543" s="1" t="s">
        <v>10420</v>
      </c>
      <c r="R543" s="1" t="s">
        <v>10421</v>
      </c>
      <c r="S543" s="1">
        <v>9895379454</v>
      </c>
      <c r="T543" s="1" t="s">
        <v>5065</v>
      </c>
      <c r="U543" s="1" t="s">
        <v>10422</v>
      </c>
      <c r="V543" s="1">
        <v>9895569453</v>
      </c>
      <c r="W543" s="1" t="s">
        <v>5065</v>
      </c>
      <c r="X543" s="1" t="s">
        <v>10423</v>
      </c>
      <c r="Y543" s="1" t="s">
        <v>701</v>
      </c>
      <c r="Z543" s="1" t="s">
        <v>130</v>
      </c>
      <c r="AA543" s="1" t="s">
        <v>10423</v>
      </c>
      <c r="AB543" s="1" t="s">
        <v>701</v>
      </c>
      <c r="AC543" s="1" t="s">
        <v>130</v>
      </c>
      <c r="AD543" s="1">
        <v>9.03</v>
      </c>
      <c r="AE543" s="1" t="s">
        <v>98</v>
      </c>
      <c r="AF543" s="1" t="s">
        <v>10424</v>
      </c>
      <c r="AG543" s="1" t="s">
        <v>775</v>
      </c>
      <c r="AH543" s="1" t="s">
        <v>101</v>
      </c>
      <c r="AI543" s="1" t="s">
        <v>136</v>
      </c>
      <c r="AJ543" s="1">
        <v>95</v>
      </c>
      <c r="AK543" s="1">
        <v>10</v>
      </c>
      <c r="AL543" s="1" t="s">
        <v>10424</v>
      </c>
      <c r="AM543" s="1" t="s">
        <v>775</v>
      </c>
      <c r="AN543" s="1" t="s">
        <v>575</v>
      </c>
      <c r="AO543" s="1" t="s">
        <v>167</v>
      </c>
      <c r="AP543" s="1" t="s">
        <v>573</v>
      </c>
      <c r="AQ543" s="1">
        <v>76</v>
      </c>
      <c r="AR543" s="1">
        <v>0</v>
      </c>
      <c r="AS543" s="1"/>
      <c r="AT543" s="1"/>
      <c r="AU543" s="1"/>
      <c r="AV543" s="1"/>
      <c r="AW543" s="1"/>
      <c r="AX543" s="1"/>
      <c r="AY543" s="1" t="s">
        <v>7207</v>
      </c>
      <c r="AZ543" s="1" t="s">
        <v>10425</v>
      </c>
      <c r="BA543" s="1" t="s">
        <v>466</v>
      </c>
      <c r="BB543" s="1" t="s">
        <v>467</v>
      </c>
      <c r="BC543" s="1" t="s">
        <v>388</v>
      </c>
      <c r="BD543" s="1" t="s">
        <v>2304</v>
      </c>
      <c r="BE543" s="1">
        <v>77.9</v>
      </c>
      <c r="BF543" s="1">
        <v>8.59</v>
      </c>
      <c r="BG543" s="1"/>
      <c r="BH543" s="1"/>
      <c r="BI543" s="1"/>
      <c r="BJ543" s="1"/>
      <c r="BK543" s="1"/>
      <c r="BL543" s="1"/>
      <c r="BM543" s="1"/>
      <c r="BN543" s="1"/>
      <c r="BO543" s="1" t="s">
        <v>10426</v>
      </c>
      <c r="BP543" s="1" t="s">
        <v>10427</v>
      </c>
      <c r="BQ543" s="1" t="s">
        <v>4149</v>
      </c>
      <c r="BR543" s="1" t="s">
        <v>10428</v>
      </c>
      <c r="BS543" s="1">
        <v>9</v>
      </c>
      <c r="BT543" s="1" t="s">
        <v>10429</v>
      </c>
      <c r="BU543" s="1" t="str">
        <f>HYPERLINK("https://nconnect.nicmar.ac.in/storage/profile/ProfilePhoto_P25700543_269387.jpg","Download")</f>
        <v>0</v>
      </c>
      <c r="BV543" s="3"/>
      <c r="BW543" s="4">
        <v>1</v>
      </c>
    </row>
    <row r="544" spans="1:75">
      <c r="A544" s="1" t="s">
        <v>75</v>
      </c>
      <c r="B544" s="1" t="s">
        <v>446</v>
      </c>
      <c r="C544" s="1" t="s">
        <v>10430</v>
      </c>
      <c r="D544" s="1" t="s">
        <v>10431</v>
      </c>
      <c r="E544" s="1" t="s">
        <v>10432</v>
      </c>
      <c r="F544" s="1" t="s">
        <v>1020</v>
      </c>
      <c r="G544" s="1" t="s">
        <v>10433</v>
      </c>
      <c r="H544" s="1" t="s">
        <v>10434</v>
      </c>
      <c r="I544" s="1" t="s">
        <v>10435</v>
      </c>
      <c r="J544" s="1">
        <v>9949296219</v>
      </c>
      <c r="K544" s="1" t="s">
        <v>84</v>
      </c>
      <c r="L544" s="1" t="s">
        <v>10436</v>
      </c>
      <c r="M544" s="1" t="s">
        <v>86</v>
      </c>
      <c r="N544" s="1" t="s">
        <v>10437</v>
      </c>
      <c r="O544" s="1"/>
      <c r="P544" s="1" t="s">
        <v>481</v>
      </c>
      <c r="Q544" s="1" t="s">
        <v>10438</v>
      </c>
      <c r="R544" s="1" t="s">
        <v>10439</v>
      </c>
      <c r="S544" s="1">
        <v>9963214083</v>
      </c>
      <c r="T544" s="1" t="s">
        <v>839</v>
      </c>
      <c r="U544" s="1" t="s">
        <v>10440</v>
      </c>
      <c r="V544" s="1">
        <v>9966388020</v>
      </c>
      <c r="W544" s="1" t="s">
        <v>161</v>
      </c>
      <c r="X544" s="1" t="s">
        <v>10441</v>
      </c>
      <c r="Y544" s="1" t="s">
        <v>725</v>
      </c>
      <c r="Z544" s="1" t="s">
        <v>281</v>
      </c>
      <c r="AA544" s="1" t="s">
        <v>10441</v>
      </c>
      <c r="AB544" s="1" t="s">
        <v>725</v>
      </c>
      <c r="AC544" s="1" t="s">
        <v>281</v>
      </c>
      <c r="AD544" s="1">
        <v>9.33</v>
      </c>
      <c r="AE544" s="1" t="s">
        <v>98</v>
      </c>
      <c r="AF544" s="1" t="s">
        <v>8353</v>
      </c>
      <c r="AG544" s="1" t="s">
        <v>10442</v>
      </c>
      <c r="AH544" s="1" t="s">
        <v>102</v>
      </c>
      <c r="AI544" s="1" t="s">
        <v>1111</v>
      </c>
      <c r="AJ544" s="1">
        <v>98</v>
      </c>
      <c r="AK544" s="1">
        <v>9.8</v>
      </c>
      <c r="AL544" s="1" t="s">
        <v>10443</v>
      </c>
      <c r="AM544" s="1" t="s">
        <v>10444</v>
      </c>
      <c r="AN544" s="1" t="s">
        <v>465</v>
      </c>
      <c r="AO544" s="1" t="s">
        <v>284</v>
      </c>
      <c r="AP544" s="1" t="s">
        <v>490</v>
      </c>
      <c r="AQ544" s="1">
        <v>97.6</v>
      </c>
      <c r="AR544" s="1"/>
      <c r="AS544" s="1"/>
      <c r="AT544" s="1"/>
      <c r="AU544" s="1"/>
      <c r="AV544" s="1"/>
      <c r="AW544" s="1"/>
      <c r="AX544" s="1"/>
      <c r="AY544" s="1" t="s">
        <v>550</v>
      </c>
      <c r="AZ544" s="1" t="s">
        <v>550</v>
      </c>
      <c r="BA544" s="1" t="s">
        <v>466</v>
      </c>
      <c r="BB544" s="1" t="s">
        <v>467</v>
      </c>
      <c r="BC544" s="1" t="s">
        <v>171</v>
      </c>
      <c r="BD544" s="1" t="s">
        <v>632</v>
      </c>
      <c r="BE544" s="1">
        <v>77.2</v>
      </c>
      <c r="BF544" s="1">
        <v>7.72</v>
      </c>
      <c r="BG544" s="1"/>
      <c r="BH544" s="1"/>
      <c r="BI544" s="1"/>
      <c r="BJ544" s="1"/>
      <c r="BK544" s="1"/>
      <c r="BL544" s="1"/>
      <c r="BM544" s="1"/>
      <c r="BN544" s="1"/>
      <c r="BO544" s="1" t="s">
        <v>10445</v>
      </c>
      <c r="BP544" s="1" t="s">
        <v>10446</v>
      </c>
      <c r="BQ544" s="1" t="s">
        <v>143</v>
      </c>
      <c r="BR544" s="1" t="s">
        <v>10447</v>
      </c>
      <c r="BS544" s="1">
        <v>8</v>
      </c>
      <c r="BT544" s="1" t="s">
        <v>10448</v>
      </c>
      <c r="BU544" s="1" t="str">
        <f>HYPERLINK("https://nconnect.nicmar.ac.in/storage/profile/ProfilePhoto_P25700544_418352.jpg","Download")</f>
        <v>0</v>
      </c>
      <c r="BV544" s="3"/>
      <c r="BW544" s="3"/>
    </row>
    <row r="545" spans="1:75">
      <c r="A545" s="1" t="s">
        <v>75</v>
      </c>
      <c r="B545" s="1" t="s">
        <v>446</v>
      </c>
      <c r="C545" s="1" t="s">
        <v>10449</v>
      </c>
      <c r="D545" s="1" t="s">
        <v>10450</v>
      </c>
      <c r="E545" s="1"/>
      <c r="F545" s="1" t="s">
        <v>10451</v>
      </c>
      <c r="G545" s="1" t="s">
        <v>10452</v>
      </c>
      <c r="H545" s="1" t="s">
        <v>10453</v>
      </c>
      <c r="I545" s="1" t="s">
        <v>10454</v>
      </c>
      <c r="J545" s="1">
        <v>9347790600</v>
      </c>
      <c r="K545" s="1" t="s">
        <v>84</v>
      </c>
      <c r="L545" s="1" t="s">
        <v>10455</v>
      </c>
      <c r="M545" s="1" t="s">
        <v>86</v>
      </c>
      <c r="N545" s="1" t="s">
        <v>1449</v>
      </c>
      <c r="O545" s="1"/>
      <c r="P545" s="1" t="s">
        <v>455</v>
      </c>
      <c r="Q545" s="1" t="s">
        <v>10456</v>
      </c>
      <c r="R545" s="1" t="s">
        <v>10457</v>
      </c>
      <c r="S545" s="1">
        <v>9010536977</v>
      </c>
      <c r="T545" s="1" t="s">
        <v>1513</v>
      </c>
      <c r="U545" s="1" t="s">
        <v>10458</v>
      </c>
      <c r="V545" s="1">
        <v>8712387199</v>
      </c>
      <c r="W545" s="1" t="s">
        <v>1513</v>
      </c>
      <c r="X545" s="1" t="s">
        <v>10459</v>
      </c>
      <c r="Y545" s="1" t="s">
        <v>196</v>
      </c>
      <c r="Z545" s="1" t="s">
        <v>97</v>
      </c>
      <c r="AA545" s="1" t="s">
        <v>10460</v>
      </c>
      <c r="AB545" s="1" t="s">
        <v>10461</v>
      </c>
      <c r="AC545" s="1" t="s">
        <v>281</v>
      </c>
      <c r="AD545" s="1">
        <v>8.56</v>
      </c>
      <c r="AE545" s="1" t="s">
        <v>98</v>
      </c>
      <c r="AF545" s="1" t="s">
        <v>8353</v>
      </c>
      <c r="AG545" s="1" t="s">
        <v>1418</v>
      </c>
      <c r="AH545" s="1" t="s">
        <v>170</v>
      </c>
      <c r="AI545" s="1" t="s">
        <v>286</v>
      </c>
      <c r="AJ545" s="1">
        <v>90</v>
      </c>
      <c r="AK545" s="1">
        <v>9</v>
      </c>
      <c r="AL545" s="1" t="s">
        <v>10462</v>
      </c>
      <c r="AM545" s="1" t="s">
        <v>10463</v>
      </c>
      <c r="AN545" s="1" t="s">
        <v>465</v>
      </c>
      <c r="AO545" s="1" t="s">
        <v>174</v>
      </c>
      <c r="AP545" s="1" t="s">
        <v>603</v>
      </c>
      <c r="AQ545" s="1">
        <v>81.03</v>
      </c>
      <c r="AR545" s="1">
        <v>8.53</v>
      </c>
      <c r="AS545" s="1"/>
      <c r="AT545" s="1"/>
      <c r="AU545" s="1"/>
      <c r="AV545" s="1"/>
      <c r="AW545" s="1"/>
      <c r="AX545" s="1"/>
      <c r="AY545" s="1" t="s">
        <v>2654</v>
      </c>
      <c r="AZ545" s="1" t="s">
        <v>10464</v>
      </c>
      <c r="BA545" s="1" t="s">
        <v>466</v>
      </c>
      <c r="BB545" s="1" t="s">
        <v>467</v>
      </c>
      <c r="BC545" s="1" t="s">
        <v>368</v>
      </c>
      <c r="BD545" s="1" t="s">
        <v>1314</v>
      </c>
      <c r="BE545" s="1">
        <v>73.7</v>
      </c>
      <c r="BF545" s="1">
        <v>8.12</v>
      </c>
      <c r="BG545" s="1"/>
      <c r="BH545" s="1"/>
      <c r="BI545" s="1"/>
      <c r="BJ545" s="1"/>
      <c r="BK545" s="1"/>
      <c r="BL545" s="1"/>
      <c r="BM545" s="1"/>
      <c r="BN545" s="1"/>
      <c r="BO545" s="1" t="s">
        <v>10465</v>
      </c>
      <c r="BP545" s="1" t="s">
        <v>10466</v>
      </c>
      <c r="BQ545" s="1" t="s">
        <v>292</v>
      </c>
      <c r="BR545" s="1" t="s">
        <v>10467</v>
      </c>
      <c r="BS545" s="1">
        <v>14</v>
      </c>
      <c r="BT545" s="1"/>
      <c r="BU545" s="1" t="str">
        <f>HYPERLINK("https://nconnect.nicmar.ac.in/storage/profile/ProfilePhoto_P25700545_567941.jpg","Download")</f>
        <v>0</v>
      </c>
      <c r="BV545" s="3"/>
      <c r="BW545" s="4">
        <v>1</v>
      </c>
    </row>
    <row r="546" spans="1:75">
      <c r="A546" s="1" t="s">
        <v>75</v>
      </c>
      <c r="B546" s="1" t="s">
        <v>446</v>
      </c>
      <c r="C546" s="1" t="s">
        <v>10468</v>
      </c>
      <c r="D546" s="1" t="s">
        <v>10469</v>
      </c>
      <c r="E546" s="1" t="s">
        <v>10470</v>
      </c>
      <c r="F546" s="1" t="s">
        <v>1320</v>
      </c>
      <c r="G546" s="1" t="s">
        <v>10471</v>
      </c>
      <c r="H546" s="1" t="s">
        <v>10472</v>
      </c>
      <c r="I546" s="1" t="s">
        <v>10473</v>
      </c>
      <c r="J546" s="1">
        <v>7260815833</v>
      </c>
      <c r="K546" s="1" t="s">
        <v>84</v>
      </c>
      <c r="L546" s="1" t="s">
        <v>10474</v>
      </c>
      <c r="M546" s="1" t="s">
        <v>86</v>
      </c>
      <c r="N546" s="1" t="s">
        <v>768</v>
      </c>
      <c r="O546" s="1" t="s">
        <v>10475</v>
      </c>
      <c r="P546" s="1" t="s">
        <v>122</v>
      </c>
      <c r="Q546" s="1" t="s">
        <v>10476</v>
      </c>
      <c r="R546" s="1" t="s">
        <v>10477</v>
      </c>
      <c r="S546" s="1">
        <v>8210560486</v>
      </c>
      <c r="T546" s="1" t="s">
        <v>839</v>
      </c>
      <c r="U546" s="1" t="s">
        <v>10478</v>
      </c>
      <c r="V546" s="1">
        <v>9934148311</v>
      </c>
      <c r="W546" s="1" t="s">
        <v>278</v>
      </c>
      <c r="X546" s="1" t="s">
        <v>10479</v>
      </c>
      <c r="Y546" s="1" t="s">
        <v>2954</v>
      </c>
      <c r="Z546" s="1" t="s">
        <v>2955</v>
      </c>
      <c r="AA546" s="1" t="s">
        <v>10479</v>
      </c>
      <c r="AB546" s="1" t="s">
        <v>2954</v>
      </c>
      <c r="AC546" s="1" t="s">
        <v>2955</v>
      </c>
      <c r="AD546" s="1">
        <v>7.97</v>
      </c>
      <c r="AE546" s="1" t="s">
        <v>98</v>
      </c>
      <c r="AF546" s="1" t="s">
        <v>10480</v>
      </c>
      <c r="AG546" s="1" t="s">
        <v>10481</v>
      </c>
      <c r="AH546" s="1" t="s">
        <v>490</v>
      </c>
      <c r="AI546" s="1" t="s">
        <v>313</v>
      </c>
      <c r="AJ546" s="1">
        <v>85.83</v>
      </c>
      <c r="AK546" s="1">
        <v>9.03</v>
      </c>
      <c r="AL546" s="1" t="s">
        <v>10480</v>
      </c>
      <c r="AM546" s="1" t="s">
        <v>10481</v>
      </c>
      <c r="AN546" s="1" t="s">
        <v>465</v>
      </c>
      <c r="AO546" s="1" t="s">
        <v>417</v>
      </c>
      <c r="AP546" s="1" t="s">
        <v>549</v>
      </c>
      <c r="AQ546" s="1">
        <v>81.33</v>
      </c>
      <c r="AR546" s="1">
        <v>8.56</v>
      </c>
      <c r="AS546" s="1"/>
      <c r="AT546" s="1"/>
      <c r="AU546" s="1"/>
      <c r="AV546" s="1"/>
      <c r="AW546" s="1"/>
      <c r="AX546" s="1"/>
      <c r="AY546" s="1" t="s">
        <v>10482</v>
      </c>
      <c r="AZ546" s="1" t="s">
        <v>10483</v>
      </c>
      <c r="BA546" s="1" t="s">
        <v>466</v>
      </c>
      <c r="BB546" s="1" t="s">
        <v>467</v>
      </c>
      <c r="BC546" s="1" t="s">
        <v>847</v>
      </c>
      <c r="BD546" s="1" t="s">
        <v>848</v>
      </c>
      <c r="BE546" s="1">
        <v>79.16</v>
      </c>
      <c r="BF546" s="1">
        <v>7.92</v>
      </c>
      <c r="BG546" s="1"/>
      <c r="BH546" s="1"/>
      <c r="BI546" s="1"/>
      <c r="BJ546" s="1"/>
      <c r="BK546" s="1"/>
      <c r="BL546" s="1"/>
      <c r="BM546" s="1"/>
      <c r="BN546" s="1"/>
      <c r="BO546" s="1" t="s">
        <v>10484</v>
      </c>
      <c r="BP546" s="1"/>
      <c r="BQ546" s="1"/>
      <c r="BR546" s="1" t="s">
        <v>10485</v>
      </c>
      <c r="BS546" s="1">
        <v>17</v>
      </c>
      <c r="BT546" s="1" t="s">
        <v>10486</v>
      </c>
      <c r="BU546" s="1" t="str">
        <f>HYPERLINK("https://nconnect.nicmar.ac.in/storage/profile/ProfilePhoto_P25700546_862451.jpg","Download")</f>
        <v>0</v>
      </c>
      <c r="BV546" s="3"/>
      <c r="BW546" s="4">
        <v>1</v>
      </c>
    </row>
    <row r="547" spans="1:75">
      <c r="A547" s="1" t="s">
        <v>75</v>
      </c>
      <c r="B547" s="1" t="s">
        <v>446</v>
      </c>
      <c r="C547" s="1" t="s">
        <v>10487</v>
      </c>
      <c r="D547" s="1" t="s">
        <v>10488</v>
      </c>
      <c r="E547" s="1"/>
      <c r="F547" s="1" t="s">
        <v>10489</v>
      </c>
      <c r="G547" s="1" t="s">
        <v>10490</v>
      </c>
      <c r="H547" s="1" t="s">
        <v>10491</v>
      </c>
      <c r="I547" s="1" t="s">
        <v>10492</v>
      </c>
      <c r="J547" s="1">
        <v>7076151515</v>
      </c>
      <c r="K547" s="1" t="s">
        <v>84</v>
      </c>
      <c r="L547" s="1" t="s">
        <v>10493</v>
      </c>
      <c r="M547" s="1" t="s">
        <v>86</v>
      </c>
      <c r="N547" s="1" t="s">
        <v>10494</v>
      </c>
      <c r="O547" s="1"/>
      <c r="P547" s="1" t="s">
        <v>507</v>
      </c>
      <c r="Q547" s="1" t="s">
        <v>10495</v>
      </c>
      <c r="R547" s="1" t="s">
        <v>10496</v>
      </c>
      <c r="S547" s="1">
        <v>9292151515</v>
      </c>
      <c r="T547" s="1" t="s">
        <v>1620</v>
      </c>
      <c r="U547" s="1" t="s">
        <v>10497</v>
      </c>
      <c r="V547" s="1">
        <v>9963045945</v>
      </c>
      <c r="W547" s="1" t="s">
        <v>541</v>
      </c>
      <c r="X547" s="1" t="s">
        <v>10498</v>
      </c>
      <c r="Y547" s="1" t="s">
        <v>1454</v>
      </c>
      <c r="Z547" s="1" t="s">
        <v>281</v>
      </c>
      <c r="AA547" s="1" t="s">
        <v>10498</v>
      </c>
      <c r="AB547" s="1" t="s">
        <v>1454</v>
      </c>
      <c r="AC547" s="1" t="s">
        <v>281</v>
      </c>
      <c r="AD547" s="1">
        <v>9.18</v>
      </c>
      <c r="AE547" s="1" t="s">
        <v>98</v>
      </c>
      <c r="AF547" s="1" t="s">
        <v>10499</v>
      </c>
      <c r="AG547" s="1" t="s">
        <v>10500</v>
      </c>
      <c r="AH547" s="1" t="s">
        <v>171</v>
      </c>
      <c r="AI547" s="1" t="s">
        <v>313</v>
      </c>
      <c r="AJ547" s="1">
        <v>86.8</v>
      </c>
      <c r="AK547" s="1"/>
      <c r="AL547" s="1" t="s">
        <v>10501</v>
      </c>
      <c r="AM547" s="1" t="s">
        <v>10502</v>
      </c>
      <c r="AN547" s="1" t="s">
        <v>465</v>
      </c>
      <c r="AO547" s="1" t="s">
        <v>438</v>
      </c>
      <c r="AP547" s="1" t="s">
        <v>549</v>
      </c>
      <c r="AQ547" s="1">
        <v>91.1</v>
      </c>
      <c r="AR547" s="1"/>
      <c r="AS547" s="1"/>
      <c r="AT547" s="1"/>
      <c r="AU547" s="1"/>
      <c r="AV547" s="1"/>
      <c r="AW547" s="1"/>
      <c r="AX547" s="1"/>
      <c r="AY547" s="1" t="s">
        <v>6942</v>
      </c>
      <c r="AZ547" s="1" t="s">
        <v>10503</v>
      </c>
      <c r="BA547" s="1" t="s">
        <v>466</v>
      </c>
      <c r="BB547" s="1" t="s">
        <v>467</v>
      </c>
      <c r="BC547" s="1" t="s">
        <v>552</v>
      </c>
      <c r="BD547" s="1" t="s">
        <v>848</v>
      </c>
      <c r="BE547" s="1">
        <v>85.5</v>
      </c>
      <c r="BF547" s="1">
        <v>8.55</v>
      </c>
      <c r="BG547" s="1"/>
      <c r="BH547" s="1"/>
      <c r="BI547" s="1"/>
      <c r="BJ547" s="1"/>
      <c r="BK547" s="1"/>
      <c r="BL547" s="1"/>
      <c r="BM547" s="1"/>
      <c r="BN547" s="1"/>
      <c r="BO547" s="1" t="s">
        <v>10504</v>
      </c>
      <c r="BP547" s="1"/>
      <c r="BQ547" s="1"/>
      <c r="BR547" s="1" t="s">
        <v>10505</v>
      </c>
      <c r="BS547" s="1">
        <v>28</v>
      </c>
      <c r="BT547" s="1" t="s">
        <v>10506</v>
      </c>
      <c r="BU547" s="1" t="str">
        <f>HYPERLINK("https://nconnect.nicmar.ac.in/storage/profile/ProfilePhoto_P25700547_673924.jpg","Download")</f>
        <v>0</v>
      </c>
      <c r="BV547" s="3"/>
      <c r="BW547" s="4">
        <v>1</v>
      </c>
    </row>
    <row r="548" spans="1:75">
      <c r="A548" s="1" t="s">
        <v>75</v>
      </c>
      <c r="B548" s="1" t="s">
        <v>446</v>
      </c>
      <c r="C548" s="1" t="s">
        <v>10507</v>
      </c>
      <c r="D548" s="1" t="s">
        <v>10508</v>
      </c>
      <c r="E548" s="1" t="s">
        <v>1963</v>
      </c>
      <c r="F548" s="1" t="s">
        <v>10509</v>
      </c>
      <c r="G548" s="1" t="s">
        <v>10510</v>
      </c>
      <c r="H548" s="1" t="s">
        <v>10511</v>
      </c>
      <c r="I548" s="1" t="s">
        <v>10512</v>
      </c>
      <c r="J548" s="1">
        <v>9082488472</v>
      </c>
      <c r="K548" s="1" t="s">
        <v>84</v>
      </c>
      <c r="L548" s="1" t="s">
        <v>4198</v>
      </c>
      <c r="M548" s="1" t="s">
        <v>86</v>
      </c>
      <c r="N548" s="1" t="s">
        <v>618</v>
      </c>
      <c r="O548" s="1"/>
      <c r="P548" s="1" t="s">
        <v>507</v>
      </c>
      <c r="Q548" s="1" t="s">
        <v>10513</v>
      </c>
      <c r="R548" s="1" t="s">
        <v>1963</v>
      </c>
      <c r="S548" s="1">
        <v>9082692343</v>
      </c>
      <c r="T548" s="1" t="s">
        <v>125</v>
      </c>
      <c r="U548" s="1" t="s">
        <v>9432</v>
      </c>
      <c r="V548" s="1">
        <v>9757399588</v>
      </c>
      <c r="W548" s="1" t="s">
        <v>161</v>
      </c>
      <c r="X548" s="1" t="s">
        <v>10514</v>
      </c>
      <c r="Y548" s="1" t="s">
        <v>1012</v>
      </c>
      <c r="Z548" s="1" t="s">
        <v>97</v>
      </c>
      <c r="AA548" s="1" t="s">
        <v>10514</v>
      </c>
      <c r="AB548" s="1" t="s">
        <v>1012</v>
      </c>
      <c r="AC548" s="1" t="s">
        <v>97</v>
      </c>
      <c r="AD548" s="1">
        <v>8.18</v>
      </c>
      <c r="AE548" s="1" t="s">
        <v>98</v>
      </c>
      <c r="AF548" s="1" t="s">
        <v>10515</v>
      </c>
      <c r="AG548" s="1" t="s">
        <v>165</v>
      </c>
      <c r="AH548" s="1" t="s">
        <v>1111</v>
      </c>
      <c r="AI548" s="1" t="s">
        <v>200</v>
      </c>
      <c r="AJ548" s="1">
        <v>81</v>
      </c>
      <c r="AK548" s="1"/>
      <c r="AL548" s="1" t="s">
        <v>10516</v>
      </c>
      <c r="AM548" s="1" t="s">
        <v>165</v>
      </c>
      <c r="AN548" s="1" t="s">
        <v>465</v>
      </c>
      <c r="AO548" s="1" t="s">
        <v>1477</v>
      </c>
      <c r="AP548" s="1" t="s">
        <v>203</v>
      </c>
      <c r="AQ548" s="1">
        <v>59.38</v>
      </c>
      <c r="AR548" s="1"/>
      <c r="AS548" s="1" t="s">
        <v>10517</v>
      </c>
      <c r="AT548" s="1" t="s">
        <v>10518</v>
      </c>
      <c r="AU548" s="1" t="s">
        <v>1040</v>
      </c>
      <c r="AV548" s="1" t="s">
        <v>441</v>
      </c>
      <c r="AW548" s="1">
        <v>88.53</v>
      </c>
      <c r="AX548" s="1"/>
      <c r="AY548" s="1" t="s">
        <v>258</v>
      </c>
      <c r="AZ548" s="1" t="s">
        <v>10519</v>
      </c>
      <c r="BA548" s="1" t="s">
        <v>578</v>
      </c>
      <c r="BB548" s="1" t="s">
        <v>467</v>
      </c>
      <c r="BC548" s="1" t="s">
        <v>418</v>
      </c>
      <c r="BD548" s="1" t="s">
        <v>418</v>
      </c>
      <c r="BE548" s="1">
        <v>66.28</v>
      </c>
      <c r="BF548" s="1">
        <v>7.3</v>
      </c>
      <c r="BG548" s="1"/>
      <c r="BH548" s="1"/>
      <c r="BI548" s="1"/>
      <c r="BJ548" s="1"/>
      <c r="BK548" s="1"/>
      <c r="BL548" s="1"/>
      <c r="BM548" s="1"/>
      <c r="BN548" s="1"/>
      <c r="BO548" s="1" t="s">
        <v>10520</v>
      </c>
      <c r="BP548" s="1"/>
      <c r="BQ548" s="1"/>
      <c r="BR548" s="1" t="s">
        <v>10521</v>
      </c>
      <c r="BS548" s="1">
        <v>12</v>
      </c>
      <c r="BT548" s="1"/>
      <c r="BU548" s="1" t="str">
        <f>HYPERLINK("https://nconnect.nicmar.ac.in/storage/profile/ProfilePhoto_P25700548_318946.jpg","Download")</f>
        <v>0</v>
      </c>
      <c r="BV548" s="3"/>
      <c r="BW548" s="3"/>
    </row>
    <row r="549" spans="1:75">
      <c r="A549" s="1" t="s">
        <v>75</v>
      </c>
      <c r="B549" s="1" t="s">
        <v>446</v>
      </c>
      <c r="C549" s="1" t="s">
        <v>10522</v>
      </c>
      <c r="D549" s="1" t="s">
        <v>10523</v>
      </c>
      <c r="E549" s="1"/>
      <c r="F549" s="1" t="s">
        <v>9986</v>
      </c>
      <c r="G549" s="1" t="s">
        <v>10524</v>
      </c>
      <c r="H549" s="1" t="s">
        <v>10525</v>
      </c>
      <c r="I549" s="1" t="s">
        <v>10526</v>
      </c>
      <c r="J549" s="1">
        <v>9829976330</v>
      </c>
      <c r="K549" s="1" t="s">
        <v>84</v>
      </c>
      <c r="L549" s="1" t="s">
        <v>10527</v>
      </c>
      <c r="M549" s="1" t="s">
        <v>86</v>
      </c>
      <c r="N549" s="1" t="s">
        <v>8293</v>
      </c>
      <c r="O549" s="1" t="s">
        <v>10528</v>
      </c>
      <c r="P549" s="1" t="s">
        <v>356</v>
      </c>
      <c r="Q549" s="1" t="s">
        <v>10529</v>
      </c>
      <c r="R549" s="1" t="s">
        <v>10530</v>
      </c>
      <c r="S549" s="1">
        <v>9462561600</v>
      </c>
      <c r="T549" s="1" t="s">
        <v>539</v>
      </c>
      <c r="U549" s="1" t="s">
        <v>10531</v>
      </c>
      <c r="V549" s="1">
        <v>8210374937</v>
      </c>
      <c r="W549" s="1" t="s">
        <v>278</v>
      </c>
      <c r="X549" s="1" t="s">
        <v>10532</v>
      </c>
      <c r="Y549" s="1" t="s">
        <v>2954</v>
      </c>
      <c r="Z549" s="1" t="s">
        <v>2955</v>
      </c>
      <c r="AA549" s="1" t="s">
        <v>10532</v>
      </c>
      <c r="AB549" s="1" t="s">
        <v>2954</v>
      </c>
      <c r="AC549" s="1" t="s">
        <v>2955</v>
      </c>
      <c r="AD549" s="1">
        <v>8.82</v>
      </c>
      <c r="AE549" s="1" t="s">
        <v>98</v>
      </c>
      <c r="AF549" s="1" t="s">
        <v>10533</v>
      </c>
      <c r="AG549" s="1" t="s">
        <v>10534</v>
      </c>
      <c r="AH549" s="1" t="s">
        <v>1110</v>
      </c>
      <c r="AI549" s="1" t="s">
        <v>627</v>
      </c>
      <c r="AJ549" s="1">
        <v>95</v>
      </c>
      <c r="AK549" s="1">
        <v>10</v>
      </c>
      <c r="AL549" s="1" t="s">
        <v>10535</v>
      </c>
      <c r="AM549" s="1" t="s">
        <v>10536</v>
      </c>
      <c r="AN549" s="1" t="s">
        <v>465</v>
      </c>
      <c r="AO549" s="1" t="s">
        <v>704</v>
      </c>
      <c r="AP549" s="1" t="s">
        <v>171</v>
      </c>
      <c r="AQ549" s="1">
        <v>66</v>
      </c>
      <c r="AR549" s="1"/>
      <c r="AS549" s="1"/>
      <c r="AT549" s="1"/>
      <c r="AU549" s="1"/>
      <c r="AV549" s="1"/>
      <c r="AW549" s="1"/>
      <c r="AX549" s="1"/>
      <c r="AY549" s="1" t="s">
        <v>6995</v>
      </c>
      <c r="AZ549" s="1" t="s">
        <v>10537</v>
      </c>
      <c r="BA549" s="1" t="s">
        <v>466</v>
      </c>
      <c r="BB549" s="1" t="s">
        <v>467</v>
      </c>
      <c r="BC549" s="1" t="s">
        <v>174</v>
      </c>
      <c r="BD549" s="1" t="s">
        <v>1400</v>
      </c>
      <c r="BE549" s="1">
        <v>73</v>
      </c>
      <c r="BF549" s="1">
        <v>7.3</v>
      </c>
      <c r="BG549" s="1"/>
      <c r="BH549" s="1"/>
      <c r="BI549" s="1"/>
      <c r="BJ549" s="1"/>
      <c r="BK549" s="1"/>
      <c r="BL549" s="1"/>
      <c r="BM549" s="1"/>
      <c r="BN549" s="1"/>
      <c r="BO549" s="1" t="s">
        <v>7336</v>
      </c>
      <c r="BP549" s="1" t="s">
        <v>10538</v>
      </c>
      <c r="BQ549" s="1" t="s">
        <v>292</v>
      </c>
      <c r="BR549" s="1" t="s">
        <v>10539</v>
      </c>
      <c r="BS549" s="1">
        <v>28</v>
      </c>
      <c r="BT549" s="1" t="s">
        <v>10540</v>
      </c>
      <c r="BU549" s="1" t="str">
        <f>HYPERLINK("https://nconnect.nicmar.ac.in/storage/profile/ProfilePhoto_P25700549_864517.jpg","Download")</f>
        <v>0</v>
      </c>
      <c r="BV549" s="3"/>
      <c r="BW549" s="3"/>
    </row>
    <row r="550" spans="1:75">
      <c r="A550" s="1" t="s">
        <v>75</v>
      </c>
      <c r="B550" s="1" t="s">
        <v>446</v>
      </c>
      <c r="C550" s="1" t="s">
        <v>10541</v>
      </c>
      <c r="D550" s="1" t="s">
        <v>1020</v>
      </c>
      <c r="E550" s="1" t="s">
        <v>10542</v>
      </c>
      <c r="F550" s="1" t="s">
        <v>10543</v>
      </c>
      <c r="G550" s="1" t="s">
        <v>10544</v>
      </c>
      <c r="H550" s="1" t="s">
        <v>10545</v>
      </c>
      <c r="I550" s="1" t="s">
        <v>10546</v>
      </c>
      <c r="J550" s="1">
        <v>7058471744</v>
      </c>
      <c r="K550" s="1" t="s">
        <v>84</v>
      </c>
      <c r="L550" s="1" t="s">
        <v>10547</v>
      </c>
      <c r="M550" s="1" t="s">
        <v>86</v>
      </c>
      <c r="N550" s="1" t="s">
        <v>10548</v>
      </c>
      <c r="O550" s="1"/>
      <c r="P550" s="1" t="s">
        <v>507</v>
      </c>
      <c r="Q550" s="1" t="s">
        <v>10549</v>
      </c>
      <c r="R550" s="1" t="s">
        <v>10550</v>
      </c>
      <c r="S550" s="1">
        <v>9823062444</v>
      </c>
      <c r="T550" s="1" t="s">
        <v>839</v>
      </c>
      <c r="U550" s="1" t="s">
        <v>10551</v>
      </c>
      <c r="V550" s="1">
        <v>9834920243</v>
      </c>
      <c r="W550" s="1" t="s">
        <v>278</v>
      </c>
      <c r="X550" s="1" t="s">
        <v>10552</v>
      </c>
      <c r="Y550" s="1" t="s">
        <v>196</v>
      </c>
      <c r="Z550" s="1" t="s">
        <v>97</v>
      </c>
      <c r="AA550" s="1" t="s">
        <v>10553</v>
      </c>
      <c r="AB550" s="1" t="s">
        <v>224</v>
      </c>
      <c r="AC550" s="1" t="s">
        <v>97</v>
      </c>
      <c r="AD550" s="1">
        <v>8.0</v>
      </c>
      <c r="AE550" s="1" t="s">
        <v>98</v>
      </c>
      <c r="AF550" s="1" t="s">
        <v>10554</v>
      </c>
      <c r="AG550" s="1" t="s">
        <v>2379</v>
      </c>
      <c r="AH550" s="1" t="s">
        <v>106</v>
      </c>
      <c r="AI550" s="1" t="s">
        <v>438</v>
      </c>
      <c r="AJ550" s="1">
        <v>75.8</v>
      </c>
      <c r="AK550" s="1"/>
      <c r="AL550" s="1" t="s">
        <v>10555</v>
      </c>
      <c r="AM550" s="1" t="s">
        <v>10556</v>
      </c>
      <c r="AN550" s="1"/>
      <c r="AO550" s="1" t="s">
        <v>1647</v>
      </c>
      <c r="AP550" s="1" t="s">
        <v>441</v>
      </c>
      <c r="AQ550" s="1">
        <v>83.4</v>
      </c>
      <c r="AR550" s="1"/>
      <c r="AS550" s="1"/>
      <c r="AT550" s="1"/>
      <c r="AU550" s="1"/>
      <c r="AV550" s="1"/>
      <c r="AW550" s="1"/>
      <c r="AX550" s="1"/>
      <c r="AY550" s="1" t="s">
        <v>10557</v>
      </c>
      <c r="AZ550" s="1" t="s">
        <v>10558</v>
      </c>
      <c r="BA550" s="1"/>
      <c r="BB550" s="1"/>
      <c r="BC550" s="1" t="s">
        <v>871</v>
      </c>
      <c r="BD550" s="1" t="s">
        <v>848</v>
      </c>
      <c r="BE550" s="1">
        <v>66.57</v>
      </c>
      <c r="BF550" s="1">
        <v>7.48</v>
      </c>
      <c r="BG550" s="1"/>
      <c r="BH550" s="1"/>
      <c r="BI550" s="1"/>
      <c r="BJ550" s="1"/>
      <c r="BK550" s="1"/>
      <c r="BL550" s="1"/>
      <c r="BM550" s="1"/>
      <c r="BN550" s="1"/>
      <c r="BO550" s="1" t="s">
        <v>10559</v>
      </c>
      <c r="BP550" s="1"/>
      <c r="BQ550" s="1"/>
      <c r="BR550" s="1" t="s">
        <v>10560</v>
      </c>
      <c r="BS550" s="1">
        <v>12</v>
      </c>
      <c r="BT550" s="1" t="s">
        <v>10561</v>
      </c>
      <c r="BU550" s="1" t="str">
        <f>HYPERLINK("https://nconnect.nicmar.ac.in/storage/profile/ProfilePhoto_P25700550_952413.jpg","Download")</f>
        <v>0</v>
      </c>
      <c r="BV550" s="3"/>
      <c r="BW550" s="3"/>
    </row>
    <row r="551" spans="1:75">
      <c r="A551" s="1" t="s">
        <v>75</v>
      </c>
      <c r="B551" s="1" t="s">
        <v>446</v>
      </c>
      <c r="C551" s="1" t="s">
        <v>10562</v>
      </c>
      <c r="D551" s="1" t="s">
        <v>9691</v>
      </c>
      <c r="E551" s="1" t="s">
        <v>2098</v>
      </c>
      <c r="F551" s="1" t="s">
        <v>10563</v>
      </c>
      <c r="G551" s="1" t="s">
        <v>10564</v>
      </c>
      <c r="H551" s="1" t="s">
        <v>10565</v>
      </c>
      <c r="I551" s="1" t="s">
        <v>10566</v>
      </c>
      <c r="J551" s="1">
        <v>8999282756</v>
      </c>
      <c r="K551" s="1" t="s">
        <v>84</v>
      </c>
      <c r="L551" s="1" t="s">
        <v>2410</v>
      </c>
      <c r="M551" s="1" t="s">
        <v>86</v>
      </c>
      <c r="N551" s="1" t="s">
        <v>10567</v>
      </c>
      <c r="O551" s="1"/>
      <c r="P551" s="1" t="s">
        <v>481</v>
      </c>
      <c r="Q551" s="1" t="s">
        <v>10568</v>
      </c>
      <c r="R551" s="1" t="s">
        <v>10569</v>
      </c>
      <c r="S551" s="1">
        <v>9607402310</v>
      </c>
      <c r="T551" s="1" t="s">
        <v>125</v>
      </c>
      <c r="U551" s="1" t="s">
        <v>10570</v>
      </c>
      <c r="V551" s="1">
        <v>9607402310</v>
      </c>
      <c r="W551" s="1" t="s">
        <v>9943</v>
      </c>
      <c r="X551" s="1" t="s">
        <v>10571</v>
      </c>
      <c r="Y551" s="1" t="s">
        <v>1033</v>
      </c>
      <c r="Z551" s="1" t="s">
        <v>97</v>
      </c>
      <c r="AA551" s="1" t="s">
        <v>10571</v>
      </c>
      <c r="AB551" s="1" t="s">
        <v>1033</v>
      </c>
      <c r="AC551" s="1" t="s">
        <v>97</v>
      </c>
      <c r="AD551" s="1">
        <v>8.41</v>
      </c>
      <c r="AE551" s="1" t="s">
        <v>98</v>
      </c>
      <c r="AF551" s="1" t="s">
        <v>10572</v>
      </c>
      <c r="AG551" s="1" t="s">
        <v>165</v>
      </c>
      <c r="AH551" s="1" t="s">
        <v>10573</v>
      </c>
      <c r="AI551" s="1" t="s">
        <v>286</v>
      </c>
      <c r="AJ551" s="1">
        <v>82.4</v>
      </c>
      <c r="AK551" s="1">
        <v>8.67</v>
      </c>
      <c r="AL551" s="1" t="s">
        <v>10574</v>
      </c>
      <c r="AM551" s="1" t="s">
        <v>996</v>
      </c>
      <c r="AN551" s="1"/>
      <c r="AO551" s="1" t="s">
        <v>106</v>
      </c>
      <c r="AP551" s="1" t="s">
        <v>178</v>
      </c>
      <c r="AQ551" s="1">
        <v>64.62</v>
      </c>
      <c r="AR551" s="1">
        <v>6.8</v>
      </c>
      <c r="AS551" s="1"/>
      <c r="AT551" s="1"/>
      <c r="AU551" s="1"/>
      <c r="AV551" s="1"/>
      <c r="AW551" s="1"/>
      <c r="AX551" s="1"/>
      <c r="AY551" s="1" t="s">
        <v>107</v>
      </c>
      <c r="AZ551" s="1" t="s">
        <v>10575</v>
      </c>
      <c r="BA551" s="1"/>
      <c r="BB551" s="1"/>
      <c r="BC551" s="1" t="s">
        <v>468</v>
      </c>
      <c r="BD551" s="1" t="s">
        <v>1089</v>
      </c>
      <c r="BE551" s="1">
        <v>61.5</v>
      </c>
      <c r="BF551" s="1">
        <v>6.65</v>
      </c>
      <c r="BG551" s="1"/>
      <c r="BH551" s="1"/>
      <c r="BI551" s="1"/>
      <c r="BJ551" s="1"/>
      <c r="BK551" s="1"/>
      <c r="BL551" s="1"/>
      <c r="BM551" s="1"/>
      <c r="BN551" s="1"/>
      <c r="BO551" s="1" t="s">
        <v>10576</v>
      </c>
      <c r="BP551" s="1"/>
      <c r="BQ551" s="1"/>
      <c r="BR551" s="1" t="s">
        <v>10577</v>
      </c>
      <c r="BS551" s="1">
        <v>61</v>
      </c>
      <c r="BT551" s="1"/>
      <c r="BU551" s="1" t="str">
        <f>HYPERLINK("https://nconnect.nicmar.ac.in/storage/profile/ProfilePhoto_P25700551_586341.jpg","Download")</f>
        <v>0</v>
      </c>
      <c r="BV551" s="3"/>
      <c r="BW551" s="3"/>
    </row>
    <row r="552" spans="1:75">
      <c r="A552" s="1" t="s">
        <v>75</v>
      </c>
      <c r="B552" s="1" t="s">
        <v>446</v>
      </c>
      <c r="C552" s="1" t="s">
        <v>10578</v>
      </c>
      <c r="D552" s="1" t="s">
        <v>10579</v>
      </c>
      <c r="E552" s="1" t="s">
        <v>10580</v>
      </c>
      <c r="F552" s="1" t="s">
        <v>10581</v>
      </c>
      <c r="G552" s="1" t="s">
        <v>10582</v>
      </c>
      <c r="H552" s="1" t="s">
        <v>10583</v>
      </c>
      <c r="I552" s="1" t="s">
        <v>10584</v>
      </c>
      <c r="J552" s="1">
        <v>9763220545</v>
      </c>
      <c r="K552" s="1" t="s">
        <v>84</v>
      </c>
      <c r="L552" s="1" t="s">
        <v>10585</v>
      </c>
      <c r="M552" s="1" t="s">
        <v>86</v>
      </c>
      <c r="N552" s="1" t="s">
        <v>1163</v>
      </c>
      <c r="O552" s="1"/>
      <c r="P552" s="1" t="s">
        <v>1028</v>
      </c>
      <c r="Q552" s="1" t="s">
        <v>10586</v>
      </c>
      <c r="R552" s="1" t="s">
        <v>10587</v>
      </c>
      <c r="S552" s="1">
        <v>7721992367</v>
      </c>
      <c r="T552" s="1" t="s">
        <v>1413</v>
      </c>
      <c r="U552" s="1" t="s">
        <v>10588</v>
      </c>
      <c r="V552" s="1">
        <v>7721992367</v>
      </c>
      <c r="W552" s="1" t="s">
        <v>161</v>
      </c>
      <c r="X552" s="1" t="s">
        <v>10589</v>
      </c>
      <c r="Y552" s="1" t="s">
        <v>309</v>
      </c>
      <c r="Z552" s="1" t="s">
        <v>97</v>
      </c>
      <c r="AA552" s="1" t="s">
        <v>10590</v>
      </c>
      <c r="AB552" s="1" t="s">
        <v>624</v>
      </c>
      <c r="AC552" s="1" t="s">
        <v>97</v>
      </c>
      <c r="AD552" s="1">
        <v>8.03</v>
      </c>
      <c r="AE552" s="1" t="s">
        <v>98</v>
      </c>
      <c r="AF552" s="1" t="s">
        <v>10591</v>
      </c>
      <c r="AG552" s="1" t="s">
        <v>775</v>
      </c>
      <c r="AH552" s="1" t="s">
        <v>101</v>
      </c>
      <c r="AI552" s="1" t="s">
        <v>136</v>
      </c>
      <c r="AJ552" s="1">
        <v>87.4</v>
      </c>
      <c r="AK552" s="1">
        <v>9.2</v>
      </c>
      <c r="AL552" s="1" t="s">
        <v>10592</v>
      </c>
      <c r="AM552" s="1" t="s">
        <v>165</v>
      </c>
      <c r="AN552" s="1"/>
      <c r="AO552" s="1" t="s">
        <v>627</v>
      </c>
      <c r="AP552" s="1" t="s">
        <v>573</v>
      </c>
      <c r="AQ552" s="1">
        <v>69.69</v>
      </c>
      <c r="AR552" s="1"/>
      <c r="AS552" s="1"/>
      <c r="AT552" s="1"/>
      <c r="AU552" s="1"/>
      <c r="AV552" s="1"/>
      <c r="AW552" s="1"/>
      <c r="AX552" s="1"/>
      <c r="AY552" s="1" t="s">
        <v>10593</v>
      </c>
      <c r="AZ552" s="1" t="s">
        <v>10594</v>
      </c>
      <c r="BA552" s="1"/>
      <c r="BB552" s="1"/>
      <c r="BC552" s="1" t="s">
        <v>230</v>
      </c>
      <c r="BD552" s="1" t="s">
        <v>441</v>
      </c>
      <c r="BE552" s="1">
        <v>80.8</v>
      </c>
      <c r="BF552" s="1">
        <v>8.58</v>
      </c>
      <c r="BG552" s="1"/>
      <c r="BH552" s="1"/>
      <c r="BI552" s="1"/>
      <c r="BJ552" s="1"/>
      <c r="BK552" s="1"/>
      <c r="BL552" s="1"/>
      <c r="BM552" s="1"/>
      <c r="BN552" s="1"/>
      <c r="BO552" s="1" t="s">
        <v>10595</v>
      </c>
      <c r="BP552" s="1" t="s">
        <v>10596</v>
      </c>
      <c r="BQ552" s="1" t="s">
        <v>143</v>
      </c>
      <c r="BR552" s="1" t="s">
        <v>10597</v>
      </c>
      <c r="BS552" s="1">
        <v>32</v>
      </c>
      <c r="BT552" s="1" t="s">
        <v>10598</v>
      </c>
      <c r="BU552" s="1" t="str">
        <f>HYPERLINK("https://nconnect.nicmar.ac.in/storage/profile/ProfilePhoto_P25700552_231985.jpg","Download")</f>
        <v>0</v>
      </c>
      <c r="BV552" s="3"/>
      <c r="BW552" s="3"/>
    </row>
    <row r="553" spans="1:75">
      <c r="A553" s="1" t="s">
        <v>75</v>
      </c>
      <c r="B553" s="1" t="s">
        <v>446</v>
      </c>
      <c r="C553" s="1" t="s">
        <v>10599</v>
      </c>
      <c r="D553" s="1" t="s">
        <v>10600</v>
      </c>
      <c r="E553" s="1" t="s">
        <v>5842</v>
      </c>
      <c r="F553" s="1" t="s">
        <v>10601</v>
      </c>
      <c r="G553" s="1" t="s">
        <v>10602</v>
      </c>
      <c r="H553" s="1" t="s">
        <v>10603</v>
      </c>
      <c r="I553" s="1" t="s">
        <v>10604</v>
      </c>
      <c r="J553" s="1">
        <v>7620091034</v>
      </c>
      <c r="K553" s="1" t="s">
        <v>84</v>
      </c>
      <c r="L553" s="1" t="s">
        <v>10605</v>
      </c>
      <c r="M553" s="1" t="s">
        <v>86</v>
      </c>
      <c r="N553" s="1" t="s">
        <v>903</v>
      </c>
      <c r="O553" s="1"/>
      <c r="P553" s="1" t="s">
        <v>455</v>
      </c>
      <c r="Q553" s="1" t="s">
        <v>10606</v>
      </c>
      <c r="R553" s="1" t="s">
        <v>10607</v>
      </c>
      <c r="S553" s="1">
        <v>9975724685</v>
      </c>
      <c r="T553" s="1" t="s">
        <v>839</v>
      </c>
      <c r="U553" s="1" t="s">
        <v>10608</v>
      </c>
      <c r="V553" s="1">
        <v>9975726186</v>
      </c>
      <c r="W553" s="1" t="s">
        <v>161</v>
      </c>
      <c r="X553" s="1" t="s">
        <v>10609</v>
      </c>
      <c r="Y553" s="1" t="s">
        <v>196</v>
      </c>
      <c r="Z553" s="1" t="s">
        <v>97</v>
      </c>
      <c r="AA553" s="1" t="s">
        <v>10610</v>
      </c>
      <c r="AB553" s="1" t="s">
        <v>224</v>
      </c>
      <c r="AC553" s="1" t="s">
        <v>97</v>
      </c>
      <c r="AD553" s="1">
        <v>8.36</v>
      </c>
      <c r="AE553" s="1" t="s">
        <v>98</v>
      </c>
      <c r="AF553" s="1" t="s">
        <v>10611</v>
      </c>
      <c r="AG553" s="1" t="s">
        <v>10612</v>
      </c>
      <c r="AH553" s="1" t="s">
        <v>106</v>
      </c>
      <c r="AI553" s="1" t="s">
        <v>313</v>
      </c>
      <c r="AJ553" s="1">
        <v>77</v>
      </c>
      <c r="AK553" s="1">
        <v>0</v>
      </c>
      <c r="AL553" s="1" t="s">
        <v>10613</v>
      </c>
      <c r="AM553" s="1" t="s">
        <v>10614</v>
      </c>
      <c r="AN553" s="1" t="s">
        <v>465</v>
      </c>
      <c r="AO553" s="1" t="s">
        <v>468</v>
      </c>
      <c r="AP553" s="1" t="s">
        <v>847</v>
      </c>
      <c r="AQ553" s="1">
        <v>93.5</v>
      </c>
      <c r="AR553" s="1">
        <v>0</v>
      </c>
      <c r="AS553" s="1"/>
      <c r="AT553" s="1"/>
      <c r="AU553" s="1"/>
      <c r="AV553" s="1"/>
      <c r="AW553" s="1"/>
      <c r="AX553" s="1"/>
      <c r="AY553" s="1" t="s">
        <v>366</v>
      </c>
      <c r="AZ553" s="1" t="s">
        <v>10615</v>
      </c>
      <c r="BA553" s="1" t="s">
        <v>578</v>
      </c>
      <c r="BB553" s="1" t="s">
        <v>467</v>
      </c>
      <c r="BC553" s="1" t="s">
        <v>871</v>
      </c>
      <c r="BD553" s="1" t="s">
        <v>848</v>
      </c>
      <c r="BE553" s="1">
        <v>67.19</v>
      </c>
      <c r="BF553" s="1">
        <v>7.55</v>
      </c>
      <c r="BG553" s="1"/>
      <c r="BH553" s="1"/>
      <c r="BI553" s="1"/>
      <c r="BJ553" s="1"/>
      <c r="BK553" s="1"/>
      <c r="BL553" s="1"/>
      <c r="BM553" s="1"/>
      <c r="BN553" s="1"/>
      <c r="BO553" s="1" t="s">
        <v>10616</v>
      </c>
      <c r="BP553" s="1"/>
      <c r="BQ553" s="1"/>
      <c r="BR553" s="1" t="s">
        <v>10617</v>
      </c>
      <c r="BS553" s="1">
        <v>12</v>
      </c>
      <c r="BT553" s="1"/>
      <c r="BU553" s="1" t="str">
        <f>HYPERLINK("https://nconnect.nicmar.ac.in/storage/profile/ProfilePhoto_P25700553_372649.jpg","Download")</f>
        <v>0</v>
      </c>
      <c r="BV553" s="3"/>
      <c r="BW553" s="3"/>
    </row>
    <row r="554" spans="1:75">
      <c r="A554" s="1" t="s">
        <v>75</v>
      </c>
      <c r="B554" s="1" t="s">
        <v>446</v>
      </c>
      <c r="C554" s="1" t="s">
        <v>10618</v>
      </c>
      <c r="D554" s="1" t="s">
        <v>3493</v>
      </c>
      <c r="E554" s="1" t="s">
        <v>1669</v>
      </c>
      <c r="F554" s="1" t="s">
        <v>2099</v>
      </c>
      <c r="G554" s="1" t="s">
        <v>10619</v>
      </c>
      <c r="H554" s="1" t="s">
        <v>10620</v>
      </c>
      <c r="I554" s="1" t="s">
        <v>10621</v>
      </c>
      <c r="J554" s="1">
        <v>7977236149</v>
      </c>
      <c r="K554" s="1" t="s">
        <v>84</v>
      </c>
      <c r="L554" s="1" t="s">
        <v>10622</v>
      </c>
      <c r="M554" s="1" t="s">
        <v>86</v>
      </c>
      <c r="N554" s="1" t="s">
        <v>10623</v>
      </c>
      <c r="O554" s="1"/>
      <c r="P554" s="1" t="s">
        <v>507</v>
      </c>
      <c r="Q554" s="1" t="s">
        <v>10624</v>
      </c>
      <c r="R554" s="1" t="s">
        <v>1669</v>
      </c>
      <c r="S554" s="1">
        <v>9892317564</v>
      </c>
      <c r="T554" s="1" t="s">
        <v>92</v>
      </c>
      <c r="U554" s="1" t="s">
        <v>10625</v>
      </c>
      <c r="V554" s="1">
        <v>8286908857</v>
      </c>
      <c r="W554" s="1" t="s">
        <v>161</v>
      </c>
      <c r="X554" s="1" t="s">
        <v>10626</v>
      </c>
      <c r="Y554" s="1" t="s">
        <v>1012</v>
      </c>
      <c r="Z554" s="1" t="s">
        <v>97</v>
      </c>
      <c r="AA554" s="1" t="s">
        <v>10626</v>
      </c>
      <c r="AB554" s="1" t="s">
        <v>1012</v>
      </c>
      <c r="AC554" s="1" t="s">
        <v>97</v>
      </c>
      <c r="AD554" s="1">
        <v>7.54</v>
      </c>
      <c r="AE554" s="1" t="s">
        <v>98</v>
      </c>
      <c r="AF554" s="1" t="s">
        <v>10627</v>
      </c>
      <c r="AG554" s="1" t="s">
        <v>10628</v>
      </c>
      <c r="AH554" s="1" t="s">
        <v>166</v>
      </c>
      <c r="AI554" s="1" t="s">
        <v>1111</v>
      </c>
      <c r="AJ554" s="1">
        <v>68.6</v>
      </c>
      <c r="AK554" s="1"/>
      <c r="AL554" s="1" t="s">
        <v>10629</v>
      </c>
      <c r="AM554" s="1" t="s">
        <v>10628</v>
      </c>
      <c r="AN554" s="1" t="s">
        <v>465</v>
      </c>
      <c r="AO554" s="1" t="s">
        <v>170</v>
      </c>
      <c r="AP554" s="1" t="s">
        <v>1477</v>
      </c>
      <c r="AQ554" s="1">
        <v>49.69</v>
      </c>
      <c r="AR554" s="1"/>
      <c r="AS554" s="1" t="s">
        <v>103</v>
      </c>
      <c r="AT554" s="1" t="s">
        <v>10630</v>
      </c>
      <c r="AU554" s="1" t="s">
        <v>106</v>
      </c>
      <c r="AV554" s="1" t="s">
        <v>417</v>
      </c>
      <c r="AW554" s="1">
        <v>71.63</v>
      </c>
      <c r="AX554" s="1"/>
      <c r="AY554" s="1" t="s">
        <v>680</v>
      </c>
      <c r="AZ554" s="1" t="s">
        <v>10631</v>
      </c>
      <c r="BA554" s="1" t="s">
        <v>578</v>
      </c>
      <c r="BB554" s="1" t="s">
        <v>467</v>
      </c>
      <c r="BC554" s="1" t="s">
        <v>368</v>
      </c>
      <c r="BD554" s="1" t="s">
        <v>418</v>
      </c>
      <c r="BE554" s="1">
        <v>64.62</v>
      </c>
      <c r="BF554" s="1">
        <v>7.21</v>
      </c>
      <c r="BG554" s="1"/>
      <c r="BH554" s="1"/>
      <c r="BI554" s="1"/>
      <c r="BJ554" s="1"/>
      <c r="BK554" s="1"/>
      <c r="BL554" s="1"/>
      <c r="BM554" s="1"/>
      <c r="BN554" s="1"/>
      <c r="BO554" s="1" t="s">
        <v>369</v>
      </c>
      <c r="BP554" s="1"/>
      <c r="BQ554" s="1"/>
      <c r="BR554" s="1" t="s">
        <v>10632</v>
      </c>
      <c r="BS554" s="1">
        <v>28</v>
      </c>
      <c r="BT554" s="1"/>
      <c r="BU554" s="1" t="str">
        <f>HYPERLINK("https://nconnect.nicmar.ac.in/storage/profile/ProfilePhoto_P25700554_582394.jpg","Download")</f>
        <v>0</v>
      </c>
      <c r="BV554" s="3"/>
      <c r="BW554" s="3"/>
    </row>
    <row r="555" spans="1:75">
      <c r="A555" s="1" t="s">
        <v>75</v>
      </c>
      <c r="B555" s="1" t="s">
        <v>446</v>
      </c>
      <c r="C555" s="1" t="s">
        <v>10633</v>
      </c>
      <c r="D555" s="1" t="s">
        <v>10634</v>
      </c>
      <c r="E555" s="1" t="s">
        <v>4646</v>
      </c>
      <c r="F555" s="1" t="s">
        <v>10635</v>
      </c>
      <c r="G555" s="1" t="s">
        <v>10636</v>
      </c>
      <c r="H555" s="1" t="s">
        <v>10637</v>
      </c>
      <c r="I555" s="1" t="s">
        <v>10638</v>
      </c>
      <c r="J555" s="1">
        <v>7666925589</v>
      </c>
      <c r="K555" s="1" t="s">
        <v>84</v>
      </c>
      <c r="L555" s="1" t="s">
        <v>5397</v>
      </c>
      <c r="M555" s="1" t="s">
        <v>86</v>
      </c>
      <c r="N555" s="1" t="s">
        <v>4263</v>
      </c>
      <c r="O555" s="1"/>
      <c r="P555" s="1" t="s">
        <v>507</v>
      </c>
      <c r="Q555" s="1" t="s">
        <v>10639</v>
      </c>
      <c r="R555" s="1" t="s">
        <v>10640</v>
      </c>
      <c r="S555" s="1">
        <v>7972595528</v>
      </c>
      <c r="T555" s="1" t="s">
        <v>159</v>
      </c>
      <c r="U555" s="1" t="s">
        <v>10641</v>
      </c>
      <c r="V555" s="1">
        <v>9921316337</v>
      </c>
      <c r="W555" s="1" t="s">
        <v>161</v>
      </c>
      <c r="X555" s="1" t="s">
        <v>10642</v>
      </c>
      <c r="Y555" s="1" t="s">
        <v>196</v>
      </c>
      <c r="Z555" s="1" t="s">
        <v>97</v>
      </c>
      <c r="AA555" s="1" t="s">
        <v>10643</v>
      </c>
      <c r="AB555" s="1" t="s">
        <v>251</v>
      </c>
      <c r="AC555" s="1" t="s">
        <v>97</v>
      </c>
      <c r="AD555" s="1">
        <v>7.9</v>
      </c>
      <c r="AE555" s="1" t="s">
        <v>98</v>
      </c>
      <c r="AF555" s="1" t="s">
        <v>10644</v>
      </c>
      <c r="AG555" s="1" t="s">
        <v>629</v>
      </c>
      <c r="AH555" s="1" t="s">
        <v>170</v>
      </c>
      <c r="AI555" s="1" t="s">
        <v>200</v>
      </c>
      <c r="AJ555" s="1">
        <v>82.4</v>
      </c>
      <c r="AK555" s="1"/>
      <c r="AL555" s="1" t="s">
        <v>10645</v>
      </c>
      <c r="AM555" s="1" t="s">
        <v>629</v>
      </c>
      <c r="AN555" s="1" t="s">
        <v>575</v>
      </c>
      <c r="AO555" s="1" t="s">
        <v>106</v>
      </c>
      <c r="AP555" s="1" t="s">
        <v>438</v>
      </c>
      <c r="AQ555" s="1">
        <v>71.85</v>
      </c>
      <c r="AR555" s="1"/>
      <c r="AS555" s="1"/>
      <c r="AT555" s="1"/>
      <c r="AU555" s="1"/>
      <c r="AV555" s="1"/>
      <c r="AW555" s="1"/>
      <c r="AX555" s="1"/>
      <c r="AY555" s="1" t="s">
        <v>366</v>
      </c>
      <c r="AZ555" s="1" t="s">
        <v>10646</v>
      </c>
      <c r="BA555" s="1" t="s">
        <v>578</v>
      </c>
      <c r="BB555" s="1" t="s">
        <v>467</v>
      </c>
      <c r="BC555" s="1" t="s">
        <v>206</v>
      </c>
      <c r="BD555" s="1" t="s">
        <v>955</v>
      </c>
      <c r="BE555" s="1">
        <v>63.72</v>
      </c>
      <c r="BF555" s="1">
        <v>7.16</v>
      </c>
      <c r="BG555" s="1"/>
      <c r="BH555" s="1"/>
      <c r="BI555" s="1"/>
      <c r="BJ555" s="1"/>
      <c r="BK555" s="1"/>
      <c r="BL555" s="1"/>
      <c r="BM555" s="1"/>
      <c r="BN555" s="1"/>
      <c r="BO555" s="1" t="s">
        <v>10647</v>
      </c>
      <c r="BP555" s="1" t="s">
        <v>10648</v>
      </c>
      <c r="BQ555" s="1" t="s">
        <v>1482</v>
      </c>
      <c r="BR555" s="1" t="s">
        <v>10649</v>
      </c>
      <c r="BS555" s="1">
        <v>8</v>
      </c>
      <c r="BT555" s="1"/>
      <c r="BU555" s="1" t="str">
        <f>HYPERLINK("https://nconnect.nicmar.ac.in/storage/profile/ProfilePhoto_P25700555_613982.jpg","Download")</f>
        <v>0</v>
      </c>
      <c r="BV555" s="3"/>
      <c r="BW555" s="3"/>
    </row>
    <row r="556" spans="1:75">
      <c r="A556" s="1" t="s">
        <v>75</v>
      </c>
      <c r="B556" s="1" t="s">
        <v>446</v>
      </c>
      <c r="C556" s="1" t="s">
        <v>10650</v>
      </c>
      <c r="D556" s="1" t="s">
        <v>9388</v>
      </c>
      <c r="E556" s="1" t="s">
        <v>10651</v>
      </c>
      <c r="F556" s="1" t="s">
        <v>1179</v>
      </c>
      <c r="G556" s="1" t="s">
        <v>10652</v>
      </c>
      <c r="H556" s="1" t="s">
        <v>10653</v>
      </c>
      <c r="I556" s="1" t="s">
        <v>10654</v>
      </c>
      <c r="J556" s="1">
        <v>9309916810</v>
      </c>
      <c r="K556" s="1" t="s">
        <v>84</v>
      </c>
      <c r="L556" s="1" t="s">
        <v>10655</v>
      </c>
      <c r="M556" s="1" t="s">
        <v>86</v>
      </c>
      <c r="N556" s="1" t="s">
        <v>618</v>
      </c>
      <c r="O556" s="1"/>
      <c r="P556" s="1" t="s">
        <v>1028</v>
      </c>
      <c r="Q556" s="1" t="s">
        <v>10656</v>
      </c>
      <c r="R556" s="1" t="s">
        <v>10657</v>
      </c>
      <c r="S556" s="1">
        <v>7387816810</v>
      </c>
      <c r="T556" s="1" t="s">
        <v>125</v>
      </c>
      <c r="U556" s="1" t="s">
        <v>10658</v>
      </c>
      <c r="V556" s="1">
        <v>8446796810</v>
      </c>
      <c r="W556" s="1" t="s">
        <v>161</v>
      </c>
      <c r="X556" s="1" t="s">
        <v>10659</v>
      </c>
      <c r="Y556" s="1" t="s">
        <v>196</v>
      </c>
      <c r="Z556" s="1" t="s">
        <v>97</v>
      </c>
      <c r="AA556" s="1" t="s">
        <v>10660</v>
      </c>
      <c r="AB556" s="1" t="s">
        <v>309</v>
      </c>
      <c r="AC556" s="1" t="s">
        <v>97</v>
      </c>
      <c r="AD556" s="1">
        <v>8.05</v>
      </c>
      <c r="AE556" s="1" t="s">
        <v>98</v>
      </c>
      <c r="AF556" s="1" t="s">
        <v>10661</v>
      </c>
      <c r="AG556" s="1" t="s">
        <v>10662</v>
      </c>
      <c r="AH556" s="1" t="s">
        <v>284</v>
      </c>
      <c r="AI556" s="1" t="s">
        <v>170</v>
      </c>
      <c r="AJ556" s="1">
        <v>83.4</v>
      </c>
      <c r="AK556" s="1"/>
      <c r="AL556" s="1"/>
      <c r="AM556" s="1"/>
      <c r="AN556" s="1"/>
      <c r="AO556" s="1"/>
      <c r="AP556" s="1"/>
      <c r="AQ556" s="1"/>
      <c r="AR556" s="1"/>
      <c r="AS556" s="1" t="s">
        <v>103</v>
      </c>
      <c r="AT556" s="1" t="s">
        <v>10663</v>
      </c>
      <c r="AU556" s="1" t="s">
        <v>388</v>
      </c>
      <c r="AV556" s="1" t="s">
        <v>175</v>
      </c>
      <c r="AW556" s="1">
        <v>86.58</v>
      </c>
      <c r="AX556" s="1"/>
      <c r="AY556" s="1" t="s">
        <v>366</v>
      </c>
      <c r="AZ556" s="1" t="s">
        <v>10664</v>
      </c>
      <c r="BA556" s="1" t="s">
        <v>578</v>
      </c>
      <c r="BB556" s="1" t="s">
        <v>467</v>
      </c>
      <c r="BC556" s="1" t="s">
        <v>1040</v>
      </c>
      <c r="BD556" s="1" t="s">
        <v>179</v>
      </c>
      <c r="BE556" s="1">
        <v>80.24</v>
      </c>
      <c r="BF556" s="1">
        <v>8.77</v>
      </c>
      <c r="BG556" s="1"/>
      <c r="BH556" s="1"/>
      <c r="BI556" s="1"/>
      <c r="BJ556" s="1"/>
      <c r="BK556" s="1"/>
      <c r="BL556" s="1"/>
      <c r="BM556" s="1"/>
      <c r="BN556" s="1"/>
      <c r="BO556" s="1" t="s">
        <v>10665</v>
      </c>
      <c r="BP556" s="1" t="s">
        <v>10666</v>
      </c>
      <c r="BQ556" s="1" t="s">
        <v>2213</v>
      </c>
      <c r="BR556" s="1" t="s">
        <v>10667</v>
      </c>
      <c r="BS556" s="1">
        <v>15</v>
      </c>
      <c r="BT556" s="1" t="s">
        <v>10668</v>
      </c>
      <c r="BU556" s="1" t="str">
        <f>HYPERLINK("https://nconnect.nicmar.ac.in/storage/profile/ProfilePhoto_P25700557_162945.jpg","Download")</f>
        <v>0</v>
      </c>
      <c r="BV556" s="3"/>
      <c r="BW556" s="3"/>
    </row>
    <row r="557" spans="1:75">
      <c r="A557" s="1" t="s">
        <v>75</v>
      </c>
      <c r="B557" s="1" t="s">
        <v>446</v>
      </c>
      <c r="C557" s="1" t="s">
        <v>10669</v>
      </c>
      <c r="D557" s="1" t="s">
        <v>10670</v>
      </c>
      <c r="E557" s="1" t="s">
        <v>213</v>
      </c>
      <c r="F557" s="1" t="s">
        <v>10045</v>
      </c>
      <c r="G557" s="1" t="s">
        <v>10671</v>
      </c>
      <c r="H557" s="1" t="s">
        <v>10672</v>
      </c>
      <c r="I557" s="1" t="s">
        <v>10673</v>
      </c>
      <c r="J557" s="1">
        <v>9518386795</v>
      </c>
      <c r="K557" s="1" t="s">
        <v>84</v>
      </c>
      <c r="L557" s="1" t="s">
        <v>10674</v>
      </c>
      <c r="M557" s="1" t="s">
        <v>86</v>
      </c>
      <c r="N557" s="1" t="s">
        <v>10675</v>
      </c>
      <c r="O557" s="1"/>
      <c r="P557" s="1" t="s">
        <v>481</v>
      </c>
      <c r="Q557" s="1" t="s">
        <v>10676</v>
      </c>
      <c r="R557" s="1" t="s">
        <v>10677</v>
      </c>
      <c r="S557" s="1">
        <v>9165506657</v>
      </c>
      <c r="T557" s="1" t="s">
        <v>10678</v>
      </c>
      <c r="U557" s="1" t="s">
        <v>10679</v>
      </c>
      <c r="V557" s="1">
        <v>8605888772</v>
      </c>
      <c r="W557" s="1" t="s">
        <v>161</v>
      </c>
      <c r="X557" s="1" t="s">
        <v>10680</v>
      </c>
      <c r="Y557" s="1" t="s">
        <v>196</v>
      </c>
      <c r="Z557" s="1" t="s">
        <v>97</v>
      </c>
      <c r="AA557" s="1" t="s">
        <v>10681</v>
      </c>
      <c r="AB557" s="1" t="s">
        <v>410</v>
      </c>
      <c r="AC557" s="1" t="s">
        <v>97</v>
      </c>
      <c r="AD557" s="1">
        <v>7.92</v>
      </c>
      <c r="AE557" s="1" t="s">
        <v>98</v>
      </c>
      <c r="AF557" s="1" t="s">
        <v>10682</v>
      </c>
      <c r="AG557" s="1" t="s">
        <v>10683</v>
      </c>
      <c r="AH557" s="1" t="s">
        <v>1111</v>
      </c>
      <c r="AI557" s="1" t="s">
        <v>200</v>
      </c>
      <c r="AJ557" s="1">
        <v>78.2</v>
      </c>
      <c r="AK557" s="1"/>
      <c r="AL557" s="1" t="s">
        <v>10684</v>
      </c>
      <c r="AM557" s="1" t="s">
        <v>10683</v>
      </c>
      <c r="AN557" s="1"/>
      <c r="AO557" s="1" t="s">
        <v>1477</v>
      </c>
      <c r="AP557" s="1" t="s">
        <v>203</v>
      </c>
      <c r="AQ557" s="1">
        <v>64.62</v>
      </c>
      <c r="AR557" s="1"/>
      <c r="AS557" s="1"/>
      <c r="AT557" s="1"/>
      <c r="AU557" s="1"/>
      <c r="AV557" s="1"/>
      <c r="AW557" s="1"/>
      <c r="AX557" s="1"/>
      <c r="AY557" s="1" t="s">
        <v>10685</v>
      </c>
      <c r="AZ557" s="1" t="s">
        <v>10683</v>
      </c>
      <c r="BA557" s="1"/>
      <c r="BB557" s="1"/>
      <c r="BC557" s="1" t="s">
        <v>206</v>
      </c>
      <c r="BD557" s="1" t="s">
        <v>553</v>
      </c>
      <c r="BE557" s="1">
        <v>57.1</v>
      </c>
      <c r="BF557" s="1">
        <v>6.46</v>
      </c>
      <c r="BG557" s="1"/>
      <c r="BH557" s="1"/>
      <c r="BI557" s="1"/>
      <c r="BJ557" s="1"/>
      <c r="BK557" s="1"/>
      <c r="BL557" s="1"/>
      <c r="BM557" s="1"/>
      <c r="BN557" s="1"/>
      <c r="BO557" s="1" t="s">
        <v>10686</v>
      </c>
      <c r="BP557" s="1"/>
      <c r="BQ557" s="1"/>
      <c r="BR557" s="1" t="s">
        <v>10687</v>
      </c>
      <c r="BS557" s="1">
        <v>42</v>
      </c>
      <c r="BT557" s="1" t="s">
        <v>10688</v>
      </c>
      <c r="BU557" s="1" t="str">
        <f>HYPERLINK("https://nconnect.nicmar.ac.in/storage/profile/ProfilePhoto_P25700558_745321.jpg","Download")</f>
        <v>0</v>
      </c>
      <c r="BV557" s="3"/>
      <c r="BW557" s="3"/>
    </row>
    <row r="558" spans="1:75">
      <c r="A558" s="1" t="s">
        <v>75</v>
      </c>
      <c r="B558" s="1" t="s">
        <v>446</v>
      </c>
      <c r="C558" s="1" t="s">
        <v>10689</v>
      </c>
      <c r="D558" s="1" t="s">
        <v>6862</v>
      </c>
      <c r="E558" s="1"/>
      <c r="F558" s="1" t="s">
        <v>10690</v>
      </c>
      <c r="G558" s="1" t="s">
        <v>10691</v>
      </c>
      <c r="H558" s="1" t="s">
        <v>10692</v>
      </c>
      <c r="I558" s="1" t="s">
        <v>10693</v>
      </c>
      <c r="J558" s="1">
        <v>9538385011</v>
      </c>
      <c r="K558" s="1" t="s">
        <v>84</v>
      </c>
      <c r="L558" s="1" t="s">
        <v>10694</v>
      </c>
      <c r="M558" s="1" t="s">
        <v>86</v>
      </c>
      <c r="N558" s="1" t="s">
        <v>10695</v>
      </c>
      <c r="O558" s="1" t="s">
        <v>10696</v>
      </c>
      <c r="P558" s="1" t="s">
        <v>122</v>
      </c>
      <c r="Q558" s="1" t="s">
        <v>10697</v>
      </c>
      <c r="R558" s="1" t="s">
        <v>10698</v>
      </c>
      <c r="S558" s="1">
        <v>9686204400</v>
      </c>
      <c r="T558" s="1" t="s">
        <v>839</v>
      </c>
      <c r="U558" s="1" t="s">
        <v>10699</v>
      </c>
      <c r="V558" s="1">
        <v>9036661276</v>
      </c>
      <c r="W558" s="1" t="s">
        <v>541</v>
      </c>
      <c r="X558" s="1" t="s">
        <v>10700</v>
      </c>
      <c r="Y558" s="1" t="s">
        <v>3985</v>
      </c>
      <c r="Z558" s="1" t="s">
        <v>1210</v>
      </c>
      <c r="AA558" s="1" t="s">
        <v>10700</v>
      </c>
      <c r="AB558" s="1" t="s">
        <v>3985</v>
      </c>
      <c r="AC558" s="1" t="s">
        <v>1210</v>
      </c>
      <c r="AD558" s="1">
        <v>9.08</v>
      </c>
      <c r="AE558" s="1" t="s">
        <v>98</v>
      </c>
      <c r="AF558" s="1" t="s">
        <v>10701</v>
      </c>
      <c r="AG558" s="1" t="s">
        <v>775</v>
      </c>
      <c r="AH558" s="1" t="s">
        <v>573</v>
      </c>
      <c r="AI558" s="1" t="s">
        <v>171</v>
      </c>
      <c r="AJ558" s="1">
        <v>86.8</v>
      </c>
      <c r="AK558" s="1"/>
      <c r="AL558" s="1" t="s">
        <v>10702</v>
      </c>
      <c r="AM558" s="1" t="s">
        <v>10703</v>
      </c>
      <c r="AN558" s="1" t="s">
        <v>575</v>
      </c>
      <c r="AO558" s="1" t="s">
        <v>106</v>
      </c>
      <c r="AP558" s="1" t="s">
        <v>178</v>
      </c>
      <c r="AQ558" s="1">
        <v>91.66</v>
      </c>
      <c r="AR558" s="1"/>
      <c r="AS558" s="1"/>
      <c r="AT558" s="1"/>
      <c r="AU558" s="1"/>
      <c r="AV558" s="1"/>
      <c r="AW558" s="1"/>
      <c r="AX558" s="1"/>
      <c r="AY558" s="1" t="s">
        <v>4187</v>
      </c>
      <c r="AZ558" s="1" t="s">
        <v>10704</v>
      </c>
      <c r="BA558" s="1" t="s">
        <v>682</v>
      </c>
      <c r="BB558" s="1" t="s">
        <v>1479</v>
      </c>
      <c r="BC558" s="1" t="s">
        <v>233</v>
      </c>
      <c r="BD558" s="1" t="s">
        <v>5340</v>
      </c>
      <c r="BE558" s="1">
        <v>68</v>
      </c>
      <c r="BF558" s="1"/>
      <c r="BG558" s="1"/>
      <c r="BH558" s="1"/>
      <c r="BI558" s="1"/>
      <c r="BJ558" s="1"/>
      <c r="BK558" s="1"/>
      <c r="BL558" s="1"/>
      <c r="BM558" s="1"/>
      <c r="BN558" s="1"/>
      <c r="BO558" s="1" t="s">
        <v>10705</v>
      </c>
      <c r="BP558" s="1"/>
      <c r="BQ558" s="1"/>
      <c r="BR558" s="1" t="s">
        <v>10706</v>
      </c>
      <c r="BS558" s="1">
        <v>33</v>
      </c>
      <c r="BT558" s="1"/>
      <c r="BU558" s="1" t="str">
        <f>HYPERLINK("https://nconnect.nicmar.ac.in/storage/profile/ProfilePhoto_P25700559_513428.jpg","Download")</f>
        <v>0</v>
      </c>
      <c r="BV558" s="3"/>
      <c r="BW558" s="3"/>
    </row>
    <row r="559" spans="1:75">
      <c r="A559" s="1" t="s">
        <v>75</v>
      </c>
      <c r="B559" s="1" t="s">
        <v>446</v>
      </c>
      <c r="C559" s="1" t="s">
        <v>10707</v>
      </c>
      <c r="D559" s="1" t="s">
        <v>1893</v>
      </c>
      <c r="E559" s="1" t="s">
        <v>2098</v>
      </c>
      <c r="F559" s="1" t="s">
        <v>10708</v>
      </c>
      <c r="G559" s="1" t="s">
        <v>10709</v>
      </c>
      <c r="H559" s="1" t="s">
        <v>10710</v>
      </c>
      <c r="I559" s="1" t="s">
        <v>10711</v>
      </c>
      <c r="J559" s="1">
        <v>8625091424</v>
      </c>
      <c r="K559" s="1" t="s">
        <v>84</v>
      </c>
      <c r="L559" s="1" t="s">
        <v>10712</v>
      </c>
      <c r="M559" s="1" t="s">
        <v>86</v>
      </c>
      <c r="N559" s="1" t="s">
        <v>618</v>
      </c>
      <c r="O559" s="1"/>
      <c r="P559" s="1" t="s">
        <v>481</v>
      </c>
      <c r="Q559" s="1" t="s">
        <v>10713</v>
      </c>
      <c r="R559" s="1" t="s">
        <v>2098</v>
      </c>
      <c r="S559" s="1">
        <v>9822671871</v>
      </c>
      <c r="T559" s="1" t="s">
        <v>6971</v>
      </c>
      <c r="U559" s="1" t="s">
        <v>6526</v>
      </c>
      <c r="V559" s="1">
        <v>9822981871</v>
      </c>
      <c r="W559" s="1" t="s">
        <v>161</v>
      </c>
      <c r="X559" s="1" t="s">
        <v>10714</v>
      </c>
      <c r="Y559" s="1" t="s">
        <v>196</v>
      </c>
      <c r="Z559" s="1" t="s">
        <v>97</v>
      </c>
      <c r="AA559" s="1" t="s">
        <v>10714</v>
      </c>
      <c r="AB559" s="1" t="s">
        <v>196</v>
      </c>
      <c r="AC559" s="1" t="s">
        <v>97</v>
      </c>
      <c r="AD559" s="1">
        <v>8.79</v>
      </c>
      <c r="AE559" s="1" t="s">
        <v>98</v>
      </c>
      <c r="AF559" s="1" t="s">
        <v>10715</v>
      </c>
      <c r="AG559" s="1" t="s">
        <v>312</v>
      </c>
      <c r="AH559" s="1" t="s">
        <v>704</v>
      </c>
      <c r="AI559" s="1" t="s">
        <v>171</v>
      </c>
      <c r="AJ559" s="1">
        <v>93</v>
      </c>
      <c r="AK559" s="1">
        <v>0</v>
      </c>
      <c r="AL559" s="1" t="s">
        <v>10716</v>
      </c>
      <c r="AM559" s="1" t="s">
        <v>312</v>
      </c>
      <c r="AN559" s="1" t="s">
        <v>465</v>
      </c>
      <c r="AO559" s="1" t="s">
        <v>547</v>
      </c>
      <c r="AP559" s="1" t="s">
        <v>178</v>
      </c>
      <c r="AQ559" s="1">
        <v>73.8</v>
      </c>
      <c r="AR559" s="1">
        <v>0</v>
      </c>
      <c r="AS559" s="1"/>
      <c r="AT559" s="1"/>
      <c r="AU559" s="1"/>
      <c r="AV559" s="1"/>
      <c r="AW559" s="1"/>
      <c r="AX559" s="1"/>
      <c r="AY559" s="1" t="s">
        <v>366</v>
      </c>
      <c r="AZ559" s="1" t="s">
        <v>10717</v>
      </c>
      <c r="BA559" s="1" t="s">
        <v>466</v>
      </c>
      <c r="BB559" s="1" t="s">
        <v>467</v>
      </c>
      <c r="BC559" s="1" t="s">
        <v>368</v>
      </c>
      <c r="BD559" s="1" t="s">
        <v>418</v>
      </c>
      <c r="BE559" s="1">
        <v>82.75</v>
      </c>
      <c r="BF559" s="1">
        <v>8.71</v>
      </c>
      <c r="BG559" s="1"/>
      <c r="BH559" s="1"/>
      <c r="BI559" s="1"/>
      <c r="BJ559" s="1"/>
      <c r="BK559" s="1"/>
      <c r="BL559" s="1"/>
      <c r="BM559" s="1"/>
      <c r="BN559" s="1"/>
      <c r="BO559" s="1" t="s">
        <v>10718</v>
      </c>
      <c r="BP559" s="1"/>
      <c r="BQ559" s="1"/>
      <c r="BR559" s="1" t="s">
        <v>10719</v>
      </c>
      <c r="BS559" s="1">
        <v>13</v>
      </c>
      <c r="BT559" s="1"/>
      <c r="BU559" s="1" t="str">
        <f>HYPERLINK("https://nconnect.nicmar.ac.in/storage/profile/ProfilePhoto_P25700560_126375.jpg","Download")</f>
        <v>0</v>
      </c>
      <c r="BV559" s="3"/>
      <c r="BW559" s="3"/>
    </row>
    <row r="560" spans="1:75">
      <c r="A560" s="1" t="s">
        <v>75</v>
      </c>
      <c r="B560" s="1" t="s">
        <v>446</v>
      </c>
      <c r="C560" s="1" t="s">
        <v>10720</v>
      </c>
      <c r="D560" s="1" t="s">
        <v>10721</v>
      </c>
      <c r="E560" s="1"/>
      <c r="F560" s="1" t="s">
        <v>10722</v>
      </c>
      <c r="G560" s="1" t="s">
        <v>10723</v>
      </c>
      <c r="H560" s="1" t="s">
        <v>10724</v>
      </c>
      <c r="I560" s="1" t="s">
        <v>10725</v>
      </c>
      <c r="J560" s="1">
        <v>7569798960</v>
      </c>
      <c r="K560" s="1" t="s">
        <v>84</v>
      </c>
      <c r="L560" s="1" t="s">
        <v>10726</v>
      </c>
      <c r="M560" s="1" t="s">
        <v>86</v>
      </c>
      <c r="N560" s="1" t="s">
        <v>10727</v>
      </c>
      <c r="O560" s="1"/>
      <c r="P560" s="1" t="s">
        <v>455</v>
      </c>
      <c r="Q560" s="1" t="s">
        <v>10728</v>
      </c>
      <c r="R560" s="1" t="s">
        <v>10729</v>
      </c>
      <c r="S560" s="1">
        <v>9676103496</v>
      </c>
      <c r="T560" s="1" t="s">
        <v>539</v>
      </c>
      <c r="U560" s="1" t="s">
        <v>10730</v>
      </c>
      <c r="V560" s="1">
        <v>9908511480</v>
      </c>
      <c r="W560" s="1" t="s">
        <v>541</v>
      </c>
      <c r="X560" s="1" t="s">
        <v>10731</v>
      </c>
      <c r="Y560" s="1" t="s">
        <v>3031</v>
      </c>
      <c r="Z560" s="1" t="s">
        <v>461</v>
      </c>
      <c r="AA560" s="1" t="s">
        <v>10731</v>
      </c>
      <c r="AB560" s="1" t="s">
        <v>3031</v>
      </c>
      <c r="AC560" s="1" t="s">
        <v>461</v>
      </c>
      <c r="AD560" s="1">
        <v>8.54</v>
      </c>
      <c r="AE560" s="1" t="s">
        <v>98</v>
      </c>
      <c r="AF560" s="1" t="s">
        <v>2653</v>
      </c>
      <c r="AG560" s="1" t="s">
        <v>10732</v>
      </c>
      <c r="AH560" s="1" t="s">
        <v>167</v>
      </c>
      <c r="AI560" s="1" t="s">
        <v>200</v>
      </c>
      <c r="AJ560" s="1">
        <v>90</v>
      </c>
      <c r="AK560" s="1">
        <v>9</v>
      </c>
      <c r="AL560" s="1" t="s">
        <v>10733</v>
      </c>
      <c r="AM560" s="1" t="s">
        <v>3034</v>
      </c>
      <c r="AN560" s="1" t="s">
        <v>465</v>
      </c>
      <c r="AO560" s="1" t="s">
        <v>170</v>
      </c>
      <c r="AP560" s="1" t="s">
        <v>438</v>
      </c>
      <c r="AQ560" s="1">
        <v>74.7</v>
      </c>
      <c r="AR560" s="1"/>
      <c r="AS560" s="1"/>
      <c r="AT560" s="1"/>
      <c r="AU560" s="1"/>
      <c r="AV560" s="1"/>
      <c r="AW560" s="1"/>
      <c r="AX560" s="1"/>
      <c r="AY560" s="1" t="s">
        <v>10734</v>
      </c>
      <c r="AZ560" s="1" t="s">
        <v>10734</v>
      </c>
      <c r="BA560" s="1" t="s">
        <v>682</v>
      </c>
      <c r="BB560" s="1" t="s">
        <v>683</v>
      </c>
      <c r="BC560" s="1" t="s">
        <v>206</v>
      </c>
      <c r="BD560" s="1" t="s">
        <v>207</v>
      </c>
      <c r="BE560" s="1">
        <v>70.2</v>
      </c>
      <c r="BF560" s="1">
        <v>7.52</v>
      </c>
      <c r="BG560" s="1"/>
      <c r="BH560" s="1"/>
      <c r="BI560" s="1"/>
      <c r="BJ560" s="1"/>
      <c r="BK560" s="1"/>
      <c r="BL560" s="1"/>
      <c r="BM560" s="1"/>
      <c r="BN560" s="1"/>
      <c r="BO560" s="1" t="s">
        <v>10735</v>
      </c>
      <c r="BP560" s="1" t="s">
        <v>10736</v>
      </c>
      <c r="BQ560" s="1" t="s">
        <v>471</v>
      </c>
      <c r="BR560" s="1" t="s">
        <v>10737</v>
      </c>
      <c r="BS560" s="1">
        <v>28</v>
      </c>
      <c r="BT560" s="1" t="s">
        <v>10738</v>
      </c>
      <c r="BU560" s="1" t="str">
        <f>HYPERLINK("https://nconnect.nicmar.ac.in/storage/profile/ProfilePhoto_P25700561_948516.jpg","Download")</f>
        <v>0</v>
      </c>
      <c r="BV560" s="3"/>
      <c r="BW560" s="3"/>
    </row>
    <row r="561" spans="1:75">
      <c r="A561" s="1" t="s">
        <v>75</v>
      </c>
      <c r="B561" s="1" t="s">
        <v>446</v>
      </c>
      <c r="C561" s="1" t="s">
        <v>10739</v>
      </c>
      <c r="D561" s="1" t="s">
        <v>10740</v>
      </c>
      <c r="E561" s="1"/>
      <c r="F561" s="1" t="s">
        <v>10741</v>
      </c>
      <c r="G561" s="1" t="s">
        <v>10742</v>
      </c>
      <c r="H561" s="1" t="s">
        <v>10743</v>
      </c>
      <c r="I561" s="1" t="s">
        <v>10744</v>
      </c>
      <c r="J561" s="1">
        <v>7907237288</v>
      </c>
      <c r="K561" s="1" t="s">
        <v>84</v>
      </c>
      <c r="L561" s="1" t="s">
        <v>402</v>
      </c>
      <c r="M561" s="1" t="s">
        <v>86</v>
      </c>
      <c r="N561" s="1" t="s">
        <v>10745</v>
      </c>
      <c r="O561" s="1" t="s">
        <v>10746</v>
      </c>
      <c r="P561" s="1" t="s">
        <v>219</v>
      </c>
      <c r="Q561" s="1" t="s">
        <v>10747</v>
      </c>
      <c r="R561" s="1" t="s">
        <v>10748</v>
      </c>
      <c r="S561" s="1">
        <v>9447272477</v>
      </c>
      <c r="T561" s="1" t="s">
        <v>10749</v>
      </c>
      <c r="U561" s="1" t="s">
        <v>10750</v>
      </c>
      <c r="V561" s="1">
        <v>9074244457</v>
      </c>
      <c r="W561" s="1" t="s">
        <v>541</v>
      </c>
      <c r="X561" s="1" t="s">
        <v>10751</v>
      </c>
      <c r="Y561" s="1" t="s">
        <v>1283</v>
      </c>
      <c r="Z561" s="1" t="s">
        <v>130</v>
      </c>
      <c r="AA561" s="1" t="s">
        <v>10751</v>
      </c>
      <c r="AB561" s="1" t="s">
        <v>1283</v>
      </c>
      <c r="AC561" s="1" t="s">
        <v>130</v>
      </c>
      <c r="AD561" s="1">
        <v>8.56</v>
      </c>
      <c r="AE561" s="1" t="s">
        <v>98</v>
      </c>
      <c r="AF561" s="1" t="s">
        <v>10752</v>
      </c>
      <c r="AG561" s="1" t="s">
        <v>10753</v>
      </c>
      <c r="AH561" s="1" t="s">
        <v>106</v>
      </c>
      <c r="AI561" s="1" t="s">
        <v>313</v>
      </c>
      <c r="AJ561" s="1">
        <v>85.4</v>
      </c>
      <c r="AK561" s="1">
        <v>0</v>
      </c>
      <c r="AL561" s="1" t="s">
        <v>10754</v>
      </c>
      <c r="AM561" s="1" t="s">
        <v>10755</v>
      </c>
      <c r="AN561" s="1" t="s">
        <v>6380</v>
      </c>
      <c r="AO561" s="1" t="s">
        <v>468</v>
      </c>
      <c r="AP561" s="1" t="s">
        <v>549</v>
      </c>
      <c r="AQ561" s="1">
        <v>90.66</v>
      </c>
      <c r="AR561" s="1">
        <v>0</v>
      </c>
      <c r="AS561" s="1"/>
      <c r="AT561" s="1"/>
      <c r="AU561" s="1"/>
      <c r="AV561" s="1"/>
      <c r="AW561" s="1"/>
      <c r="AX561" s="1"/>
      <c r="AY561" s="1" t="s">
        <v>137</v>
      </c>
      <c r="AZ561" s="1" t="s">
        <v>10756</v>
      </c>
      <c r="BA561" s="1" t="s">
        <v>466</v>
      </c>
      <c r="BB561" s="1" t="s">
        <v>467</v>
      </c>
      <c r="BC561" s="1" t="s">
        <v>140</v>
      </c>
      <c r="BD561" s="1" t="s">
        <v>553</v>
      </c>
      <c r="BE561" s="1">
        <v>67.19</v>
      </c>
      <c r="BF561" s="1">
        <v>6.93</v>
      </c>
      <c r="BG561" s="1"/>
      <c r="BH561" s="1"/>
      <c r="BI561" s="1"/>
      <c r="BJ561" s="1"/>
      <c r="BK561" s="1"/>
      <c r="BL561" s="1"/>
      <c r="BM561" s="1"/>
      <c r="BN561" s="1"/>
      <c r="BO561" s="1" t="s">
        <v>10757</v>
      </c>
      <c r="BP561" s="1"/>
      <c r="BQ561" s="1"/>
      <c r="BR561" s="1" t="s">
        <v>10758</v>
      </c>
      <c r="BS561" s="1">
        <v>10</v>
      </c>
      <c r="BT561" s="1"/>
      <c r="BU561" s="1" t="str">
        <f>HYPERLINK("https://nconnect.nicmar.ac.in/storage/profile/ProfilePhoto_P25700562_857264.jpg","Download")</f>
        <v>0</v>
      </c>
      <c r="BV561" s="3"/>
      <c r="BW561" s="3"/>
    </row>
    <row r="562" spans="1:75">
      <c r="A562" s="1" t="s">
        <v>75</v>
      </c>
      <c r="B562" s="1" t="s">
        <v>446</v>
      </c>
      <c r="C562" s="1" t="s">
        <v>10759</v>
      </c>
      <c r="D562" s="1" t="s">
        <v>10760</v>
      </c>
      <c r="E562" s="1"/>
      <c r="F562" s="1" t="s">
        <v>10761</v>
      </c>
      <c r="G562" s="1" t="s">
        <v>10762</v>
      </c>
      <c r="H562" s="1" t="s">
        <v>10763</v>
      </c>
      <c r="I562" s="1" t="s">
        <v>10764</v>
      </c>
      <c r="J562" s="1">
        <v>9207941390</v>
      </c>
      <c r="K562" s="1" t="s">
        <v>84</v>
      </c>
      <c r="L562" s="1" t="s">
        <v>10765</v>
      </c>
      <c r="M562" s="1" t="s">
        <v>86</v>
      </c>
      <c r="N562" s="1" t="s">
        <v>1639</v>
      </c>
      <c r="O562" s="1" t="s">
        <v>157</v>
      </c>
      <c r="P562" s="1" t="s">
        <v>89</v>
      </c>
      <c r="Q562" s="1" t="s">
        <v>10766</v>
      </c>
      <c r="R562" s="1" t="s">
        <v>10767</v>
      </c>
      <c r="S562" s="1">
        <v>9633556651</v>
      </c>
      <c r="T562" s="1" t="s">
        <v>10768</v>
      </c>
      <c r="U562" s="1" t="s">
        <v>10769</v>
      </c>
      <c r="V562" s="1">
        <v>8113069053</v>
      </c>
      <c r="W562" s="1" t="s">
        <v>161</v>
      </c>
      <c r="X562" s="1" t="s">
        <v>10770</v>
      </c>
      <c r="Y562" s="1" t="s">
        <v>701</v>
      </c>
      <c r="Z562" s="1" t="s">
        <v>130</v>
      </c>
      <c r="AA562" s="1" t="s">
        <v>10770</v>
      </c>
      <c r="AB562" s="1" t="s">
        <v>701</v>
      </c>
      <c r="AC562" s="1" t="s">
        <v>130</v>
      </c>
      <c r="AD562" s="1">
        <v>8.64</v>
      </c>
      <c r="AE562" s="1" t="s">
        <v>98</v>
      </c>
      <c r="AF562" s="1" t="s">
        <v>7206</v>
      </c>
      <c r="AG562" s="1" t="s">
        <v>775</v>
      </c>
      <c r="AH562" s="1" t="s">
        <v>1110</v>
      </c>
      <c r="AI562" s="1" t="s">
        <v>627</v>
      </c>
      <c r="AJ562" s="1">
        <v>91.2</v>
      </c>
      <c r="AK562" s="1">
        <v>9.6</v>
      </c>
      <c r="AL562" s="1" t="s">
        <v>7206</v>
      </c>
      <c r="AM562" s="1" t="s">
        <v>775</v>
      </c>
      <c r="AN562" s="1" t="s">
        <v>465</v>
      </c>
      <c r="AO562" s="1" t="s">
        <v>573</v>
      </c>
      <c r="AP562" s="1" t="s">
        <v>171</v>
      </c>
      <c r="AQ562" s="1">
        <v>86.8</v>
      </c>
      <c r="AR562" s="1"/>
      <c r="AS562" s="1"/>
      <c r="AT562" s="1"/>
      <c r="AU562" s="1"/>
      <c r="AV562" s="1"/>
      <c r="AW562" s="1"/>
      <c r="AX562" s="1"/>
      <c r="AY562" s="1" t="s">
        <v>137</v>
      </c>
      <c r="AZ562" s="1" t="s">
        <v>10771</v>
      </c>
      <c r="BA562" s="1" t="s">
        <v>466</v>
      </c>
      <c r="BB562" s="1" t="s">
        <v>467</v>
      </c>
      <c r="BC562" s="1" t="s">
        <v>174</v>
      </c>
      <c r="BD562" s="1" t="s">
        <v>110</v>
      </c>
      <c r="BE562" s="1">
        <v>70.15</v>
      </c>
      <c r="BF562" s="1">
        <v>7.39</v>
      </c>
      <c r="BG562" s="1"/>
      <c r="BH562" s="1"/>
      <c r="BI562" s="1"/>
      <c r="BJ562" s="1"/>
      <c r="BK562" s="1"/>
      <c r="BL562" s="1"/>
      <c r="BM562" s="1"/>
      <c r="BN562" s="1"/>
      <c r="BO562" s="1" t="s">
        <v>10772</v>
      </c>
      <c r="BP562" s="1" t="s">
        <v>10773</v>
      </c>
      <c r="BQ562" s="1" t="s">
        <v>582</v>
      </c>
      <c r="BR562" s="1" t="s">
        <v>10774</v>
      </c>
      <c r="BS562" s="1">
        <v>8</v>
      </c>
      <c r="BT562" s="1" t="s">
        <v>10775</v>
      </c>
      <c r="BU562" s="1" t="str">
        <f>HYPERLINK("https://nconnect.nicmar.ac.in/storage/profile/ProfilePhoto_P25700563_865279.jpg","Download")</f>
        <v>0</v>
      </c>
      <c r="BV562" s="3"/>
      <c r="BW562" s="4">
        <v>1</v>
      </c>
    </row>
    <row r="563" spans="1:75">
      <c r="A563" s="1" t="s">
        <v>75</v>
      </c>
      <c r="B563" s="1" t="s">
        <v>446</v>
      </c>
      <c r="C563" s="1" t="s">
        <v>10776</v>
      </c>
      <c r="D563" s="1" t="s">
        <v>1612</v>
      </c>
      <c r="E563" s="1" t="s">
        <v>350</v>
      </c>
      <c r="F563" s="1" t="s">
        <v>10777</v>
      </c>
      <c r="G563" s="1" t="s">
        <v>10778</v>
      </c>
      <c r="H563" s="1" t="s">
        <v>10779</v>
      </c>
      <c r="I563" s="1" t="s">
        <v>10780</v>
      </c>
      <c r="J563" s="1">
        <v>9848586176</v>
      </c>
      <c r="K563" s="1" t="s">
        <v>84</v>
      </c>
      <c r="L563" s="1" t="s">
        <v>10781</v>
      </c>
      <c r="M563" s="1" t="s">
        <v>86</v>
      </c>
      <c r="N563" s="1" t="s">
        <v>3026</v>
      </c>
      <c r="O563" s="1"/>
      <c r="P563" s="1" t="s">
        <v>455</v>
      </c>
      <c r="Q563" s="1" t="s">
        <v>10782</v>
      </c>
      <c r="R563" s="1" t="s">
        <v>10783</v>
      </c>
      <c r="S563" s="1">
        <v>9492052475</v>
      </c>
      <c r="T563" s="1" t="s">
        <v>839</v>
      </c>
      <c r="U563" s="1" t="s">
        <v>10784</v>
      </c>
      <c r="V563" s="1">
        <v>6302610848</v>
      </c>
      <c r="W563" s="1" t="s">
        <v>161</v>
      </c>
      <c r="X563" s="1" t="s">
        <v>10785</v>
      </c>
      <c r="Y563" s="1" t="s">
        <v>10786</v>
      </c>
      <c r="Z563" s="1" t="s">
        <v>461</v>
      </c>
      <c r="AA563" s="1" t="s">
        <v>10785</v>
      </c>
      <c r="AB563" s="1" t="s">
        <v>10786</v>
      </c>
      <c r="AC563" s="1" t="s">
        <v>461</v>
      </c>
      <c r="AD563" s="1">
        <v>8.85</v>
      </c>
      <c r="AE563" s="1" t="s">
        <v>98</v>
      </c>
      <c r="AF563" s="1" t="s">
        <v>10787</v>
      </c>
      <c r="AG563" s="1" t="s">
        <v>463</v>
      </c>
      <c r="AH563" s="1" t="s">
        <v>170</v>
      </c>
      <c r="AI563" s="1" t="s">
        <v>286</v>
      </c>
      <c r="AJ563" s="1">
        <v>92.15</v>
      </c>
      <c r="AK563" s="1">
        <v>9.7</v>
      </c>
      <c r="AL563" s="1"/>
      <c r="AM563" s="1"/>
      <c r="AN563" s="1" t="s">
        <v>2635</v>
      </c>
      <c r="AO563" s="1"/>
      <c r="AP563" s="1"/>
      <c r="AQ563" s="1"/>
      <c r="AR563" s="1"/>
      <c r="AS563" s="1" t="s">
        <v>103</v>
      </c>
      <c r="AT563" s="1" t="s">
        <v>10788</v>
      </c>
      <c r="AU563" s="1" t="s">
        <v>106</v>
      </c>
      <c r="AV563" s="1" t="s">
        <v>1192</v>
      </c>
      <c r="AW563" s="1">
        <v>90.2</v>
      </c>
      <c r="AX563" s="1">
        <v>9.52</v>
      </c>
      <c r="AY563" s="1" t="s">
        <v>1823</v>
      </c>
      <c r="AZ563" s="1" t="s">
        <v>10789</v>
      </c>
      <c r="BA563" s="1" t="s">
        <v>466</v>
      </c>
      <c r="BB563" s="1" t="s">
        <v>467</v>
      </c>
      <c r="BC563" s="1" t="s">
        <v>606</v>
      </c>
      <c r="BD563" s="1" t="s">
        <v>1242</v>
      </c>
      <c r="BE563" s="1">
        <v>81.2</v>
      </c>
      <c r="BF563" s="1">
        <v>8.62</v>
      </c>
      <c r="BG563" s="1"/>
      <c r="BH563" s="1"/>
      <c r="BI563" s="1"/>
      <c r="BJ563" s="1"/>
      <c r="BK563" s="1"/>
      <c r="BL563" s="1"/>
      <c r="BM563" s="1"/>
      <c r="BN563" s="1"/>
      <c r="BO563" s="1" t="s">
        <v>10790</v>
      </c>
      <c r="BP563" s="1"/>
      <c r="BQ563" s="1"/>
      <c r="BR563" s="1" t="s">
        <v>10791</v>
      </c>
      <c r="BS563" s="1">
        <v>41</v>
      </c>
      <c r="BT563" s="1" t="s">
        <v>10792</v>
      </c>
      <c r="BU563" s="1" t="str">
        <f>HYPERLINK("https://nconnect.nicmar.ac.in/storage/profile/ProfilePhoto_P25700564_238796.jpg","Download")</f>
        <v>0</v>
      </c>
      <c r="BV563" s="3"/>
      <c r="BW563" s="4">
        <v>1</v>
      </c>
    </row>
    <row r="564" spans="1:75">
      <c r="A564" s="1" t="s">
        <v>75</v>
      </c>
      <c r="B564" s="1" t="s">
        <v>446</v>
      </c>
      <c r="C564" s="1" t="s">
        <v>10793</v>
      </c>
      <c r="D564" s="1" t="s">
        <v>10794</v>
      </c>
      <c r="E564" s="1" t="s">
        <v>10795</v>
      </c>
      <c r="F564" s="1" t="s">
        <v>10796</v>
      </c>
      <c r="G564" s="1" t="s">
        <v>10797</v>
      </c>
      <c r="H564" s="1" t="s">
        <v>10798</v>
      </c>
      <c r="I564" s="1" t="s">
        <v>10799</v>
      </c>
      <c r="J564" s="1">
        <v>8390693396</v>
      </c>
      <c r="K564" s="1" t="s">
        <v>84</v>
      </c>
      <c r="L564" s="1" t="s">
        <v>10800</v>
      </c>
      <c r="M564" s="1" t="s">
        <v>86</v>
      </c>
      <c r="N564" s="1" t="s">
        <v>618</v>
      </c>
      <c r="O564" s="1" t="s">
        <v>10801</v>
      </c>
      <c r="P564" s="1" t="s">
        <v>89</v>
      </c>
      <c r="Q564" s="1" t="s">
        <v>10802</v>
      </c>
      <c r="R564" s="1" t="s">
        <v>762</v>
      </c>
      <c r="S564" s="1">
        <v>9637978741</v>
      </c>
      <c r="T564" s="1" t="s">
        <v>159</v>
      </c>
      <c r="U564" s="1" t="s">
        <v>2666</v>
      </c>
      <c r="V564" s="1">
        <v>9404051759</v>
      </c>
      <c r="W564" s="1" t="s">
        <v>1678</v>
      </c>
      <c r="X564" s="1" t="s">
        <v>10803</v>
      </c>
      <c r="Y564" s="1" t="s">
        <v>384</v>
      </c>
      <c r="Z564" s="1" t="s">
        <v>97</v>
      </c>
      <c r="AA564" s="1" t="s">
        <v>10803</v>
      </c>
      <c r="AB564" s="1" t="s">
        <v>384</v>
      </c>
      <c r="AC564" s="1" t="s">
        <v>97</v>
      </c>
      <c r="AD564" s="1">
        <v>7.54</v>
      </c>
      <c r="AE564" s="1" t="s">
        <v>98</v>
      </c>
      <c r="AF564" s="1" t="s">
        <v>10804</v>
      </c>
      <c r="AG564" s="1" t="s">
        <v>10805</v>
      </c>
      <c r="AH564" s="1" t="s">
        <v>106</v>
      </c>
      <c r="AI564" s="1" t="s">
        <v>414</v>
      </c>
      <c r="AJ564" s="1">
        <v>80.6</v>
      </c>
      <c r="AK564" s="1"/>
      <c r="AL564" s="1"/>
      <c r="AM564" s="1"/>
      <c r="AN564" s="1" t="s">
        <v>1062</v>
      </c>
      <c r="AO564" s="1"/>
      <c r="AP564" s="1"/>
      <c r="AQ564" s="1"/>
      <c r="AR564" s="1"/>
      <c r="AS564" s="1" t="s">
        <v>7504</v>
      </c>
      <c r="AT564" s="1" t="s">
        <v>10806</v>
      </c>
      <c r="AU564" s="1" t="s">
        <v>315</v>
      </c>
      <c r="AV564" s="1" t="s">
        <v>110</v>
      </c>
      <c r="AW564" s="1">
        <v>77.16</v>
      </c>
      <c r="AX564" s="1"/>
      <c r="AY564" s="1" t="s">
        <v>4780</v>
      </c>
      <c r="AZ564" s="1" t="s">
        <v>10807</v>
      </c>
      <c r="BA564" s="1" t="s">
        <v>466</v>
      </c>
      <c r="BB564" s="1" t="s">
        <v>467</v>
      </c>
      <c r="BC564" s="1" t="s">
        <v>1889</v>
      </c>
      <c r="BD564" s="1" t="s">
        <v>848</v>
      </c>
      <c r="BE564" s="1">
        <v>66</v>
      </c>
      <c r="BF564" s="1">
        <v>7.35</v>
      </c>
      <c r="BG564" s="1"/>
      <c r="BH564" s="1"/>
      <c r="BI564" s="1"/>
      <c r="BJ564" s="1"/>
      <c r="BK564" s="1"/>
      <c r="BL564" s="1"/>
      <c r="BM564" s="1"/>
      <c r="BN564" s="1"/>
      <c r="BO564" s="1" t="s">
        <v>10808</v>
      </c>
      <c r="BP564" s="1"/>
      <c r="BQ564" s="1"/>
      <c r="BR564" s="1" t="s">
        <v>10809</v>
      </c>
      <c r="BS564" s="1">
        <v>28</v>
      </c>
      <c r="BT564" s="1"/>
      <c r="BU564" s="1" t="str">
        <f>HYPERLINK("https://nconnect.nicmar.ac.in/storage/profile/ProfilePhoto_P25700565_458762.jpg","Download")</f>
        <v>0</v>
      </c>
      <c r="BV564" s="3"/>
      <c r="BW564" s="3"/>
    </row>
    <row r="565" spans="1:75">
      <c r="A565" s="1" t="s">
        <v>75</v>
      </c>
      <c r="B565" s="1" t="s">
        <v>446</v>
      </c>
      <c r="C565" s="1" t="s">
        <v>10810</v>
      </c>
      <c r="D565" s="1" t="s">
        <v>448</v>
      </c>
      <c r="E565" s="1"/>
      <c r="F565" s="1" t="s">
        <v>1361</v>
      </c>
      <c r="G565" s="1" t="s">
        <v>10811</v>
      </c>
      <c r="H565" s="1" t="s">
        <v>10812</v>
      </c>
      <c r="I565" s="1" t="s">
        <v>10813</v>
      </c>
      <c r="J565" s="1">
        <v>9495192895</v>
      </c>
      <c r="K565" s="1" t="s">
        <v>84</v>
      </c>
      <c r="L565" s="1" t="s">
        <v>10814</v>
      </c>
      <c r="M565" s="1" t="s">
        <v>86</v>
      </c>
      <c r="N565" s="1" t="s">
        <v>10815</v>
      </c>
      <c r="O565" s="1"/>
      <c r="P565" s="1" t="s">
        <v>481</v>
      </c>
      <c r="Q565" s="1" t="s">
        <v>10816</v>
      </c>
      <c r="R565" s="1" t="s">
        <v>10817</v>
      </c>
      <c r="S565" s="1">
        <v>9745444533</v>
      </c>
      <c r="T565" s="1" t="s">
        <v>10818</v>
      </c>
      <c r="U565" s="1" t="s">
        <v>10819</v>
      </c>
      <c r="V565" s="1">
        <v>9400490160</v>
      </c>
      <c r="W565" s="1" t="s">
        <v>127</v>
      </c>
      <c r="X565" s="1" t="s">
        <v>10820</v>
      </c>
      <c r="Y565" s="1" t="s">
        <v>3190</v>
      </c>
      <c r="Z565" s="1" t="s">
        <v>130</v>
      </c>
      <c r="AA565" s="1" t="s">
        <v>10820</v>
      </c>
      <c r="AB565" s="1" t="s">
        <v>3190</v>
      </c>
      <c r="AC565" s="1" t="s">
        <v>130</v>
      </c>
      <c r="AD565" s="1">
        <v>9.21</v>
      </c>
      <c r="AE565" s="1" t="s">
        <v>98</v>
      </c>
      <c r="AF565" s="1" t="s">
        <v>10821</v>
      </c>
      <c r="AG565" s="1" t="s">
        <v>10822</v>
      </c>
      <c r="AH565" s="1" t="s">
        <v>1262</v>
      </c>
      <c r="AI565" s="1" t="s">
        <v>136</v>
      </c>
      <c r="AJ565" s="1">
        <v>95</v>
      </c>
      <c r="AK565" s="1">
        <v>10</v>
      </c>
      <c r="AL565" s="1" t="s">
        <v>10821</v>
      </c>
      <c r="AM565" s="1" t="s">
        <v>10822</v>
      </c>
      <c r="AN565" s="1" t="s">
        <v>575</v>
      </c>
      <c r="AO565" s="1" t="s">
        <v>136</v>
      </c>
      <c r="AP565" s="1" t="s">
        <v>573</v>
      </c>
      <c r="AQ565" s="1">
        <v>86.4</v>
      </c>
      <c r="AR565" s="1"/>
      <c r="AS565" s="1"/>
      <c r="AT565" s="1"/>
      <c r="AU565" s="1"/>
      <c r="AV565" s="1"/>
      <c r="AW565" s="1"/>
      <c r="AX565" s="1"/>
      <c r="AY565" s="1" t="s">
        <v>10823</v>
      </c>
      <c r="AZ565" s="1" t="s">
        <v>10824</v>
      </c>
      <c r="BA565" s="1" t="s">
        <v>466</v>
      </c>
      <c r="BB565" s="1" t="s">
        <v>467</v>
      </c>
      <c r="BC565" s="1" t="s">
        <v>230</v>
      </c>
      <c r="BD565" s="1" t="s">
        <v>552</v>
      </c>
      <c r="BE565" s="1">
        <v>80.55</v>
      </c>
      <c r="BF565" s="1">
        <v>8.43</v>
      </c>
      <c r="BG565" s="1"/>
      <c r="BH565" s="1"/>
      <c r="BI565" s="1"/>
      <c r="BJ565" s="1"/>
      <c r="BK565" s="1"/>
      <c r="BL565" s="1"/>
      <c r="BM565" s="1"/>
      <c r="BN565" s="1"/>
      <c r="BO565" s="1" t="s">
        <v>805</v>
      </c>
      <c r="BP565" s="1" t="s">
        <v>10825</v>
      </c>
      <c r="BQ565" s="1" t="s">
        <v>4149</v>
      </c>
      <c r="BR565" s="1" t="s">
        <v>10826</v>
      </c>
      <c r="BS565" s="1">
        <v>10</v>
      </c>
      <c r="BT565" s="1" t="s">
        <v>10827</v>
      </c>
      <c r="BU565" s="1" t="str">
        <f>HYPERLINK("https://nconnect.nicmar.ac.in/storage/profile/ProfilePhoto_P25700566_326841.jpg","Download")</f>
        <v>0</v>
      </c>
      <c r="BV565" s="3"/>
      <c r="BW565" s="4">
        <v>1</v>
      </c>
    </row>
    <row r="566" spans="1:75">
      <c r="A566" s="1" t="s">
        <v>75</v>
      </c>
      <c r="B566" s="1" t="s">
        <v>446</v>
      </c>
      <c r="C566" s="1" t="s">
        <v>10828</v>
      </c>
      <c r="D566" s="1" t="s">
        <v>10829</v>
      </c>
      <c r="E566" s="1" t="s">
        <v>2273</v>
      </c>
      <c r="F566" s="1" t="s">
        <v>1179</v>
      </c>
      <c r="G566" s="1" t="s">
        <v>10830</v>
      </c>
      <c r="H566" s="1" t="s">
        <v>10831</v>
      </c>
      <c r="I566" s="1" t="s">
        <v>10832</v>
      </c>
      <c r="J566" s="1">
        <v>8879859575</v>
      </c>
      <c r="K566" s="1" t="s">
        <v>84</v>
      </c>
      <c r="L566" s="1" t="s">
        <v>10833</v>
      </c>
      <c r="M566" s="1" t="s">
        <v>86</v>
      </c>
      <c r="N566" s="1" t="s">
        <v>1163</v>
      </c>
      <c r="O566" s="1"/>
      <c r="P566" s="1" t="s">
        <v>481</v>
      </c>
      <c r="Q566" s="1" t="s">
        <v>10834</v>
      </c>
      <c r="R566" s="1" t="s">
        <v>10835</v>
      </c>
      <c r="S566" s="1">
        <v>9930919401</v>
      </c>
      <c r="T566" s="1" t="s">
        <v>10836</v>
      </c>
      <c r="U566" s="1" t="s">
        <v>10837</v>
      </c>
      <c r="V566" s="1">
        <v>9930919401</v>
      </c>
      <c r="W566" s="1" t="s">
        <v>161</v>
      </c>
      <c r="X566" s="1" t="s">
        <v>10838</v>
      </c>
      <c r="Y566" s="1" t="s">
        <v>1882</v>
      </c>
      <c r="Z566" s="1" t="s">
        <v>97</v>
      </c>
      <c r="AA566" s="1" t="s">
        <v>10838</v>
      </c>
      <c r="AB566" s="1" t="s">
        <v>1882</v>
      </c>
      <c r="AC566" s="1" t="s">
        <v>97</v>
      </c>
      <c r="AD566" s="1">
        <v>8.72</v>
      </c>
      <c r="AE566" s="1" t="s">
        <v>98</v>
      </c>
      <c r="AF566" s="1" t="s">
        <v>10839</v>
      </c>
      <c r="AG566" s="1" t="s">
        <v>10840</v>
      </c>
      <c r="AH566" s="1" t="s">
        <v>284</v>
      </c>
      <c r="AI566" s="1" t="s">
        <v>170</v>
      </c>
      <c r="AJ566" s="1">
        <v>70.3</v>
      </c>
      <c r="AK566" s="1">
        <v>7.4</v>
      </c>
      <c r="AL566" s="1"/>
      <c r="AM566" s="1"/>
      <c r="AN566" s="1"/>
      <c r="AO566" s="1"/>
      <c r="AP566" s="1"/>
      <c r="AQ566" s="1"/>
      <c r="AR566" s="1"/>
      <c r="AS566" s="1" t="s">
        <v>10841</v>
      </c>
      <c r="AT566" s="1" t="s">
        <v>10842</v>
      </c>
      <c r="AU566" s="1" t="s">
        <v>230</v>
      </c>
      <c r="AV566" s="1" t="s">
        <v>175</v>
      </c>
      <c r="AW566" s="1">
        <v>77.53</v>
      </c>
      <c r="AX566" s="1">
        <v>0</v>
      </c>
      <c r="AY566" s="1" t="s">
        <v>680</v>
      </c>
      <c r="AZ566" s="1" t="s">
        <v>10843</v>
      </c>
      <c r="BA566" s="1" t="s">
        <v>578</v>
      </c>
      <c r="BB566" s="1" t="s">
        <v>467</v>
      </c>
      <c r="BC566" s="1" t="s">
        <v>1171</v>
      </c>
      <c r="BD566" s="1" t="s">
        <v>234</v>
      </c>
      <c r="BE566" s="1">
        <v>69.99</v>
      </c>
      <c r="BF566" s="1">
        <v>7.73</v>
      </c>
      <c r="BG566" s="1"/>
      <c r="BH566" s="1"/>
      <c r="BI566" s="1"/>
      <c r="BJ566" s="1"/>
      <c r="BK566" s="1"/>
      <c r="BL566" s="1"/>
      <c r="BM566" s="1"/>
      <c r="BN566" s="1"/>
      <c r="BO566" s="1" t="s">
        <v>369</v>
      </c>
      <c r="BP566" s="1" t="s">
        <v>10844</v>
      </c>
      <c r="BQ566" s="1" t="s">
        <v>2213</v>
      </c>
      <c r="BR566" s="1" t="s">
        <v>10845</v>
      </c>
      <c r="BS566" s="1">
        <v>14</v>
      </c>
      <c r="BT566" s="1"/>
      <c r="BU566" s="1" t="str">
        <f>HYPERLINK("https://nconnect.nicmar.ac.in/storage/profile/ProfilePhoto_P25700567_194573.jpg","Download")</f>
        <v>0</v>
      </c>
      <c r="BV566" s="3"/>
      <c r="BW566" s="3"/>
    </row>
    <row r="567" spans="1:75">
      <c r="A567" s="1" t="s">
        <v>75</v>
      </c>
      <c r="B567" s="1" t="s">
        <v>446</v>
      </c>
      <c r="C567" s="1" t="s">
        <v>10846</v>
      </c>
      <c r="D567" s="1" t="s">
        <v>3041</v>
      </c>
      <c r="E567" s="1" t="s">
        <v>349</v>
      </c>
      <c r="F567" s="1" t="s">
        <v>10847</v>
      </c>
      <c r="G567" s="1" t="s">
        <v>10848</v>
      </c>
      <c r="H567" s="1" t="s">
        <v>10849</v>
      </c>
      <c r="I567" s="1" t="s">
        <v>10850</v>
      </c>
      <c r="J567" s="1">
        <v>9146582585</v>
      </c>
      <c r="K567" s="1" t="s">
        <v>153</v>
      </c>
      <c r="L567" s="1" t="s">
        <v>10851</v>
      </c>
      <c r="M567" s="1" t="s">
        <v>86</v>
      </c>
      <c r="N567" s="1" t="s">
        <v>5472</v>
      </c>
      <c r="O567" s="1"/>
      <c r="P567" s="1" t="s">
        <v>481</v>
      </c>
      <c r="Q567" s="1" t="s">
        <v>10852</v>
      </c>
      <c r="R567" s="1" t="s">
        <v>10853</v>
      </c>
      <c r="S567" s="1">
        <v>9823540890</v>
      </c>
      <c r="T567" s="1" t="s">
        <v>127</v>
      </c>
      <c r="U567" s="1" t="s">
        <v>10854</v>
      </c>
      <c r="V567" s="1">
        <v>8275006396</v>
      </c>
      <c r="W567" s="1" t="s">
        <v>161</v>
      </c>
      <c r="X567" s="1" t="s">
        <v>10855</v>
      </c>
      <c r="Y567" s="1" t="s">
        <v>1145</v>
      </c>
      <c r="Z567" s="1" t="s">
        <v>97</v>
      </c>
      <c r="AA567" s="1" t="s">
        <v>10855</v>
      </c>
      <c r="AB567" s="1" t="s">
        <v>1145</v>
      </c>
      <c r="AC567" s="1" t="s">
        <v>97</v>
      </c>
      <c r="AD567" s="1">
        <v>7.03</v>
      </c>
      <c r="AE567" s="1" t="s">
        <v>98</v>
      </c>
      <c r="AF567" s="1" t="s">
        <v>10856</v>
      </c>
      <c r="AG567" s="1" t="s">
        <v>165</v>
      </c>
      <c r="AH567" s="1" t="s">
        <v>4593</v>
      </c>
      <c r="AI567" s="1" t="s">
        <v>1111</v>
      </c>
      <c r="AJ567" s="1">
        <v>92.2</v>
      </c>
      <c r="AK567" s="1"/>
      <c r="AL567" s="1" t="s">
        <v>1148</v>
      </c>
      <c r="AM567" s="1" t="s">
        <v>165</v>
      </c>
      <c r="AN567" s="1"/>
      <c r="AO567" s="1" t="s">
        <v>167</v>
      </c>
      <c r="AP567" s="1" t="s">
        <v>1477</v>
      </c>
      <c r="AQ567" s="1">
        <v>63.38</v>
      </c>
      <c r="AR567" s="1"/>
      <c r="AS567" s="1"/>
      <c r="AT567" s="1"/>
      <c r="AU567" s="1"/>
      <c r="AV567" s="1"/>
      <c r="AW567" s="1"/>
      <c r="AX567" s="1"/>
      <c r="AY567" s="1" t="s">
        <v>10857</v>
      </c>
      <c r="AZ567" s="1" t="s">
        <v>10858</v>
      </c>
      <c r="BA567" s="1"/>
      <c r="BB567" s="1"/>
      <c r="BC567" s="1" t="s">
        <v>1065</v>
      </c>
      <c r="BD567" s="1" t="s">
        <v>179</v>
      </c>
      <c r="BE567" s="1">
        <v>62.5</v>
      </c>
      <c r="BF567" s="1">
        <v>7</v>
      </c>
      <c r="BG567" s="1"/>
      <c r="BH567" s="1"/>
      <c r="BI567" s="1"/>
      <c r="BJ567" s="1"/>
      <c r="BK567" s="1"/>
      <c r="BL567" s="1"/>
      <c r="BM567" s="1"/>
      <c r="BN567" s="1"/>
      <c r="BO567" s="1" t="s">
        <v>10859</v>
      </c>
      <c r="BP567" s="1" t="s">
        <v>10860</v>
      </c>
      <c r="BQ567" s="1" t="s">
        <v>1070</v>
      </c>
      <c r="BR567" s="1" t="s">
        <v>10861</v>
      </c>
      <c r="BS567" s="1">
        <v>8</v>
      </c>
      <c r="BT567" s="1" t="s">
        <v>10862</v>
      </c>
      <c r="BU567" s="1" t="str">
        <f>HYPERLINK("https://nconnect.nicmar.ac.in/storage/profile/ProfilePhoto_P25700568_126738.jpg","Download")</f>
        <v>0</v>
      </c>
      <c r="BV567" s="3"/>
      <c r="BW567" s="3"/>
    </row>
    <row r="568" spans="1:75">
      <c r="A568" s="1" t="s">
        <v>75</v>
      </c>
      <c r="B568" s="1" t="s">
        <v>446</v>
      </c>
      <c r="C568" s="1" t="s">
        <v>10863</v>
      </c>
      <c r="D568" s="1" t="s">
        <v>10864</v>
      </c>
      <c r="E568" s="1"/>
      <c r="F568" s="1" t="s">
        <v>530</v>
      </c>
      <c r="G568" s="1" t="s">
        <v>10865</v>
      </c>
      <c r="H568" s="1" t="s">
        <v>10866</v>
      </c>
      <c r="I568" s="1" t="s">
        <v>10867</v>
      </c>
      <c r="J568" s="1">
        <v>7003225673</v>
      </c>
      <c r="K568" s="1" t="s">
        <v>84</v>
      </c>
      <c r="L568" s="1" t="s">
        <v>10868</v>
      </c>
      <c r="M568" s="1" t="s">
        <v>86</v>
      </c>
      <c r="N568" s="1" t="s">
        <v>10869</v>
      </c>
      <c r="O568" s="1"/>
      <c r="P568" s="1" t="s">
        <v>507</v>
      </c>
      <c r="Q568" s="1" t="s">
        <v>10870</v>
      </c>
      <c r="R568" s="1" t="s">
        <v>10871</v>
      </c>
      <c r="S568" s="1">
        <v>9088855877</v>
      </c>
      <c r="T568" s="1" t="s">
        <v>221</v>
      </c>
      <c r="U568" s="1" t="s">
        <v>10872</v>
      </c>
      <c r="V568" s="1">
        <v>9088855877</v>
      </c>
      <c r="W568" s="1" t="s">
        <v>6569</v>
      </c>
      <c r="X568" s="1" t="s">
        <v>10873</v>
      </c>
      <c r="Y568" s="1" t="s">
        <v>10874</v>
      </c>
      <c r="Z568" s="1" t="s">
        <v>1234</v>
      </c>
      <c r="AA568" s="1" t="s">
        <v>10873</v>
      </c>
      <c r="AB568" s="1" t="s">
        <v>10874</v>
      </c>
      <c r="AC568" s="1" t="s">
        <v>1234</v>
      </c>
      <c r="AD568" s="1">
        <v>9.33</v>
      </c>
      <c r="AE568" s="1" t="s">
        <v>98</v>
      </c>
      <c r="AF568" s="1" t="s">
        <v>10875</v>
      </c>
      <c r="AG568" s="1" t="s">
        <v>10876</v>
      </c>
      <c r="AH568" s="1" t="s">
        <v>1214</v>
      </c>
      <c r="AI568" s="1" t="s">
        <v>136</v>
      </c>
      <c r="AJ568" s="1">
        <v>93.83</v>
      </c>
      <c r="AK568" s="1"/>
      <c r="AL568" s="1" t="s">
        <v>10875</v>
      </c>
      <c r="AM568" s="1" t="s">
        <v>10876</v>
      </c>
      <c r="AN568" s="1" t="s">
        <v>465</v>
      </c>
      <c r="AO568" s="1" t="s">
        <v>284</v>
      </c>
      <c r="AP568" s="1" t="s">
        <v>573</v>
      </c>
      <c r="AQ568" s="1">
        <v>88.33</v>
      </c>
      <c r="AR568" s="1"/>
      <c r="AS568" s="1"/>
      <c r="AT568" s="1"/>
      <c r="AU568" s="1"/>
      <c r="AV568" s="1"/>
      <c r="AW568" s="1"/>
      <c r="AX568" s="1"/>
      <c r="AY568" s="1" t="s">
        <v>1217</v>
      </c>
      <c r="AZ568" s="1" t="s">
        <v>10877</v>
      </c>
      <c r="BA568" s="1" t="s">
        <v>578</v>
      </c>
      <c r="BB568" s="1" t="s">
        <v>467</v>
      </c>
      <c r="BC568" s="1" t="s">
        <v>1065</v>
      </c>
      <c r="BD568" s="1" t="s">
        <v>110</v>
      </c>
      <c r="BE568" s="1">
        <v>73.6</v>
      </c>
      <c r="BF568" s="1">
        <v>8.11</v>
      </c>
      <c r="BG568" s="1"/>
      <c r="BH568" s="1"/>
      <c r="BI568" s="1"/>
      <c r="BJ568" s="1"/>
      <c r="BK568" s="1"/>
      <c r="BL568" s="1"/>
      <c r="BM568" s="1"/>
      <c r="BN568" s="1"/>
      <c r="BO568" s="1" t="s">
        <v>369</v>
      </c>
      <c r="BP568" s="1" t="s">
        <v>10878</v>
      </c>
      <c r="BQ568" s="1" t="s">
        <v>1043</v>
      </c>
      <c r="BR568" s="1" t="s">
        <v>10879</v>
      </c>
      <c r="BS568" s="1">
        <v>8</v>
      </c>
      <c r="BT568" s="1"/>
      <c r="BU568" s="1" t="str">
        <f>HYPERLINK("https://nconnect.nicmar.ac.in/storage/profile/ProfilePhoto_P25700569_579436.jpg","Download")</f>
        <v>0</v>
      </c>
      <c r="BV568" s="3"/>
      <c r="BW568" s="4">
        <v>1</v>
      </c>
    </row>
    <row r="569" spans="1:75">
      <c r="A569" s="1" t="s">
        <v>75</v>
      </c>
      <c r="B569" s="1" t="s">
        <v>446</v>
      </c>
      <c r="C569" s="1" t="s">
        <v>10880</v>
      </c>
      <c r="D569" s="1" t="s">
        <v>1179</v>
      </c>
      <c r="E569" s="1" t="s">
        <v>9889</v>
      </c>
      <c r="F569" s="1" t="s">
        <v>4646</v>
      </c>
      <c r="G569" s="1" t="s">
        <v>10881</v>
      </c>
      <c r="H569" s="1" t="s">
        <v>10882</v>
      </c>
      <c r="I569" s="1" t="s">
        <v>10883</v>
      </c>
      <c r="J569" s="1">
        <v>7887430542</v>
      </c>
      <c r="K569" s="1" t="s">
        <v>84</v>
      </c>
      <c r="L569" s="1" t="s">
        <v>10884</v>
      </c>
      <c r="M569" s="1" t="s">
        <v>86</v>
      </c>
      <c r="N569" s="1" t="s">
        <v>618</v>
      </c>
      <c r="O569" s="1"/>
      <c r="P569" s="1"/>
      <c r="Q569" s="1" t="s">
        <v>10885</v>
      </c>
      <c r="R569" s="1" t="s">
        <v>10886</v>
      </c>
      <c r="S569" s="1">
        <v>9325066663</v>
      </c>
      <c r="T569" s="1" t="s">
        <v>7713</v>
      </c>
      <c r="U569" s="1" t="s">
        <v>10887</v>
      </c>
      <c r="V569" s="1">
        <v>9168899240</v>
      </c>
      <c r="W569" s="1" t="s">
        <v>161</v>
      </c>
      <c r="X569" s="1" t="s">
        <v>10888</v>
      </c>
      <c r="Y569" s="1" t="s">
        <v>7911</v>
      </c>
      <c r="Z569" s="1" t="s">
        <v>97</v>
      </c>
      <c r="AA569" s="1" t="s">
        <v>10888</v>
      </c>
      <c r="AB569" s="1" t="s">
        <v>7911</v>
      </c>
      <c r="AC569" s="1" t="s">
        <v>97</v>
      </c>
      <c r="AD569" s="1">
        <v>6.67</v>
      </c>
      <c r="AE569" s="1" t="s">
        <v>98</v>
      </c>
      <c r="AF569" s="1" t="s">
        <v>10889</v>
      </c>
      <c r="AG569" s="1" t="s">
        <v>3658</v>
      </c>
      <c r="AH569" s="1" t="s">
        <v>166</v>
      </c>
      <c r="AI569" s="1" t="s">
        <v>167</v>
      </c>
      <c r="AJ569" s="1">
        <v>77.6</v>
      </c>
      <c r="AK569" s="1"/>
      <c r="AL569" s="1" t="s">
        <v>10890</v>
      </c>
      <c r="AM569" s="1" t="s">
        <v>165</v>
      </c>
      <c r="AN569" s="1" t="s">
        <v>575</v>
      </c>
      <c r="AO569" s="1" t="s">
        <v>518</v>
      </c>
      <c r="AP569" s="1" t="s">
        <v>1477</v>
      </c>
      <c r="AQ569" s="1">
        <v>62.62</v>
      </c>
      <c r="AR569" s="1"/>
      <c r="AS569" s="1" t="s">
        <v>103</v>
      </c>
      <c r="AT569" s="1" t="s">
        <v>10891</v>
      </c>
      <c r="AU569" s="1" t="s">
        <v>438</v>
      </c>
      <c r="AV569" s="1" t="s">
        <v>441</v>
      </c>
      <c r="AW569" s="1">
        <v>77.37</v>
      </c>
      <c r="AX569" s="1"/>
      <c r="AY569" s="1" t="s">
        <v>10892</v>
      </c>
      <c r="AZ569" s="1" t="s">
        <v>10893</v>
      </c>
      <c r="BA569" s="1" t="s">
        <v>578</v>
      </c>
      <c r="BB569" s="1" t="s">
        <v>467</v>
      </c>
      <c r="BC569" s="1" t="s">
        <v>847</v>
      </c>
      <c r="BD569" s="1" t="s">
        <v>1089</v>
      </c>
      <c r="BE569" s="1">
        <v>68.77</v>
      </c>
      <c r="BF569" s="1">
        <v>7.47</v>
      </c>
      <c r="BG569" s="1"/>
      <c r="BH569" s="1"/>
      <c r="BI569" s="1"/>
      <c r="BJ569" s="1"/>
      <c r="BK569" s="1"/>
      <c r="BL569" s="1"/>
      <c r="BM569" s="1"/>
      <c r="BN569" s="1"/>
      <c r="BO569" s="1" t="s">
        <v>369</v>
      </c>
      <c r="BP569" s="1"/>
      <c r="BQ569" s="1"/>
      <c r="BR569" s="1" t="s">
        <v>10894</v>
      </c>
      <c r="BS569" s="1">
        <v>8</v>
      </c>
      <c r="BT569" s="1"/>
      <c r="BU569" s="1" t="str">
        <f>HYPERLINK("https://nconnect.nicmar.ac.in/storage/profile/ProfilePhoto_P25700570_237541.jpg","Download")</f>
        <v>0</v>
      </c>
      <c r="BV569" s="3"/>
      <c r="BW569" s="3"/>
    </row>
    <row r="570" spans="1:75">
      <c r="A570" s="1" t="s">
        <v>75</v>
      </c>
      <c r="B570" s="1" t="s">
        <v>446</v>
      </c>
      <c r="C570" s="1" t="s">
        <v>10895</v>
      </c>
      <c r="D570" s="1" t="s">
        <v>2097</v>
      </c>
      <c r="E570" s="1" t="s">
        <v>10896</v>
      </c>
      <c r="F570" s="1" t="s">
        <v>10897</v>
      </c>
      <c r="G570" s="1" t="s">
        <v>10898</v>
      </c>
      <c r="H570" s="1" t="s">
        <v>10899</v>
      </c>
      <c r="I570" s="1" t="s">
        <v>10900</v>
      </c>
      <c r="J570" s="1">
        <v>9156028208</v>
      </c>
      <c r="K570" s="1" t="s">
        <v>84</v>
      </c>
      <c r="L570" s="1" t="s">
        <v>10901</v>
      </c>
      <c r="M570" s="1" t="s">
        <v>86</v>
      </c>
      <c r="N570" s="1" t="s">
        <v>6052</v>
      </c>
      <c r="O570" s="1"/>
      <c r="P570" s="1" t="s">
        <v>481</v>
      </c>
      <c r="Q570" s="1" t="s">
        <v>10902</v>
      </c>
      <c r="R570" s="1" t="s">
        <v>10903</v>
      </c>
      <c r="S570" s="1">
        <v>9503626399</v>
      </c>
      <c r="T570" s="1" t="s">
        <v>839</v>
      </c>
      <c r="U570" s="1" t="s">
        <v>10904</v>
      </c>
      <c r="V570" s="1">
        <v>9309591763</v>
      </c>
      <c r="W570" s="1" t="s">
        <v>541</v>
      </c>
      <c r="X570" s="1" t="s">
        <v>10905</v>
      </c>
      <c r="Y570" s="1" t="s">
        <v>224</v>
      </c>
      <c r="Z570" s="1" t="s">
        <v>97</v>
      </c>
      <c r="AA570" s="1" t="s">
        <v>10905</v>
      </c>
      <c r="AB570" s="1" t="s">
        <v>224</v>
      </c>
      <c r="AC570" s="1" t="s">
        <v>97</v>
      </c>
      <c r="AD570" s="1">
        <v>7.69</v>
      </c>
      <c r="AE570" s="1" t="s">
        <v>98</v>
      </c>
      <c r="AF570" s="1" t="s">
        <v>10906</v>
      </c>
      <c r="AG570" s="1" t="s">
        <v>10907</v>
      </c>
      <c r="AH570" s="1" t="s">
        <v>170</v>
      </c>
      <c r="AI570" s="1" t="s">
        <v>171</v>
      </c>
      <c r="AJ570" s="1">
        <v>79.8</v>
      </c>
      <c r="AK570" s="1"/>
      <c r="AL570" s="1"/>
      <c r="AM570" s="1"/>
      <c r="AN570" s="1"/>
      <c r="AO570" s="1"/>
      <c r="AP570" s="1"/>
      <c r="AQ570" s="1"/>
      <c r="AR570" s="1"/>
      <c r="AS570" s="1" t="s">
        <v>439</v>
      </c>
      <c r="AT570" s="1" t="s">
        <v>10908</v>
      </c>
      <c r="AU570" s="1" t="s">
        <v>1065</v>
      </c>
      <c r="AV570" s="1" t="s">
        <v>441</v>
      </c>
      <c r="AW570" s="1">
        <v>88.89</v>
      </c>
      <c r="AX570" s="1"/>
      <c r="AY570" s="1" t="s">
        <v>8985</v>
      </c>
      <c r="AZ570" s="1" t="s">
        <v>10909</v>
      </c>
      <c r="BA570" s="1" t="s">
        <v>466</v>
      </c>
      <c r="BB570" s="1" t="s">
        <v>467</v>
      </c>
      <c r="BC570" s="1" t="s">
        <v>871</v>
      </c>
      <c r="BD570" s="1" t="s">
        <v>1089</v>
      </c>
      <c r="BE570" s="1">
        <v>70.8</v>
      </c>
      <c r="BF570" s="1">
        <v>7.08</v>
      </c>
      <c r="BG570" s="1"/>
      <c r="BH570" s="1"/>
      <c r="BI570" s="1"/>
      <c r="BJ570" s="1"/>
      <c r="BK570" s="1"/>
      <c r="BL570" s="1"/>
      <c r="BM570" s="1"/>
      <c r="BN570" s="1"/>
      <c r="BO570" s="1" t="s">
        <v>1114</v>
      </c>
      <c r="BP570" s="1"/>
      <c r="BQ570" s="1"/>
      <c r="BR570" s="1" t="s">
        <v>10910</v>
      </c>
      <c r="BS570" s="1">
        <v>23</v>
      </c>
      <c r="BT570" s="1" t="s">
        <v>10911</v>
      </c>
      <c r="BU570" s="1" t="str">
        <f>HYPERLINK("https://nconnect.nicmar.ac.in/storage/profile/ProfilePhoto_P25700571_859736.jpg","Download")</f>
        <v>0</v>
      </c>
      <c r="BV570" s="3"/>
      <c r="BW570" s="3"/>
    </row>
    <row r="571" spans="1:75">
      <c r="A571" s="1" t="s">
        <v>75</v>
      </c>
      <c r="B571" s="1" t="s">
        <v>446</v>
      </c>
      <c r="C571" s="1" t="s">
        <v>10912</v>
      </c>
      <c r="D571" s="1" t="s">
        <v>1135</v>
      </c>
      <c r="E571" s="1" t="s">
        <v>2098</v>
      </c>
      <c r="F571" s="1" t="s">
        <v>10913</v>
      </c>
      <c r="G571" s="1" t="s">
        <v>10914</v>
      </c>
      <c r="H571" s="1" t="s">
        <v>10915</v>
      </c>
      <c r="I571" s="1" t="s">
        <v>10916</v>
      </c>
      <c r="J571" s="1">
        <v>8369748070</v>
      </c>
      <c r="K571" s="1" t="s">
        <v>84</v>
      </c>
      <c r="L571" s="1" t="s">
        <v>2739</v>
      </c>
      <c r="M571" s="1" t="s">
        <v>86</v>
      </c>
      <c r="N571" s="1" t="s">
        <v>3568</v>
      </c>
      <c r="O571" s="1"/>
      <c r="P571" s="1" t="s">
        <v>455</v>
      </c>
      <c r="Q571" s="1" t="s">
        <v>10917</v>
      </c>
      <c r="R571" s="1" t="s">
        <v>2098</v>
      </c>
      <c r="S571" s="1">
        <v>9867615280</v>
      </c>
      <c r="T571" s="1" t="s">
        <v>5639</v>
      </c>
      <c r="U571" s="1" t="s">
        <v>5080</v>
      </c>
      <c r="V571" s="1">
        <v>9769419594</v>
      </c>
      <c r="W571" s="1" t="s">
        <v>161</v>
      </c>
      <c r="X571" s="1" t="s">
        <v>10918</v>
      </c>
      <c r="Y571" s="1" t="s">
        <v>2259</v>
      </c>
      <c r="Z571" s="1" t="s">
        <v>97</v>
      </c>
      <c r="AA571" s="1" t="s">
        <v>10918</v>
      </c>
      <c r="AB571" s="1" t="s">
        <v>2259</v>
      </c>
      <c r="AC571" s="1" t="s">
        <v>97</v>
      </c>
      <c r="AD571" s="1">
        <v>8.54</v>
      </c>
      <c r="AE571" s="1" t="s">
        <v>98</v>
      </c>
      <c r="AF571" s="1" t="s">
        <v>10919</v>
      </c>
      <c r="AG571" s="1" t="s">
        <v>165</v>
      </c>
      <c r="AH571" s="1" t="s">
        <v>166</v>
      </c>
      <c r="AI571" s="1" t="s">
        <v>167</v>
      </c>
      <c r="AJ571" s="1">
        <v>85.4</v>
      </c>
      <c r="AK571" s="1"/>
      <c r="AL571" s="1"/>
      <c r="AM571" s="1"/>
      <c r="AN571" s="1"/>
      <c r="AO571" s="1"/>
      <c r="AP571" s="1"/>
      <c r="AQ571" s="1"/>
      <c r="AR571" s="1"/>
      <c r="AS571" s="1" t="s">
        <v>10920</v>
      </c>
      <c r="AT571" s="1" t="s">
        <v>10921</v>
      </c>
      <c r="AU571" s="1" t="s">
        <v>139</v>
      </c>
      <c r="AV571" s="1" t="s">
        <v>438</v>
      </c>
      <c r="AW571" s="1">
        <v>69.64</v>
      </c>
      <c r="AX571" s="1"/>
      <c r="AY571" s="1" t="s">
        <v>680</v>
      </c>
      <c r="AZ571" s="1" t="s">
        <v>10922</v>
      </c>
      <c r="BA571" s="1"/>
      <c r="BB571" s="1"/>
      <c r="BC571" s="1" t="s">
        <v>206</v>
      </c>
      <c r="BD571" s="1" t="s">
        <v>110</v>
      </c>
      <c r="BE571" s="1">
        <v>69.08</v>
      </c>
      <c r="BF571" s="1">
        <v>7.75</v>
      </c>
      <c r="BG571" s="1"/>
      <c r="BH571" s="1"/>
      <c r="BI571" s="1"/>
      <c r="BJ571" s="1"/>
      <c r="BK571" s="1"/>
      <c r="BL571" s="1"/>
      <c r="BM571" s="1"/>
      <c r="BN571" s="1"/>
      <c r="BO571" s="1" t="s">
        <v>10923</v>
      </c>
      <c r="BP571" s="1" t="s">
        <v>10924</v>
      </c>
      <c r="BQ571" s="1" t="s">
        <v>10925</v>
      </c>
      <c r="BR571" s="1" t="s">
        <v>10926</v>
      </c>
      <c r="BS571" s="1">
        <v>21</v>
      </c>
      <c r="BT571" s="1" t="s">
        <v>10927</v>
      </c>
      <c r="BU571" s="1" t="str">
        <f>HYPERLINK("https://nconnect.nicmar.ac.in/storage/profile/ProfilePhoto_P25700572_925681.jpg","Download")</f>
        <v>0</v>
      </c>
      <c r="BV571" s="3"/>
      <c r="BW571" s="3"/>
    </row>
    <row r="572" spans="1:75">
      <c r="A572" s="1" t="s">
        <v>75</v>
      </c>
      <c r="B572" s="1" t="s">
        <v>446</v>
      </c>
      <c r="C572" s="1" t="s">
        <v>10928</v>
      </c>
      <c r="D572" s="1" t="s">
        <v>3545</v>
      </c>
      <c r="E572" s="1" t="s">
        <v>4310</v>
      </c>
      <c r="F572" s="1" t="s">
        <v>10929</v>
      </c>
      <c r="G572" s="1" t="s">
        <v>10930</v>
      </c>
      <c r="H572" s="1" t="s">
        <v>10931</v>
      </c>
      <c r="I572" s="1" t="s">
        <v>10932</v>
      </c>
      <c r="J572" s="1">
        <v>7558352506</v>
      </c>
      <c r="K572" s="1" t="s">
        <v>84</v>
      </c>
      <c r="L572" s="1" t="s">
        <v>8310</v>
      </c>
      <c r="M572" s="1" t="s">
        <v>86</v>
      </c>
      <c r="N572" s="1" t="s">
        <v>1101</v>
      </c>
      <c r="O572" s="1"/>
      <c r="P572" s="1" t="s">
        <v>507</v>
      </c>
      <c r="Q572" s="1" t="s">
        <v>10933</v>
      </c>
      <c r="R572" s="1" t="s">
        <v>10934</v>
      </c>
      <c r="S572" s="1">
        <v>9307965330</v>
      </c>
      <c r="T572" s="1" t="s">
        <v>771</v>
      </c>
      <c r="U572" s="1" t="s">
        <v>10935</v>
      </c>
      <c r="V572" s="1">
        <v>9307965330</v>
      </c>
      <c r="W572" s="1" t="s">
        <v>278</v>
      </c>
      <c r="X572" s="1" t="s">
        <v>10936</v>
      </c>
      <c r="Y572" s="1" t="s">
        <v>196</v>
      </c>
      <c r="Z572" s="1" t="s">
        <v>97</v>
      </c>
      <c r="AA572" s="1" t="s">
        <v>10937</v>
      </c>
      <c r="AB572" s="1" t="s">
        <v>5083</v>
      </c>
      <c r="AC572" s="1" t="s">
        <v>97</v>
      </c>
      <c r="AD572" s="1" t="s">
        <v>98</v>
      </c>
      <c r="AE572" s="1" t="s">
        <v>98</v>
      </c>
      <c r="AF572" s="1" t="s">
        <v>975</v>
      </c>
      <c r="AG572" s="1" t="s">
        <v>796</v>
      </c>
      <c r="AH572" s="1" t="s">
        <v>170</v>
      </c>
      <c r="AI572" s="1" t="s">
        <v>106</v>
      </c>
      <c r="AJ572" s="1">
        <v>75</v>
      </c>
      <c r="AK572" s="1"/>
      <c r="AL572" s="1" t="s">
        <v>10938</v>
      </c>
      <c r="AM572" s="1" t="s">
        <v>7028</v>
      </c>
      <c r="AN572" s="1"/>
      <c r="AO572" s="1" t="s">
        <v>206</v>
      </c>
      <c r="AP572" s="1" t="s">
        <v>1040</v>
      </c>
      <c r="AQ572" s="1">
        <v>61</v>
      </c>
      <c r="AR572" s="1"/>
      <c r="AS572" s="1"/>
      <c r="AT572" s="1"/>
      <c r="AU572" s="1"/>
      <c r="AV572" s="1"/>
      <c r="AW572" s="1"/>
      <c r="AX572" s="1"/>
      <c r="AY572" s="1" t="s">
        <v>10939</v>
      </c>
      <c r="AZ572" s="1" t="s">
        <v>10940</v>
      </c>
      <c r="BA572" s="1"/>
      <c r="BB572" s="1"/>
      <c r="BC572" s="1" t="s">
        <v>847</v>
      </c>
      <c r="BD572" s="1" t="s">
        <v>848</v>
      </c>
      <c r="BE572" s="1">
        <v>73</v>
      </c>
      <c r="BF572" s="1"/>
      <c r="BG572" s="1"/>
      <c r="BH572" s="1"/>
      <c r="BI572" s="1"/>
      <c r="BJ572" s="1"/>
      <c r="BK572" s="1"/>
      <c r="BL572" s="1"/>
      <c r="BM572" s="1"/>
      <c r="BN572" s="1"/>
      <c r="BO572" s="1" t="s">
        <v>1890</v>
      </c>
      <c r="BP572" s="1"/>
      <c r="BQ572" s="1"/>
      <c r="BR572" s="1" t="s">
        <v>10941</v>
      </c>
      <c r="BS572" s="1">
        <v>1</v>
      </c>
      <c r="BT572" s="1"/>
      <c r="BU572" s="1" t="str">
        <f>HYPERLINK("https://nconnect.nicmar.ac.in/storage/profile/ProfilePhoto_P25700573_289415.jpg","Download")</f>
        <v>0</v>
      </c>
      <c r="BV572" s="3"/>
      <c r="BW572" s="3"/>
    </row>
    <row r="573" spans="1:75">
      <c r="A573" s="1" t="s">
        <v>75</v>
      </c>
      <c r="B573" s="1" t="s">
        <v>446</v>
      </c>
      <c r="C573" s="1" t="s">
        <v>10942</v>
      </c>
      <c r="D573" s="1" t="s">
        <v>10943</v>
      </c>
      <c r="E573" s="1"/>
      <c r="F573" s="1" t="s">
        <v>3998</v>
      </c>
      <c r="G573" s="1" t="s">
        <v>10944</v>
      </c>
      <c r="H573" s="1" t="s">
        <v>10945</v>
      </c>
      <c r="I573" s="1" t="s">
        <v>10946</v>
      </c>
      <c r="J573" s="1">
        <v>9945972444</v>
      </c>
      <c r="K573" s="1" t="s">
        <v>84</v>
      </c>
      <c r="L573" s="1" t="s">
        <v>10947</v>
      </c>
      <c r="M573" s="1" t="s">
        <v>86</v>
      </c>
      <c r="N573" s="1" t="s">
        <v>10948</v>
      </c>
      <c r="O573" s="1"/>
      <c r="P573" s="1" t="s">
        <v>455</v>
      </c>
      <c r="Q573" s="1" t="s">
        <v>10949</v>
      </c>
      <c r="R573" s="1" t="s">
        <v>10950</v>
      </c>
      <c r="S573" s="1">
        <v>9845139778</v>
      </c>
      <c r="T573" s="1" t="s">
        <v>926</v>
      </c>
      <c r="U573" s="1" t="s">
        <v>10951</v>
      </c>
      <c r="V573" s="1">
        <v>9902359778</v>
      </c>
      <c r="W573" s="1" t="s">
        <v>161</v>
      </c>
      <c r="X573" s="1" t="s">
        <v>10952</v>
      </c>
      <c r="Y573" s="1" t="s">
        <v>3132</v>
      </c>
      <c r="Z573" s="1" t="s">
        <v>1210</v>
      </c>
      <c r="AA573" s="1" t="s">
        <v>10952</v>
      </c>
      <c r="AB573" s="1" t="s">
        <v>3132</v>
      </c>
      <c r="AC573" s="1" t="s">
        <v>1210</v>
      </c>
      <c r="AD573" s="1">
        <v>9.31</v>
      </c>
      <c r="AE573" s="1" t="s">
        <v>98</v>
      </c>
      <c r="AF573" s="1" t="s">
        <v>10953</v>
      </c>
      <c r="AG573" s="1" t="s">
        <v>312</v>
      </c>
      <c r="AH573" s="1" t="s">
        <v>170</v>
      </c>
      <c r="AI573" s="1" t="s">
        <v>171</v>
      </c>
      <c r="AJ573" s="1">
        <v>94</v>
      </c>
      <c r="AK573" s="1"/>
      <c r="AL573" s="1" t="s">
        <v>10954</v>
      </c>
      <c r="AM573" s="1" t="s">
        <v>10955</v>
      </c>
      <c r="AN573" s="1" t="s">
        <v>465</v>
      </c>
      <c r="AO573" s="1" t="s">
        <v>438</v>
      </c>
      <c r="AP573" s="1" t="s">
        <v>178</v>
      </c>
      <c r="AQ573" s="1">
        <v>90.67</v>
      </c>
      <c r="AR573" s="1"/>
      <c r="AS573" s="1"/>
      <c r="AT573" s="1"/>
      <c r="AU573" s="1"/>
      <c r="AV573" s="1"/>
      <c r="AW573" s="1"/>
      <c r="AX573" s="1"/>
      <c r="AY573" s="1" t="s">
        <v>1217</v>
      </c>
      <c r="AZ573" s="1" t="s">
        <v>10956</v>
      </c>
      <c r="BA573" s="1" t="s">
        <v>578</v>
      </c>
      <c r="BB573" s="1" t="s">
        <v>467</v>
      </c>
      <c r="BC573" s="1" t="s">
        <v>233</v>
      </c>
      <c r="BD573" s="1" t="s">
        <v>207</v>
      </c>
      <c r="BE573" s="1">
        <v>77</v>
      </c>
      <c r="BF573" s="1">
        <v>8.45</v>
      </c>
      <c r="BG573" s="1"/>
      <c r="BH573" s="1"/>
      <c r="BI573" s="1"/>
      <c r="BJ573" s="1"/>
      <c r="BK573" s="1"/>
      <c r="BL573" s="1"/>
      <c r="BM573" s="1"/>
      <c r="BN573" s="1"/>
      <c r="BO573" s="1" t="s">
        <v>10957</v>
      </c>
      <c r="BP573" s="1"/>
      <c r="BQ573" s="1"/>
      <c r="BR573" s="1" t="s">
        <v>10958</v>
      </c>
      <c r="BS573" s="1">
        <v>63</v>
      </c>
      <c r="BT573" s="1" t="s">
        <v>10959</v>
      </c>
      <c r="BU573" s="1" t="str">
        <f>HYPERLINK("https://nconnect.nicmar.ac.in/storage/profile/ProfilePhoto_P25700574_937814.jpg","Download")</f>
        <v>0</v>
      </c>
      <c r="BV573" s="3"/>
      <c r="BW573" s="4">
        <v>1</v>
      </c>
    </row>
    <row r="574" spans="1:75">
      <c r="A574" s="1" t="s">
        <v>75</v>
      </c>
      <c r="B574" s="1" t="s">
        <v>446</v>
      </c>
      <c r="C574" s="1" t="s">
        <v>10960</v>
      </c>
      <c r="D574" s="1" t="s">
        <v>1893</v>
      </c>
      <c r="E574" s="1" t="s">
        <v>10961</v>
      </c>
      <c r="F574" s="1" t="s">
        <v>10962</v>
      </c>
      <c r="G574" s="1" t="s">
        <v>10963</v>
      </c>
      <c r="H574" s="1" t="s">
        <v>10964</v>
      </c>
      <c r="I574" s="1" t="s">
        <v>10965</v>
      </c>
      <c r="J574" s="1">
        <v>8600868357</v>
      </c>
      <c r="K574" s="1" t="s">
        <v>84</v>
      </c>
      <c r="L574" s="1" t="s">
        <v>10966</v>
      </c>
      <c r="M574" s="1" t="s">
        <v>86</v>
      </c>
      <c r="N574" s="1" t="s">
        <v>618</v>
      </c>
      <c r="O574" s="1" t="s">
        <v>10967</v>
      </c>
      <c r="P574" s="1" t="s">
        <v>122</v>
      </c>
      <c r="Q574" s="1" t="s">
        <v>10968</v>
      </c>
      <c r="R574" s="1" t="s">
        <v>10961</v>
      </c>
      <c r="S574" s="1">
        <v>9766268452</v>
      </c>
      <c r="T574" s="1" t="s">
        <v>127</v>
      </c>
      <c r="U574" s="1" t="s">
        <v>10969</v>
      </c>
      <c r="V574" s="1">
        <v>9766268452</v>
      </c>
      <c r="W574" s="1" t="s">
        <v>161</v>
      </c>
      <c r="X574" s="1" t="s">
        <v>10970</v>
      </c>
      <c r="Y574" s="1" t="s">
        <v>163</v>
      </c>
      <c r="Z574" s="1" t="s">
        <v>97</v>
      </c>
      <c r="AA574" s="1" t="s">
        <v>10970</v>
      </c>
      <c r="AB574" s="1" t="s">
        <v>163</v>
      </c>
      <c r="AC574" s="1" t="s">
        <v>97</v>
      </c>
      <c r="AD574" s="1">
        <v>7.56</v>
      </c>
      <c r="AE574" s="1" t="s">
        <v>98</v>
      </c>
      <c r="AF574" s="1" t="s">
        <v>10971</v>
      </c>
      <c r="AG574" s="1" t="s">
        <v>10972</v>
      </c>
      <c r="AH574" s="1" t="s">
        <v>167</v>
      </c>
      <c r="AI574" s="1" t="s">
        <v>170</v>
      </c>
      <c r="AJ574" s="1">
        <v>78.6</v>
      </c>
      <c r="AK574" s="1"/>
      <c r="AL574" s="1" t="s">
        <v>10973</v>
      </c>
      <c r="AM574" s="1" t="s">
        <v>10972</v>
      </c>
      <c r="AN574" s="1" t="s">
        <v>465</v>
      </c>
      <c r="AO574" s="1" t="s">
        <v>174</v>
      </c>
      <c r="AP574" s="1" t="s">
        <v>313</v>
      </c>
      <c r="AQ574" s="1">
        <v>73.54</v>
      </c>
      <c r="AR574" s="1"/>
      <c r="AS574" s="1"/>
      <c r="AT574" s="1"/>
      <c r="AU574" s="1"/>
      <c r="AV574" s="1"/>
      <c r="AW574" s="1"/>
      <c r="AX574" s="1"/>
      <c r="AY574" s="1" t="s">
        <v>442</v>
      </c>
      <c r="AZ574" s="1" t="s">
        <v>10974</v>
      </c>
      <c r="BA574" s="1" t="s">
        <v>466</v>
      </c>
      <c r="BB574" s="1" t="s">
        <v>467</v>
      </c>
      <c r="BC574" s="1" t="s">
        <v>206</v>
      </c>
      <c r="BD574" s="1" t="s">
        <v>179</v>
      </c>
      <c r="BE574" s="1">
        <v>70.43</v>
      </c>
      <c r="BF574" s="1">
        <v>8.32</v>
      </c>
      <c r="BG574" s="1"/>
      <c r="BH574" s="1"/>
      <c r="BI574" s="1"/>
      <c r="BJ574" s="1"/>
      <c r="BK574" s="1"/>
      <c r="BL574" s="1"/>
      <c r="BM574" s="1"/>
      <c r="BN574" s="1"/>
      <c r="BO574" s="1" t="s">
        <v>10975</v>
      </c>
      <c r="BP574" s="1"/>
      <c r="BQ574" s="1"/>
      <c r="BR574" s="1" t="s">
        <v>10976</v>
      </c>
      <c r="BS574" s="1">
        <v>41</v>
      </c>
      <c r="BT574" s="1"/>
      <c r="BU574" s="1" t="str">
        <f>HYPERLINK("https://nconnect.nicmar.ac.in/storage/profile/ProfilePhoto_P25700575_561478.jpg","Download")</f>
        <v>0</v>
      </c>
      <c r="BV574" s="3"/>
      <c r="BW574" s="4">
        <v>1</v>
      </c>
    </row>
    <row r="575" spans="1:75">
      <c r="A575" s="1" t="s">
        <v>75</v>
      </c>
      <c r="B575" s="1" t="s">
        <v>446</v>
      </c>
      <c r="C575" s="1" t="s">
        <v>10977</v>
      </c>
      <c r="D575" s="1" t="s">
        <v>5994</v>
      </c>
      <c r="E575" s="1" t="s">
        <v>9856</v>
      </c>
      <c r="F575" s="1" t="s">
        <v>10978</v>
      </c>
      <c r="G575" s="1" t="s">
        <v>10979</v>
      </c>
      <c r="H575" s="1" t="s">
        <v>10980</v>
      </c>
      <c r="I575" s="1" t="s">
        <v>10981</v>
      </c>
      <c r="J575" s="1">
        <v>7058974553</v>
      </c>
      <c r="K575" s="1" t="s">
        <v>84</v>
      </c>
      <c r="L575" s="1" t="s">
        <v>10455</v>
      </c>
      <c r="M575" s="1" t="s">
        <v>86</v>
      </c>
      <c r="N575" s="1" t="s">
        <v>1163</v>
      </c>
      <c r="O575" s="1"/>
      <c r="P575" s="1" t="s">
        <v>455</v>
      </c>
      <c r="Q575" s="1" t="s">
        <v>10982</v>
      </c>
      <c r="R575" s="1" t="s">
        <v>10983</v>
      </c>
      <c r="S575" s="1">
        <v>8805424938</v>
      </c>
      <c r="T575" s="1" t="s">
        <v>839</v>
      </c>
      <c r="U575" s="1" t="s">
        <v>10984</v>
      </c>
      <c r="V575" s="1">
        <v>8530017722</v>
      </c>
      <c r="W575" s="1" t="s">
        <v>161</v>
      </c>
      <c r="X575" s="1" t="s">
        <v>10985</v>
      </c>
      <c r="Y575" s="1" t="s">
        <v>196</v>
      </c>
      <c r="Z575" s="1" t="s">
        <v>97</v>
      </c>
      <c r="AA575" s="1" t="s">
        <v>10985</v>
      </c>
      <c r="AB575" s="1" t="s">
        <v>196</v>
      </c>
      <c r="AC575" s="1" t="s">
        <v>97</v>
      </c>
      <c r="AD575" s="1">
        <v>7.82</v>
      </c>
      <c r="AE575" s="1" t="s">
        <v>98</v>
      </c>
      <c r="AF575" s="1" t="s">
        <v>10986</v>
      </c>
      <c r="AG575" s="1" t="s">
        <v>312</v>
      </c>
      <c r="AH575" s="1" t="s">
        <v>490</v>
      </c>
      <c r="AI575" s="1" t="s">
        <v>203</v>
      </c>
      <c r="AJ575" s="1">
        <v>80.6</v>
      </c>
      <c r="AK575" s="1"/>
      <c r="AL575" s="1" t="s">
        <v>10987</v>
      </c>
      <c r="AM575" s="1" t="s">
        <v>10988</v>
      </c>
      <c r="AN575" s="1"/>
      <c r="AO575" s="1" t="s">
        <v>438</v>
      </c>
      <c r="AP575" s="1" t="s">
        <v>845</v>
      </c>
      <c r="AQ575" s="1">
        <v>83</v>
      </c>
      <c r="AR575" s="1"/>
      <c r="AS575" s="1"/>
      <c r="AT575" s="1"/>
      <c r="AU575" s="1"/>
      <c r="AV575" s="1"/>
      <c r="AW575" s="1"/>
      <c r="AX575" s="1"/>
      <c r="AY575" s="1" t="s">
        <v>366</v>
      </c>
      <c r="AZ575" s="1" t="s">
        <v>10989</v>
      </c>
      <c r="BA575" s="1"/>
      <c r="BB575" s="1"/>
      <c r="BC575" s="1" t="s">
        <v>871</v>
      </c>
      <c r="BD575" s="1" t="s">
        <v>848</v>
      </c>
      <c r="BE575" s="1">
        <v>66.1</v>
      </c>
      <c r="BF575" s="1">
        <v>7.36</v>
      </c>
      <c r="BG575" s="1"/>
      <c r="BH575" s="1"/>
      <c r="BI575" s="1"/>
      <c r="BJ575" s="1"/>
      <c r="BK575" s="1"/>
      <c r="BL575" s="1"/>
      <c r="BM575" s="1"/>
      <c r="BN575" s="1"/>
      <c r="BO575" s="1" t="s">
        <v>1114</v>
      </c>
      <c r="BP575" s="1"/>
      <c r="BQ575" s="1"/>
      <c r="BR575" s="1" t="s">
        <v>10990</v>
      </c>
      <c r="BS575" s="1">
        <v>13</v>
      </c>
      <c r="BT575" s="1" t="s">
        <v>10991</v>
      </c>
      <c r="BU575" s="1" t="str">
        <f>HYPERLINK("https://nconnect.nicmar.ac.in/storage/profile/ProfilePhoto_P25700576_435176.jpg","Download")</f>
        <v>0</v>
      </c>
      <c r="BV575" s="3"/>
      <c r="BW575" s="3"/>
    </row>
    <row r="576" spans="1:75">
      <c r="A576" s="1" t="s">
        <v>75</v>
      </c>
      <c r="B576" s="1" t="s">
        <v>446</v>
      </c>
      <c r="C576" s="1" t="s">
        <v>10992</v>
      </c>
      <c r="D576" s="1" t="s">
        <v>10993</v>
      </c>
      <c r="E576" s="1" t="s">
        <v>6862</v>
      </c>
      <c r="F576" s="1" t="s">
        <v>10994</v>
      </c>
      <c r="G576" s="1" t="s">
        <v>10995</v>
      </c>
      <c r="H576" s="1" t="s">
        <v>10996</v>
      </c>
      <c r="I576" s="1" t="s">
        <v>10997</v>
      </c>
      <c r="J576" s="1">
        <v>7378390992</v>
      </c>
      <c r="K576" s="1" t="s">
        <v>84</v>
      </c>
      <c r="L576" s="1" t="s">
        <v>10998</v>
      </c>
      <c r="M576" s="1" t="s">
        <v>86</v>
      </c>
      <c r="N576" s="1" t="s">
        <v>903</v>
      </c>
      <c r="O576" s="1"/>
      <c r="P576" s="1" t="s">
        <v>455</v>
      </c>
      <c r="Q576" s="1" t="s">
        <v>10999</v>
      </c>
      <c r="R576" s="1" t="s">
        <v>11000</v>
      </c>
      <c r="S576" s="1">
        <v>9403014432</v>
      </c>
      <c r="T576" s="1" t="s">
        <v>539</v>
      </c>
      <c r="U576" s="1" t="s">
        <v>11001</v>
      </c>
      <c r="V576" s="1">
        <v>9403014429</v>
      </c>
      <c r="W576" s="1" t="s">
        <v>94</v>
      </c>
      <c r="X576" s="1" t="s">
        <v>11002</v>
      </c>
      <c r="Y576" s="1" t="s">
        <v>410</v>
      </c>
      <c r="Z576" s="1" t="s">
        <v>97</v>
      </c>
      <c r="AA576" s="1" t="s">
        <v>11002</v>
      </c>
      <c r="AB576" s="1" t="s">
        <v>410</v>
      </c>
      <c r="AC576" s="1" t="s">
        <v>97</v>
      </c>
      <c r="AD576" s="1">
        <v>8.28</v>
      </c>
      <c r="AE576" s="1" t="s">
        <v>98</v>
      </c>
      <c r="AF576" s="1" t="s">
        <v>11003</v>
      </c>
      <c r="AG576" s="1" t="s">
        <v>5274</v>
      </c>
      <c r="AH576" s="1" t="s">
        <v>797</v>
      </c>
      <c r="AI576" s="1" t="s">
        <v>171</v>
      </c>
      <c r="AJ576" s="1">
        <v>92.6</v>
      </c>
      <c r="AK576" s="1">
        <v>0</v>
      </c>
      <c r="AL576" s="1" t="s">
        <v>11004</v>
      </c>
      <c r="AM576" s="1" t="s">
        <v>5274</v>
      </c>
      <c r="AN576" s="1" t="s">
        <v>465</v>
      </c>
      <c r="AO576" s="1" t="s">
        <v>174</v>
      </c>
      <c r="AP576" s="1" t="s">
        <v>178</v>
      </c>
      <c r="AQ576" s="1">
        <v>76</v>
      </c>
      <c r="AR576" s="1">
        <v>0</v>
      </c>
      <c r="AS576" s="1"/>
      <c r="AT576" s="1"/>
      <c r="AU576" s="1"/>
      <c r="AV576" s="1"/>
      <c r="AW576" s="1"/>
      <c r="AX576" s="1"/>
      <c r="AY576" s="1" t="s">
        <v>415</v>
      </c>
      <c r="AZ576" s="1" t="s">
        <v>11005</v>
      </c>
      <c r="BA576" s="1" t="s">
        <v>466</v>
      </c>
      <c r="BB576" s="1" t="s">
        <v>467</v>
      </c>
      <c r="BC576" s="1" t="s">
        <v>1171</v>
      </c>
      <c r="BD576" s="1" t="s">
        <v>207</v>
      </c>
      <c r="BE576" s="1">
        <v>83.5</v>
      </c>
      <c r="BF576" s="1">
        <v>8.35</v>
      </c>
      <c r="BG576" s="1"/>
      <c r="BH576" s="1"/>
      <c r="BI576" s="1"/>
      <c r="BJ576" s="1"/>
      <c r="BK576" s="1"/>
      <c r="BL576" s="1"/>
      <c r="BM576" s="1"/>
      <c r="BN576" s="1"/>
      <c r="BO576" s="1" t="s">
        <v>11006</v>
      </c>
      <c r="BP576" s="1"/>
      <c r="BQ576" s="1"/>
      <c r="BR576" s="1" t="s">
        <v>11007</v>
      </c>
      <c r="BS576" s="1">
        <v>36</v>
      </c>
      <c r="BT576" s="1"/>
      <c r="BU576" s="1" t="str">
        <f>HYPERLINK("https://nconnect.nicmar.ac.in/storage/profile/ProfilePhoto_P25700577_523498.jpg","Download")</f>
        <v>0</v>
      </c>
      <c r="BV576" s="3"/>
      <c r="BW576" s="3"/>
    </row>
    <row r="577" spans="1:75">
      <c r="A577" s="1" t="s">
        <v>75</v>
      </c>
      <c r="B577" s="1" t="s">
        <v>446</v>
      </c>
      <c r="C577" s="1" t="s">
        <v>11008</v>
      </c>
      <c r="D577" s="1" t="s">
        <v>11009</v>
      </c>
      <c r="E577" s="1" t="s">
        <v>2405</v>
      </c>
      <c r="F577" s="1" t="s">
        <v>3101</v>
      </c>
      <c r="G577" s="1" t="s">
        <v>11010</v>
      </c>
      <c r="H577" s="1" t="s">
        <v>11011</v>
      </c>
      <c r="I577" s="1" t="s">
        <v>11012</v>
      </c>
      <c r="J577" s="1">
        <v>9356706658</v>
      </c>
      <c r="K577" s="1" t="s">
        <v>153</v>
      </c>
      <c r="L577" s="1" t="s">
        <v>11013</v>
      </c>
      <c r="M577" s="1" t="s">
        <v>86</v>
      </c>
      <c r="N577" s="1" t="s">
        <v>618</v>
      </c>
      <c r="O577" s="1"/>
      <c r="P577" s="1" t="s">
        <v>507</v>
      </c>
      <c r="Q577" s="1" t="s">
        <v>11014</v>
      </c>
      <c r="R577" s="1" t="s">
        <v>11015</v>
      </c>
      <c r="S577" s="1">
        <v>9822306522</v>
      </c>
      <c r="T577" s="1" t="s">
        <v>159</v>
      </c>
      <c r="U577" s="1" t="s">
        <v>11016</v>
      </c>
      <c r="V577" s="1">
        <v>9028232927</v>
      </c>
      <c r="W577" s="1" t="s">
        <v>541</v>
      </c>
      <c r="X577" s="1" t="s">
        <v>11017</v>
      </c>
      <c r="Y577" s="1" t="s">
        <v>333</v>
      </c>
      <c r="Z577" s="1" t="s">
        <v>97</v>
      </c>
      <c r="AA577" s="1" t="s">
        <v>11017</v>
      </c>
      <c r="AB577" s="1" t="s">
        <v>333</v>
      </c>
      <c r="AC577" s="1" t="s">
        <v>97</v>
      </c>
      <c r="AD577" s="1">
        <v>8.13</v>
      </c>
      <c r="AE577" s="1" t="s">
        <v>98</v>
      </c>
      <c r="AF577" s="1" t="s">
        <v>11018</v>
      </c>
      <c r="AG577" s="1" t="s">
        <v>11019</v>
      </c>
      <c r="AH577" s="1" t="s">
        <v>167</v>
      </c>
      <c r="AI577" s="1" t="s">
        <v>438</v>
      </c>
      <c r="AJ577" s="1">
        <v>82.8</v>
      </c>
      <c r="AK577" s="1"/>
      <c r="AL577" s="1" t="s">
        <v>11020</v>
      </c>
      <c r="AM577" s="1" t="s">
        <v>6701</v>
      </c>
      <c r="AN577" s="1"/>
      <c r="AO577" s="1" t="s">
        <v>315</v>
      </c>
      <c r="AP577" s="1" t="s">
        <v>549</v>
      </c>
      <c r="AQ577" s="1">
        <v>90.33</v>
      </c>
      <c r="AR577" s="1"/>
      <c r="AS577" s="1"/>
      <c r="AT577" s="1"/>
      <c r="AU577" s="1"/>
      <c r="AV577" s="1"/>
      <c r="AW577" s="1"/>
      <c r="AX577" s="1"/>
      <c r="AY577" s="1" t="s">
        <v>366</v>
      </c>
      <c r="AZ577" s="1" t="s">
        <v>11021</v>
      </c>
      <c r="BA577" s="1"/>
      <c r="BB577" s="1"/>
      <c r="BC577" s="1" t="s">
        <v>871</v>
      </c>
      <c r="BD577" s="1" t="s">
        <v>848</v>
      </c>
      <c r="BE577" s="1">
        <v>71.4</v>
      </c>
      <c r="BF577" s="1">
        <v>7.86</v>
      </c>
      <c r="BG577" s="1"/>
      <c r="BH577" s="1"/>
      <c r="BI577" s="1"/>
      <c r="BJ577" s="1"/>
      <c r="BK577" s="1"/>
      <c r="BL577" s="1"/>
      <c r="BM577" s="1"/>
      <c r="BN577" s="1"/>
      <c r="BO577" s="1" t="s">
        <v>11022</v>
      </c>
      <c r="BP577" s="1"/>
      <c r="BQ577" s="1"/>
      <c r="BR577" s="1" t="s">
        <v>11023</v>
      </c>
      <c r="BS577" s="1">
        <v>32</v>
      </c>
      <c r="BT577" s="1"/>
      <c r="BU577" s="1" t="str">
        <f>HYPERLINK("https://nconnect.nicmar.ac.in/storage/profile/ProfilePhoto_P25700578_347951.jpg","Download")</f>
        <v>0</v>
      </c>
      <c r="BV577" s="3"/>
      <c r="BW577" s="3"/>
    </row>
    <row r="578" spans="1:75">
      <c r="A578" s="1" t="s">
        <v>75</v>
      </c>
      <c r="B578" s="1" t="s">
        <v>446</v>
      </c>
      <c r="C578" s="1" t="s">
        <v>11024</v>
      </c>
      <c r="D578" s="1" t="s">
        <v>11025</v>
      </c>
      <c r="E578" s="1"/>
      <c r="F578" s="1" t="s">
        <v>11026</v>
      </c>
      <c r="G578" s="1" t="s">
        <v>11027</v>
      </c>
      <c r="H578" s="1" t="s">
        <v>11028</v>
      </c>
      <c r="I578" s="1" t="s">
        <v>11029</v>
      </c>
      <c r="J578" s="1">
        <v>9538487535</v>
      </c>
      <c r="K578" s="1" t="s">
        <v>153</v>
      </c>
      <c r="L578" s="1" t="s">
        <v>11030</v>
      </c>
      <c r="M578" s="1" t="s">
        <v>86</v>
      </c>
      <c r="N578" s="1" t="s">
        <v>11031</v>
      </c>
      <c r="O578" s="1"/>
      <c r="P578" s="1" t="s">
        <v>455</v>
      </c>
      <c r="Q578" s="1" t="s">
        <v>11032</v>
      </c>
      <c r="R578" s="1" t="s">
        <v>11033</v>
      </c>
      <c r="S578" s="1">
        <v>9844309756</v>
      </c>
      <c r="T578" s="1" t="s">
        <v>11034</v>
      </c>
      <c r="U578" s="1" t="s">
        <v>11035</v>
      </c>
      <c r="V578" s="1">
        <v>8088735595</v>
      </c>
      <c r="W578" s="1" t="s">
        <v>541</v>
      </c>
      <c r="X578" s="1" t="s">
        <v>11036</v>
      </c>
      <c r="Y578" s="1" t="s">
        <v>3132</v>
      </c>
      <c r="Z578" s="1" t="s">
        <v>1210</v>
      </c>
      <c r="AA578" s="1" t="s">
        <v>11036</v>
      </c>
      <c r="AB578" s="1" t="s">
        <v>3132</v>
      </c>
      <c r="AC578" s="1" t="s">
        <v>1210</v>
      </c>
      <c r="AD578" s="1">
        <v>8.67</v>
      </c>
      <c r="AE578" s="1" t="s">
        <v>98</v>
      </c>
      <c r="AF578" s="1" t="s">
        <v>11037</v>
      </c>
      <c r="AG578" s="1" t="s">
        <v>312</v>
      </c>
      <c r="AH578" s="1" t="s">
        <v>3421</v>
      </c>
      <c r="AI578" s="1" t="s">
        <v>1262</v>
      </c>
      <c r="AJ578" s="1">
        <v>85.5</v>
      </c>
      <c r="AK578" s="1">
        <v>9</v>
      </c>
      <c r="AL578" s="1" t="s">
        <v>11037</v>
      </c>
      <c r="AM578" s="1" t="s">
        <v>312</v>
      </c>
      <c r="AN578" s="1" t="s">
        <v>575</v>
      </c>
      <c r="AO578" s="1" t="s">
        <v>1110</v>
      </c>
      <c r="AP578" s="1" t="s">
        <v>627</v>
      </c>
      <c r="AQ578" s="1">
        <v>78.6</v>
      </c>
      <c r="AR578" s="1"/>
      <c r="AS578" s="1"/>
      <c r="AT578" s="1"/>
      <c r="AU578" s="1"/>
      <c r="AV578" s="1"/>
      <c r="AW578" s="1"/>
      <c r="AX578" s="1"/>
      <c r="AY578" s="1" t="s">
        <v>11038</v>
      </c>
      <c r="AZ578" s="1" t="s">
        <v>11039</v>
      </c>
      <c r="BA578" s="1" t="s">
        <v>682</v>
      </c>
      <c r="BB578" s="1" t="s">
        <v>683</v>
      </c>
      <c r="BC578" s="1" t="s">
        <v>139</v>
      </c>
      <c r="BD578" s="1" t="s">
        <v>441</v>
      </c>
      <c r="BE578" s="1">
        <v>62</v>
      </c>
      <c r="BF578" s="1">
        <v>6.95</v>
      </c>
      <c r="BG578" s="1"/>
      <c r="BH578" s="1"/>
      <c r="BI578" s="1"/>
      <c r="BJ578" s="1"/>
      <c r="BK578" s="1"/>
      <c r="BL578" s="1"/>
      <c r="BM578" s="1"/>
      <c r="BN578" s="1"/>
      <c r="BO578" s="1" t="s">
        <v>11040</v>
      </c>
      <c r="BP578" s="1" t="s">
        <v>11041</v>
      </c>
      <c r="BQ578" s="1" t="s">
        <v>736</v>
      </c>
      <c r="BR578" s="1" t="s">
        <v>11042</v>
      </c>
      <c r="BS578" s="1">
        <v>34</v>
      </c>
      <c r="BT578" s="1"/>
      <c r="BU578" s="1" t="str">
        <f>HYPERLINK("https://nconnect.nicmar.ac.in/storage/profile/ProfilePhoto_P25700579_237859.jpg","Download")</f>
        <v>0</v>
      </c>
      <c r="BV578" s="3"/>
      <c r="BW578" s="3"/>
    </row>
    <row r="579" spans="1:75">
      <c r="A579" s="1" t="s">
        <v>75</v>
      </c>
      <c r="B579" s="1" t="s">
        <v>446</v>
      </c>
      <c r="C579" s="1" t="s">
        <v>11043</v>
      </c>
      <c r="D579" s="1" t="s">
        <v>11044</v>
      </c>
      <c r="E579" s="1" t="s">
        <v>11045</v>
      </c>
      <c r="F579" s="1" t="s">
        <v>11046</v>
      </c>
      <c r="G579" s="1" t="s">
        <v>11047</v>
      </c>
      <c r="H579" s="1" t="s">
        <v>11048</v>
      </c>
      <c r="I579" s="1" t="s">
        <v>11049</v>
      </c>
      <c r="J579" s="1">
        <v>7558618682</v>
      </c>
      <c r="K579" s="1" t="s">
        <v>84</v>
      </c>
      <c r="L579" s="1" t="s">
        <v>11050</v>
      </c>
      <c r="M579" s="1" t="s">
        <v>86</v>
      </c>
      <c r="N579" s="1" t="s">
        <v>4972</v>
      </c>
      <c r="O579" s="1" t="s">
        <v>88</v>
      </c>
      <c r="P579" s="1" t="s">
        <v>455</v>
      </c>
      <c r="Q579" s="1" t="s">
        <v>11051</v>
      </c>
      <c r="R579" s="1" t="s">
        <v>11045</v>
      </c>
      <c r="S579" s="1">
        <v>9271359295</v>
      </c>
      <c r="T579" s="1" t="s">
        <v>11052</v>
      </c>
      <c r="U579" s="1" t="s">
        <v>11053</v>
      </c>
      <c r="V579" s="1">
        <v>8830255877</v>
      </c>
      <c r="W579" s="1" t="s">
        <v>127</v>
      </c>
      <c r="X579" s="1" t="s">
        <v>11054</v>
      </c>
      <c r="Y579" s="1" t="s">
        <v>5659</v>
      </c>
      <c r="Z579" s="1" t="s">
        <v>97</v>
      </c>
      <c r="AA579" s="1" t="s">
        <v>11054</v>
      </c>
      <c r="AB579" s="1" t="s">
        <v>5659</v>
      </c>
      <c r="AC579" s="1" t="s">
        <v>97</v>
      </c>
      <c r="AD579" s="1">
        <v>8.13</v>
      </c>
      <c r="AE579" s="1" t="s">
        <v>98</v>
      </c>
      <c r="AF579" s="1" t="s">
        <v>11055</v>
      </c>
      <c r="AG579" s="1" t="s">
        <v>165</v>
      </c>
      <c r="AH579" s="1" t="s">
        <v>286</v>
      </c>
      <c r="AI579" s="1" t="s">
        <v>414</v>
      </c>
      <c r="AJ579" s="1">
        <v>71.4</v>
      </c>
      <c r="AK579" s="1"/>
      <c r="AL579" s="1" t="s">
        <v>4998</v>
      </c>
      <c r="AM579" s="1" t="s">
        <v>165</v>
      </c>
      <c r="AN579" s="1" t="s">
        <v>575</v>
      </c>
      <c r="AO579" s="1" t="s">
        <v>414</v>
      </c>
      <c r="AP579" s="1" t="s">
        <v>1192</v>
      </c>
      <c r="AQ579" s="1">
        <v>85.33</v>
      </c>
      <c r="AR579" s="1"/>
      <c r="AS579" s="1"/>
      <c r="AT579" s="1"/>
      <c r="AU579" s="1"/>
      <c r="AV579" s="1"/>
      <c r="AW579" s="1"/>
      <c r="AX579" s="1"/>
      <c r="AY579" s="1" t="s">
        <v>107</v>
      </c>
      <c r="AZ579" s="1" t="s">
        <v>11056</v>
      </c>
      <c r="BA579" s="1" t="s">
        <v>466</v>
      </c>
      <c r="BB579" s="1" t="s">
        <v>467</v>
      </c>
      <c r="BC579" s="1" t="s">
        <v>552</v>
      </c>
      <c r="BD579" s="1" t="s">
        <v>1401</v>
      </c>
      <c r="BE579" s="1">
        <v>62.7</v>
      </c>
      <c r="BF579" s="1">
        <v>6.77</v>
      </c>
      <c r="BG579" s="1"/>
      <c r="BH579" s="1"/>
      <c r="BI579" s="1"/>
      <c r="BJ579" s="1"/>
      <c r="BK579" s="1"/>
      <c r="BL579" s="1"/>
      <c r="BM579" s="1"/>
      <c r="BN579" s="1"/>
      <c r="BO579" s="1" t="s">
        <v>11057</v>
      </c>
      <c r="BP579" s="1"/>
      <c r="BQ579" s="1"/>
      <c r="BR579" s="1" t="s">
        <v>11058</v>
      </c>
      <c r="BS579" s="1">
        <v>21</v>
      </c>
      <c r="BT579" s="1" t="s">
        <v>11059</v>
      </c>
      <c r="BU579" s="1" t="str">
        <f>HYPERLINK("https://nconnect.nicmar.ac.in/storage/profile/ProfilePhoto_P25700580_295186.jpg","Download")</f>
        <v>0</v>
      </c>
      <c r="BV579" s="3"/>
      <c r="BW579" s="3"/>
    </row>
    <row r="580" spans="1:75">
      <c r="A580" s="1" t="s">
        <v>75</v>
      </c>
      <c r="B580" s="1" t="s">
        <v>446</v>
      </c>
      <c r="C580" s="1" t="s">
        <v>11060</v>
      </c>
      <c r="D580" s="1" t="s">
        <v>11061</v>
      </c>
      <c r="E580" s="1" t="s">
        <v>11062</v>
      </c>
      <c r="F580" s="1" t="s">
        <v>11063</v>
      </c>
      <c r="G580" s="1" t="s">
        <v>11064</v>
      </c>
      <c r="H580" s="1" t="s">
        <v>11065</v>
      </c>
      <c r="I580" s="1" t="s">
        <v>11066</v>
      </c>
      <c r="J580" s="1">
        <v>8999391739</v>
      </c>
      <c r="K580" s="1" t="s">
        <v>153</v>
      </c>
      <c r="L580" s="1" t="s">
        <v>11067</v>
      </c>
      <c r="M580" s="1" t="s">
        <v>86</v>
      </c>
      <c r="N580" s="1" t="s">
        <v>11068</v>
      </c>
      <c r="O580" s="1"/>
      <c r="P580" s="1" t="s">
        <v>481</v>
      </c>
      <c r="Q580" s="1" t="s">
        <v>11069</v>
      </c>
      <c r="R580" s="1" t="s">
        <v>11070</v>
      </c>
      <c r="S580" s="1">
        <v>8484086900</v>
      </c>
      <c r="T580" s="1" t="s">
        <v>839</v>
      </c>
      <c r="U580" s="1" t="s">
        <v>11071</v>
      </c>
      <c r="V580" s="1">
        <v>9096360330</v>
      </c>
      <c r="W580" s="1" t="s">
        <v>161</v>
      </c>
      <c r="X580" s="1" t="s">
        <v>11072</v>
      </c>
      <c r="Y580" s="1" t="s">
        <v>1033</v>
      </c>
      <c r="Z580" s="1" t="s">
        <v>97</v>
      </c>
      <c r="AA580" s="1" t="s">
        <v>11072</v>
      </c>
      <c r="AB580" s="1" t="s">
        <v>1033</v>
      </c>
      <c r="AC580" s="1" t="s">
        <v>97</v>
      </c>
      <c r="AD580" s="1">
        <v>8.23</v>
      </c>
      <c r="AE580" s="1" t="s">
        <v>98</v>
      </c>
      <c r="AF580" s="1" t="s">
        <v>11073</v>
      </c>
      <c r="AG580" s="1" t="s">
        <v>11074</v>
      </c>
      <c r="AH580" s="1" t="s">
        <v>286</v>
      </c>
      <c r="AI580" s="1" t="s">
        <v>414</v>
      </c>
      <c r="AJ580" s="1">
        <v>86.4</v>
      </c>
      <c r="AK580" s="1"/>
      <c r="AL580" s="1"/>
      <c r="AM580" s="1"/>
      <c r="AN580" s="1"/>
      <c r="AO580" s="1"/>
      <c r="AP580" s="1"/>
      <c r="AQ580" s="1"/>
      <c r="AR580" s="1"/>
      <c r="AS580" s="1" t="s">
        <v>103</v>
      </c>
      <c r="AT580" s="1" t="s">
        <v>11075</v>
      </c>
      <c r="AU580" s="1" t="s">
        <v>206</v>
      </c>
      <c r="AV580" s="1" t="s">
        <v>1400</v>
      </c>
      <c r="AW580" s="1">
        <v>81.42</v>
      </c>
      <c r="AX580" s="1"/>
      <c r="AY580" s="1" t="s">
        <v>11076</v>
      </c>
      <c r="AZ580" s="1" t="s">
        <v>11077</v>
      </c>
      <c r="BA580" s="1" t="s">
        <v>466</v>
      </c>
      <c r="BB580" s="1" t="s">
        <v>467</v>
      </c>
      <c r="BC580" s="1" t="s">
        <v>110</v>
      </c>
      <c r="BD580" s="1" t="s">
        <v>1401</v>
      </c>
      <c r="BE580" s="1">
        <v>64</v>
      </c>
      <c r="BF580" s="1">
        <v>6.9</v>
      </c>
      <c r="BG580" s="1"/>
      <c r="BH580" s="1"/>
      <c r="BI580" s="1"/>
      <c r="BJ580" s="1"/>
      <c r="BK580" s="1"/>
      <c r="BL580" s="1"/>
      <c r="BM580" s="1"/>
      <c r="BN580" s="1"/>
      <c r="BO580" s="1" t="s">
        <v>11078</v>
      </c>
      <c r="BP580" s="1"/>
      <c r="BQ580" s="1"/>
      <c r="BR580" s="1" t="s">
        <v>11079</v>
      </c>
      <c r="BS580" s="1">
        <v>8</v>
      </c>
      <c r="BT580" s="1" t="s">
        <v>11080</v>
      </c>
      <c r="BU580" s="1" t="str">
        <f>HYPERLINK("https://nconnect.nicmar.ac.in/storage/profile/ProfilePhoto_P25700581_985367.jpg","Download")</f>
        <v>0</v>
      </c>
      <c r="BV580" s="3"/>
      <c r="BW580" s="3"/>
    </row>
    <row r="581" spans="1:75">
      <c r="A581" s="1" t="s">
        <v>75</v>
      </c>
      <c r="B581" s="1" t="s">
        <v>446</v>
      </c>
      <c r="C581" s="1" t="s">
        <v>11081</v>
      </c>
      <c r="D581" s="1" t="s">
        <v>6222</v>
      </c>
      <c r="E581" s="1" t="s">
        <v>11082</v>
      </c>
      <c r="F581" s="1" t="s">
        <v>11083</v>
      </c>
      <c r="G581" s="1" t="s">
        <v>11084</v>
      </c>
      <c r="H581" s="1" t="s">
        <v>11085</v>
      </c>
      <c r="I581" s="1" t="s">
        <v>11086</v>
      </c>
      <c r="J581" s="1">
        <v>8849148767</v>
      </c>
      <c r="K581" s="1" t="s">
        <v>84</v>
      </c>
      <c r="L581" s="1" t="s">
        <v>4971</v>
      </c>
      <c r="M581" s="1" t="s">
        <v>86</v>
      </c>
      <c r="N581" s="1" t="s">
        <v>5235</v>
      </c>
      <c r="O581" s="1"/>
      <c r="P581" s="1" t="s">
        <v>481</v>
      </c>
      <c r="Q581" s="1" t="s">
        <v>11087</v>
      </c>
      <c r="R581" s="1" t="s">
        <v>11082</v>
      </c>
      <c r="S581" s="1">
        <v>9428489738</v>
      </c>
      <c r="T581" s="1" t="s">
        <v>6733</v>
      </c>
      <c r="U581" s="1" t="s">
        <v>11088</v>
      </c>
      <c r="V581" s="1">
        <v>7383888802</v>
      </c>
      <c r="W581" s="1" t="s">
        <v>161</v>
      </c>
      <c r="X581" s="1" t="s">
        <v>11089</v>
      </c>
      <c r="Y581" s="1" t="s">
        <v>1189</v>
      </c>
      <c r="Z581" s="1" t="s">
        <v>97</v>
      </c>
      <c r="AA581" s="1" t="s">
        <v>11089</v>
      </c>
      <c r="AB581" s="1" t="s">
        <v>1189</v>
      </c>
      <c r="AC581" s="1" t="s">
        <v>97</v>
      </c>
      <c r="AD581" s="1">
        <v>8.44</v>
      </c>
      <c r="AE581" s="1" t="s">
        <v>98</v>
      </c>
      <c r="AF581" s="1" t="s">
        <v>11090</v>
      </c>
      <c r="AG581" s="1" t="s">
        <v>11091</v>
      </c>
      <c r="AH581" s="1" t="s">
        <v>1111</v>
      </c>
      <c r="AI581" s="1" t="s">
        <v>200</v>
      </c>
      <c r="AJ581" s="1">
        <v>81.7</v>
      </c>
      <c r="AK581" s="1">
        <v>8.6</v>
      </c>
      <c r="AL581" s="1" t="s">
        <v>11092</v>
      </c>
      <c r="AM581" s="1" t="s">
        <v>11091</v>
      </c>
      <c r="AN581" s="1" t="s">
        <v>575</v>
      </c>
      <c r="AO581" s="1" t="s">
        <v>573</v>
      </c>
      <c r="AP581" s="1" t="s">
        <v>313</v>
      </c>
      <c r="AQ581" s="1">
        <v>68.8</v>
      </c>
      <c r="AR581" s="1"/>
      <c r="AS581" s="1"/>
      <c r="AT581" s="1"/>
      <c r="AU581" s="1"/>
      <c r="AV581" s="1"/>
      <c r="AW581" s="1"/>
      <c r="AX581" s="1"/>
      <c r="AY581" s="1" t="s">
        <v>4548</v>
      </c>
      <c r="AZ581" s="1" t="s">
        <v>11093</v>
      </c>
      <c r="BA581" s="1" t="s">
        <v>466</v>
      </c>
      <c r="BB581" s="1" t="s">
        <v>467</v>
      </c>
      <c r="BC581" s="1" t="s">
        <v>206</v>
      </c>
      <c r="BD581" s="1" t="s">
        <v>179</v>
      </c>
      <c r="BE581" s="1">
        <v>85.14</v>
      </c>
      <c r="BF581" s="1">
        <v>9.69</v>
      </c>
      <c r="BG581" s="1"/>
      <c r="BH581" s="1"/>
      <c r="BI581" s="1"/>
      <c r="BJ581" s="1"/>
      <c r="BK581" s="1"/>
      <c r="BL581" s="1"/>
      <c r="BM581" s="1"/>
      <c r="BN581" s="1"/>
      <c r="BO581" s="1" t="s">
        <v>1724</v>
      </c>
      <c r="BP581" s="1" t="s">
        <v>11094</v>
      </c>
      <c r="BQ581" s="1" t="s">
        <v>2577</v>
      </c>
      <c r="BR581" s="1" t="s">
        <v>11095</v>
      </c>
      <c r="BS581" s="1">
        <v>12</v>
      </c>
      <c r="BT581" s="1"/>
      <c r="BU581" s="1" t="str">
        <f>HYPERLINK("https://nconnect.nicmar.ac.in/storage/profile/ProfilePhoto_P25700582_791845.jpg","Download")</f>
        <v>0</v>
      </c>
      <c r="BV581" s="3"/>
      <c r="BW581" s="3"/>
    </row>
    <row r="582" spans="1:75">
      <c r="A582" s="1" t="s">
        <v>75</v>
      </c>
      <c r="B582" s="1" t="s">
        <v>446</v>
      </c>
      <c r="C582" s="1" t="s">
        <v>11096</v>
      </c>
      <c r="D582" s="1" t="s">
        <v>372</v>
      </c>
      <c r="E582" s="1" t="s">
        <v>5230</v>
      </c>
      <c r="F582" s="1" t="s">
        <v>11097</v>
      </c>
      <c r="G582" s="1" t="s">
        <v>11098</v>
      </c>
      <c r="H582" s="1" t="s">
        <v>11099</v>
      </c>
      <c r="I582" s="1" t="s">
        <v>11100</v>
      </c>
      <c r="J582" s="1">
        <v>9130974324</v>
      </c>
      <c r="K582" s="1" t="s">
        <v>84</v>
      </c>
      <c r="L582" s="1" t="s">
        <v>5654</v>
      </c>
      <c r="M582" s="1" t="s">
        <v>86</v>
      </c>
      <c r="N582" s="1" t="s">
        <v>903</v>
      </c>
      <c r="O582" s="1"/>
      <c r="P582" s="1" t="s">
        <v>455</v>
      </c>
      <c r="Q582" s="1" t="s">
        <v>11101</v>
      </c>
      <c r="R582" s="1" t="s">
        <v>5230</v>
      </c>
      <c r="S582" s="1">
        <v>9011512929</v>
      </c>
      <c r="T582" s="1" t="s">
        <v>839</v>
      </c>
      <c r="U582" s="1" t="s">
        <v>11102</v>
      </c>
      <c r="V582" s="1">
        <v>7776907979</v>
      </c>
      <c r="W582" s="1" t="s">
        <v>839</v>
      </c>
      <c r="X582" s="1" t="s">
        <v>11103</v>
      </c>
      <c r="Y582" s="1" t="s">
        <v>3538</v>
      </c>
      <c r="Z582" s="1" t="s">
        <v>97</v>
      </c>
      <c r="AA582" s="1" t="s">
        <v>11103</v>
      </c>
      <c r="AB582" s="1" t="s">
        <v>3538</v>
      </c>
      <c r="AC582" s="1" t="s">
        <v>97</v>
      </c>
      <c r="AD582" s="1">
        <v>8.13</v>
      </c>
      <c r="AE582" s="1" t="s">
        <v>98</v>
      </c>
      <c r="AF582" s="1" t="s">
        <v>11104</v>
      </c>
      <c r="AG582" s="1" t="s">
        <v>11105</v>
      </c>
      <c r="AH582" s="1" t="s">
        <v>170</v>
      </c>
      <c r="AI582" s="1" t="s">
        <v>286</v>
      </c>
      <c r="AJ582" s="1">
        <v>85</v>
      </c>
      <c r="AK582" s="1"/>
      <c r="AL582" s="1" t="s">
        <v>11106</v>
      </c>
      <c r="AM582" s="1" t="s">
        <v>11105</v>
      </c>
      <c r="AN582" s="1"/>
      <c r="AO582" s="1" t="s">
        <v>438</v>
      </c>
      <c r="AP582" s="1" t="s">
        <v>365</v>
      </c>
      <c r="AQ582" s="1">
        <v>69.23</v>
      </c>
      <c r="AR582" s="1"/>
      <c r="AS582" s="1"/>
      <c r="AT582" s="1"/>
      <c r="AU582" s="1"/>
      <c r="AV582" s="1"/>
      <c r="AW582" s="1"/>
      <c r="AX582" s="1"/>
      <c r="AY582" s="1" t="s">
        <v>366</v>
      </c>
      <c r="AZ582" s="1" t="s">
        <v>11107</v>
      </c>
      <c r="BA582" s="1"/>
      <c r="BB582" s="1"/>
      <c r="BC582" s="1" t="s">
        <v>368</v>
      </c>
      <c r="BD582" s="1" t="s">
        <v>7737</v>
      </c>
      <c r="BE582" s="1">
        <v>65.9</v>
      </c>
      <c r="BF582" s="1">
        <v>7.34</v>
      </c>
      <c r="BG582" s="1"/>
      <c r="BH582" s="1"/>
      <c r="BI582" s="1"/>
      <c r="BJ582" s="1"/>
      <c r="BK582" s="1"/>
      <c r="BL582" s="1"/>
      <c r="BM582" s="1"/>
      <c r="BN582" s="1"/>
      <c r="BO582" s="1" t="s">
        <v>11108</v>
      </c>
      <c r="BP582" s="1"/>
      <c r="BQ582" s="1"/>
      <c r="BR582" s="1" t="s">
        <v>11109</v>
      </c>
      <c r="BS582" s="1">
        <v>60</v>
      </c>
      <c r="BT582" s="1"/>
      <c r="BU582" s="1" t="str">
        <f>HYPERLINK("https://nconnect.nicmar.ac.in/storage/profile/ProfilePhoto_P25700583_527169.jpg","Download")</f>
        <v>0</v>
      </c>
      <c r="BV582" s="3"/>
      <c r="BW582" s="3"/>
    </row>
    <row r="583" spans="1:75">
      <c r="A583" s="1" t="s">
        <v>75</v>
      </c>
      <c r="B583" s="1" t="s">
        <v>446</v>
      </c>
      <c r="C583" s="1" t="s">
        <v>11110</v>
      </c>
      <c r="D583" s="1" t="s">
        <v>11111</v>
      </c>
      <c r="E583" s="1" t="s">
        <v>1964</v>
      </c>
      <c r="F583" s="1" t="s">
        <v>11112</v>
      </c>
      <c r="G583" s="1" t="s">
        <v>11113</v>
      </c>
      <c r="H583" s="1" t="s">
        <v>11114</v>
      </c>
      <c r="I583" s="1" t="s">
        <v>11115</v>
      </c>
      <c r="J583" s="1">
        <v>6360851156</v>
      </c>
      <c r="K583" s="1" t="s">
        <v>84</v>
      </c>
      <c r="L583" s="1" t="s">
        <v>11116</v>
      </c>
      <c r="M583" s="1" t="s">
        <v>86</v>
      </c>
      <c r="N583" s="1" t="s">
        <v>11117</v>
      </c>
      <c r="O583" s="1"/>
      <c r="P583" s="1" t="s">
        <v>507</v>
      </c>
      <c r="Q583" s="1" t="s">
        <v>11118</v>
      </c>
      <c r="R583" s="1" t="s">
        <v>11119</v>
      </c>
      <c r="S583" s="1">
        <v>9964110480</v>
      </c>
      <c r="T583" s="1" t="s">
        <v>11120</v>
      </c>
      <c r="U583" s="1" t="s">
        <v>11121</v>
      </c>
      <c r="V583" s="1">
        <v>9449551923</v>
      </c>
      <c r="W583" s="1" t="s">
        <v>161</v>
      </c>
      <c r="X583" s="1" t="s">
        <v>11122</v>
      </c>
      <c r="Y583" s="1" t="s">
        <v>4418</v>
      </c>
      <c r="Z583" s="1" t="s">
        <v>1210</v>
      </c>
      <c r="AA583" s="1" t="s">
        <v>11122</v>
      </c>
      <c r="AB583" s="1" t="s">
        <v>4418</v>
      </c>
      <c r="AC583" s="1" t="s">
        <v>1210</v>
      </c>
      <c r="AD583" s="1">
        <v>7.97</v>
      </c>
      <c r="AE583" s="1" t="s">
        <v>98</v>
      </c>
      <c r="AF583" s="1" t="s">
        <v>11123</v>
      </c>
      <c r="AG583" s="1" t="s">
        <v>11124</v>
      </c>
      <c r="AH583" s="1" t="s">
        <v>627</v>
      </c>
      <c r="AI583" s="1" t="s">
        <v>704</v>
      </c>
      <c r="AJ583" s="1">
        <v>64</v>
      </c>
      <c r="AK583" s="1"/>
      <c r="AL583" s="1"/>
      <c r="AM583" s="1"/>
      <c r="AN583" s="1"/>
      <c r="AO583" s="1"/>
      <c r="AP583" s="1"/>
      <c r="AQ583" s="1"/>
      <c r="AR583" s="1"/>
      <c r="AS583" s="1" t="s">
        <v>103</v>
      </c>
      <c r="AT583" s="1" t="s">
        <v>11125</v>
      </c>
      <c r="AU583" s="1" t="s">
        <v>5535</v>
      </c>
      <c r="AV583" s="1" t="s">
        <v>1647</v>
      </c>
      <c r="AW583" s="1">
        <v>68.7</v>
      </c>
      <c r="AX583" s="1"/>
      <c r="AY583" s="1" t="s">
        <v>1217</v>
      </c>
      <c r="AZ583" s="1" t="s">
        <v>11126</v>
      </c>
      <c r="BA583" s="1"/>
      <c r="BB583" s="1"/>
      <c r="BC583" s="1" t="s">
        <v>175</v>
      </c>
      <c r="BD583" s="1" t="s">
        <v>7737</v>
      </c>
      <c r="BE583" s="1">
        <v>70.3</v>
      </c>
      <c r="BF583" s="1">
        <v>7.78</v>
      </c>
      <c r="BG583" s="1"/>
      <c r="BH583" s="1"/>
      <c r="BI583" s="1"/>
      <c r="BJ583" s="1"/>
      <c r="BK583" s="1"/>
      <c r="BL583" s="1"/>
      <c r="BM583" s="1"/>
      <c r="BN583" s="1"/>
      <c r="BO583" s="1" t="s">
        <v>11127</v>
      </c>
      <c r="BP583" s="1"/>
      <c r="BQ583" s="1"/>
      <c r="BR583" s="1" t="s">
        <v>11128</v>
      </c>
      <c r="BS583" s="1">
        <v>20</v>
      </c>
      <c r="BT583" s="1" t="s">
        <v>11129</v>
      </c>
      <c r="BU583" s="1" t="str">
        <f>HYPERLINK("https://nconnect.nicmar.ac.in/storage/profile/ProfilePhoto_P25700585_357829.jpg","Download")</f>
        <v>0</v>
      </c>
      <c r="BV583" s="3"/>
      <c r="BW583" s="3"/>
    </row>
    <row r="584" spans="1:75">
      <c r="A584" s="1" t="s">
        <v>75</v>
      </c>
      <c r="B584" s="1" t="s">
        <v>446</v>
      </c>
      <c r="C584" s="1" t="s">
        <v>11130</v>
      </c>
      <c r="D584" s="1" t="s">
        <v>11131</v>
      </c>
      <c r="E584" s="1" t="s">
        <v>2447</v>
      </c>
      <c r="F584" s="1" t="s">
        <v>11132</v>
      </c>
      <c r="G584" s="1" t="s">
        <v>11133</v>
      </c>
      <c r="H584" s="1" t="s">
        <v>11134</v>
      </c>
      <c r="I584" s="1" t="s">
        <v>11135</v>
      </c>
      <c r="J584" s="1">
        <v>8767204123</v>
      </c>
      <c r="K584" s="1" t="s">
        <v>153</v>
      </c>
      <c r="L584" s="1" t="s">
        <v>9206</v>
      </c>
      <c r="M584" s="1" t="s">
        <v>86</v>
      </c>
      <c r="N584" s="1" t="s">
        <v>903</v>
      </c>
      <c r="O584" s="1"/>
      <c r="P584" s="1" t="s">
        <v>455</v>
      </c>
      <c r="Q584" s="1" t="s">
        <v>11136</v>
      </c>
      <c r="R584" s="1" t="s">
        <v>11137</v>
      </c>
      <c r="S584" s="1">
        <v>9167759199</v>
      </c>
      <c r="T584" s="1" t="s">
        <v>125</v>
      </c>
      <c r="U584" s="1" t="s">
        <v>11138</v>
      </c>
      <c r="V584" s="1">
        <v>9167759198</v>
      </c>
      <c r="W584" s="1" t="s">
        <v>94</v>
      </c>
      <c r="X584" s="1" t="s">
        <v>11139</v>
      </c>
      <c r="Y584" s="1" t="s">
        <v>196</v>
      </c>
      <c r="Z584" s="1" t="s">
        <v>97</v>
      </c>
      <c r="AA584" s="1" t="s">
        <v>11140</v>
      </c>
      <c r="AB584" s="1" t="s">
        <v>2259</v>
      </c>
      <c r="AC584" s="1" t="s">
        <v>97</v>
      </c>
      <c r="AD584" s="1">
        <v>8.08</v>
      </c>
      <c r="AE584" s="1" t="s">
        <v>98</v>
      </c>
      <c r="AF584" s="1" t="s">
        <v>11141</v>
      </c>
      <c r="AG584" s="1" t="s">
        <v>7366</v>
      </c>
      <c r="AH584" s="1" t="s">
        <v>167</v>
      </c>
      <c r="AI584" s="1" t="s">
        <v>200</v>
      </c>
      <c r="AJ584" s="1">
        <v>95</v>
      </c>
      <c r="AK584" s="1"/>
      <c r="AL584" s="1" t="s">
        <v>11142</v>
      </c>
      <c r="AM584" s="1" t="s">
        <v>7366</v>
      </c>
      <c r="AN584" s="1" t="s">
        <v>465</v>
      </c>
      <c r="AO584" s="1" t="s">
        <v>170</v>
      </c>
      <c r="AP584" s="1" t="s">
        <v>203</v>
      </c>
      <c r="AQ584" s="1">
        <v>73.23</v>
      </c>
      <c r="AR584" s="1"/>
      <c r="AS584" s="1"/>
      <c r="AT584" s="1"/>
      <c r="AU584" s="1"/>
      <c r="AV584" s="1"/>
      <c r="AW584" s="1"/>
      <c r="AX584" s="1"/>
      <c r="AY584" s="1" t="s">
        <v>258</v>
      </c>
      <c r="AZ584" s="1" t="s">
        <v>11143</v>
      </c>
      <c r="BA584" s="1" t="s">
        <v>682</v>
      </c>
      <c r="BB584" s="1" t="s">
        <v>1561</v>
      </c>
      <c r="BC584" s="1" t="s">
        <v>315</v>
      </c>
      <c r="BD584" s="1" t="s">
        <v>418</v>
      </c>
      <c r="BE584" s="1">
        <v>74.01</v>
      </c>
      <c r="BF584" s="1">
        <v>8.38</v>
      </c>
      <c r="BG584" s="1"/>
      <c r="BH584" s="1"/>
      <c r="BI584" s="1"/>
      <c r="BJ584" s="1"/>
      <c r="BK584" s="1"/>
      <c r="BL584" s="1"/>
      <c r="BM584" s="1"/>
      <c r="BN584" s="1"/>
      <c r="BO584" s="1" t="s">
        <v>11144</v>
      </c>
      <c r="BP584" s="1"/>
      <c r="BQ584" s="1"/>
      <c r="BR584" s="1" t="s">
        <v>11145</v>
      </c>
      <c r="BS584" s="1">
        <v>23</v>
      </c>
      <c r="BT584" s="1" t="s">
        <v>11146</v>
      </c>
      <c r="BU584" s="1" t="str">
        <f>HYPERLINK("https://nconnect.nicmar.ac.in/storage/profile/ProfilePhoto_P25700586_826451.jpg","Download")</f>
        <v>0</v>
      </c>
      <c r="BV584" s="3"/>
      <c r="BW584" s="3"/>
    </row>
    <row r="585" spans="1:75">
      <c r="A585" s="1" t="s">
        <v>75</v>
      </c>
      <c r="B585" s="1" t="s">
        <v>446</v>
      </c>
      <c r="C585" s="1" t="s">
        <v>11147</v>
      </c>
      <c r="D585" s="1" t="s">
        <v>11148</v>
      </c>
      <c r="E585" s="1" t="s">
        <v>11149</v>
      </c>
      <c r="F585" s="1" t="s">
        <v>3101</v>
      </c>
      <c r="G585" s="1" t="s">
        <v>11150</v>
      </c>
      <c r="H585" s="1" t="s">
        <v>11151</v>
      </c>
      <c r="I585" s="1" t="s">
        <v>11152</v>
      </c>
      <c r="J585" s="1">
        <v>8788278658</v>
      </c>
      <c r="K585" s="1" t="s">
        <v>84</v>
      </c>
      <c r="L585" s="1" t="s">
        <v>11153</v>
      </c>
      <c r="M585" s="1" t="s">
        <v>86</v>
      </c>
      <c r="N585" s="1" t="s">
        <v>1080</v>
      </c>
      <c r="O585" s="1"/>
      <c r="P585" s="1" t="s">
        <v>507</v>
      </c>
      <c r="Q585" s="1" t="s">
        <v>11154</v>
      </c>
      <c r="R585" s="1" t="s">
        <v>11155</v>
      </c>
      <c r="S585" s="1">
        <v>9822923991</v>
      </c>
      <c r="T585" s="1" t="s">
        <v>159</v>
      </c>
      <c r="U585" s="1" t="s">
        <v>11156</v>
      </c>
      <c r="V585" s="1">
        <v>9404509307</v>
      </c>
      <c r="W585" s="1" t="s">
        <v>161</v>
      </c>
      <c r="X585" s="1" t="s">
        <v>11157</v>
      </c>
      <c r="Y585" s="1" t="s">
        <v>333</v>
      </c>
      <c r="Z585" s="1" t="s">
        <v>97</v>
      </c>
      <c r="AA585" s="1" t="s">
        <v>11157</v>
      </c>
      <c r="AB585" s="1" t="s">
        <v>333</v>
      </c>
      <c r="AC585" s="1" t="s">
        <v>97</v>
      </c>
      <c r="AD585" s="1">
        <v>8.0</v>
      </c>
      <c r="AE585" s="1" t="s">
        <v>98</v>
      </c>
      <c r="AF585" s="1" t="s">
        <v>11158</v>
      </c>
      <c r="AG585" s="1" t="s">
        <v>165</v>
      </c>
      <c r="AH585" s="1" t="s">
        <v>170</v>
      </c>
      <c r="AI585" s="1" t="s">
        <v>286</v>
      </c>
      <c r="AJ585" s="1">
        <v>75.8</v>
      </c>
      <c r="AK585" s="1"/>
      <c r="AL585" s="1" t="s">
        <v>11159</v>
      </c>
      <c r="AM585" s="1" t="s">
        <v>165</v>
      </c>
      <c r="AN585" s="1"/>
      <c r="AO585" s="1" t="s">
        <v>203</v>
      </c>
      <c r="AP585" s="1" t="s">
        <v>365</v>
      </c>
      <c r="AQ585" s="1">
        <v>73.85</v>
      </c>
      <c r="AR585" s="1"/>
      <c r="AS585" s="1"/>
      <c r="AT585" s="1"/>
      <c r="AU585" s="1"/>
      <c r="AV585" s="1"/>
      <c r="AW585" s="1"/>
      <c r="AX585" s="1"/>
      <c r="AY585" s="1" t="s">
        <v>11160</v>
      </c>
      <c r="AZ585" s="1" t="s">
        <v>11161</v>
      </c>
      <c r="BA585" s="1"/>
      <c r="BB585" s="1"/>
      <c r="BC585" s="1" t="s">
        <v>468</v>
      </c>
      <c r="BD585" s="1" t="s">
        <v>207</v>
      </c>
      <c r="BE585" s="1">
        <v>68.9</v>
      </c>
      <c r="BF585" s="1">
        <v>7.64</v>
      </c>
      <c r="BG585" s="1"/>
      <c r="BH585" s="1"/>
      <c r="BI585" s="1"/>
      <c r="BJ585" s="1"/>
      <c r="BK585" s="1"/>
      <c r="BL585" s="1"/>
      <c r="BM585" s="1"/>
      <c r="BN585" s="1"/>
      <c r="BO585" s="1" t="s">
        <v>11162</v>
      </c>
      <c r="BP585" s="1"/>
      <c r="BQ585" s="1"/>
      <c r="BR585" s="1" t="s">
        <v>11163</v>
      </c>
      <c r="BS585" s="1">
        <v>42</v>
      </c>
      <c r="BT585" s="1"/>
      <c r="BU585" s="1" t="str">
        <f>HYPERLINK("https://nconnect.nicmar.ac.in/storage/profile/ProfilePhoto_P25700587_216584.jpg","Download")</f>
        <v>0</v>
      </c>
      <c r="BV585" s="3"/>
      <c r="BW585" s="3"/>
    </row>
    <row r="586" spans="1:75">
      <c r="A586" s="1" t="s">
        <v>75</v>
      </c>
      <c r="B586" s="1" t="s">
        <v>446</v>
      </c>
      <c r="C586" s="1" t="s">
        <v>11164</v>
      </c>
      <c r="D586" s="1" t="s">
        <v>11165</v>
      </c>
      <c r="E586" s="1"/>
      <c r="F586" s="1" t="s">
        <v>11166</v>
      </c>
      <c r="G586" s="1" t="s">
        <v>11167</v>
      </c>
      <c r="H586" s="1" t="s">
        <v>11168</v>
      </c>
      <c r="I586" s="1" t="s">
        <v>11169</v>
      </c>
      <c r="J586" s="1">
        <v>9686028662</v>
      </c>
      <c r="K586" s="1" t="s">
        <v>153</v>
      </c>
      <c r="L586" s="1" t="s">
        <v>11170</v>
      </c>
      <c r="M586" s="1" t="s">
        <v>86</v>
      </c>
      <c r="N586" s="1" t="s">
        <v>4178</v>
      </c>
      <c r="O586" s="1"/>
      <c r="P586" s="1" t="s">
        <v>481</v>
      </c>
      <c r="Q586" s="1" t="s">
        <v>11171</v>
      </c>
      <c r="R586" s="1" t="s">
        <v>11172</v>
      </c>
      <c r="S586" s="1">
        <v>9844658446</v>
      </c>
      <c r="T586" s="1" t="s">
        <v>2950</v>
      </c>
      <c r="U586" s="1" t="s">
        <v>11173</v>
      </c>
      <c r="V586" s="1">
        <v>9900314017</v>
      </c>
      <c r="W586" s="1" t="s">
        <v>94</v>
      </c>
      <c r="X586" s="1" t="s">
        <v>11174</v>
      </c>
      <c r="Y586" s="1" t="s">
        <v>3132</v>
      </c>
      <c r="Z586" s="1" t="s">
        <v>1210</v>
      </c>
      <c r="AA586" s="1" t="s">
        <v>11174</v>
      </c>
      <c r="AB586" s="1" t="s">
        <v>3132</v>
      </c>
      <c r="AC586" s="1" t="s">
        <v>1210</v>
      </c>
      <c r="AD586" s="1">
        <v>9.1</v>
      </c>
      <c r="AE586" s="1" t="s">
        <v>98</v>
      </c>
      <c r="AF586" s="1" t="s">
        <v>11175</v>
      </c>
      <c r="AG586" s="1" t="s">
        <v>312</v>
      </c>
      <c r="AH586" s="1" t="s">
        <v>167</v>
      </c>
      <c r="AI586" s="1" t="s">
        <v>170</v>
      </c>
      <c r="AJ586" s="1">
        <v>85.5</v>
      </c>
      <c r="AK586" s="1">
        <v>9</v>
      </c>
      <c r="AL586" s="1" t="s">
        <v>11176</v>
      </c>
      <c r="AM586" s="1" t="s">
        <v>4186</v>
      </c>
      <c r="AN586" s="1"/>
      <c r="AO586" s="1" t="s">
        <v>106</v>
      </c>
      <c r="AP586" s="1" t="s">
        <v>547</v>
      </c>
      <c r="AQ586" s="1">
        <v>79</v>
      </c>
      <c r="AR586" s="1"/>
      <c r="AS586" s="1"/>
      <c r="AT586" s="1"/>
      <c r="AU586" s="1"/>
      <c r="AV586" s="1"/>
      <c r="AW586" s="1"/>
      <c r="AX586" s="1"/>
      <c r="AY586" s="1" t="s">
        <v>4187</v>
      </c>
      <c r="AZ586" s="1" t="s">
        <v>11177</v>
      </c>
      <c r="BA586" s="1"/>
      <c r="BB586" s="1"/>
      <c r="BC586" s="1" t="s">
        <v>206</v>
      </c>
      <c r="BD586" s="1" t="s">
        <v>1089</v>
      </c>
      <c r="BE586" s="1">
        <v>68.8</v>
      </c>
      <c r="BF586" s="1">
        <v>7.63</v>
      </c>
      <c r="BG586" s="1"/>
      <c r="BH586" s="1"/>
      <c r="BI586" s="1"/>
      <c r="BJ586" s="1"/>
      <c r="BK586" s="1"/>
      <c r="BL586" s="1"/>
      <c r="BM586" s="1"/>
      <c r="BN586" s="1"/>
      <c r="BO586" s="1" t="s">
        <v>11178</v>
      </c>
      <c r="BP586" s="1" t="s">
        <v>11179</v>
      </c>
      <c r="BQ586" s="1" t="s">
        <v>9405</v>
      </c>
      <c r="BR586" s="1" t="s">
        <v>11180</v>
      </c>
      <c r="BS586" s="1">
        <v>24</v>
      </c>
      <c r="BT586" s="1" t="s">
        <v>11181</v>
      </c>
      <c r="BU586" s="1" t="str">
        <f>HYPERLINK("https://nconnect.nicmar.ac.in/storage/profile/ProfilePhoto_P25700588_849236.jpg","Download")</f>
        <v>0</v>
      </c>
      <c r="BV586" s="3"/>
      <c r="BW586" s="3"/>
    </row>
    <row r="587" spans="1:75">
      <c r="A587" s="1" t="s">
        <v>75</v>
      </c>
      <c r="B587" s="1" t="s">
        <v>446</v>
      </c>
      <c r="C587" s="1" t="s">
        <v>11182</v>
      </c>
      <c r="D587" s="1" t="s">
        <v>3493</v>
      </c>
      <c r="E587" s="1"/>
      <c r="F587" s="1" t="s">
        <v>11183</v>
      </c>
      <c r="G587" s="1" t="s">
        <v>11184</v>
      </c>
      <c r="H587" s="1" t="s">
        <v>11185</v>
      </c>
      <c r="I587" s="1" t="s">
        <v>11186</v>
      </c>
      <c r="J587" s="1">
        <v>8890169699</v>
      </c>
      <c r="K587" s="1" t="s">
        <v>84</v>
      </c>
      <c r="L587" s="1" t="s">
        <v>11187</v>
      </c>
      <c r="M587" s="1" t="s">
        <v>86</v>
      </c>
      <c r="N587" s="1" t="s">
        <v>2081</v>
      </c>
      <c r="O587" s="1" t="s">
        <v>11188</v>
      </c>
      <c r="P587" s="1" t="s">
        <v>122</v>
      </c>
      <c r="Q587" s="1" t="s">
        <v>11189</v>
      </c>
      <c r="R587" s="1" t="s">
        <v>11190</v>
      </c>
      <c r="S587" s="1">
        <v>8619349481</v>
      </c>
      <c r="T587" s="1" t="s">
        <v>125</v>
      </c>
      <c r="U587" s="1" t="s">
        <v>11191</v>
      </c>
      <c r="V587" s="1">
        <v>9413764080</v>
      </c>
      <c r="W587" s="1" t="s">
        <v>94</v>
      </c>
      <c r="X587" s="1" t="s">
        <v>11192</v>
      </c>
      <c r="Y587" s="1" t="s">
        <v>8184</v>
      </c>
      <c r="Z587" s="1" t="s">
        <v>2153</v>
      </c>
      <c r="AA587" s="1" t="s">
        <v>11192</v>
      </c>
      <c r="AB587" s="1" t="s">
        <v>8184</v>
      </c>
      <c r="AC587" s="1" t="s">
        <v>2153</v>
      </c>
      <c r="AD587" s="1">
        <v>8.23</v>
      </c>
      <c r="AE587" s="1" t="s">
        <v>98</v>
      </c>
      <c r="AF587" s="1" t="s">
        <v>11193</v>
      </c>
      <c r="AG587" s="1" t="s">
        <v>11194</v>
      </c>
      <c r="AH587" s="1" t="s">
        <v>136</v>
      </c>
      <c r="AI587" s="1" t="s">
        <v>627</v>
      </c>
      <c r="AJ587" s="1">
        <v>89.3</v>
      </c>
      <c r="AK587" s="1">
        <v>9.4</v>
      </c>
      <c r="AL587" s="1" t="s">
        <v>11195</v>
      </c>
      <c r="AM587" s="1" t="s">
        <v>11196</v>
      </c>
      <c r="AN587" s="1" t="s">
        <v>465</v>
      </c>
      <c r="AO587" s="1" t="s">
        <v>573</v>
      </c>
      <c r="AP587" s="1" t="s">
        <v>171</v>
      </c>
      <c r="AQ587" s="1">
        <v>68.8</v>
      </c>
      <c r="AR587" s="1"/>
      <c r="AS587" s="1"/>
      <c r="AT587" s="1"/>
      <c r="AU587" s="1"/>
      <c r="AV587" s="1"/>
      <c r="AW587" s="1"/>
      <c r="AX587" s="1"/>
      <c r="AY587" s="1" t="s">
        <v>3771</v>
      </c>
      <c r="AZ587" s="1" t="s">
        <v>11197</v>
      </c>
      <c r="BA587" s="1" t="s">
        <v>466</v>
      </c>
      <c r="BB587" s="1" t="s">
        <v>467</v>
      </c>
      <c r="BC587" s="1" t="s">
        <v>174</v>
      </c>
      <c r="BD587" s="1" t="s">
        <v>1400</v>
      </c>
      <c r="BE587" s="1">
        <v>84.6</v>
      </c>
      <c r="BF587" s="1">
        <v>8.46</v>
      </c>
      <c r="BG587" s="1"/>
      <c r="BH587" s="1"/>
      <c r="BI587" s="1"/>
      <c r="BJ587" s="1"/>
      <c r="BK587" s="1"/>
      <c r="BL587" s="1"/>
      <c r="BM587" s="1"/>
      <c r="BN587" s="1"/>
      <c r="BO587" s="1" t="s">
        <v>11198</v>
      </c>
      <c r="BP587" s="1" t="s">
        <v>11199</v>
      </c>
      <c r="BQ587" s="1" t="s">
        <v>1070</v>
      </c>
      <c r="BR587" s="1" t="s">
        <v>11200</v>
      </c>
      <c r="BS587" s="1">
        <v>25</v>
      </c>
      <c r="BT587" s="1"/>
      <c r="BU587" s="1" t="str">
        <f>HYPERLINK("https://nconnect.nicmar.ac.in/storage/profile/ProfilePhoto_P25700589_315784.jpg","Download")</f>
        <v>0</v>
      </c>
      <c r="BV587" s="3"/>
      <c r="BW587" s="4">
        <v>1</v>
      </c>
    </row>
    <row r="588" spans="1:75">
      <c r="A588" s="1" t="s">
        <v>75</v>
      </c>
      <c r="B588" s="1" t="s">
        <v>446</v>
      </c>
      <c r="C588" s="1" t="s">
        <v>11201</v>
      </c>
      <c r="D588" s="1" t="s">
        <v>9388</v>
      </c>
      <c r="E588" s="1" t="s">
        <v>1320</v>
      </c>
      <c r="F588" s="1" t="s">
        <v>3910</v>
      </c>
      <c r="G588" s="1" t="s">
        <v>11202</v>
      </c>
      <c r="H588" s="1" t="s">
        <v>11203</v>
      </c>
      <c r="I588" s="1" t="s">
        <v>11204</v>
      </c>
      <c r="J588" s="1">
        <v>9778888438</v>
      </c>
      <c r="K588" s="1" t="s">
        <v>84</v>
      </c>
      <c r="L588" s="1" t="s">
        <v>11205</v>
      </c>
      <c r="M588" s="1" t="s">
        <v>86</v>
      </c>
      <c r="N588" s="1" t="s">
        <v>858</v>
      </c>
      <c r="O588" s="1"/>
      <c r="P588" s="1" t="s">
        <v>1028</v>
      </c>
      <c r="Q588" s="1" t="s">
        <v>11206</v>
      </c>
      <c r="R588" s="1" t="s">
        <v>11207</v>
      </c>
      <c r="S588" s="1">
        <v>9556882551</v>
      </c>
      <c r="T588" s="1" t="s">
        <v>92</v>
      </c>
      <c r="U588" s="1" t="s">
        <v>11208</v>
      </c>
      <c r="V588" s="1">
        <v>9348985862</v>
      </c>
      <c r="W588" s="1" t="s">
        <v>161</v>
      </c>
      <c r="X588" s="1" t="s">
        <v>11209</v>
      </c>
      <c r="Y588" s="1" t="s">
        <v>11210</v>
      </c>
      <c r="Z588" s="1" t="s">
        <v>865</v>
      </c>
      <c r="AA588" s="1" t="s">
        <v>11209</v>
      </c>
      <c r="AB588" s="1" t="s">
        <v>11210</v>
      </c>
      <c r="AC588" s="1" t="s">
        <v>865</v>
      </c>
      <c r="AD588" s="1">
        <v>8.54</v>
      </c>
      <c r="AE588" s="1" t="s">
        <v>98</v>
      </c>
      <c r="AF588" s="1" t="s">
        <v>11211</v>
      </c>
      <c r="AG588" s="1" t="s">
        <v>11212</v>
      </c>
      <c r="AH588" s="1" t="s">
        <v>136</v>
      </c>
      <c r="AI588" s="1" t="s">
        <v>627</v>
      </c>
      <c r="AJ588" s="1">
        <v>91.2</v>
      </c>
      <c r="AK588" s="1">
        <v>9.6</v>
      </c>
      <c r="AL588" s="1" t="s">
        <v>11211</v>
      </c>
      <c r="AM588" s="1" t="s">
        <v>11212</v>
      </c>
      <c r="AN588" s="1" t="s">
        <v>465</v>
      </c>
      <c r="AO588" s="1" t="s">
        <v>573</v>
      </c>
      <c r="AP588" s="1" t="s">
        <v>106</v>
      </c>
      <c r="AQ588" s="1">
        <v>80.6</v>
      </c>
      <c r="AR588" s="1"/>
      <c r="AS588" s="1"/>
      <c r="AT588" s="1"/>
      <c r="AU588" s="1"/>
      <c r="AV588" s="1"/>
      <c r="AW588" s="1"/>
      <c r="AX588" s="1"/>
      <c r="AY588" s="1" t="s">
        <v>4441</v>
      </c>
      <c r="AZ588" s="1" t="s">
        <v>11213</v>
      </c>
      <c r="BA588" s="1" t="s">
        <v>466</v>
      </c>
      <c r="BB588" s="1" t="s">
        <v>467</v>
      </c>
      <c r="BC588" s="1" t="s">
        <v>178</v>
      </c>
      <c r="BD588" s="1" t="s">
        <v>1242</v>
      </c>
      <c r="BE588" s="1">
        <v>65.8</v>
      </c>
      <c r="BF588" s="1">
        <v>7.08</v>
      </c>
      <c r="BG588" s="1"/>
      <c r="BH588" s="1"/>
      <c r="BI588" s="1"/>
      <c r="BJ588" s="1"/>
      <c r="BK588" s="1"/>
      <c r="BL588" s="1"/>
      <c r="BM588" s="1"/>
      <c r="BN588" s="1"/>
      <c r="BO588" s="1" t="s">
        <v>1114</v>
      </c>
      <c r="BP588" s="1"/>
      <c r="BQ588" s="1"/>
      <c r="BR588" s="1" t="s">
        <v>11214</v>
      </c>
      <c r="BS588" s="1">
        <v>13</v>
      </c>
      <c r="BT588" s="1" t="s">
        <v>11215</v>
      </c>
      <c r="BU588" s="1" t="str">
        <f>HYPERLINK("https://nconnect.nicmar.ac.in/storage/profile/ProfilePhoto_P25700590_136924.jpg","Download")</f>
        <v>0</v>
      </c>
      <c r="BV588" s="3"/>
      <c r="BW588" s="3"/>
    </row>
    <row r="589" spans="1:75">
      <c r="A589" s="1" t="s">
        <v>75</v>
      </c>
      <c r="B589" s="1" t="s">
        <v>446</v>
      </c>
      <c r="C589" s="1" t="s">
        <v>11216</v>
      </c>
      <c r="D589" s="1" t="s">
        <v>11217</v>
      </c>
      <c r="E589" s="1" t="s">
        <v>11218</v>
      </c>
      <c r="F589" s="1" t="s">
        <v>11219</v>
      </c>
      <c r="G589" s="1" t="s">
        <v>11220</v>
      </c>
      <c r="H589" s="1" t="s">
        <v>11221</v>
      </c>
      <c r="I589" s="1" t="s">
        <v>11222</v>
      </c>
      <c r="J589" s="1">
        <v>7058619818</v>
      </c>
      <c r="K589" s="1" t="s">
        <v>84</v>
      </c>
      <c r="L589" s="1" t="s">
        <v>11223</v>
      </c>
      <c r="M589" s="1" t="s">
        <v>86</v>
      </c>
      <c r="N589" s="1" t="s">
        <v>11224</v>
      </c>
      <c r="O589" s="1"/>
      <c r="P589" s="1" t="s">
        <v>455</v>
      </c>
      <c r="Q589" s="1" t="s">
        <v>11225</v>
      </c>
      <c r="R589" s="1" t="s">
        <v>11226</v>
      </c>
      <c r="S589" s="1">
        <v>8806477198</v>
      </c>
      <c r="T589" s="1" t="s">
        <v>11227</v>
      </c>
      <c r="U589" s="1" t="s">
        <v>11228</v>
      </c>
      <c r="V589" s="1">
        <v>7058375013</v>
      </c>
      <c r="W589" s="1" t="s">
        <v>11229</v>
      </c>
      <c r="X589" s="1" t="s">
        <v>11230</v>
      </c>
      <c r="Y589" s="1" t="s">
        <v>1989</v>
      </c>
      <c r="Z589" s="1" t="s">
        <v>97</v>
      </c>
      <c r="AA589" s="1" t="s">
        <v>11230</v>
      </c>
      <c r="AB589" s="1" t="s">
        <v>1989</v>
      </c>
      <c r="AC589" s="1" t="s">
        <v>97</v>
      </c>
      <c r="AD589" s="1">
        <v>8.54</v>
      </c>
      <c r="AE589" s="1" t="s">
        <v>98</v>
      </c>
      <c r="AF589" s="1" t="s">
        <v>11231</v>
      </c>
      <c r="AG589" s="1" t="s">
        <v>165</v>
      </c>
      <c r="AH589" s="1" t="s">
        <v>167</v>
      </c>
      <c r="AI589" s="1" t="s">
        <v>388</v>
      </c>
      <c r="AJ589" s="1">
        <v>90.8</v>
      </c>
      <c r="AK589" s="1">
        <v>0</v>
      </c>
      <c r="AL589" s="1" t="s">
        <v>11232</v>
      </c>
      <c r="AM589" s="1" t="s">
        <v>165</v>
      </c>
      <c r="AN589" s="1"/>
      <c r="AO589" s="1" t="s">
        <v>106</v>
      </c>
      <c r="AP589" s="1" t="s">
        <v>203</v>
      </c>
      <c r="AQ589" s="1">
        <v>58</v>
      </c>
      <c r="AR589" s="1">
        <v>0</v>
      </c>
      <c r="AS589" s="1" t="s">
        <v>103</v>
      </c>
      <c r="AT589" s="1" t="s">
        <v>11233</v>
      </c>
      <c r="AU589" s="1" t="s">
        <v>438</v>
      </c>
      <c r="AV589" s="1" t="s">
        <v>441</v>
      </c>
      <c r="AW589" s="1">
        <v>87.47</v>
      </c>
      <c r="AX589" s="1">
        <v>0</v>
      </c>
      <c r="AY589" s="1" t="s">
        <v>3713</v>
      </c>
      <c r="AZ589" s="1" t="s">
        <v>11234</v>
      </c>
      <c r="BA589" s="1"/>
      <c r="BB589" s="1"/>
      <c r="BC589" s="1" t="s">
        <v>871</v>
      </c>
      <c r="BD589" s="1" t="s">
        <v>207</v>
      </c>
      <c r="BE589" s="1">
        <v>70.5</v>
      </c>
      <c r="BF589" s="1">
        <v>7.8</v>
      </c>
      <c r="BG589" s="1"/>
      <c r="BH589" s="1"/>
      <c r="BI589" s="1"/>
      <c r="BJ589" s="1"/>
      <c r="BK589" s="1"/>
      <c r="BL589" s="1"/>
      <c r="BM589" s="1"/>
      <c r="BN589" s="1"/>
      <c r="BO589" s="1" t="s">
        <v>11235</v>
      </c>
      <c r="BP589" s="1" t="s">
        <v>11236</v>
      </c>
      <c r="BQ589" s="1" t="s">
        <v>1070</v>
      </c>
      <c r="BR589" s="1" t="s">
        <v>11237</v>
      </c>
      <c r="BS589" s="1">
        <v>30</v>
      </c>
      <c r="BT589" s="1"/>
      <c r="BU589" s="1" t="str">
        <f>HYPERLINK("https://nconnect.nicmar.ac.in/storage/profile/ProfilePhoto_P25700591_413927.jpg","Download")</f>
        <v>0</v>
      </c>
      <c r="BV589" s="3"/>
      <c r="BW589" s="3"/>
    </row>
    <row r="590" spans="1:75">
      <c r="A590" s="1" t="s">
        <v>75</v>
      </c>
      <c r="B590" s="1" t="s">
        <v>446</v>
      </c>
      <c r="C590" s="1" t="s">
        <v>11238</v>
      </c>
      <c r="D590" s="1" t="s">
        <v>11239</v>
      </c>
      <c r="E590" s="1"/>
      <c r="F590" s="1" t="s">
        <v>530</v>
      </c>
      <c r="G590" s="1" t="s">
        <v>11240</v>
      </c>
      <c r="H590" s="1" t="s">
        <v>11241</v>
      </c>
      <c r="I590" s="1" t="s">
        <v>11242</v>
      </c>
      <c r="J590" s="1">
        <v>7876584754</v>
      </c>
      <c r="K590" s="1" t="s">
        <v>84</v>
      </c>
      <c r="L590" s="1" t="s">
        <v>11243</v>
      </c>
      <c r="M590" s="1" t="s">
        <v>86</v>
      </c>
      <c r="N590" s="1" t="s">
        <v>4857</v>
      </c>
      <c r="O590" s="1" t="s">
        <v>11244</v>
      </c>
      <c r="P590" s="1" t="s">
        <v>481</v>
      </c>
      <c r="Q590" s="1" t="s">
        <v>11245</v>
      </c>
      <c r="R590" s="1" t="s">
        <v>11246</v>
      </c>
      <c r="S590" s="1">
        <v>9418893004</v>
      </c>
      <c r="T590" s="1" t="s">
        <v>1577</v>
      </c>
      <c r="U590" s="1" t="s">
        <v>11247</v>
      </c>
      <c r="V590" s="1">
        <v>9418421722</v>
      </c>
      <c r="W590" s="1" t="s">
        <v>11248</v>
      </c>
      <c r="X590" s="1" t="s">
        <v>11249</v>
      </c>
      <c r="Y590" s="1" t="s">
        <v>2607</v>
      </c>
      <c r="Z590" s="1" t="s">
        <v>2608</v>
      </c>
      <c r="AA590" s="1" t="s">
        <v>11249</v>
      </c>
      <c r="AB590" s="1" t="s">
        <v>2607</v>
      </c>
      <c r="AC590" s="1" t="s">
        <v>2608</v>
      </c>
      <c r="AD590" s="1">
        <v>8.62</v>
      </c>
      <c r="AE590" s="1" t="s">
        <v>98</v>
      </c>
      <c r="AF590" s="1" t="s">
        <v>11250</v>
      </c>
      <c r="AG590" s="1" t="s">
        <v>2155</v>
      </c>
      <c r="AH590" s="1" t="s">
        <v>167</v>
      </c>
      <c r="AI590" s="1" t="s">
        <v>170</v>
      </c>
      <c r="AJ590" s="1">
        <v>91.2</v>
      </c>
      <c r="AK590" s="1">
        <v>9.6</v>
      </c>
      <c r="AL590" s="1" t="s">
        <v>11250</v>
      </c>
      <c r="AM590" s="1" t="s">
        <v>2155</v>
      </c>
      <c r="AN590" s="1" t="s">
        <v>465</v>
      </c>
      <c r="AO590" s="1" t="s">
        <v>490</v>
      </c>
      <c r="AP590" s="1" t="s">
        <v>313</v>
      </c>
      <c r="AQ590" s="1">
        <v>83.2</v>
      </c>
      <c r="AR590" s="1">
        <v>8.7</v>
      </c>
      <c r="AS590" s="1"/>
      <c r="AT590" s="1"/>
      <c r="AU590" s="1"/>
      <c r="AV590" s="1"/>
      <c r="AW590" s="1"/>
      <c r="AX590" s="1"/>
      <c r="AY590" s="1" t="s">
        <v>11251</v>
      </c>
      <c r="AZ590" s="1" t="s">
        <v>11252</v>
      </c>
      <c r="BA590" s="1" t="s">
        <v>466</v>
      </c>
      <c r="BB590" s="1" t="s">
        <v>467</v>
      </c>
      <c r="BC590" s="1" t="s">
        <v>206</v>
      </c>
      <c r="BD590" s="1" t="s">
        <v>955</v>
      </c>
      <c r="BE590" s="1">
        <v>64.98</v>
      </c>
      <c r="BF590" s="1">
        <v>6.84</v>
      </c>
      <c r="BG590" s="1"/>
      <c r="BH590" s="1"/>
      <c r="BI590" s="1"/>
      <c r="BJ590" s="1"/>
      <c r="BK590" s="1"/>
      <c r="BL590" s="1"/>
      <c r="BM590" s="1"/>
      <c r="BN590" s="1"/>
      <c r="BO590" s="1" t="s">
        <v>1114</v>
      </c>
      <c r="BP590" s="1"/>
      <c r="BQ590" s="1"/>
      <c r="BR590" s="1" t="s">
        <v>11253</v>
      </c>
      <c r="BS590" s="1">
        <v>30</v>
      </c>
      <c r="BT590" s="1"/>
      <c r="BU590" s="1" t="str">
        <f>HYPERLINK("https://nconnect.nicmar.ac.in/storage/profile/ProfilePhoto_P25700592_416579.jpg","Download")</f>
        <v>0</v>
      </c>
      <c r="BV590" s="3"/>
      <c r="BW590" s="3"/>
    </row>
    <row r="591" spans="1:75">
      <c r="A591" s="1" t="s">
        <v>75</v>
      </c>
      <c r="B591" s="1" t="s">
        <v>446</v>
      </c>
      <c r="C591" s="1" t="s">
        <v>11254</v>
      </c>
      <c r="D591" s="1" t="s">
        <v>11255</v>
      </c>
      <c r="E591" s="1" t="s">
        <v>5753</v>
      </c>
      <c r="F591" s="1" t="s">
        <v>11256</v>
      </c>
      <c r="G591" s="1" t="s">
        <v>11257</v>
      </c>
      <c r="H591" s="1" t="s">
        <v>11258</v>
      </c>
      <c r="I591" s="1" t="s">
        <v>11259</v>
      </c>
      <c r="J591" s="1">
        <v>9403058818</v>
      </c>
      <c r="K591" s="1" t="s">
        <v>84</v>
      </c>
      <c r="L591" s="1" t="s">
        <v>11260</v>
      </c>
      <c r="M591" s="1" t="s">
        <v>86</v>
      </c>
      <c r="N591" s="1" t="s">
        <v>11261</v>
      </c>
      <c r="O591" s="1"/>
      <c r="P591" s="1" t="s">
        <v>507</v>
      </c>
      <c r="Q591" s="1" t="s">
        <v>11262</v>
      </c>
      <c r="R591" s="1" t="s">
        <v>11263</v>
      </c>
      <c r="S591" s="1">
        <v>1234567890</v>
      </c>
      <c r="T591" s="1" t="s">
        <v>98</v>
      </c>
      <c r="U591" s="1" t="s">
        <v>11264</v>
      </c>
      <c r="V591" s="1">
        <v>9423778073</v>
      </c>
      <c r="W591" s="1" t="s">
        <v>11265</v>
      </c>
      <c r="X591" s="1" t="s">
        <v>11266</v>
      </c>
      <c r="Y591" s="1" t="s">
        <v>196</v>
      </c>
      <c r="Z591" s="1" t="s">
        <v>97</v>
      </c>
      <c r="AA591" s="1" t="s">
        <v>11266</v>
      </c>
      <c r="AB591" s="1" t="s">
        <v>196</v>
      </c>
      <c r="AC591" s="1" t="s">
        <v>97</v>
      </c>
      <c r="AD591" s="1">
        <v>8.64</v>
      </c>
      <c r="AE591" s="1" t="s">
        <v>98</v>
      </c>
      <c r="AF591" s="1" t="s">
        <v>11267</v>
      </c>
      <c r="AG591" s="1" t="s">
        <v>11268</v>
      </c>
      <c r="AH591" s="1" t="s">
        <v>134</v>
      </c>
      <c r="AI591" s="1" t="s">
        <v>171</v>
      </c>
      <c r="AJ591" s="1">
        <v>79.8</v>
      </c>
      <c r="AK591" s="1">
        <v>7.98</v>
      </c>
      <c r="AL591" s="1" t="s">
        <v>11269</v>
      </c>
      <c r="AM591" s="1" t="s">
        <v>11268</v>
      </c>
      <c r="AN591" s="1"/>
      <c r="AO591" s="1" t="s">
        <v>171</v>
      </c>
      <c r="AP591" s="1" t="s">
        <v>178</v>
      </c>
      <c r="AQ591" s="1">
        <v>73.85</v>
      </c>
      <c r="AR591" s="1">
        <v>7.38</v>
      </c>
      <c r="AS591" s="1"/>
      <c r="AT591" s="1"/>
      <c r="AU591" s="1"/>
      <c r="AV591" s="1"/>
      <c r="AW591" s="1"/>
      <c r="AX591" s="1"/>
      <c r="AY591" s="1" t="s">
        <v>9545</v>
      </c>
      <c r="AZ591" s="1" t="s">
        <v>11270</v>
      </c>
      <c r="BA591" s="1"/>
      <c r="BB591" s="1"/>
      <c r="BC591" s="1" t="s">
        <v>603</v>
      </c>
      <c r="BD591" s="1" t="s">
        <v>848</v>
      </c>
      <c r="BE591" s="1">
        <v>67.64</v>
      </c>
      <c r="BF591" s="1">
        <v>7.12</v>
      </c>
      <c r="BG591" s="1"/>
      <c r="BH591" s="1"/>
      <c r="BI591" s="1"/>
      <c r="BJ591" s="1"/>
      <c r="BK591" s="1"/>
      <c r="BL591" s="1"/>
      <c r="BM591" s="1"/>
      <c r="BN591" s="1"/>
      <c r="BO591" s="1" t="s">
        <v>11271</v>
      </c>
      <c r="BP591" s="1"/>
      <c r="BQ591" s="1"/>
      <c r="BR591" s="1" t="s">
        <v>11272</v>
      </c>
      <c r="BS591" s="1">
        <v>26</v>
      </c>
      <c r="BT591" s="1" t="s">
        <v>11273</v>
      </c>
      <c r="BU591" s="1" t="str">
        <f>HYPERLINK("https://nconnect.nicmar.ac.in/storage/profile/ProfilePhoto_P25700593_914835.jpg","Download")</f>
        <v>0</v>
      </c>
      <c r="BV591" s="3"/>
      <c r="BW591" s="3"/>
    </row>
    <row r="592" spans="1:75">
      <c r="A592" s="1" t="s">
        <v>75</v>
      </c>
      <c r="B592" s="1" t="s">
        <v>446</v>
      </c>
      <c r="C592" s="1" t="s">
        <v>11274</v>
      </c>
      <c r="D592" s="1" t="s">
        <v>11275</v>
      </c>
      <c r="E592" s="1"/>
      <c r="F592" s="1" t="s">
        <v>11276</v>
      </c>
      <c r="G592" s="1" t="s">
        <v>11277</v>
      </c>
      <c r="H592" s="1" t="s">
        <v>11278</v>
      </c>
      <c r="I592" s="1" t="s">
        <v>11279</v>
      </c>
      <c r="J592" s="1">
        <v>8827043777</v>
      </c>
      <c r="K592" s="1" t="s">
        <v>153</v>
      </c>
      <c r="L592" s="1" t="s">
        <v>11280</v>
      </c>
      <c r="M592" s="1" t="s">
        <v>86</v>
      </c>
      <c r="N592" s="1" t="s">
        <v>4278</v>
      </c>
      <c r="O592" s="1"/>
      <c r="P592" s="1" t="s">
        <v>455</v>
      </c>
      <c r="Q592" s="1" t="s">
        <v>11281</v>
      </c>
      <c r="R592" s="1" t="s">
        <v>11282</v>
      </c>
      <c r="S592" s="1">
        <v>9425224720</v>
      </c>
      <c r="T592" s="1" t="s">
        <v>926</v>
      </c>
      <c r="U592" s="1" t="s">
        <v>11283</v>
      </c>
      <c r="V592" s="1">
        <v>9589902131</v>
      </c>
      <c r="W592" s="1" t="s">
        <v>161</v>
      </c>
      <c r="X592" s="1" t="s">
        <v>11284</v>
      </c>
      <c r="Y592" s="1" t="s">
        <v>11285</v>
      </c>
      <c r="Z592" s="1" t="s">
        <v>2933</v>
      </c>
      <c r="AA592" s="1" t="s">
        <v>11284</v>
      </c>
      <c r="AB592" s="1" t="s">
        <v>11285</v>
      </c>
      <c r="AC592" s="1" t="s">
        <v>2933</v>
      </c>
      <c r="AD592" s="1">
        <v>8.05</v>
      </c>
      <c r="AE592" s="1" t="s">
        <v>98</v>
      </c>
      <c r="AF592" s="1" t="s">
        <v>11286</v>
      </c>
      <c r="AG592" s="1" t="s">
        <v>703</v>
      </c>
      <c r="AH592" s="1" t="s">
        <v>1110</v>
      </c>
      <c r="AI592" s="1" t="s">
        <v>627</v>
      </c>
      <c r="AJ592" s="1">
        <v>91.2</v>
      </c>
      <c r="AK592" s="1">
        <v>9.6</v>
      </c>
      <c r="AL592" s="1" t="s">
        <v>11286</v>
      </c>
      <c r="AM592" s="1" t="s">
        <v>703</v>
      </c>
      <c r="AN592" s="1" t="s">
        <v>465</v>
      </c>
      <c r="AO592" s="1" t="s">
        <v>704</v>
      </c>
      <c r="AP592" s="1" t="s">
        <v>171</v>
      </c>
      <c r="AQ592" s="1">
        <v>71.8</v>
      </c>
      <c r="AR592" s="1"/>
      <c r="AS592" s="1"/>
      <c r="AT592" s="1"/>
      <c r="AU592" s="1"/>
      <c r="AV592" s="1"/>
      <c r="AW592" s="1"/>
      <c r="AX592" s="1"/>
      <c r="AY592" s="1" t="s">
        <v>415</v>
      </c>
      <c r="AZ592" s="1" t="s">
        <v>11287</v>
      </c>
      <c r="BA592" s="1" t="s">
        <v>682</v>
      </c>
      <c r="BB592" s="1" t="s">
        <v>683</v>
      </c>
      <c r="BC592" s="1" t="s">
        <v>1065</v>
      </c>
      <c r="BD592" s="1" t="s">
        <v>234</v>
      </c>
      <c r="BE592" s="1">
        <v>66.3</v>
      </c>
      <c r="BF592" s="1">
        <v>7.38</v>
      </c>
      <c r="BG592" s="1"/>
      <c r="BH592" s="1"/>
      <c r="BI592" s="1"/>
      <c r="BJ592" s="1"/>
      <c r="BK592" s="1"/>
      <c r="BL592" s="1"/>
      <c r="BM592" s="1"/>
      <c r="BN592" s="1"/>
      <c r="BO592" s="1" t="s">
        <v>11288</v>
      </c>
      <c r="BP592" s="1" t="s">
        <v>11289</v>
      </c>
      <c r="BQ592" s="1" t="s">
        <v>2093</v>
      </c>
      <c r="BR592" s="1" t="s">
        <v>11290</v>
      </c>
      <c r="BS592" s="1">
        <v>36</v>
      </c>
      <c r="BT592" s="1"/>
      <c r="BU592" s="1" t="str">
        <f>HYPERLINK("https://nconnect.nicmar.ac.in/storage/profile/ProfilePhoto_P25700594_156829.jpg","Download")</f>
        <v>0</v>
      </c>
      <c r="BV592" s="3"/>
      <c r="BW592" s="3"/>
    </row>
    <row r="593" spans="1:75">
      <c r="A593" s="1" t="s">
        <v>75</v>
      </c>
      <c r="B593" s="1" t="s">
        <v>446</v>
      </c>
      <c r="C593" s="1" t="s">
        <v>11291</v>
      </c>
      <c r="D593" s="1" t="s">
        <v>11292</v>
      </c>
      <c r="E593" s="1" t="s">
        <v>2098</v>
      </c>
      <c r="F593" s="1" t="s">
        <v>11293</v>
      </c>
      <c r="G593" s="1" t="s">
        <v>11294</v>
      </c>
      <c r="H593" s="1" t="s">
        <v>11295</v>
      </c>
      <c r="I593" s="1" t="s">
        <v>11296</v>
      </c>
      <c r="J593" s="1">
        <v>9975404883</v>
      </c>
      <c r="K593" s="1" t="s">
        <v>153</v>
      </c>
      <c r="L593" s="1" t="s">
        <v>5654</v>
      </c>
      <c r="M593" s="1" t="s">
        <v>86</v>
      </c>
      <c r="N593" s="1" t="s">
        <v>11297</v>
      </c>
      <c r="O593" s="1"/>
      <c r="P593" s="1" t="s">
        <v>507</v>
      </c>
      <c r="Q593" s="1" t="s">
        <v>11298</v>
      </c>
      <c r="R593" s="1" t="s">
        <v>11299</v>
      </c>
      <c r="S593" s="1">
        <v>9975403456</v>
      </c>
      <c r="T593" s="1" t="s">
        <v>5027</v>
      </c>
      <c r="U593" s="1" t="s">
        <v>11300</v>
      </c>
      <c r="V593" s="1">
        <v>9881348474</v>
      </c>
      <c r="W593" s="1" t="s">
        <v>94</v>
      </c>
      <c r="X593" s="1" t="s">
        <v>11301</v>
      </c>
      <c r="Y593" s="1" t="s">
        <v>11302</v>
      </c>
      <c r="Z593" s="1" t="s">
        <v>6549</v>
      </c>
      <c r="AA593" s="1" t="s">
        <v>11301</v>
      </c>
      <c r="AB593" s="1" t="s">
        <v>11302</v>
      </c>
      <c r="AC593" s="1" t="s">
        <v>6549</v>
      </c>
      <c r="AD593" s="1">
        <v>8.46</v>
      </c>
      <c r="AE593" s="1" t="s">
        <v>98</v>
      </c>
      <c r="AF593" s="1" t="s">
        <v>11303</v>
      </c>
      <c r="AG593" s="1" t="s">
        <v>11304</v>
      </c>
      <c r="AH593" s="1" t="s">
        <v>170</v>
      </c>
      <c r="AI593" s="1" t="s">
        <v>106</v>
      </c>
      <c r="AJ593" s="1">
        <v>82.66</v>
      </c>
      <c r="AK593" s="1"/>
      <c r="AL593" s="1" t="s">
        <v>11305</v>
      </c>
      <c r="AM593" s="1" t="s">
        <v>11304</v>
      </c>
      <c r="AN593" s="1"/>
      <c r="AO593" s="1" t="s">
        <v>438</v>
      </c>
      <c r="AP593" s="1" t="s">
        <v>468</v>
      </c>
      <c r="AQ593" s="1">
        <v>67.17</v>
      </c>
      <c r="AR593" s="1"/>
      <c r="AS593" s="1"/>
      <c r="AT593" s="1"/>
      <c r="AU593" s="1"/>
      <c r="AV593" s="1"/>
      <c r="AW593" s="1"/>
      <c r="AX593" s="1"/>
      <c r="AY593" s="1" t="s">
        <v>11306</v>
      </c>
      <c r="AZ593" s="1" t="s">
        <v>11307</v>
      </c>
      <c r="BA593" s="1"/>
      <c r="BB593" s="1"/>
      <c r="BC593" s="1" t="s">
        <v>1040</v>
      </c>
      <c r="BD593" s="1" t="s">
        <v>1268</v>
      </c>
      <c r="BE593" s="1">
        <v>79</v>
      </c>
      <c r="BF593" s="1">
        <v>8.65</v>
      </c>
      <c r="BG593" s="1"/>
      <c r="BH593" s="1"/>
      <c r="BI593" s="1"/>
      <c r="BJ593" s="1"/>
      <c r="BK593" s="1"/>
      <c r="BL593" s="1"/>
      <c r="BM593" s="1"/>
      <c r="BN593" s="1"/>
      <c r="BO593" s="1" t="s">
        <v>8477</v>
      </c>
      <c r="BP593" s="1"/>
      <c r="BQ593" s="1"/>
      <c r="BR593" s="1" t="s">
        <v>11308</v>
      </c>
      <c r="BS593" s="1">
        <v>16</v>
      </c>
      <c r="BT593" s="1" t="s">
        <v>11309</v>
      </c>
      <c r="BU593" s="1" t="str">
        <f>HYPERLINK("https://nconnect.nicmar.ac.in/storage/profile/ProfilePhoto_P25700595_861492.jpg","Download")</f>
        <v>0</v>
      </c>
      <c r="BV593" s="3"/>
      <c r="BW593" s="3"/>
    </row>
    <row r="594" spans="1:75">
      <c r="A594" s="1" t="s">
        <v>75</v>
      </c>
      <c r="B594" s="1" t="s">
        <v>446</v>
      </c>
      <c r="C594" s="1" t="s">
        <v>11310</v>
      </c>
      <c r="D594" s="1" t="s">
        <v>11311</v>
      </c>
      <c r="E594" s="1" t="s">
        <v>5482</v>
      </c>
      <c r="F594" s="1" t="s">
        <v>7446</v>
      </c>
      <c r="G594" s="1" t="s">
        <v>11312</v>
      </c>
      <c r="H594" s="1" t="s">
        <v>11313</v>
      </c>
      <c r="I594" s="1" t="s">
        <v>11314</v>
      </c>
      <c r="J594" s="1">
        <v>9922401880</v>
      </c>
      <c r="K594" s="1" t="s">
        <v>153</v>
      </c>
      <c r="L594" s="1" t="s">
        <v>2392</v>
      </c>
      <c r="M594" s="1" t="s">
        <v>86</v>
      </c>
      <c r="N594" s="1" t="s">
        <v>11315</v>
      </c>
      <c r="O594" s="1"/>
      <c r="P594" s="1" t="s">
        <v>481</v>
      </c>
      <c r="Q594" s="1" t="s">
        <v>11316</v>
      </c>
      <c r="R594" s="1" t="s">
        <v>11317</v>
      </c>
      <c r="S594" s="1">
        <v>7230953999</v>
      </c>
      <c r="T594" s="1" t="s">
        <v>645</v>
      </c>
      <c r="U594" s="1" t="s">
        <v>11318</v>
      </c>
      <c r="V594" s="1">
        <v>7231953999</v>
      </c>
      <c r="W594" s="1" t="s">
        <v>94</v>
      </c>
      <c r="X594" s="1" t="s">
        <v>11319</v>
      </c>
      <c r="Y594" s="1" t="s">
        <v>196</v>
      </c>
      <c r="Z594" s="1" t="s">
        <v>97</v>
      </c>
      <c r="AA594" s="1" t="s">
        <v>11319</v>
      </c>
      <c r="AB594" s="1" t="s">
        <v>196</v>
      </c>
      <c r="AC594" s="1" t="s">
        <v>97</v>
      </c>
      <c r="AD594" s="1">
        <v>8.87</v>
      </c>
      <c r="AE594" s="1" t="s">
        <v>98</v>
      </c>
      <c r="AF594" s="1" t="s">
        <v>11320</v>
      </c>
      <c r="AG594" s="1" t="s">
        <v>11321</v>
      </c>
      <c r="AH594" s="1" t="s">
        <v>166</v>
      </c>
      <c r="AI594" s="1" t="s">
        <v>1111</v>
      </c>
      <c r="AJ594" s="1">
        <v>91.2</v>
      </c>
      <c r="AK594" s="1"/>
      <c r="AL594" s="1" t="s">
        <v>11322</v>
      </c>
      <c r="AM594" s="1" t="s">
        <v>312</v>
      </c>
      <c r="AN594" s="1"/>
      <c r="AO594" s="1" t="s">
        <v>704</v>
      </c>
      <c r="AP594" s="1" t="s">
        <v>171</v>
      </c>
      <c r="AQ594" s="1">
        <v>79.4</v>
      </c>
      <c r="AR594" s="1"/>
      <c r="AS594" s="1"/>
      <c r="AT594" s="1"/>
      <c r="AU594" s="1"/>
      <c r="AV594" s="1"/>
      <c r="AW594" s="1"/>
      <c r="AX594" s="1"/>
      <c r="AY594" s="1" t="s">
        <v>366</v>
      </c>
      <c r="AZ594" s="1" t="s">
        <v>11323</v>
      </c>
      <c r="BA594" s="1"/>
      <c r="BB594" s="1"/>
      <c r="BC594" s="1" t="s">
        <v>1065</v>
      </c>
      <c r="BD594" s="1" t="s">
        <v>579</v>
      </c>
      <c r="BE594" s="1">
        <v>84.93</v>
      </c>
      <c r="BF594" s="1">
        <v>9.54</v>
      </c>
      <c r="BG594" s="1"/>
      <c r="BH594" s="1"/>
      <c r="BI594" s="1"/>
      <c r="BJ594" s="1"/>
      <c r="BK594" s="1"/>
      <c r="BL594" s="1"/>
      <c r="BM594" s="1"/>
      <c r="BN594" s="1"/>
      <c r="BO594" s="1" t="s">
        <v>11324</v>
      </c>
      <c r="BP594" s="1" t="s">
        <v>11325</v>
      </c>
      <c r="BQ594" s="1" t="s">
        <v>582</v>
      </c>
      <c r="BR594" s="1" t="s">
        <v>11326</v>
      </c>
      <c r="BS594" s="1">
        <v>35</v>
      </c>
      <c r="BT594" s="1" t="s">
        <v>11327</v>
      </c>
      <c r="BU594" s="1" t="str">
        <f>HYPERLINK("https://nconnect.nicmar.ac.in/storage/profile/ProfilePhoto_P25700596_394516.jpg","Download")</f>
        <v>0</v>
      </c>
      <c r="BV594" s="3"/>
      <c r="BW594" s="3"/>
    </row>
    <row r="595" spans="1:75">
      <c r="A595" s="1" t="s">
        <v>75</v>
      </c>
      <c r="B595" s="1" t="s">
        <v>446</v>
      </c>
      <c r="C595" s="1" t="s">
        <v>11328</v>
      </c>
      <c r="D595" s="1" t="s">
        <v>11329</v>
      </c>
      <c r="E595" s="1" t="s">
        <v>11330</v>
      </c>
      <c r="F595" s="1" t="s">
        <v>11331</v>
      </c>
      <c r="G595" s="1" t="s">
        <v>11332</v>
      </c>
      <c r="H595" s="1" t="s">
        <v>11333</v>
      </c>
      <c r="I595" s="1" t="s">
        <v>11334</v>
      </c>
      <c r="J595" s="1">
        <v>9606531866</v>
      </c>
      <c r="K595" s="1" t="s">
        <v>153</v>
      </c>
      <c r="L595" s="1" t="s">
        <v>11335</v>
      </c>
      <c r="M595" s="1" t="s">
        <v>86</v>
      </c>
      <c r="N595" s="1" t="s">
        <v>1203</v>
      </c>
      <c r="O595" s="1"/>
      <c r="P595" s="1" t="s">
        <v>507</v>
      </c>
      <c r="Q595" s="1" t="s">
        <v>11336</v>
      </c>
      <c r="R595" s="1" t="s">
        <v>11330</v>
      </c>
      <c r="S595" s="1">
        <v>9342951866</v>
      </c>
      <c r="T595" s="1" t="s">
        <v>11337</v>
      </c>
      <c r="U595" s="1" t="s">
        <v>11338</v>
      </c>
      <c r="V595" s="1">
        <v>9535198077</v>
      </c>
      <c r="W595" s="1" t="s">
        <v>94</v>
      </c>
      <c r="X595" s="1" t="s">
        <v>11339</v>
      </c>
      <c r="Y595" s="1" t="s">
        <v>3985</v>
      </c>
      <c r="Z595" s="1" t="s">
        <v>1210</v>
      </c>
      <c r="AA595" s="1" t="s">
        <v>11339</v>
      </c>
      <c r="AB595" s="1" t="s">
        <v>3985</v>
      </c>
      <c r="AC595" s="1" t="s">
        <v>1210</v>
      </c>
      <c r="AD595" s="1">
        <v>8.49</v>
      </c>
      <c r="AE595" s="1" t="s">
        <v>98</v>
      </c>
      <c r="AF595" s="1" t="s">
        <v>11340</v>
      </c>
      <c r="AG595" s="1" t="s">
        <v>11341</v>
      </c>
      <c r="AH595" s="1" t="s">
        <v>166</v>
      </c>
      <c r="AI595" s="1" t="s">
        <v>627</v>
      </c>
      <c r="AJ595" s="1">
        <v>89.44</v>
      </c>
      <c r="AK595" s="1"/>
      <c r="AL595" s="1" t="s">
        <v>11342</v>
      </c>
      <c r="AM595" s="1" t="s">
        <v>11343</v>
      </c>
      <c r="AN595" s="1"/>
      <c r="AO595" s="1" t="s">
        <v>170</v>
      </c>
      <c r="AP595" s="1" t="s">
        <v>171</v>
      </c>
      <c r="AQ595" s="1">
        <v>75</v>
      </c>
      <c r="AR595" s="1"/>
      <c r="AS595" s="1"/>
      <c r="AT595" s="1"/>
      <c r="AU595" s="1"/>
      <c r="AV595" s="1"/>
      <c r="AW595" s="1"/>
      <c r="AX595" s="1"/>
      <c r="AY595" s="1" t="s">
        <v>731</v>
      </c>
      <c r="AZ595" s="1" t="s">
        <v>11344</v>
      </c>
      <c r="BA595" s="1"/>
      <c r="BB595" s="1"/>
      <c r="BC595" s="1" t="s">
        <v>106</v>
      </c>
      <c r="BD595" s="1" t="s">
        <v>234</v>
      </c>
      <c r="BE595" s="1">
        <v>71.3</v>
      </c>
      <c r="BF595" s="1">
        <v>7.88</v>
      </c>
      <c r="BG595" s="1"/>
      <c r="BH595" s="1"/>
      <c r="BI595" s="1"/>
      <c r="BJ595" s="1"/>
      <c r="BK595" s="1"/>
      <c r="BL595" s="1"/>
      <c r="BM595" s="1"/>
      <c r="BN595" s="1"/>
      <c r="BO595" s="1" t="s">
        <v>11345</v>
      </c>
      <c r="BP595" s="1" t="s">
        <v>11346</v>
      </c>
      <c r="BQ595" s="1" t="s">
        <v>1357</v>
      </c>
      <c r="BR595" s="1" t="s">
        <v>11347</v>
      </c>
      <c r="BS595" s="1">
        <v>26</v>
      </c>
      <c r="BT595" s="1" t="s">
        <v>11348</v>
      </c>
      <c r="BU595" s="1" t="str">
        <f>HYPERLINK("https://nconnect.nicmar.ac.in/storage/profile/ProfilePhoto_P25700597_285793.jpg","Download")</f>
        <v>0</v>
      </c>
      <c r="BV595" s="3"/>
      <c r="BW595" s="3"/>
    </row>
    <row r="596" spans="1:75">
      <c r="A596" s="1" t="s">
        <v>75</v>
      </c>
      <c r="B596" s="1" t="s">
        <v>446</v>
      </c>
      <c r="C596" s="1" t="s">
        <v>11349</v>
      </c>
      <c r="D596" s="1" t="s">
        <v>11350</v>
      </c>
      <c r="E596" s="1" t="s">
        <v>1075</v>
      </c>
      <c r="F596" s="1" t="s">
        <v>11351</v>
      </c>
      <c r="G596" s="1" t="s">
        <v>11352</v>
      </c>
      <c r="H596" s="1" t="s">
        <v>11353</v>
      </c>
      <c r="I596" s="1" t="s">
        <v>11354</v>
      </c>
      <c r="J596" s="1">
        <v>9822359165</v>
      </c>
      <c r="K596" s="1" t="s">
        <v>84</v>
      </c>
      <c r="L596" s="1" t="s">
        <v>6034</v>
      </c>
      <c r="M596" s="1" t="s">
        <v>86</v>
      </c>
      <c r="N596" s="1" t="s">
        <v>903</v>
      </c>
      <c r="O596" s="1"/>
      <c r="P596" s="1" t="s">
        <v>455</v>
      </c>
      <c r="Q596" s="1" t="s">
        <v>11355</v>
      </c>
      <c r="R596" s="1" t="s">
        <v>1075</v>
      </c>
      <c r="S596" s="1">
        <v>9960745082</v>
      </c>
      <c r="T596" s="1" t="s">
        <v>11356</v>
      </c>
      <c r="U596" s="1" t="s">
        <v>1126</v>
      </c>
      <c r="V596" s="1">
        <v>9890658542</v>
      </c>
      <c r="W596" s="1" t="s">
        <v>2375</v>
      </c>
      <c r="X596" s="1" t="s">
        <v>11357</v>
      </c>
      <c r="Y596" s="1" t="s">
        <v>384</v>
      </c>
      <c r="Z596" s="1" t="s">
        <v>97</v>
      </c>
      <c r="AA596" s="1" t="s">
        <v>11357</v>
      </c>
      <c r="AB596" s="1" t="s">
        <v>384</v>
      </c>
      <c r="AC596" s="1" t="s">
        <v>97</v>
      </c>
      <c r="AD596" s="1">
        <v>8.41</v>
      </c>
      <c r="AE596" s="1" t="s">
        <v>98</v>
      </c>
      <c r="AF596" s="1" t="s">
        <v>11358</v>
      </c>
      <c r="AG596" s="1" t="s">
        <v>11359</v>
      </c>
      <c r="AH596" s="1" t="s">
        <v>101</v>
      </c>
      <c r="AI596" s="1" t="s">
        <v>102</v>
      </c>
      <c r="AJ596" s="1">
        <v>89.8</v>
      </c>
      <c r="AK596" s="1"/>
      <c r="AL596" s="1" t="s">
        <v>11360</v>
      </c>
      <c r="AM596" s="1" t="s">
        <v>11361</v>
      </c>
      <c r="AN596" s="1"/>
      <c r="AO596" s="1" t="s">
        <v>167</v>
      </c>
      <c r="AP596" s="1" t="s">
        <v>518</v>
      </c>
      <c r="AQ596" s="1">
        <v>64.77</v>
      </c>
      <c r="AR596" s="1"/>
      <c r="AS596" s="1"/>
      <c r="AT596" s="1"/>
      <c r="AU596" s="1"/>
      <c r="AV596" s="1"/>
      <c r="AW596" s="1"/>
      <c r="AX596" s="1"/>
      <c r="AY596" s="1" t="s">
        <v>11362</v>
      </c>
      <c r="AZ596" s="1" t="s">
        <v>11363</v>
      </c>
      <c r="BA596" s="1"/>
      <c r="BB596" s="1"/>
      <c r="BC596" s="1" t="s">
        <v>388</v>
      </c>
      <c r="BD596" s="1" t="s">
        <v>2304</v>
      </c>
      <c r="BE596" s="1">
        <v>77.6</v>
      </c>
      <c r="BF596" s="1">
        <v>8.26</v>
      </c>
      <c r="BG596" s="1"/>
      <c r="BH596" s="1"/>
      <c r="BI596" s="1"/>
      <c r="BJ596" s="1"/>
      <c r="BK596" s="1"/>
      <c r="BL596" s="1"/>
      <c r="BM596" s="1"/>
      <c r="BN596" s="1"/>
      <c r="BO596" s="1" t="s">
        <v>5787</v>
      </c>
      <c r="BP596" s="1"/>
      <c r="BQ596" s="1"/>
      <c r="BR596" s="1"/>
      <c r="BS596" s="1"/>
      <c r="BT596" s="1"/>
      <c r="BU596" s="1" t="str">
        <f>HYPERLINK("https://nconnect.nicmar.ac.in/storage/profile/ProfilePhoto_P25700598_387159.jpg","Download")</f>
        <v>0</v>
      </c>
      <c r="BV596" s="3"/>
      <c r="BW596" s="3"/>
    </row>
    <row r="597" spans="1:75">
      <c r="A597" s="1" t="s">
        <v>75</v>
      </c>
      <c r="B597" s="1" t="s">
        <v>446</v>
      </c>
      <c r="C597" s="1" t="s">
        <v>11364</v>
      </c>
      <c r="D597" s="1" t="s">
        <v>11365</v>
      </c>
      <c r="E597" s="1"/>
      <c r="F597" s="1" t="s">
        <v>3546</v>
      </c>
      <c r="G597" s="1" t="s">
        <v>11366</v>
      </c>
      <c r="H597" s="1" t="s">
        <v>11367</v>
      </c>
      <c r="I597" s="1" t="s">
        <v>11368</v>
      </c>
      <c r="J597" s="1">
        <v>9778364400</v>
      </c>
      <c r="K597" s="1" t="s">
        <v>153</v>
      </c>
      <c r="L597" s="1" t="s">
        <v>4023</v>
      </c>
      <c r="M597" s="1" t="s">
        <v>86</v>
      </c>
      <c r="N597" s="1" t="s">
        <v>11369</v>
      </c>
      <c r="O597" s="1"/>
      <c r="P597" s="1" t="s">
        <v>1028</v>
      </c>
      <c r="Q597" s="1" t="s">
        <v>11370</v>
      </c>
      <c r="R597" s="1" t="s">
        <v>11371</v>
      </c>
      <c r="S597" s="1">
        <v>9434777343</v>
      </c>
      <c r="T597" s="1" t="s">
        <v>645</v>
      </c>
      <c r="U597" s="1" t="s">
        <v>11372</v>
      </c>
      <c r="V597" s="1">
        <v>9434986538</v>
      </c>
      <c r="W597" s="1" t="s">
        <v>127</v>
      </c>
      <c r="X597" s="1" t="s">
        <v>11373</v>
      </c>
      <c r="Y597" s="1" t="s">
        <v>196</v>
      </c>
      <c r="Z597" s="1" t="s">
        <v>97</v>
      </c>
      <c r="AA597" s="1" t="s">
        <v>11374</v>
      </c>
      <c r="AB597" s="1" t="s">
        <v>11375</v>
      </c>
      <c r="AC597" s="1" t="s">
        <v>1234</v>
      </c>
      <c r="AD597" s="1">
        <v>9.0</v>
      </c>
      <c r="AE597" s="1" t="s">
        <v>98</v>
      </c>
      <c r="AF597" s="1" t="s">
        <v>11376</v>
      </c>
      <c r="AG597" s="1" t="s">
        <v>11377</v>
      </c>
      <c r="AH597" s="1" t="s">
        <v>167</v>
      </c>
      <c r="AI597" s="1" t="s">
        <v>170</v>
      </c>
      <c r="AJ597" s="1">
        <v>95</v>
      </c>
      <c r="AK597" s="1">
        <v>10</v>
      </c>
      <c r="AL597" s="1" t="s">
        <v>11376</v>
      </c>
      <c r="AM597" s="1" t="s">
        <v>11377</v>
      </c>
      <c r="AN597" s="1"/>
      <c r="AO597" s="1" t="s">
        <v>171</v>
      </c>
      <c r="AP597" s="1" t="s">
        <v>313</v>
      </c>
      <c r="AQ597" s="1">
        <v>76.66</v>
      </c>
      <c r="AR597" s="1"/>
      <c r="AS597" s="1"/>
      <c r="AT597" s="1"/>
      <c r="AU597" s="1"/>
      <c r="AV597" s="1"/>
      <c r="AW597" s="1"/>
      <c r="AX597" s="1"/>
      <c r="AY597" s="1" t="s">
        <v>1559</v>
      </c>
      <c r="AZ597" s="1" t="s">
        <v>11378</v>
      </c>
      <c r="BA597" s="1"/>
      <c r="BB597" s="1"/>
      <c r="BC597" s="1" t="s">
        <v>175</v>
      </c>
      <c r="BD597" s="1" t="s">
        <v>1401</v>
      </c>
      <c r="BE597" s="1">
        <v>73.1</v>
      </c>
      <c r="BF597" s="1">
        <v>7.31</v>
      </c>
      <c r="BG597" s="1"/>
      <c r="BH597" s="1"/>
      <c r="BI597" s="1"/>
      <c r="BJ597" s="1"/>
      <c r="BK597" s="1"/>
      <c r="BL597" s="1"/>
      <c r="BM597" s="1"/>
      <c r="BN597" s="1"/>
      <c r="BO597" s="1" t="s">
        <v>11379</v>
      </c>
      <c r="BP597" s="1"/>
      <c r="BQ597" s="1"/>
      <c r="BR597" s="1" t="s">
        <v>11380</v>
      </c>
      <c r="BS597" s="1">
        <v>33</v>
      </c>
      <c r="BT597" s="1"/>
      <c r="BU597" s="1" t="str">
        <f>HYPERLINK("https://nconnect.nicmar.ac.in/storage/profile/ProfilePhoto_P25700599_658143.jpg","Download")</f>
        <v>0</v>
      </c>
      <c r="BV597" s="3"/>
      <c r="BW597" s="3"/>
    </row>
    <row r="598" spans="1:75">
      <c r="A598" s="1" t="s">
        <v>75</v>
      </c>
      <c r="B598" s="1" t="s">
        <v>446</v>
      </c>
      <c r="C598" s="1" t="s">
        <v>11381</v>
      </c>
      <c r="D598" s="1" t="s">
        <v>11382</v>
      </c>
      <c r="E598" s="1" t="s">
        <v>11383</v>
      </c>
      <c r="F598" s="1" t="s">
        <v>876</v>
      </c>
      <c r="G598" s="1" t="s">
        <v>11384</v>
      </c>
      <c r="H598" s="1" t="s">
        <v>11385</v>
      </c>
      <c r="I598" s="1" t="s">
        <v>11386</v>
      </c>
      <c r="J598" s="1">
        <v>7337288598</v>
      </c>
      <c r="K598" s="1" t="s">
        <v>84</v>
      </c>
      <c r="L598" s="1" t="s">
        <v>11387</v>
      </c>
      <c r="M598" s="1" t="s">
        <v>86</v>
      </c>
      <c r="N598" s="1" t="s">
        <v>3083</v>
      </c>
      <c r="O598" s="1"/>
      <c r="P598" s="1" t="s">
        <v>507</v>
      </c>
      <c r="Q598" s="1" t="s">
        <v>11388</v>
      </c>
      <c r="R598" s="1" t="s">
        <v>11389</v>
      </c>
      <c r="S598" s="1">
        <v>7337288598</v>
      </c>
      <c r="T598" s="1" t="s">
        <v>11390</v>
      </c>
      <c r="U598" s="1" t="s">
        <v>11391</v>
      </c>
      <c r="V598" s="1">
        <v>9396420765</v>
      </c>
      <c r="W598" s="1" t="s">
        <v>541</v>
      </c>
      <c r="X598" s="1" t="s">
        <v>11392</v>
      </c>
      <c r="Y598" s="1" t="s">
        <v>11393</v>
      </c>
      <c r="Z598" s="1" t="s">
        <v>281</v>
      </c>
      <c r="AA598" s="1" t="s">
        <v>11392</v>
      </c>
      <c r="AB598" s="1" t="s">
        <v>11393</v>
      </c>
      <c r="AC598" s="1" t="s">
        <v>281</v>
      </c>
      <c r="AD598" s="1">
        <v>8.51</v>
      </c>
      <c r="AE598" s="1" t="s">
        <v>98</v>
      </c>
      <c r="AF598" s="1" t="s">
        <v>11394</v>
      </c>
      <c r="AG598" s="1" t="s">
        <v>1418</v>
      </c>
      <c r="AH598" s="1" t="s">
        <v>139</v>
      </c>
      <c r="AI598" s="1" t="s">
        <v>573</v>
      </c>
      <c r="AJ598" s="1">
        <v>93</v>
      </c>
      <c r="AK598" s="1">
        <v>9.3</v>
      </c>
      <c r="AL598" s="1" t="s">
        <v>11395</v>
      </c>
      <c r="AM598" s="1" t="s">
        <v>1420</v>
      </c>
      <c r="AN598" s="1" t="s">
        <v>465</v>
      </c>
      <c r="AO598" s="1" t="s">
        <v>230</v>
      </c>
      <c r="AP598" s="1" t="s">
        <v>547</v>
      </c>
      <c r="AQ598" s="1">
        <v>86.01</v>
      </c>
      <c r="AR598" s="1">
        <v>8.61</v>
      </c>
      <c r="AS598" s="1"/>
      <c r="AT598" s="1"/>
      <c r="AU598" s="1"/>
      <c r="AV598" s="1"/>
      <c r="AW598" s="1"/>
      <c r="AX598" s="1"/>
      <c r="AY598" s="1" t="s">
        <v>7265</v>
      </c>
      <c r="AZ598" s="1" t="s">
        <v>11396</v>
      </c>
      <c r="BA598" s="1" t="s">
        <v>466</v>
      </c>
      <c r="BB598" s="1" t="s">
        <v>467</v>
      </c>
      <c r="BC598" s="1" t="s">
        <v>206</v>
      </c>
      <c r="BD598" s="1" t="s">
        <v>955</v>
      </c>
      <c r="BE598" s="1">
        <v>63.5</v>
      </c>
      <c r="BF598" s="1">
        <v>6.85</v>
      </c>
      <c r="BG598" s="1"/>
      <c r="BH598" s="1"/>
      <c r="BI598" s="1"/>
      <c r="BJ598" s="1"/>
      <c r="BK598" s="1"/>
      <c r="BL598" s="1"/>
      <c r="BM598" s="1"/>
      <c r="BN598" s="1"/>
      <c r="BO598" s="1" t="s">
        <v>11397</v>
      </c>
      <c r="BP598" s="1"/>
      <c r="BQ598" s="1"/>
      <c r="BR598" s="1" t="s">
        <v>11398</v>
      </c>
      <c r="BS598" s="1">
        <v>14</v>
      </c>
      <c r="BT598" s="1"/>
      <c r="BU598" s="1" t="str">
        <f>HYPERLINK("https://nconnect.nicmar.ac.in/storage/profile/ProfilePhoto_P25700600_762981.jpg","Download")</f>
        <v>0</v>
      </c>
      <c r="BV598" s="3"/>
      <c r="BW598" s="3"/>
    </row>
    <row r="599" spans="1:75">
      <c r="A599" s="1" t="s">
        <v>75</v>
      </c>
      <c r="B599" s="1" t="s">
        <v>446</v>
      </c>
      <c r="C599" s="1" t="s">
        <v>11399</v>
      </c>
      <c r="D599" s="1" t="s">
        <v>11400</v>
      </c>
      <c r="E599" s="1"/>
      <c r="F599" s="1" t="s">
        <v>11401</v>
      </c>
      <c r="G599" s="1" t="s">
        <v>11402</v>
      </c>
      <c r="H599" s="1" t="s">
        <v>11403</v>
      </c>
      <c r="I599" s="1" t="s">
        <v>11404</v>
      </c>
      <c r="J599" s="1">
        <v>9315683290</v>
      </c>
      <c r="K599" s="1" t="s">
        <v>84</v>
      </c>
      <c r="L599" s="1" t="s">
        <v>11405</v>
      </c>
      <c r="M599" s="1" t="s">
        <v>86</v>
      </c>
      <c r="N599" s="1" t="s">
        <v>1101</v>
      </c>
      <c r="O599" s="1"/>
      <c r="P599" s="1" t="s">
        <v>670</v>
      </c>
      <c r="Q599" s="1" t="s">
        <v>11406</v>
      </c>
      <c r="R599" s="1" t="s">
        <v>11407</v>
      </c>
      <c r="S599" s="1">
        <v>9350290844</v>
      </c>
      <c r="T599" s="1" t="s">
        <v>11408</v>
      </c>
      <c r="U599" s="1" t="s">
        <v>11409</v>
      </c>
      <c r="V599" s="1">
        <v>9810549827</v>
      </c>
      <c r="W599" s="1" t="s">
        <v>2950</v>
      </c>
      <c r="X599" s="1" t="s">
        <v>11410</v>
      </c>
      <c r="Y599" s="1" t="s">
        <v>9226</v>
      </c>
      <c r="Z599" s="1" t="s">
        <v>1739</v>
      </c>
      <c r="AA599" s="1" t="s">
        <v>11410</v>
      </c>
      <c r="AB599" s="1" t="s">
        <v>9226</v>
      </c>
      <c r="AC599" s="1" t="s">
        <v>1739</v>
      </c>
      <c r="AD599" s="1">
        <v>9.18</v>
      </c>
      <c r="AE599" s="1" t="s">
        <v>98</v>
      </c>
      <c r="AF599" s="1" t="s">
        <v>11411</v>
      </c>
      <c r="AG599" s="1" t="s">
        <v>703</v>
      </c>
      <c r="AH599" s="1" t="s">
        <v>704</v>
      </c>
      <c r="AI599" s="1" t="s">
        <v>171</v>
      </c>
      <c r="AJ599" s="1">
        <v>73.4</v>
      </c>
      <c r="AK599" s="1"/>
      <c r="AL599" s="1" t="s">
        <v>11412</v>
      </c>
      <c r="AM599" s="1" t="s">
        <v>703</v>
      </c>
      <c r="AN599" s="1"/>
      <c r="AO599" s="1" t="s">
        <v>547</v>
      </c>
      <c r="AP599" s="1" t="s">
        <v>178</v>
      </c>
      <c r="AQ599" s="1">
        <v>84.2</v>
      </c>
      <c r="AR599" s="1"/>
      <c r="AS599" s="1"/>
      <c r="AT599" s="1"/>
      <c r="AU599" s="1"/>
      <c r="AV599" s="1"/>
      <c r="AW599" s="1"/>
      <c r="AX599" s="1"/>
      <c r="AY599" s="1" t="s">
        <v>11413</v>
      </c>
      <c r="AZ599" s="1" t="s">
        <v>11414</v>
      </c>
      <c r="BA599" s="1"/>
      <c r="BB599" s="1"/>
      <c r="BC599" s="1" t="s">
        <v>1040</v>
      </c>
      <c r="BD599" s="1" t="s">
        <v>1089</v>
      </c>
      <c r="BE599" s="1">
        <v>93.9</v>
      </c>
      <c r="BF599" s="1">
        <v>9.39</v>
      </c>
      <c r="BG599" s="1"/>
      <c r="BH599" s="1"/>
      <c r="BI599" s="1"/>
      <c r="BJ599" s="1"/>
      <c r="BK599" s="1"/>
      <c r="BL599" s="1"/>
      <c r="BM599" s="1"/>
      <c r="BN599" s="1"/>
      <c r="BO599" s="1" t="s">
        <v>11415</v>
      </c>
      <c r="BP599" s="1"/>
      <c r="BQ599" s="1"/>
      <c r="BR599" s="1" t="s">
        <v>11416</v>
      </c>
      <c r="BS599" s="1">
        <v>33</v>
      </c>
      <c r="BT599" s="1" t="s">
        <v>11417</v>
      </c>
      <c r="BU599" s="1" t="str">
        <f>HYPERLINK("https://nconnect.nicmar.ac.in/storage/profile/ProfilePhoto_P25700601_924578.jpg","Download")</f>
        <v>0</v>
      </c>
      <c r="BV599" s="3"/>
      <c r="BW599" s="3"/>
    </row>
    <row r="600" spans="1:75">
      <c r="A600" s="1" t="s">
        <v>75</v>
      </c>
      <c r="B600" s="1" t="s">
        <v>446</v>
      </c>
      <c r="C600" s="1" t="s">
        <v>11418</v>
      </c>
      <c r="D600" s="1" t="s">
        <v>4766</v>
      </c>
      <c r="E600" s="1"/>
      <c r="F600" s="1" t="s">
        <v>530</v>
      </c>
      <c r="G600" s="1" t="s">
        <v>11419</v>
      </c>
      <c r="H600" s="1" t="s">
        <v>11420</v>
      </c>
      <c r="I600" s="1" t="s">
        <v>11421</v>
      </c>
      <c r="J600" s="1">
        <v>8103718673</v>
      </c>
      <c r="K600" s="1" t="s">
        <v>153</v>
      </c>
      <c r="L600" s="1" t="s">
        <v>11422</v>
      </c>
      <c r="M600" s="1" t="s">
        <v>86</v>
      </c>
      <c r="N600" s="1" t="s">
        <v>11423</v>
      </c>
      <c r="O600" s="1"/>
      <c r="P600" s="1" t="s">
        <v>455</v>
      </c>
      <c r="Q600" s="1" t="s">
        <v>11424</v>
      </c>
      <c r="R600" s="1" t="s">
        <v>11425</v>
      </c>
      <c r="S600" s="1">
        <v>9406741911</v>
      </c>
      <c r="T600" s="1" t="s">
        <v>3788</v>
      </c>
      <c r="U600" s="1" t="s">
        <v>11426</v>
      </c>
      <c r="V600" s="1">
        <v>8450038475</v>
      </c>
      <c r="W600" s="1" t="s">
        <v>278</v>
      </c>
      <c r="X600" s="1" t="s">
        <v>11427</v>
      </c>
      <c r="Y600" s="1" t="s">
        <v>196</v>
      </c>
      <c r="Z600" s="1" t="s">
        <v>97</v>
      </c>
      <c r="AA600" s="1" t="s">
        <v>11428</v>
      </c>
      <c r="AB600" s="1" t="s">
        <v>10359</v>
      </c>
      <c r="AC600" s="1" t="s">
        <v>3419</v>
      </c>
      <c r="AD600" s="1">
        <v>8.54</v>
      </c>
      <c r="AE600" s="1" t="s">
        <v>98</v>
      </c>
      <c r="AF600" s="1" t="s">
        <v>11429</v>
      </c>
      <c r="AG600" s="1" t="s">
        <v>11430</v>
      </c>
      <c r="AH600" s="1" t="s">
        <v>1111</v>
      </c>
      <c r="AI600" s="1" t="s">
        <v>200</v>
      </c>
      <c r="AJ600" s="1">
        <v>64</v>
      </c>
      <c r="AK600" s="1"/>
      <c r="AL600" s="1" t="s">
        <v>11431</v>
      </c>
      <c r="AM600" s="1" t="s">
        <v>312</v>
      </c>
      <c r="AN600" s="1" t="s">
        <v>465</v>
      </c>
      <c r="AO600" s="1" t="s">
        <v>286</v>
      </c>
      <c r="AP600" s="1" t="s">
        <v>313</v>
      </c>
      <c r="AQ600" s="1">
        <v>71</v>
      </c>
      <c r="AR600" s="1"/>
      <c r="AS600" s="1"/>
      <c r="AT600" s="1"/>
      <c r="AU600" s="1"/>
      <c r="AV600" s="1"/>
      <c r="AW600" s="1"/>
      <c r="AX600" s="1"/>
      <c r="AY600" s="1" t="s">
        <v>2206</v>
      </c>
      <c r="AZ600" s="1" t="s">
        <v>11432</v>
      </c>
      <c r="BA600" s="1" t="s">
        <v>466</v>
      </c>
      <c r="BB600" s="1" t="s">
        <v>467</v>
      </c>
      <c r="BC600" s="1" t="s">
        <v>206</v>
      </c>
      <c r="BD600" s="1" t="s">
        <v>955</v>
      </c>
      <c r="BE600" s="1">
        <v>85.2</v>
      </c>
      <c r="BF600" s="1"/>
      <c r="BG600" s="1"/>
      <c r="BH600" s="1"/>
      <c r="BI600" s="1"/>
      <c r="BJ600" s="1"/>
      <c r="BK600" s="1"/>
      <c r="BL600" s="1"/>
      <c r="BM600" s="1"/>
      <c r="BN600" s="1"/>
      <c r="BO600" s="1" t="s">
        <v>11433</v>
      </c>
      <c r="BP600" s="1"/>
      <c r="BQ600" s="1"/>
      <c r="BR600" s="1" t="s">
        <v>11434</v>
      </c>
      <c r="BS600" s="1">
        <v>9</v>
      </c>
      <c r="BT600" s="1"/>
      <c r="BU600" s="1" t="str">
        <f>HYPERLINK("https://nconnect.nicmar.ac.in/storage/profile/ProfilePhoto_P25700602_218567.jpg","Download")</f>
        <v>0</v>
      </c>
      <c r="BV600" s="3"/>
      <c r="BW600" s="4">
        <v>1</v>
      </c>
    </row>
    <row r="601" spans="1:75">
      <c r="A601" s="1" t="s">
        <v>75</v>
      </c>
      <c r="B601" s="1" t="s">
        <v>446</v>
      </c>
      <c r="C601" s="1" t="s">
        <v>11435</v>
      </c>
      <c r="D601" s="1" t="s">
        <v>11436</v>
      </c>
      <c r="E601" s="1"/>
      <c r="F601" s="1" t="s">
        <v>2250</v>
      </c>
      <c r="G601" s="1" t="s">
        <v>11437</v>
      </c>
      <c r="H601" s="1" t="s">
        <v>11438</v>
      </c>
      <c r="I601" s="1" t="s">
        <v>11439</v>
      </c>
      <c r="J601" s="1">
        <v>7024373533</v>
      </c>
      <c r="K601" s="1" t="s">
        <v>84</v>
      </c>
      <c r="L601" s="1" t="s">
        <v>11440</v>
      </c>
      <c r="M601" s="1" t="s">
        <v>86</v>
      </c>
      <c r="N601" s="1" t="s">
        <v>4278</v>
      </c>
      <c r="O601" s="1"/>
      <c r="P601" s="1" t="s">
        <v>481</v>
      </c>
      <c r="Q601" s="1" t="s">
        <v>11441</v>
      </c>
      <c r="R601" s="1" t="s">
        <v>11442</v>
      </c>
      <c r="S601" s="1">
        <v>7999628047</v>
      </c>
      <c r="T601" s="1" t="s">
        <v>6971</v>
      </c>
      <c r="U601" s="1" t="s">
        <v>11443</v>
      </c>
      <c r="V601" s="1">
        <v>9165549327</v>
      </c>
      <c r="W601" s="1" t="s">
        <v>161</v>
      </c>
      <c r="X601" s="1" t="s">
        <v>11444</v>
      </c>
      <c r="Y601" s="1" t="s">
        <v>11445</v>
      </c>
      <c r="Z601" s="1" t="s">
        <v>3419</v>
      </c>
      <c r="AA601" s="1" t="s">
        <v>11444</v>
      </c>
      <c r="AB601" s="1" t="s">
        <v>11445</v>
      </c>
      <c r="AC601" s="1" t="s">
        <v>3419</v>
      </c>
      <c r="AD601" s="1">
        <v>8.23</v>
      </c>
      <c r="AE601" s="1" t="s">
        <v>98</v>
      </c>
      <c r="AF601" s="1" t="s">
        <v>11446</v>
      </c>
      <c r="AG601" s="1" t="s">
        <v>11447</v>
      </c>
      <c r="AH601" s="1" t="s">
        <v>1110</v>
      </c>
      <c r="AI601" s="1" t="s">
        <v>1111</v>
      </c>
      <c r="AJ601" s="1">
        <v>77.9</v>
      </c>
      <c r="AK601" s="1">
        <v>8.2</v>
      </c>
      <c r="AL601" s="1" t="s">
        <v>11446</v>
      </c>
      <c r="AM601" s="1" t="s">
        <v>11447</v>
      </c>
      <c r="AN601" s="1" t="s">
        <v>465</v>
      </c>
      <c r="AO601" s="1" t="s">
        <v>704</v>
      </c>
      <c r="AP601" s="1" t="s">
        <v>286</v>
      </c>
      <c r="AQ601" s="1">
        <v>72.2</v>
      </c>
      <c r="AR601" s="1"/>
      <c r="AS601" s="1"/>
      <c r="AT601" s="1"/>
      <c r="AU601" s="1"/>
      <c r="AV601" s="1"/>
      <c r="AW601" s="1"/>
      <c r="AX601" s="1"/>
      <c r="AY601" s="1" t="s">
        <v>11448</v>
      </c>
      <c r="AZ601" s="1" t="s">
        <v>11448</v>
      </c>
      <c r="BA601" s="1" t="s">
        <v>466</v>
      </c>
      <c r="BB601" s="1" t="s">
        <v>11449</v>
      </c>
      <c r="BC601" s="1" t="s">
        <v>1065</v>
      </c>
      <c r="BD601" s="1" t="s">
        <v>632</v>
      </c>
      <c r="BE601" s="1">
        <v>78.5</v>
      </c>
      <c r="BF601" s="1">
        <v>7.85</v>
      </c>
      <c r="BG601" s="1"/>
      <c r="BH601" s="1"/>
      <c r="BI601" s="1"/>
      <c r="BJ601" s="1"/>
      <c r="BK601" s="1"/>
      <c r="BL601" s="1"/>
      <c r="BM601" s="1"/>
      <c r="BN601" s="1"/>
      <c r="BO601" s="1" t="s">
        <v>11450</v>
      </c>
      <c r="BP601" s="1"/>
      <c r="BQ601" s="1"/>
      <c r="BR601" s="1" t="s">
        <v>11451</v>
      </c>
      <c r="BS601" s="1">
        <v>80</v>
      </c>
      <c r="BT601" s="1"/>
      <c r="BU601" s="1" t="str">
        <f>HYPERLINK("https://nconnect.nicmar.ac.in/storage/profile/ProfilePhoto_P25700603_281359.jpg","Download")</f>
        <v>0</v>
      </c>
      <c r="BV601" s="3"/>
      <c r="BW601" s="3"/>
    </row>
    <row r="602" spans="1:75">
      <c r="A602" s="1" t="s">
        <v>75</v>
      </c>
      <c r="B602" s="1" t="s">
        <v>446</v>
      </c>
      <c r="C602" s="1" t="s">
        <v>11452</v>
      </c>
      <c r="D602" s="1" t="s">
        <v>11453</v>
      </c>
      <c r="E602" s="1"/>
      <c r="F602" s="1" t="s">
        <v>11454</v>
      </c>
      <c r="G602" s="1" t="s">
        <v>11455</v>
      </c>
      <c r="H602" s="1" t="s">
        <v>11456</v>
      </c>
      <c r="I602" s="1" t="s">
        <v>11457</v>
      </c>
      <c r="J602" s="1">
        <v>9881552934</v>
      </c>
      <c r="K602" s="1" t="s">
        <v>153</v>
      </c>
      <c r="L602" s="1" t="s">
        <v>4177</v>
      </c>
      <c r="M602" s="1" t="s">
        <v>86</v>
      </c>
      <c r="N602" s="1" t="s">
        <v>5472</v>
      </c>
      <c r="O602" s="1"/>
      <c r="P602" s="1" t="s">
        <v>481</v>
      </c>
      <c r="Q602" s="1" t="s">
        <v>11458</v>
      </c>
      <c r="R602" s="1" t="s">
        <v>11459</v>
      </c>
      <c r="S602" s="1">
        <v>8668851926</v>
      </c>
      <c r="T602" s="1" t="s">
        <v>127</v>
      </c>
      <c r="U602" s="1" t="s">
        <v>11460</v>
      </c>
      <c r="V602" s="1">
        <v>9850257734</v>
      </c>
      <c r="W602" s="1" t="s">
        <v>161</v>
      </c>
      <c r="X602" s="1" t="s">
        <v>11461</v>
      </c>
      <c r="Y602" s="1" t="s">
        <v>5659</v>
      </c>
      <c r="Z602" s="1" t="s">
        <v>97</v>
      </c>
      <c r="AA602" s="1" t="s">
        <v>11462</v>
      </c>
      <c r="AB602" s="1" t="s">
        <v>5659</v>
      </c>
      <c r="AC602" s="1" t="s">
        <v>97</v>
      </c>
      <c r="AD602" s="1">
        <v>8.79</v>
      </c>
      <c r="AE602" s="1" t="s">
        <v>98</v>
      </c>
      <c r="AF602" s="1" t="s">
        <v>11463</v>
      </c>
      <c r="AG602" s="1" t="s">
        <v>165</v>
      </c>
      <c r="AH602" s="1" t="s">
        <v>167</v>
      </c>
      <c r="AI602" s="1" t="s">
        <v>170</v>
      </c>
      <c r="AJ602" s="1">
        <v>96.4</v>
      </c>
      <c r="AK602" s="1"/>
      <c r="AL602" s="1" t="s">
        <v>11464</v>
      </c>
      <c r="AM602" s="1" t="s">
        <v>165</v>
      </c>
      <c r="AN602" s="1" t="s">
        <v>465</v>
      </c>
      <c r="AO602" s="1" t="s">
        <v>106</v>
      </c>
      <c r="AP602" s="1" t="s">
        <v>313</v>
      </c>
      <c r="AQ602" s="1">
        <v>77.85</v>
      </c>
      <c r="AR602" s="1"/>
      <c r="AS602" s="1"/>
      <c r="AT602" s="1"/>
      <c r="AU602" s="1"/>
      <c r="AV602" s="1"/>
      <c r="AW602" s="1"/>
      <c r="AX602" s="1"/>
      <c r="AY602" s="1" t="s">
        <v>258</v>
      </c>
      <c r="AZ602" s="1" t="s">
        <v>11465</v>
      </c>
      <c r="BA602" s="1" t="s">
        <v>466</v>
      </c>
      <c r="BB602" s="1" t="s">
        <v>467</v>
      </c>
      <c r="BC602" s="1" t="s">
        <v>315</v>
      </c>
      <c r="BD602" s="1" t="s">
        <v>955</v>
      </c>
      <c r="BE602" s="1">
        <v>67.7</v>
      </c>
      <c r="BF602" s="1">
        <v>7.52</v>
      </c>
      <c r="BG602" s="1"/>
      <c r="BH602" s="1"/>
      <c r="BI602" s="1"/>
      <c r="BJ602" s="1"/>
      <c r="BK602" s="1"/>
      <c r="BL602" s="1"/>
      <c r="BM602" s="1"/>
      <c r="BN602" s="1"/>
      <c r="BO602" s="1" t="s">
        <v>369</v>
      </c>
      <c r="BP602" s="1" t="s">
        <v>11466</v>
      </c>
      <c r="BQ602" s="1" t="s">
        <v>1357</v>
      </c>
      <c r="BR602" s="1" t="s">
        <v>11467</v>
      </c>
      <c r="BS602" s="1">
        <v>17</v>
      </c>
      <c r="BT602" s="1"/>
      <c r="BU602" s="1" t="str">
        <f>HYPERLINK("https://nconnect.nicmar.ac.in/storage/profile/ProfilePhoto_P25700604_461283.jpg","Download")</f>
        <v>0</v>
      </c>
      <c r="BV602" s="3"/>
      <c r="BW602" s="3"/>
    </row>
    <row r="603" spans="1:75">
      <c r="A603" s="1" t="s">
        <v>75</v>
      </c>
      <c r="B603" s="1" t="s">
        <v>446</v>
      </c>
      <c r="C603" s="1" t="s">
        <v>11468</v>
      </c>
      <c r="D603" s="1" t="s">
        <v>11469</v>
      </c>
      <c r="E603" s="1" t="s">
        <v>11470</v>
      </c>
      <c r="F603" s="1" t="s">
        <v>11471</v>
      </c>
      <c r="G603" s="1" t="s">
        <v>11472</v>
      </c>
      <c r="H603" s="1" t="s">
        <v>11473</v>
      </c>
      <c r="I603" s="1" t="s">
        <v>11474</v>
      </c>
      <c r="J603" s="1">
        <v>9595924024</v>
      </c>
      <c r="K603" s="1" t="s">
        <v>84</v>
      </c>
      <c r="L603" s="1" t="s">
        <v>11475</v>
      </c>
      <c r="M603" s="1" t="s">
        <v>86</v>
      </c>
      <c r="N603" s="1" t="s">
        <v>1163</v>
      </c>
      <c r="O603" s="1"/>
      <c r="P603" s="1" t="s">
        <v>455</v>
      </c>
      <c r="Q603" s="1" t="s">
        <v>11476</v>
      </c>
      <c r="R603" s="1" t="s">
        <v>11470</v>
      </c>
      <c r="S603" s="1">
        <v>9527599777</v>
      </c>
      <c r="T603" s="1" t="s">
        <v>839</v>
      </c>
      <c r="U603" s="1" t="s">
        <v>11477</v>
      </c>
      <c r="V603" s="1">
        <v>9850490299</v>
      </c>
      <c r="W603" s="1" t="s">
        <v>94</v>
      </c>
      <c r="X603" s="1" t="s">
        <v>11478</v>
      </c>
      <c r="Y603" s="1" t="s">
        <v>910</v>
      </c>
      <c r="Z603" s="1" t="s">
        <v>97</v>
      </c>
      <c r="AA603" s="1" t="s">
        <v>11479</v>
      </c>
      <c r="AB603" s="1" t="s">
        <v>910</v>
      </c>
      <c r="AC603" s="1" t="s">
        <v>97</v>
      </c>
      <c r="AD603" s="1">
        <v>9.1</v>
      </c>
      <c r="AE603" s="1" t="s">
        <v>98</v>
      </c>
      <c r="AF603" s="1" t="s">
        <v>11480</v>
      </c>
      <c r="AG603" s="1" t="s">
        <v>11481</v>
      </c>
      <c r="AH603" s="1" t="s">
        <v>1110</v>
      </c>
      <c r="AI603" s="1" t="s">
        <v>627</v>
      </c>
      <c r="AJ603" s="1">
        <v>90.2</v>
      </c>
      <c r="AK603" s="1">
        <v>9.6</v>
      </c>
      <c r="AL603" s="1" t="s">
        <v>11482</v>
      </c>
      <c r="AM603" s="1" t="s">
        <v>11483</v>
      </c>
      <c r="AN603" s="1"/>
      <c r="AO603" s="1" t="s">
        <v>704</v>
      </c>
      <c r="AP603" s="1" t="s">
        <v>171</v>
      </c>
      <c r="AQ603" s="1">
        <v>86.92</v>
      </c>
      <c r="AR603" s="1">
        <v>0</v>
      </c>
      <c r="AS603" s="1"/>
      <c r="AT603" s="1"/>
      <c r="AU603" s="1"/>
      <c r="AV603" s="1"/>
      <c r="AW603" s="1"/>
      <c r="AX603" s="1"/>
      <c r="AY603" s="1" t="s">
        <v>366</v>
      </c>
      <c r="AZ603" s="1" t="s">
        <v>11484</v>
      </c>
      <c r="BA603" s="1"/>
      <c r="BB603" s="1"/>
      <c r="BC603" s="1" t="s">
        <v>1065</v>
      </c>
      <c r="BD603" s="1" t="s">
        <v>110</v>
      </c>
      <c r="BE603" s="1">
        <v>83.5</v>
      </c>
      <c r="BF603" s="1">
        <v>9.49</v>
      </c>
      <c r="BG603" s="1"/>
      <c r="BH603" s="1"/>
      <c r="BI603" s="1"/>
      <c r="BJ603" s="1"/>
      <c r="BK603" s="1"/>
      <c r="BL603" s="1"/>
      <c r="BM603" s="1"/>
      <c r="BN603" s="1"/>
      <c r="BO603" s="1" t="s">
        <v>11485</v>
      </c>
      <c r="BP603" s="1"/>
      <c r="BQ603" s="1"/>
      <c r="BR603" s="1" t="s">
        <v>11486</v>
      </c>
      <c r="BS603" s="1">
        <v>9</v>
      </c>
      <c r="BT603" s="1" t="s">
        <v>11487</v>
      </c>
      <c r="BU603" s="1" t="str">
        <f>HYPERLINK("https://nconnect.nicmar.ac.in/storage/profile/ProfilePhoto_P25700605_372681.jpg","Download")</f>
        <v>0</v>
      </c>
      <c r="BV603" s="3"/>
      <c r="BW603" s="3"/>
    </row>
    <row r="604" spans="1:75">
      <c r="A604" s="1" t="s">
        <v>75</v>
      </c>
      <c r="B604" s="1" t="s">
        <v>446</v>
      </c>
      <c r="C604" s="1" t="s">
        <v>11488</v>
      </c>
      <c r="D604" s="1" t="s">
        <v>10244</v>
      </c>
      <c r="E604" s="1" t="s">
        <v>11489</v>
      </c>
      <c r="F604" s="1" t="s">
        <v>8451</v>
      </c>
      <c r="G604" s="1" t="s">
        <v>11490</v>
      </c>
      <c r="H604" s="1" t="s">
        <v>11491</v>
      </c>
      <c r="I604" s="1" t="s">
        <v>11492</v>
      </c>
      <c r="J604" s="1">
        <v>7058530997</v>
      </c>
      <c r="K604" s="1" t="s">
        <v>84</v>
      </c>
      <c r="L604" s="1" t="s">
        <v>11493</v>
      </c>
      <c r="M604" s="1" t="s">
        <v>86</v>
      </c>
      <c r="N604" s="1" t="s">
        <v>947</v>
      </c>
      <c r="O604" s="1"/>
      <c r="P604" s="1" t="s">
        <v>1028</v>
      </c>
      <c r="Q604" s="1" t="s">
        <v>11494</v>
      </c>
      <c r="R604" s="1" t="s">
        <v>11489</v>
      </c>
      <c r="S604" s="1">
        <v>9049642030</v>
      </c>
      <c r="T604" s="1" t="s">
        <v>11495</v>
      </c>
      <c r="U604" s="1" t="s">
        <v>11496</v>
      </c>
      <c r="V604" s="1">
        <v>9373523280</v>
      </c>
      <c r="W604" s="1" t="s">
        <v>161</v>
      </c>
      <c r="X604" s="1" t="s">
        <v>11497</v>
      </c>
      <c r="Y604" s="1" t="s">
        <v>384</v>
      </c>
      <c r="Z604" s="1" t="s">
        <v>97</v>
      </c>
      <c r="AA604" s="1" t="s">
        <v>11497</v>
      </c>
      <c r="AB604" s="1" t="s">
        <v>384</v>
      </c>
      <c r="AC604" s="1" t="s">
        <v>97</v>
      </c>
      <c r="AD604" s="1">
        <v>7.59</v>
      </c>
      <c r="AE604" s="1" t="s">
        <v>98</v>
      </c>
      <c r="AF604" s="1" t="s">
        <v>11498</v>
      </c>
      <c r="AG604" s="1" t="s">
        <v>629</v>
      </c>
      <c r="AH604" s="1" t="s">
        <v>1457</v>
      </c>
      <c r="AI604" s="1" t="s">
        <v>515</v>
      </c>
      <c r="AJ604" s="1">
        <v>64.8</v>
      </c>
      <c r="AK604" s="1"/>
      <c r="AL604" s="1"/>
      <c r="AM604" s="1"/>
      <c r="AN604" s="1"/>
      <c r="AO604" s="1"/>
      <c r="AP604" s="1"/>
      <c r="AQ604" s="1"/>
      <c r="AR604" s="1"/>
      <c r="AS604" s="1" t="s">
        <v>103</v>
      </c>
      <c r="AT604" s="1" t="s">
        <v>11499</v>
      </c>
      <c r="AU604" s="1" t="s">
        <v>1262</v>
      </c>
      <c r="AV604" s="1" t="s">
        <v>170</v>
      </c>
      <c r="AW604" s="1">
        <v>76.73</v>
      </c>
      <c r="AX604" s="1"/>
      <c r="AY604" s="1" t="s">
        <v>340</v>
      </c>
      <c r="AZ604" s="1" t="s">
        <v>11500</v>
      </c>
      <c r="BA604" s="1"/>
      <c r="BB604" s="1"/>
      <c r="BC604" s="1" t="s">
        <v>388</v>
      </c>
      <c r="BD604" s="1" t="s">
        <v>175</v>
      </c>
      <c r="BE604" s="1">
        <v>82.59</v>
      </c>
      <c r="BF604" s="1">
        <v>9</v>
      </c>
      <c r="BG604" s="1"/>
      <c r="BH604" s="1"/>
      <c r="BI604" s="1"/>
      <c r="BJ604" s="1"/>
      <c r="BK604" s="1"/>
      <c r="BL604" s="1"/>
      <c r="BM604" s="1"/>
      <c r="BN604" s="1"/>
      <c r="BO604" s="1" t="s">
        <v>11501</v>
      </c>
      <c r="BP604" s="1" t="s">
        <v>11502</v>
      </c>
      <c r="BQ604" s="1" t="s">
        <v>3426</v>
      </c>
      <c r="BR604" s="1" t="s">
        <v>11503</v>
      </c>
      <c r="BS604" s="1">
        <v>8</v>
      </c>
      <c r="BT604" s="1"/>
      <c r="BU604" s="1" t="str">
        <f>HYPERLINK("https://nconnect.nicmar.ac.in/storage/profile/ProfilePhoto_P25700606_536718.jpg","Download")</f>
        <v>0</v>
      </c>
      <c r="BV604" s="3"/>
      <c r="BW604" s="3"/>
    </row>
    <row r="605" spans="1:75">
      <c r="A605" s="1" t="s">
        <v>75</v>
      </c>
      <c r="B605" s="1" t="s">
        <v>446</v>
      </c>
      <c r="C605" s="1" t="s">
        <v>11504</v>
      </c>
      <c r="D605" s="1" t="s">
        <v>11505</v>
      </c>
      <c r="E605" s="1"/>
      <c r="F605" s="1" t="s">
        <v>11506</v>
      </c>
      <c r="G605" s="1" t="s">
        <v>11507</v>
      </c>
      <c r="H605" s="1" t="s">
        <v>11508</v>
      </c>
      <c r="I605" s="1" t="s">
        <v>11509</v>
      </c>
      <c r="J605" s="1">
        <v>8072589982</v>
      </c>
      <c r="K605" s="1" t="s">
        <v>84</v>
      </c>
      <c r="L605" s="1" t="s">
        <v>11510</v>
      </c>
      <c r="M605" s="1" t="s">
        <v>86</v>
      </c>
      <c r="N605" s="1" t="s">
        <v>11511</v>
      </c>
      <c r="O605" s="1"/>
      <c r="P605" s="1" t="s">
        <v>455</v>
      </c>
      <c r="Q605" s="1" t="s">
        <v>11512</v>
      </c>
      <c r="R605" s="1" t="s">
        <v>11513</v>
      </c>
      <c r="S605" s="1">
        <v>9344603724</v>
      </c>
      <c r="T605" s="1" t="s">
        <v>926</v>
      </c>
      <c r="U605" s="1" t="s">
        <v>11514</v>
      </c>
      <c r="V605" s="1">
        <v>9486618674</v>
      </c>
      <c r="W605" s="1" t="s">
        <v>94</v>
      </c>
      <c r="X605" s="1" t="s">
        <v>11515</v>
      </c>
      <c r="Y605" s="1" t="s">
        <v>2131</v>
      </c>
      <c r="Z605" s="1" t="s">
        <v>570</v>
      </c>
      <c r="AA605" s="1" t="s">
        <v>11515</v>
      </c>
      <c r="AB605" s="1" t="s">
        <v>2131</v>
      </c>
      <c r="AC605" s="1" t="s">
        <v>570</v>
      </c>
      <c r="AD605" s="1">
        <v>8.21</v>
      </c>
      <c r="AE605" s="1" t="s">
        <v>98</v>
      </c>
      <c r="AF605" s="1" t="s">
        <v>11516</v>
      </c>
      <c r="AG605" s="1" t="s">
        <v>11517</v>
      </c>
      <c r="AH605" s="1" t="s">
        <v>106</v>
      </c>
      <c r="AI605" s="1" t="s">
        <v>547</v>
      </c>
      <c r="AJ605" s="1">
        <v>85</v>
      </c>
      <c r="AK605" s="1">
        <v>8.5</v>
      </c>
      <c r="AL605" s="1" t="s">
        <v>11516</v>
      </c>
      <c r="AM605" s="1" t="s">
        <v>11517</v>
      </c>
      <c r="AN605" s="1" t="s">
        <v>465</v>
      </c>
      <c r="AO605" s="1" t="s">
        <v>468</v>
      </c>
      <c r="AP605" s="1" t="s">
        <v>2304</v>
      </c>
      <c r="AQ605" s="1">
        <v>87.14</v>
      </c>
      <c r="AR605" s="1">
        <v>8.71</v>
      </c>
      <c r="AS605" s="1"/>
      <c r="AT605" s="1"/>
      <c r="AU605" s="1"/>
      <c r="AV605" s="1"/>
      <c r="AW605" s="1"/>
      <c r="AX605" s="1"/>
      <c r="AY605" s="1" t="s">
        <v>6942</v>
      </c>
      <c r="AZ605" s="1" t="s">
        <v>11518</v>
      </c>
      <c r="BA605" s="1" t="s">
        <v>466</v>
      </c>
      <c r="BB605" s="1" t="s">
        <v>467</v>
      </c>
      <c r="BC605" s="1" t="s">
        <v>847</v>
      </c>
      <c r="BD605" s="1" t="s">
        <v>553</v>
      </c>
      <c r="BE605" s="1">
        <v>69.4</v>
      </c>
      <c r="BF605" s="1">
        <v>6.94</v>
      </c>
      <c r="BG605" s="1"/>
      <c r="BH605" s="1"/>
      <c r="BI605" s="1"/>
      <c r="BJ605" s="1"/>
      <c r="BK605" s="1"/>
      <c r="BL605" s="1"/>
      <c r="BM605" s="1"/>
      <c r="BN605" s="1"/>
      <c r="BO605" s="1" t="s">
        <v>260</v>
      </c>
      <c r="BP605" s="1"/>
      <c r="BQ605" s="1"/>
      <c r="BR605" s="1" t="s">
        <v>11519</v>
      </c>
      <c r="BS605" s="1">
        <v>36</v>
      </c>
      <c r="BT605" s="1" t="s">
        <v>11520</v>
      </c>
      <c r="BU605" s="1" t="str">
        <f>HYPERLINK("https://nconnect.nicmar.ac.in/storage/profile/ProfilePhoto_P25700607_719423.jpg","Download")</f>
        <v>0</v>
      </c>
      <c r="BV605" s="3"/>
      <c r="BW605" s="3"/>
    </row>
    <row r="606" spans="1:75">
      <c r="A606" s="1" t="s">
        <v>75</v>
      </c>
      <c r="B606" s="1" t="s">
        <v>446</v>
      </c>
      <c r="C606" s="1" t="s">
        <v>11521</v>
      </c>
      <c r="D606" s="1" t="s">
        <v>11522</v>
      </c>
      <c r="E606" s="1"/>
      <c r="F606" s="1" t="s">
        <v>11523</v>
      </c>
      <c r="G606" s="1" t="s">
        <v>11524</v>
      </c>
      <c r="H606" s="1" t="s">
        <v>11525</v>
      </c>
      <c r="I606" s="1" t="s">
        <v>11526</v>
      </c>
      <c r="J606" s="1">
        <v>9701015631</v>
      </c>
      <c r="K606" s="1" t="s">
        <v>153</v>
      </c>
      <c r="L606" s="1" t="s">
        <v>11527</v>
      </c>
      <c r="M606" s="1" t="s">
        <v>86</v>
      </c>
      <c r="N606" s="1" t="s">
        <v>11528</v>
      </c>
      <c r="O606" s="1"/>
      <c r="P606" s="1" t="s">
        <v>507</v>
      </c>
      <c r="Q606" s="1" t="s">
        <v>11529</v>
      </c>
      <c r="R606" s="1" t="s">
        <v>11530</v>
      </c>
      <c r="S606" s="1">
        <v>7013121544</v>
      </c>
      <c r="T606" s="1" t="s">
        <v>11531</v>
      </c>
      <c r="U606" s="1" t="s">
        <v>11532</v>
      </c>
      <c r="V606" s="1">
        <v>7093221478</v>
      </c>
      <c r="W606" s="1" t="s">
        <v>11533</v>
      </c>
      <c r="X606" s="1" t="s">
        <v>11534</v>
      </c>
      <c r="Y606" s="1" t="s">
        <v>1454</v>
      </c>
      <c r="Z606" s="1" t="s">
        <v>281</v>
      </c>
      <c r="AA606" s="1" t="s">
        <v>11534</v>
      </c>
      <c r="AB606" s="1" t="s">
        <v>1454</v>
      </c>
      <c r="AC606" s="1" t="s">
        <v>281</v>
      </c>
      <c r="AD606" s="1">
        <v>8.44</v>
      </c>
      <c r="AE606" s="1" t="s">
        <v>98</v>
      </c>
      <c r="AF606" s="1" t="s">
        <v>11535</v>
      </c>
      <c r="AG606" s="1" t="s">
        <v>775</v>
      </c>
      <c r="AH606" s="1" t="s">
        <v>170</v>
      </c>
      <c r="AI606" s="1" t="s">
        <v>286</v>
      </c>
      <c r="AJ606" s="1">
        <v>85</v>
      </c>
      <c r="AK606" s="1"/>
      <c r="AL606" s="1" t="s">
        <v>3033</v>
      </c>
      <c r="AM606" s="1" t="s">
        <v>1420</v>
      </c>
      <c r="AN606" s="1"/>
      <c r="AO606" s="1" t="s">
        <v>106</v>
      </c>
      <c r="AP606" s="1" t="s">
        <v>603</v>
      </c>
      <c r="AQ606" s="1">
        <v>71.9</v>
      </c>
      <c r="AR606" s="1">
        <v>8.03</v>
      </c>
      <c r="AS606" s="1"/>
      <c r="AT606" s="1"/>
      <c r="AU606" s="1"/>
      <c r="AV606" s="1"/>
      <c r="AW606" s="1"/>
      <c r="AX606" s="1"/>
      <c r="AY606" s="1" t="s">
        <v>11536</v>
      </c>
      <c r="AZ606" s="1" t="s">
        <v>11537</v>
      </c>
      <c r="BA606" s="1"/>
      <c r="BB606" s="1"/>
      <c r="BC606" s="1" t="s">
        <v>233</v>
      </c>
      <c r="BD606" s="1" t="s">
        <v>207</v>
      </c>
      <c r="BE606" s="1">
        <v>82.6</v>
      </c>
      <c r="BF606" s="1">
        <v>8.26</v>
      </c>
      <c r="BG606" s="1"/>
      <c r="BH606" s="1"/>
      <c r="BI606" s="1"/>
      <c r="BJ606" s="1"/>
      <c r="BK606" s="1"/>
      <c r="BL606" s="1"/>
      <c r="BM606" s="1"/>
      <c r="BN606" s="1"/>
      <c r="BO606" s="1" t="s">
        <v>1114</v>
      </c>
      <c r="BP606" s="1"/>
      <c r="BQ606" s="1"/>
      <c r="BR606" s="1" t="s">
        <v>11538</v>
      </c>
      <c r="BS606" s="1">
        <v>13</v>
      </c>
      <c r="BT606" s="1"/>
      <c r="BU606" s="1" t="str">
        <f>HYPERLINK("https://nconnect.nicmar.ac.in/storage/profile/ProfilePhoto_P25700608_264975.jpg","Download")</f>
        <v>0</v>
      </c>
      <c r="BV606" s="3"/>
      <c r="BW606" s="3"/>
    </row>
    <row r="607" spans="1:75">
      <c r="A607" s="1" t="s">
        <v>75</v>
      </c>
      <c r="B607" s="1" t="s">
        <v>446</v>
      </c>
      <c r="C607" s="1" t="s">
        <v>11539</v>
      </c>
      <c r="D607" s="1" t="s">
        <v>3493</v>
      </c>
      <c r="E607" s="1" t="s">
        <v>11540</v>
      </c>
      <c r="F607" s="1" t="s">
        <v>5482</v>
      </c>
      <c r="G607" s="1" t="s">
        <v>11541</v>
      </c>
      <c r="H607" s="1" t="s">
        <v>11542</v>
      </c>
      <c r="I607" s="1" t="s">
        <v>11543</v>
      </c>
      <c r="J607" s="1">
        <v>8691967130</v>
      </c>
      <c r="K607" s="1" t="s">
        <v>84</v>
      </c>
      <c r="L607" s="1" t="s">
        <v>2080</v>
      </c>
      <c r="M607" s="1" t="s">
        <v>86</v>
      </c>
      <c r="N607" s="1" t="s">
        <v>618</v>
      </c>
      <c r="O607" s="1"/>
      <c r="P607" s="1" t="s">
        <v>481</v>
      </c>
      <c r="Q607" s="1" t="s">
        <v>11544</v>
      </c>
      <c r="R607" s="1" t="s">
        <v>11545</v>
      </c>
      <c r="S607" s="1">
        <v>9869396814</v>
      </c>
      <c r="T607" s="1" t="s">
        <v>2375</v>
      </c>
      <c r="U607" s="1" t="s">
        <v>11546</v>
      </c>
      <c r="V607" s="1">
        <v>9869650711</v>
      </c>
      <c r="W607" s="1" t="s">
        <v>161</v>
      </c>
      <c r="X607" s="1" t="s">
        <v>11547</v>
      </c>
      <c r="Y607" s="1" t="s">
        <v>1012</v>
      </c>
      <c r="Z607" s="1" t="s">
        <v>97</v>
      </c>
      <c r="AA607" s="1" t="s">
        <v>11547</v>
      </c>
      <c r="AB607" s="1" t="s">
        <v>1012</v>
      </c>
      <c r="AC607" s="1" t="s">
        <v>97</v>
      </c>
      <c r="AD607" s="1">
        <v>8.54</v>
      </c>
      <c r="AE607" s="1" t="s">
        <v>98</v>
      </c>
      <c r="AF607" s="1" t="s">
        <v>7064</v>
      </c>
      <c r="AG607" s="1" t="s">
        <v>11548</v>
      </c>
      <c r="AH607" s="1" t="s">
        <v>573</v>
      </c>
      <c r="AI607" s="1" t="s">
        <v>171</v>
      </c>
      <c r="AJ607" s="1">
        <v>79.2</v>
      </c>
      <c r="AK607" s="1"/>
      <c r="AL607" s="1" t="s">
        <v>7064</v>
      </c>
      <c r="AM607" s="1" t="s">
        <v>11548</v>
      </c>
      <c r="AN607" s="1" t="s">
        <v>575</v>
      </c>
      <c r="AO607" s="1" t="s">
        <v>315</v>
      </c>
      <c r="AP607" s="1" t="s">
        <v>178</v>
      </c>
      <c r="AQ607" s="1">
        <v>77</v>
      </c>
      <c r="AR607" s="1"/>
      <c r="AS607" s="1"/>
      <c r="AT607" s="1"/>
      <c r="AU607" s="1"/>
      <c r="AV607" s="1"/>
      <c r="AW607" s="1"/>
      <c r="AX607" s="1"/>
      <c r="AY607" s="1" t="s">
        <v>680</v>
      </c>
      <c r="AZ607" s="1" t="s">
        <v>11549</v>
      </c>
      <c r="BA607" s="1" t="s">
        <v>578</v>
      </c>
      <c r="BB607" s="1" t="s">
        <v>467</v>
      </c>
      <c r="BC607" s="1" t="s">
        <v>178</v>
      </c>
      <c r="BD607" s="1" t="s">
        <v>1089</v>
      </c>
      <c r="BE607" s="1">
        <v>72.61</v>
      </c>
      <c r="BF607" s="1">
        <v>8.2</v>
      </c>
      <c r="BG607" s="1"/>
      <c r="BH607" s="1"/>
      <c r="BI607" s="1"/>
      <c r="BJ607" s="1"/>
      <c r="BK607" s="1"/>
      <c r="BL607" s="1"/>
      <c r="BM607" s="1"/>
      <c r="BN607" s="1"/>
      <c r="BO607" s="1" t="s">
        <v>11550</v>
      </c>
      <c r="BP607" s="1"/>
      <c r="BQ607" s="1"/>
      <c r="BR607" s="1" t="s">
        <v>11551</v>
      </c>
      <c r="BS607" s="1">
        <v>25</v>
      </c>
      <c r="BT607" s="1" t="s">
        <v>11552</v>
      </c>
      <c r="BU607" s="1" t="str">
        <f>HYPERLINK("https://nconnect.nicmar.ac.in/storage/profile/ProfilePhoto_P25700609_852341.jpg","Download")</f>
        <v>0</v>
      </c>
      <c r="BV607" s="3"/>
      <c r="BW607" s="3"/>
    </row>
    <row r="608" spans="1:75">
      <c r="A608" s="1" t="s">
        <v>75</v>
      </c>
      <c r="B608" s="1" t="s">
        <v>446</v>
      </c>
      <c r="C608" s="1" t="s">
        <v>11553</v>
      </c>
      <c r="D608" s="1" t="s">
        <v>11554</v>
      </c>
      <c r="E608" s="1" t="s">
        <v>11555</v>
      </c>
      <c r="F608" s="1" t="s">
        <v>11556</v>
      </c>
      <c r="G608" s="1" t="s">
        <v>11557</v>
      </c>
      <c r="H608" s="1" t="s">
        <v>11558</v>
      </c>
      <c r="I608" s="1" t="s">
        <v>11559</v>
      </c>
      <c r="J608" s="1">
        <v>9766213841</v>
      </c>
      <c r="K608" s="1" t="s">
        <v>84</v>
      </c>
      <c r="L608" s="1" t="s">
        <v>11560</v>
      </c>
      <c r="M608" s="1" t="s">
        <v>86</v>
      </c>
      <c r="N608" s="1" t="s">
        <v>903</v>
      </c>
      <c r="O608" s="1"/>
      <c r="P608" s="1" t="s">
        <v>481</v>
      </c>
      <c r="Q608" s="1" t="s">
        <v>11561</v>
      </c>
      <c r="R608" s="1" t="s">
        <v>11555</v>
      </c>
      <c r="S608" s="1">
        <v>1234567890</v>
      </c>
      <c r="T608" s="1" t="s">
        <v>11562</v>
      </c>
      <c r="U608" s="1" t="s">
        <v>11563</v>
      </c>
      <c r="V608" s="1">
        <v>1234567890</v>
      </c>
      <c r="W608" s="1" t="s">
        <v>11562</v>
      </c>
      <c r="X608" s="1" t="s">
        <v>11564</v>
      </c>
      <c r="Y608" s="1" t="s">
        <v>4302</v>
      </c>
      <c r="Z608" s="1" t="s">
        <v>97</v>
      </c>
      <c r="AA608" s="1" t="s">
        <v>11564</v>
      </c>
      <c r="AB608" s="1" t="s">
        <v>4302</v>
      </c>
      <c r="AC608" s="1" t="s">
        <v>97</v>
      </c>
      <c r="AD608" s="1">
        <v>8.03</v>
      </c>
      <c r="AE608" s="1" t="s">
        <v>98</v>
      </c>
      <c r="AF608" s="1" t="s">
        <v>11565</v>
      </c>
      <c r="AG608" s="1" t="s">
        <v>1968</v>
      </c>
      <c r="AH608" s="1" t="s">
        <v>133</v>
      </c>
      <c r="AI608" s="1" t="s">
        <v>1457</v>
      </c>
      <c r="AJ608" s="1">
        <v>68.8</v>
      </c>
      <c r="AK608" s="1"/>
      <c r="AL608" s="1" t="s">
        <v>11566</v>
      </c>
      <c r="AM608" s="1" t="s">
        <v>1968</v>
      </c>
      <c r="AN608" s="1" t="s">
        <v>465</v>
      </c>
      <c r="AO608" s="1" t="s">
        <v>101</v>
      </c>
      <c r="AP608" s="1" t="s">
        <v>11567</v>
      </c>
      <c r="AQ608" s="1">
        <v>53.38</v>
      </c>
      <c r="AR608" s="1"/>
      <c r="AS608" s="1" t="s">
        <v>103</v>
      </c>
      <c r="AT608" s="1" t="s">
        <v>11568</v>
      </c>
      <c r="AU608" s="1" t="s">
        <v>105</v>
      </c>
      <c r="AV608" s="1" t="s">
        <v>170</v>
      </c>
      <c r="AW608" s="1">
        <v>69.76</v>
      </c>
      <c r="AX608" s="1"/>
      <c r="AY608" s="1" t="s">
        <v>258</v>
      </c>
      <c r="AZ608" s="1" t="s">
        <v>11568</v>
      </c>
      <c r="BA608" s="1" t="s">
        <v>578</v>
      </c>
      <c r="BB608" s="1" t="s">
        <v>467</v>
      </c>
      <c r="BC608" s="1" t="s">
        <v>388</v>
      </c>
      <c r="BD608" s="1" t="s">
        <v>603</v>
      </c>
      <c r="BE608" s="1">
        <v>64.46</v>
      </c>
      <c r="BF608" s="1">
        <v>7.09</v>
      </c>
      <c r="BG608" s="1"/>
      <c r="BH608" s="1"/>
      <c r="BI608" s="1"/>
      <c r="BJ608" s="1"/>
      <c r="BK608" s="1"/>
      <c r="BL608" s="1"/>
      <c r="BM608" s="1"/>
      <c r="BN608" s="1"/>
      <c r="BO608" s="1" t="s">
        <v>11569</v>
      </c>
      <c r="BP608" s="1" t="s">
        <v>11570</v>
      </c>
      <c r="BQ608" s="1" t="s">
        <v>11571</v>
      </c>
      <c r="BR608" s="1" t="s">
        <v>11572</v>
      </c>
      <c r="BS608" s="1">
        <v>19</v>
      </c>
      <c r="BT608" s="1" t="s">
        <v>11573</v>
      </c>
      <c r="BU608" s="1" t="str">
        <f>HYPERLINK("https://nconnect.nicmar.ac.in/storage/profile/ProfilePhoto_P25700610_143892.jpg","Download")</f>
        <v>0</v>
      </c>
      <c r="BV608" s="3"/>
      <c r="BW608" s="3"/>
    </row>
    <row r="609" spans="1:75">
      <c r="A609" s="1" t="s">
        <v>75</v>
      </c>
      <c r="B609" s="1" t="s">
        <v>446</v>
      </c>
      <c r="C609" s="1" t="s">
        <v>11574</v>
      </c>
      <c r="D609" s="1" t="s">
        <v>4820</v>
      </c>
      <c r="E609" s="1" t="s">
        <v>762</v>
      </c>
      <c r="F609" s="1" t="s">
        <v>11575</v>
      </c>
      <c r="G609" s="1" t="s">
        <v>11576</v>
      </c>
      <c r="H609" s="1" t="s">
        <v>11577</v>
      </c>
      <c r="I609" s="1" t="s">
        <v>11578</v>
      </c>
      <c r="J609" s="1">
        <v>9326356991</v>
      </c>
      <c r="K609" s="1" t="s">
        <v>84</v>
      </c>
      <c r="L609" s="1" t="s">
        <v>6746</v>
      </c>
      <c r="M609" s="1" t="s">
        <v>86</v>
      </c>
      <c r="N609" s="1" t="s">
        <v>768</v>
      </c>
      <c r="O609" s="1"/>
      <c r="P609" s="1" t="s">
        <v>455</v>
      </c>
      <c r="Q609" s="1" t="s">
        <v>11579</v>
      </c>
      <c r="R609" s="1" t="s">
        <v>11580</v>
      </c>
      <c r="S609" s="1">
        <v>9699998901</v>
      </c>
      <c r="T609" s="1" t="s">
        <v>839</v>
      </c>
      <c r="U609" s="1" t="s">
        <v>11581</v>
      </c>
      <c r="V609" s="1">
        <v>8080998901</v>
      </c>
      <c r="W609" s="1" t="s">
        <v>94</v>
      </c>
      <c r="X609" s="1" t="s">
        <v>11582</v>
      </c>
      <c r="Y609" s="1" t="s">
        <v>2259</v>
      </c>
      <c r="Z609" s="1" t="s">
        <v>97</v>
      </c>
      <c r="AA609" s="1" t="s">
        <v>11582</v>
      </c>
      <c r="AB609" s="1" t="s">
        <v>2259</v>
      </c>
      <c r="AC609" s="1" t="s">
        <v>97</v>
      </c>
      <c r="AD609" s="1">
        <v>8.92</v>
      </c>
      <c r="AE609" s="1" t="s">
        <v>98</v>
      </c>
      <c r="AF609" s="1" t="s">
        <v>11583</v>
      </c>
      <c r="AG609" s="1" t="s">
        <v>11584</v>
      </c>
      <c r="AH609" s="1" t="s">
        <v>170</v>
      </c>
      <c r="AI609" s="1" t="s">
        <v>286</v>
      </c>
      <c r="AJ609" s="1">
        <v>82.8</v>
      </c>
      <c r="AK609" s="1"/>
      <c r="AL609" s="1" t="s">
        <v>11585</v>
      </c>
      <c r="AM609" s="1" t="s">
        <v>11584</v>
      </c>
      <c r="AN609" s="1" t="s">
        <v>465</v>
      </c>
      <c r="AO609" s="1" t="s">
        <v>438</v>
      </c>
      <c r="AP609" s="1" t="s">
        <v>365</v>
      </c>
      <c r="AQ609" s="1">
        <v>73.38</v>
      </c>
      <c r="AR609" s="1"/>
      <c r="AS609" s="1"/>
      <c r="AT609" s="1"/>
      <c r="AU609" s="1"/>
      <c r="AV609" s="1"/>
      <c r="AW609" s="1"/>
      <c r="AX609" s="1"/>
      <c r="AY609" s="1" t="s">
        <v>258</v>
      </c>
      <c r="AZ609" s="1" t="s">
        <v>11586</v>
      </c>
      <c r="BA609" s="1" t="s">
        <v>578</v>
      </c>
      <c r="BB609" s="1" t="s">
        <v>467</v>
      </c>
      <c r="BC609" s="1" t="s">
        <v>1040</v>
      </c>
      <c r="BD609" s="1" t="s">
        <v>418</v>
      </c>
      <c r="BE609" s="1">
        <v>74.18</v>
      </c>
      <c r="BF609" s="1">
        <v>8.14</v>
      </c>
      <c r="BG609" s="1"/>
      <c r="BH609" s="1"/>
      <c r="BI609" s="1"/>
      <c r="BJ609" s="1"/>
      <c r="BK609" s="1"/>
      <c r="BL609" s="1"/>
      <c r="BM609" s="1"/>
      <c r="BN609" s="1"/>
      <c r="BO609" s="1" t="s">
        <v>1114</v>
      </c>
      <c r="BP609" s="1" t="s">
        <v>11587</v>
      </c>
      <c r="BQ609" s="1" t="s">
        <v>658</v>
      </c>
      <c r="BR609" s="1" t="s">
        <v>11588</v>
      </c>
      <c r="BS609" s="1">
        <v>13</v>
      </c>
      <c r="BT609" s="1"/>
      <c r="BU609" s="1" t="str">
        <f>HYPERLINK("https://nconnect.nicmar.ac.in/storage/profile/ProfilePhoto_P25700611_842917.jpg","Download")</f>
        <v>0</v>
      </c>
      <c r="BV609" s="3"/>
      <c r="BW609" s="3"/>
    </row>
    <row r="610" spans="1:75">
      <c r="A610" s="1" t="s">
        <v>75</v>
      </c>
      <c r="B610" s="1" t="s">
        <v>446</v>
      </c>
      <c r="C610" s="1" t="s">
        <v>11589</v>
      </c>
      <c r="D610" s="1" t="s">
        <v>11590</v>
      </c>
      <c r="E610" s="1" t="s">
        <v>11591</v>
      </c>
      <c r="F610" s="1" t="s">
        <v>11592</v>
      </c>
      <c r="G610" s="1" t="s">
        <v>11593</v>
      </c>
      <c r="H610" s="1" t="s">
        <v>11594</v>
      </c>
      <c r="I610" s="1" t="s">
        <v>11595</v>
      </c>
      <c r="J610" s="1">
        <v>8097090016</v>
      </c>
      <c r="K610" s="1" t="s">
        <v>84</v>
      </c>
      <c r="L610" s="1" t="s">
        <v>7485</v>
      </c>
      <c r="M610" s="1" t="s">
        <v>86</v>
      </c>
      <c r="N610" s="1" t="s">
        <v>768</v>
      </c>
      <c r="O610" s="1"/>
      <c r="P610" s="1" t="s">
        <v>481</v>
      </c>
      <c r="Q610" s="1" t="s">
        <v>11596</v>
      </c>
      <c r="R610" s="1" t="s">
        <v>11597</v>
      </c>
      <c r="S610" s="1">
        <v>7498231439</v>
      </c>
      <c r="T610" s="1" t="s">
        <v>6733</v>
      </c>
      <c r="U610" s="1" t="s">
        <v>11598</v>
      </c>
      <c r="V610" s="1">
        <v>8830604681</v>
      </c>
      <c r="W610" s="1" t="s">
        <v>278</v>
      </c>
      <c r="X610" s="1" t="s">
        <v>11599</v>
      </c>
      <c r="Y610" s="1" t="s">
        <v>1012</v>
      </c>
      <c r="Z610" s="1" t="s">
        <v>97</v>
      </c>
      <c r="AA610" s="1" t="s">
        <v>11599</v>
      </c>
      <c r="AB610" s="1" t="s">
        <v>1012</v>
      </c>
      <c r="AC610" s="1" t="s">
        <v>97</v>
      </c>
      <c r="AD610" s="1">
        <v>9.18</v>
      </c>
      <c r="AE610" s="1" t="s">
        <v>98</v>
      </c>
      <c r="AF610" s="1" t="s">
        <v>11600</v>
      </c>
      <c r="AG610" s="1" t="s">
        <v>796</v>
      </c>
      <c r="AH610" s="1" t="s">
        <v>704</v>
      </c>
      <c r="AI610" s="1" t="s">
        <v>171</v>
      </c>
      <c r="AJ610" s="1">
        <v>62</v>
      </c>
      <c r="AK610" s="1"/>
      <c r="AL610" s="1" t="s">
        <v>11601</v>
      </c>
      <c r="AM610" s="1" t="s">
        <v>796</v>
      </c>
      <c r="AN610" s="1" t="s">
        <v>575</v>
      </c>
      <c r="AO610" s="1" t="s">
        <v>547</v>
      </c>
      <c r="AP610" s="1" t="s">
        <v>178</v>
      </c>
      <c r="AQ610" s="1">
        <v>68</v>
      </c>
      <c r="AR610" s="1"/>
      <c r="AS610" s="1"/>
      <c r="AT610" s="1"/>
      <c r="AU610" s="1"/>
      <c r="AV610" s="1"/>
      <c r="AW610" s="1"/>
      <c r="AX610" s="1"/>
      <c r="AY610" s="1" t="s">
        <v>680</v>
      </c>
      <c r="AZ610" s="1" t="s">
        <v>11602</v>
      </c>
      <c r="BA610" s="1" t="s">
        <v>578</v>
      </c>
      <c r="BB610" s="1" t="s">
        <v>467</v>
      </c>
      <c r="BC610" s="1" t="s">
        <v>368</v>
      </c>
      <c r="BD610" s="1" t="s">
        <v>1089</v>
      </c>
      <c r="BE610" s="1">
        <v>73.97</v>
      </c>
      <c r="BF610" s="1">
        <v>8.22</v>
      </c>
      <c r="BG610" s="1"/>
      <c r="BH610" s="1"/>
      <c r="BI610" s="1"/>
      <c r="BJ610" s="1"/>
      <c r="BK610" s="1"/>
      <c r="BL610" s="1"/>
      <c r="BM610" s="1"/>
      <c r="BN610" s="1"/>
      <c r="BO610" s="1" t="s">
        <v>11603</v>
      </c>
      <c r="BP610" s="1"/>
      <c r="BQ610" s="1"/>
      <c r="BR610" s="1" t="s">
        <v>11604</v>
      </c>
      <c r="BS610" s="1">
        <v>130</v>
      </c>
      <c r="BT610" s="1" t="s">
        <v>11605</v>
      </c>
      <c r="BU610" s="1" t="str">
        <f>HYPERLINK("https://nconnect.nicmar.ac.in/storage/profile/ProfilePhoto_P25700612_964275.jpg","Download")</f>
        <v>0</v>
      </c>
      <c r="BV610" s="3"/>
      <c r="BW610" s="3"/>
    </row>
    <row r="611" spans="1:75">
      <c r="A611" s="1" t="s">
        <v>75</v>
      </c>
      <c r="B611" s="1" t="s">
        <v>446</v>
      </c>
      <c r="C611" s="1" t="s">
        <v>11606</v>
      </c>
      <c r="D611" s="1" t="s">
        <v>11607</v>
      </c>
      <c r="E611" s="1"/>
      <c r="F611" s="1" t="s">
        <v>2772</v>
      </c>
      <c r="G611" s="1" t="s">
        <v>11608</v>
      </c>
      <c r="H611" s="1" t="s">
        <v>11609</v>
      </c>
      <c r="I611" s="1" t="s">
        <v>11610</v>
      </c>
      <c r="J611" s="1">
        <v>9345734480</v>
      </c>
      <c r="K611" s="1" t="s">
        <v>153</v>
      </c>
      <c r="L611" s="1" t="s">
        <v>6106</v>
      </c>
      <c r="M611" s="1" t="s">
        <v>86</v>
      </c>
      <c r="N611" s="1" t="s">
        <v>11611</v>
      </c>
      <c r="O611" s="1"/>
      <c r="P611" s="1" t="s">
        <v>507</v>
      </c>
      <c r="Q611" s="1" t="s">
        <v>11612</v>
      </c>
      <c r="R611" s="1" t="s">
        <v>11613</v>
      </c>
      <c r="S611" s="1">
        <v>9443622246</v>
      </c>
      <c r="T611" s="1" t="s">
        <v>596</v>
      </c>
      <c r="U611" s="1" t="s">
        <v>11614</v>
      </c>
      <c r="V611" s="1">
        <v>8072537791</v>
      </c>
      <c r="W611" s="1" t="s">
        <v>541</v>
      </c>
      <c r="X611" s="1" t="s">
        <v>11615</v>
      </c>
      <c r="Y611" s="1" t="s">
        <v>9021</v>
      </c>
      <c r="Z611" s="1" t="s">
        <v>570</v>
      </c>
      <c r="AA611" s="1" t="s">
        <v>11615</v>
      </c>
      <c r="AB611" s="1" t="s">
        <v>9021</v>
      </c>
      <c r="AC611" s="1" t="s">
        <v>570</v>
      </c>
      <c r="AD611" s="1">
        <v>9.08</v>
      </c>
      <c r="AE611" s="1" t="s">
        <v>98</v>
      </c>
      <c r="AF611" s="1" t="s">
        <v>11616</v>
      </c>
      <c r="AG611" s="1" t="s">
        <v>11617</v>
      </c>
      <c r="AH611" s="1" t="s">
        <v>170</v>
      </c>
      <c r="AI611" s="1" t="s">
        <v>171</v>
      </c>
      <c r="AJ611" s="1">
        <v>92.2</v>
      </c>
      <c r="AK611" s="1"/>
      <c r="AL611" s="1" t="s">
        <v>11616</v>
      </c>
      <c r="AM611" s="1" t="s">
        <v>11617</v>
      </c>
      <c r="AN611" s="1" t="s">
        <v>575</v>
      </c>
      <c r="AO611" s="1" t="s">
        <v>438</v>
      </c>
      <c r="AP611" s="1" t="s">
        <v>603</v>
      </c>
      <c r="AQ611" s="1">
        <v>74.83</v>
      </c>
      <c r="AR611" s="1"/>
      <c r="AS611" s="1"/>
      <c r="AT611" s="1"/>
      <c r="AU611" s="1"/>
      <c r="AV611" s="1"/>
      <c r="AW611" s="1"/>
      <c r="AX611" s="1"/>
      <c r="AY611" s="1" t="s">
        <v>11618</v>
      </c>
      <c r="AZ611" s="1" t="s">
        <v>11618</v>
      </c>
      <c r="BA611" s="1" t="s">
        <v>466</v>
      </c>
      <c r="BB611" s="1" t="s">
        <v>467</v>
      </c>
      <c r="BC611" s="1" t="s">
        <v>1647</v>
      </c>
      <c r="BD611" s="1" t="s">
        <v>1089</v>
      </c>
      <c r="BE611" s="1">
        <v>73.8</v>
      </c>
      <c r="BF611" s="1">
        <v>7.38</v>
      </c>
      <c r="BG611" s="1"/>
      <c r="BH611" s="1"/>
      <c r="BI611" s="1"/>
      <c r="BJ611" s="1"/>
      <c r="BK611" s="1"/>
      <c r="BL611" s="1"/>
      <c r="BM611" s="1"/>
      <c r="BN611" s="1"/>
      <c r="BO611" s="1" t="s">
        <v>11619</v>
      </c>
      <c r="BP611" s="1" t="s">
        <v>11620</v>
      </c>
      <c r="BQ611" s="1" t="s">
        <v>658</v>
      </c>
      <c r="BR611" s="1" t="s">
        <v>11621</v>
      </c>
      <c r="BS611" s="1">
        <v>22</v>
      </c>
      <c r="BT611" s="1" t="s">
        <v>11622</v>
      </c>
      <c r="BU611" s="1" t="str">
        <f>HYPERLINK("https://nconnect.nicmar.ac.in/storage/profile/ProfilePhoto_P25700613_197586.jpg","Download")</f>
        <v>0</v>
      </c>
      <c r="BV611" s="3"/>
      <c r="BW611" s="4">
        <v>1</v>
      </c>
    </row>
    <row r="612" spans="1:75">
      <c r="A612" s="1" t="s">
        <v>75</v>
      </c>
      <c r="B612" s="1" t="s">
        <v>446</v>
      </c>
      <c r="C612" s="1" t="s">
        <v>11623</v>
      </c>
      <c r="D612" s="1" t="s">
        <v>875</v>
      </c>
      <c r="E612" s="1"/>
      <c r="F612" s="1" t="s">
        <v>11624</v>
      </c>
      <c r="G612" s="1" t="s">
        <v>11625</v>
      </c>
      <c r="H612" s="1" t="s">
        <v>11626</v>
      </c>
      <c r="I612" s="1" t="s">
        <v>11627</v>
      </c>
      <c r="J612" s="1">
        <v>8103077636</v>
      </c>
      <c r="K612" s="1" t="s">
        <v>84</v>
      </c>
      <c r="L612" s="1" t="s">
        <v>11628</v>
      </c>
      <c r="M612" s="1" t="s">
        <v>86</v>
      </c>
      <c r="N612" s="1" t="s">
        <v>11629</v>
      </c>
      <c r="O612" s="1"/>
      <c r="P612" s="1" t="s">
        <v>507</v>
      </c>
      <c r="Q612" s="1" t="s">
        <v>11630</v>
      </c>
      <c r="R612" s="1" t="s">
        <v>11631</v>
      </c>
      <c r="S612" s="1">
        <v>9589709900</v>
      </c>
      <c r="T612" s="1" t="s">
        <v>159</v>
      </c>
      <c r="U612" s="1" t="s">
        <v>11632</v>
      </c>
      <c r="V612" s="1">
        <v>7000239907</v>
      </c>
      <c r="W612" s="1" t="s">
        <v>11633</v>
      </c>
      <c r="X612" s="1" t="s">
        <v>11634</v>
      </c>
      <c r="Y612" s="1" t="s">
        <v>8001</v>
      </c>
      <c r="Z612" s="1" t="s">
        <v>3419</v>
      </c>
      <c r="AA612" s="1" t="s">
        <v>11634</v>
      </c>
      <c r="AB612" s="1" t="s">
        <v>8001</v>
      </c>
      <c r="AC612" s="1" t="s">
        <v>3419</v>
      </c>
      <c r="AD612" s="1">
        <v>7.79</v>
      </c>
      <c r="AE612" s="1" t="s">
        <v>98</v>
      </c>
      <c r="AF612" s="1" t="s">
        <v>11635</v>
      </c>
      <c r="AG612" s="1" t="s">
        <v>11430</v>
      </c>
      <c r="AH612" s="1" t="s">
        <v>627</v>
      </c>
      <c r="AI612" s="1" t="s">
        <v>200</v>
      </c>
      <c r="AJ612" s="1">
        <v>84.83</v>
      </c>
      <c r="AK612" s="1"/>
      <c r="AL612" s="1" t="s">
        <v>11636</v>
      </c>
      <c r="AM612" s="1" t="s">
        <v>11430</v>
      </c>
      <c r="AN612" s="1"/>
      <c r="AO612" s="1" t="s">
        <v>171</v>
      </c>
      <c r="AP612" s="1" t="s">
        <v>414</v>
      </c>
      <c r="AQ612" s="1">
        <v>74.8</v>
      </c>
      <c r="AR612" s="1"/>
      <c r="AS612" s="1"/>
      <c r="AT612" s="1"/>
      <c r="AU612" s="1"/>
      <c r="AV612" s="1"/>
      <c r="AW612" s="1"/>
      <c r="AX612" s="1"/>
      <c r="AY612" s="1" t="s">
        <v>11637</v>
      </c>
      <c r="AZ612" s="1" t="s">
        <v>11638</v>
      </c>
      <c r="BA612" s="1"/>
      <c r="BB612" s="1"/>
      <c r="BC612" s="1" t="s">
        <v>313</v>
      </c>
      <c r="BD612" s="1" t="s">
        <v>955</v>
      </c>
      <c r="BE612" s="1">
        <v>82.4</v>
      </c>
      <c r="BF612" s="1">
        <v>8.24</v>
      </c>
      <c r="BG612" s="1"/>
      <c r="BH612" s="1"/>
      <c r="BI612" s="1"/>
      <c r="BJ612" s="1"/>
      <c r="BK612" s="1"/>
      <c r="BL612" s="1"/>
      <c r="BM612" s="1"/>
      <c r="BN612" s="1"/>
      <c r="BO612" s="1" t="s">
        <v>849</v>
      </c>
      <c r="BP612" s="1" t="s">
        <v>11639</v>
      </c>
      <c r="BQ612" s="1" t="s">
        <v>2116</v>
      </c>
      <c r="BR612" s="1" t="s">
        <v>11640</v>
      </c>
      <c r="BS612" s="1">
        <v>8</v>
      </c>
      <c r="BT612" s="1" t="s">
        <v>1666</v>
      </c>
      <c r="BU612" s="1" t="str">
        <f>HYPERLINK("https://nconnect.nicmar.ac.in/storage/profile/ProfilePhoto_P25700614_342179.jpg","Download")</f>
        <v>0</v>
      </c>
      <c r="BV612" s="3"/>
      <c r="BW612" s="3"/>
    </row>
    <row r="613" spans="1:75">
      <c r="A613" s="1" t="s">
        <v>75</v>
      </c>
      <c r="B613" s="1" t="s">
        <v>446</v>
      </c>
      <c r="C613" s="1" t="s">
        <v>11641</v>
      </c>
      <c r="D613" s="1" t="s">
        <v>115</v>
      </c>
      <c r="E613" s="1" t="s">
        <v>4646</v>
      </c>
      <c r="F613" s="1" t="s">
        <v>11642</v>
      </c>
      <c r="G613" s="1" t="s">
        <v>11643</v>
      </c>
      <c r="H613" s="1" t="s">
        <v>11644</v>
      </c>
      <c r="I613" s="1" t="s">
        <v>11645</v>
      </c>
      <c r="J613" s="1">
        <v>9076212755</v>
      </c>
      <c r="K613" s="1" t="s">
        <v>84</v>
      </c>
      <c r="L613" s="1" t="s">
        <v>11646</v>
      </c>
      <c r="M613" s="1" t="s">
        <v>86</v>
      </c>
      <c r="N613" s="1" t="s">
        <v>11647</v>
      </c>
      <c r="O613" s="1"/>
      <c r="P613" s="1"/>
      <c r="Q613" s="1" t="s">
        <v>11648</v>
      </c>
      <c r="R613" s="1" t="s">
        <v>11649</v>
      </c>
      <c r="S613" s="1">
        <v>9820868488</v>
      </c>
      <c r="T613" s="1" t="s">
        <v>645</v>
      </c>
      <c r="U613" s="1" t="s">
        <v>11650</v>
      </c>
      <c r="V613" s="1">
        <v>8652303318</v>
      </c>
      <c r="W613" s="1" t="s">
        <v>278</v>
      </c>
      <c r="X613" s="1" t="s">
        <v>11651</v>
      </c>
      <c r="Y613" s="1" t="s">
        <v>1189</v>
      </c>
      <c r="Z613" s="1" t="s">
        <v>97</v>
      </c>
      <c r="AA613" s="1" t="s">
        <v>11651</v>
      </c>
      <c r="AB613" s="1" t="s">
        <v>1189</v>
      </c>
      <c r="AC613" s="1" t="s">
        <v>97</v>
      </c>
      <c r="AD613" s="1">
        <v>7.9</v>
      </c>
      <c r="AE613" s="1" t="s">
        <v>98</v>
      </c>
      <c r="AF613" s="1" t="s">
        <v>6182</v>
      </c>
      <c r="AG613" s="1" t="s">
        <v>8948</v>
      </c>
      <c r="AH613" s="1" t="s">
        <v>167</v>
      </c>
      <c r="AI613" s="1" t="s">
        <v>170</v>
      </c>
      <c r="AJ613" s="1">
        <v>68</v>
      </c>
      <c r="AK613" s="1"/>
      <c r="AL613" s="1" t="s">
        <v>11652</v>
      </c>
      <c r="AM613" s="1" t="s">
        <v>8948</v>
      </c>
      <c r="AN613" s="1" t="s">
        <v>465</v>
      </c>
      <c r="AO613" s="1" t="s">
        <v>174</v>
      </c>
      <c r="AP613" s="1" t="s">
        <v>414</v>
      </c>
      <c r="AQ613" s="1">
        <v>66.62</v>
      </c>
      <c r="AR613" s="1"/>
      <c r="AS613" s="1"/>
      <c r="AT613" s="1"/>
      <c r="AU613" s="1"/>
      <c r="AV613" s="1"/>
      <c r="AW613" s="1"/>
      <c r="AX613" s="1"/>
      <c r="AY613" s="1" t="s">
        <v>258</v>
      </c>
      <c r="AZ613" s="1" t="s">
        <v>11653</v>
      </c>
      <c r="BA613" s="1" t="s">
        <v>578</v>
      </c>
      <c r="BB613" s="1" t="s">
        <v>467</v>
      </c>
      <c r="BC613" s="1" t="s">
        <v>109</v>
      </c>
      <c r="BD613" s="1" t="s">
        <v>955</v>
      </c>
      <c r="BE613" s="1">
        <v>70.21</v>
      </c>
      <c r="BF613" s="1">
        <v>7.91</v>
      </c>
      <c r="BG613" s="1"/>
      <c r="BH613" s="1"/>
      <c r="BI613" s="1"/>
      <c r="BJ613" s="1"/>
      <c r="BK613" s="1"/>
      <c r="BL613" s="1"/>
      <c r="BM613" s="1"/>
      <c r="BN613" s="1"/>
      <c r="BO613" s="1" t="s">
        <v>1114</v>
      </c>
      <c r="BP613" s="1" t="s">
        <v>11654</v>
      </c>
      <c r="BQ613" s="1" t="s">
        <v>2213</v>
      </c>
      <c r="BR613" s="1" t="s">
        <v>11655</v>
      </c>
      <c r="BS613" s="1">
        <v>29</v>
      </c>
      <c r="BT613" s="1"/>
      <c r="BU613" s="1" t="str">
        <f>HYPERLINK("https://nconnect.nicmar.ac.in/storage/profile/ProfilePhoto_P25700615_362518.jpg","Download")</f>
        <v>0</v>
      </c>
      <c r="BV613" s="3"/>
      <c r="BW613" s="3"/>
    </row>
    <row r="614" spans="1:75">
      <c r="A614" s="1" t="s">
        <v>75</v>
      </c>
      <c r="B614" s="1" t="s">
        <v>446</v>
      </c>
      <c r="C614" s="1" t="s">
        <v>11656</v>
      </c>
      <c r="D614" s="1" t="s">
        <v>2848</v>
      </c>
      <c r="E614" s="1" t="s">
        <v>3639</v>
      </c>
      <c r="F614" s="1" t="s">
        <v>11657</v>
      </c>
      <c r="G614" s="1" t="s">
        <v>11658</v>
      </c>
      <c r="H614" s="1" t="s">
        <v>11659</v>
      </c>
      <c r="I614" s="1" t="s">
        <v>11660</v>
      </c>
      <c r="J614" s="1">
        <v>8080225439</v>
      </c>
      <c r="K614" s="1" t="s">
        <v>84</v>
      </c>
      <c r="L614" s="1" t="s">
        <v>6389</v>
      </c>
      <c r="M614" s="1" t="s">
        <v>86</v>
      </c>
      <c r="N614" s="1" t="s">
        <v>1163</v>
      </c>
      <c r="O614" s="1"/>
      <c r="P614" s="1" t="s">
        <v>507</v>
      </c>
      <c r="Q614" s="1" t="s">
        <v>11661</v>
      </c>
      <c r="R614" s="1" t="s">
        <v>11662</v>
      </c>
      <c r="S614" s="1">
        <v>9049554146</v>
      </c>
      <c r="T614" s="1" t="s">
        <v>839</v>
      </c>
      <c r="U614" s="1" t="s">
        <v>11663</v>
      </c>
      <c r="V614" s="1">
        <v>9923544615</v>
      </c>
      <c r="W614" s="1" t="s">
        <v>161</v>
      </c>
      <c r="X614" s="1" t="s">
        <v>11664</v>
      </c>
      <c r="Y614" s="1" t="s">
        <v>410</v>
      </c>
      <c r="Z614" s="1" t="s">
        <v>97</v>
      </c>
      <c r="AA614" s="1" t="s">
        <v>11664</v>
      </c>
      <c r="AB614" s="1" t="s">
        <v>410</v>
      </c>
      <c r="AC614" s="1" t="s">
        <v>97</v>
      </c>
      <c r="AD614" s="1">
        <v>7.13</v>
      </c>
      <c r="AE614" s="1" t="s">
        <v>98</v>
      </c>
      <c r="AF614" s="1" t="s">
        <v>11665</v>
      </c>
      <c r="AG614" s="1" t="s">
        <v>165</v>
      </c>
      <c r="AH614" s="1" t="s">
        <v>171</v>
      </c>
      <c r="AI614" s="1" t="s">
        <v>414</v>
      </c>
      <c r="AJ614" s="1">
        <v>76.4</v>
      </c>
      <c r="AK614" s="1">
        <v>0</v>
      </c>
      <c r="AL614" s="1"/>
      <c r="AM614" s="1"/>
      <c r="AN614" s="1" t="s">
        <v>1062</v>
      </c>
      <c r="AO614" s="1"/>
      <c r="AP614" s="1"/>
      <c r="AQ614" s="1"/>
      <c r="AR614" s="1"/>
      <c r="AS614" s="1" t="s">
        <v>103</v>
      </c>
      <c r="AT614" s="1" t="s">
        <v>2381</v>
      </c>
      <c r="AU614" s="1" t="s">
        <v>315</v>
      </c>
      <c r="AV614" s="1" t="s">
        <v>110</v>
      </c>
      <c r="AW614" s="1">
        <v>79.35</v>
      </c>
      <c r="AX614" s="1">
        <v>0</v>
      </c>
      <c r="AY614" s="1" t="s">
        <v>415</v>
      </c>
      <c r="AZ614" s="1" t="s">
        <v>5588</v>
      </c>
      <c r="BA614" s="1" t="s">
        <v>466</v>
      </c>
      <c r="BB614" s="1" t="s">
        <v>467</v>
      </c>
      <c r="BC614" s="1" t="s">
        <v>1889</v>
      </c>
      <c r="BD614" s="1" t="s">
        <v>848</v>
      </c>
      <c r="BE614" s="1">
        <v>66</v>
      </c>
      <c r="BF614" s="1">
        <v>7.35</v>
      </c>
      <c r="BG614" s="1"/>
      <c r="BH614" s="1"/>
      <c r="BI614" s="1"/>
      <c r="BJ614" s="1"/>
      <c r="BK614" s="1"/>
      <c r="BL614" s="1"/>
      <c r="BM614" s="1"/>
      <c r="BN614" s="1"/>
      <c r="BO614" s="1" t="s">
        <v>5787</v>
      </c>
      <c r="BP614" s="1"/>
      <c r="BQ614" s="1"/>
      <c r="BR614" s="1" t="s">
        <v>11666</v>
      </c>
      <c r="BS614" s="1">
        <v>33</v>
      </c>
      <c r="BT614" s="1" t="s">
        <v>11309</v>
      </c>
      <c r="BU614" s="1" t="str">
        <f>HYPERLINK("https://nconnect.nicmar.ac.in/storage/profile/ProfilePhoto_P25700617_543618.jpg","Download")</f>
        <v>0</v>
      </c>
      <c r="BV614" s="3"/>
      <c r="BW614" s="3"/>
    </row>
    <row r="615" spans="1:75">
      <c r="A615" s="1" t="s">
        <v>75</v>
      </c>
      <c r="B615" s="1" t="s">
        <v>446</v>
      </c>
      <c r="C615" s="1" t="s">
        <v>11667</v>
      </c>
      <c r="D615" s="1" t="s">
        <v>11668</v>
      </c>
      <c r="E615" s="1" t="s">
        <v>2098</v>
      </c>
      <c r="F615" s="1" t="s">
        <v>11669</v>
      </c>
      <c r="G615" s="1" t="s">
        <v>11670</v>
      </c>
      <c r="H615" s="1" t="s">
        <v>11671</v>
      </c>
      <c r="I615" s="1" t="s">
        <v>11672</v>
      </c>
      <c r="J615" s="1">
        <v>9767686672</v>
      </c>
      <c r="K615" s="1" t="s">
        <v>84</v>
      </c>
      <c r="L615" s="1" t="s">
        <v>11673</v>
      </c>
      <c r="M615" s="1" t="s">
        <v>86</v>
      </c>
      <c r="N615" s="1" t="s">
        <v>8647</v>
      </c>
      <c r="O615" s="1"/>
      <c r="P615" s="1" t="s">
        <v>1028</v>
      </c>
      <c r="Q615" s="1" t="s">
        <v>11674</v>
      </c>
      <c r="R615" s="1" t="s">
        <v>11675</v>
      </c>
      <c r="S615" s="1">
        <v>9767664794</v>
      </c>
      <c r="T615" s="1" t="s">
        <v>4776</v>
      </c>
      <c r="U615" s="1" t="s">
        <v>11676</v>
      </c>
      <c r="V615" s="1">
        <v>9767686672</v>
      </c>
      <c r="W615" s="1" t="s">
        <v>94</v>
      </c>
      <c r="X615" s="1" t="s">
        <v>11677</v>
      </c>
      <c r="Y615" s="1" t="s">
        <v>196</v>
      </c>
      <c r="Z615" s="1" t="s">
        <v>97</v>
      </c>
      <c r="AA615" s="1" t="s">
        <v>11677</v>
      </c>
      <c r="AB615" s="1" t="s">
        <v>196</v>
      </c>
      <c r="AC615" s="1" t="s">
        <v>97</v>
      </c>
      <c r="AD615" s="1">
        <v>8.85</v>
      </c>
      <c r="AE615" s="1" t="s">
        <v>98</v>
      </c>
      <c r="AF615" s="1" t="s">
        <v>11678</v>
      </c>
      <c r="AG615" s="1" t="s">
        <v>1968</v>
      </c>
      <c r="AH615" s="1" t="s">
        <v>7331</v>
      </c>
      <c r="AI615" s="1" t="s">
        <v>286</v>
      </c>
      <c r="AJ615" s="1">
        <v>88.2</v>
      </c>
      <c r="AK615" s="1"/>
      <c r="AL615" s="1"/>
      <c r="AM615" s="1"/>
      <c r="AN615" s="1"/>
      <c r="AO615" s="1"/>
      <c r="AP615" s="1"/>
      <c r="AQ615" s="1"/>
      <c r="AR615" s="1"/>
      <c r="AS615" s="1" t="s">
        <v>103</v>
      </c>
      <c r="AT615" s="1" t="s">
        <v>7863</v>
      </c>
      <c r="AU615" s="1" t="s">
        <v>1065</v>
      </c>
      <c r="AV615" s="1" t="s">
        <v>552</v>
      </c>
      <c r="AW615" s="1">
        <v>89.13</v>
      </c>
      <c r="AX615" s="1"/>
      <c r="AY615" s="1" t="s">
        <v>366</v>
      </c>
      <c r="AZ615" s="1" t="s">
        <v>11679</v>
      </c>
      <c r="BA615" s="1" t="s">
        <v>578</v>
      </c>
      <c r="BB615" s="1" t="s">
        <v>467</v>
      </c>
      <c r="BC615" s="1" t="s">
        <v>871</v>
      </c>
      <c r="BD615" s="1" t="s">
        <v>418</v>
      </c>
      <c r="BE615" s="1">
        <v>75.44</v>
      </c>
      <c r="BF615" s="1">
        <v>8.37</v>
      </c>
      <c r="BG615" s="1"/>
      <c r="BH615" s="1"/>
      <c r="BI615" s="1"/>
      <c r="BJ615" s="1"/>
      <c r="BK615" s="1"/>
      <c r="BL615" s="1"/>
      <c r="BM615" s="1"/>
      <c r="BN615" s="1"/>
      <c r="BO615" s="1" t="s">
        <v>11680</v>
      </c>
      <c r="BP615" s="1" t="s">
        <v>11681</v>
      </c>
      <c r="BQ615" s="1" t="s">
        <v>9405</v>
      </c>
      <c r="BR615" s="1" t="s">
        <v>11682</v>
      </c>
      <c r="BS615" s="1">
        <v>25</v>
      </c>
      <c r="BT615" s="1" t="s">
        <v>11683</v>
      </c>
      <c r="BU615" s="1" t="str">
        <f>HYPERLINK("https://nconnect.nicmar.ac.in/storage/profile/6a9000d22365f.png","Download")</f>
        <v>0</v>
      </c>
      <c r="BV615" s="3"/>
      <c r="BW615" s="3"/>
    </row>
    <row r="616" spans="1:75">
      <c r="A616" s="1" t="s">
        <v>75</v>
      </c>
      <c r="B616" s="1" t="s">
        <v>446</v>
      </c>
      <c r="C616" s="1" t="s">
        <v>11684</v>
      </c>
      <c r="D616" s="1" t="s">
        <v>5057</v>
      </c>
      <c r="E616" s="1"/>
      <c r="F616" s="1" t="s">
        <v>1320</v>
      </c>
      <c r="G616" s="1" t="s">
        <v>11685</v>
      </c>
      <c r="H616" s="1" t="s">
        <v>11686</v>
      </c>
      <c r="I616" s="1" t="s">
        <v>11687</v>
      </c>
      <c r="J616" s="1">
        <v>9660398562</v>
      </c>
      <c r="K616" s="1" t="s">
        <v>84</v>
      </c>
      <c r="L616" s="1" t="s">
        <v>11688</v>
      </c>
      <c r="M616" s="1" t="s">
        <v>86</v>
      </c>
      <c r="N616" s="1" t="s">
        <v>246</v>
      </c>
      <c r="O616" s="1"/>
      <c r="P616" s="1" t="s">
        <v>455</v>
      </c>
      <c r="Q616" s="1" t="s">
        <v>11689</v>
      </c>
      <c r="R616" s="1" t="s">
        <v>11690</v>
      </c>
      <c r="S616" s="1">
        <v>9810081723</v>
      </c>
      <c r="T616" s="1" t="s">
        <v>92</v>
      </c>
      <c r="U616" s="1" t="s">
        <v>11691</v>
      </c>
      <c r="V616" s="1">
        <v>8826230147</v>
      </c>
      <c r="W616" s="1" t="s">
        <v>161</v>
      </c>
      <c r="X616" s="1" t="s">
        <v>11692</v>
      </c>
      <c r="Y616" s="1" t="s">
        <v>1107</v>
      </c>
      <c r="Z616" s="1" t="s">
        <v>544</v>
      </c>
      <c r="AA616" s="1" t="s">
        <v>11692</v>
      </c>
      <c r="AB616" s="1" t="s">
        <v>1107</v>
      </c>
      <c r="AC616" s="1" t="s">
        <v>544</v>
      </c>
      <c r="AD616" s="1">
        <v>7.74</v>
      </c>
      <c r="AE616" s="1" t="s">
        <v>98</v>
      </c>
      <c r="AF616" s="1" t="s">
        <v>11693</v>
      </c>
      <c r="AG616" s="1" t="s">
        <v>775</v>
      </c>
      <c r="AH616" s="1" t="s">
        <v>3965</v>
      </c>
      <c r="AI616" s="1" t="s">
        <v>134</v>
      </c>
      <c r="AJ616" s="1">
        <v>77.9</v>
      </c>
      <c r="AK616" s="1">
        <v>8.2</v>
      </c>
      <c r="AL616" s="1" t="s">
        <v>11693</v>
      </c>
      <c r="AM616" s="1" t="s">
        <v>775</v>
      </c>
      <c r="AN616" s="1"/>
      <c r="AO616" s="1" t="s">
        <v>515</v>
      </c>
      <c r="AP616" s="1" t="s">
        <v>136</v>
      </c>
      <c r="AQ616" s="1">
        <v>71.4</v>
      </c>
      <c r="AR616" s="1"/>
      <c r="AS616" s="1"/>
      <c r="AT616" s="1"/>
      <c r="AU616" s="1"/>
      <c r="AV616" s="1"/>
      <c r="AW616" s="1"/>
      <c r="AX616" s="1"/>
      <c r="AY616" s="1" t="s">
        <v>3771</v>
      </c>
      <c r="AZ616" s="1" t="s">
        <v>11694</v>
      </c>
      <c r="BA616" s="1"/>
      <c r="BB616" s="1"/>
      <c r="BC616" s="1" t="s">
        <v>139</v>
      </c>
      <c r="BD616" s="1" t="s">
        <v>468</v>
      </c>
      <c r="BE616" s="1">
        <v>81.1</v>
      </c>
      <c r="BF616" s="1">
        <v>8.11</v>
      </c>
      <c r="BG616" s="1"/>
      <c r="BH616" s="1"/>
      <c r="BI616" s="1"/>
      <c r="BJ616" s="1"/>
      <c r="BK616" s="1"/>
      <c r="BL616" s="1"/>
      <c r="BM616" s="1"/>
      <c r="BN616" s="1"/>
      <c r="BO616" s="1" t="s">
        <v>3308</v>
      </c>
      <c r="BP616" s="1"/>
      <c r="BQ616" s="1"/>
      <c r="BR616" s="1" t="s">
        <v>11695</v>
      </c>
      <c r="BS616" s="1">
        <v>7</v>
      </c>
      <c r="BT616" s="1"/>
      <c r="BU616" s="1" t="str">
        <f>HYPERLINK("https://nconnect.nicmar.ac.in/storage/profile/ProfilePhoto_P25700619_852364.jpg","Download")</f>
        <v>0</v>
      </c>
      <c r="BV616" s="3"/>
      <c r="BW616" s="3"/>
    </row>
    <row r="617" spans="1:75">
      <c r="A617" s="1" t="s">
        <v>75</v>
      </c>
      <c r="B617" s="1" t="s">
        <v>446</v>
      </c>
      <c r="C617" s="1" t="s">
        <v>11696</v>
      </c>
      <c r="D617" s="1" t="s">
        <v>2829</v>
      </c>
      <c r="E617" s="1"/>
      <c r="F617" s="1" t="s">
        <v>11697</v>
      </c>
      <c r="G617" s="1" t="s">
        <v>11698</v>
      </c>
      <c r="H617" s="1" t="s">
        <v>11699</v>
      </c>
      <c r="I617" s="1" t="s">
        <v>11700</v>
      </c>
      <c r="J617" s="1">
        <v>9499771930</v>
      </c>
      <c r="K617" s="1" t="s">
        <v>84</v>
      </c>
      <c r="L617" s="1" t="s">
        <v>11701</v>
      </c>
      <c r="M617" s="1" t="s">
        <v>86</v>
      </c>
      <c r="N617" s="1" t="s">
        <v>7185</v>
      </c>
      <c r="O617" s="1"/>
      <c r="P617" s="1" t="s">
        <v>481</v>
      </c>
      <c r="Q617" s="1" t="s">
        <v>11702</v>
      </c>
      <c r="R617" s="1" t="s">
        <v>11703</v>
      </c>
      <c r="S617" s="1">
        <v>9328083234</v>
      </c>
      <c r="T617" s="1" t="s">
        <v>839</v>
      </c>
      <c r="U617" s="1" t="s">
        <v>11704</v>
      </c>
      <c r="V617" s="1">
        <v>8209130630</v>
      </c>
      <c r="W617" s="1" t="s">
        <v>161</v>
      </c>
      <c r="X617" s="1" t="s">
        <v>11705</v>
      </c>
      <c r="Y617" s="1" t="s">
        <v>11706</v>
      </c>
      <c r="Z617" s="1" t="s">
        <v>676</v>
      </c>
      <c r="AA617" s="1" t="s">
        <v>11705</v>
      </c>
      <c r="AB617" s="1" t="s">
        <v>11706</v>
      </c>
      <c r="AC617" s="1" t="s">
        <v>676</v>
      </c>
      <c r="AD617" s="1">
        <v>9.36</v>
      </c>
      <c r="AE617" s="1" t="s">
        <v>98</v>
      </c>
      <c r="AF617" s="1" t="s">
        <v>11707</v>
      </c>
      <c r="AG617" s="1" t="s">
        <v>11708</v>
      </c>
      <c r="AH617" s="1" t="s">
        <v>627</v>
      </c>
      <c r="AI617" s="1" t="s">
        <v>704</v>
      </c>
      <c r="AJ617" s="1">
        <v>93.1</v>
      </c>
      <c r="AK617" s="1">
        <v>9.8</v>
      </c>
      <c r="AL617" s="1" t="s">
        <v>11709</v>
      </c>
      <c r="AM617" s="1" t="s">
        <v>11708</v>
      </c>
      <c r="AN617" s="1"/>
      <c r="AO617" s="1" t="s">
        <v>171</v>
      </c>
      <c r="AP617" s="1" t="s">
        <v>547</v>
      </c>
      <c r="AQ617" s="1">
        <v>79.6</v>
      </c>
      <c r="AR617" s="1">
        <v>0</v>
      </c>
      <c r="AS617" s="1"/>
      <c r="AT617" s="1"/>
      <c r="AU617" s="1"/>
      <c r="AV617" s="1"/>
      <c r="AW617" s="1"/>
      <c r="AX617" s="1"/>
      <c r="AY617" s="1" t="s">
        <v>11710</v>
      </c>
      <c r="AZ617" s="1" t="s">
        <v>11711</v>
      </c>
      <c r="BA617" s="1"/>
      <c r="BB617" s="1"/>
      <c r="BC617" s="1" t="s">
        <v>206</v>
      </c>
      <c r="BD617" s="1" t="s">
        <v>418</v>
      </c>
      <c r="BE617" s="1">
        <v>80</v>
      </c>
      <c r="BF617" s="1">
        <v>3.6</v>
      </c>
      <c r="BG617" s="1"/>
      <c r="BH617" s="1"/>
      <c r="BI617" s="1"/>
      <c r="BJ617" s="1"/>
      <c r="BK617" s="1"/>
      <c r="BL617" s="1"/>
      <c r="BM617" s="1"/>
      <c r="BN617" s="1"/>
      <c r="BO617" s="1" t="s">
        <v>11712</v>
      </c>
      <c r="BP617" s="1"/>
      <c r="BQ617" s="1"/>
      <c r="BR617" s="1" t="s">
        <v>11713</v>
      </c>
      <c r="BS617" s="1">
        <v>25</v>
      </c>
      <c r="BT617" s="1" t="s">
        <v>11714</v>
      </c>
      <c r="BU617" s="1" t="str">
        <f>HYPERLINK("https://nconnect.nicmar.ac.in/storage/profile/ProfilePhoto_P25700620_259716.jpg","Download")</f>
        <v>0</v>
      </c>
      <c r="BV617" s="3"/>
      <c r="BW617" s="3"/>
    </row>
    <row r="618" spans="1:75">
      <c r="A618" s="1" t="s">
        <v>75</v>
      </c>
      <c r="B618" s="1" t="s">
        <v>446</v>
      </c>
      <c r="C618" s="1" t="s">
        <v>11715</v>
      </c>
      <c r="D618" s="1" t="s">
        <v>11716</v>
      </c>
      <c r="E618" s="1"/>
      <c r="F618" s="1" t="s">
        <v>784</v>
      </c>
      <c r="G618" s="1" t="s">
        <v>11717</v>
      </c>
      <c r="H618" s="1" t="s">
        <v>11718</v>
      </c>
      <c r="I618" s="1" t="s">
        <v>11719</v>
      </c>
      <c r="J618" s="1">
        <v>8409867004</v>
      </c>
      <c r="K618" s="1" t="s">
        <v>84</v>
      </c>
      <c r="L618" s="1" t="s">
        <v>11720</v>
      </c>
      <c r="M618" s="1" t="s">
        <v>86</v>
      </c>
      <c r="N618" s="1" t="s">
        <v>246</v>
      </c>
      <c r="O618" s="1"/>
      <c r="P618" s="1" t="s">
        <v>507</v>
      </c>
      <c r="Q618" s="1" t="s">
        <v>11721</v>
      </c>
      <c r="R618" s="1" t="s">
        <v>11722</v>
      </c>
      <c r="S618" s="1">
        <v>7070000750</v>
      </c>
      <c r="T618" s="1" t="s">
        <v>382</v>
      </c>
      <c r="U618" s="1" t="s">
        <v>11723</v>
      </c>
      <c r="V618" s="1">
        <v>7004229704</v>
      </c>
      <c r="W618" s="1" t="s">
        <v>1257</v>
      </c>
      <c r="X618" s="1" t="s">
        <v>11724</v>
      </c>
      <c r="Y618" s="1" t="s">
        <v>196</v>
      </c>
      <c r="Z618" s="1" t="s">
        <v>97</v>
      </c>
      <c r="AA618" s="1" t="s">
        <v>11725</v>
      </c>
      <c r="AB618" s="1" t="s">
        <v>648</v>
      </c>
      <c r="AC618" s="1" t="s">
        <v>649</v>
      </c>
      <c r="AD618" s="1">
        <v>0.0</v>
      </c>
      <c r="AE618" s="1" t="s">
        <v>98</v>
      </c>
      <c r="AF618" s="1" t="s">
        <v>11726</v>
      </c>
      <c r="AG618" s="1" t="s">
        <v>11727</v>
      </c>
      <c r="AH618" s="1" t="s">
        <v>490</v>
      </c>
      <c r="AI618" s="1" t="s">
        <v>313</v>
      </c>
      <c r="AJ618" s="1">
        <v>64.4</v>
      </c>
      <c r="AK618" s="1">
        <v>6.4</v>
      </c>
      <c r="AL618" s="1" t="s">
        <v>11728</v>
      </c>
      <c r="AM618" s="1" t="s">
        <v>11727</v>
      </c>
      <c r="AN618" s="1"/>
      <c r="AO618" s="1" t="s">
        <v>977</v>
      </c>
      <c r="AP618" s="1" t="s">
        <v>549</v>
      </c>
      <c r="AQ618" s="1">
        <v>65.8</v>
      </c>
      <c r="AR618" s="1">
        <v>6.5</v>
      </c>
      <c r="AS618" s="1"/>
      <c r="AT618" s="1"/>
      <c r="AU618" s="1"/>
      <c r="AV618" s="1"/>
      <c r="AW618" s="1"/>
      <c r="AX618" s="1"/>
      <c r="AY618" s="1" t="s">
        <v>978</v>
      </c>
      <c r="AZ618" s="1" t="s">
        <v>11729</v>
      </c>
      <c r="BA618" s="1"/>
      <c r="BB618" s="1"/>
      <c r="BC618" s="1" t="s">
        <v>549</v>
      </c>
      <c r="BD618" s="1" t="s">
        <v>553</v>
      </c>
      <c r="BE618" s="1">
        <v>72.9</v>
      </c>
      <c r="BF618" s="1">
        <v>7.29</v>
      </c>
      <c r="BG618" s="1"/>
      <c r="BH618" s="1"/>
      <c r="BI618" s="1"/>
      <c r="BJ618" s="1"/>
      <c r="BK618" s="1"/>
      <c r="BL618" s="1"/>
      <c r="BM618" s="1"/>
      <c r="BN618" s="1"/>
      <c r="BO618" s="1" t="s">
        <v>11730</v>
      </c>
      <c r="BP618" s="1"/>
      <c r="BQ618" s="1"/>
      <c r="BR618" s="1" t="s">
        <v>11731</v>
      </c>
      <c r="BS618" s="1">
        <v>14</v>
      </c>
      <c r="BT618" s="1" t="s">
        <v>11732</v>
      </c>
      <c r="BU618" s="1" t="str">
        <f>HYPERLINK("https://nconnect.nicmar.ac.in/storage/profile/ProfilePhoto_P25700621_452871.jpg","Download")</f>
        <v>0</v>
      </c>
      <c r="BV618" s="3"/>
      <c r="BW618" s="3"/>
    </row>
    <row r="619" spans="1:75">
      <c r="A619" s="1" t="s">
        <v>75</v>
      </c>
      <c r="B619" s="1" t="s">
        <v>446</v>
      </c>
      <c r="C619" s="1" t="s">
        <v>11733</v>
      </c>
      <c r="D619" s="1" t="s">
        <v>761</v>
      </c>
      <c r="E619" s="1" t="s">
        <v>11734</v>
      </c>
      <c r="F619" s="1" t="s">
        <v>11735</v>
      </c>
      <c r="G619" s="1" t="s">
        <v>11736</v>
      </c>
      <c r="H619" s="1" t="s">
        <v>11737</v>
      </c>
      <c r="I619" s="1" t="s">
        <v>11738</v>
      </c>
      <c r="J619" s="1">
        <v>8050258662</v>
      </c>
      <c r="K619" s="1" t="s">
        <v>84</v>
      </c>
      <c r="L619" s="1" t="s">
        <v>5487</v>
      </c>
      <c r="M619" s="1" t="s">
        <v>86</v>
      </c>
      <c r="N619" s="1" t="s">
        <v>11739</v>
      </c>
      <c r="O619" s="1"/>
      <c r="P619" s="1" t="s">
        <v>507</v>
      </c>
      <c r="Q619" s="1" t="s">
        <v>11740</v>
      </c>
      <c r="R619" s="1" t="s">
        <v>11741</v>
      </c>
      <c r="S619" s="1">
        <v>7498779095</v>
      </c>
      <c r="T619" s="1" t="s">
        <v>1964</v>
      </c>
      <c r="U619" s="1" t="s">
        <v>11742</v>
      </c>
      <c r="V619" s="1">
        <v>8867711442</v>
      </c>
      <c r="W619" s="1" t="s">
        <v>161</v>
      </c>
      <c r="X619" s="1" t="s">
        <v>11743</v>
      </c>
      <c r="Y619" s="1" t="s">
        <v>3985</v>
      </c>
      <c r="Z619" s="1" t="s">
        <v>1210</v>
      </c>
      <c r="AA619" s="1" t="s">
        <v>11744</v>
      </c>
      <c r="AB619" s="1" t="s">
        <v>3985</v>
      </c>
      <c r="AC619" s="1" t="s">
        <v>1210</v>
      </c>
      <c r="AD619" s="1">
        <v>8.31</v>
      </c>
      <c r="AE619" s="1" t="s">
        <v>98</v>
      </c>
      <c r="AF619" s="1" t="s">
        <v>11745</v>
      </c>
      <c r="AG619" s="1" t="s">
        <v>11746</v>
      </c>
      <c r="AH619" s="1" t="s">
        <v>170</v>
      </c>
      <c r="AI619" s="1" t="s">
        <v>286</v>
      </c>
      <c r="AJ619" s="1">
        <v>80.6</v>
      </c>
      <c r="AK619" s="1"/>
      <c r="AL619" s="1" t="s">
        <v>11747</v>
      </c>
      <c r="AM619" s="1" t="s">
        <v>11746</v>
      </c>
      <c r="AN619" s="1" t="s">
        <v>465</v>
      </c>
      <c r="AO619" s="1" t="s">
        <v>174</v>
      </c>
      <c r="AP619" s="1" t="s">
        <v>365</v>
      </c>
      <c r="AQ619" s="1">
        <v>69.23</v>
      </c>
      <c r="AR619" s="1"/>
      <c r="AS619" s="1"/>
      <c r="AT619" s="1"/>
      <c r="AU619" s="1"/>
      <c r="AV619" s="1"/>
      <c r="AW619" s="1"/>
      <c r="AX619" s="1"/>
      <c r="AY619" s="1" t="s">
        <v>11748</v>
      </c>
      <c r="AZ619" s="1" t="s">
        <v>11749</v>
      </c>
      <c r="BA619" s="1" t="s">
        <v>466</v>
      </c>
      <c r="BB619" s="1" t="s">
        <v>467</v>
      </c>
      <c r="BC619" s="1" t="s">
        <v>233</v>
      </c>
      <c r="BD619" s="1" t="s">
        <v>418</v>
      </c>
      <c r="BE619" s="1">
        <v>86.5</v>
      </c>
      <c r="BF619" s="1">
        <v>9.4</v>
      </c>
      <c r="BG619" s="1"/>
      <c r="BH619" s="1"/>
      <c r="BI619" s="1"/>
      <c r="BJ619" s="1"/>
      <c r="BK619" s="1"/>
      <c r="BL619" s="1"/>
      <c r="BM619" s="1"/>
      <c r="BN619" s="1"/>
      <c r="BO619" s="1" t="s">
        <v>11750</v>
      </c>
      <c r="BP619" s="1"/>
      <c r="BQ619" s="1"/>
      <c r="BR619" s="1" t="s">
        <v>11751</v>
      </c>
      <c r="BS619" s="1">
        <v>17</v>
      </c>
      <c r="BT619" s="1" t="s">
        <v>11752</v>
      </c>
      <c r="BU619" s="1" t="str">
        <f>HYPERLINK("https://nconnect.nicmar.ac.in/storage/profile/ProfilePhoto_P25700622_639152.jpg","Download")</f>
        <v>0</v>
      </c>
      <c r="BV619" s="3"/>
      <c r="BW619" s="4">
        <v>1</v>
      </c>
    </row>
    <row r="620" spans="1:75">
      <c r="A620" s="1" t="s">
        <v>75</v>
      </c>
      <c r="B620" s="1" t="s">
        <v>446</v>
      </c>
      <c r="C620" s="1" t="s">
        <v>11753</v>
      </c>
      <c r="D620" s="1" t="s">
        <v>5238</v>
      </c>
      <c r="E620" s="1" t="s">
        <v>1964</v>
      </c>
      <c r="F620" s="1" t="s">
        <v>11754</v>
      </c>
      <c r="G620" s="1" t="s">
        <v>11755</v>
      </c>
      <c r="H620" s="1" t="s">
        <v>11756</v>
      </c>
      <c r="I620" s="1" t="s">
        <v>11756</v>
      </c>
      <c r="J620" s="1">
        <v>9340569657</v>
      </c>
      <c r="K620" s="1" t="s">
        <v>153</v>
      </c>
      <c r="L620" s="1" t="s">
        <v>11757</v>
      </c>
      <c r="M620" s="1" t="s">
        <v>86</v>
      </c>
      <c r="N620" s="1" t="s">
        <v>4278</v>
      </c>
      <c r="O620" s="1"/>
      <c r="P620" s="1" t="s">
        <v>507</v>
      </c>
      <c r="Q620" s="1" t="s">
        <v>11758</v>
      </c>
      <c r="R620" s="1" t="s">
        <v>11759</v>
      </c>
      <c r="S620" s="1">
        <v>7999296372</v>
      </c>
      <c r="T620" s="1" t="s">
        <v>839</v>
      </c>
      <c r="U620" s="1" t="s">
        <v>11760</v>
      </c>
      <c r="V620" s="1">
        <v>9131970979</v>
      </c>
      <c r="W620" s="1" t="s">
        <v>161</v>
      </c>
      <c r="X620" s="1" t="s">
        <v>11761</v>
      </c>
      <c r="Y620" s="1" t="s">
        <v>11762</v>
      </c>
      <c r="Z620" s="1" t="s">
        <v>2933</v>
      </c>
      <c r="AA620" s="1" t="s">
        <v>11761</v>
      </c>
      <c r="AB620" s="1" t="s">
        <v>11762</v>
      </c>
      <c r="AC620" s="1" t="s">
        <v>2933</v>
      </c>
      <c r="AD620" s="1">
        <v>7.79</v>
      </c>
      <c r="AE620" s="1" t="s">
        <v>98</v>
      </c>
      <c r="AF620" s="1" t="s">
        <v>11763</v>
      </c>
      <c r="AG620" s="1" t="s">
        <v>11764</v>
      </c>
      <c r="AH620" s="1" t="s">
        <v>704</v>
      </c>
      <c r="AI620" s="1" t="s">
        <v>171</v>
      </c>
      <c r="AJ620" s="1">
        <v>60.3</v>
      </c>
      <c r="AK620" s="1"/>
      <c r="AL620" s="1" t="s">
        <v>11765</v>
      </c>
      <c r="AM620" s="1" t="s">
        <v>11764</v>
      </c>
      <c r="AN620" s="1" t="s">
        <v>465</v>
      </c>
      <c r="AO620" s="1" t="s">
        <v>547</v>
      </c>
      <c r="AP620" s="1" t="s">
        <v>178</v>
      </c>
      <c r="AQ620" s="1">
        <v>61.8</v>
      </c>
      <c r="AR620" s="1">
        <v>6.5</v>
      </c>
      <c r="AS620" s="1"/>
      <c r="AT620" s="1"/>
      <c r="AU620" s="1"/>
      <c r="AV620" s="1"/>
      <c r="AW620" s="1"/>
      <c r="AX620" s="1"/>
      <c r="AY620" s="1" t="s">
        <v>11766</v>
      </c>
      <c r="AZ620" s="1" t="s">
        <v>11767</v>
      </c>
      <c r="BA620" s="1" t="s">
        <v>466</v>
      </c>
      <c r="BB620" s="1" t="s">
        <v>467</v>
      </c>
      <c r="BC620" s="1" t="s">
        <v>890</v>
      </c>
      <c r="BD620" s="1" t="s">
        <v>1242</v>
      </c>
      <c r="BE620" s="1">
        <v>74.95</v>
      </c>
      <c r="BF620" s="1">
        <v>8.3</v>
      </c>
      <c r="BG620" s="1"/>
      <c r="BH620" s="1"/>
      <c r="BI620" s="1"/>
      <c r="BJ620" s="1"/>
      <c r="BK620" s="1"/>
      <c r="BL620" s="1"/>
      <c r="BM620" s="1"/>
      <c r="BN620" s="1"/>
      <c r="BO620" s="1" t="s">
        <v>369</v>
      </c>
      <c r="BP620" s="1"/>
      <c r="BQ620" s="1"/>
      <c r="BR620" s="1" t="s">
        <v>11768</v>
      </c>
      <c r="BS620" s="1">
        <v>19</v>
      </c>
      <c r="BT620" s="1" t="s">
        <v>1666</v>
      </c>
      <c r="BU620" s="1" t="str">
        <f>HYPERLINK("https://nconnect.nicmar.ac.in/storage/profile/ProfilePhoto_P25700623_438172.jpg","Download")</f>
        <v>0</v>
      </c>
      <c r="BV620" s="3"/>
      <c r="BW620" s="3"/>
    </row>
    <row r="621" spans="1:75">
      <c r="A621" s="1" t="s">
        <v>75</v>
      </c>
      <c r="B621" s="1" t="s">
        <v>446</v>
      </c>
      <c r="C621" s="1" t="s">
        <v>11769</v>
      </c>
      <c r="D621" s="1" t="s">
        <v>9208</v>
      </c>
      <c r="E621" s="1" t="s">
        <v>5171</v>
      </c>
      <c r="F621" s="1" t="s">
        <v>11770</v>
      </c>
      <c r="G621" s="1" t="s">
        <v>11771</v>
      </c>
      <c r="H621" s="1" t="s">
        <v>11772</v>
      </c>
      <c r="I621" s="1" t="s">
        <v>11773</v>
      </c>
      <c r="J621" s="1">
        <v>9371678782</v>
      </c>
      <c r="K621" s="1" t="s">
        <v>153</v>
      </c>
      <c r="L621" s="1" t="s">
        <v>7314</v>
      </c>
      <c r="M621" s="1" t="s">
        <v>86</v>
      </c>
      <c r="N621" s="1" t="s">
        <v>7152</v>
      </c>
      <c r="O621" s="1"/>
      <c r="P621" s="1" t="s">
        <v>507</v>
      </c>
      <c r="Q621" s="1" t="s">
        <v>11774</v>
      </c>
      <c r="R621" s="1" t="s">
        <v>11775</v>
      </c>
      <c r="S621" s="1">
        <v>8806842424</v>
      </c>
      <c r="T621" s="1" t="s">
        <v>839</v>
      </c>
      <c r="U621" s="1" t="s">
        <v>11776</v>
      </c>
      <c r="V621" s="1">
        <v>8459247574</v>
      </c>
      <c r="W621" s="1" t="s">
        <v>11777</v>
      </c>
      <c r="X621" s="1" t="s">
        <v>11778</v>
      </c>
      <c r="Y621" s="1" t="s">
        <v>624</v>
      </c>
      <c r="Z621" s="1" t="s">
        <v>97</v>
      </c>
      <c r="AA621" s="1" t="s">
        <v>11778</v>
      </c>
      <c r="AB621" s="1" t="s">
        <v>624</v>
      </c>
      <c r="AC621" s="1" t="s">
        <v>97</v>
      </c>
      <c r="AD621" s="1">
        <v>8.46</v>
      </c>
      <c r="AE621" s="1" t="s">
        <v>98</v>
      </c>
      <c r="AF621" s="1" t="s">
        <v>11779</v>
      </c>
      <c r="AG621" s="1" t="s">
        <v>11780</v>
      </c>
      <c r="AH621" s="1" t="s">
        <v>170</v>
      </c>
      <c r="AI621" s="1" t="s">
        <v>171</v>
      </c>
      <c r="AJ621" s="1">
        <v>74</v>
      </c>
      <c r="AK621" s="1"/>
      <c r="AL621" s="1" t="s">
        <v>11781</v>
      </c>
      <c r="AM621" s="1" t="s">
        <v>11782</v>
      </c>
      <c r="AN621" s="1"/>
      <c r="AO621" s="1" t="s">
        <v>547</v>
      </c>
      <c r="AP621" s="1" t="s">
        <v>365</v>
      </c>
      <c r="AQ621" s="1">
        <v>60.31</v>
      </c>
      <c r="AR621" s="1"/>
      <c r="AS621" s="1"/>
      <c r="AT621" s="1"/>
      <c r="AU621" s="1"/>
      <c r="AV621" s="1"/>
      <c r="AW621" s="1"/>
      <c r="AX621" s="1"/>
      <c r="AY621" s="1" t="s">
        <v>997</v>
      </c>
      <c r="AZ621" s="1" t="s">
        <v>11783</v>
      </c>
      <c r="BA621" s="1"/>
      <c r="BB621" s="1"/>
      <c r="BC621" s="1" t="s">
        <v>178</v>
      </c>
      <c r="BD621" s="1" t="s">
        <v>1089</v>
      </c>
      <c r="BE621" s="1">
        <v>78.5</v>
      </c>
      <c r="BF621" s="1">
        <v>8.6</v>
      </c>
      <c r="BG621" s="1"/>
      <c r="BH621" s="1"/>
      <c r="BI621" s="1"/>
      <c r="BJ621" s="1"/>
      <c r="BK621" s="1"/>
      <c r="BL621" s="1"/>
      <c r="BM621" s="1"/>
      <c r="BN621" s="1"/>
      <c r="BO621" s="1" t="s">
        <v>11784</v>
      </c>
      <c r="BP621" s="1"/>
      <c r="BQ621" s="1"/>
      <c r="BR621" s="1" t="s">
        <v>11785</v>
      </c>
      <c r="BS621" s="1">
        <v>27</v>
      </c>
      <c r="BT621" s="1"/>
      <c r="BU621" s="1" t="str">
        <f>HYPERLINK("https://nconnect.nicmar.ac.in/storage/profile/ProfilePhoto_P25700624_834795.jpg","Download")</f>
        <v>0</v>
      </c>
      <c r="BV621" s="3"/>
      <c r="BW621" s="3"/>
    </row>
    <row r="622" spans="1:75">
      <c r="A622" s="1" t="s">
        <v>75</v>
      </c>
      <c r="B622" s="1" t="s">
        <v>446</v>
      </c>
      <c r="C622" s="1" t="s">
        <v>11786</v>
      </c>
      <c r="D622" s="1" t="s">
        <v>148</v>
      </c>
      <c r="E622" s="1"/>
      <c r="F622" s="1" t="s">
        <v>1295</v>
      </c>
      <c r="G622" s="1" t="s">
        <v>11787</v>
      </c>
      <c r="H622" s="1" t="s">
        <v>11788</v>
      </c>
      <c r="I622" s="1" t="s">
        <v>11789</v>
      </c>
      <c r="J622" s="1">
        <v>8891630490</v>
      </c>
      <c r="K622" s="1" t="s">
        <v>153</v>
      </c>
      <c r="L622" s="1" t="s">
        <v>11790</v>
      </c>
      <c r="M622" s="1" t="s">
        <v>86</v>
      </c>
      <c r="N622" s="1" t="s">
        <v>3261</v>
      </c>
      <c r="O622" s="1"/>
      <c r="P622" s="1" t="s">
        <v>1028</v>
      </c>
      <c r="Q622" s="1" t="s">
        <v>11791</v>
      </c>
      <c r="R622" s="1" t="s">
        <v>11792</v>
      </c>
      <c r="S622" s="1">
        <v>8921884334</v>
      </c>
      <c r="T622" s="1" t="s">
        <v>839</v>
      </c>
      <c r="U622" s="1" t="s">
        <v>11793</v>
      </c>
      <c r="V622" s="1">
        <v>9400512590</v>
      </c>
      <c r="W622" s="1" t="s">
        <v>94</v>
      </c>
      <c r="X622" s="1" t="s">
        <v>11794</v>
      </c>
      <c r="Y622" s="1" t="s">
        <v>129</v>
      </c>
      <c r="Z622" s="1" t="s">
        <v>130</v>
      </c>
      <c r="AA622" s="1" t="s">
        <v>11794</v>
      </c>
      <c r="AB622" s="1" t="s">
        <v>129</v>
      </c>
      <c r="AC622" s="1" t="s">
        <v>130</v>
      </c>
      <c r="AD622" s="1">
        <v>8.82</v>
      </c>
      <c r="AE622" s="1" t="s">
        <v>98</v>
      </c>
      <c r="AF622" s="1" t="s">
        <v>11795</v>
      </c>
      <c r="AG622" s="1" t="s">
        <v>11796</v>
      </c>
      <c r="AH622" s="1" t="s">
        <v>167</v>
      </c>
      <c r="AI622" s="1" t="s">
        <v>200</v>
      </c>
      <c r="AJ622" s="1">
        <v>95</v>
      </c>
      <c r="AK622" s="1">
        <v>10</v>
      </c>
      <c r="AL622" s="1" t="s">
        <v>11797</v>
      </c>
      <c r="AM622" s="1" t="s">
        <v>11798</v>
      </c>
      <c r="AN622" s="1" t="s">
        <v>465</v>
      </c>
      <c r="AO622" s="1" t="s">
        <v>170</v>
      </c>
      <c r="AP622" s="1" t="s">
        <v>414</v>
      </c>
      <c r="AQ622" s="1">
        <v>91.91</v>
      </c>
      <c r="AR622" s="1"/>
      <c r="AS622" s="1"/>
      <c r="AT622" s="1"/>
      <c r="AU622" s="1"/>
      <c r="AV622" s="1"/>
      <c r="AW622" s="1"/>
      <c r="AX622" s="1"/>
      <c r="AY622" s="1" t="s">
        <v>137</v>
      </c>
      <c r="AZ622" s="1" t="s">
        <v>11799</v>
      </c>
      <c r="BA622" s="1" t="s">
        <v>466</v>
      </c>
      <c r="BB622" s="1" t="s">
        <v>467</v>
      </c>
      <c r="BC622" s="1" t="s">
        <v>438</v>
      </c>
      <c r="BD622" s="1" t="s">
        <v>234</v>
      </c>
      <c r="BE622" s="1">
        <v>77.5</v>
      </c>
      <c r="BF622" s="1">
        <v>7.75</v>
      </c>
      <c r="BG622" s="1"/>
      <c r="BH622" s="1"/>
      <c r="BI622" s="1"/>
      <c r="BJ622" s="1"/>
      <c r="BK622" s="1"/>
      <c r="BL622" s="1"/>
      <c r="BM622" s="1"/>
      <c r="BN622" s="1"/>
      <c r="BO622" s="1" t="s">
        <v>11800</v>
      </c>
      <c r="BP622" s="1" t="s">
        <v>11801</v>
      </c>
      <c r="BQ622" s="1" t="s">
        <v>1152</v>
      </c>
      <c r="BR622" s="1" t="s">
        <v>11802</v>
      </c>
      <c r="BS622" s="1">
        <v>8</v>
      </c>
      <c r="BT622" s="1" t="s">
        <v>11803</v>
      </c>
      <c r="BU622" s="1" t="str">
        <f>HYPERLINK("https://nconnect.nicmar.ac.in/storage/profile/ProfilePhoto_P25700626_346895.jpg","Download")</f>
        <v>0</v>
      </c>
      <c r="BV622" s="3"/>
      <c r="BW622" s="4">
        <v>1</v>
      </c>
    </row>
    <row r="623" spans="1:75">
      <c r="A623" s="1" t="s">
        <v>75</v>
      </c>
      <c r="B623" s="1" t="s">
        <v>446</v>
      </c>
      <c r="C623" s="1" t="s">
        <v>11804</v>
      </c>
      <c r="D623" s="1" t="s">
        <v>11805</v>
      </c>
      <c r="E623" s="1"/>
      <c r="F623" s="1" t="s">
        <v>4646</v>
      </c>
      <c r="G623" s="1" t="s">
        <v>11806</v>
      </c>
      <c r="H623" s="1" t="s">
        <v>11807</v>
      </c>
      <c r="I623" s="1" t="s">
        <v>11808</v>
      </c>
      <c r="J623" s="1">
        <v>8921042682</v>
      </c>
      <c r="K623" s="1" t="s">
        <v>84</v>
      </c>
      <c r="L623" s="1" t="s">
        <v>1876</v>
      </c>
      <c r="M623" s="1" t="s">
        <v>86</v>
      </c>
      <c r="N623" s="1" t="s">
        <v>11809</v>
      </c>
      <c r="O623" s="1" t="s">
        <v>11810</v>
      </c>
      <c r="P623" s="1" t="s">
        <v>219</v>
      </c>
      <c r="Q623" s="1" t="s">
        <v>11811</v>
      </c>
      <c r="R623" s="1" t="s">
        <v>11812</v>
      </c>
      <c r="S623" s="1">
        <v>9495648450</v>
      </c>
      <c r="T623" s="1" t="s">
        <v>92</v>
      </c>
      <c r="U623" s="1" t="s">
        <v>11813</v>
      </c>
      <c r="V623" s="1">
        <v>9847095505</v>
      </c>
      <c r="W623" s="1" t="s">
        <v>127</v>
      </c>
      <c r="X623" s="1" t="s">
        <v>11814</v>
      </c>
      <c r="Y623" s="1" t="s">
        <v>7679</v>
      </c>
      <c r="Z623" s="1" t="s">
        <v>130</v>
      </c>
      <c r="AA623" s="1" t="s">
        <v>11814</v>
      </c>
      <c r="AB623" s="1" t="s">
        <v>7679</v>
      </c>
      <c r="AC623" s="1" t="s">
        <v>130</v>
      </c>
      <c r="AD623" s="1">
        <v>8.49</v>
      </c>
      <c r="AE623" s="1" t="s">
        <v>98</v>
      </c>
      <c r="AF623" s="1" t="s">
        <v>11815</v>
      </c>
      <c r="AG623" s="1" t="s">
        <v>11816</v>
      </c>
      <c r="AH623" s="1" t="s">
        <v>170</v>
      </c>
      <c r="AI623" s="1" t="s">
        <v>171</v>
      </c>
      <c r="AJ623" s="1">
        <v>77.8</v>
      </c>
      <c r="AK623" s="1"/>
      <c r="AL623" s="1" t="s">
        <v>11817</v>
      </c>
      <c r="AM623" s="1" t="s">
        <v>2899</v>
      </c>
      <c r="AN623" s="1" t="s">
        <v>465</v>
      </c>
      <c r="AO623" s="1" t="s">
        <v>438</v>
      </c>
      <c r="AP623" s="1" t="s">
        <v>178</v>
      </c>
      <c r="AQ623" s="1">
        <v>78.83</v>
      </c>
      <c r="AR623" s="1"/>
      <c r="AS623" s="1"/>
      <c r="AT623" s="1"/>
      <c r="AU623" s="1"/>
      <c r="AV623" s="1"/>
      <c r="AW623" s="1"/>
      <c r="AX623" s="1"/>
      <c r="AY623" s="1" t="s">
        <v>137</v>
      </c>
      <c r="AZ623" s="1" t="s">
        <v>11818</v>
      </c>
      <c r="BA623" s="1" t="s">
        <v>466</v>
      </c>
      <c r="BB623" s="1" t="s">
        <v>467</v>
      </c>
      <c r="BC623" s="1" t="s">
        <v>175</v>
      </c>
      <c r="BD623" s="1" t="s">
        <v>1268</v>
      </c>
      <c r="BE623" s="1">
        <v>69.7</v>
      </c>
      <c r="BF623" s="1">
        <v>6.97</v>
      </c>
      <c r="BG623" s="1"/>
      <c r="BH623" s="1"/>
      <c r="BI623" s="1"/>
      <c r="BJ623" s="1"/>
      <c r="BK623" s="1"/>
      <c r="BL623" s="1"/>
      <c r="BM623" s="1"/>
      <c r="BN623" s="1"/>
      <c r="BO623" s="1" t="s">
        <v>11819</v>
      </c>
      <c r="BP623" s="1"/>
      <c r="BQ623" s="1"/>
      <c r="BR623" s="1" t="s">
        <v>11820</v>
      </c>
      <c r="BS623" s="1">
        <v>73</v>
      </c>
      <c r="BT623" s="1" t="s">
        <v>11821</v>
      </c>
      <c r="BU623" s="1" t="str">
        <f>HYPERLINK("https://nconnect.nicmar.ac.in/storage/profile/ProfilePhoto_P25700627_278145.jpg","Download")</f>
        <v>0</v>
      </c>
      <c r="BV623" s="3"/>
      <c r="BW623" s="3"/>
    </row>
    <row r="624" spans="1:75">
      <c r="A624" s="1" t="s">
        <v>75</v>
      </c>
      <c r="B624" s="1" t="s">
        <v>446</v>
      </c>
      <c r="C624" s="1" t="s">
        <v>11822</v>
      </c>
      <c r="D624" s="1" t="s">
        <v>2500</v>
      </c>
      <c r="E624" s="1" t="s">
        <v>1320</v>
      </c>
      <c r="F624" s="1" t="s">
        <v>11823</v>
      </c>
      <c r="G624" s="1" t="s">
        <v>11824</v>
      </c>
      <c r="H624" s="1" t="s">
        <v>11825</v>
      </c>
      <c r="I624" s="1" t="s">
        <v>11826</v>
      </c>
      <c r="J624" s="1">
        <v>9676818100</v>
      </c>
      <c r="K624" s="1" t="s">
        <v>84</v>
      </c>
      <c r="L624" s="1" t="s">
        <v>11827</v>
      </c>
      <c r="M624" s="1" t="s">
        <v>86</v>
      </c>
      <c r="N624" s="1" t="s">
        <v>3458</v>
      </c>
      <c r="O624" s="1"/>
      <c r="P624" s="1" t="s">
        <v>455</v>
      </c>
      <c r="Q624" s="1" t="s">
        <v>11828</v>
      </c>
      <c r="R624" s="1" t="s">
        <v>11829</v>
      </c>
      <c r="S624" s="1">
        <v>9701153762</v>
      </c>
      <c r="T624" s="1" t="s">
        <v>839</v>
      </c>
      <c r="U624" s="1" t="s">
        <v>11830</v>
      </c>
      <c r="V624" s="1">
        <v>8096616179</v>
      </c>
      <c r="W624" s="1" t="s">
        <v>541</v>
      </c>
      <c r="X624" s="1" t="s">
        <v>11831</v>
      </c>
      <c r="Y624" s="1" t="s">
        <v>280</v>
      </c>
      <c r="Z624" s="1" t="s">
        <v>281</v>
      </c>
      <c r="AA624" s="1" t="s">
        <v>11831</v>
      </c>
      <c r="AB624" s="1" t="s">
        <v>280</v>
      </c>
      <c r="AC624" s="1" t="s">
        <v>281</v>
      </c>
      <c r="AD624" s="1">
        <v>8.67</v>
      </c>
      <c r="AE624" s="1" t="s">
        <v>98</v>
      </c>
      <c r="AF624" s="1" t="s">
        <v>11832</v>
      </c>
      <c r="AG624" s="1" t="s">
        <v>1418</v>
      </c>
      <c r="AH624" s="1" t="s">
        <v>388</v>
      </c>
      <c r="AI624" s="1" t="s">
        <v>286</v>
      </c>
      <c r="AJ624" s="1">
        <v>93</v>
      </c>
      <c r="AK624" s="1">
        <v>9.3</v>
      </c>
      <c r="AL624" s="1"/>
      <c r="AM624" s="1"/>
      <c r="AN624" s="1" t="s">
        <v>2635</v>
      </c>
      <c r="AO624" s="1"/>
      <c r="AP624" s="1"/>
      <c r="AQ624" s="1"/>
      <c r="AR624" s="1"/>
      <c r="AS624" s="1" t="s">
        <v>439</v>
      </c>
      <c r="AT624" s="1" t="s">
        <v>11833</v>
      </c>
      <c r="AU624" s="1" t="s">
        <v>106</v>
      </c>
      <c r="AV624" s="1" t="s">
        <v>2304</v>
      </c>
      <c r="AW624" s="1">
        <v>86</v>
      </c>
      <c r="AX624" s="1"/>
      <c r="AY624" s="1" t="s">
        <v>11834</v>
      </c>
      <c r="AZ624" s="1" t="s">
        <v>11835</v>
      </c>
      <c r="BA624" s="1" t="s">
        <v>466</v>
      </c>
      <c r="BB624" s="1" t="s">
        <v>467</v>
      </c>
      <c r="BC624" s="1" t="s">
        <v>871</v>
      </c>
      <c r="BD624" s="1" t="s">
        <v>418</v>
      </c>
      <c r="BE624" s="1">
        <v>72.7</v>
      </c>
      <c r="BF624" s="1">
        <v>8.02</v>
      </c>
      <c r="BG624" s="1"/>
      <c r="BH624" s="1"/>
      <c r="BI624" s="1"/>
      <c r="BJ624" s="1"/>
      <c r="BK624" s="1"/>
      <c r="BL624" s="1"/>
      <c r="BM624" s="1"/>
      <c r="BN624" s="1"/>
      <c r="BO624" s="1" t="s">
        <v>11836</v>
      </c>
      <c r="BP624" s="1"/>
      <c r="BQ624" s="1"/>
      <c r="BR624" s="1" t="s">
        <v>11837</v>
      </c>
      <c r="BS624" s="1">
        <v>23</v>
      </c>
      <c r="BT624" s="1" t="s">
        <v>11838</v>
      </c>
      <c r="BU624" s="1" t="str">
        <f>HYPERLINK("https://nconnect.nicmar.ac.in/storage/profile/ProfilePhoto_P25700628_692713.jpg","Download")</f>
        <v>0</v>
      </c>
      <c r="BV624" s="3"/>
      <c r="BW624" s="3"/>
    </row>
    <row r="625" spans="1:75">
      <c r="A625" s="1" t="s">
        <v>75</v>
      </c>
      <c r="B625" s="1" t="s">
        <v>446</v>
      </c>
      <c r="C625" s="1" t="s">
        <v>11839</v>
      </c>
      <c r="D625" s="1" t="s">
        <v>11840</v>
      </c>
      <c r="E625" s="1"/>
      <c r="F625" s="1" t="s">
        <v>11841</v>
      </c>
      <c r="G625" s="1" t="s">
        <v>11842</v>
      </c>
      <c r="H625" s="1" t="s">
        <v>11843</v>
      </c>
      <c r="I625" s="1" t="s">
        <v>11844</v>
      </c>
      <c r="J625" s="1">
        <v>8918399949</v>
      </c>
      <c r="K625" s="1" t="s">
        <v>153</v>
      </c>
      <c r="L625" s="1" t="s">
        <v>11845</v>
      </c>
      <c r="M625" s="1" t="s">
        <v>86</v>
      </c>
      <c r="N625" s="1" t="s">
        <v>11846</v>
      </c>
      <c r="O625" s="1"/>
      <c r="P625" s="1" t="s">
        <v>481</v>
      </c>
      <c r="Q625" s="1" t="s">
        <v>11847</v>
      </c>
      <c r="R625" s="1" t="s">
        <v>11848</v>
      </c>
      <c r="S625" s="1">
        <v>8250793233</v>
      </c>
      <c r="T625" s="1" t="s">
        <v>839</v>
      </c>
      <c r="U625" s="1" t="s">
        <v>11849</v>
      </c>
      <c r="V625" s="1">
        <v>9832013466</v>
      </c>
      <c r="W625" s="1" t="s">
        <v>4695</v>
      </c>
      <c r="X625" s="1" t="s">
        <v>11850</v>
      </c>
      <c r="Y625" s="1" t="s">
        <v>11851</v>
      </c>
      <c r="Z625" s="1" t="s">
        <v>1234</v>
      </c>
      <c r="AA625" s="1" t="s">
        <v>11850</v>
      </c>
      <c r="AB625" s="1" t="s">
        <v>11851</v>
      </c>
      <c r="AC625" s="1" t="s">
        <v>1234</v>
      </c>
      <c r="AD625" s="1">
        <v>8.77</v>
      </c>
      <c r="AE625" s="1" t="s">
        <v>98</v>
      </c>
      <c r="AF625" s="1" t="s">
        <v>11852</v>
      </c>
      <c r="AG625" s="1" t="s">
        <v>11853</v>
      </c>
      <c r="AH625" s="1" t="s">
        <v>1262</v>
      </c>
      <c r="AI625" s="1" t="s">
        <v>136</v>
      </c>
      <c r="AJ625" s="1">
        <v>79.16</v>
      </c>
      <c r="AK625" s="1"/>
      <c r="AL625" s="1" t="s">
        <v>11852</v>
      </c>
      <c r="AM625" s="1" t="s">
        <v>11854</v>
      </c>
      <c r="AN625" s="1"/>
      <c r="AO625" s="1" t="s">
        <v>284</v>
      </c>
      <c r="AP625" s="1" t="s">
        <v>573</v>
      </c>
      <c r="AQ625" s="1">
        <v>69.83</v>
      </c>
      <c r="AR625" s="1"/>
      <c r="AS625" s="1"/>
      <c r="AT625" s="1"/>
      <c r="AU625" s="1"/>
      <c r="AV625" s="1"/>
      <c r="AW625" s="1"/>
      <c r="AX625" s="1"/>
      <c r="AY625" s="1" t="s">
        <v>11855</v>
      </c>
      <c r="AZ625" s="1" t="s">
        <v>11856</v>
      </c>
      <c r="BA625" s="1"/>
      <c r="BB625" s="1"/>
      <c r="BC625" s="1" t="s">
        <v>388</v>
      </c>
      <c r="BD625" s="1" t="s">
        <v>632</v>
      </c>
      <c r="BE625" s="1">
        <v>62.5</v>
      </c>
      <c r="BF625" s="1">
        <v>6.75</v>
      </c>
      <c r="BG625" s="1"/>
      <c r="BH625" s="1"/>
      <c r="BI625" s="1"/>
      <c r="BJ625" s="1"/>
      <c r="BK625" s="1"/>
      <c r="BL625" s="1"/>
      <c r="BM625" s="1"/>
      <c r="BN625" s="1"/>
      <c r="BO625" s="1" t="s">
        <v>11857</v>
      </c>
      <c r="BP625" s="1" t="s">
        <v>11858</v>
      </c>
      <c r="BQ625" s="1" t="s">
        <v>10925</v>
      </c>
      <c r="BR625" s="1" t="s">
        <v>11859</v>
      </c>
      <c r="BS625" s="1">
        <v>45</v>
      </c>
      <c r="BT625" s="1" t="s">
        <v>11860</v>
      </c>
      <c r="BU625" s="1" t="str">
        <f>HYPERLINK("https://nconnect.nicmar.ac.in/storage/profile/ProfilePhoto_P25700629_729153.jpg","Download")</f>
        <v>0</v>
      </c>
      <c r="BV625" s="3"/>
      <c r="BW625" s="3"/>
    </row>
    <row r="626" spans="1:75">
      <c r="A626" s="1" t="s">
        <v>75</v>
      </c>
      <c r="B626" s="1" t="s">
        <v>446</v>
      </c>
      <c r="C626" s="1" t="s">
        <v>11861</v>
      </c>
      <c r="D626" s="1" t="s">
        <v>8066</v>
      </c>
      <c r="E626" s="1"/>
      <c r="F626" s="1" t="s">
        <v>11862</v>
      </c>
      <c r="G626" s="1" t="s">
        <v>11863</v>
      </c>
      <c r="H626" s="1" t="s">
        <v>11864</v>
      </c>
      <c r="I626" s="1" t="s">
        <v>11865</v>
      </c>
      <c r="J626" s="1">
        <v>8547426138</v>
      </c>
      <c r="K626" s="1" t="s">
        <v>153</v>
      </c>
      <c r="L626" s="1" t="s">
        <v>10694</v>
      </c>
      <c r="M626" s="1" t="s">
        <v>86</v>
      </c>
      <c r="N626" s="1" t="s">
        <v>11866</v>
      </c>
      <c r="O626" s="1"/>
      <c r="P626" s="1" t="s">
        <v>455</v>
      </c>
      <c r="Q626" s="1" t="s">
        <v>11867</v>
      </c>
      <c r="R626" s="1" t="s">
        <v>11868</v>
      </c>
      <c r="S626" s="1">
        <v>9847500577</v>
      </c>
      <c r="T626" s="1" t="s">
        <v>11869</v>
      </c>
      <c r="U626" s="1" t="s">
        <v>11870</v>
      </c>
      <c r="V626" s="1">
        <v>8113855864</v>
      </c>
      <c r="W626" s="1" t="s">
        <v>278</v>
      </c>
      <c r="X626" s="1" t="s">
        <v>11871</v>
      </c>
      <c r="Y626" s="1" t="s">
        <v>7679</v>
      </c>
      <c r="Z626" s="1" t="s">
        <v>130</v>
      </c>
      <c r="AA626" s="1" t="s">
        <v>11871</v>
      </c>
      <c r="AB626" s="1" t="s">
        <v>7679</v>
      </c>
      <c r="AC626" s="1" t="s">
        <v>130</v>
      </c>
      <c r="AD626" s="1">
        <v>8.67</v>
      </c>
      <c r="AE626" s="1" t="s">
        <v>98</v>
      </c>
      <c r="AF626" s="1" t="s">
        <v>11872</v>
      </c>
      <c r="AG626" s="1" t="s">
        <v>11873</v>
      </c>
      <c r="AH626" s="1" t="s">
        <v>170</v>
      </c>
      <c r="AI626" s="1" t="s">
        <v>286</v>
      </c>
      <c r="AJ626" s="1">
        <v>95</v>
      </c>
      <c r="AK626" s="1"/>
      <c r="AL626" s="1" t="s">
        <v>11874</v>
      </c>
      <c r="AM626" s="1" t="s">
        <v>11875</v>
      </c>
      <c r="AN626" s="1" t="s">
        <v>465</v>
      </c>
      <c r="AO626" s="1" t="s">
        <v>106</v>
      </c>
      <c r="AP626" s="1" t="s">
        <v>603</v>
      </c>
      <c r="AQ626" s="1">
        <v>96.16</v>
      </c>
      <c r="AR626" s="1"/>
      <c r="AS626" s="1"/>
      <c r="AT626" s="1"/>
      <c r="AU626" s="1"/>
      <c r="AV626" s="1"/>
      <c r="AW626" s="1"/>
      <c r="AX626" s="1"/>
      <c r="AY626" s="1" t="s">
        <v>11876</v>
      </c>
      <c r="AZ626" s="1" t="s">
        <v>11876</v>
      </c>
      <c r="BA626" s="1" t="s">
        <v>466</v>
      </c>
      <c r="BB626" s="1" t="s">
        <v>467</v>
      </c>
      <c r="BC626" s="1" t="s">
        <v>233</v>
      </c>
      <c r="BD626" s="1" t="s">
        <v>1314</v>
      </c>
      <c r="BE626" s="1">
        <v>82.5</v>
      </c>
      <c r="BF626" s="1">
        <v>8.75</v>
      </c>
      <c r="BG626" s="1"/>
      <c r="BH626" s="1"/>
      <c r="BI626" s="1"/>
      <c r="BJ626" s="1"/>
      <c r="BK626" s="1"/>
      <c r="BL626" s="1"/>
      <c r="BM626" s="1"/>
      <c r="BN626" s="1"/>
      <c r="BO626" s="1" t="s">
        <v>11877</v>
      </c>
      <c r="BP626" s="1"/>
      <c r="BQ626" s="1"/>
      <c r="BR626" s="1" t="s">
        <v>11878</v>
      </c>
      <c r="BS626" s="1">
        <v>45</v>
      </c>
      <c r="BT626" s="1" t="s">
        <v>11879</v>
      </c>
      <c r="BU626" s="1" t="str">
        <f>HYPERLINK("https://nconnect.nicmar.ac.in/storage/profile/ProfilePhoto_P25700630_165892.jpg","Download")</f>
        <v>0</v>
      </c>
      <c r="BV626" s="3"/>
      <c r="BW626" s="4">
        <v>1</v>
      </c>
    </row>
    <row r="627" spans="1:75">
      <c r="A627" s="1" t="s">
        <v>75</v>
      </c>
      <c r="B627" s="1" t="s">
        <v>446</v>
      </c>
      <c r="C627" s="1" t="s">
        <v>11880</v>
      </c>
      <c r="D627" s="1" t="s">
        <v>11881</v>
      </c>
      <c r="E627" s="1" t="s">
        <v>11882</v>
      </c>
      <c r="F627" s="1" t="s">
        <v>3835</v>
      </c>
      <c r="G627" s="1" t="s">
        <v>11883</v>
      </c>
      <c r="H627" s="1" t="s">
        <v>11884</v>
      </c>
      <c r="I627" s="1" t="s">
        <v>11885</v>
      </c>
      <c r="J627" s="1">
        <v>6309506798</v>
      </c>
      <c r="K627" s="1" t="s">
        <v>84</v>
      </c>
      <c r="L627" s="1" t="s">
        <v>11886</v>
      </c>
      <c r="M627" s="1" t="s">
        <v>86</v>
      </c>
      <c r="N627" s="1" t="s">
        <v>11887</v>
      </c>
      <c r="O627" s="1"/>
      <c r="P627" s="1" t="s">
        <v>455</v>
      </c>
      <c r="Q627" s="1" t="s">
        <v>11888</v>
      </c>
      <c r="R627" s="1" t="s">
        <v>11889</v>
      </c>
      <c r="S627" s="1">
        <v>7981702108</v>
      </c>
      <c r="T627" s="1" t="s">
        <v>330</v>
      </c>
      <c r="U627" s="1" t="s">
        <v>11890</v>
      </c>
      <c r="V627" s="1">
        <v>8309379725</v>
      </c>
      <c r="W627" s="1" t="s">
        <v>94</v>
      </c>
      <c r="X627" s="1" t="s">
        <v>11891</v>
      </c>
      <c r="Y627" s="1" t="s">
        <v>1454</v>
      </c>
      <c r="Z627" s="1" t="s">
        <v>281</v>
      </c>
      <c r="AA627" s="1" t="s">
        <v>11892</v>
      </c>
      <c r="AB627" s="1" t="s">
        <v>1454</v>
      </c>
      <c r="AC627" s="1" t="s">
        <v>281</v>
      </c>
      <c r="AD627" s="1">
        <v>8.05</v>
      </c>
      <c r="AE627" s="1" t="s">
        <v>98</v>
      </c>
      <c r="AF627" s="1" t="s">
        <v>11893</v>
      </c>
      <c r="AG627" s="1" t="s">
        <v>11894</v>
      </c>
      <c r="AH627" s="1" t="s">
        <v>174</v>
      </c>
      <c r="AI627" s="1" t="s">
        <v>547</v>
      </c>
      <c r="AJ627" s="1">
        <v>92</v>
      </c>
      <c r="AK627" s="1">
        <v>9.2</v>
      </c>
      <c r="AL627" s="1" t="s">
        <v>3033</v>
      </c>
      <c r="AM627" s="1" t="s">
        <v>1420</v>
      </c>
      <c r="AN627" s="1" t="s">
        <v>465</v>
      </c>
      <c r="AO627" s="1" t="s">
        <v>315</v>
      </c>
      <c r="AP627" s="1" t="s">
        <v>1192</v>
      </c>
      <c r="AQ627" s="1">
        <v>84.3</v>
      </c>
      <c r="AR627" s="1"/>
      <c r="AS627" s="1"/>
      <c r="AT627" s="1"/>
      <c r="AU627" s="1"/>
      <c r="AV627" s="1"/>
      <c r="AW627" s="1"/>
      <c r="AX627" s="1"/>
      <c r="AY627" s="1" t="s">
        <v>11895</v>
      </c>
      <c r="AZ627" s="1" t="s">
        <v>11896</v>
      </c>
      <c r="BA627" s="1" t="s">
        <v>466</v>
      </c>
      <c r="BB627" s="1" t="s">
        <v>467</v>
      </c>
      <c r="BC627" s="1" t="s">
        <v>140</v>
      </c>
      <c r="BD627" s="1" t="s">
        <v>607</v>
      </c>
      <c r="BE627" s="1">
        <v>71</v>
      </c>
      <c r="BF627" s="1">
        <v>7.1</v>
      </c>
      <c r="BG627" s="1"/>
      <c r="BH627" s="1"/>
      <c r="BI627" s="1"/>
      <c r="BJ627" s="1"/>
      <c r="BK627" s="1"/>
      <c r="BL627" s="1"/>
      <c r="BM627" s="1"/>
      <c r="BN627" s="1"/>
      <c r="BO627" s="1" t="s">
        <v>11897</v>
      </c>
      <c r="BP627" s="1"/>
      <c r="BQ627" s="1"/>
      <c r="BR627" s="1" t="s">
        <v>11898</v>
      </c>
      <c r="BS627" s="1">
        <v>12</v>
      </c>
      <c r="BT627" s="1" t="s">
        <v>11899</v>
      </c>
      <c r="BU627" s="1" t="str">
        <f>HYPERLINK("https://nconnect.nicmar.ac.in/storage/profile/ProfilePhoto_P25700631_576189.jpg","Download")</f>
        <v>0</v>
      </c>
      <c r="BV627" s="3"/>
      <c r="BW627" s="3"/>
    </row>
    <row r="628" spans="1:75">
      <c r="A628" s="1" t="s">
        <v>75</v>
      </c>
      <c r="B628" s="1" t="s">
        <v>446</v>
      </c>
      <c r="C628" s="1" t="s">
        <v>11900</v>
      </c>
      <c r="D628" s="1" t="s">
        <v>11901</v>
      </c>
      <c r="E628" s="1" t="s">
        <v>11902</v>
      </c>
      <c r="F628" s="1" t="s">
        <v>8253</v>
      </c>
      <c r="G628" s="1" t="s">
        <v>11903</v>
      </c>
      <c r="H628" s="1" t="s">
        <v>11904</v>
      </c>
      <c r="I628" s="1" t="s">
        <v>11905</v>
      </c>
      <c r="J628" s="1">
        <v>9834581395</v>
      </c>
      <c r="K628" s="1" t="s">
        <v>153</v>
      </c>
      <c r="L628" s="1" t="s">
        <v>11906</v>
      </c>
      <c r="M628" s="1" t="s">
        <v>86</v>
      </c>
      <c r="N628" s="1" t="s">
        <v>11907</v>
      </c>
      <c r="O628" s="1"/>
      <c r="P628" s="1" t="s">
        <v>507</v>
      </c>
      <c r="Q628" s="1" t="s">
        <v>11908</v>
      </c>
      <c r="R628" s="1" t="s">
        <v>11909</v>
      </c>
      <c r="S628" s="1">
        <v>9765818228</v>
      </c>
      <c r="T628" s="1" t="s">
        <v>839</v>
      </c>
      <c r="U628" s="1" t="s">
        <v>11910</v>
      </c>
      <c r="V628" s="1">
        <v>9271555654</v>
      </c>
      <c r="W628" s="1" t="s">
        <v>161</v>
      </c>
      <c r="X628" s="1" t="s">
        <v>11911</v>
      </c>
      <c r="Y628" s="1" t="s">
        <v>196</v>
      </c>
      <c r="Z628" s="1" t="s">
        <v>97</v>
      </c>
      <c r="AA628" s="1" t="s">
        <v>11911</v>
      </c>
      <c r="AB628" s="1" t="s">
        <v>196</v>
      </c>
      <c r="AC628" s="1" t="s">
        <v>97</v>
      </c>
      <c r="AD628" s="1">
        <v>8.95</v>
      </c>
      <c r="AE628" s="1" t="s">
        <v>98</v>
      </c>
      <c r="AF628" s="1" t="s">
        <v>11912</v>
      </c>
      <c r="AG628" s="1" t="s">
        <v>165</v>
      </c>
      <c r="AH628" s="1" t="s">
        <v>167</v>
      </c>
      <c r="AI628" s="1" t="s">
        <v>573</v>
      </c>
      <c r="AJ628" s="1">
        <v>93</v>
      </c>
      <c r="AK628" s="1"/>
      <c r="AL628" s="1" t="s">
        <v>11913</v>
      </c>
      <c r="AM628" s="1" t="s">
        <v>165</v>
      </c>
      <c r="AN628" s="1" t="s">
        <v>465</v>
      </c>
      <c r="AO628" s="1" t="s">
        <v>106</v>
      </c>
      <c r="AP628" s="1" t="s">
        <v>313</v>
      </c>
      <c r="AQ628" s="1">
        <v>73.38</v>
      </c>
      <c r="AR628" s="1"/>
      <c r="AS628" s="1"/>
      <c r="AT628" s="1"/>
      <c r="AU628" s="1"/>
      <c r="AV628" s="1"/>
      <c r="AW628" s="1"/>
      <c r="AX628" s="1"/>
      <c r="AY628" s="1" t="s">
        <v>366</v>
      </c>
      <c r="AZ628" s="1" t="s">
        <v>11914</v>
      </c>
      <c r="BA628" s="1" t="s">
        <v>682</v>
      </c>
      <c r="BB628" s="1" t="s">
        <v>683</v>
      </c>
      <c r="BC628" s="1" t="s">
        <v>206</v>
      </c>
      <c r="BD628" s="1" t="s">
        <v>207</v>
      </c>
      <c r="BE628" s="1">
        <v>64.79</v>
      </c>
      <c r="BF628" s="1">
        <v>7.28</v>
      </c>
      <c r="BG628" s="1"/>
      <c r="BH628" s="1"/>
      <c r="BI628" s="1"/>
      <c r="BJ628" s="1"/>
      <c r="BK628" s="1"/>
      <c r="BL628" s="1"/>
      <c r="BM628" s="1"/>
      <c r="BN628" s="1"/>
      <c r="BO628" s="1" t="s">
        <v>11915</v>
      </c>
      <c r="BP628" s="1" t="s">
        <v>11916</v>
      </c>
      <c r="BQ628" s="1" t="s">
        <v>9405</v>
      </c>
      <c r="BR628" s="1" t="s">
        <v>11917</v>
      </c>
      <c r="BS628" s="1">
        <v>28</v>
      </c>
      <c r="BT628" s="1"/>
      <c r="BU628" s="1" t="str">
        <f>HYPERLINK("https://nconnect.nicmar.ac.in/storage/profile/ProfilePhoto_P25700632_185743.jpg","Download")</f>
        <v>0</v>
      </c>
      <c r="BV628" s="3"/>
      <c r="BW628" s="3"/>
    </row>
    <row r="629" spans="1:75">
      <c r="A629" s="1" t="s">
        <v>75</v>
      </c>
      <c r="B629" s="1" t="s">
        <v>446</v>
      </c>
      <c r="C629" s="1" t="s">
        <v>11918</v>
      </c>
      <c r="D629" s="1" t="s">
        <v>11919</v>
      </c>
      <c r="E629" s="1"/>
      <c r="F629" s="1" t="s">
        <v>1853</v>
      </c>
      <c r="G629" s="1" t="s">
        <v>11920</v>
      </c>
      <c r="H629" s="1" t="s">
        <v>11921</v>
      </c>
      <c r="I629" s="1" t="s">
        <v>11921</v>
      </c>
      <c r="J629" s="1">
        <v>8861189669</v>
      </c>
      <c r="K629" s="1" t="s">
        <v>153</v>
      </c>
      <c r="L629" s="1" t="s">
        <v>301</v>
      </c>
      <c r="M629" s="1" t="s">
        <v>86</v>
      </c>
      <c r="N629" s="1" t="s">
        <v>11922</v>
      </c>
      <c r="O629" s="1"/>
      <c r="P629" s="1" t="s">
        <v>1028</v>
      </c>
      <c r="Q629" s="1" t="s">
        <v>11923</v>
      </c>
      <c r="R629" s="1" t="s">
        <v>11924</v>
      </c>
      <c r="S629" s="1">
        <v>9900306365</v>
      </c>
      <c r="T629" s="1" t="s">
        <v>11925</v>
      </c>
      <c r="U629" s="1" t="s">
        <v>11926</v>
      </c>
      <c r="V629" s="1">
        <v>9591731589</v>
      </c>
      <c r="W629" s="1" t="s">
        <v>161</v>
      </c>
      <c r="X629" s="1" t="s">
        <v>11927</v>
      </c>
      <c r="Y629" s="1" t="s">
        <v>3132</v>
      </c>
      <c r="Z629" s="1" t="s">
        <v>1210</v>
      </c>
      <c r="AA629" s="1" t="s">
        <v>11927</v>
      </c>
      <c r="AB629" s="1" t="s">
        <v>3132</v>
      </c>
      <c r="AC629" s="1" t="s">
        <v>1210</v>
      </c>
      <c r="AD629" s="1">
        <v>8.51</v>
      </c>
      <c r="AE629" s="1" t="s">
        <v>98</v>
      </c>
      <c r="AF629" s="1" t="s">
        <v>11928</v>
      </c>
      <c r="AG629" s="1" t="s">
        <v>1946</v>
      </c>
      <c r="AH629" s="1" t="s">
        <v>167</v>
      </c>
      <c r="AI629" s="1" t="s">
        <v>704</v>
      </c>
      <c r="AJ629" s="1">
        <v>78.4</v>
      </c>
      <c r="AK629" s="1"/>
      <c r="AL629" s="1" t="s">
        <v>11929</v>
      </c>
      <c r="AM629" s="1" t="s">
        <v>3732</v>
      </c>
      <c r="AN629" s="1" t="s">
        <v>465</v>
      </c>
      <c r="AO629" s="1" t="s">
        <v>106</v>
      </c>
      <c r="AP629" s="1" t="s">
        <v>414</v>
      </c>
      <c r="AQ629" s="1">
        <v>66.33</v>
      </c>
      <c r="AR629" s="1"/>
      <c r="AS629" s="1"/>
      <c r="AT629" s="1"/>
      <c r="AU629" s="1"/>
      <c r="AV629" s="1"/>
      <c r="AW629" s="1"/>
      <c r="AX629" s="1"/>
      <c r="AY629" s="1" t="s">
        <v>7595</v>
      </c>
      <c r="AZ629" s="1" t="s">
        <v>11930</v>
      </c>
      <c r="BA629" s="1" t="s">
        <v>466</v>
      </c>
      <c r="BB629" s="1" t="s">
        <v>467</v>
      </c>
      <c r="BC629" s="1" t="s">
        <v>206</v>
      </c>
      <c r="BD629" s="1" t="s">
        <v>234</v>
      </c>
      <c r="BE629" s="1">
        <v>86.9</v>
      </c>
      <c r="BF629" s="1">
        <v>8.69</v>
      </c>
      <c r="BG629" s="1"/>
      <c r="BH629" s="1"/>
      <c r="BI629" s="1"/>
      <c r="BJ629" s="1"/>
      <c r="BK629" s="1"/>
      <c r="BL629" s="1"/>
      <c r="BM629" s="1"/>
      <c r="BN629" s="1"/>
      <c r="BO629" s="1" t="s">
        <v>11931</v>
      </c>
      <c r="BP629" s="1" t="s">
        <v>11932</v>
      </c>
      <c r="BQ629" s="1" t="s">
        <v>1152</v>
      </c>
      <c r="BR629" s="1" t="s">
        <v>11933</v>
      </c>
      <c r="BS629" s="1">
        <v>33</v>
      </c>
      <c r="BT629" s="1" t="s">
        <v>11934</v>
      </c>
      <c r="BU629" s="1" t="str">
        <f>HYPERLINK("https://nconnect.nicmar.ac.in/storage/profile/ProfilePhoto_P25700633_541692.jpg","Download")</f>
        <v>0</v>
      </c>
      <c r="BV629" s="3"/>
      <c r="BW629" s="3"/>
    </row>
    <row r="630" spans="1:75">
      <c r="A630" s="1" t="s">
        <v>75</v>
      </c>
      <c r="B630" s="1" t="s">
        <v>446</v>
      </c>
      <c r="C630" s="1" t="s">
        <v>11935</v>
      </c>
      <c r="D630" s="1" t="s">
        <v>11936</v>
      </c>
      <c r="E630" s="1" t="s">
        <v>7798</v>
      </c>
      <c r="F630" s="1" t="s">
        <v>8306</v>
      </c>
      <c r="G630" s="1" t="s">
        <v>11937</v>
      </c>
      <c r="H630" s="1" t="s">
        <v>11938</v>
      </c>
      <c r="I630" s="1" t="s">
        <v>11939</v>
      </c>
      <c r="J630" s="1">
        <v>9372882876</v>
      </c>
      <c r="K630" s="1" t="s">
        <v>84</v>
      </c>
      <c r="L630" s="1" t="s">
        <v>11940</v>
      </c>
      <c r="M630" s="1" t="s">
        <v>86</v>
      </c>
      <c r="N630" s="1" t="s">
        <v>8720</v>
      </c>
      <c r="O630" s="1"/>
      <c r="P630" s="1"/>
      <c r="Q630" s="1" t="s">
        <v>11941</v>
      </c>
      <c r="R630" s="1" t="s">
        <v>11942</v>
      </c>
      <c r="S630" s="1">
        <v>9820236344</v>
      </c>
      <c r="T630" s="1" t="s">
        <v>839</v>
      </c>
      <c r="U630" s="1" t="s">
        <v>11943</v>
      </c>
      <c r="V630" s="1">
        <v>9820190860</v>
      </c>
      <c r="W630" s="1" t="s">
        <v>278</v>
      </c>
      <c r="X630" s="1" t="s">
        <v>11944</v>
      </c>
      <c r="Y630" s="1" t="s">
        <v>2259</v>
      </c>
      <c r="Z630" s="1" t="s">
        <v>97</v>
      </c>
      <c r="AA630" s="1" t="s">
        <v>11945</v>
      </c>
      <c r="AB630" s="1" t="s">
        <v>1882</v>
      </c>
      <c r="AC630" s="1" t="s">
        <v>97</v>
      </c>
      <c r="AD630" s="1">
        <v>7.64</v>
      </c>
      <c r="AE630" s="1" t="s">
        <v>98</v>
      </c>
      <c r="AF630" s="1" t="s">
        <v>11946</v>
      </c>
      <c r="AG630" s="1" t="s">
        <v>11947</v>
      </c>
      <c r="AH630" s="1" t="s">
        <v>286</v>
      </c>
      <c r="AI630" s="1" t="s">
        <v>313</v>
      </c>
      <c r="AJ630" s="1">
        <v>82.4</v>
      </c>
      <c r="AK630" s="1"/>
      <c r="AL630" s="1" t="s">
        <v>11948</v>
      </c>
      <c r="AM630" s="1" t="s">
        <v>11947</v>
      </c>
      <c r="AN630" s="1"/>
      <c r="AO630" s="1" t="s">
        <v>468</v>
      </c>
      <c r="AP630" s="1" t="s">
        <v>847</v>
      </c>
      <c r="AQ630" s="1">
        <v>88.17</v>
      </c>
      <c r="AR630" s="1"/>
      <c r="AS630" s="1"/>
      <c r="AT630" s="1"/>
      <c r="AU630" s="1"/>
      <c r="AV630" s="1"/>
      <c r="AW630" s="1"/>
      <c r="AX630" s="1"/>
      <c r="AY630" s="1" t="s">
        <v>11949</v>
      </c>
      <c r="AZ630" s="1" t="s">
        <v>11950</v>
      </c>
      <c r="BA630" s="1"/>
      <c r="BB630" s="1"/>
      <c r="BC630" s="1" t="s">
        <v>847</v>
      </c>
      <c r="BD630" s="1" t="s">
        <v>848</v>
      </c>
      <c r="BE630" s="1">
        <v>74.5</v>
      </c>
      <c r="BF630" s="1">
        <v>8.2</v>
      </c>
      <c r="BG630" s="1"/>
      <c r="BH630" s="1"/>
      <c r="BI630" s="1"/>
      <c r="BJ630" s="1"/>
      <c r="BK630" s="1"/>
      <c r="BL630" s="1"/>
      <c r="BM630" s="1"/>
      <c r="BN630" s="1"/>
      <c r="BO630" s="1" t="s">
        <v>849</v>
      </c>
      <c r="BP630" s="1"/>
      <c r="BQ630" s="1"/>
      <c r="BR630" s="1" t="s">
        <v>11951</v>
      </c>
      <c r="BS630" s="1">
        <v>31</v>
      </c>
      <c r="BT630" s="1"/>
      <c r="BU630" s="1" t="str">
        <f>HYPERLINK("https://nconnect.nicmar.ac.in/storage/profile/ProfilePhoto_P25700634_569782.jpg","Download")</f>
        <v>0</v>
      </c>
      <c r="BV630" s="3"/>
      <c r="BW630" s="3"/>
    </row>
    <row r="631" spans="1:75">
      <c r="A631" s="1" t="s">
        <v>75</v>
      </c>
      <c r="B631" s="1" t="s">
        <v>446</v>
      </c>
      <c r="C631" s="1" t="s">
        <v>11952</v>
      </c>
      <c r="D631" s="1" t="s">
        <v>3511</v>
      </c>
      <c r="E631" s="1"/>
      <c r="F631" s="1" t="s">
        <v>11953</v>
      </c>
      <c r="G631" s="1" t="s">
        <v>11954</v>
      </c>
      <c r="H631" s="1" t="s">
        <v>11955</v>
      </c>
      <c r="I631" s="1" t="s">
        <v>11956</v>
      </c>
      <c r="J631" s="1">
        <v>9995021473</v>
      </c>
      <c r="K631" s="1" t="s">
        <v>84</v>
      </c>
      <c r="L631" s="1" t="s">
        <v>11957</v>
      </c>
      <c r="M631" s="1" t="s">
        <v>86</v>
      </c>
      <c r="N631" s="1" t="s">
        <v>11958</v>
      </c>
      <c r="O631" s="1"/>
      <c r="P631" s="1" t="s">
        <v>1028</v>
      </c>
      <c r="Q631" s="1" t="s">
        <v>11959</v>
      </c>
      <c r="R631" s="1" t="s">
        <v>11960</v>
      </c>
      <c r="S631" s="1">
        <v>9496392947</v>
      </c>
      <c r="T631" s="1" t="s">
        <v>11961</v>
      </c>
      <c r="U631" s="1" t="s">
        <v>11962</v>
      </c>
      <c r="V631" s="1">
        <v>9645464227</v>
      </c>
      <c r="W631" s="1" t="s">
        <v>161</v>
      </c>
      <c r="X631" s="1" t="s">
        <v>11963</v>
      </c>
      <c r="Y631" s="1" t="s">
        <v>3190</v>
      </c>
      <c r="Z631" s="1" t="s">
        <v>130</v>
      </c>
      <c r="AA631" s="1" t="s">
        <v>11963</v>
      </c>
      <c r="AB631" s="1" t="s">
        <v>3190</v>
      </c>
      <c r="AC631" s="1" t="s">
        <v>130</v>
      </c>
      <c r="AD631" s="1">
        <v>8.62</v>
      </c>
      <c r="AE631" s="1" t="s">
        <v>98</v>
      </c>
      <c r="AF631" s="1" t="s">
        <v>11964</v>
      </c>
      <c r="AG631" s="1" t="s">
        <v>11965</v>
      </c>
      <c r="AH631" s="1" t="s">
        <v>167</v>
      </c>
      <c r="AI631" s="1" t="s">
        <v>170</v>
      </c>
      <c r="AJ631" s="1">
        <v>91.2</v>
      </c>
      <c r="AK631" s="1">
        <v>9.6</v>
      </c>
      <c r="AL631" s="1" t="s">
        <v>11964</v>
      </c>
      <c r="AM631" s="1" t="s">
        <v>11965</v>
      </c>
      <c r="AN631" s="1" t="s">
        <v>575</v>
      </c>
      <c r="AO631" s="1" t="s">
        <v>171</v>
      </c>
      <c r="AP631" s="1" t="s">
        <v>313</v>
      </c>
      <c r="AQ631" s="1">
        <v>64.6</v>
      </c>
      <c r="AR631" s="1"/>
      <c r="AS631" s="1"/>
      <c r="AT631" s="1"/>
      <c r="AU631" s="1"/>
      <c r="AV631" s="1"/>
      <c r="AW631" s="1"/>
      <c r="AX631" s="1"/>
      <c r="AY631" s="1" t="s">
        <v>137</v>
      </c>
      <c r="AZ631" s="1" t="s">
        <v>11966</v>
      </c>
      <c r="BA631" s="1" t="s">
        <v>466</v>
      </c>
      <c r="BB631" s="1" t="s">
        <v>467</v>
      </c>
      <c r="BC631" s="1" t="s">
        <v>206</v>
      </c>
      <c r="BD631" s="1" t="s">
        <v>391</v>
      </c>
      <c r="BE631" s="1">
        <v>67.9</v>
      </c>
      <c r="BF631" s="1">
        <v>6.79</v>
      </c>
      <c r="BG631" s="1"/>
      <c r="BH631" s="1"/>
      <c r="BI631" s="1"/>
      <c r="BJ631" s="1"/>
      <c r="BK631" s="1"/>
      <c r="BL631" s="1"/>
      <c r="BM631" s="1"/>
      <c r="BN631" s="1"/>
      <c r="BO631" s="1" t="s">
        <v>11967</v>
      </c>
      <c r="BP631" s="1" t="s">
        <v>11968</v>
      </c>
      <c r="BQ631" s="1" t="s">
        <v>780</v>
      </c>
      <c r="BR631" s="1" t="s">
        <v>11969</v>
      </c>
      <c r="BS631" s="1">
        <v>8</v>
      </c>
      <c r="BT631" s="1"/>
      <c r="BU631" s="1" t="str">
        <f>HYPERLINK("https://nconnect.nicmar.ac.in/storage/profile/ProfilePhoto_P25700635_576948.jpg","Download")</f>
        <v>0</v>
      </c>
      <c r="BV631" s="3"/>
      <c r="BW631" s="3"/>
    </row>
    <row r="632" spans="1:75">
      <c r="A632" s="1" t="s">
        <v>75</v>
      </c>
      <c r="B632" s="1" t="s">
        <v>446</v>
      </c>
      <c r="C632" s="1" t="s">
        <v>11970</v>
      </c>
      <c r="D632" s="1" t="s">
        <v>11971</v>
      </c>
      <c r="E632" s="1" t="s">
        <v>11972</v>
      </c>
      <c r="F632" s="1" t="s">
        <v>9739</v>
      </c>
      <c r="G632" s="1" t="s">
        <v>11973</v>
      </c>
      <c r="H632" s="1" t="s">
        <v>11974</v>
      </c>
      <c r="I632" s="1" t="s">
        <v>11975</v>
      </c>
      <c r="J632" s="1">
        <v>9130704913</v>
      </c>
      <c r="K632" s="1" t="s">
        <v>84</v>
      </c>
      <c r="L632" s="1" t="s">
        <v>11976</v>
      </c>
      <c r="M632" s="1" t="s">
        <v>86</v>
      </c>
      <c r="N632" s="1" t="s">
        <v>618</v>
      </c>
      <c r="O632" s="1"/>
      <c r="P632" s="1" t="s">
        <v>1028</v>
      </c>
      <c r="Q632" s="1" t="s">
        <v>11977</v>
      </c>
      <c r="R632" s="1" t="s">
        <v>11978</v>
      </c>
      <c r="S632" s="1">
        <v>9552504373</v>
      </c>
      <c r="T632" s="1" t="s">
        <v>839</v>
      </c>
      <c r="U632" s="1" t="s">
        <v>11979</v>
      </c>
      <c r="V632" s="1">
        <v>9669674230</v>
      </c>
      <c r="W632" s="1" t="s">
        <v>161</v>
      </c>
      <c r="X632" s="1" t="s">
        <v>11980</v>
      </c>
      <c r="Y632" s="1" t="s">
        <v>196</v>
      </c>
      <c r="Z632" s="1" t="s">
        <v>97</v>
      </c>
      <c r="AA632" s="1" t="s">
        <v>11981</v>
      </c>
      <c r="AB632" s="1" t="s">
        <v>11982</v>
      </c>
      <c r="AC632" s="1" t="s">
        <v>3419</v>
      </c>
      <c r="AD632" s="1">
        <v>8.92</v>
      </c>
      <c r="AE632" s="1" t="s">
        <v>98</v>
      </c>
      <c r="AF632" s="1" t="s">
        <v>11983</v>
      </c>
      <c r="AG632" s="1" t="s">
        <v>11984</v>
      </c>
      <c r="AH632" s="1" t="s">
        <v>704</v>
      </c>
      <c r="AI632" s="1" t="s">
        <v>171</v>
      </c>
      <c r="AJ632" s="1">
        <v>85.2</v>
      </c>
      <c r="AK632" s="1"/>
      <c r="AL632" s="1" t="s">
        <v>11983</v>
      </c>
      <c r="AM632" s="1" t="s">
        <v>11985</v>
      </c>
      <c r="AN632" s="1" t="s">
        <v>465</v>
      </c>
      <c r="AO632" s="1" t="s">
        <v>547</v>
      </c>
      <c r="AP632" s="1" t="s">
        <v>417</v>
      </c>
      <c r="AQ632" s="1">
        <v>84.6</v>
      </c>
      <c r="AR632" s="1"/>
      <c r="AS632" s="1"/>
      <c r="AT632" s="1"/>
      <c r="AU632" s="1"/>
      <c r="AV632" s="1"/>
      <c r="AW632" s="1"/>
      <c r="AX632" s="1"/>
      <c r="AY632" s="1" t="s">
        <v>366</v>
      </c>
      <c r="AZ632" s="1" t="s">
        <v>11986</v>
      </c>
      <c r="BA632" s="1" t="s">
        <v>466</v>
      </c>
      <c r="BB632" s="1" t="s">
        <v>467</v>
      </c>
      <c r="BC632" s="1" t="s">
        <v>368</v>
      </c>
      <c r="BD632" s="1" t="s">
        <v>848</v>
      </c>
      <c r="BE632" s="1">
        <v>81.1</v>
      </c>
      <c r="BF632" s="1">
        <v>8.86</v>
      </c>
      <c r="BG632" s="1"/>
      <c r="BH632" s="1"/>
      <c r="BI632" s="1"/>
      <c r="BJ632" s="1"/>
      <c r="BK632" s="1"/>
      <c r="BL632" s="1"/>
      <c r="BM632" s="1"/>
      <c r="BN632" s="1"/>
      <c r="BO632" s="1" t="s">
        <v>11987</v>
      </c>
      <c r="BP632" s="1"/>
      <c r="BQ632" s="1"/>
      <c r="BR632" s="1" t="s">
        <v>11988</v>
      </c>
      <c r="BS632" s="1">
        <v>33</v>
      </c>
      <c r="BT632" s="1" t="s">
        <v>11989</v>
      </c>
      <c r="BU632" s="1" t="str">
        <f>HYPERLINK("https://nconnect.nicmar.ac.in/storage/profile/ProfilePhoto_P25700636_598721.jpg","Download")</f>
        <v>0</v>
      </c>
      <c r="BV632" s="3"/>
      <c r="BW632" s="3"/>
    </row>
    <row r="633" spans="1:75">
      <c r="A633" s="1" t="s">
        <v>75</v>
      </c>
      <c r="B633" s="1" t="s">
        <v>446</v>
      </c>
      <c r="C633" s="1" t="s">
        <v>11990</v>
      </c>
      <c r="D633" s="1" t="s">
        <v>5092</v>
      </c>
      <c r="E633" s="1" t="s">
        <v>5753</v>
      </c>
      <c r="F633" s="1" t="s">
        <v>11991</v>
      </c>
      <c r="G633" s="1" t="s">
        <v>11992</v>
      </c>
      <c r="H633" s="1" t="s">
        <v>11993</v>
      </c>
      <c r="I633" s="1" t="s">
        <v>11994</v>
      </c>
      <c r="J633" s="1">
        <v>7666307496</v>
      </c>
      <c r="K633" s="1" t="s">
        <v>84</v>
      </c>
      <c r="L633" s="1" t="s">
        <v>6372</v>
      </c>
      <c r="M633" s="1" t="s">
        <v>86</v>
      </c>
      <c r="N633" s="1" t="s">
        <v>768</v>
      </c>
      <c r="O633" s="1"/>
      <c r="P633" s="1" t="s">
        <v>455</v>
      </c>
      <c r="Q633" s="1" t="s">
        <v>11995</v>
      </c>
      <c r="R633" s="1" t="s">
        <v>5753</v>
      </c>
      <c r="S633" s="1">
        <v>9552818982</v>
      </c>
      <c r="T633" s="1" t="s">
        <v>7822</v>
      </c>
      <c r="U633" s="1" t="s">
        <v>1749</v>
      </c>
      <c r="V633" s="1">
        <v>9322077528</v>
      </c>
      <c r="W633" s="1" t="s">
        <v>161</v>
      </c>
      <c r="X633" s="1" t="s">
        <v>11996</v>
      </c>
      <c r="Y633" s="1" t="s">
        <v>196</v>
      </c>
      <c r="Z633" s="1" t="s">
        <v>97</v>
      </c>
      <c r="AA633" s="1" t="s">
        <v>11997</v>
      </c>
      <c r="AB633" s="1" t="s">
        <v>384</v>
      </c>
      <c r="AC633" s="1" t="s">
        <v>97</v>
      </c>
      <c r="AD633" s="1">
        <v>8.23</v>
      </c>
      <c r="AE633" s="1" t="s">
        <v>98</v>
      </c>
      <c r="AF633" s="1" t="s">
        <v>11998</v>
      </c>
      <c r="AG633" s="1" t="s">
        <v>165</v>
      </c>
      <c r="AH633" s="1" t="s">
        <v>106</v>
      </c>
      <c r="AI633" s="1" t="s">
        <v>414</v>
      </c>
      <c r="AJ633" s="1">
        <v>76.2</v>
      </c>
      <c r="AK633" s="1"/>
      <c r="AL633" s="1"/>
      <c r="AM633" s="1"/>
      <c r="AN633" s="1"/>
      <c r="AO633" s="1"/>
      <c r="AP633" s="1"/>
      <c r="AQ633" s="1"/>
      <c r="AR633" s="1"/>
      <c r="AS633" s="1" t="s">
        <v>7504</v>
      </c>
      <c r="AT633" s="1" t="s">
        <v>11999</v>
      </c>
      <c r="AU633" s="1" t="s">
        <v>315</v>
      </c>
      <c r="AV633" s="1" t="s">
        <v>110</v>
      </c>
      <c r="AW633" s="1">
        <v>78.63</v>
      </c>
      <c r="AX633" s="1"/>
      <c r="AY633" s="1" t="s">
        <v>4780</v>
      </c>
      <c r="AZ633" s="1" t="s">
        <v>12000</v>
      </c>
      <c r="BA633" s="1" t="s">
        <v>466</v>
      </c>
      <c r="BB633" s="1" t="s">
        <v>467</v>
      </c>
      <c r="BC633" s="1" t="s">
        <v>1889</v>
      </c>
      <c r="BD633" s="1" t="s">
        <v>848</v>
      </c>
      <c r="BE633" s="1">
        <v>65.9</v>
      </c>
      <c r="BF633" s="1">
        <v>7.34</v>
      </c>
      <c r="BG633" s="1"/>
      <c r="BH633" s="1"/>
      <c r="BI633" s="1"/>
      <c r="BJ633" s="1"/>
      <c r="BK633" s="1"/>
      <c r="BL633" s="1"/>
      <c r="BM633" s="1"/>
      <c r="BN633" s="1"/>
      <c r="BO633" s="1" t="s">
        <v>12001</v>
      </c>
      <c r="BP633" s="1"/>
      <c r="BQ633" s="1"/>
      <c r="BR633" s="1" t="s">
        <v>12002</v>
      </c>
      <c r="BS633" s="1">
        <v>27</v>
      </c>
      <c r="BT633" s="1" t="s">
        <v>12003</v>
      </c>
      <c r="BU633" s="1" t="str">
        <f>HYPERLINK("https://nconnect.nicmar.ac.in/storage/profile/ProfilePhoto_P25700637_371864.jpg","Download")</f>
        <v>0</v>
      </c>
      <c r="BV633" s="3"/>
      <c r="BW633" s="3"/>
    </row>
    <row r="634" spans="1:75">
      <c r="A634" s="1" t="s">
        <v>75</v>
      </c>
      <c r="B634" s="1" t="s">
        <v>446</v>
      </c>
      <c r="C634" s="1" t="s">
        <v>12004</v>
      </c>
      <c r="D634" s="1" t="s">
        <v>7146</v>
      </c>
      <c r="E634" s="1" t="s">
        <v>1669</v>
      </c>
      <c r="F634" s="1" t="s">
        <v>3101</v>
      </c>
      <c r="G634" s="1" t="s">
        <v>12005</v>
      </c>
      <c r="H634" s="1" t="s">
        <v>12006</v>
      </c>
      <c r="I634" s="1" t="s">
        <v>12007</v>
      </c>
      <c r="J634" s="1">
        <v>9307064880</v>
      </c>
      <c r="K634" s="1" t="s">
        <v>84</v>
      </c>
      <c r="L634" s="1" t="s">
        <v>4824</v>
      </c>
      <c r="M634" s="1" t="s">
        <v>86</v>
      </c>
      <c r="N634" s="1" t="s">
        <v>4263</v>
      </c>
      <c r="O634" s="1"/>
      <c r="P634" s="1" t="s">
        <v>455</v>
      </c>
      <c r="Q634" s="1" t="s">
        <v>12008</v>
      </c>
      <c r="R634" s="1" t="s">
        <v>1669</v>
      </c>
      <c r="S634" s="1">
        <v>9011103009</v>
      </c>
      <c r="T634" s="1" t="s">
        <v>12009</v>
      </c>
      <c r="U634" s="1" t="s">
        <v>10969</v>
      </c>
      <c r="V634" s="1">
        <v>9420708842</v>
      </c>
      <c r="W634" s="1" t="s">
        <v>161</v>
      </c>
      <c r="X634" s="1" t="s">
        <v>12010</v>
      </c>
      <c r="Y634" s="1" t="s">
        <v>333</v>
      </c>
      <c r="Z634" s="1" t="s">
        <v>97</v>
      </c>
      <c r="AA634" s="1" t="s">
        <v>12010</v>
      </c>
      <c r="AB634" s="1" t="s">
        <v>333</v>
      </c>
      <c r="AC634" s="1" t="s">
        <v>97</v>
      </c>
      <c r="AD634" s="1">
        <v>7.44</v>
      </c>
      <c r="AE634" s="1" t="s">
        <v>98</v>
      </c>
      <c r="AF634" s="1" t="s">
        <v>12011</v>
      </c>
      <c r="AG634" s="1" t="s">
        <v>12012</v>
      </c>
      <c r="AH634" s="1" t="s">
        <v>106</v>
      </c>
      <c r="AI634" s="1" t="s">
        <v>438</v>
      </c>
      <c r="AJ634" s="1">
        <v>74.4</v>
      </c>
      <c r="AK634" s="1"/>
      <c r="AL634" s="1" t="s">
        <v>12013</v>
      </c>
      <c r="AM634" s="1" t="s">
        <v>12012</v>
      </c>
      <c r="AN634" s="1" t="s">
        <v>465</v>
      </c>
      <c r="AO634" s="1" t="s">
        <v>178</v>
      </c>
      <c r="AP634" s="1" t="s">
        <v>441</v>
      </c>
      <c r="AQ634" s="1">
        <v>89.5</v>
      </c>
      <c r="AR634" s="1"/>
      <c r="AS634" s="1"/>
      <c r="AT634" s="1"/>
      <c r="AU634" s="1"/>
      <c r="AV634" s="1"/>
      <c r="AW634" s="1"/>
      <c r="AX634" s="1"/>
      <c r="AY634" s="1" t="s">
        <v>340</v>
      </c>
      <c r="AZ634" s="1" t="s">
        <v>12014</v>
      </c>
      <c r="BA634" s="1" t="s">
        <v>578</v>
      </c>
      <c r="BB634" s="1" t="s">
        <v>467</v>
      </c>
      <c r="BC634" s="1" t="s">
        <v>871</v>
      </c>
      <c r="BD634" s="1" t="s">
        <v>1401</v>
      </c>
      <c r="BE634" s="1">
        <v>61.03</v>
      </c>
      <c r="BF634" s="1">
        <v>6.95</v>
      </c>
      <c r="BG634" s="1"/>
      <c r="BH634" s="1"/>
      <c r="BI634" s="1"/>
      <c r="BJ634" s="1"/>
      <c r="BK634" s="1"/>
      <c r="BL634" s="1"/>
      <c r="BM634" s="1"/>
      <c r="BN634" s="1"/>
      <c r="BO634" s="1" t="s">
        <v>12015</v>
      </c>
      <c r="BP634" s="1"/>
      <c r="BQ634" s="1"/>
      <c r="BR634" s="1" t="s">
        <v>12016</v>
      </c>
      <c r="BS634" s="1">
        <v>13</v>
      </c>
      <c r="BT634" s="1"/>
      <c r="BU634" s="1" t="str">
        <f>HYPERLINK("https://nconnect.nicmar.ac.in/storage/profile/ProfilePhoto_P25700638_523967.jpg","Download")</f>
        <v>0</v>
      </c>
      <c r="BV634" s="3"/>
      <c r="BW634" s="3"/>
    </row>
    <row r="635" spans="1:75">
      <c r="A635" s="1" t="s">
        <v>75</v>
      </c>
      <c r="B635" s="1" t="s">
        <v>446</v>
      </c>
      <c r="C635" s="1" t="s">
        <v>12017</v>
      </c>
      <c r="D635" s="1" t="s">
        <v>12018</v>
      </c>
      <c r="E635" s="1" t="s">
        <v>12019</v>
      </c>
      <c r="F635" s="1" t="s">
        <v>147</v>
      </c>
      <c r="G635" s="1" t="s">
        <v>12020</v>
      </c>
      <c r="H635" s="1" t="s">
        <v>12021</v>
      </c>
      <c r="I635" s="1" t="s">
        <v>12022</v>
      </c>
      <c r="J635" s="1">
        <v>9405455755</v>
      </c>
      <c r="K635" s="1" t="s">
        <v>84</v>
      </c>
      <c r="L635" s="1" t="s">
        <v>12023</v>
      </c>
      <c r="M635" s="1" t="s">
        <v>86</v>
      </c>
      <c r="N635" s="1" t="s">
        <v>12024</v>
      </c>
      <c r="O635" s="1"/>
      <c r="P635" s="1"/>
      <c r="Q635" s="1" t="s">
        <v>12025</v>
      </c>
      <c r="R635" s="1" t="s">
        <v>12026</v>
      </c>
      <c r="S635" s="1">
        <v>9404366166</v>
      </c>
      <c r="T635" s="1" t="s">
        <v>11356</v>
      </c>
      <c r="U635" s="1" t="s">
        <v>12027</v>
      </c>
      <c r="V635" s="1">
        <v>9403344144</v>
      </c>
      <c r="W635" s="1" t="s">
        <v>278</v>
      </c>
      <c r="X635" s="1" t="s">
        <v>12028</v>
      </c>
      <c r="Y635" s="1" t="s">
        <v>1033</v>
      </c>
      <c r="Z635" s="1" t="s">
        <v>97</v>
      </c>
      <c r="AA635" s="1" t="s">
        <v>12028</v>
      </c>
      <c r="AB635" s="1" t="s">
        <v>1033</v>
      </c>
      <c r="AC635" s="1" t="s">
        <v>97</v>
      </c>
      <c r="AD635" s="1">
        <v>7.51</v>
      </c>
      <c r="AE635" s="1" t="s">
        <v>98</v>
      </c>
      <c r="AF635" s="1" t="s">
        <v>12029</v>
      </c>
      <c r="AG635" s="1" t="s">
        <v>165</v>
      </c>
      <c r="AH635" s="1" t="s">
        <v>10234</v>
      </c>
      <c r="AI635" s="1" t="s">
        <v>286</v>
      </c>
      <c r="AJ635" s="1">
        <v>81.2</v>
      </c>
      <c r="AK635" s="1"/>
      <c r="AL635" s="1" t="s">
        <v>12030</v>
      </c>
      <c r="AM635" s="1" t="s">
        <v>165</v>
      </c>
      <c r="AN635" s="1" t="s">
        <v>465</v>
      </c>
      <c r="AO635" s="1" t="s">
        <v>490</v>
      </c>
      <c r="AP635" s="1" t="s">
        <v>178</v>
      </c>
      <c r="AQ635" s="1">
        <v>65.38</v>
      </c>
      <c r="AR635" s="1"/>
      <c r="AS635" s="1"/>
      <c r="AT635" s="1"/>
      <c r="AU635" s="1"/>
      <c r="AV635" s="1"/>
      <c r="AW635" s="1"/>
      <c r="AX635" s="1"/>
      <c r="AY635" s="1" t="s">
        <v>1887</v>
      </c>
      <c r="AZ635" s="1" t="s">
        <v>12031</v>
      </c>
      <c r="BA635" s="1" t="s">
        <v>682</v>
      </c>
      <c r="BB635" s="1" t="s">
        <v>683</v>
      </c>
      <c r="BC635" s="1" t="s">
        <v>1040</v>
      </c>
      <c r="BD635" s="1" t="s">
        <v>1401</v>
      </c>
      <c r="BE635" s="1">
        <v>61.88</v>
      </c>
      <c r="BF635" s="1">
        <v>6.75</v>
      </c>
      <c r="BG635" s="1"/>
      <c r="BH635" s="1"/>
      <c r="BI635" s="1"/>
      <c r="BJ635" s="1"/>
      <c r="BK635" s="1"/>
      <c r="BL635" s="1"/>
      <c r="BM635" s="1"/>
      <c r="BN635" s="1"/>
      <c r="BO635" s="1" t="s">
        <v>12032</v>
      </c>
      <c r="BP635" s="1"/>
      <c r="BQ635" s="1"/>
      <c r="BR635" s="1" t="s">
        <v>12033</v>
      </c>
      <c r="BS635" s="1">
        <v>39</v>
      </c>
      <c r="BT635" s="1"/>
      <c r="BU635" s="1" t="str">
        <f>HYPERLINK("https://nconnect.nicmar.ac.in/storage/profile/ProfilePhoto_P25700639_613785.jpg","Download")</f>
        <v>0</v>
      </c>
      <c r="BV635" s="3"/>
      <c r="BW635" s="3"/>
    </row>
    <row r="636" spans="1:75">
      <c r="A636" s="1" t="s">
        <v>75</v>
      </c>
      <c r="B636" s="1" t="s">
        <v>446</v>
      </c>
      <c r="C636" s="1" t="s">
        <v>12034</v>
      </c>
      <c r="D636" s="1" t="s">
        <v>7146</v>
      </c>
      <c r="E636" s="1" t="s">
        <v>2405</v>
      </c>
      <c r="F636" s="1" t="s">
        <v>12035</v>
      </c>
      <c r="G636" s="1" t="s">
        <v>12036</v>
      </c>
      <c r="H636" s="1" t="s">
        <v>12037</v>
      </c>
      <c r="I636" s="1" t="s">
        <v>12038</v>
      </c>
      <c r="J636" s="1">
        <v>8888387703</v>
      </c>
      <c r="K636" s="1" t="s">
        <v>84</v>
      </c>
      <c r="L636" s="1" t="s">
        <v>3895</v>
      </c>
      <c r="M636" s="1" t="s">
        <v>86</v>
      </c>
      <c r="N636" s="1" t="s">
        <v>12039</v>
      </c>
      <c r="O636" s="1"/>
      <c r="P636" s="1" t="s">
        <v>1028</v>
      </c>
      <c r="Q636" s="1" t="s">
        <v>12040</v>
      </c>
      <c r="R636" s="1" t="s">
        <v>12041</v>
      </c>
      <c r="S636" s="1">
        <v>9422287050</v>
      </c>
      <c r="T636" s="1" t="s">
        <v>3788</v>
      </c>
      <c r="U636" s="1" t="s">
        <v>12042</v>
      </c>
      <c r="V636" s="1">
        <v>7350287703</v>
      </c>
      <c r="W636" s="1" t="s">
        <v>161</v>
      </c>
      <c r="X636" s="1" t="s">
        <v>12043</v>
      </c>
      <c r="Y636" s="1" t="s">
        <v>5659</v>
      </c>
      <c r="Z636" s="1" t="s">
        <v>97</v>
      </c>
      <c r="AA636" s="1" t="s">
        <v>12043</v>
      </c>
      <c r="AB636" s="1" t="s">
        <v>5659</v>
      </c>
      <c r="AC636" s="1" t="s">
        <v>97</v>
      </c>
      <c r="AD636" s="1">
        <v>7.15</v>
      </c>
      <c r="AE636" s="1" t="s">
        <v>98</v>
      </c>
      <c r="AF636" s="1" t="s">
        <v>12044</v>
      </c>
      <c r="AG636" s="1" t="s">
        <v>12045</v>
      </c>
      <c r="AH636" s="1" t="s">
        <v>388</v>
      </c>
      <c r="AI636" s="1" t="s">
        <v>286</v>
      </c>
      <c r="AJ636" s="1">
        <v>61</v>
      </c>
      <c r="AK636" s="1">
        <v>6.42</v>
      </c>
      <c r="AL636" s="1"/>
      <c r="AM636" s="1"/>
      <c r="AN636" s="1"/>
      <c r="AO636" s="1"/>
      <c r="AP636" s="1"/>
      <c r="AQ636" s="1"/>
      <c r="AR636" s="1"/>
      <c r="AS636" s="1" t="s">
        <v>439</v>
      </c>
      <c r="AT636" s="1" t="s">
        <v>12046</v>
      </c>
      <c r="AU636" s="1" t="s">
        <v>1065</v>
      </c>
      <c r="AV636" s="1" t="s">
        <v>845</v>
      </c>
      <c r="AW636" s="1">
        <v>87.89</v>
      </c>
      <c r="AX636" s="1"/>
      <c r="AY636" s="1" t="s">
        <v>12047</v>
      </c>
      <c r="AZ636" s="1" t="s">
        <v>12048</v>
      </c>
      <c r="BA636" s="1"/>
      <c r="BB636" s="1"/>
      <c r="BC636" s="1" t="s">
        <v>606</v>
      </c>
      <c r="BD636" s="1" t="s">
        <v>418</v>
      </c>
      <c r="BE636" s="1">
        <v>62.8</v>
      </c>
      <c r="BF636" s="1">
        <v>6.78</v>
      </c>
      <c r="BG636" s="1"/>
      <c r="BH636" s="1"/>
      <c r="BI636" s="1"/>
      <c r="BJ636" s="1"/>
      <c r="BK636" s="1"/>
      <c r="BL636" s="1"/>
      <c r="BM636" s="1"/>
      <c r="BN636" s="1"/>
      <c r="BO636" s="1" t="s">
        <v>12049</v>
      </c>
      <c r="BP636" s="1"/>
      <c r="BQ636" s="1"/>
      <c r="BR636" s="1" t="s">
        <v>12050</v>
      </c>
      <c r="BS636" s="1">
        <v>45</v>
      </c>
      <c r="BT636" s="1" t="s">
        <v>12051</v>
      </c>
      <c r="BU636" s="1" t="str">
        <f>HYPERLINK("https://nconnect.nicmar.ac.in/storage/profile/ProfilePhoto_P25700640_718623.jpg","Download")</f>
        <v>0</v>
      </c>
      <c r="BV636" s="3"/>
      <c r="BW636" s="3"/>
    </row>
    <row r="637" spans="1:75">
      <c r="A637" s="1" t="s">
        <v>75</v>
      </c>
      <c r="B637" s="1" t="s">
        <v>446</v>
      </c>
      <c r="C637" s="1" t="s">
        <v>12052</v>
      </c>
      <c r="D637" s="1" t="s">
        <v>12053</v>
      </c>
      <c r="E637" s="1"/>
      <c r="F637" s="1" t="s">
        <v>1320</v>
      </c>
      <c r="G637" s="1" t="s">
        <v>12054</v>
      </c>
      <c r="H637" s="1" t="s">
        <v>12055</v>
      </c>
      <c r="I637" s="1" t="s">
        <v>12056</v>
      </c>
      <c r="J637" s="1">
        <v>9667042279</v>
      </c>
      <c r="K637" s="1" t="s">
        <v>84</v>
      </c>
      <c r="L637" s="1" t="s">
        <v>6541</v>
      </c>
      <c r="M637" s="1" t="s">
        <v>86</v>
      </c>
      <c r="N637" s="1" t="s">
        <v>4278</v>
      </c>
      <c r="O637" s="1"/>
      <c r="P637" s="1" t="s">
        <v>455</v>
      </c>
      <c r="Q637" s="1" t="s">
        <v>12057</v>
      </c>
      <c r="R637" s="1" t="s">
        <v>12058</v>
      </c>
      <c r="S637" s="1">
        <v>9654919573</v>
      </c>
      <c r="T637" s="1" t="s">
        <v>125</v>
      </c>
      <c r="U637" s="1" t="s">
        <v>12059</v>
      </c>
      <c r="V637" s="1">
        <v>9917628757</v>
      </c>
      <c r="W637" s="1" t="s">
        <v>278</v>
      </c>
      <c r="X637" s="1" t="s">
        <v>12060</v>
      </c>
      <c r="Y637" s="1" t="s">
        <v>12061</v>
      </c>
      <c r="Z637" s="1" t="s">
        <v>7930</v>
      </c>
      <c r="AA637" s="1" t="s">
        <v>12060</v>
      </c>
      <c r="AB637" s="1" t="s">
        <v>12061</v>
      </c>
      <c r="AC637" s="1" t="s">
        <v>7930</v>
      </c>
      <c r="AD637" s="1">
        <v>7.36</v>
      </c>
      <c r="AE637" s="1" t="s">
        <v>98</v>
      </c>
      <c r="AF637" s="1" t="s">
        <v>12062</v>
      </c>
      <c r="AG637" s="1" t="s">
        <v>12063</v>
      </c>
      <c r="AH637" s="1" t="s">
        <v>1214</v>
      </c>
      <c r="AI637" s="1" t="s">
        <v>136</v>
      </c>
      <c r="AJ637" s="1">
        <v>76.6</v>
      </c>
      <c r="AK637" s="1"/>
      <c r="AL637" s="1" t="s">
        <v>12062</v>
      </c>
      <c r="AM637" s="1" t="s">
        <v>12063</v>
      </c>
      <c r="AN637" s="1"/>
      <c r="AO637" s="1" t="s">
        <v>284</v>
      </c>
      <c r="AP637" s="1" t="s">
        <v>573</v>
      </c>
      <c r="AQ637" s="1">
        <v>63.2</v>
      </c>
      <c r="AR637" s="1"/>
      <c r="AS637" s="1"/>
      <c r="AT637" s="1"/>
      <c r="AU637" s="1"/>
      <c r="AV637" s="1"/>
      <c r="AW637" s="1"/>
      <c r="AX637" s="1"/>
      <c r="AY637" s="1" t="s">
        <v>12064</v>
      </c>
      <c r="AZ637" s="1" t="s">
        <v>12065</v>
      </c>
      <c r="BA637" s="1"/>
      <c r="BB637" s="1"/>
      <c r="BC637" s="1" t="s">
        <v>206</v>
      </c>
      <c r="BD637" s="1" t="s">
        <v>179</v>
      </c>
      <c r="BE637" s="1">
        <v>71.05</v>
      </c>
      <c r="BF637" s="1"/>
      <c r="BG637" s="1"/>
      <c r="BH637" s="1"/>
      <c r="BI637" s="1"/>
      <c r="BJ637" s="1"/>
      <c r="BK637" s="1"/>
      <c r="BL637" s="1"/>
      <c r="BM637" s="1"/>
      <c r="BN637" s="1"/>
      <c r="BO637" s="1" t="s">
        <v>12066</v>
      </c>
      <c r="BP637" s="1" t="s">
        <v>12067</v>
      </c>
      <c r="BQ637" s="1" t="s">
        <v>780</v>
      </c>
      <c r="BR637" s="1" t="s">
        <v>12068</v>
      </c>
      <c r="BS637" s="1">
        <v>19</v>
      </c>
      <c r="BT637" s="1" t="s">
        <v>12069</v>
      </c>
      <c r="BU637" s="1" t="str">
        <f>HYPERLINK("https://nconnect.nicmar.ac.in/storage/profile/ProfilePhoto_P25700641_316458.jpg","Download")</f>
        <v>0</v>
      </c>
      <c r="BV637" s="3"/>
      <c r="BW637" s="3"/>
    </row>
    <row r="638" spans="1:75">
      <c r="A638" s="1" t="s">
        <v>75</v>
      </c>
      <c r="B638" s="1" t="s">
        <v>446</v>
      </c>
      <c r="C638" s="1" t="s">
        <v>12070</v>
      </c>
      <c r="D638" s="1" t="s">
        <v>663</v>
      </c>
      <c r="E638" s="1"/>
      <c r="F638" s="1" t="s">
        <v>1020</v>
      </c>
      <c r="G638" s="1" t="s">
        <v>12071</v>
      </c>
      <c r="H638" s="1" t="s">
        <v>12072</v>
      </c>
      <c r="I638" s="1" t="s">
        <v>12073</v>
      </c>
      <c r="J638" s="1">
        <v>9400235383</v>
      </c>
      <c r="K638" s="1" t="s">
        <v>84</v>
      </c>
      <c r="L638" s="1" t="s">
        <v>1100</v>
      </c>
      <c r="M638" s="1" t="s">
        <v>86</v>
      </c>
      <c r="N638" s="1" t="s">
        <v>12074</v>
      </c>
      <c r="O638" s="1"/>
      <c r="P638" s="1" t="s">
        <v>455</v>
      </c>
      <c r="Q638" s="1" t="s">
        <v>12075</v>
      </c>
      <c r="R638" s="1" t="s">
        <v>12076</v>
      </c>
      <c r="S638" s="1">
        <v>9400235383</v>
      </c>
      <c r="T638" s="1" t="s">
        <v>92</v>
      </c>
      <c r="U638" s="1" t="s">
        <v>12077</v>
      </c>
      <c r="V638" s="1">
        <v>9400235383</v>
      </c>
      <c r="W638" s="1" t="s">
        <v>161</v>
      </c>
      <c r="X638" s="1" t="s">
        <v>12078</v>
      </c>
      <c r="Y638" s="1" t="s">
        <v>1307</v>
      </c>
      <c r="Z638" s="1" t="s">
        <v>130</v>
      </c>
      <c r="AA638" s="1" t="s">
        <v>12078</v>
      </c>
      <c r="AB638" s="1" t="s">
        <v>1307</v>
      </c>
      <c r="AC638" s="1" t="s">
        <v>130</v>
      </c>
      <c r="AD638" s="1">
        <v>8.33</v>
      </c>
      <c r="AE638" s="1" t="s">
        <v>98</v>
      </c>
      <c r="AF638" s="1" t="s">
        <v>12079</v>
      </c>
      <c r="AG638" s="1" t="s">
        <v>12080</v>
      </c>
      <c r="AH638" s="1" t="s">
        <v>284</v>
      </c>
      <c r="AI638" s="1" t="s">
        <v>704</v>
      </c>
      <c r="AJ638" s="1">
        <v>83.6</v>
      </c>
      <c r="AK638" s="1">
        <v>8.8</v>
      </c>
      <c r="AL638" s="1" t="s">
        <v>12081</v>
      </c>
      <c r="AM638" s="1" t="s">
        <v>12080</v>
      </c>
      <c r="AN638" s="1"/>
      <c r="AO638" s="1" t="s">
        <v>490</v>
      </c>
      <c r="AP638" s="1" t="s">
        <v>547</v>
      </c>
      <c r="AQ638" s="1">
        <v>71.2</v>
      </c>
      <c r="AR638" s="1">
        <v>0</v>
      </c>
      <c r="AS638" s="1"/>
      <c r="AT638" s="1"/>
      <c r="AU638" s="1"/>
      <c r="AV638" s="1"/>
      <c r="AW638" s="1"/>
      <c r="AX638" s="1"/>
      <c r="AY638" s="1" t="s">
        <v>137</v>
      </c>
      <c r="AZ638" s="1" t="s">
        <v>12082</v>
      </c>
      <c r="BA638" s="1"/>
      <c r="BB638" s="1"/>
      <c r="BC638" s="1" t="s">
        <v>315</v>
      </c>
      <c r="BD638" s="1" t="s">
        <v>955</v>
      </c>
      <c r="BE638" s="1">
        <v>63.8</v>
      </c>
      <c r="BF638" s="1"/>
      <c r="BG638" s="1"/>
      <c r="BH638" s="1"/>
      <c r="BI638" s="1"/>
      <c r="BJ638" s="1"/>
      <c r="BK638" s="1"/>
      <c r="BL638" s="1"/>
      <c r="BM638" s="1"/>
      <c r="BN638" s="1"/>
      <c r="BO638" s="1" t="s">
        <v>1114</v>
      </c>
      <c r="BP638" s="1"/>
      <c r="BQ638" s="1"/>
      <c r="BR638" s="1" t="s">
        <v>12083</v>
      </c>
      <c r="BS638" s="1">
        <v>29</v>
      </c>
      <c r="BT638" s="1"/>
      <c r="BU638" s="1" t="str">
        <f>HYPERLINK("https://nconnect.nicmar.ac.in/storage/profile/ProfilePhoto_P25700642_472538.jpg","Download")</f>
        <v>0</v>
      </c>
      <c r="BV638" s="3"/>
      <c r="BW638" s="3"/>
    </row>
    <row r="639" spans="1:75">
      <c r="A639" s="1" t="s">
        <v>75</v>
      </c>
      <c r="B639" s="1" t="s">
        <v>446</v>
      </c>
      <c r="C639" s="1" t="s">
        <v>12084</v>
      </c>
      <c r="D639" s="1" t="s">
        <v>3684</v>
      </c>
      <c r="E639" s="1" t="s">
        <v>1612</v>
      </c>
      <c r="F639" s="1" t="s">
        <v>12085</v>
      </c>
      <c r="G639" s="1" t="s">
        <v>12086</v>
      </c>
      <c r="H639" s="1" t="s">
        <v>12087</v>
      </c>
      <c r="I639" s="1" t="s">
        <v>12088</v>
      </c>
      <c r="J639" s="1">
        <v>7020339021</v>
      </c>
      <c r="K639" s="1" t="s">
        <v>84</v>
      </c>
      <c r="L639" s="1" t="s">
        <v>9893</v>
      </c>
      <c r="M639" s="1" t="s">
        <v>86</v>
      </c>
      <c r="N639" s="1" t="s">
        <v>12089</v>
      </c>
      <c r="O639" s="1"/>
      <c r="P639" s="1" t="s">
        <v>507</v>
      </c>
      <c r="Q639" s="1" t="s">
        <v>12090</v>
      </c>
      <c r="R639" s="1" t="s">
        <v>12091</v>
      </c>
      <c r="S639" s="1">
        <v>9595148914</v>
      </c>
      <c r="T639" s="1" t="s">
        <v>926</v>
      </c>
      <c r="U639" s="1" t="s">
        <v>12092</v>
      </c>
      <c r="V639" s="1">
        <v>8329800467</v>
      </c>
      <c r="W639" s="1" t="s">
        <v>161</v>
      </c>
      <c r="X639" s="1" t="s">
        <v>12093</v>
      </c>
      <c r="Y639" s="1" t="s">
        <v>7694</v>
      </c>
      <c r="Z639" s="1" t="s">
        <v>97</v>
      </c>
      <c r="AA639" s="1" t="s">
        <v>12093</v>
      </c>
      <c r="AB639" s="1" t="s">
        <v>7694</v>
      </c>
      <c r="AC639" s="1" t="s">
        <v>97</v>
      </c>
      <c r="AD639" s="1">
        <v>8.87</v>
      </c>
      <c r="AE639" s="1" t="s">
        <v>98</v>
      </c>
      <c r="AF639" s="1" t="s">
        <v>12094</v>
      </c>
      <c r="AG639" s="1" t="s">
        <v>12095</v>
      </c>
      <c r="AH639" s="1" t="s">
        <v>573</v>
      </c>
      <c r="AI639" s="1" t="s">
        <v>106</v>
      </c>
      <c r="AJ639" s="1">
        <v>91</v>
      </c>
      <c r="AK639" s="1"/>
      <c r="AL639" s="1" t="s">
        <v>12096</v>
      </c>
      <c r="AM639" s="1" t="s">
        <v>12097</v>
      </c>
      <c r="AN639" s="1" t="s">
        <v>465</v>
      </c>
      <c r="AO639" s="1" t="s">
        <v>178</v>
      </c>
      <c r="AP639" s="1" t="s">
        <v>845</v>
      </c>
      <c r="AQ639" s="1">
        <v>94.33</v>
      </c>
      <c r="AR639" s="1"/>
      <c r="AS639" s="1"/>
      <c r="AT639" s="1"/>
      <c r="AU639" s="1"/>
      <c r="AV639" s="1"/>
      <c r="AW639" s="1"/>
      <c r="AX639" s="1"/>
      <c r="AY639" s="1" t="s">
        <v>415</v>
      </c>
      <c r="AZ639" s="1" t="s">
        <v>9437</v>
      </c>
      <c r="BA639" s="1" t="s">
        <v>466</v>
      </c>
      <c r="BB639" s="1" t="s">
        <v>467</v>
      </c>
      <c r="BC639" s="1" t="s">
        <v>2210</v>
      </c>
      <c r="BD639" s="1" t="s">
        <v>553</v>
      </c>
      <c r="BE639" s="1">
        <v>85.8</v>
      </c>
      <c r="BF639" s="1">
        <v>8.58</v>
      </c>
      <c r="BG639" s="1"/>
      <c r="BH639" s="1"/>
      <c r="BI639" s="1"/>
      <c r="BJ639" s="1"/>
      <c r="BK639" s="1"/>
      <c r="BL639" s="1"/>
      <c r="BM639" s="1"/>
      <c r="BN639" s="1"/>
      <c r="BO639" s="1" t="s">
        <v>12098</v>
      </c>
      <c r="BP639" s="1"/>
      <c r="BQ639" s="1"/>
      <c r="BR639" s="1" t="s">
        <v>12099</v>
      </c>
      <c r="BS639" s="1">
        <v>15</v>
      </c>
      <c r="BT639" s="1" t="s">
        <v>12100</v>
      </c>
      <c r="BU639" s="1" t="str">
        <f>HYPERLINK("https://nconnect.nicmar.ac.in/storage/profile/ProfilePhoto_P25700643_542673.jpg","Download")</f>
        <v>0</v>
      </c>
      <c r="BV639" s="3"/>
      <c r="BW639" s="3"/>
    </row>
    <row r="640" spans="1:75">
      <c r="A640" s="1" t="s">
        <v>75</v>
      </c>
      <c r="B640" s="1" t="s">
        <v>446</v>
      </c>
      <c r="C640" s="1" t="s">
        <v>12101</v>
      </c>
      <c r="D640" s="1" t="s">
        <v>1319</v>
      </c>
      <c r="E640" s="1" t="s">
        <v>4646</v>
      </c>
      <c r="F640" s="1" t="s">
        <v>876</v>
      </c>
      <c r="G640" s="1" t="s">
        <v>12102</v>
      </c>
      <c r="H640" s="1" t="s">
        <v>12103</v>
      </c>
      <c r="I640" s="1" t="s">
        <v>12103</v>
      </c>
      <c r="J640" s="1">
        <v>7385678869</v>
      </c>
      <c r="K640" s="1" t="s">
        <v>84</v>
      </c>
      <c r="L640" s="1" t="s">
        <v>11405</v>
      </c>
      <c r="M640" s="1" t="s">
        <v>86</v>
      </c>
      <c r="N640" s="1" t="s">
        <v>618</v>
      </c>
      <c r="O640" s="1"/>
      <c r="P640" s="1" t="s">
        <v>507</v>
      </c>
      <c r="Q640" s="1" t="s">
        <v>12104</v>
      </c>
      <c r="R640" s="1" t="s">
        <v>12105</v>
      </c>
      <c r="S640" s="1">
        <v>9765284121</v>
      </c>
      <c r="T640" s="1" t="s">
        <v>4776</v>
      </c>
      <c r="U640" s="1" t="s">
        <v>12106</v>
      </c>
      <c r="V640" s="1">
        <v>9511678869</v>
      </c>
      <c r="W640" s="1" t="s">
        <v>278</v>
      </c>
      <c r="X640" s="1" t="s">
        <v>12107</v>
      </c>
      <c r="Y640" s="1" t="s">
        <v>196</v>
      </c>
      <c r="Z640" s="1" t="s">
        <v>97</v>
      </c>
      <c r="AA640" s="1" t="s">
        <v>12108</v>
      </c>
      <c r="AB640" s="1" t="s">
        <v>5083</v>
      </c>
      <c r="AC640" s="1" t="s">
        <v>97</v>
      </c>
      <c r="AD640" s="1">
        <v>8.05</v>
      </c>
      <c r="AE640" s="1" t="s">
        <v>98</v>
      </c>
      <c r="AF640" s="1" t="s">
        <v>12109</v>
      </c>
      <c r="AG640" s="1" t="s">
        <v>12110</v>
      </c>
      <c r="AH640" s="1" t="s">
        <v>200</v>
      </c>
      <c r="AI640" s="1" t="s">
        <v>286</v>
      </c>
      <c r="AJ640" s="1">
        <v>82.4</v>
      </c>
      <c r="AK640" s="1"/>
      <c r="AL640" s="1" t="s">
        <v>12111</v>
      </c>
      <c r="AM640" s="1" t="s">
        <v>12112</v>
      </c>
      <c r="AN640" s="1"/>
      <c r="AO640" s="1" t="s">
        <v>414</v>
      </c>
      <c r="AP640" s="1" t="s">
        <v>603</v>
      </c>
      <c r="AQ640" s="1">
        <v>60</v>
      </c>
      <c r="AR640" s="1"/>
      <c r="AS640" s="1"/>
      <c r="AT640" s="1"/>
      <c r="AU640" s="1"/>
      <c r="AV640" s="1"/>
      <c r="AW640" s="1"/>
      <c r="AX640" s="1"/>
      <c r="AY640" s="1" t="s">
        <v>366</v>
      </c>
      <c r="AZ640" s="1" t="s">
        <v>12113</v>
      </c>
      <c r="BA640" s="1"/>
      <c r="BB640" s="1"/>
      <c r="BC640" s="1" t="s">
        <v>845</v>
      </c>
      <c r="BD640" s="1" t="s">
        <v>1803</v>
      </c>
      <c r="BE640" s="1">
        <v>67.14</v>
      </c>
      <c r="BF640" s="1">
        <v>7.46</v>
      </c>
      <c r="BG640" s="1"/>
      <c r="BH640" s="1"/>
      <c r="BI640" s="1"/>
      <c r="BJ640" s="1"/>
      <c r="BK640" s="1"/>
      <c r="BL640" s="1"/>
      <c r="BM640" s="1"/>
      <c r="BN640" s="1"/>
      <c r="BO640" s="1" t="s">
        <v>12114</v>
      </c>
      <c r="BP640" s="1"/>
      <c r="BQ640" s="1"/>
      <c r="BR640" s="1" t="s">
        <v>12115</v>
      </c>
      <c r="BS640" s="1">
        <v>30</v>
      </c>
      <c r="BT640" s="1"/>
      <c r="BU640" s="1" t="str">
        <f>HYPERLINK("https://nconnect.nicmar.ac.in/storage/profile/ProfilePhoto_P25700644_925768.jpg","Download")</f>
        <v>0</v>
      </c>
      <c r="BV640" s="3"/>
      <c r="BW640" s="3"/>
    </row>
    <row r="641" spans="1:75">
      <c r="A641" s="1" t="s">
        <v>75</v>
      </c>
      <c r="B641" s="1" t="s">
        <v>446</v>
      </c>
      <c r="C641" s="1" t="s">
        <v>12116</v>
      </c>
      <c r="D641" s="1" t="s">
        <v>761</v>
      </c>
      <c r="E641" s="1" t="s">
        <v>3529</v>
      </c>
      <c r="F641" s="1" t="s">
        <v>1981</v>
      </c>
      <c r="G641" s="1" t="s">
        <v>12117</v>
      </c>
      <c r="H641" s="1" t="s">
        <v>12118</v>
      </c>
      <c r="I641" s="1" t="s">
        <v>12119</v>
      </c>
      <c r="J641" s="1">
        <v>7083083456</v>
      </c>
      <c r="K641" s="1" t="s">
        <v>84</v>
      </c>
      <c r="L641" s="1" t="s">
        <v>4732</v>
      </c>
      <c r="M641" s="1" t="s">
        <v>86</v>
      </c>
      <c r="N641" s="1" t="s">
        <v>12120</v>
      </c>
      <c r="O641" s="1"/>
      <c r="P641" s="1" t="s">
        <v>481</v>
      </c>
      <c r="Q641" s="1" t="s">
        <v>12121</v>
      </c>
      <c r="R641" s="1" t="s">
        <v>3529</v>
      </c>
      <c r="S641" s="1">
        <v>9763800725</v>
      </c>
      <c r="T641" s="1" t="s">
        <v>839</v>
      </c>
      <c r="U641" s="1" t="s">
        <v>1955</v>
      </c>
      <c r="V641" s="1">
        <v>9423024295</v>
      </c>
      <c r="W641" s="1" t="s">
        <v>161</v>
      </c>
      <c r="X641" s="1" t="s">
        <v>12122</v>
      </c>
      <c r="Y641" s="1" t="s">
        <v>196</v>
      </c>
      <c r="Z641" s="1" t="s">
        <v>97</v>
      </c>
      <c r="AA641" s="1" t="s">
        <v>12123</v>
      </c>
      <c r="AB641" s="1" t="s">
        <v>2668</v>
      </c>
      <c r="AC641" s="1" t="s">
        <v>97</v>
      </c>
      <c r="AD641" s="1">
        <v>8.44</v>
      </c>
      <c r="AE641" s="1" t="s">
        <v>98</v>
      </c>
      <c r="AF641" s="1" t="s">
        <v>12124</v>
      </c>
      <c r="AG641" s="1" t="s">
        <v>12095</v>
      </c>
      <c r="AH641" s="1" t="s">
        <v>170</v>
      </c>
      <c r="AI641" s="1" t="s">
        <v>171</v>
      </c>
      <c r="AJ641" s="1">
        <v>89.6</v>
      </c>
      <c r="AK641" s="1"/>
      <c r="AL641" s="1" t="s">
        <v>12125</v>
      </c>
      <c r="AM641" s="1" t="s">
        <v>12097</v>
      </c>
      <c r="AN641" s="1" t="s">
        <v>465</v>
      </c>
      <c r="AO641" s="1" t="s">
        <v>438</v>
      </c>
      <c r="AP641" s="1" t="s">
        <v>417</v>
      </c>
      <c r="AQ641" s="1">
        <v>75.08</v>
      </c>
      <c r="AR641" s="1"/>
      <c r="AS641" s="1"/>
      <c r="AT641" s="1"/>
      <c r="AU641" s="1"/>
      <c r="AV641" s="1"/>
      <c r="AW641" s="1"/>
      <c r="AX641" s="1"/>
      <c r="AY641" s="1" t="s">
        <v>366</v>
      </c>
      <c r="AZ641" s="1" t="s">
        <v>12126</v>
      </c>
      <c r="BA641" s="1" t="s">
        <v>466</v>
      </c>
      <c r="BB641" s="1" t="s">
        <v>467</v>
      </c>
      <c r="BC641" s="1" t="s">
        <v>368</v>
      </c>
      <c r="BD641" s="1" t="s">
        <v>207</v>
      </c>
      <c r="BE641" s="1">
        <v>83.31</v>
      </c>
      <c r="BF641" s="1">
        <v>8.77</v>
      </c>
      <c r="BG641" s="1"/>
      <c r="BH641" s="1"/>
      <c r="BI641" s="1"/>
      <c r="BJ641" s="1"/>
      <c r="BK641" s="1"/>
      <c r="BL641" s="1"/>
      <c r="BM641" s="1"/>
      <c r="BN641" s="1"/>
      <c r="BO641" s="1" t="s">
        <v>849</v>
      </c>
      <c r="BP641" s="1" t="s">
        <v>12127</v>
      </c>
      <c r="BQ641" s="1" t="s">
        <v>1070</v>
      </c>
      <c r="BR641" s="1" t="s">
        <v>12128</v>
      </c>
      <c r="BS641" s="1">
        <v>31</v>
      </c>
      <c r="BT641" s="1"/>
      <c r="BU641" s="1" t="str">
        <f>HYPERLINK("https://nconnect.nicmar.ac.in/storage/profile/ProfilePhoto_P25700645_346279.jpg","Download")</f>
        <v>0</v>
      </c>
      <c r="BV641" s="3"/>
      <c r="BW641" s="3"/>
    </row>
    <row r="642" spans="1:75">
      <c r="A642" s="1" t="s">
        <v>75</v>
      </c>
      <c r="B642" s="1" t="s">
        <v>446</v>
      </c>
      <c r="C642" s="1" t="s">
        <v>12129</v>
      </c>
      <c r="D642" s="1" t="s">
        <v>2272</v>
      </c>
      <c r="E642" s="1"/>
      <c r="F642" s="1" t="s">
        <v>12130</v>
      </c>
      <c r="G642" s="1" t="s">
        <v>12131</v>
      </c>
      <c r="H642" s="1" t="s">
        <v>12132</v>
      </c>
      <c r="I642" s="1" t="s">
        <v>12133</v>
      </c>
      <c r="J642" s="1">
        <v>8328351508</v>
      </c>
      <c r="K642" s="1" t="s">
        <v>84</v>
      </c>
      <c r="L642" s="1" t="s">
        <v>12134</v>
      </c>
      <c r="M642" s="1" t="s">
        <v>86</v>
      </c>
      <c r="N642" s="1" t="s">
        <v>12135</v>
      </c>
      <c r="O642" s="1"/>
      <c r="P642" s="1" t="s">
        <v>670</v>
      </c>
      <c r="Q642" s="1" t="s">
        <v>12136</v>
      </c>
      <c r="R642" s="1" t="s">
        <v>12137</v>
      </c>
      <c r="S642" s="1">
        <v>8328351508</v>
      </c>
      <c r="T642" s="1" t="s">
        <v>12138</v>
      </c>
      <c r="U642" s="1" t="s">
        <v>12139</v>
      </c>
      <c r="V642" s="1">
        <v>9000004083</v>
      </c>
      <c r="W642" s="1" t="s">
        <v>1413</v>
      </c>
      <c r="X642" s="1" t="s">
        <v>12140</v>
      </c>
      <c r="Y642" s="1" t="s">
        <v>9001</v>
      </c>
      <c r="Z642" s="1" t="s">
        <v>461</v>
      </c>
      <c r="AA642" s="1" t="s">
        <v>12140</v>
      </c>
      <c r="AB642" s="1" t="s">
        <v>9001</v>
      </c>
      <c r="AC642" s="1" t="s">
        <v>461</v>
      </c>
      <c r="AD642" s="1">
        <v>8.15</v>
      </c>
      <c r="AE642" s="1" t="s">
        <v>98</v>
      </c>
      <c r="AF642" s="1" t="s">
        <v>12141</v>
      </c>
      <c r="AG642" s="1" t="s">
        <v>463</v>
      </c>
      <c r="AH642" s="1" t="s">
        <v>167</v>
      </c>
      <c r="AI642" s="1" t="s">
        <v>200</v>
      </c>
      <c r="AJ642" s="1">
        <v>98</v>
      </c>
      <c r="AK642" s="1">
        <v>9.8</v>
      </c>
      <c r="AL642" s="1" t="s">
        <v>12142</v>
      </c>
      <c r="AM642" s="1" t="s">
        <v>3034</v>
      </c>
      <c r="AN642" s="1"/>
      <c r="AO642" s="1" t="s">
        <v>170</v>
      </c>
      <c r="AP642" s="1" t="s">
        <v>414</v>
      </c>
      <c r="AQ642" s="1">
        <v>96.8</v>
      </c>
      <c r="AR642" s="1">
        <v>9.68</v>
      </c>
      <c r="AS642" s="1"/>
      <c r="AT642" s="1"/>
      <c r="AU642" s="1"/>
      <c r="AV642" s="1"/>
      <c r="AW642" s="1"/>
      <c r="AX642" s="1"/>
      <c r="AY642" s="1" t="s">
        <v>6942</v>
      </c>
      <c r="AZ642" s="1" t="s">
        <v>11518</v>
      </c>
      <c r="BA642" s="1"/>
      <c r="BB642" s="1"/>
      <c r="BC642" s="1" t="s">
        <v>1647</v>
      </c>
      <c r="BD642" s="1" t="s">
        <v>207</v>
      </c>
      <c r="BE642" s="1">
        <v>69.7</v>
      </c>
      <c r="BF642" s="1">
        <v>6.97</v>
      </c>
      <c r="BG642" s="1"/>
      <c r="BH642" s="1"/>
      <c r="BI642" s="1"/>
      <c r="BJ642" s="1"/>
      <c r="BK642" s="1"/>
      <c r="BL642" s="1"/>
      <c r="BM642" s="1"/>
      <c r="BN642" s="1"/>
      <c r="BO642" s="1" t="s">
        <v>6027</v>
      </c>
      <c r="BP642" s="1"/>
      <c r="BQ642" s="1"/>
      <c r="BR642" s="1" t="s">
        <v>12143</v>
      </c>
      <c r="BS642" s="1">
        <v>4</v>
      </c>
      <c r="BT642" s="1"/>
      <c r="BU642" s="1" t="str">
        <f>HYPERLINK("https://nconnect.nicmar.ac.in/storage/profile/ProfilePhoto_P25700646_127359.jpg","Download")</f>
        <v>0</v>
      </c>
      <c r="BV642" s="3"/>
      <c r="BW642" s="3"/>
    </row>
    <row r="643" spans="1:75">
      <c r="A643" s="1" t="s">
        <v>75</v>
      </c>
      <c r="B643" s="1" t="s">
        <v>446</v>
      </c>
      <c r="C643" s="1" t="s">
        <v>12144</v>
      </c>
      <c r="D643" s="1" t="s">
        <v>12145</v>
      </c>
      <c r="E643" s="1" t="s">
        <v>12146</v>
      </c>
      <c r="F643" s="1" t="s">
        <v>12147</v>
      </c>
      <c r="G643" s="1" t="s">
        <v>12148</v>
      </c>
      <c r="H643" s="1" t="s">
        <v>12149</v>
      </c>
      <c r="I643" s="1" t="s">
        <v>12150</v>
      </c>
      <c r="J643" s="1">
        <v>9920959760</v>
      </c>
      <c r="K643" s="1" t="s">
        <v>84</v>
      </c>
      <c r="L643" s="1" t="s">
        <v>12151</v>
      </c>
      <c r="M643" s="1" t="s">
        <v>155</v>
      </c>
      <c r="N643" s="1" t="s">
        <v>2926</v>
      </c>
      <c r="O643" s="1"/>
      <c r="P643" s="1" t="s">
        <v>455</v>
      </c>
      <c r="Q643" s="1" t="s">
        <v>12152</v>
      </c>
      <c r="R643" s="1" t="s">
        <v>12153</v>
      </c>
      <c r="S643" s="1">
        <v>9867023838</v>
      </c>
      <c r="T643" s="1" t="s">
        <v>3898</v>
      </c>
      <c r="U643" s="1" t="s">
        <v>12154</v>
      </c>
      <c r="V643" s="1">
        <v>9930042212</v>
      </c>
      <c r="W643" s="1" t="s">
        <v>278</v>
      </c>
      <c r="X643" s="1" t="s">
        <v>12155</v>
      </c>
      <c r="Y643" s="1" t="s">
        <v>2259</v>
      </c>
      <c r="Z643" s="1" t="s">
        <v>97</v>
      </c>
      <c r="AA643" s="1" t="s">
        <v>12155</v>
      </c>
      <c r="AB643" s="1" t="s">
        <v>2259</v>
      </c>
      <c r="AC643" s="1" t="s">
        <v>97</v>
      </c>
      <c r="AD643" s="1">
        <v>8.49</v>
      </c>
      <c r="AE643" s="1" t="s">
        <v>98</v>
      </c>
      <c r="AF643" s="1" t="s">
        <v>12156</v>
      </c>
      <c r="AG643" s="1" t="s">
        <v>2181</v>
      </c>
      <c r="AH643" s="1" t="s">
        <v>136</v>
      </c>
      <c r="AI643" s="1" t="s">
        <v>627</v>
      </c>
      <c r="AJ643" s="1">
        <v>78.6</v>
      </c>
      <c r="AK643" s="1">
        <v>0</v>
      </c>
      <c r="AL643" s="1"/>
      <c r="AM643" s="1"/>
      <c r="AN643" s="1"/>
      <c r="AO643" s="1"/>
      <c r="AP643" s="1"/>
      <c r="AQ643" s="1"/>
      <c r="AR643" s="1"/>
      <c r="AS643" s="1" t="s">
        <v>103</v>
      </c>
      <c r="AT643" s="1" t="s">
        <v>12157</v>
      </c>
      <c r="AU643" s="1" t="s">
        <v>139</v>
      </c>
      <c r="AV643" s="1" t="s">
        <v>315</v>
      </c>
      <c r="AW643" s="1">
        <v>78</v>
      </c>
      <c r="AX643" s="1">
        <v>0</v>
      </c>
      <c r="AY643" s="1" t="s">
        <v>258</v>
      </c>
      <c r="AZ643" s="1" t="s">
        <v>12158</v>
      </c>
      <c r="BA643" s="1" t="s">
        <v>578</v>
      </c>
      <c r="BB643" s="1" t="s">
        <v>467</v>
      </c>
      <c r="BC643" s="1" t="s">
        <v>206</v>
      </c>
      <c r="BD643" s="1" t="s">
        <v>632</v>
      </c>
      <c r="BE643" s="1">
        <v>78.36</v>
      </c>
      <c r="BF643" s="1">
        <v>8.68</v>
      </c>
      <c r="BG643" s="1"/>
      <c r="BH643" s="1"/>
      <c r="BI643" s="1"/>
      <c r="BJ643" s="1"/>
      <c r="BK643" s="1"/>
      <c r="BL643" s="1"/>
      <c r="BM643" s="1"/>
      <c r="BN643" s="1"/>
      <c r="BO643" s="1" t="s">
        <v>12159</v>
      </c>
      <c r="BP643" s="1" t="s">
        <v>12160</v>
      </c>
      <c r="BQ643" s="1" t="s">
        <v>2326</v>
      </c>
      <c r="BR643" s="1" t="s">
        <v>12161</v>
      </c>
      <c r="BS643" s="1">
        <v>31</v>
      </c>
      <c r="BT643" s="1" t="s">
        <v>12162</v>
      </c>
      <c r="BU643" s="1" t="str">
        <f>HYPERLINK("https://nconnect.nicmar.ac.in/storage/profile/ProfilePhoto_P25700647_481956.jpg","Download")</f>
        <v>0</v>
      </c>
      <c r="BV643" s="3"/>
      <c r="BW643" s="3"/>
    </row>
    <row r="644" spans="1:75">
      <c r="A644" s="1" t="s">
        <v>75</v>
      </c>
      <c r="B644" s="1" t="s">
        <v>446</v>
      </c>
      <c r="C644" s="1" t="s">
        <v>12163</v>
      </c>
      <c r="D644" s="1" t="s">
        <v>12164</v>
      </c>
      <c r="E644" s="1" t="s">
        <v>12165</v>
      </c>
      <c r="F644" s="1" t="s">
        <v>12166</v>
      </c>
      <c r="G644" s="1" t="s">
        <v>12167</v>
      </c>
      <c r="H644" s="1" t="s">
        <v>12168</v>
      </c>
      <c r="I644" s="1" t="s">
        <v>12169</v>
      </c>
      <c r="J644" s="1">
        <v>7043305926</v>
      </c>
      <c r="K644" s="1" t="s">
        <v>84</v>
      </c>
      <c r="L644" s="1" t="s">
        <v>8019</v>
      </c>
      <c r="M644" s="1" t="s">
        <v>86</v>
      </c>
      <c r="N644" s="1" t="s">
        <v>6641</v>
      </c>
      <c r="O644" s="1"/>
      <c r="P644" s="1" t="s">
        <v>507</v>
      </c>
      <c r="Q644" s="1" t="s">
        <v>12170</v>
      </c>
      <c r="R644" s="1" t="s">
        <v>12171</v>
      </c>
      <c r="S644" s="1">
        <v>9426154922</v>
      </c>
      <c r="T644" s="1" t="s">
        <v>4486</v>
      </c>
      <c r="U644" s="1" t="s">
        <v>12172</v>
      </c>
      <c r="V644" s="1">
        <v>8320500467</v>
      </c>
      <c r="W644" s="1" t="s">
        <v>908</v>
      </c>
      <c r="X644" s="1" t="s">
        <v>12173</v>
      </c>
      <c r="Y644" s="1" t="s">
        <v>196</v>
      </c>
      <c r="Z644" s="1" t="s">
        <v>97</v>
      </c>
      <c r="AA644" s="1" t="s">
        <v>12174</v>
      </c>
      <c r="AB644" s="1" t="s">
        <v>5138</v>
      </c>
      <c r="AC644" s="1" t="s">
        <v>676</v>
      </c>
      <c r="AD644" s="1">
        <v>8.03</v>
      </c>
      <c r="AE644" s="1" t="s">
        <v>98</v>
      </c>
      <c r="AF644" s="1" t="s">
        <v>12175</v>
      </c>
      <c r="AG644" s="1" t="s">
        <v>12176</v>
      </c>
      <c r="AH644" s="1" t="s">
        <v>490</v>
      </c>
      <c r="AI644" s="1" t="s">
        <v>313</v>
      </c>
      <c r="AJ644" s="1">
        <v>93.2</v>
      </c>
      <c r="AK644" s="1"/>
      <c r="AL644" s="1" t="s">
        <v>12175</v>
      </c>
      <c r="AM644" s="1" t="s">
        <v>12176</v>
      </c>
      <c r="AN644" s="1" t="s">
        <v>465</v>
      </c>
      <c r="AO644" s="1" t="s">
        <v>603</v>
      </c>
      <c r="AP644" s="1" t="s">
        <v>549</v>
      </c>
      <c r="AQ644" s="1">
        <v>93.2</v>
      </c>
      <c r="AR644" s="1"/>
      <c r="AS644" s="1"/>
      <c r="AT644" s="1"/>
      <c r="AU644" s="1"/>
      <c r="AV644" s="1"/>
      <c r="AW644" s="1"/>
      <c r="AX644" s="1"/>
      <c r="AY644" s="1" t="s">
        <v>12177</v>
      </c>
      <c r="AZ644" s="1" t="s">
        <v>12177</v>
      </c>
      <c r="BA644" s="1" t="s">
        <v>466</v>
      </c>
      <c r="BB644" s="1" t="s">
        <v>467</v>
      </c>
      <c r="BC644" s="1" t="s">
        <v>606</v>
      </c>
      <c r="BD644" s="1" t="s">
        <v>553</v>
      </c>
      <c r="BE644" s="1">
        <v>78.1</v>
      </c>
      <c r="BF644" s="1">
        <v>8.31</v>
      </c>
      <c r="BG644" s="1"/>
      <c r="BH644" s="1"/>
      <c r="BI644" s="1"/>
      <c r="BJ644" s="1"/>
      <c r="BK644" s="1"/>
      <c r="BL644" s="1"/>
      <c r="BM644" s="1"/>
      <c r="BN644" s="1"/>
      <c r="BO644" s="1" t="s">
        <v>12178</v>
      </c>
      <c r="BP644" s="1"/>
      <c r="BQ644" s="1"/>
      <c r="BR644" s="1" t="s">
        <v>12179</v>
      </c>
      <c r="BS644" s="1">
        <v>25</v>
      </c>
      <c r="BT644" s="1"/>
      <c r="BU644" s="1" t="str">
        <f>HYPERLINK("https://nconnect.nicmar.ac.in/storage/profile/ProfilePhoto_P25700648_167498.jpg","Download")</f>
        <v>0</v>
      </c>
      <c r="BV644" s="3"/>
      <c r="BW644" s="3"/>
    </row>
    <row r="645" spans="1:75">
      <c r="A645" s="1" t="s">
        <v>75</v>
      </c>
      <c r="B645" s="1" t="s">
        <v>446</v>
      </c>
      <c r="C645" s="1" t="s">
        <v>12180</v>
      </c>
      <c r="D645" s="1" t="s">
        <v>12181</v>
      </c>
      <c r="E645" s="1"/>
      <c r="F645" s="1" t="s">
        <v>4257</v>
      </c>
      <c r="G645" s="1" t="s">
        <v>12182</v>
      </c>
      <c r="H645" s="1" t="s">
        <v>12183</v>
      </c>
      <c r="I645" s="1" t="s">
        <v>12184</v>
      </c>
      <c r="J645" s="1">
        <v>7095418558</v>
      </c>
      <c r="K645" s="1" t="s">
        <v>84</v>
      </c>
      <c r="L645" s="1" t="s">
        <v>12185</v>
      </c>
      <c r="M645" s="1" t="s">
        <v>86</v>
      </c>
      <c r="N645" s="1" t="s">
        <v>8486</v>
      </c>
      <c r="O645" s="1"/>
      <c r="P645" s="1" t="s">
        <v>507</v>
      </c>
      <c r="Q645" s="1" t="s">
        <v>12186</v>
      </c>
      <c r="R645" s="1" t="s">
        <v>12187</v>
      </c>
      <c r="S645" s="1">
        <v>9550519890</v>
      </c>
      <c r="T645" s="1" t="s">
        <v>159</v>
      </c>
      <c r="U645" s="1" t="s">
        <v>12188</v>
      </c>
      <c r="V645" s="1">
        <v>9848882491</v>
      </c>
      <c r="W645" s="1" t="s">
        <v>541</v>
      </c>
      <c r="X645" s="1" t="s">
        <v>12189</v>
      </c>
      <c r="Y645" s="1" t="s">
        <v>12190</v>
      </c>
      <c r="Z645" s="1" t="s">
        <v>281</v>
      </c>
      <c r="AA645" s="1" t="s">
        <v>12189</v>
      </c>
      <c r="AB645" s="1" t="s">
        <v>12190</v>
      </c>
      <c r="AC645" s="1" t="s">
        <v>281</v>
      </c>
      <c r="AD645" s="1">
        <v>9.0</v>
      </c>
      <c r="AE645" s="1" t="s">
        <v>98</v>
      </c>
      <c r="AF645" s="1" t="s">
        <v>12191</v>
      </c>
      <c r="AG645" s="1" t="s">
        <v>12192</v>
      </c>
      <c r="AH645" s="1" t="s">
        <v>174</v>
      </c>
      <c r="AI645" s="1" t="s">
        <v>414</v>
      </c>
      <c r="AJ645" s="1">
        <v>93</v>
      </c>
      <c r="AK645" s="1">
        <v>9.3</v>
      </c>
      <c r="AL645" s="1" t="s">
        <v>12193</v>
      </c>
      <c r="AM645" s="1" t="s">
        <v>12194</v>
      </c>
      <c r="AN645" s="1" t="s">
        <v>465</v>
      </c>
      <c r="AO645" s="1" t="s">
        <v>315</v>
      </c>
      <c r="AP645" s="1" t="s">
        <v>1192</v>
      </c>
      <c r="AQ645" s="1">
        <v>88.4</v>
      </c>
      <c r="AR645" s="1">
        <v>0</v>
      </c>
      <c r="AS645" s="1"/>
      <c r="AT645" s="1"/>
      <c r="AU645" s="1"/>
      <c r="AV645" s="1"/>
      <c r="AW645" s="1"/>
      <c r="AX645" s="1"/>
      <c r="AY645" s="1" t="s">
        <v>12195</v>
      </c>
      <c r="AZ645" s="1" t="s">
        <v>12196</v>
      </c>
      <c r="BA645" s="1" t="s">
        <v>466</v>
      </c>
      <c r="BB645" s="1" t="s">
        <v>467</v>
      </c>
      <c r="BC645" s="1" t="s">
        <v>549</v>
      </c>
      <c r="BD645" s="1" t="s">
        <v>607</v>
      </c>
      <c r="BE645" s="1">
        <v>73.3</v>
      </c>
      <c r="BF645" s="1">
        <v>8.08</v>
      </c>
      <c r="BG645" s="1"/>
      <c r="BH645" s="1"/>
      <c r="BI645" s="1"/>
      <c r="BJ645" s="1"/>
      <c r="BK645" s="1"/>
      <c r="BL645" s="1"/>
      <c r="BM645" s="1"/>
      <c r="BN645" s="1"/>
      <c r="BO645" s="1" t="s">
        <v>12197</v>
      </c>
      <c r="BP645" s="1"/>
      <c r="BQ645" s="1"/>
      <c r="BR645" s="1" t="s">
        <v>12198</v>
      </c>
      <c r="BS645" s="1">
        <v>15</v>
      </c>
      <c r="BT645" s="1"/>
      <c r="BU645" s="1" t="str">
        <f>HYPERLINK("https://nconnect.nicmar.ac.in/storage/profile/ProfilePhoto_P25700649_431865.jpg","Download")</f>
        <v>0</v>
      </c>
      <c r="BV645" s="3"/>
      <c r="BW645" s="4">
        <v>1</v>
      </c>
    </row>
    <row r="646" spans="1:75">
      <c r="A646" s="1" t="s">
        <v>75</v>
      </c>
      <c r="B646" s="1" t="s">
        <v>446</v>
      </c>
      <c r="C646" s="1" t="s">
        <v>12199</v>
      </c>
      <c r="D646" s="1" t="s">
        <v>3493</v>
      </c>
      <c r="E646" s="1" t="s">
        <v>2098</v>
      </c>
      <c r="F646" s="1" t="s">
        <v>12200</v>
      </c>
      <c r="G646" s="1" t="s">
        <v>12201</v>
      </c>
      <c r="H646" s="1" t="s">
        <v>12202</v>
      </c>
      <c r="I646" s="1" t="s">
        <v>12203</v>
      </c>
      <c r="J646" s="1">
        <v>7058591221</v>
      </c>
      <c r="K646" s="1" t="s">
        <v>84</v>
      </c>
      <c r="L646" s="1" t="s">
        <v>902</v>
      </c>
      <c r="M646" s="1" t="s">
        <v>86</v>
      </c>
      <c r="N646" s="1" t="s">
        <v>12204</v>
      </c>
      <c r="O646" s="1"/>
      <c r="P646" s="1" t="s">
        <v>1028</v>
      </c>
      <c r="Q646" s="1" t="s">
        <v>12205</v>
      </c>
      <c r="R646" s="1" t="s">
        <v>12206</v>
      </c>
      <c r="S646" s="1">
        <v>9820112357</v>
      </c>
      <c r="T646" s="1" t="s">
        <v>5027</v>
      </c>
      <c r="U646" s="1" t="s">
        <v>12207</v>
      </c>
      <c r="V646" s="1">
        <v>7058493264</v>
      </c>
      <c r="W646" s="1" t="s">
        <v>4695</v>
      </c>
      <c r="X646" s="1" t="s">
        <v>12208</v>
      </c>
      <c r="Y646" s="1" t="s">
        <v>4302</v>
      </c>
      <c r="Z646" s="1" t="s">
        <v>97</v>
      </c>
      <c r="AA646" s="1" t="s">
        <v>12209</v>
      </c>
      <c r="AB646" s="1" t="s">
        <v>1012</v>
      </c>
      <c r="AC646" s="1" t="s">
        <v>97</v>
      </c>
      <c r="AD646" s="1">
        <v>8.26</v>
      </c>
      <c r="AE646" s="1" t="s">
        <v>98</v>
      </c>
      <c r="AF646" s="1" t="s">
        <v>12210</v>
      </c>
      <c r="AG646" s="1" t="s">
        <v>165</v>
      </c>
      <c r="AH646" s="1" t="s">
        <v>174</v>
      </c>
      <c r="AI646" s="1" t="s">
        <v>414</v>
      </c>
      <c r="AJ646" s="1">
        <v>68.8</v>
      </c>
      <c r="AK646" s="1"/>
      <c r="AL646" s="1"/>
      <c r="AM646" s="1"/>
      <c r="AN646" s="1"/>
      <c r="AO646" s="1"/>
      <c r="AP646" s="1"/>
      <c r="AQ646" s="1"/>
      <c r="AR646" s="1"/>
      <c r="AS646" s="1" t="s">
        <v>439</v>
      </c>
      <c r="AT646" s="1" t="s">
        <v>12211</v>
      </c>
      <c r="AU646" s="1" t="s">
        <v>206</v>
      </c>
      <c r="AV646" s="1" t="s">
        <v>1400</v>
      </c>
      <c r="AW646" s="1">
        <v>76.47</v>
      </c>
      <c r="AX646" s="1"/>
      <c r="AY646" s="1" t="s">
        <v>680</v>
      </c>
      <c r="AZ646" s="1" t="s">
        <v>12212</v>
      </c>
      <c r="BA646" s="1"/>
      <c r="BB646" s="1"/>
      <c r="BC646" s="1" t="s">
        <v>1889</v>
      </c>
      <c r="BD646" s="1" t="s">
        <v>1401</v>
      </c>
      <c r="BE646" s="1">
        <v>65.04</v>
      </c>
      <c r="BF646" s="1">
        <v>7.1</v>
      </c>
      <c r="BG646" s="1"/>
      <c r="BH646" s="1"/>
      <c r="BI646" s="1"/>
      <c r="BJ646" s="1"/>
      <c r="BK646" s="1"/>
      <c r="BL646" s="1"/>
      <c r="BM646" s="1"/>
      <c r="BN646" s="1"/>
      <c r="BO646" s="1" t="s">
        <v>12213</v>
      </c>
      <c r="BP646" s="1"/>
      <c r="BQ646" s="1"/>
      <c r="BR646" s="1" t="s">
        <v>12214</v>
      </c>
      <c r="BS646" s="1">
        <v>8</v>
      </c>
      <c r="BT646" s="1"/>
      <c r="BU646" s="1" t="str">
        <f>HYPERLINK("https://nconnect.nicmar.ac.in/storage/profile/ProfilePhoto_P25700650_487352.jpg","Download")</f>
        <v>0</v>
      </c>
      <c r="BV646" s="3"/>
      <c r="BW646" s="3"/>
    </row>
    <row r="647" spans="1:75">
      <c r="A647" s="1" t="s">
        <v>75</v>
      </c>
      <c r="B647" s="1" t="s">
        <v>446</v>
      </c>
      <c r="C647" s="1" t="s">
        <v>12215</v>
      </c>
      <c r="D647" s="1" t="s">
        <v>12216</v>
      </c>
      <c r="E647" s="1" t="s">
        <v>12217</v>
      </c>
      <c r="F647" s="1" t="s">
        <v>12218</v>
      </c>
      <c r="G647" s="1" t="s">
        <v>12219</v>
      </c>
      <c r="H647" s="1" t="s">
        <v>12220</v>
      </c>
      <c r="I647" s="1" t="s">
        <v>12221</v>
      </c>
      <c r="J647" s="1">
        <v>7507311402</v>
      </c>
      <c r="K647" s="1" t="s">
        <v>153</v>
      </c>
      <c r="L647" s="1" t="s">
        <v>1079</v>
      </c>
      <c r="M647" s="1" t="s">
        <v>86</v>
      </c>
      <c r="N647" s="1" t="s">
        <v>618</v>
      </c>
      <c r="O647" s="1"/>
      <c r="P647" s="1" t="s">
        <v>507</v>
      </c>
      <c r="Q647" s="1" t="s">
        <v>12222</v>
      </c>
      <c r="R647" s="1" t="s">
        <v>12218</v>
      </c>
      <c r="S647" s="1">
        <v>9922943730</v>
      </c>
      <c r="T647" s="1" t="s">
        <v>645</v>
      </c>
      <c r="U647" s="1" t="s">
        <v>12223</v>
      </c>
      <c r="V647" s="1">
        <v>9960345951</v>
      </c>
      <c r="W647" s="1" t="s">
        <v>161</v>
      </c>
      <c r="X647" s="1" t="s">
        <v>12224</v>
      </c>
      <c r="Y647" s="1" t="s">
        <v>196</v>
      </c>
      <c r="Z647" s="1" t="s">
        <v>97</v>
      </c>
      <c r="AA647" s="1" t="s">
        <v>12224</v>
      </c>
      <c r="AB647" s="1" t="s">
        <v>196</v>
      </c>
      <c r="AC647" s="1" t="s">
        <v>97</v>
      </c>
      <c r="AD647" s="1">
        <v>7.56</v>
      </c>
      <c r="AE647" s="1" t="s">
        <v>98</v>
      </c>
      <c r="AF647" s="1" t="s">
        <v>12225</v>
      </c>
      <c r="AG647" s="1" t="s">
        <v>12226</v>
      </c>
      <c r="AH647" s="1" t="s">
        <v>167</v>
      </c>
      <c r="AI647" s="1" t="s">
        <v>200</v>
      </c>
      <c r="AJ647" s="1">
        <v>69.8</v>
      </c>
      <c r="AK647" s="1">
        <v>0</v>
      </c>
      <c r="AL647" s="1" t="s">
        <v>12227</v>
      </c>
      <c r="AM647" s="1" t="s">
        <v>12226</v>
      </c>
      <c r="AN647" s="1"/>
      <c r="AO647" s="1" t="s">
        <v>106</v>
      </c>
      <c r="AP647" s="1" t="s">
        <v>603</v>
      </c>
      <c r="AQ647" s="1">
        <v>62.31</v>
      </c>
      <c r="AR647" s="1">
        <v>0</v>
      </c>
      <c r="AS647" s="1"/>
      <c r="AT647" s="1"/>
      <c r="AU647" s="1"/>
      <c r="AV647" s="1"/>
      <c r="AW647" s="1"/>
      <c r="AX647" s="1"/>
      <c r="AY647" s="1" t="s">
        <v>366</v>
      </c>
      <c r="AZ647" s="1" t="s">
        <v>12228</v>
      </c>
      <c r="BA647" s="1"/>
      <c r="BB647" s="1"/>
      <c r="BC647" s="1" t="s">
        <v>1040</v>
      </c>
      <c r="BD647" s="1" t="s">
        <v>848</v>
      </c>
      <c r="BE647" s="1">
        <v>70.6</v>
      </c>
      <c r="BF647" s="1">
        <v>7.81</v>
      </c>
      <c r="BG647" s="1"/>
      <c r="BH647" s="1"/>
      <c r="BI647" s="1"/>
      <c r="BJ647" s="1"/>
      <c r="BK647" s="1"/>
      <c r="BL647" s="1"/>
      <c r="BM647" s="1"/>
      <c r="BN647" s="1"/>
      <c r="BO647" s="1" t="s">
        <v>12229</v>
      </c>
      <c r="BP647" s="1"/>
      <c r="BQ647" s="1"/>
      <c r="BR647" s="1" t="s">
        <v>12230</v>
      </c>
      <c r="BS647" s="1">
        <v>27</v>
      </c>
      <c r="BT647" s="1"/>
      <c r="BU647" s="1" t="str">
        <f>HYPERLINK("https://nconnect.nicmar.ac.in/storage/profile/ProfilePhoto_P25700651_715392.jpg","Download")</f>
        <v>0</v>
      </c>
      <c r="BV647" s="3"/>
      <c r="BW647" s="3"/>
    </row>
    <row r="648" spans="1:75">
      <c r="A648" s="1" t="s">
        <v>75</v>
      </c>
      <c r="B648" s="1" t="s">
        <v>446</v>
      </c>
      <c r="C648" s="1" t="s">
        <v>12231</v>
      </c>
      <c r="D648" s="1" t="s">
        <v>12232</v>
      </c>
      <c r="E648" s="1" t="s">
        <v>12233</v>
      </c>
      <c r="F648" s="1" t="s">
        <v>12234</v>
      </c>
      <c r="G648" s="1" t="s">
        <v>12235</v>
      </c>
      <c r="H648" s="1" t="s">
        <v>12236</v>
      </c>
      <c r="I648" s="1" t="s">
        <v>12237</v>
      </c>
      <c r="J648" s="1">
        <v>9172147932</v>
      </c>
      <c r="K648" s="1" t="s">
        <v>153</v>
      </c>
      <c r="L648" s="1" t="s">
        <v>12238</v>
      </c>
      <c r="M648" s="1" t="s">
        <v>86</v>
      </c>
      <c r="N648" s="1" t="s">
        <v>12239</v>
      </c>
      <c r="O648" s="1"/>
      <c r="P648" s="1" t="s">
        <v>481</v>
      </c>
      <c r="Q648" s="1" t="s">
        <v>12240</v>
      </c>
      <c r="R648" s="1" t="s">
        <v>12234</v>
      </c>
      <c r="S648" s="1">
        <v>7798771199</v>
      </c>
      <c r="T648" s="1" t="s">
        <v>4486</v>
      </c>
      <c r="U648" s="1" t="s">
        <v>12241</v>
      </c>
      <c r="V648" s="1">
        <v>9156540247</v>
      </c>
      <c r="W648" s="1" t="s">
        <v>278</v>
      </c>
      <c r="X648" s="1" t="s">
        <v>12242</v>
      </c>
      <c r="Y648" s="1" t="s">
        <v>196</v>
      </c>
      <c r="Z648" s="1" t="s">
        <v>97</v>
      </c>
      <c r="AA648" s="1" t="s">
        <v>12242</v>
      </c>
      <c r="AB648" s="1" t="s">
        <v>196</v>
      </c>
      <c r="AC648" s="1" t="s">
        <v>97</v>
      </c>
      <c r="AD648" s="1">
        <v>7.79</v>
      </c>
      <c r="AE648" s="1" t="s">
        <v>98</v>
      </c>
      <c r="AF648" s="1" t="s">
        <v>12243</v>
      </c>
      <c r="AG648" s="1" t="s">
        <v>1681</v>
      </c>
      <c r="AH648" s="1" t="s">
        <v>170</v>
      </c>
      <c r="AI648" s="1" t="s">
        <v>286</v>
      </c>
      <c r="AJ648" s="1">
        <v>86.4</v>
      </c>
      <c r="AK648" s="1">
        <v>0</v>
      </c>
      <c r="AL648" s="1" t="s">
        <v>12244</v>
      </c>
      <c r="AM648" s="1" t="s">
        <v>6251</v>
      </c>
      <c r="AN648" s="1"/>
      <c r="AO648" s="1" t="s">
        <v>438</v>
      </c>
      <c r="AP648" s="1" t="s">
        <v>365</v>
      </c>
      <c r="AQ648" s="1">
        <v>83.85</v>
      </c>
      <c r="AR648" s="1">
        <v>0</v>
      </c>
      <c r="AS648" s="1"/>
      <c r="AT648" s="1"/>
      <c r="AU648" s="1"/>
      <c r="AV648" s="1"/>
      <c r="AW648" s="1"/>
      <c r="AX648" s="1"/>
      <c r="AY648" s="1" t="s">
        <v>366</v>
      </c>
      <c r="AZ648" s="1" t="s">
        <v>12245</v>
      </c>
      <c r="BA648" s="1"/>
      <c r="BB648" s="1"/>
      <c r="BC648" s="1" t="s">
        <v>365</v>
      </c>
      <c r="BD648" s="1" t="s">
        <v>607</v>
      </c>
      <c r="BE648" s="1">
        <v>82.76</v>
      </c>
      <c r="BF648" s="1">
        <v>8.98</v>
      </c>
      <c r="BG648" s="1"/>
      <c r="BH648" s="1"/>
      <c r="BI648" s="1"/>
      <c r="BJ648" s="1"/>
      <c r="BK648" s="1"/>
      <c r="BL648" s="1"/>
      <c r="BM648" s="1"/>
      <c r="BN648" s="1"/>
      <c r="BO648" s="1" t="s">
        <v>1315</v>
      </c>
      <c r="BP648" s="1"/>
      <c r="BQ648" s="1"/>
      <c r="BR648" s="1" t="s">
        <v>12246</v>
      </c>
      <c r="BS648" s="1">
        <v>30</v>
      </c>
      <c r="BT648" s="1"/>
      <c r="BU648" s="1" t="str">
        <f>HYPERLINK("https://nconnect.nicmar.ac.in/storage/profile/ProfilePhoto_P25700652_942673.jpg","Download")</f>
        <v>0</v>
      </c>
      <c r="BV648" s="3"/>
      <c r="BW648" s="3"/>
    </row>
    <row r="649" spans="1:75">
      <c r="A649" s="1" t="s">
        <v>75</v>
      </c>
      <c r="B649" s="1" t="s">
        <v>446</v>
      </c>
      <c r="C649" s="1" t="s">
        <v>12247</v>
      </c>
      <c r="D649" s="1" t="s">
        <v>12248</v>
      </c>
      <c r="E649" s="1" t="s">
        <v>762</v>
      </c>
      <c r="F649" s="1" t="s">
        <v>12249</v>
      </c>
      <c r="G649" s="1" t="s">
        <v>12250</v>
      </c>
      <c r="H649" s="1" t="s">
        <v>12251</v>
      </c>
      <c r="I649" s="1" t="s">
        <v>12252</v>
      </c>
      <c r="J649" s="1">
        <v>8888761152</v>
      </c>
      <c r="K649" s="1" t="s">
        <v>153</v>
      </c>
      <c r="L649" s="1" t="s">
        <v>12253</v>
      </c>
      <c r="M649" s="1" t="s">
        <v>86</v>
      </c>
      <c r="N649" s="1" t="s">
        <v>903</v>
      </c>
      <c r="O649" s="1"/>
      <c r="P649" s="1" t="s">
        <v>481</v>
      </c>
      <c r="Q649" s="1" t="s">
        <v>12254</v>
      </c>
      <c r="R649" s="1" t="s">
        <v>762</v>
      </c>
      <c r="S649" s="1">
        <v>8847701152</v>
      </c>
      <c r="T649" s="1" t="s">
        <v>12255</v>
      </c>
      <c r="U649" s="1" t="s">
        <v>5271</v>
      </c>
      <c r="V649" s="1">
        <v>8847701152</v>
      </c>
      <c r="W649" s="1" t="s">
        <v>12256</v>
      </c>
      <c r="X649" s="1" t="s">
        <v>12257</v>
      </c>
      <c r="Y649" s="1" t="s">
        <v>1989</v>
      </c>
      <c r="Z649" s="1" t="s">
        <v>97</v>
      </c>
      <c r="AA649" s="1" t="s">
        <v>12257</v>
      </c>
      <c r="AB649" s="1" t="s">
        <v>1989</v>
      </c>
      <c r="AC649" s="1" t="s">
        <v>97</v>
      </c>
      <c r="AD649" s="1">
        <v>7.67</v>
      </c>
      <c r="AE649" s="1" t="s">
        <v>98</v>
      </c>
      <c r="AF649" s="1" t="s">
        <v>12258</v>
      </c>
      <c r="AG649" s="1" t="s">
        <v>165</v>
      </c>
      <c r="AH649" s="1" t="s">
        <v>200</v>
      </c>
      <c r="AI649" s="1" t="s">
        <v>286</v>
      </c>
      <c r="AJ649" s="1">
        <v>84.2</v>
      </c>
      <c r="AK649" s="1"/>
      <c r="AL649" s="1"/>
      <c r="AM649" s="1"/>
      <c r="AN649" s="1"/>
      <c r="AO649" s="1"/>
      <c r="AP649" s="1"/>
      <c r="AQ649" s="1"/>
      <c r="AR649" s="1"/>
      <c r="AS649" s="1" t="s">
        <v>439</v>
      </c>
      <c r="AT649" s="1" t="s">
        <v>12259</v>
      </c>
      <c r="AU649" s="1" t="s">
        <v>490</v>
      </c>
      <c r="AV649" s="1" t="s">
        <v>441</v>
      </c>
      <c r="AW649" s="1">
        <v>84.16</v>
      </c>
      <c r="AX649" s="1"/>
      <c r="AY649" s="1" t="s">
        <v>8319</v>
      </c>
      <c r="AZ649" s="1" t="s">
        <v>12260</v>
      </c>
      <c r="BA649" s="1" t="s">
        <v>466</v>
      </c>
      <c r="BB649" s="1" t="s">
        <v>467</v>
      </c>
      <c r="BC649" s="1" t="s">
        <v>140</v>
      </c>
      <c r="BD649" s="1" t="s">
        <v>1314</v>
      </c>
      <c r="BE649" s="1">
        <v>74</v>
      </c>
      <c r="BF649" s="1">
        <v>7.4</v>
      </c>
      <c r="BG649" s="1"/>
      <c r="BH649" s="1"/>
      <c r="BI649" s="1"/>
      <c r="BJ649" s="1"/>
      <c r="BK649" s="1"/>
      <c r="BL649" s="1"/>
      <c r="BM649" s="1"/>
      <c r="BN649" s="1"/>
      <c r="BO649" s="1" t="s">
        <v>3385</v>
      </c>
      <c r="BP649" s="1" t="s">
        <v>12261</v>
      </c>
      <c r="BQ649" s="1" t="s">
        <v>2116</v>
      </c>
      <c r="BR649" s="1" t="s">
        <v>12262</v>
      </c>
      <c r="BS649" s="1">
        <v>26</v>
      </c>
      <c r="BT649" s="1" t="s">
        <v>12263</v>
      </c>
      <c r="BU649" s="1" t="str">
        <f>HYPERLINK("https://nconnect.nicmar.ac.in/storage/profile/ProfilePhoto_P25700653_961745.jpg","Download")</f>
        <v>0</v>
      </c>
      <c r="BV649" s="3"/>
      <c r="BW649" s="3"/>
    </row>
    <row r="650" spans="1:75">
      <c r="A650" s="1" t="s">
        <v>75</v>
      </c>
      <c r="B650" s="1" t="s">
        <v>446</v>
      </c>
      <c r="C650" s="1" t="s">
        <v>12264</v>
      </c>
      <c r="D650" s="1" t="s">
        <v>12265</v>
      </c>
      <c r="E650" s="1"/>
      <c r="F650" s="1" t="s">
        <v>3910</v>
      </c>
      <c r="G650" s="1" t="s">
        <v>12266</v>
      </c>
      <c r="H650" s="1" t="s">
        <v>12267</v>
      </c>
      <c r="I650" s="1" t="s">
        <v>12268</v>
      </c>
      <c r="J650" s="1">
        <v>7059436514</v>
      </c>
      <c r="K650" s="1" t="s">
        <v>84</v>
      </c>
      <c r="L650" s="1" t="s">
        <v>12269</v>
      </c>
      <c r="M650" s="1" t="s">
        <v>86</v>
      </c>
      <c r="N650" s="1" t="s">
        <v>12270</v>
      </c>
      <c r="O650" s="1"/>
      <c r="P650" s="1" t="s">
        <v>2684</v>
      </c>
      <c r="Q650" s="1" t="s">
        <v>12271</v>
      </c>
      <c r="R650" s="1" t="s">
        <v>12272</v>
      </c>
      <c r="S650" s="1">
        <v>8272909776</v>
      </c>
      <c r="T650" s="1" t="s">
        <v>125</v>
      </c>
      <c r="U650" s="1" t="s">
        <v>12273</v>
      </c>
      <c r="V650" s="1">
        <v>8981786833</v>
      </c>
      <c r="W650" s="1" t="s">
        <v>94</v>
      </c>
      <c r="X650" s="1" t="s">
        <v>12274</v>
      </c>
      <c r="Y650" s="1" t="s">
        <v>10874</v>
      </c>
      <c r="Z650" s="1" t="s">
        <v>1234</v>
      </c>
      <c r="AA650" s="1" t="s">
        <v>12274</v>
      </c>
      <c r="AB650" s="1" t="s">
        <v>10874</v>
      </c>
      <c r="AC650" s="1" t="s">
        <v>1234</v>
      </c>
      <c r="AD650" s="1">
        <v>8.69</v>
      </c>
      <c r="AE650" s="1" t="s">
        <v>98</v>
      </c>
      <c r="AF650" s="1" t="s">
        <v>12275</v>
      </c>
      <c r="AG650" s="1" t="s">
        <v>2181</v>
      </c>
      <c r="AH650" s="1" t="s">
        <v>12276</v>
      </c>
      <c r="AI650" s="1" t="s">
        <v>515</v>
      </c>
      <c r="AJ650" s="1">
        <v>65.16</v>
      </c>
      <c r="AK650" s="1"/>
      <c r="AL650" s="1"/>
      <c r="AM650" s="1"/>
      <c r="AN650" s="1"/>
      <c r="AO650" s="1"/>
      <c r="AP650" s="1"/>
      <c r="AQ650" s="1"/>
      <c r="AR650" s="1"/>
      <c r="AS650" s="1" t="s">
        <v>439</v>
      </c>
      <c r="AT650" s="1" t="s">
        <v>12277</v>
      </c>
      <c r="AU650" s="1" t="s">
        <v>101</v>
      </c>
      <c r="AV650" s="1" t="s">
        <v>573</v>
      </c>
      <c r="AW650" s="1">
        <v>75.4</v>
      </c>
      <c r="AX650" s="1"/>
      <c r="AY650" s="1" t="s">
        <v>12278</v>
      </c>
      <c r="AZ650" s="1" t="s">
        <v>12279</v>
      </c>
      <c r="BA650" s="1"/>
      <c r="BB650" s="1"/>
      <c r="BC650" s="1" t="s">
        <v>388</v>
      </c>
      <c r="BD650" s="1" t="s">
        <v>178</v>
      </c>
      <c r="BE650" s="1">
        <v>70.19</v>
      </c>
      <c r="BF650" s="1">
        <v>7.77</v>
      </c>
      <c r="BG650" s="1"/>
      <c r="BH650" s="1"/>
      <c r="BI650" s="1"/>
      <c r="BJ650" s="1"/>
      <c r="BK650" s="1"/>
      <c r="BL650" s="1"/>
      <c r="BM650" s="1"/>
      <c r="BN650" s="1"/>
      <c r="BO650" s="1" t="s">
        <v>3308</v>
      </c>
      <c r="BP650" s="1" t="s">
        <v>12280</v>
      </c>
      <c r="BQ650" s="1" t="s">
        <v>9111</v>
      </c>
      <c r="BR650" s="1" t="s">
        <v>12281</v>
      </c>
      <c r="BS650" s="1">
        <v>10</v>
      </c>
      <c r="BT650" s="1"/>
      <c r="BU650" s="1" t="str">
        <f>HYPERLINK("https://nconnect.nicmar.ac.in/storage/profile/ProfilePhoto_P25700654_483671.jpg","Download")</f>
        <v>0</v>
      </c>
      <c r="BV650" s="3"/>
      <c r="BW650" s="3"/>
    </row>
    <row r="651" spans="1:75">
      <c r="A651" s="1" t="s">
        <v>75</v>
      </c>
      <c r="B651" s="1" t="s">
        <v>446</v>
      </c>
      <c r="C651" s="1" t="s">
        <v>12282</v>
      </c>
      <c r="D651" s="1" t="s">
        <v>12283</v>
      </c>
      <c r="E651" s="1" t="s">
        <v>8789</v>
      </c>
      <c r="F651" s="1" t="s">
        <v>4707</v>
      </c>
      <c r="G651" s="1" t="s">
        <v>12284</v>
      </c>
      <c r="H651" s="1" t="s">
        <v>12285</v>
      </c>
      <c r="I651" s="1" t="s">
        <v>12286</v>
      </c>
      <c r="J651" s="1">
        <v>8329893898</v>
      </c>
      <c r="K651" s="1" t="s">
        <v>84</v>
      </c>
      <c r="L651" s="1" t="s">
        <v>12287</v>
      </c>
      <c r="M651" s="1" t="s">
        <v>86</v>
      </c>
      <c r="N651" s="1" t="s">
        <v>903</v>
      </c>
      <c r="O651" s="1"/>
      <c r="P651" s="1" t="s">
        <v>455</v>
      </c>
      <c r="Q651" s="1" t="s">
        <v>12288</v>
      </c>
      <c r="R651" s="1" t="s">
        <v>4707</v>
      </c>
      <c r="S651" s="1">
        <v>9765429254</v>
      </c>
      <c r="T651" s="1" t="s">
        <v>12289</v>
      </c>
      <c r="U651" s="1" t="s">
        <v>12290</v>
      </c>
      <c r="V651" s="1">
        <v>9765429255</v>
      </c>
      <c r="W651" s="1" t="s">
        <v>12289</v>
      </c>
      <c r="X651" s="1" t="s">
        <v>12291</v>
      </c>
      <c r="Y651" s="1" t="s">
        <v>5083</v>
      </c>
      <c r="Z651" s="1" t="s">
        <v>97</v>
      </c>
      <c r="AA651" s="1" t="s">
        <v>12291</v>
      </c>
      <c r="AB651" s="1" t="s">
        <v>5083</v>
      </c>
      <c r="AC651" s="1" t="s">
        <v>97</v>
      </c>
      <c r="AD651" s="1">
        <v>0.0</v>
      </c>
      <c r="AE651" s="1" t="s">
        <v>98</v>
      </c>
      <c r="AF651" s="1" t="s">
        <v>12292</v>
      </c>
      <c r="AG651" s="1" t="s">
        <v>12293</v>
      </c>
      <c r="AH651" s="1" t="s">
        <v>170</v>
      </c>
      <c r="AI651" s="1" t="s">
        <v>106</v>
      </c>
      <c r="AJ651" s="1">
        <v>78.2</v>
      </c>
      <c r="AK651" s="1"/>
      <c r="AL651" s="1" t="s">
        <v>12294</v>
      </c>
      <c r="AM651" s="1" t="s">
        <v>12293</v>
      </c>
      <c r="AN651" s="1"/>
      <c r="AO651" s="1" t="s">
        <v>438</v>
      </c>
      <c r="AP651" s="1" t="s">
        <v>178</v>
      </c>
      <c r="AQ651" s="1">
        <v>66.62</v>
      </c>
      <c r="AR651" s="1"/>
      <c r="AS651" s="1"/>
      <c r="AT651" s="1"/>
      <c r="AU651" s="1"/>
      <c r="AV651" s="1"/>
      <c r="AW651" s="1"/>
      <c r="AX651" s="1"/>
      <c r="AY651" s="1" t="s">
        <v>12295</v>
      </c>
      <c r="AZ651" s="1" t="s">
        <v>12296</v>
      </c>
      <c r="BA651" s="1"/>
      <c r="BB651" s="1"/>
      <c r="BC651" s="1" t="s">
        <v>1647</v>
      </c>
      <c r="BD651" s="1" t="s">
        <v>1132</v>
      </c>
      <c r="BE651" s="1">
        <v>65.9</v>
      </c>
      <c r="BF651" s="1">
        <v>7.34</v>
      </c>
      <c r="BG651" s="1"/>
      <c r="BH651" s="1"/>
      <c r="BI651" s="1"/>
      <c r="BJ651" s="1"/>
      <c r="BK651" s="1"/>
      <c r="BL651" s="1"/>
      <c r="BM651" s="1"/>
      <c r="BN651" s="1"/>
      <c r="BO651" s="1" t="s">
        <v>849</v>
      </c>
      <c r="BP651" s="1"/>
      <c r="BQ651" s="1"/>
      <c r="BR651" s="1" t="s">
        <v>12297</v>
      </c>
      <c r="BS651" s="1">
        <v>12</v>
      </c>
      <c r="BT651" s="1"/>
      <c r="BU651" s="1" t="str">
        <f>HYPERLINK("https://nconnect.nicmar.ac.in/storage/profile/ProfilePhoto_P25700655_148397.jpg","Download")</f>
        <v>0</v>
      </c>
      <c r="BV651" s="3"/>
      <c r="BW651" s="3"/>
    </row>
    <row r="652" spans="1:75">
      <c r="A652" s="1" t="s">
        <v>75</v>
      </c>
      <c r="B652" s="1" t="s">
        <v>446</v>
      </c>
      <c r="C652" s="1" t="s">
        <v>12298</v>
      </c>
      <c r="D652" s="1" t="s">
        <v>12299</v>
      </c>
      <c r="E652" s="1" t="s">
        <v>12300</v>
      </c>
      <c r="F652" s="1" t="s">
        <v>7180</v>
      </c>
      <c r="G652" s="1" t="s">
        <v>12301</v>
      </c>
      <c r="H652" s="1" t="s">
        <v>12302</v>
      </c>
      <c r="I652" s="1" t="s">
        <v>12303</v>
      </c>
      <c r="J652" s="1">
        <v>9325519501</v>
      </c>
      <c r="K652" s="1" t="s">
        <v>84</v>
      </c>
      <c r="L652" s="1" t="s">
        <v>12304</v>
      </c>
      <c r="M652" s="1" t="s">
        <v>86</v>
      </c>
      <c r="N652" s="1" t="s">
        <v>3064</v>
      </c>
      <c r="O652" s="1"/>
      <c r="P652" s="1" t="s">
        <v>507</v>
      </c>
      <c r="Q652" s="1" t="s">
        <v>12305</v>
      </c>
      <c r="R652" s="1" t="s">
        <v>12300</v>
      </c>
      <c r="S652" s="1">
        <v>9325524372</v>
      </c>
      <c r="T652" s="1" t="s">
        <v>12306</v>
      </c>
      <c r="U652" s="1" t="s">
        <v>12307</v>
      </c>
      <c r="V652" s="1">
        <v>7620414645</v>
      </c>
      <c r="W652" s="1" t="s">
        <v>278</v>
      </c>
      <c r="X652" s="1" t="s">
        <v>12308</v>
      </c>
      <c r="Y652" s="1" t="s">
        <v>1989</v>
      </c>
      <c r="Z652" s="1" t="s">
        <v>97</v>
      </c>
      <c r="AA652" s="1" t="s">
        <v>12308</v>
      </c>
      <c r="AB652" s="1" t="s">
        <v>1989</v>
      </c>
      <c r="AC652" s="1" t="s">
        <v>97</v>
      </c>
      <c r="AD652" s="1">
        <v>8.33</v>
      </c>
      <c r="AE652" s="1" t="s">
        <v>98</v>
      </c>
      <c r="AF652" s="1" t="s">
        <v>12309</v>
      </c>
      <c r="AG652" s="1" t="s">
        <v>165</v>
      </c>
      <c r="AH652" s="1" t="s">
        <v>170</v>
      </c>
      <c r="AI652" s="1" t="s">
        <v>171</v>
      </c>
      <c r="AJ652" s="1">
        <v>89</v>
      </c>
      <c r="AK652" s="1"/>
      <c r="AL652" s="1"/>
      <c r="AM652" s="1"/>
      <c r="AN652" s="1" t="s">
        <v>1062</v>
      </c>
      <c r="AO652" s="1"/>
      <c r="AP652" s="1"/>
      <c r="AQ652" s="1"/>
      <c r="AR652" s="1"/>
      <c r="AS652" s="1" t="s">
        <v>103</v>
      </c>
      <c r="AT652" s="1" t="s">
        <v>1991</v>
      </c>
      <c r="AU652" s="1" t="s">
        <v>1065</v>
      </c>
      <c r="AV652" s="1" t="s">
        <v>552</v>
      </c>
      <c r="AW652" s="1">
        <v>87.81</v>
      </c>
      <c r="AX652" s="1"/>
      <c r="AY652" s="1" t="s">
        <v>366</v>
      </c>
      <c r="AZ652" s="1" t="s">
        <v>9161</v>
      </c>
      <c r="BA652" s="1" t="s">
        <v>578</v>
      </c>
      <c r="BB652" s="1" t="s">
        <v>467</v>
      </c>
      <c r="BC652" s="1" t="s">
        <v>871</v>
      </c>
      <c r="BD652" s="1" t="s">
        <v>207</v>
      </c>
      <c r="BE652" s="1">
        <v>73.3</v>
      </c>
      <c r="BF652" s="1">
        <v>8.08</v>
      </c>
      <c r="BG652" s="1"/>
      <c r="BH652" s="1"/>
      <c r="BI652" s="1"/>
      <c r="BJ652" s="1"/>
      <c r="BK652" s="1"/>
      <c r="BL652" s="1"/>
      <c r="BM652" s="1"/>
      <c r="BN652" s="1"/>
      <c r="BO652" s="1" t="s">
        <v>12310</v>
      </c>
      <c r="BP652" s="1" t="s">
        <v>12311</v>
      </c>
      <c r="BQ652" s="1" t="s">
        <v>471</v>
      </c>
      <c r="BR652" s="1" t="s">
        <v>12312</v>
      </c>
      <c r="BS652" s="1">
        <v>8</v>
      </c>
      <c r="BT652" s="1"/>
      <c r="BU652" s="1" t="str">
        <f>HYPERLINK("https://nconnect.nicmar.ac.in/storage/profile/ProfilePhoto_P25700656_593681.jpg","Download")</f>
        <v>0</v>
      </c>
      <c r="BV652" s="3"/>
      <c r="BW652" s="3"/>
    </row>
    <row r="653" spans="1:75">
      <c r="A653" s="1" t="s">
        <v>75</v>
      </c>
      <c r="B653" s="1" t="s">
        <v>446</v>
      </c>
      <c r="C653" s="1" t="s">
        <v>12313</v>
      </c>
      <c r="D653" s="1" t="s">
        <v>12314</v>
      </c>
      <c r="E653" s="1" t="s">
        <v>12315</v>
      </c>
      <c r="F653" s="1" t="s">
        <v>2734</v>
      </c>
      <c r="G653" s="1" t="s">
        <v>12316</v>
      </c>
      <c r="H653" s="1" t="s">
        <v>12317</v>
      </c>
      <c r="I653" s="1" t="s">
        <v>12318</v>
      </c>
      <c r="J653" s="1">
        <v>8149988053</v>
      </c>
      <c r="K653" s="1" t="s">
        <v>84</v>
      </c>
      <c r="L653" s="1" t="s">
        <v>12319</v>
      </c>
      <c r="M653" s="1" t="s">
        <v>86</v>
      </c>
      <c r="N653" s="1" t="s">
        <v>5472</v>
      </c>
      <c r="O653" s="1"/>
      <c r="P653" s="1" t="s">
        <v>507</v>
      </c>
      <c r="Q653" s="1" t="s">
        <v>12320</v>
      </c>
      <c r="R653" s="1" t="s">
        <v>12321</v>
      </c>
      <c r="S653" s="1">
        <v>9850340320</v>
      </c>
      <c r="T653" s="1" t="s">
        <v>645</v>
      </c>
      <c r="U653" s="1" t="s">
        <v>12322</v>
      </c>
      <c r="V653" s="1">
        <v>9028973313</v>
      </c>
      <c r="W653" s="1" t="s">
        <v>161</v>
      </c>
      <c r="X653" s="1" t="s">
        <v>12323</v>
      </c>
      <c r="Y653" s="1" t="s">
        <v>410</v>
      </c>
      <c r="Z653" s="1" t="s">
        <v>97</v>
      </c>
      <c r="AA653" s="1" t="s">
        <v>12323</v>
      </c>
      <c r="AB653" s="1" t="s">
        <v>410</v>
      </c>
      <c r="AC653" s="1" t="s">
        <v>97</v>
      </c>
      <c r="AD653" s="1">
        <v>8.41</v>
      </c>
      <c r="AE653" s="1" t="s">
        <v>98</v>
      </c>
      <c r="AF653" s="1" t="s">
        <v>2860</v>
      </c>
      <c r="AG653" s="1" t="s">
        <v>12324</v>
      </c>
      <c r="AH653" s="1" t="s">
        <v>1393</v>
      </c>
      <c r="AI653" s="1" t="s">
        <v>799</v>
      </c>
      <c r="AJ653" s="1">
        <v>86.18</v>
      </c>
      <c r="AK653" s="1">
        <v>0</v>
      </c>
      <c r="AL653" s="1" t="s">
        <v>12325</v>
      </c>
      <c r="AM653" s="1" t="s">
        <v>12324</v>
      </c>
      <c r="AN653" s="1" t="s">
        <v>465</v>
      </c>
      <c r="AO653" s="1" t="s">
        <v>4593</v>
      </c>
      <c r="AP653" s="1" t="s">
        <v>12326</v>
      </c>
      <c r="AQ653" s="1">
        <v>61.67</v>
      </c>
      <c r="AR653" s="1">
        <v>0</v>
      </c>
      <c r="AS653" s="1"/>
      <c r="AT653" s="1"/>
      <c r="AU653" s="1"/>
      <c r="AV653" s="1"/>
      <c r="AW653" s="1"/>
      <c r="AX653" s="1"/>
      <c r="AY653" s="1" t="s">
        <v>415</v>
      </c>
      <c r="AZ653" s="1" t="s">
        <v>12327</v>
      </c>
      <c r="BA653" s="1" t="s">
        <v>578</v>
      </c>
      <c r="BB653" s="1" t="s">
        <v>467</v>
      </c>
      <c r="BC653" s="1" t="s">
        <v>3770</v>
      </c>
      <c r="BD653" s="1" t="s">
        <v>388</v>
      </c>
      <c r="BE653" s="1">
        <v>63.7</v>
      </c>
      <c r="BF653" s="1">
        <v>7.12</v>
      </c>
      <c r="BG653" s="1"/>
      <c r="BH653" s="1"/>
      <c r="BI653" s="1"/>
      <c r="BJ653" s="1"/>
      <c r="BK653" s="1"/>
      <c r="BL653" s="1"/>
      <c r="BM653" s="1"/>
      <c r="BN653" s="1"/>
      <c r="BO653" s="1" t="s">
        <v>5787</v>
      </c>
      <c r="BP653" s="1" t="s">
        <v>12328</v>
      </c>
      <c r="BQ653" s="1" t="s">
        <v>12329</v>
      </c>
      <c r="BR653" s="1" t="s">
        <v>12330</v>
      </c>
      <c r="BS653" s="1">
        <v>8</v>
      </c>
      <c r="BT653" s="1" t="s">
        <v>12331</v>
      </c>
      <c r="BU653" s="1" t="str">
        <f>HYPERLINK("https://nconnect.nicmar.ac.in/storage/profile/ProfilePhoto_P25700657_983527.jpg","Download")</f>
        <v>0</v>
      </c>
      <c r="BV653" s="3"/>
      <c r="BW653" s="3"/>
    </row>
    <row r="654" spans="1:75">
      <c r="A654" s="1" t="s">
        <v>75</v>
      </c>
      <c r="B654" s="1" t="s">
        <v>446</v>
      </c>
      <c r="C654" s="1" t="s">
        <v>12332</v>
      </c>
      <c r="D654" s="1" t="s">
        <v>12333</v>
      </c>
      <c r="E654" s="1" t="s">
        <v>12334</v>
      </c>
      <c r="F654" s="1" t="s">
        <v>12335</v>
      </c>
      <c r="G654" s="1" t="s">
        <v>12336</v>
      </c>
      <c r="H654" s="1" t="s">
        <v>12337</v>
      </c>
      <c r="I654" s="1" t="s">
        <v>12338</v>
      </c>
      <c r="J654" s="1">
        <v>8390157668</v>
      </c>
      <c r="K654" s="1" t="s">
        <v>84</v>
      </c>
      <c r="L654" s="1" t="s">
        <v>12339</v>
      </c>
      <c r="M654" s="1" t="s">
        <v>86</v>
      </c>
      <c r="N654" s="1" t="s">
        <v>3046</v>
      </c>
      <c r="O654" s="1"/>
      <c r="P654" s="1" t="s">
        <v>455</v>
      </c>
      <c r="Q654" s="1" t="s">
        <v>12340</v>
      </c>
      <c r="R654" s="1" t="s">
        <v>12335</v>
      </c>
      <c r="S654" s="1">
        <v>9423413654</v>
      </c>
      <c r="T654" s="1" t="s">
        <v>127</v>
      </c>
      <c r="U654" s="1" t="s">
        <v>306</v>
      </c>
      <c r="V654" s="1">
        <v>7385536131</v>
      </c>
      <c r="W654" s="1" t="s">
        <v>94</v>
      </c>
      <c r="X654" s="1" t="s">
        <v>12341</v>
      </c>
      <c r="Y654" s="1" t="s">
        <v>5584</v>
      </c>
      <c r="Z654" s="1" t="s">
        <v>97</v>
      </c>
      <c r="AA654" s="1" t="s">
        <v>12341</v>
      </c>
      <c r="AB654" s="1" t="s">
        <v>5584</v>
      </c>
      <c r="AC654" s="1" t="s">
        <v>97</v>
      </c>
      <c r="AD654" s="1">
        <v>8.9</v>
      </c>
      <c r="AE654" s="1" t="s">
        <v>98</v>
      </c>
      <c r="AF654" s="1" t="s">
        <v>12342</v>
      </c>
      <c r="AG654" s="1" t="s">
        <v>12343</v>
      </c>
      <c r="AH654" s="1" t="s">
        <v>388</v>
      </c>
      <c r="AI654" s="1" t="s">
        <v>286</v>
      </c>
      <c r="AJ654" s="1">
        <v>90.4</v>
      </c>
      <c r="AK654" s="1"/>
      <c r="AL654" s="1"/>
      <c r="AM654" s="1"/>
      <c r="AN654" s="1"/>
      <c r="AO654" s="1"/>
      <c r="AP654" s="1"/>
      <c r="AQ654" s="1"/>
      <c r="AR654" s="1"/>
      <c r="AS654" s="1" t="s">
        <v>103</v>
      </c>
      <c r="AT654" s="1" t="s">
        <v>12344</v>
      </c>
      <c r="AU654" s="1" t="s">
        <v>174</v>
      </c>
      <c r="AV654" s="1" t="s">
        <v>845</v>
      </c>
      <c r="AW654" s="1">
        <v>89.2</v>
      </c>
      <c r="AX654" s="1"/>
      <c r="AY654" s="1" t="s">
        <v>12345</v>
      </c>
      <c r="AZ654" s="1" t="s">
        <v>12346</v>
      </c>
      <c r="BA654" s="1" t="s">
        <v>466</v>
      </c>
      <c r="BB654" s="1" t="s">
        <v>467</v>
      </c>
      <c r="BC654" s="1" t="s">
        <v>110</v>
      </c>
      <c r="BD654" s="1" t="s">
        <v>848</v>
      </c>
      <c r="BE654" s="1">
        <v>87.6</v>
      </c>
      <c r="BF654" s="1">
        <v>9.51</v>
      </c>
      <c r="BG654" s="1"/>
      <c r="BH654" s="1"/>
      <c r="BI654" s="1"/>
      <c r="BJ654" s="1"/>
      <c r="BK654" s="1"/>
      <c r="BL654" s="1"/>
      <c r="BM654" s="1"/>
      <c r="BN654" s="1"/>
      <c r="BO654" s="1" t="s">
        <v>12347</v>
      </c>
      <c r="BP654" s="1"/>
      <c r="BQ654" s="1"/>
      <c r="BR654" s="1" t="s">
        <v>12348</v>
      </c>
      <c r="BS654" s="1">
        <v>30</v>
      </c>
      <c r="BT654" s="1" t="s">
        <v>12349</v>
      </c>
      <c r="BU654" s="1" t="str">
        <f>HYPERLINK("https://nconnect.nicmar.ac.in/storage/profile/ProfilePhoto_P25700658_675928.jpg","Download")</f>
        <v>0</v>
      </c>
      <c r="BV654" s="3"/>
      <c r="BW654" s="4">
        <v>1</v>
      </c>
    </row>
    <row r="655" spans="1:75">
      <c r="A655" s="1" t="s">
        <v>75</v>
      </c>
      <c r="B655" s="1" t="s">
        <v>446</v>
      </c>
      <c r="C655" s="1" t="s">
        <v>12350</v>
      </c>
      <c r="D655" s="1" t="s">
        <v>12351</v>
      </c>
      <c r="E655" s="1"/>
      <c r="F655" s="1" t="s">
        <v>12352</v>
      </c>
      <c r="G655" s="1" t="s">
        <v>12353</v>
      </c>
      <c r="H655" s="1" t="s">
        <v>12354</v>
      </c>
      <c r="I655" s="1" t="s">
        <v>12355</v>
      </c>
      <c r="J655" s="1">
        <v>9652296802</v>
      </c>
      <c r="K655" s="1" t="s">
        <v>84</v>
      </c>
      <c r="L655" s="1" t="s">
        <v>7818</v>
      </c>
      <c r="M655" s="1" t="s">
        <v>86</v>
      </c>
      <c r="N655" s="1" t="s">
        <v>3083</v>
      </c>
      <c r="O655" s="1"/>
      <c r="P655" s="1" t="s">
        <v>455</v>
      </c>
      <c r="Q655" s="1" t="s">
        <v>12356</v>
      </c>
      <c r="R655" s="1" t="s">
        <v>12357</v>
      </c>
      <c r="S655" s="1">
        <v>9490268835</v>
      </c>
      <c r="T655" s="1" t="s">
        <v>159</v>
      </c>
      <c r="U655" s="1" t="s">
        <v>12358</v>
      </c>
      <c r="V655" s="1">
        <v>7093407357</v>
      </c>
      <c r="W655" s="1" t="s">
        <v>278</v>
      </c>
      <c r="X655" s="1" t="s">
        <v>12359</v>
      </c>
      <c r="Y655" s="1" t="s">
        <v>12190</v>
      </c>
      <c r="Z655" s="1" t="s">
        <v>281</v>
      </c>
      <c r="AA655" s="1" t="s">
        <v>12359</v>
      </c>
      <c r="AB655" s="1" t="s">
        <v>12190</v>
      </c>
      <c r="AC655" s="1" t="s">
        <v>281</v>
      </c>
      <c r="AD655" s="1">
        <v>8.13</v>
      </c>
      <c r="AE655" s="1" t="s">
        <v>98</v>
      </c>
      <c r="AF655" s="1" t="s">
        <v>12360</v>
      </c>
      <c r="AG655" s="1" t="s">
        <v>1418</v>
      </c>
      <c r="AH655" s="1" t="s">
        <v>170</v>
      </c>
      <c r="AI655" s="1" t="s">
        <v>286</v>
      </c>
      <c r="AJ655" s="1">
        <v>95</v>
      </c>
      <c r="AK655" s="1">
        <v>9.5</v>
      </c>
      <c r="AL655" s="1" t="s">
        <v>12361</v>
      </c>
      <c r="AM655" s="1" t="s">
        <v>12362</v>
      </c>
      <c r="AN655" s="1" t="s">
        <v>465</v>
      </c>
      <c r="AO655" s="1" t="s">
        <v>106</v>
      </c>
      <c r="AP655" s="1" t="s">
        <v>603</v>
      </c>
      <c r="AQ655" s="1">
        <v>93.4</v>
      </c>
      <c r="AR655" s="1">
        <v>9.67</v>
      </c>
      <c r="AS655" s="1"/>
      <c r="AT655" s="1"/>
      <c r="AU655" s="1"/>
      <c r="AV655" s="1"/>
      <c r="AW655" s="1"/>
      <c r="AX655" s="1"/>
      <c r="AY655" s="1" t="s">
        <v>11536</v>
      </c>
      <c r="AZ655" s="1" t="s">
        <v>12363</v>
      </c>
      <c r="BA655" s="1" t="s">
        <v>466</v>
      </c>
      <c r="BB655" s="1" t="s">
        <v>467</v>
      </c>
      <c r="BC655" s="1" t="s">
        <v>847</v>
      </c>
      <c r="BD655" s="1" t="s">
        <v>1314</v>
      </c>
      <c r="BE655" s="1">
        <v>77.3</v>
      </c>
      <c r="BF655" s="1">
        <v>7.73</v>
      </c>
      <c r="BG655" s="1"/>
      <c r="BH655" s="1"/>
      <c r="BI655" s="1"/>
      <c r="BJ655" s="1"/>
      <c r="BK655" s="1"/>
      <c r="BL655" s="1"/>
      <c r="BM655" s="1"/>
      <c r="BN655" s="1"/>
      <c r="BO655" s="1" t="s">
        <v>12364</v>
      </c>
      <c r="BP655" s="1"/>
      <c r="BQ655" s="1"/>
      <c r="BR655" s="1" t="s">
        <v>12365</v>
      </c>
      <c r="BS655" s="1">
        <v>11</v>
      </c>
      <c r="BT655" s="1" t="s">
        <v>12366</v>
      </c>
      <c r="BU655" s="1" t="str">
        <f>HYPERLINK("https://nconnect.nicmar.ac.in/storage/profile/ProfilePhoto_P25700659_347681.jpg","Download")</f>
        <v>0</v>
      </c>
      <c r="BV655" s="3"/>
      <c r="BW655" s="4">
        <v>1</v>
      </c>
    </row>
    <row r="656" spans="1:75">
      <c r="A656" s="1" t="s">
        <v>75</v>
      </c>
      <c r="B656" s="1" t="s">
        <v>446</v>
      </c>
      <c r="C656" s="1" t="s">
        <v>12367</v>
      </c>
      <c r="D656" s="1" t="s">
        <v>12368</v>
      </c>
      <c r="E656" s="1"/>
      <c r="F656" s="1" t="s">
        <v>116</v>
      </c>
      <c r="G656" s="1" t="s">
        <v>12369</v>
      </c>
      <c r="H656" s="1" t="s">
        <v>12370</v>
      </c>
      <c r="I656" s="1" t="s">
        <v>12371</v>
      </c>
      <c r="J656" s="1">
        <v>8148047319</v>
      </c>
      <c r="K656" s="1" t="s">
        <v>153</v>
      </c>
      <c r="L656" s="1" t="s">
        <v>12372</v>
      </c>
      <c r="M656" s="1" t="s">
        <v>86</v>
      </c>
      <c r="N656" s="1" t="s">
        <v>5777</v>
      </c>
      <c r="O656" s="1"/>
      <c r="P656" s="1" t="s">
        <v>507</v>
      </c>
      <c r="Q656" s="1" t="s">
        <v>12373</v>
      </c>
      <c r="R656" s="1" t="s">
        <v>12374</v>
      </c>
      <c r="S656" s="1">
        <v>9600967325</v>
      </c>
      <c r="T656" s="1" t="s">
        <v>2950</v>
      </c>
      <c r="U656" s="1" t="s">
        <v>12375</v>
      </c>
      <c r="V656" s="1">
        <v>8248915977</v>
      </c>
      <c r="W656" s="1" t="s">
        <v>278</v>
      </c>
      <c r="X656" s="1" t="s">
        <v>12376</v>
      </c>
      <c r="Y656" s="1" t="s">
        <v>12377</v>
      </c>
      <c r="Z656" s="1" t="s">
        <v>570</v>
      </c>
      <c r="AA656" s="1" t="s">
        <v>12376</v>
      </c>
      <c r="AB656" s="1" t="s">
        <v>12377</v>
      </c>
      <c r="AC656" s="1" t="s">
        <v>570</v>
      </c>
      <c r="AD656" s="1">
        <v>8.82</v>
      </c>
      <c r="AE656" s="1" t="s">
        <v>98</v>
      </c>
      <c r="AF656" s="1" t="s">
        <v>12378</v>
      </c>
      <c r="AG656" s="1" t="s">
        <v>8637</v>
      </c>
      <c r="AH656" s="1" t="s">
        <v>106</v>
      </c>
      <c r="AI656" s="1" t="s">
        <v>547</v>
      </c>
      <c r="AJ656" s="1">
        <v>93.8</v>
      </c>
      <c r="AK656" s="1"/>
      <c r="AL656" s="1" t="s">
        <v>12378</v>
      </c>
      <c r="AM656" s="1" t="s">
        <v>8637</v>
      </c>
      <c r="AN656" s="1"/>
      <c r="AO656" s="1" t="s">
        <v>468</v>
      </c>
      <c r="AP656" s="1" t="s">
        <v>549</v>
      </c>
      <c r="AQ656" s="1">
        <v>95.34</v>
      </c>
      <c r="AR656" s="1"/>
      <c r="AS656" s="1"/>
      <c r="AT656" s="1"/>
      <c r="AU656" s="1"/>
      <c r="AV656" s="1"/>
      <c r="AW656" s="1"/>
      <c r="AX656" s="1"/>
      <c r="AY656" s="1" t="s">
        <v>576</v>
      </c>
      <c r="AZ656" s="1" t="s">
        <v>12379</v>
      </c>
      <c r="BA656" s="1"/>
      <c r="BB656" s="1"/>
      <c r="BC656" s="1" t="s">
        <v>847</v>
      </c>
      <c r="BD656" s="1" t="s">
        <v>553</v>
      </c>
      <c r="BE656" s="1">
        <v>86.03</v>
      </c>
      <c r="BF656" s="1">
        <v>8.6</v>
      </c>
      <c r="BG656" s="1"/>
      <c r="BH656" s="1"/>
      <c r="BI656" s="1"/>
      <c r="BJ656" s="1"/>
      <c r="BK656" s="1"/>
      <c r="BL656" s="1"/>
      <c r="BM656" s="1"/>
      <c r="BN656" s="1"/>
      <c r="BO656" s="1" t="s">
        <v>12380</v>
      </c>
      <c r="BP656" s="1"/>
      <c r="BQ656" s="1"/>
      <c r="BR656" s="1" t="s">
        <v>12381</v>
      </c>
      <c r="BS656" s="1">
        <v>12</v>
      </c>
      <c r="BT656" s="1"/>
      <c r="BU656" s="1" t="str">
        <f>HYPERLINK("https://nconnect.nicmar.ac.in/storage/profile/ProfilePhoto_P25700660_348769.jpg","Download")</f>
        <v>0</v>
      </c>
      <c r="BV656" s="3"/>
      <c r="BW656" s="3"/>
    </row>
    <row r="657" spans="1:75">
      <c r="A657" s="1" t="s">
        <v>75</v>
      </c>
      <c r="B657" s="1" t="s">
        <v>446</v>
      </c>
      <c r="C657" s="1" t="s">
        <v>12382</v>
      </c>
      <c r="D657" s="1" t="s">
        <v>12383</v>
      </c>
      <c r="E657" s="1"/>
      <c r="F657" s="1" t="s">
        <v>3998</v>
      </c>
      <c r="G657" s="1" t="s">
        <v>12384</v>
      </c>
      <c r="H657" s="1" t="s">
        <v>12385</v>
      </c>
      <c r="I657" s="1" t="s">
        <v>12386</v>
      </c>
      <c r="J657" s="1">
        <v>9384654535</v>
      </c>
      <c r="K657" s="1" t="s">
        <v>84</v>
      </c>
      <c r="L657" s="1" t="s">
        <v>12387</v>
      </c>
      <c r="M657" s="1" t="s">
        <v>86</v>
      </c>
      <c r="N657" s="1" t="s">
        <v>12388</v>
      </c>
      <c r="O657" s="1"/>
      <c r="P657" s="1" t="s">
        <v>507</v>
      </c>
      <c r="Q657" s="1" t="s">
        <v>12389</v>
      </c>
      <c r="R657" s="1" t="s">
        <v>12390</v>
      </c>
      <c r="S657" s="1">
        <v>9677090869</v>
      </c>
      <c r="T657" s="1" t="s">
        <v>839</v>
      </c>
      <c r="U657" s="1" t="s">
        <v>12391</v>
      </c>
      <c r="V657" s="1">
        <v>9080380248</v>
      </c>
      <c r="W657" s="1" t="s">
        <v>127</v>
      </c>
      <c r="X657" s="1" t="s">
        <v>12392</v>
      </c>
      <c r="Y657" s="1" t="s">
        <v>1498</v>
      </c>
      <c r="Z657" s="1" t="s">
        <v>570</v>
      </c>
      <c r="AA657" s="1" t="s">
        <v>12392</v>
      </c>
      <c r="AB657" s="1" t="s">
        <v>1498</v>
      </c>
      <c r="AC657" s="1" t="s">
        <v>570</v>
      </c>
      <c r="AD657" s="1">
        <v>8.62</v>
      </c>
      <c r="AE657" s="1" t="s">
        <v>98</v>
      </c>
      <c r="AF657" s="1" t="s">
        <v>12393</v>
      </c>
      <c r="AG657" s="1" t="s">
        <v>9175</v>
      </c>
      <c r="AH657" s="1" t="s">
        <v>1110</v>
      </c>
      <c r="AI657" s="1" t="s">
        <v>627</v>
      </c>
      <c r="AJ657" s="1">
        <v>85.5</v>
      </c>
      <c r="AK657" s="1">
        <v>9</v>
      </c>
      <c r="AL657" s="1" t="s">
        <v>12394</v>
      </c>
      <c r="AM657" s="1" t="s">
        <v>572</v>
      </c>
      <c r="AN657" s="1"/>
      <c r="AO657" s="1" t="s">
        <v>170</v>
      </c>
      <c r="AP657" s="1" t="s">
        <v>171</v>
      </c>
      <c r="AQ657" s="1">
        <v>74</v>
      </c>
      <c r="AR657" s="1">
        <v>0</v>
      </c>
      <c r="AS657" s="1"/>
      <c r="AT657" s="1"/>
      <c r="AU657" s="1"/>
      <c r="AV657" s="1"/>
      <c r="AW657" s="1"/>
      <c r="AX657" s="1"/>
      <c r="AY657" s="1" t="s">
        <v>576</v>
      </c>
      <c r="AZ657" s="1" t="s">
        <v>12395</v>
      </c>
      <c r="BA657" s="1"/>
      <c r="BB657" s="1"/>
      <c r="BC657" s="1" t="s">
        <v>1065</v>
      </c>
      <c r="BD657" s="1" t="s">
        <v>289</v>
      </c>
      <c r="BE657" s="1">
        <v>83.5</v>
      </c>
      <c r="BF657" s="1">
        <v>8.35</v>
      </c>
      <c r="BG657" s="1"/>
      <c r="BH657" s="1"/>
      <c r="BI657" s="1"/>
      <c r="BJ657" s="1"/>
      <c r="BK657" s="1"/>
      <c r="BL657" s="1"/>
      <c r="BM657" s="1"/>
      <c r="BN657" s="1"/>
      <c r="BO657" s="1" t="s">
        <v>12396</v>
      </c>
      <c r="BP657" s="1" t="s">
        <v>12397</v>
      </c>
      <c r="BQ657" s="1" t="s">
        <v>524</v>
      </c>
      <c r="BR657" s="1" t="s">
        <v>12398</v>
      </c>
      <c r="BS657" s="1">
        <v>11</v>
      </c>
      <c r="BT657" s="1" t="s">
        <v>12399</v>
      </c>
      <c r="BU657" s="1" t="str">
        <f>HYPERLINK("https://nconnect.nicmar.ac.in/storage/profile/ProfilePhoto_P25700661_438971.jpg","Download")</f>
        <v>0</v>
      </c>
      <c r="BV657" s="3"/>
      <c r="BW657" s="3"/>
    </row>
    <row r="658" spans="1:75">
      <c r="A658" s="1" t="s">
        <v>75</v>
      </c>
      <c r="B658" s="1" t="s">
        <v>446</v>
      </c>
      <c r="C658" s="1" t="s">
        <v>12400</v>
      </c>
      <c r="D658" s="1" t="s">
        <v>5752</v>
      </c>
      <c r="E658" s="1" t="s">
        <v>149</v>
      </c>
      <c r="F658" s="1" t="s">
        <v>12401</v>
      </c>
      <c r="G658" s="1" t="s">
        <v>12402</v>
      </c>
      <c r="H658" s="1" t="s">
        <v>12403</v>
      </c>
      <c r="I658" s="1" t="s">
        <v>12404</v>
      </c>
      <c r="J658" s="1">
        <v>7517356373</v>
      </c>
      <c r="K658" s="1" t="s">
        <v>84</v>
      </c>
      <c r="L658" s="1" t="s">
        <v>12405</v>
      </c>
      <c r="M658" s="1" t="s">
        <v>86</v>
      </c>
      <c r="N658" s="1" t="s">
        <v>618</v>
      </c>
      <c r="O658" s="1"/>
      <c r="P658" s="1" t="s">
        <v>455</v>
      </c>
      <c r="Q658" s="1" t="s">
        <v>12406</v>
      </c>
      <c r="R658" s="1" t="s">
        <v>12407</v>
      </c>
      <c r="S658" s="1">
        <v>8149234348</v>
      </c>
      <c r="T658" s="1" t="s">
        <v>159</v>
      </c>
      <c r="U658" s="1" t="s">
        <v>12408</v>
      </c>
      <c r="V658" s="1">
        <v>9307009781</v>
      </c>
      <c r="W658" s="1" t="s">
        <v>278</v>
      </c>
      <c r="X658" s="1" t="s">
        <v>12409</v>
      </c>
      <c r="Y658" s="1" t="s">
        <v>1189</v>
      </c>
      <c r="Z658" s="1" t="s">
        <v>97</v>
      </c>
      <c r="AA658" s="1" t="s">
        <v>12409</v>
      </c>
      <c r="AB658" s="1" t="s">
        <v>1189</v>
      </c>
      <c r="AC658" s="1" t="s">
        <v>97</v>
      </c>
      <c r="AD658" s="1">
        <v>7.97</v>
      </c>
      <c r="AE658" s="1" t="s">
        <v>98</v>
      </c>
      <c r="AF658" s="1" t="s">
        <v>12410</v>
      </c>
      <c r="AG658" s="1" t="s">
        <v>12411</v>
      </c>
      <c r="AH658" s="1" t="s">
        <v>170</v>
      </c>
      <c r="AI658" s="1" t="s">
        <v>286</v>
      </c>
      <c r="AJ658" s="1">
        <v>65.2</v>
      </c>
      <c r="AK658" s="1"/>
      <c r="AL658" s="1"/>
      <c r="AM658" s="1"/>
      <c r="AN658" s="1"/>
      <c r="AO658" s="1"/>
      <c r="AP658" s="1"/>
      <c r="AQ658" s="1"/>
      <c r="AR658" s="1"/>
      <c r="AS658" s="1" t="s">
        <v>439</v>
      </c>
      <c r="AT658" s="1" t="s">
        <v>12412</v>
      </c>
      <c r="AU658" s="1" t="s">
        <v>174</v>
      </c>
      <c r="AV658" s="1" t="s">
        <v>847</v>
      </c>
      <c r="AW658" s="1">
        <v>83.53</v>
      </c>
      <c r="AX658" s="1"/>
      <c r="AY658" s="1" t="s">
        <v>680</v>
      </c>
      <c r="AZ658" s="1" t="s">
        <v>12413</v>
      </c>
      <c r="BA658" s="1"/>
      <c r="BB658" s="1"/>
      <c r="BC658" s="1" t="s">
        <v>441</v>
      </c>
      <c r="BD658" s="1" t="s">
        <v>1242</v>
      </c>
      <c r="BE658" s="1">
        <v>63.45</v>
      </c>
      <c r="BF658" s="1">
        <v>7.03</v>
      </c>
      <c r="BG658" s="1"/>
      <c r="BH658" s="1"/>
      <c r="BI658" s="1"/>
      <c r="BJ658" s="1"/>
      <c r="BK658" s="1"/>
      <c r="BL658" s="1"/>
      <c r="BM658" s="1"/>
      <c r="BN658" s="1"/>
      <c r="BO658" s="1" t="s">
        <v>12414</v>
      </c>
      <c r="BP658" s="1"/>
      <c r="BQ658" s="1"/>
      <c r="BR658" s="1" t="s">
        <v>12415</v>
      </c>
      <c r="BS658" s="1">
        <v>16</v>
      </c>
      <c r="BT658" s="1"/>
      <c r="BU658" s="1" t="str">
        <f>HYPERLINK("https://nconnect.nicmar.ac.in/storage/profile/ProfilePhoto_P25700662_857164.jpg","Download")</f>
        <v>0</v>
      </c>
      <c r="BV658" s="3"/>
      <c r="BW658" s="3"/>
    </row>
    <row r="659" spans="1:75">
      <c r="A659" s="1" t="s">
        <v>75</v>
      </c>
      <c r="B659" s="1" t="s">
        <v>446</v>
      </c>
      <c r="C659" s="1" t="s">
        <v>12416</v>
      </c>
      <c r="D659" s="1" t="s">
        <v>4820</v>
      </c>
      <c r="E659" s="1" t="s">
        <v>1669</v>
      </c>
      <c r="F659" s="1" t="s">
        <v>12417</v>
      </c>
      <c r="G659" s="1" t="s">
        <v>12418</v>
      </c>
      <c r="H659" s="1" t="s">
        <v>12419</v>
      </c>
      <c r="I659" s="1" t="s">
        <v>12420</v>
      </c>
      <c r="J659" s="1">
        <v>9139384018</v>
      </c>
      <c r="K659" s="1" t="s">
        <v>84</v>
      </c>
      <c r="L659" s="1" t="s">
        <v>12421</v>
      </c>
      <c r="M659" s="1" t="s">
        <v>86</v>
      </c>
      <c r="N659" s="1" t="s">
        <v>1163</v>
      </c>
      <c r="O659" s="1"/>
      <c r="P659" s="1" t="s">
        <v>455</v>
      </c>
      <c r="Q659" s="1" t="s">
        <v>12422</v>
      </c>
      <c r="R659" s="1" t="s">
        <v>12423</v>
      </c>
      <c r="S659" s="1">
        <v>9158564325</v>
      </c>
      <c r="T659" s="1" t="s">
        <v>159</v>
      </c>
      <c r="U659" s="1" t="s">
        <v>12424</v>
      </c>
      <c r="V659" s="1">
        <v>8999731418</v>
      </c>
      <c r="W659" s="1" t="s">
        <v>12425</v>
      </c>
      <c r="X659" s="1" t="s">
        <v>12426</v>
      </c>
      <c r="Y659" s="1" t="s">
        <v>196</v>
      </c>
      <c r="Z659" s="1" t="s">
        <v>97</v>
      </c>
      <c r="AA659" s="1" t="s">
        <v>12426</v>
      </c>
      <c r="AB659" s="1" t="s">
        <v>196</v>
      </c>
      <c r="AC659" s="1" t="s">
        <v>97</v>
      </c>
      <c r="AD659" s="1">
        <v>8.1</v>
      </c>
      <c r="AE659" s="1" t="s">
        <v>98</v>
      </c>
      <c r="AF659" s="1" t="s">
        <v>12427</v>
      </c>
      <c r="AG659" s="1" t="s">
        <v>12428</v>
      </c>
      <c r="AH659" s="1" t="s">
        <v>106</v>
      </c>
      <c r="AI659" s="1" t="s">
        <v>438</v>
      </c>
      <c r="AJ659" s="1">
        <v>83.8</v>
      </c>
      <c r="AK659" s="1"/>
      <c r="AL659" s="1"/>
      <c r="AM659" s="1"/>
      <c r="AN659" s="1"/>
      <c r="AO659" s="1"/>
      <c r="AP659" s="1"/>
      <c r="AQ659" s="1"/>
      <c r="AR659" s="1"/>
      <c r="AS659" s="1" t="s">
        <v>103</v>
      </c>
      <c r="AT659" s="1" t="s">
        <v>12429</v>
      </c>
      <c r="AU659" s="1" t="s">
        <v>315</v>
      </c>
      <c r="AV659" s="1" t="s">
        <v>110</v>
      </c>
      <c r="AW659" s="1">
        <v>78</v>
      </c>
      <c r="AX659" s="1"/>
      <c r="AY659" s="1" t="s">
        <v>366</v>
      </c>
      <c r="AZ659" s="1" t="s">
        <v>12430</v>
      </c>
      <c r="BA659" s="1"/>
      <c r="BB659" s="1"/>
      <c r="BC659" s="1" t="s">
        <v>1889</v>
      </c>
      <c r="BD659" s="1" t="s">
        <v>848</v>
      </c>
      <c r="BE659" s="1">
        <v>62.48</v>
      </c>
      <c r="BF659" s="1">
        <v>7.02</v>
      </c>
      <c r="BG659" s="1"/>
      <c r="BH659" s="1"/>
      <c r="BI659" s="1"/>
      <c r="BJ659" s="1"/>
      <c r="BK659" s="1"/>
      <c r="BL659" s="1"/>
      <c r="BM659" s="1"/>
      <c r="BN659" s="1"/>
      <c r="BO659" s="1" t="s">
        <v>849</v>
      </c>
      <c r="BP659" s="1"/>
      <c r="BQ659" s="1"/>
      <c r="BR659" s="1" t="s">
        <v>12431</v>
      </c>
      <c r="BS659" s="1">
        <v>84</v>
      </c>
      <c r="BT659" s="1"/>
      <c r="BU659" s="1" t="str">
        <f>HYPERLINK("https://nconnect.nicmar.ac.in/storage/profile/ProfilePhoto_P25700663_453187.jpg","Download")</f>
        <v>0</v>
      </c>
      <c r="BV659" s="3"/>
      <c r="BW659" s="3"/>
    </row>
    <row r="660" spans="1:75">
      <c r="A660" s="1" t="s">
        <v>75</v>
      </c>
      <c r="B660" s="1" t="s">
        <v>446</v>
      </c>
      <c r="C660" s="1" t="s">
        <v>12432</v>
      </c>
      <c r="D660" s="1" t="s">
        <v>12433</v>
      </c>
      <c r="E660" s="1" t="s">
        <v>12434</v>
      </c>
      <c r="F660" s="1" t="s">
        <v>4037</v>
      </c>
      <c r="G660" s="1" t="s">
        <v>12435</v>
      </c>
      <c r="H660" s="1" t="s">
        <v>12436</v>
      </c>
      <c r="I660" s="1" t="s">
        <v>12437</v>
      </c>
      <c r="J660" s="1">
        <v>7989008011</v>
      </c>
      <c r="K660" s="1" t="s">
        <v>84</v>
      </c>
      <c r="L660" s="1" t="s">
        <v>12438</v>
      </c>
      <c r="M660" s="1" t="s">
        <v>86</v>
      </c>
      <c r="N660" s="1" t="s">
        <v>12439</v>
      </c>
      <c r="O660" s="1"/>
      <c r="P660" s="1" t="s">
        <v>507</v>
      </c>
      <c r="Q660" s="1" t="s">
        <v>12440</v>
      </c>
      <c r="R660" s="1" t="s">
        <v>12441</v>
      </c>
      <c r="S660" s="1">
        <v>8886493636</v>
      </c>
      <c r="T660" s="1" t="s">
        <v>839</v>
      </c>
      <c r="U660" s="1" t="s">
        <v>12442</v>
      </c>
      <c r="V660" s="1">
        <v>9949800029</v>
      </c>
      <c r="W660" s="1" t="s">
        <v>541</v>
      </c>
      <c r="X660" s="1" t="s">
        <v>12443</v>
      </c>
      <c r="Y660" s="1" t="s">
        <v>3031</v>
      </c>
      <c r="Z660" s="1" t="s">
        <v>461</v>
      </c>
      <c r="AA660" s="1" t="s">
        <v>12443</v>
      </c>
      <c r="AB660" s="1" t="s">
        <v>3031</v>
      </c>
      <c r="AC660" s="1" t="s">
        <v>461</v>
      </c>
      <c r="AD660" s="1">
        <v>8.77</v>
      </c>
      <c r="AE660" s="1" t="s">
        <v>98</v>
      </c>
      <c r="AF660" s="1" t="s">
        <v>12444</v>
      </c>
      <c r="AG660" s="1" t="s">
        <v>12445</v>
      </c>
      <c r="AH660" s="1" t="s">
        <v>388</v>
      </c>
      <c r="AI660" s="1" t="s">
        <v>171</v>
      </c>
      <c r="AJ660" s="1">
        <v>78</v>
      </c>
      <c r="AK660" s="1"/>
      <c r="AL660" s="1" t="s">
        <v>12444</v>
      </c>
      <c r="AM660" s="1" t="s">
        <v>12446</v>
      </c>
      <c r="AN660" s="1" t="s">
        <v>465</v>
      </c>
      <c r="AO660" s="1" t="s">
        <v>174</v>
      </c>
      <c r="AP660" s="1" t="s">
        <v>178</v>
      </c>
      <c r="AQ660" s="1">
        <v>81.2</v>
      </c>
      <c r="AR660" s="1"/>
      <c r="AS660" s="1"/>
      <c r="AT660" s="1"/>
      <c r="AU660" s="1"/>
      <c r="AV660" s="1"/>
      <c r="AW660" s="1"/>
      <c r="AX660" s="1"/>
      <c r="AY660" s="1" t="s">
        <v>550</v>
      </c>
      <c r="AZ660" s="1" t="s">
        <v>12447</v>
      </c>
      <c r="BA660" s="1" t="s">
        <v>466</v>
      </c>
      <c r="BB660" s="1" t="s">
        <v>467</v>
      </c>
      <c r="BC660" s="1" t="s">
        <v>890</v>
      </c>
      <c r="BD660" s="1" t="s">
        <v>1242</v>
      </c>
      <c r="BE660" s="1">
        <v>75.8</v>
      </c>
      <c r="BF660" s="1">
        <v>7.58</v>
      </c>
      <c r="BG660" s="1"/>
      <c r="BH660" s="1"/>
      <c r="BI660" s="1"/>
      <c r="BJ660" s="1"/>
      <c r="BK660" s="1"/>
      <c r="BL660" s="1"/>
      <c r="BM660" s="1"/>
      <c r="BN660" s="1"/>
      <c r="BO660" s="1" t="s">
        <v>12448</v>
      </c>
      <c r="BP660" s="1"/>
      <c r="BQ660" s="1"/>
      <c r="BR660" s="1" t="s">
        <v>12449</v>
      </c>
      <c r="BS660" s="1">
        <v>8</v>
      </c>
      <c r="BT660" s="1" t="s">
        <v>12450</v>
      </c>
      <c r="BU660" s="1" t="str">
        <f>HYPERLINK("https://nconnect.nicmar.ac.in/storage/profile/ProfilePhoto_P25700664_238457.jpg","Download")</f>
        <v>0</v>
      </c>
      <c r="BV660" s="3"/>
      <c r="BW660" s="3"/>
    </row>
    <row r="661" spans="1:75">
      <c r="A661" s="1" t="s">
        <v>75</v>
      </c>
      <c r="B661" s="1" t="s">
        <v>446</v>
      </c>
      <c r="C661" s="1" t="s">
        <v>12451</v>
      </c>
      <c r="D661" s="1" t="s">
        <v>12452</v>
      </c>
      <c r="E661" s="1" t="s">
        <v>12453</v>
      </c>
      <c r="F661" s="1" t="s">
        <v>12454</v>
      </c>
      <c r="G661" s="1" t="s">
        <v>12455</v>
      </c>
      <c r="H661" s="1" t="s">
        <v>12456</v>
      </c>
      <c r="I661" s="1" t="s">
        <v>12457</v>
      </c>
      <c r="J661" s="1">
        <v>9284871398</v>
      </c>
      <c r="K661" s="1" t="s">
        <v>153</v>
      </c>
      <c r="L661" s="1" t="s">
        <v>12458</v>
      </c>
      <c r="M661" s="1" t="s">
        <v>86</v>
      </c>
      <c r="N661" s="1" t="s">
        <v>12459</v>
      </c>
      <c r="O661" s="1"/>
      <c r="P661" s="1" t="s">
        <v>507</v>
      </c>
      <c r="Q661" s="1" t="s">
        <v>12460</v>
      </c>
      <c r="R661" s="1" t="s">
        <v>12453</v>
      </c>
      <c r="S661" s="1">
        <v>7666153704</v>
      </c>
      <c r="T661" s="1" t="s">
        <v>7168</v>
      </c>
      <c r="U661" s="1" t="s">
        <v>12461</v>
      </c>
      <c r="V661" s="1">
        <v>9930577348</v>
      </c>
      <c r="W661" s="1" t="s">
        <v>161</v>
      </c>
      <c r="X661" s="1" t="s">
        <v>12462</v>
      </c>
      <c r="Y661" s="1" t="s">
        <v>1012</v>
      </c>
      <c r="Z661" s="1" t="s">
        <v>97</v>
      </c>
      <c r="AA661" s="1" t="s">
        <v>12462</v>
      </c>
      <c r="AB661" s="1" t="s">
        <v>1012</v>
      </c>
      <c r="AC661" s="1" t="s">
        <v>97</v>
      </c>
      <c r="AD661" s="1">
        <v>8.1</v>
      </c>
      <c r="AE661" s="1" t="s">
        <v>98</v>
      </c>
      <c r="AF661" s="1" t="s">
        <v>12463</v>
      </c>
      <c r="AG661" s="1" t="s">
        <v>12464</v>
      </c>
      <c r="AH661" s="1" t="s">
        <v>167</v>
      </c>
      <c r="AI661" s="1" t="s">
        <v>170</v>
      </c>
      <c r="AJ661" s="1">
        <v>82.2</v>
      </c>
      <c r="AK661" s="1">
        <v>0</v>
      </c>
      <c r="AL661" s="1" t="s">
        <v>12465</v>
      </c>
      <c r="AM661" s="1" t="s">
        <v>12466</v>
      </c>
      <c r="AN661" s="1" t="s">
        <v>465</v>
      </c>
      <c r="AO661" s="1" t="s">
        <v>106</v>
      </c>
      <c r="AP661" s="1" t="s">
        <v>203</v>
      </c>
      <c r="AQ661" s="1">
        <v>67.85</v>
      </c>
      <c r="AR661" s="1">
        <v>0</v>
      </c>
      <c r="AS661" s="1"/>
      <c r="AT661" s="1"/>
      <c r="AU661" s="1"/>
      <c r="AV661" s="1"/>
      <c r="AW661" s="1"/>
      <c r="AX661" s="1"/>
      <c r="AY661" s="1" t="s">
        <v>258</v>
      </c>
      <c r="AZ661" s="1" t="s">
        <v>12467</v>
      </c>
      <c r="BA661" s="1" t="s">
        <v>682</v>
      </c>
      <c r="BB661" s="1" t="s">
        <v>683</v>
      </c>
      <c r="BC661" s="1" t="s">
        <v>206</v>
      </c>
      <c r="BD661" s="1" t="s">
        <v>418</v>
      </c>
      <c r="BE661" s="1">
        <v>76.75</v>
      </c>
      <c r="BF661" s="1">
        <v>8.75</v>
      </c>
      <c r="BG661" s="1"/>
      <c r="BH661" s="1"/>
      <c r="BI661" s="1"/>
      <c r="BJ661" s="1"/>
      <c r="BK661" s="1"/>
      <c r="BL661" s="1"/>
      <c r="BM661" s="1"/>
      <c r="BN661" s="1"/>
      <c r="BO661" s="1" t="s">
        <v>12468</v>
      </c>
      <c r="BP661" s="1" t="s">
        <v>12469</v>
      </c>
      <c r="BQ661" s="1" t="s">
        <v>1070</v>
      </c>
      <c r="BR661" s="1" t="s">
        <v>12470</v>
      </c>
      <c r="BS661" s="1">
        <v>32</v>
      </c>
      <c r="BT661" s="1" t="s">
        <v>12471</v>
      </c>
      <c r="BU661" s="1" t="str">
        <f>HYPERLINK("https://nconnect.nicmar.ac.in/storage/profile/ProfilePhoto_P25700665_185362.jpg","Download")</f>
        <v>0</v>
      </c>
      <c r="BV661" s="3"/>
      <c r="BW661" s="3"/>
    </row>
    <row r="662" spans="1:75">
      <c r="A662" s="1" t="s">
        <v>75</v>
      </c>
      <c r="B662" s="1" t="s">
        <v>446</v>
      </c>
      <c r="C662" s="1" t="s">
        <v>12472</v>
      </c>
      <c r="D662" s="1" t="s">
        <v>6742</v>
      </c>
      <c r="E662" s="1" t="s">
        <v>2098</v>
      </c>
      <c r="F662" s="1" t="s">
        <v>12473</v>
      </c>
      <c r="G662" s="1" t="s">
        <v>12474</v>
      </c>
      <c r="H662" s="1" t="s">
        <v>12475</v>
      </c>
      <c r="I662" s="1" t="s">
        <v>12476</v>
      </c>
      <c r="J662" s="1">
        <v>9975624261</v>
      </c>
      <c r="K662" s="1" t="s">
        <v>84</v>
      </c>
      <c r="L662" s="1" t="s">
        <v>12477</v>
      </c>
      <c r="M662" s="1" t="s">
        <v>86</v>
      </c>
      <c r="N662" s="1" t="s">
        <v>618</v>
      </c>
      <c r="O662" s="1"/>
      <c r="P662" s="1" t="s">
        <v>455</v>
      </c>
      <c r="Q662" s="1" t="s">
        <v>12478</v>
      </c>
      <c r="R662" s="1" t="s">
        <v>12479</v>
      </c>
      <c r="S662" s="1">
        <v>9823172051</v>
      </c>
      <c r="T662" s="1" t="s">
        <v>839</v>
      </c>
      <c r="U662" s="1" t="s">
        <v>12480</v>
      </c>
      <c r="V662" s="1">
        <v>9764250958</v>
      </c>
      <c r="W662" s="1" t="s">
        <v>698</v>
      </c>
      <c r="X662" s="1" t="s">
        <v>12481</v>
      </c>
      <c r="Y662" s="1" t="s">
        <v>224</v>
      </c>
      <c r="Z662" s="1" t="s">
        <v>97</v>
      </c>
      <c r="AA662" s="1" t="s">
        <v>12481</v>
      </c>
      <c r="AB662" s="1" t="s">
        <v>224</v>
      </c>
      <c r="AC662" s="1" t="s">
        <v>97</v>
      </c>
      <c r="AD662" s="1">
        <v>8.05</v>
      </c>
      <c r="AE662" s="1" t="s">
        <v>98</v>
      </c>
      <c r="AF662" s="1" t="s">
        <v>975</v>
      </c>
      <c r="AG662" s="1" t="s">
        <v>12482</v>
      </c>
      <c r="AH662" s="1" t="s">
        <v>257</v>
      </c>
      <c r="AI662" s="1" t="s">
        <v>206</v>
      </c>
      <c r="AJ662" s="1">
        <v>77</v>
      </c>
      <c r="AK662" s="1"/>
      <c r="AL662" s="1" t="s">
        <v>12483</v>
      </c>
      <c r="AM662" s="1" t="s">
        <v>12484</v>
      </c>
      <c r="AN662" s="1"/>
      <c r="AO662" s="1" t="s">
        <v>206</v>
      </c>
      <c r="AP662" s="1" t="s">
        <v>441</v>
      </c>
      <c r="AQ662" s="1">
        <v>88.67</v>
      </c>
      <c r="AR662" s="1"/>
      <c r="AS662" s="1"/>
      <c r="AT662" s="1"/>
      <c r="AU662" s="1"/>
      <c r="AV662" s="1"/>
      <c r="AW662" s="1"/>
      <c r="AX662" s="1"/>
      <c r="AY662" s="1" t="s">
        <v>12485</v>
      </c>
      <c r="AZ662" s="1" t="s">
        <v>12486</v>
      </c>
      <c r="BA662" s="1"/>
      <c r="BB662" s="1"/>
      <c r="BC662" s="1" t="s">
        <v>549</v>
      </c>
      <c r="BD662" s="1" t="s">
        <v>1401</v>
      </c>
      <c r="BE662" s="1">
        <v>78.8</v>
      </c>
      <c r="BF662" s="1">
        <v>8.63</v>
      </c>
      <c r="BG662" s="1"/>
      <c r="BH662" s="1"/>
      <c r="BI662" s="1"/>
      <c r="BJ662" s="1"/>
      <c r="BK662" s="1"/>
      <c r="BL662" s="1"/>
      <c r="BM662" s="1"/>
      <c r="BN662" s="1"/>
      <c r="BO662" s="1" t="s">
        <v>12487</v>
      </c>
      <c r="BP662" s="1"/>
      <c r="BQ662" s="1"/>
      <c r="BR662" s="1" t="s">
        <v>12488</v>
      </c>
      <c r="BS662" s="1">
        <v>32</v>
      </c>
      <c r="BT662" s="1"/>
      <c r="BU662" s="1" t="str">
        <f>HYPERLINK("https://nconnect.nicmar.ac.in/storage/profile/ProfilePhoto_P25700666_356489.jpg","Download")</f>
        <v>0</v>
      </c>
      <c r="BV662" s="3"/>
      <c r="BW662" s="3"/>
    </row>
    <row r="663" spans="1:75">
      <c r="A663" s="1" t="s">
        <v>75</v>
      </c>
      <c r="B663" s="1" t="s">
        <v>446</v>
      </c>
      <c r="C663" s="1" t="s">
        <v>12489</v>
      </c>
      <c r="D663" s="1" t="s">
        <v>9151</v>
      </c>
      <c r="E663" s="1" t="s">
        <v>12490</v>
      </c>
      <c r="F663" s="1" t="s">
        <v>12491</v>
      </c>
      <c r="G663" s="1" t="s">
        <v>12492</v>
      </c>
      <c r="H663" s="1" t="s">
        <v>12493</v>
      </c>
      <c r="I663" s="1" t="s">
        <v>12494</v>
      </c>
      <c r="J663" s="1">
        <v>9975505708</v>
      </c>
      <c r="K663" s="1" t="s">
        <v>84</v>
      </c>
      <c r="L663" s="1" t="s">
        <v>12495</v>
      </c>
      <c r="M663" s="1" t="s">
        <v>86</v>
      </c>
      <c r="N663" s="1" t="s">
        <v>618</v>
      </c>
      <c r="O663" s="1"/>
      <c r="P663" s="1" t="s">
        <v>507</v>
      </c>
      <c r="Q663" s="1" t="s">
        <v>12496</v>
      </c>
      <c r="R663" s="1" t="s">
        <v>12490</v>
      </c>
      <c r="S663" s="1">
        <v>9423494064</v>
      </c>
      <c r="T663" s="1" t="s">
        <v>2024</v>
      </c>
      <c r="U663" s="1" t="s">
        <v>12497</v>
      </c>
      <c r="V663" s="1">
        <v>9421494959</v>
      </c>
      <c r="W663" s="1" t="s">
        <v>2024</v>
      </c>
      <c r="X663" s="1" t="s">
        <v>12498</v>
      </c>
      <c r="Y663" s="1" t="s">
        <v>5659</v>
      </c>
      <c r="Z663" s="1" t="s">
        <v>97</v>
      </c>
      <c r="AA663" s="1" t="s">
        <v>12498</v>
      </c>
      <c r="AB663" s="1" t="s">
        <v>5659</v>
      </c>
      <c r="AC663" s="1" t="s">
        <v>97</v>
      </c>
      <c r="AD663" s="1">
        <v>7.56</v>
      </c>
      <c r="AE663" s="1" t="s">
        <v>98</v>
      </c>
      <c r="AF663" s="1" t="s">
        <v>12499</v>
      </c>
      <c r="AG663" s="1" t="s">
        <v>775</v>
      </c>
      <c r="AH663" s="1" t="s">
        <v>171</v>
      </c>
      <c r="AI663" s="1" t="s">
        <v>313</v>
      </c>
      <c r="AJ663" s="1">
        <v>82.4</v>
      </c>
      <c r="AK663" s="1">
        <v>0</v>
      </c>
      <c r="AL663" s="1"/>
      <c r="AM663" s="1"/>
      <c r="AN663" s="1"/>
      <c r="AO663" s="1"/>
      <c r="AP663" s="1"/>
      <c r="AQ663" s="1"/>
      <c r="AR663" s="1"/>
      <c r="AS663" s="1" t="s">
        <v>103</v>
      </c>
      <c r="AT663" s="1" t="s">
        <v>12500</v>
      </c>
      <c r="AU663" s="1" t="s">
        <v>315</v>
      </c>
      <c r="AV663" s="1" t="s">
        <v>1400</v>
      </c>
      <c r="AW663" s="1">
        <v>82.21</v>
      </c>
      <c r="AX663" s="1">
        <v>0</v>
      </c>
      <c r="AY663" s="1" t="s">
        <v>366</v>
      </c>
      <c r="AZ663" s="1" t="s">
        <v>7125</v>
      </c>
      <c r="BA663" s="1"/>
      <c r="BB663" s="1"/>
      <c r="BC663" s="1" t="s">
        <v>1889</v>
      </c>
      <c r="BD663" s="1" t="s">
        <v>848</v>
      </c>
      <c r="BE663" s="1">
        <v>63.5</v>
      </c>
      <c r="BF663" s="1">
        <v>7.1</v>
      </c>
      <c r="BG663" s="1"/>
      <c r="BH663" s="1"/>
      <c r="BI663" s="1"/>
      <c r="BJ663" s="1"/>
      <c r="BK663" s="1"/>
      <c r="BL663" s="1"/>
      <c r="BM663" s="1"/>
      <c r="BN663" s="1"/>
      <c r="BO663" s="1" t="s">
        <v>12501</v>
      </c>
      <c r="BP663" s="1"/>
      <c r="BQ663" s="1"/>
      <c r="BR663" s="1" t="s">
        <v>12502</v>
      </c>
      <c r="BS663" s="1">
        <v>13</v>
      </c>
      <c r="BT663" s="1"/>
      <c r="BU663" s="1" t="str">
        <f>HYPERLINK("https://nconnect.nicmar.ac.in/storage/profile/ProfilePhoto_P25700667_685391.jpg","Download")</f>
        <v>0</v>
      </c>
      <c r="BV663" s="3"/>
      <c r="BW663" s="3"/>
    </row>
    <row r="664" spans="1:75">
      <c r="A664" s="1" t="s">
        <v>75</v>
      </c>
      <c r="B664" s="1" t="s">
        <v>446</v>
      </c>
      <c r="C664" s="1" t="s">
        <v>12503</v>
      </c>
      <c r="D664" s="1" t="s">
        <v>12504</v>
      </c>
      <c r="E664" s="1" t="s">
        <v>12505</v>
      </c>
      <c r="F664" s="1" t="s">
        <v>6636</v>
      </c>
      <c r="G664" s="1" t="s">
        <v>12506</v>
      </c>
      <c r="H664" s="1" t="s">
        <v>12507</v>
      </c>
      <c r="I664" s="1" t="s">
        <v>12508</v>
      </c>
      <c r="J664" s="1">
        <v>9137916664</v>
      </c>
      <c r="K664" s="1" t="s">
        <v>84</v>
      </c>
      <c r="L664" s="1" t="s">
        <v>12509</v>
      </c>
      <c r="M664" s="1" t="s">
        <v>86</v>
      </c>
      <c r="N664" s="1" t="s">
        <v>12510</v>
      </c>
      <c r="O664" s="1"/>
      <c r="P664" s="1" t="s">
        <v>507</v>
      </c>
      <c r="Q664" s="1" t="s">
        <v>12511</v>
      </c>
      <c r="R664" s="1" t="s">
        <v>12512</v>
      </c>
      <c r="S664" s="1">
        <v>9833311194</v>
      </c>
      <c r="T664" s="1" t="s">
        <v>11495</v>
      </c>
      <c r="U664" s="1" t="s">
        <v>12513</v>
      </c>
      <c r="V664" s="1">
        <v>9137366059</v>
      </c>
      <c r="W664" s="1" t="s">
        <v>161</v>
      </c>
      <c r="X664" s="1" t="s">
        <v>12514</v>
      </c>
      <c r="Y664" s="1" t="s">
        <v>2259</v>
      </c>
      <c r="Z664" s="1" t="s">
        <v>97</v>
      </c>
      <c r="AA664" s="1" t="s">
        <v>12514</v>
      </c>
      <c r="AB664" s="1" t="s">
        <v>2259</v>
      </c>
      <c r="AC664" s="1" t="s">
        <v>97</v>
      </c>
      <c r="AD664" s="1">
        <v>7.97</v>
      </c>
      <c r="AE664" s="1" t="s">
        <v>98</v>
      </c>
      <c r="AF664" s="1" t="s">
        <v>2261</v>
      </c>
      <c r="AG664" s="1" t="s">
        <v>12515</v>
      </c>
      <c r="AH664" s="1" t="s">
        <v>12276</v>
      </c>
      <c r="AI664" s="1" t="s">
        <v>515</v>
      </c>
      <c r="AJ664" s="1">
        <v>80.6</v>
      </c>
      <c r="AK664" s="1"/>
      <c r="AL664" s="1"/>
      <c r="AM664" s="1"/>
      <c r="AN664" s="1"/>
      <c r="AO664" s="1"/>
      <c r="AP664" s="1"/>
      <c r="AQ664" s="1"/>
      <c r="AR664" s="1"/>
      <c r="AS664" s="1" t="s">
        <v>439</v>
      </c>
      <c r="AT664" s="1" t="s">
        <v>12516</v>
      </c>
      <c r="AU664" s="1" t="s">
        <v>1065</v>
      </c>
      <c r="AV664" s="1" t="s">
        <v>441</v>
      </c>
      <c r="AW664" s="1">
        <v>93.7</v>
      </c>
      <c r="AX664" s="1"/>
      <c r="AY664" s="1" t="s">
        <v>680</v>
      </c>
      <c r="AZ664" s="1" t="s">
        <v>12517</v>
      </c>
      <c r="BA664" s="1"/>
      <c r="BB664" s="1"/>
      <c r="BC664" s="1" t="s">
        <v>871</v>
      </c>
      <c r="BD664" s="1" t="s">
        <v>418</v>
      </c>
      <c r="BE664" s="1">
        <v>72.07</v>
      </c>
      <c r="BF664" s="1">
        <v>8.02</v>
      </c>
      <c r="BG664" s="1"/>
      <c r="BH664" s="1"/>
      <c r="BI664" s="1"/>
      <c r="BJ664" s="1"/>
      <c r="BK664" s="1"/>
      <c r="BL664" s="1"/>
      <c r="BM664" s="1"/>
      <c r="BN664" s="1"/>
      <c r="BO664" s="1" t="s">
        <v>12518</v>
      </c>
      <c r="BP664" s="1" t="s">
        <v>12519</v>
      </c>
      <c r="BQ664" s="1" t="s">
        <v>1070</v>
      </c>
      <c r="BR664" s="1" t="s">
        <v>12520</v>
      </c>
      <c r="BS664" s="1">
        <v>20</v>
      </c>
      <c r="BT664" s="1"/>
      <c r="BU664" s="1" t="str">
        <f>HYPERLINK("https://nconnect.nicmar.ac.in/storage/profile/ProfilePhoto_P25700668_892617.jpg","Download")</f>
        <v>0</v>
      </c>
      <c r="BV664" s="3"/>
      <c r="BW664" s="3"/>
    </row>
    <row r="665" spans="1:75">
      <c r="A665" s="1" t="s">
        <v>75</v>
      </c>
      <c r="B665" s="1" t="s">
        <v>446</v>
      </c>
      <c r="C665" s="1" t="s">
        <v>12521</v>
      </c>
      <c r="D665" s="1" t="s">
        <v>12522</v>
      </c>
      <c r="E665" s="1" t="s">
        <v>5482</v>
      </c>
      <c r="F665" s="1" t="s">
        <v>12523</v>
      </c>
      <c r="G665" s="1" t="s">
        <v>12524</v>
      </c>
      <c r="H665" s="1" t="s">
        <v>12525</v>
      </c>
      <c r="I665" s="1" t="s">
        <v>12526</v>
      </c>
      <c r="J665" s="1">
        <v>8984683220</v>
      </c>
      <c r="K665" s="1" t="s">
        <v>84</v>
      </c>
      <c r="L665" s="1" t="s">
        <v>12527</v>
      </c>
      <c r="M665" s="1" t="s">
        <v>86</v>
      </c>
      <c r="N665" s="1" t="s">
        <v>1573</v>
      </c>
      <c r="O665" s="1"/>
      <c r="P665" s="1" t="s">
        <v>507</v>
      </c>
      <c r="Q665" s="1" t="s">
        <v>12528</v>
      </c>
      <c r="R665" s="1" t="s">
        <v>12529</v>
      </c>
      <c r="S665" s="1">
        <v>8984683220</v>
      </c>
      <c r="T665" s="1" t="s">
        <v>12530</v>
      </c>
      <c r="U665" s="1" t="s">
        <v>12531</v>
      </c>
      <c r="V665" s="1">
        <v>8984524063</v>
      </c>
      <c r="W665" s="1" t="s">
        <v>161</v>
      </c>
      <c r="X665" s="1" t="s">
        <v>12532</v>
      </c>
      <c r="Y665" s="1" t="s">
        <v>1259</v>
      </c>
      <c r="Z665" s="1" t="s">
        <v>865</v>
      </c>
      <c r="AA665" s="1" t="s">
        <v>12532</v>
      </c>
      <c r="AB665" s="1" t="s">
        <v>1259</v>
      </c>
      <c r="AC665" s="1" t="s">
        <v>865</v>
      </c>
      <c r="AD665" s="1">
        <v>7.69</v>
      </c>
      <c r="AE665" s="1" t="s">
        <v>98</v>
      </c>
      <c r="AF665" s="1" t="s">
        <v>12533</v>
      </c>
      <c r="AG665" s="1" t="s">
        <v>9583</v>
      </c>
      <c r="AH665" s="1" t="s">
        <v>515</v>
      </c>
      <c r="AI665" s="1" t="s">
        <v>1110</v>
      </c>
      <c r="AJ665" s="1">
        <v>95</v>
      </c>
      <c r="AK665" s="1">
        <v>10</v>
      </c>
      <c r="AL665" s="1" t="s">
        <v>12534</v>
      </c>
      <c r="AM665" s="1" t="s">
        <v>9583</v>
      </c>
      <c r="AN665" s="1"/>
      <c r="AO665" s="1" t="s">
        <v>1110</v>
      </c>
      <c r="AP665" s="1" t="s">
        <v>573</v>
      </c>
      <c r="AQ665" s="1">
        <v>85</v>
      </c>
      <c r="AR665" s="1"/>
      <c r="AS665" s="1"/>
      <c r="AT665" s="1"/>
      <c r="AU665" s="1"/>
      <c r="AV665" s="1"/>
      <c r="AW665" s="1"/>
      <c r="AX665" s="1"/>
      <c r="AY665" s="1" t="s">
        <v>2614</v>
      </c>
      <c r="AZ665" s="1" t="s">
        <v>3402</v>
      </c>
      <c r="BA665" s="1"/>
      <c r="BB665" s="1"/>
      <c r="BC665" s="1" t="s">
        <v>170</v>
      </c>
      <c r="BD665" s="1" t="s">
        <v>847</v>
      </c>
      <c r="BE665" s="1">
        <v>86.58</v>
      </c>
      <c r="BF665" s="1">
        <v>8.14</v>
      </c>
      <c r="BG665" s="1"/>
      <c r="BH665" s="1"/>
      <c r="BI665" s="1"/>
      <c r="BJ665" s="1"/>
      <c r="BK665" s="1"/>
      <c r="BL665" s="1"/>
      <c r="BM665" s="1"/>
      <c r="BN665" s="1"/>
      <c r="BO665" s="1" t="s">
        <v>12535</v>
      </c>
      <c r="BP665" s="1"/>
      <c r="BQ665" s="1"/>
      <c r="BR665" s="1" t="s">
        <v>12536</v>
      </c>
      <c r="BS665" s="1">
        <v>15</v>
      </c>
      <c r="BT665" s="1"/>
      <c r="BU665" s="1" t="str">
        <f>HYPERLINK("https://nconnect.nicmar.ac.in/storage/profile/ProfilePhoto_P25700669_295168.jpg","Download")</f>
        <v>0</v>
      </c>
      <c r="BV665" s="3"/>
      <c r="BW665" s="3"/>
    </row>
    <row r="666" spans="1:75">
      <c r="A666" s="1" t="s">
        <v>75</v>
      </c>
      <c r="B666" s="1" t="s">
        <v>446</v>
      </c>
      <c r="C666" s="1" t="s">
        <v>12537</v>
      </c>
      <c r="D666" s="1" t="s">
        <v>12538</v>
      </c>
      <c r="E666" s="1"/>
      <c r="F666" s="1" t="s">
        <v>12539</v>
      </c>
      <c r="G666" s="1" t="s">
        <v>12540</v>
      </c>
      <c r="H666" s="1" t="s">
        <v>12541</v>
      </c>
      <c r="I666" s="1" t="s">
        <v>12542</v>
      </c>
      <c r="J666" s="1">
        <v>6362521917</v>
      </c>
      <c r="K666" s="1" t="s">
        <v>84</v>
      </c>
      <c r="L666" s="1" t="s">
        <v>3206</v>
      </c>
      <c r="M666" s="1" t="s">
        <v>86</v>
      </c>
      <c r="N666" s="1" t="s">
        <v>8091</v>
      </c>
      <c r="O666" s="1"/>
      <c r="P666" s="1" t="s">
        <v>670</v>
      </c>
      <c r="Q666" s="1" t="s">
        <v>12543</v>
      </c>
      <c r="R666" s="1" t="s">
        <v>12544</v>
      </c>
      <c r="S666" s="1">
        <v>9916008484</v>
      </c>
      <c r="T666" s="1" t="s">
        <v>159</v>
      </c>
      <c r="U666" s="1" t="s">
        <v>12545</v>
      </c>
      <c r="V666" s="1">
        <v>9148542866</v>
      </c>
      <c r="W666" s="1" t="s">
        <v>278</v>
      </c>
      <c r="X666" s="1" t="s">
        <v>12546</v>
      </c>
      <c r="Y666" s="1" t="s">
        <v>6453</v>
      </c>
      <c r="Z666" s="1" t="s">
        <v>1210</v>
      </c>
      <c r="AA666" s="1" t="s">
        <v>12546</v>
      </c>
      <c r="AB666" s="1" t="s">
        <v>6453</v>
      </c>
      <c r="AC666" s="1" t="s">
        <v>1210</v>
      </c>
      <c r="AD666" s="1">
        <v>8.23</v>
      </c>
      <c r="AE666" s="1" t="s">
        <v>98</v>
      </c>
      <c r="AF666" s="1" t="s">
        <v>12547</v>
      </c>
      <c r="AG666" s="1" t="s">
        <v>12548</v>
      </c>
      <c r="AH666" s="1" t="s">
        <v>171</v>
      </c>
      <c r="AI666" s="1" t="s">
        <v>313</v>
      </c>
      <c r="AJ666" s="1">
        <v>75.2</v>
      </c>
      <c r="AK666" s="1"/>
      <c r="AL666" s="1" t="s">
        <v>12549</v>
      </c>
      <c r="AM666" s="1" t="s">
        <v>12550</v>
      </c>
      <c r="AN666" s="1" t="s">
        <v>575</v>
      </c>
      <c r="AO666" s="1" t="s">
        <v>178</v>
      </c>
      <c r="AP666" s="1" t="s">
        <v>549</v>
      </c>
      <c r="AQ666" s="1">
        <v>86.66</v>
      </c>
      <c r="AR666" s="1"/>
      <c r="AS666" s="1"/>
      <c r="AT666" s="1"/>
      <c r="AU666" s="1"/>
      <c r="AV666" s="1"/>
      <c r="AW666" s="1"/>
      <c r="AX666" s="1"/>
      <c r="AY666" s="1" t="s">
        <v>12551</v>
      </c>
      <c r="AZ666" s="1" t="s">
        <v>12552</v>
      </c>
      <c r="BA666" s="1" t="s">
        <v>578</v>
      </c>
      <c r="BB666" s="1" t="s">
        <v>467</v>
      </c>
      <c r="BC666" s="1" t="s">
        <v>871</v>
      </c>
      <c r="BD666" s="1" t="s">
        <v>848</v>
      </c>
      <c r="BE666" s="1">
        <v>78.1</v>
      </c>
      <c r="BF666" s="1">
        <v>7.81</v>
      </c>
      <c r="BG666" s="1"/>
      <c r="BH666" s="1"/>
      <c r="BI666" s="1"/>
      <c r="BJ666" s="1"/>
      <c r="BK666" s="1"/>
      <c r="BL666" s="1"/>
      <c r="BM666" s="1"/>
      <c r="BN666" s="1"/>
      <c r="BO666" s="1" t="s">
        <v>12553</v>
      </c>
      <c r="BP666" s="1"/>
      <c r="BQ666" s="1"/>
      <c r="BR666" s="1" t="s">
        <v>12554</v>
      </c>
      <c r="BS666" s="1">
        <v>19</v>
      </c>
      <c r="BT666" s="1" t="s">
        <v>12555</v>
      </c>
      <c r="BU666" s="1" t="str">
        <f>HYPERLINK("https://nconnect.nicmar.ac.in/storage/profile/ProfilePhoto_P25700670_485319.jpg","Download")</f>
        <v>0</v>
      </c>
      <c r="BV666" s="3"/>
      <c r="BW666" s="3"/>
    </row>
    <row r="667" spans="1:75">
      <c r="A667" s="1" t="s">
        <v>75</v>
      </c>
      <c r="B667" s="1" t="s">
        <v>446</v>
      </c>
      <c r="C667" s="1" t="s">
        <v>12556</v>
      </c>
      <c r="D667" s="1" t="s">
        <v>12557</v>
      </c>
      <c r="E667" s="1"/>
      <c r="F667" s="1" t="s">
        <v>116</v>
      </c>
      <c r="G667" s="1" t="s">
        <v>12558</v>
      </c>
      <c r="H667" s="1" t="s">
        <v>12559</v>
      </c>
      <c r="I667" s="1" t="s">
        <v>12560</v>
      </c>
      <c r="J667" s="1">
        <v>7395910769</v>
      </c>
      <c r="K667" s="1" t="s">
        <v>84</v>
      </c>
      <c r="L667" s="1" t="s">
        <v>12561</v>
      </c>
      <c r="M667" s="1" t="s">
        <v>86</v>
      </c>
      <c r="N667" s="1" t="s">
        <v>12562</v>
      </c>
      <c r="O667" s="1"/>
      <c r="P667" s="1" t="s">
        <v>455</v>
      </c>
      <c r="Q667" s="1" t="s">
        <v>12563</v>
      </c>
      <c r="R667" s="1" t="s">
        <v>12564</v>
      </c>
      <c r="S667" s="1">
        <v>9444767739</v>
      </c>
      <c r="T667" s="1" t="s">
        <v>4894</v>
      </c>
      <c r="U667" s="1" t="s">
        <v>12565</v>
      </c>
      <c r="V667" s="1">
        <v>9941955909</v>
      </c>
      <c r="W667" s="1" t="s">
        <v>541</v>
      </c>
      <c r="X667" s="1" t="s">
        <v>12566</v>
      </c>
      <c r="Y667" s="1" t="s">
        <v>1498</v>
      </c>
      <c r="Z667" s="1" t="s">
        <v>570</v>
      </c>
      <c r="AA667" s="1" t="s">
        <v>12566</v>
      </c>
      <c r="AB667" s="1" t="s">
        <v>1498</v>
      </c>
      <c r="AC667" s="1" t="s">
        <v>570</v>
      </c>
      <c r="AD667" s="1">
        <v>8.13</v>
      </c>
      <c r="AE667" s="1" t="s">
        <v>98</v>
      </c>
      <c r="AF667" s="1" t="s">
        <v>12394</v>
      </c>
      <c r="AG667" s="1" t="s">
        <v>11617</v>
      </c>
      <c r="AH667" s="1" t="s">
        <v>286</v>
      </c>
      <c r="AI667" s="1" t="s">
        <v>414</v>
      </c>
      <c r="AJ667" s="1">
        <v>80.4</v>
      </c>
      <c r="AK667" s="1">
        <v>0</v>
      </c>
      <c r="AL667" s="1" t="s">
        <v>12394</v>
      </c>
      <c r="AM667" s="1" t="s">
        <v>11617</v>
      </c>
      <c r="AN667" s="1" t="s">
        <v>465</v>
      </c>
      <c r="AO667" s="1" t="s">
        <v>313</v>
      </c>
      <c r="AP667" s="1" t="s">
        <v>845</v>
      </c>
      <c r="AQ667" s="1">
        <v>84.84</v>
      </c>
      <c r="AR667" s="1">
        <v>0</v>
      </c>
      <c r="AS667" s="1"/>
      <c r="AT667" s="1"/>
      <c r="AU667" s="1"/>
      <c r="AV667" s="1"/>
      <c r="AW667" s="1"/>
      <c r="AX667" s="1"/>
      <c r="AY667" s="1" t="s">
        <v>12567</v>
      </c>
      <c r="AZ667" s="1" t="s">
        <v>12568</v>
      </c>
      <c r="BA667" s="1" t="s">
        <v>578</v>
      </c>
      <c r="BB667" s="1" t="s">
        <v>467</v>
      </c>
      <c r="BC667" s="1" t="s">
        <v>549</v>
      </c>
      <c r="BD667" s="1" t="s">
        <v>607</v>
      </c>
      <c r="BE667" s="1">
        <v>71.4</v>
      </c>
      <c r="BF667" s="1">
        <v>7.14</v>
      </c>
      <c r="BG667" s="1"/>
      <c r="BH667" s="1"/>
      <c r="BI667" s="1"/>
      <c r="BJ667" s="1"/>
      <c r="BK667" s="1"/>
      <c r="BL667" s="1"/>
      <c r="BM667" s="1"/>
      <c r="BN667" s="1"/>
      <c r="BO667" s="1" t="s">
        <v>12569</v>
      </c>
      <c r="BP667" s="1"/>
      <c r="BQ667" s="1"/>
      <c r="BR667" s="1" t="s">
        <v>12570</v>
      </c>
      <c r="BS667" s="1">
        <v>15</v>
      </c>
      <c r="BT667" s="1"/>
      <c r="BU667" s="1" t="str">
        <f>HYPERLINK("https://nconnect.nicmar.ac.in/storage/profile/ProfilePhoto_P25700671_749136.jpg","Download")</f>
        <v>0</v>
      </c>
      <c r="BV667" s="3"/>
      <c r="BW667" s="3"/>
    </row>
    <row r="668" spans="1:75">
      <c r="A668" s="1" t="s">
        <v>75</v>
      </c>
      <c r="B668" s="1" t="s">
        <v>446</v>
      </c>
      <c r="C668" s="1" t="s">
        <v>12571</v>
      </c>
      <c r="D668" s="1" t="s">
        <v>12572</v>
      </c>
      <c r="E668" s="1" t="s">
        <v>12573</v>
      </c>
      <c r="F668" s="1" t="s">
        <v>8106</v>
      </c>
      <c r="G668" s="1" t="s">
        <v>12574</v>
      </c>
      <c r="H668" s="1" t="s">
        <v>12575</v>
      </c>
      <c r="I668" s="1" t="s">
        <v>12576</v>
      </c>
      <c r="J668" s="1">
        <v>9552016176</v>
      </c>
      <c r="K668" s="1" t="s">
        <v>153</v>
      </c>
      <c r="L668" s="1" t="s">
        <v>12577</v>
      </c>
      <c r="M668" s="1" t="s">
        <v>86</v>
      </c>
      <c r="N668" s="1" t="s">
        <v>1163</v>
      </c>
      <c r="O668" s="1"/>
      <c r="P668" s="1" t="s">
        <v>481</v>
      </c>
      <c r="Q668" s="1" t="s">
        <v>12578</v>
      </c>
      <c r="R668" s="1" t="s">
        <v>12573</v>
      </c>
      <c r="S668" s="1">
        <v>9923352853</v>
      </c>
      <c r="T668" s="1" t="s">
        <v>645</v>
      </c>
      <c r="U668" s="1" t="s">
        <v>12579</v>
      </c>
      <c r="V668" s="1">
        <v>9637541019</v>
      </c>
      <c r="W668" s="1" t="s">
        <v>127</v>
      </c>
      <c r="X668" s="1" t="s">
        <v>12580</v>
      </c>
      <c r="Y668" s="1" t="s">
        <v>196</v>
      </c>
      <c r="Z668" s="1" t="s">
        <v>97</v>
      </c>
      <c r="AA668" s="1" t="s">
        <v>12580</v>
      </c>
      <c r="AB668" s="1" t="s">
        <v>196</v>
      </c>
      <c r="AC668" s="1" t="s">
        <v>97</v>
      </c>
      <c r="AD668" s="1">
        <v>8.67</v>
      </c>
      <c r="AE668" s="1" t="s">
        <v>98</v>
      </c>
      <c r="AF668" s="1" t="s">
        <v>12581</v>
      </c>
      <c r="AG668" s="1" t="s">
        <v>12582</v>
      </c>
      <c r="AH668" s="1" t="s">
        <v>101</v>
      </c>
      <c r="AI668" s="1" t="s">
        <v>102</v>
      </c>
      <c r="AJ668" s="1">
        <v>65</v>
      </c>
      <c r="AK668" s="1"/>
      <c r="AL668" s="1"/>
      <c r="AM668" s="1"/>
      <c r="AN668" s="1"/>
      <c r="AO668" s="1"/>
      <c r="AP668" s="1"/>
      <c r="AQ668" s="1"/>
      <c r="AR668" s="1"/>
      <c r="AS668" s="1" t="s">
        <v>103</v>
      </c>
      <c r="AT668" s="1" t="s">
        <v>12583</v>
      </c>
      <c r="AU668" s="1" t="s">
        <v>105</v>
      </c>
      <c r="AV668" s="1" t="s">
        <v>106</v>
      </c>
      <c r="AW668" s="1">
        <v>78.18</v>
      </c>
      <c r="AX668" s="1"/>
      <c r="AY668" s="1" t="s">
        <v>366</v>
      </c>
      <c r="AZ668" s="1" t="s">
        <v>12584</v>
      </c>
      <c r="BA668" s="1" t="s">
        <v>578</v>
      </c>
      <c r="BB668" s="1" t="s">
        <v>467</v>
      </c>
      <c r="BC668" s="1" t="s">
        <v>174</v>
      </c>
      <c r="BD668" s="1" t="s">
        <v>549</v>
      </c>
      <c r="BE668" s="1">
        <v>71.9</v>
      </c>
      <c r="BF668" s="1">
        <v>7.94</v>
      </c>
      <c r="BG668" s="1"/>
      <c r="BH668" s="1"/>
      <c r="BI668" s="1"/>
      <c r="BJ668" s="1"/>
      <c r="BK668" s="1"/>
      <c r="BL668" s="1"/>
      <c r="BM668" s="1"/>
      <c r="BN668" s="1"/>
      <c r="BO668" s="1" t="s">
        <v>12585</v>
      </c>
      <c r="BP668" s="1"/>
      <c r="BQ668" s="1"/>
      <c r="BR668" s="1" t="s">
        <v>12586</v>
      </c>
      <c r="BS668" s="1">
        <v>14</v>
      </c>
      <c r="BT668" s="1" t="s">
        <v>12587</v>
      </c>
      <c r="BU668" s="1" t="str">
        <f>HYPERLINK("https://nconnect.nicmar.ac.in/storage/profile/ProfilePhoto_P25700672_847361.jpg","Download")</f>
        <v>0</v>
      </c>
      <c r="BV668" s="3"/>
      <c r="BW668" s="3"/>
    </row>
    <row r="669" spans="1:75">
      <c r="A669" s="1" t="s">
        <v>75</v>
      </c>
      <c r="B669" s="1" t="s">
        <v>446</v>
      </c>
      <c r="C669" s="1" t="s">
        <v>12588</v>
      </c>
      <c r="D669" s="1" t="s">
        <v>12589</v>
      </c>
      <c r="E669" s="1" t="s">
        <v>12590</v>
      </c>
      <c r="F669" s="1" t="s">
        <v>2500</v>
      </c>
      <c r="G669" s="1" t="s">
        <v>12591</v>
      </c>
      <c r="H669" s="1" t="s">
        <v>12592</v>
      </c>
      <c r="I669" s="1" t="s">
        <v>12593</v>
      </c>
      <c r="J669" s="1">
        <v>6303184412</v>
      </c>
      <c r="K669" s="1" t="s">
        <v>84</v>
      </c>
      <c r="L669" s="1" t="s">
        <v>12594</v>
      </c>
      <c r="M669" s="1" t="s">
        <v>86</v>
      </c>
      <c r="N669" s="1" t="s">
        <v>10437</v>
      </c>
      <c r="O669" s="1"/>
      <c r="P669" s="1" t="s">
        <v>507</v>
      </c>
      <c r="Q669" s="1" t="s">
        <v>12595</v>
      </c>
      <c r="R669" s="1" t="s">
        <v>12596</v>
      </c>
      <c r="S669" s="1">
        <v>9441822789</v>
      </c>
      <c r="T669" s="1" t="s">
        <v>12597</v>
      </c>
      <c r="U669" s="1" t="s">
        <v>12598</v>
      </c>
      <c r="V669" s="1">
        <v>9347909238</v>
      </c>
      <c r="W669" s="1" t="s">
        <v>541</v>
      </c>
      <c r="X669" s="1" t="s">
        <v>12599</v>
      </c>
      <c r="Y669" s="1" t="s">
        <v>3846</v>
      </c>
      <c r="Z669" s="1" t="s">
        <v>281</v>
      </c>
      <c r="AA669" s="1" t="s">
        <v>12599</v>
      </c>
      <c r="AB669" s="1" t="s">
        <v>3846</v>
      </c>
      <c r="AC669" s="1" t="s">
        <v>281</v>
      </c>
      <c r="AD669" s="1">
        <v>8.03</v>
      </c>
      <c r="AE669" s="1" t="s">
        <v>98</v>
      </c>
      <c r="AF669" s="1" t="s">
        <v>1437</v>
      </c>
      <c r="AG669" s="1" t="s">
        <v>12600</v>
      </c>
      <c r="AH669" s="1" t="s">
        <v>1111</v>
      </c>
      <c r="AI669" s="1" t="s">
        <v>573</v>
      </c>
      <c r="AJ669" s="1">
        <v>92</v>
      </c>
      <c r="AK669" s="1">
        <v>9.2</v>
      </c>
      <c r="AL669" s="1" t="s">
        <v>1843</v>
      </c>
      <c r="AM669" s="1" t="s">
        <v>12601</v>
      </c>
      <c r="AN669" s="1"/>
      <c r="AO669" s="1" t="s">
        <v>388</v>
      </c>
      <c r="AP669" s="1" t="s">
        <v>547</v>
      </c>
      <c r="AQ669" s="1">
        <v>91.3</v>
      </c>
      <c r="AR669" s="1">
        <v>9.13</v>
      </c>
      <c r="AS669" s="1"/>
      <c r="AT669" s="1"/>
      <c r="AU669" s="1"/>
      <c r="AV669" s="1"/>
      <c r="AW669" s="1"/>
      <c r="AX669" s="1"/>
      <c r="AY669" s="1" t="s">
        <v>1217</v>
      </c>
      <c r="AZ669" s="1" t="s">
        <v>4816</v>
      </c>
      <c r="BA669" s="1"/>
      <c r="BB669" s="1"/>
      <c r="BC669" s="1" t="s">
        <v>206</v>
      </c>
      <c r="BD669" s="1" t="s">
        <v>579</v>
      </c>
      <c r="BE669" s="1">
        <v>68.4</v>
      </c>
      <c r="BF669" s="1">
        <v>7.59</v>
      </c>
      <c r="BG669" s="1"/>
      <c r="BH669" s="1"/>
      <c r="BI669" s="1"/>
      <c r="BJ669" s="1"/>
      <c r="BK669" s="1"/>
      <c r="BL669" s="1"/>
      <c r="BM669" s="1"/>
      <c r="BN669" s="1"/>
      <c r="BO669" s="1" t="s">
        <v>12602</v>
      </c>
      <c r="BP669" s="1"/>
      <c r="BQ669" s="1"/>
      <c r="BR669" s="1" t="s">
        <v>12603</v>
      </c>
      <c r="BS669" s="1">
        <v>4</v>
      </c>
      <c r="BT669" s="1" t="s">
        <v>12604</v>
      </c>
      <c r="BU669" s="1" t="str">
        <f>HYPERLINK("https://nconnect.nicmar.ac.in/storage/profile/ProfilePhoto_P25700673_596741.jpg","Download")</f>
        <v>0</v>
      </c>
      <c r="BV669" s="3"/>
      <c r="BW669" s="3"/>
    </row>
    <row r="670" spans="1:75">
      <c r="A670" s="1" t="s">
        <v>75</v>
      </c>
      <c r="B670" s="1" t="s">
        <v>446</v>
      </c>
      <c r="C670" s="1" t="s">
        <v>12605</v>
      </c>
      <c r="D670" s="1" t="s">
        <v>2097</v>
      </c>
      <c r="E670" s="1" t="s">
        <v>663</v>
      </c>
      <c r="F670" s="1" t="s">
        <v>3101</v>
      </c>
      <c r="G670" s="1" t="s">
        <v>12606</v>
      </c>
      <c r="H670" s="1" t="s">
        <v>12607</v>
      </c>
      <c r="I670" s="1" t="s">
        <v>12608</v>
      </c>
      <c r="J670" s="1">
        <v>7977681533</v>
      </c>
      <c r="K670" s="1" t="s">
        <v>84</v>
      </c>
      <c r="L670" s="1" t="s">
        <v>12609</v>
      </c>
      <c r="M670" s="1" t="s">
        <v>86</v>
      </c>
      <c r="N670" s="1" t="s">
        <v>1184</v>
      </c>
      <c r="O670" s="1"/>
      <c r="P670" s="1" t="s">
        <v>455</v>
      </c>
      <c r="Q670" s="1" t="s">
        <v>12610</v>
      </c>
      <c r="R670" s="1" t="s">
        <v>12611</v>
      </c>
      <c r="S670" s="1">
        <v>9594991665</v>
      </c>
      <c r="T670" s="1" t="s">
        <v>645</v>
      </c>
      <c r="U670" s="1" t="s">
        <v>12612</v>
      </c>
      <c r="V670" s="1">
        <v>7666209049</v>
      </c>
      <c r="W670" s="1" t="s">
        <v>161</v>
      </c>
      <c r="X670" s="1" t="s">
        <v>12613</v>
      </c>
      <c r="Y670" s="1" t="s">
        <v>1012</v>
      </c>
      <c r="Z670" s="1" t="s">
        <v>97</v>
      </c>
      <c r="AA670" s="1" t="s">
        <v>12613</v>
      </c>
      <c r="AB670" s="1" t="s">
        <v>1012</v>
      </c>
      <c r="AC670" s="1" t="s">
        <v>97</v>
      </c>
      <c r="AD670" s="1">
        <v>8.51</v>
      </c>
      <c r="AE670" s="1" t="s">
        <v>98</v>
      </c>
      <c r="AF670" s="1" t="s">
        <v>12614</v>
      </c>
      <c r="AG670" s="1" t="s">
        <v>165</v>
      </c>
      <c r="AH670" s="1" t="s">
        <v>286</v>
      </c>
      <c r="AI670" s="1" t="s">
        <v>414</v>
      </c>
      <c r="AJ670" s="1">
        <v>74.6</v>
      </c>
      <c r="AK670" s="1"/>
      <c r="AL670" s="1"/>
      <c r="AM670" s="1"/>
      <c r="AN670" s="1"/>
      <c r="AO670" s="1"/>
      <c r="AP670" s="1"/>
      <c r="AQ670" s="1"/>
      <c r="AR670" s="1"/>
      <c r="AS670" s="1" t="s">
        <v>103</v>
      </c>
      <c r="AT670" s="1" t="s">
        <v>12615</v>
      </c>
      <c r="AU670" s="1" t="s">
        <v>414</v>
      </c>
      <c r="AV670" s="1" t="s">
        <v>1886</v>
      </c>
      <c r="AW670" s="1">
        <v>73.63</v>
      </c>
      <c r="AX670" s="1"/>
      <c r="AY670" s="1" t="s">
        <v>258</v>
      </c>
      <c r="AZ670" s="1" t="s">
        <v>1193</v>
      </c>
      <c r="BA670" s="1" t="s">
        <v>578</v>
      </c>
      <c r="BB670" s="1" t="s">
        <v>467</v>
      </c>
      <c r="BC670" s="1" t="s">
        <v>1886</v>
      </c>
      <c r="BD670" s="1" t="s">
        <v>1401</v>
      </c>
      <c r="BE670" s="1">
        <v>70.52</v>
      </c>
      <c r="BF670" s="1">
        <v>7.77</v>
      </c>
      <c r="BG670" s="1"/>
      <c r="BH670" s="1"/>
      <c r="BI670" s="1"/>
      <c r="BJ670" s="1"/>
      <c r="BK670" s="1"/>
      <c r="BL670" s="1"/>
      <c r="BM670" s="1"/>
      <c r="BN670" s="1"/>
      <c r="BO670" s="1" t="s">
        <v>12616</v>
      </c>
      <c r="BP670" s="1"/>
      <c r="BQ670" s="1"/>
      <c r="BR670" s="1" t="s">
        <v>12617</v>
      </c>
      <c r="BS670" s="1">
        <v>9</v>
      </c>
      <c r="BT670" s="1"/>
      <c r="BU670" s="1" t="str">
        <f>HYPERLINK("https://nconnect.nicmar.ac.in/storage/profile/ProfilePhoto_P25700674_179648.jpg","Download")</f>
        <v>0</v>
      </c>
      <c r="BV670" s="3"/>
      <c r="BW670" s="4">
        <v>1</v>
      </c>
    </row>
    <row r="671" spans="1:75">
      <c r="A671" s="1" t="s">
        <v>75</v>
      </c>
      <c r="B671" s="1" t="s">
        <v>446</v>
      </c>
      <c r="C671" s="1" t="s">
        <v>12618</v>
      </c>
      <c r="D671" s="1" t="s">
        <v>12619</v>
      </c>
      <c r="E671" s="1" t="s">
        <v>1964</v>
      </c>
      <c r="F671" s="1" t="s">
        <v>812</v>
      </c>
      <c r="G671" s="1" t="s">
        <v>12620</v>
      </c>
      <c r="H671" s="1" t="s">
        <v>12621</v>
      </c>
      <c r="I671" s="1" t="s">
        <v>12622</v>
      </c>
      <c r="J671" s="1">
        <v>9940971788</v>
      </c>
      <c r="K671" s="1" t="s">
        <v>84</v>
      </c>
      <c r="L671" s="1" t="s">
        <v>12623</v>
      </c>
      <c r="M671" s="1" t="s">
        <v>86</v>
      </c>
      <c r="N671" s="1" t="s">
        <v>12624</v>
      </c>
      <c r="O671" s="1"/>
      <c r="P671" s="1" t="s">
        <v>507</v>
      </c>
      <c r="Q671" s="1" t="s">
        <v>12625</v>
      </c>
      <c r="R671" s="1" t="s">
        <v>12626</v>
      </c>
      <c r="S671" s="1">
        <v>9842348001</v>
      </c>
      <c r="T671" s="1" t="s">
        <v>12627</v>
      </c>
      <c r="U671" s="1" t="s">
        <v>12628</v>
      </c>
      <c r="V671" s="1">
        <v>9489003506</v>
      </c>
      <c r="W671" s="1" t="s">
        <v>541</v>
      </c>
      <c r="X671" s="1" t="s">
        <v>12629</v>
      </c>
      <c r="Y671" s="1" t="s">
        <v>12630</v>
      </c>
      <c r="Z671" s="1" t="s">
        <v>570</v>
      </c>
      <c r="AA671" s="1" t="s">
        <v>12629</v>
      </c>
      <c r="AB671" s="1" t="s">
        <v>12630</v>
      </c>
      <c r="AC671" s="1" t="s">
        <v>570</v>
      </c>
      <c r="AD671" s="1">
        <v>8.03</v>
      </c>
      <c r="AE671" s="1" t="s">
        <v>98</v>
      </c>
      <c r="AF671" s="1" t="s">
        <v>12631</v>
      </c>
      <c r="AG671" s="1" t="s">
        <v>11617</v>
      </c>
      <c r="AH671" s="1" t="s">
        <v>1110</v>
      </c>
      <c r="AI671" s="1" t="s">
        <v>1111</v>
      </c>
      <c r="AJ671" s="1">
        <v>88</v>
      </c>
      <c r="AK671" s="1"/>
      <c r="AL671" s="1" t="s">
        <v>12631</v>
      </c>
      <c r="AM671" s="1" t="s">
        <v>11617</v>
      </c>
      <c r="AN671" s="1" t="s">
        <v>465</v>
      </c>
      <c r="AO671" s="1" t="s">
        <v>704</v>
      </c>
      <c r="AP671" s="1" t="s">
        <v>286</v>
      </c>
      <c r="AQ671" s="1">
        <v>70.92</v>
      </c>
      <c r="AR671" s="1"/>
      <c r="AS671" s="1"/>
      <c r="AT671" s="1"/>
      <c r="AU671" s="1"/>
      <c r="AV671" s="1"/>
      <c r="AW671" s="1"/>
      <c r="AX671" s="1"/>
      <c r="AY671" s="1" t="s">
        <v>576</v>
      </c>
      <c r="AZ671" s="1" t="s">
        <v>12632</v>
      </c>
      <c r="BA671" s="1" t="s">
        <v>682</v>
      </c>
      <c r="BB671" s="1" t="s">
        <v>1561</v>
      </c>
      <c r="BC671" s="1" t="s">
        <v>174</v>
      </c>
      <c r="BD671" s="1" t="s">
        <v>579</v>
      </c>
      <c r="BE671" s="1">
        <v>71.6</v>
      </c>
      <c r="BF671" s="1"/>
      <c r="BG671" s="1"/>
      <c r="BH671" s="1"/>
      <c r="BI671" s="1"/>
      <c r="BJ671" s="1"/>
      <c r="BK671" s="1"/>
      <c r="BL671" s="1"/>
      <c r="BM671" s="1"/>
      <c r="BN671" s="1"/>
      <c r="BO671" s="1" t="s">
        <v>12633</v>
      </c>
      <c r="BP671" s="1" t="s">
        <v>12634</v>
      </c>
      <c r="BQ671" s="1" t="s">
        <v>1152</v>
      </c>
      <c r="BR671" s="1" t="s">
        <v>12635</v>
      </c>
      <c r="BS671" s="1">
        <v>26</v>
      </c>
      <c r="BT671" s="1"/>
      <c r="BU671" s="1" t="str">
        <f>HYPERLINK("https://nconnect.nicmar.ac.in/storage/profile/ProfilePhoto_P25700675_971354.jpg","Download")</f>
        <v>0</v>
      </c>
      <c r="BV671" s="3"/>
      <c r="BW671" s="3"/>
    </row>
    <row r="672" spans="1:75">
      <c r="A672" s="1" t="s">
        <v>75</v>
      </c>
      <c r="B672" s="1" t="s">
        <v>446</v>
      </c>
      <c r="C672" s="1" t="s">
        <v>12636</v>
      </c>
      <c r="D672" s="1" t="s">
        <v>12637</v>
      </c>
      <c r="E672" s="1" t="s">
        <v>12638</v>
      </c>
      <c r="F672" s="1" t="s">
        <v>12639</v>
      </c>
      <c r="G672" s="1" t="s">
        <v>12640</v>
      </c>
      <c r="H672" s="1" t="s">
        <v>12641</v>
      </c>
      <c r="I672" s="1" t="s">
        <v>12642</v>
      </c>
      <c r="J672" s="1">
        <v>7249887027</v>
      </c>
      <c r="K672" s="1" t="s">
        <v>84</v>
      </c>
      <c r="L672" s="1" t="s">
        <v>12643</v>
      </c>
      <c r="M672" s="1" t="s">
        <v>86</v>
      </c>
      <c r="N672" s="1" t="s">
        <v>5370</v>
      </c>
      <c r="O672" s="1"/>
      <c r="P672" s="1" t="s">
        <v>507</v>
      </c>
      <c r="Q672" s="1" t="s">
        <v>12644</v>
      </c>
      <c r="R672" s="1" t="s">
        <v>12645</v>
      </c>
      <c r="S672" s="1">
        <v>9822630674</v>
      </c>
      <c r="T672" s="1" t="s">
        <v>159</v>
      </c>
      <c r="U672" s="1" t="s">
        <v>12646</v>
      </c>
      <c r="V672" s="1">
        <v>8275929100</v>
      </c>
      <c r="W672" s="1" t="s">
        <v>161</v>
      </c>
      <c r="X672" s="1" t="s">
        <v>12647</v>
      </c>
      <c r="Y672" s="1" t="s">
        <v>5181</v>
      </c>
      <c r="Z672" s="1" t="s">
        <v>97</v>
      </c>
      <c r="AA672" s="1" t="s">
        <v>12647</v>
      </c>
      <c r="AB672" s="1" t="s">
        <v>5181</v>
      </c>
      <c r="AC672" s="1" t="s">
        <v>97</v>
      </c>
      <c r="AD672" s="1">
        <v>7.49</v>
      </c>
      <c r="AE672" s="1" t="s">
        <v>98</v>
      </c>
      <c r="AF672" s="1" t="s">
        <v>12648</v>
      </c>
      <c r="AG672" s="1" t="s">
        <v>12649</v>
      </c>
      <c r="AH672" s="1" t="s">
        <v>106</v>
      </c>
      <c r="AI672" s="1" t="s">
        <v>414</v>
      </c>
      <c r="AJ672" s="1">
        <v>73</v>
      </c>
      <c r="AK672" s="1"/>
      <c r="AL672" s="1" t="s">
        <v>12650</v>
      </c>
      <c r="AM672" s="1" t="s">
        <v>1968</v>
      </c>
      <c r="AN672" s="1"/>
      <c r="AO672" s="1" t="s">
        <v>233</v>
      </c>
      <c r="AP672" s="1" t="s">
        <v>845</v>
      </c>
      <c r="AQ672" s="1">
        <v>76.33</v>
      </c>
      <c r="AR672" s="1"/>
      <c r="AS672" s="1"/>
      <c r="AT672" s="1"/>
      <c r="AU672" s="1"/>
      <c r="AV672" s="1"/>
      <c r="AW672" s="1"/>
      <c r="AX672" s="1"/>
      <c r="AY672" s="1" t="s">
        <v>12651</v>
      </c>
      <c r="AZ672" s="1" t="s">
        <v>12652</v>
      </c>
      <c r="BA672" s="1"/>
      <c r="BB672" s="1"/>
      <c r="BC672" s="1" t="s">
        <v>871</v>
      </c>
      <c r="BD672" s="1" t="s">
        <v>553</v>
      </c>
      <c r="BE672" s="1">
        <v>60.69</v>
      </c>
      <c r="BF672" s="1"/>
      <c r="BG672" s="1"/>
      <c r="BH672" s="1"/>
      <c r="BI672" s="1"/>
      <c r="BJ672" s="1"/>
      <c r="BK672" s="1"/>
      <c r="BL672" s="1"/>
      <c r="BM672" s="1"/>
      <c r="BN672" s="1"/>
      <c r="BO672" s="1" t="s">
        <v>12653</v>
      </c>
      <c r="BP672" s="1"/>
      <c r="BQ672" s="1"/>
      <c r="BR672" s="1" t="s">
        <v>12654</v>
      </c>
      <c r="BS672" s="1">
        <v>13</v>
      </c>
      <c r="BT672" s="1"/>
      <c r="BU672" s="1" t="str">
        <f>HYPERLINK("https://nconnect.nicmar.ac.in/storage/profile/ProfilePhoto_P25700676_965278.jpg","Download")</f>
        <v>0</v>
      </c>
      <c r="BV672" s="3"/>
      <c r="BW672" s="3"/>
    </row>
    <row r="673" spans="1:75">
      <c r="A673" s="1" t="s">
        <v>75</v>
      </c>
      <c r="B673" s="1" t="s">
        <v>446</v>
      </c>
      <c r="C673" s="1" t="s">
        <v>12655</v>
      </c>
      <c r="D673" s="1" t="s">
        <v>11805</v>
      </c>
      <c r="E673" s="1" t="s">
        <v>1669</v>
      </c>
      <c r="F673" s="1" t="s">
        <v>12656</v>
      </c>
      <c r="G673" s="1" t="s">
        <v>12657</v>
      </c>
      <c r="H673" s="1" t="s">
        <v>12658</v>
      </c>
      <c r="I673" s="1" t="s">
        <v>12659</v>
      </c>
      <c r="J673" s="1">
        <v>8983831511</v>
      </c>
      <c r="K673" s="1" t="s">
        <v>84</v>
      </c>
      <c r="L673" s="1" t="s">
        <v>10068</v>
      </c>
      <c r="M673" s="1" t="s">
        <v>86</v>
      </c>
      <c r="N673" s="1" t="s">
        <v>12660</v>
      </c>
      <c r="O673" s="1"/>
      <c r="P673" s="1" t="s">
        <v>481</v>
      </c>
      <c r="Q673" s="1" t="s">
        <v>12661</v>
      </c>
      <c r="R673" s="1" t="s">
        <v>1669</v>
      </c>
      <c r="S673" s="1">
        <v>9423953511</v>
      </c>
      <c r="T673" s="1" t="s">
        <v>6733</v>
      </c>
      <c r="U673" s="1" t="s">
        <v>6471</v>
      </c>
      <c r="V673" s="1">
        <v>8983831511</v>
      </c>
      <c r="W673" s="1" t="s">
        <v>278</v>
      </c>
      <c r="X673" s="1" t="s">
        <v>12662</v>
      </c>
      <c r="Y673" s="1" t="s">
        <v>309</v>
      </c>
      <c r="Z673" s="1" t="s">
        <v>97</v>
      </c>
      <c r="AA673" s="1" t="s">
        <v>12662</v>
      </c>
      <c r="AB673" s="1" t="s">
        <v>309</v>
      </c>
      <c r="AC673" s="1" t="s">
        <v>97</v>
      </c>
      <c r="AD673" s="1">
        <v>0.0</v>
      </c>
      <c r="AE673" s="1" t="s">
        <v>98</v>
      </c>
      <c r="AF673" s="1" t="s">
        <v>12663</v>
      </c>
      <c r="AG673" s="1" t="s">
        <v>12664</v>
      </c>
      <c r="AH673" s="1" t="s">
        <v>166</v>
      </c>
      <c r="AI673" s="1" t="s">
        <v>167</v>
      </c>
      <c r="AJ673" s="1">
        <v>79</v>
      </c>
      <c r="AK673" s="1"/>
      <c r="AL673" s="1" t="s">
        <v>12665</v>
      </c>
      <c r="AM673" s="1" t="s">
        <v>12664</v>
      </c>
      <c r="AN673" s="1"/>
      <c r="AO673" s="1" t="s">
        <v>170</v>
      </c>
      <c r="AP673" s="1" t="s">
        <v>171</v>
      </c>
      <c r="AQ673" s="1">
        <v>66.31</v>
      </c>
      <c r="AR673" s="1"/>
      <c r="AS673" s="1"/>
      <c r="AT673" s="1"/>
      <c r="AU673" s="1"/>
      <c r="AV673" s="1"/>
      <c r="AW673" s="1"/>
      <c r="AX673" s="1"/>
      <c r="AY673" s="1" t="s">
        <v>12666</v>
      </c>
      <c r="AZ673" s="1" t="s">
        <v>12666</v>
      </c>
      <c r="BA673" s="1"/>
      <c r="BB673" s="1"/>
      <c r="BC673" s="1" t="s">
        <v>174</v>
      </c>
      <c r="BD673" s="1" t="s">
        <v>1400</v>
      </c>
      <c r="BE673" s="1">
        <v>65.9</v>
      </c>
      <c r="BF673" s="1"/>
      <c r="BG673" s="1"/>
      <c r="BH673" s="1"/>
      <c r="BI673" s="1"/>
      <c r="BJ673" s="1"/>
      <c r="BK673" s="1"/>
      <c r="BL673" s="1"/>
      <c r="BM673" s="1"/>
      <c r="BN673" s="1"/>
      <c r="BO673" s="1" t="s">
        <v>12667</v>
      </c>
      <c r="BP673" s="1" t="s">
        <v>12668</v>
      </c>
      <c r="BQ673" s="1" t="s">
        <v>780</v>
      </c>
      <c r="BR673" s="1" t="s">
        <v>12669</v>
      </c>
      <c r="BS673" s="1">
        <v>17</v>
      </c>
      <c r="BT673" s="1" t="s">
        <v>12670</v>
      </c>
      <c r="BU673" s="1" t="str">
        <f>HYPERLINK("https://nconnect.nicmar.ac.in/storage/profile/ProfilePhoto_P25700677_147963.jpg","Download")</f>
        <v>0</v>
      </c>
      <c r="BV673" s="3"/>
      <c r="BW673" s="3"/>
    </row>
    <row r="674" spans="1:75">
      <c r="A674" s="1" t="s">
        <v>75</v>
      </c>
      <c r="B674" s="1" t="s">
        <v>446</v>
      </c>
      <c r="C674" s="1" t="s">
        <v>12671</v>
      </c>
      <c r="D674" s="1" t="s">
        <v>3201</v>
      </c>
      <c r="E674" s="1" t="s">
        <v>12672</v>
      </c>
      <c r="F674" s="1" t="s">
        <v>12673</v>
      </c>
      <c r="G674" s="1" t="s">
        <v>12674</v>
      </c>
      <c r="H674" s="1" t="s">
        <v>12675</v>
      </c>
      <c r="I674" s="1" t="s">
        <v>12676</v>
      </c>
      <c r="J674" s="1">
        <v>7972934945</v>
      </c>
      <c r="K674" s="1" t="s">
        <v>153</v>
      </c>
      <c r="L674" s="1" t="s">
        <v>5350</v>
      </c>
      <c r="M674" s="1" t="s">
        <v>86</v>
      </c>
      <c r="N674" s="1" t="s">
        <v>7467</v>
      </c>
      <c r="O674" s="1"/>
      <c r="P674" s="1" t="s">
        <v>455</v>
      </c>
      <c r="Q674" s="1" t="s">
        <v>12677</v>
      </c>
      <c r="R674" s="1" t="s">
        <v>12678</v>
      </c>
      <c r="S674" s="1">
        <v>9922695213</v>
      </c>
      <c r="T674" s="1" t="s">
        <v>839</v>
      </c>
      <c r="U674" s="1" t="s">
        <v>12679</v>
      </c>
      <c r="V674" s="1">
        <v>8087196329</v>
      </c>
      <c r="W674" s="1" t="s">
        <v>127</v>
      </c>
      <c r="X674" s="1" t="s">
        <v>12680</v>
      </c>
      <c r="Y674" s="1" t="s">
        <v>333</v>
      </c>
      <c r="Z674" s="1" t="s">
        <v>97</v>
      </c>
      <c r="AA674" s="1" t="s">
        <v>12680</v>
      </c>
      <c r="AB674" s="1" t="s">
        <v>333</v>
      </c>
      <c r="AC674" s="1" t="s">
        <v>97</v>
      </c>
      <c r="AD674" s="1">
        <v>7.59</v>
      </c>
      <c r="AE674" s="1" t="s">
        <v>98</v>
      </c>
      <c r="AF674" s="1" t="s">
        <v>12681</v>
      </c>
      <c r="AG674" s="1" t="s">
        <v>12682</v>
      </c>
      <c r="AH674" s="1" t="s">
        <v>106</v>
      </c>
      <c r="AI674" s="1" t="s">
        <v>438</v>
      </c>
      <c r="AJ674" s="1">
        <v>66.2</v>
      </c>
      <c r="AK674" s="1"/>
      <c r="AL674" s="1"/>
      <c r="AM674" s="1"/>
      <c r="AN674" s="1"/>
      <c r="AO674" s="1"/>
      <c r="AP674" s="1"/>
      <c r="AQ674" s="1"/>
      <c r="AR674" s="1"/>
      <c r="AS674" s="1" t="s">
        <v>439</v>
      </c>
      <c r="AT674" s="1" t="s">
        <v>12683</v>
      </c>
      <c r="AU674" s="1" t="s">
        <v>315</v>
      </c>
      <c r="AV674" s="1" t="s">
        <v>1400</v>
      </c>
      <c r="AW674" s="1">
        <v>73.79</v>
      </c>
      <c r="AX674" s="1"/>
      <c r="AY674" s="1" t="s">
        <v>366</v>
      </c>
      <c r="AZ674" s="1" t="s">
        <v>12684</v>
      </c>
      <c r="BA674" s="1"/>
      <c r="BB674" s="1"/>
      <c r="BC674" s="1" t="s">
        <v>1889</v>
      </c>
      <c r="BD674" s="1" t="s">
        <v>848</v>
      </c>
      <c r="BE674" s="1">
        <v>66.8</v>
      </c>
      <c r="BF674" s="1">
        <v>7.43</v>
      </c>
      <c r="BG674" s="1"/>
      <c r="BH674" s="1"/>
      <c r="BI674" s="1"/>
      <c r="BJ674" s="1"/>
      <c r="BK674" s="1"/>
      <c r="BL674" s="1"/>
      <c r="BM674" s="1"/>
      <c r="BN674" s="1"/>
      <c r="BO674" s="1" t="s">
        <v>12685</v>
      </c>
      <c r="BP674" s="1"/>
      <c r="BQ674" s="1"/>
      <c r="BR674" s="1" t="s">
        <v>12686</v>
      </c>
      <c r="BS674" s="1">
        <v>17</v>
      </c>
      <c r="BT674" s="1"/>
      <c r="BU674" s="1" t="str">
        <f>HYPERLINK("https://nconnect.nicmar.ac.in/storage/profile/ProfilePhoto_P25700678_436728.jpg","Download")</f>
        <v>0</v>
      </c>
      <c r="BV674" s="3"/>
      <c r="BW674" s="3"/>
    </row>
    <row r="675" spans="1:75">
      <c r="A675" s="1" t="s">
        <v>75</v>
      </c>
      <c r="B675" s="1" t="s">
        <v>446</v>
      </c>
      <c r="C675" s="1" t="s">
        <v>12687</v>
      </c>
      <c r="D675" s="1" t="s">
        <v>12688</v>
      </c>
      <c r="E675" s="1" t="s">
        <v>8325</v>
      </c>
      <c r="F675" s="1" t="s">
        <v>12689</v>
      </c>
      <c r="G675" s="1" t="s">
        <v>12690</v>
      </c>
      <c r="H675" s="1" t="s">
        <v>12691</v>
      </c>
      <c r="I675" s="1" t="s">
        <v>12692</v>
      </c>
      <c r="J675" s="1">
        <v>8010366158</v>
      </c>
      <c r="K675" s="1" t="s">
        <v>84</v>
      </c>
      <c r="L675" s="1" t="s">
        <v>12693</v>
      </c>
      <c r="M675" s="1" t="s">
        <v>86</v>
      </c>
      <c r="N675" s="1" t="s">
        <v>8720</v>
      </c>
      <c r="O675" s="1"/>
      <c r="P675" s="1" t="s">
        <v>455</v>
      </c>
      <c r="Q675" s="1" t="s">
        <v>12694</v>
      </c>
      <c r="R675" s="1" t="s">
        <v>12695</v>
      </c>
      <c r="S675" s="1">
        <v>9423892974</v>
      </c>
      <c r="T675" s="1" t="s">
        <v>645</v>
      </c>
      <c r="U675" s="1" t="s">
        <v>12696</v>
      </c>
      <c r="V675" s="1">
        <v>8767840940</v>
      </c>
      <c r="W675" s="1" t="s">
        <v>161</v>
      </c>
      <c r="X675" s="1" t="s">
        <v>12697</v>
      </c>
      <c r="Y675" s="1" t="s">
        <v>196</v>
      </c>
      <c r="Z675" s="1" t="s">
        <v>97</v>
      </c>
      <c r="AA675" s="1" t="s">
        <v>12697</v>
      </c>
      <c r="AB675" s="1" t="s">
        <v>196</v>
      </c>
      <c r="AC675" s="1" t="s">
        <v>97</v>
      </c>
      <c r="AD675" s="1" t="s">
        <v>98</v>
      </c>
      <c r="AE675" s="1" t="s">
        <v>98</v>
      </c>
      <c r="AF675" s="1" t="s">
        <v>12698</v>
      </c>
      <c r="AG675" s="1" t="s">
        <v>165</v>
      </c>
      <c r="AH675" s="1" t="s">
        <v>106</v>
      </c>
      <c r="AI675" s="1" t="s">
        <v>414</v>
      </c>
      <c r="AJ675" s="1">
        <v>72</v>
      </c>
      <c r="AK675" s="1">
        <v>0</v>
      </c>
      <c r="AL675" s="1" t="s">
        <v>12699</v>
      </c>
      <c r="AM675" s="1" t="s">
        <v>165</v>
      </c>
      <c r="AN675" s="1"/>
      <c r="AO675" s="1" t="s">
        <v>468</v>
      </c>
      <c r="AP675" s="1" t="s">
        <v>1192</v>
      </c>
      <c r="AQ675" s="1">
        <v>80</v>
      </c>
      <c r="AR675" s="1">
        <v>0</v>
      </c>
      <c r="AS675" s="1"/>
      <c r="AT675" s="1"/>
      <c r="AU675" s="1"/>
      <c r="AV675" s="1"/>
      <c r="AW675" s="1"/>
      <c r="AX675" s="1"/>
      <c r="AY675" s="1" t="s">
        <v>8729</v>
      </c>
      <c r="AZ675" s="1" t="s">
        <v>12700</v>
      </c>
      <c r="BA675" s="1"/>
      <c r="BB675" s="1"/>
      <c r="BC675" s="1" t="s">
        <v>549</v>
      </c>
      <c r="BD675" s="1" t="s">
        <v>848</v>
      </c>
      <c r="BE675" s="1">
        <v>73.2</v>
      </c>
      <c r="BF675" s="1">
        <v>8.07</v>
      </c>
      <c r="BG675" s="1"/>
      <c r="BH675" s="1"/>
      <c r="BI675" s="1"/>
      <c r="BJ675" s="1"/>
      <c r="BK675" s="1"/>
      <c r="BL675" s="1"/>
      <c r="BM675" s="1"/>
      <c r="BN675" s="1"/>
      <c r="BO675" s="1" t="s">
        <v>849</v>
      </c>
      <c r="BP675" s="1"/>
      <c r="BQ675" s="1"/>
      <c r="BR675" s="1"/>
      <c r="BS675" s="1"/>
      <c r="BT675" s="1"/>
      <c r="BU675" s="1" t="str">
        <f>HYPERLINK("https://nconnect.nicmar.ac.in/storage/profile/ProfilePhoto_P25700679_568347.jpg","Download")</f>
        <v>0</v>
      </c>
      <c r="BV675" s="3"/>
      <c r="BW675" s="3"/>
    </row>
    <row r="676" spans="1:75">
      <c r="A676" s="1" t="s">
        <v>75</v>
      </c>
      <c r="B676" s="1" t="s">
        <v>446</v>
      </c>
      <c r="C676" s="1" t="s">
        <v>12701</v>
      </c>
      <c r="D676" s="1" t="s">
        <v>12702</v>
      </c>
      <c r="E676" s="1" t="s">
        <v>1295</v>
      </c>
      <c r="F676" s="1" t="s">
        <v>12703</v>
      </c>
      <c r="G676" s="1" t="s">
        <v>12704</v>
      </c>
      <c r="H676" s="1" t="s">
        <v>12705</v>
      </c>
      <c r="I676" s="1" t="s">
        <v>12706</v>
      </c>
      <c r="J676" s="1">
        <v>9880722771</v>
      </c>
      <c r="K676" s="1" t="s">
        <v>84</v>
      </c>
      <c r="L676" s="1" t="s">
        <v>7784</v>
      </c>
      <c r="M676" s="1" t="s">
        <v>86</v>
      </c>
      <c r="N676" s="1" t="s">
        <v>12707</v>
      </c>
      <c r="O676" s="1"/>
      <c r="P676" s="1" t="s">
        <v>481</v>
      </c>
      <c r="Q676" s="1" t="s">
        <v>12708</v>
      </c>
      <c r="R676" s="1" t="s">
        <v>12709</v>
      </c>
      <c r="S676" s="1">
        <v>9448425872</v>
      </c>
      <c r="T676" s="1" t="s">
        <v>839</v>
      </c>
      <c r="U676" s="1" t="s">
        <v>12710</v>
      </c>
      <c r="V676" s="1">
        <v>9739377993</v>
      </c>
      <c r="W676" s="1" t="s">
        <v>278</v>
      </c>
      <c r="X676" s="1" t="s">
        <v>12711</v>
      </c>
      <c r="Y676" s="1" t="s">
        <v>3011</v>
      </c>
      <c r="Z676" s="1" t="s">
        <v>1210</v>
      </c>
      <c r="AA676" s="1" t="s">
        <v>12711</v>
      </c>
      <c r="AB676" s="1" t="s">
        <v>3011</v>
      </c>
      <c r="AC676" s="1" t="s">
        <v>1210</v>
      </c>
      <c r="AD676" s="1">
        <v>7.54</v>
      </c>
      <c r="AE676" s="1" t="s">
        <v>98</v>
      </c>
      <c r="AF676" s="1" t="s">
        <v>12712</v>
      </c>
      <c r="AG676" s="1" t="s">
        <v>12713</v>
      </c>
      <c r="AH676" s="1" t="s">
        <v>573</v>
      </c>
      <c r="AI676" s="1" t="s">
        <v>1065</v>
      </c>
      <c r="AJ676" s="1">
        <v>68.16</v>
      </c>
      <c r="AK676" s="1">
        <v>7.17</v>
      </c>
      <c r="AL676" s="1"/>
      <c r="AM676" s="1"/>
      <c r="AN676" s="1"/>
      <c r="AO676" s="1"/>
      <c r="AP676" s="1"/>
      <c r="AQ676" s="1"/>
      <c r="AR676" s="1"/>
      <c r="AS676" s="1" t="s">
        <v>439</v>
      </c>
      <c r="AT676" s="1" t="s">
        <v>12714</v>
      </c>
      <c r="AU676" s="1" t="s">
        <v>313</v>
      </c>
      <c r="AV676" s="1" t="s">
        <v>632</v>
      </c>
      <c r="AW676" s="1">
        <v>62.93</v>
      </c>
      <c r="AX676" s="1">
        <v>6.62</v>
      </c>
      <c r="AY676" s="1" t="s">
        <v>12715</v>
      </c>
      <c r="AZ676" s="1" t="s">
        <v>12716</v>
      </c>
      <c r="BA676" s="1" t="s">
        <v>578</v>
      </c>
      <c r="BB676" s="1" t="s">
        <v>467</v>
      </c>
      <c r="BC676" s="1" t="s">
        <v>1889</v>
      </c>
      <c r="BD676" s="1" t="s">
        <v>553</v>
      </c>
      <c r="BE676" s="1">
        <v>65.7</v>
      </c>
      <c r="BF676" s="1">
        <v>7.32</v>
      </c>
      <c r="BG676" s="1"/>
      <c r="BH676" s="1"/>
      <c r="BI676" s="1"/>
      <c r="BJ676" s="1"/>
      <c r="BK676" s="1"/>
      <c r="BL676" s="1"/>
      <c r="BM676" s="1"/>
      <c r="BN676" s="1"/>
      <c r="BO676" s="1" t="s">
        <v>12717</v>
      </c>
      <c r="BP676" s="1"/>
      <c r="BQ676" s="1"/>
      <c r="BR676" s="1" t="s">
        <v>12718</v>
      </c>
      <c r="BS676" s="1">
        <v>16</v>
      </c>
      <c r="BT676" s="1" t="s">
        <v>12719</v>
      </c>
      <c r="BU676" s="1" t="str">
        <f>HYPERLINK("https://nconnect.nicmar.ac.in/storage/profile/ProfilePhoto_P25700680_758621.jpg","Download")</f>
        <v>0</v>
      </c>
      <c r="BV676" s="3"/>
      <c r="BW676" s="3"/>
    </row>
    <row r="677" spans="1:75">
      <c r="A677" s="1" t="s">
        <v>75</v>
      </c>
      <c r="B677" s="1" t="s">
        <v>446</v>
      </c>
      <c r="C677" s="1" t="s">
        <v>12720</v>
      </c>
      <c r="D677" s="1" t="s">
        <v>1118</v>
      </c>
      <c r="E677" s="1" t="s">
        <v>12721</v>
      </c>
      <c r="F677" s="1" t="s">
        <v>12722</v>
      </c>
      <c r="G677" s="1" t="s">
        <v>12723</v>
      </c>
      <c r="H677" s="1" t="s">
        <v>12724</v>
      </c>
      <c r="I677" s="1" t="s">
        <v>12725</v>
      </c>
      <c r="J677" s="1">
        <v>9307961904</v>
      </c>
      <c r="K677" s="1" t="s">
        <v>84</v>
      </c>
      <c r="L677" s="1" t="s">
        <v>12726</v>
      </c>
      <c r="M677" s="1" t="s">
        <v>86</v>
      </c>
      <c r="N677" s="1" t="s">
        <v>903</v>
      </c>
      <c r="O677" s="1"/>
      <c r="P677" s="1" t="s">
        <v>455</v>
      </c>
      <c r="Q677" s="1" t="s">
        <v>12727</v>
      </c>
      <c r="R677" s="1" t="s">
        <v>12721</v>
      </c>
      <c r="S677" s="1">
        <v>9623816798</v>
      </c>
      <c r="T677" s="1" t="s">
        <v>12728</v>
      </c>
      <c r="U677" s="1" t="s">
        <v>3502</v>
      </c>
      <c r="V677" s="1">
        <v>7350062451</v>
      </c>
      <c r="W677" s="1" t="s">
        <v>161</v>
      </c>
      <c r="X677" s="1" t="s">
        <v>12729</v>
      </c>
      <c r="Y677" s="1" t="s">
        <v>196</v>
      </c>
      <c r="Z677" s="1" t="s">
        <v>97</v>
      </c>
      <c r="AA677" s="1" t="s">
        <v>12729</v>
      </c>
      <c r="AB677" s="1" t="s">
        <v>196</v>
      </c>
      <c r="AC677" s="1" t="s">
        <v>97</v>
      </c>
      <c r="AD677" s="1">
        <v>8.95</v>
      </c>
      <c r="AE677" s="1" t="s">
        <v>98</v>
      </c>
      <c r="AF677" s="1" t="s">
        <v>12730</v>
      </c>
      <c r="AG677" s="1" t="s">
        <v>7366</v>
      </c>
      <c r="AH677" s="1" t="s">
        <v>166</v>
      </c>
      <c r="AI677" s="1" t="s">
        <v>167</v>
      </c>
      <c r="AJ677" s="1">
        <v>86</v>
      </c>
      <c r="AK677" s="1"/>
      <c r="AL677" s="1"/>
      <c r="AM677" s="1"/>
      <c r="AN677" s="1"/>
      <c r="AO677" s="1"/>
      <c r="AP677" s="1"/>
      <c r="AQ677" s="1"/>
      <c r="AR677" s="1"/>
      <c r="AS677" s="1" t="s">
        <v>103</v>
      </c>
      <c r="AT677" s="1" t="s">
        <v>7863</v>
      </c>
      <c r="AU677" s="1" t="s">
        <v>1396</v>
      </c>
      <c r="AV677" s="1" t="s">
        <v>313</v>
      </c>
      <c r="AW677" s="1">
        <v>84.33</v>
      </c>
      <c r="AX677" s="1"/>
      <c r="AY677" s="1" t="s">
        <v>366</v>
      </c>
      <c r="AZ677" s="1" t="s">
        <v>12731</v>
      </c>
      <c r="BA677" s="1"/>
      <c r="BB677" s="1"/>
      <c r="BC677" s="1" t="s">
        <v>438</v>
      </c>
      <c r="BD677" s="1" t="s">
        <v>289</v>
      </c>
      <c r="BE677" s="1">
        <v>83.68</v>
      </c>
      <c r="BF677" s="1">
        <v>9.51</v>
      </c>
      <c r="BG677" s="1"/>
      <c r="BH677" s="1"/>
      <c r="BI677" s="1"/>
      <c r="BJ677" s="1"/>
      <c r="BK677" s="1"/>
      <c r="BL677" s="1"/>
      <c r="BM677" s="1"/>
      <c r="BN677" s="1"/>
      <c r="BO677" s="1" t="s">
        <v>12732</v>
      </c>
      <c r="BP677" s="1"/>
      <c r="BQ677" s="1"/>
      <c r="BR677" s="1" t="s">
        <v>12733</v>
      </c>
      <c r="BS677" s="1">
        <v>8</v>
      </c>
      <c r="BT677" s="1" t="s">
        <v>12734</v>
      </c>
      <c r="BU677" s="1" t="str">
        <f>HYPERLINK("https://nconnect.nicmar.ac.in/storage/profile/ProfilePhoto_P25700681_619574.jpg","Download")</f>
        <v>0</v>
      </c>
      <c r="BV677" s="3"/>
      <c r="BW677" s="4">
        <v>1</v>
      </c>
    </row>
    <row r="678" spans="1:75">
      <c r="A678" s="1" t="s">
        <v>75</v>
      </c>
      <c r="B678" s="1" t="s">
        <v>446</v>
      </c>
      <c r="C678" s="1" t="s">
        <v>12735</v>
      </c>
      <c r="D678" s="1" t="s">
        <v>12736</v>
      </c>
      <c r="E678" s="1" t="s">
        <v>9424</v>
      </c>
      <c r="F678" s="1" t="s">
        <v>12737</v>
      </c>
      <c r="G678" s="1" t="s">
        <v>12738</v>
      </c>
      <c r="H678" s="1" t="s">
        <v>12739</v>
      </c>
      <c r="I678" s="1" t="s">
        <v>12740</v>
      </c>
      <c r="J678" s="1">
        <v>9481655061</v>
      </c>
      <c r="K678" s="1" t="s">
        <v>84</v>
      </c>
      <c r="L678" s="1" t="s">
        <v>745</v>
      </c>
      <c r="M678" s="1" t="s">
        <v>86</v>
      </c>
      <c r="N678" s="1" t="s">
        <v>12741</v>
      </c>
      <c r="O678" s="1"/>
      <c r="P678" s="1" t="s">
        <v>455</v>
      </c>
      <c r="Q678" s="1" t="s">
        <v>12742</v>
      </c>
      <c r="R678" s="1" t="s">
        <v>12743</v>
      </c>
      <c r="S678" s="1">
        <v>9900028348</v>
      </c>
      <c r="T678" s="1" t="s">
        <v>839</v>
      </c>
      <c r="U678" s="1" t="s">
        <v>12744</v>
      </c>
      <c r="V678" s="1">
        <v>8105088699</v>
      </c>
      <c r="W678" s="1" t="s">
        <v>541</v>
      </c>
      <c r="X678" s="1" t="s">
        <v>12745</v>
      </c>
      <c r="Y678" s="1" t="s">
        <v>3132</v>
      </c>
      <c r="Z678" s="1" t="s">
        <v>1210</v>
      </c>
      <c r="AA678" s="1" t="s">
        <v>12745</v>
      </c>
      <c r="AB678" s="1" t="s">
        <v>3132</v>
      </c>
      <c r="AC678" s="1" t="s">
        <v>1210</v>
      </c>
      <c r="AD678" s="1">
        <v>7.9</v>
      </c>
      <c r="AE678" s="1" t="s">
        <v>98</v>
      </c>
      <c r="AF678" s="1" t="s">
        <v>12746</v>
      </c>
      <c r="AG678" s="1" t="s">
        <v>775</v>
      </c>
      <c r="AH678" s="1" t="s">
        <v>170</v>
      </c>
      <c r="AI678" s="1" t="s">
        <v>171</v>
      </c>
      <c r="AJ678" s="1">
        <v>77.2</v>
      </c>
      <c r="AK678" s="1"/>
      <c r="AL678" s="1" t="s">
        <v>12747</v>
      </c>
      <c r="AM678" s="1" t="s">
        <v>1216</v>
      </c>
      <c r="AN678" s="1" t="s">
        <v>465</v>
      </c>
      <c r="AO678" s="1" t="s">
        <v>438</v>
      </c>
      <c r="AP678" s="1" t="s">
        <v>178</v>
      </c>
      <c r="AQ678" s="1">
        <v>76.3</v>
      </c>
      <c r="AR678" s="1"/>
      <c r="AS678" s="1"/>
      <c r="AT678" s="1"/>
      <c r="AU678" s="1"/>
      <c r="AV678" s="1"/>
      <c r="AW678" s="1"/>
      <c r="AX678" s="1"/>
      <c r="AY678" s="1" t="s">
        <v>731</v>
      </c>
      <c r="AZ678" s="1" t="s">
        <v>12748</v>
      </c>
      <c r="BA678" s="1" t="s">
        <v>682</v>
      </c>
      <c r="BB678" s="1" t="s">
        <v>1561</v>
      </c>
      <c r="BC678" s="1" t="s">
        <v>233</v>
      </c>
      <c r="BD678" s="1" t="s">
        <v>553</v>
      </c>
      <c r="BE678" s="1">
        <v>62.8</v>
      </c>
      <c r="BF678" s="1"/>
      <c r="BG678" s="1"/>
      <c r="BH678" s="1"/>
      <c r="BI678" s="1"/>
      <c r="BJ678" s="1"/>
      <c r="BK678" s="1"/>
      <c r="BL678" s="1"/>
      <c r="BM678" s="1"/>
      <c r="BN678" s="1"/>
      <c r="BO678" s="1" t="s">
        <v>12749</v>
      </c>
      <c r="BP678" s="1"/>
      <c r="BQ678" s="1"/>
      <c r="BR678" s="1" t="s">
        <v>12750</v>
      </c>
      <c r="BS678" s="1">
        <v>23</v>
      </c>
      <c r="BT678" s="1"/>
      <c r="BU678" s="1" t="str">
        <f>HYPERLINK("https://nconnect.nicmar.ac.in/storage/profile/ProfilePhoto_P25700682_615498.jpg","Download")</f>
        <v>0</v>
      </c>
      <c r="BV678" s="3"/>
      <c r="BW678" s="3"/>
    </row>
    <row r="679" spans="1:75">
      <c r="A679" s="1" t="s">
        <v>75</v>
      </c>
      <c r="B679" s="1" t="s">
        <v>446</v>
      </c>
      <c r="C679" s="1" t="s">
        <v>12751</v>
      </c>
      <c r="D679" s="1" t="s">
        <v>12752</v>
      </c>
      <c r="E679" s="1" t="s">
        <v>2428</v>
      </c>
      <c r="F679" s="1" t="s">
        <v>1179</v>
      </c>
      <c r="G679" s="1" t="s">
        <v>12753</v>
      </c>
      <c r="H679" s="1" t="s">
        <v>12754</v>
      </c>
      <c r="I679" s="1" t="s">
        <v>12755</v>
      </c>
      <c r="J679" s="1">
        <v>8551899733</v>
      </c>
      <c r="K679" s="1" t="s">
        <v>84</v>
      </c>
      <c r="L679" s="1" t="s">
        <v>3435</v>
      </c>
      <c r="M679" s="1" t="s">
        <v>86</v>
      </c>
      <c r="N679" s="1" t="s">
        <v>12204</v>
      </c>
      <c r="O679" s="1"/>
      <c r="P679" s="1" t="s">
        <v>481</v>
      </c>
      <c r="Q679" s="1" t="s">
        <v>12756</v>
      </c>
      <c r="R679" s="1" t="s">
        <v>12757</v>
      </c>
      <c r="S679" s="1">
        <v>7972740452</v>
      </c>
      <c r="T679" s="1" t="s">
        <v>159</v>
      </c>
      <c r="U679" s="1" t="s">
        <v>12758</v>
      </c>
      <c r="V679" s="1">
        <v>9049482678</v>
      </c>
      <c r="W679" s="1" t="s">
        <v>161</v>
      </c>
      <c r="X679" s="1" t="s">
        <v>12759</v>
      </c>
      <c r="Y679" s="1" t="s">
        <v>309</v>
      </c>
      <c r="Z679" s="1" t="s">
        <v>97</v>
      </c>
      <c r="AA679" s="1" t="s">
        <v>12760</v>
      </c>
      <c r="AB679" s="1" t="s">
        <v>309</v>
      </c>
      <c r="AC679" s="1" t="s">
        <v>97</v>
      </c>
      <c r="AD679" s="1">
        <v>7.9</v>
      </c>
      <c r="AE679" s="1" t="s">
        <v>98</v>
      </c>
      <c r="AF679" s="1" t="s">
        <v>12761</v>
      </c>
      <c r="AG679" s="1" t="s">
        <v>165</v>
      </c>
      <c r="AH679" s="1" t="s">
        <v>166</v>
      </c>
      <c r="AI679" s="1" t="s">
        <v>167</v>
      </c>
      <c r="AJ679" s="1">
        <v>77</v>
      </c>
      <c r="AK679" s="1">
        <v>0</v>
      </c>
      <c r="AL679" s="1"/>
      <c r="AM679" s="1"/>
      <c r="AN679" s="1"/>
      <c r="AO679" s="1"/>
      <c r="AP679" s="1"/>
      <c r="AQ679" s="1"/>
      <c r="AR679" s="1"/>
      <c r="AS679" s="1" t="s">
        <v>439</v>
      </c>
      <c r="AT679" s="1" t="s">
        <v>12762</v>
      </c>
      <c r="AU679" s="1" t="s">
        <v>139</v>
      </c>
      <c r="AV679" s="1" t="s">
        <v>438</v>
      </c>
      <c r="AW679" s="1">
        <v>69.52</v>
      </c>
      <c r="AX679" s="1"/>
      <c r="AY679" s="1" t="s">
        <v>12763</v>
      </c>
      <c r="AZ679" s="1" t="s">
        <v>12762</v>
      </c>
      <c r="BA679" s="1"/>
      <c r="BB679" s="1"/>
      <c r="BC679" s="1" t="s">
        <v>206</v>
      </c>
      <c r="BD679" s="1" t="s">
        <v>110</v>
      </c>
      <c r="BE679" s="1">
        <v>75.56</v>
      </c>
      <c r="BF679" s="1">
        <v>8.2</v>
      </c>
      <c r="BG679" s="1"/>
      <c r="BH679" s="1"/>
      <c r="BI679" s="1"/>
      <c r="BJ679" s="1"/>
      <c r="BK679" s="1"/>
      <c r="BL679" s="1"/>
      <c r="BM679" s="1"/>
      <c r="BN679" s="1"/>
      <c r="BO679" s="1" t="s">
        <v>12764</v>
      </c>
      <c r="BP679" s="1" t="s">
        <v>12765</v>
      </c>
      <c r="BQ679" s="1" t="s">
        <v>2577</v>
      </c>
      <c r="BR679" s="1" t="s">
        <v>12766</v>
      </c>
      <c r="BS679" s="1">
        <v>30</v>
      </c>
      <c r="BT679" s="1" t="s">
        <v>12767</v>
      </c>
      <c r="BU679" s="1" t="str">
        <f>HYPERLINK("https://nconnect.nicmar.ac.in/storage/profile/ProfilePhoto_P25700683_957612.jpg","Download")</f>
        <v>0</v>
      </c>
      <c r="BV679" s="3"/>
      <c r="BW679" s="3"/>
    </row>
    <row r="680" spans="1:75">
      <c r="A680" s="1" t="s">
        <v>75</v>
      </c>
      <c r="B680" s="1" t="s">
        <v>446</v>
      </c>
      <c r="C680" s="1" t="s">
        <v>12768</v>
      </c>
      <c r="D680" s="1" t="s">
        <v>12769</v>
      </c>
      <c r="E680" s="1" t="s">
        <v>812</v>
      </c>
      <c r="F680" s="1" t="s">
        <v>12770</v>
      </c>
      <c r="G680" s="1" t="s">
        <v>12771</v>
      </c>
      <c r="H680" s="1" t="s">
        <v>12772</v>
      </c>
      <c r="I680" s="1" t="s">
        <v>12773</v>
      </c>
      <c r="J680" s="1">
        <v>6238276637</v>
      </c>
      <c r="K680" s="1" t="s">
        <v>84</v>
      </c>
      <c r="L680" s="1" t="s">
        <v>12774</v>
      </c>
      <c r="M680" s="1" t="s">
        <v>86</v>
      </c>
      <c r="N680" s="1" t="s">
        <v>12775</v>
      </c>
      <c r="O680" s="1"/>
      <c r="P680" s="1" t="s">
        <v>481</v>
      </c>
      <c r="Q680" s="1" t="s">
        <v>12776</v>
      </c>
      <c r="R680" s="1" t="s">
        <v>12777</v>
      </c>
      <c r="S680" s="1">
        <v>9447988464</v>
      </c>
      <c r="T680" s="1" t="s">
        <v>12778</v>
      </c>
      <c r="U680" s="1" t="s">
        <v>12779</v>
      </c>
      <c r="V680" s="1">
        <v>9744754425</v>
      </c>
      <c r="W680" s="1" t="s">
        <v>12780</v>
      </c>
      <c r="X680" s="1" t="s">
        <v>12781</v>
      </c>
      <c r="Y680" s="1" t="s">
        <v>701</v>
      </c>
      <c r="Z680" s="1" t="s">
        <v>130</v>
      </c>
      <c r="AA680" s="1" t="s">
        <v>12781</v>
      </c>
      <c r="AB680" s="1" t="s">
        <v>701</v>
      </c>
      <c r="AC680" s="1" t="s">
        <v>130</v>
      </c>
      <c r="AD680" s="1">
        <v>8.69</v>
      </c>
      <c r="AE680" s="1" t="s">
        <v>98</v>
      </c>
      <c r="AF680" s="1" t="s">
        <v>12782</v>
      </c>
      <c r="AG680" s="1" t="s">
        <v>3155</v>
      </c>
      <c r="AH680" s="1" t="s">
        <v>166</v>
      </c>
      <c r="AI680" s="1" t="s">
        <v>627</v>
      </c>
      <c r="AJ680" s="1">
        <v>89.3</v>
      </c>
      <c r="AK680" s="1"/>
      <c r="AL680" s="1" t="s">
        <v>12783</v>
      </c>
      <c r="AM680" s="1" t="s">
        <v>3155</v>
      </c>
      <c r="AN680" s="1" t="s">
        <v>6380</v>
      </c>
      <c r="AO680" s="1" t="s">
        <v>170</v>
      </c>
      <c r="AP680" s="1" t="s">
        <v>171</v>
      </c>
      <c r="AQ680" s="1">
        <v>76.8</v>
      </c>
      <c r="AR680" s="1"/>
      <c r="AS680" s="1"/>
      <c r="AT680" s="1"/>
      <c r="AU680" s="1"/>
      <c r="AV680" s="1"/>
      <c r="AW680" s="1"/>
      <c r="AX680" s="1"/>
      <c r="AY680" s="1" t="s">
        <v>137</v>
      </c>
      <c r="AZ680" s="1" t="s">
        <v>12784</v>
      </c>
      <c r="BA680" s="1" t="s">
        <v>466</v>
      </c>
      <c r="BB680" s="1" t="s">
        <v>467</v>
      </c>
      <c r="BC680" s="1" t="s">
        <v>1065</v>
      </c>
      <c r="BD680" s="1" t="s">
        <v>1889</v>
      </c>
      <c r="BE680" s="1">
        <v>73</v>
      </c>
      <c r="BF680" s="1">
        <v>7.3</v>
      </c>
      <c r="BG680" s="1"/>
      <c r="BH680" s="1"/>
      <c r="BI680" s="1"/>
      <c r="BJ680" s="1"/>
      <c r="BK680" s="1"/>
      <c r="BL680" s="1"/>
      <c r="BM680" s="1"/>
      <c r="BN680" s="1"/>
      <c r="BO680" s="1" t="s">
        <v>12785</v>
      </c>
      <c r="BP680" s="1" t="s">
        <v>12786</v>
      </c>
      <c r="BQ680" s="1" t="s">
        <v>7647</v>
      </c>
      <c r="BR680" s="1" t="s">
        <v>12787</v>
      </c>
      <c r="BS680" s="1">
        <v>8</v>
      </c>
      <c r="BT680" s="1" t="s">
        <v>12788</v>
      </c>
      <c r="BU680" s="1" t="str">
        <f>HYPERLINK("https://nconnect.nicmar.ac.in/storage/profile/ProfilePhoto_P25700684_186534.jpg","Download")</f>
        <v>0</v>
      </c>
      <c r="BV680" s="3"/>
      <c r="BW680" s="4">
        <v>1</v>
      </c>
    </row>
    <row r="681" spans="1:75">
      <c r="A681" s="1" t="s">
        <v>75</v>
      </c>
      <c r="B681" s="1" t="s">
        <v>446</v>
      </c>
      <c r="C681" s="1" t="s">
        <v>12789</v>
      </c>
      <c r="D681" s="1" t="s">
        <v>12790</v>
      </c>
      <c r="E681" s="1" t="s">
        <v>1769</v>
      </c>
      <c r="F681" s="1" t="s">
        <v>1179</v>
      </c>
      <c r="G681" s="1" t="s">
        <v>12791</v>
      </c>
      <c r="H681" s="1" t="s">
        <v>12792</v>
      </c>
      <c r="I681" s="1" t="s">
        <v>12793</v>
      </c>
      <c r="J681" s="1">
        <v>8767503950</v>
      </c>
      <c r="K681" s="1" t="s">
        <v>153</v>
      </c>
      <c r="L681" s="1" t="s">
        <v>12794</v>
      </c>
      <c r="M681" s="1" t="s">
        <v>86</v>
      </c>
      <c r="N681" s="1" t="s">
        <v>768</v>
      </c>
      <c r="O681" s="1"/>
      <c r="P681" s="1" t="s">
        <v>481</v>
      </c>
      <c r="Q681" s="1" t="s">
        <v>12795</v>
      </c>
      <c r="R681" s="1" t="s">
        <v>1769</v>
      </c>
      <c r="S681" s="1">
        <v>9552221322</v>
      </c>
      <c r="T681" s="1" t="s">
        <v>839</v>
      </c>
      <c r="U681" s="1" t="s">
        <v>5907</v>
      </c>
      <c r="V681" s="1">
        <v>9850372400</v>
      </c>
      <c r="W681" s="1" t="s">
        <v>161</v>
      </c>
      <c r="X681" s="1" t="s">
        <v>12796</v>
      </c>
      <c r="Y681" s="1" t="s">
        <v>5659</v>
      </c>
      <c r="Z681" s="1" t="s">
        <v>97</v>
      </c>
      <c r="AA681" s="1" t="s">
        <v>12796</v>
      </c>
      <c r="AB681" s="1" t="s">
        <v>5659</v>
      </c>
      <c r="AC681" s="1" t="s">
        <v>97</v>
      </c>
      <c r="AD681" s="1">
        <v>9.28</v>
      </c>
      <c r="AE681" s="1" t="s">
        <v>98</v>
      </c>
      <c r="AF681" s="1" t="s">
        <v>12797</v>
      </c>
      <c r="AG681" s="1" t="s">
        <v>165</v>
      </c>
      <c r="AH681" s="1" t="s">
        <v>286</v>
      </c>
      <c r="AI681" s="1" t="s">
        <v>414</v>
      </c>
      <c r="AJ681" s="1">
        <v>90</v>
      </c>
      <c r="AK681" s="1"/>
      <c r="AL681" s="1" t="s">
        <v>12798</v>
      </c>
      <c r="AM681" s="1" t="s">
        <v>165</v>
      </c>
      <c r="AN681" s="1" t="s">
        <v>575</v>
      </c>
      <c r="AO681" s="1" t="s">
        <v>414</v>
      </c>
      <c r="AP681" s="1" t="s">
        <v>1192</v>
      </c>
      <c r="AQ681" s="1">
        <v>90</v>
      </c>
      <c r="AR681" s="1"/>
      <c r="AS681" s="1"/>
      <c r="AT681" s="1"/>
      <c r="AU681" s="1"/>
      <c r="AV681" s="1"/>
      <c r="AW681" s="1"/>
      <c r="AX681" s="1"/>
      <c r="AY681" s="1" t="s">
        <v>107</v>
      </c>
      <c r="AZ681" s="1" t="s">
        <v>12799</v>
      </c>
      <c r="BA681" s="1" t="s">
        <v>466</v>
      </c>
      <c r="BB681" s="1" t="s">
        <v>467</v>
      </c>
      <c r="BC681" s="1" t="s">
        <v>871</v>
      </c>
      <c r="BD681" s="1" t="s">
        <v>1401</v>
      </c>
      <c r="BE681" s="1">
        <v>82.5</v>
      </c>
      <c r="BF681" s="1">
        <v>8.75</v>
      </c>
      <c r="BG681" s="1"/>
      <c r="BH681" s="1"/>
      <c r="BI681" s="1"/>
      <c r="BJ681" s="1"/>
      <c r="BK681" s="1"/>
      <c r="BL681" s="1"/>
      <c r="BM681" s="1"/>
      <c r="BN681" s="1"/>
      <c r="BO681" s="1" t="s">
        <v>12800</v>
      </c>
      <c r="BP681" s="1"/>
      <c r="BQ681" s="1"/>
      <c r="BR681" s="1" t="s">
        <v>12801</v>
      </c>
      <c r="BS681" s="1">
        <v>21</v>
      </c>
      <c r="BT681" s="1" t="s">
        <v>12802</v>
      </c>
      <c r="BU681" s="1" t="str">
        <f>HYPERLINK("https://nconnect.nicmar.ac.in/storage/profile/ProfilePhoto_P25700685_324561.jpg","Download")</f>
        <v>0</v>
      </c>
      <c r="BV681" s="3"/>
      <c r="BW681" s="3"/>
    </row>
    <row r="682" spans="1:75">
      <c r="A682" s="1" t="s">
        <v>75</v>
      </c>
      <c r="B682" s="1" t="s">
        <v>446</v>
      </c>
      <c r="C682" s="1" t="s">
        <v>12803</v>
      </c>
      <c r="D682" s="1" t="s">
        <v>12804</v>
      </c>
      <c r="E682" s="1" t="s">
        <v>4331</v>
      </c>
      <c r="F682" s="1" t="s">
        <v>12805</v>
      </c>
      <c r="G682" s="1" t="s">
        <v>12806</v>
      </c>
      <c r="H682" s="1" t="s">
        <v>12807</v>
      </c>
      <c r="I682" s="1" t="s">
        <v>12808</v>
      </c>
      <c r="J682" s="1">
        <v>8237958132</v>
      </c>
      <c r="K682" s="1" t="s">
        <v>84</v>
      </c>
      <c r="L682" s="1" t="s">
        <v>12809</v>
      </c>
      <c r="M682" s="1" t="s">
        <v>86</v>
      </c>
      <c r="N682" s="1" t="s">
        <v>2433</v>
      </c>
      <c r="O682" s="1"/>
      <c r="P682" s="1" t="s">
        <v>481</v>
      </c>
      <c r="Q682" s="1" t="s">
        <v>12810</v>
      </c>
      <c r="R682" s="1" t="s">
        <v>12811</v>
      </c>
      <c r="S682" s="1">
        <v>9320612182</v>
      </c>
      <c r="T682" s="1" t="s">
        <v>221</v>
      </c>
      <c r="U682" s="1" t="s">
        <v>12812</v>
      </c>
      <c r="V682" s="1">
        <v>8237445401</v>
      </c>
      <c r="W682" s="1" t="s">
        <v>221</v>
      </c>
      <c r="X682" s="1" t="s">
        <v>12813</v>
      </c>
      <c r="Y682" s="1" t="s">
        <v>1012</v>
      </c>
      <c r="Z682" s="1" t="s">
        <v>97</v>
      </c>
      <c r="AA682" s="1" t="s">
        <v>12813</v>
      </c>
      <c r="AB682" s="1" t="s">
        <v>1012</v>
      </c>
      <c r="AC682" s="1" t="s">
        <v>97</v>
      </c>
      <c r="AD682" s="1">
        <v>8.59</v>
      </c>
      <c r="AE682" s="1" t="s">
        <v>98</v>
      </c>
      <c r="AF682" s="1" t="s">
        <v>12814</v>
      </c>
      <c r="AG682" s="1" t="s">
        <v>165</v>
      </c>
      <c r="AH682" s="1" t="s">
        <v>101</v>
      </c>
      <c r="AI682" s="1" t="s">
        <v>136</v>
      </c>
      <c r="AJ682" s="1">
        <v>84.2</v>
      </c>
      <c r="AK682" s="1">
        <v>0</v>
      </c>
      <c r="AL682" s="1" t="s">
        <v>12815</v>
      </c>
      <c r="AM682" s="1" t="s">
        <v>165</v>
      </c>
      <c r="AN682" s="1" t="s">
        <v>575</v>
      </c>
      <c r="AO682" s="1" t="s">
        <v>284</v>
      </c>
      <c r="AP682" s="1" t="s">
        <v>170</v>
      </c>
      <c r="AQ682" s="1">
        <v>62.15</v>
      </c>
      <c r="AR682" s="1">
        <v>0</v>
      </c>
      <c r="AS682" s="1"/>
      <c r="AT682" s="1"/>
      <c r="AU682" s="1"/>
      <c r="AV682" s="1"/>
      <c r="AW682" s="1"/>
      <c r="AX682" s="1"/>
      <c r="AY682" s="1" t="s">
        <v>258</v>
      </c>
      <c r="AZ682" s="1" t="s">
        <v>12816</v>
      </c>
      <c r="BA682" s="1" t="s">
        <v>578</v>
      </c>
      <c r="BB682" s="1" t="s">
        <v>467</v>
      </c>
      <c r="BC682" s="1" t="s">
        <v>388</v>
      </c>
      <c r="BD682" s="1" t="s">
        <v>110</v>
      </c>
      <c r="BE682" s="1">
        <v>64.2</v>
      </c>
      <c r="BF682" s="1">
        <v>7.09</v>
      </c>
      <c r="BG682" s="1"/>
      <c r="BH682" s="1"/>
      <c r="BI682" s="1"/>
      <c r="BJ682" s="1"/>
      <c r="BK682" s="1"/>
      <c r="BL682" s="1"/>
      <c r="BM682" s="1"/>
      <c r="BN682" s="1"/>
      <c r="BO682" s="1" t="s">
        <v>260</v>
      </c>
      <c r="BP682" s="1" t="s">
        <v>12817</v>
      </c>
      <c r="BQ682" s="1" t="s">
        <v>1564</v>
      </c>
      <c r="BR682" s="1" t="s">
        <v>12818</v>
      </c>
      <c r="BS682" s="1">
        <v>8</v>
      </c>
      <c r="BT682" s="1"/>
      <c r="BU682" s="1" t="str">
        <f>HYPERLINK("https://nconnect.nicmar.ac.in/storage/profile/ProfilePhoto_P25700686_647582.jpg","Download")</f>
        <v>0</v>
      </c>
      <c r="BV682" s="3"/>
      <c r="BW682" s="3"/>
    </row>
    <row r="683" spans="1:75">
      <c r="A683" s="1" t="s">
        <v>75</v>
      </c>
      <c r="B683" s="1" t="s">
        <v>446</v>
      </c>
      <c r="C683" s="1" t="s">
        <v>12819</v>
      </c>
      <c r="D683" s="1" t="s">
        <v>239</v>
      </c>
      <c r="E683" s="1" t="s">
        <v>12820</v>
      </c>
      <c r="F683" s="1" t="s">
        <v>12821</v>
      </c>
      <c r="G683" s="1" t="s">
        <v>12822</v>
      </c>
      <c r="H683" s="1" t="s">
        <v>12823</v>
      </c>
      <c r="I683" s="1" t="s">
        <v>12824</v>
      </c>
      <c r="J683" s="1">
        <v>7218418264</v>
      </c>
      <c r="K683" s="1" t="s">
        <v>84</v>
      </c>
      <c r="L683" s="1" t="s">
        <v>12825</v>
      </c>
      <c r="M683" s="1" t="s">
        <v>86</v>
      </c>
      <c r="N683" s="1" t="s">
        <v>903</v>
      </c>
      <c r="O683" s="1"/>
      <c r="P683" s="1" t="s">
        <v>481</v>
      </c>
      <c r="Q683" s="1" t="s">
        <v>12826</v>
      </c>
      <c r="R683" s="1" t="s">
        <v>12827</v>
      </c>
      <c r="S683" s="1">
        <v>9503011061</v>
      </c>
      <c r="T683" s="1" t="s">
        <v>12828</v>
      </c>
      <c r="U683" s="1" t="s">
        <v>12829</v>
      </c>
      <c r="V683" s="1">
        <v>8390005616</v>
      </c>
      <c r="W683" s="1" t="s">
        <v>161</v>
      </c>
      <c r="X683" s="1" t="s">
        <v>12830</v>
      </c>
      <c r="Y683" s="1" t="s">
        <v>251</v>
      </c>
      <c r="Z683" s="1" t="s">
        <v>97</v>
      </c>
      <c r="AA683" s="1" t="s">
        <v>12830</v>
      </c>
      <c r="AB683" s="1" t="s">
        <v>251</v>
      </c>
      <c r="AC683" s="1" t="s">
        <v>97</v>
      </c>
      <c r="AD683" s="1">
        <v>0.0</v>
      </c>
      <c r="AE683" s="1" t="s">
        <v>98</v>
      </c>
      <c r="AF683" s="1" t="s">
        <v>12831</v>
      </c>
      <c r="AG683" s="1" t="s">
        <v>12832</v>
      </c>
      <c r="AH683" s="1" t="s">
        <v>1213</v>
      </c>
      <c r="AI683" s="1" t="s">
        <v>515</v>
      </c>
      <c r="AJ683" s="1">
        <v>67.8</v>
      </c>
      <c r="AK683" s="1"/>
      <c r="AL683" s="1" t="s">
        <v>12833</v>
      </c>
      <c r="AM683" s="1" t="s">
        <v>12832</v>
      </c>
      <c r="AN683" s="1"/>
      <c r="AO683" s="1" t="s">
        <v>166</v>
      </c>
      <c r="AP683" s="1" t="s">
        <v>517</v>
      </c>
      <c r="AQ683" s="1">
        <v>60</v>
      </c>
      <c r="AR683" s="1">
        <v>0</v>
      </c>
      <c r="AS683" s="1"/>
      <c r="AT683" s="1"/>
      <c r="AU683" s="1"/>
      <c r="AV683" s="1"/>
      <c r="AW683" s="1"/>
      <c r="AX683" s="1"/>
      <c r="AY683" s="1" t="s">
        <v>366</v>
      </c>
      <c r="AZ683" s="1" t="s">
        <v>12834</v>
      </c>
      <c r="BA683" s="1"/>
      <c r="BB683" s="1"/>
      <c r="BC683" s="1" t="s">
        <v>139</v>
      </c>
      <c r="BD683" s="1" t="s">
        <v>549</v>
      </c>
      <c r="BE683" s="1">
        <v>61.94</v>
      </c>
      <c r="BF683" s="1">
        <v>6.96</v>
      </c>
      <c r="BG683" s="1"/>
      <c r="BH683" s="1"/>
      <c r="BI683" s="1"/>
      <c r="BJ683" s="1"/>
      <c r="BK683" s="1"/>
      <c r="BL683" s="1"/>
      <c r="BM683" s="1"/>
      <c r="BN683" s="1"/>
      <c r="BO683" s="1" t="s">
        <v>7336</v>
      </c>
      <c r="BP683" s="1"/>
      <c r="BQ683" s="1"/>
      <c r="BR683" s="1" t="s">
        <v>12835</v>
      </c>
      <c r="BS683" s="1">
        <v>121</v>
      </c>
      <c r="BT683" s="1"/>
      <c r="BU683" s="1" t="str">
        <f>HYPERLINK("https://nconnect.nicmar.ac.in/storage/profile/ProfilePhoto_P25700687_475918.jpg","Download")</f>
        <v>0</v>
      </c>
      <c r="BV683" s="3"/>
      <c r="BW683" s="3"/>
    </row>
    <row r="684" spans="1:75">
      <c r="A684" s="1" t="s">
        <v>75</v>
      </c>
      <c r="B684" s="1" t="s">
        <v>446</v>
      </c>
      <c r="C684" s="1" t="s">
        <v>12836</v>
      </c>
      <c r="D684" s="1" t="s">
        <v>2097</v>
      </c>
      <c r="E684" s="1" t="s">
        <v>3331</v>
      </c>
      <c r="F684" s="1" t="s">
        <v>12821</v>
      </c>
      <c r="G684" s="1" t="s">
        <v>12837</v>
      </c>
      <c r="H684" s="1" t="s">
        <v>12838</v>
      </c>
      <c r="I684" s="1" t="s">
        <v>12839</v>
      </c>
      <c r="J684" s="1">
        <v>9923888100</v>
      </c>
      <c r="K684" s="1" t="s">
        <v>84</v>
      </c>
      <c r="L684" s="1" t="s">
        <v>9876</v>
      </c>
      <c r="M684" s="1" t="s">
        <v>86</v>
      </c>
      <c r="N684" s="1" t="s">
        <v>1163</v>
      </c>
      <c r="O684" s="1"/>
      <c r="P684" s="1" t="s">
        <v>1028</v>
      </c>
      <c r="Q684" s="1" t="s">
        <v>12840</v>
      </c>
      <c r="R684" s="1" t="s">
        <v>3331</v>
      </c>
      <c r="S684" s="1">
        <v>9923365555</v>
      </c>
      <c r="T684" s="1" t="s">
        <v>645</v>
      </c>
      <c r="U684" s="1" t="s">
        <v>1126</v>
      </c>
      <c r="V684" s="1">
        <v>8208881510</v>
      </c>
      <c r="W684" s="1" t="s">
        <v>4695</v>
      </c>
      <c r="X684" s="1" t="s">
        <v>12841</v>
      </c>
      <c r="Y684" s="1" t="s">
        <v>96</v>
      </c>
      <c r="Z684" s="1" t="s">
        <v>97</v>
      </c>
      <c r="AA684" s="1" t="s">
        <v>12841</v>
      </c>
      <c r="AB684" s="1" t="s">
        <v>96</v>
      </c>
      <c r="AC684" s="1" t="s">
        <v>97</v>
      </c>
      <c r="AD684" s="1">
        <v>7.62</v>
      </c>
      <c r="AE684" s="1" t="s">
        <v>98</v>
      </c>
      <c r="AF684" s="1" t="s">
        <v>12842</v>
      </c>
      <c r="AG684" s="1" t="s">
        <v>165</v>
      </c>
      <c r="AH684" s="1" t="s">
        <v>101</v>
      </c>
      <c r="AI684" s="1" t="s">
        <v>102</v>
      </c>
      <c r="AJ684" s="1">
        <v>80.2</v>
      </c>
      <c r="AK684" s="1"/>
      <c r="AL684" s="1" t="s">
        <v>12843</v>
      </c>
      <c r="AM684" s="1" t="s">
        <v>165</v>
      </c>
      <c r="AN684" s="1" t="s">
        <v>575</v>
      </c>
      <c r="AO684" s="1" t="s">
        <v>167</v>
      </c>
      <c r="AP684" s="1" t="s">
        <v>518</v>
      </c>
      <c r="AQ684" s="1">
        <v>61.54</v>
      </c>
      <c r="AR684" s="1"/>
      <c r="AS684" s="1"/>
      <c r="AT684" s="1"/>
      <c r="AU684" s="1"/>
      <c r="AV684" s="1"/>
      <c r="AW684" s="1"/>
      <c r="AX684" s="1"/>
      <c r="AY684" s="1" t="s">
        <v>366</v>
      </c>
      <c r="AZ684" s="1" t="s">
        <v>4721</v>
      </c>
      <c r="BA684" s="1" t="s">
        <v>578</v>
      </c>
      <c r="BB684" s="1" t="s">
        <v>467</v>
      </c>
      <c r="BC684" s="1" t="s">
        <v>2112</v>
      </c>
      <c r="BD684" s="1" t="s">
        <v>521</v>
      </c>
      <c r="BE684" s="1">
        <v>72.18</v>
      </c>
      <c r="BF684" s="1">
        <v>8.11</v>
      </c>
      <c r="BG684" s="1"/>
      <c r="BH684" s="1"/>
      <c r="BI684" s="1"/>
      <c r="BJ684" s="1"/>
      <c r="BK684" s="1"/>
      <c r="BL684" s="1"/>
      <c r="BM684" s="1"/>
      <c r="BN684" s="1"/>
      <c r="BO684" s="1" t="s">
        <v>12844</v>
      </c>
      <c r="BP684" s="1"/>
      <c r="BQ684" s="1"/>
      <c r="BR684" s="1" t="s">
        <v>12845</v>
      </c>
      <c r="BS684" s="1">
        <v>38</v>
      </c>
      <c r="BT684" s="1"/>
      <c r="BU684" s="1" t="str">
        <f>HYPERLINK("https://nconnect.nicmar.ac.in/storage/profile/ProfilePhoto_P25700688_241639.jpg","Download")</f>
        <v>0</v>
      </c>
      <c r="BV684" s="3"/>
      <c r="BW684" s="3"/>
    </row>
    <row r="685" spans="1:75">
      <c r="A685" s="1" t="s">
        <v>75</v>
      </c>
      <c r="B685" s="1" t="s">
        <v>446</v>
      </c>
      <c r="C685" s="1" t="s">
        <v>12846</v>
      </c>
      <c r="D685" s="1" t="s">
        <v>12847</v>
      </c>
      <c r="E685" s="1" t="s">
        <v>4966</v>
      </c>
      <c r="F685" s="1" t="s">
        <v>12848</v>
      </c>
      <c r="G685" s="1" t="s">
        <v>12849</v>
      </c>
      <c r="H685" s="1" t="s">
        <v>12850</v>
      </c>
      <c r="I685" s="1" t="s">
        <v>12851</v>
      </c>
      <c r="J685" s="1">
        <v>9356160041</v>
      </c>
      <c r="K685" s="1" t="s">
        <v>84</v>
      </c>
      <c r="L685" s="1" t="s">
        <v>11260</v>
      </c>
      <c r="M685" s="1" t="s">
        <v>86</v>
      </c>
      <c r="N685" s="1" t="s">
        <v>768</v>
      </c>
      <c r="O685" s="1"/>
      <c r="P685" s="1" t="s">
        <v>1028</v>
      </c>
      <c r="Q685" s="1" t="s">
        <v>12852</v>
      </c>
      <c r="R685" s="1" t="s">
        <v>12853</v>
      </c>
      <c r="S685" s="1">
        <v>8459435855</v>
      </c>
      <c r="T685" s="1" t="s">
        <v>159</v>
      </c>
      <c r="U685" s="1" t="s">
        <v>1126</v>
      </c>
      <c r="V685" s="1">
        <v>7620148479</v>
      </c>
      <c r="W685" s="1" t="s">
        <v>161</v>
      </c>
      <c r="X685" s="1" t="s">
        <v>12854</v>
      </c>
      <c r="Y685" s="1" t="s">
        <v>1989</v>
      </c>
      <c r="Z685" s="1" t="s">
        <v>97</v>
      </c>
      <c r="AA685" s="1" t="s">
        <v>12854</v>
      </c>
      <c r="AB685" s="1" t="s">
        <v>1989</v>
      </c>
      <c r="AC685" s="1" t="s">
        <v>97</v>
      </c>
      <c r="AD685" s="1">
        <v>7.36</v>
      </c>
      <c r="AE685" s="1" t="s">
        <v>98</v>
      </c>
      <c r="AF685" s="1" t="s">
        <v>12855</v>
      </c>
      <c r="AG685" s="1" t="s">
        <v>165</v>
      </c>
      <c r="AH685" s="1" t="s">
        <v>170</v>
      </c>
      <c r="AI685" s="1" t="s">
        <v>286</v>
      </c>
      <c r="AJ685" s="1">
        <v>81</v>
      </c>
      <c r="AK685" s="1"/>
      <c r="AL685" s="1"/>
      <c r="AM685" s="1"/>
      <c r="AN685" s="1"/>
      <c r="AO685" s="1"/>
      <c r="AP685" s="1"/>
      <c r="AQ685" s="1"/>
      <c r="AR685" s="1"/>
      <c r="AS685" s="1" t="s">
        <v>439</v>
      </c>
      <c r="AT685" s="1" t="s">
        <v>12856</v>
      </c>
      <c r="AU685" s="1" t="s">
        <v>1065</v>
      </c>
      <c r="AV685" s="1" t="s">
        <v>1400</v>
      </c>
      <c r="AW685" s="1">
        <v>78.32</v>
      </c>
      <c r="AX685" s="1"/>
      <c r="AY685" s="1" t="s">
        <v>1887</v>
      </c>
      <c r="AZ685" s="1" t="s">
        <v>12857</v>
      </c>
      <c r="BA685" s="1" t="s">
        <v>466</v>
      </c>
      <c r="BB685" s="1" t="s">
        <v>467</v>
      </c>
      <c r="BC685" s="1" t="s">
        <v>1889</v>
      </c>
      <c r="BD685" s="1" t="s">
        <v>848</v>
      </c>
      <c r="BE685" s="1">
        <v>62.8</v>
      </c>
      <c r="BF685" s="1"/>
      <c r="BG685" s="1"/>
      <c r="BH685" s="1"/>
      <c r="BI685" s="1"/>
      <c r="BJ685" s="1"/>
      <c r="BK685" s="1"/>
      <c r="BL685" s="1"/>
      <c r="BM685" s="1"/>
      <c r="BN685" s="1"/>
      <c r="BO685" s="1" t="s">
        <v>12858</v>
      </c>
      <c r="BP685" s="1"/>
      <c r="BQ685" s="1"/>
      <c r="BR685" s="1" t="s">
        <v>12859</v>
      </c>
      <c r="BS685" s="1">
        <v>21</v>
      </c>
      <c r="BT685" s="1" t="s">
        <v>12860</v>
      </c>
      <c r="BU685" s="1" t="str">
        <f>HYPERLINK("https://nconnect.nicmar.ac.in/storage/profile/ProfilePhoto_P25700689_513962.jpg","Download")</f>
        <v>0</v>
      </c>
      <c r="BV685" s="3"/>
      <c r="BW685" s="3"/>
    </row>
    <row r="686" spans="1:75">
      <c r="A686" s="1" t="s">
        <v>75</v>
      </c>
      <c r="B686" s="1" t="s">
        <v>446</v>
      </c>
      <c r="C686" s="1" t="s">
        <v>12861</v>
      </c>
      <c r="D686" s="1" t="s">
        <v>12862</v>
      </c>
      <c r="E686" s="1" t="s">
        <v>12863</v>
      </c>
      <c r="F686" s="1" t="s">
        <v>12864</v>
      </c>
      <c r="G686" s="1" t="s">
        <v>12865</v>
      </c>
      <c r="H686" s="1" t="s">
        <v>12866</v>
      </c>
      <c r="I686" s="1" t="s">
        <v>12867</v>
      </c>
      <c r="J686" s="1">
        <v>8999040700</v>
      </c>
      <c r="K686" s="1" t="s">
        <v>84</v>
      </c>
      <c r="L686" s="1" t="s">
        <v>12868</v>
      </c>
      <c r="M686" s="1" t="s">
        <v>86</v>
      </c>
      <c r="N686" s="1" t="s">
        <v>2433</v>
      </c>
      <c r="O686" s="1" t="s">
        <v>12869</v>
      </c>
      <c r="P686" s="1" t="s">
        <v>122</v>
      </c>
      <c r="Q686" s="1" t="s">
        <v>12870</v>
      </c>
      <c r="R686" s="1" t="s">
        <v>12863</v>
      </c>
      <c r="S686" s="1">
        <v>9767192552</v>
      </c>
      <c r="T686" s="1" t="s">
        <v>12871</v>
      </c>
      <c r="U686" s="1" t="s">
        <v>12872</v>
      </c>
      <c r="V686" s="1">
        <v>7498328887</v>
      </c>
      <c r="W686" s="1" t="s">
        <v>161</v>
      </c>
      <c r="X686" s="1" t="s">
        <v>12873</v>
      </c>
      <c r="Y686" s="1" t="s">
        <v>5181</v>
      </c>
      <c r="Z686" s="1" t="s">
        <v>97</v>
      </c>
      <c r="AA686" s="1" t="s">
        <v>12873</v>
      </c>
      <c r="AB686" s="1" t="s">
        <v>5181</v>
      </c>
      <c r="AC686" s="1" t="s">
        <v>97</v>
      </c>
      <c r="AD686" s="1">
        <v>8.31</v>
      </c>
      <c r="AE686" s="1" t="s">
        <v>98</v>
      </c>
      <c r="AF686" s="1" t="s">
        <v>12874</v>
      </c>
      <c r="AG686" s="1" t="s">
        <v>12875</v>
      </c>
      <c r="AH686" s="1" t="s">
        <v>170</v>
      </c>
      <c r="AI686" s="1" t="s">
        <v>286</v>
      </c>
      <c r="AJ686" s="1">
        <v>80.6</v>
      </c>
      <c r="AK686" s="1"/>
      <c r="AL686" s="1" t="s">
        <v>12874</v>
      </c>
      <c r="AM686" s="1" t="s">
        <v>12875</v>
      </c>
      <c r="AN686" s="1" t="s">
        <v>465</v>
      </c>
      <c r="AO686" s="1" t="s">
        <v>438</v>
      </c>
      <c r="AP686" s="1" t="s">
        <v>365</v>
      </c>
      <c r="AQ686" s="1">
        <v>62.46</v>
      </c>
      <c r="AR686" s="1"/>
      <c r="AS686" s="1"/>
      <c r="AT686" s="1"/>
      <c r="AU686" s="1"/>
      <c r="AV686" s="1"/>
      <c r="AW686" s="1"/>
      <c r="AX686" s="1"/>
      <c r="AY686" s="1" t="s">
        <v>258</v>
      </c>
      <c r="AZ686" s="1" t="s">
        <v>12876</v>
      </c>
      <c r="BA686" s="1" t="s">
        <v>682</v>
      </c>
      <c r="BB686" s="1" t="s">
        <v>683</v>
      </c>
      <c r="BC686" s="1" t="s">
        <v>468</v>
      </c>
      <c r="BD686" s="1" t="s">
        <v>553</v>
      </c>
      <c r="BE686" s="1">
        <v>64.24</v>
      </c>
      <c r="BF686" s="1">
        <v>7.06</v>
      </c>
      <c r="BG686" s="1"/>
      <c r="BH686" s="1"/>
      <c r="BI686" s="1"/>
      <c r="BJ686" s="1"/>
      <c r="BK686" s="1"/>
      <c r="BL686" s="1"/>
      <c r="BM686" s="1"/>
      <c r="BN686" s="1"/>
      <c r="BO686" s="1" t="s">
        <v>12877</v>
      </c>
      <c r="BP686" s="1"/>
      <c r="BQ686" s="1"/>
      <c r="BR686" s="1" t="s">
        <v>12878</v>
      </c>
      <c r="BS686" s="1">
        <v>27</v>
      </c>
      <c r="BT686" s="1" t="s">
        <v>12879</v>
      </c>
      <c r="BU686" s="1" t="str">
        <f>HYPERLINK("https://nconnect.nicmar.ac.in/storage/profile/ProfilePhoto_P25700690_598276.jpg","Download")</f>
        <v>0</v>
      </c>
      <c r="BV686" s="3"/>
      <c r="BW686" s="3"/>
    </row>
    <row r="687" spans="1:75">
      <c r="A687" s="1" t="s">
        <v>75</v>
      </c>
      <c r="B687" s="1" t="s">
        <v>446</v>
      </c>
      <c r="C687" s="1" t="s">
        <v>12880</v>
      </c>
      <c r="D687" s="1" t="s">
        <v>3350</v>
      </c>
      <c r="E687" s="1" t="s">
        <v>12881</v>
      </c>
      <c r="F687" s="1" t="s">
        <v>12882</v>
      </c>
      <c r="G687" s="1" t="s">
        <v>12883</v>
      </c>
      <c r="H687" s="1" t="s">
        <v>12884</v>
      </c>
      <c r="I687" s="1" t="s">
        <v>12885</v>
      </c>
      <c r="J687" s="1">
        <v>8104032269</v>
      </c>
      <c r="K687" s="1" t="s">
        <v>84</v>
      </c>
      <c r="L687" s="1" t="s">
        <v>12886</v>
      </c>
      <c r="M687" s="1" t="s">
        <v>86</v>
      </c>
      <c r="N687" s="1" t="s">
        <v>12510</v>
      </c>
      <c r="O687" s="1"/>
      <c r="P687" s="1" t="s">
        <v>455</v>
      </c>
      <c r="Q687" s="1" t="s">
        <v>12887</v>
      </c>
      <c r="R687" s="1" t="s">
        <v>12881</v>
      </c>
      <c r="S687" s="1">
        <v>9820397681</v>
      </c>
      <c r="T687" s="1" t="s">
        <v>12888</v>
      </c>
      <c r="U687" s="1" t="s">
        <v>10261</v>
      </c>
      <c r="V687" s="1">
        <v>9920367838</v>
      </c>
      <c r="W687" s="1" t="s">
        <v>161</v>
      </c>
      <c r="X687" s="1" t="s">
        <v>12889</v>
      </c>
      <c r="Y687" s="1" t="s">
        <v>2259</v>
      </c>
      <c r="Z687" s="1" t="s">
        <v>97</v>
      </c>
      <c r="AA687" s="1" t="s">
        <v>12889</v>
      </c>
      <c r="AB687" s="1" t="s">
        <v>2259</v>
      </c>
      <c r="AC687" s="1" t="s">
        <v>97</v>
      </c>
      <c r="AD687" s="1">
        <v>8.49</v>
      </c>
      <c r="AE687" s="1" t="s">
        <v>98</v>
      </c>
      <c r="AF687" s="1" t="s">
        <v>12890</v>
      </c>
      <c r="AG687" s="1" t="s">
        <v>12891</v>
      </c>
      <c r="AH687" s="1" t="s">
        <v>170</v>
      </c>
      <c r="AI687" s="1" t="s">
        <v>490</v>
      </c>
      <c r="AJ687" s="1">
        <v>83.2</v>
      </c>
      <c r="AK687" s="1"/>
      <c r="AL687" s="1" t="s">
        <v>12892</v>
      </c>
      <c r="AM687" s="1" t="s">
        <v>12891</v>
      </c>
      <c r="AN687" s="1" t="s">
        <v>465</v>
      </c>
      <c r="AO687" s="1" t="s">
        <v>438</v>
      </c>
      <c r="AP687" s="1" t="s">
        <v>365</v>
      </c>
      <c r="AQ687" s="1">
        <v>62.62</v>
      </c>
      <c r="AR687" s="1"/>
      <c r="AS687" s="1"/>
      <c r="AT687" s="1"/>
      <c r="AU687" s="1"/>
      <c r="AV687" s="1"/>
      <c r="AW687" s="1"/>
      <c r="AX687" s="1"/>
      <c r="AY687" s="1" t="s">
        <v>258</v>
      </c>
      <c r="AZ687" s="1" t="s">
        <v>12893</v>
      </c>
      <c r="BA687" s="1" t="s">
        <v>682</v>
      </c>
      <c r="BB687" s="1" t="s">
        <v>1479</v>
      </c>
      <c r="BC687" s="1" t="s">
        <v>368</v>
      </c>
      <c r="BD687" s="1" t="s">
        <v>553</v>
      </c>
      <c r="BE687" s="1">
        <v>75.34</v>
      </c>
      <c r="BF687" s="1">
        <v>8.56</v>
      </c>
      <c r="BG687" s="1"/>
      <c r="BH687" s="1"/>
      <c r="BI687" s="1"/>
      <c r="BJ687" s="1"/>
      <c r="BK687" s="1"/>
      <c r="BL687" s="1"/>
      <c r="BM687" s="1"/>
      <c r="BN687" s="1"/>
      <c r="BO687" s="1" t="s">
        <v>12894</v>
      </c>
      <c r="BP687" s="1"/>
      <c r="BQ687" s="1"/>
      <c r="BR687" s="1" t="s">
        <v>12895</v>
      </c>
      <c r="BS687" s="1">
        <v>34</v>
      </c>
      <c r="BT687" s="1"/>
      <c r="BU687" s="1" t="str">
        <f>HYPERLINK("https://nconnect.nicmar.ac.in/storage/profile/ProfilePhoto_P25700691_937165.jpg","Download")</f>
        <v>0</v>
      </c>
      <c r="BV687" s="3"/>
      <c r="BW687" s="3"/>
    </row>
    <row r="688" spans="1:75">
      <c r="A688" s="1" t="s">
        <v>75</v>
      </c>
      <c r="B688" s="1" t="s">
        <v>446</v>
      </c>
      <c r="C688" s="1" t="s">
        <v>12896</v>
      </c>
      <c r="D688" s="1" t="s">
        <v>12897</v>
      </c>
      <c r="E688" s="1"/>
      <c r="F688" s="1" t="s">
        <v>12898</v>
      </c>
      <c r="G688" s="1" t="s">
        <v>12899</v>
      </c>
      <c r="H688" s="1" t="s">
        <v>12900</v>
      </c>
      <c r="I688" s="1" t="s">
        <v>12901</v>
      </c>
      <c r="J688" s="1">
        <v>9705938096</v>
      </c>
      <c r="K688" s="1" t="s">
        <v>153</v>
      </c>
      <c r="L688" s="1" t="s">
        <v>12253</v>
      </c>
      <c r="M688" s="1" t="s">
        <v>86</v>
      </c>
      <c r="N688" s="1" t="s">
        <v>3458</v>
      </c>
      <c r="O688" s="1"/>
      <c r="P688" s="1" t="s">
        <v>507</v>
      </c>
      <c r="Q688" s="1" t="s">
        <v>12902</v>
      </c>
      <c r="R688" s="1" t="s">
        <v>12903</v>
      </c>
      <c r="S688" s="1">
        <v>8121045396</v>
      </c>
      <c r="T688" s="1" t="s">
        <v>839</v>
      </c>
      <c r="U688" s="1" t="s">
        <v>12904</v>
      </c>
      <c r="V688" s="1">
        <v>9492879124</v>
      </c>
      <c r="W688" s="1" t="s">
        <v>839</v>
      </c>
      <c r="X688" s="1" t="s">
        <v>12905</v>
      </c>
      <c r="Y688" s="1" t="s">
        <v>196</v>
      </c>
      <c r="Z688" s="1" t="s">
        <v>97</v>
      </c>
      <c r="AA688" s="1" t="s">
        <v>12906</v>
      </c>
      <c r="AB688" s="1" t="s">
        <v>12907</v>
      </c>
      <c r="AC688" s="1" t="s">
        <v>281</v>
      </c>
      <c r="AD688" s="1">
        <v>7.38</v>
      </c>
      <c r="AE688" s="1" t="s">
        <v>98</v>
      </c>
      <c r="AF688" s="1" t="s">
        <v>12908</v>
      </c>
      <c r="AG688" s="1" t="s">
        <v>8540</v>
      </c>
      <c r="AH688" s="1" t="s">
        <v>573</v>
      </c>
      <c r="AI688" s="1" t="s">
        <v>171</v>
      </c>
      <c r="AJ688" s="1">
        <v>72.5</v>
      </c>
      <c r="AK688" s="1"/>
      <c r="AL688" s="1" t="s">
        <v>12909</v>
      </c>
      <c r="AM688" s="1" t="s">
        <v>2343</v>
      </c>
      <c r="AN688" s="1"/>
      <c r="AO688" s="1" t="s">
        <v>106</v>
      </c>
      <c r="AP688" s="1" t="s">
        <v>468</v>
      </c>
      <c r="AQ688" s="1">
        <v>74.2</v>
      </c>
      <c r="AR688" s="1">
        <v>7.42</v>
      </c>
      <c r="AS688" s="1"/>
      <c r="AT688" s="1"/>
      <c r="AU688" s="1"/>
      <c r="AV688" s="1"/>
      <c r="AW688" s="1"/>
      <c r="AX688" s="1"/>
      <c r="AY688" s="1" t="s">
        <v>12910</v>
      </c>
      <c r="AZ688" s="1" t="s">
        <v>12911</v>
      </c>
      <c r="BA688" s="1"/>
      <c r="BB688" s="1"/>
      <c r="BC688" s="1" t="s">
        <v>890</v>
      </c>
      <c r="BD688" s="1" t="s">
        <v>207</v>
      </c>
      <c r="BE688" s="1">
        <v>67.07</v>
      </c>
      <c r="BF688" s="1">
        <v>8.14</v>
      </c>
      <c r="BG688" s="1"/>
      <c r="BH688" s="1"/>
      <c r="BI688" s="1"/>
      <c r="BJ688" s="1"/>
      <c r="BK688" s="1"/>
      <c r="BL688" s="1"/>
      <c r="BM688" s="1"/>
      <c r="BN688" s="1"/>
      <c r="BO688" s="1" t="s">
        <v>12912</v>
      </c>
      <c r="BP688" s="1"/>
      <c r="BQ688" s="1"/>
      <c r="BR688" s="1" t="s">
        <v>12913</v>
      </c>
      <c r="BS688" s="1">
        <v>47</v>
      </c>
      <c r="BT688" s="1"/>
      <c r="BU688" s="1" t="str">
        <f>HYPERLINK("https://nconnect.nicmar.ac.in/storage/profile/ProfilePhoto_P25700692_921468.jpg","Download")</f>
        <v>0</v>
      </c>
      <c r="BV688" s="3"/>
      <c r="BW688" s="3"/>
    </row>
    <row r="689" spans="1:75">
      <c r="A689" s="1" t="s">
        <v>75</v>
      </c>
      <c r="B689" s="1" t="s">
        <v>446</v>
      </c>
      <c r="C689" s="1" t="s">
        <v>12914</v>
      </c>
      <c r="D689" s="1" t="s">
        <v>3350</v>
      </c>
      <c r="E689" s="1" t="s">
        <v>9235</v>
      </c>
      <c r="F689" s="1" t="s">
        <v>9202</v>
      </c>
      <c r="G689" s="1" t="s">
        <v>12915</v>
      </c>
      <c r="H689" s="1" t="s">
        <v>12916</v>
      </c>
      <c r="I689" s="1" t="s">
        <v>12917</v>
      </c>
      <c r="J689" s="1">
        <v>7499176590</v>
      </c>
      <c r="K689" s="1" t="s">
        <v>84</v>
      </c>
      <c r="L689" s="1" t="s">
        <v>12918</v>
      </c>
      <c r="M689" s="1" t="s">
        <v>86</v>
      </c>
      <c r="N689" s="1" t="s">
        <v>156</v>
      </c>
      <c r="O689" s="1"/>
      <c r="P689" s="1" t="s">
        <v>507</v>
      </c>
      <c r="Q689" s="1" t="s">
        <v>12919</v>
      </c>
      <c r="R689" s="1" t="s">
        <v>9235</v>
      </c>
      <c r="S689" s="1">
        <v>8888837485</v>
      </c>
      <c r="T689" s="1" t="s">
        <v>9257</v>
      </c>
      <c r="U689" s="1" t="s">
        <v>8537</v>
      </c>
      <c r="V689" s="1">
        <v>8888852231</v>
      </c>
      <c r="W689" s="1" t="s">
        <v>94</v>
      </c>
      <c r="X689" s="1" t="s">
        <v>12920</v>
      </c>
      <c r="Y689" s="1" t="s">
        <v>1779</v>
      </c>
      <c r="Z689" s="1" t="s">
        <v>97</v>
      </c>
      <c r="AA689" s="1" t="s">
        <v>12920</v>
      </c>
      <c r="AB689" s="1" t="s">
        <v>1779</v>
      </c>
      <c r="AC689" s="1" t="s">
        <v>97</v>
      </c>
      <c r="AD689" s="1">
        <v>7.62</v>
      </c>
      <c r="AE689" s="1" t="s">
        <v>98</v>
      </c>
      <c r="AF689" s="1" t="s">
        <v>12921</v>
      </c>
      <c r="AG689" s="1" t="s">
        <v>7366</v>
      </c>
      <c r="AH689" s="1" t="s">
        <v>167</v>
      </c>
      <c r="AI689" s="1" t="s">
        <v>573</v>
      </c>
      <c r="AJ689" s="1">
        <v>82.8</v>
      </c>
      <c r="AK689" s="1"/>
      <c r="AL689" s="1"/>
      <c r="AM689" s="1"/>
      <c r="AN689" s="1"/>
      <c r="AO689" s="1"/>
      <c r="AP689" s="1"/>
      <c r="AQ689" s="1"/>
      <c r="AR689" s="1"/>
      <c r="AS689" s="1" t="s">
        <v>439</v>
      </c>
      <c r="AT689" s="1" t="s">
        <v>12922</v>
      </c>
      <c r="AU689" s="1" t="s">
        <v>230</v>
      </c>
      <c r="AV689" s="1" t="s">
        <v>175</v>
      </c>
      <c r="AW689" s="1">
        <v>89</v>
      </c>
      <c r="AX689" s="1"/>
      <c r="AY689" s="1" t="s">
        <v>366</v>
      </c>
      <c r="AZ689" s="1" t="s">
        <v>7915</v>
      </c>
      <c r="BA689" s="1"/>
      <c r="BB689" s="1"/>
      <c r="BC689" s="1" t="s">
        <v>368</v>
      </c>
      <c r="BD689" s="1" t="s">
        <v>391</v>
      </c>
      <c r="BE689" s="1">
        <v>85.42</v>
      </c>
      <c r="BF689" s="1">
        <v>9.05</v>
      </c>
      <c r="BG689" s="1"/>
      <c r="BH689" s="1"/>
      <c r="BI689" s="1"/>
      <c r="BJ689" s="1"/>
      <c r="BK689" s="1"/>
      <c r="BL689" s="1"/>
      <c r="BM689" s="1"/>
      <c r="BN689" s="1"/>
      <c r="BO689" s="1" t="s">
        <v>12923</v>
      </c>
      <c r="BP689" s="1"/>
      <c r="BQ689" s="1"/>
      <c r="BR689" s="1" t="s">
        <v>12924</v>
      </c>
      <c r="BS689" s="1">
        <v>60</v>
      </c>
      <c r="BT689" s="1"/>
      <c r="BU689" s="1" t="str">
        <f>HYPERLINK("https://nconnect.nicmar.ac.in/storage/profile/ProfilePhoto_P25700693_573496.jpg","Download")</f>
        <v>0</v>
      </c>
      <c r="BV689" s="3"/>
      <c r="BW689" s="4">
        <v>1</v>
      </c>
    </row>
    <row r="690" spans="1:75">
      <c r="A690" s="1" t="s">
        <v>75</v>
      </c>
      <c r="B690" s="1" t="s">
        <v>446</v>
      </c>
      <c r="C690" s="1" t="s">
        <v>12925</v>
      </c>
      <c r="D690" s="1" t="s">
        <v>12820</v>
      </c>
      <c r="E690" s="1"/>
      <c r="F690" s="1" t="s">
        <v>12926</v>
      </c>
      <c r="G690" s="1" t="s">
        <v>12927</v>
      </c>
      <c r="H690" s="1" t="s">
        <v>12928</v>
      </c>
      <c r="I690" s="1" t="s">
        <v>12929</v>
      </c>
      <c r="J690" s="1">
        <v>8279486177</v>
      </c>
      <c r="K690" s="1" t="s">
        <v>84</v>
      </c>
      <c r="L690" s="1" t="s">
        <v>12930</v>
      </c>
      <c r="M690" s="1" t="s">
        <v>86</v>
      </c>
      <c r="N690" s="1" t="s">
        <v>8679</v>
      </c>
      <c r="O690" s="1"/>
      <c r="P690" s="1" t="s">
        <v>2062</v>
      </c>
      <c r="Q690" s="1" t="s">
        <v>12931</v>
      </c>
      <c r="R690" s="1" t="s">
        <v>12932</v>
      </c>
      <c r="S690" s="1">
        <v>9415027549</v>
      </c>
      <c r="T690" s="1" t="s">
        <v>1495</v>
      </c>
      <c r="U690" s="1" t="s">
        <v>5271</v>
      </c>
      <c r="V690" s="1">
        <v>9415027249</v>
      </c>
      <c r="W690" s="1" t="s">
        <v>1257</v>
      </c>
      <c r="X690" s="1" t="s">
        <v>12933</v>
      </c>
      <c r="Y690" s="1" t="s">
        <v>1059</v>
      </c>
      <c r="Z690" s="1" t="s">
        <v>544</v>
      </c>
      <c r="AA690" s="1" t="s">
        <v>12933</v>
      </c>
      <c r="AB690" s="1" t="s">
        <v>1059</v>
      </c>
      <c r="AC690" s="1" t="s">
        <v>544</v>
      </c>
      <c r="AD690" s="1">
        <v>8.51</v>
      </c>
      <c r="AE690" s="1" t="s">
        <v>98</v>
      </c>
      <c r="AF690" s="1" t="s">
        <v>12934</v>
      </c>
      <c r="AG690" s="1" t="s">
        <v>12935</v>
      </c>
      <c r="AH690" s="1" t="s">
        <v>12936</v>
      </c>
      <c r="AI690" s="1" t="s">
        <v>339</v>
      </c>
      <c r="AJ690" s="1">
        <v>77</v>
      </c>
      <c r="AK690" s="1"/>
      <c r="AL690" s="1" t="s">
        <v>12934</v>
      </c>
      <c r="AM690" s="1" t="s">
        <v>12935</v>
      </c>
      <c r="AN690" s="1" t="s">
        <v>465</v>
      </c>
      <c r="AO690" s="1" t="s">
        <v>254</v>
      </c>
      <c r="AP690" s="1" t="s">
        <v>1213</v>
      </c>
      <c r="AQ690" s="1">
        <v>76.4</v>
      </c>
      <c r="AR690" s="1"/>
      <c r="AS690" s="1"/>
      <c r="AT690" s="1"/>
      <c r="AU690" s="1"/>
      <c r="AV690" s="1"/>
      <c r="AW690" s="1"/>
      <c r="AX690" s="1"/>
      <c r="AY690" s="1" t="s">
        <v>12937</v>
      </c>
      <c r="AZ690" s="1" t="s">
        <v>12938</v>
      </c>
      <c r="BA690" s="1" t="s">
        <v>466</v>
      </c>
      <c r="BB690" s="1" t="s">
        <v>8285</v>
      </c>
      <c r="BC690" s="1" t="s">
        <v>257</v>
      </c>
      <c r="BD690" s="1" t="s">
        <v>174</v>
      </c>
      <c r="BE690" s="1">
        <v>69.26</v>
      </c>
      <c r="BF690" s="1"/>
      <c r="BG690" s="1" t="s">
        <v>12937</v>
      </c>
      <c r="BH690" s="1" t="s">
        <v>1586</v>
      </c>
      <c r="BI690" s="1"/>
      <c r="BJ690" s="1"/>
      <c r="BK690" s="1" t="s">
        <v>1802</v>
      </c>
      <c r="BL690" s="1" t="s">
        <v>1242</v>
      </c>
      <c r="BM690" s="1">
        <v>79.3</v>
      </c>
      <c r="BN690" s="1">
        <v>7.93</v>
      </c>
      <c r="BO690" s="1" t="s">
        <v>1114</v>
      </c>
      <c r="BP690" s="1" t="s">
        <v>12939</v>
      </c>
      <c r="BQ690" s="1" t="s">
        <v>12940</v>
      </c>
      <c r="BR690" s="1" t="s">
        <v>12941</v>
      </c>
      <c r="BS690" s="1">
        <v>8</v>
      </c>
      <c r="BT690" s="1" t="s">
        <v>12942</v>
      </c>
      <c r="BU690" s="1" t="str">
        <f>HYPERLINK("https://nconnect.nicmar.ac.in/storage/profile/ProfilePhoto_P25700695_518436.jpg","Download")</f>
        <v>0</v>
      </c>
      <c r="BV690" s="3"/>
      <c r="BW690" s="3"/>
    </row>
    <row r="691" spans="1:75">
      <c r="A691" s="1" t="s">
        <v>75</v>
      </c>
      <c r="B691" s="1" t="s">
        <v>446</v>
      </c>
      <c r="C691" s="1" t="s">
        <v>12943</v>
      </c>
      <c r="D691" s="1" t="s">
        <v>12944</v>
      </c>
      <c r="E691" s="1" t="s">
        <v>1487</v>
      </c>
      <c r="F691" s="1" t="s">
        <v>12945</v>
      </c>
      <c r="G691" s="1" t="s">
        <v>12946</v>
      </c>
      <c r="H691" s="1" t="s">
        <v>12947</v>
      </c>
      <c r="I691" s="1" t="s">
        <v>12948</v>
      </c>
      <c r="J691" s="1">
        <v>7892383736</v>
      </c>
      <c r="K691" s="1" t="s">
        <v>84</v>
      </c>
      <c r="L691" s="1" t="s">
        <v>4042</v>
      </c>
      <c r="M691" s="1" t="s">
        <v>86</v>
      </c>
      <c r="N691" s="1" t="s">
        <v>11117</v>
      </c>
      <c r="O691" s="1"/>
      <c r="P691" s="1" t="s">
        <v>455</v>
      </c>
      <c r="Q691" s="1" t="s">
        <v>12949</v>
      </c>
      <c r="R691" s="1" t="s">
        <v>12932</v>
      </c>
      <c r="S691" s="1">
        <v>7892472711</v>
      </c>
      <c r="T691" s="1" t="s">
        <v>839</v>
      </c>
      <c r="U691" s="1" t="s">
        <v>2240</v>
      </c>
      <c r="V691" s="1">
        <v>8217514975</v>
      </c>
      <c r="W691" s="1" t="s">
        <v>161</v>
      </c>
      <c r="X691" s="1" t="s">
        <v>12950</v>
      </c>
      <c r="Y691" s="1" t="s">
        <v>3985</v>
      </c>
      <c r="Z691" s="1" t="s">
        <v>1210</v>
      </c>
      <c r="AA691" s="1" t="s">
        <v>12950</v>
      </c>
      <c r="AB691" s="1" t="s">
        <v>3985</v>
      </c>
      <c r="AC691" s="1" t="s">
        <v>1210</v>
      </c>
      <c r="AD691" s="1">
        <v>7.92</v>
      </c>
      <c r="AE691" s="1" t="s">
        <v>98</v>
      </c>
      <c r="AF691" s="1" t="s">
        <v>11340</v>
      </c>
      <c r="AG691" s="1" t="s">
        <v>12951</v>
      </c>
      <c r="AH691" s="1" t="s">
        <v>106</v>
      </c>
      <c r="AI691" s="1" t="s">
        <v>547</v>
      </c>
      <c r="AJ691" s="1">
        <v>81.92</v>
      </c>
      <c r="AK691" s="1"/>
      <c r="AL691" s="1" t="s">
        <v>12952</v>
      </c>
      <c r="AM691" s="1" t="s">
        <v>12953</v>
      </c>
      <c r="AN691" s="1" t="s">
        <v>575</v>
      </c>
      <c r="AO691" s="1" t="s">
        <v>438</v>
      </c>
      <c r="AP691" s="1" t="s">
        <v>549</v>
      </c>
      <c r="AQ691" s="1">
        <v>71.16</v>
      </c>
      <c r="AR691" s="1"/>
      <c r="AS691" s="1"/>
      <c r="AT691" s="1"/>
      <c r="AU691" s="1"/>
      <c r="AV691" s="1"/>
      <c r="AW691" s="1"/>
      <c r="AX691" s="1"/>
      <c r="AY691" s="1" t="s">
        <v>1217</v>
      </c>
      <c r="AZ691" s="1" t="s">
        <v>12954</v>
      </c>
      <c r="BA691" s="1" t="s">
        <v>578</v>
      </c>
      <c r="BB691" s="1" t="s">
        <v>467</v>
      </c>
      <c r="BC691" s="1" t="s">
        <v>871</v>
      </c>
      <c r="BD691" s="1" t="s">
        <v>848</v>
      </c>
      <c r="BE691" s="1">
        <v>64.3</v>
      </c>
      <c r="BF691" s="1">
        <v>6.43</v>
      </c>
      <c r="BG691" s="1"/>
      <c r="BH691" s="1"/>
      <c r="BI691" s="1"/>
      <c r="BJ691" s="1"/>
      <c r="BK691" s="1"/>
      <c r="BL691" s="1"/>
      <c r="BM691" s="1"/>
      <c r="BN691" s="1"/>
      <c r="BO691" s="1" t="s">
        <v>12955</v>
      </c>
      <c r="BP691" s="1"/>
      <c r="BQ691" s="1"/>
      <c r="BR691" s="1" t="s">
        <v>12956</v>
      </c>
      <c r="BS691" s="1">
        <v>21</v>
      </c>
      <c r="BT691" s="1" t="s">
        <v>12957</v>
      </c>
      <c r="BU691" s="1" t="str">
        <f>HYPERLINK("https://nconnect.nicmar.ac.in/storage/profile/ProfilePhoto_P25700696_167394.jpg","Download")</f>
        <v>0</v>
      </c>
      <c r="BV691" s="3"/>
      <c r="BW691" s="3"/>
    </row>
    <row r="692" spans="1:75">
      <c r="A692" s="1" t="s">
        <v>75</v>
      </c>
      <c r="B692" s="1" t="s">
        <v>446</v>
      </c>
      <c r="C692" s="1" t="s">
        <v>12958</v>
      </c>
      <c r="D692" s="1" t="s">
        <v>3100</v>
      </c>
      <c r="E692" s="1" t="s">
        <v>1075</v>
      </c>
      <c r="F692" s="1" t="s">
        <v>12959</v>
      </c>
      <c r="G692" s="1" t="s">
        <v>12960</v>
      </c>
      <c r="H692" s="1" t="s">
        <v>12961</v>
      </c>
      <c r="I692" s="1" t="s">
        <v>12962</v>
      </c>
      <c r="J692" s="1">
        <v>9881258305</v>
      </c>
      <c r="K692" s="1" t="s">
        <v>84</v>
      </c>
      <c r="L692" s="1" t="s">
        <v>12963</v>
      </c>
      <c r="M692" s="1" t="s">
        <v>86</v>
      </c>
      <c r="N692" s="1" t="s">
        <v>12964</v>
      </c>
      <c r="O692" s="1"/>
      <c r="P692" s="1"/>
      <c r="Q692" s="1" t="s">
        <v>12965</v>
      </c>
      <c r="R692" s="1" t="s">
        <v>12966</v>
      </c>
      <c r="S692" s="1">
        <v>9881258495</v>
      </c>
      <c r="T692" s="1" t="s">
        <v>2128</v>
      </c>
      <c r="U692" s="1" t="s">
        <v>12967</v>
      </c>
      <c r="V692" s="1">
        <v>9881258306</v>
      </c>
      <c r="W692" s="1" t="s">
        <v>278</v>
      </c>
      <c r="X692" s="1" t="s">
        <v>12968</v>
      </c>
      <c r="Y692" s="1" t="s">
        <v>163</v>
      </c>
      <c r="Z692" s="1" t="s">
        <v>97</v>
      </c>
      <c r="AA692" s="1" t="s">
        <v>12968</v>
      </c>
      <c r="AB692" s="1" t="s">
        <v>163</v>
      </c>
      <c r="AC692" s="1" t="s">
        <v>97</v>
      </c>
      <c r="AD692" s="1">
        <v>8.0</v>
      </c>
      <c r="AE692" s="1" t="s">
        <v>98</v>
      </c>
      <c r="AF692" s="1" t="s">
        <v>12969</v>
      </c>
      <c r="AG692" s="1" t="s">
        <v>12970</v>
      </c>
      <c r="AH692" s="1" t="s">
        <v>1065</v>
      </c>
      <c r="AI692" s="1" t="s">
        <v>414</v>
      </c>
      <c r="AJ692" s="1">
        <v>64.4</v>
      </c>
      <c r="AK692" s="1">
        <v>0</v>
      </c>
      <c r="AL692" s="1"/>
      <c r="AM692" s="1"/>
      <c r="AN692" s="1"/>
      <c r="AO692" s="1"/>
      <c r="AP692" s="1"/>
      <c r="AQ692" s="1"/>
      <c r="AR692" s="1"/>
      <c r="AS692" s="1" t="s">
        <v>12971</v>
      </c>
      <c r="AT692" s="1" t="s">
        <v>12972</v>
      </c>
      <c r="AU692" s="1" t="s">
        <v>206</v>
      </c>
      <c r="AV692" s="1" t="s">
        <v>1400</v>
      </c>
      <c r="AW692" s="1">
        <v>81.68</v>
      </c>
      <c r="AX692" s="1">
        <v>0</v>
      </c>
      <c r="AY692" s="1" t="s">
        <v>1606</v>
      </c>
      <c r="AZ692" s="1" t="s">
        <v>12973</v>
      </c>
      <c r="BA692" s="1"/>
      <c r="BB692" s="1"/>
      <c r="BC692" s="1" t="s">
        <v>1400</v>
      </c>
      <c r="BD692" s="1" t="s">
        <v>553</v>
      </c>
      <c r="BE692" s="1">
        <v>77.71</v>
      </c>
      <c r="BF692" s="1">
        <v>8.55</v>
      </c>
      <c r="BG692" s="1"/>
      <c r="BH692" s="1"/>
      <c r="BI692" s="1"/>
      <c r="BJ692" s="1"/>
      <c r="BK692" s="1"/>
      <c r="BL692" s="1"/>
      <c r="BM692" s="1"/>
      <c r="BN692" s="1"/>
      <c r="BO692" s="1" t="s">
        <v>369</v>
      </c>
      <c r="BP692" s="1"/>
      <c r="BQ692" s="1"/>
      <c r="BR692" s="1" t="s">
        <v>12974</v>
      </c>
      <c r="BS692" s="1">
        <v>37</v>
      </c>
      <c r="BT692" s="1"/>
      <c r="BU692" s="1" t="str">
        <f>HYPERLINK("https://nconnect.nicmar.ac.in/storage/profile/ProfilePhoto_P25700697_765314.jpg","Download")</f>
        <v>0</v>
      </c>
      <c r="BV692" s="3"/>
      <c r="BW692" s="3"/>
    </row>
    <row r="693" spans="1:75">
      <c r="A693" s="1" t="s">
        <v>75</v>
      </c>
      <c r="B693" s="1" t="s">
        <v>446</v>
      </c>
      <c r="C693" s="1" t="s">
        <v>12975</v>
      </c>
      <c r="D693" s="1" t="s">
        <v>12976</v>
      </c>
      <c r="E693" s="1" t="s">
        <v>12019</v>
      </c>
      <c r="F693" s="1" t="s">
        <v>12977</v>
      </c>
      <c r="G693" s="1" t="s">
        <v>12978</v>
      </c>
      <c r="H693" s="1" t="s">
        <v>12979</v>
      </c>
      <c r="I693" s="1" t="s">
        <v>12980</v>
      </c>
      <c r="J693" s="1">
        <v>8928317822</v>
      </c>
      <c r="K693" s="1" t="s">
        <v>84</v>
      </c>
      <c r="L693" s="1" t="s">
        <v>12981</v>
      </c>
      <c r="M693" s="1" t="s">
        <v>86</v>
      </c>
      <c r="N693" s="1" t="s">
        <v>618</v>
      </c>
      <c r="O693" s="1"/>
      <c r="P693" s="1" t="s">
        <v>507</v>
      </c>
      <c r="Q693" s="1" t="s">
        <v>12982</v>
      </c>
      <c r="R693" s="1" t="s">
        <v>12019</v>
      </c>
      <c r="S693" s="1">
        <v>7798511980</v>
      </c>
      <c r="T693" s="1" t="s">
        <v>645</v>
      </c>
      <c r="U693" s="1" t="s">
        <v>12983</v>
      </c>
      <c r="V693" s="1">
        <v>9765375083</v>
      </c>
      <c r="W693" s="1" t="s">
        <v>161</v>
      </c>
      <c r="X693" s="1" t="s">
        <v>12984</v>
      </c>
      <c r="Y693" s="1" t="s">
        <v>3538</v>
      </c>
      <c r="Z693" s="1" t="s">
        <v>97</v>
      </c>
      <c r="AA693" s="1" t="s">
        <v>12984</v>
      </c>
      <c r="AB693" s="1" t="s">
        <v>3538</v>
      </c>
      <c r="AC693" s="1" t="s">
        <v>97</v>
      </c>
      <c r="AD693" s="1">
        <v>7.64</v>
      </c>
      <c r="AE693" s="1" t="s">
        <v>98</v>
      </c>
      <c r="AF693" s="1" t="s">
        <v>12985</v>
      </c>
      <c r="AG693" s="1" t="s">
        <v>12986</v>
      </c>
      <c r="AH693" s="1" t="s">
        <v>166</v>
      </c>
      <c r="AI693" s="1" t="s">
        <v>1111</v>
      </c>
      <c r="AJ693" s="1">
        <v>79.4</v>
      </c>
      <c r="AK693" s="1"/>
      <c r="AL693" s="1" t="s">
        <v>12987</v>
      </c>
      <c r="AM693" s="1" t="s">
        <v>12986</v>
      </c>
      <c r="AN693" s="1"/>
      <c r="AO693" s="1" t="s">
        <v>170</v>
      </c>
      <c r="AP693" s="1" t="s">
        <v>1477</v>
      </c>
      <c r="AQ693" s="1">
        <v>68.15</v>
      </c>
      <c r="AR693" s="1"/>
      <c r="AS693" s="1"/>
      <c r="AT693" s="1"/>
      <c r="AU693" s="1"/>
      <c r="AV693" s="1"/>
      <c r="AW693" s="1"/>
      <c r="AX693" s="1"/>
      <c r="AY693" s="1" t="s">
        <v>680</v>
      </c>
      <c r="AZ693" s="1" t="s">
        <v>12988</v>
      </c>
      <c r="BA693" s="1"/>
      <c r="BB693" s="1"/>
      <c r="BC693" s="1" t="s">
        <v>1065</v>
      </c>
      <c r="BD693" s="1" t="s">
        <v>632</v>
      </c>
      <c r="BE693" s="1">
        <v>65.21</v>
      </c>
      <c r="BF693" s="1">
        <v>7.19</v>
      </c>
      <c r="BG693" s="1"/>
      <c r="BH693" s="1"/>
      <c r="BI693" s="1"/>
      <c r="BJ693" s="1"/>
      <c r="BK693" s="1"/>
      <c r="BL693" s="1"/>
      <c r="BM693" s="1"/>
      <c r="BN693" s="1"/>
      <c r="BO693" s="1" t="s">
        <v>8555</v>
      </c>
      <c r="BP693" s="1" t="s">
        <v>12989</v>
      </c>
      <c r="BQ693" s="1" t="s">
        <v>582</v>
      </c>
      <c r="BR693" s="1" t="s">
        <v>12990</v>
      </c>
      <c r="BS693" s="1">
        <v>25</v>
      </c>
      <c r="BT693" s="1" t="s">
        <v>12991</v>
      </c>
      <c r="BU693" s="1" t="str">
        <f>HYPERLINK("https://nconnect.nicmar.ac.in/storage/profile/ProfilePhoto_P25700698_564379.jpg","Download")</f>
        <v>0</v>
      </c>
      <c r="BV693" s="3"/>
      <c r="BW693" s="3"/>
    </row>
    <row r="694" spans="1:75">
      <c r="A694" s="1" t="s">
        <v>75</v>
      </c>
      <c r="B694" s="1" t="s">
        <v>446</v>
      </c>
      <c r="C694" s="1" t="s">
        <v>12992</v>
      </c>
      <c r="D694" s="1" t="s">
        <v>12993</v>
      </c>
      <c r="E694" s="1" t="s">
        <v>12994</v>
      </c>
      <c r="F694" s="1" t="s">
        <v>12995</v>
      </c>
      <c r="G694" s="1" t="s">
        <v>12996</v>
      </c>
      <c r="H694" s="1" t="s">
        <v>12997</v>
      </c>
      <c r="I694" s="1" t="s">
        <v>12998</v>
      </c>
      <c r="J694" s="1">
        <v>8591113784</v>
      </c>
      <c r="K694" s="1" t="s">
        <v>84</v>
      </c>
      <c r="L694" s="1" t="s">
        <v>12999</v>
      </c>
      <c r="M694" s="1" t="s">
        <v>86</v>
      </c>
      <c r="N694" s="1" t="s">
        <v>13000</v>
      </c>
      <c r="O694" s="1"/>
      <c r="P694" s="1" t="s">
        <v>455</v>
      </c>
      <c r="Q694" s="1" t="s">
        <v>13001</v>
      </c>
      <c r="R694" s="1" t="s">
        <v>13002</v>
      </c>
      <c r="S694" s="1">
        <v>9619191590</v>
      </c>
      <c r="T694" s="1" t="s">
        <v>92</v>
      </c>
      <c r="U694" s="1" t="s">
        <v>13003</v>
      </c>
      <c r="V694" s="1">
        <v>9619191330</v>
      </c>
      <c r="W694" s="1" t="s">
        <v>13004</v>
      </c>
      <c r="X694" s="1" t="s">
        <v>13005</v>
      </c>
      <c r="Y694" s="1" t="s">
        <v>1882</v>
      </c>
      <c r="Z694" s="1" t="s">
        <v>97</v>
      </c>
      <c r="AA694" s="1" t="s">
        <v>13005</v>
      </c>
      <c r="AB694" s="1" t="s">
        <v>1882</v>
      </c>
      <c r="AC694" s="1" t="s">
        <v>97</v>
      </c>
      <c r="AD694" s="1">
        <v>8.08</v>
      </c>
      <c r="AE694" s="1" t="s">
        <v>98</v>
      </c>
      <c r="AF694" s="1" t="s">
        <v>13006</v>
      </c>
      <c r="AG694" s="1" t="s">
        <v>13007</v>
      </c>
      <c r="AH694" s="1" t="s">
        <v>171</v>
      </c>
      <c r="AI694" s="1" t="s">
        <v>313</v>
      </c>
      <c r="AJ694" s="1">
        <v>83</v>
      </c>
      <c r="AK694" s="1">
        <v>8.7</v>
      </c>
      <c r="AL694" s="1" t="s">
        <v>13008</v>
      </c>
      <c r="AM694" s="1" t="s">
        <v>13009</v>
      </c>
      <c r="AN694" s="1" t="s">
        <v>465</v>
      </c>
      <c r="AO694" s="1" t="s">
        <v>315</v>
      </c>
      <c r="AP694" s="1" t="s">
        <v>441</v>
      </c>
      <c r="AQ694" s="1">
        <v>79.8</v>
      </c>
      <c r="AR694" s="1">
        <v>8.4</v>
      </c>
      <c r="AS694" s="1"/>
      <c r="AT694" s="1"/>
      <c r="AU694" s="1"/>
      <c r="AV694" s="1"/>
      <c r="AW694" s="1"/>
      <c r="AX694" s="1"/>
      <c r="AY694" s="1" t="s">
        <v>258</v>
      </c>
      <c r="AZ694" s="1" t="s">
        <v>13010</v>
      </c>
      <c r="BA694" s="1" t="s">
        <v>578</v>
      </c>
      <c r="BB694" s="1" t="s">
        <v>467</v>
      </c>
      <c r="BC694" s="1" t="s">
        <v>549</v>
      </c>
      <c r="BD694" s="1" t="s">
        <v>1401</v>
      </c>
      <c r="BE694" s="1">
        <v>60.86</v>
      </c>
      <c r="BF694" s="1">
        <v>6.63</v>
      </c>
      <c r="BG694" s="1"/>
      <c r="BH694" s="1"/>
      <c r="BI694" s="1"/>
      <c r="BJ694" s="1"/>
      <c r="BK694" s="1"/>
      <c r="BL694" s="1"/>
      <c r="BM694" s="1"/>
      <c r="BN694" s="1"/>
      <c r="BO694" s="1" t="s">
        <v>13011</v>
      </c>
      <c r="BP694" s="1"/>
      <c r="BQ694" s="1"/>
      <c r="BR694" s="1" t="s">
        <v>13012</v>
      </c>
      <c r="BS694" s="1">
        <v>18</v>
      </c>
      <c r="BT694" s="1"/>
      <c r="BU694" s="1" t="str">
        <f>HYPERLINK("https://nconnect.nicmar.ac.in/storage/profile/ProfilePhoto_P25700699_273694.jpg","Download")</f>
        <v>0</v>
      </c>
      <c r="BV694" s="3"/>
      <c r="BW694" s="3"/>
    </row>
    <row r="695" spans="1:75">
      <c r="A695" s="1" t="s">
        <v>75</v>
      </c>
      <c r="B695" s="1" t="s">
        <v>446</v>
      </c>
      <c r="C695" s="1" t="s">
        <v>13013</v>
      </c>
      <c r="D695" s="1" t="s">
        <v>6599</v>
      </c>
      <c r="E695" s="1" t="s">
        <v>13014</v>
      </c>
      <c r="F695" s="1" t="s">
        <v>13015</v>
      </c>
      <c r="G695" s="1" t="s">
        <v>13016</v>
      </c>
      <c r="H695" s="1" t="s">
        <v>13017</v>
      </c>
      <c r="I695" s="1" t="s">
        <v>13018</v>
      </c>
      <c r="J695" s="1">
        <v>7499330075</v>
      </c>
      <c r="K695" s="1" t="s">
        <v>84</v>
      </c>
      <c r="L695" s="1" t="s">
        <v>13019</v>
      </c>
      <c r="M695" s="1" t="s">
        <v>86</v>
      </c>
      <c r="N695" s="1" t="s">
        <v>618</v>
      </c>
      <c r="O695" s="1"/>
      <c r="P695" s="1" t="s">
        <v>481</v>
      </c>
      <c r="Q695" s="1" t="s">
        <v>13020</v>
      </c>
      <c r="R695" s="1" t="s">
        <v>13021</v>
      </c>
      <c r="S695" s="1">
        <v>9152010059</v>
      </c>
      <c r="T695" s="1" t="s">
        <v>92</v>
      </c>
      <c r="U695" s="1" t="s">
        <v>7197</v>
      </c>
      <c r="V695" s="1">
        <v>7756891346</v>
      </c>
      <c r="W695" s="1" t="s">
        <v>127</v>
      </c>
      <c r="X695" s="1" t="s">
        <v>13022</v>
      </c>
      <c r="Y695" s="1" t="s">
        <v>196</v>
      </c>
      <c r="Z695" s="1" t="s">
        <v>97</v>
      </c>
      <c r="AA695" s="1" t="s">
        <v>13023</v>
      </c>
      <c r="AB695" s="1" t="s">
        <v>1989</v>
      </c>
      <c r="AC695" s="1" t="s">
        <v>97</v>
      </c>
      <c r="AD695" s="1">
        <v>8.49</v>
      </c>
      <c r="AE695" s="1" t="s">
        <v>98</v>
      </c>
      <c r="AF695" s="1" t="s">
        <v>13024</v>
      </c>
      <c r="AG695" s="1" t="s">
        <v>13025</v>
      </c>
      <c r="AH695" s="1" t="s">
        <v>627</v>
      </c>
      <c r="AI695" s="1" t="s">
        <v>200</v>
      </c>
      <c r="AJ695" s="1">
        <v>87.4</v>
      </c>
      <c r="AK695" s="1"/>
      <c r="AL695" s="1"/>
      <c r="AM695" s="1"/>
      <c r="AN695" s="1"/>
      <c r="AO695" s="1"/>
      <c r="AP695" s="1"/>
      <c r="AQ695" s="1"/>
      <c r="AR695" s="1"/>
      <c r="AS695" s="1" t="s">
        <v>439</v>
      </c>
      <c r="AT695" s="1" t="s">
        <v>13026</v>
      </c>
      <c r="AU695" s="1" t="s">
        <v>388</v>
      </c>
      <c r="AV695" s="1" t="s">
        <v>603</v>
      </c>
      <c r="AW695" s="1">
        <v>77.5</v>
      </c>
      <c r="AX695" s="1"/>
      <c r="AY695" s="1" t="s">
        <v>13027</v>
      </c>
      <c r="AZ695" s="1" t="s">
        <v>13028</v>
      </c>
      <c r="BA695" s="1" t="s">
        <v>466</v>
      </c>
      <c r="BB695" s="1" t="s">
        <v>467</v>
      </c>
      <c r="BC695" s="1" t="s">
        <v>1040</v>
      </c>
      <c r="BD695" s="1" t="s">
        <v>10037</v>
      </c>
      <c r="BE695" s="1">
        <v>74.83</v>
      </c>
      <c r="BF695" s="1"/>
      <c r="BG695" s="1"/>
      <c r="BH695" s="1"/>
      <c r="BI695" s="1"/>
      <c r="BJ695" s="1"/>
      <c r="BK695" s="1"/>
      <c r="BL695" s="1"/>
      <c r="BM695" s="1"/>
      <c r="BN695" s="1"/>
      <c r="BO695" s="1" t="s">
        <v>1114</v>
      </c>
      <c r="BP695" s="1" t="s">
        <v>13029</v>
      </c>
      <c r="BQ695" s="1" t="s">
        <v>9405</v>
      </c>
      <c r="BR695" s="1" t="s">
        <v>13030</v>
      </c>
      <c r="BS695" s="1">
        <v>17</v>
      </c>
      <c r="BT695" s="1"/>
      <c r="BU695" s="1" t="str">
        <f>HYPERLINK("https://nconnect.nicmar.ac.in/storage/profile/ProfilePhoto_P25700700_612583.jpg","Download")</f>
        <v>0</v>
      </c>
      <c r="BV695" s="3"/>
      <c r="BW695" s="4">
        <v>1</v>
      </c>
    </row>
    <row r="696" spans="1:75">
      <c r="A696" s="1" t="s">
        <v>75</v>
      </c>
      <c r="B696" s="1" t="s">
        <v>446</v>
      </c>
      <c r="C696" s="1" t="s">
        <v>13031</v>
      </c>
      <c r="D696" s="1" t="s">
        <v>13032</v>
      </c>
      <c r="E696" s="1" t="s">
        <v>13033</v>
      </c>
      <c r="F696" s="1" t="s">
        <v>13034</v>
      </c>
      <c r="G696" s="1" t="s">
        <v>13035</v>
      </c>
      <c r="H696" s="1" t="s">
        <v>13036</v>
      </c>
      <c r="I696" s="1" t="s">
        <v>13037</v>
      </c>
      <c r="J696" s="1">
        <v>9987646219</v>
      </c>
      <c r="K696" s="1" t="s">
        <v>153</v>
      </c>
      <c r="L696" s="1" t="s">
        <v>13038</v>
      </c>
      <c r="M696" s="1" t="s">
        <v>86</v>
      </c>
      <c r="N696" s="1" t="s">
        <v>13039</v>
      </c>
      <c r="O696" s="1"/>
      <c r="P696" s="1" t="s">
        <v>507</v>
      </c>
      <c r="Q696" s="1" t="s">
        <v>13040</v>
      </c>
      <c r="R696" s="1" t="s">
        <v>13041</v>
      </c>
      <c r="S696" s="1">
        <v>9890186920</v>
      </c>
      <c r="T696" s="1" t="s">
        <v>13042</v>
      </c>
      <c r="U696" s="1" t="s">
        <v>13043</v>
      </c>
      <c r="V696" s="1">
        <v>9890504648</v>
      </c>
      <c r="W696" s="1" t="s">
        <v>13044</v>
      </c>
      <c r="X696" s="1" t="s">
        <v>13045</v>
      </c>
      <c r="Y696" s="1" t="s">
        <v>196</v>
      </c>
      <c r="Z696" s="1" t="s">
        <v>97</v>
      </c>
      <c r="AA696" s="1" t="s">
        <v>13045</v>
      </c>
      <c r="AB696" s="1" t="s">
        <v>196</v>
      </c>
      <c r="AC696" s="1" t="s">
        <v>97</v>
      </c>
      <c r="AD696" s="1">
        <v>7.69</v>
      </c>
      <c r="AE696" s="1" t="s">
        <v>98</v>
      </c>
      <c r="AF696" s="1" t="s">
        <v>13046</v>
      </c>
      <c r="AG696" s="1" t="s">
        <v>3052</v>
      </c>
      <c r="AH696" s="1" t="s">
        <v>170</v>
      </c>
      <c r="AI696" s="1" t="s">
        <v>106</v>
      </c>
      <c r="AJ696" s="1">
        <v>76.4</v>
      </c>
      <c r="AK696" s="1"/>
      <c r="AL696" s="1"/>
      <c r="AM696" s="1"/>
      <c r="AN696" s="1"/>
      <c r="AO696" s="1"/>
      <c r="AP696" s="1"/>
      <c r="AQ696" s="1"/>
      <c r="AR696" s="1"/>
      <c r="AS696" s="1" t="s">
        <v>103</v>
      </c>
      <c r="AT696" s="1" t="s">
        <v>13047</v>
      </c>
      <c r="AU696" s="1" t="s">
        <v>1065</v>
      </c>
      <c r="AV696" s="1" t="s">
        <v>289</v>
      </c>
      <c r="AW696" s="1">
        <v>79.58</v>
      </c>
      <c r="AX696" s="1"/>
      <c r="AY696" s="1" t="s">
        <v>366</v>
      </c>
      <c r="AZ696" s="1" t="s">
        <v>13048</v>
      </c>
      <c r="BA696" s="1"/>
      <c r="BB696" s="1"/>
      <c r="BC696" s="1" t="s">
        <v>1802</v>
      </c>
      <c r="BD696" s="1" t="s">
        <v>1401</v>
      </c>
      <c r="BE696" s="1">
        <v>65.6</v>
      </c>
      <c r="BF696" s="1">
        <v>7.31</v>
      </c>
      <c r="BG696" s="1"/>
      <c r="BH696" s="1"/>
      <c r="BI696" s="1"/>
      <c r="BJ696" s="1"/>
      <c r="BK696" s="1"/>
      <c r="BL696" s="1"/>
      <c r="BM696" s="1"/>
      <c r="BN696" s="1"/>
      <c r="BO696" s="1" t="s">
        <v>13049</v>
      </c>
      <c r="BP696" s="1"/>
      <c r="BQ696" s="1"/>
      <c r="BR696" s="1" t="s">
        <v>13050</v>
      </c>
      <c r="BS696" s="1">
        <v>44</v>
      </c>
      <c r="BT696" s="1"/>
      <c r="BU696" s="1" t="str">
        <f>HYPERLINK("https://nconnect.nicmar.ac.in/storage/profile/6a64a0cad9a96.png","Download")</f>
        <v>0</v>
      </c>
      <c r="BV696" s="3"/>
      <c r="BW696" s="3"/>
    </row>
    <row r="697" spans="1:75">
      <c r="A697" s="1" t="s">
        <v>75</v>
      </c>
      <c r="B697" s="1" t="s">
        <v>446</v>
      </c>
      <c r="C697" s="1" t="s">
        <v>13051</v>
      </c>
      <c r="D697" s="1" t="s">
        <v>1337</v>
      </c>
      <c r="E697" s="1"/>
      <c r="F697" s="1" t="s">
        <v>530</v>
      </c>
      <c r="G697" s="1" t="s">
        <v>13052</v>
      </c>
      <c r="H697" s="1" t="s">
        <v>13053</v>
      </c>
      <c r="I697" s="1" t="s">
        <v>13054</v>
      </c>
      <c r="J697" s="1">
        <v>8530789414</v>
      </c>
      <c r="K697" s="1" t="s">
        <v>84</v>
      </c>
      <c r="L697" s="1" t="s">
        <v>10655</v>
      </c>
      <c r="M697" s="1" t="s">
        <v>86</v>
      </c>
      <c r="N697" s="1" t="s">
        <v>768</v>
      </c>
      <c r="O697" s="1"/>
      <c r="P697" s="1" t="s">
        <v>507</v>
      </c>
      <c r="Q697" s="1" t="s">
        <v>13055</v>
      </c>
      <c r="R697" s="1" t="s">
        <v>13056</v>
      </c>
      <c r="S697" s="1">
        <v>9860278729</v>
      </c>
      <c r="T697" s="1" t="s">
        <v>13057</v>
      </c>
      <c r="U697" s="1" t="s">
        <v>13058</v>
      </c>
      <c r="V697" s="1">
        <v>9834480766</v>
      </c>
      <c r="W697" s="1" t="s">
        <v>13059</v>
      </c>
      <c r="X697" s="1" t="s">
        <v>13060</v>
      </c>
      <c r="Y697" s="1" t="s">
        <v>196</v>
      </c>
      <c r="Z697" s="1" t="s">
        <v>97</v>
      </c>
      <c r="AA697" s="1" t="s">
        <v>13060</v>
      </c>
      <c r="AB697" s="1" t="s">
        <v>196</v>
      </c>
      <c r="AC697" s="1" t="s">
        <v>97</v>
      </c>
      <c r="AD697" s="1">
        <v>7.36</v>
      </c>
      <c r="AE697" s="1" t="s">
        <v>98</v>
      </c>
      <c r="AF697" s="1" t="s">
        <v>11983</v>
      </c>
      <c r="AG697" s="1" t="s">
        <v>13061</v>
      </c>
      <c r="AH697" s="1" t="s">
        <v>1110</v>
      </c>
      <c r="AI697" s="1" t="s">
        <v>1111</v>
      </c>
      <c r="AJ697" s="1">
        <v>64.6</v>
      </c>
      <c r="AK697" s="1">
        <v>6.8</v>
      </c>
      <c r="AL697" s="1" t="s">
        <v>13062</v>
      </c>
      <c r="AM697" s="1" t="s">
        <v>13063</v>
      </c>
      <c r="AN697" s="1"/>
      <c r="AO697" s="1" t="s">
        <v>167</v>
      </c>
      <c r="AP697" s="1" t="s">
        <v>171</v>
      </c>
      <c r="AQ697" s="1">
        <v>64.15</v>
      </c>
      <c r="AR697" s="1"/>
      <c r="AS697" s="1"/>
      <c r="AT697" s="1"/>
      <c r="AU697" s="1"/>
      <c r="AV697" s="1"/>
      <c r="AW697" s="1"/>
      <c r="AX697" s="1"/>
      <c r="AY697" s="1" t="s">
        <v>366</v>
      </c>
      <c r="AZ697" s="1" t="s">
        <v>13064</v>
      </c>
      <c r="BA697" s="1"/>
      <c r="BB697" s="1"/>
      <c r="BC697" s="1" t="s">
        <v>174</v>
      </c>
      <c r="BD697" s="1" t="s">
        <v>521</v>
      </c>
      <c r="BE697" s="1">
        <v>61</v>
      </c>
      <c r="BF697" s="1">
        <v>8.14</v>
      </c>
      <c r="BG697" s="1"/>
      <c r="BH697" s="1"/>
      <c r="BI697" s="1"/>
      <c r="BJ697" s="1"/>
      <c r="BK697" s="1"/>
      <c r="BL697" s="1"/>
      <c r="BM697" s="1"/>
      <c r="BN697" s="1"/>
      <c r="BO697" s="1" t="s">
        <v>1890</v>
      </c>
      <c r="BP697" s="1"/>
      <c r="BQ697" s="1"/>
      <c r="BR697" s="1" t="s">
        <v>13065</v>
      </c>
      <c r="BS697" s="1">
        <v>9</v>
      </c>
      <c r="BT697" s="1"/>
      <c r="BU697" s="1" t="str">
        <f>HYPERLINK("https://nconnect.nicmar.ac.in/storage/profile/ProfilePhoto_P25700702_167429.jpg","Download")</f>
        <v>0</v>
      </c>
      <c r="BV697" s="3"/>
      <c r="BW697" s="3"/>
    </row>
    <row r="698" spans="1:75">
      <c r="A698" s="1" t="s">
        <v>75</v>
      </c>
      <c r="B698" s="1" t="s">
        <v>446</v>
      </c>
      <c r="C698" s="1" t="s">
        <v>13066</v>
      </c>
      <c r="D698" s="1" t="s">
        <v>13067</v>
      </c>
      <c r="E698" s="1"/>
      <c r="F698" s="1" t="s">
        <v>13068</v>
      </c>
      <c r="G698" s="1" t="s">
        <v>13069</v>
      </c>
      <c r="H698" s="1" t="s">
        <v>13070</v>
      </c>
      <c r="I698" s="1" t="s">
        <v>13071</v>
      </c>
      <c r="J698" s="1">
        <v>8849604655</v>
      </c>
      <c r="K698" s="1" t="s">
        <v>153</v>
      </c>
      <c r="L698" s="1" t="s">
        <v>13072</v>
      </c>
      <c r="M698" s="1" t="s">
        <v>155</v>
      </c>
      <c r="N698" s="1" t="s">
        <v>13073</v>
      </c>
      <c r="O698" s="1"/>
      <c r="P698" s="1" t="s">
        <v>455</v>
      </c>
      <c r="Q698" s="1" t="s">
        <v>13074</v>
      </c>
      <c r="R698" s="1" t="s">
        <v>13075</v>
      </c>
      <c r="S698" s="1">
        <v>9409087405</v>
      </c>
      <c r="T698" s="1" t="s">
        <v>125</v>
      </c>
      <c r="U698" s="1" t="s">
        <v>13076</v>
      </c>
      <c r="V698" s="1">
        <v>8849612019</v>
      </c>
      <c r="W698" s="1" t="s">
        <v>541</v>
      </c>
      <c r="X698" s="1" t="s">
        <v>13077</v>
      </c>
      <c r="Y698" s="1" t="s">
        <v>196</v>
      </c>
      <c r="Z698" s="1" t="s">
        <v>97</v>
      </c>
      <c r="AA698" s="1" t="s">
        <v>13078</v>
      </c>
      <c r="AB698" s="1" t="s">
        <v>5335</v>
      </c>
      <c r="AC698" s="1" t="s">
        <v>2933</v>
      </c>
      <c r="AD698" s="1">
        <v>8.56</v>
      </c>
      <c r="AE698" s="1" t="s">
        <v>98</v>
      </c>
      <c r="AF698" s="1" t="s">
        <v>13079</v>
      </c>
      <c r="AG698" s="1" t="s">
        <v>13080</v>
      </c>
      <c r="AH698" s="1" t="s">
        <v>7331</v>
      </c>
      <c r="AI698" s="1" t="s">
        <v>799</v>
      </c>
      <c r="AJ698" s="1">
        <v>81.38</v>
      </c>
      <c r="AK698" s="1"/>
      <c r="AL698" s="1" t="s">
        <v>13081</v>
      </c>
      <c r="AM698" s="1" t="s">
        <v>13082</v>
      </c>
      <c r="AN698" s="1" t="s">
        <v>465</v>
      </c>
      <c r="AO698" s="1" t="s">
        <v>4593</v>
      </c>
      <c r="AP698" s="1" t="s">
        <v>3965</v>
      </c>
      <c r="AQ698" s="1">
        <v>81.53</v>
      </c>
      <c r="AR698" s="1"/>
      <c r="AS698" s="1"/>
      <c r="AT698" s="1"/>
      <c r="AU698" s="1"/>
      <c r="AV698" s="1"/>
      <c r="AW698" s="1"/>
      <c r="AX698" s="1"/>
      <c r="AY698" s="1" t="s">
        <v>13083</v>
      </c>
      <c r="AZ698" s="1" t="s">
        <v>13084</v>
      </c>
      <c r="BA698" s="1" t="s">
        <v>682</v>
      </c>
      <c r="BB698" s="1" t="s">
        <v>1561</v>
      </c>
      <c r="BC698" s="1" t="s">
        <v>133</v>
      </c>
      <c r="BD698" s="1" t="s">
        <v>388</v>
      </c>
      <c r="BE698" s="1">
        <v>65.37</v>
      </c>
      <c r="BF698" s="1"/>
      <c r="BG698" s="1"/>
      <c r="BH698" s="1"/>
      <c r="BI698" s="1"/>
      <c r="BJ698" s="1"/>
      <c r="BK698" s="1"/>
      <c r="BL698" s="1"/>
      <c r="BM698" s="1"/>
      <c r="BN698" s="1"/>
      <c r="BO698" s="1" t="s">
        <v>13085</v>
      </c>
      <c r="BP698" s="1" t="s">
        <v>13086</v>
      </c>
      <c r="BQ698" s="1" t="s">
        <v>3426</v>
      </c>
      <c r="BR698" s="1" t="s">
        <v>13087</v>
      </c>
      <c r="BS698" s="1">
        <v>83</v>
      </c>
      <c r="BT698" s="1" t="s">
        <v>13088</v>
      </c>
      <c r="BU698" s="1" t="str">
        <f>HYPERLINK("https://nconnect.nicmar.ac.in/storage/profile/ProfilePhoto_P25700703_628351.jpg","Download")</f>
        <v>0</v>
      </c>
      <c r="BV698" s="3"/>
      <c r="BW698" s="3"/>
    </row>
    <row r="699" spans="1:75">
      <c r="A699" s="1" t="s">
        <v>75</v>
      </c>
      <c r="B699" s="1" t="s">
        <v>446</v>
      </c>
      <c r="C699" s="1" t="s">
        <v>13089</v>
      </c>
      <c r="D699" s="1" t="s">
        <v>6946</v>
      </c>
      <c r="E699" s="1" t="s">
        <v>2500</v>
      </c>
      <c r="F699" s="1" t="s">
        <v>13090</v>
      </c>
      <c r="G699" s="1" t="s">
        <v>13091</v>
      </c>
      <c r="H699" s="1" t="s">
        <v>13092</v>
      </c>
      <c r="I699" s="1" t="s">
        <v>13093</v>
      </c>
      <c r="J699" s="1">
        <v>8766604754</v>
      </c>
      <c r="K699" s="1" t="s">
        <v>84</v>
      </c>
      <c r="L699" s="1" t="s">
        <v>13094</v>
      </c>
      <c r="M699" s="1" t="s">
        <v>86</v>
      </c>
      <c r="N699" s="1" t="s">
        <v>768</v>
      </c>
      <c r="O699" s="1"/>
      <c r="P699" s="1" t="s">
        <v>455</v>
      </c>
      <c r="Q699" s="1" t="s">
        <v>13095</v>
      </c>
      <c r="R699" s="1" t="s">
        <v>2500</v>
      </c>
      <c r="S699" s="1">
        <v>7588043653</v>
      </c>
      <c r="T699" s="1" t="s">
        <v>4776</v>
      </c>
      <c r="U699" s="1" t="s">
        <v>13096</v>
      </c>
      <c r="V699" s="1">
        <v>9325638120</v>
      </c>
      <c r="W699" s="1" t="s">
        <v>161</v>
      </c>
      <c r="X699" s="1" t="s">
        <v>13097</v>
      </c>
      <c r="Y699" s="1" t="s">
        <v>196</v>
      </c>
      <c r="Z699" s="1" t="s">
        <v>97</v>
      </c>
      <c r="AA699" s="1" t="s">
        <v>13098</v>
      </c>
      <c r="AB699" s="1" t="s">
        <v>96</v>
      </c>
      <c r="AC699" s="1" t="s">
        <v>97</v>
      </c>
      <c r="AD699" s="1">
        <v>7.77</v>
      </c>
      <c r="AE699" s="1" t="s">
        <v>98</v>
      </c>
      <c r="AF699" s="1" t="s">
        <v>13099</v>
      </c>
      <c r="AG699" s="1" t="s">
        <v>1968</v>
      </c>
      <c r="AH699" s="1" t="s">
        <v>106</v>
      </c>
      <c r="AI699" s="1" t="s">
        <v>414</v>
      </c>
      <c r="AJ699" s="1">
        <v>72.4</v>
      </c>
      <c r="AK699" s="1"/>
      <c r="AL699" s="1" t="s">
        <v>13100</v>
      </c>
      <c r="AM699" s="1" t="s">
        <v>1968</v>
      </c>
      <c r="AN699" s="1"/>
      <c r="AO699" s="1" t="s">
        <v>4740</v>
      </c>
      <c r="AP699" s="1" t="s">
        <v>845</v>
      </c>
      <c r="AQ699" s="1">
        <v>69.17</v>
      </c>
      <c r="AR699" s="1"/>
      <c r="AS699" s="1"/>
      <c r="AT699" s="1"/>
      <c r="AU699" s="1"/>
      <c r="AV699" s="1"/>
      <c r="AW699" s="1"/>
      <c r="AX699" s="1"/>
      <c r="AY699" s="1" t="s">
        <v>366</v>
      </c>
      <c r="AZ699" s="1" t="s">
        <v>13101</v>
      </c>
      <c r="BA699" s="1"/>
      <c r="BB699" s="1"/>
      <c r="BC699" s="1" t="s">
        <v>871</v>
      </c>
      <c r="BD699" s="1" t="s">
        <v>553</v>
      </c>
      <c r="BE699" s="1">
        <v>59.98</v>
      </c>
      <c r="BF699" s="1">
        <v>6.74</v>
      </c>
      <c r="BG699" s="1"/>
      <c r="BH699" s="1"/>
      <c r="BI699" s="1"/>
      <c r="BJ699" s="1"/>
      <c r="BK699" s="1"/>
      <c r="BL699" s="1"/>
      <c r="BM699" s="1"/>
      <c r="BN699" s="1"/>
      <c r="BO699" s="1" t="s">
        <v>13102</v>
      </c>
      <c r="BP699" s="1"/>
      <c r="BQ699" s="1"/>
      <c r="BR699" s="1" t="s">
        <v>13103</v>
      </c>
      <c r="BS699" s="1">
        <v>13</v>
      </c>
      <c r="BT699" s="1" t="s">
        <v>13104</v>
      </c>
      <c r="BU699" s="1" t="str">
        <f>HYPERLINK("https://nconnect.nicmar.ac.in/storage/profile/ProfilePhoto_P25700704_865749.jpg","Download")</f>
        <v>0</v>
      </c>
      <c r="BV699" s="3"/>
      <c r="BW699" s="3"/>
    </row>
    <row r="700" spans="1:75">
      <c r="A700" s="1" t="s">
        <v>75</v>
      </c>
      <c r="B700" s="1" t="s">
        <v>446</v>
      </c>
      <c r="C700" s="1" t="s">
        <v>13105</v>
      </c>
      <c r="D700" s="1" t="s">
        <v>13106</v>
      </c>
      <c r="E700" s="1"/>
      <c r="F700" s="1" t="s">
        <v>13107</v>
      </c>
      <c r="G700" s="1" t="s">
        <v>13108</v>
      </c>
      <c r="H700" s="1" t="s">
        <v>13109</v>
      </c>
      <c r="I700" s="1" t="s">
        <v>13110</v>
      </c>
      <c r="J700" s="1">
        <v>7729951562</v>
      </c>
      <c r="K700" s="1" t="s">
        <v>84</v>
      </c>
      <c r="L700" s="1" t="s">
        <v>13111</v>
      </c>
      <c r="M700" s="1" t="s">
        <v>86</v>
      </c>
      <c r="N700" s="1" t="s">
        <v>13112</v>
      </c>
      <c r="O700" s="1"/>
      <c r="P700" s="1" t="s">
        <v>455</v>
      </c>
      <c r="Q700" s="1" t="s">
        <v>13113</v>
      </c>
      <c r="R700" s="1" t="s">
        <v>13114</v>
      </c>
      <c r="S700" s="1">
        <v>8464861562</v>
      </c>
      <c r="T700" s="1" t="s">
        <v>839</v>
      </c>
      <c r="U700" s="1" t="s">
        <v>13115</v>
      </c>
      <c r="V700" s="1">
        <v>9182034044</v>
      </c>
      <c r="W700" s="1" t="s">
        <v>94</v>
      </c>
      <c r="X700" s="1" t="s">
        <v>13116</v>
      </c>
      <c r="Y700" s="1" t="s">
        <v>1436</v>
      </c>
      <c r="Z700" s="1" t="s">
        <v>281</v>
      </c>
      <c r="AA700" s="1" t="s">
        <v>13116</v>
      </c>
      <c r="AB700" s="1" t="s">
        <v>1436</v>
      </c>
      <c r="AC700" s="1" t="s">
        <v>281</v>
      </c>
      <c r="AD700" s="1">
        <v>8.21</v>
      </c>
      <c r="AE700" s="1" t="s">
        <v>98</v>
      </c>
      <c r="AF700" s="1" t="s">
        <v>13117</v>
      </c>
      <c r="AG700" s="1" t="s">
        <v>13118</v>
      </c>
      <c r="AH700" s="1" t="s">
        <v>170</v>
      </c>
      <c r="AI700" s="1" t="s">
        <v>286</v>
      </c>
      <c r="AJ700" s="1">
        <v>95</v>
      </c>
      <c r="AK700" s="1">
        <v>9.5</v>
      </c>
      <c r="AL700" s="1" t="s">
        <v>3524</v>
      </c>
      <c r="AM700" s="1" t="s">
        <v>2343</v>
      </c>
      <c r="AN700" s="1" t="s">
        <v>465</v>
      </c>
      <c r="AO700" s="1" t="s">
        <v>438</v>
      </c>
      <c r="AP700" s="1" t="s">
        <v>603</v>
      </c>
      <c r="AQ700" s="1">
        <v>94</v>
      </c>
      <c r="AR700" s="1">
        <v>9.4</v>
      </c>
      <c r="AS700" s="1"/>
      <c r="AT700" s="1"/>
      <c r="AU700" s="1"/>
      <c r="AV700" s="1"/>
      <c r="AW700" s="1"/>
      <c r="AX700" s="1"/>
      <c r="AY700" s="1" t="s">
        <v>13119</v>
      </c>
      <c r="AZ700" s="1" t="s">
        <v>13119</v>
      </c>
      <c r="BA700" s="1" t="s">
        <v>466</v>
      </c>
      <c r="BB700" s="1" t="s">
        <v>467</v>
      </c>
      <c r="BC700" s="1" t="s">
        <v>175</v>
      </c>
      <c r="BD700" s="1" t="s">
        <v>207</v>
      </c>
      <c r="BE700" s="1">
        <v>76.3</v>
      </c>
      <c r="BF700" s="1">
        <v>8.13</v>
      </c>
      <c r="BG700" s="1"/>
      <c r="BH700" s="1"/>
      <c r="BI700" s="1"/>
      <c r="BJ700" s="1"/>
      <c r="BK700" s="1"/>
      <c r="BL700" s="1"/>
      <c r="BM700" s="1"/>
      <c r="BN700" s="1"/>
      <c r="BO700" s="1" t="s">
        <v>13120</v>
      </c>
      <c r="BP700" s="1"/>
      <c r="BQ700" s="1"/>
      <c r="BR700" s="1" t="s">
        <v>13121</v>
      </c>
      <c r="BS700" s="1">
        <v>16</v>
      </c>
      <c r="BT700" s="1" t="s">
        <v>13122</v>
      </c>
      <c r="BU700" s="1" t="str">
        <f>HYPERLINK("https://nconnect.nicmar.ac.in/storage/profile/ProfilePhoto_P25700705_645739.jpg","Download")</f>
        <v>0</v>
      </c>
      <c r="BV700" s="3"/>
      <c r="BW700" s="3"/>
    </row>
    <row r="701" spans="1:75">
      <c r="A701" s="1" t="s">
        <v>75</v>
      </c>
      <c r="B701" s="1" t="s">
        <v>446</v>
      </c>
      <c r="C701" s="1" t="s">
        <v>13123</v>
      </c>
      <c r="D701" s="1" t="s">
        <v>13124</v>
      </c>
      <c r="E701" s="1" t="s">
        <v>149</v>
      </c>
      <c r="F701" s="1" t="s">
        <v>13125</v>
      </c>
      <c r="G701" s="1" t="s">
        <v>13126</v>
      </c>
      <c r="H701" s="1" t="s">
        <v>13127</v>
      </c>
      <c r="I701" s="1" t="s">
        <v>13128</v>
      </c>
      <c r="J701" s="1">
        <v>9765720252</v>
      </c>
      <c r="K701" s="1" t="s">
        <v>84</v>
      </c>
      <c r="L701" s="1" t="s">
        <v>354</v>
      </c>
      <c r="M701" s="1" t="s">
        <v>86</v>
      </c>
      <c r="N701" s="1" t="s">
        <v>1163</v>
      </c>
      <c r="O701" s="1"/>
      <c r="P701" s="1" t="s">
        <v>481</v>
      </c>
      <c r="Q701" s="1" t="s">
        <v>13129</v>
      </c>
      <c r="R701" s="1" t="s">
        <v>149</v>
      </c>
      <c r="S701" s="1">
        <v>9921944604</v>
      </c>
      <c r="T701" s="1" t="s">
        <v>839</v>
      </c>
      <c r="U701" s="1" t="s">
        <v>11477</v>
      </c>
      <c r="V701" s="1">
        <v>8007541104</v>
      </c>
      <c r="W701" s="1" t="s">
        <v>278</v>
      </c>
      <c r="X701" s="1" t="s">
        <v>13130</v>
      </c>
      <c r="Y701" s="1" t="s">
        <v>384</v>
      </c>
      <c r="Z701" s="1" t="s">
        <v>97</v>
      </c>
      <c r="AA701" s="1" t="s">
        <v>13130</v>
      </c>
      <c r="AB701" s="1" t="s">
        <v>384</v>
      </c>
      <c r="AC701" s="1" t="s">
        <v>97</v>
      </c>
      <c r="AD701" s="1">
        <v>7.62</v>
      </c>
      <c r="AE701" s="1" t="s">
        <v>98</v>
      </c>
      <c r="AF701" s="1" t="s">
        <v>13131</v>
      </c>
      <c r="AG701" s="1" t="s">
        <v>165</v>
      </c>
      <c r="AH701" s="1" t="s">
        <v>106</v>
      </c>
      <c r="AI701" s="1" t="s">
        <v>414</v>
      </c>
      <c r="AJ701" s="1">
        <v>71.8</v>
      </c>
      <c r="AK701" s="1"/>
      <c r="AL701" s="1"/>
      <c r="AM701" s="1"/>
      <c r="AN701" s="1"/>
      <c r="AO701" s="1"/>
      <c r="AP701" s="1"/>
      <c r="AQ701" s="1"/>
      <c r="AR701" s="1"/>
      <c r="AS701" s="1" t="s">
        <v>255</v>
      </c>
      <c r="AT701" s="1" t="s">
        <v>13132</v>
      </c>
      <c r="AU701" s="1" t="s">
        <v>13133</v>
      </c>
      <c r="AV701" s="1" t="s">
        <v>1400</v>
      </c>
      <c r="AW701" s="1">
        <v>79.05</v>
      </c>
      <c r="AX701" s="1"/>
      <c r="AY701" s="1" t="s">
        <v>366</v>
      </c>
      <c r="AZ701" s="1" t="s">
        <v>13134</v>
      </c>
      <c r="BA701" s="1"/>
      <c r="BB701" s="1"/>
      <c r="BC701" s="1" t="s">
        <v>1889</v>
      </c>
      <c r="BD701" s="1" t="s">
        <v>848</v>
      </c>
      <c r="BE701" s="1">
        <v>61.14</v>
      </c>
      <c r="BF701" s="1">
        <v>6.87</v>
      </c>
      <c r="BG701" s="1"/>
      <c r="BH701" s="1"/>
      <c r="BI701" s="1"/>
      <c r="BJ701" s="1"/>
      <c r="BK701" s="1"/>
      <c r="BL701" s="1"/>
      <c r="BM701" s="1"/>
      <c r="BN701" s="1"/>
      <c r="BO701" s="1" t="s">
        <v>13135</v>
      </c>
      <c r="BP701" s="1"/>
      <c r="BQ701" s="1"/>
      <c r="BR701" s="1" t="s">
        <v>13136</v>
      </c>
      <c r="BS701" s="1">
        <v>13</v>
      </c>
      <c r="BT701" s="1" t="s">
        <v>13137</v>
      </c>
      <c r="BU701" s="1" t="str">
        <f>HYPERLINK("https://nconnect.nicmar.ac.in/storage/profile/ProfilePhoto_P25700706_624518.jpg","Download")</f>
        <v>0</v>
      </c>
      <c r="BV701" s="3"/>
      <c r="BW701" s="3"/>
    </row>
    <row r="702" spans="1:75">
      <c r="A702" s="1" t="s">
        <v>75</v>
      </c>
      <c r="B702" s="1" t="s">
        <v>446</v>
      </c>
      <c r="C702" s="1" t="s">
        <v>13138</v>
      </c>
      <c r="D702" s="1" t="s">
        <v>7180</v>
      </c>
      <c r="E702" s="1" t="s">
        <v>13139</v>
      </c>
      <c r="F702" s="1" t="s">
        <v>13140</v>
      </c>
      <c r="G702" s="1" t="s">
        <v>13141</v>
      </c>
      <c r="H702" s="1" t="s">
        <v>13142</v>
      </c>
      <c r="I702" s="1" t="s">
        <v>13143</v>
      </c>
      <c r="J702" s="1">
        <v>9370294385</v>
      </c>
      <c r="K702" s="1" t="s">
        <v>84</v>
      </c>
      <c r="L702" s="1" t="s">
        <v>13144</v>
      </c>
      <c r="M702" s="1" t="s">
        <v>86</v>
      </c>
      <c r="N702" s="1" t="s">
        <v>13145</v>
      </c>
      <c r="O702" s="1"/>
      <c r="P702" s="1" t="s">
        <v>507</v>
      </c>
      <c r="Q702" s="1" t="s">
        <v>13146</v>
      </c>
      <c r="R702" s="1" t="s">
        <v>13147</v>
      </c>
      <c r="S702" s="1">
        <v>9881560984</v>
      </c>
      <c r="T702" s="1" t="s">
        <v>159</v>
      </c>
      <c r="U702" s="1" t="s">
        <v>13148</v>
      </c>
      <c r="V702" s="1">
        <v>9923888898</v>
      </c>
      <c r="W702" s="1" t="s">
        <v>13149</v>
      </c>
      <c r="X702" s="1" t="s">
        <v>13150</v>
      </c>
      <c r="Y702" s="1" t="s">
        <v>5030</v>
      </c>
      <c r="Z702" s="1" t="s">
        <v>97</v>
      </c>
      <c r="AA702" s="1" t="s">
        <v>13150</v>
      </c>
      <c r="AB702" s="1" t="s">
        <v>5030</v>
      </c>
      <c r="AC702" s="1" t="s">
        <v>97</v>
      </c>
      <c r="AD702" s="1">
        <v>8.44</v>
      </c>
      <c r="AE702" s="1" t="s">
        <v>98</v>
      </c>
      <c r="AF702" s="1" t="s">
        <v>13151</v>
      </c>
      <c r="AG702" s="1" t="s">
        <v>1968</v>
      </c>
      <c r="AH702" s="1" t="s">
        <v>170</v>
      </c>
      <c r="AI702" s="1" t="s">
        <v>490</v>
      </c>
      <c r="AJ702" s="1">
        <v>89.6</v>
      </c>
      <c r="AK702" s="1">
        <v>0</v>
      </c>
      <c r="AL702" s="1" t="s">
        <v>13151</v>
      </c>
      <c r="AM702" s="1" t="s">
        <v>1968</v>
      </c>
      <c r="AN702" s="1"/>
      <c r="AO702" s="1" t="s">
        <v>438</v>
      </c>
      <c r="AP702" s="1" t="s">
        <v>977</v>
      </c>
      <c r="AQ702" s="1">
        <v>66</v>
      </c>
      <c r="AR702" s="1">
        <v>0</v>
      </c>
      <c r="AS702" s="1"/>
      <c r="AT702" s="1"/>
      <c r="AU702" s="1"/>
      <c r="AV702" s="1"/>
      <c r="AW702" s="1"/>
      <c r="AX702" s="1"/>
      <c r="AY702" s="1" t="s">
        <v>366</v>
      </c>
      <c r="AZ702" s="1" t="s">
        <v>13152</v>
      </c>
      <c r="BA702" s="1"/>
      <c r="BB702" s="1"/>
      <c r="BC702" s="1" t="s">
        <v>178</v>
      </c>
      <c r="BD702" s="1" t="s">
        <v>207</v>
      </c>
      <c r="BE702" s="1">
        <v>66.4</v>
      </c>
      <c r="BF702" s="1">
        <v>7.39</v>
      </c>
      <c r="BG702" s="1"/>
      <c r="BH702" s="1"/>
      <c r="BI702" s="1"/>
      <c r="BJ702" s="1"/>
      <c r="BK702" s="1"/>
      <c r="BL702" s="1"/>
      <c r="BM702" s="1"/>
      <c r="BN702" s="1"/>
      <c r="BO702" s="1" t="s">
        <v>13153</v>
      </c>
      <c r="BP702" s="1"/>
      <c r="BQ702" s="1"/>
      <c r="BR702" s="1" t="s">
        <v>13154</v>
      </c>
      <c r="BS702" s="1">
        <v>34</v>
      </c>
      <c r="BT702" s="1" t="s">
        <v>13155</v>
      </c>
      <c r="BU702" s="1" t="str">
        <f>HYPERLINK("https://nconnect.nicmar.ac.in/storage/profile/ProfilePhoto_P25700707_593176.jpg","Download")</f>
        <v>0</v>
      </c>
      <c r="BV702" s="3"/>
      <c r="BW702" s="3"/>
    </row>
    <row r="703" spans="1:75">
      <c r="A703" s="1" t="s">
        <v>75</v>
      </c>
      <c r="B703" s="1" t="s">
        <v>446</v>
      </c>
      <c r="C703" s="1" t="s">
        <v>13156</v>
      </c>
      <c r="D703" s="1" t="s">
        <v>761</v>
      </c>
      <c r="E703" s="1" t="s">
        <v>13157</v>
      </c>
      <c r="F703" s="1" t="s">
        <v>13158</v>
      </c>
      <c r="G703" s="1" t="s">
        <v>13159</v>
      </c>
      <c r="H703" s="1" t="s">
        <v>13160</v>
      </c>
      <c r="I703" s="1" t="s">
        <v>13161</v>
      </c>
      <c r="J703" s="1">
        <v>9579792417</v>
      </c>
      <c r="K703" s="1" t="s">
        <v>84</v>
      </c>
      <c r="L703" s="1" t="s">
        <v>10137</v>
      </c>
      <c r="M703" s="1" t="s">
        <v>86</v>
      </c>
      <c r="N703" s="1" t="s">
        <v>13162</v>
      </c>
      <c r="O703" s="1"/>
      <c r="P703" s="1" t="s">
        <v>507</v>
      </c>
      <c r="Q703" s="1" t="s">
        <v>13163</v>
      </c>
      <c r="R703" s="1" t="s">
        <v>13164</v>
      </c>
      <c r="S703" s="1">
        <v>9850111787</v>
      </c>
      <c r="T703" s="1" t="s">
        <v>839</v>
      </c>
      <c r="U703" s="1" t="s">
        <v>13165</v>
      </c>
      <c r="V703" s="1">
        <v>7755954069</v>
      </c>
      <c r="W703" s="1" t="s">
        <v>161</v>
      </c>
      <c r="X703" s="1" t="s">
        <v>13166</v>
      </c>
      <c r="Y703" s="1" t="s">
        <v>333</v>
      </c>
      <c r="Z703" s="1" t="s">
        <v>97</v>
      </c>
      <c r="AA703" s="1" t="s">
        <v>13166</v>
      </c>
      <c r="AB703" s="1" t="s">
        <v>333</v>
      </c>
      <c r="AC703" s="1" t="s">
        <v>97</v>
      </c>
      <c r="AD703" s="1">
        <v>8.85</v>
      </c>
      <c r="AE703" s="1" t="s">
        <v>98</v>
      </c>
      <c r="AF703" s="1" t="s">
        <v>13167</v>
      </c>
      <c r="AG703" s="1" t="s">
        <v>13168</v>
      </c>
      <c r="AH703" s="1" t="s">
        <v>286</v>
      </c>
      <c r="AI703" s="1" t="s">
        <v>414</v>
      </c>
      <c r="AJ703" s="1">
        <v>87.6</v>
      </c>
      <c r="AK703" s="1">
        <v>0</v>
      </c>
      <c r="AL703" s="1"/>
      <c r="AM703" s="1"/>
      <c r="AN703" s="1"/>
      <c r="AO703" s="1"/>
      <c r="AP703" s="1"/>
      <c r="AQ703" s="1"/>
      <c r="AR703" s="1"/>
      <c r="AS703" s="1" t="s">
        <v>439</v>
      </c>
      <c r="AT703" s="1" t="s">
        <v>13169</v>
      </c>
      <c r="AU703" s="1" t="s">
        <v>206</v>
      </c>
      <c r="AV703" s="1" t="s">
        <v>1802</v>
      </c>
      <c r="AW703" s="1">
        <v>81</v>
      </c>
      <c r="AX703" s="1">
        <v>0</v>
      </c>
      <c r="AY703" s="1" t="s">
        <v>13170</v>
      </c>
      <c r="AZ703" s="1" t="s">
        <v>3507</v>
      </c>
      <c r="BA703" s="1" t="s">
        <v>578</v>
      </c>
      <c r="BB703" s="1" t="s">
        <v>467</v>
      </c>
      <c r="BC703" s="1" t="s">
        <v>1889</v>
      </c>
      <c r="BD703" s="1" t="s">
        <v>1401</v>
      </c>
      <c r="BE703" s="1">
        <v>64.81</v>
      </c>
      <c r="BF703" s="1">
        <v>7.43</v>
      </c>
      <c r="BG703" s="1"/>
      <c r="BH703" s="1"/>
      <c r="BI703" s="1"/>
      <c r="BJ703" s="1"/>
      <c r="BK703" s="1"/>
      <c r="BL703" s="1"/>
      <c r="BM703" s="1"/>
      <c r="BN703" s="1"/>
      <c r="BO703" s="1" t="s">
        <v>1114</v>
      </c>
      <c r="BP703" s="1"/>
      <c r="BQ703" s="1"/>
      <c r="BR703" s="1" t="s">
        <v>13171</v>
      </c>
      <c r="BS703" s="1">
        <v>11</v>
      </c>
      <c r="BT703" s="1"/>
      <c r="BU703" s="1" t="str">
        <f>HYPERLINK("https://nconnect.nicmar.ac.in/storage/profile/ProfilePhoto_P25700708_764359.jpg","Download")</f>
        <v>0</v>
      </c>
      <c r="BV703" s="3"/>
      <c r="BW703" s="3"/>
    </row>
    <row r="704" spans="1:75">
      <c r="A704" s="1" t="s">
        <v>75</v>
      </c>
      <c r="B704" s="1" t="s">
        <v>446</v>
      </c>
      <c r="C704" s="1" t="s">
        <v>13172</v>
      </c>
      <c r="D704" s="1" t="s">
        <v>13173</v>
      </c>
      <c r="E704" s="1"/>
      <c r="F704" s="1" t="s">
        <v>13174</v>
      </c>
      <c r="G704" s="1" t="s">
        <v>13175</v>
      </c>
      <c r="H704" s="1" t="s">
        <v>13176</v>
      </c>
      <c r="I704" s="1" t="s">
        <v>13177</v>
      </c>
      <c r="J704" s="1">
        <v>9766780953</v>
      </c>
      <c r="K704" s="1" t="s">
        <v>153</v>
      </c>
      <c r="L704" s="1" t="s">
        <v>10049</v>
      </c>
      <c r="M704" s="1" t="s">
        <v>86</v>
      </c>
      <c r="N704" s="1" t="s">
        <v>1163</v>
      </c>
      <c r="O704" s="1"/>
      <c r="P704" s="1" t="s">
        <v>507</v>
      </c>
      <c r="Q704" s="1" t="s">
        <v>13178</v>
      </c>
      <c r="R704" s="1" t="s">
        <v>13179</v>
      </c>
      <c r="S704" s="1">
        <v>7887711477</v>
      </c>
      <c r="T704" s="1" t="s">
        <v>13180</v>
      </c>
      <c r="U704" s="1" t="s">
        <v>13181</v>
      </c>
      <c r="V704" s="1">
        <v>8530340222</v>
      </c>
      <c r="W704" s="1" t="s">
        <v>13182</v>
      </c>
      <c r="X704" s="1" t="s">
        <v>13183</v>
      </c>
      <c r="Y704" s="1" t="s">
        <v>1012</v>
      </c>
      <c r="Z704" s="1" t="s">
        <v>97</v>
      </c>
      <c r="AA704" s="1" t="s">
        <v>13183</v>
      </c>
      <c r="AB704" s="1" t="s">
        <v>1012</v>
      </c>
      <c r="AC704" s="1" t="s">
        <v>97</v>
      </c>
      <c r="AD704" s="1">
        <v>7.13</v>
      </c>
      <c r="AE704" s="1" t="s">
        <v>98</v>
      </c>
      <c r="AF704" s="1" t="s">
        <v>13184</v>
      </c>
      <c r="AG704" s="1" t="s">
        <v>13185</v>
      </c>
      <c r="AH704" s="1" t="s">
        <v>342</v>
      </c>
      <c r="AI704" s="1" t="s">
        <v>167</v>
      </c>
      <c r="AJ704" s="1">
        <v>75.4</v>
      </c>
      <c r="AK704" s="1"/>
      <c r="AL704" s="1" t="s">
        <v>13186</v>
      </c>
      <c r="AM704" s="1" t="s">
        <v>13187</v>
      </c>
      <c r="AN704" s="1" t="s">
        <v>2995</v>
      </c>
      <c r="AO704" s="1" t="s">
        <v>388</v>
      </c>
      <c r="AP704" s="1" t="s">
        <v>171</v>
      </c>
      <c r="AQ704" s="1">
        <v>73.2</v>
      </c>
      <c r="AR704" s="1"/>
      <c r="AS704" s="1" t="s">
        <v>439</v>
      </c>
      <c r="AT704" s="1" t="s">
        <v>13188</v>
      </c>
      <c r="AU704" s="1" t="s">
        <v>1065</v>
      </c>
      <c r="AV704" s="1" t="s">
        <v>417</v>
      </c>
      <c r="AW704" s="1">
        <v>78.26</v>
      </c>
      <c r="AX704" s="1"/>
      <c r="AY704" s="1" t="s">
        <v>680</v>
      </c>
      <c r="AZ704" s="1" t="s">
        <v>13189</v>
      </c>
      <c r="BA704" s="1" t="s">
        <v>578</v>
      </c>
      <c r="BB704" s="1" t="s">
        <v>467</v>
      </c>
      <c r="BC704" s="1" t="s">
        <v>890</v>
      </c>
      <c r="BD704" s="1" t="s">
        <v>418</v>
      </c>
      <c r="BE704" s="1">
        <v>65.95</v>
      </c>
      <c r="BF704" s="1">
        <v>6.47</v>
      </c>
      <c r="BG704" s="1"/>
      <c r="BH704" s="1"/>
      <c r="BI704" s="1"/>
      <c r="BJ704" s="1"/>
      <c r="BK704" s="1"/>
      <c r="BL704" s="1"/>
      <c r="BM704" s="1"/>
      <c r="BN704" s="1"/>
      <c r="BO704" s="1" t="s">
        <v>260</v>
      </c>
      <c r="BP704" s="1"/>
      <c r="BQ704" s="1"/>
      <c r="BR704" s="1" t="s">
        <v>13190</v>
      </c>
      <c r="BS704" s="1">
        <v>8</v>
      </c>
      <c r="BT704" s="1"/>
      <c r="BU704" s="1" t="str">
        <f>HYPERLINK("https://nconnect.nicmar.ac.in/storage/profile/ProfilePhoto_P25700709_218653.jpg","Download")</f>
        <v>0</v>
      </c>
      <c r="BV704" s="3"/>
      <c r="BW704" s="3"/>
    </row>
    <row r="705" spans="1:75">
      <c r="A705" s="1" t="s">
        <v>75</v>
      </c>
      <c r="B705" s="1" t="s">
        <v>446</v>
      </c>
      <c r="C705" s="1" t="s">
        <v>13191</v>
      </c>
      <c r="D705" s="1" t="s">
        <v>7429</v>
      </c>
      <c r="E705" s="1" t="s">
        <v>13192</v>
      </c>
      <c r="F705" s="1" t="s">
        <v>4037</v>
      </c>
      <c r="G705" s="1" t="s">
        <v>13193</v>
      </c>
      <c r="H705" s="1" t="s">
        <v>13194</v>
      </c>
      <c r="I705" s="1" t="s">
        <v>13195</v>
      </c>
      <c r="J705" s="1">
        <v>8106398069</v>
      </c>
      <c r="K705" s="1" t="s">
        <v>84</v>
      </c>
      <c r="L705" s="1" t="s">
        <v>4465</v>
      </c>
      <c r="M705" s="1" t="s">
        <v>86</v>
      </c>
      <c r="N705" s="1" t="s">
        <v>1449</v>
      </c>
      <c r="O705" s="1"/>
      <c r="P705" s="1" t="s">
        <v>481</v>
      </c>
      <c r="Q705" s="1" t="s">
        <v>13196</v>
      </c>
      <c r="R705" s="1" t="s">
        <v>13197</v>
      </c>
      <c r="S705" s="1">
        <v>9440100936</v>
      </c>
      <c r="T705" s="1" t="s">
        <v>839</v>
      </c>
      <c r="U705" s="1" t="s">
        <v>13198</v>
      </c>
      <c r="V705" s="1">
        <v>8309908261</v>
      </c>
      <c r="W705" s="1" t="s">
        <v>278</v>
      </c>
      <c r="X705" s="1" t="s">
        <v>13199</v>
      </c>
      <c r="Y705" s="1" t="s">
        <v>13200</v>
      </c>
      <c r="Z705" s="1" t="s">
        <v>281</v>
      </c>
      <c r="AA705" s="1" t="s">
        <v>13199</v>
      </c>
      <c r="AB705" s="1" t="s">
        <v>13200</v>
      </c>
      <c r="AC705" s="1" t="s">
        <v>281</v>
      </c>
      <c r="AD705" s="1">
        <v>8.44</v>
      </c>
      <c r="AE705" s="1" t="s">
        <v>98</v>
      </c>
      <c r="AF705" s="1" t="s">
        <v>8353</v>
      </c>
      <c r="AG705" s="1" t="s">
        <v>13201</v>
      </c>
      <c r="AH705" s="1" t="s">
        <v>170</v>
      </c>
      <c r="AI705" s="1" t="s">
        <v>490</v>
      </c>
      <c r="AJ705" s="1">
        <v>95</v>
      </c>
      <c r="AK705" s="1">
        <v>9.5</v>
      </c>
      <c r="AL705" s="1" t="s">
        <v>3033</v>
      </c>
      <c r="AM705" s="1" t="s">
        <v>13202</v>
      </c>
      <c r="AN705" s="1"/>
      <c r="AO705" s="1" t="s">
        <v>171</v>
      </c>
      <c r="AP705" s="1" t="s">
        <v>468</v>
      </c>
      <c r="AQ705" s="1">
        <v>93.4</v>
      </c>
      <c r="AR705" s="1">
        <v>9.82</v>
      </c>
      <c r="AS705" s="1"/>
      <c r="AT705" s="1"/>
      <c r="AU705" s="1"/>
      <c r="AV705" s="1"/>
      <c r="AW705" s="1"/>
      <c r="AX705" s="1"/>
      <c r="AY705" s="1" t="s">
        <v>6942</v>
      </c>
      <c r="AZ705" s="1" t="s">
        <v>11518</v>
      </c>
      <c r="BA705" s="1"/>
      <c r="BB705" s="1"/>
      <c r="BC705" s="1" t="s">
        <v>468</v>
      </c>
      <c r="BD705" s="1" t="s">
        <v>1089</v>
      </c>
      <c r="BE705" s="1">
        <v>79.2</v>
      </c>
      <c r="BF705" s="1">
        <v>7.92</v>
      </c>
      <c r="BG705" s="1"/>
      <c r="BH705" s="1"/>
      <c r="BI705" s="1"/>
      <c r="BJ705" s="1"/>
      <c r="BK705" s="1"/>
      <c r="BL705" s="1"/>
      <c r="BM705" s="1"/>
      <c r="BN705" s="1"/>
      <c r="BO705" s="1" t="s">
        <v>369</v>
      </c>
      <c r="BP705" s="1"/>
      <c r="BQ705" s="1"/>
      <c r="BR705" s="1" t="s">
        <v>13203</v>
      </c>
      <c r="BS705" s="1">
        <v>10</v>
      </c>
      <c r="BT705" s="1"/>
      <c r="BU705" s="1" t="str">
        <f>HYPERLINK("https://nconnect.nicmar.ac.in/storage/profile/ProfilePhoto_P25700710_586142.jpg","Download")</f>
        <v>0</v>
      </c>
      <c r="BV705" s="3"/>
      <c r="BW705" s="3"/>
    </row>
    <row r="706" spans="1:75">
      <c r="A706" s="1" t="s">
        <v>75</v>
      </c>
      <c r="B706" s="1" t="s">
        <v>446</v>
      </c>
      <c r="C706" s="1" t="s">
        <v>13204</v>
      </c>
      <c r="D706" s="1" t="s">
        <v>13205</v>
      </c>
      <c r="E706" s="1" t="s">
        <v>13206</v>
      </c>
      <c r="F706" s="1" t="s">
        <v>13207</v>
      </c>
      <c r="G706" s="1" t="s">
        <v>13208</v>
      </c>
      <c r="H706" s="1" t="s">
        <v>13209</v>
      </c>
      <c r="I706" s="1" t="s">
        <v>13210</v>
      </c>
      <c r="J706" s="1">
        <v>9370752657</v>
      </c>
      <c r="K706" s="1" t="s">
        <v>84</v>
      </c>
      <c r="L706" s="1" t="s">
        <v>1918</v>
      </c>
      <c r="M706" s="1" t="s">
        <v>86</v>
      </c>
      <c r="N706" s="1" t="s">
        <v>13211</v>
      </c>
      <c r="O706" s="1"/>
      <c r="P706" s="1" t="s">
        <v>455</v>
      </c>
      <c r="Q706" s="1" t="s">
        <v>13212</v>
      </c>
      <c r="R706" s="1" t="s">
        <v>13206</v>
      </c>
      <c r="S706" s="1">
        <v>7038098693</v>
      </c>
      <c r="T706" s="1" t="s">
        <v>13213</v>
      </c>
      <c r="U706" s="1" t="s">
        <v>8522</v>
      </c>
      <c r="V706" s="1">
        <v>8999943904</v>
      </c>
      <c r="W706" s="1" t="s">
        <v>161</v>
      </c>
      <c r="X706" s="1" t="s">
        <v>13214</v>
      </c>
      <c r="Y706" s="1" t="s">
        <v>1989</v>
      </c>
      <c r="Z706" s="1" t="s">
        <v>97</v>
      </c>
      <c r="AA706" s="1" t="s">
        <v>13214</v>
      </c>
      <c r="AB706" s="1" t="s">
        <v>1989</v>
      </c>
      <c r="AC706" s="1" t="s">
        <v>97</v>
      </c>
      <c r="AD706" s="1">
        <v>7.97</v>
      </c>
      <c r="AE706" s="1" t="s">
        <v>98</v>
      </c>
      <c r="AF706" s="1" t="s">
        <v>13215</v>
      </c>
      <c r="AG706" s="1" t="s">
        <v>165</v>
      </c>
      <c r="AH706" s="1" t="s">
        <v>170</v>
      </c>
      <c r="AI706" s="1" t="s">
        <v>286</v>
      </c>
      <c r="AJ706" s="1">
        <v>95.8</v>
      </c>
      <c r="AK706" s="1"/>
      <c r="AL706" s="1" t="s">
        <v>13216</v>
      </c>
      <c r="AM706" s="1" t="s">
        <v>165</v>
      </c>
      <c r="AN706" s="1" t="s">
        <v>465</v>
      </c>
      <c r="AO706" s="1" t="s">
        <v>315</v>
      </c>
      <c r="AP706" s="1" t="s">
        <v>13217</v>
      </c>
      <c r="AQ706" s="1">
        <v>63.68</v>
      </c>
      <c r="AR706" s="1"/>
      <c r="AS706" s="1"/>
      <c r="AT706" s="1"/>
      <c r="AU706" s="1"/>
      <c r="AV706" s="1"/>
      <c r="AW706" s="1"/>
      <c r="AX706" s="1"/>
      <c r="AY706" s="1" t="s">
        <v>1038</v>
      </c>
      <c r="AZ706" s="1" t="s">
        <v>13218</v>
      </c>
      <c r="BA706" s="1" t="s">
        <v>466</v>
      </c>
      <c r="BB706" s="1" t="s">
        <v>467</v>
      </c>
      <c r="BC706" s="1" t="s">
        <v>552</v>
      </c>
      <c r="BD706" s="1" t="s">
        <v>553</v>
      </c>
      <c r="BE706" s="1">
        <v>65.17</v>
      </c>
      <c r="BF706" s="1">
        <v>6.86</v>
      </c>
      <c r="BG706" s="1"/>
      <c r="BH706" s="1"/>
      <c r="BI706" s="1"/>
      <c r="BJ706" s="1"/>
      <c r="BK706" s="1"/>
      <c r="BL706" s="1"/>
      <c r="BM706" s="1"/>
      <c r="BN706" s="1"/>
      <c r="BO706" s="1" t="s">
        <v>260</v>
      </c>
      <c r="BP706" s="1"/>
      <c r="BQ706" s="1"/>
      <c r="BR706" s="1" t="s">
        <v>13219</v>
      </c>
      <c r="BS706" s="1">
        <v>21</v>
      </c>
      <c r="BT706" s="1" t="s">
        <v>13220</v>
      </c>
      <c r="BU706" s="1" t="str">
        <f>HYPERLINK("https://nconnect.nicmar.ac.in/storage/profile/ProfilePhoto_P25700711_478962.jpg","Download")</f>
        <v>0</v>
      </c>
      <c r="BV706" s="3"/>
      <c r="BW706" s="3"/>
    </row>
    <row r="707" spans="1:75">
      <c r="A707" s="1" t="s">
        <v>75</v>
      </c>
      <c r="B707" s="1" t="s">
        <v>446</v>
      </c>
      <c r="C707" s="1" t="s">
        <v>13221</v>
      </c>
      <c r="D707" s="1" t="s">
        <v>2272</v>
      </c>
      <c r="E707" s="1" t="s">
        <v>5753</v>
      </c>
      <c r="F707" s="1" t="s">
        <v>1179</v>
      </c>
      <c r="G707" s="1" t="s">
        <v>13222</v>
      </c>
      <c r="H707" s="1" t="s">
        <v>13223</v>
      </c>
      <c r="I707" s="1" t="s">
        <v>13224</v>
      </c>
      <c r="J707" s="1">
        <v>7768921071</v>
      </c>
      <c r="K707" s="1" t="s">
        <v>84</v>
      </c>
      <c r="L707" s="1" t="s">
        <v>13225</v>
      </c>
      <c r="M707" s="1" t="s">
        <v>86</v>
      </c>
      <c r="N707" s="1" t="s">
        <v>3500</v>
      </c>
      <c r="O707" s="1"/>
      <c r="P707" s="1" t="s">
        <v>507</v>
      </c>
      <c r="Q707" s="1" t="s">
        <v>13226</v>
      </c>
      <c r="R707" s="1" t="s">
        <v>13227</v>
      </c>
      <c r="S707" s="1">
        <v>9527401071</v>
      </c>
      <c r="T707" s="1" t="s">
        <v>159</v>
      </c>
      <c r="U707" s="1" t="s">
        <v>13228</v>
      </c>
      <c r="V707" s="1">
        <v>7414971071</v>
      </c>
      <c r="W707" s="1" t="s">
        <v>161</v>
      </c>
      <c r="X707" s="1" t="s">
        <v>13229</v>
      </c>
      <c r="Y707" s="1" t="s">
        <v>163</v>
      </c>
      <c r="Z707" s="1" t="s">
        <v>97</v>
      </c>
      <c r="AA707" s="1" t="s">
        <v>13229</v>
      </c>
      <c r="AB707" s="1" t="s">
        <v>163</v>
      </c>
      <c r="AC707" s="1" t="s">
        <v>97</v>
      </c>
      <c r="AD707" s="1">
        <v>9.28</v>
      </c>
      <c r="AE707" s="1" t="s">
        <v>98</v>
      </c>
      <c r="AF707" s="1" t="s">
        <v>13230</v>
      </c>
      <c r="AG707" s="1" t="s">
        <v>165</v>
      </c>
      <c r="AH707" s="1" t="s">
        <v>101</v>
      </c>
      <c r="AI707" s="1" t="s">
        <v>102</v>
      </c>
      <c r="AJ707" s="1">
        <v>89.6</v>
      </c>
      <c r="AK707" s="1"/>
      <c r="AL707" s="1" t="s">
        <v>13231</v>
      </c>
      <c r="AM707" s="1" t="s">
        <v>165</v>
      </c>
      <c r="AN707" s="1"/>
      <c r="AO707" s="1" t="s">
        <v>167</v>
      </c>
      <c r="AP707" s="1" t="s">
        <v>518</v>
      </c>
      <c r="AQ707" s="1">
        <v>71.85</v>
      </c>
      <c r="AR707" s="1"/>
      <c r="AS707" s="1"/>
      <c r="AT707" s="1"/>
      <c r="AU707" s="1"/>
      <c r="AV707" s="1"/>
      <c r="AW707" s="1"/>
      <c r="AX707" s="1"/>
      <c r="AY707" s="1" t="s">
        <v>1038</v>
      </c>
      <c r="AZ707" s="1" t="s">
        <v>13232</v>
      </c>
      <c r="BA707" s="1"/>
      <c r="BB707" s="1"/>
      <c r="BC707" s="1" t="s">
        <v>388</v>
      </c>
      <c r="BD707" s="1" t="s">
        <v>847</v>
      </c>
      <c r="BE707" s="1">
        <v>79.2</v>
      </c>
      <c r="BF707" s="1">
        <v>8.67</v>
      </c>
      <c r="BG707" s="1"/>
      <c r="BH707" s="1"/>
      <c r="BI707" s="1"/>
      <c r="BJ707" s="1"/>
      <c r="BK707" s="1"/>
      <c r="BL707" s="1"/>
      <c r="BM707" s="1"/>
      <c r="BN707" s="1"/>
      <c r="BO707" s="1" t="s">
        <v>1114</v>
      </c>
      <c r="BP707" s="1" t="s">
        <v>13233</v>
      </c>
      <c r="BQ707" s="1" t="s">
        <v>4552</v>
      </c>
      <c r="BR707" s="1" t="s">
        <v>13234</v>
      </c>
      <c r="BS707" s="1">
        <v>8</v>
      </c>
      <c r="BT707" s="1"/>
      <c r="BU707" s="1" t="str">
        <f>HYPERLINK("https://nconnect.nicmar.ac.in/storage/profile/ProfilePhoto_P25700712_684593.jpg","Download")</f>
        <v>0</v>
      </c>
      <c r="BV707" s="3"/>
      <c r="BW707" s="3"/>
    </row>
    <row r="708" spans="1:75">
      <c r="A708" s="1" t="s">
        <v>75</v>
      </c>
      <c r="B708" s="1" t="s">
        <v>446</v>
      </c>
      <c r="C708" s="1" t="s">
        <v>13235</v>
      </c>
      <c r="D708" s="1" t="s">
        <v>13236</v>
      </c>
      <c r="E708" s="1" t="s">
        <v>5171</v>
      </c>
      <c r="F708" s="1" t="s">
        <v>1320</v>
      </c>
      <c r="G708" s="1" t="s">
        <v>13237</v>
      </c>
      <c r="H708" s="1" t="s">
        <v>13238</v>
      </c>
      <c r="I708" s="1" t="s">
        <v>13239</v>
      </c>
      <c r="J708" s="1">
        <v>8919898312</v>
      </c>
      <c r="K708" s="1" t="s">
        <v>84</v>
      </c>
      <c r="L708" s="1" t="s">
        <v>13240</v>
      </c>
      <c r="M708" s="1" t="s">
        <v>86</v>
      </c>
      <c r="N708" s="1" t="s">
        <v>8347</v>
      </c>
      <c r="O708" s="1"/>
      <c r="P708" s="1" t="s">
        <v>507</v>
      </c>
      <c r="Q708" s="1" t="s">
        <v>13241</v>
      </c>
      <c r="R708" s="1" t="s">
        <v>13242</v>
      </c>
      <c r="S708" s="1">
        <v>9866271646</v>
      </c>
      <c r="T708" s="1" t="s">
        <v>13243</v>
      </c>
      <c r="U708" s="1" t="s">
        <v>13244</v>
      </c>
      <c r="V708" s="1">
        <v>7330835457</v>
      </c>
      <c r="W708" s="1" t="s">
        <v>94</v>
      </c>
      <c r="X708" s="1" t="s">
        <v>13245</v>
      </c>
      <c r="Y708" s="1" t="s">
        <v>1454</v>
      </c>
      <c r="Z708" s="1" t="s">
        <v>281</v>
      </c>
      <c r="AA708" s="1" t="s">
        <v>13246</v>
      </c>
      <c r="AB708" s="1" t="s">
        <v>1436</v>
      </c>
      <c r="AC708" s="1" t="s">
        <v>281</v>
      </c>
      <c r="AD708" s="1">
        <v>8.26</v>
      </c>
      <c r="AE708" s="1" t="s">
        <v>98</v>
      </c>
      <c r="AF708" s="1" t="s">
        <v>2653</v>
      </c>
      <c r="AG708" s="1" t="s">
        <v>13247</v>
      </c>
      <c r="AH708" s="1" t="s">
        <v>106</v>
      </c>
      <c r="AI708" s="1" t="s">
        <v>414</v>
      </c>
      <c r="AJ708" s="1">
        <v>97</v>
      </c>
      <c r="AK708" s="1">
        <v>9.7</v>
      </c>
      <c r="AL708" s="1" t="s">
        <v>1843</v>
      </c>
      <c r="AM708" s="1" t="s">
        <v>10444</v>
      </c>
      <c r="AN708" s="1" t="s">
        <v>465</v>
      </c>
      <c r="AO708" s="1" t="s">
        <v>438</v>
      </c>
      <c r="AP708" s="1" t="s">
        <v>1192</v>
      </c>
      <c r="AQ708" s="1">
        <v>88.3</v>
      </c>
      <c r="AR708" s="1"/>
      <c r="AS708" s="1"/>
      <c r="AT708" s="1"/>
      <c r="AU708" s="1"/>
      <c r="AV708" s="1"/>
      <c r="AW708" s="1"/>
      <c r="AX708" s="1"/>
      <c r="AY708" s="1" t="s">
        <v>11895</v>
      </c>
      <c r="AZ708" s="1" t="s">
        <v>13248</v>
      </c>
      <c r="BA708" s="1" t="s">
        <v>466</v>
      </c>
      <c r="BB708" s="1" t="s">
        <v>467</v>
      </c>
      <c r="BC708" s="1" t="s">
        <v>140</v>
      </c>
      <c r="BD708" s="1" t="s">
        <v>607</v>
      </c>
      <c r="BE708" s="1">
        <v>73.8</v>
      </c>
      <c r="BF708" s="1">
        <v>7.38</v>
      </c>
      <c r="BG708" s="1"/>
      <c r="BH708" s="1"/>
      <c r="BI708" s="1"/>
      <c r="BJ708" s="1"/>
      <c r="BK708" s="1"/>
      <c r="BL708" s="1"/>
      <c r="BM708" s="1"/>
      <c r="BN708" s="1"/>
      <c r="BO708" s="1" t="s">
        <v>13249</v>
      </c>
      <c r="BP708" s="1"/>
      <c r="BQ708" s="1"/>
      <c r="BR708" s="1" t="s">
        <v>13250</v>
      </c>
      <c r="BS708" s="1">
        <v>12</v>
      </c>
      <c r="BT708" s="1"/>
      <c r="BU708" s="1" t="str">
        <f>HYPERLINK("https://nconnect.nicmar.ac.in/storage/profile/ProfilePhoto_P25700714_634851.jpg","Download")</f>
        <v>0</v>
      </c>
      <c r="BV708" s="3"/>
      <c r="BW708" s="3"/>
    </row>
    <row r="709" spans="1:75">
      <c r="A709" s="1" t="s">
        <v>75</v>
      </c>
      <c r="B709" s="1" t="s">
        <v>446</v>
      </c>
      <c r="C709" s="1" t="s">
        <v>13251</v>
      </c>
      <c r="D709" s="1" t="s">
        <v>1319</v>
      </c>
      <c r="E709" s="1" t="s">
        <v>5753</v>
      </c>
      <c r="F709" s="1" t="s">
        <v>13252</v>
      </c>
      <c r="G709" s="1" t="s">
        <v>13253</v>
      </c>
      <c r="H709" s="1" t="s">
        <v>13254</v>
      </c>
      <c r="I709" s="1" t="s">
        <v>13255</v>
      </c>
      <c r="J709" s="1">
        <v>8669354345</v>
      </c>
      <c r="K709" s="1" t="s">
        <v>84</v>
      </c>
      <c r="L709" s="1" t="s">
        <v>7499</v>
      </c>
      <c r="M709" s="1" t="s">
        <v>86</v>
      </c>
      <c r="N709" s="1" t="s">
        <v>618</v>
      </c>
      <c r="O709" s="1"/>
      <c r="P709" s="1" t="s">
        <v>1028</v>
      </c>
      <c r="Q709" s="1" t="s">
        <v>13256</v>
      </c>
      <c r="R709" s="1" t="s">
        <v>13257</v>
      </c>
      <c r="S709" s="1">
        <v>9423434094</v>
      </c>
      <c r="T709" s="1" t="s">
        <v>13258</v>
      </c>
      <c r="U709" s="1" t="s">
        <v>13259</v>
      </c>
      <c r="V709" s="1">
        <v>9822392030</v>
      </c>
      <c r="W709" s="1" t="s">
        <v>278</v>
      </c>
      <c r="X709" s="1" t="s">
        <v>13260</v>
      </c>
      <c r="Y709" s="1" t="s">
        <v>196</v>
      </c>
      <c r="Z709" s="1" t="s">
        <v>97</v>
      </c>
      <c r="AA709" s="1" t="s">
        <v>13261</v>
      </c>
      <c r="AB709" s="1" t="s">
        <v>5083</v>
      </c>
      <c r="AC709" s="1" t="s">
        <v>97</v>
      </c>
      <c r="AD709" s="1">
        <v>8.23</v>
      </c>
      <c r="AE709" s="1" t="s">
        <v>98</v>
      </c>
      <c r="AF709" s="1" t="s">
        <v>13262</v>
      </c>
      <c r="AG709" s="1" t="s">
        <v>4324</v>
      </c>
      <c r="AH709" s="1" t="s">
        <v>106</v>
      </c>
      <c r="AI709" s="1" t="s">
        <v>414</v>
      </c>
      <c r="AJ709" s="1">
        <v>82.42</v>
      </c>
      <c r="AK709" s="1">
        <v>0</v>
      </c>
      <c r="AL709" s="1"/>
      <c r="AM709" s="1"/>
      <c r="AN709" s="1"/>
      <c r="AO709" s="1"/>
      <c r="AP709" s="1"/>
      <c r="AQ709" s="1"/>
      <c r="AR709" s="1"/>
      <c r="AS709" s="1" t="s">
        <v>103</v>
      </c>
      <c r="AT709" s="1" t="s">
        <v>13263</v>
      </c>
      <c r="AU709" s="1" t="s">
        <v>315</v>
      </c>
      <c r="AV709" s="1" t="s">
        <v>110</v>
      </c>
      <c r="AW709" s="1">
        <v>82.63</v>
      </c>
      <c r="AX709" s="1">
        <v>0</v>
      </c>
      <c r="AY709" s="1" t="s">
        <v>366</v>
      </c>
      <c r="AZ709" s="1" t="s">
        <v>13264</v>
      </c>
      <c r="BA709" s="1" t="s">
        <v>578</v>
      </c>
      <c r="BB709" s="1" t="s">
        <v>467</v>
      </c>
      <c r="BC709" s="1" t="s">
        <v>1889</v>
      </c>
      <c r="BD709" s="1" t="s">
        <v>1401</v>
      </c>
      <c r="BE709" s="1">
        <v>60.9</v>
      </c>
      <c r="BF709" s="1">
        <v>6.83</v>
      </c>
      <c r="BG709" s="1"/>
      <c r="BH709" s="1"/>
      <c r="BI709" s="1"/>
      <c r="BJ709" s="1"/>
      <c r="BK709" s="1"/>
      <c r="BL709" s="1"/>
      <c r="BM709" s="1"/>
      <c r="BN709" s="1"/>
      <c r="BO709" s="1" t="s">
        <v>13265</v>
      </c>
      <c r="BP709" s="1"/>
      <c r="BQ709" s="1"/>
      <c r="BR709" s="1" t="s">
        <v>13266</v>
      </c>
      <c r="BS709" s="1">
        <v>16</v>
      </c>
      <c r="BT709" s="1"/>
      <c r="BU709" s="1" t="str">
        <f>HYPERLINK("https://nconnect.nicmar.ac.in/storage/profile/ProfilePhoto_P25700715_431895.jpg","Download")</f>
        <v>0</v>
      </c>
      <c r="BV709" s="3"/>
      <c r="BW709" s="3"/>
    </row>
    <row r="710" spans="1:75">
      <c r="A710" s="1" t="s">
        <v>75</v>
      </c>
      <c r="B710" s="1" t="s">
        <v>446</v>
      </c>
      <c r="C710" s="1" t="s">
        <v>13267</v>
      </c>
      <c r="D710" s="1" t="s">
        <v>13268</v>
      </c>
      <c r="E710" s="1"/>
      <c r="F710" s="1" t="s">
        <v>13269</v>
      </c>
      <c r="G710" s="1" t="s">
        <v>13270</v>
      </c>
      <c r="H710" s="1" t="s">
        <v>13271</v>
      </c>
      <c r="I710" s="1" t="s">
        <v>13272</v>
      </c>
      <c r="J710" s="1">
        <v>9805566233</v>
      </c>
      <c r="K710" s="1" t="s">
        <v>84</v>
      </c>
      <c r="L710" s="1" t="s">
        <v>13273</v>
      </c>
      <c r="M710" s="1" t="s">
        <v>86</v>
      </c>
      <c r="N710" s="1" t="s">
        <v>13274</v>
      </c>
      <c r="O710" s="1"/>
      <c r="P710" s="1" t="s">
        <v>455</v>
      </c>
      <c r="Q710" s="1" t="s">
        <v>13275</v>
      </c>
      <c r="R710" s="1" t="s">
        <v>13276</v>
      </c>
      <c r="S710" s="1">
        <v>9418761430</v>
      </c>
      <c r="T710" s="1" t="s">
        <v>13277</v>
      </c>
      <c r="U710" s="1" t="s">
        <v>13278</v>
      </c>
      <c r="V710" s="1">
        <v>9459521418</v>
      </c>
      <c r="W710" s="1" t="s">
        <v>94</v>
      </c>
      <c r="X710" s="1" t="s">
        <v>13279</v>
      </c>
      <c r="Y710" s="1" t="s">
        <v>13280</v>
      </c>
      <c r="Z710" s="1" t="s">
        <v>2608</v>
      </c>
      <c r="AA710" s="1" t="s">
        <v>13279</v>
      </c>
      <c r="AB710" s="1" t="s">
        <v>13280</v>
      </c>
      <c r="AC710" s="1" t="s">
        <v>2608</v>
      </c>
      <c r="AD710" s="1">
        <v>8.46</v>
      </c>
      <c r="AE710" s="1" t="s">
        <v>98</v>
      </c>
      <c r="AF710" s="1" t="s">
        <v>9946</v>
      </c>
      <c r="AG710" s="1" t="s">
        <v>13281</v>
      </c>
      <c r="AH710" s="1" t="s">
        <v>167</v>
      </c>
      <c r="AI710" s="1" t="s">
        <v>170</v>
      </c>
      <c r="AJ710" s="1">
        <v>77.9</v>
      </c>
      <c r="AK710" s="1">
        <v>8.2</v>
      </c>
      <c r="AL710" s="1" t="s">
        <v>9946</v>
      </c>
      <c r="AM710" s="1" t="s">
        <v>13281</v>
      </c>
      <c r="AN710" s="1" t="s">
        <v>465</v>
      </c>
      <c r="AO710" s="1" t="s">
        <v>171</v>
      </c>
      <c r="AP710" s="1" t="s">
        <v>313</v>
      </c>
      <c r="AQ710" s="1">
        <v>82.8</v>
      </c>
      <c r="AR710" s="1"/>
      <c r="AS710" s="1"/>
      <c r="AT710" s="1"/>
      <c r="AU710" s="1"/>
      <c r="AV710" s="1"/>
      <c r="AW710" s="1"/>
      <c r="AX710" s="1"/>
      <c r="AY710" s="1" t="s">
        <v>654</v>
      </c>
      <c r="AZ710" s="1" t="s">
        <v>13282</v>
      </c>
      <c r="BA710" s="1" t="s">
        <v>466</v>
      </c>
      <c r="BB710" s="1" t="s">
        <v>467</v>
      </c>
      <c r="BC710" s="1" t="s">
        <v>2863</v>
      </c>
      <c r="BD710" s="1" t="s">
        <v>4573</v>
      </c>
      <c r="BE710" s="1">
        <v>90.2</v>
      </c>
      <c r="BF710" s="1">
        <v>9.02</v>
      </c>
      <c r="BG710" s="1"/>
      <c r="BH710" s="1"/>
      <c r="BI710" s="1"/>
      <c r="BJ710" s="1"/>
      <c r="BK710" s="1"/>
      <c r="BL710" s="1"/>
      <c r="BM710" s="1"/>
      <c r="BN710" s="1"/>
      <c r="BO710" s="1" t="s">
        <v>6027</v>
      </c>
      <c r="BP710" s="1"/>
      <c r="BQ710" s="1"/>
      <c r="BR710" s="1" t="s">
        <v>13283</v>
      </c>
      <c r="BS710" s="1">
        <v>62</v>
      </c>
      <c r="BT710" s="1"/>
      <c r="BU710" s="1" t="str">
        <f>HYPERLINK("https://nconnect.nicmar.ac.in/storage/profile/ProfilePhoto_P25700716_596743.jpg","Download")</f>
        <v>0</v>
      </c>
      <c r="BV710" s="3"/>
      <c r="BW710" s="3"/>
    </row>
    <row r="711" spans="1:75">
      <c r="A711" s="1" t="s">
        <v>75</v>
      </c>
      <c r="B711" s="1" t="s">
        <v>446</v>
      </c>
      <c r="C711" s="1" t="s">
        <v>13284</v>
      </c>
      <c r="D711" s="1" t="s">
        <v>3100</v>
      </c>
      <c r="E711" s="1" t="s">
        <v>2098</v>
      </c>
      <c r="F711" s="1" t="s">
        <v>13285</v>
      </c>
      <c r="G711" s="1" t="s">
        <v>13286</v>
      </c>
      <c r="H711" s="1" t="s">
        <v>13287</v>
      </c>
      <c r="I711" s="1" t="s">
        <v>13288</v>
      </c>
      <c r="J711" s="1">
        <v>7218148484</v>
      </c>
      <c r="K711" s="1" t="s">
        <v>84</v>
      </c>
      <c r="L711" s="1" t="s">
        <v>6210</v>
      </c>
      <c r="M711" s="1" t="s">
        <v>86</v>
      </c>
      <c r="N711" s="1" t="s">
        <v>618</v>
      </c>
      <c r="O711" s="1"/>
      <c r="P711" s="1" t="s">
        <v>507</v>
      </c>
      <c r="Q711" s="1" t="s">
        <v>13289</v>
      </c>
      <c r="R711" s="1" t="s">
        <v>13290</v>
      </c>
      <c r="S711" s="1">
        <v>9921346858</v>
      </c>
      <c r="T711" s="1" t="s">
        <v>2950</v>
      </c>
      <c r="U711" s="1" t="s">
        <v>13291</v>
      </c>
      <c r="V711" s="1">
        <v>9130888918</v>
      </c>
      <c r="W711" s="1" t="s">
        <v>161</v>
      </c>
      <c r="X711" s="1" t="s">
        <v>13292</v>
      </c>
      <c r="Y711" s="1" t="s">
        <v>1989</v>
      </c>
      <c r="Z711" s="1" t="s">
        <v>97</v>
      </c>
      <c r="AA711" s="1" t="s">
        <v>13292</v>
      </c>
      <c r="AB711" s="1" t="s">
        <v>1989</v>
      </c>
      <c r="AC711" s="1" t="s">
        <v>97</v>
      </c>
      <c r="AD711" s="1">
        <v>7.77</v>
      </c>
      <c r="AE711" s="1" t="s">
        <v>98</v>
      </c>
      <c r="AF711" s="1" t="s">
        <v>13293</v>
      </c>
      <c r="AG711" s="1" t="s">
        <v>165</v>
      </c>
      <c r="AH711" s="1" t="s">
        <v>106</v>
      </c>
      <c r="AI711" s="1" t="s">
        <v>414</v>
      </c>
      <c r="AJ711" s="1">
        <v>84</v>
      </c>
      <c r="AK711" s="1"/>
      <c r="AL711" s="1"/>
      <c r="AM711" s="1"/>
      <c r="AN711" s="1" t="s">
        <v>1062</v>
      </c>
      <c r="AO711" s="1"/>
      <c r="AP711" s="1"/>
      <c r="AQ711" s="1"/>
      <c r="AR711" s="1"/>
      <c r="AS711" s="1" t="s">
        <v>439</v>
      </c>
      <c r="AT711" s="1" t="s">
        <v>1170</v>
      </c>
      <c r="AU711" s="1" t="s">
        <v>206</v>
      </c>
      <c r="AV711" s="1" t="s">
        <v>1400</v>
      </c>
      <c r="AW711" s="1">
        <v>75.68</v>
      </c>
      <c r="AX711" s="1"/>
      <c r="AY711" s="1" t="s">
        <v>1887</v>
      </c>
      <c r="AZ711" s="1" t="s">
        <v>12857</v>
      </c>
      <c r="BA711" s="1" t="s">
        <v>466</v>
      </c>
      <c r="BB711" s="1" t="s">
        <v>467</v>
      </c>
      <c r="BC711" s="1" t="s">
        <v>1889</v>
      </c>
      <c r="BD711" s="1" t="s">
        <v>848</v>
      </c>
      <c r="BE711" s="1">
        <v>73.34</v>
      </c>
      <c r="BF711" s="1"/>
      <c r="BG711" s="1"/>
      <c r="BH711" s="1"/>
      <c r="BI711" s="1"/>
      <c r="BJ711" s="1"/>
      <c r="BK711" s="1"/>
      <c r="BL711" s="1"/>
      <c r="BM711" s="1"/>
      <c r="BN711" s="1"/>
      <c r="BO711" s="1" t="s">
        <v>13294</v>
      </c>
      <c r="BP711" s="1"/>
      <c r="BQ711" s="1"/>
      <c r="BR711" s="1" t="s">
        <v>13295</v>
      </c>
      <c r="BS711" s="1">
        <v>21</v>
      </c>
      <c r="BT711" s="1" t="s">
        <v>13296</v>
      </c>
      <c r="BU711" s="1" t="str">
        <f>HYPERLINK("https://nconnect.nicmar.ac.in/storage/profile/ProfilePhoto_P25700717_983154.jpg","Download")</f>
        <v>0</v>
      </c>
      <c r="BV711" s="3"/>
      <c r="BW711" s="3"/>
    </row>
    <row r="712" spans="1:75">
      <c r="A712" s="1" t="s">
        <v>75</v>
      </c>
      <c r="B712" s="1" t="s">
        <v>446</v>
      </c>
      <c r="C712" s="1" t="s">
        <v>13297</v>
      </c>
      <c r="D712" s="1" t="s">
        <v>2829</v>
      </c>
      <c r="E712" s="1" t="s">
        <v>12638</v>
      </c>
      <c r="F712" s="1" t="s">
        <v>13298</v>
      </c>
      <c r="G712" s="1" t="s">
        <v>13299</v>
      </c>
      <c r="H712" s="1" t="s">
        <v>13300</v>
      </c>
      <c r="I712" s="1" t="s">
        <v>13301</v>
      </c>
      <c r="J712" s="1">
        <v>8169556979</v>
      </c>
      <c r="K712" s="1" t="s">
        <v>84</v>
      </c>
      <c r="L712" s="1" t="s">
        <v>13302</v>
      </c>
      <c r="M712" s="1" t="s">
        <v>86</v>
      </c>
      <c r="N712" s="1" t="s">
        <v>1163</v>
      </c>
      <c r="O712" s="1"/>
      <c r="P712" s="1" t="s">
        <v>507</v>
      </c>
      <c r="Q712" s="1" t="s">
        <v>13303</v>
      </c>
      <c r="R712" s="1" t="s">
        <v>12638</v>
      </c>
      <c r="S712" s="1">
        <v>9820319276</v>
      </c>
      <c r="T712" s="1" t="s">
        <v>1552</v>
      </c>
      <c r="U712" s="1" t="s">
        <v>6506</v>
      </c>
      <c r="V712" s="1">
        <v>9321033327</v>
      </c>
      <c r="W712" s="1" t="s">
        <v>1552</v>
      </c>
      <c r="X712" s="1" t="s">
        <v>13304</v>
      </c>
      <c r="Y712" s="1" t="s">
        <v>1012</v>
      </c>
      <c r="Z712" s="1" t="s">
        <v>97</v>
      </c>
      <c r="AA712" s="1" t="s">
        <v>13304</v>
      </c>
      <c r="AB712" s="1" t="s">
        <v>1012</v>
      </c>
      <c r="AC712" s="1" t="s">
        <v>97</v>
      </c>
      <c r="AD712" s="1">
        <v>8.41</v>
      </c>
      <c r="AE712" s="1" t="s">
        <v>98</v>
      </c>
      <c r="AF712" s="1" t="s">
        <v>13305</v>
      </c>
      <c r="AG712" s="1" t="s">
        <v>165</v>
      </c>
      <c r="AH712" s="1" t="s">
        <v>1602</v>
      </c>
      <c r="AI712" s="1" t="s">
        <v>102</v>
      </c>
      <c r="AJ712" s="1">
        <v>61</v>
      </c>
      <c r="AK712" s="1"/>
      <c r="AL712" s="1" t="s">
        <v>13306</v>
      </c>
      <c r="AM712" s="1" t="s">
        <v>165</v>
      </c>
      <c r="AN712" s="1" t="s">
        <v>575</v>
      </c>
      <c r="AO712" s="1" t="s">
        <v>166</v>
      </c>
      <c r="AP712" s="1" t="s">
        <v>518</v>
      </c>
      <c r="AQ712" s="1">
        <v>47.23</v>
      </c>
      <c r="AR712" s="1"/>
      <c r="AS712" s="1" t="s">
        <v>103</v>
      </c>
      <c r="AT712" s="1" t="s">
        <v>13307</v>
      </c>
      <c r="AU712" s="1" t="s">
        <v>388</v>
      </c>
      <c r="AV712" s="1" t="s">
        <v>4740</v>
      </c>
      <c r="AW712" s="1">
        <v>73.76</v>
      </c>
      <c r="AX712" s="1"/>
      <c r="AY712" s="1" t="s">
        <v>258</v>
      </c>
      <c r="AZ712" s="1" t="s">
        <v>13307</v>
      </c>
      <c r="BA712" s="1" t="s">
        <v>578</v>
      </c>
      <c r="BB712" s="1" t="s">
        <v>467</v>
      </c>
      <c r="BC712" s="1" t="s">
        <v>368</v>
      </c>
      <c r="BD712" s="1" t="s">
        <v>179</v>
      </c>
      <c r="BE712" s="1">
        <v>71.91</v>
      </c>
      <c r="BF712" s="1"/>
      <c r="BG712" s="1"/>
      <c r="BH712" s="1"/>
      <c r="BI712" s="1"/>
      <c r="BJ712" s="1"/>
      <c r="BK712" s="1"/>
      <c r="BL712" s="1"/>
      <c r="BM712" s="1"/>
      <c r="BN712" s="1"/>
      <c r="BO712" s="1" t="s">
        <v>13308</v>
      </c>
      <c r="BP712" s="1" t="s">
        <v>13309</v>
      </c>
      <c r="BQ712" s="1" t="s">
        <v>1564</v>
      </c>
      <c r="BR712" s="1" t="s">
        <v>13310</v>
      </c>
      <c r="BS712" s="1">
        <v>34</v>
      </c>
      <c r="BT712" s="1"/>
      <c r="BU712" s="1" t="str">
        <f>HYPERLINK("https://nconnect.nicmar.ac.in/storage/profile/ProfilePhoto_P25700718_186239.jpg","Download")</f>
        <v>0</v>
      </c>
      <c r="BV712" s="3"/>
      <c r="BW712" s="4">
        <v>1</v>
      </c>
    </row>
    <row r="713" spans="1:75">
      <c r="A713" s="1" t="s">
        <v>75</v>
      </c>
      <c r="B713" s="1" t="s">
        <v>446</v>
      </c>
      <c r="C713" s="1" t="s">
        <v>13311</v>
      </c>
      <c r="D713" s="1" t="s">
        <v>13312</v>
      </c>
      <c r="E713" s="1"/>
      <c r="F713" s="1" t="s">
        <v>13313</v>
      </c>
      <c r="G713" s="1" t="s">
        <v>13314</v>
      </c>
      <c r="H713" s="1" t="s">
        <v>13315</v>
      </c>
      <c r="I713" s="1" t="s">
        <v>13316</v>
      </c>
      <c r="J713" s="1">
        <v>9861056081</v>
      </c>
      <c r="K713" s="1" t="s">
        <v>84</v>
      </c>
      <c r="L713" s="1" t="s">
        <v>13317</v>
      </c>
      <c r="M713" s="1" t="s">
        <v>86</v>
      </c>
      <c r="N713" s="1" t="s">
        <v>13318</v>
      </c>
      <c r="O713" s="1"/>
      <c r="P713" s="1" t="s">
        <v>455</v>
      </c>
      <c r="Q713" s="1" t="s">
        <v>13319</v>
      </c>
      <c r="R713" s="1" t="s">
        <v>13320</v>
      </c>
      <c r="S713" s="1">
        <v>9776551010</v>
      </c>
      <c r="T713" s="1" t="s">
        <v>13321</v>
      </c>
      <c r="U713" s="1" t="s">
        <v>13322</v>
      </c>
      <c r="V713" s="1">
        <v>8908214353</v>
      </c>
      <c r="W713" s="1" t="s">
        <v>1577</v>
      </c>
      <c r="X713" s="1" t="s">
        <v>13323</v>
      </c>
      <c r="Y713" s="1" t="s">
        <v>8426</v>
      </c>
      <c r="Z713" s="1" t="s">
        <v>865</v>
      </c>
      <c r="AA713" s="1" t="s">
        <v>13323</v>
      </c>
      <c r="AB713" s="1" t="s">
        <v>8426</v>
      </c>
      <c r="AC713" s="1" t="s">
        <v>865</v>
      </c>
      <c r="AD713" s="1">
        <v>8.64</v>
      </c>
      <c r="AE713" s="1" t="s">
        <v>98</v>
      </c>
      <c r="AF713" s="1" t="s">
        <v>13324</v>
      </c>
      <c r="AG713" s="1" t="s">
        <v>13325</v>
      </c>
      <c r="AH713" s="1" t="s">
        <v>284</v>
      </c>
      <c r="AI713" s="1" t="s">
        <v>170</v>
      </c>
      <c r="AJ713" s="1">
        <v>81.7</v>
      </c>
      <c r="AK713" s="1">
        <v>8.6</v>
      </c>
      <c r="AL713" s="1" t="s">
        <v>13326</v>
      </c>
      <c r="AM713" s="1" t="s">
        <v>13325</v>
      </c>
      <c r="AN713" s="1" t="s">
        <v>575</v>
      </c>
      <c r="AO713" s="1" t="s">
        <v>388</v>
      </c>
      <c r="AP713" s="1" t="s">
        <v>313</v>
      </c>
      <c r="AQ713" s="1">
        <v>64.83</v>
      </c>
      <c r="AR713" s="1"/>
      <c r="AS713" s="1"/>
      <c r="AT713" s="1"/>
      <c r="AU713" s="1"/>
      <c r="AV713" s="1"/>
      <c r="AW713" s="1"/>
      <c r="AX713" s="1"/>
      <c r="AY713" s="1" t="s">
        <v>13327</v>
      </c>
      <c r="AZ713" s="1" t="s">
        <v>13328</v>
      </c>
      <c r="BA713" s="1" t="s">
        <v>466</v>
      </c>
      <c r="BB713" s="1" t="s">
        <v>467</v>
      </c>
      <c r="BC713" s="1" t="s">
        <v>206</v>
      </c>
      <c r="BD713" s="1" t="s">
        <v>234</v>
      </c>
      <c r="BE713" s="1">
        <v>78.2</v>
      </c>
      <c r="BF713" s="1">
        <v>8.32</v>
      </c>
      <c r="BG713" s="1"/>
      <c r="BH713" s="1"/>
      <c r="BI713" s="1"/>
      <c r="BJ713" s="1"/>
      <c r="BK713" s="1"/>
      <c r="BL713" s="1"/>
      <c r="BM713" s="1"/>
      <c r="BN713" s="1"/>
      <c r="BO713" s="1" t="s">
        <v>1114</v>
      </c>
      <c r="BP713" s="1" t="s">
        <v>13329</v>
      </c>
      <c r="BQ713" s="1" t="s">
        <v>4149</v>
      </c>
      <c r="BR713" s="1" t="s">
        <v>13330</v>
      </c>
      <c r="BS713" s="1">
        <v>9</v>
      </c>
      <c r="BT713" s="1" t="s">
        <v>13331</v>
      </c>
      <c r="BU713" s="1" t="str">
        <f>HYPERLINK("https://nconnect.nicmar.ac.in/storage/profile/ProfilePhoto_P25700719_518623.jpg","Download")</f>
        <v>0</v>
      </c>
      <c r="BV713" s="3"/>
      <c r="BW713" s="3"/>
    </row>
    <row r="714" spans="1:75">
      <c r="A714" s="1" t="s">
        <v>75</v>
      </c>
      <c r="B714" s="1" t="s">
        <v>446</v>
      </c>
      <c r="C714" s="1" t="s">
        <v>13332</v>
      </c>
      <c r="D714" s="1" t="s">
        <v>13333</v>
      </c>
      <c r="E714" s="1" t="s">
        <v>2233</v>
      </c>
      <c r="F714" s="1" t="s">
        <v>13334</v>
      </c>
      <c r="G714" s="1" t="s">
        <v>13335</v>
      </c>
      <c r="H714" s="1" t="s">
        <v>13336</v>
      </c>
      <c r="I714" s="1" t="s">
        <v>13337</v>
      </c>
      <c r="J714" s="1">
        <v>7083031505</v>
      </c>
      <c r="K714" s="1" t="s">
        <v>153</v>
      </c>
      <c r="L714" s="1" t="s">
        <v>11260</v>
      </c>
      <c r="M714" s="1" t="s">
        <v>86</v>
      </c>
      <c r="N714" s="1" t="s">
        <v>190</v>
      </c>
      <c r="O714" s="1"/>
      <c r="P714" s="1" t="s">
        <v>481</v>
      </c>
      <c r="Q714" s="1" t="s">
        <v>13338</v>
      </c>
      <c r="R714" s="1" t="s">
        <v>13339</v>
      </c>
      <c r="S714" s="1">
        <v>7083031505</v>
      </c>
      <c r="T714" s="1" t="s">
        <v>127</v>
      </c>
      <c r="U714" s="1" t="s">
        <v>13340</v>
      </c>
      <c r="V714" s="1">
        <v>9404325232</v>
      </c>
      <c r="W714" s="1" t="s">
        <v>127</v>
      </c>
      <c r="X714" s="1" t="s">
        <v>13341</v>
      </c>
      <c r="Y714" s="1" t="s">
        <v>1779</v>
      </c>
      <c r="Z714" s="1" t="s">
        <v>97</v>
      </c>
      <c r="AA714" s="1" t="s">
        <v>13341</v>
      </c>
      <c r="AB714" s="1" t="s">
        <v>1779</v>
      </c>
      <c r="AC714" s="1" t="s">
        <v>97</v>
      </c>
      <c r="AD714" s="1" t="s">
        <v>98</v>
      </c>
      <c r="AE714" s="1" t="s">
        <v>98</v>
      </c>
      <c r="AF714" s="1" t="s">
        <v>13342</v>
      </c>
      <c r="AG714" s="1" t="s">
        <v>13343</v>
      </c>
      <c r="AH714" s="1" t="s">
        <v>167</v>
      </c>
      <c r="AI714" s="1" t="s">
        <v>170</v>
      </c>
      <c r="AJ714" s="1">
        <v>89.3</v>
      </c>
      <c r="AK714" s="1">
        <v>9.4</v>
      </c>
      <c r="AL714" s="1" t="s">
        <v>13344</v>
      </c>
      <c r="AM714" s="1" t="s">
        <v>13345</v>
      </c>
      <c r="AN714" s="1"/>
      <c r="AO714" s="1" t="s">
        <v>1477</v>
      </c>
      <c r="AP714" s="1" t="s">
        <v>203</v>
      </c>
      <c r="AQ714" s="1">
        <v>64.92</v>
      </c>
      <c r="AR714" s="1"/>
      <c r="AS714" s="1"/>
      <c r="AT714" s="1"/>
      <c r="AU714" s="1"/>
      <c r="AV714" s="1"/>
      <c r="AW714" s="1"/>
      <c r="AX714" s="1"/>
      <c r="AY714" s="1" t="s">
        <v>13346</v>
      </c>
      <c r="AZ714" s="1" t="s">
        <v>13347</v>
      </c>
      <c r="BA714" s="1"/>
      <c r="BB714" s="1"/>
      <c r="BC714" s="1" t="s">
        <v>206</v>
      </c>
      <c r="BD714" s="1" t="s">
        <v>207</v>
      </c>
      <c r="BE714" s="1">
        <v>64.6</v>
      </c>
      <c r="BF714" s="1">
        <v>6.81</v>
      </c>
      <c r="BG714" s="1"/>
      <c r="BH714" s="1"/>
      <c r="BI714" s="1"/>
      <c r="BJ714" s="1"/>
      <c r="BK714" s="1"/>
      <c r="BL714" s="1"/>
      <c r="BM714" s="1"/>
      <c r="BN714" s="1"/>
      <c r="BO714" s="1" t="s">
        <v>13348</v>
      </c>
      <c r="BP714" s="1"/>
      <c r="BQ714" s="1"/>
      <c r="BR714" s="1"/>
      <c r="BS714" s="1"/>
      <c r="BT714" s="1"/>
      <c r="BU714" s="1" t="str">
        <f>HYPERLINK("https://nconnect.nicmar.ac.in/storage/profile/ProfilePhoto_P25700720_297461.jpg","Download")</f>
        <v>0</v>
      </c>
      <c r="BV714" s="3"/>
      <c r="BW714" s="3"/>
    </row>
    <row r="715" spans="1:75">
      <c r="A715" s="1" t="s">
        <v>75</v>
      </c>
      <c r="B715" s="1" t="s">
        <v>446</v>
      </c>
      <c r="C715" s="1" t="s">
        <v>13349</v>
      </c>
      <c r="D715" s="1" t="s">
        <v>13350</v>
      </c>
      <c r="E715" s="1" t="s">
        <v>13351</v>
      </c>
      <c r="F715" s="1" t="s">
        <v>13352</v>
      </c>
      <c r="G715" s="1" t="s">
        <v>13353</v>
      </c>
      <c r="H715" s="1" t="s">
        <v>13354</v>
      </c>
      <c r="I715" s="1" t="s">
        <v>13355</v>
      </c>
      <c r="J715" s="1">
        <v>9130767406</v>
      </c>
      <c r="K715" s="1" t="s">
        <v>153</v>
      </c>
      <c r="L715" s="1" t="s">
        <v>13356</v>
      </c>
      <c r="M715" s="1" t="s">
        <v>86</v>
      </c>
      <c r="N715" s="1" t="s">
        <v>13357</v>
      </c>
      <c r="O715" s="1"/>
      <c r="P715" s="1" t="s">
        <v>507</v>
      </c>
      <c r="Q715" s="1" t="s">
        <v>13358</v>
      </c>
      <c r="R715" s="1" t="s">
        <v>13351</v>
      </c>
      <c r="S715" s="1">
        <v>9518307871</v>
      </c>
      <c r="T715" s="1" t="s">
        <v>7840</v>
      </c>
      <c r="U715" s="1" t="s">
        <v>13359</v>
      </c>
      <c r="V715" s="1">
        <v>7798772221</v>
      </c>
      <c r="W715" s="1" t="s">
        <v>161</v>
      </c>
      <c r="X715" s="1" t="s">
        <v>13360</v>
      </c>
      <c r="Y715" s="1" t="s">
        <v>4302</v>
      </c>
      <c r="Z715" s="1" t="s">
        <v>97</v>
      </c>
      <c r="AA715" s="1" t="s">
        <v>13360</v>
      </c>
      <c r="AB715" s="1" t="s">
        <v>4302</v>
      </c>
      <c r="AC715" s="1" t="s">
        <v>97</v>
      </c>
      <c r="AD715" s="1">
        <v>8.38</v>
      </c>
      <c r="AE715" s="1" t="s">
        <v>98</v>
      </c>
      <c r="AF715" s="1" t="s">
        <v>13361</v>
      </c>
      <c r="AG715" s="1" t="s">
        <v>165</v>
      </c>
      <c r="AH715" s="1" t="s">
        <v>166</v>
      </c>
      <c r="AI715" s="1" t="s">
        <v>627</v>
      </c>
      <c r="AJ715" s="1">
        <v>74.2</v>
      </c>
      <c r="AK715" s="1"/>
      <c r="AL715" s="1"/>
      <c r="AM715" s="1"/>
      <c r="AN715" s="1"/>
      <c r="AO715" s="1"/>
      <c r="AP715" s="1"/>
      <c r="AQ715" s="1"/>
      <c r="AR715" s="1"/>
      <c r="AS715" s="1" t="s">
        <v>13362</v>
      </c>
      <c r="AT715" s="1" t="s">
        <v>8150</v>
      </c>
      <c r="AU715" s="1" t="s">
        <v>139</v>
      </c>
      <c r="AV715" s="1" t="s">
        <v>603</v>
      </c>
      <c r="AW715" s="1">
        <v>80.12</v>
      </c>
      <c r="AX715" s="1"/>
      <c r="AY715" s="1" t="s">
        <v>258</v>
      </c>
      <c r="AZ715" s="1" t="s">
        <v>13363</v>
      </c>
      <c r="BA715" s="1"/>
      <c r="BB715" s="1"/>
      <c r="BC715" s="1" t="s">
        <v>468</v>
      </c>
      <c r="BD715" s="1" t="s">
        <v>179</v>
      </c>
      <c r="BE715" s="1">
        <v>76.02</v>
      </c>
      <c r="BF715" s="1">
        <v>8.67</v>
      </c>
      <c r="BG715" s="1"/>
      <c r="BH715" s="1"/>
      <c r="BI715" s="1"/>
      <c r="BJ715" s="1"/>
      <c r="BK715" s="1"/>
      <c r="BL715" s="1"/>
      <c r="BM715" s="1"/>
      <c r="BN715" s="1"/>
      <c r="BO715" s="1" t="s">
        <v>13364</v>
      </c>
      <c r="BP715" s="1" t="s">
        <v>13365</v>
      </c>
      <c r="BQ715" s="1" t="s">
        <v>1152</v>
      </c>
      <c r="BR715" s="1" t="s">
        <v>13366</v>
      </c>
      <c r="BS715" s="1">
        <v>156</v>
      </c>
      <c r="BT715" s="1"/>
      <c r="BU715" s="1" t="str">
        <f>HYPERLINK("https://nconnect.nicmar.ac.in/storage/profile/ProfilePhoto_P25700721_783129.jpg","Download")</f>
        <v>0</v>
      </c>
      <c r="BV715" s="3"/>
      <c r="BW715" s="3"/>
    </row>
    <row r="716" spans="1:75">
      <c r="A716" s="1" t="s">
        <v>75</v>
      </c>
      <c r="B716" s="1" t="s">
        <v>446</v>
      </c>
      <c r="C716" s="1" t="s">
        <v>13367</v>
      </c>
      <c r="D716" s="1" t="s">
        <v>13368</v>
      </c>
      <c r="E716" s="1" t="s">
        <v>5365</v>
      </c>
      <c r="F716" s="1" t="s">
        <v>2428</v>
      </c>
      <c r="G716" s="1" t="s">
        <v>13369</v>
      </c>
      <c r="H716" s="1" t="s">
        <v>13370</v>
      </c>
      <c r="I716" s="1" t="s">
        <v>13371</v>
      </c>
      <c r="J716" s="1">
        <v>8308814033</v>
      </c>
      <c r="K716" s="1" t="s">
        <v>153</v>
      </c>
      <c r="L716" s="1" t="s">
        <v>6731</v>
      </c>
      <c r="M716" s="1" t="s">
        <v>86</v>
      </c>
      <c r="N716" s="1" t="s">
        <v>618</v>
      </c>
      <c r="O716" s="1"/>
      <c r="P716" s="1" t="s">
        <v>1028</v>
      </c>
      <c r="Q716" s="1" t="s">
        <v>13372</v>
      </c>
      <c r="R716" s="1" t="s">
        <v>13373</v>
      </c>
      <c r="S716" s="1">
        <v>8805014036</v>
      </c>
      <c r="T716" s="1" t="s">
        <v>645</v>
      </c>
      <c r="U716" s="1" t="s">
        <v>13374</v>
      </c>
      <c r="V716" s="1">
        <v>7350011641</v>
      </c>
      <c r="W716" s="1" t="s">
        <v>161</v>
      </c>
      <c r="X716" s="1" t="s">
        <v>13375</v>
      </c>
      <c r="Y716" s="1" t="s">
        <v>196</v>
      </c>
      <c r="Z716" s="1" t="s">
        <v>97</v>
      </c>
      <c r="AA716" s="1" t="s">
        <v>13375</v>
      </c>
      <c r="AB716" s="1" t="s">
        <v>196</v>
      </c>
      <c r="AC716" s="1" t="s">
        <v>97</v>
      </c>
      <c r="AD716" s="1">
        <v>8.41</v>
      </c>
      <c r="AE716" s="1" t="s">
        <v>98</v>
      </c>
      <c r="AF716" s="1" t="s">
        <v>13376</v>
      </c>
      <c r="AG716" s="1" t="s">
        <v>165</v>
      </c>
      <c r="AH716" s="1" t="s">
        <v>167</v>
      </c>
      <c r="AI716" s="1" t="s">
        <v>200</v>
      </c>
      <c r="AJ716" s="1">
        <v>84.2</v>
      </c>
      <c r="AK716" s="1"/>
      <c r="AL716" s="1" t="s">
        <v>13377</v>
      </c>
      <c r="AM716" s="1" t="s">
        <v>165</v>
      </c>
      <c r="AN716" s="1" t="s">
        <v>465</v>
      </c>
      <c r="AO716" s="1" t="s">
        <v>106</v>
      </c>
      <c r="AP716" s="1" t="s">
        <v>203</v>
      </c>
      <c r="AQ716" s="1">
        <v>65.69</v>
      </c>
      <c r="AR716" s="1"/>
      <c r="AS716" s="1"/>
      <c r="AT716" s="1"/>
      <c r="AU716" s="1"/>
      <c r="AV716" s="1"/>
      <c r="AW716" s="1"/>
      <c r="AX716" s="1"/>
      <c r="AY716" s="1" t="s">
        <v>366</v>
      </c>
      <c r="AZ716" s="1" t="s">
        <v>13378</v>
      </c>
      <c r="BA716" s="1" t="s">
        <v>682</v>
      </c>
      <c r="BB716" s="1" t="s">
        <v>1561</v>
      </c>
      <c r="BC716" s="1" t="s">
        <v>234</v>
      </c>
      <c r="BD716" s="1" t="s">
        <v>1314</v>
      </c>
      <c r="BE716" s="1">
        <v>62.3</v>
      </c>
      <c r="BF716" s="1">
        <v>6.98</v>
      </c>
      <c r="BG716" s="1"/>
      <c r="BH716" s="1"/>
      <c r="BI716" s="1"/>
      <c r="BJ716" s="1"/>
      <c r="BK716" s="1"/>
      <c r="BL716" s="1"/>
      <c r="BM716" s="1"/>
      <c r="BN716" s="1"/>
      <c r="BO716" s="1" t="s">
        <v>13379</v>
      </c>
      <c r="BP716" s="1" t="s">
        <v>13380</v>
      </c>
      <c r="BQ716" s="1" t="s">
        <v>2116</v>
      </c>
      <c r="BR716" s="1" t="s">
        <v>13381</v>
      </c>
      <c r="BS716" s="1">
        <v>28</v>
      </c>
      <c r="BT716" s="1"/>
      <c r="BU716" s="1" t="str">
        <f>HYPERLINK("https://nconnect.nicmar.ac.in/storage/profile/ProfilePhoto_P25700722_325679.jpg","Download")</f>
        <v>0</v>
      </c>
      <c r="BV716" s="3"/>
      <c r="BW716" s="3"/>
    </row>
    <row r="717" spans="1:75">
      <c r="A717" s="1" t="s">
        <v>75</v>
      </c>
      <c r="B717" s="1" t="s">
        <v>446</v>
      </c>
      <c r="C717" s="1" t="s">
        <v>13382</v>
      </c>
      <c r="D717" s="1" t="s">
        <v>13383</v>
      </c>
      <c r="E717" s="1"/>
      <c r="F717" s="1" t="s">
        <v>13384</v>
      </c>
      <c r="G717" s="1" t="s">
        <v>13385</v>
      </c>
      <c r="H717" s="1" t="s">
        <v>13386</v>
      </c>
      <c r="I717" s="1" t="s">
        <v>13387</v>
      </c>
      <c r="J717" s="1">
        <v>9444724700</v>
      </c>
      <c r="K717" s="1" t="s">
        <v>84</v>
      </c>
      <c r="L717" s="1" t="s">
        <v>13388</v>
      </c>
      <c r="M717" s="1" t="s">
        <v>86</v>
      </c>
      <c r="N717" s="1" t="s">
        <v>13389</v>
      </c>
      <c r="O717" s="1"/>
      <c r="P717" s="1" t="s">
        <v>507</v>
      </c>
      <c r="Q717" s="1" t="s">
        <v>13390</v>
      </c>
      <c r="R717" s="1" t="s">
        <v>13391</v>
      </c>
      <c r="S717" s="1">
        <v>9444253375</v>
      </c>
      <c r="T717" s="1" t="s">
        <v>13392</v>
      </c>
      <c r="U717" s="1" t="s">
        <v>13393</v>
      </c>
      <c r="V717" s="1">
        <v>9445379605</v>
      </c>
      <c r="W717" s="1" t="s">
        <v>541</v>
      </c>
      <c r="X717" s="1" t="s">
        <v>13394</v>
      </c>
      <c r="Y717" s="1" t="s">
        <v>1498</v>
      </c>
      <c r="Z717" s="1" t="s">
        <v>570</v>
      </c>
      <c r="AA717" s="1" t="s">
        <v>13395</v>
      </c>
      <c r="AB717" s="1" t="s">
        <v>2008</v>
      </c>
      <c r="AC717" s="1" t="s">
        <v>570</v>
      </c>
      <c r="AD717" s="1">
        <v>8.95</v>
      </c>
      <c r="AE717" s="1" t="s">
        <v>98</v>
      </c>
      <c r="AF717" s="1" t="s">
        <v>13396</v>
      </c>
      <c r="AG717" s="1" t="s">
        <v>7286</v>
      </c>
      <c r="AH717" s="1" t="s">
        <v>490</v>
      </c>
      <c r="AI717" s="1" t="s">
        <v>313</v>
      </c>
      <c r="AJ717" s="1">
        <v>92.4</v>
      </c>
      <c r="AK717" s="1"/>
      <c r="AL717" s="1" t="s">
        <v>13397</v>
      </c>
      <c r="AM717" s="1" t="s">
        <v>7286</v>
      </c>
      <c r="AN717" s="1"/>
      <c r="AO717" s="1" t="s">
        <v>468</v>
      </c>
      <c r="AP717" s="1" t="s">
        <v>549</v>
      </c>
      <c r="AQ717" s="1">
        <v>95.6</v>
      </c>
      <c r="AR717" s="1"/>
      <c r="AS717" s="1"/>
      <c r="AT717" s="1"/>
      <c r="AU717" s="1"/>
      <c r="AV717" s="1"/>
      <c r="AW717" s="1"/>
      <c r="AX717" s="1"/>
      <c r="AY717" s="1" t="s">
        <v>13398</v>
      </c>
      <c r="AZ717" s="1" t="s">
        <v>13398</v>
      </c>
      <c r="BA717" s="1"/>
      <c r="BB717" s="1"/>
      <c r="BC717" s="1" t="s">
        <v>606</v>
      </c>
      <c r="BD717" s="1" t="s">
        <v>848</v>
      </c>
      <c r="BE717" s="1">
        <v>89.35</v>
      </c>
      <c r="BF717" s="1">
        <v>8.93</v>
      </c>
      <c r="BG717" s="1"/>
      <c r="BH717" s="1"/>
      <c r="BI717" s="1"/>
      <c r="BJ717" s="1"/>
      <c r="BK717" s="1"/>
      <c r="BL717" s="1"/>
      <c r="BM717" s="1"/>
      <c r="BN717" s="1"/>
      <c r="BO717" s="1" t="s">
        <v>13399</v>
      </c>
      <c r="BP717" s="1"/>
      <c r="BQ717" s="1"/>
      <c r="BR717" s="1" t="s">
        <v>13400</v>
      </c>
      <c r="BS717" s="1">
        <v>9</v>
      </c>
      <c r="BT717" s="1"/>
      <c r="BU717" s="1" t="str">
        <f>HYPERLINK("https://nconnect.nicmar.ac.in/storage/profile/ProfilePhoto_P25700723_862314.jpg","Download")</f>
        <v>0</v>
      </c>
      <c r="BV717" s="3"/>
      <c r="BW717" s="3"/>
    </row>
    <row r="718" spans="1:75">
      <c r="A718" s="1" t="s">
        <v>75</v>
      </c>
      <c r="B718" s="1" t="s">
        <v>446</v>
      </c>
      <c r="C718" s="1" t="s">
        <v>13401</v>
      </c>
      <c r="D718" s="1" t="s">
        <v>6136</v>
      </c>
      <c r="E718" s="1" t="s">
        <v>13402</v>
      </c>
      <c r="F718" s="1" t="s">
        <v>13403</v>
      </c>
      <c r="G718" s="1" t="s">
        <v>13404</v>
      </c>
      <c r="H718" s="1" t="s">
        <v>13405</v>
      </c>
      <c r="I718" s="1" t="s">
        <v>13406</v>
      </c>
      <c r="J718" s="1">
        <v>9503958058</v>
      </c>
      <c r="K718" s="1" t="s">
        <v>84</v>
      </c>
      <c r="L718" s="1" t="s">
        <v>13038</v>
      </c>
      <c r="M718" s="1" t="s">
        <v>86</v>
      </c>
      <c r="N718" s="1" t="s">
        <v>13407</v>
      </c>
      <c r="O718" s="1"/>
      <c r="P718" s="1" t="s">
        <v>1028</v>
      </c>
      <c r="Q718" s="1" t="s">
        <v>13408</v>
      </c>
      <c r="R718" s="1" t="s">
        <v>13409</v>
      </c>
      <c r="S718" s="1">
        <v>9819541679</v>
      </c>
      <c r="T718" s="1" t="s">
        <v>645</v>
      </c>
      <c r="U718" s="1" t="s">
        <v>13410</v>
      </c>
      <c r="V718" s="1">
        <v>9503958058</v>
      </c>
      <c r="W718" s="1" t="s">
        <v>13411</v>
      </c>
      <c r="X718" s="1" t="s">
        <v>13412</v>
      </c>
      <c r="Y718" s="1" t="s">
        <v>1882</v>
      </c>
      <c r="Z718" s="1" t="s">
        <v>97</v>
      </c>
      <c r="AA718" s="1" t="s">
        <v>13413</v>
      </c>
      <c r="AB718" s="1" t="s">
        <v>4302</v>
      </c>
      <c r="AC718" s="1" t="s">
        <v>97</v>
      </c>
      <c r="AD718" s="1">
        <v>7.97</v>
      </c>
      <c r="AE718" s="1" t="s">
        <v>98</v>
      </c>
      <c r="AF718" s="1" t="s">
        <v>4636</v>
      </c>
      <c r="AG718" s="1" t="s">
        <v>13414</v>
      </c>
      <c r="AH718" s="1" t="s">
        <v>170</v>
      </c>
      <c r="AI718" s="1" t="s">
        <v>106</v>
      </c>
      <c r="AJ718" s="1">
        <v>75</v>
      </c>
      <c r="AK718" s="1">
        <v>0</v>
      </c>
      <c r="AL718" s="1"/>
      <c r="AM718" s="1"/>
      <c r="AN718" s="1"/>
      <c r="AO718" s="1"/>
      <c r="AP718" s="1"/>
      <c r="AQ718" s="1"/>
      <c r="AR718" s="1"/>
      <c r="AS718" s="1" t="s">
        <v>439</v>
      </c>
      <c r="AT718" s="1" t="s">
        <v>13415</v>
      </c>
      <c r="AU718" s="1" t="s">
        <v>174</v>
      </c>
      <c r="AV718" s="1" t="s">
        <v>845</v>
      </c>
      <c r="AW718" s="1">
        <v>88.63</v>
      </c>
      <c r="AX718" s="1">
        <v>0</v>
      </c>
      <c r="AY718" s="1" t="s">
        <v>680</v>
      </c>
      <c r="AZ718" s="1" t="s">
        <v>13416</v>
      </c>
      <c r="BA718" s="1" t="s">
        <v>578</v>
      </c>
      <c r="BB718" s="1" t="s">
        <v>467</v>
      </c>
      <c r="BC718" s="1" t="s">
        <v>549</v>
      </c>
      <c r="BD718" s="1" t="s">
        <v>1089</v>
      </c>
      <c r="BE718" s="1">
        <v>64.09</v>
      </c>
      <c r="BF718" s="1">
        <v>6.95</v>
      </c>
      <c r="BG718" s="1"/>
      <c r="BH718" s="1"/>
      <c r="BI718" s="1"/>
      <c r="BJ718" s="1"/>
      <c r="BK718" s="1"/>
      <c r="BL718" s="1"/>
      <c r="BM718" s="1"/>
      <c r="BN718" s="1"/>
      <c r="BO718" s="1" t="s">
        <v>849</v>
      </c>
      <c r="BP718" s="1" t="s">
        <v>13417</v>
      </c>
      <c r="BQ718" s="1" t="s">
        <v>893</v>
      </c>
      <c r="BR718" s="1" t="s">
        <v>13418</v>
      </c>
      <c r="BS718" s="1">
        <v>63</v>
      </c>
      <c r="BT718" s="1" t="s">
        <v>13419</v>
      </c>
      <c r="BU718" s="1" t="str">
        <f>HYPERLINK("https://nconnect.nicmar.ac.in/storage/profile/ProfilePhoto_P25700724_394512.jpg","Download")</f>
        <v>0</v>
      </c>
      <c r="BV718" s="3"/>
      <c r="BW718" s="3"/>
    </row>
    <row r="719" spans="1:75">
      <c r="A719" s="1" t="s">
        <v>75</v>
      </c>
      <c r="B719" s="1" t="s">
        <v>446</v>
      </c>
      <c r="C719" s="1" t="s">
        <v>13420</v>
      </c>
      <c r="D719" s="1" t="s">
        <v>13421</v>
      </c>
      <c r="E719" s="1" t="s">
        <v>13422</v>
      </c>
      <c r="F719" s="1" t="s">
        <v>13423</v>
      </c>
      <c r="G719" s="1" t="s">
        <v>13424</v>
      </c>
      <c r="H719" s="1" t="s">
        <v>13425</v>
      </c>
      <c r="I719" s="1" t="s">
        <v>13426</v>
      </c>
      <c r="J719" s="1">
        <v>9527484106</v>
      </c>
      <c r="K719" s="1" t="s">
        <v>153</v>
      </c>
      <c r="L719" s="1" t="s">
        <v>13427</v>
      </c>
      <c r="M719" s="1" t="s">
        <v>86</v>
      </c>
      <c r="N719" s="1" t="s">
        <v>3064</v>
      </c>
      <c r="O719" s="1"/>
      <c r="P719" s="1" t="s">
        <v>1028</v>
      </c>
      <c r="Q719" s="1" t="s">
        <v>13428</v>
      </c>
      <c r="R719" s="1" t="s">
        <v>13429</v>
      </c>
      <c r="S719" s="1">
        <v>9860313247</v>
      </c>
      <c r="T719" s="1" t="s">
        <v>159</v>
      </c>
      <c r="U719" s="1" t="s">
        <v>13430</v>
      </c>
      <c r="V719" s="1">
        <v>9021453140</v>
      </c>
      <c r="W719" s="1" t="s">
        <v>161</v>
      </c>
      <c r="X719" s="1" t="s">
        <v>13431</v>
      </c>
      <c r="Y719" s="1" t="s">
        <v>196</v>
      </c>
      <c r="Z719" s="1" t="s">
        <v>97</v>
      </c>
      <c r="AA719" s="1" t="s">
        <v>13432</v>
      </c>
      <c r="AB719" s="1" t="s">
        <v>196</v>
      </c>
      <c r="AC719" s="1" t="s">
        <v>97</v>
      </c>
      <c r="AD719" s="1">
        <v>8.77</v>
      </c>
      <c r="AE719" s="1" t="s">
        <v>98</v>
      </c>
      <c r="AF719" s="1" t="s">
        <v>13433</v>
      </c>
      <c r="AG719" s="1" t="s">
        <v>165</v>
      </c>
      <c r="AH719" s="1" t="s">
        <v>101</v>
      </c>
      <c r="AI719" s="1" t="s">
        <v>102</v>
      </c>
      <c r="AJ719" s="1">
        <v>86.4</v>
      </c>
      <c r="AK719" s="1"/>
      <c r="AL719" s="1"/>
      <c r="AM719" s="1"/>
      <c r="AN719" s="1"/>
      <c r="AO719" s="1"/>
      <c r="AP719" s="1"/>
      <c r="AQ719" s="1"/>
      <c r="AR719" s="1"/>
      <c r="AS719" s="1" t="s">
        <v>103</v>
      </c>
      <c r="AT719" s="1" t="s">
        <v>13434</v>
      </c>
      <c r="AU719" s="1" t="s">
        <v>342</v>
      </c>
      <c r="AV719" s="1" t="s">
        <v>106</v>
      </c>
      <c r="AW719" s="1">
        <v>81.82</v>
      </c>
      <c r="AX719" s="1"/>
      <c r="AY719" s="1" t="s">
        <v>366</v>
      </c>
      <c r="AZ719" s="1" t="s">
        <v>13435</v>
      </c>
      <c r="BA719" s="1"/>
      <c r="BB719" s="1" t="s">
        <v>467</v>
      </c>
      <c r="BC719" s="1" t="s">
        <v>1065</v>
      </c>
      <c r="BD719" s="1" t="s">
        <v>549</v>
      </c>
      <c r="BE719" s="1">
        <v>71.9</v>
      </c>
      <c r="BF719" s="1">
        <v>7.94</v>
      </c>
      <c r="BG719" s="1"/>
      <c r="BH719" s="1"/>
      <c r="BI719" s="1"/>
      <c r="BJ719" s="1"/>
      <c r="BK719" s="1"/>
      <c r="BL719" s="1"/>
      <c r="BM719" s="1"/>
      <c r="BN719" s="1"/>
      <c r="BO719" s="1" t="s">
        <v>13436</v>
      </c>
      <c r="BP719" s="1" t="s">
        <v>13437</v>
      </c>
      <c r="BQ719" s="1" t="s">
        <v>1849</v>
      </c>
      <c r="BR719" s="1" t="s">
        <v>13438</v>
      </c>
      <c r="BS719" s="1">
        <v>8</v>
      </c>
      <c r="BT719" s="1"/>
      <c r="BU719" s="1" t="str">
        <f>HYPERLINK("https://nconnect.nicmar.ac.in/storage/profile/ProfilePhoto_P25700725_384512.jpg","Download")</f>
        <v>0</v>
      </c>
      <c r="BV719" s="3"/>
      <c r="BW719" s="4">
        <v>1</v>
      </c>
    </row>
    <row r="720" spans="1:75">
      <c r="A720" s="1" t="s">
        <v>75</v>
      </c>
      <c r="B720" s="1" t="s">
        <v>446</v>
      </c>
      <c r="C720" s="1" t="s">
        <v>13439</v>
      </c>
      <c r="D720" s="1" t="s">
        <v>12637</v>
      </c>
      <c r="E720" s="1" t="s">
        <v>2428</v>
      </c>
      <c r="F720" s="1" t="s">
        <v>5467</v>
      </c>
      <c r="G720" s="1" t="s">
        <v>13440</v>
      </c>
      <c r="H720" s="1" t="s">
        <v>13441</v>
      </c>
      <c r="I720" s="1" t="s">
        <v>13442</v>
      </c>
      <c r="J720" s="1">
        <v>8432321636</v>
      </c>
      <c r="K720" s="1" t="s">
        <v>84</v>
      </c>
      <c r="L720" s="1" t="s">
        <v>3550</v>
      </c>
      <c r="M720" s="1" t="s">
        <v>86</v>
      </c>
      <c r="N720" s="1" t="s">
        <v>618</v>
      </c>
      <c r="O720" s="1"/>
      <c r="P720" s="1" t="s">
        <v>481</v>
      </c>
      <c r="Q720" s="1" t="s">
        <v>13443</v>
      </c>
      <c r="R720" s="1" t="s">
        <v>13444</v>
      </c>
      <c r="S720" s="1">
        <v>9860461636</v>
      </c>
      <c r="T720" s="1" t="s">
        <v>1413</v>
      </c>
      <c r="U720" s="1" t="s">
        <v>13445</v>
      </c>
      <c r="V720" s="1">
        <v>9860203052</v>
      </c>
      <c r="W720" s="1" t="s">
        <v>161</v>
      </c>
      <c r="X720" s="1" t="s">
        <v>13446</v>
      </c>
      <c r="Y720" s="1" t="s">
        <v>1033</v>
      </c>
      <c r="Z720" s="1" t="s">
        <v>97</v>
      </c>
      <c r="AA720" s="1" t="s">
        <v>13446</v>
      </c>
      <c r="AB720" s="1" t="s">
        <v>1033</v>
      </c>
      <c r="AC720" s="1" t="s">
        <v>97</v>
      </c>
      <c r="AD720" s="1">
        <v>7.72</v>
      </c>
      <c r="AE720" s="1" t="s">
        <v>98</v>
      </c>
      <c r="AF720" s="1" t="s">
        <v>13447</v>
      </c>
      <c r="AG720" s="1" t="s">
        <v>1968</v>
      </c>
      <c r="AH720" s="1" t="s">
        <v>106</v>
      </c>
      <c r="AI720" s="1" t="s">
        <v>438</v>
      </c>
      <c r="AJ720" s="1">
        <v>69.4</v>
      </c>
      <c r="AK720" s="1"/>
      <c r="AL720" s="1"/>
      <c r="AM720" s="1"/>
      <c r="AN720" s="1"/>
      <c r="AO720" s="1"/>
      <c r="AP720" s="1"/>
      <c r="AQ720" s="1"/>
      <c r="AR720" s="1"/>
      <c r="AS720" s="1" t="s">
        <v>439</v>
      </c>
      <c r="AT720" s="1" t="s">
        <v>13448</v>
      </c>
      <c r="AU720" s="1" t="s">
        <v>206</v>
      </c>
      <c r="AV720" s="1" t="s">
        <v>1825</v>
      </c>
      <c r="AW720" s="1">
        <v>72.37</v>
      </c>
      <c r="AX720" s="1"/>
      <c r="AY720" s="1" t="s">
        <v>366</v>
      </c>
      <c r="AZ720" s="1" t="s">
        <v>13449</v>
      </c>
      <c r="BA720" s="1"/>
      <c r="BB720" s="1"/>
      <c r="BC720" s="1" t="s">
        <v>2765</v>
      </c>
      <c r="BD720" s="1" t="s">
        <v>848</v>
      </c>
      <c r="BE720" s="1">
        <v>60.52</v>
      </c>
      <c r="BF720" s="1">
        <v>6.8</v>
      </c>
      <c r="BG720" s="1"/>
      <c r="BH720" s="1"/>
      <c r="BI720" s="1"/>
      <c r="BJ720" s="1"/>
      <c r="BK720" s="1"/>
      <c r="BL720" s="1"/>
      <c r="BM720" s="1"/>
      <c r="BN720" s="1"/>
      <c r="BO720" s="1" t="s">
        <v>1114</v>
      </c>
      <c r="BP720" s="1"/>
      <c r="BQ720" s="1"/>
      <c r="BR720" s="1" t="s">
        <v>13450</v>
      </c>
      <c r="BS720" s="1">
        <v>13</v>
      </c>
      <c r="BT720" s="1"/>
      <c r="BU720" s="1" t="str">
        <f>HYPERLINK("https://nconnect.nicmar.ac.in/storage/profile/ProfilePhoto_P25700727_591248.jpg","Download")</f>
        <v>0</v>
      </c>
      <c r="BV720" s="3"/>
      <c r="BW720" s="3"/>
    </row>
    <row r="721" spans="1:75">
      <c r="A721" s="1" t="s">
        <v>75</v>
      </c>
      <c r="B721" s="1" t="s">
        <v>446</v>
      </c>
      <c r="C721" s="1" t="s">
        <v>13451</v>
      </c>
      <c r="D721" s="1" t="s">
        <v>13452</v>
      </c>
      <c r="E721" s="1" t="s">
        <v>13453</v>
      </c>
      <c r="F721" s="1" t="s">
        <v>13454</v>
      </c>
      <c r="G721" s="1" t="s">
        <v>13455</v>
      </c>
      <c r="H721" s="1" t="s">
        <v>13456</v>
      </c>
      <c r="I721" s="1" t="s">
        <v>13457</v>
      </c>
      <c r="J721" s="1">
        <v>9404523678</v>
      </c>
      <c r="K721" s="1" t="s">
        <v>153</v>
      </c>
      <c r="L721" s="1" t="s">
        <v>7943</v>
      </c>
      <c r="M721" s="1" t="s">
        <v>86</v>
      </c>
      <c r="N721" s="1" t="s">
        <v>4278</v>
      </c>
      <c r="O721" s="1"/>
      <c r="P721" s="1" t="s">
        <v>455</v>
      </c>
      <c r="Q721" s="1" t="s">
        <v>13458</v>
      </c>
      <c r="R721" s="1" t="s">
        <v>13459</v>
      </c>
      <c r="S721" s="1">
        <v>9823203559</v>
      </c>
      <c r="T721" s="1" t="s">
        <v>926</v>
      </c>
      <c r="U721" s="1" t="s">
        <v>13460</v>
      </c>
      <c r="V721" s="1">
        <v>9823047628</v>
      </c>
      <c r="W721" s="1" t="s">
        <v>161</v>
      </c>
      <c r="X721" s="1" t="s">
        <v>13461</v>
      </c>
      <c r="Y721" s="1" t="s">
        <v>196</v>
      </c>
      <c r="Z721" s="1" t="s">
        <v>97</v>
      </c>
      <c r="AA721" s="1" t="s">
        <v>13462</v>
      </c>
      <c r="AB721" s="1" t="s">
        <v>5083</v>
      </c>
      <c r="AC721" s="1" t="s">
        <v>97</v>
      </c>
      <c r="AD721" s="1">
        <v>8.85</v>
      </c>
      <c r="AE721" s="1" t="s">
        <v>98</v>
      </c>
      <c r="AF721" s="1" t="s">
        <v>13463</v>
      </c>
      <c r="AG721" s="1" t="s">
        <v>13464</v>
      </c>
      <c r="AH721" s="1" t="s">
        <v>573</v>
      </c>
      <c r="AI721" s="1" t="s">
        <v>171</v>
      </c>
      <c r="AJ721" s="1">
        <v>70.4</v>
      </c>
      <c r="AK721" s="1"/>
      <c r="AL721" s="1" t="s">
        <v>13465</v>
      </c>
      <c r="AM721" s="1" t="s">
        <v>13464</v>
      </c>
      <c r="AN721" s="1"/>
      <c r="AO721" s="1" t="s">
        <v>438</v>
      </c>
      <c r="AP721" s="1" t="s">
        <v>178</v>
      </c>
      <c r="AQ721" s="1">
        <v>72</v>
      </c>
      <c r="AR721" s="1"/>
      <c r="AS721" s="1"/>
      <c r="AT721" s="1"/>
      <c r="AU721" s="1"/>
      <c r="AV721" s="1"/>
      <c r="AW721" s="1"/>
      <c r="AX721" s="1"/>
      <c r="AY721" s="1" t="s">
        <v>13466</v>
      </c>
      <c r="AZ721" s="1" t="s">
        <v>13467</v>
      </c>
      <c r="BA721" s="1"/>
      <c r="BB721" s="1"/>
      <c r="BC721" s="1" t="s">
        <v>233</v>
      </c>
      <c r="BD721" s="1" t="s">
        <v>848</v>
      </c>
      <c r="BE721" s="1">
        <v>61.2</v>
      </c>
      <c r="BF721" s="1">
        <v>6.87</v>
      </c>
      <c r="BG721" s="1"/>
      <c r="BH721" s="1"/>
      <c r="BI721" s="1"/>
      <c r="BJ721" s="1"/>
      <c r="BK721" s="1"/>
      <c r="BL721" s="1"/>
      <c r="BM721" s="1"/>
      <c r="BN721" s="1"/>
      <c r="BO721" s="1" t="s">
        <v>13468</v>
      </c>
      <c r="BP721" s="1"/>
      <c r="BQ721" s="1"/>
      <c r="BR721" s="1" t="s">
        <v>13469</v>
      </c>
      <c r="BS721" s="1">
        <v>25</v>
      </c>
      <c r="BT721" s="1"/>
      <c r="BU721" s="1" t="str">
        <f>HYPERLINK("https://nconnect.nicmar.ac.in/storage/profile/ProfilePhoto_P25700729_957261.jpg","Download")</f>
        <v>0</v>
      </c>
      <c r="BV721" s="3"/>
      <c r="BW721" s="3"/>
    </row>
    <row r="722" spans="1:75">
      <c r="A722" s="1" t="s">
        <v>75</v>
      </c>
      <c r="B722" s="1" t="s">
        <v>446</v>
      </c>
      <c r="C722" s="1" t="s">
        <v>13470</v>
      </c>
      <c r="D722" s="1" t="s">
        <v>13471</v>
      </c>
      <c r="E722" s="1" t="s">
        <v>13472</v>
      </c>
      <c r="F722" s="1" t="s">
        <v>13473</v>
      </c>
      <c r="G722" s="1" t="s">
        <v>13474</v>
      </c>
      <c r="H722" s="1" t="s">
        <v>13475</v>
      </c>
      <c r="I722" s="1" t="s">
        <v>13476</v>
      </c>
      <c r="J722" s="1">
        <v>9687889891</v>
      </c>
      <c r="K722" s="1" t="s">
        <v>84</v>
      </c>
      <c r="L722" s="1" t="s">
        <v>9615</v>
      </c>
      <c r="M722" s="1" t="s">
        <v>86</v>
      </c>
      <c r="N722" s="1" t="s">
        <v>7185</v>
      </c>
      <c r="O722" s="1"/>
      <c r="P722" s="1" t="s">
        <v>481</v>
      </c>
      <c r="Q722" s="1" t="s">
        <v>13477</v>
      </c>
      <c r="R722" s="1" t="s">
        <v>13478</v>
      </c>
      <c r="S722" s="1">
        <v>9825609420</v>
      </c>
      <c r="T722" s="1" t="s">
        <v>839</v>
      </c>
      <c r="U722" s="1" t="s">
        <v>13479</v>
      </c>
      <c r="V722" s="1">
        <v>9825028397</v>
      </c>
      <c r="W722" s="1" t="s">
        <v>161</v>
      </c>
      <c r="X722" s="1" t="s">
        <v>13480</v>
      </c>
      <c r="Y722" s="1" t="s">
        <v>13481</v>
      </c>
      <c r="Z722" s="1" t="s">
        <v>676</v>
      </c>
      <c r="AA722" s="1" t="s">
        <v>13480</v>
      </c>
      <c r="AB722" s="1" t="s">
        <v>13481</v>
      </c>
      <c r="AC722" s="1" t="s">
        <v>676</v>
      </c>
      <c r="AD722" s="1">
        <v>7.9</v>
      </c>
      <c r="AE722" s="1" t="s">
        <v>98</v>
      </c>
      <c r="AF722" s="1" t="s">
        <v>13482</v>
      </c>
      <c r="AG722" s="1" t="s">
        <v>13483</v>
      </c>
      <c r="AH722" s="1" t="s">
        <v>573</v>
      </c>
      <c r="AI722" s="1" t="s">
        <v>171</v>
      </c>
      <c r="AJ722" s="1">
        <v>82.6</v>
      </c>
      <c r="AK722" s="1"/>
      <c r="AL722" s="1" t="s">
        <v>13484</v>
      </c>
      <c r="AM722" s="1" t="s">
        <v>13483</v>
      </c>
      <c r="AN722" s="1"/>
      <c r="AO722" s="1" t="s">
        <v>313</v>
      </c>
      <c r="AP722" s="1" t="s">
        <v>178</v>
      </c>
      <c r="AQ722" s="1">
        <v>69.8</v>
      </c>
      <c r="AR722" s="1"/>
      <c r="AS722" s="1"/>
      <c r="AT722" s="1"/>
      <c r="AU722" s="1"/>
      <c r="AV722" s="1"/>
      <c r="AW722" s="1"/>
      <c r="AX722" s="1"/>
      <c r="AY722" s="1" t="s">
        <v>13485</v>
      </c>
      <c r="AZ722" s="1" t="s">
        <v>13486</v>
      </c>
      <c r="BA722" s="1"/>
      <c r="BB722" s="1"/>
      <c r="BC722" s="1" t="s">
        <v>871</v>
      </c>
      <c r="BD722" s="1" t="s">
        <v>553</v>
      </c>
      <c r="BE722" s="1">
        <v>67.6</v>
      </c>
      <c r="BF722" s="1">
        <v>6.76</v>
      </c>
      <c r="BG722" s="1"/>
      <c r="BH722" s="1"/>
      <c r="BI722" s="1"/>
      <c r="BJ722" s="1"/>
      <c r="BK722" s="1"/>
      <c r="BL722" s="1"/>
      <c r="BM722" s="1"/>
      <c r="BN722" s="1"/>
      <c r="BO722" s="1" t="s">
        <v>849</v>
      </c>
      <c r="BP722" s="1"/>
      <c r="BQ722" s="1"/>
      <c r="BR722" s="1" t="s">
        <v>13487</v>
      </c>
      <c r="BS722" s="1">
        <v>8</v>
      </c>
      <c r="BT722" s="1" t="s">
        <v>13488</v>
      </c>
      <c r="BU722" s="1" t="str">
        <f>HYPERLINK("https://nconnect.nicmar.ac.in/storage/profile/ProfilePhoto_P25700730_295671.jpg","Download")</f>
        <v>0</v>
      </c>
      <c r="BV722" s="3"/>
      <c r="BW722" s="3"/>
    </row>
    <row r="723" spans="1:75">
      <c r="A723" s="1" t="s">
        <v>75</v>
      </c>
      <c r="B723" s="1" t="s">
        <v>446</v>
      </c>
      <c r="C723" s="1" t="s">
        <v>13489</v>
      </c>
      <c r="D723" s="1" t="s">
        <v>13490</v>
      </c>
      <c r="E723" s="1"/>
      <c r="F723" s="1" t="s">
        <v>13491</v>
      </c>
      <c r="G723" s="1" t="s">
        <v>13492</v>
      </c>
      <c r="H723" s="1" t="s">
        <v>13493</v>
      </c>
      <c r="I723" s="1" t="s">
        <v>13494</v>
      </c>
      <c r="J723" s="1">
        <v>9110683371</v>
      </c>
      <c r="K723" s="1" t="s">
        <v>84</v>
      </c>
      <c r="L723" s="1" t="s">
        <v>13495</v>
      </c>
      <c r="M723" s="1" t="s">
        <v>86</v>
      </c>
      <c r="N723" s="1" t="s">
        <v>13496</v>
      </c>
      <c r="O723" s="1"/>
      <c r="P723" s="1" t="s">
        <v>481</v>
      </c>
      <c r="Q723" s="1" t="s">
        <v>13497</v>
      </c>
      <c r="R723" s="1" t="s">
        <v>13498</v>
      </c>
      <c r="S723" s="1">
        <v>8453273495</v>
      </c>
      <c r="T723" s="1" t="s">
        <v>13499</v>
      </c>
      <c r="U723" s="1" t="s">
        <v>13500</v>
      </c>
      <c r="V723" s="1">
        <v>9148260681</v>
      </c>
      <c r="W723" s="1" t="s">
        <v>278</v>
      </c>
      <c r="X723" s="1" t="s">
        <v>13501</v>
      </c>
      <c r="Y723" s="1" t="s">
        <v>13502</v>
      </c>
      <c r="Z723" s="1" t="s">
        <v>1210</v>
      </c>
      <c r="AA723" s="1" t="s">
        <v>13501</v>
      </c>
      <c r="AB723" s="1" t="s">
        <v>13502</v>
      </c>
      <c r="AC723" s="1" t="s">
        <v>1210</v>
      </c>
      <c r="AD723" s="1">
        <v>8.08</v>
      </c>
      <c r="AE723" s="1" t="s">
        <v>98</v>
      </c>
      <c r="AF723" s="1" t="s">
        <v>13503</v>
      </c>
      <c r="AG723" s="1" t="s">
        <v>13504</v>
      </c>
      <c r="AH723" s="1" t="s">
        <v>101</v>
      </c>
      <c r="AI723" s="1" t="s">
        <v>136</v>
      </c>
      <c r="AJ723" s="1">
        <v>62.33</v>
      </c>
      <c r="AK723" s="1"/>
      <c r="AL723" s="1" t="s">
        <v>13505</v>
      </c>
      <c r="AM723" s="1" t="s">
        <v>3732</v>
      </c>
      <c r="AN723" s="1" t="s">
        <v>575</v>
      </c>
      <c r="AO723" s="1" t="s">
        <v>166</v>
      </c>
      <c r="AP723" s="1" t="s">
        <v>573</v>
      </c>
      <c r="AQ723" s="1">
        <v>71.83</v>
      </c>
      <c r="AR723" s="1"/>
      <c r="AS723" s="1"/>
      <c r="AT723" s="1"/>
      <c r="AU723" s="1"/>
      <c r="AV723" s="1"/>
      <c r="AW723" s="1"/>
      <c r="AX723" s="1"/>
      <c r="AY723" s="1" t="s">
        <v>7595</v>
      </c>
      <c r="AZ723" s="1" t="s">
        <v>13506</v>
      </c>
      <c r="BA723" s="1" t="s">
        <v>466</v>
      </c>
      <c r="BB723" s="1" t="s">
        <v>467</v>
      </c>
      <c r="BC723" s="1" t="s">
        <v>230</v>
      </c>
      <c r="BD723" s="1" t="s">
        <v>549</v>
      </c>
      <c r="BE723" s="1">
        <v>77.8</v>
      </c>
      <c r="BF723" s="1">
        <v>7.78</v>
      </c>
      <c r="BG723" s="1"/>
      <c r="BH723" s="1"/>
      <c r="BI723" s="1"/>
      <c r="BJ723" s="1"/>
      <c r="BK723" s="1"/>
      <c r="BL723" s="1"/>
      <c r="BM723" s="1"/>
      <c r="BN723" s="1"/>
      <c r="BO723" s="1" t="s">
        <v>13507</v>
      </c>
      <c r="BP723" s="1" t="s">
        <v>13508</v>
      </c>
      <c r="BQ723" s="1" t="s">
        <v>4944</v>
      </c>
      <c r="BR723" s="1" t="s">
        <v>13509</v>
      </c>
      <c r="BS723" s="1">
        <v>10</v>
      </c>
      <c r="BT723" s="1" t="s">
        <v>13510</v>
      </c>
      <c r="BU723" s="1" t="str">
        <f>HYPERLINK("https://nconnect.nicmar.ac.in/storage/profile/ProfilePhoto_P25700731_859741.jpg","Download")</f>
        <v>0</v>
      </c>
      <c r="BV723" s="3"/>
      <c r="BW723" s="4">
        <v>1</v>
      </c>
    </row>
    <row r="724" spans="1:75">
      <c r="A724" s="1" t="s">
        <v>75</v>
      </c>
      <c r="B724" s="1" t="s">
        <v>446</v>
      </c>
      <c r="C724" s="1" t="s">
        <v>13511</v>
      </c>
      <c r="D724" s="1" t="s">
        <v>13512</v>
      </c>
      <c r="E724" s="1" t="s">
        <v>1319</v>
      </c>
      <c r="F724" s="1" t="s">
        <v>5668</v>
      </c>
      <c r="G724" s="1" t="s">
        <v>13513</v>
      </c>
      <c r="H724" s="1" t="s">
        <v>13514</v>
      </c>
      <c r="I724" s="1" t="s">
        <v>13515</v>
      </c>
      <c r="J724" s="1">
        <v>9082473497</v>
      </c>
      <c r="K724" s="1" t="s">
        <v>84</v>
      </c>
      <c r="L724" s="1" t="s">
        <v>10833</v>
      </c>
      <c r="M724" s="1" t="s">
        <v>86</v>
      </c>
      <c r="N724" s="1" t="s">
        <v>13516</v>
      </c>
      <c r="O724" s="1"/>
      <c r="P724" s="1" t="s">
        <v>455</v>
      </c>
      <c r="Q724" s="1" t="s">
        <v>13517</v>
      </c>
      <c r="R724" s="1" t="s">
        <v>5668</v>
      </c>
      <c r="S724" s="1">
        <v>9594154201</v>
      </c>
      <c r="T724" s="1" t="s">
        <v>839</v>
      </c>
      <c r="U724" s="1" t="s">
        <v>13518</v>
      </c>
      <c r="V724" s="1">
        <v>9324547252</v>
      </c>
      <c r="W724" s="1" t="s">
        <v>8459</v>
      </c>
      <c r="X724" s="1" t="s">
        <v>13519</v>
      </c>
      <c r="Y724" s="1" t="s">
        <v>1012</v>
      </c>
      <c r="Z724" s="1" t="s">
        <v>97</v>
      </c>
      <c r="AA724" s="1" t="s">
        <v>13519</v>
      </c>
      <c r="AB724" s="1" t="s">
        <v>1012</v>
      </c>
      <c r="AC724" s="1" t="s">
        <v>97</v>
      </c>
      <c r="AD724" s="1">
        <v>7.28</v>
      </c>
      <c r="AE724" s="1" t="s">
        <v>98</v>
      </c>
      <c r="AF724" s="1" t="s">
        <v>13520</v>
      </c>
      <c r="AG724" s="1" t="s">
        <v>13521</v>
      </c>
      <c r="AH724" s="1" t="s">
        <v>3285</v>
      </c>
      <c r="AI724" s="1" t="s">
        <v>200</v>
      </c>
      <c r="AJ724" s="1">
        <v>63.8</v>
      </c>
      <c r="AK724" s="1"/>
      <c r="AL724" s="1"/>
      <c r="AM724" s="1"/>
      <c r="AN724" s="1"/>
      <c r="AO724" s="1"/>
      <c r="AP724" s="1"/>
      <c r="AQ724" s="1"/>
      <c r="AR724" s="1"/>
      <c r="AS724" s="1" t="s">
        <v>10841</v>
      </c>
      <c r="AT724" s="1" t="s">
        <v>13522</v>
      </c>
      <c r="AU724" s="1" t="s">
        <v>388</v>
      </c>
      <c r="AV724" s="1" t="s">
        <v>233</v>
      </c>
      <c r="AW724" s="1">
        <v>88.21</v>
      </c>
      <c r="AX724" s="1"/>
      <c r="AY724" s="1" t="s">
        <v>680</v>
      </c>
      <c r="AZ724" s="1" t="s">
        <v>13523</v>
      </c>
      <c r="BA724" s="1"/>
      <c r="BB724" s="1"/>
      <c r="BC724" s="1" t="s">
        <v>368</v>
      </c>
      <c r="BD724" s="1" t="s">
        <v>179</v>
      </c>
      <c r="BE724" s="1">
        <v>74.28</v>
      </c>
      <c r="BF724" s="1"/>
      <c r="BG724" s="1"/>
      <c r="BH724" s="1"/>
      <c r="BI724" s="1"/>
      <c r="BJ724" s="1"/>
      <c r="BK724" s="1"/>
      <c r="BL724" s="1"/>
      <c r="BM724" s="1"/>
      <c r="BN724" s="1"/>
      <c r="BO724" s="1" t="s">
        <v>5787</v>
      </c>
      <c r="BP724" s="1" t="s">
        <v>13524</v>
      </c>
      <c r="BQ724" s="1" t="s">
        <v>2213</v>
      </c>
      <c r="BR724" s="1" t="s">
        <v>13525</v>
      </c>
      <c r="BS724" s="1">
        <v>18</v>
      </c>
      <c r="BT724" s="1"/>
      <c r="BU724" s="1" t="str">
        <f>HYPERLINK("https://nconnect.nicmar.ac.in/storage/profile/ProfilePhoto_P25700732_983572.jpg","Download")</f>
        <v>0</v>
      </c>
      <c r="BV724" s="3"/>
      <c r="BW724" s="3"/>
    </row>
    <row r="725" spans="1:75">
      <c r="A725" s="1" t="s">
        <v>75</v>
      </c>
      <c r="B725" s="1" t="s">
        <v>446</v>
      </c>
      <c r="C725" s="1" t="s">
        <v>13526</v>
      </c>
      <c r="D725" s="1" t="s">
        <v>13527</v>
      </c>
      <c r="E725" s="1" t="s">
        <v>149</v>
      </c>
      <c r="F725" s="1" t="s">
        <v>13528</v>
      </c>
      <c r="G725" s="1" t="s">
        <v>13529</v>
      </c>
      <c r="H725" s="1" t="s">
        <v>13530</v>
      </c>
      <c r="I725" s="1" t="s">
        <v>13531</v>
      </c>
      <c r="J725" s="1">
        <v>9284971811</v>
      </c>
      <c r="K725" s="1" t="s">
        <v>84</v>
      </c>
      <c r="L725" s="1" t="s">
        <v>3146</v>
      </c>
      <c r="M725" s="1" t="s">
        <v>86</v>
      </c>
      <c r="N725" s="1" t="s">
        <v>5370</v>
      </c>
      <c r="O725" s="1"/>
      <c r="P725" s="1" t="s">
        <v>455</v>
      </c>
      <c r="Q725" s="1" t="s">
        <v>13532</v>
      </c>
      <c r="R725" s="1" t="s">
        <v>13533</v>
      </c>
      <c r="S725" s="1">
        <v>9823162652</v>
      </c>
      <c r="T725" s="1" t="s">
        <v>13534</v>
      </c>
      <c r="U725" s="1" t="s">
        <v>13535</v>
      </c>
      <c r="V725" s="1">
        <v>8806536869</v>
      </c>
      <c r="W725" s="1" t="s">
        <v>13534</v>
      </c>
      <c r="X725" s="1" t="s">
        <v>13536</v>
      </c>
      <c r="Y725" s="1" t="s">
        <v>7911</v>
      </c>
      <c r="Z725" s="1" t="s">
        <v>97</v>
      </c>
      <c r="AA725" s="1" t="s">
        <v>13536</v>
      </c>
      <c r="AB725" s="1" t="s">
        <v>7911</v>
      </c>
      <c r="AC725" s="1" t="s">
        <v>97</v>
      </c>
      <c r="AD725" s="1">
        <v>7.97</v>
      </c>
      <c r="AE725" s="1" t="s">
        <v>98</v>
      </c>
      <c r="AF725" s="1" t="s">
        <v>13537</v>
      </c>
      <c r="AG725" s="1" t="s">
        <v>165</v>
      </c>
      <c r="AH725" s="1" t="s">
        <v>106</v>
      </c>
      <c r="AI725" s="1" t="s">
        <v>438</v>
      </c>
      <c r="AJ725" s="1">
        <v>86.2</v>
      </c>
      <c r="AK725" s="1"/>
      <c r="AL725" s="1" t="s">
        <v>13538</v>
      </c>
      <c r="AM725" s="1" t="s">
        <v>165</v>
      </c>
      <c r="AN725" s="1" t="s">
        <v>575</v>
      </c>
      <c r="AO725" s="1" t="s">
        <v>468</v>
      </c>
      <c r="AP725" s="1" t="s">
        <v>847</v>
      </c>
      <c r="AQ725" s="1">
        <v>91.33</v>
      </c>
      <c r="AR725" s="1"/>
      <c r="AS725" s="1"/>
      <c r="AT725" s="1"/>
      <c r="AU725" s="1"/>
      <c r="AV725" s="1"/>
      <c r="AW725" s="1"/>
      <c r="AX725" s="1"/>
      <c r="AY725" s="1" t="s">
        <v>366</v>
      </c>
      <c r="AZ725" s="1" t="s">
        <v>13539</v>
      </c>
      <c r="BA725" s="1" t="s">
        <v>578</v>
      </c>
      <c r="BB725" s="1" t="s">
        <v>467</v>
      </c>
      <c r="BC725" s="1" t="s">
        <v>871</v>
      </c>
      <c r="BD725" s="1" t="s">
        <v>848</v>
      </c>
      <c r="BE725" s="1">
        <v>63.09</v>
      </c>
      <c r="BF725" s="1">
        <v>7.18</v>
      </c>
      <c r="BG725" s="1"/>
      <c r="BH725" s="1"/>
      <c r="BI725" s="1"/>
      <c r="BJ725" s="1"/>
      <c r="BK725" s="1"/>
      <c r="BL725" s="1"/>
      <c r="BM725" s="1"/>
      <c r="BN725" s="1"/>
      <c r="BO725" s="1" t="s">
        <v>6132</v>
      </c>
      <c r="BP725" s="1"/>
      <c r="BQ725" s="1"/>
      <c r="BR725" s="1" t="s">
        <v>13540</v>
      </c>
      <c r="BS725" s="1">
        <v>10</v>
      </c>
      <c r="BT725" s="1" t="s">
        <v>849</v>
      </c>
      <c r="BU725" s="1" t="str">
        <f>HYPERLINK("https://nconnect.nicmar.ac.in/storage/profile/ProfilePhoto_P25700733_564197.jpg","Download")</f>
        <v>0</v>
      </c>
      <c r="BV725" s="3"/>
      <c r="BW725" s="3"/>
    </row>
    <row r="726" spans="1:75">
      <c r="A726" s="1" t="s">
        <v>75</v>
      </c>
      <c r="B726" s="1" t="s">
        <v>446</v>
      </c>
      <c r="C726" s="1" t="s">
        <v>13541</v>
      </c>
      <c r="D726" s="1" t="s">
        <v>13542</v>
      </c>
      <c r="E726" s="1"/>
      <c r="F726" s="1" t="s">
        <v>1320</v>
      </c>
      <c r="G726" s="1" t="s">
        <v>13543</v>
      </c>
      <c r="H726" s="1" t="s">
        <v>13544</v>
      </c>
      <c r="I726" s="1" t="s">
        <v>13545</v>
      </c>
      <c r="J726" s="1">
        <v>7530000295</v>
      </c>
      <c r="K726" s="1" t="s">
        <v>84</v>
      </c>
      <c r="L726" s="1" t="s">
        <v>13546</v>
      </c>
      <c r="M726" s="1" t="s">
        <v>86</v>
      </c>
      <c r="N726" s="1" t="s">
        <v>13547</v>
      </c>
      <c r="O726" s="1" t="s">
        <v>13548</v>
      </c>
      <c r="P726" s="1" t="s">
        <v>219</v>
      </c>
      <c r="Q726" s="1" t="s">
        <v>13549</v>
      </c>
      <c r="R726" s="1" t="s">
        <v>13550</v>
      </c>
      <c r="S726" s="1">
        <v>9801086376</v>
      </c>
      <c r="T726" s="1" t="s">
        <v>13551</v>
      </c>
      <c r="U726" s="1" t="s">
        <v>13552</v>
      </c>
      <c r="V726" s="1">
        <v>8252292956</v>
      </c>
      <c r="W726" s="1" t="s">
        <v>13553</v>
      </c>
      <c r="X726" s="1" t="s">
        <v>13554</v>
      </c>
      <c r="Y726" s="1" t="s">
        <v>2200</v>
      </c>
      <c r="Z726" s="1" t="s">
        <v>649</v>
      </c>
      <c r="AA726" s="1" t="s">
        <v>13554</v>
      </c>
      <c r="AB726" s="1" t="s">
        <v>2200</v>
      </c>
      <c r="AC726" s="1" t="s">
        <v>649</v>
      </c>
      <c r="AD726" s="1">
        <v>9.15</v>
      </c>
      <c r="AE726" s="1" t="s">
        <v>98</v>
      </c>
      <c r="AF726" s="1" t="s">
        <v>13555</v>
      </c>
      <c r="AG726" s="1" t="s">
        <v>13556</v>
      </c>
      <c r="AH726" s="1" t="s">
        <v>133</v>
      </c>
      <c r="AI726" s="1" t="s">
        <v>1213</v>
      </c>
      <c r="AJ726" s="1">
        <v>78.6</v>
      </c>
      <c r="AK726" s="1"/>
      <c r="AL726" s="1" t="s">
        <v>13557</v>
      </c>
      <c r="AM726" s="1" t="s">
        <v>13556</v>
      </c>
      <c r="AN726" s="1" t="s">
        <v>465</v>
      </c>
      <c r="AO726" s="1" t="s">
        <v>1213</v>
      </c>
      <c r="AP726" s="1" t="s">
        <v>136</v>
      </c>
      <c r="AQ726" s="1">
        <v>71.2</v>
      </c>
      <c r="AR726" s="1"/>
      <c r="AS726" s="1"/>
      <c r="AT726" s="1"/>
      <c r="AU726" s="1"/>
      <c r="AV726" s="1"/>
      <c r="AW726" s="1"/>
      <c r="AX726" s="1"/>
      <c r="AY726" s="1" t="s">
        <v>13558</v>
      </c>
      <c r="AZ726" s="1" t="s">
        <v>13559</v>
      </c>
      <c r="BA726" s="1" t="s">
        <v>466</v>
      </c>
      <c r="BB726" s="1" t="s">
        <v>467</v>
      </c>
      <c r="BC726" s="1" t="s">
        <v>167</v>
      </c>
      <c r="BD726" s="1" t="s">
        <v>468</v>
      </c>
      <c r="BE726" s="1">
        <v>83.7</v>
      </c>
      <c r="BF726" s="1">
        <v>8.37</v>
      </c>
      <c r="BG726" s="1"/>
      <c r="BH726" s="1"/>
      <c r="BI726" s="1"/>
      <c r="BJ726" s="1"/>
      <c r="BK726" s="1"/>
      <c r="BL726" s="1"/>
      <c r="BM726" s="1"/>
      <c r="BN726" s="1"/>
      <c r="BO726" s="1" t="s">
        <v>13560</v>
      </c>
      <c r="BP726" s="1" t="s">
        <v>13561</v>
      </c>
      <c r="BQ726" s="1" t="s">
        <v>13562</v>
      </c>
      <c r="BR726" s="1" t="s">
        <v>13563</v>
      </c>
      <c r="BS726" s="1">
        <v>13</v>
      </c>
      <c r="BT726" s="1" t="s">
        <v>13564</v>
      </c>
      <c r="BU726" s="1" t="str">
        <f>HYPERLINK("https://nconnect.nicmar.ac.in/storage/profile/ProfilePhoto_P25700734_648325.jpg","Download")</f>
        <v>0</v>
      </c>
      <c r="BV726" s="3"/>
      <c r="BW726" s="3"/>
    </row>
    <row r="727" spans="1:75">
      <c r="A727" s="1" t="s">
        <v>75</v>
      </c>
      <c r="B727" s="1" t="s">
        <v>446</v>
      </c>
      <c r="C727" s="1" t="s">
        <v>13565</v>
      </c>
      <c r="D727" s="1" t="s">
        <v>358</v>
      </c>
      <c r="E727" s="1"/>
      <c r="F727" s="1" t="s">
        <v>13566</v>
      </c>
      <c r="G727" s="1" t="s">
        <v>13567</v>
      </c>
      <c r="H727" s="1" t="s">
        <v>13568</v>
      </c>
      <c r="I727" s="1" t="s">
        <v>13569</v>
      </c>
      <c r="J727" s="1">
        <v>9009499412</v>
      </c>
      <c r="K727" s="1" t="s">
        <v>153</v>
      </c>
      <c r="L727" s="1" t="s">
        <v>5234</v>
      </c>
      <c r="M727" s="1" t="s">
        <v>86</v>
      </c>
      <c r="N727" s="1" t="s">
        <v>13570</v>
      </c>
      <c r="O727" s="1"/>
      <c r="P727" s="1" t="s">
        <v>507</v>
      </c>
      <c r="Q727" s="1" t="s">
        <v>13571</v>
      </c>
      <c r="R727" s="1" t="s">
        <v>13572</v>
      </c>
      <c r="S727" s="1">
        <v>9425075619</v>
      </c>
      <c r="T727" s="1" t="s">
        <v>13573</v>
      </c>
      <c r="U727" s="1" t="s">
        <v>13574</v>
      </c>
      <c r="V727" s="1">
        <v>9424073297</v>
      </c>
      <c r="W727" s="1" t="s">
        <v>161</v>
      </c>
      <c r="X727" s="1" t="s">
        <v>13575</v>
      </c>
      <c r="Y727" s="1" t="s">
        <v>5641</v>
      </c>
      <c r="Z727" s="1" t="s">
        <v>3419</v>
      </c>
      <c r="AA727" s="1" t="s">
        <v>13575</v>
      </c>
      <c r="AB727" s="1" t="s">
        <v>5641</v>
      </c>
      <c r="AC727" s="1" t="s">
        <v>3419</v>
      </c>
      <c r="AD727" s="1">
        <v>8.59</v>
      </c>
      <c r="AE727" s="1" t="s">
        <v>98</v>
      </c>
      <c r="AF727" s="1" t="s">
        <v>13576</v>
      </c>
      <c r="AG727" s="1" t="s">
        <v>312</v>
      </c>
      <c r="AH727" s="1" t="s">
        <v>284</v>
      </c>
      <c r="AI727" s="1" t="s">
        <v>170</v>
      </c>
      <c r="AJ727" s="1">
        <v>95</v>
      </c>
      <c r="AK727" s="1">
        <v>10</v>
      </c>
      <c r="AL727" s="1" t="s">
        <v>13577</v>
      </c>
      <c r="AM727" s="1" t="s">
        <v>312</v>
      </c>
      <c r="AN727" s="1"/>
      <c r="AO727" s="1" t="s">
        <v>490</v>
      </c>
      <c r="AP727" s="1" t="s">
        <v>313</v>
      </c>
      <c r="AQ727" s="1">
        <v>76.4</v>
      </c>
      <c r="AR727" s="1">
        <v>0</v>
      </c>
      <c r="AS727" s="1"/>
      <c r="AT727" s="1"/>
      <c r="AU727" s="1"/>
      <c r="AV727" s="1"/>
      <c r="AW727" s="1"/>
      <c r="AX727" s="1"/>
      <c r="AY727" s="1" t="s">
        <v>5224</v>
      </c>
      <c r="AZ727" s="1" t="s">
        <v>13578</v>
      </c>
      <c r="BA727" s="1"/>
      <c r="BB727" s="1"/>
      <c r="BC727" s="1" t="s">
        <v>206</v>
      </c>
      <c r="BD727" s="1" t="s">
        <v>207</v>
      </c>
      <c r="BE727" s="1">
        <v>77.6</v>
      </c>
      <c r="BF727" s="1">
        <v>7.76</v>
      </c>
      <c r="BG727" s="1"/>
      <c r="BH727" s="1"/>
      <c r="BI727" s="1"/>
      <c r="BJ727" s="1"/>
      <c r="BK727" s="1"/>
      <c r="BL727" s="1"/>
      <c r="BM727" s="1"/>
      <c r="BN727" s="1"/>
      <c r="BO727" s="1" t="s">
        <v>13579</v>
      </c>
      <c r="BP727" s="1" t="s">
        <v>13580</v>
      </c>
      <c r="BQ727" s="1" t="s">
        <v>4149</v>
      </c>
      <c r="BR727" s="1" t="s">
        <v>13581</v>
      </c>
      <c r="BS727" s="1">
        <v>33</v>
      </c>
      <c r="BT727" s="1"/>
      <c r="BU727" s="1" t="str">
        <f>HYPERLINK("https://nconnect.nicmar.ac.in/storage/profile/ProfilePhoto_P25700735_173845.jpg","Download")</f>
        <v>0</v>
      </c>
      <c r="BV727" s="3"/>
      <c r="BW727" s="3"/>
    </row>
    <row r="728" spans="1:75">
      <c r="A728" s="1" t="s">
        <v>75</v>
      </c>
      <c r="B728" s="1" t="s">
        <v>446</v>
      </c>
      <c r="C728" s="1" t="s">
        <v>13582</v>
      </c>
      <c r="D728" s="1" t="s">
        <v>4820</v>
      </c>
      <c r="E728" s="1" t="s">
        <v>13583</v>
      </c>
      <c r="F728" s="1" t="s">
        <v>13584</v>
      </c>
      <c r="G728" s="1" t="s">
        <v>13585</v>
      </c>
      <c r="H728" s="1" t="s">
        <v>13586</v>
      </c>
      <c r="I728" s="1" t="s">
        <v>13587</v>
      </c>
      <c r="J728" s="1">
        <v>9850488999</v>
      </c>
      <c r="K728" s="1" t="s">
        <v>84</v>
      </c>
      <c r="L728" s="1" t="s">
        <v>13588</v>
      </c>
      <c r="M728" s="1" t="s">
        <v>86</v>
      </c>
      <c r="N728" s="1" t="s">
        <v>903</v>
      </c>
      <c r="O728" s="1"/>
      <c r="P728" s="1" t="s">
        <v>481</v>
      </c>
      <c r="Q728" s="1" t="s">
        <v>13589</v>
      </c>
      <c r="R728" s="1" t="s">
        <v>13590</v>
      </c>
      <c r="S728" s="1">
        <v>9422087715</v>
      </c>
      <c r="T728" s="1" t="s">
        <v>13591</v>
      </c>
      <c r="U728" s="1" t="s">
        <v>13592</v>
      </c>
      <c r="V728" s="1">
        <v>9422087716</v>
      </c>
      <c r="W728" s="1" t="s">
        <v>161</v>
      </c>
      <c r="X728" s="1" t="s">
        <v>13593</v>
      </c>
      <c r="Y728" s="1" t="s">
        <v>2259</v>
      </c>
      <c r="Z728" s="1" t="s">
        <v>97</v>
      </c>
      <c r="AA728" s="1" t="s">
        <v>13593</v>
      </c>
      <c r="AB728" s="1" t="s">
        <v>2259</v>
      </c>
      <c r="AC728" s="1" t="s">
        <v>97</v>
      </c>
      <c r="AD728" s="1">
        <v>7.72</v>
      </c>
      <c r="AE728" s="1" t="s">
        <v>98</v>
      </c>
      <c r="AF728" s="1" t="s">
        <v>13594</v>
      </c>
      <c r="AG728" s="1" t="s">
        <v>13595</v>
      </c>
      <c r="AH728" s="1" t="s">
        <v>3421</v>
      </c>
      <c r="AI728" s="1" t="s">
        <v>1262</v>
      </c>
      <c r="AJ728" s="1">
        <v>77.9</v>
      </c>
      <c r="AK728" s="1">
        <v>8.2</v>
      </c>
      <c r="AL728" s="1" t="s">
        <v>13596</v>
      </c>
      <c r="AM728" s="1" t="s">
        <v>13597</v>
      </c>
      <c r="AN728" s="1"/>
      <c r="AO728" s="1" t="s">
        <v>136</v>
      </c>
      <c r="AP728" s="1" t="s">
        <v>627</v>
      </c>
      <c r="AQ728" s="1">
        <v>62.2</v>
      </c>
      <c r="AR728" s="1"/>
      <c r="AS728" s="1"/>
      <c r="AT728" s="1"/>
      <c r="AU728" s="1"/>
      <c r="AV728" s="1"/>
      <c r="AW728" s="1"/>
      <c r="AX728" s="1"/>
      <c r="AY728" s="1" t="s">
        <v>258</v>
      </c>
      <c r="AZ728" s="1" t="s">
        <v>13598</v>
      </c>
      <c r="BA728" s="1"/>
      <c r="BB728" s="1"/>
      <c r="BC728" s="1" t="s">
        <v>1396</v>
      </c>
      <c r="BD728" s="1" t="s">
        <v>549</v>
      </c>
      <c r="BE728" s="1">
        <v>62.74</v>
      </c>
      <c r="BF728" s="1"/>
      <c r="BG728" s="1"/>
      <c r="BH728" s="1"/>
      <c r="BI728" s="1"/>
      <c r="BJ728" s="1"/>
      <c r="BK728" s="1"/>
      <c r="BL728" s="1"/>
      <c r="BM728" s="1"/>
      <c r="BN728" s="1"/>
      <c r="BO728" s="1" t="s">
        <v>1890</v>
      </c>
      <c r="BP728" s="1"/>
      <c r="BQ728" s="1"/>
      <c r="BR728" s="1" t="s">
        <v>13599</v>
      </c>
      <c r="BS728" s="1">
        <v>12</v>
      </c>
      <c r="BT728" s="1"/>
      <c r="BU728" s="1" t="str">
        <f>HYPERLINK("https://nconnect.nicmar.ac.in/storage/profile/ProfilePhoto_P25700736_278395.jpg","Download")</f>
        <v>0</v>
      </c>
      <c r="BV728" s="3"/>
      <c r="BW728" s="3"/>
    </row>
    <row r="729" spans="1:75">
      <c r="A729" s="1" t="s">
        <v>75</v>
      </c>
      <c r="B729" s="1" t="s">
        <v>446</v>
      </c>
      <c r="C729" s="1" t="s">
        <v>13600</v>
      </c>
      <c r="D729" s="1" t="s">
        <v>148</v>
      </c>
      <c r="E729" s="1" t="s">
        <v>13601</v>
      </c>
      <c r="F729" s="1" t="s">
        <v>13602</v>
      </c>
      <c r="G729" s="1" t="s">
        <v>13603</v>
      </c>
      <c r="H729" s="1" t="s">
        <v>13604</v>
      </c>
      <c r="I729" s="1" t="s">
        <v>13605</v>
      </c>
      <c r="J729" s="1">
        <v>9284278147</v>
      </c>
      <c r="K729" s="1" t="s">
        <v>153</v>
      </c>
      <c r="L729" s="1" t="s">
        <v>13606</v>
      </c>
      <c r="M729" s="1" t="s">
        <v>86</v>
      </c>
      <c r="N729" s="1" t="s">
        <v>13607</v>
      </c>
      <c r="O729" s="1"/>
      <c r="P729" s="1" t="s">
        <v>481</v>
      </c>
      <c r="Q729" s="1" t="s">
        <v>13608</v>
      </c>
      <c r="R729" s="1" t="s">
        <v>13601</v>
      </c>
      <c r="S729" s="1">
        <v>7972058735</v>
      </c>
      <c r="T729" s="1" t="s">
        <v>645</v>
      </c>
      <c r="U729" s="1" t="s">
        <v>13228</v>
      </c>
      <c r="V729" s="1">
        <v>9156795657</v>
      </c>
      <c r="W729" s="1" t="s">
        <v>161</v>
      </c>
      <c r="X729" s="1" t="s">
        <v>13609</v>
      </c>
      <c r="Y729" s="1" t="s">
        <v>196</v>
      </c>
      <c r="Z729" s="1" t="s">
        <v>97</v>
      </c>
      <c r="AA729" s="1" t="s">
        <v>13609</v>
      </c>
      <c r="AB729" s="1" t="s">
        <v>196</v>
      </c>
      <c r="AC729" s="1" t="s">
        <v>97</v>
      </c>
      <c r="AD729" s="1">
        <v>8.28</v>
      </c>
      <c r="AE729" s="1" t="s">
        <v>98</v>
      </c>
      <c r="AF729" s="1" t="s">
        <v>13610</v>
      </c>
      <c r="AG729" s="1" t="s">
        <v>13345</v>
      </c>
      <c r="AH729" s="1" t="s">
        <v>1457</v>
      </c>
      <c r="AI729" s="1" t="s">
        <v>515</v>
      </c>
      <c r="AJ729" s="1">
        <v>61.6</v>
      </c>
      <c r="AK729" s="1">
        <v>6.8</v>
      </c>
      <c r="AL729" s="1" t="s">
        <v>13611</v>
      </c>
      <c r="AM729" s="1" t="s">
        <v>13345</v>
      </c>
      <c r="AN729" s="1" t="s">
        <v>575</v>
      </c>
      <c r="AO729" s="1" t="s">
        <v>1111</v>
      </c>
      <c r="AP729" s="1" t="s">
        <v>518</v>
      </c>
      <c r="AQ729" s="1">
        <v>58.15</v>
      </c>
      <c r="AR729" s="1"/>
      <c r="AS729" s="1" t="s">
        <v>103</v>
      </c>
      <c r="AT729" s="1" t="s">
        <v>13612</v>
      </c>
      <c r="AU729" s="1" t="s">
        <v>230</v>
      </c>
      <c r="AV729" s="1" t="s">
        <v>4740</v>
      </c>
      <c r="AW729" s="1">
        <v>77.21</v>
      </c>
      <c r="AX729" s="1"/>
      <c r="AY729" s="1" t="s">
        <v>7827</v>
      </c>
      <c r="AZ729" s="1" t="s">
        <v>7557</v>
      </c>
      <c r="BA729" s="1" t="s">
        <v>466</v>
      </c>
      <c r="BB729" s="1" t="s">
        <v>467</v>
      </c>
      <c r="BC729" s="1" t="s">
        <v>1647</v>
      </c>
      <c r="BD729" s="1" t="s">
        <v>955</v>
      </c>
      <c r="BE729" s="1">
        <v>83.7</v>
      </c>
      <c r="BF729" s="1">
        <v>9.12</v>
      </c>
      <c r="BG729" s="1"/>
      <c r="BH729" s="1"/>
      <c r="BI729" s="1"/>
      <c r="BJ729" s="1"/>
      <c r="BK729" s="1"/>
      <c r="BL729" s="1"/>
      <c r="BM729" s="1"/>
      <c r="BN729" s="1"/>
      <c r="BO729" s="1" t="s">
        <v>260</v>
      </c>
      <c r="BP729" s="1" t="s">
        <v>13613</v>
      </c>
      <c r="BQ729" s="1" t="s">
        <v>471</v>
      </c>
      <c r="BR729" s="1" t="s">
        <v>13614</v>
      </c>
      <c r="BS729" s="1">
        <v>21</v>
      </c>
      <c r="BT729" s="1"/>
      <c r="BU729" s="1" t="str">
        <f>HYPERLINK("https://nconnect.nicmar.ac.in/storage/profile/ProfilePhoto_P25700737_218935.jpg","Download")</f>
        <v>0</v>
      </c>
      <c r="BV729" s="3"/>
      <c r="BW729" s="3"/>
    </row>
    <row r="730" spans="1:75">
      <c r="A730" s="1" t="s">
        <v>75</v>
      </c>
      <c r="B730" s="1" t="s">
        <v>446</v>
      </c>
      <c r="C730" s="1" t="s">
        <v>13615</v>
      </c>
      <c r="D730" s="1" t="s">
        <v>13616</v>
      </c>
      <c r="E730" s="1" t="s">
        <v>213</v>
      </c>
      <c r="F730" s="1" t="s">
        <v>13617</v>
      </c>
      <c r="G730" s="1" t="s">
        <v>13618</v>
      </c>
      <c r="H730" s="1" t="s">
        <v>13619</v>
      </c>
      <c r="I730" s="1" t="s">
        <v>13620</v>
      </c>
      <c r="J730" s="1">
        <v>9067711293</v>
      </c>
      <c r="K730" s="1" t="s">
        <v>153</v>
      </c>
      <c r="L730" s="1" t="s">
        <v>13621</v>
      </c>
      <c r="M730" s="1" t="s">
        <v>86</v>
      </c>
      <c r="N730" s="1" t="s">
        <v>13516</v>
      </c>
      <c r="O730" s="1"/>
      <c r="P730" s="1" t="s">
        <v>481</v>
      </c>
      <c r="Q730" s="1" t="s">
        <v>13622</v>
      </c>
      <c r="R730" s="1" t="s">
        <v>213</v>
      </c>
      <c r="S730" s="1">
        <v>9921096886</v>
      </c>
      <c r="T730" s="1" t="s">
        <v>6733</v>
      </c>
      <c r="U730" s="1" t="s">
        <v>1900</v>
      </c>
      <c r="V730" s="1">
        <v>8379057343</v>
      </c>
      <c r="W730" s="1" t="s">
        <v>161</v>
      </c>
      <c r="X730" s="1" t="s">
        <v>13623</v>
      </c>
      <c r="Y730" s="1" t="s">
        <v>196</v>
      </c>
      <c r="Z730" s="1" t="s">
        <v>97</v>
      </c>
      <c r="AA730" s="1" t="s">
        <v>13623</v>
      </c>
      <c r="AB730" s="1" t="s">
        <v>196</v>
      </c>
      <c r="AC730" s="1" t="s">
        <v>97</v>
      </c>
      <c r="AD730" s="1">
        <v>8.64</v>
      </c>
      <c r="AE730" s="1" t="s">
        <v>98</v>
      </c>
      <c r="AF730" s="1" t="s">
        <v>13624</v>
      </c>
      <c r="AG730" s="1" t="s">
        <v>165</v>
      </c>
      <c r="AH730" s="1" t="s">
        <v>106</v>
      </c>
      <c r="AI730" s="1" t="s">
        <v>438</v>
      </c>
      <c r="AJ730" s="1">
        <v>87.6</v>
      </c>
      <c r="AK730" s="1"/>
      <c r="AL730" s="1" t="s">
        <v>13625</v>
      </c>
      <c r="AM730" s="1" t="s">
        <v>13626</v>
      </c>
      <c r="AN730" s="1" t="s">
        <v>465</v>
      </c>
      <c r="AO730" s="1" t="s">
        <v>315</v>
      </c>
      <c r="AP730" s="1" t="s">
        <v>441</v>
      </c>
      <c r="AQ730" s="1">
        <v>88.5</v>
      </c>
      <c r="AR730" s="1"/>
      <c r="AS730" s="1"/>
      <c r="AT730" s="1"/>
      <c r="AU730" s="1"/>
      <c r="AV730" s="1"/>
      <c r="AW730" s="1"/>
      <c r="AX730" s="1"/>
      <c r="AY730" s="1" t="s">
        <v>366</v>
      </c>
      <c r="AZ730" s="1" t="s">
        <v>13627</v>
      </c>
      <c r="BA730" s="1" t="s">
        <v>578</v>
      </c>
      <c r="BB730" s="1" t="s">
        <v>467</v>
      </c>
      <c r="BC730" s="1" t="s">
        <v>871</v>
      </c>
      <c r="BD730" s="1" t="s">
        <v>848</v>
      </c>
      <c r="BE730" s="1">
        <v>74.9</v>
      </c>
      <c r="BF730" s="1">
        <v>8.24</v>
      </c>
      <c r="BG730" s="1"/>
      <c r="BH730" s="1"/>
      <c r="BI730" s="1"/>
      <c r="BJ730" s="1"/>
      <c r="BK730" s="1"/>
      <c r="BL730" s="1"/>
      <c r="BM730" s="1"/>
      <c r="BN730" s="1"/>
      <c r="BO730" s="1" t="s">
        <v>13628</v>
      </c>
      <c r="BP730" s="1"/>
      <c r="BQ730" s="1"/>
      <c r="BR730" s="1" t="s">
        <v>13629</v>
      </c>
      <c r="BS730" s="1">
        <v>13</v>
      </c>
      <c r="BT730" s="1" t="s">
        <v>13630</v>
      </c>
      <c r="BU730" s="1" t="str">
        <f>HYPERLINK("https://nconnect.nicmar.ac.in/storage/profile/ProfilePhoto_P25700739_914235.jpg","Download")</f>
        <v>0</v>
      </c>
      <c r="BV730" s="3"/>
      <c r="BW730" s="3"/>
    </row>
    <row r="731" spans="1:75">
      <c r="A731" s="1" t="s">
        <v>75</v>
      </c>
      <c r="B731" s="1" t="s">
        <v>446</v>
      </c>
      <c r="C731" s="1" t="s">
        <v>13631</v>
      </c>
      <c r="D731" s="1" t="s">
        <v>13632</v>
      </c>
      <c r="E731" s="1" t="s">
        <v>8514</v>
      </c>
      <c r="F731" s="1" t="s">
        <v>2099</v>
      </c>
      <c r="G731" s="1" t="s">
        <v>13633</v>
      </c>
      <c r="H731" s="1" t="s">
        <v>13634</v>
      </c>
      <c r="I731" s="1" t="s">
        <v>13635</v>
      </c>
      <c r="J731" s="1">
        <v>9767312000</v>
      </c>
      <c r="K731" s="1" t="s">
        <v>153</v>
      </c>
      <c r="L731" s="1" t="s">
        <v>13636</v>
      </c>
      <c r="M731" s="1" t="s">
        <v>86</v>
      </c>
      <c r="N731" s="1" t="s">
        <v>903</v>
      </c>
      <c r="O731" s="1"/>
      <c r="P731" s="1" t="s">
        <v>481</v>
      </c>
      <c r="Q731" s="1" t="s">
        <v>13637</v>
      </c>
      <c r="R731" s="1" t="s">
        <v>13638</v>
      </c>
      <c r="S731" s="1">
        <v>9225520079</v>
      </c>
      <c r="T731" s="1" t="s">
        <v>125</v>
      </c>
      <c r="U731" s="1" t="s">
        <v>13639</v>
      </c>
      <c r="V731" s="1">
        <v>8329339987</v>
      </c>
      <c r="W731" s="1" t="s">
        <v>161</v>
      </c>
      <c r="X731" s="1" t="s">
        <v>13640</v>
      </c>
      <c r="Y731" s="1" t="s">
        <v>196</v>
      </c>
      <c r="Z731" s="1" t="s">
        <v>97</v>
      </c>
      <c r="AA731" s="1" t="s">
        <v>13640</v>
      </c>
      <c r="AB731" s="1" t="s">
        <v>196</v>
      </c>
      <c r="AC731" s="1" t="s">
        <v>97</v>
      </c>
      <c r="AD731" s="1">
        <v>7.36</v>
      </c>
      <c r="AE731" s="1" t="s">
        <v>98</v>
      </c>
      <c r="AF731" s="1" t="s">
        <v>13641</v>
      </c>
      <c r="AG731" s="1" t="s">
        <v>2670</v>
      </c>
      <c r="AH731" s="1" t="s">
        <v>166</v>
      </c>
      <c r="AI731" s="1" t="s">
        <v>167</v>
      </c>
      <c r="AJ731" s="1">
        <v>67.8</v>
      </c>
      <c r="AK731" s="1"/>
      <c r="AL731" s="1" t="s">
        <v>13642</v>
      </c>
      <c r="AM731" s="1" t="s">
        <v>2670</v>
      </c>
      <c r="AN731" s="1"/>
      <c r="AO731" s="1" t="s">
        <v>170</v>
      </c>
      <c r="AP731" s="1" t="s">
        <v>1477</v>
      </c>
      <c r="AQ731" s="1">
        <v>52.15</v>
      </c>
      <c r="AR731" s="1"/>
      <c r="AS731" s="1"/>
      <c r="AT731" s="1"/>
      <c r="AU731" s="1"/>
      <c r="AV731" s="1"/>
      <c r="AW731" s="1"/>
      <c r="AX731" s="1"/>
      <c r="AY731" s="1" t="s">
        <v>13643</v>
      </c>
      <c r="AZ731" s="1" t="s">
        <v>13644</v>
      </c>
      <c r="BA731" s="1"/>
      <c r="BB731" s="1"/>
      <c r="BC731" s="1" t="s">
        <v>315</v>
      </c>
      <c r="BD731" s="1" t="s">
        <v>9528</v>
      </c>
      <c r="BE731" s="1">
        <v>63.01</v>
      </c>
      <c r="BF731" s="1"/>
      <c r="BG731" s="1"/>
      <c r="BH731" s="1"/>
      <c r="BI731" s="1"/>
      <c r="BJ731" s="1"/>
      <c r="BK731" s="1"/>
      <c r="BL731" s="1"/>
      <c r="BM731" s="1"/>
      <c r="BN731" s="1"/>
      <c r="BO731" s="1" t="s">
        <v>13645</v>
      </c>
      <c r="BP731" s="1"/>
      <c r="BQ731" s="1"/>
      <c r="BR731" s="1" t="s">
        <v>13646</v>
      </c>
      <c r="BS731" s="1">
        <v>8</v>
      </c>
      <c r="BT731" s="1"/>
      <c r="BU731" s="1" t="str">
        <f>HYPERLINK("https://nconnect.nicmar.ac.in/storage/profile/ProfilePhoto_P25700740_145692.jpg","Download")</f>
        <v>0</v>
      </c>
      <c r="BV731" s="3"/>
      <c r="BW731" s="3"/>
    </row>
    <row r="732" spans="1:75">
      <c r="A732" s="1" t="s">
        <v>75</v>
      </c>
      <c r="B732" s="1" t="s">
        <v>446</v>
      </c>
      <c r="C732" s="1" t="s">
        <v>13647</v>
      </c>
      <c r="D732" s="1" t="s">
        <v>7798</v>
      </c>
      <c r="E732" s="1" t="s">
        <v>2500</v>
      </c>
      <c r="F732" s="1" t="s">
        <v>5246</v>
      </c>
      <c r="G732" s="1" t="s">
        <v>13648</v>
      </c>
      <c r="H732" s="1" t="s">
        <v>13649</v>
      </c>
      <c r="I732" s="1" t="s">
        <v>13650</v>
      </c>
      <c r="J732" s="1">
        <v>8308779295</v>
      </c>
      <c r="K732" s="1" t="s">
        <v>84</v>
      </c>
      <c r="L732" s="1" t="s">
        <v>13651</v>
      </c>
      <c r="M732" s="1" t="s">
        <v>86</v>
      </c>
      <c r="N732" s="1" t="s">
        <v>618</v>
      </c>
      <c r="O732" s="1"/>
      <c r="P732" s="1" t="s">
        <v>507</v>
      </c>
      <c r="Q732" s="1" t="s">
        <v>13652</v>
      </c>
      <c r="R732" s="1" t="s">
        <v>13653</v>
      </c>
      <c r="S732" s="1">
        <v>9420012124</v>
      </c>
      <c r="T732" s="1" t="s">
        <v>13654</v>
      </c>
      <c r="U732" s="1" t="s">
        <v>13655</v>
      </c>
      <c r="V732" s="1">
        <v>9168619132</v>
      </c>
      <c r="W732" s="1" t="s">
        <v>161</v>
      </c>
      <c r="X732" s="1" t="s">
        <v>13656</v>
      </c>
      <c r="Y732" s="1" t="s">
        <v>196</v>
      </c>
      <c r="Z732" s="1" t="s">
        <v>97</v>
      </c>
      <c r="AA732" s="1" t="s">
        <v>13657</v>
      </c>
      <c r="AB732" s="1" t="s">
        <v>2668</v>
      </c>
      <c r="AC732" s="1" t="s">
        <v>97</v>
      </c>
      <c r="AD732" s="1">
        <v>8.28</v>
      </c>
      <c r="AE732" s="1" t="s">
        <v>98</v>
      </c>
      <c r="AF732" s="1" t="s">
        <v>13658</v>
      </c>
      <c r="AG732" s="1" t="s">
        <v>13659</v>
      </c>
      <c r="AH732" s="1" t="s">
        <v>166</v>
      </c>
      <c r="AI732" s="1" t="s">
        <v>1111</v>
      </c>
      <c r="AJ732" s="1">
        <v>87.8</v>
      </c>
      <c r="AK732" s="1"/>
      <c r="AL732" s="1" t="s">
        <v>13660</v>
      </c>
      <c r="AM732" s="1" t="s">
        <v>13661</v>
      </c>
      <c r="AN732" s="1" t="s">
        <v>575</v>
      </c>
      <c r="AO732" s="1" t="s">
        <v>170</v>
      </c>
      <c r="AP732" s="1" t="s">
        <v>1477</v>
      </c>
      <c r="AQ732" s="1">
        <v>72</v>
      </c>
      <c r="AR732" s="1"/>
      <c r="AS732" s="1"/>
      <c r="AT732" s="1"/>
      <c r="AU732" s="1"/>
      <c r="AV732" s="1"/>
      <c r="AW732" s="1"/>
      <c r="AX732" s="1"/>
      <c r="AY732" s="1" t="s">
        <v>366</v>
      </c>
      <c r="AZ732" s="1" t="s">
        <v>13662</v>
      </c>
      <c r="BA732" s="1" t="s">
        <v>578</v>
      </c>
      <c r="BB732" s="1" t="s">
        <v>467</v>
      </c>
      <c r="BC732" s="1" t="s">
        <v>1065</v>
      </c>
      <c r="BD732" s="1" t="s">
        <v>110</v>
      </c>
      <c r="BE732" s="1">
        <v>78.23</v>
      </c>
      <c r="BF732" s="1">
        <v>8.79</v>
      </c>
      <c r="BG732" s="1"/>
      <c r="BH732" s="1"/>
      <c r="BI732" s="1"/>
      <c r="BJ732" s="1"/>
      <c r="BK732" s="1"/>
      <c r="BL732" s="1"/>
      <c r="BM732" s="1"/>
      <c r="BN732" s="1"/>
      <c r="BO732" s="1" t="s">
        <v>13663</v>
      </c>
      <c r="BP732" s="1" t="s">
        <v>13664</v>
      </c>
      <c r="BQ732" s="1" t="s">
        <v>1174</v>
      </c>
      <c r="BR732" s="1" t="s">
        <v>13665</v>
      </c>
      <c r="BS732" s="1">
        <v>31</v>
      </c>
      <c r="BT732" s="1" t="s">
        <v>13666</v>
      </c>
      <c r="BU732" s="1" t="str">
        <f>HYPERLINK("https://nconnect.nicmar.ac.in/storage/profile/ProfilePhoto_P25700741_246781.jpg","Download")</f>
        <v>0</v>
      </c>
      <c r="BV732" s="3"/>
      <c r="BW732" s="4">
        <v>1</v>
      </c>
    </row>
    <row r="733" spans="1:75">
      <c r="A733" s="1" t="s">
        <v>75</v>
      </c>
      <c r="B733" s="1" t="s">
        <v>446</v>
      </c>
      <c r="C733" s="1" t="s">
        <v>13667</v>
      </c>
      <c r="D733" s="1" t="s">
        <v>13668</v>
      </c>
      <c r="E733" s="1" t="s">
        <v>13669</v>
      </c>
      <c r="F733" s="1" t="s">
        <v>13670</v>
      </c>
      <c r="G733" s="1" t="s">
        <v>13671</v>
      </c>
      <c r="H733" s="1" t="s">
        <v>13672</v>
      </c>
      <c r="I733" s="1" t="s">
        <v>13673</v>
      </c>
      <c r="J733" s="1">
        <v>9657693953</v>
      </c>
      <c r="K733" s="1" t="s">
        <v>84</v>
      </c>
      <c r="L733" s="1" t="s">
        <v>13674</v>
      </c>
      <c r="M733" s="1" t="s">
        <v>86</v>
      </c>
      <c r="N733" s="1" t="s">
        <v>1163</v>
      </c>
      <c r="O733" s="1"/>
      <c r="P733" s="1" t="s">
        <v>455</v>
      </c>
      <c r="Q733" s="1" t="s">
        <v>13675</v>
      </c>
      <c r="R733" s="1" t="s">
        <v>13676</v>
      </c>
      <c r="S733" s="1">
        <v>9860177171</v>
      </c>
      <c r="T733" s="1" t="s">
        <v>1552</v>
      </c>
      <c r="U733" s="1" t="s">
        <v>3502</v>
      </c>
      <c r="V733" s="1">
        <v>9075584869</v>
      </c>
      <c r="W733" s="1" t="s">
        <v>1552</v>
      </c>
      <c r="X733" s="1" t="s">
        <v>13677</v>
      </c>
      <c r="Y733" s="1" t="s">
        <v>1779</v>
      </c>
      <c r="Z733" s="1" t="s">
        <v>97</v>
      </c>
      <c r="AA733" s="1" t="s">
        <v>13677</v>
      </c>
      <c r="AB733" s="1" t="s">
        <v>1779</v>
      </c>
      <c r="AC733" s="1" t="s">
        <v>97</v>
      </c>
      <c r="AD733" s="1">
        <v>0.0</v>
      </c>
      <c r="AE733" s="1" t="s">
        <v>98</v>
      </c>
      <c r="AF733" s="1" t="s">
        <v>13678</v>
      </c>
      <c r="AG733" s="1" t="s">
        <v>165</v>
      </c>
      <c r="AH733" s="1" t="s">
        <v>166</v>
      </c>
      <c r="AI733" s="1" t="s">
        <v>1111</v>
      </c>
      <c r="AJ733" s="1">
        <v>85.6</v>
      </c>
      <c r="AK733" s="1">
        <v>0</v>
      </c>
      <c r="AL733" s="1" t="s">
        <v>13679</v>
      </c>
      <c r="AM733" s="1" t="s">
        <v>165</v>
      </c>
      <c r="AN733" s="1"/>
      <c r="AO733" s="1" t="s">
        <v>170</v>
      </c>
      <c r="AP733" s="1" t="s">
        <v>286</v>
      </c>
      <c r="AQ733" s="1">
        <v>70.77</v>
      </c>
      <c r="AR733" s="1">
        <v>0</v>
      </c>
      <c r="AS733" s="1"/>
      <c r="AT733" s="1"/>
      <c r="AU733" s="1"/>
      <c r="AV733" s="1"/>
      <c r="AW733" s="1"/>
      <c r="AX733" s="1"/>
      <c r="AY733" s="1" t="s">
        <v>13680</v>
      </c>
      <c r="AZ733" s="1" t="s">
        <v>13681</v>
      </c>
      <c r="BA733" s="1"/>
      <c r="BB733" s="1"/>
      <c r="BC733" s="1" t="s">
        <v>106</v>
      </c>
      <c r="BD733" s="1" t="s">
        <v>179</v>
      </c>
      <c r="BE733" s="1">
        <v>61.21</v>
      </c>
      <c r="BF733" s="1">
        <v>6.87</v>
      </c>
      <c r="BG733" s="1"/>
      <c r="BH733" s="1"/>
      <c r="BI733" s="1"/>
      <c r="BJ733" s="1"/>
      <c r="BK733" s="1"/>
      <c r="BL733" s="1"/>
      <c r="BM733" s="1"/>
      <c r="BN733" s="1"/>
      <c r="BO733" s="1" t="s">
        <v>13682</v>
      </c>
      <c r="BP733" s="1"/>
      <c r="BQ733" s="1"/>
      <c r="BR733" s="1" t="s">
        <v>13683</v>
      </c>
      <c r="BS733" s="1">
        <v>13</v>
      </c>
      <c r="BT733" s="1"/>
      <c r="BU733" s="1" t="str">
        <f>HYPERLINK("https://nconnect.nicmar.ac.in/storage/profile/ProfilePhoto_P25700742_926831.jpg","Download")</f>
        <v>0</v>
      </c>
      <c r="BV733" s="3"/>
      <c r="BW733" s="3"/>
    </row>
    <row r="734" spans="1:75">
      <c r="A734" s="1" t="s">
        <v>75</v>
      </c>
      <c r="B734" s="1" t="s">
        <v>446</v>
      </c>
      <c r="C734" s="1" t="s">
        <v>13684</v>
      </c>
      <c r="D734" s="1" t="s">
        <v>4988</v>
      </c>
      <c r="E734" s="1" t="s">
        <v>4310</v>
      </c>
      <c r="F734" s="1" t="s">
        <v>2099</v>
      </c>
      <c r="G734" s="1" t="s">
        <v>13685</v>
      </c>
      <c r="H734" s="1" t="s">
        <v>13686</v>
      </c>
      <c r="I734" s="1" t="s">
        <v>13687</v>
      </c>
      <c r="J734" s="1">
        <v>8390188617</v>
      </c>
      <c r="K734" s="1" t="s">
        <v>153</v>
      </c>
      <c r="L734" s="1" t="s">
        <v>13688</v>
      </c>
      <c r="M734" s="1" t="s">
        <v>86</v>
      </c>
      <c r="N734" s="1" t="s">
        <v>13689</v>
      </c>
      <c r="O734" s="1"/>
      <c r="P734" s="1" t="s">
        <v>507</v>
      </c>
      <c r="Q734" s="1" t="s">
        <v>13690</v>
      </c>
      <c r="R734" s="1" t="s">
        <v>4310</v>
      </c>
      <c r="S734" s="1">
        <v>9096505040</v>
      </c>
      <c r="T734" s="1" t="s">
        <v>7822</v>
      </c>
      <c r="U734" s="1" t="s">
        <v>13691</v>
      </c>
      <c r="V734" s="1">
        <v>7057282386</v>
      </c>
      <c r="W734" s="1" t="s">
        <v>161</v>
      </c>
      <c r="X734" s="1" t="s">
        <v>13692</v>
      </c>
      <c r="Y734" s="1" t="s">
        <v>5181</v>
      </c>
      <c r="Z734" s="1" t="s">
        <v>97</v>
      </c>
      <c r="AA734" s="1" t="s">
        <v>13692</v>
      </c>
      <c r="AB734" s="1" t="s">
        <v>5181</v>
      </c>
      <c r="AC734" s="1" t="s">
        <v>97</v>
      </c>
      <c r="AD734" s="1">
        <v>7.54</v>
      </c>
      <c r="AE734" s="1" t="s">
        <v>98</v>
      </c>
      <c r="AF734" s="1" t="s">
        <v>13693</v>
      </c>
      <c r="AG734" s="1" t="s">
        <v>2048</v>
      </c>
      <c r="AH734" s="1" t="s">
        <v>1213</v>
      </c>
      <c r="AI734" s="1" t="s">
        <v>102</v>
      </c>
      <c r="AJ734" s="1">
        <v>76.6</v>
      </c>
      <c r="AK734" s="1">
        <v>8.06</v>
      </c>
      <c r="AL734" s="1" t="s">
        <v>5802</v>
      </c>
      <c r="AM734" s="1" t="s">
        <v>2048</v>
      </c>
      <c r="AN734" s="1"/>
      <c r="AO734" s="1" t="s">
        <v>167</v>
      </c>
      <c r="AP734" s="1" t="s">
        <v>1477</v>
      </c>
      <c r="AQ734" s="1">
        <v>57.08</v>
      </c>
      <c r="AR734" s="1">
        <v>6</v>
      </c>
      <c r="AS734" s="1"/>
      <c r="AT734" s="1"/>
      <c r="AU734" s="1"/>
      <c r="AV734" s="1"/>
      <c r="AW734" s="1"/>
      <c r="AX734" s="1"/>
      <c r="AY734" s="1" t="s">
        <v>366</v>
      </c>
      <c r="AZ734" s="1" t="s">
        <v>13694</v>
      </c>
      <c r="BA734" s="1"/>
      <c r="BB734" s="1"/>
      <c r="BC734" s="1" t="s">
        <v>174</v>
      </c>
      <c r="BD734" s="1" t="s">
        <v>179</v>
      </c>
      <c r="BE734" s="1">
        <v>60.5</v>
      </c>
      <c r="BF734" s="1">
        <v>6.8</v>
      </c>
      <c r="BG734" s="1"/>
      <c r="BH734" s="1"/>
      <c r="BI734" s="1"/>
      <c r="BJ734" s="1"/>
      <c r="BK734" s="1"/>
      <c r="BL734" s="1"/>
      <c r="BM734" s="1"/>
      <c r="BN734" s="1"/>
      <c r="BO734" s="1" t="s">
        <v>13695</v>
      </c>
      <c r="BP734" s="1"/>
      <c r="BQ734" s="1"/>
      <c r="BR734" s="1" t="s">
        <v>13696</v>
      </c>
      <c r="BS734" s="1">
        <v>61</v>
      </c>
      <c r="BT734" s="1"/>
      <c r="BU734" s="1" t="str">
        <f>HYPERLINK("https://nconnect.nicmar.ac.in/storage/profile/ProfilePhoto_P25700743_731954.jpg","Download")</f>
        <v>0</v>
      </c>
      <c r="BV734" s="3"/>
      <c r="BW734" s="3"/>
    </row>
    <row r="735" spans="1:75">
      <c r="A735" s="1" t="s">
        <v>75</v>
      </c>
      <c r="B735" s="1" t="s">
        <v>446</v>
      </c>
      <c r="C735" s="1" t="s">
        <v>13697</v>
      </c>
      <c r="D735" s="1" t="s">
        <v>13698</v>
      </c>
      <c r="E735" s="1" t="s">
        <v>13699</v>
      </c>
      <c r="F735" s="1" t="s">
        <v>11063</v>
      </c>
      <c r="G735" s="1" t="s">
        <v>13700</v>
      </c>
      <c r="H735" s="1" t="s">
        <v>13701</v>
      </c>
      <c r="I735" s="1" t="s">
        <v>13702</v>
      </c>
      <c r="J735" s="1">
        <v>7219287393</v>
      </c>
      <c r="K735" s="1" t="s">
        <v>84</v>
      </c>
      <c r="L735" s="1" t="s">
        <v>13703</v>
      </c>
      <c r="M735" s="1" t="s">
        <v>86</v>
      </c>
      <c r="N735" s="1" t="s">
        <v>1163</v>
      </c>
      <c r="O735" s="1"/>
      <c r="P735" s="1" t="s">
        <v>2062</v>
      </c>
      <c r="Q735" s="1" t="s">
        <v>13704</v>
      </c>
      <c r="R735" s="1" t="s">
        <v>13699</v>
      </c>
      <c r="S735" s="1">
        <v>7219287393</v>
      </c>
      <c r="T735" s="1" t="s">
        <v>645</v>
      </c>
      <c r="U735" s="1" t="s">
        <v>13705</v>
      </c>
      <c r="V735" s="1">
        <v>7720965080</v>
      </c>
      <c r="W735" s="1" t="s">
        <v>645</v>
      </c>
      <c r="X735" s="1" t="s">
        <v>13706</v>
      </c>
      <c r="Y735" s="1" t="s">
        <v>196</v>
      </c>
      <c r="Z735" s="1" t="s">
        <v>97</v>
      </c>
      <c r="AA735" s="1" t="s">
        <v>13707</v>
      </c>
      <c r="AB735" s="1" t="s">
        <v>163</v>
      </c>
      <c r="AC735" s="1" t="s">
        <v>97</v>
      </c>
      <c r="AD735" s="1">
        <v>8.08</v>
      </c>
      <c r="AE735" s="1" t="s">
        <v>98</v>
      </c>
      <c r="AF735" s="1" t="s">
        <v>5603</v>
      </c>
      <c r="AG735" s="1" t="s">
        <v>10628</v>
      </c>
      <c r="AH735" s="1" t="s">
        <v>170</v>
      </c>
      <c r="AI735" s="1" t="s">
        <v>286</v>
      </c>
      <c r="AJ735" s="1">
        <v>86.2</v>
      </c>
      <c r="AK735" s="1"/>
      <c r="AL735" s="1" t="s">
        <v>13708</v>
      </c>
      <c r="AM735" s="1" t="s">
        <v>10628</v>
      </c>
      <c r="AN735" s="1" t="s">
        <v>465</v>
      </c>
      <c r="AO735" s="1" t="s">
        <v>313</v>
      </c>
      <c r="AP735" s="1" t="s">
        <v>365</v>
      </c>
      <c r="AQ735" s="1">
        <v>63.38</v>
      </c>
      <c r="AR735" s="1"/>
      <c r="AS735" s="1"/>
      <c r="AT735" s="1"/>
      <c r="AU735" s="1"/>
      <c r="AV735" s="1"/>
      <c r="AW735" s="1"/>
      <c r="AX735" s="1"/>
      <c r="AY735" s="1" t="s">
        <v>13709</v>
      </c>
      <c r="AZ735" s="1" t="s">
        <v>13710</v>
      </c>
      <c r="BA735" s="1" t="s">
        <v>466</v>
      </c>
      <c r="BB735" s="1" t="s">
        <v>467</v>
      </c>
      <c r="BC735" s="1" t="s">
        <v>468</v>
      </c>
      <c r="BD735" s="1" t="s">
        <v>1089</v>
      </c>
      <c r="BE735" s="1">
        <v>70.32</v>
      </c>
      <c r="BF735" s="1">
        <v>7.42</v>
      </c>
      <c r="BG735" s="1"/>
      <c r="BH735" s="1"/>
      <c r="BI735" s="1"/>
      <c r="BJ735" s="1"/>
      <c r="BK735" s="1"/>
      <c r="BL735" s="1"/>
      <c r="BM735" s="1"/>
      <c r="BN735" s="1"/>
      <c r="BO735" s="1" t="s">
        <v>13711</v>
      </c>
      <c r="BP735" s="1"/>
      <c r="BQ735" s="1"/>
      <c r="BR735" s="1" t="s">
        <v>13712</v>
      </c>
      <c r="BS735" s="1">
        <v>102</v>
      </c>
      <c r="BT735" s="1"/>
      <c r="BU735" s="1" t="str">
        <f>HYPERLINK("https://nconnect.nicmar.ac.in/storage/profile/ProfilePhoto_P25700744_713894.jpg","Download")</f>
        <v>0</v>
      </c>
      <c r="BV735" s="3"/>
      <c r="BW735" s="3"/>
    </row>
    <row r="736" spans="1:75">
      <c r="A736" s="1" t="s">
        <v>75</v>
      </c>
      <c r="B736" s="1" t="s">
        <v>446</v>
      </c>
      <c r="C736" s="1" t="s">
        <v>13713</v>
      </c>
      <c r="D736" s="1" t="s">
        <v>1294</v>
      </c>
      <c r="E736" s="1" t="s">
        <v>13714</v>
      </c>
      <c r="F736" s="1" t="s">
        <v>13715</v>
      </c>
      <c r="G736" s="1" t="s">
        <v>13716</v>
      </c>
      <c r="H736" s="1" t="s">
        <v>13717</v>
      </c>
      <c r="I736" s="1" t="s">
        <v>13718</v>
      </c>
      <c r="J736" s="1">
        <v>9423748033</v>
      </c>
      <c r="K736" s="1" t="s">
        <v>84</v>
      </c>
      <c r="L736" s="1" t="s">
        <v>8678</v>
      </c>
      <c r="M736" s="1" t="s">
        <v>86</v>
      </c>
      <c r="N736" s="1" t="s">
        <v>13719</v>
      </c>
      <c r="O736" s="1"/>
      <c r="P736" s="1" t="s">
        <v>507</v>
      </c>
      <c r="Q736" s="1" t="s">
        <v>13720</v>
      </c>
      <c r="R736" s="1" t="s">
        <v>13721</v>
      </c>
      <c r="S736" s="1">
        <v>9421200333</v>
      </c>
      <c r="T736" s="1" t="s">
        <v>4486</v>
      </c>
      <c r="U736" s="1" t="s">
        <v>13333</v>
      </c>
      <c r="V736" s="1">
        <v>9423748033</v>
      </c>
      <c r="W736" s="1" t="s">
        <v>278</v>
      </c>
      <c r="X736" s="1" t="s">
        <v>13722</v>
      </c>
      <c r="Y736" s="1" t="s">
        <v>1989</v>
      </c>
      <c r="Z736" s="1" t="s">
        <v>97</v>
      </c>
      <c r="AA736" s="1" t="s">
        <v>13722</v>
      </c>
      <c r="AB736" s="1" t="s">
        <v>1989</v>
      </c>
      <c r="AC736" s="1" t="s">
        <v>97</v>
      </c>
      <c r="AD736" s="1">
        <v>6.97</v>
      </c>
      <c r="AE736" s="1" t="s">
        <v>98</v>
      </c>
      <c r="AF736" s="1" t="s">
        <v>13723</v>
      </c>
      <c r="AG736" s="1" t="s">
        <v>13724</v>
      </c>
      <c r="AH736" s="1" t="s">
        <v>728</v>
      </c>
      <c r="AI736" s="1" t="s">
        <v>573</v>
      </c>
      <c r="AJ736" s="1">
        <v>51.5</v>
      </c>
      <c r="AK736" s="1"/>
      <c r="AL736" s="1" t="s">
        <v>13725</v>
      </c>
      <c r="AM736" s="1" t="s">
        <v>13724</v>
      </c>
      <c r="AN736" s="1" t="s">
        <v>575</v>
      </c>
      <c r="AO736" s="1" t="s">
        <v>170</v>
      </c>
      <c r="AP736" s="1" t="s">
        <v>203</v>
      </c>
      <c r="AQ736" s="1">
        <v>62</v>
      </c>
      <c r="AR736" s="1"/>
      <c r="AS736" s="1"/>
      <c r="AT736" s="1"/>
      <c r="AU736" s="1"/>
      <c r="AV736" s="1"/>
      <c r="AW736" s="1"/>
      <c r="AX736" s="1"/>
      <c r="AY736" s="1" t="s">
        <v>1887</v>
      </c>
      <c r="AZ736" s="1" t="s">
        <v>13726</v>
      </c>
      <c r="BA736" s="1" t="s">
        <v>578</v>
      </c>
      <c r="BB736" s="1" t="s">
        <v>467</v>
      </c>
      <c r="BC736" s="1" t="s">
        <v>547</v>
      </c>
      <c r="BD736" s="1" t="s">
        <v>10037</v>
      </c>
      <c r="BE736" s="1">
        <v>72.54</v>
      </c>
      <c r="BF736" s="1">
        <v>7.54</v>
      </c>
      <c r="BG736" s="1"/>
      <c r="BH736" s="1"/>
      <c r="BI736" s="1"/>
      <c r="BJ736" s="1"/>
      <c r="BK736" s="1"/>
      <c r="BL736" s="1"/>
      <c r="BM736" s="1"/>
      <c r="BN736" s="1"/>
      <c r="BO736" s="1" t="s">
        <v>13727</v>
      </c>
      <c r="BP736" s="1" t="s">
        <v>13728</v>
      </c>
      <c r="BQ736" s="1" t="s">
        <v>4149</v>
      </c>
      <c r="BR736" s="1" t="s">
        <v>13729</v>
      </c>
      <c r="BS736" s="1">
        <v>9</v>
      </c>
      <c r="BT736" s="1" t="s">
        <v>13730</v>
      </c>
      <c r="BU736" s="1" t="str">
        <f>HYPERLINK("https://nconnect.nicmar.ac.in/storage/profile/ProfilePhoto_P25700745_729431.jpg","Download")</f>
        <v>0</v>
      </c>
      <c r="BV736" s="3"/>
      <c r="BW736" s="3"/>
    </row>
    <row r="737" spans="1:75">
      <c r="A737" s="1" t="s">
        <v>75</v>
      </c>
      <c r="B737" s="1" t="s">
        <v>446</v>
      </c>
      <c r="C737" s="1" t="s">
        <v>13731</v>
      </c>
      <c r="D737" s="1" t="s">
        <v>13732</v>
      </c>
      <c r="E737" s="1"/>
      <c r="F737" s="1" t="s">
        <v>13733</v>
      </c>
      <c r="G737" s="1" t="s">
        <v>13734</v>
      </c>
      <c r="H737" s="1" t="s">
        <v>13735</v>
      </c>
      <c r="I737" s="1" t="s">
        <v>13736</v>
      </c>
      <c r="J737" s="1">
        <v>9682336540</v>
      </c>
      <c r="K737" s="1" t="s">
        <v>153</v>
      </c>
      <c r="L737" s="1" t="s">
        <v>4856</v>
      </c>
      <c r="M737" s="1" t="s">
        <v>86</v>
      </c>
      <c r="N737" s="1" t="s">
        <v>13737</v>
      </c>
      <c r="O737" s="1" t="s">
        <v>13738</v>
      </c>
      <c r="P737" s="1" t="s">
        <v>122</v>
      </c>
      <c r="Q737" s="1" t="s">
        <v>13739</v>
      </c>
      <c r="R737" s="1" t="s">
        <v>13740</v>
      </c>
      <c r="S737" s="1">
        <v>7006351954</v>
      </c>
      <c r="T737" s="1" t="s">
        <v>1495</v>
      </c>
      <c r="U737" s="1" t="s">
        <v>13741</v>
      </c>
      <c r="V737" s="1">
        <v>8825057284</v>
      </c>
      <c r="W737" s="1" t="s">
        <v>127</v>
      </c>
      <c r="X737" s="1" t="s">
        <v>13742</v>
      </c>
      <c r="Y737" s="1" t="s">
        <v>13743</v>
      </c>
      <c r="Z737" s="1" t="s">
        <v>8896</v>
      </c>
      <c r="AA737" s="1"/>
      <c r="AB737" s="1" t="s">
        <v>13744</v>
      </c>
      <c r="AC737" s="1" t="s">
        <v>8896</v>
      </c>
      <c r="AD737" s="1">
        <v>8.59</v>
      </c>
      <c r="AE737" s="1" t="s">
        <v>98</v>
      </c>
      <c r="AF737" s="1" t="s">
        <v>13745</v>
      </c>
      <c r="AG737" s="1" t="s">
        <v>13746</v>
      </c>
      <c r="AH737" s="1" t="s">
        <v>13747</v>
      </c>
      <c r="AI737" s="1" t="s">
        <v>13748</v>
      </c>
      <c r="AJ737" s="1">
        <v>90</v>
      </c>
      <c r="AK737" s="1"/>
      <c r="AL737" s="1" t="s">
        <v>13745</v>
      </c>
      <c r="AM737" s="1" t="s">
        <v>13746</v>
      </c>
      <c r="AN737" s="1" t="s">
        <v>465</v>
      </c>
      <c r="AO737" s="1" t="s">
        <v>13749</v>
      </c>
      <c r="AP737" s="1" t="s">
        <v>364</v>
      </c>
      <c r="AQ737" s="1">
        <v>81.4</v>
      </c>
      <c r="AR737" s="1"/>
      <c r="AS737" s="1"/>
      <c r="AT737" s="1"/>
      <c r="AU737" s="1"/>
      <c r="AV737" s="1"/>
      <c r="AW737" s="1"/>
      <c r="AX737" s="1"/>
      <c r="AY737" s="1" t="s">
        <v>13750</v>
      </c>
      <c r="AZ737" s="1" t="s">
        <v>13751</v>
      </c>
      <c r="BA737" s="1" t="s">
        <v>578</v>
      </c>
      <c r="BB737" s="1" t="s">
        <v>467</v>
      </c>
      <c r="BC737" s="1" t="s">
        <v>890</v>
      </c>
      <c r="BD737" s="1" t="s">
        <v>1089</v>
      </c>
      <c r="BE737" s="1">
        <v>77</v>
      </c>
      <c r="BF737" s="1">
        <v>8.45</v>
      </c>
      <c r="BG737" s="1"/>
      <c r="BH737" s="1"/>
      <c r="BI737" s="1"/>
      <c r="BJ737" s="1"/>
      <c r="BK737" s="1"/>
      <c r="BL737" s="1"/>
      <c r="BM737" s="1"/>
      <c r="BN737" s="1"/>
      <c r="BO737" s="1" t="s">
        <v>13752</v>
      </c>
      <c r="BP737" s="1" t="s">
        <v>13753</v>
      </c>
      <c r="BQ737" s="1" t="s">
        <v>471</v>
      </c>
      <c r="BR737" s="1" t="s">
        <v>13754</v>
      </c>
      <c r="BS737" s="1">
        <v>12</v>
      </c>
      <c r="BT737" s="1" t="s">
        <v>13755</v>
      </c>
      <c r="BU737" s="1" t="str">
        <f>HYPERLINK("https://nconnect.nicmar.ac.in/storage/profile/6a83699ee1e6d.png","Download")</f>
        <v>0</v>
      </c>
      <c r="BV737" s="3"/>
      <c r="BW737" s="4">
        <v>1</v>
      </c>
    </row>
    <row r="738" spans="1:75">
      <c r="A738" s="1" t="s">
        <v>75</v>
      </c>
      <c r="B738" s="1" t="s">
        <v>446</v>
      </c>
      <c r="C738" s="1" t="s">
        <v>13756</v>
      </c>
      <c r="D738" s="1" t="s">
        <v>13757</v>
      </c>
      <c r="E738" s="1" t="s">
        <v>2447</v>
      </c>
      <c r="F738" s="1" t="s">
        <v>9986</v>
      </c>
      <c r="G738" s="1" t="s">
        <v>13758</v>
      </c>
      <c r="H738" s="1" t="s">
        <v>13759</v>
      </c>
      <c r="I738" s="1" t="s">
        <v>13760</v>
      </c>
      <c r="J738" s="1">
        <v>9511292333</v>
      </c>
      <c r="K738" s="1" t="s">
        <v>84</v>
      </c>
      <c r="L738" s="1" t="s">
        <v>946</v>
      </c>
      <c r="M738" s="1" t="s">
        <v>86</v>
      </c>
      <c r="N738" s="1" t="s">
        <v>1163</v>
      </c>
      <c r="O738" s="1"/>
      <c r="P738" s="1" t="s">
        <v>481</v>
      </c>
      <c r="Q738" s="1" t="s">
        <v>13761</v>
      </c>
      <c r="R738" s="1" t="s">
        <v>13762</v>
      </c>
      <c r="S738" s="1">
        <v>8355977043</v>
      </c>
      <c r="T738" s="1" t="s">
        <v>645</v>
      </c>
      <c r="U738" s="1" t="s">
        <v>13763</v>
      </c>
      <c r="V738" s="1">
        <v>9511292333</v>
      </c>
      <c r="W738" s="1" t="s">
        <v>13763</v>
      </c>
      <c r="X738" s="1" t="s">
        <v>13764</v>
      </c>
      <c r="Y738" s="1" t="s">
        <v>1012</v>
      </c>
      <c r="Z738" s="1" t="s">
        <v>97</v>
      </c>
      <c r="AA738" s="1" t="s">
        <v>13764</v>
      </c>
      <c r="AB738" s="1" t="s">
        <v>1012</v>
      </c>
      <c r="AC738" s="1" t="s">
        <v>97</v>
      </c>
      <c r="AD738" s="1">
        <v>8.28</v>
      </c>
      <c r="AE738" s="1" t="s">
        <v>98</v>
      </c>
      <c r="AF738" s="1" t="s">
        <v>13765</v>
      </c>
      <c r="AG738" s="1" t="s">
        <v>1968</v>
      </c>
      <c r="AH738" s="1" t="s">
        <v>102</v>
      </c>
      <c r="AI738" s="1" t="s">
        <v>1111</v>
      </c>
      <c r="AJ738" s="1">
        <v>61.2</v>
      </c>
      <c r="AK738" s="1"/>
      <c r="AL738" s="1" t="s">
        <v>13766</v>
      </c>
      <c r="AM738" s="1" t="s">
        <v>1968</v>
      </c>
      <c r="AN738" s="1" t="s">
        <v>575</v>
      </c>
      <c r="AO738" s="1" t="s">
        <v>518</v>
      </c>
      <c r="AP738" s="1" t="s">
        <v>1477</v>
      </c>
      <c r="AQ738" s="1">
        <v>53.23</v>
      </c>
      <c r="AR738" s="1"/>
      <c r="AS738" s="1" t="s">
        <v>103</v>
      </c>
      <c r="AT738" s="1" t="s">
        <v>13767</v>
      </c>
      <c r="AU738" s="1" t="s">
        <v>171</v>
      </c>
      <c r="AV738" s="1" t="s">
        <v>175</v>
      </c>
      <c r="AW738" s="1">
        <v>88.53</v>
      </c>
      <c r="AX738" s="1"/>
      <c r="AY738" s="1" t="s">
        <v>258</v>
      </c>
      <c r="AZ738" s="1" t="s">
        <v>13768</v>
      </c>
      <c r="BA738" s="1" t="s">
        <v>578</v>
      </c>
      <c r="BB738" s="1" t="s">
        <v>467</v>
      </c>
      <c r="BC738" s="1" t="s">
        <v>847</v>
      </c>
      <c r="BD738" s="1" t="s">
        <v>179</v>
      </c>
      <c r="BE738" s="1">
        <v>80.38</v>
      </c>
      <c r="BF738" s="1">
        <v>8.94</v>
      </c>
      <c r="BG738" s="1"/>
      <c r="BH738" s="1"/>
      <c r="BI738" s="1"/>
      <c r="BJ738" s="1"/>
      <c r="BK738" s="1"/>
      <c r="BL738" s="1"/>
      <c r="BM738" s="1"/>
      <c r="BN738" s="1"/>
      <c r="BO738" s="1" t="s">
        <v>13769</v>
      </c>
      <c r="BP738" s="1" t="s">
        <v>13770</v>
      </c>
      <c r="BQ738" s="1" t="s">
        <v>6365</v>
      </c>
      <c r="BR738" s="1" t="s">
        <v>13771</v>
      </c>
      <c r="BS738" s="1">
        <v>38</v>
      </c>
      <c r="BT738" s="1" t="s">
        <v>13772</v>
      </c>
      <c r="BU738" s="1" t="str">
        <f>HYPERLINK("https://nconnect.nicmar.ac.in/storage/profile/ProfilePhoto_P25700747_987124.jpg","Download")</f>
        <v>0</v>
      </c>
      <c r="BV738" s="3"/>
      <c r="BW738" s="4">
        <v>1</v>
      </c>
    </row>
    <row r="739" spans="1:75">
      <c r="A739" s="1" t="s">
        <v>75</v>
      </c>
      <c r="B739" s="1" t="s">
        <v>446</v>
      </c>
      <c r="C739" s="1" t="s">
        <v>13773</v>
      </c>
      <c r="D739" s="1" t="s">
        <v>13774</v>
      </c>
      <c r="E739" s="1"/>
      <c r="F739" s="1" t="s">
        <v>7759</v>
      </c>
      <c r="G739" s="1" t="s">
        <v>13775</v>
      </c>
      <c r="H739" s="1" t="s">
        <v>13776</v>
      </c>
      <c r="I739" s="1" t="s">
        <v>13777</v>
      </c>
      <c r="J739" s="1">
        <v>9052255892</v>
      </c>
      <c r="K739" s="1" t="s">
        <v>84</v>
      </c>
      <c r="L739" s="1" t="s">
        <v>13778</v>
      </c>
      <c r="M739" s="1" t="s">
        <v>86</v>
      </c>
      <c r="N739" s="1" t="s">
        <v>13779</v>
      </c>
      <c r="O739" s="1"/>
      <c r="P739" s="1" t="s">
        <v>455</v>
      </c>
      <c r="Q739" s="1" t="s">
        <v>13780</v>
      </c>
      <c r="R739" s="1" t="s">
        <v>13781</v>
      </c>
      <c r="S739" s="1">
        <v>9948438837</v>
      </c>
      <c r="T739" s="1" t="s">
        <v>839</v>
      </c>
      <c r="U739" s="1" t="s">
        <v>13782</v>
      </c>
      <c r="V739" s="1">
        <v>9666638837</v>
      </c>
      <c r="W739" s="1" t="s">
        <v>541</v>
      </c>
      <c r="X739" s="1" t="s">
        <v>11724</v>
      </c>
      <c r="Y739" s="1" t="s">
        <v>196</v>
      </c>
      <c r="Z739" s="1" t="s">
        <v>97</v>
      </c>
      <c r="AA739" s="1" t="s">
        <v>13783</v>
      </c>
      <c r="AB739" s="1" t="s">
        <v>3031</v>
      </c>
      <c r="AC739" s="1" t="s">
        <v>461</v>
      </c>
      <c r="AD739" s="1">
        <v>7.44</v>
      </c>
      <c r="AE739" s="1" t="s">
        <v>98</v>
      </c>
      <c r="AF739" s="1" t="s">
        <v>13784</v>
      </c>
      <c r="AG739" s="1" t="s">
        <v>13785</v>
      </c>
      <c r="AH739" s="1" t="s">
        <v>166</v>
      </c>
      <c r="AI739" s="1" t="s">
        <v>1111</v>
      </c>
      <c r="AJ739" s="1">
        <v>87.4</v>
      </c>
      <c r="AK739" s="1">
        <v>9.2</v>
      </c>
      <c r="AL739" s="1" t="s">
        <v>3033</v>
      </c>
      <c r="AM739" s="1" t="s">
        <v>13785</v>
      </c>
      <c r="AN739" s="1" t="s">
        <v>465</v>
      </c>
      <c r="AO739" s="1" t="s">
        <v>170</v>
      </c>
      <c r="AP739" s="1" t="s">
        <v>286</v>
      </c>
      <c r="AQ739" s="1">
        <v>81.01</v>
      </c>
      <c r="AR739" s="1">
        <v>0</v>
      </c>
      <c r="AS739" s="1"/>
      <c r="AT739" s="1"/>
      <c r="AU739" s="1"/>
      <c r="AV739" s="1"/>
      <c r="AW739" s="1"/>
      <c r="AX739" s="1"/>
      <c r="AY739" s="1" t="s">
        <v>5533</v>
      </c>
      <c r="AZ739" s="1" t="s">
        <v>13786</v>
      </c>
      <c r="BA739" s="1" t="s">
        <v>682</v>
      </c>
      <c r="BB739" s="1" t="s">
        <v>683</v>
      </c>
      <c r="BC739" s="1" t="s">
        <v>1065</v>
      </c>
      <c r="BD739" s="1" t="s">
        <v>234</v>
      </c>
      <c r="BE739" s="1">
        <v>61.8</v>
      </c>
      <c r="BF739" s="1">
        <v>6.68</v>
      </c>
      <c r="BG739" s="1"/>
      <c r="BH739" s="1"/>
      <c r="BI739" s="1"/>
      <c r="BJ739" s="1"/>
      <c r="BK739" s="1"/>
      <c r="BL739" s="1"/>
      <c r="BM739" s="1"/>
      <c r="BN739" s="1"/>
      <c r="BO739" s="1" t="s">
        <v>13787</v>
      </c>
      <c r="BP739" s="1" t="s">
        <v>13788</v>
      </c>
      <c r="BQ739" s="1" t="s">
        <v>292</v>
      </c>
      <c r="BR739" s="1" t="s">
        <v>13789</v>
      </c>
      <c r="BS739" s="1">
        <v>27</v>
      </c>
      <c r="BT739" s="1" t="s">
        <v>13790</v>
      </c>
      <c r="BU739" s="1" t="str">
        <f>HYPERLINK("https://nconnect.nicmar.ac.in/storage/profile/ProfilePhoto_P25700748_457291.jpg","Download")</f>
        <v>0</v>
      </c>
      <c r="BV739" s="3"/>
      <c r="BW739" s="3"/>
    </row>
    <row r="740" spans="1:75">
      <c r="A740" s="1" t="s">
        <v>75</v>
      </c>
      <c r="B740" s="1" t="s">
        <v>446</v>
      </c>
      <c r="C740" s="1" t="s">
        <v>13791</v>
      </c>
      <c r="D740" s="1" t="s">
        <v>1893</v>
      </c>
      <c r="E740" s="1" t="s">
        <v>13792</v>
      </c>
      <c r="F740" s="1" t="s">
        <v>1179</v>
      </c>
      <c r="G740" s="1" t="s">
        <v>13793</v>
      </c>
      <c r="H740" s="1" t="s">
        <v>13794</v>
      </c>
      <c r="I740" s="1" t="s">
        <v>13795</v>
      </c>
      <c r="J740" s="1">
        <v>9022524954</v>
      </c>
      <c r="K740" s="1" t="s">
        <v>84</v>
      </c>
      <c r="L740" s="1" t="s">
        <v>13796</v>
      </c>
      <c r="M740" s="1" t="s">
        <v>86</v>
      </c>
      <c r="N740" s="1" t="s">
        <v>7467</v>
      </c>
      <c r="O740" s="1"/>
      <c r="P740" s="1" t="s">
        <v>507</v>
      </c>
      <c r="Q740" s="1" t="s">
        <v>13797</v>
      </c>
      <c r="R740" s="1" t="s">
        <v>13798</v>
      </c>
      <c r="S740" s="1">
        <v>8529530120</v>
      </c>
      <c r="T740" s="1" t="s">
        <v>1104</v>
      </c>
      <c r="U740" s="1" t="s">
        <v>5271</v>
      </c>
      <c r="V740" s="1">
        <v>8529530120</v>
      </c>
      <c r="W740" s="1" t="s">
        <v>161</v>
      </c>
      <c r="X740" s="1" t="s">
        <v>13799</v>
      </c>
      <c r="Y740" s="1" t="s">
        <v>5659</v>
      </c>
      <c r="Z740" s="1" t="s">
        <v>97</v>
      </c>
      <c r="AA740" s="1" t="s">
        <v>13799</v>
      </c>
      <c r="AB740" s="1" t="s">
        <v>5659</v>
      </c>
      <c r="AC740" s="1" t="s">
        <v>97</v>
      </c>
      <c r="AD740" s="1">
        <v>8.15</v>
      </c>
      <c r="AE740" s="1" t="s">
        <v>98</v>
      </c>
      <c r="AF740" s="1" t="s">
        <v>5660</v>
      </c>
      <c r="AG740" s="1" t="s">
        <v>996</v>
      </c>
      <c r="AH740" s="1" t="s">
        <v>167</v>
      </c>
      <c r="AI740" s="1" t="s">
        <v>573</v>
      </c>
      <c r="AJ740" s="1">
        <v>84.2</v>
      </c>
      <c r="AK740" s="1"/>
      <c r="AL740" s="1" t="s">
        <v>13800</v>
      </c>
      <c r="AM740" s="1" t="s">
        <v>996</v>
      </c>
      <c r="AN740" s="1" t="s">
        <v>575</v>
      </c>
      <c r="AO740" s="1" t="s">
        <v>490</v>
      </c>
      <c r="AP740" s="1" t="s">
        <v>547</v>
      </c>
      <c r="AQ740" s="1">
        <v>70.92</v>
      </c>
      <c r="AR740" s="1"/>
      <c r="AS740" s="1"/>
      <c r="AT740" s="1"/>
      <c r="AU740" s="1"/>
      <c r="AV740" s="1"/>
      <c r="AW740" s="1"/>
      <c r="AX740" s="1"/>
      <c r="AY740" s="1" t="s">
        <v>13801</v>
      </c>
      <c r="AZ740" s="1" t="s">
        <v>13802</v>
      </c>
      <c r="BA740" s="1" t="s">
        <v>578</v>
      </c>
      <c r="BB740" s="1" t="s">
        <v>467</v>
      </c>
      <c r="BC740" s="1" t="s">
        <v>206</v>
      </c>
      <c r="BD740" s="1" t="s">
        <v>179</v>
      </c>
      <c r="BE740" s="1">
        <v>74.72</v>
      </c>
      <c r="BF740" s="1"/>
      <c r="BG740" s="1"/>
      <c r="BH740" s="1"/>
      <c r="BI740" s="1"/>
      <c r="BJ740" s="1"/>
      <c r="BK740" s="1"/>
      <c r="BL740" s="1"/>
      <c r="BM740" s="1"/>
      <c r="BN740" s="1"/>
      <c r="BO740" s="1" t="s">
        <v>13803</v>
      </c>
      <c r="BP740" s="1" t="s">
        <v>13804</v>
      </c>
      <c r="BQ740" s="1" t="s">
        <v>757</v>
      </c>
      <c r="BR740" s="1" t="s">
        <v>13805</v>
      </c>
      <c r="BS740" s="1">
        <v>25</v>
      </c>
      <c r="BT740" s="1"/>
      <c r="BU740" s="1" t="str">
        <f>HYPERLINK("https://nconnect.nicmar.ac.in/storage/profile/ProfilePhoto_P25700749_463951.jpg","Download")</f>
        <v>0</v>
      </c>
      <c r="BV740" s="3"/>
      <c r="BW740" s="3"/>
    </row>
    <row r="741" spans="1:75">
      <c r="A741" s="1" t="s">
        <v>75</v>
      </c>
      <c r="B741" s="1" t="s">
        <v>446</v>
      </c>
      <c r="C741" s="1" t="s">
        <v>13806</v>
      </c>
      <c r="D741" s="1" t="s">
        <v>13807</v>
      </c>
      <c r="E741" s="1" t="s">
        <v>12165</v>
      </c>
      <c r="F741" s="1" t="s">
        <v>13808</v>
      </c>
      <c r="G741" s="1" t="s">
        <v>13809</v>
      </c>
      <c r="H741" s="1" t="s">
        <v>13810</v>
      </c>
      <c r="I741" s="1" t="s">
        <v>13811</v>
      </c>
      <c r="J741" s="1">
        <v>9409672677</v>
      </c>
      <c r="K741" s="1" t="s">
        <v>153</v>
      </c>
      <c r="L741" s="1" t="s">
        <v>7943</v>
      </c>
      <c r="M741" s="1" t="s">
        <v>86</v>
      </c>
      <c r="N741" s="1" t="s">
        <v>7185</v>
      </c>
      <c r="O741" s="1"/>
      <c r="P741" s="1" t="s">
        <v>1028</v>
      </c>
      <c r="Q741" s="1" t="s">
        <v>13812</v>
      </c>
      <c r="R741" s="1" t="s">
        <v>13813</v>
      </c>
      <c r="S741" s="1">
        <v>9426833608</v>
      </c>
      <c r="T741" s="1" t="s">
        <v>926</v>
      </c>
      <c r="U741" s="1" t="s">
        <v>13814</v>
      </c>
      <c r="V741" s="1">
        <v>8200824257</v>
      </c>
      <c r="W741" s="1" t="s">
        <v>161</v>
      </c>
      <c r="X741" s="1" t="s">
        <v>13815</v>
      </c>
      <c r="Y741" s="1" t="s">
        <v>13816</v>
      </c>
      <c r="Z741" s="1" t="s">
        <v>676</v>
      </c>
      <c r="AA741" s="1" t="s">
        <v>13815</v>
      </c>
      <c r="AB741" s="1" t="s">
        <v>13816</v>
      </c>
      <c r="AC741" s="1" t="s">
        <v>676</v>
      </c>
      <c r="AD741" s="1">
        <v>8.92</v>
      </c>
      <c r="AE741" s="1" t="s">
        <v>98</v>
      </c>
      <c r="AF741" s="1" t="s">
        <v>13817</v>
      </c>
      <c r="AG741" s="1" t="s">
        <v>13817</v>
      </c>
      <c r="AH741" s="1" t="s">
        <v>170</v>
      </c>
      <c r="AI741" s="1" t="s">
        <v>106</v>
      </c>
      <c r="AJ741" s="1">
        <v>86.4</v>
      </c>
      <c r="AK741" s="1">
        <v>0</v>
      </c>
      <c r="AL741" s="1" t="s">
        <v>13818</v>
      </c>
      <c r="AM741" s="1" t="s">
        <v>13818</v>
      </c>
      <c r="AN741" s="1" t="s">
        <v>465</v>
      </c>
      <c r="AO741" s="1" t="s">
        <v>438</v>
      </c>
      <c r="AP741" s="1" t="s">
        <v>468</v>
      </c>
      <c r="AQ741" s="1">
        <v>60.6</v>
      </c>
      <c r="AR741" s="1">
        <v>0</v>
      </c>
      <c r="AS741" s="1"/>
      <c r="AT741" s="1"/>
      <c r="AU741" s="1"/>
      <c r="AV741" s="1"/>
      <c r="AW741" s="1"/>
      <c r="AX741" s="1"/>
      <c r="AY741" s="1" t="s">
        <v>13819</v>
      </c>
      <c r="AZ741" s="1" t="s">
        <v>13820</v>
      </c>
      <c r="BA741" s="1" t="s">
        <v>682</v>
      </c>
      <c r="BB741" s="1" t="s">
        <v>1561</v>
      </c>
      <c r="BC741" s="1" t="s">
        <v>175</v>
      </c>
      <c r="BD741" s="1" t="s">
        <v>1401</v>
      </c>
      <c r="BE741" s="1">
        <v>68.9</v>
      </c>
      <c r="BF741" s="1">
        <v>0</v>
      </c>
      <c r="BG741" s="1"/>
      <c r="BH741" s="1"/>
      <c r="BI741" s="1"/>
      <c r="BJ741" s="1"/>
      <c r="BK741" s="1"/>
      <c r="BL741" s="1"/>
      <c r="BM741" s="1"/>
      <c r="BN741" s="1"/>
      <c r="BO741" s="1" t="s">
        <v>13821</v>
      </c>
      <c r="BP741" s="1"/>
      <c r="BQ741" s="1"/>
      <c r="BR741" s="1" t="s">
        <v>13822</v>
      </c>
      <c r="BS741" s="1">
        <v>40</v>
      </c>
      <c r="BT741" s="1" t="s">
        <v>13823</v>
      </c>
      <c r="BU741" s="1" t="str">
        <f>HYPERLINK("https://nconnect.nicmar.ac.in/storage/profile/ProfilePhoto_P25700750_571468.jpg","Download")</f>
        <v>0</v>
      </c>
      <c r="BV741" s="3"/>
      <c r="BW741" s="3"/>
    </row>
    <row r="742" spans="1:75">
      <c r="A742" s="1" t="s">
        <v>75</v>
      </c>
      <c r="B742" s="1" t="s">
        <v>446</v>
      </c>
      <c r="C742" s="1" t="s">
        <v>13824</v>
      </c>
      <c r="D742" s="1" t="s">
        <v>5752</v>
      </c>
      <c r="E742" s="1" t="s">
        <v>2168</v>
      </c>
      <c r="F742" s="1" t="s">
        <v>13825</v>
      </c>
      <c r="G742" s="1" t="s">
        <v>13826</v>
      </c>
      <c r="H742" s="1" t="s">
        <v>13827</v>
      </c>
      <c r="I742" s="1" t="s">
        <v>13828</v>
      </c>
      <c r="J742" s="1">
        <v>8767100704</v>
      </c>
      <c r="K742" s="1" t="s">
        <v>84</v>
      </c>
      <c r="L742" s="1" t="s">
        <v>13829</v>
      </c>
      <c r="M742" s="1" t="s">
        <v>86</v>
      </c>
      <c r="N742" s="1" t="s">
        <v>903</v>
      </c>
      <c r="O742" s="1"/>
      <c r="P742" s="1" t="s">
        <v>455</v>
      </c>
      <c r="Q742" s="1" t="s">
        <v>13830</v>
      </c>
      <c r="R742" s="1" t="s">
        <v>2168</v>
      </c>
      <c r="S742" s="1">
        <v>9623446029</v>
      </c>
      <c r="T742" s="1" t="s">
        <v>926</v>
      </c>
      <c r="U742" s="1" t="s">
        <v>8522</v>
      </c>
      <c r="V742" s="1">
        <v>9623446022</v>
      </c>
      <c r="W742" s="1" t="s">
        <v>161</v>
      </c>
      <c r="X742" s="1" t="s">
        <v>13831</v>
      </c>
      <c r="Y742" s="1" t="s">
        <v>5181</v>
      </c>
      <c r="Z742" s="1" t="s">
        <v>97</v>
      </c>
      <c r="AA742" s="1" t="s">
        <v>13831</v>
      </c>
      <c r="AB742" s="1" t="s">
        <v>5181</v>
      </c>
      <c r="AC742" s="1" t="s">
        <v>97</v>
      </c>
      <c r="AD742" s="1">
        <v>8.59</v>
      </c>
      <c r="AE742" s="1" t="s">
        <v>98</v>
      </c>
      <c r="AF742" s="1" t="s">
        <v>13832</v>
      </c>
      <c r="AG742" s="1" t="s">
        <v>312</v>
      </c>
      <c r="AH742" s="1" t="s">
        <v>106</v>
      </c>
      <c r="AI742" s="1" t="s">
        <v>313</v>
      </c>
      <c r="AJ742" s="1">
        <v>75.04</v>
      </c>
      <c r="AK742" s="1"/>
      <c r="AL742" s="1" t="s">
        <v>13833</v>
      </c>
      <c r="AM742" s="1" t="s">
        <v>13834</v>
      </c>
      <c r="AN742" s="1" t="s">
        <v>465</v>
      </c>
      <c r="AO742" s="1" t="s">
        <v>468</v>
      </c>
      <c r="AP742" s="1" t="s">
        <v>441</v>
      </c>
      <c r="AQ742" s="1">
        <v>88.5</v>
      </c>
      <c r="AR742" s="1"/>
      <c r="AS742" s="1"/>
      <c r="AT742" s="1"/>
      <c r="AU742" s="1"/>
      <c r="AV742" s="1"/>
      <c r="AW742" s="1"/>
      <c r="AX742" s="1"/>
      <c r="AY742" s="1" t="s">
        <v>13835</v>
      </c>
      <c r="AZ742" s="1" t="s">
        <v>13836</v>
      </c>
      <c r="BA742" s="1" t="s">
        <v>578</v>
      </c>
      <c r="BB742" s="1" t="s">
        <v>467</v>
      </c>
      <c r="BC742" s="1" t="s">
        <v>441</v>
      </c>
      <c r="BD742" s="1" t="s">
        <v>848</v>
      </c>
      <c r="BE742" s="1">
        <v>69</v>
      </c>
      <c r="BF742" s="1">
        <v>7.65</v>
      </c>
      <c r="BG742" s="1"/>
      <c r="BH742" s="1"/>
      <c r="BI742" s="1"/>
      <c r="BJ742" s="1"/>
      <c r="BK742" s="1"/>
      <c r="BL742" s="1"/>
      <c r="BM742" s="1"/>
      <c r="BN742" s="1"/>
      <c r="BO742" s="1" t="s">
        <v>1114</v>
      </c>
      <c r="BP742" s="1"/>
      <c r="BQ742" s="1"/>
      <c r="BR742" s="1" t="s">
        <v>13837</v>
      </c>
      <c r="BS742" s="1">
        <v>15</v>
      </c>
      <c r="BT742" s="1" t="s">
        <v>13838</v>
      </c>
      <c r="BU742" s="1" t="str">
        <f>HYPERLINK("https://nconnect.nicmar.ac.in/storage/profile/ProfilePhoto_P25700751_185649.jpg","Download")</f>
        <v>0</v>
      </c>
      <c r="BV742" s="3"/>
      <c r="BW742" s="3"/>
    </row>
    <row r="743" spans="1:75">
      <c r="A743" s="1" t="s">
        <v>75</v>
      </c>
      <c r="B743" s="1" t="s">
        <v>446</v>
      </c>
      <c r="C743" s="1" t="s">
        <v>13839</v>
      </c>
      <c r="D743" s="1" t="s">
        <v>13840</v>
      </c>
      <c r="E743" s="1" t="s">
        <v>186</v>
      </c>
      <c r="F743" s="1" t="s">
        <v>13841</v>
      </c>
      <c r="G743" s="1" t="s">
        <v>13842</v>
      </c>
      <c r="H743" s="1" t="s">
        <v>13843</v>
      </c>
      <c r="I743" s="1" t="s">
        <v>13844</v>
      </c>
      <c r="J743" s="1">
        <v>7338470128</v>
      </c>
      <c r="K743" s="1" t="s">
        <v>153</v>
      </c>
      <c r="L743" s="1" t="s">
        <v>8503</v>
      </c>
      <c r="M743" s="1" t="s">
        <v>86</v>
      </c>
      <c r="N743" s="1" t="s">
        <v>13845</v>
      </c>
      <c r="O743" s="1"/>
      <c r="P743" s="1" t="s">
        <v>481</v>
      </c>
      <c r="Q743" s="1" t="s">
        <v>13846</v>
      </c>
      <c r="R743" s="1" t="s">
        <v>13847</v>
      </c>
      <c r="S743" s="1">
        <v>9480454967</v>
      </c>
      <c r="T743" s="1" t="s">
        <v>1552</v>
      </c>
      <c r="U743" s="1" t="s">
        <v>13848</v>
      </c>
      <c r="V743" s="1">
        <v>9986002722</v>
      </c>
      <c r="W743" s="1" t="s">
        <v>1552</v>
      </c>
      <c r="X743" s="1" t="s">
        <v>13849</v>
      </c>
      <c r="Y743" s="1" t="s">
        <v>6871</v>
      </c>
      <c r="Z743" s="1" t="s">
        <v>1210</v>
      </c>
      <c r="AA743" s="1" t="s">
        <v>13849</v>
      </c>
      <c r="AB743" s="1" t="s">
        <v>6871</v>
      </c>
      <c r="AC743" s="1" t="s">
        <v>1210</v>
      </c>
      <c r="AD743" s="1">
        <v>7.9</v>
      </c>
      <c r="AE743" s="1" t="s">
        <v>98</v>
      </c>
      <c r="AF743" s="1" t="s">
        <v>13850</v>
      </c>
      <c r="AG743" s="1" t="s">
        <v>312</v>
      </c>
      <c r="AH743" s="1" t="s">
        <v>167</v>
      </c>
      <c r="AI743" s="1" t="s">
        <v>170</v>
      </c>
      <c r="AJ743" s="1">
        <v>81.7</v>
      </c>
      <c r="AK743" s="1">
        <v>8</v>
      </c>
      <c r="AL743" s="1" t="s">
        <v>13851</v>
      </c>
      <c r="AM743" s="1" t="s">
        <v>13852</v>
      </c>
      <c r="AN743" s="1" t="s">
        <v>465</v>
      </c>
      <c r="AO743" s="1" t="s">
        <v>5535</v>
      </c>
      <c r="AP743" s="1" t="s">
        <v>109</v>
      </c>
      <c r="AQ743" s="1">
        <v>79.5</v>
      </c>
      <c r="AR743" s="1">
        <v>8</v>
      </c>
      <c r="AS743" s="1"/>
      <c r="AT743" s="1"/>
      <c r="AU743" s="1"/>
      <c r="AV743" s="1"/>
      <c r="AW743" s="1"/>
      <c r="AX743" s="1"/>
      <c r="AY743" s="1" t="s">
        <v>13853</v>
      </c>
      <c r="AZ743" s="1" t="s">
        <v>13854</v>
      </c>
      <c r="BA743" s="1" t="s">
        <v>682</v>
      </c>
      <c r="BB743" s="1" t="s">
        <v>1561</v>
      </c>
      <c r="BC743" s="1" t="s">
        <v>2863</v>
      </c>
      <c r="BD743" s="1" t="s">
        <v>1268</v>
      </c>
      <c r="BE743" s="1">
        <v>66.5</v>
      </c>
      <c r="BF743" s="1">
        <v>7.4</v>
      </c>
      <c r="BG743" s="1"/>
      <c r="BH743" s="1"/>
      <c r="BI743" s="1"/>
      <c r="BJ743" s="1"/>
      <c r="BK743" s="1"/>
      <c r="BL743" s="1"/>
      <c r="BM743" s="1"/>
      <c r="BN743" s="1"/>
      <c r="BO743" s="1" t="s">
        <v>13855</v>
      </c>
      <c r="BP743" s="1"/>
      <c r="BQ743" s="1"/>
      <c r="BR743" s="1" t="s">
        <v>13856</v>
      </c>
      <c r="BS743" s="1">
        <v>24</v>
      </c>
      <c r="BT743" s="1" t="s">
        <v>13857</v>
      </c>
      <c r="BU743" s="1" t="str">
        <f>HYPERLINK("https://nconnect.nicmar.ac.in/storage/profile/ProfilePhoto_P25700752_395618.jpg","Download")</f>
        <v>0</v>
      </c>
      <c r="BV743" s="3"/>
      <c r="BW743" s="3"/>
    </row>
    <row r="744" spans="1:75">
      <c r="A744" s="1" t="s">
        <v>75</v>
      </c>
      <c r="B744" s="1" t="s">
        <v>446</v>
      </c>
      <c r="C744" s="1" t="s">
        <v>13858</v>
      </c>
      <c r="D744" s="1" t="s">
        <v>897</v>
      </c>
      <c r="E744" s="1" t="s">
        <v>6692</v>
      </c>
      <c r="F744" s="1" t="s">
        <v>13859</v>
      </c>
      <c r="G744" s="1" t="s">
        <v>13860</v>
      </c>
      <c r="H744" s="1" t="s">
        <v>13861</v>
      </c>
      <c r="I744" s="1" t="s">
        <v>13862</v>
      </c>
      <c r="J744" s="1">
        <v>9112221126</v>
      </c>
      <c r="K744" s="1" t="s">
        <v>84</v>
      </c>
      <c r="L744" s="1" t="s">
        <v>13863</v>
      </c>
      <c r="M744" s="1" t="s">
        <v>86</v>
      </c>
      <c r="N744" s="1" t="s">
        <v>618</v>
      </c>
      <c r="O744" s="1"/>
      <c r="P744" s="1" t="s">
        <v>455</v>
      </c>
      <c r="Q744" s="1" t="s">
        <v>13864</v>
      </c>
      <c r="R744" s="1" t="s">
        <v>13865</v>
      </c>
      <c r="S744" s="1">
        <v>9112221106</v>
      </c>
      <c r="T744" s="1" t="s">
        <v>645</v>
      </c>
      <c r="U744" s="1" t="s">
        <v>13866</v>
      </c>
      <c r="V744" s="1">
        <v>9762252869</v>
      </c>
      <c r="W744" s="1" t="s">
        <v>13867</v>
      </c>
      <c r="X744" s="1" t="s">
        <v>13868</v>
      </c>
      <c r="Y744" s="1" t="s">
        <v>196</v>
      </c>
      <c r="Z744" s="1" t="s">
        <v>97</v>
      </c>
      <c r="AA744" s="1" t="s">
        <v>13869</v>
      </c>
      <c r="AB744" s="1" t="s">
        <v>910</v>
      </c>
      <c r="AC744" s="1" t="s">
        <v>97</v>
      </c>
      <c r="AD744" s="1">
        <v>7.54</v>
      </c>
      <c r="AE744" s="1" t="s">
        <v>98</v>
      </c>
      <c r="AF744" s="1" t="s">
        <v>13870</v>
      </c>
      <c r="AG744" s="1" t="s">
        <v>996</v>
      </c>
      <c r="AH744" s="1" t="s">
        <v>13871</v>
      </c>
      <c r="AI744" s="1" t="s">
        <v>200</v>
      </c>
      <c r="AJ744" s="1">
        <v>59.2</v>
      </c>
      <c r="AK744" s="1"/>
      <c r="AL744" s="1"/>
      <c r="AM744" s="1"/>
      <c r="AN744" s="1" t="s">
        <v>2635</v>
      </c>
      <c r="AO744" s="1"/>
      <c r="AP744" s="1"/>
      <c r="AQ744" s="1"/>
      <c r="AR744" s="1"/>
      <c r="AS744" s="1" t="s">
        <v>439</v>
      </c>
      <c r="AT744" s="1" t="s">
        <v>13872</v>
      </c>
      <c r="AU744" s="1" t="s">
        <v>230</v>
      </c>
      <c r="AV744" s="1" t="s">
        <v>233</v>
      </c>
      <c r="AW744" s="1">
        <v>85.11</v>
      </c>
      <c r="AX744" s="1"/>
      <c r="AY744" s="1" t="s">
        <v>3174</v>
      </c>
      <c r="AZ744" s="1" t="s">
        <v>13873</v>
      </c>
      <c r="BA744" s="1" t="s">
        <v>578</v>
      </c>
      <c r="BB744" s="1" t="s">
        <v>467</v>
      </c>
      <c r="BC744" s="1" t="s">
        <v>368</v>
      </c>
      <c r="BD744" s="1" t="s">
        <v>4093</v>
      </c>
      <c r="BE744" s="1">
        <v>78.24</v>
      </c>
      <c r="BF744" s="1">
        <v>8.52</v>
      </c>
      <c r="BG744" s="1"/>
      <c r="BH744" s="1"/>
      <c r="BI744" s="1"/>
      <c r="BJ744" s="1"/>
      <c r="BK744" s="1"/>
      <c r="BL744" s="1"/>
      <c r="BM744" s="1"/>
      <c r="BN744" s="1"/>
      <c r="BO744" s="1" t="s">
        <v>13874</v>
      </c>
      <c r="BP744" s="1" t="s">
        <v>13875</v>
      </c>
      <c r="BQ744" s="1" t="s">
        <v>2245</v>
      </c>
      <c r="BR744" s="1" t="s">
        <v>13876</v>
      </c>
      <c r="BS744" s="1">
        <v>8</v>
      </c>
      <c r="BT744" s="1"/>
      <c r="BU744" s="1" t="str">
        <f>HYPERLINK("https://nconnect.nicmar.ac.in/storage/profile/ProfilePhoto_P25700753_639218.jpg","Download")</f>
        <v>0</v>
      </c>
      <c r="BV744" s="3"/>
      <c r="BW744" s="3"/>
    </row>
    <row r="745" spans="1:75">
      <c r="A745" s="1" t="s">
        <v>75</v>
      </c>
      <c r="B745" s="1" t="s">
        <v>446</v>
      </c>
      <c r="C745" s="1" t="s">
        <v>13877</v>
      </c>
      <c r="D745" s="1" t="s">
        <v>9889</v>
      </c>
      <c r="E745" s="1" t="s">
        <v>2659</v>
      </c>
      <c r="F745" s="1" t="s">
        <v>13878</v>
      </c>
      <c r="G745" s="1" t="s">
        <v>13879</v>
      </c>
      <c r="H745" s="1" t="s">
        <v>13880</v>
      </c>
      <c r="I745" s="1" t="s">
        <v>13881</v>
      </c>
      <c r="J745" s="1">
        <v>9545691000</v>
      </c>
      <c r="K745" s="1" t="s">
        <v>84</v>
      </c>
      <c r="L745" s="1" t="s">
        <v>13882</v>
      </c>
      <c r="M745" s="1" t="s">
        <v>86</v>
      </c>
      <c r="N745" s="1" t="s">
        <v>618</v>
      </c>
      <c r="O745" s="1"/>
      <c r="P745" s="1" t="s">
        <v>455</v>
      </c>
      <c r="Q745" s="1" t="s">
        <v>13883</v>
      </c>
      <c r="R745" s="1" t="s">
        <v>2659</v>
      </c>
      <c r="S745" s="1">
        <v>9850406909</v>
      </c>
      <c r="T745" s="1" t="s">
        <v>159</v>
      </c>
      <c r="U745" s="1" t="s">
        <v>2178</v>
      </c>
      <c r="V745" s="1">
        <v>9422068022</v>
      </c>
      <c r="W745" s="1" t="s">
        <v>161</v>
      </c>
      <c r="X745" s="1" t="s">
        <v>13884</v>
      </c>
      <c r="Y745" s="1" t="s">
        <v>163</v>
      </c>
      <c r="Z745" s="1" t="s">
        <v>97</v>
      </c>
      <c r="AA745" s="1" t="s">
        <v>13884</v>
      </c>
      <c r="AB745" s="1" t="s">
        <v>163</v>
      </c>
      <c r="AC745" s="1" t="s">
        <v>97</v>
      </c>
      <c r="AD745" s="1">
        <v>8.33</v>
      </c>
      <c r="AE745" s="1" t="s">
        <v>98</v>
      </c>
      <c r="AF745" s="1" t="s">
        <v>13885</v>
      </c>
      <c r="AG745" s="1" t="s">
        <v>996</v>
      </c>
      <c r="AH745" s="1" t="s">
        <v>342</v>
      </c>
      <c r="AI745" s="1" t="s">
        <v>200</v>
      </c>
      <c r="AJ745" s="1">
        <v>81.4</v>
      </c>
      <c r="AK745" s="1"/>
      <c r="AL745" s="1" t="s">
        <v>13886</v>
      </c>
      <c r="AM745" s="1" t="s">
        <v>996</v>
      </c>
      <c r="AN745" s="1" t="s">
        <v>575</v>
      </c>
      <c r="AO745" s="1" t="s">
        <v>388</v>
      </c>
      <c r="AP745" s="1" t="s">
        <v>203</v>
      </c>
      <c r="AQ745" s="1">
        <v>56</v>
      </c>
      <c r="AR745" s="1"/>
      <c r="AS745" s="1"/>
      <c r="AT745" s="1"/>
      <c r="AU745" s="1"/>
      <c r="AV745" s="1"/>
      <c r="AW745" s="1"/>
      <c r="AX745" s="1"/>
      <c r="AY745" s="1" t="s">
        <v>1038</v>
      </c>
      <c r="AZ745" s="1" t="s">
        <v>13887</v>
      </c>
      <c r="BA745" s="1" t="s">
        <v>466</v>
      </c>
      <c r="BB745" s="1" t="s">
        <v>467</v>
      </c>
      <c r="BC745" s="1" t="s">
        <v>438</v>
      </c>
      <c r="BD745" s="1" t="s">
        <v>1089</v>
      </c>
      <c r="BE745" s="1">
        <v>75.75</v>
      </c>
      <c r="BF745" s="1">
        <v>8.05</v>
      </c>
      <c r="BG745" s="1"/>
      <c r="BH745" s="1"/>
      <c r="BI745" s="1"/>
      <c r="BJ745" s="1"/>
      <c r="BK745" s="1"/>
      <c r="BL745" s="1"/>
      <c r="BM745" s="1"/>
      <c r="BN745" s="1"/>
      <c r="BO745" s="1" t="s">
        <v>13888</v>
      </c>
      <c r="BP745" s="1" t="s">
        <v>13889</v>
      </c>
      <c r="BQ745" s="1" t="s">
        <v>757</v>
      </c>
      <c r="BR745" s="1" t="s">
        <v>13890</v>
      </c>
      <c r="BS745" s="1">
        <v>8</v>
      </c>
      <c r="BT745" s="1"/>
      <c r="BU745" s="1" t="str">
        <f>HYPERLINK("https://nconnect.nicmar.ac.in/storage/profile/ProfilePhoto_P25700754_876213.jpg","Download")</f>
        <v>0</v>
      </c>
      <c r="BV745" s="3"/>
      <c r="BW745" s="3"/>
    </row>
    <row r="746" spans="1:75">
      <c r="A746" s="1" t="s">
        <v>75</v>
      </c>
      <c r="B746" s="1" t="s">
        <v>446</v>
      </c>
      <c r="C746" s="1" t="s">
        <v>13891</v>
      </c>
      <c r="D746" s="1" t="s">
        <v>13892</v>
      </c>
      <c r="E746" s="1" t="s">
        <v>1669</v>
      </c>
      <c r="F746" s="1" t="s">
        <v>13893</v>
      </c>
      <c r="G746" s="1" t="s">
        <v>13894</v>
      </c>
      <c r="H746" s="1" t="s">
        <v>13895</v>
      </c>
      <c r="I746" s="1" t="s">
        <v>13896</v>
      </c>
      <c r="J746" s="1">
        <v>7620324474</v>
      </c>
      <c r="K746" s="1" t="s">
        <v>84</v>
      </c>
      <c r="L746" s="1" t="s">
        <v>13897</v>
      </c>
      <c r="M746" s="1" t="s">
        <v>86</v>
      </c>
      <c r="N746" s="1" t="s">
        <v>1163</v>
      </c>
      <c r="O746" s="1"/>
      <c r="P746" s="1" t="s">
        <v>455</v>
      </c>
      <c r="Q746" s="1" t="s">
        <v>13898</v>
      </c>
      <c r="R746" s="1" t="s">
        <v>1669</v>
      </c>
      <c r="S746" s="1">
        <v>9850099291</v>
      </c>
      <c r="T746" s="1" t="s">
        <v>13534</v>
      </c>
      <c r="U746" s="1" t="s">
        <v>2281</v>
      </c>
      <c r="V746" s="1">
        <v>8669326550</v>
      </c>
      <c r="W746" s="1">
        <v>10</v>
      </c>
      <c r="X746" s="1" t="s">
        <v>13899</v>
      </c>
      <c r="Y746" s="1" t="s">
        <v>196</v>
      </c>
      <c r="Z746" s="1" t="s">
        <v>97</v>
      </c>
      <c r="AA746" s="1" t="s">
        <v>13900</v>
      </c>
      <c r="AB746" s="1" t="s">
        <v>96</v>
      </c>
      <c r="AC746" s="1" t="s">
        <v>97</v>
      </c>
      <c r="AD746" s="1">
        <v>6.97</v>
      </c>
      <c r="AE746" s="1" t="s">
        <v>98</v>
      </c>
      <c r="AF746" s="1" t="s">
        <v>13901</v>
      </c>
      <c r="AG746" s="1" t="s">
        <v>363</v>
      </c>
      <c r="AH746" s="1" t="s">
        <v>102</v>
      </c>
      <c r="AI746" s="1" t="s">
        <v>1111</v>
      </c>
      <c r="AJ746" s="1">
        <v>84.4</v>
      </c>
      <c r="AK746" s="1"/>
      <c r="AL746" s="1"/>
      <c r="AM746" s="1"/>
      <c r="AN746" s="1"/>
      <c r="AO746" s="1"/>
      <c r="AP746" s="1"/>
      <c r="AQ746" s="1"/>
      <c r="AR746" s="1"/>
      <c r="AS746" s="1" t="s">
        <v>7263</v>
      </c>
      <c r="AT746" s="1" t="s">
        <v>13902</v>
      </c>
      <c r="AU746" s="1" t="s">
        <v>167</v>
      </c>
      <c r="AV746" s="1" t="s">
        <v>438</v>
      </c>
      <c r="AW746" s="1">
        <v>77.21</v>
      </c>
      <c r="AX746" s="1"/>
      <c r="AY746" s="1" t="s">
        <v>366</v>
      </c>
      <c r="AZ746" s="1" t="s">
        <v>13903</v>
      </c>
      <c r="BA746" s="1"/>
      <c r="BB746" s="1"/>
      <c r="BC746" s="1" t="s">
        <v>206</v>
      </c>
      <c r="BD746" s="1" t="s">
        <v>110</v>
      </c>
      <c r="BE746" s="1">
        <v>81.52</v>
      </c>
      <c r="BF746" s="1">
        <v>9.16</v>
      </c>
      <c r="BG746" s="1"/>
      <c r="BH746" s="1"/>
      <c r="BI746" s="1"/>
      <c r="BJ746" s="1"/>
      <c r="BK746" s="1"/>
      <c r="BL746" s="1"/>
      <c r="BM746" s="1"/>
      <c r="BN746" s="1"/>
      <c r="BO746" s="1" t="s">
        <v>13904</v>
      </c>
      <c r="BP746" s="1" t="s">
        <v>13905</v>
      </c>
      <c r="BQ746" s="1" t="s">
        <v>736</v>
      </c>
      <c r="BR746" s="1" t="s">
        <v>13906</v>
      </c>
      <c r="BS746" s="1">
        <v>9</v>
      </c>
      <c r="BT746" s="1"/>
      <c r="BU746" s="1" t="str">
        <f>HYPERLINK("https://nconnect.nicmar.ac.in/storage/profile/ProfilePhoto_P25700755_215487.jpg","Download")</f>
        <v>0</v>
      </c>
      <c r="BV746" s="3"/>
      <c r="BW746" s="3"/>
    </row>
    <row r="747" spans="1:75">
      <c r="A747" s="1" t="s">
        <v>75</v>
      </c>
      <c r="B747" s="1" t="s">
        <v>446</v>
      </c>
      <c r="C747" s="1" t="s">
        <v>13907</v>
      </c>
      <c r="D747" s="1" t="s">
        <v>663</v>
      </c>
      <c r="E747" s="1" t="s">
        <v>2447</v>
      </c>
      <c r="F747" s="1" t="s">
        <v>13908</v>
      </c>
      <c r="G747" s="1" t="s">
        <v>13909</v>
      </c>
      <c r="H747" s="1" t="s">
        <v>13910</v>
      </c>
      <c r="I747" s="1" t="s">
        <v>13911</v>
      </c>
      <c r="J747" s="1">
        <v>7972030932</v>
      </c>
      <c r="K747" s="1" t="s">
        <v>84</v>
      </c>
      <c r="L747" s="1" t="s">
        <v>13912</v>
      </c>
      <c r="M747" s="1" t="s">
        <v>86</v>
      </c>
      <c r="N747" s="1" t="s">
        <v>618</v>
      </c>
      <c r="O747" s="1"/>
      <c r="P747" s="1" t="s">
        <v>481</v>
      </c>
      <c r="Q747" s="1" t="s">
        <v>13913</v>
      </c>
      <c r="R747" s="1" t="s">
        <v>13914</v>
      </c>
      <c r="S747" s="1">
        <v>9702864718</v>
      </c>
      <c r="T747" s="1" t="s">
        <v>13411</v>
      </c>
      <c r="U747" s="1" t="s">
        <v>13915</v>
      </c>
      <c r="V747" s="1">
        <v>8692824268</v>
      </c>
      <c r="W747" s="1" t="s">
        <v>94</v>
      </c>
      <c r="X747" s="1" t="s">
        <v>13916</v>
      </c>
      <c r="Y747" s="1" t="s">
        <v>4302</v>
      </c>
      <c r="Z747" s="1" t="s">
        <v>97</v>
      </c>
      <c r="AA747" s="1" t="s">
        <v>13916</v>
      </c>
      <c r="AB747" s="1" t="s">
        <v>4302</v>
      </c>
      <c r="AC747" s="1" t="s">
        <v>97</v>
      </c>
      <c r="AD747" s="1">
        <v>8.62</v>
      </c>
      <c r="AE747" s="1" t="s">
        <v>98</v>
      </c>
      <c r="AF747" s="1" t="s">
        <v>13917</v>
      </c>
      <c r="AG747" s="1" t="s">
        <v>6253</v>
      </c>
      <c r="AH747" s="1" t="s">
        <v>1583</v>
      </c>
      <c r="AI747" s="1" t="s">
        <v>515</v>
      </c>
      <c r="AJ747" s="1">
        <v>61.8</v>
      </c>
      <c r="AK747" s="1"/>
      <c r="AL747" s="1" t="s">
        <v>13918</v>
      </c>
      <c r="AM747" s="1" t="s">
        <v>6253</v>
      </c>
      <c r="AN747" s="1" t="s">
        <v>575</v>
      </c>
      <c r="AO747" s="1" t="s">
        <v>166</v>
      </c>
      <c r="AP747" s="1" t="s">
        <v>517</v>
      </c>
      <c r="AQ747" s="1">
        <v>56.92</v>
      </c>
      <c r="AR747" s="1"/>
      <c r="AS747" s="1" t="s">
        <v>13919</v>
      </c>
      <c r="AT747" s="1" t="s">
        <v>13920</v>
      </c>
      <c r="AU747" s="1" t="s">
        <v>139</v>
      </c>
      <c r="AV747" s="1" t="s">
        <v>171</v>
      </c>
      <c r="AW747" s="1">
        <v>81.99</v>
      </c>
      <c r="AX747" s="1">
        <v>9.11</v>
      </c>
      <c r="AY747" s="1" t="s">
        <v>13921</v>
      </c>
      <c r="AZ747" s="1" t="s">
        <v>13920</v>
      </c>
      <c r="BA747" s="1" t="s">
        <v>466</v>
      </c>
      <c r="BB747" s="1" t="s">
        <v>467</v>
      </c>
      <c r="BC747" s="1" t="s">
        <v>1065</v>
      </c>
      <c r="BD747" s="1" t="s">
        <v>845</v>
      </c>
      <c r="BE747" s="1">
        <v>79.5</v>
      </c>
      <c r="BF747" s="1">
        <v>7.95</v>
      </c>
      <c r="BG747" s="1"/>
      <c r="BH747" s="1"/>
      <c r="BI747" s="1"/>
      <c r="BJ747" s="1"/>
      <c r="BK747" s="1"/>
      <c r="BL747" s="1"/>
      <c r="BM747" s="1"/>
      <c r="BN747" s="1"/>
      <c r="BO747" s="1" t="s">
        <v>13922</v>
      </c>
      <c r="BP747" s="1" t="s">
        <v>13923</v>
      </c>
      <c r="BQ747" s="1" t="s">
        <v>3971</v>
      </c>
      <c r="BR747" s="1" t="s">
        <v>13924</v>
      </c>
      <c r="BS747" s="1">
        <v>8</v>
      </c>
      <c r="BT747" s="1"/>
      <c r="BU747" s="1" t="str">
        <f>HYPERLINK("https://nconnect.nicmar.ac.in/storage/profile/ProfilePhoto_P25700281_579136.jpg","Download")</f>
        <v>0</v>
      </c>
      <c r="BV747" s="3"/>
      <c r="BW747" s="3"/>
    </row>
    <row r="748" spans="1:75">
      <c r="A748" s="1" t="s">
        <v>75</v>
      </c>
      <c r="B748" s="1" t="s">
        <v>446</v>
      </c>
      <c r="C748" s="1" t="s">
        <v>13925</v>
      </c>
      <c r="D748" s="1" t="s">
        <v>6136</v>
      </c>
      <c r="E748" s="1" t="s">
        <v>4646</v>
      </c>
      <c r="F748" s="1" t="s">
        <v>13926</v>
      </c>
      <c r="G748" s="1" t="s">
        <v>13927</v>
      </c>
      <c r="H748" s="1" t="s">
        <v>13928</v>
      </c>
      <c r="I748" s="1" t="s">
        <v>13929</v>
      </c>
      <c r="J748" s="1">
        <v>7588796873</v>
      </c>
      <c r="K748" s="1" t="s">
        <v>84</v>
      </c>
      <c r="L748" s="1" t="s">
        <v>13930</v>
      </c>
      <c r="M748" s="1" t="s">
        <v>86</v>
      </c>
      <c r="N748" s="1" t="s">
        <v>13931</v>
      </c>
      <c r="O748" s="1"/>
      <c r="P748" s="1" t="s">
        <v>507</v>
      </c>
      <c r="Q748" s="1" t="s">
        <v>13932</v>
      </c>
      <c r="R748" s="1" t="s">
        <v>4646</v>
      </c>
      <c r="S748" s="1">
        <v>9850341198</v>
      </c>
      <c r="T748" s="1" t="s">
        <v>839</v>
      </c>
      <c r="U748" s="1" t="s">
        <v>12223</v>
      </c>
      <c r="V748" s="1">
        <v>9307325971</v>
      </c>
      <c r="W748" s="1" t="s">
        <v>94</v>
      </c>
      <c r="X748" s="1" t="s">
        <v>13933</v>
      </c>
      <c r="Y748" s="1" t="s">
        <v>410</v>
      </c>
      <c r="Z748" s="1" t="s">
        <v>97</v>
      </c>
      <c r="AA748" s="1" t="s">
        <v>13934</v>
      </c>
      <c r="AB748" s="1" t="s">
        <v>410</v>
      </c>
      <c r="AC748" s="1" t="s">
        <v>97</v>
      </c>
      <c r="AD748" s="1">
        <v>8.9</v>
      </c>
      <c r="AE748" s="1" t="s">
        <v>98</v>
      </c>
      <c r="AF748" s="1" t="s">
        <v>13935</v>
      </c>
      <c r="AG748" s="1" t="s">
        <v>13936</v>
      </c>
      <c r="AH748" s="1" t="s">
        <v>704</v>
      </c>
      <c r="AI748" s="1" t="s">
        <v>171</v>
      </c>
      <c r="AJ748" s="1">
        <v>73.6</v>
      </c>
      <c r="AK748" s="1"/>
      <c r="AL748" s="1" t="s">
        <v>13935</v>
      </c>
      <c r="AM748" s="1" t="s">
        <v>13937</v>
      </c>
      <c r="AN748" s="1" t="s">
        <v>465</v>
      </c>
      <c r="AO748" s="1" t="s">
        <v>438</v>
      </c>
      <c r="AP748" s="1" t="s">
        <v>178</v>
      </c>
      <c r="AQ748" s="1">
        <v>77</v>
      </c>
      <c r="AR748" s="1"/>
      <c r="AS748" s="1"/>
      <c r="AT748" s="1"/>
      <c r="AU748" s="1"/>
      <c r="AV748" s="1"/>
      <c r="AW748" s="1"/>
      <c r="AX748" s="1"/>
      <c r="AY748" s="1" t="s">
        <v>4780</v>
      </c>
      <c r="AZ748" s="1" t="s">
        <v>13938</v>
      </c>
      <c r="BA748" s="1" t="s">
        <v>466</v>
      </c>
      <c r="BB748" s="1" t="s">
        <v>467</v>
      </c>
      <c r="BC748" s="1" t="s">
        <v>368</v>
      </c>
      <c r="BD748" s="1" t="s">
        <v>1089</v>
      </c>
      <c r="BE748" s="1">
        <v>70.6</v>
      </c>
      <c r="BF748" s="1">
        <v>7.81</v>
      </c>
      <c r="BG748" s="1"/>
      <c r="BH748" s="1"/>
      <c r="BI748" s="1"/>
      <c r="BJ748" s="1"/>
      <c r="BK748" s="1"/>
      <c r="BL748" s="1"/>
      <c r="BM748" s="1"/>
      <c r="BN748" s="1"/>
      <c r="BO748" s="1" t="s">
        <v>13939</v>
      </c>
      <c r="BP748" s="1"/>
      <c r="BQ748" s="1"/>
      <c r="BR748" s="1" t="s">
        <v>13940</v>
      </c>
      <c r="BS748" s="1">
        <v>25</v>
      </c>
      <c r="BT748" s="1" t="s">
        <v>13941</v>
      </c>
      <c r="BU748" s="1" t="str">
        <f>HYPERLINK("https://nconnect.nicmar.ac.in/storage/profile/ProfilePhoto_P25700325_532469.jpg","Download")</f>
        <v>0</v>
      </c>
      <c r="BV748" s="3"/>
      <c r="BW748" s="4">
        <v>1</v>
      </c>
    </row>
    <row r="749" spans="1:75">
      <c r="A749" s="1" t="s">
        <v>75</v>
      </c>
      <c r="B749" s="1" t="s">
        <v>446</v>
      </c>
      <c r="C749" s="1" t="s">
        <v>13942</v>
      </c>
      <c r="D749" s="1" t="s">
        <v>13943</v>
      </c>
      <c r="E749" s="1" t="s">
        <v>612</v>
      </c>
      <c r="F749" s="1" t="s">
        <v>4037</v>
      </c>
      <c r="G749" s="1" t="s">
        <v>13944</v>
      </c>
      <c r="H749" s="1" t="s">
        <v>13945</v>
      </c>
      <c r="I749" s="1" t="s">
        <v>13946</v>
      </c>
      <c r="J749" s="1">
        <v>6309295777</v>
      </c>
      <c r="K749" s="1" t="s">
        <v>84</v>
      </c>
      <c r="L749" s="1" t="s">
        <v>1006</v>
      </c>
      <c r="M749" s="1" t="s">
        <v>86</v>
      </c>
      <c r="N749" s="1" t="s">
        <v>13947</v>
      </c>
      <c r="O749" s="1"/>
      <c r="P749" s="1" t="s">
        <v>507</v>
      </c>
      <c r="Q749" s="1" t="s">
        <v>13948</v>
      </c>
      <c r="R749" s="1" t="s">
        <v>13949</v>
      </c>
      <c r="S749" s="1">
        <v>9849721040</v>
      </c>
      <c r="T749" s="1" t="s">
        <v>3788</v>
      </c>
      <c r="U749" s="1" t="s">
        <v>13950</v>
      </c>
      <c r="V749" s="1">
        <v>9652271081</v>
      </c>
      <c r="W749" s="1" t="s">
        <v>127</v>
      </c>
      <c r="X749" s="1" t="s">
        <v>13951</v>
      </c>
      <c r="Y749" s="1" t="s">
        <v>3846</v>
      </c>
      <c r="Z749" s="1" t="s">
        <v>281</v>
      </c>
      <c r="AA749" s="1" t="s">
        <v>13951</v>
      </c>
      <c r="AB749" s="1" t="s">
        <v>3846</v>
      </c>
      <c r="AC749" s="1" t="s">
        <v>281</v>
      </c>
      <c r="AD749" s="1">
        <v>7.97</v>
      </c>
      <c r="AE749" s="1" t="s">
        <v>98</v>
      </c>
      <c r="AF749" s="1" t="s">
        <v>4846</v>
      </c>
      <c r="AG749" s="1" t="s">
        <v>13952</v>
      </c>
      <c r="AH749" s="1" t="s">
        <v>170</v>
      </c>
      <c r="AI749" s="1" t="s">
        <v>490</v>
      </c>
      <c r="AJ749" s="1">
        <v>93</v>
      </c>
      <c r="AK749" s="1">
        <v>9.3</v>
      </c>
      <c r="AL749" s="1" t="s">
        <v>3033</v>
      </c>
      <c r="AM749" s="1" t="s">
        <v>10230</v>
      </c>
      <c r="AN749" s="1" t="s">
        <v>465</v>
      </c>
      <c r="AO749" s="1" t="s">
        <v>438</v>
      </c>
      <c r="AP749" s="1" t="s">
        <v>178</v>
      </c>
      <c r="AQ749" s="1">
        <v>90.4</v>
      </c>
      <c r="AR749" s="1">
        <v>9.48</v>
      </c>
      <c r="AS749" s="1"/>
      <c r="AT749" s="1"/>
      <c r="AU749" s="1"/>
      <c r="AV749" s="1"/>
      <c r="AW749" s="1"/>
      <c r="AX749" s="1"/>
      <c r="AY749" s="1" t="s">
        <v>6942</v>
      </c>
      <c r="AZ749" s="1" t="s">
        <v>6942</v>
      </c>
      <c r="BA749" s="1" t="s">
        <v>466</v>
      </c>
      <c r="BB749" s="1" t="s">
        <v>467</v>
      </c>
      <c r="BC749" s="1" t="s">
        <v>1040</v>
      </c>
      <c r="BD749" s="1" t="s">
        <v>5278</v>
      </c>
      <c r="BE749" s="1">
        <v>71.1</v>
      </c>
      <c r="BF749" s="1">
        <v>7.11</v>
      </c>
      <c r="BG749" s="1"/>
      <c r="BH749" s="1"/>
      <c r="BI749" s="1"/>
      <c r="BJ749" s="1"/>
      <c r="BK749" s="1"/>
      <c r="BL749" s="1"/>
      <c r="BM749" s="1"/>
      <c r="BN749" s="1"/>
      <c r="BO749" s="1" t="s">
        <v>1114</v>
      </c>
      <c r="BP749" s="1"/>
      <c r="BQ749" s="1"/>
      <c r="BR749" s="1" t="s">
        <v>13953</v>
      </c>
      <c r="BS749" s="1">
        <v>12</v>
      </c>
      <c r="BT749" s="1" t="s">
        <v>13954</v>
      </c>
      <c r="BU749" s="1" t="str">
        <f>HYPERLINK("https://nconnect.nicmar.ac.in/storage/profile/ProfilePhoto_P25700367_329568.jpg","Download")</f>
        <v>0</v>
      </c>
      <c r="BV749" s="3"/>
      <c r="BW749" s="3"/>
    </row>
    <row r="750" spans="1:75">
      <c r="A750" s="1" t="s">
        <v>75</v>
      </c>
      <c r="B750" s="1" t="s">
        <v>446</v>
      </c>
      <c r="C750" s="1" t="s">
        <v>13955</v>
      </c>
      <c r="D750" s="1" t="s">
        <v>13956</v>
      </c>
      <c r="E750" s="1" t="s">
        <v>13957</v>
      </c>
      <c r="F750" s="1" t="s">
        <v>13958</v>
      </c>
      <c r="G750" s="1" t="s">
        <v>13959</v>
      </c>
      <c r="H750" s="1" t="s">
        <v>13960</v>
      </c>
      <c r="I750" s="1" t="s">
        <v>13961</v>
      </c>
      <c r="J750" s="1">
        <v>9975069808</v>
      </c>
      <c r="K750" s="1" t="s">
        <v>84</v>
      </c>
      <c r="L750" s="1" t="s">
        <v>13962</v>
      </c>
      <c r="M750" s="1" t="s">
        <v>86</v>
      </c>
      <c r="N750" s="1" t="s">
        <v>903</v>
      </c>
      <c r="O750" s="1" t="s">
        <v>157</v>
      </c>
      <c r="P750" s="1" t="s">
        <v>89</v>
      </c>
      <c r="Q750" s="1" t="s">
        <v>13963</v>
      </c>
      <c r="R750" s="1" t="s">
        <v>13964</v>
      </c>
      <c r="S750" s="1">
        <v>9850497606</v>
      </c>
      <c r="T750" s="1" t="s">
        <v>645</v>
      </c>
      <c r="U750" s="1" t="s">
        <v>13965</v>
      </c>
      <c r="V750" s="1">
        <v>9822570691</v>
      </c>
      <c r="W750" s="1" t="s">
        <v>161</v>
      </c>
      <c r="X750" s="1" t="s">
        <v>13966</v>
      </c>
      <c r="Y750" s="1" t="s">
        <v>196</v>
      </c>
      <c r="Z750" s="1" t="s">
        <v>97</v>
      </c>
      <c r="AA750" s="1" t="s">
        <v>13967</v>
      </c>
      <c r="AB750" s="1" t="s">
        <v>196</v>
      </c>
      <c r="AC750" s="1" t="s">
        <v>97</v>
      </c>
      <c r="AD750" s="1">
        <v>7.41</v>
      </c>
      <c r="AE750" s="1" t="s">
        <v>98</v>
      </c>
      <c r="AF750" s="1" t="s">
        <v>13968</v>
      </c>
      <c r="AG750" s="1" t="s">
        <v>13969</v>
      </c>
      <c r="AH750" s="1" t="s">
        <v>135</v>
      </c>
      <c r="AI750" s="1" t="s">
        <v>102</v>
      </c>
      <c r="AJ750" s="1">
        <v>73.4</v>
      </c>
      <c r="AK750" s="1">
        <v>0</v>
      </c>
      <c r="AL750" s="1" t="s">
        <v>13970</v>
      </c>
      <c r="AM750" s="1" t="s">
        <v>13971</v>
      </c>
      <c r="AN750" s="1" t="s">
        <v>465</v>
      </c>
      <c r="AO750" s="1" t="s">
        <v>5340</v>
      </c>
      <c r="AP750" s="1" t="s">
        <v>704</v>
      </c>
      <c r="AQ750" s="1">
        <v>65.54</v>
      </c>
      <c r="AR750" s="1">
        <v>0</v>
      </c>
      <c r="AS750" s="1"/>
      <c r="AT750" s="1"/>
      <c r="AU750" s="1"/>
      <c r="AV750" s="1"/>
      <c r="AW750" s="1"/>
      <c r="AX750" s="1"/>
      <c r="AY750" s="1" t="s">
        <v>366</v>
      </c>
      <c r="AZ750" s="1" t="s">
        <v>13972</v>
      </c>
      <c r="BA750" s="1" t="s">
        <v>682</v>
      </c>
      <c r="BB750" s="1" t="s">
        <v>683</v>
      </c>
      <c r="BC750" s="1" t="s">
        <v>388</v>
      </c>
      <c r="BD750" s="1" t="s">
        <v>632</v>
      </c>
      <c r="BE750" s="1">
        <v>82</v>
      </c>
      <c r="BF750" s="1">
        <v>9.1</v>
      </c>
      <c r="BG750" s="1"/>
      <c r="BH750" s="1"/>
      <c r="BI750" s="1"/>
      <c r="BJ750" s="1"/>
      <c r="BK750" s="1"/>
      <c r="BL750" s="1"/>
      <c r="BM750" s="1"/>
      <c r="BN750" s="1"/>
      <c r="BO750" s="1" t="s">
        <v>13973</v>
      </c>
      <c r="BP750" s="1" t="s">
        <v>13974</v>
      </c>
      <c r="BQ750" s="1" t="s">
        <v>345</v>
      </c>
      <c r="BR750" s="1" t="s">
        <v>13975</v>
      </c>
      <c r="BS750" s="1">
        <v>32</v>
      </c>
      <c r="BT750" s="1"/>
      <c r="BU750" s="1" t="str">
        <f>HYPERLINK("https://nconnect.nicmar.ac.in/storage/profile/ProfilePhoto_P25700694_372165.jpg","Download")</f>
        <v>0</v>
      </c>
      <c r="BV750" s="3"/>
      <c r="BW750" s="3"/>
    </row>
    <row r="751" spans="1:75">
      <c r="A751" s="1" t="s">
        <v>75</v>
      </c>
      <c r="B751" s="1" t="s">
        <v>13976</v>
      </c>
      <c r="C751" s="1" t="s">
        <v>13977</v>
      </c>
      <c r="D751" s="1" t="s">
        <v>13978</v>
      </c>
      <c r="E751" s="1" t="s">
        <v>13979</v>
      </c>
      <c r="F751" s="1" t="s">
        <v>13980</v>
      </c>
      <c r="G751" s="1" t="s">
        <v>13981</v>
      </c>
      <c r="H751" s="1" t="s">
        <v>13982</v>
      </c>
      <c r="I751" s="1" t="s">
        <v>13983</v>
      </c>
      <c r="J751" s="1">
        <v>9145787239</v>
      </c>
      <c r="K751" s="1" t="s">
        <v>84</v>
      </c>
      <c r="L751" s="1" t="s">
        <v>13984</v>
      </c>
      <c r="M751" s="1" t="s">
        <v>86</v>
      </c>
      <c r="N751" s="1" t="s">
        <v>6390</v>
      </c>
      <c r="O751" s="1" t="s">
        <v>13985</v>
      </c>
      <c r="P751" s="1" t="s">
        <v>219</v>
      </c>
      <c r="Q751" s="1">
        <v>967854004784</v>
      </c>
      <c r="R751" s="1" t="s">
        <v>13986</v>
      </c>
      <c r="S751" s="1">
        <v>9970461865</v>
      </c>
      <c r="T751" s="1" t="s">
        <v>13987</v>
      </c>
      <c r="U751" s="1" t="s">
        <v>13988</v>
      </c>
      <c r="V751" s="1">
        <v>9766711127</v>
      </c>
      <c r="W751" s="1" t="s">
        <v>9679</v>
      </c>
      <c r="X751" s="1" t="s">
        <v>13989</v>
      </c>
      <c r="Y751" s="1" t="s">
        <v>96</v>
      </c>
      <c r="Z751" s="1" t="s">
        <v>97</v>
      </c>
      <c r="AA751" s="1" t="s">
        <v>13989</v>
      </c>
      <c r="AB751" s="1" t="s">
        <v>96</v>
      </c>
      <c r="AC751" s="1" t="s">
        <v>97</v>
      </c>
      <c r="AD751" s="1" t="s">
        <v>98</v>
      </c>
      <c r="AE751" s="1" t="s">
        <v>98</v>
      </c>
      <c r="AF751" s="1" t="s">
        <v>13990</v>
      </c>
      <c r="AG751" s="1" t="s">
        <v>13991</v>
      </c>
      <c r="AH751" s="1" t="s">
        <v>171</v>
      </c>
      <c r="AI751" s="1" t="s">
        <v>313</v>
      </c>
      <c r="AJ751" s="1">
        <v>92.6</v>
      </c>
      <c r="AK751" s="1"/>
      <c r="AL751" s="1" t="s">
        <v>13992</v>
      </c>
      <c r="AM751" s="1" t="s">
        <v>13993</v>
      </c>
      <c r="AN751" s="1" t="s">
        <v>465</v>
      </c>
      <c r="AO751" s="1" t="s">
        <v>438</v>
      </c>
      <c r="AP751" s="1" t="s">
        <v>847</v>
      </c>
      <c r="AQ751" s="1">
        <v>92.17</v>
      </c>
      <c r="AR751" s="1"/>
      <c r="AS751" s="1"/>
      <c r="AT751" s="1"/>
      <c r="AU751" s="1"/>
      <c r="AV751" s="1"/>
      <c r="AW751" s="1"/>
      <c r="AX751" s="1"/>
      <c r="AY751" s="1" t="s">
        <v>13994</v>
      </c>
      <c r="AZ751" s="1" t="s">
        <v>13995</v>
      </c>
      <c r="BA751" s="1" t="s">
        <v>466</v>
      </c>
      <c r="BB751" s="1" t="s">
        <v>467</v>
      </c>
      <c r="BC751" s="1" t="s">
        <v>606</v>
      </c>
      <c r="BD751" s="1" t="s">
        <v>5340</v>
      </c>
      <c r="BE751" s="1">
        <v>64.7</v>
      </c>
      <c r="BF751" s="1">
        <v>6.97</v>
      </c>
      <c r="BG751" s="1"/>
      <c r="BH751" s="1"/>
      <c r="BI751" s="1"/>
      <c r="BJ751" s="1"/>
      <c r="BK751" s="1"/>
      <c r="BL751" s="1"/>
      <c r="BM751" s="1"/>
      <c r="BN751" s="1"/>
      <c r="BO751" s="1" t="s">
        <v>13996</v>
      </c>
      <c r="BP751" s="1" t="s">
        <v>13997</v>
      </c>
      <c r="BQ751" s="1" t="s">
        <v>9405</v>
      </c>
      <c r="BR751" s="1" t="s">
        <v>13998</v>
      </c>
      <c r="BS751" s="1">
        <v>13</v>
      </c>
      <c r="BT751" s="1"/>
      <c r="BU751" s="1" t="str">
        <f>HYPERLINK("https://nconnect.nicmar.ac.in/storage/profile/6a86e1196b4da.png","Download")</f>
        <v>0</v>
      </c>
      <c r="BV751" s="3"/>
      <c r="BW751" s="3"/>
    </row>
    <row r="752" spans="1:75">
      <c r="A752" s="1" t="s">
        <v>75</v>
      </c>
      <c r="B752" s="1" t="s">
        <v>13976</v>
      </c>
      <c r="C752" s="1" t="s">
        <v>13999</v>
      </c>
      <c r="D752" s="1" t="s">
        <v>14000</v>
      </c>
      <c r="E752" s="1"/>
      <c r="F752" s="1" t="s">
        <v>14001</v>
      </c>
      <c r="G752" s="1" t="s">
        <v>14002</v>
      </c>
      <c r="H752" s="1" t="s">
        <v>14003</v>
      </c>
      <c r="I752" s="1" t="s">
        <v>14004</v>
      </c>
      <c r="J752" s="1">
        <v>7981731744</v>
      </c>
      <c r="K752" s="1" t="s">
        <v>84</v>
      </c>
      <c r="L752" s="1" t="s">
        <v>14005</v>
      </c>
      <c r="M752" s="1" t="s">
        <v>86</v>
      </c>
      <c r="N752" s="1" t="s">
        <v>14006</v>
      </c>
      <c r="O752" s="1" t="s">
        <v>14007</v>
      </c>
      <c r="P752" s="1" t="s">
        <v>219</v>
      </c>
      <c r="Q752" s="1">
        <v>883255303289</v>
      </c>
      <c r="R752" s="1" t="s">
        <v>14008</v>
      </c>
      <c r="S752" s="1">
        <v>7981729797</v>
      </c>
      <c r="T752" s="1" t="s">
        <v>14009</v>
      </c>
      <c r="U752" s="1" t="s">
        <v>14010</v>
      </c>
      <c r="V752" s="1">
        <v>9492807854</v>
      </c>
      <c r="W752" s="1" t="s">
        <v>10306</v>
      </c>
      <c r="X752" s="1" t="s">
        <v>14011</v>
      </c>
      <c r="Y752" s="1" t="s">
        <v>3846</v>
      </c>
      <c r="Z752" s="1" t="s">
        <v>281</v>
      </c>
      <c r="AA752" s="1" t="s">
        <v>14011</v>
      </c>
      <c r="AB752" s="1" t="s">
        <v>3846</v>
      </c>
      <c r="AC752" s="1" t="s">
        <v>281</v>
      </c>
      <c r="AD752" s="1" t="s">
        <v>98</v>
      </c>
      <c r="AE752" s="1" t="s">
        <v>98</v>
      </c>
      <c r="AF752" s="1" t="s">
        <v>14012</v>
      </c>
      <c r="AG752" s="1" t="s">
        <v>14013</v>
      </c>
      <c r="AH752" s="1" t="s">
        <v>704</v>
      </c>
      <c r="AI752" s="1" t="s">
        <v>490</v>
      </c>
      <c r="AJ752" s="1">
        <v>100.0</v>
      </c>
      <c r="AK752" s="1">
        <v>10</v>
      </c>
      <c r="AL752" s="1" t="s">
        <v>14014</v>
      </c>
      <c r="AM752" s="1" t="s">
        <v>14015</v>
      </c>
      <c r="AN752" s="1" t="s">
        <v>465</v>
      </c>
      <c r="AO752" s="1" t="s">
        <v>106</v>
      </c>
      <c r="AP752" s="1" t="s">
        <v>417</v>
      </c>
      <c r="AQ752" s="1">
        <v>95.6</v>
      </c>
      <c r="AR752" s="1">
        <v>9.82</v>
      </c>
      <c r="AS752" s="1"/>
      <c r="AT752" s="1"/>
      <c r="AU752" s="1"/>
      <c r="AV752" s="1"/>
      <c r="AW752" s="1"/>
      <c r="AX752" s="1"/>
      <c r="AY752" s="1" t="s">
        <v>14016</v>
      </c>
      <c r="AZ752" s="1" t="s">
        <v>14017</v>
      </c>
      <c r="BA752" s="1" t="s">
        <v>466</v>
      </c>
      <c r="BB752" s="1" t="s">
        <v>467</v>
      </c>
      <c r="BC752" s="1" t="s">
        <v>368</v>
      </c>
      <c r="BD752" s="1" t="s">
        <v>418</v>
      </c>
      <c r="BE752" s="1">
        <v>91.5</v>
      </c>
      <c r="BF752" s="1">
        <v>9.65</v>
      </c>
      <c r="BG752" s="1"/>
      <c r="BH752" s="1"/>
      <c r="BI752" s="1"/>
      <c r="BJ752" s="1"/>
      <c r="BK752" s="1"/>
      <c r="BL752" s="1"/>
      <c r="BM752" s="1"/>
      <c r="BN752" s="1"/>
      <c r="BO752" s="1" t="s">
        <v>14018</v>
      </c>
      <c r="BP752" s="1" t="s">
        <v>14019</v>
      </c>
      <c r="BQ752" s="1" t="s">
        <v>292</v>
      </c>
      <c r="BR752" s="1" t="s">
        <v>14020</v>
      </c>
      <c r="BS752" s="1">
        <v>3</v>
      </c>
      <c r="BT752" s="1" t="s">
        <v>14021</v>
      </c>
      <c r="BU752" s="1" t="str">
        <f>HYPERLINK("https://nconnect.nicmar.ac.in/storage/profile/6a841b059dfed.png","Download")</f>
        <v>0</v>
      </c>
      <c r="BV752" s="3"/>
      <c r="BW752" s="3"/>
    </row>
    <row r="753" spans="1:75">
      <c r="A753" s="1" t="s">
        <v>75</v>
      </c>
      <c r="B753" s="1" t="s">
        <v>13976</v>
      </c>
      <c r="C753" s="1" t="s">
        <v>14022</v>
      </c>
      <c r="D753" s="1" t="s">
        <v>14023</v>
      </c>
      <c r="E753" s="1" t="s">
        <v>14024</v>
      </c>
      <c r="F753" s="1" t="s">
        <v>14025</v>
      </c>
      <c r="G753" s="1" t="s">
        <v>14026</v>
      </c>
      <c r="H753" s="1" t="s">
        <v>14027</v>
      </c>
      <c r="I753" s="1" t="s">
        <v>14028</v>
      </c>
      <c r="J753" s="1">
        <v>9019746164</v>
      </c>
      <c r="K753" s="1" t="s">
        <v>84</v>
      </c>
      <c r="L753" s="1" t="s">
        <v>6226</v>
      </c>
      <c r="M753" s="1" t="s">
        <v>86</v>
      </c>
      <c r="N753" s="1" t="s">
        <v>14029</v>
      </c>
      <c r="O753" s="1" t="s">
        <v>14030</v>
      </c>
      <c r="P753" s="1" t="s">
        <v>122</v>
      </c>
      <c r="Q753" s="1">
        <v>514980926943</v>
      </c>
      <c r="R753" s="1" t="s">
        <v>14024</v>
      </c>
      <c r="S753" s="1">
        <v>9448082828</v>
      </c>
      <c r="T753" s="1" t="s">
        <v>3439</v>
      </c>
      <c r="U753" s="1" t="s">
        <v>14031</v>
      </c>
      <c r="V753" s="1">
        <v>9449813828</v>
      </c>
      <c r="W753" s="1" t="s">
        <v>14032</v>
      </c>
      <c r="X753" s="1" t="s">
        <v>14033</v>
      </c>
      <c r="Y753" s="1" t="s">
        <v>3011</v>
      </c>
      <c r="Z753" s="1" t="s">
        <v>1210</v>
      </c>
      <c r="AA753" s="1" t="s">
        <v>14033</v>
      </c>
      <c r="AB753" s="1" t="s">
        <v>3011</v>
      </c>
      <c r="AC753" s="1" t="s">
        <v>1210</v>
      </c>
      <c r="AD753" s="1" t="s">
        <v>98</v>
      </c>
      <c r="AE753" s="1" t="s">
        <v>98</v>
      </c>
      <c r="AF753" s="1" t="s">
        <v>14034</v>
      </c>
      <c r="AG753" s="1" t="s">
        <v>14035</v>
      </c>
      <c r="AH753" s="1" t="s">
        <v>171</v>
      </c>
      <c r="AI753" s="1" t="s">
        <v>547</v>
      </c>
      <c r="AJ753" s="1">
        <v>89.92</v>
      </c>
      <c r="AK753" s="1"/>
      <c r="AL753" s="1" t="s">
        <v>14036</v>
      </c>
      <c r="AM753" s="1" t="s">
        <v>14035</v>
      </c>
      <c r="AN753" s="1" t="s">
        <v>575</v>
      </c>
      <c r="AO753" s="1" t="s">
        <v>438</v>
      </c>
      <c r="AP753" s="1" t="s">
        <v>549</v>
      </c>
      <c r="AQ753" s="1">
        <v>88.16</v>
      </c>
      <c r="AR753" s="1"/>
      <c r="AS753" s="1"/>
      <c r="AT753" s="1"/>
      <c r="AU753" s="1"/>
      <c r="AV753" s="1"/>
      <c r="AW753" s="1"/>
      <c r="AX753" s="1"/>
      <c r="AY753" s="1" t="s">
        <v>14037</v>
      </c>
      <c r="AZ753" s="1" t="s">
        <v>14035</v>
      </c>
      <c r="BA753" s="1" t="s">
        <v>578</v>
      </c>
      <c r="BB753" s="1" t="s">
        <v>467</v>
      </c>
      <c r="BC753" s="1" t="s">
        <v>871</v>
      </c>
      <c r="BD753" s="1" t="s">
        <v>1401</v>
      </c>
      <c r="BE753" s="1">
        <v>79.6</v>
      </c>
      <c r="BF753" s="1">
        <v>8.71</v>
      </c>
      <c r="BG753" s="1"/>
      <c r="BH753" s="1"/>
      <c r="BI753" s="1"/>
      <c r="BJ753" s="1"/>
      <c r="BK753" s="1"/>
      <c r="BL753" s="1"/>
      <c r="BM753" s="1"/>
      <c r="BN753" s="1"/>
      <c r="BO753" s="1" t="s">
        <v>14038</v>
      </c>
      <c r="BP753" s="1" t="s">
        <v>14039</v>
      </c>
      <c r="BQ753" s="1" t="s">
        <v>1043</v>
      </c>
      <c r="BR753" s="1" t="s">
        <v>14040</v>
      </c>
      <c r="BS753" s="1">
        <v>25</v>
      </c>
      <c r="BT753" s="1"/>
      <c r="BU753" s="1" t="str">
        <f>HYPERLINK("https://nconnect.nicmar.ac.in/storage/profile/6a85c58c1348f.png","Download")</f>
        <v>0</v>
      </c>
      <c r="BV753" s="3"/>
      <c r="BW753" s="3"/>
    </row>
    <row r="754" spans="1:75">
      <c r="A754" s="1" t="s">
        <v>75</v>
      </c>
      <c r="B754" s="1" t="s">
        <v>13976</v>
      </c>
      <c r="C754" s="1" t="s">
        <v>14041</v>
      </c>
      <c r="D754" s="1"/>
      <c r="E754" s="1"/>
      <c r="F754" s="1"/>
      <c r="G754" s="1"/>
      <c r="H754" s="1" t="s">
        <v>14042</v>
      </c>
      <c r="I754" s="1" t="s">
        <v>14042</v>
      </c>
      <c r="J754" s="1"/>
      <c r="K754" s="1"/>
      <c r="L754" s="1"/>
      <c r="M754" s="1"/>
      <c r="N754" s="1"/>
      <c r="O754" s="1"/>
      <c r="P754" s="1"/>
      <c r="Q754" s="1"/>
      <c r="R754" s="1"/>
      <c r="S754" s="1"/>
      <c r="T754" s="1"/>
      <c r="U754" s="1"/>
      <c r="V754" s="1"/>
      <c r="W754" s="1"/>
      <c r="X754" s="1"/>
      <c r="Y754" s="1"/>
      <c r="Z754" s="1"/>
      <c r="AA754" s="1"/>
      <c r="AB754" s="1"/>
      <c r="AC754" s="1"/>
      <c r="AD754" s="1" t="s">
        <v>98</v>
      </c>
      <c r="AE754" s="1" t="s">
        <v>98</v>
      </c>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t="s">
        <v>9653</v>
      </c>
      <c r="BV754" s="3"/>
      <c r="BW754" s="3"/>
    </row>
    <row r="755" spans="1:75">
      <c r="A755" s="1" t="s">
        <v>75</v>
      </c>
      <c r="B755" s="1" t="s">
        <v>13976</v>
      </c>
      <c r="C755" s="1" t="s">
        <v>14043</v>
      </c>
      <c r="D755" s="1" t="s">
        <v>14044</v>
      </c>
      <c r="E755" s="1" t="s">
        <v>14045</v>
      </c>
      <c r="F755" s="1" t="s">
        <v>14046</v>
      </c>
      <c r="G755" s="1" t="s">
        <v>14047</v>
      </c>
      <c r="H755" s="1" t="s">
        <v>14048</v>
      </c>
      <c r="I755" s="1" t="s">
        <v>14049</v>
      </c>
      <c r="J755" s="1">
        <v>8855965030</v>
      </c>
      <c r="K755" s="1" t="s">
        <v>153</v>
      </c>
      <c r="L755" s="1" t="s">
        <v>14050</v>
      </c>
      <c r="M755" s="1" t="s">
        <v>86</v>
      </c>
      <c r="N755" s="1" t="s">
        <v>355</v>
      </c>
      <c r="O755" s="1" t="s">
        <v>14051</v>
      </c>
      <c r="P755" s="1" t="s">
        <v>122</v>
      </c>
      <c r="Q755" s="1">
        <v>448077400806</v>
      </c>
      <c r="R755" s="1" t="s">
        <v>14052</v>
      </c>
      <c r="S755" s="1">
        <v>9011582082</v>
      </c>
      <c r="T755" s="1" t="s">
        <v>14053</v>
      </c>
      <c r="U755" s="1" t="s">
        <v>14054</v>
      </c>
      <c r="V755" s="1">
        <v>8828419538</v>
      </c>
      <c r="W755" s="1" t="s">
        <v>3441</v>
      </c>
      <c r="X755" s="1" t="s">
        <v>14055</v>
      </c>
      <c r="Y755" s="1" t="s">
        <v>196</v>
      </c>
      <c r="Z755" s="1" t="s">
        <v>97</v>
      </c>
      <c r="AA755" s="1" t="s">
        <v>14055</v>
      </c>
      <c r="AB755" s="1" t="s">
        <v>196</v>
      </c>
      <c r="AC755" s="1" t="s">
        <v>97</v>
      </c>
      <c r="AD755" s="1" t="s">
        <v>98</v>
      </c>
      <c r="AE755" s="1" t="s">
        <v>98</v>
      </c>
      <c r="AF755" s="1" t="s">
        <v>14056</v>
      </c>
      <c r="AG755" s="1" t="s">
        <v>14057</v>
      </c>
      <c r="AH755" s="1" t="s">
        <v>167</v>
      </c>
      <c r="AI755" s="1" t="s">
        <v>388</v>
      </c>
      <c r="AJ755" s="1">
        <v>81.4</v>
      </c>
      <c r="AK755" s="1"/>
      <c r="AL755" s="1"/>
      <c r="AM755" s="1"/>
      <c r="AN755" s="1"/>
      <c r="AO755" s="1"/>
      <c r="AP755" s="1"/>
      <c r="AQ755" s="1"/>
      <c r="AR755" s="1"/>
      <c r="AS755" s="1" t="s">
        <v>467</v>
      </c>
      <c r="AT755" s="1" t="s">
        <v>14058</v>
      </c>
      <c r="AU755" s="1" t="s">
        <v>388</v>
      </c>
      <c r="AV755" s="1" t="s">
        <v>175</v>
      </c>
      <c r="AW755" s="1">
        <v>87.79</v>
      </c>
      <c r="AX755" s="1"/>
      <c r="AY755" s="1" t="s">
        <v>14059</v>
      </c>
      <c r="AZ755" s="1" t="s">
        <v>14060</v>
      </c>
      <c r="BA755" s="1" t="s">
        <v>578</v>
      </c>
      <c r="BB755" s="1" t="s">
        <v>467</v>
      </c>
      <c r="BC755" s="1" t="s">
        <v>368</v>
      </c>
      <c r="BD755" s="1" t="s">
        <v>955</v>
      </c>
      <c r="BE755" s="1">
        <v>66.03</v>
      </c>
      <c r="BF755" s="1">
        <v>7.75</v>
      </c>
      <c r="BG755" s="1"/>
      <c r="BH755" s="1"/>
      <c r="BI755" s="1"/>
      <c r="BJ755" s="1"/>
      <c r="BK755" s="1"/>
      <c r="BL755" s="1"/>
      <c r="BM755" s="1"/>
      <c r="BN755" s="1"/>
      <c r="BO755" s="1" t="s">
        <v>14061</v>
      </c>
      <c r="BP755" s="1" t="s">
        <v>14062</v>
      </c>
      <c r="BQ755" s="1" t="s">
        <v>1564</v>
      </c>
      <c r="BR755" s="1" t="s">
        <v>14063</v>
      </c>
      <c r="BS755" s="1">
        <v>99</v>
      </c>
      <c r="BT755" s="1"/>
      <c r="BU755" s="1" t="str">
        <f>HYPERLINK("https://nconnect.nicmar.ac.in/storage/profile/6a85eb1a64777.png","Download")</f>
        <v>0</v>
      </c>
      <c r="BV755" s="3"/>
      <c r="BW755" s="3"/>
    </row>
    <row r="756" spans="1:75">
      <c r="A756" s="1" t="s">
        <v>75</v>
      </c>
      <c r="B756" s="1" t="s">
        <v>13976</v>
      </c>
      <c r="C756" s="1" t="s">
        <v>14064</v>
      </c>
      <c r="D756" s="1" t="s">
        <v>14065</v>
      </c>
      <c r="E756" s="1" t="s">
        <v>14066</v>
      </c>
      <c r="F756" s="1" t="s">
        <v>14067</v>
      </c>
      <c r="G756" s="1" t="s">
        <v>14068</v>
      </c>
      <c r="H756" s="1" t="s">
        <v>14069</v>
      </c>
      <c r="I756" s="1" t="s">
        <v>14069</v>
      </c>
      <c r="J756" s="1">
        <v>9326184385</v>
      </c>
      <c r="K756" s="1" t="s">
        <v>84</v>
      </c>
      <c r="L756" s="1" t="s">
        <v>14070</v>
      </c>
      <c r="M756" s="1" t="s">
        <v>86</v>
      </c>
      <c r="N756" s="1" t="s">
        <v>14071</v>
      </c>
      <c r="O756" s="1" t="s">
        <v>14072</v>
      </c>
      <c r="P756" s="1" t="s">
        <v>219</v>
      </c>
      <c r="Q756" s="1">
        <v>339982344671</v>
      </c>
      <c r="R756" s="1" t="s">
        <v>14073</v>
      </c>
      <c r="S756" s="1">
        <v>9869452822</v>
      </c>
      <c r="T756" s="1" t="s">
        <v>14074</v>
      </c>
      <c r="U756" s="1" t="s">
        <v>14075</v>
      </c>
      <c r="V756" s="1">
        <v>9869370636</v>
      </c>
      <c r="W756" s="1" t="s">
        <v>14076</v>
      </c>
      <c r="X756" s="1" t="s">
        <v>14077</v>
      </c>
      <c r="Y756" s="1" t="s">
        <v>1882</v>
      </c>
      <c r="Z756" s="1" t="s">
        <v>97</v>
      </c>
      <c r="AA756" s="1" t="s">
        <v>14077</v>
      </c>
      <c r="AB756" s="1" t="s">
        <v>1882</v>
      </c>
      <c r="AC756" s="1" t="s">
        <v>97</v>
      </c>
      <c r="AD756" s="1" t="s">
        <v>98</v>
      </c>
      <c r="AE756" s="1" t="s">
        <v>98</v>
      </c>
      <c r="AF756" s="1" t="s">
        <v>14078</v>
      </c>
      <c r="AG756" s="1" t="s">
        <v>14079</v>
      </c>
      <c r="AH756" s="1" t="s">
        <v>3112</v>
      </c>
      <c r="AI756" s="1" t="s">
        <v>547</v>
      </c>
      <c r="AJ756" s="1">
        <v>82.8</v>
      </c>
      <c r="AK756" s="1">
        <v>8.28</v>
      </c>
      <c r="AL756" s="1" t="s">
        <v>14080</v>
      </c>
      <c r="AM756" s="1" t="s">
        <v>14079</v>
      </c>
      <c r="AN756" s="1" t="s">
        <v>465</v>
      </c>
      <c r="AO756" s="1" t="s">
        <v>438</v>
      </c>
      <c r="AP756" s="1" t="s">
        <v>1192</v>
      </c>
      <c r="AQ756" s="1">
        <v>88.0</v>
      </c>
      <c r="AR756" s="1">
        <v>9.26</v>
      </c>
      <c r="AS756" s="1"/>
      <c r="AT756" s="1"/>
      <c r="AU756" s="1"/>
      <c r="AV756" s="1"/>
      <c r="AW756" s="1"/>
      <c r="AX756" s="1"/>
      <c r="AY756" s="1" t="s">
        <v>14081</v>
      </c>
      <c r="AZ756" s="1" t="s">
        <v>14082</v>
      </c>
      <c r="BA756" s="1" t="s">
        <v>466</v>
      </c>
      <c r="BB756" s="1" t="s">
        <v>467</v>
      </c>
      <c r="BC756" s="1" t="s">
        <v>549</v>
      </c>
      <c r="BD756" s="1" t="s">
        <v>14083</v>
      </c>
      <c r="BE756" s="1">
        <v>63.2</v>
      </c>
      <c r="BF756" s="1">
        <v>7.07</v>
      </c>
      <c r="BG756" s="1"/>
      <c r="BH756" s="1"/>
      <c r="BI756" s="1"/>
      <c r="BJ756" s="1"/>
      <c r="BK756" s="1"/>
      <c r="BL756" s="1"/>
      <c r="BM756" s="1"/>
      <c r="BN756" s="1"/>
      <c r="BO756" s="1" t="s">
        <v>14084</v>
      </c>
      <c r="BP756" s="1"/>
      <c r="BQ756" s="1"/>
      <c r="BR756" s="1" t="s">
        <v>14085</v>
      </c>
      <c r="BS756" s="1">
        <v>16</v>
      </c>
      <c r="BT756" s="1"/>
      <c r="BU756" s="1" t="str">
        <f>HYPERLINK("https://nconnect.nicmar.ac.in/storage/profile/6a86f128c6393.png","Download")</f>
        <v>0</v>
      </c>
      <c r="BV756" s="3"/>
      <c r="BW756" s="3"/>
    </row>
    <row r="757" spans="1:75">
      <c r="A757" s="1" t="s">
        <v>75</v>
      </c>
      <c r="B757" s="1" t="s">
        <v>13976</v>
      </c>
      <c r="C757" s="1" t="s">
        <v>14086</v>
      </c>
      <c r="D757" s="1" t="s">
        <v>14087</v>
      </c>
      <c r="E757" s="1" t="s">
        <v>14088</v>
      </c>
      <c r="F757" s="1" t="s">
        <v>14089</v>
      </c>
      <c r="G757" s="1" t="s">
        <v>14090</v>
      </c>
      <c r="H757" s="1" t="s">
        <v>14091</v>
      </c>
      <c r="I757" s="1" t="s">
        <v>14091</v>
      </c>
      <c r="J757" s="1">
        <v>8767219011</v>
      </c>
      <c r="K757" s="1" t="s">
        <v>153</v>
      </c>
      <c r="L757" s="1" t="s">
        <v>11050</v>
      </c>
      <c r="M757" s="1" t="s">
        <v>86</v>
      </c>
      <c r="N757" s="1" t="s">
        <v>14092</v>
      </c>
      <c r="O757" s="1" t="s">
        <v>14093</v>
      </c>
      <c r="P757" s="1" t="s">
        <v>122</v>
      </c>
      <c r="Q757" s="1">
        <v>814754942834</v>
      </c>
      <c r="R757" s="1" t="s">
        <v>14088</v>
      </c>
      <c r="S757" s="1">
        <v>9922900442</v>
      </c>
      <c r="T757" s="1" t="s">
        <v>13987</v>
      </c>
      <c r="U757" s="1" t="s">
        <v>14094</v>
      </c>
      <c r="V757" s="1">
        <v>9011484190</v>
      </c>
      <c r="W757" s="1" t="s">
        <v>14095</v>
      </c>
      <c r="X757" s="1" t="s">
        <v>14096</v>
      </c>
      <c r="Y757" s="1" t="s">
        <v>5181</v>
      </c>
      <c r="Z757" s="1" t="s">
        <v>97</v>
      </c>
      <c r="AA757" s="1" t="s">
        <v>14096</v>
      </c>
      <c r="AB757" s="1" t="s">
        <v>5181</v>
      </c>
      <c r="AC757" s="1" t="s">
        <v>97</v>
      </c>
      <c r="AD757" s="1" t="s">
        <v>98</v>
      </c>
      <c r="AE757" s="1" t="s">
        <v>98</v>
      </c>
      <c r="AF757" s="1" t="s">
        <v>14097</v>
      </c>
      <c r="AG757" s="1" t="s">
        <v>14098</v>
      </c>
      <c r="AH757" s="1" t="s">
        <v>106</v>
      </c>
      <c r="AI757" s="1" t="s">
        <v>414</v>
      </c>
      <c r="AJ757" s="1">
        <v>92.6</v>
      </c>
      <c r="AK757" s="1"/>
      <c r="AL757" s="1" t="s">
        <v>14097</v>
      </c>
      <c r="AM757" s="1" t="s">
        <v>14099</v>
      </c>
      <c r="AN757" s="1" t="s">
        <v>465</v>
      </c>
      <c r="AO757" s="1" t="s">
        <v>468</v>
      </c>
      <c r="AP757" s="1" t="s">
        <v>1171</v>
      </c>
      <c r="AQ757" s="1">
        <v>90.17</v>
      </c>
      <c r="AR757" s="1"/>
      <c r="AS757" s="1"/>
      <c r="AT757" s="1"/>
      <c r="AU757" s="1"/>
      <c r="AV757" s="1"/>
      <c r="AW757" s="1"/>
      <c r="AX757" s="1"/>
      <c r="AY757" s="1" t="s">
        <v>14059</v>
      </c>
      <c r="AZ757" s="1" t="s">
        <v>14100</v>
      </c>
      <c r="BA757" s="1" t="s">
        <v>682</v>
      </c>
      <c r="BB757" s="1" t="s">
        <v>1561</v>
      </c>
      <c r="BC757" s="1" t="s">
        <v>847</v>
      </c>
      <c r="BD757" s="1" t="s">
        <v>14101</v>
      </c>
      <c r="BE757" s="1">
        <v>67.37</v>
      </c>
      <c r="BF757" s="1">
        <v>7.94</v>
      </c>
      <c r="BG757" s="1"/>
      <c r="BH757" s="1"/>
      <c r="BI757" s="1"/>
      <c r="BJ757" s="1"/>
      <c r="BK757" s="1"/>
      <c r="BL757" s="1"/>
      <c r="BM757" s="1"/>
      <c r="BN757" s="1"/>
      <c r="BO757" s="1" t="s">
        <v>14102</v>
      </c>
      <c r="BP757" s="1"/>
      <c r="BQ757" s="1"/>
      <c r="BR757" s="1" t="s">
        <v>14103</v>
      </c>
      <c r="BS757" s="1">
        <v>19</v>
      </c>
      <c r="BT757" s="1"/>
      <c r="BU757" s="1" t="str">
        <f>HYPERLINK("https://nconnect.nicmar.ac.in/storage/profile/6a85ecf4b2584.png","Download")</f>
        <v>0</v>
      </c>
      <c r="BV757" s="3"/>
      <c r="BW757" s="3"/>
    </row>
    <row r="758" spans="1:75">
      <c r="A758" s="1" t="s">
        <v>75</v>
      </c>
      <c r="B758" s="1" t="s">
        <v>13976</v>
      </c>
      <c r="C758" s="1" t="s">
        <v>14104</v>
      </c>
      <c r="D758" s="1"/>
      <c r="E758" s="1"/>
      <c r="F758" s="1"/>
      <c r="G758" s="1"/>
      <c r="H758" s="1" t="s">
        <v>14105</v>
      </c>
      <c r="I758" s="1" t="s">
        <v>14105</v>
      </c>
      <c r="J758" s="1"/>
      <c r="K758" s="1"/>
      <c r="L758" s="1"/>
      <c r="M758" s="1"/>
      <c r="N758" s="1"/>
      <c r="O758" s="1"/>
      <c r="P758" s="1"/>
      <c r="Q758" s="1"/>
      <c r="R758" s="1"/>
      <c r="S758" s="1"/>
      <c r="T758" s="1"/>
      <c r="U758" s="1"/>
      <c r="V758" s="1"/>
      <c r="W758" s="1"/>
      <c r="X758" s="1"/>
      <c r="Y758" s="1"/>
      <c r="Z758" s="1"/>
      <c r="AA758" s="1"/>
      <c r="AB758" s="1"/>
      <c r="AC758" s="1"/>
      <c r="AD758" s="1" t="s">
        <v>98</v>
      </c>
      <c r="AE758" s="1" t="s">
        <v>98</v>
      </c>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t="s">
        <v>9653</v>
      </c>
      <c r="BV758" s="3"/>
      <c r="BW758" s="3"/>
    </row>
    <row r="759" spans="1:75">
      <c r="A759" s="1" t="s">
        <v>75</v>
      </c>
      <c r="B759" s="1" t="s">
        <v>13976</v>
      </c>
      <c r="C759" s="1" t="s">
        <v>14106</v>
      </c>
      <c r="D759" s="1" t="s">
        <v>14107</v>
      </c>
      <c r="E759" s="1"/>
      <c r="F759" s="1" t="s">
        <v>14108</v>
      </c>
      <c r="G759" s="1" t="s">
        <v>14109</v>
      </c>
      <c r="H759" s="1" t="s">
        <v>14110</v>
      </c>
      <c r="I759" s="1" t="s">
        <v>14111</v>
      </c>
      <c r="J759" s="1">
        <v>9556576553</v>
      </c>
      <c r="K759" s="1" t="s">
        <v>84</v>
      </c>
      <c r="L759" s="1" t="s">
        <v>14112</v>
      </c>
      <c r="M759" s="1" t="s">
        <v>86</v>
      </c>
      <c r="N759" s="1" t="s">
        <v>14113</v>
      </c>
      <c r="O759" s="1" t="s">
        <v>14114</v>
      </c>
      <c r="P759" s="1" t="s">
        <v>219</v>
      </c>
      <c r="Q759" s="1">
        <v>668011469465</v>
      </c>
      <c r="R759" s="1" t="s">
        <v>14115</v>
      </c>
      <c r="S759" s="1">
        <v>7013103917</v>
      </c>
      <c r="T759" s="1" t="s">
        <v>14116</v>
      </c>
      <c r="U759" s="1" t="s">
        <v>14117</v>
      </c>
      <c r="V759" s="1">
        <v>6370718809</v>
      </c>
      <c r="W759" s="1" t="s">
        <v>3441</v>
      </c>
      <c r="X759" s="1" t="s">
        <v>14118</v>
      </c>
      <c r="Y759" s="1" t="s">
        <v>11210</v>
      </c>
      <c r="Z759" s="1" t="s">
        <v>865</v>
      </c>
      <c r="AA759" s="1" t="s">
        <v>14118</v>
      </c>
      <c r="AB759" s="1" t="s">
        <v>11210</v>
      </c>
      <c r="AC759" s="1" t="s">
        <v>865</v>
      </c>
      <c r="AD759" s="1" t="s">
        <v>98</v>
      </c>
      <c r="AE759" s="1" t="s">
        <v>98</v>
      </c>
      <c r="AF759" s="1" t="s">
        <v>14119</v>
      </c>
      <c r="AG759" s="1" t="s">
        <v>14120</v>
      </c>
      <c r="AH759" s="1" t="s">
        <v>414</v>
      </c>
      <c r="AI759" s="1" t="s">
        <v>365</v>
      </c>
      <c r="AJ759" s="1">
        <v>85.16</v>
      </c>
      <c r="AK759" s="1"/>
      <c r="AL759" s="1" t="s">
        <v>14121</v>
      </c>
      <c r="AM759" s="1" t="s">
        <v>14122</v>
      </c>
      <c r="AN759" s="1" t="s">
        <v>575</v>
      </c>
      <c r="AO759" s="1" t="s">
        <v>977</v>
      </c>
      <c r="AP759" s="1" t="s">
        <v>13217</v>
      </c>
      <c r="AQ759" s="1">
        <v>89.83</v>
      </c>
      <c r="AR759" s="1"/>
      <c r="AS759" s="1"/>
      <c r="AT759" s="1"/>
      <c r="AU759" s="1"/>
      <c r="AV759" s="1"/>
      <c r="AW759" s="1"/>
      <c r="AX759" s="1"/>
      <c r="AY759" s="1" t="s">
        <v>1264</v>
      </c>
      <c r="AZ759" s="1" t="s">
        <v>14123</v>
      </c>
      <c r="BA759" s="1" t="s">
        <v>466</v>
      </c>
      <c r="BB759" s="1" t="s">
        <v>467</v>
      </c>
      <c r="BC759" s="1" t="s">
        <v>1802</v>
      </c>
      <c r="BD759" s="1" t="s">
        <v>9688</v>
      </c>
      <c r="BE759" s="1">
        <v>77.5</v>
      </c>
      <c r="BF759" s="1"/>
      <c r="BG759" s="1"/>
      <c r="BH759" s="1"/>
      <c r="BI759" s="1"/>
      <c r="BJ759" s="1"/>
      <c r="BK759" s="1"/>
      <c r="BL759" s="1"/>
      <c r="BM759" s="1"/>
      <c r="BN759" s="1"/>
      <c r="BO759" s="1" t="s">
        <v>1826</v>
      </c>
      <c r="BP759" s="1"/>
      <c r="BQ759" s="1"/>
      <c r="BR759" s="1" t="s">
        <v>14124</v>
      </c>
      <c r="BS759" s="1">
        <v>8</v>
      </c>
      <c r="BT759" s="1" t="s">
        <v>14125</v>
      </c>
      <c r="BU759" s="1" t="str">
        <f>HYPERLINK("https://nconnect.nicmar.ac.in/storage/profile/6a85f29e94cd0.png","Download")</f>
        <v>0</v>
      </c>
      <c r="BV759" s="3"/>
      <c r="BW759" s="3"/>
    </row>
    <row r="760" spans="1:75">
      <c r="A760" s="1" t="s">
        <v>75</v>
      </c>
      <c r="B760" s="1" t="s">
        <v>13976</v>
      </c>
      <c r="C760" s="1" t="s">
        <v>14126</v>
      </c>
      <c r="D760" s="1" t="s">
        <v>14127</v>
      </c>
      <c r="E760" s="1"/>
      <c r="F760" s="1" t="s">
        <v>587</v>
      </c>
      <c r="G760" s="1" t="s">
        <v>14128</v>
      </c>
      <c r="H760" s="1" t="s">
        <v>14129</v>
      </c>
      <c r="I760" s="1" t="s">
        <v>14130</v>
      </c>
      <c r="J760" s="1">
        <v>9790576760</v>
      </c>
      <c r="K760" s="1" t="s">
        <v>84</v>
      </c>
      <c r="L760" s="1" t="s">
        <v>14131</v>
      </c>
      <c r="M760" s="1" t="s">
        <v>86</v>
      </c>
      <c r="N760" s="1" t="s">
        <v>12562</v>
      </c>
      <c r="O760" s="1" t="s">
        <v>14132</v>
      </c>
      <c r="P760" s="1" t="s">
        <v>219</v>
      </c>
      <c r="Q760" s="1">
        <v>346222041630</v>
      </c>
      <c r="R760" s="1" t="s">
        <v>14133</v>
      </c>
      <c r="S760" s="1">
        <v>9443731542</v>
      </c>
      <c r="T760" s="1" t="s">
        <v>14134</v>
      </c>
      <c r="U760" s="1" t="s">
        <v>14135</v>
      </c>
      <c r="V760" s="1">
        <v>9344331542</v>
      </c>
      <c r="W760" s="1" t="s">
        <v>14136</v>
      </c>
      <c r="X760" s="1" t="s">
        <v>14137</v>
      </c>
      <c r="Y760" s="1" t="s">
        <v>569</v>
      </c>
      <c r="Z760" s="1" t="s">
        <v>570</v>
      </c>
      <c r="AA760" s="1" t="s">
        <v>14137</v>
      </c>
      <c r="AB760" s="1" t="s">
        <v>569</v>
      </c>
      <c r="AC760" s="1" t="s">
        <v>570</v>
      </c>
      <c r="AD760" s="1" t="s">
        <v>98</v>
      </c>
      <c r="AE760" s="1" t="s">
        <v>98</v>
      </c>
      <c r="AF760" s="1" t="s">
        <v>14138</v>
      </c>
      <c r="AG760" s="1" t="s">
        <v>14139</v>
      </c>
      <c r="AH760" s="1" t="s">
        <v>106</v>
      </c>
      <c r="AI760" s="1" t="s">
        <v>414</v>
      </c>
      <c r="AJ760" s="1">
        <v>84.6</v>
      </c>
      <c r="AK760" s="1"/>
      <c r="AL760" s="1" t="s">
        <v>14138</v>
      </c>
      <c r="AM760" s="1" t="s">
        <v>14139</v>
      </c>
      <c r="AN760" s="1" t="s">
        <v>575</v>
      </c>
      <c r="AO760" s="1" t="s">
        <v>468</v>
      </c>
      <c r="AP760" s="1" t="s">
        <v>845</v>
      </c>
      <c r="AQ760" s="1">
        <v>89.11</v>
      </c>
      <c r="AR760" s="1"/>
      <c r="AS760" s="1"/>
      <c r="AT760" s="1"/>
      <c r="AU760" s="1"/>
      <c r="AV760" s="1"/>
      <c r="AW760" s="1"/>
      <c r="AX760" s="1"/>
      <c r="AY760" s="1" t="s">
        <v>14140</v>
      </c>
      <c r="AZ760" s="1" t="s">
        <v>14141</v>
      </c>
      <c r="BA760" s="1" t="s">
        <v>466</v>
      </c>
      <c r="BB760" s="1" t="s">
        <v>467</v>
      </c>
      <c r="BC760" s="1" t="s">
        <v>847</v>
      </c>
      <c r="BD760" s="1" t="s">
        <v>553</v>
      </c>
      <c r="BE760" s="1">
        <v>80.4</v>
      </c>
      <c r="BF760" s="1"/>
      <c r="BG760" s="1"/>
      <c r="BH760" s="1"/>
      <c r="BI760" s="1"/>
      <c r="BJ760" s="1"/>
      <c r="BK760" s="1"/>
      <c r="BL760" s="1"/>
      <c r="BM760" s="1"/>
      <c r="BN760" s="1"/>
      <c r="BO760" s="1" t="s">
        <v>14142</v>
      </c>
      <c r="BP760" s="1" t="s">
        <v>14143</v>
      </c>
      <c r="BQ760" s="1" t="s">
        <v>893</v>
      </c>
      <c r="BR760" s="1"/>
      <c r="BS760" s="1"/>
      <c r="BT760" s="1"/>
      <c r="BU760" s="1" t="str">
        <f>HYPERLINK("https://nconnect.nicmar.ac.in/storage/profile/6a84800ece01e.png","Download")</f>
        <v>0</v>
      </c>
      <c r="BV760" s="3"/>
      <c r="BW760" s="3"/>
    </row>
    <row r="761" spans="1:75">
      <c r="A761" s="1" t="s">
        <v>75</v>
      </c>
      <c r="B761" s="1" t="s">
        <v>13976</v>
      </c>
      <c r="C761" s="1" t="s">
        <v>14144</v>
      </c>
      <c r="D761" s="1" t="s">
        <v>14145</v>
      </c>
      <c r="E761" s="1" t="s">
        <v>14146</v>
      </c>
      <c r="F761" s="1" t="s">
        <v>14147</v>
      </c>
      <c r="G761" s="1" t="s">
        <v>14148</v>
      </c>
      <c r="H761" s="1" t="s">
        <v>14149</v>
      </c>
      <c r="I761" s="1" t="s">
        <v>14149</v>
      </c>
      <c r="J761" s="1">
        <v>8421472848</v>
      </c>
      <c r="K761" s="1" t="s">
        <v>153</v>
      </c>
      <c r="L761" s="1" t="s">
        <v>14150</v>
      </c>
      <c r="M761" s="1" t="s">
        <v>86</v>
      </c>
      <c r="N761" s="1" t="s">
        <v>1595</v>
      </c>
      <c r="O761" s="1" t="s">
        <v>14151</v>
      </c>
      <c r="P761" s="1" t="s">
        <v>356</v>
      </c>
      <c r="Q761" s="1">
        <v>691495783625</v>
      </c>
      <c r="R761" s="1" t="s">
        <v>14146</v>
      </c>
      <c r="S761" s="1">
        <v>9921571651</v>
      </c>
      <c r="T761" s="1" t="s">
        <v>14152</v>
      </c>
      <c r="U761" s="1" t="s">
        <v>14153</v>
      </c>
      <c r="V761" s="1">
        <v>9921460860</v>
      </c>
      <c r="W761" s="1" t="s">
        <v>14154</v>
      </c>
      <c r="X761" s="1" t="s">
        <v>14155</v>
      </c>
      <c r="Y761" s="1" t="s">
        <v>1033</v>
      </c>
      <c r="Z761" s="1" t="s">
        <v>97</v>
      </c>
      <c r="AA761" s="1" t="s">
        <v>14155</v>
      </c>
      <c r="AB761" s="1" t="s">
        <v>1033</v>
      </c>
      <c r="AC761" s="1" t="s">
        <v>97</v>
      </c>
      <c r="AD761" s="1" t="s">
        <v>98</v>
      </c>
      <c r="AE761" s="1" t="s">
        <v>98</v>
      </c>
      <c r="AF761" s="1" t="s">
        <v>14156</v>
      </c>
      <c r="AG761" s="1" t="s">
        <v>14157</v>
      </c>
      <c r="AH761" s="1" t="s">
        <v>414</v>
      </c>
      <c r="AI761" s="1" t="s">
        <v>178</v>
      </c>
      <c r="AJ761" s="1">
        <v>95.8</v>
      </c>
      <c r="AK761" s="1"/>
      <c r="AL761" s="1"/>
      <c r="AM761" s="1"/>
      <c r="AN761" s="1"/>
      <c r="AO761" s="1"/>
      <c r="AP761" s="1"/>
      <c r="AQ761" s="1"/>
      <c r="AR761" s="1"/>
      <c r="AS761" s="1" t="s">
        <v>14158</v>
      </c>
      <c r="AT761" s="1" t="s">
        <v>14159</v>
      </c>
      <c r="AU761" s="1" t="s">
        <v>233</v>
      </c>
      <c r="AV761" s="1" t="s">
        <v>234</v>
      </c>
      <c r="AW761" s="1">
        <v>85.95</v>
      </c>
      <c r="AX761" s="1"/>
      <c r="AY761" s="1" t="s">
        <v>14160</v>
      </c>
      <c r="AZ761" s="1" t="s">
        <v>14161</v>
      </c>
      <c r="BA761" s="1" t="s">
        <v>578</v>
      </c>
      <c r="BB761" s="1" t="s">
        <v>467</v>
      </c>
      <c r="BC761" s="1" t="s">
        <v>1267</v>
      </c>
      <c r="BD761" s="1" t="s">
        <v>14162</v>
      </c>
      <c r="BE761" s="1">
        <v>74.2</v>
      </c>
      <c r="BF761" s="1">
        <v>8.17</v>
      </c>
      <c r="BG761" s="1"/>
      <c r="BH761" s="1"/>
      <c r="BI761" s="1"/>
      <c r="BJ761" s="1"/>
      <c r="BK761" s="1"/>
      <c r="BL761" s="1"/>
      <c r="BM761" s="1"/>
      <c r="BN761" s="1"/>
      <c r="BO761" s="1" t="s">
        <v>14163</v>
      </c>
      <c r="BP761" s="1"/>
      <c r="BQ761" s="1"/>
      <c r="BR761" s="1" t="s">
        <v>14164</v>
      </c>
      <c r="BS761" s="1">
        <v>10</v>
      </c>
      <c r="BT761" s="1"/>
      <c r="BU761" s="1" t="str">
        <f>HYPERLINK("https://nconnect.nicmar.ac.in/storage/profile/6a86fef8724a5.png","Download")</f>
        <v>0</v>
      </c>
      <c r="BV761" s="3"/>
      <c r="BW761" s="3"/>
    </row>
    <row r="762" spans="1:75">
      <c r="A762" s="1" t="s">
        <v>75</v>
      </c>
      <c r="B762" s="1" t="s">
        <v>13976</v>
      </c>
      <c r="C762" s="1" t="s">
        <v>14165</v>
      </c>
      <c r="D762" s="1" t="s">
        <v>14166</v>
      </c>
      <c r="E762" s="1"/>
      <c r="F762" s="1" t="s">
        <v>116</v>
      </c>
      <c r="G762" s="1" t="s">
        <v>14167</v>
      </c>
      <c r="H762" s="1" t="s">
        <v>14168</v>
      </c>
      <c r="I762" s="1" t="s">
        <v>14168</v>
      </c>
      <c r="J762" s="1">
        <v>8138952704</v>
      </c>
      <c r="K762" s="1" t="s">
        <v>153</v>
      </c>
      <c r="L762" s="1" t="s">
        <v>14169</v>
      </c>
      <c r="M762" s="1" t="s">
        <v>86</v>
      </c>
      <c r="N762" s="1" t="s">
        <v>7058</v>
      </c>
      <c r="O762" s="1" t="s">
        <v>14170</v>
      </c>
      <c r="P762" s="1" t="s">
        <v>219</v>
      </c>
      <c r="Q762" s="1">
        <v>404982597762</v>
      </c>
      <c r="R762" s="1" t="s">
        <v>14171</v>
      </c>
      <c r="S762" s="1">
        <v>9496269061</v>
      </c>
      <c r="T762" s="1" t="s">
        <v>14172</v>
      </c>
      <c r="U762" s="1" t="s">
        <v>14173</v>
      </c>
      <c r="V762" s="1">
        <v>9496219340</v>
      </c>
      <c r="W762" s="1" t="s">
        <v>14174</v>
      </c>
      <c r="X762" s="1" t="s">
        <v>14175</v>
      </c>
      <c r="Y762" s="1" t="s">
        <v>5313</v>
      </c>
      <c r="Z762" s="1" t="s">
        <v>130</v>
      </c>
      <c r="AA762" s="1" t="s">
        <v>14175</v>
      </c>
      <c r="AB762" s="1" t="s">
        <v>5313</v>
      </c>
      <c r="AC762" s="1" t="s">
        <v>130</v>
      </c>
      <c r="AD762" s="1" t="s">
        <v>98</v>
      </c>
      <c r="AE762" s="1" t="s">
        <v>98</v>
      </c>
      <c r="AF762" s="1" t="s">
        <v>14176</v>
      </c>
      <c r="AG762" s="1" t="s">
        <v>14177</v>
      </c>
      <c r="AH762" s="1" t="s">
        <v>438</v>
      </c>
      <c r="AI762" s="1" t="s">
        <v>603</v>
      </c>
      <c r="AJ762" s="1">
        <v>98</v>
      </c>
      <c r="AK762" s="1"/>
      <c r="AL762" s="1" t="s">
        <v>14178</v>
      </c>
      <c r="AM762" s="1" t="s">
        <v>14179</v>
      </c>
      <c r="AN762" s="1" t="s">
        <v>575</v>
      </c>
      <c r="AO762" s="1" t="s">
        <v>847</v>
      </c>
      <c r="AP762" s="1" t="s">
        <v>1886</v>
      </c>
      <c r="AQ762" s="1">
        <v>92.83</v>
      </c>
      <c r="AR762" s="1"/>
      <c r="AS762" s="1"/>
      <c r="AT762" s="1"/>
      <c r="AU762" s="1"/>
      <c r="AV762" s="1"/>
      <c r="AW762" s="1"/>
      <c r="AX762" s="1"/>
      <c r="AY762" s="1" t="s">
        <v>14180</v>
      </c>
      <c r="AZ762" s="1" t="s">
        <v>14181</v>
      </c>
      <c r="BA762" s="1" t="s">
        <v>466</v>
      </c>
      <c r="BB762" s="1" t="s">
        <v>467</v>
      </c>
      <c r="BC762" s="1" t="s">
        <v>1889</v>
      </c>
      <c r="BD762" s="1" t="s">
        <v>14101</v>
      </c>
      <c r="BE762" s="1">
        <v>80.4</v>
      </c>
      <c r="BF762" s="1">
        <v>8.04</v>
      </c>
      <c r="BG762" s="1"/>
      <c r="BH762" s="1"/>
      <c r="BI762" s="1"/>
      <c r="BJ762" s="1"/>
      <c r="BK762" s="1"/>
      <c r="BL762" s="1"/>
      <c r="BM762" s="1"/>
      <c r="BN762" s="1"/>
      <c r="BO762" s="1" t="s">
        <v>14182</v>
      </c>
      <c r="BP762" s="1"/>
      <c r="BQ762" s="1"/>
      <c r="BR762" s="1" t="s">
        <v>14183</v>
      </c>
      <c r="BS762" s="1">
        <v>1</v>
      </c>
      <c r="BT762" s="1"/>
      <c r="BU762" s="1" t="str">
        <f>HYPERLINK("https://nconnect.nicmar.ac.in/storage/profile/6a85fd9071230.png","Download")</f>
        <v>0</v>
      </c>
      <c r="BV762" s="3"/>
      <c r="BW762" s="3"/>
    </row>
    <row r="763" spans="1:75">
      <c r="A763" s="1" t="s">
        <v>75</v>
      </c>
      <c r="B763" s="1" t="s">
        <v>13976</v>
      </c>
      <c r="C763" s="1" t="s">
        <v>14184</v>
      </c>
      <c r="D763" s="1" t="s">
        <v>14185</v>
      </c>
      <c r="E763" s="1" t="s">
        <v>14186</v>
      </c>
      <c r="F763" s="1" t="s">
        <v>1179</v>
      </c>
      <c r="G763" s="1" t="s">
        <v>14187</v>
      </c>
      <c r="H763" s="1" t="s">
        <v>14188</v>
      </c>
      <c r="I763" s="1" t="s">
        <v>14189</v>
      </c>
      <c r="J763" s="1">
        <v>9834912212</v>
      </c>
      <c r="K763" s="1" t="s">
        <v>153</v>
      </c>
      <c r="L763" s="1" t="s">
        <v>2001</v>
      </c>
      <c r="M763" s="1" t="s">
        <v>86</v>
      </c>
      <c r="N763" s="1" t="s">
        <v>768</v>
      </c>
      <c r="O763" s="1" t="s">
        <v>14190</v>
      </c>
      <c r="P763" s="1" t="s">
        <v>219</v>
      </c>
      <c r="Q763" s="1">
        <v>322730126930</v>
      </c>
      <c r="R763" s="1" t="s">
        <v>14191</v>
      </c>
      <c r="S763" s="1">
        <v>9011349017</v>
      </c>
      <c r="T763" s="1" t="s">
        <v>14192</v>
      </c>
      <c r="U763" s="1" t="s">
        <v>14193</v>
      </c>
      <c r="V763" s="1">
        <v>9604034397</v>
      </c>
      <c r="W763" s="1" t="s">
        <v>10306</v>
      </c>
      <c r="X763" s="1" t="s">
        <v>14194</v>
      </c>
      <c r="Y763" s="1" t="s">
        <v>1189</v>
      </c>
      <c r="Z763" s="1" t="s">
        <v>97</v>
      </c>
      <c r="AA763" s="1" t="s">
        <v>14194</v>
      </c>
      <c r="AB763" s="1" t="s">
        <v>1189</v>
      </c>
      <c r="AC763" s="1" t="s">
        <v>97</v>
      </c>
      <c r="AD763" s="1" t="s">
        <v>98</v>
      </c>
      <c r="AE763" s="1" t="s">
        <v>98</v>
      </c>
      <c r="AF763" s="1" t="s">
        <v>14195</v>
      </c>
      <c r="AG763" s="1" t="s">
        <v>12649</v>
      </c>
      <c r="AH763" s="1" t="s">
        <v>167</v>
      </c>
      <c r="AI763" s="1" t="s">
        <v>170</v>
      </c>
      <c r="AJ763" s="1">
        <v>91.4</v>
      </c>
      <c r="AK763" s="1"/>
      <c r="AL763" s="1" t="s">
        <v>14196</v>
      </c>
      <c r="AM763" s="1" t="s">
        <v>12649</v>
      </c>
      <c r="AN763" s="1" t="s">
        <v>575</v>
      </c>
      <c r="AO763" s="1" t="s">
        <v>170</v>
      </c>
      <c r="AP763" s="1" t="s">
        <v>313</v>
      </c>
      <c r="AQ763" s="1">
        <v>68.92</v>
      </c>
      <c r="AR763" s="1"/>
      <c r="AS763" s="1"/>
      <c r="AT763" s="1"/>
      <c r="AU763" s="1"/>
      <c r="AV763" s="1"/>
      <c r="AW763" s="1"/>
      <c r="AX763" s="1"/>
      <c r="AY763" s="1" t="s">
        <v>14197</v>
      </c>
      <c r="AZ763" s="1" t="s">
        <v>8319</v>
      </c>
      <c r="BA763" s="1" t="s">
        <v>466</v>
      </c>
      <c r="BB763" s="1" t="s">
        <v>467</v>
      </c>
      <c r="BC763" s="1" t="s">
        <v>315</v>
      </c>
      <c r="BD763" s="1" t="s">
        <v>391</v>
      </c>
      <c r="BE763" s="1">
        <v>75.5</v>
      </c>
      <c r="BF763" s="1">
        <v>8.05</v>
      </c>
      <c r="BG763" s="1"/>
      <c r="BH763" s="1"/>
      <c r="BI763" s="1"/>
      <c r="BJ763" s="1"/>
      <c r="BK763" s="1"/>
      <c r="BL763" s="1"/>
      <c r="BM763" s="1"/>
      <c r="BN763" s="1"/>
      <c r="BO763" s="1" t="s">
        <v>14198</v>
      </c>
      <c r="BP763" s="1" t="s">
        <v>14199</v>
      </c>
      <c r="BQ763" s="1" t="s">
        <v>780</v>
      </c>
      <c r="BR763" s="1" t="s">
        <v>14200</v>
      </c>
      <c r="BS763" s="1">
        <v>38</v>
      </c>
      <c r="BT763" s="1" t="s">
        <v>849</v>
      </c>
      <c r="BU763" s="1" t="str">
        <f>HYPERLINK("https://nconnect.nicmar.ac.in/storage/profile/6a873bc67e952.png","Download")</f>
        <v>0</v>
      </c>
      <c r="BV763" s="3"/>
      <c r="BW763" s="3"/>
    </row>
    <row r="764" spans="1:75">
      <c r="A764" s="1" t="s">
        <v>75</v>
      </c>
      <c r="B764" s="1" t="s">
        <v>13976</v>
      </c>
      <c r="C764" s="1" t="s">
        <v>14201</v>
      </c>
      <c r="D764" s="1" t="s">
        <v>14202</v>
      </c>
      <c r="E764" s="1"/>
      <c r="F764" s="1" t="s">
        <v>14203</v>
      </c>
      <c r="G764" s="1" t="s">
        <v>14204</v>
      </c>
      <c r="H764" s="1" t="s">
        <v>14205</v>
      </c>
      <c r="I764" s="1" t="s">
        <v>14205</v>
      </c>
      <c r="J764" s="1">
        <v>8105107095</v>
      </c>
      <c r="K764" s="1" t="s">
        <v>84</v>
      </c>
      <c r="L764" s="1" t="s">
        <v>14206</v>
      </c>
      <c r="M764" s="1" t="s">
        <v>86</v>
      </c>
      <c r="N764" s="1" t="s">
        <v>14207</v>
      </c>
      <c r="O764" s="1" t="s">
        <v>14208</v>
      </c>
      <c r="P764" s="1" t="s">
        <v>122</v>
      </c>
      <c r="Q764" s="1">
        <v>684308732916</v>
      </c>
      <c r="R764" s="1" t="s">
        <v>14209</v>
      </c>
      <c r="S764" s="1">
        <v>7338330766</v>
      </c>
      <c r="T764" s="1" t="s">
        <v>14210</v>
      </c>
      <c r="U764" s="1" t="s">
        <v>14211</v>
      </c>
      <c r="V764" s="1">
        <v>9108443755</v>
      </c>
      <c r="W764" s="1" t="s">
        <v>14212</v>
      </c>
      <c r="X764" s="1" t="s">
        <v>14213</v>
      </c>
      <c r="Y764" s="1" t="s">
        <v>3132</v>
      </c>
      <c r="Z764" s="1" t="s">
        <v>1210</v>
      </c>
      <c r="AA764" s="1" t="s">
        <v>14213</v>
      </c>
      <c r="AB764" s="1" t="s">
        <v>3132</v>
      </c>
      <c r="AC764" s="1" t="s">
        <v>1210</v>
      </c>
      <c r="AD764" s="1" t="s">
        <v>98</v>
      </c>
      <c r="AE764" s="1" t="s">
        <v>98</v>
      </c>
      <c r="AF764" s="1" t="s">
        <v>14214</v>
      </c>
      <c r="AG764" s="1" t="s">
        <v>14215</v>
      </c>
      <c r="AH764" s="1" t="s">
        <v>106</v>
      </c>
      <c r="AI764" s="1" t="s">
        <v>313</v>
      </c>
      <c r="AJ764" s="1">
        <v>68.8</v>
      </c>
      <c r="AK764" s="1">
        <v>7.24</v>
      </c>
      <c r="AL764" s="1" t="s">
        <v>14216</v>
      </c>
      <c r="AM764" s="1" t="s">
        <v>14217</v>
      </c>
      <c r="AN764" s="1" t="s">
        <v>465</v>
      </c>
      <c r="AO764" s="1" t="s">
        <v>438</v>
      </c>
      <c r="AP764" s="1" t="s">
        <v>549</v>
      </c>
      <c r="AQ764" s="1">
        <v>71.5</v>
      </c>
      <c r="AR764" s="1">
        <v>7.53</v>
      </c>
      <c r="AS764" s="1"/>
      <c r="AT764" s="1"/>
      <c r="AU764" s="1"/>
      <c r="AV764" s="1"/>
      <c r="AW764" s="1"/>
      <c r="AX764" s="1"/>
      <c r="AY764" s="1" t="s">
        <v>14218</v>
      </c>
      <c r="AZ764" s="1" t="s">
        <v>14219</v>
      </c>
      <c r="BA764" s="1" t="s">
        <v>682</v>
      </c>
      <c r="BB764" s="1" t="s">
        <v>683</v>
      </c>
      <c r="BC764" s="1" t="s">
        <v>871</v>
      </c>
      <c r="BD764" s="1" t="s">
        <v>14162</v>
      </c>
      <c r="BE764" s="1">
        <v>80.5</v>
      </c>
      <c r="BF764" s="1">
        <v>8.05</v>
      </c>
      <c r="BG764" s="1"/>
      <c r="BH764" s="1"/>
      <c r="BI764" s="1"/>
      <c r="BJ764" s="1"/>
      <c r="BK764" s="1"/>
      <c r="BL764" s="1"/>
      <c r="BM764" s="1"/>
      <c r="BN764" s="1"/>
      <c r="BO764" s="1" t="s">
        <v>14220</v>
      </c>
      <c r="BP764" s="1"/>
      <c r="BQ764" s="1"/>
      <c r="BR764" s="1" t="s">
        <v>14221</v>
      </c>
      <c r="BS764" s="1">
        <v>18</v>
      </c>
      <c r="BT764" s="1" t="s">
        <v>14222</v>
      </c>
      <c r="BU764" s="1" t="str">
        <f>HYPERLINK("https://nconnect.nicmar.ac.in/storage/profile/6a844d18203e4.png","Download")</f>
        <v>0</v>
      </c>
      <c r="BV764" s="3"/>
      <c r="BW764" s="3"/>
    </row>
    <row r="765" spans="1:75">
      <c r="A765" s="1" t="s">
        <v>75</v>
      </c>
      <c r="B765" s="1" t="s">
        <v>13976</v>
      </c>
      <c r="C765" s="1" t="s">
        <v>14223</v>
      </c>
      <c r="D765" s="1" t="s">
        <v>14224</v>
      </c>
      <c r="E765" s="1" t="s">
        <v>14225</v>
      </c>
      <c r="F765" s="1" t="s">
        <v>14226</v>
      </c>
      <c r="G765" s="1" t="s">
        <v>14227</v>
      </c>
      <c r="H765" s="1" t="s">
        <v>14228</v>
      </c>
      <c r="I765" s="1" t="s">
        <v>14228</v>
      </c>
      <c r="J765" s="1">
        <v>8149805404</v>
      </c>
      <c r="K765" s="1" t="s">
        <v>84</v>
      </c>
      <c r="L765" s="1" t="s">
        <v>14229</v>
      </c>
      <c r="M765" s="1" t="s">
        <v>86</v>
      </c>
      <c r="N765" s="1" t="s">
        <v>14230</v>
      </c>
      <c r="O765" s="1" t="s">
        <v>14231</v>
      </c>
      <c r="P765" s="1" t="s">
        <v>122</v>
      </c>
      <c r="Q765" s="1">
        <v>947841682838</v>
      </c>
      <c r="R765" s="1" t="s">
        <v>14232</v>
      </c>
      <c r="S765" s="1">
        <v>9226469299</v>
      </c>
      <c r="T765" s="1" t="s">
        <v>2177</v>
      </c>
      <c r="U765" s="1" t="s">
        <v>14233</v>
      </c>
      <c r="V765" s="1">
        <v>9028792889</v>
      </c>
      <c r="W765" s="1" t="s">
        <v>14234</v>
      </c>
      <c r="X765" s="1" t="s">
        <v>14235</v>
      </c>
      <c r="Y765" s="1" t="s">
        <v>3538</v>
      </c>
      <c r="Z765" s="1" t="s">
        <v>97</v>
      </c>
      <c r="AA765" s="1" t="s">
        <v>14236</v>
      </c>
      <c r="AB765" s="1" t="s">
        <v>196</v>
      </c>
      <c r="AC765" s="1" t="s">
        <v>97</v>
      </c>
      <c r="AD765" s="1" t="s">
        <v>98</v>
      </c>
      <c r="AE765" s="1" t="s">
        <v>98</v>
      </c>
      <c r="AF765" s="1" t="s">
        <v>14237</v>
      </c>
      <c r="AG765" s="1" t="s">
        <v>14238</v>
      </c>
      <c r="AH765" s="1" t="s">
        <v>101</v>
      </c>
      <c r="AI765" s="1" t="s">
        <v>166</v>
      </c>
      <c r="AJ765" s="1">
        <v>83.4</v>
      </c>
      <c r="AK765" s="1"/>
      <c r="AL765" s="1" t="s">
        <v>14239</v>
      </c>
      <c r="AM765" s="1" t="s">
        <v>14238</v>
      </c>
      <c r="AN765" s="1" t="s">
        <v>465</v>
      </c>
      <c r="AO765" s="1" t="s">
        <v>1396</v>
      </c>
      <c r="AP765" s="1" t="s">
        <v>573</v>
      </c>
      <c r="AQ765" s="1">
        <v>66</v>
      </c>
      <c r="AR765" s="1"/>
      <c r="AS765" s="1" t="s">
        <v>14240</v>
      </c>
      <c r="AT765" s="1" t="s">
        <v>14241</v>
      </c>
      <c r="AU765" s="1" t="s">
        <v>388</v>
      </c>
      <c r="AV765" s="1" t="s">
        <v>175</v>
      </c>
      <c r="AW765" s="1">
        <v>84.88</v>
      </c>
      <c r="AX765" s="1"/>
      <c r="AY765" s="1" t="s">
        <v>14160</v>
      </c>
      <c r="AZ765" s="1" t="s">
        <v>14242</v>
      </c>
      <c r="BA765" s="1" t="s">
        <v>578</v>
      </c>
      <c r="BB765" s="1" t="s">
        <v>467</v>
      </c>
      <c r="BC765" s="1" t="s">
        <v>233</v>
      </c>
      <c r="BD765" s="1" t="s">
        <v>179</v>
      </c>
      <c r="BE765" s="1">
        <v>76.4</v>
      </c>
      <c r="BF765" s="1">
        <v>8.45</v>
      </c>
      <c r="BG765" s="1"/>
      <c r="BH765" s="1"/>
      <c r="BI765" s="1"/>
      <c r="BJ765" s="1"/>
      <c r="BK765" s="1"/>
      <c r="BL765" s="1"/>
      <c r="BM765" s="1"/>
      <c r="BN765" s="1"/>
      <c r="BO765" s="1" t="s">
        <v>14243</v>
      </c>
      <c r="BP765" s="1" t="s">
        <v>14244</v>
      </c>
      <c r="BQ765" s="1" t="s">
        <v>524</v>
      </c>
      <c r="BR765" s="1" t="s">
        <v>14245</v>
      </c>
      <c r="BS765" s="1">
        <v>8</v>
      </c>
      <c r="BT765" s="1" t="s">
        <v>14246</v>
      </c>
      <c r="BU765" s="1" t="str">
        <f>HYPERLINK("https://nconnect.nicmar.ac.in/storage/profile/6a870c35f37de.png","Download")</f>
        <v>0</v>
      </c>
      <c r="BV765" s="3"/>
      <c r="BW765" s="3"/>
    </row>
    <row r="766" spans="1:75">
      <c r="A766" s="1" t="s">
        <v>75</v>
      </c>
      <c r="B766" s="1" t="s">
        <v>13976</v>
      </c>
      <c r="C766" s="1" t="s">
        <v>14247</v>
      </c>
      <c r="D766" s="1" t="s">
        <v>14248</v>
      </c>
      <c r="E766" s="1" t="s">
        <v>14249</v>
      </c>
      <c r="F766" s="1" t="s">
        <v>14250</v>
      </c>
      <c r="G766" s="1" t="s">
        <v>14251</v>
      </c>
      <c r="H766" s="1" t="s">
        <v>14252</v>
      </c>
      <c r="I766" s="1" t="s">
        <v>14252</v>
      </c>
      <c r="J766" s="1">
        <v>9029256454</v>
      </c>
      <c r="K766" s="1" t="s">
        <v>84</v>
      </c>
      <c r="L766" s="1" t="s">
        <v>2542</v>
      </c>
      <c r="M766" s="1" t="s">
        <v>86</v>
      </c>
      <c r="N766" s="1" t="s">
        <v>14253</v>
      </c>
      <c r="O766" s="1" t="s">
        <v>14254</v>
      </c>
      <c r="P766" s="1" t="s">
        <v>219</v>
      </c>
      <c r="Q766" s="1">
        <v>428809291548</v>
      </c>
      <c r="R766" s="1" t="s">
        <v>14255</v>
      </c>
      <c r="S766" s="1">
        <v>9819246805</v>
      </c>
      <c r="T766" s="1" t="s">
        <v>14256</v>
      </c>
      <c r="U766" s="1" t="s">
        <v>14257</v>
      </c>
      <c r="V766" s="1">
        <v>9833359459</v>
      </c>
      <c r="W766" s="1" t="s">
        <v>3441</v>
      </c>
      <c r="X766" s="1" t="s">
        <v>14258</v>
      </c>
      <c r="Y766" s="1" t="s">
        <v>1189</v>
      </c>
      <c r="Z766" s="1" t="s">
        <v>97</v>
      </c>
      <c r="AA766" s="1" t="s">
        <v>14258</v>
      </c>
      <c r="AB766" s="1" t="s">
        <v>1189</v>
      </c>
      <c r="AC766" s="1" t="s">
        <v>97</v>
      </c>
      <c r="AD766" s="1" t="s">
        <v>98</v>
      </c>
      <c r="AE766" s="1" t="s">
        <v>98</v>
      </c>
      <c r="AF766" s="1" t="s">
        <v>14259</v>
      </c>
      <c r="AG766" s="1" t="s">
        <v>14238</v>
      </c>
      <c r="AH766" s="1" t="s">
        <v>170</v>
      </c>
      <c r="AI766" s="1" t="s">
        <v>106</v>
      </c>
      <c r="AJ766" s="1">
        <v>92</v>
      </c>
      <c r="AK766" s="1"/>
      <c r="AL766" s="1" t="s">
        <v>14260</v>
      </c>
      <c r="AM766" s="1" t="s">
        <v>14261</v>
      </c>
      <c r="AN766" s="1" t="s">
        <v>465</v>
      </c>
      <c r="AO766" s="1" t="s">
        <v>438</v>
      </c>
      <c r="AP766" s="1" t="s">
        <v>468</v>
      </c>
      <c r="AQ766" s="1">
        <v>77.54</v>
      </c>
      <c r="AR766" s="1"/>
      <c r="AS766" s="1"/>
      <c r="AT766" s="1"/>
      <c r="AU766" s="1"/>
      <c r="AV766" s="1"/>
      <c r="AW766" s="1"/>
      <c r="AX766" s="1"/>
      <c r="AY766" s="1" t="s">
        <v>14262</v>
      </c>
      <c r="AZ766" s="1" t="s">
        <v>14159</v>
      </c>
      <c r="BA766" s="1" t="s">
        <v>466</v>
      </c>
      <c r="BB766" s="1" t="s">
        <v>467</v>
      </c>
      <c r="BC766" s="1" t="s">
        <v>468</v>
      </c>
      <c r="BD766" s="1" t="s">
        <v>418</v>
      </c>
      <c r="BE766" s="1">
        <v>69</v>
      </c>
      <c r="BF766" s="1">
        <v>7.65</v>
      </c>
      <c r="BG766" s="1"/>
      <c r="BH766" s="1"/>
      <c r="BI766" s="1"/>
      <c r="BJ766" s="1"/>
      <c r="BK766" s="1"/>
      <c r="BL766" s="1"/>
      <c r="BM766" s="1"/>
      <c r="BN766" s="1"/>
      <c r="BO766" s="1" t="s">
        <v>14263</v>
      </c>
      <c r="BP766" s="1" t="s">
        <v>14264</v>
      </c>
      <c r="BQ766" s="1" t="s">
        <v>6365</v>
      </c>
      <c r="BR766" s="1" t="s">
        <v>14265</v>
      </c>
      <c r="BS766" s="1">
        <v>2</v>
      </c>
      <c r="BT766" s="1"/>
      <c r="BU766" s="1" t="str">
        <f>HYPERLINK("https://nconnect.nicmar.ac.in/storage/profile/6a87f9d8a3496.png","Download")</f>
        <v>0</v>
      </c>
      <c r="BV766" s="3"/>
      <c r="BW766" s="3"/>
    </row>
    <row r="767" spans="1:75">
      <c r="A767" s="1" t="s">
        <v>75</v>
      </c>
      <c r="B767" s="1" t="s">
        <v>13976</v>
      </c>
      <c r="C767" s="1" t="s">
        <v>14266</v>
      </c>
      <c r="D767" s="1" t="s">
        <v>14267</v>
      </c>
      <c r="E767" s="1"/>
      <c r="F767" s="1" t="s">
        <v>14268</v>
      </c>
      <c r="G767" s="1" t="s">
        <v>14269</v>
      </c>
      <c r="H767" s="1" t="s">
        <v>14270</v>
      </c>
      <c r="I767" s="1" t="s">
        <v>14271</v>
      </c>
      <c r="J767" s="1">
        <v>6302213825</v>
      </c>
      <c r="K767" s="1" t="s">
        <v>84</v>
      </c>
      <c r="L767" s="1" t="s">
        <v>14272</v>
      </c>
      <c r="M767" s="1" t="s">
        <v>86</v>
      </c>
      <c r="N767" s="1" t="s">
        <v>8486</v>
      </c>
      <c r="O767" s="1" t="s">
        <v>14273</v>
      </c>
      <c r="P767" s="1" t="s">
        <v>219</v>
      </c>
      <c r="Q767" s="1">
        <v>509291507287</v>
      </c>
      <c r="R767" s="1" t="s">
        <v>14274</v>
      </c>
      <c r="S767" s="1">
        <v>9110568953</v>
      </c>
      <c r="T767" s="1" t="s">
        <v>14275</v>
      </c>
      <c r="U767" s="1" t="s">
        <v>14276</v>
      </c>
      <c r="V767" s="1">
        <v>7569347321</v>
      </c>
      <c r="W767" s="1" t="s">
        <v>10306</v>
      </c>
      <c r="X767" s="1" t="s">
        <v>14277</v>
      </c>
      <c r="Y767" s="1" t="s">
        <v>1454</v>
      </c>
      <c r="Z767" s="1" t="s">
        <v>281</v>
      </c>
      <c r="AA767" s="1" t="s">
        <v>14278</v>
      </c>
      <c r="AB767" s="1" t="s">
        <v>1454</v>
      </c>
      <c r="AC767" s="1" t="s">
        <v>281</v>
      </c>
      <c r="AD767" s="1" t="s">
        <v>98</v>
      </c>
      <c r="AE767" s="1" t="s">
        <v>98</v>
      </c>
      <c r="AF767" s="1" t="s">
        <v>14279</v>
      </c>
      <c r="AG767" s="1" t="s">
        <v>14280</v>
      </c>
      <c r="AH767" s="1" t="s">
        <v>200</v>
      </c>
      <c r="AI767" s="1" t="s">
        <v>286</v>
      </c>
      <c r="AJ767" s="1">
        <v>97</v>
      </c>
      <c r="AK767" s="1">
        <v>9.7</v>
      </c>
      <c r="AL767" s="1"/>
      <c r="AM767" s="1"/>
      <c r="AN767" s="1"/>
      <c r="AO767" s="1"/>
      <c r="AP767" s="1"/>
      <c r="AQ767" s="1"/>
      <c r="AR767" s="1"/>
      <c r="AS767" s="1" t="s">
        <v>467</v>
      </c>
      <c r="AT767" s="1" t="s">
        <v>14281</v>
      </c>
      <c r="AU767" s="1" t="s">
        <v>490</v>
      </c>
      <c r="AV767" s="1" t="s">
        <v>2304</v>
      </c>
      <c r="AW767" s="1">
        <v>88.75</v>
      </c>
      <c r="AX767" s="1"/>
      <c r="AY767" s="1" t="s">
        <v>14282</v>
      </c>
      <c r="AZ767" s="1" t="s">
        <v>14283</v>
      </c>
      <c r="BA767" s="1" t="s">
        <v>466</v>
      </c>
      <c r="BB767" s="1" t="s">
        <v>467</v>
      </c>
      <c r="BC767" s="1" t="s">
        <v>552</v>
      </c>
      <c r="BD767" s="1" t="s">
        <v>1314</v>
      </c>
      <c r="BE767" s="1">
        <v>84</v>
      </c>
      <c r="BF767" s="1">
        <v>8.4</v>
      </c>
      <c r="BG767" s="1"/>
      <c r="BH767" s="1"/>
      <c r="BI767" s="1"/>
      <c r="BJ767" s="1"/>
      <c r="BK767" s="1"/>
      <c r="BL767" s="1"/>
      <c r="BM767" s="1"/>
      <c r="BN767" s="1"/>
      <c r="BO767" s="1" t="s">
        <v>14284</v>
      </c>
      <c r="BP767" s="1" t="s">
        <v>14285</v>
      </c>
      <c r="BQ767" s="1" t="s">
        <v>2577</v>
      </c>
      <c r="BR767" s="1"/>
      <c r="BS767" s="1"/>
      <c r="BT767" s="1" t="s">
        <v>14286</v>
      </c>
      <c r="BU767" s="1" t="str">
        <f>HYPERLINK("https://nconnect.nicmar.ac.in/storage/profile/6a8864a4c6e2f.png","Download")</f>
        <v>0</v>
      </c>
      <c r="BV767" s="3"/>
      <c r="BW767" s="3"/>
    </row>
    <row r="768" spans="1:75">
      <c r="A768" s="1" t="s">
        <v>75</v>
      </c>
      <c r="B768" s="1" t="s">
        <v>13976</v>
      </c>
      <c r="C768" s="1" t="s">
        <v>14287</v>
      </c>
      <c r="D768" s="1" t="s">
        <v>14288</v>
      </c>
      <c r="E768" s="1"/>
      <c r="F768" s="1" t="s">
        <v>1295</v>
      </c>
      <c r="G768" s="1" t="s">
        <v>14289</v>
      </c>
      <c r="H768" s="1" t="s">
        <v>14290</v>
      </c>
      <c r="I768" s="1" t="s">
        <v>14291</v>
      </c>
      <c r="J768" s="1">
        <v>6385698553</v>
      </c>
      <c r="K768" s="1" t="s">
        <v>84</v>
      </c>
      <c r="L768" s="1" t="s">
        <v>7466</v>
      </c>
      <c r="M768" s="1" t="s">
        <v>86</v>
      </c>
      <c r="N768" s="1" t="s">
        <v>14292</v>
      </c>
      <c r="O768" s="1" t="s">
        <v>14293</v>
      </c>
      <c r="P768" s="1" t="s">
        <v>122</v>
      </c>
      <c r="Q768" s="1">
        <v>886001740701</v>
      </c>
      <c r="R768" s="1" t="s">
        <v>14294</v>
      </c>
      <c r="S768" s="1">
        <v>8870156441</v>
      </c>
      <c r="T768" s="1" t="s">
        <v>2177</v>
      </c>
      <c r="U768" s="1" t="s">
        <v>14295</v>
      </c>
      <c r="V768" s="1">
        <v>9790027685</v>
      </c>
      <c r="W768" s="1" t="s">
        <v>14296</v>
      </c>
      <c r="X768" s="1" t="s">
        <v>14297</v>
      </c>
      <c r="Y768" s="1" t="s">
        <v>14298</v>
      </c>
      <c r="Z768" s="1" t="s">
        <v>570</v>
      </c>
      <c r="AA768" s="1" t="s">
        <v>14297</v>
      </c>
      <c r="AB768" s="1" t="s">
        <v>14298</v>
      </c>
      <c r="AC768" s="1" t="s">
        <v>570</v>
      </c>
      <c r="AD768" s="1" t="s">
        <v>98</v>
      </c>
      <c r="AE768" s="1" t="s">
        <v>98</v>
      </c>
      <c r="AF768" s="1" t="s">
        <v>14299</v>
      </c>
      <c r="AG768" s="1" t="s">
        <v>14300</v>
      </c>
      <c r="AH768" s="1" t="s">
        <v>106</v>
      </c>
      <c r="AI768" s="1" t="s">
        <v>414</v>
      </c>
      <c r="AJ768" s="1">
        <v>95.8</v>
      </c>
      <c r="AK768" s="1"/>
      <c r="AL768" s="1" t="s">
        <v>14301</v>
      </c>
      <c r="AM768" s="1" t="s">
        <v>14302</v>
      </c>
      <c r="AN768" s="1" t="s">
        <v>575</v>
      </c>
      <c r="AO768" s="1" t="s">
        <v>468</v>
      </c>
      <c r="AP768" s="1" t="s">
        <v>845</v>
      </c>
      <c r="AQ768" s="1">
        <v>92.35</v>
      </c>
      <c r="AR768" s="1"/>
      <c r="AS768" s="1"/>
      <c r="AT768" s="1"/>
      <c r="AU768" s="1"/>
      <c r="AV768" s="1"/>
      <c r="AW768" s="1"/>
      <c r="AX768" s="1"/>
      <c r="AY768" s="1" t="s">
        <v>14303</v>
      </c>
      <c r="AZ768" s="1" t="s">
        <v>14304</v>
      </c>
      <c r="BA768" s="1" t="s">
        <v>578</v>
      </c>
      <c r="BB768" s="1" t="s">
        <v>467</v>
      </c>
      <c r="BC768" s="1" t="s">
        <v>1889</v>
      </c>
      <c r="BD768" s="1" t="s">
        <v>14101</v>
      </c>
      <c r="BE768" s="1">
        <v>78.0</v>
      </c>
      <c r="BF768" s="1">
        <v>7.8</v>
      </c>
      <c r="BG768" s="1"/>
      <c r="BH768" s="1"/>
      <c r="BI768" s="1"/>
      <c r="BJ768" s="1"/>
      <c r="BK768" s="1"/>
      <c r="BL768" s="1"/>
      <c r="BM768" s="1"/>
      <c r="BN768" s="1"/>
      <c r="BO768" s="1" t="s">
        <v>14305</v>
      </c>
      <c r="BP768" s="1"/>
      <c r="BQ768" s="1"/>
      <c r="BR768" s="1" t="s">
        <v>14306</v>
      </c>
      <c r="BS768" s="1">
        <v>4</v>
      </c>
      <c r="BT768" s="1"/>
      <c r="BU768" s="1" t="str">
        <f>HYPERLINK("https://nconnect.nicmar.ac.in/storage/profile/6a8487287dfe9.png","Download")</f>
        <v>0</v>
      </c>
      <c r="BV768" s="3"/>
      <c r="BW768" s="3"/>
    </row>
    <row r="769" spans="1:75">
      <c r="A769" s="1" t="s">
        <v>75</v>
      </c>
      <c r="B769" s="1" t="s">
        <v>13976</v>
      </c>
      <c r="C769" s="1" t="s">
        <v>14307</v>
      </c>
      <c r="D769" s="1" t="s">
        <v>14308</v>
      </c>
      <c r="E769" s="1" t="s">
        <v>14309</v>
      </c>
      <c r="F769" s="1" t="s">
        <v>14310</v>
      </c>
      <c r="G769" s="1" t="s">
        <v>14311</v>
      </c>
      <c r="H769" s="1" t="s">
        <v>14312</v>
      </c>
      <c r="I769" s="1" t="s">
        <v>14312</v>
      </c>
      <c r="J769" s="1">
        <v>7434849272</v>
      </c>
      <c r="K769" s="1" t="s">
        <v>84</v>
      </c>
      <c r="L769" s="1" t="s">
        <v>5964</v>
      </c>
      <c r="M769" s="1" t="s">
        <v>86</v>
      </c>
      <c r="N769" s="1" t="s">
        <v>14313</v>
      </c>
      <c r="O769" s="1" t="s">
        <v>14314</v>
      </c>
      <c r="P769" s="1" t="s">
        <v>122</v>
      </c>
      <c r="Q769" s="1">
        <v>568772941384</v>
      </c>
      <c r="R769" s="1" t="s">
        <v>14315</v>
      </c>
      <c r="S769" s="1">
        <v>8511790749</v>
      </c>
      <c r="T769" s="1" t="s">
        <v>14316</v>
      </c>
      <c r="U769" s="1" t="s">
        <v>14317</v>
      </c>
      <c r="V769" s="1">
        <v>9408183405</v>
      </c>
      <c r="W769" s="1" t="s">
        <v>10306</v>
      </c>
      <c r="X769" s="1" t="s">
        <v>14318</v>
      </c>
      <c r="Y769" s="1" t="s">
        <v>14319</v>
      </c>
      <c r="Z769" s="1" t="s">
        <v>676</v>
      </c>
      <c r="AA769" s="1" t="s">
        <v>14318</v>
      </c>
      <c r="AB769" s="1" t="s">
        <v>14319</v>
      </c>
      <c r="AC769" s="1" t="s">
        <v>676</v>
      </c>
      <c r="AD769" s="1" t="s">
        <v>98</v>
      </c>
      <c r="AE769" s="1" t="s">
        <v>98</v>
      </c>
      <c r="AF769" s="1" t="s">
        <v>14320</v>
      </c>
      <c r="AG769" s="1" t="s">
        <v>14321</v>
      </c>
      <c r="AH769" s="1" t="s">
        <v>286</v>
      </c>
      <c r="AI769" s="1" t="s">
        <v>414</v>
      </c>
      <c r="AJ769" s="1">
        <v>89.17</v>
      </c>
      <c r="AK769" s="1"/>
      <c r="AL769" s="1" t="s">
        <v>14322</v>
      </c>
      <c r="AM769" s="1" t="s">
        <v>14321</v>
      </c>
      <c r="AN769" s="1" t="s">
        <v>465</v>
      </c>
      <c r="AO769" s="1" t="s">
        <v>603</v>
      </c>
      <c r="AP769" s="1" t="s">
        <v>845</v>
      </c>
      <c r="AQ769" s="1">
        <v>84.77</v>
      </c>
      <c r="AR769" s="1"/>
      <c r="AS769" s="1"/>
      <c r="AT769" s="1"/>
      <c r="AU769" s="1"/>
      <c r="AV769" s="1"/>
      <c r="AW769" s="1"/>
      <c r="AX769" s="1"/>
      <c r="AY769" s="1" t="s">
        <v>14323</v>
      </c>
      <c r="AZ769" s="1" t="s">
        <v>14321</v>
      </c>
      <c r="BA769" s="1" t="s">
        <v>682</v>
      </c>
      <c r="BB769" s="1" t="s">
        <v>1561</v>
      </c>
      <c r="BC769" s="1" t="s">
        <v>549</v>
      </c>
      <c r="BD769" s="1" t="s">
        <v>14162</v>
      </c>
      <c r="BE769" s="1">
        <v>70.25</v>
      </c>
      <c r="BF769" s="1">
        <v>7.1</v>
      </c>
      <c r="BG769" s="1"/>
      <c r="BH769" s="1"/>
      <c r="BI769" s="1"/>
      <c r="BJ769" s="1"/>
      <c r="BK769" s="1"/>
      <c r="BL769" s="1"/>
      <c r="BM769" s="1"/>
      <c r="BN769" s="1"/>
      <c r="BO769" s="1" t="s">
        <v>14324</v>
      </c>
      <c r="BP769" s="1" t="s">
        <v>14325</v>
      </c>
      <c r="BQ769" s="1" t="s">
        <v>2093</v>
      </c>
      <c r="BR769" s="1"/>
      <c r="BS769" s="1"/>
      <c r="BT769" s="1"/>
      <c r="BU769" s="1" t="str">
        <f>HYPERLINK("https://nconnect.nicmar.ac.in/storage/profile/6a8735f9c6f28.png","Download")</f>
        <v>0</v>
      </c>
      <c r="BV769" s="3"/>
      <c r="BW769" s="3"/>
    </row>
    <row r="770" spans="1:75">
      <c r="A770" s="1" t="s">
        <v>75</v>
      </c>
      <c r="B770" s="1" t="s">
        <v>13976</v>
      </c>
      <c r="C770" s="1" t="s">
        <v>14326</v>
      </c>
      <c r="D770" s="1" t="s">
        <v>14327</v>
      </c>
      <c r="E770" s="1"/>
      <c r="F770" s="1" t="s">
        <v>14328</v>
      </c>
      <c r="G770" s="1" t="s">
        <v>14329</v>
      </c>
      <c r="H770" s="1" t="s">
        <v>14330</v>
      </c>
      <c r="I770" s="1" t="s">
        <v>14330</v>
      </c>
      <c r="J770" s="1">
        <v>9801173407</v>
      </c>
      <c r="K770" s="1" t="s">
        <v>84</v>
      </c>
      <c r="L770" s="1" t="s">
        <v>14331</v>
      </c>
      <c r="M770" s="1" t="s">
        <v>86</v>
      </c>
      <c r="N770" s="1" t="s">
        <v>14332</v>
      </c>
      <c r="O770" s="1" t="s">
        <v>14333</v>
      </c>
      <c r="P770" s="1" t="s">
        <v>122</v>
      </c>
      <c r="Q770" s="1">
        <v>635296259821</v>
      </c>
      <c r="R770" s="1" t="s">
        <v>14334</v>
      </c>
      <c r="S770" s="1">
        <v>9431173671</v>
      </c>
      <c r="T770" s="1" t="s">
        <v>14335</v>
      </c>
      <c r="U770" s="1" t="s">
        <v>14336</v>
      </c>
      <c r="V770" s="1">
        <v>7979925374</v>
      </c>
      <c r="W770" s="1" t="s">
        <v>14337</v>
      </c>
      <c r="X770" s="1" t="s">
        <v>14338</v>
      </c>
      <c r="Y770" s="1" t="s">
        <v>2954</v>
      </c>
      <c r="Z770" s="1" t="s">
        <v>2955</v>
      </c>
      <c r="AA770" s="1" t="s">
        <v>14338</v>
      </c>
      <c r="AB770" s="1" t="s">
        <v>2954</v>
      </c>
      <c r="AC770" s="1" t="s">
        <v>2955</v>
      </c>
      <c r="AD770" s="1" t="s">
        <v>98</v>
      </c>
      <c r="AE770" s="1" t="s">
        <v>98</v>
      </c>
      <c r="AF770" s="1" t="s">
        <v>14339</v>
      </c>
      <c r="AG770" s="1" t="s">
        <v>14340</v>
      </c>
      <c r="AH770" s="1" t="s">
        <v>704</v>
      </c>
      <c r="AI770" s="1" t="s">
        <v>286</v>
      </c>
      <c r="AJ770" s="1">
        <v>82.4</v>
      </c>
      <c r="AK770" s="1"/>
      <c r="AL770" s="1" t="s">
        <v>14339</v>
      </c>
      <c r="AM770" s="1" t="s">
        <v>14340</v>
      </c>
      <c r="AN770" s="1" t="s">
        <v>465</v>
      </c>
      <c r="AO770" s="1" t="s">
        <v>490</v>
      </c>
      <c r="AP770" s="1" t="s">
        <v>603</v>
      </c>
      <c r="AQ770" s="1">
        <v>68.6</v>
      </c>
      <c r="AR770" s="1"/>
      <c r="AS770" s="1"/>
      <c r="AT770" s="1"/>
      <c r="AU770" s="1"/>
      <c r="AV770" s="1"/>
      <c r="AW770" s="1"/>
      <c r="AX770" s="1"/>
      <c r="AY770" s="1" t="s">
        <v>14341</v>
      </c>
      <c r="AZ770" s="1" t="s">
        <v>14342</v>
      </c>
      <c r="BA770" s="1" t="s">
        <v>466</v>
      </c>
      <c r="BB770" s="1" t="s">
        <v>467</v>
      </c>
      <c r="BC770" s="1" t="s">
        <v>1647</v>
      </c>
      <c r="BD770" s="1" t="s">
        <v>1132</v>
      </c>
      <c r="BE770" s="1">
        <v>73.4</v>
      </c>
      <c r="BF770" s="1">
        <v>7.34</v>
      </c>
      <c r="BG770" s="1"/>
      <c r="BH770" s="1"/>
      <c r="BI770" s="1"/>
      <c r="BJ770" s="1"/>
      <c r="BK770" s="1"/>
      <c r="BL770" s="1"/>
      <c r="BM770" s="1"/>
      <c r="BN770" s="1"/>
      <c r="BO770" s="1" t="s">
        <v>14343</v>
      </c>
      <c r="BP770" s="1"/>
      <c r="BQ770" s="1"/>
      <c r="BR770" s="1"/>
      <c r="BS770" s="1"/>
      <c r="BT770" s="1"/>
      <c r="BU770" s="1" t="str">
        <f>HYPERLINK("https://nconnect.nicmar.ac.in/storage/profile/6a8739848e9f9.png","Download")</f>
        <v>0</v>
      </c>
      <c r="BV770" s="3"/>
      <c r="BW770" s="3"/>
    </row>
    <row r="771" spans="1:75">
      <c r="A771" s="1" t="s">
        <v>75</v>
      </c>
      <c r="B771" s="1" t="s">
        <v>13976</v>
      </c>
      <c r="C771" s="1" t="s">
        <v>14344</v>
      </c>
      <c r="D771" s="1" t="s">
        <v>14345</v>
      </c>
      <c r="E771" s="1"/>
      <c r="F771" s="1" t="s">
        <v>1487</v>
      </c>
      <c r="G771" s="1" t="s">
        <v>14346</v>
      </c>
      <c r="H771" s="1" t="s">
        <v>14347</v>
      </c>
      <c r="I771" s="1" t="s">
        <v>14347</v>
      </c>
      <c r="J771" s="1">
        <v>9043933256</v>
      </c>
      <c r="K771" s="1" t="s">
        <v>153</v>
      </c>
      <c r="L771" s="1" t="s">
        <v>14348</v>
      </c>
      <c r="M771" s="1" t="s">
        <v>86</v>
      </c>
      <c r="N771" s="1" t="s">
        <v>14349</v>
      </c>
      <c r="O771" s="1" t="s">
        <v>14350</v>
      </c>
      <c r="P771" s="1" t="s">
        <v>122</v>
      </c>
      <c r="Q771" s="1">
        <v>844672006939</v>
      </c>
      <c r="R771" s="1" t="s">
        <v>14351</v>
      </c>
      <c r="S771" s="1">
        <v>9840048082</v>
      </c>
      <c r="T771" s="1" t="s">
        <v>14352</v>
      </c>
      <c r="U771" s="1" t="s">
        <v>14353</v>
      </c>
      <c r="V771" s="1">
        <v>9840887848</v>
      </c>
      <c r="W771" s="1" t="s">
        <v>14234</v>
      </c>
      <c r="X771" s="1" t="s">
        <v>14354</v>
      </c>
      <c r="Y771" s="1" t="s">
        <v>1498</v>
      </c>
      <c r="Z771" s="1" t="s">
        <v>570</v>
      </c>
      <c r="AA771" s="1" t="s">
        <v>14355</v>
      </c>
      <c r="AB771" s="1" t="s">
        <v>1498</v>
      </c>
      <c r="AC771" s="1" t="s">
        <v>570</v>
      </c>
      <c r="AD771" s="1" t="s">
        <v>98</v>
      </c>
      <c r="AE771" s="1" t="s">
        <v>98</v>
      </c>
      <c r="AF771" s="1" t="s">
        <v>14356</v>
      </c>
      <c r="AG771" s="1" t="s">
        <v>9682</v>
      </c>
      <c r="AH771" s="1" t="s">
        <v>438</v>
      </c>
      <c r="AI771" s="1" t="s">
        <v>417</v>
      </c>
      <c r="AJ771" s="1">
        <v>94.4</v>
      </c>
      <c r="AK771" s="1"/>
      <c r="AL771" s="1" t="s">
        <v>14356</v>
      </c>
      <c r="AM771" s="1" t="s">
        <v>9682</v>
      </c>
      <c r="AN771" s="1" t="s">
        <v>575</v>
      </c>
      <c r="AO771" s="1" t="s">
        <v>847</v>
      </c>
      <c r="AP771" s="1" t="s">
        <v>632</v>
      </c>
      <c r="AQ771" s="1">
        <v>95.0</v>
      </c>
      <c r="AR771" s="1"/>
      <c r="AS771" s="1"/>
      <c r="AT771" s="1"/>
      <c r="AU771" s="1"/>
      <c r="AV771" s="1"/>
      <c r="AW771" s="1"/>
      <c r="AX771" s="1"/>
      <c r="AY771" s="1" t="s">
        <v>14303</v>
      </c>
      <c r="AZ771" s="1" t="s">
        <v>14357</v>
      </c>
      <c r="BA771" s="1" t="s">
        <v>578</v>
      </c>
      <c r="BB771" s="1" t="s">
        <v>467</v>
      </c>
      <c r="BC771" s="1" t="s">
        <v>1825</v>
      </c>
      <c r="BD771" s="1" t="s">
        <v>14101</v>
      </c>
      <c r="BE771" s="1">
        <v>85.5</v>
      </c>
      <c r="BF771" s="1">
        <v>8.55</v>
      </c>
      <c r="BG771" s="1"/>
      <c r="BH771" s="1"/>
      <c r="BI771" s="1"/>
      <c r="BJ771" s="1"/>
      <c r="BK771" s="1"/>
      <c r="BL771" s="1"/>
      <c r="BM771" s="1"/>
      <c r="BN771" s="1"/>
      <c r="BO771" s="1" t="s">
        <v>14358</v>
      </c>
      <c r="BP771" s="1"/>
      <c r="BQ771" s="1"/>
      <c r="BR771" s="1" t="s">
        <v>14359</v>
      </c>
      <c r="BS771" s="1">
        <v>10</v>
      </c>
      <c r="BT771" s="1" t="s">
        <v>14360</v>
      </c>
      <c r="BU771" s="1" t="str">
        <f>HYPERLINK("https://nconnect.nicmar.ac.in/storage/profile/6a869c126f7bf.png","Download")</f>
        <v>0</v>
      </c>
      <c r="BV771" s="3"/>
      <c r="BW771" s="3"/>
    </row>
    <row r="772" spans="1:75">
      <c r="A772" s="1" t="s">
        <v>75</v>
      </c>
      <c r="B772" s="1" t="s">
        <v>13976</v>
      </c>
      <c r="C772" s="1" t="s">
        <v>14361</v>
      </c>
      <c r="D772" s="1" t="s">
        <v>14362</v>
      </c>
      <c r="E772" s="1" t="s">
        <v>14363</v>
      </c>
      <c r="F772" s="1" t="s">
        <v>14364</v>
      </c>
      <c r="G772" s="1" t="s">
        <v>14365</v>
      </c>
      <c r="H772" s="1" t="s">
        <v>14366</v>
      </c>
      <c r="I772" s="1" t="s">
        <v>14367</v>
      </c>
      <c r="J772" s="1">
        <v>9730638892</v>
      </c>
      <c r="K772" s="1" t="s">
        <v>84</v>
      </c>
      <c r="L772" s="1" t="s">
        <v>14368</v>
      </c>
      <c r="M772" s="1" t="s">
        <v>86</v>
      </c>
      <c r="N772" s="1" t="s">
        <v>14369</v>
      </c>
      <c r="O772" s="1" t="s">
        <v>14370</v>
      </c>
      <c r="P772" s="1" t="s">
        <v>122</v>
      </c>
      <c r="Q772" s="1" t="s">
        <v>14371</v>
      </c>
      <c r="R772" s="1" t="s">
        <v>14372</v>
      </c>
      <c r="S772" s="1">
        <v>8879486508</v>
      </c>
      <c r="T772" s="1" t="s">
        <v>14373</v>
      </c>
      <c r="U772" s="1" t="s">
        <v>14374</v>
      </c>
      <c r="V772" s="1">
        <v>8767833803</v>
      </c>
      <c r="W772" s="1" t="s">
        <v>14154</v>
      </c>
      <c r="X772" s="1" t="s">
        <v>14375</v>
      </c>
      <c r="Y772" s="1" t="s">
        <v>2259</v>
      </c>
      <c r="Z772" s="1" t="s">
        <v>97</v>
      </c>
      <c r="AA772" s="1" t="s">
        <v>14375</v>
      </c>
      <c r="AB772" s="1" t="s">
        <v>2259</v>
      </c>
      <c r="AC772" s="1" t="s">
        <v>97</v>
      </c>
      <c r="AD772" s="1" t="s">
        <v>98</v>
      </c>
      <c r="AE772" s="1" t="s">
        <v>98</v>
      </c>
      <c r="AF772" s="1" t="s">
        <v>14376</v>
      </c>
      <c r="AG772" s="1" t="s">
        <v>14157</v>
      </c>
      <c r="AH772" s="1" t="s">
        <v>166</v>
      </c>
      <c r="AI772" s="1" t="s">
        <v>167</v>
      </c>
      <c r="AJ772" s="1">
        <v>79.8</v>
      </c>
      <c r="AK772" s="1"/>
      <c r="AL772" s="1"/>
      <c r="AM772" s="1"/>
      <c r="AN772" s="1"/>
      <c r="AO772" s="1"/>
      <c r="AP772" s="1"/>
      <c r="AQ772" s="1"/>
      <c r="AR772" s="1"/>
      <c r="AS772" s="1" t="s">
        <v>14377</v>
      </c>
      <c r="AT772" s="1" t="s">
        <v>14378</v>
      </c>
      <c r="AU772" s="1" t="s">
        <v>14379</v>
      </c>
      <c r="AV772" s="1" t="s">
        <v>438</v>
      </c>
      <c r="AW772" s="1">
        <v>67.15</v>
      </c>
      <c r="AX772" s="1">
        <v>7.07</v>
      </c>
      <c r="AY772" s="1" t="s">
        <v>14380</v>
      </c>
      <c r="AZ772" s="1" t="s">
        <v>14381</v>
      </c>
      <c r="BA772" s="1" t="s">
        <v>578</v>
      </c>
      <c r="BB772" s="1" t="s">
        <v>467</v>
      </c>
      <c r="BC772" s="1" t="s">
        <v>1065</v>
      </c>
      <c r="BD772" s="1" t="s">
        <v>110</v>
      </c>
      <c r="BE772" s="1">
        <v>69.32</v>
      </c>
      <c r="BF772" s="1">
        <v>7.8</v>
      </c>
      <c r="BG772" s="1"/>
      <c r="BH772" s="1"/>
      <c r="BI772" s="1"/>
      <c r="BJ772" s="1"/>
      <c r="BK772" s="1"/>
      <c r="BL772" s="1"/>
      <c r="BM772" s="1"/>
      <c r="BN772" s="1"/>
      <c r="BO772" s="1" t="s">
        <v>14382</v>
      </c>
      <c r="BP772" s="1" t="s">
        <v>14383</v>
      </c>
      <c r="BQ772" s="1" t="s">
        <v>143</v>
      </c>
      <c r="BR772" s="1"/>
      <c r="BS772" s="1"/>
      <c r="BT772" s="1"/>
      <c r="BU772" s="1" t="str">
        <f>HYPERLINK("https://nconnect.nicmar.ac.in/storage/profile/6a85ef50000b1.png","Download")</f>
        <v>0</v>
      </c>
      <c r="BV772" s="3"/>
      <c r="BW772" s="3"/>
    </row>
    <row r="773" spans="1:75">
      <c r="A773" s="1" t="s">
        <v>75</v>
      </c>
      <c r="B773" s="1" t="s">
        <v>13976</v>
      </c>
      <c r="C773" s="1" t="s">
        <v>14384</v>
      </c>
      <c r="D773" s="1" t="s">
        <v>14385</v>
      </c>
      <c r="E773" s="1" t="s">
        <v>14386</v>
      </c>
      <c r="F773" s="1" t="s">
        <v>14387</v>
      </c>
      <c r="G773" s="1" t="s">
        <v>14388</v>
      </c>
      <c r="H773" s="1" t="s">
        <v>14389</v>
      </c>
      <c r="I773" s="1" t="s">
        <v>14389</v>
      </c>
      <c r="J773" s="1">
        <v>7356551522</v>
      </c>
      <c r="K773" s="1" t="s">
        <v>84</v>
      </c>
      <c r="L773" s="1" t="s">
        <v>14390</v>
      </c>
      <c r="M773" s="1" t="s">
        <v>86</v>
      </c>
      <c r="N773" s="1" t="s">
        <v>14391</v>
      </c>
      <c r="O773" s="1" t="s">
        <v>14392</v>
      </c>
      <c r="P773" s="1" t="s">
        <v>89</v>
      </c>
      <c r="Q773" s="1">
        <v>395326401344</v>
      </c>
      <c r="R773" s="1" t="s">
        <v>14393</v>
      </c>
      <c r="S773" s="1">
        <v>9388470085</v>
      </c>
      <c r="T773" s="1" t="s">
        <v>14394</v>
      </c>
      <c r="U773" s="1" t="s">
        <v>14395</v>
      </c>
      <c r="V773" s="1">
        <v>9349377004</v>
      </c>
      <c r="W773" s="1" t="s">
        <v>14154</v>
      </c>
      <c r="X773" s="1" t="s">
        <v>14396</v>
      </c>
      <c r="Y773" s="1" t="s">
        <v>1498</v>
      </c>
      <c r="Z773" s="1" t="s">
        <v>570</v>
      </c>
      <c r="AA773" s="1" t="s">
        <v>14397</v>
      </c>
      <c r="AB773" s="1" t="s">
        <v>701</v>
      </c>
      <c r="AC773" s="1" t="s">
        <v>130</v>
      </c>
      <c r="AD773" s="1" t="s">
        <v>98</v>
      </c>
      <c r="AE773" s="1" t="s">
        <v>98</v>
      </c>
      <c r="AF773" s="1" t="s">
        <v>14398</v>
      </c>
      <c r="AG773" s="1" t="s">
        <v>14399</v>
      </c>
      <c r="AH773" s="1" t="s">
        <v>171</v>
      </c>
      <c r="AI773" s="1" t="s">
        <v>313</v>
      </c>
      <c r="AJ773" s="1">
        <v>82.4</v>
      </c>
      <c r="AK773" s="1">
        <v>8.67</v>
      </c>
      <c r="AL773" s="1" t="s">
        <v>14398</v>
      </c>
      <c r="AM773" s="1" t="s">
        <v>14399</v>
      </c>
      <c r="AN773" s="1" t="s">
        <v>6380</v>
      </c>
      <c r="AO773" s="1" t="s">
        <v>468</v>
      </c>
      <c r="AP773" s="1" t="s">
        <v>549</v>
      </c>
      <c r="AQ773" s="1">
        <v>82.8</v>
      </c>
      <c r="AR773" s="1"/>
      <c r="AS773" s="1"/>
      <c r="AT773" s="1"/>
      <c r="AU773" s="1"/>
      <c r="AV773" s="1"/>
      <c r="AW773" s="1"/>
      <c r="AX773" s="1"/>
      <c r="AY773" s="1" t="s">
        <v>14400</v>
      </c>
      <c r="AZ773" s="1" t="s">
        <v>14401</v>
      </c>
      <c r="BA773" s="1" t="s">
        <v>466</v>
      </c>
      <c r="BB773" s="1" t="s">
        <v>467</v>
      </c>
      <c r="BC773" s="1" t="s">
        <v>552</v>
      </c>
      <c r="BD773" s="1" t="s">
        <v>553</v>
      </c>
      <c r="BE773" s="1">
        <v>70.31</v>
      </c>
      <c r="BF773" s="1">
        <v>7.2</v>
      </c>
      <c r="BG773" s="1"/>
      <c r="BH773" s="1"/>
      <c r="BI773" s="1"/>
      <c r="BJ773" s="1"/>
      <c r="BK773" s="1"/>
      <c r="BL773" s="1"/>
      <c r="BM773" s="1"/>
      <c r="BN773" s="1"/>
      <c r="BO773" s="1" t="s">
        <v>14402</v>
      </c>
      <c r="BP773" s="1"/>
      <c r="BQ773" s="1"/>
      <c r="BR773" s="1"/>
      <c r="BS773" s="1"/>
      <c r="BT773" s="1" t="s">
        <v>14403</v>
      </c>
      <c r="BU773" s="1" t="str">
        <f>HYPERLINK("https://nconnect.nicmar.ac.in/storage/profile/6a86f4139ec70.png","Download")</f>
        <v>0</v>
      </c>
      <c r="BV773" s="3"/>
      <c r="BW773" s="3"/>
    </row>
    <row r="774" spans="1:75">
      <c r="A774" s="1" t="s">
        <v>75</v>
      </c>
      <c r="B774" s="1" t="s">
        <v>13976</v>
      </c>
      <c r="C774" s="1" t="s">
        <v>14404</v>
      </c>
      <c r="D774" s="1" t="s">
        <v>14405</v>
      </c>
      <c r="E774" s="1"/>
      <c r="F774" s="1" t="s">
        <v>14406</v>
      </c>
      <c r="G774" s="1" t="s">
        <v>14407</v>
      </c>
      <c r="H774" s="1" t="s">
        <v>14408</v>
      </c>
      <c r="I774" s="1" t="s">
        <v>14408</v>
      </c>
      <c r="J774" s="1">
        <v>8791582968</v>
      </c>
      <c r="K774" s="1" t="s">
        <v>153</v>
      </c>
      <c r="L774" s="1" t="s">
        <v>14409</v>
      </c>
      <c r="M774" s="1" t="s">
        <v>86</v>
      </c>
      <c r="N774" s="1" t="s">
        <v>8293</v>
      </c>
      <c r="O774" s="1" t="s">
        <v>14410</v>
      </c>
      <c r="P774" s="1" t="s">
        <v>122</v>
      </c>
      <c r="Q774" s="1">
        <v>505710366880</v>
      </c>
      <c r="R774" s="1" t="s">
        <v>14411</v>
      </c>
      <c r="S774" s="1">
        <v>8791896889</v>
      </c>
      <c r="T774" s="1" t="s">
        <v>14412</v>
      </c>
      <c r="U774" s="1" t="s">
        <v>14413</v>
      </c>
      <c r="V774" s="1">
        <v>8791896889</v>
      </c>
      <c r="W774" s="1" t="s">
        <v>14256</v>
      </c>
      <c r="X774" s="1" t="s">
        <v>14414</v>
      </c>
      <c r="Y774" s="1" t="s">
        <v>14415</v>
      </c>
      <c r="Z774" s="1" t="s">
        <v>544</v>
      </c>
      <c r="AA774" s="1" t="s">
        <v>14414</v>
      </c>
      <c r="AB774" s="1" t="s">
        <v>14415</v>
      </c>
      <c r="AC774" s="1" t="s">
        <v>544</v>
      </c>
      <c r="AD774" s="1" t="s">
        <v>98</v>
      </c>
      <c r="AE774" s="1" t="s">
        <v>98</v>
      </c>
      <c r="AF774" s="1" t="s">
        <v>14416</v>
      </c>
      <c r="AG774" s="1" t="s">
        <v>14417</v>
      </c>
      <c r="AH774" s="1" t="s">
        <v>704</v>
      </c>
      <c r="AI774" s="1" t="s">
        <v>171</v>
      </c>
      <c r="AJ774" s="1">
        <v>62.5</v>
      </c>
      <c r="AK774" s="1">
        <v>6.47</v>
      </c>
      <c r="AL774" s="1"/>
      <c r="AM774" s="1"/>
      <c r="AN774" s="1"/>
      <c r="AO774" s="1"/>
      <c r="AP774" s="1"/>
      <c r="AQ774" s="1"/>
      <c r="AR774" s="1"/>
      <c r="AS774" s="1" t="s">
        <v>103</v>
      </c>
      <c r="AT774" s="1" t="s">
        <v>14418</v>
      </c>
      <c r="AU774" s="1" t="s">
        <v>175</v>
      </c>
      <c r="AV774" s="1" t="s">
        <v>179</v>
      </c>
      <c r="AW774" s="1">
        <v>84</v>
      </c>
      <c r="AX774" s="1">
        <v>8.67</v>
      </c>
      <c r="AY774" s="1" t="s">
        <v>14419</v>
      </c>
      <c r="AZ774" s="1" t="s">
        <v>14420</v>
      </c>
      <c r="BA774" s="1" t="s">
        <v>466</v>
      </c>
      <c r="BB774" s="1" t="s">
        <v>467</v>
      </c>
      <c r="BC774" s="1" t="s">
        <v>391</v>
      </c>
      <c r="BD774" s="1" t="s">
        <v>14162</v>
      </c>
      <c r="BE774" s="1">
        <v>74.97</v>
      </c>
      <c r="BF774" s="1">
        <v>8.0</v>
      </c>
      <c r="BG774" s="1"/>
      <c r="BH774" s="1"/>
      <c r="BI774" s="1"/>
      <c r="BJ774" s="1"/>
      <c r="BK774" s="1"/>
      <c r="BL774" s="1"/>
      <c r="BM774" s="1"/>
      <c r="BN774" s="1"/>
      <c r="BO774" s="1" t="s">
        <v>14421</v>
      </c>
      <c r="BP774" s="1"/>
      <c r="BQ774" s="1"/>
      <c r="BR774" s="1"/>
      <c r="BS774" s="1"/>
      <c r="BT774" s="1"/>
      <c r="BU774" s="1" t="str">
        <f>HYPERLINK("https://nconnect.nicmar.ac.in/storage/profile/6a85b99931158.png","Download")</f>
        <v>0</v>
      </c>
      <c r="BV774" s="3"/>
      <c r="BW774" s="3"/>
    </row>
    <row r="775" spans="1:75">
      <c r="A775" s="1" t="s">
        <v>75</v>
      </c>
      <c r="B775" s="1" t="s">
        <v>13976</v>
      </c>
      <c r="C775" s="1" t="s">
        <v>14422</v>
      </c>
      <c r="D775" s="1" t="s">
        <v>14423</v>
      </c>
      <c r="E775" s="1"/>
      <c r="F775" s="1" t="s">
        <v>3998</v>
      </c>
      <c r="G775" s="1" t="s">
        <v>14424</v>
      </c>
      <c r="H775" s="1" t="s">
        <v>14425</v>
      </c>
      <c r="I775" s="1" t="s">
        <v>14425</v>
      </c>
      <c r="J775" s="1">
        <v>7337735034</v>
      </c>
      <c r="K775" s="1" t="s">
        <v>153</v>
      </c>
      <c r="L775" s="1" t="s">
        <v>4297</v>
      </c>
      <c r="M775" s="1" t="s">
        <v>86</v>
      </c>
      <c r="N775" s="1" t="s">
        <v>14426</v>
      </c>
      <c r="O775" s="1" t="s">
        <v>14427</v>
      </c>
      <c r="P775" s="1" t="s">
        <v>219</v>
      </c>
      <c r="Q775" s="1">
        <v>709309492187</v>
      </c>
      <c r="R775" s="1" t="s">
        <v>14428</v>
      </c>
      <c r="S775" s="1">
        <v>9980813642</v>
      </c>
      <c r="T775" s="1" t="s">
        <v>13987</v>
      </c>
      <c r="U775" s="1" t="s">
        <v>14429</v>
      </c>
      <c r="V775" s="1">
        <v>9113854451</v>
      </c>
      <c r="W775" s="1" t="s">
        <v>14234</v>
      </c>
      <c r="X775" s="1" t="s">
        <v>14430</v>
      </c>
      <c r="Y775" s="1" t="s">
        <v>14431</v>
      </c>
      <c r="Z775" s="1" t="s">
        <v>1210</v>
      </c>
      <c r="AA775" s="1" t="s">
        <v>14430</v>
      </c>
      <c r="AB775" s="1" t="s">
        <v>14431</v>
      </c>
      <c r="AC775" s="1" t="s">
        <v>1210</v>
      </c>
      <c r="AD775" s="1" t="s">
        <v>98</v>
      </c>
      <c r="AE775" s="1" t="s">
        <v>98</v>
      </c>
      <c r="AF775" s="1" t="s">
        <v>14432</v>
      </c>
      <c r="AG775" s="1" t="s">
        <v>14433</v>
      </c>
      <c r="AH775" s="1" t="s">
        <v>704</v>
      </c>
      <c r="AI775" s="1" t="s">
        <v>171</v>
      </c>
      <c r="AJ775" s="1">
        <v>88.0</v>
      </c>
      <c r="AK775" s="1"/>
      <c r="AL775" s="1" t="s">
        <v>14434</v>
      </c>
      <c r="AM775" s="1" t="s">
        <v>14435</v>
      </c>
      <c r="AN775" s="1" t="s">
        <v>575</v>
      </c>
      <c r="AO775" s="1" t="s">
        <v>106</v>
      </c>
      <c r="AP775" s="1" t="s">
        <v>178</v>
      </c>
      <c r="AQ775" s="1">
        <v>89.66</v>
      </c>
      <c r="AR775" s="1"/>
      <c r="AS775" s="1"/>
      <c r="AT775" s="1"/>
      <c r="AU775" s="1"/>
      <c r="AV775" s="1"/>
      <c r="AW775" s="1"/>
      <c r="AX775" s="1"/>
      <c r="AY775" s="1" t="s">
        <v>14436</v>
      </c>
      <c r="AZ775" s="1" t="s">
        <v>14437</v>
      </c>
      <c r="BA775" s="1" t="s">
        <v>578</v>
      </c>
      <c r="BB775" s="1" t="s">
        <v>467</v>
      </c>
      <c r="BC775" s="1" t="s">
        <v>1647</v>
      </c>
      <c r="BD775" s="1" t="s">
        <v>1089</v>
      </c>
      <c r="BE775" s="1">
        <v>83.6</v>
      </c>
      <c r="BF775" s="1"/>
      <c r="BG775" s="1"/>
      <c r="BH775" s="1"/>
      <c r="BI775" s="1"/>
      <c r="BJ775" s="1"/>
      <c r="BK775" s="1"/>
      <c r="BL775" s="1"/>
      <c r="BM775" s="1"/>
      <c r="BN775" s="1"/>
      <c r="BO775" s="1" t="s">
        <v>14438</v>
      </c>
      <c r="BP775" s="1"/>
      <c r="BQ775" s="1"/>
      <c r="BR775" s="1" t="s">
        <v>14439</v>
      </c>
      <c r="BS775" s="1">
        <v>16</v>
      </c>
      <c r="BT775" s="1" t="s">
        <v>14440</v>
      </c>
      <c r="BU775" s="1" t="str">
        <f>HYPERLINK("https://nconnect.nicmar.ac.in/storage/profile/6a87181c70aec.png","Download")</f>
        <v>0</v>
      </c>
      <c r="BV775" s="3"/>
      <c r="BW775" s="3"/>
    </row>
    <row r="776" spans="1:75">
      <c r="A776" s="1" t="s">
        <v>75</v>
      </c>
      <c r="B776" s="1" t="s">
        <v>13976</v>
      </c>
      <c r="C776" s="1" t="s">
        <v>14441</v>
      </c>
      <c r="D776" s="1" t="s">
        <v>14442</v>
      </c>
      <c r="E776" s="1"/>
      <c r="F776" s="1" t="s">
        <v>3313</v>
      </c>
      <c r="G776" s="1" t="s">
        <v>14443</v>
      </c>
      <c r="H776" s="1" t="s">
        <v>14444</v>
      </c>
      <c r="I776" s="1" t="s">
        <v>14444</v>
      </c>
      <c r="J776" s="1">
        <v>7458845018</v>
      </c>
      <c r="K776" s="1" t="s">
        <v>84</v>
      </c>
      <c r="L776" s="1" t="s">
        <v>13038</v>
      </c>
      <c r="M776" s="1" t="s">
        <v>86</v>
      </c>
      <c r="N776" s="1" t="s">
        <v>8293</v>
      </c>
      <c r="O776" s="1" t="s">
        <v>14445</v>
      </c>
      <c r="P776" s="1" t="s">
        <v>122</v>
      </c>
      <c r="Q776" s="1">
        <v>438392192638</v>
      </c>
      <c r="R776" s="1" t="s">
        <v>14446</v>
      </c>
      <c r="S776" s="1">
        <v>7376379271</v>
      </c>
      <c r="T776" s="1" t="s">
        <v>3441</v>
      </c>
      <c r="U776" s="1" t="s">
        <v>14447</v>
      </c>
      <c r="V776" s="1">
        <v>7376379271</v>
      </c>
      <c r="W776" s="1" t="s">
        <v>14154</v>
      </c>
      <c r="X776" s="1" t="s">
        <v>14448</v>
      </c>
      <c r="Y776" s="1" t="s">
        <v>14449</v>
      </c>
      <c r="Z776" s="1" t="s">
        <v>544</v>
      </c>
      <c r="AA776" s="1" t="s">
        <v>14448</v>
      </c>
      <c r="AB776" s="1" t="s">
        <v>14449</v>
      </c>
      <c r="AC776" s="1" t="s">
        <v>544</v>
      </c>
      <c r="AD776" s="1" t="s">
        <v>98</v>
      </c>
      <c r="AE776" s="1" t="s">
        <v>98</v>
      </c>
      <c r="AF776" s="1" t="s">
        <v>14450</v>
      </c>
      <c r="AG776" s="1" t="s">
        <v>14451</v>
      </c>
      <c r="AH776" s="1" t="s">
        <v>284</v>
      </c>
      <c r="AI776" s="1" t="s">
        <v>170</v>
      </c>
      <c r="AJ776" s="1">
        <v>95</v>
      </c>
      <c r="AK776" s="1">
        <v>10</v>
      </c>
      <c r="AL776" s="1" t="s">
        <v>14452</v>
      </c>
      <c r="AM776" s="1" t="s">
        <v>14453</v>
      </c>
      <c r="AN776" s="1" t="s">
        <v>465</v>
      </c>
      <c r="AO776" s="1" t="s">
        <v>490</v>
      </c>
      <c r="AP776" s="1" t="s">
        <v>313</v>
      </c>
      <c r="AQ776" s="1">
        <v>78.6</v>
      </c>
      <c r="AR776" s="1"/>
      <c r="AS776" s="1"/>
      <c r="AT776" s="1"/>
      <c r="AU776" s="1"/>
      <c r="AV776" s="1"/>
      <c r="AW776" s="1"/>
      <c r="AX776" s="1"/>
      <c r="AY776" s="1" t="s">
        <v>14454</v>
      </c>
      <c r="AZ776" s="1" t="s">
        <v>14455</v>
      </c>
      <c r="BA776" s="1" t="s">
        <v>466</v>
      </c>
      <c r="BB776" s="1" t="s">
        <v>467</v>
      </c>
      <c r="BC776" s="1" t="s">
        <v>206</v>
      </c>
      <c r="BD776" s="1" t="s">
        <v>179</v>
      </c>
      <c r="BE776" s="1">
        <v>77.4</v>
      </c>
      <c r="BF776" s="1">
        <v>7.74</v>
      </c>
      <c r="BG776" s="1"/>
      <c r="BH776" s="1"/>
      <c r="BI776" s="1"/>
      <c r="BJ776" s="1"/>
      <c r="BK776" s="1"/>
      <c r="BL776" s="1"/>
      <c r="BM776" s="1"/>
      <c r="BN776" s="1"/>
      <c r="BO776" s="1" t="s">
        <v>14456</v>
      </c>
      <c r="BP776" s="1"/>
      <c r="BQ776" s="1"/>
      <c r="BR776" s="1" t="s">
        <v>14457</v>
      </c>
      <c r="BS776" s="1">
        <v>6</v>
      </c>
      <c r="BT776" s="1"/>
      <c r="BU776" s="1" t="str">
        <f>HYPERLINK("https://nconnect.nicmar.ac.in/storage/profile/6a871c182757d.png","Download")</f>
        <v>0</v>
      </c>
      <c r="BV776" s="3"/>
      <c r="BW776" s="3"/>
    </row>
    <row r="777" spans="1:75">
      <c r="A777" s="1" t="s">
        <v>75</v>
      </c>
      <c r="B777" s="1" t="s">
        <v>13976</v>
      </c>
      <c r="C777" s="1" t="s">
        <v>14458</v>
      </c>
      <c r="D777" s="1" t="s">
        <v>14459</v>
      </c>
      <c r="E777" s="1"/>
      <c r="F777" s="1" t="s">
        <v>14460</v>
      </c>
      <c r="G777" s="1" t="s">
        <v>14461</v>
      </c>
      <c r="H777" s="1" t="s">
        <v>14462</v>
      </c>
      <c r="I777" s="1" t="s">
        <v>14463</v>
      </c>
      <c r="J777" s="1">
        <v>8904202527</v>
      </c>
      <c r="K777" s="1" t="s">
        <v>84</v>
      </c>
      <c r="L777" s="1" t="s">
        <v>12405</v>
      </c>
      <c r="M777" s="1" t="s">
        <v>86</v>
      </c>
      <c r="N777" s="1" t="s">
        <v>14464</v>
      </c>
      <c r="O777" s="1" t="s">
        <v>14465</v>
      </c>
      <c r="P777" s="1" t="s">
        <v>356</v>
      </c>
      <c r="Q777" s="1">
        <v>820393971489</v>
      </c>
      <c r="R777" s="1" t="s">
        <v>14466</v>
      </c>
      <c r="S777" s="1">
        <v>9741429547</v>
      </c>
      <c r="T777" s="1" t="s">
        <v>14467</v>
      </c>
      <c r="U777" s="1" t="s">
        <v>14468</v>
      </c>
      <c r="V777" s="1">
        <v>9036038049</v>
      </c>
      <c r="W777" s="1" t="s">
        <v>9679</v>
      </c>
      <c r="X777" s="1" t="s">
        <v>14469</v>
      </c>
      <c r="Y777" s="1" t="s">
        <v>1623</v>
      </c>
      <c r="Z777" s="1" t="s">
        <v>1210</v>
      </c>
      <c r="AA777" s="1" t="s">
        <v>14469</v>
      </c>
      <c r="AB777" s="1" t="s">
        <v>1623</v>
      </c>
      <c r="AC777" s="1" t="s">
        <v>1210</v>
      </c>
      <c r="AD777" s="1" t="s">
        <v>98</v>
      </c>
      <c r="AE777" s="1" t="s">
        <v>98</v>
      </c>
      <c r="AF777" s="1" t="s">
        <v>14470</v>
      </c>
      <c r="AG777" s="1" t="s">
        <v>14471</v>
      </c>
      <c r="AH777" s="1" t="s">
        <v>515</v>
      </c>
      <c r="AI777" s="1" t="s">
        <v>286</v>
      </c>
      <c r="AJ777" s="1">
        <v>69</v>
      </c>
      <c r="AK777" s="1"/>
      <c r="AL777" s="1" t="s">
        <v>14472</v>
      </c>
      <c r="AM777" s="1" t="s">
        <v>14473</v>
      </c>
      <c r="AN777" s="1" t="s">
        <v>575</v>
      </c>
      <c r="AO777" s="1" t="s">
        <v>490</v>
      </c>
      <c r="AP777" s="1" t="s">
        <v>417</v>
      </c>
      <c r="AQ777" s="1">
        <v>67</v>
      </c>
      <c r="AR777" s="1"/>
      <c r="AS777" s="1"/>
      <c r="AT777" s="1"/>
      <c r="AU777" s="1"/>
      <c r="AV777" s="1"/>
      <c r="AW777" s="1"/>
      <c r="AX777" s="1"/>
      <c r="AY777" s="1" t="s">
        <v>14474</v>
      </c>
      <c r="AZ777" s="1" t="s">
        <v>14475</v>
      </c>
      <c r="BA777" s="1" t="s">
        <v>578</v>
      </c>
      <c r="BB777" s="1" t="s">
        <v>467</v>
      </c>
      <c r="BC777" s="1" t="s">
        <v>1647</v>
      </c>
      <c r="BD777" s="1" t="s">
        <v>418</v>
      </c>
      <c r="BE777" s="1">
        <v>65.1</v>
      </c>
      <c r="BF777" s="1"/>
      <c r="BG777" s="1"/>
      <c r="BH777" s="1"/>
      <c r="BI777" s="1"/>
      <c r="BJ777" s="1"/>
      <c r="BK777" s="1"/>
      <c r="BL777" s="1"/>
      <c r="BM777" s="1"/>
      <c r="BN777" s="1"/>
      <c r="BO777" s="1" t="s">
        <v>14476</v>
      </c>
      <c r="BP777" s="1"/>
      <c r="BQ777" s="1"/>
      <c r="BR777" s="1"/>
      <c r="BS777" s="1"/>
      <c r="BT777" s="1" t="s">
        <v>14477</v>
      </c>
      <c r="BU777" s="1" t="str">
        <f>HYPERLINK("https://nconnect.nicmar.ac.in/storage/profile/6a85bc0768668.png","Download")</f>
        <v>0</v>
      </c>
      <c r="BV777" s="3"/>
      <c r="BW777" s="3"/>
    </row>
    <row r="778" spans="1:75">
      <c r="A778" s="1" t="s">
        <v>75</v>
      </c>
      <c r="B778" s="1" t="s">
        <v>13976</v>
      </c>
      <c r="C778" s="1" t="s">
        <v>14478</v>
      </c>
      <c r="D778" s="1" t="s">
        <v>14479</v>
      </c>
      <c r="E778" s="1"/>
      <c r="F778" s="1" t="s">
        <v>14480</v>
      </c>
      <c r="G778" s="1" t="s">
        <v>14481</v>
      </c>
      <c r="H778" s="1" t="s">
        <v>14482</v>
      </c>
      <c r="I778" s="1" t="s">
        <v>14482</v>
      </c>
      <c r="J778" s="1">
        <v>8877664444</v>
      </c>
      <c r="K778" s="1" t="s">
        <v>84</v>
      </c>
      <c r="L778" s="1" t="s">
        <v>14483</v>
      </c>
      <c r="M778" s="1" t="s">
        <v>86</v>
      </c>
      <c r="N778" s="1" t="s">
        <v>14332</v>
      </c>
      <c r="O778" s="1" t="s">
        <v>14484</v>
      </c>
      <c r="P778" s="1" t="s">
        <v>219</v>
      </c>
      <c r="Q778" s="1">
        <v>604694993812</v>
      </c>
      <c r="R778" s="1" t="s">
        <v>14485</v>
      </c>
      <c r="S778" s="1">
        <v>8051777777</v>
      </c>
      <c r="T778" s="1" t="s">
        <v>14486</v>
      </c>
      <c r="U778" s="1" t="s">
        <v>14487</v>
      </c>
      <c r="V778" s="1">
        <v>9031949238</v>
      </c>
      <c r="W778" s="1" t="s">
        <v>14234</v>
      </c>
      <c r="X778" s="1" t="s">
        <v>14488</v>
      </c>
      <c r="Y778" s="1" t="s">
        <v>2954</v>
      </c>
      <c r="Z778" s="1" t="s">
        <v>2955</v>
      </c>
      <c r="AA778" s="1" t="s">
        <v>14488</v>
      </c>
      <c r="AB778" s="1" t="s">
        <v>2954</v>
      </c>
      <c r="AC778" s="1" t="s">
        <v>2955</v>
      </c>
      <c r="AD778" s="1" t="s">
        <v>98</v>
      </c>
      <c r="AE778" s="1" t="s">
        <v>98</v>
      </c>
      <c r="AF778" s="1" t="s">
        <v>14489</v>
      </c>
      <c r="AG778" s="1" t="s">
        <v>14490</v>
      </c>
      <c r="AH778" s="1" t="s">
        <v>438</v>
      </c>
      <c r="AI778" s="1" t="s">
        <v>178</v>
      </c>
      <c r="AJ778" s="1">
        <v>78</v>
      </c>
      <c r="AK778" s="1"/>
      <c r="AL778" s="1" t="s">
        <v>14489</v>
      </c>
      <c r="AM778" s="1" t="s">
        <v>14491</v>
      </c>
      <c r="AN778" s="1" t="s">
        <v>465</v>
      </c>
      <c r="AO778" s="1" t="s">
        <v>847</v>
      </c>
      <c r="AP778" s="1" t="s">
        <v>1400</v>
      </c>
      <c r="AQ778" s="1">
        <v>76</v>
      </c>
      <c r="AR778" s="1"/>
      <c r="AS778" s="1"/>
      <c r="AT778" s="1"/>
      <c r="AU778" s="1"/>
      <c r="AV778" s="1"/>
      <c r="AW778" s="1"/>
      <c r="AX778" s="1"/>
      <c r="AY778" s="1" t="s">
        <v>14492</v>
      </c>
      <c r="AZ778" s="1" t="s">
        <v>14493</v>
      </c>
      <c r="BA778" s="1" t="s">
        <v>466</v>
      </c>
      <c r="BB778" s="1" t="s">
        <v>467</v>
      </c>
      <c r="BC778" s="1" t="s">
        <v>1802</v>
      </c>
      <c r="BD778" s="1" t="s">
        <v>14494</v>
      </c>
      <c r="BE778" s="1">
        <v>65</v>
      </c>
      <c r="BF778" s="1">
        <v>6.5</v>
      </c>
      <c r="BG778" s="1"/>
      <c r="BH778" s="1"/>
      <c r="BI778" s="1"/>
      <c r="BJ778" s="1"/>
      <c r="BK778" s="1"/>
      <c r="BL778" s="1"/>
      <c r="BM778" s="1"/>
      <c r="BN778" s="1"/>
      <c r="BO778" s="1" t="s">
        <v>14495</v>
      </c>
      <c r="BP778" s="1"/>
      <c r="BQ778" s="1"/>
      <c r="BR778" s="1" t="s">
        <v>14496</v>
      </c>
      <c r="BS778" s="1">
        <v>4</v>
      </c>
      <c r="BT778" s="1"/>
      <c r="BU778" s="1" t="str">
        <f>HYPERLINK("https://nconnect.nicmar.ac.in/storage/profile/6a8705b5da235.png","Download")</f>
        <v>0</v>
      </c>
      <c r="BV778" s="3"/>
      <c r="BW778" s="3"/>
    </row>
    <row r="779" spans="1:75">
      <c r="A779" s="1" t="s">
        <v>75</v>
      </c>
      <c r="B779" s="1" t="s">
        <v>13976</v>
      </c>
      <c r="C779" s="1" t="s">
        <v>14497</v>
      </c>
      <c r="D779" s="1" t="s">
        <v>14498</v>
      </c>
      <c r="E779" s="1"/>
      <c r="F779" s="1" t="s">
        <v>14499</v>
      </c>
      <c r="G779" s="1" t="s">
        <v>14500</v>
      </c>
      <c r="H779" s="1" t="s">
        <v>14501</v>
      </c>
      <c r="I779" s="1" t="s">
        <v>14502</v>
      </c>
      <c r="J779" s="1">
        <v>9600052177</v>
      </c>
      <c r="K779" s="1" t="s">
        <v>84</v>
      </c>
      <c r="L779" s="1" t="s">
        <v>14503</v>
      </c>
      <c r="M779" s="1" t="s">
        <v>86</v>
      </c>
      <c r="N779" s="1" t="s">
        <v>14504</v>
      </c>
      <c r="O779" s="1" t="s">
        <v>14505</v>
      </c>
      <c r="P779" s="1" t="s">
        <v>89</v>
      </c>
      <c r="Q779" s="1">
        <v>747931058419</v>
      </c>
      <c r="R779" s="1" t="s">
        <v>14506</v>
      </c>
      <c r="S779" s="1">
        <v>9842806666</v>
      </c>
      <c r="T779" s="1" t="s">
        <v>14507</v>
      </c>
      <c r="U779" s="1" t="s">
        <v>14508</v>
      </c>
      <c r="V779" s="1">
        <v>9842750501</v>
      </c>
      <c r="W779" s="1" t="s">
        <v>13987</v>
      </c>
      <c r="X779" s="1" t="s">
        <v>14509</v>
      </c>
      <c r="Y779" s="1" t="s">
        <v>6938</v>
      </c>
      <c r="Z779" s="1" t="s">
        <v>570</v>
      </c>
      <c r="AA779" s="1" t="s">
        <v>14509</v>
      </c>
      <c r="AB779" s="1" t="s">
        <v>6938</v>
      </c>
      <c r="AC779" s="1" t="s">
        <v>570</v>
      </c>
      <c r="AD779" s="1" t="s">
        <v>98</v>
      </c>
      <c r="AE779" s="1" t="s">
        <v>98</v>
      </c>
      <c r="AF779" s="1" t="s">
        <v>14510</v>
      </c>
      <c r="AG779" s="1" t="s">
        <v>14511</v>
      </c>
      <c r="AH779" s="1" t="s">
        <v>573</v>
      </c>
      <c r="AI779" s="1" t="s">
        <v>847</v>
      </c>
      <c r="AJ779" s="1">
        <v>83.6</v>
      </c>
      <c r="AK779" s="1"/>
      <c r="AL779" s="1" t="s">
        <v>14510</v>
      </c>
      <c r="AM779" s="1" t="s">
        <v>14511</v>
      </c>
      <c r="AN779" s="1" t="s">
        <v>465</v>
      </c>
      <c r="AO779" s="1" t="s">
        <v>573</v>
      </c>
      <c r="AP779" s="1" t="s">
        <v>847</v>
      </c>
      <c r="AQ779" s="1">
        <v>86.8</v>
      </c>
      <c r="AR779" s="1"/>
      <c r="AS779" s="1"/>
      <c r="AT779" s="1"/>
      <c r="AU779" s="1"/>
      <c r="AV779" s="1"/>
      <c r="AW779" s="1"/>
      <c r="AX779" s="1"/>
      <c r="AY779" s="1" t="s">
        <v>14512</v>
      </c>
      <c r="AZ779" s="1" t="s">
        <v>14513</v>
      </c>
      <c r="BA779" s="1" t="s">
        <v>466</v>
      </c>
      <c r="BB779" s="1" t="s">
        <v>467</v>
      </c>
      <c r="BC779" s="1" t="s">
        <v>441</v>
      </c>
      <c r="BD779" s="1" t="s">
        <v>14514</v>
      </c>
      <c r="BE779" s="1">
        <v>63.6</v>
      </c>
      <c r="BF779" s="1">
        <v>6.36</v>
      </c>
      <c r="BG779" s="1"/>
      <c r="BH779" s="1"/>
      <c r="BI779" s="1"/>
      <c r="BJ779" s="1"/>
      <c r="BK779" s="1"/>
      <c r="BL779" s="1"/>
      <c r="BM779" s="1"/>
      <c r="BN779" s="1"/>
      <c r="BO779" s="1" t="s">
        <v>14515</v>
      </c>
      <c r="BP779" s="1"/>
      <c r="BQ779" s="1"/>
      <c r="BR779" s="1" t="s">
        <v>14516</v>
      </c>
      <c r="BS779" s="1">
        <v>21</v>
      </c>
      <c r="BT779" s="1"/>
      <c r="BU779" s="1" t="str">
        <f>HYPERLINK("https://nconnect.nicmar.ac.in/storage/profile/6a87386564584.png","Download")</f>
        <v>0</v>
      </c>
      <c r="BV779" s="3"/>
      <c r="BW779" s="3"/>
    </row>
    <row r="780" spans="1:75">
      <c r="A780" s="1" t="s">
        <v>75</v>
      </c>
      <c r="B780" s="1" t="s">
        <v>13976</v>
      </c>
      <c r="C780" s="1" t="s">
        <v>14517</v>
      </c>
      <c r="D780" s="1" t="s">
        <v>14308</v>
      </c>
      <c r="E780" s="1" t="s">
        <v>14363</v>
      </c>
      <c r="F780" s="1" t="s">
        <v>14518</v>
      </c>
      <c r="G780" s="1" t="s">
        <v>14519</v>
      </c>
      <c r="H780" s="1" t="s">
        <v>14520</v>
      </c>
      <c r="I780" s="1" t="s">
        <v>14521</v>
      </c>
      <c r="J780" s="1">
        <v>7620087326</v>
      </c>
      <c r="K780" s="1" t="s">
        <v>84</v>
      </c>
      <c r="L780" s="1" t="s">
        <v>14522</v>
      </c>
      <c r="M780" s="1" t="s">
        <v>86</v>
      </c>
      <c r="N780" s="1" t="s">
        <v>13039</v>
      </c>
      <c r="O780" s="1" t="s">
        <v>14523</v>
      </c>
      <c r="P780" s="1" t="s">
        <v>356</v>
      </c>
      <c r="Q780" s="1">
        <v>912971740164</v>
      </c>
      <c r="R780" s="1" t="s">
        <v>14363</v>
      </c>
      <c r="S780" s="1">
        <v>9860715825</v>
      </c>
      <c r="T780" s="1" t="s">
        <v>3439</v>
      </c>
      <c r="U780" s="1" t="s">
        <v>14524</v>
      </c>
      <c r="V780" s="1">
        <v>8668513285</v>
      </c>
      <c r="W780" s="1" t="s">
        <v>14154</v>
      </c>
      <c r="X780" s="1" t="s">
        <v>14525</v>
      </c>
      <c r="Y780" s="1" t="s">
        <v>910</v>
      </c>
      <c r="Z780" s="1" t="s">
        <v>97</v>
      </c>
      <c r="AA780" s="1" t="s">
        <v>14525</v>
      </c>
      <c r="AB780" s="1" t="s">
        <v>910</v>
      </c>
      <c r="AC780" s="1" t="s">
        <v>97</v>
      </c>
      <c r="AD780" s="1" t="s">
        <v>98</v>
      </c>
      <c r="AE780" s="1" t="s">
        <v>98</v>
      </c>
      <c r="AF780" s="1" t="s">
        <v>14526</v>
      </c>
      <c r="AG780" s="1" t="s">
        <v>14527</v>
      </c>
      <c r="AH780" s="1" t="s">
        <v>315</v>
      </c>
      <c r="AI780" s="1" t="s">
        <v>603</v>
      </c>
      <c r="AJ780" s="1">
        <v>84.2</v>
      </c>
      <c r="AK780" s="1"/>
      <c r="AL780" s="1"/>
      <c r="AM780" s="1"/>
      <c r="AN780" s="1"/>
      <c r="AO780" s="1"/>
      <c r="AP780" s="1"/>
      <c r="AQ780" s="1"/>
      <c r="AR780" s="1"/>
      <c r="AS780" s="1" t="s">
        <v>14528</v>
      </c>
      <c r="AT780" s="1" t="s">
        <v>14529</v>
      </c>
      <c r="AU780" s="1" t="s">
        <v>178</v>
      </c>
      <c r="AV780" s="1" t="s">
        <v>179</v>
      </c>
      <c r="AW780" s="1">
        <v>85.11</v>
      </c>
      <c r="AX780" s="1"/>
      <c r="AY780" s="1" t="s">
        <v>14530</v>
      </c>
      <c r="AZ780" s="1" t="s">
        <v>14531</v>
      </c>
      <c r="BA780" s="1" t="s">
        <v>578</v>
      </c>
      <c r="BB780" s="1" t="s">
        <v>467</v>
      </c>
      <c r="BC780" s="1" t="s">
        <v>391</v>
      </c>
      <c r="BD780" s="1" t="s">
        <v>14514</v>
      </c>
      <c r="BE780" s="1">
        <v>88.35</v>
      </c>
      <c r="BF780" s="1">
        <v>9.3</v>
      </c>
      <c r="BG780" s="1"/>
      <c r="BH780" s="1"/>
      <c r="BI780" s="1"/>
      <c r="BJ780" s="1"/>
      <c r="BK780" s="1"/>
      <c r="BL780" s="1"/>
      <c r="BM780" s="1"/>
      <c r="BN780" s="1"/>
      <c r="BO780" s="1" t="s">
        <v>14532</v>
      </c>
      <c r="BP780" s="1"/>
      <c r="BQ780" s="1"/>
      <c r="BR780" s="1"/>
      <c r="BS780" s="1"/>
      <c r="BT780" s="1"/>
      <c r="BU780" s="1" t="str">
        <f>HYPERLINK("https://nconnect.nicmar.ac.in/storage/profile/6a817587152dd.png","Download")</f>
        <v>0</v>
      </c>
      <c r="BV780" s="3"/>
      <c r="BW780" s="3"/>
    </row>
    <row r="781" spans="1:75">
      <c r="A781" s="1" t="s">
        <v>75</v>
      </c>
      <c r="B781" s="1" t="s">
        <v>13976</v>
      </c>
      <c r="C781" s="1" t="s">
        <v>14533</v>
      </c>
      <c r="D781" s="1" t="s">
        <v>14534</v>
      </c>
      <c r="E781" s="1" t="s">
        <v>14535</v>
      </c>
      <c r="F781" s="1" t="s">
        <v>14536</v>
      </c>
      <c r="G781" s="1" t="s">
        <v>14537</v>
      </c>
      <c r="H781" s="1" t="s">
        <v>14538</v>
      </c>
      <c r="I781" s="1" t="s">
        <v>14538</v>
      </c>
      <c r="J781" s="1">
        <v>9325741614</v>
      </c>
      <c r="K781" s="1" t="s">
        <v>84</v>
      </c>
      <c r="L781" s="1" t="s">
        <v>14539</v>
      </c>
      <c r="M781" s="1" t="s">
        <v>86</v>
      </c>
      <c r="N781" s="1" t="s">
        <v>14540</v>
      </c>
      <c r="O781" s="1" t="s">
        <v>14541</v>
      </c>
      <c r="P781" s="1" t="s">
        <v>89</v>
      </c>
      <c r="Q781" s="1">
        <v>361370022611</v>
      </c>
      <c r="R781" s="1" t="s">
        <v>14535</v>
      </c>
      <c r="S781" s="1">
        <v>9545389296</v>
      </c>
      <c r="T781" s="1" t="s">
        <v>14542</v>
      </c>
      <c r="U781" s="1" t="s">
        <v>14543</v>
      </c>
      <c r="V781" s="1">
        <v>9511607297</v>
      </c>
      <c r="W781" s="1" t="s">
        <v>14542</v>
      </c>
      <c r="X781" s="1" t="s">
        <v>14544</v>
      </c>
      <c r="Y781" s="1" t="s">
        <v>163</v>
      </c>
      <c r="Z781" s="1" t="s">
        <v>97</v>
      </c>
      <c r="AA781" s="1" t="s">
        <v>14544</v>
      </c>
      <c r="AB781" s="1" t="s">
        <v>163</v>
      </c>
      <c r="AC781" s="1" t="s">
        <v>97</v>
      </c>
      <c r="AD781" s="1" t="s">
        <v>98</v>
      </c>
      <c r="AE781" s="1" t="s">
        <v>98</v>
      </c>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t="s">
        <v>14545</v>
      </c>
      <c r="BQ781" s="1" t="s">
        <v>1152</v>
      </c>
      <c r="BR781" s="1"/>
      <c r="BS781" s="1"/>
      <c r="BT781" s="1"/>
      <c r="BU781" s="1" t="str">
        <f>HYPERLINK("https://nconnect.nicmar.ac.in/storage/profile/6a870c21e11ed.png","Download")</f>
        <v>0</v>
      </c>
      <c r="BV781" s="3"/>
      <c r="BW781" s="3"/>
    </row>
    <row r="782" spans="1:75">
      <c r="A782" s="1" t="s">
        <v>75</v>
      </c>
      <c r="B782" s="1" t="s">
        <v>13976</v>
      </c>
      <c r="C782" s="1" t="s">
        <v>14546</v>
      </c>
      <c r="D782" s="1" t="s">
        <v>14547</v>
      </c>
      <c r="E782" s="1" t="s">
        <v>14548</v>
      </c>
      <c r="F782" s="1" t="s">
        <v>14549</v>
      </c>
      <c r="G782" s="1" t="s">
        <v>14550</v>
      </c>
      <c r="H782" s="1" t="s">
        <v>14551</v>
      </c>
      <c r="I782" s="1" t="s">
        <v>14551</v>
      </c>
      <c r="J782" s="1">
        <v>8879869746</v>
      </c>
      <c r="K782" s="1" t="s">
        <v>84</v>
      </c>
      <c r="L782" s="1" t="s">
        <v>6916</v>
      </c>
      <c r="M782" s="1" t="s">
        <v>86</v>
      </c>
      <c r="N782" s="1" t="s">
        <v>13039</v>
      </c>
      <c r="O782" s="1" t="s">
        <v>14552</v>
      </c>
      <c r="P782" s="1" t="s">
        <v>89</v>
      </c>
      <c r="Q782" s="1">
        <v>622052297610</v>
      </c>
      <c r="R782" s="1" t="s">
        <v>14553</v>
      </c>
      <c r="S782" s="1">
        <v>8657167614</v>
      </c>
      <c r="T782" s="1" t="s">
        <v>14554</v>
      </c>
      <c r="U782" s="1" t="s">
        <v>14555</v>
      </c>
      <c r="V782" s="1">
        <v>7208392002</v>
      </c>
      <c r="W782" s="1" t="s">
        <v>10306</v>
      </c>
      <c r="X782" s="1" t="s">
        <v>14556</v>
      </c>
      <c r="Y782" s="1" t="s">
        <v>1012</v>
      </c>
      <c r="Z782" s="1" t="s">
        <v>97</v>
      </c>
      <c r="AA782" s="1" t="s">
        <v>14556</v>
      </c>
      <c r="AB782" s="1" t="s">
        <v>1012</v>
      </c>
      <c r="AC782" s="1" t="s">
        <v>97</v>
      </c>
      <c r="AD782" s="1" t="s">
        <v>98</v>
      </c>
      <c r="AE782" s="1" t="s">
        <v>98</v>
      </c>
      <c r="AF782" s="1" t="s">
        <v>14557</v>
      </c>
      <c r="AG782" s="1" t="s">
        <v>14558</v>
      </c>
      <c r="AH782" s="1" t="s">
        <v>167</v>
      </c>
      <c r="AI782" s="1" t="s">
        <v>200</v>
      </c>
      <c r="AJ782" s="1">
        <v>79</v>
      </c>
      <c r="AK782" s="1"/>
      <c r="AL782" s="1" t="s">
        <v>14559</v>
      </c>
      <c r="AM782" s="1" t="s">
        <v>14558</v>
      </c>
      <c r="AN782" s="1" t="s">
        <v>465</v>
      </c>
      <c r="AO782" s="1" t="s">
        <v>170</v>
      </c>
      <c r="AP782" s="1" t="s">
        <v>365</v>
      </c>
      <c r="AQ782" s="1">
        <v>45.69</v>
      </c>
      <c r="AR782" s="1"/>
      <c r="AS782" s="1" t="s">
        <v>467</v>
      </c>
      <c r="AT782" s="1" t="s">
        <v>14560</v>
      </c>
      <c r="AU782" s="1" t="s">
        <v>468</v>
      </c>
      <c r="AV782" s="1" t="s">
        <v>632</v>
      </c>
      <c r="AW782" s="1">
        <v>78.11</v>
      </c>
      <c r="AX782" s="1"/>
      <c r="AY782" s="1" t="s">
        <v>14380</v>
      </c>
      <c r="AZ782" s="1" t="s">
        <v>14561</v>
      </c>
      <c r="BA782" s="1" t="s">
        <v>578</v>
      </c>
      <c r="BB782" s="1" t="s">
        <v>467</v>
      </c>
      <c r="BC782" s="1" t="s">
        <v>289</v>
      </c>
      <c r="BD782" s="1" t="s">
        <v>553</v>
      </c>
      <c r="BE782" s="1">
        <v>68.15</v>
      </c>
      <c r="BF782" s="1">
        <v>7.53</v>
      </c>
      <c r="BG782" s="1"/>
      <c r="BH782" s="1"/>
      <c r="BI782" s="1"/>
      <c r="BJ782" s="1"/>
      <c r="BK782" s="1"/>
      <c r="BL782" s="1"/>
      <c r="BM782" s="1"/>
      <c r="BN782" s="1"/>
      <c r="BO782" s="1" t="s">
        <v>14562</v>
      </c>
      <c r="BP782" s="1" t="s">
        <v>14563</v>
      </c>
      <c r="BQ782" s="1" t="s">
        <v>1070</v>
      </c>
      <c r="BR782" s="1" t="s">
        <v>14564</v>
      </c>
      <c r="BS782" s="1">
        <v>4</v>
      </c>
      <c r="BT782" s="1"/>
      <c r="BU782" s="1" t="str">
        <f>HYPERLINK("https://nconnect.nicmar.ac.in/storage/profile/6a86c0bae8e17.png","Download")</f>
        <v>0</v>
      </c>
      <c r="BV782" s="3"/>
      <c r="BW782" s="3"/>
    </row>
    <row r="783" spans="1:75">
      <c r="A783" s="1" t="s">
        <v>75</v>
      </c>
      <c r="B783" s="1" t="s">
        <v>13976</v>
      </c>
      <c r="C783" s="1" t="s">
        <v>14565</v>
      </c>
      <c r="D783" s="1" t="s">
        <v>14566</v>
      </c>
      <c r="E783" s="1" t="s">
        <v>14567</v>
      </c>
      <c r="F783" s="1" t="s">
        <v>14568</v>
      </c>
      <c r="G783" s="1" t="s">
        <v>14569</v>
      </c>
      <c r="H783" s="1" t="s">
        <v>14570</v>
      </c>
      <c r="I783" s="1" t="s">
        <v>14570</v>
      </c>
      <c r="J783" s="1">
        <v>8861095547</v>
      </c>
      <c r="K783" s="1" t="s">
        <v>84</v>
      </c>
      <c r="L783" s="1" t="s">
        <v>14571</v>
      </c>
      <c r="M783" s="1" t="s">
        <v>86</v>
      </c>
      <c r="N783" s="1" t="s">
        <v>14572</v>
      </c>
      <c r="O783" s="1" t="s">
        <v>14573</v>
      </c>
      <c r="P783" s="1" t="s">
        <v>122</v>
      </c>
      <c r="Q783" s="1">
        <v>207800946140</v>
      </c>
      <c r="R783" s="1" t="s">
        <v>14574</v>
      </c>
      <c r="S783" s="1">
        <v>9035546019</v>
      </c>
      <c r="T783" s="1" t="s">
        <v>14575</v>
      </c>
      <c r="U783" s="1" t="s">
        <v>14576</v>
      </c>
      <c r="V783" s="1">
        <v>9035546019</v>
      </c>
      <c r="W783" s="1" t="s">
        <v>3441</v>
      </c>
      <c r="X783" s="1" t="s">
        <v>14577</v>
      </c>
      <c r="Y783" s="1" t="s">
        <v>14578</v>
      </c>
      <c r="Z783" s="1" t="s">
        <v>1210</v>
      </c>
      <c r="AA783" s="1" t="s">
        <v>14577</v>
      </c>
      <c r="AB783" s="1" t="s">
        <v>14578</v>
      </c>
      <c r="AC783" s="1" t="s">
        <v>1210</v>
      </c>
      <c r="AD783" s="1" t="s">
        <v>98</v>
      </c>
      <c r="AE783" s="1" t="s">
        <v>98</v>
      </c>
      <c r="AF783" s="1" t="s">
        <v>14579</v>
      </c>
      <c r="AG783" s="1" t="s">
        <v>14580</v>
      </c>
      <c r="AH783" s="1" t="s">
        <v>490</v>
      </c>
      <c r="AI783" s="1" t="s">
        <v>547</v>
      </c>
      <c r="AJ783" s="1">
        <v>76.64</v>
      </c>
      <c r="AK783" s="1"/>
      <c r="AL783" s="1"/>
      <c r="AM783" s="1"/>
      <c r="AN783" s="1"/>
      <c r="AO783" s="1"/>
      <c r="AP783" s="1"/>
      <c r="AQ783" s="1"/>
      <c r="AR783" s="1"/>
      <c r="AS783" s="1" t="s">
        <v>14158</v>
      </c>
      <c r="AT783" s="1" t="s">
        <v>14581</v>
      </c>
      <c r="AU783" s="1" t="s">
        <v>438</v>
      </c>
      <c r="AV783" s="1" t="s">
        <v>2765</v>
      </c>
      <c r="AW783" s="1">
        <v>64.71</v>
      </c>
      <c r="AX783" s="1"/>
      <c r="AY783" s="1" t="s">
        <v>14582</v>
      </c>
      <c r="AZ783" s="1" t="s">
        <v>14583</v>
      </c>
      <c r="BA783" s="1" t="s">
        <v>578</v>
      </c>
      <c r="BB783" s="1" t="s">
        <v>467</v>
      </c>
      <c r="BC783" s="1" t="s">
        <v>9528</v>
      </c>
      <c r="BD783" s="1" t="s">
        <v>14514</v>
      </c>
      <c r="BE783" s="1">
        <v>76</v>
      </c>
      <c r="BF783" s="1">
        <v>8.35</v>
      </c>
      <c r="BG783" s="1"/>
      <c r="BH783" s="1"/>
      <c r="BI783" s="1"/>
      <c r="BJ783" s="1"/>
      <c r="BK783" s="1"/>
      <c r="BL783" s="1"/>
      <c r="BM783" s="1"/>
      <c r="BN783" s="1"/>
      <c r="BO783" s="1" t="s">
        <v>14584</v>
      </c>
      <c r="BP783" s="1"/>
      <c r="BQ783" s="1"/>
      <c r="BR783" s="1" t="s">
        <v>14585</v>
      </c>
      <c r="BS783" s="1">
        <v>13</v>
      </c>
      <c r="BT783" s="1" t="s">
        <v>14586</v>
      </c>
      <c r="BU783" s="1" t="str">
        <f>HYPERLINK("https://nconnect.nicmar.ac.in/storage/profile/6a8668a6058b9.png","Download")</f>
        <v>0</v>
      </c>
      <c r="BV783" s="3"/>
      <c r="BW783" s="3"/>
    </row>
    <row r="784" spans="1:75">
      <c r="A784" s="1" t="s">
        <v>75</v>
      </c>
      <c r="B784" s="1" t="s">
        <v>13976</v>
      </c>
      <c r="C784" s="1" t="s">
        <v>14587</v>
      </c>
      <c r="D784" s="1" t="s">
        <v>14588</v>
      </c>
      <c r="E784" s="1" t="s">
        <v>14589</v>
      </c>
      <c r="F784" s="1" t="s">
        <v>14590</v>
      </c>
      <c r="G784" s="1" t="s">
        <v>14591</v>
      </c>
      <c r="H784" s="1" t="s">
        <v>14592</v>
      </c>
      <c r="I784" s="1" t="s">
        <v>14592</v>
      </c>
      <c r="J784" s="1">
        <v>7057448995</v>
      </c>
      <c r="K784" s="1" t="s">
        <v>84</v>
      </c>
      <c r="L784" s="1" t="s">
        <v>12963</v>
      </c>
      <c r="M784" s="1" t="s">
        <v>86</v>
      </c>
      <c r="N784" s="1" t="s">
        <v>14593</v>
      </c>
      <c r="O784" s="1" t="s">
        <v>14594</v>
      </c>
      <c r="P784" s="1" t="s">
        <v>219</v>
      </c>
      <c r="Q784" s="1">
        <v>701897468594</v>
      </c>
      <c r="R784" s="1" t="s">
        <v>14595</v>
      </c>
      <c r="S784" s="1">
        <v>8208120008</v>
      </c>
      <c r="T784" s="1" t="s">
        <v>14192</v>
      </c>
      <c r="U784" s="1" t="s">
        <v>14596</v>
      </c>
      <c r="V784" s="1">
        <v>9309150265</v>
      </c>
      <c r="W784" s="1" t="s">
        <v>14597</v>
      </c>
      <c r="X784" s="1" t="s">
        <v>14598</v>
      </c>
      <c r="Y784" s="1" t="s">
        <v>910</v>
      </c>
      <c r="Z784" s="1" t="s">
        <v>97</v>
      </c>
      <c r="AA784" s="1" t="s">
        <v>14598</v>
      </c>
      <c r="AB784" s="1" t="s">
        <v>910</v>
      </c>
      <c r="AC784" s="1" t="s">
        <v>97</v>
      </c>
      <c r="AD784" s="1" t="s">
        <v>98</v>
      </c>
      <c r="AE784" s="1" t="s">
        <v>98</v>
      </c>
      <c r="AF784" s="1" t="s">
        <v>14591</v>
      </c>
      <c r="AG784" s="1" t="s">
        <v>14599</v>
      </c>
      <c r="AH784" s="1" t="s">
        <v>171</v>
      </c>
      <c r="AI784" s="1" t="s">
        <v>206</v>
      </c>
      <c r="AJ784" s="1">
        <v>71.4</v>
      </c>
      <c r="AK784" s="1"/>
      <c r="AL784" s="1" t="s">
        <v>14600</v>
      </c>
      <c r="AM784" s="1" t="s">
        <v>14601</v>
      </c>
      <c r="AN784" s="1" t="s">
        <v>575</v>
      </c>
      <c r="AO784" s="1" t="s">
        <v>417</v>
      </c>
      <c r="AP784" s="1" t="s">
        <v>845</v>
      </c>
      <c r="AQ784" s="1">
        <v>83.33</v>
      </c>
      <c r="AR784" s="1"/>
      <c r="AS784" s="1"/>
      <c r="AT784" s="1"/>
      <c r="AU784" s="1"/>
      <c r="AV784" s="1"/>
      <c r="AW784" s="1"/>
      <c r="AX784" s="1"/>
      <c r="AY784" s="1" t="s">
        <v>14602</v>
      </c>
      <c r="AZ784" s="1" t="s">
        <v>14603</v>
      </c>
      <c r="BA784" s="1" t="s">
        <v>682</v>
      </c>
      <c r="BB784" s="1" t="s">
        <v>1561</v>
      </c>
      <c r="BC784" s="1" t="s">
        <v>845</v>
      </c>
      <c r="BD784" s="1" t="s">
        <v>14494</v>
      </c>
      <c r="BE784" s="1">
        <v>75.3</v>
      </c>
      <c r="BF784" s="1">
        <v>7.53</v>
      </c>
      <c r="BG784" s="1"/>
      <c r="BH784" s="1"/>
      <c r="BI784" s="1"/>
      <c r="BJ784" s="1"/>
      <c r="BK784" s="1"/>
      <c r="BL784" s="1"/>
      <c r="BM784" s="1"/>
      <c r="BN784" s="1"/>
      <c r="BO784" s="1" t="s">
        <v>14604</v>
      </c>
      <c r="BP784" s="1"/>
      <c r="BQ784" s="1"/>
      <c r="BR784" s="1" t="s">
        <v>14605</v>
      </c>
      <c r="BS784" s="1">
        <v>29</v>
      </c>
      <c r="BT784" s="1"/>
      <c r="BU784" s="1" t="str">
        <f>HYPERLINK("https://nconnect.nicmar.ac.in/storage/profile/6a87f347b140f.png","Download")</f>
        <v>0</v>
      </c>
      <c r="BV784" s="3"/>
      <c r="BW784" s="3"/>
    </row>
    <row r="785" spans="1:75">
      <c r="A785" s="1" t="s">
        <v>75</v>
      </c>
      <c r="B785" s="1" t="s">
        <v>13976</v>
      </c>
      <c r="C785" s="1" t="s">
        <v>14606</v>
      </c>
      <c r="D785" s="1" t="s">
        <v>14607</v>
      </c>
      <c r="E785" s="1"/>
      <c r="F785" s="1" t="s">
        <v>14608</v>
      </c>
      <c r="G785" s="1" t="s">
        <v>14609</v>
      </c>
      <c r="H785" s="1" t="s">
        <v>14610</v>
      </c>
      <c r="I785" s="1" t="s">
        <v>14610</v>
      </c>
      <c r="J785" s="1">
        <v>8520834548</v>
      </c>
      <c r="K785" s="1" t="s">
        <v>84</v>
      </c>
      <c r="L785" s="1" t="s">
        <v>14611</v>
      </c>
      <c r="M785" s="1" t="s">
        <v>86</v>
      </c>
      <c r="N785" s="1" t="s">
        <v>3083</v>
      </c>
      <c r="O785" s="1" t="s">
        <v>14612</v>
      </c>
      <c r="P785" s="1" t="s">
        <v>219</v>
      </c>
      <c r="Q785" s="1">
        <v>785448274190</v>
      </c>
      <c r="R785" s="1" t="s">
        <v>14613</v>
      </c>
      <c r="S785" s="1">
        <v>9701545336</v>
      </c>
      <c r="T785" s="1" t="s">
        <v>159</v>
      </c>
      <c r="U785" s="1" t="s">
        <v>14614</v>
      </c>
      <c r="V785" s="1">
        <v>6309773891</v>
      </c>
      <c r="W785" s="1" t="s">
        <v>278</v>
      </c>
      <c r="X785" s="1" t="s">
        <v>14615</v>
      </c>
      <c r="Y785" s="1" t="s">
        <v>12190</v>
      </c>
      <c r="Z785" s="1" t="s">
        <v>281</v>
      </c>
      <c r="AA785" s="1" t="s">
        <v>14615</v>
      </c>
      <c r="AB785" s="1" t="s">
        <v>12190</v>
      </c>
      <c r="AC785" s="1" t="s">
        <v>281</v>
      </c>
      <c r="AD785" s="1" t="s">
        <v>98</v>
      </c>
      <c r="AE785" s="1" t="s">
        <v>98</v>
      </c>
      <c r="AF785" s="1" t="s">
        <v>14616</v>
      </c>
      <c r="AG785" s="1" t="s">
        <v>10442</v>
      </c>
      <c r="AH785" s="1" t="s">
        <v>438</v>
      </c>
      <c r="AI785" s="1" t="s">
        <v>603</v>
      </c>
      <c r="AJ785" s="1">
        <v>98.83</v>
      </c>
      <c r="AK785" s="1"/>
      <c r="AL785" s="1"/>
      <c r="AM785" s="1"/>
      <c r="AN785" s="1"/>
      <c r="AO785" s="1"/>
      <c r="AP785" s="1"/>
      <c r="AQ785" s="1"/>
      <c r="AR785" s="1"/>
      <c r="AS785" s="1" t="s">
        <v>103</v>
      </c>
      <c r="AT785" s="1" t="s">
        <v>14617</v>
      </c>
      <c r="AU785" s="1" t="s">
        <v>890</v>
      </c>
      <c r="AV785" s="1" t="s">
        <v>234</v>
      </c>
      <c r="AW785" s="1">
        <v>91.83</v>
      </c>
      <c r="AX785" s="1"/>
      <c r="AY785" s="1" t="s">
        <v>14618</v>
      </c>
      <c r="AZ785" s="1" t="s">
        <v>14619</v>
      </c>
      <c r="BA785" s="1" t="s">
        <v>466</v>
      </c>
      <c r="BB785" s="1" t="s">
        <v>467</v>
      </c>
      <c r="BC785" s="1" t="s">
        <v>179</v>
      </c>
      <c r="BD785" s="1" t="s">
        <v>9688</v>
      </c>
      <c r="BE785" s="1">
        <v>83.3</v>
      </c>
      <c r="BF785" s="1">
        <v>8.83</v>
      </c>
      <c r="BG785" s="1"/>
      <c r="BH785" s="1"/>
      <c r="BI785" s="1"/>
      <c r="BJ785" s="1"/>
      <c r="BK785" s="1"/>
      <c r="BL785" s="1"/>
      <c r="BM785" s="1"/>
      <c r="BN785" s="1"/>
      <c r="BO785" s="1" t="s">
        <v>14620</v>
      </c>
      <c r="BP785" s="1"/>
      <c r="BQ785" s="1"/>
      <c r="BR785" s="1" t="s">
        <v>14621</v>
      </c>
      <c r="BS785" s="1">
        <v>32</v>
      </c>
      <c r="BT785" s="1" t="s">
        <v>14622</v>
      </c>
      <c r="BU785" s="1" t="str">
        <f>HYPERLINK("https://nconnect.nicmar.ac.in/storage/profile/6a871be43428b.png","Download")</f>
        <v>0</v>
      </c>
      <c r="BV785" s="3"/>
      <c r="BW785" s="3"/>
    </row>
    <row r="786" spans="1:75">
      <c r="A786" s="1" t="s">
        <v>75</v>
      </c>
      <c r="B786" s="1" t="s">
        <v>13976</v>
      </c>
      <c r="C786" s="1" t="s">
        <v>14623</v>
      </c>
      <c r="D786" s="1" t="s">
        <v>14624</v>
      </c>
      <c r="E786" s="1"/>
      <c r="F786" s="1" t="s">
        <v>14625</v>
      </c>
      <c r="G786" s="1" t="s">
        <v>14626</v>
      </c>
      <c r="H786" s="1" t="s">
        <v>14627</v>
      </c>
      <c r="I786" s="1" t="s">
        <v>14628</v>
      </c>
      <c r="J786" s="1">
        <v>9074790571</v>
      </c>
      <c r="K786" s="1" t="s">
        <v>84</v>
      </c>
      <c r="L786" s="1" t="s">
        <v>14629</v>
      </c>
      <c r="M786" s="1" t="s">
        <v>86</v>
      </c>
      <c r="N786" s="1" t="s">
        <v>11958</v>
      </c>
      <c r="O786" s="1" t="s">
        <v>14630</v>
      </c>
      <c r="P786" s="1" t="s">
        <v>219</v>
      </c>
      <c r="Q786" s="1">
        <v>521052424482</v>
      </c>
      <c r="R786" s="1" t="s">
        <v>14631</v>
      </c>
      <c r="S786" s="1">
        <v>9447690420</v>
      </c>
      <c r="T786" s="1" t="s">
        <v>14507</v>
      </c>
      <c r="U786" s="1" t="s">
        <v>14632</v>
      </c>
      <c r="V786" s="1">
        <v>9446418420</v>
      </c>
      <c r="W786" s="1" t="s">
        <v>14633</v>
      </c>
      <c r="X786" s="1" t="s">
        <v>14634</v>
      </c>
      <c r="Y786" s="1" t="s">
        <v>7679</v>
      </c>
      <c r="Z786" s="1" t="s">
        <v>130</v>
      </c>
      <c r="AA786" s="1" t="s">
        <v>14634</v>
      </c>
      <c r="AB786" s="1" t="s">
        <v>7679</v>
      </c>
      <c r="AC786" s="1" t="s">
        <v>130</v>
      </c>
      <c r="AD786" s="1" t="s">
        <v>98</v>
      </c>
      <c r="AE786" s="1" t="s">
        <v>98</v>
      </c>
      <c r="AF786" s="1" t="s">
        <v>14635</v>
      </c>
      <c r="AG786" s="1" t="s">
        <v>14636</v>
      </c>
      <c r="AH786" s="1" t="s">
        <v>167</v>
      </c>
      <c r="AI786" s="1" t="s">
        <v>170</v>
      </c>
      <c r="AJ786" s="1">
        <v>87.4</v>
      </c>
      <c r="AK786" s="1">
        <v>9.2</v>
      </c>
      <c r="AL786" s="1" t="s">
        <v>14637</v>
      </c>
      <c r="AM786" s="1" t="s">
        <v>14638</v>
      </c>
      <c r="AN786" s="1" t="s">
        <v>575</v>
      </c>
      <c r="AO786" s="1" t="s">
        <v>388</v>
      </c>
      <c r="AP786" s="1" t="s">
        <v>313</v>
      </c>
      <c r="AQ786" s="1">
        <v>69.75</v>
      </c>
      <c r="AR786" s="1"/>
      <c r="AS786" s="1"/>
      <c r="AT786" s="1"/>
      <c r="AU786" s="1"/>
      <c r="AV786" s="1"/>
      <c r="AW786" s="1"/>
      <c r="AX786" s="1"/>
      <c r="AY786" s="1" t="s">
        <v>14639</v>
      </c>
      <c r="AZ786" s="1" t="s">
        <v>14640</v>
      </c>
      <c r="BA786" s="1" t="s">
        <v>682</v>
      </c>
      <c r="BB786" s="1" t="s">
        <v>1561</v>
      </c>
      <c r="BC786" s="1" t="s">
        <v>438</v>
      </c>
      <c r="BD786" s="1" t="s">
        <v>2383</v>
      </c>
      <c r="BE786" s="1">
        <v>72.3</v>
      </c>
      <c r="BF786" s="1">
        <v>7.23</v>
      </c>
      <c r="BG786" s="1"/>
      <c r="BH786" s="1"/>
      <c r="BI786" s="1"/>
      <c r="BJ786" s="1"/>
      <c r="BK786" s="1"/>
      <c r="BL786" s="1"/>
      <c r="BM786" s="1"/>
      <c r="BN786" s="1"/>
      <c r="BO786" s="1" t="s">
        <v>14641</v>
      </c>
      <c r="BP786" s="1" t="s">
        <v>14642</v>
      </c>
      <c r="BQ786" s="1" t="s">
        <v>1482</v>
      </c>
      <c r="BR786" s="1" t="s">
        <v>14643</v>
      </c>
      <c r="BS786" s="1">
        <v>20</v>
      </c>
      <c r="BT786" s="1"/>
      <c r="BU786" s="1" t="str">
        <f>HYPERLINK("https://nconnect.nicmar.ac.in/storage/profile/6a8741ba73a22.png","Download")</f>
        <v>0</v>
      </c>
      <c r="BV786" s="3"/>
      <c r="BW786" s="3"/>
    </row>
    <row r="787" spans="1:75">
      <c r="A787" s="1" t="s">
        <v>75</v>
      </c>
      <c r="B787" s="1" t="s">
        <v>13976</v>
      </c>
      <c r="C787" s="1" t="s">
        <v>14644</v>
      </c>
      <c r="D787" s="1" t="s">
        <v>3633</v>
      </c>
      <c r="E787" s="1" t="s">
        <v>14645</v>
      </c>
      <c r="F787" s="1" t="s">
        <v>14646</v>
      </c>
      <c r="G787" s="1" t="s">
        <v>14647</v>
      </c>
      <c r="H787" s="1" t="s">
        <v>14648</v>
      </c>
      <c r="I787" s="1" t="s">
        <v>14648</v>
      </c>
      <c r="J787" s="1">
        <v>9119588217</v>
      </c>
      <c r="K787" s="1" t="s">
        <v>153</v>
      </c>
      <c r="L787" s="1" t="s">
        <v>14649</v>
      </c>
      <c r="M787" s="1" t="s">
        <v>86</v>
      </c>
      <c r="N787" s="1" t="s">
        <v>5251</v>
      </c>
      <c r="O787" s="1" t="s">
        <v>14650</v>
      </c>
      <c r="P787" s="1" t="s">
        <v>356</v>
      </c>
      <c r="Q787" s="1">
        <v>307037992557</v>
      </c>
      <c r="R787" s="1" t="s">
        <v>14651</v>
      </c>
      <c r="S787" s="1">
        <v>9422458912</v>
      </c>
      <c r="T787" s="1" t="s">
        <v>3439</v>
      </c>
      <c r="U787" s="1" t="s">
        <v>14652</v>
      </c>
      <c r="V787" s="1">
        <v>8975696757</v>
      </c>
      <c r="W787" s="1" t="s">
        <v>14154</v>
      </c>
      <c r="X787" s="1" t="s">
        <v>14653</v>
      </c>
      <c r="Y787" s="1" t="s">
        <v>163</v>
      </c>
      <c r="Z787" s="1" t="s">
        <v>97</v>
      </c>
      <c r="AA787" s="1" t="s">
        <v>14653</v>
      </c>
      <c r="AB787" s="1" t="s">
        <v>163</v>
      </c>
      <c r="AC787" s="1" t="s">
        <v>97</v>
      </c>
      <c r="AD787" s="1" t="s">
        <v>98</v>
      </c>
      <c r="AE787" s="1" t="s">
        <v>98</v>
      </c>
      <c r="AF787" s="1" t="s">
        <v>14654</v>
      </c>
      <c r="AG787" s="1" t="s">
        <v>14655</v>
      </c>
      <c r="AH787" s="1" t="s">
        <v>106</v>
      </c>
      <c r="AI787" s="1" t="s">
        <v>414</v>
      </c>
      <c r="AJ787" s="1">
        <v>73.0</v>
      </c>
      <c r="AK787" s="1"/>
      <c r="AL787" s="1"/>
      <c r="AM787" s="1"/>
      <c r="AN787" s="1"/>
      <c r="AO787" s="1"/>
      <c r="AP787" s="1"/>
      <c r="AQ787" s="1"/>
      <c r="AR787" s="1"/>
      <c r="AS787" s="1" t="s">
        <v>14656</v>
      </c>
      <c r="AT787" s="1" t="s">
        <v>14657</v>
      </c>
      <c r="AU787" s="1" t="s">
        <v>206</v>
      </c>
      <c r="AV787" s="1" t="s">
        <v>1400</v>
      </c>
      <c r="AW787" s="1">
        <v>85.37</v>
      </c>
      <c r="AX787" s="1"/>
      <c r="AY787" s="1" t="s">
        <v>14160</v>
      </c>
      <c r="AZ787" s="1" t="s">
        <v>7125</v>
      </c>
      <c r="BA787" s="1" t="s">
        <v>578</v>
      </c>
      <c r="BB787" s="1" t="s">
        <v>467</v>
      </c>
      <c r="BC787" s="1" t="s">
        <v>1889</v>
      </c>
      <c r="BD787" s="1" t="s">
        <v>848</v>
      </c>
      <c r="BE787" s="1">
        <v>70.1</v>
      </c>
      <c r="BF787" s="1">
        <v>7.76</v>
      </c>
      <c r="BG787" s="1"/>
      <c r="BH787" s="1"/>
      <c r="BI787" s="1"/>
      <c r="BJ787" s="1"/>
      <c r="BK787" s="1"/>
      <c r="BL787" s="1"/>
      <c r="BM787" s="1"/>
      <c r="BN787" s="1"/>
      <c r="BO787" s="1" t="s">
        <v>1114</v>
      </c>
      <c r="BP787" s="1" t="s">
        <v>14658</v>
      </c>
      <c r="BQ787" s="1" t="s">
        <v>3949</v>
      </c>
      <c r="BR787" s="1" t="s">
        <v>14659</v>
      </c>
      <c r="BS787" s="1">
        <v>80</v>
      </c>
      <c r="BT787" s="1" t="s">
        <v>849</v>
      </c>
      <c r="BU787" s="1" t="str">
        <f>HYPERLINK("https://nconnect.nicmar.ac.in/storage/profile/6a871913a0e5b.png","Download")</f>
        <v>0</v>
      </c>
      <c r="BV787" s="3"/>
      <c r="BW787" s="3"/>
    </row>
    <row r="788" spans="1:75">
      <c r="A788" s="1" t="s">
        <v>75</v>
      </c>
      <c r="B788" s="1" t="s">
        <v>13976</v>
      </c>
      <c r="C788" s="1" t="s">
        <v>14660</v>
      </c>
      <c r="D788" s="1" t="s">
        <v>14661</v>
      </c>
      <c r="E788" s="1"/>
      <c r="F788" s="1" t="s">
        <v>14662</v>
      </c>
      <c r="G788" s="1" t="s">
        <v>14663</v>
      </c>
      <c r="H788" s="1" t="s">
        <v>14664</v>
      </c>
      <c r="I788" s="1" t="s">
        <v>14664</v>
      </c>
      <c r="J788" s="1">
        <v>8870119015</v>
      </c>
      <c r="K788" s="1" t="s">
        <v>153</v>
      </c>
      <c r="L788" s="1" t="s">
        <v>14665</v>
      </c>
      <c r="M788" s="1" t="s">
        <v>86</v>
      </c>
      <c r="N788" s="1" t="s">
        <v>14666</v>
      </c>
      <c r="O788" s="1" t="s">
        <v>14667</v>
      </c>
      <c r="P788" s="1" t="s">
        <v>219</v>
      </c>
      <c r="Q788" s="1">
        <v>996296271050</v>
      </c>
      <c r="R788" s="1" t="s">
        <v>14668</v>
      </c>
      <c r="S788" s="1">
        <v>9446279312</v>
      </c>
      <c r="T788" s="1" t="s">
        <v>3439</v>
      </c>
      <c r="U788" s="1" t="s">
        <v>14669</v>
      </c>
      <c r="V788" s="1">
        <v>9446379464</v>
      </c>
      <c r="W788" s="1" t="s">
        <v>14234</v>
      </c>
      <c r="X788" s="1" t="s">
        <v>14670</v>
      </c>
      <c r="Y788" s="1" t="s">
        <v>4916</v>
      </c>
      <c r="Z788" s="1" t="s">
        <v>130</v>
      </c>
      <c r="AA788" s="1" t="s">
        <v>14670</v>
      </c>
      <c r="AB788" s="1" t="s">
        <v>4916</v>
      </c>
      <c r="AC788" s="1" t="s">
        <v>130</v>
      </c>
      <c r="AD788" s="1" t="s">
        <v>98</v>
      </c>
      <c r="AE788" s="1" t="s">
        <v>98</v>
      </c>
      <c r="AF788" s="1" t="s">
        <v>14671</v>
      </c>
      <c r="AG788" s="1" t="s">
        <v>130</v>
      </c>
      <c r="AH788" s="1" t="s">
        <v>101</v>
      </c>
      <c r="AI788" s="1" t="s">
        <v>102</v>
      </c>
      <c r="AJ788" s="1">
        <v>83</v>
      </c>
      <c r="AK788" s="1"/>
      <c r="AL788" s="1" t="s">
        <v>14672</v>
      </c>
      <c r="AM788" s="1" t="s">
        <v>130</v>
      </c>
      <c r="AN788" s="1" t="s">
        <v>575</v>
      </c>
      <c r="AO788" s="1" t="s">
        <v>167</v>
      </c>
      <c r="AP788" s="1" t="s">
        <v>200</v>
      </c>
      <c r="AQ788" s="1">
        <v>76</v>
      </c>
      <c r="AR788" s="1"/>
      <c r="AS788" s="1"/>
      <c r="AT788" s="1"/>
      <c r="AU788" s="1"/>
      <c r="AV788" s="1"/>
      <c r="AW788" s="1"/>
      <c r="AX788" s="1"/>
      <c r="AY788" s="1" t="s">
        <v>14673</v>
      </c>
      <c r="AZ788" s="1" t="s">
        <v>570</v>
      </c>
      <c r="BA788" s="1" t="s">
        <v>466</v>
      </c>
      <c r="BB788" s="1" t="s">
        <v>467</v>
      </c>
      <c r="BC788" s="1" t="s">
        <v>388</v>
      </c>
      <c r="BD788" s="1" t="s">
        <v>845</v>
      </c>
      <c r="BE788" s="1">
        <v>70.7</v>
      </c>
      <c r="BF788" s="1">
        <v>7.07</v>
      </c>
      <c r="BG788" s="1" t="s">
        <v>14674</v>
      </c>
      <c r="BH788" s="1" t="s">
        <v>1210</v>
      </c>
      <c r="BI788" s="1" t="s">
        <v>2209</v>
      </c>
      <c r="BJ788" s="1" t="s">
        <v>1585</v>
      </c>
      <c r="BK788" s="1" t="s">
        <v>606</v>
      </c>
      <c r="BL788" s="1" t="s">
        <v>955</v>
      </c>
      <c r="BM788" s="1">
        <v>84.49</v>
      </c>
      <c r="BN788" s="1">
        <v>8.45</v>
      </c>
      <c r="BO788" s="1" t="s">
        <v>14675</v>
      </c>
      <c r="BP788" s="1" t="s">
        <v>14676</v>
      </c>
      <c r="BQ788" s="1" t="s">
        <v>9405</v>
      </c>
      <c r="BR788" s="1" t="s">
        <v>14677</v>
      </c>
      <c r="BS788" s="1">
        <v>12</v>
      </c>
      <c r="BT788" s="1"/>
      <c r="BU788" s="1" t="str">
        <f>HYPERLINK("https://nconnect.nicmar.ac.in/storage/profile/6a873dbe2f4a3.png","Download")</f>
        <v>0</v>
      </c>
      <c r="BV788" s="3"/>
      <c r="BW788" s="3"/>
    </row>
    <row r="789" spans="1:75">
      <c r="A789" s="1" t="s">
        <v>75</v>
      </c>
      <c r="B789" s="1" t="s">
        <v>13976</v>
      </c>
      <c r="C789" s="1" t="s">
        <v>14678</v>
      </c>
      <c r="D789" s="1" t="s">
        <v>14679</v>
      </c>
      <c r="E789" s="1" t="s">
        <v>14680</v>
      </c>
      <c r="F789" s="1" t="s">
        <v>14681</v>
      </c>
      <c r="G789" s="1" t="s">
        <v>14682</v>
      </c>
      <c r="H789" s="1" t="s">
        <v>14683</v>
      </c>
      <c r="I789" s="1" t="s">
        <v>14683</v>
      </c>
      <c r="J789" s="1">
        <v>8237440156</v>
      </c>
      <c r="K789" s="1" t="s">
        <v>153</v>
      </c>
      <c r="L789" s="1" t="s">
        <v>14684</v>
      </c>
      <c r="M789" s="1" t="s">
        <v>86</v>
      </c>
      <c r="N789" s="1" t="s">
        <v>14685</v>
      </c>
      <c r="O789" s="1" t="s">
        <v>14686</v>
      </c>
      <c r="P789" s="1" t="s">
        <v>89</v>
      </c>
      <c r="Q789" s="1">
        <v>828331357975</v>
      </c>
      <c r="R789" s="1" t="s">
        <v>14680</v>
      </c>
      <c r="S789" s="1">
        <v>9766105156</v>
      </c>
      <c r="T789" s="1" t="s">
        <v>14687</v>
      </c>
      <c r="U789" s="1" t="s">
        <v>14688</v>
      </c>
      <c r="V789" s="1">
        <v>9423107367</v>
      </c>
      <c r="W789" s="1" t="s">
        <v>10306</v>
      </c>
      <c r="X789" s="1" t="s">
        <v>14689</v>
      </c>
      <c r="Y789" s="1" t="s">
        <v>1145</v>
      </c>
      <c r="Z789" s="1" t="s">
        <v>97</v>
      </c>
      <c r="AA789" s="1" t="s">
        <v>14690</v>
      </c>
      <c r="AB789" s="1" t="s">
        <v>196</v>
      </c>
      <c r="AC789" s="1" t="s">
        <v>97</v>
      </c>
      <c r="AD789" s="1" t="s">
        <v>98</v>
      </c>
      <c r="AE789" s="1" t="s">
        <v>98</v>
      </c>
      <c r="AF789" s="1" t="s">
        <v>14691</v>
      </c>
      <c r="AG789" s="1" t="s">
        <v>14692</v>
      </c>
      <c r="AH789" s="1" t="s">
        <v>798</v>
      </c>
      <c r="AI789" s="1" t="s">
        <v>1089</v>
      </c>
      <c r="AJ789" s="1">
        <v>79.4</v>
      </c>
      <c r="AK789" s="1"/>
      <c r="AL789" s="1"/>
      <c r="AM789" s="1"/>
      <c r="AN789" s="1"/>
      <c r="AO789" s="1"/>
      <c r="AP789" s="1"/>
      <c r="AQ789" s="1"/>
      <c r="AR789" s="1"/>
      <c r="AS789" s="1" t="s">
        <v>467</v>
      </c>
      <c r="AT789" s="1" t="s">
        <v>14693</v>
      </c>
      <c r="AU789" s="1" t="s">
        <v>1065</v>
      </c>
      <c r="AV789" s="1" t="s">
        <v>140</v>
      </c>
      <c r="AW789" s="1">
        <v>83.05</v>
      </c>
      <c r="AX789" s="1"/>
      <c r="AY789" s="1" t="s">
        <v>14694</v>
      </c>
      <c r="AZ789" s="1" t="s">
        <v>14695</v>
      </c>
      <c r="BA789" s="1" t="s">
        <v>466</v>
      </c>
      <c r="BB789" s="1" t="s">
        <v>467</v>
      </c>
      <c r="BC789" s="1" t="s">
        <v>441</v>
      </c>
      <c r="BD789" s="1" t="s">
        <v>207</v>
      </c>
      <c r="BE789" s="1">
        <v>73</v>
      </c>
      <c r="BF789" s="1">
        <v>8.05</v>
      </c>
      <c r="BG789" s="1"/>
      <c r="BH789" s="1"/>
      <c r="BI789" s="1"/>
      <c r="BJ789" s="1"/>
      <c r="BK789" s="1"/>
      <c r="BL789" s="1"/>
      <c r="BM789" s="1"/>
      <c r="BN789" s="1"/>
      <c r="BO789" s="1" t="s">
        <v>14696</v>
      </c>
      <c r="BP789" s="1" t="s">
        <v>14697</v>
      </c>
      <c r="BQ789" s="1" t="s">
        <v>658</v>
      </c>
      <c r="BR789" s="1"/>
      <c r="BS789" s="1"/>
      <c r="BT789" s="1" t="s">
        <v>14698</v>
      </c>
      <c r="BU789" s="1" t="str">
        <f>HYPERLINK("https://nconnect.nicmar.ac.in/storage/profile/6a872cc62a995.png","Download")</f>
        <v>0</v>
      </c>
      <c r="BV789" s="3"/>
      <c r="BW789" s="3"/>
    </row>
    <row r="790" spans="1:75">
      <c r="A790" s="1" t="s">
        <v>75</v>
      </c>
      <c r="B790" s="1" t="s">
        <v>13976</v>
      </c>
      <c r="C790" s="1" t="s">
        <v>14699</v>
      </c>
      <c r="D790" s="1" t="s">
        <v>14700</v>
      </c>
      <c r="E790" s="1" t="s">
        <v>14701</v>
      </c>
      <c r="F790" s="1" t="s">
        <v>14702</v>
      </c>
      <c r="G790" s="1" t="s">
        <v>14703</v>
      </c>
      <c r="H790" s="1" t="s">
        <v>14704</v>
      </c>
      <c r="I790" s="1" t="s">
        <v>14704</v>
      </c>
      <c r="J790" s="1">
        <v>8333855367</v>
      </c>
      <c r="K790" s="1" t="s">
        <v>84</v>
      </c>
      <c r="L790" s="1" t="s">
        <v>14705</v>
      </c>
      <c r="M790" s="1" t="s">
        <v>86</v>
      </c>
      <c r="N790" s="1" t="s">
        <v>14706</v>
      </c>
      <c r="O790" s="1" t="s">
        <v>14707</v>
      </c>
      <c r="P790" s="1" t="s">
        <v>122</v>
      </c>
      <c r="Q790" s="1">
        <v>776474146497</v>
      </c>
      <c r="R790" s="1" t="s">
        <v>14708</v>
      </c>
      <c r="S790" s="1">
        <v>9705732367</v>
      </c>
      <c r="T790" s="1" t="s">
        <v>14352</v>
      </c>
      <c r="U790" s="1" t="s">
        <v>14709</v>
      </c>
      <c r="V790" s="1">
        <v>8985555367</v>
      </c>
      <c r="W790" s="1" t="s">
        <v>14710</v>
      </c>
      <c r="X790" s="1" t="s">
        <v>14711</v>
      </c>
      <c r="Y790" s="1" t="s">
        <v>1454</v>
      </c>
      <c r="Z790" s="1" t="s">
        <v>281</v>
      </c>
      <c r="AA790" s="1" t="s">
        <v>14711</v>
      </c>
      <c r="AB790" s="1" t="s">
        <v>1454</v>
      </c>
      <c r="AC790" s="1" t="s">
        <v>281</v>
      </c>
      <c r="AD790" s="1" t="s">
        <v>98</v>
      </c>
      <c r="AE790" s="1" t="s">
        <v>98</v>
      </c>
      <c r="AF790" s="1" t="s">
        <v>14712</v>
      </c>
      <c r="AG790" s="1" t="s">
        <v>281</v>
      </c>
      <c r="AH790" s="1" t="s">
        <v>438</v>
      </c>
      <c r="AI790" s="1" t="s">
        <v>603</v>
      </c>
      <c r="AJ790" s="1">
        <v>86.83</v>
      </c>
      <c r="AK790" s="1">
        <v>9</v>
      </c>
      <c r="AL790" s="1"/>
      <c r="AM790" s="1"/>
      <c r="AN790" s="1"/>
      <c r="AO790" s="1"/>
      <c r="AP790" s="1"/>
      <c r="AQ790" s="1"/>
      <c r="AR790" s="1"/>
      <c r="AS790" s="1" t="s">
        <v>14713</v>
      </c>
      <c r="AT790" s="1" t="s">
        <v>14714</v>
      </c>
      <c r="AU790" s="1" t="s">
        <v>1040</v>
      </c>
      <c r="AV790" s="1" t="s">
        <v>579</v>
      </c>
      <c r="AW790" s="1">
        <v>77.18</v>
      </c>
      <c r="AX790" s="1">
        <v>7.71</v>
      </c>
      <c r="AY790" s="1" t="s">
        <v>14715</v>
      </c>
      <c r="AZ790" s="1" t="s">
        <v>14716</v>
      </c>
      <c r="BA790" s="1" t="s">
        <v>466</v>
      </c>
      <c r="BB790" s="1" t="s">
        <v>467</v>
      </c>
      <c r="BC790" s="1" t="s">
        <v>1267</v>
      </c>
      <c r="BD790" s="1" t="s">
        <v>14101</v>
      </c>
      <c r="BE790" s="1">
        <v>82.5</v>
      </c>
      <c r="BF790" s="1">
        <v>8.25</v>
      </c>
      <c r="BG790" s="1"/>
      <c r="BH790" s="1"/>
      <c r="BI790" s="1"/>
      <c r="BJ790" s="1"/>
      <c r="BK790" s="1"/>
      <c r="BL790" s="1"/>
      <c r="BM790" s="1"/>
      <c r="BN790" s="1"/>
      <c r="BO790" s="1" t="s">
        <v>14717</v>
      </c>
      <c r="BP790" s="1"/>
      <c r="BQ790" s="1"/>
      <c r="BR790" s="1" t="s">
        <v>14718</v>
      </c>
      <c r="BS790" s="1">
        <v>4</v>
      </c>
      <c r="BT790" s="1" t="s">
        <v>849</v>
      </c>
      <c r="BU790" s="1" t="str">
        <f>HYPERLINK("https://nconnect.nicmar.ac.in/storage/profile/6a85f67a75e6c.png","Download")</f>
        <v>0</v>
      </c>
      <c r="BV790" s="3"/>
      <c r="BW790" s="3"/>
    </row>
    <row r="791" spans="1:75">
      <c r="A791" s="1" t="s">
        <v>75</v>
      </c>
      <c r="B791" s="1" t="s">
        <v>13976</v>
      </c>
      <c r="C791" s="1" t="s">
        <v>14719</v>
      </c>
      <c r="D791" s="1" t="s">
        <v>14720</v>
      </c>
      <c r="E791" s="1" t="s">
        <v>14721</v>
      </c>
      <c r="F791" s="1" t="s">
        <v>14722</v>
      </c>
      <c r="G791" s="1" t="s">
        <v>14723</v>
      </c>
      <c r="H791" s="1" t="s">
        <v>14724</v>
      </c>
      <c r="I791" s="1" t="s">
        <v>14724</v>
      </c>
      <c r="J791" s="1">
        <v>8888286345</v>
      </c>
      <c r="K791" s="1" t="s">
        <v>84</v>
      </c>
      <c r="L791" s="1" t="s">
        <v>965</v>
      </c>
      <c r="M791" s="1" t="s">
        <v>86</v>
      </c>
      <c r="N791" s="1" t="s">
        <v>6088</v>
      </c>
      <c r="O791" s="1" t="s">
        <v>14725</v>
      </c>
      <c r="P791" s="1" t="s">
        <v>219</v>
      </c>
      <c r="Q791" s="1">
        <v>712784468872</v>
      </c>
      <c r="R791" s="1" t="s">
        <v>14721</v>
      </c>
      <c r="S791" s="1">
        <v>9423051806</v>
      </c>
      <c r="T791" s="1" t="s">
        <v>14134</v>
      </c>
      <c r="U791" s="1" t="s">
        <v>14726</v>
      </c>
      <c r="V791" s="1">
        <v>9421260773</v>
      </c>
      <c r="W791" s="1" t="s">
        <v>14727</v>
      </c>
      <c r="X791" s="1" t="s">
        <v>14728</v>
      </c>
      <c r="Y791" s="1" t="s">
        <v>6128</v>
      </c>
      <c r="Z791" s="1" t="s">
        <v>97</v>
      </c>
      <c r="AA791" s="1" t="s">
        <v>14729</v>
      </c>
      <c r="AB791" s="1" t="s">
        <v>6128</v>
      </c>
      <c r="AC791" s="1" t="s">
        <v>97</v>
      </c>
      <c r="AD791" s="1" t="s">
        <v>98</v>
      </c>
      <c r="AE791" s="1" t="s">
        <v>98</v>
      </c>
      <c r="AF791" s="1" t="s">
        <v>14730</v>
      </c>
      <c r="AG791" s="1" t="s">
        <v>14731</v>
      </c>
      <c r="AH791" s="1" t="s">
        <v>438</v>
      </c>
      <c r="AI791" s="1" t="s">
        <v>603</v>
      </c>
      <c r="AJ791" s="1">
        <v>84.8</v>
      </c>
      <c r="AK791" s="1"/>
      <c r="AL791" s="1" t="s">
        <v>14730</v>
      </c>
      <c r="AM791" s="1" t="s">
        <v>14731</v>
      </c>
      <c r="AN791" s="1" t="s">
        <v>465</v>
      </c>
      <c r="AO791" s="1" t="s">
        <v>847</v>
      </c>
      <c r="AP791" s="1" t="s">
        <v>1886</v>
      </c>
      <c r="AQ791" s="1">
        <v>85.67</v>
      </c>
      <c r="AR791" s="1"/>
      <c r="AS791" s="1"/>
      <c r="AT791" s="1"/>
      <c r="AU791" s="1"/>
      <c r="AV791" s="1"/>
      <c r="AW791" s="1"/>
      <c r="AX791" s="1"/>
      <c r="AY791" s="1" t="s">
        <v>14732</v>
      </c>
      <c r="AZ791" s="1" t="s">
        <v>14733</v>
      </c>
      <c r="BA791" s="1" t="s">
        <v>466</v>
      </c>
      <c r="BB791" s="1" t="s">
        <v>467</v>
      </c>
      <c r="BC791" s="1" t="s">
        <v>1889</v>
      </c>
      <c r="BD791" s="1" t="s">
        <v>14101</v>
      </c>
      <c r="BE791" s="1">
        <v>63.4</v>
      </c>
      <c r="BF791" s="1">
        <v>7.09</v>
      </c>
      <c r="BG791" s="1"/>
      <c r="BH791" s="1"/>
      <c r="BI791" s="1"/>
      <c r="BJ791" s="1"/>
      <c r="BK791" s="1"/>
      <c r="BL791" s="1"/>
      <c r="BM791" s="1"/>
      <c r="BN791" s="1"/>
      <c r="BO791" s="1" t="s">
        <v>14734</v>
      </c>
      <c r="BP791" s="1"/>
      <c r="BQ791" s="1"/>
      <c r="BR791" s="1" t="s">
        <v>14735</v>
      </c>
      <c r="BS791" s="1">
        <v>14</v>
      </c>
      <c r="BT791" s="1"/>
      <c r="BU791" s="1" t="str">
        <f>HYPERLINK("https://nconnect.nicmar.ac.in/storage/profile/6a86c4495f3b6.png","Download")</f>
        <v>0</v>
      </c>
      <c r="BV791" s="3"/>
      <c r="BW791" s="3"/>
    </row>
    <row r="792" spans="1:75">
      <c r="A792" s="1" t="s">
        <v>75</v>
      </c>
      <c r="B792" s="1" t="s">
        <v>13976</v>
      </c>
      <c r="C792" s="1" t="s">
        <v>14736</v>
      </c>
      <c r="D792" s="1" t="s">
        <v>11111</v>
      </c>
      <c r="E792" s="1" t="s">
        <v>6912</v>
      </c>
      <c r="F792" s="1" t="s">
        <v>350</v>
      </c>
      <c r="G792" s="1" t="s">
        <v>14737</v>
      </c>
      <c r="H792" s="1" t="s">
        <v>14738</v>
      </c>
      <c r="I792" s="1" t="s">
        <v>14738</v>
      </c>
      <c r="J792" s="1">
        <v>8381081211</v>
      </c>
      <c r="K792" s="1" t="s">
        <v>84</v>
      </c>
      <c r="L792" s="1" t="s">
        <v>14739</v>
      </c>
      <c r="M792" s="1" t="s">
        <v>86</v>
      </c>
      <c r="N792" s="1" t="s">
        <v>14740</v>
      </c>
      <c r="O792" s="1" t="s">
        <v>14741</v>
      </c>
      <c r="P792" s="1" t="s">
        <v>219</v>
      </c>
      <c r="Q792" s="1">
        <v>993018877412</v>
      </c>
      <c r="R792" s="1" t="s">
        <v>14742</v>
      </c>
      <c r="S792" s="1">
        <v>9049620777</v>
      </c>
      <c r="T792" s="1" t="s">
        <v>13987</v>
      </c>
      <c r="U792" s="1" t="s">
        <v>14743</v>
      </c>
      <c r="V792" s="1">
        <v>8766733552</v>
      </c>
      <c r="W792" s="1" t="s">
        <v>3441</v>
      </c>
      <c r="X792" s="1" t="s">
        <v>14744</v>
      </c>
      <c r="Y792" s="1" t="s">
        <v>14745</v>
      </c>
      <c r="Z792" s="1" t="s">
        <v>97</v>
      </c>
      <c r="AA792" s="1" t="s">
        <v>14746</v>
      </c>
      <c r="AB792" s="1" t="s">
        <v>196</v>
      </c>
      <c r="AC792" s="1" t="s">
        <v>97</v>
      </c>
      <c r="AD792" s="1" t="s">
        <v>98</v>
      </c>
      <c r="AE792" s="1" t="s">
        <v>98</v>
      </c>
      <c r="AF792" s="1" t="s">
        <v>14747</v>
      </c>
      <c r="AG792" s="1" t="s">
        <v>14748</v>
      </c>
      <c r="AH792" s="1" t="s">
        <v>3285</v>
      </c>
      <c r="AI792" s="1" t="s">
        <v>133</v>
      </c>
      <c r="AJ792" s="1">
        <v>87.4</v>
      </c>
      <c r="AK792" s="1"/>
      <c r="AL792" s="1" t="s">
        <v>14749</v>
      </c>
      <c r="AM792" s="1" t="s">
        <v>14750</v>
      </c>
      <c r="AN792" s="1" t="s">
        <v>465</v>
      </c>
      <c r="AO792" s="1" t="s">
        <v>1213</v>
      </c>
      <c r="AP792" s="1" t="s">
        <v>101</v>
      </c>
      <c r="AQ792" s="1">
        <v>60.62</v>
      </c>
      <c r="AR792" s="1"/>
      <c r="AS792" s="1" t="s">
        <v>14158</v>
      </c>
      <c r="AT792" s="1" t="s">
        <v>14751</v>
      </c>
      <c r="AU792" s="1" t="s">
        <v>257</v>
      </c>
      <c r="AV792" s="1" t="s">
        <v>170</v>
      </c>
      <c r="AW792" s="1">
        <v>74.18</v>
      </c>
      <c r="AX792" s="1"/>
      <c r="AY792" s="1" t="s">
        <v>14752</v>
      </c>
      <c r="AZ792" s="1" t="s">
        <v>14753</v>
      </c>
      <c r="BA792" s="1" t="s">
        <v>466</v>
      </c>
      <c r="BB792" s="1" t="s">
        <v>467</v>
      </c>
      <c r="BC792" s="1" t="s">
        <v>206</v>
      </c>
      <c r="BD792" s="1" t="s">
        <v>110</v>
      </c>
      <c r="BE792" s="1">
        <v>85.7</v>
      </c>
      <c r="BF792" s="1">
        <v>9.07</v>
      </c>
      <c r="BG792" s="1"/>
      <c r="BH792" s="1"/>
      <c r="BI792" s="1"/>
      <c r="BJ792" s="1"/>
      <c r="BK792" s="1"/>
      <c r="BL792" s="1"/>
      <c r="BM792" s="1"/>
      <c r="BN792" s="1"/>
      <c r="BO792" s="1" t="s">
        <v>14382</v>
      </c>
      <c r="BP792" s="1" t="s">
        <v>14754</v>
      </c>
      <c r="BQ792" s="1" t="s">
        <v>1174</v>
      </c>
      <c r="BR792" s="1"/>
      <c r="BS792" s="1"/>
      <c r="BT792" s="1"/>
      <c r="BU792" s="1" t="str">
        <f>HYPERLINK("https://nconnect.nicmar.ac.in/storage/profile/6a86dc1e35251.png","Download")</f>
        <v>0</v>
      </c>
      <c r="BV792" s="3"/>
      <c r="BW792" s="3"/>
    </row>
    <row r="793" spans="1:75">
      <c r="A793" s="1" t="s">
        <v>75</v>
      </c>
      <c r="B793" s="1" t="s">
        <v>13976</v>
      </c>
      <c r="C793" s="1" t="s">
        <v>14755</v>
      </c>
      <c r="D793" s="1" t="s">
        <v>14756</v>
      </c>
      <c r="E793" s="1" t="s">
        <v>14757</v>
      </c>
      <c r="F793" s="1" t="s">
        <v>14758</v>
      </c>
      <c r="G793" s="1" t="s">
        <v>14759</v>
      </c>
      <c r="H793" s="1" t="s">
        <v>14760</v>
      </c>
      <c r="I793" s="1" t="s">
        <v>14760</v>
      </c>
      <c r="J793" s="1">
        <v>9356297383</v>
      </c>
      <c r="K793" s="1" t="s">
        <v>84</v>
      </c>
      <c r="L793" s="1" t="s">
        <v>14761</v>
      </c>
      <c r="M793" s="1" t="s">
        <v>86</v>
      </c>
      <c r="N793" s="1" t="s">
        <v>768</v>
      </c>
      <c r="O793" s="1" t="s">
        <v>14762</v>
      </c>
      <c r="P793" s="1" t="s">
        <v>89</v>
      </c>
      <c r="Q793" s="1">
        <v>788801293173</v>
      </c>
      <c r="R793" s="1" t="s">
        <v>14763</v>
      </c>
      <c r="S793" s="1">
        <v>9309587276</v>
      </c>
      <c r="T793" s="1" t="s">
        <v>13987</v>
      </c>
      <c r="U793" s="1" t="s">
        <v>14764</v>
      </c>
      <c r="V793" s="1">
        <v>8263911474</v>
      </c>
      <c r="W793" s="1" t="s">
        <v>14154</v>
      </c>
      <c r="X793" s="1" t="s">
        <v>14765</v>
      </c>
      <c r="Y793" s="1" t="s">
        <v>1033</v>
      </c>
      <c r="Z793" s="1" t="s">
        <v>97</v>
      </c>
      <c r="AA793" s="1" t="s">
        <v>14765</v>
      </c>
      <c r="AB793" s="1" t="s">
        <v>1033</v>
      </c>
      <c r="AC793" s="1" t="s">
        <v>97</v>
      </c>
      <c r="AD793" s="1" t="s">
        <v>98</v>
      </c>
      <c r="AE793" s="1" t="s">
        <v>98</v>
      </c>
      <c r="AF793" s="1" t="s">
        <v>14766</v>
      </c>
      <c r="AG793" s="1" t="s">
        <v>14767</v>
      </c>
      <c r="AH793" s="1" t="s">
        <v>438</v>
      </c>
      <c r="AI793" s="1" t="s">
        <v>417</v>
      </c>
      <c r="AJ793" s="1">
        <v>95.2</v>
      </c>
      <c r="AK793" s="1"/>
      <c r="AL793" s="1" t="s">
        <v>14768</v>
      </c>
      <c r="AM793" s="1" t="s">
        <v>38</v>
      </c>
      <c r="AN793" s="1" t="s">
        <v>465</v>
      </c>
      <c r="AO793" s="1" t="s">
        <v>847</v>
      </c>
      <c r="AP793" s="1" t="s">
        <v>289</v>
      </c>
      <c r="AQ793" s="1">
        <v>78.83</v>
      </c>
      <c r="AR793" s="1"/>
      <c r="AS793" s="1"/>
      <c r="AT793" s="1"/>
      <c r="AU793" s="1"/>
      <c r="AV793" s="1"/>
      <c r="AW793" s="1"/>
      <c r="AX793" s="1"/>
      <c r="AY793" s="1" t="s">
        <v>14262</v>
      </c>
      <c r="AZ793" s="1" t="s">
        <v>14769</v>
      </c>
      <c r="BA793" s="1" t="s">
        <v>466</v>
      </c>
      <c r="BB793" s="1" t="s">
        <v>467</v>
      </c>
      <c r="BC793" s="1" t="s">
        <v>1889</v>
      </c>
      <c r="BD793" s="1" t="s">
        <v>9688</v>
      </c>
      <c r="BE793" s="1">
        <v>61.26</v>
      </c>
      <c r="BF793" s="1"/>
      <c r="BG793" s="1"/>
      <c r="BH793" s="1"/>
      <c r="BI793" s="1"/>
      <c r="BJ793" s="1"/>
      <c r="BK793" s="1"/>
      <c r="BL793" s="1"/>
      <c r="BM793" s="1"/>
      <c r="BN793" s="1"/>
      <c r="BO793" s="1" t="s">
        <v>14770</v>
      </c>
      <c r="BP793" s="1"/>
      <c r="BQ793" s="1"/>
      <c r="BR793" s="1"/>
      <c r="BS793" s="1"/>
      <c r="BT793" s="1"/>
      <c r="BU793" s="1" t="str">
        <f>HYPERLINK("https://nconnect.nicmar.ac.in/storage/profile/6a85e4263fbc3.png","Download")</f>
        <v>0</v>
      </c>
      <c r="BV793" s="3"/>
      <c r="BW793" s="3"/>
    </row>
    <row r="794" spans="1:75">
      <c r="A794" s="1" t="s">
        <v>75</v>
      </c>
      <c r="B794" s="1" t="s">
        <v>13976</v>
      </c>
      <c r="C794" s="1" t="s">
        <v>14771</v>
      </c>
      <c r="D794" s="1" t="s">
        <v>14772</v>
      </c>
      <c r="E794" s="1" t="s">
        <v>14773</v>
      </c>
      <c r="F794" s="1" t="s">
        <v>14774</v>
      </c>
      <c r="G794" s="1" t="s">
        <v>14775</v>
      </c>
      <c r="H794" s="1" t="s">
        <v>14776</v>
      </c>
      <c r="I794" s="1" t="s">
        <v>14777</v>
      </c>
      <c r="J794" s="1">
        <v>7588637410</v>
      </c>
      <c r="K794" s="1" t="s">
        <v>84</v>
      </c>
      <c r="L794" s="1" t="s">
        <v>14778</v>
      </c>
      <c r="M794" s="1" t="s">
        <v>86</v>
      </c>
      <c r="N794" s="1" t="s">
        <v>14779</v>
      </c>
      <c r="O794" s="1" t="s">
        <v>14780</v>
      </c>
      <c r="P794" s="1" t="s">
        <v>122</v>
      </c>
      <c r="Q794" s="1" t="s">
        <v>14781</v>
      </c>
      <c r="R794" s="1" t="s">
        <v>14782</v>
      </c>
      <c r="S794" s="1">
        <v>7020207150</v>
      </c>
      <c r="T794" s="1" t="s">
        <v>14352</v>
      </c>
      <c r="U794" s="1" t="s">
        <v>14783</v>
      </c>
      <c r="V794" s="1">
        <v>9823399299</v>
      </c>
      <c r="W794" s="1" t="s">
        <v>14154</v>
      </c>
      <c r="X794" s="1" t="s">
        <v>14784</v>
      </c>
      <c r="Y794" s="1" t="s">
        <v>5181</v>
      </c>
      <c r="Z794" s="1" t="s">
        <v>97</v>
      </c>
      <c r="AA794" s="1" t="s">
        <v>14784</v>
      </c>
      <c r="AB794" s="1" t="s">
        <v>5181</v>
      </c>
      <c r="AC794" s="1" t="s">
        <v>97</v>
      </c>
      <c r="AD794" s="1" t="s">
        <v>98</v>
      </c>
      <c r="AE794" s="1" t="s">
        <v>98</v>
      </c>
      <c r="AF794" s="1" t="s">
        <v>14785</v>
      </c>
      <c r="AG794" s="1" t="s">
        <v>14786</v>
      </c>
      <c r="AH794" s="1" t="s">
        <v>315</v>
      </c>
      <c r="AI794" s="1" t="s">
        <v>603</v>
      </c>
      <c r="AJ794" s="1">
        <v>84</v>
      </c>
      <c r="AK794" s="1"/>
      <c r="AL794" s="1"/>
      <c r="AM794" s="1"/>
      <c r="AN794" s="1"/>
      <c r="AO794" s="1"/>
      <c r="AP794" s="1"/>
      <c r="AQ794" s="1"/>
      <c r="AR794" s="1"/>
      <c r="AS794" s="1" t="s">
        <v>14787</v>
      </c>
      <c r="AT794" s="1" t="s">
        <v>14788</v>
      </c>
      <c r="AU794" s="1" t="s">
        <v>368</v>
      </c>
      <c r="AV794" s="1" t="s">
        <v>234</v>
      </c>
      <c r="AW794" s="1">
        <v>68.84</v>
      </c>
      <c r="AX794" s="1"/>
      <c r="AY794" s="1" t="s">
        <v>14789</v>
      </c>
      <c r="AZ794" s="1" t="s">
        <v>14790</v>
      </c>
      <c r="BA794" s="1" t="s">
        <v>466</v>
      </c>
      <c r="BB794" s="1" t="s">
        <v>467</v>
      </c>
      <c r="BC794" s="1" t="s">
        <v>179</v>
      </c>
      <c r="BD794" s="1" t="s">
        <v>14514</v>
      </c>
      <c r="BE794" s="1">
        <v>62.23</v>
      </c>
      <c r="BF794" s="1">
        <v>6.51</v>
      </c>
      <c r="BG794" s="1"/>
      <c r="BH794" s="1"/>
      <c r="BI794" s="1"/>
      <c r="BJ794" s="1"/>
      <c r="BK794" s="1"/>
      <c r="BL794" s="1"/>
      <c r="BM794" s="1"/>
      <c r="BN794" s="1"/>
      <c r="BO794" s="1" t="s">
        <v>14791</v>
      </c>
      <c r="BP794" s="1"/>
      <c r="BQ794" s="1"/>
      <c r="BR794" s="1"/>
      <c r="BS794" s="1"/>
      <c r="BT794" s="1"/>
      <c r="BU794" s="1" t="str">
        <f>HYPERLINK("https://nconnect.nicmar.ac.in/storage/profile/6a85686d90cad.png","Download")</f>
        <v>0</v>
      </c>
      <c r="BV794" s="3"/>
      <c r="BW794" s="3"/>
    </row>
    <row r="795" spans="1:75">
      <c r="A795" s="1" t="s">
        <v>75</v>
      </c>
      <c r="B795" s="1" t="s">
        <v>13976</v>
      </c>
      <c r="C795" s="1" t="s">
        <v>14792</v>
      </c>
      <c r="D795" s="1" t="s">
        <v>14793</v>
      </c>
      <c r="E795" s="1"/>
      <c r="F795" s="1" t="s">
        <v>14794</v>
      </c>
      <c r="G795" s="1" t="s">
        <v>14795</v>
      </c>
      <c r="H795" s="1" t="s">
        <v>14796</v>
      </c>
      <c r="I795" s="1" t="s">
        <v>14796</v>
      </c>
      <c r="J795" s="1">
        <v>9643897557</v>
      </c>
      <c r="K795" s="1" t="s">
        <v>153</v>
      </c>
      <c r="L795" s="1" t="s">
        <v>14797</v>
      </c>
      <c r="M795" s="1" t="s">
        <v>86</v>
      </c>
      <c r="N795" s="1" t="s">
        <v>355</v>
      </c>
      <c r="O795" s="1" t="s">
        <v>14798</v>
      </c>
      <c r="P795" s="1" t="s">
        <v>122</v>
      </c>
      <c r="Q795" s="1">
        <v>384772145455</v>
      </c>
      <c r="R795" s="1" t="s">
        <v>14799</v>
      </c>
      <c r="S795" s="1">
        <v>9205036118</v>
      </c>
      <c r="T795" s="1" t="s">
        <v>14800</v>
      </c>
      <c r="U795" s="1" t="s">
        <v>14801</v>
      </c>
      <c r="V795" s="1">
        <v>9266201266</v>
      </c>
      <c r="W795" s="1" t="s">
        <v>14802</v>
      </c>
      <c r="X795" s="1" t="s">
        <v>14803</v>
      </c>
      <c r="Y795" s="1" t="s">
        <v>14804</v>
      </c>
      <c r="Z795" s="1" t="s">
        <v>1739</v>
      </c>
      <c r="AA795" s="1" t="s">
        <v>14803</v>
      </c>
      <c r="AB795" s="1" t="s">
        <v>14804</v>
      </c>
      <c r="AC795" s="1" t="s">
        <v>1739</v>
      </c>
      <c r="AD795" s="1" t="s">
        <v>98</v>
      </c>
      <c r="AE795" s="1" t="s">
        <v>98</v>
      </c>
      <c r="AF795" s="1" t="s">
        <v>14805</v>
      </c>
      <c r="AG795" s="1" t="s">
        <v>1739</v>
      </c>
      <c r="AH795" s="1" t="s">
        <v>284</v>
      </c>
      <c r="AI795" s="1" t="s">
        <v>200</v>
      </c>
      <c r="AJ795" s="1">
        <v>95</v>
      </c>
      <c r="AK795" s="1">
        <v>10</v>
      </c>
      <c r="AL795" s="1" t="s">
        <v>14805</v>
      </c>
      <c r="AM795" s="1" t="s">
        <v>1739</v>
      </c>
      <c r="AN795" s="1" t="s">
        <v>575</v>
      </c>
      <c r="AO795" s="1" t="s">
        <v>490</v>
      </c>
      <c r="AP795" s="1" t="s">
        <v>414</v>
      </c>
      <c r="AQ795" s="1">
        <v>90.6</v>
      </c>
      <c r="AR795" s="1"/>
      <c r="AS795" s="1"/>
      <c r="AT795" s="1"/>
      <c r="AU795" s="1"/>
      <c r="AV795" s="1"/>
      <c r="AW795" s="1"/>
      <c r="AX795" s="1"/>
      <c r="AY795" s="1" t="s">
        <v>14806</v>
      </c>
      <c r="AZ795" s="1" t="s">
        <v>14807</v>
      </c>
      <c r="BA795" s="1" t="s">
        <v>682</v>
      </c>
      <c r="BB795" s="1" t="s">
        <v>1561</v>
      </c>
      <c r="BC795" s="1" t="s">
        <v>109</v>
      </c>
      <c r="BD795" s="1" t="s">
        <v>207</v>
      </c>
      <c r="BE795" s="1">
        <v>87.8</v>
      </c>
      <c r="BF795" s="1">
        <v>8.78</v>
      </c>
      <c r="BG795" s="1"/>
      <c r="BH795" s="1"/>
      <c r="BI795" s="1"/>
      <c r="BJ795" s="1"/>
      <c r="BK795" s="1"/>
      <c r="BL795" s="1"/>
      <c r="BM795" s="1"/>
      <c r="BN795" s="1"/>
      <c r="BO795" s="1" t="s">
        <v>14808</v>
      </c>
      <c r="BP795" s="1" t="s">
        <v>14809</v>
      </c>
      <c r="BQ795" s="1" t="s">
        <v>6365</v>
      </c>
      <c r="BR795" s="1"/>
      <c r="BS795" s="1"/>
      <c r="BT795" s="1"/>
      <c r="BU795" s="1" t="str">
        <f>HYPERLINK("https://nconnect.nicmar.ac.in/storage/profile/6a86a8f292a2a.png","Download")</f>
        <v>0</v>
      </c>
      <c r="BV795" s="3"/>
      <c r="BW795" s="3"/>
    </row>
    <row r="796" spans="1:75">
      <c r="A796" s="1" t="s">
        <v>75</v>
      </c>
      <c r="B796" s="1" t="s">
        <v>13976</v>
      </c>
      <c r="C796" s="1" t="s">
        <v>14810</v>
      </c>
      <c r="D796" s="1" t="s">
        <v>14811</v>
      </c>
      <c r="E796" s="1" t="s">
        <v>14812</v>
      </c>
      <c r="F796" s="1" t="s">
        <v>14813</v>
      </c>
      <c r="G796" s="1" t="s">
        <v>14814</v>
      </c>
      <c r="H796" s="1" t="s">
        <v>14815</v>
      </c>
      <c r="I796" s="1" t="s">
        <v>14816</v>
      </c>
      <c r="J796" s="1">
        <v>9373227823</v>
      </c>
      <c r="K796" s="1" t="s">
        <v>84</v>
      </c>
      <c r="L796" s="1" t="s">
        <v>14817</v>
      </c>
      <c r="M796" s="1" t="s">
        <v>86</v>
      </c>
      <c r="N796" s="1" t="s">
        <v>14818</v>
      </c>
      <c r="O796" s="1" t="s">
        <v>14819</v>
      </c>
      <c r="P796" s="1" t="s">
        <v>219</v>
      </c>
      <c r="Q796" s="1">
        <v>212311834644</v>
      </c>
      <c r="R796" s="1" t="s">
        <v>14820</v>
      </c>
      <c r="S796" s="1">
        <v>8308656060</v>
      </c>
      <c r="T796" s="1" t="s">
        <v>14821</v>
      </c>
      <c r="U796" s="1" t="s">
        <v>14822</v>
      </c>
      <c r="V796" s="1">
        <v>8308656060</v>
      </c>
      <c r="W796" s="1" t="s">
        <v>14823</v>
      </c>
      <c r="X796" s="1" t="s">
        <v>14824</v>
      </c>
      <c r="Y796" s="1" t="s">
        <v>196</v>
      </c>
      <c r="Z796" s="1" t="s">
        <v>97</v>
      </c>
      <c r="AA796" s="1" t="s">
        <v>14824</v>
      </c>
      <c r="AB796" s="1" t="s">
        <v>196</v>
      </c>
      <c r="AC796" s="1" t="s">
        <v>97</v>
      </c>
      <c r="AD796" s="1" t="s">
        <v>98</v>
      </c>
      <c r="AE796" s="1" t="s">
        <v>98</v>
      </c>
      <c r="AF796" s="1" t="s">
        <v>14825</v>
      </c>
      <c r="AG796" s="1" t="s">
        <v>14826</v>
      </c>
      <c r="AH796" s="1" t="s">
        <v>167</v>
      </c>
      <c r="AI796" s="1" t="s">
        <v>200</v>
      </c>
      <c r="AJ796" s="1">
        <v>79.8</v>
      </c>
      <c r="AK796" s="1"/>
      <c r="AL796" s="1" t="s">
        <v>14827</v>
      </c>
      <c r="AM796" s="1" t="s">
        <v>14826</v>
      </c>
      <c r="AN796" s="1" t="s">
        <v>465</v>
      </c>
      <c r="AO796" s="1" t="s">
        <v>106</v>
      </c>
      <c r="AP796" s="1" t="s">
        <v>203</v>
      </c>
      <c r="AQ796" s="1">
        <v>74.92</v>
      </c>
      <c r="AR796" s="1"/>
      <c r="AS796" s="1"/>
      <c r="AT796" s="1"/>
      <c r="AU796" s="1"/>
      <c r="AV796" s="1"/>
      <c r="AW796" s="1"/>
      <c r="AX796" s="1"/>
      <c r="AY796" s="1" t="s">
        <v>14828</v>
      </c>
      <c r="AZ796" s="1" t="s">
        <v>14829</v>
      </c>
      <c r="BA796" s="1" t="s">
        <v>578</v>
      </c>
      <c r="BB796" s="1" t="s">
        <v>467</v>
      </c>
      <c r="BC796" s="1" t="s">
        <v>206</v>
      </c>
      <c r="BD796" s="1" t="s">
        <v>579</v>
      </c>
      <c r="BE796" s="1">
        <v>68.7</v>
      </c>
      <c r="BF796" s="1">
        <v>7.62</v>
      </c>
      <c r="BG796" s="1"/>
      <c r="BH796" s="1"/>
      <c r="BI796" s="1"/>
      <c r="BJ796" s="1"/>
      <c r="BK796" s="1"/>
      <c r="BL796" s="1"/>
      <c r="BM796" s="1"/>
      <c r="BN796" s="1"/>
      <c r="BO796" s="1" t="s">
        <v>14830</v>
      </c>
      <c r="BP796" s="1" t="s">
        <v>14831</v>
      </c>
      <c r="BQ796" s="1" t="s">
        <v>8862</v>
      </c>
      <c r="BR796" s="1"/>
      <c r="BS796" s="1"/>
      <c r="BT796" s="1"/>
      <c r="BU796" s="1" t="str">
        <f>HYPERLINK("https://nconnect.nicmar.ac.in/storage/profile/6a85eabea61a3.png","Download")</f>
        <v>0</v>
      </c>
      <c r="BV796" s="3"/>
      <c r="BW796" s="3"/>
    </row>
    <row r="797" spans="1:75">
      <c r="A797" s="1" t="s">
        <v>75</v>
      </c>
      <c r="B797" s="1" t="s">
        <v>13976</v>
      </c>
      <c r="C797" s="1" t="s">
        <v>14832</v>
      </c>
      <c r="D797" s="1" t="s">
        <v>3998</v>
      </c>
      <c r="E797" s="1"/>
      <c r="F797" s="1" t="s">
        <v>14833</v>
      </c>
      <c r="G797" s="1" t="s">
        <v>14834</v>
      </c>
      <c r="H797" s="1" t="s">
        <v>14835</v>
      </c>
      <c r="I797" s="1" t="s">
        <v>14835</v>
      </c>
      <c r="J797" s="1">
        <v>8157917268</v>
      </c>
      <c r="K797" s="1" t="s">
        <v>84</v>
      </c>
      <c r="L797" s="1" t="s">
        <v>14836</v>
      </c>
      <c r="M797" s="1" t="s">
        <v>86</v>
      </c>
      <c r="N797" s="1" t="s">
        <v>11866</v>
      </c>
      <c r="O797" s="1" t="s">
        <v>14837</v>
      </c>
      <c r="P797" s="1" t="s">
        <v>122</v>
      </c>
      <c r="Q797" s="1">
        <v>336796793987</v>
      </c>
      <c r="R797" s="1" t="s">
        <v>14838</v>
      </c>
      <c r="S797" s="1">
        <v>9447503409</v>
      </c>
      <c r="T797" s="1" t="s">
        <v>14839</v>
      </c>
      <c r="U797" s="1" t="s">
        <v>14840</v>
      </c>
      <c r="V797" s="1">
        <v>9400674932</v>
      </c>
      <c r="W797" s="1" t="s">
        <v>5507</v>
      </c>
      <c r="X797" s="1" t="s">
        <v>14841</v>
      </c>
      <c r="Y797" s="1" t="s">
        <v>5313</v>
      </c>
      <c r="Z797" s="1" t="s">
        <v>130</v>
      </c>
      <c r="AA797" s="1" t="s">
        <v>14841</v>
      </c>
      <c r="AB797" s="1" t="s">
        <v>5313</v>
      </c>
      <c r="AC797" s="1" t="s">
        <v>130</v>
      </c>
      <c r="AD797" s="1" t="s">
        <v>98</v>
      </c>
      <c r="AE797" s="1" t="s">
        <v>98</v>
      </c>
      <c r="AF797" s="1" t="s">
        <v>14842</v>
      </c>
      <c r="AG797" s="1" t="s">
        <v>6594</v>
      </c>
      <c r="AH797" s="1" t="s">
        <v>167</v>
      </c>
      <c r="AI797" s="1" t="s">
        <v>170</v>
      </c>
      <c r="AJ797" s="1">
        <v>91.2</v>
      </c>
      <c r="AK797" s="1">
        <v>9.6</v>
      </c>
      <c r="AL797" s="1" t="s">
        <v>14843</v>
      </c>
      <c r="AM797" s="1" t="s">
        <v>14844</v>
      </c>
      <c r="AN797" s="1" t="s">
        <v>575</v>
      </c>
      <c r="AO797" s="1" t="s">
        <v>174</v>
      </c>
      <c r="AP797" s="1" t="s">
        <v>313</v>
      </c>
      <c r="AQ797" s="1">
        <v>86</v>
      </c>
      <c r="AR797" s="1">
        <v>8.6</v>
      </c>
      <c r="AS797" s="1"/>
      <c r="AT797" s="1"/>
      <c r="AU797" s="1"/>
      <c r="AV797" s="1"/>
      <c r="AW797" s="1"/>
      <c r="AX797" s="1"/>
      <c r="AY797" s="1" t="s">
        <v>137</v>
      </c>
      <c r="AZ797" s="1" t="s">
        <v>14845</v>
      </c>
      <c r="BA797" s="1" t="s">
        <v>466</v>
      </c>
      <c r="BB797" s="1" t="s">
        <v>467</v>
      </c>
      <c r="BC797" s="1" t="s">
        <v>315</v>
      </c>
      <c r="BD797" s="1" t="s">
        <v>234</v>
      </c>
      <c r="BE797" s="1">
        <v>75.5</v>
      </c>
      <c r="BF797" s="1">
        <v>7.55</v>
      </c>
      <c r="BG797" s="1" t="s">
        <v>137</v>
      </c>
      <c r="BH797" s="1" t="s">
        <v>14846</v>
      </c>
      <c r="BI797" s="1" t="s">
        <v>2209</v>
      </c>
      <c r="BJ797" s="1" t="s">
        <v>1585</v>
      </c>
      <c r="BK797" s="1" t="s">
        <v>1268</v>
      </c>
      <c r="BL797" s="1" t="s">
        <v>9688</v>
      </c>
      <c r="BM797" s="1">
        <v>86.5</v>
      </c>
      <c r="BN797" s="1">
        <v>8.65</v>
      </c>
      <c r="BO797" s="1" t="s">
        <v>14847</v>
      </c>
      <c r="BP797" s="1"/>
      <c r="BQ797" s="1"/>
      <c r="BR797" s="1" t="s">
        <v>14848</v>
      </c>
      <c r="BS797" s="1">
        <v>7</v>
      </c>
      <c r="BT797" s="1" t="s">
        <v>14849</v>
      </c>
      <c r="BU797" s="1" t="str">
        <f>HYPERLINK("https://nconnect.nicmar.ac.in/storage/profile/6a8690e4bd991.png","Download")</f>
        <v>0</v>
      </c>
      <c r="BV797" s="3"/>
      <c r="BW797" s="3"/>
    </row>
    <row r="798" spans="1:75">
      <c r="A798" s="1" t="s">
        <v>75</v>
      </c>
      <c r="B798" s="1" t="s">
        <v>13976</v>
      </c>
      <c r="C798" s="1" t="s">
        <v>14850</v>
      </c>
      <c r="D798" s="1" t="s">
        <v>14851</v>
      </c>
      <c r="E798" s="1" t="s">
        <v>14852</v>
      </c>
      <c r="F798" s="1" t="s">
        <v>14853</v>
      </c>
      <c r="G798" s="1" t="s">
        <v>14854</v>
      </c>
      <c r="H798" s="1" t="s">
        <v>14855</v>
      </c>
      <c r="I798" s="1" t="s">
        <v>14856</v>
      </c>
      <c r="J798" s="1">
        <v>7264967985</v>
      </c>
      <c r="K798" s="1" t="s">
        <v>84</v>
      </c>
      <c r="L798" s="1" t="s">
        <v>1051</v>
      </c>
      <c r="M798" s="1" t="s">
        <v>86</v>
      </c>
      <c r="N798" s="1" t="s">
        <v>14857</v>
      </c>
      <c r="O798" s="1" t="s">
        <v>14858</v>
      </c>
      <c r="P798" s="1" t="s">
        <v>356</v>
      </c>
      <c r="Q798" s="1" t="s">
        <v>14859</v>
      </c>
      <c r="R798" s="1" t="s">
        <v>14860</v>
      </c>
      <c r="S798" s="1">
        <v>9021170798</v>
      </c>
      <c r="T798" s="1" t="s">
        <v>3439</v>
      </c>
      <c r="U798" s="1" t="s">
        <v>14861</v>
      </c>
      <c r="V798" s="1">
        <v>7208590708</v>
      </c>
      <c r="W798" s="1" t="s">
        <v>10306</v>
      </c>
      <c r="X798" s="1" t="s">
        <v>14862</v>
      </c>
      <c r="Y798" s="1" t="s">
        <v>251</v>
      </c>
      <c r="Z798" s="1" t="s">
        <v>97</v>
      </c>
      <c r="AA798" s="1" t="s">
        <v>14862</v>
      </c>
      <c r="AB798" s="1" t="s">
        <v>251</v>
      </c>
      <c r="AC798" s="1" t="s">
        <v>97</v>
      </c>
      <c r="AD798" s="1" t="s">
        <v>98</v>
      </c>
      <c r="AE798" s="1" t="s">
        <v>98</v>
      </c>
      <c r="AF798" s="1" t="s">
        <v>14863</v>
      </c>
      <c r="AG798" s="1" t="s">
        <v>14238</v>
      </c>
      <c r="AH798" s="1" t="s">
        <v>627</v>
      </c>
      <c r="AI798" s="1" t="s">
        <v>170</v>
      </c>
      <c r="AJ798" s="1">
        <v>79.6</v>
      </c>
      <c r="AK798" s="1"/>
      <c r="AL798" s="1"/>
      <c r="AM798" s="1"/>
      <c r="AN798" s="1"/>
      <c r="AO798" s="1"/>
      <c r="AP798" s="1"/>
      <c r="AQ798" s="1"/>
      <c r="AR798" s="1"/>
      <c r="AS798" s="1" t="s">
        <v>14158</v>
      </c>
      <c r="AT798" s="1" t="s">
        <v>14864</v>
      </c>
      <c r="AU798" s="1" t="s">
        <v>230</v>
      </c>
      <c r="AV798" s="1" t="s">
        <v>175</v>
      </c>
      <c r="AW798" s="1">
        <v>78.37</v>
      </c>
      <c r="AX798" s="1"/>
      <c r="AY798" s="1" t="s">
        <v>14380</v>
      </c>
      <c r="AZ798" s="1" t="s">
        <v>14865</v>
      </c>
      <c r="BA798" s="1" t="s">
        <v>578</v>
      </c>
      <c r="BB798" s="1" t="s">
        <v>467</v>
      </c>
      <c r="BC798" s="1" t="s">
        <v>368</v>
      </c>
      <c r="BD798" s="1" t="s">
        <v>14866</v>
      </c>
      <c r="BE798" s="1">
        <v>63.14</v>
      </c>
      <c r="BF798" s="1"/>
      <c r="BG798" s="1"/>
      <c r="BH798" s="1"/>
      <c r="BI798" s="1"/>
      <c r="BJ798" s="1"/>
      <c r="BK798" s="1"/>
      <c r="BL798" s="1"/>
      <c r="BM798" s="1"/>
      <c r="BN798" s="1"/>
      <c r="BO798" s="1" t="s">
        <v>14867</v>
      </c>
      <c r="BP798" s="1" t="s">
        <v>14868</v>
      </c>
      <c r="BQ798" s="1" t="s">
        <v>2577</v>
      </c>
      <c r="BR798" s="1"/>
      <c r="BS798" s="1"/>
      <c r="BT798" s="1"/>
      <c r="BU798" s="1" t="str">
        <f>HYPERLINK("https://nconnect.nicmar.ac.in/storage/profile/6a871ee89a3c0.png","Download")</f>
        <v>0</v>
      </c>
      <c r="BV798" s="3"/>
      <c r="BW798" s="3"/>
    </row>
    <row r="799" spans="1:75">
      <c r="A799" s="1" t="s">
        <v>75</v>
      </c>
      <c r="B799" s="1" t="s">
        <v>13976</v>
      </c>
      <c r="C799" s="1" t="s">
        <v>14869</v>
      </c>
      <c r="D799" s="1" t="s">
        <v>14870</v>
      </c>
      <c r="E799" s="1" t="s">
        <v>14871</v>
      </c>
      <c r="F799" s="1" t="s">
        <v>14872</v>
      </c>
      <c r="G799" s="1" t="s">
        <v>14873</v>
      </c>
      <c r="H799" s="1" t="s">
        <v>14874</v>
      </c>
      <c r="I799" s="1" t="s">
        <v>14874</v>
      </c>
      <c r="J799" s="1">
        <v>8421109353</v>
      </c>
      <c r="K799" s="1" t="s">
        <v>84</v>
      </c>
      <c r="L799" s="1" t="s">
        <v>14875</v>
      </c>
      <c r="M799" s="1" t="s">
        <v>86</v>
      </c>
      <c r="N799" s="1" t="s">
        <v>14876</v>
      </c>
      <c r="O799" s="1" t="s">
        <v>14877</v>
      </c>
      <c r="P799" s="1" t="s">
        <v>89</v>
      </c>
      <c r="Q799" s="1">
        <v>469063973193</v>
      </c>
      <c r="R799" s="1" t="s">
        <v>14878</v>
      </c>
      <c r="S799" s="1">
        <v>9823054353</v>
      </c>
      <c r="T799" s="1" t="s">
        <v>3439</v>
      </c>
      <c r="U799" s="1" t="s">
        <v>14879</v>
      </c>
      <c r="V799" s="1">
        <v>9823258353</v>
      </c>
      <c r="W799" s="1" t="s">
        <v>14880</v>
      </c>
      <c r="X799" s="1" t="s">
        <v>14881</v>
      </c>
      <c r="Y799" s="1" t="s">
        <v>410</v>
      </c>
      <c r="Z799" s="1" t="s">
        <v>97</v>
      </c>
      <c r="AA799" s="1" t="s">
        <v>14881</v>
      </c>
      <c r="AB799" s="1" t="s">
        <v>410</v>
      </c>
      <c r="AC799" s="1" t="s">
        <v>97</v>
      </c>
      <c r="AD799" s="1" t="s">
        <v>98</v>
      </c>
      <c r="AE799" s="1" t="s">
        <v>98</v>
      </c>
      <c r="AF799" s="1" t="s">
        <v>14882</v>
      </c>
      <c r="AG799" s="1" t="s">
        <v>14883</v>
      </c>
      <c r="AH799" s="1" t="s">
        <v>315</v>
      </c>
      <c r="AI799" s="1" t="s">
        <v>178</v>
      </c>
      <c r="AJ799" s="1">
        <v>86.2</v>
      </c>
      <c r="AK799" s="1"/>
      <c r="AL799" s="1" t="s">
        <v>14882</v>
      </c>
      <c r="AM799" s="1" t="s">
        <v>14883</v>
      </c>
      <c r="AN799" s="1" t="s">
        <v>465</v>
      </c>
      <c r="AO799" s="1" t="s">
        <v>178</v>
      </c>
      <c r="AP799" s="1" t="s">
        <v>1400</v>
      </c>
      <c r="AQ799" s="1">
        <v>67.2</v>
      </c>
      <c r="AR799" s="1"/>
      <c r="AS799" s="1"/>
      <c r="AT799" s="1"/>
      <c r="AU799" s="1"/>
      <c r="AV799" s="1"/>
      <c r="AW799" s="1"/>
      <c r="AX799" s="1"/>
      <c r="AY799" s="1" t="s">
        <v>14884</v>
      </c>
      <c r="AZ799" s="1" t="s">
        <v>14885</v>
      </c>
      <c r="BA799" s="1" t="s">
        <v>466</v>
      </c>
      <c r="BB799" s="1" t="s">
        <v>467</v>
      </c>
      <c r="BC799" s="1" t="s">
        <v>1400</v>
      </c>
      <c r="BD799" s="1" t="s">
        <v>9688</v>
      </c>
      <c r="BE799" s="1">
        <v>66.11</v>
      </c>
      <c r="BF799" s="1">
        <v>7.36</v>
      </c>
      <c r="BG799" s="1"/>
      <c r="BH799" s="1"/>
      <c r="BI799" s="1"/>
      <c r="BJ799" s="1"/>
      <c r="BK799" s="1"/>
      <c r="BL799" s="1"/>
      <c r="BM799" s="1"/>
      <c r="BN799" s="1"/>
      <c r="BO799" s="1" t="s">
        <v>14886</v>
      </c>
      <c r="BP799" s="1"/>
      <c r="BQ799" s="1"/>
      <c r="BR799" s="1"/>
      <c r="BS799" s="1"/>
      <c r="BT799" s="1"/>
      <c r="BU799" s="1" t="str">
        <f>HYPERLINK("https://nconnect.nicmar.ac.in/storage/profile/6a86b905da0ac.png","Download")</f>
        <v>0</v>
      </c>
      <c r="BV799" s="3"/>
      <c r="BW799" s="3"/>
    </row>
    <row r="800" spans="1:75">
      <c r="A800" s="1" t="s">
        <v>75</v>
      </c>
      <c r="B800" s="1" t="s">
        <v>13976</v>
      </c>
      <c r="C800" s="1" t="s">
        <v>14887</v>
      </c>
      <c r="D800" s="1" t="s">
        <v>1136</v>
      </c>
      <c r="E800" s="1" t="s">
        <v>4331</v>
      </c>
      <c r="F800" s="1" t="s">
        <v>147</v>
      </c>
      <c r="G800" s="1" t="s">
        <v>14888</v>
      </c>
      <c r="H800" s="1" t="s">
        <v>14889</v>
      </c>
      <c r="I800" s="1" t="s">
        <v>14890</v>
      </c>
      <c r="J800" s="1">
        <v>8380084765</v>
      </c>
      <c r="K800" s="1" t="s">
        <v>84</v>
      </c>
      <c r="L800" s="1" t="s">
        <v>14891</v>
      </c>
      <c r="M800" s="1" t="s">
        <v>86</v>
      </c>
      <c r="N800" s="1" t="s">
        <v>13516</v>
      </c>
      <c r="O800" s="1" t="s">
        <v>14892</v>
      </c>
      <c r="P800" s="1" t="s">
        <v>219</v>
      </c>
      <c r="Q800" s="1">
        <v>709412476518</v>
      </c>
      <c r="R800" s="1" t="s">
        <v>14893</v>
      </c>
      <c r="S800" s="1">
        <v>9403498171</v>
      </c>
      <c r="T800" s="1" t="s">
        <v>125</v>
      </c>
      <c r="U800" s="1" t="s">
        <v>14894</v>
      </c>
      <c r="V800" s="1">
        <v>9404831124</v>
      </c>
      <c r="W800" s="1" t="s">
        <v>127</v>
      </c>
      <c r="X800" s="1" t="s">
        <v>14895</v>
      </c>
      <c r="Y800" s="1" t="s">
        <v>196</v>
      </c>
      <c r="Z800" s="1" t="s">
        <v>97</v>
      </c>
      <c r="AA800" s="1" t="s">
        <v>14896</v>
      </c>
      <c r="AB800" s="1" t="s">
        <v>196</v>
      </c>
      <c r="AC800" s="1" t="s">
        <v>97</v>
      </c>
      <c r="AD800" s="1" t="s">
        <v>98</v>
      </c>
      <c r="AE800" s="1" t="s">
        <v>98</v>
      </c>
      <c r="AF800" s="1" t="s">
        <v>14897</v>
      </c>
      <c r="AG800" s="1" t="s">
        <v>14898</v>
      </c>
      <c r="AH800" s="1" t="s">
        <v>801</v>
      </c>
      <c r="AI800" s="1" t="s">
        <v>573</v>
      </c>
      <c r="AJ800" s="1">
        <v>78.8</v>
      </c>
      <c r="AK800" s="1">
        <v>8.29</v>
      </c>
      <c r="AL800" s="1" t="s">
        <v>14899</v>
      </c>
      <c r="AM800" s="1" t="s">
        <v>14900</v>
      </c>
      <c r="AN800" s="1" t="s">
        <v>465</v>
      </c>
      <c r="AO800" s="1" t="s">
        <v>170</v>
      </c>
      <c r="AP800" s="1" t="s">
        <v>313</v>
      </c>
      <c r="AQ800" s="1">
        <v>61.54</v>
      </c>
      <c r="AR800" s="1">
        <v>6.47</v>
      </c>
      <c r="AS800" s="1"/>
      <c r="AT800" s="1"/>
      <c r="AU800" s="1"/>
      <c r="AV800" s="1"/>
      <c r="AW800" s="1"/>
      <c r="AX800" s="1"/>
      <c r="AY800" s="1" t="s">
        <v>14901</v>
      </c>
      <c r="AZ800" s="1" t="s">
        <v>14902</v>
      </c>
      <c r="BA800" s="1" t="s">
        <v>466</v>
      </c>
      <c r="BB800" s="1" t="s">
        <v>467</v>
      </c>
      <c r="BC800" s="1" t="s">
        <v>1192</v>
      </c>
      <c r="BD800" s="1" t="s">
        <v>14903</v>
      </c>
      <c r="BE800" s="1">
        <v>61.41</v>
      </c>
      <c r="BF800" s="1">
        <v>6.9</v>
      </c>
      <c r="BG800" s="1"/>
      <c r="BH800" s="1"/>
      <c r="BI800" s="1"/>
      <c r="BJ800" s="1"/>
      <c r="BK800" s="1"/>
      <c r="BL800" s="1"/>
      <c r="BM800" s="1"/>
      <c r="BN800" s="1"/>
      <c r="BO800" s="1" t="s">
        <v>14904</v>
      </c>
      <c r="BP800" s="1" t="s">
        <v>14905</v>
      </c>
      <c r="BQ800" s="1" t="s">
        <v>1482</v>
      </c>
      <c r="BR800" s="1"/>
      <c r="BS800" s="1"/>
      <c r="BT800" s="1"/>
      <c r="BU800" s="1" t="s">
        <v>9653</v>
      </c>
      <c r="BV800" s="3"/>
      <c r="BW800" s="3"/>
    </row>
    <row r="801" spans="1:75">
      <c r="A801" s="1" t="s">
        <v>75</v>
      </c>
      <c r="B801" s="1" t="s">
        <v>13976</v>
      </c>
      <c r="C801" s="1" t="s">
        <v>14906</v>
      </c>
      <c r="D801" s="1" t="s">
        <v>14907</v>
      </c>
      <c r="E801" s="1"/>
      <c r="F801" s="1" t="s">
        <v>14908</v>
      </c>
      <c r="G801" s="1" t="s">
        <v>14909</v>
      </c>
      <c r="H801" s="1" t="s">
        <v>14910</v>
      </c>
      <c r="I801" s="1" t="s">
        <v>14911</v>
      </c>
      <c r="J801" s="1">
        <v>8882422346</v>
      </c>
      <c r="K801" s="1" t="s">
        <v>84</v>
      </c>
      <c r="L801" s="1" t="s">
        <v>14912</v>
      </c>
      <c r="M801" s="1" t="s">
        <v>86</v>
      </c>
      <c r="N801" s="1" t="s">
        <v>4857</v>
      </c>
      <c r="O801" s="1" t="s">
        <v>14913</v>
      </c>
      <c r="P801" s="1" t="s">
        <v>356</v>
      </c>
      <c r="Q801" s="1">
        <v>268878347996</v>
      </c>
      <c r="R801" s="1" t="s">
        <v>14914</v>
      </c>
      <c r="S801" s="1">
        <v>6394429666</v>
      </c>
      <c r="T801" s="1" t="s">
        <v>14915</v>
      </c>
      <c r="U801" s="1" t="s">
        <v>14916</v>
      </c>
      <c r="V801" s="1">
        <v>9045395068</v>
      </c>
      <c r="W801" s="1" t="s">
        <v>9679</v>
      </c>
      <c r="X801" s="1" t="s">
        <v>14917</v>
      </c>
      <c r="Y801" s="1" t="s">
        <v>4959</v>
      </c>
      <c r="Z801" s="1" t="s">
        <v>544</v>
      </c>
      <c r="AA801" s="1" t="s">
        <v>14917</v>
      </c>
      <c r="AB801" s="1" t="s">
        <v>4959</v>
      </c>
      <c r="AC801" s="1" t="s">
        <v>544</v>
      </c>
      <c r="AD801" s="1" t="s">
        <v>98</v>
      </c>
      <c r="AE801" s="1" t="s">
        <v>98</v>
      </c>
      <c r="AF801" s="1" t="s">
        <v>14918</v>
      </c>
      <c r="AG801" s="1" t="s">
        <v>2475</v>
      </c>
      <c r="AH801" s="1" t="s">
        <v>388</v>
      </c>
      <c r="AI801" s="1" t="s">
        <v>171</v>
      </c>
      <c r="AJ801" s="1">
        <v>69.6</v>
      </c>
      <c r="AK801" s="1"/>
      <c r="AL801" s="1"/>
      <c r="AM801" s="1"/>
      <c r="AN801" s="1"/>
      <c r="AO801" s="1"/>
      <c r="AP801" s="1"/>
      <c r="AQ801" s="1"/>
      <c r="AR801" s="1"/>
      <c r="AS801" s="1" t="s">
        <v>14919</v>
      </c>
      <c r="AT801" s="1" t="s">
        <v>14920</v>
      </c>
      <c r="AU801" s="1" t="s">
        <v>1065</v>
      </c>
      <c r="AV801" s="1" t="s">
        <v>549</v>
      </c>
      <c r="AW801" s="1">
        <v>75</v>
      </c>
      <c r="AX801" s="1">
        <v>7.5</v>
      </c>
      <c r="AY801" s="1" t="s">
        <v>14921</v>
      </c>
      <c r="AZ801" s="1" t="s">
        <v>14922</v>
      </c>
      <c r="BA801" s="1" t="s">
        <v>466</v>
      </c>
      <c r="BB801" s="1" t="s">
        <v>467</v>
      </c>
      <c r="BC801" s="1" t="s">
        <v>441</v>
      </c>
      <c r="BD801" s="1" t="s">
        <v>1089</v>
      </c>
      <c r="BE801" s="1">
        <v>76.6</v>
      </c>
      <c r="BF801" s="1">
        <v>7.66</v>
      </c>
      <c r="BG801" s="1"/>
      <c r="BH801" s="1"/>
      <c r="BI801" s="1"/>
      <c r="BJ801" s="1"/>
      <c r="BK801" s="1"/>
      <c r="BL801" s="1"/>
      <c r="BM801" s="1"/>
      <c r="BN801" s="1"/>
      <c r="BO801" s="1" t="s">
        <v>14923</v>
      </c>
      <c r="BP801" s="1"/>
      <c r="BQ801" s="1"/>
      <c r="BR801" s="1"/>
      <c r="BS801" s="1"/>
      <c r="BT801" s="1" t="s">
        <v>14924</v>
      </c>
      <c r="BU801" s="1" t="str">
        <f>HYPERLINK("https://nconnect.nicmar.ac.in/storage/profile/6a86d349a9eec.png","Download")</f>
        <v>0</v>
      </c>
      <c r="BV801" s="3"/>
      <c r="BW801" s="3"/>
    </row>
    <row r="802" spans="1:75">
      <c r="A802" s="1" t="s">
        <v>75</v>
      </c>
      <c r="B802" s="1" t="s">
        <v>13976</v>
      </c>
      <c r="C802" s="1" t="s">
        <v>14925</v>
      </c>
      <c r="D802" s="1" t="s">
        <v>14926</v>
      </c>
      <c r="E802" s="1" t="s">
        <v>14927</v>
      </c>
      <c r="F802" s="1" t="s">
        <v>14928</v>
      </c>
      <c r="G802" s="1" t="s">
        <v>14929</v>
      </c>
      <c r="H802" s="1" t="s">
        <v>14930</v>
      </c>
      <c r="I802" s="1" t="s">
        <v>14930</v>
      </c>
      <c r="J802" s="1">
        <v>7063330478</v>
      </c>
      <c r="K802" s="1" t="s">
        <v>84</v>
      </c>
      <c r="L802" s="1" t="s">
        <v>14931</v>
      </c>
      <c r="M802" s="1" t="s">
        <v>86</v>
      </c>
      <c r="N802" s="1" t="s">
        <v>4753</v>
      </c>
      <c r="O802" s="1" t="s">
        <v>14932</v>
      </c>
      <c r="P802" s="1" t="s">
        <v>122</v>
      </c>
      <c r="Q802" s="1">
        <v>436632137549</v>
      </c>
      <c r="R802" s="1" t="s">
        <v>14933</v>
      </c>
      <c r="S802" s="1">
        <v>8016999624</v>
      </c>
      <c r="T802" s="1" t="s">
        <v>10304</v>
      </c>
      <c r="U802" s="1" t="s">
        <v>14934</v>
      </c>
      <c r="V802" s="1">
        <v>7584807618</v>
      </c>
      <c r="W802" s="1" t="s">
        <v>14154</v>
      </c>
      <c r="X802" s="1" t="s">
        <v>14935</v>
      </c>
      <c r="Y802" s="1" t="s">
        <v>14936</v>
      </c>
      <c r="Z802" s="1" t="s">
        <v>1234</v>
      </c>
      <c r="AA802" s="1" t="s">
        <v>14935</v>
      </c>
      <c r="AB802" s="1" t="s">
        <v>14936</v>
      </c>
      <c r="AC802" s="1" t="s">
        <v>1234</v>
      </c>
      <c r="AD802" s="1" t="s">
        <v>98</v>
      </c>
      <c r="AE802" s="1" t="s">
        <v>98</v>
      </c>
      <c r="AF802" s="1" t="s">
        <v>14937</v>
      </c>
      <c r="AG802" s="1" t="s">
        <v>14938</v>
      </c>
      <c r="AH802" s="1" t="s">
        <v>3770</v>
      </c>
      <c r="AI802" s="1" t="s">
        <v>286</v>
      </c>
      <c r="AJ802" s="1">
        <v>89.33</v>
      </c>
      <c r="AK802" s="1"/>
      <c r="AL802" s="1" t="s">
        <v>14939</v>
      </c>
      <c r="AM802" s="1" t="s">
        <v>14940</v>
      </c>
      <c r="AN802" s="1" t="s">
        <v>465</v>
      </c>
      <c r="AO802" s="1" t="s">
        <v>490</v>
      </c>
      <c r="AP802" s="1" t="s">
        <v>417</v>
      </c>
      <c r="AQ802" s="1">
        <v>77.4</v>
      </c>
      <c r="AR802" s="1"/>
      <c r="AS802" s="1"/>
      <c r="AT802" s="1"/>
      <c r="AU802" s="1"/>
      <c r="AV802" s="1"/>
      <c r="AW802" s="1"/>
      <c r="AX802" s="1"/>
      <c r="AY802" s="1" t="s">
        <v>14941</v>
      </c>
      <c r="AZ802" s="1" t="s">
        <v>14942</v>
      </c>
      <c r="BA802" s="1" t="s">
        <v>578</v>
      </c>
      <c r="BB802" s="1" t="s">
        <v>467</v>
      </c>
      <c r="BC802" s="1" t="s">
        <v>1040</v>
      </c>
      <c r="BD802" s="1" t="s">
        <v>418</v>
      </c>
      <c r="BE802" s="1">
        <v>68.82</v>
      </c>
      <c r="BF802" s="1">
        <v>7.49</v>
      </c>
      <c r="BG802" s="1"/>
      <c r="BH802" s="1"/>
      <c r="BI802" s="1"/>
      <c r="BJ802" s="1"/>
      <c r="BK802" s="1"/>
      <c r="BL802" s="1"/>
      <c r="BM802" s="1"/>
      <c r="BN802" s="1"/>
      <c r="BO802" s="1" t="s">
        <v>14943</v>
      </c>
      <c r="BP802" s="1" t="s">
        <v>14944</v>
      </c>
      <c r="BQ802" s="1" t="s">
        <v>1152</v>
      </c>
      <c r="BR802" s="1"/>
      <c r="BS802" s="1"/>
      <c r="BT802" s="1"/>
      <c r="BU802" s="1" t="str">
        <f>HYPERLINK("https://nconnect.nicmar.ac.in/storage/profile/6a86c8f87a97b.png","Download")</f>
        <v>0</v>
      </c>
      <c r="BV802" s="3"/>
      <c r="BW802" s="3"/>
    </row>
    <row r="803" spans="1:75">
      <c r="A803" s="1" t="s">
        <v>75</v>
      </c>
      <c r="B803" s="1" t="s">
        <v>13976</v>
      </c>
      <c r="C803" s="1" t="s">
        <v>14945</v>
      </c>
      <c r="D803" s="1" t="s">
        <v>14946</v>
      </c>
      <c r="E803" s="1" t="s">
        <v>14947</v>
      </c>
      <c r="F803" s="1" t="s">
        <v>14460</v>
      </c>
      <c r="G803" s="1" t="s">
        <v>14948</v>
      </c>
      <c r="H803" s="1" t="s">
        <v>14949</v>
      </c>
      <c r="I803" s="1" t="s">
        <v>14949</v>
      </c>
      <c r="J803" s="1">
        <v>7021579700</v>
      </c>
      <c r="K803" s="1" t="s">
        <v>153</v>
      </c>
      <c r="L803" s="1" t="s">
        <v>14950</v>
      </c>
      <c r="M803" s="1" t="s">
        <v>86</v>
      </c>
      <c r="N803" s="1" t="s">
        <v>6390</v>
      </c>
      <c r="O803" s="1" t="s">
        <v>14951</v>
      </c>
      <c r="P803" s="1" t="s">
        <v>356</v>
      </c>
      <c r="Q803" s="1">
        <v>264882727171</v>
      </c>
      <c r="R803" s="1" t="s">
        <v>14952</v>
      </c>
      <c r="S803" s="1">
        <v>9373312302</v>
      </c>
      <c r="T803" s="1" t="s">
        <v>14953</v>
      </c>
      <c r="U803" s="1" t="s">
        <v>14954</v>
      </c>
      <c r="V803" s="1">
        <v>9370002588</v>
      </c>
      <c r="W803" s="1" t="s">
        <v>14234</v>
      </c>
      <c r="X803" s="1" t="s">
        <v>14955</v>
      </c>
      <c r="Y803" s="1" t="s">
        <v>196</v>
      </c>
      <c r="Z803" s="1" t="s">
        <v>97</v>
      </c>
      <c r="AA803" s="1" t="s">
        <v>14955</v>
      </c>
      <c r="AB803" s="1" t="s">
        <v>196</v>
      </c>
      <c r="AC803" s="1" t="s">
        <v>97</v>
      </c>
      <c r="AD803" s="1" t="s">
        <v>98</v>
      </c>
      <c r="AE803" s="1" t="s">
        <v>98</v>
      </c>
      <c r="AF803" s="1" t="s">
        <v>14956</v>
      </c>
      <c r="AG803" s="1" t="s">
        <v>14957</v>
      </c>
      <c r="AH803" s="1" t="s">
        <v>573</v>
      </c>
      <c r="AI803" s="1" t="s">
        <v>171</v>
      </c>
      <c r="AJ803" s="1">
        <v>82.5</v>
      </c>
      <c r="AK803" s="1"/>
      <c r="AL803" s="1" t="s">
        <v>14958</v>
      </c>
      <c r="AM803" s="1" t="s">
        <v>14959</v>
      </c>
      <c r="AN803" s="1" t="s">
        <v>575</v>
      </c>
      <c r="AO803" s="1" t="s">
        <v>315</v>
      </c>
      <c r="AP803" s="1" t="s">
        <v>178</v>
      </c>
      <c r="AQ803" s="1">
        <v>68.6</v>
      </c>
      <c r="AR803" s="1"/>
      <c r="AS803" s="1"/>
      <c r="AT803" s="1"/>
      <c r="AU803" s="1"/>
      <c r="AV803" s="1"/>
      <c r="AW803" s="1"/>
      <c r="AX803" s="1"/>
      <c r="AY803" s="1" t="s">
        <v>13994</v>
      </c>
      <c r="AZ803" s="1" t="s">
        <v>14960</v>
      </c>
      <c r="BA803" s="1" t="s">
        <v>682</v>
      </c>
      <c r="BB803" s="1" t="s">
        <v>1561</v>
      </c>
      <c r="BC803" s="1" t="s">
        <v>178</v>
      </c>
      <c r="BD803" s="1" t="s">
        <v>5340</v>
      </c>
      <c r="BE803" s="1">
        <v>78</v>
      </c>
      <c r="BF803" s="1">
        <v>8.3</v>
      </c>
      <c r="BG803" s="1"/>
      <c r="BH803" s="1"/>
      <c r="BI803" s="1"/>
      <c r="BJ803" s="1"/>
      <c r="BK803" s="1"/>
      <c r="BL803" s="1"/>
      <c r="BM803" s="1"/>
      <c r="BN803" s="1"/>
      <c r="BO803" s="1" t="s">
        <v>14961</v>
      </c>
      <c r="BP803" s="1"/>
      <c r="BQ803" s="1"/>
      <c r="BR803" s="1" t="s">
        <v>14962</v>
      </c>
      <c r="BS803" s="1">
        <v>43</v>
      </c>
      <c r="BT803" s="1"/>
      <c r="BU803" s="1" t="str">
        <f>HYPERLINK("https://nconnect.nicmar.ac.in/storage/profile/6a8712678539d.png","Download")</f>
        <v>0</v>
      </c>
      <c r="BV803" s="3"/>
      <c r="BW803" s="3"/>
    </row>
    <row r="804" spans="1:75">
      <c r="A804" s="1" t="s">
        <v>75</v>
      </c>
      <c r="B804" s="1" t="s">
        <v>13976</v>
      </c>
      <c r="C804" s="1" t="s">
        <v>14963</v>
      </c>
      <c r="D804" s="1" t="s">
        <v>14964</v>
      </c>
      <c r="E804" s="1" t="s">
        <v>14680</v>
      </c>
      <c r="F804" s="1" t="s">
        <v>14965</v>
      </c>
      <c r="G804" s="1" t="s">
        <v>14966</v>
      </c>
      <c r="H804" s="1" t="s">
        <v>14967</v>
      </c>
      <c r="I804" s="1" t="s">
        <v>14968</v>
      </c>
      <c r="J804" s="1">
        <v>9284901590</v>
      </c>
      <c r="K804" s="1" t="s">
        <v>84</v>
      </c>
      <c r="L804" s="1" t="s">
        <v>14969</v>
      </c>
      <c r="M804" s="1" t="s">
        <v>86</v>
      </c>
      <c r="N804" s="1" t="s">
        <v>14970</v>
      </c>
      <c r="O804" s="1" t="s">
        <v>14971</v>
      </c>
      <c r="P804" s="1" t="s">
        <v>219</v>
      </c>
      <c r="Q804" s="1">
        <v>648570318342</v>
      </c>
      <c r="R804" s="1" t="s">
        <v>14972</v>
      </c>
      <c r="S804" s="1">
        <v>9421264278</v>
      </c>
      <c r="T804" s="1" t="s">
        <v>14973</v>
      </c>
      <c r="U804" s="1" t="s">
        <v>14974</v>
      </c>
      <c r="V804" s="1">
        <v>9284931312</v>
      </c>
      <c r="W804" s="1" t="s">
        <v>9679</v>
      </c>
      <c r="X804" s="1" t="s">
        <v>14975</v>
      </c>
      <c r="Y804" s="1" t="s">
        <v>1989</v>
      </c>
      <c r="Z804" s="1" t="s">
        <v>97</v>
      </c>
      <c r="AA804" s="1" t="s">
        <v>14975</v>
      </c>
      <c r="AB804" s="1" t="s">
        <v>1989</v>
      </c>
      <c r="AC804" s="1" t="s">
        <v>97</v>
      </c>
      <c r="AD804" s="1" t="s">
        <v>98</v>
      </c>
      <c r="AE804" s="1" t="s">
        <v>98</v>
      </c>
      <c r="AF804" s="1" t="s">
        <v>14976</v>
      </c>
      <c r="AG804" s="1" t="s">
        <v>14977</v>
      </c>
      <c r="AH804" s="1" t="s">
        <v>515</v>
      </c>
      <c r="AI804" s="1" t="s">
        <v>102</v>
      </c>
      <c r="AJ804" s="1">
        <v>85.0</v>
      </c>
      <c r="AK804" s="1"/>
      <c r="AL804" s="1" t="s">
        <v>14978</v>
      </c>
      <c r="AM804" s="1" t="s">
        <v>14977</v>
      </c>
      <c r="AN804" s="1" t="s">
        <v>465</v>
      </c>
      <c r="AO804" s="1" t="s">
        <v>517</v>
      </c>
      <c r="AP804" s="1" t="s">
        <v>518</v>
      </c>
      <c r="AQ804" s="1">
        <v>63.54</v>
      </c>
      <c r="AR804" s="1"/>
      <c r="AS804" s="1"/>
      <c r="AT804" s="1"/>
      <c r="AU804" s="1"/>
      <c r="AV804" s="1"/>
      <c r="AW804" s="1"/>
      <c r="AX804" s="1"/>
      <c r="AY804" s="1" t="s">
        <v>14979</v>
      </c>
      <c r="AZ804" s="1" t="s">
        <v>14980</v>
      </c>
      <c r="BA804" s="1" t="s">
        <v>682</v>
      </c>
      <c r="BB804" s="1" t="s">
        <v>683</v>
      </c>
      <c r="BC804" s="1" t="s">
        <v>170</v>
      </c>
      <c r="BD804" s="1" t="s">
        <v>1400</v>
      </c>
      <c r="BE804" s="1">
        <v>65.91</v>
      </c>
      <c r="BF804" s="1"/>
      <c r="BG804" s="1"/>
      <c r="BH804" s="1"/>
      <c r="BI804" s="1"/>
      <c r="BJ804" s="1"/>
      <c r="BK804" s="1"/>
      <c r="BL804" s="1"/>
      <c r="BM804" s="1"/>
      <c r="BN804" s="1"/>
      <c r="BO804" s="1" t="s">
        <v>14981</v>
      </c>
      <c r="BP804" s="1" t="s">
        <v>14982</v>
      </c>
      <c r="BQ804" s="1" t="s">
        <v>4944</v>
      </c>
      <c r="BR804" s="1" t="s">
        <v>14983</v>
      </c>
      <c r="BS804" s="1">
        <v>13</v>
      </c>
      <c r="BT804" s="1" t="s">
        <v>14984</v>
      </c>
      <c r="BU804" s="1" t="str">
        <f>HYPERLINK("https://nconnect.nicmar.ac.in/storage/profile/6a87459680b31.png","Download")</f>
        <v>0</v>
      </c>
      <c r="BV804" s="3"/>
      <c r="BW804" s="3"/>
    </row>
    <row r="805" spans="1:75">
      <c r="A805" s="1" t="s">
        <v>75</v>
      </c>
      <c r="B805" s="1" t="s">
        <v>13976</v>
      </c>
      <c r="C805" s="1" t="s">
        <v>14985</v>
      </c>
      <c r="D805" s="1" t="s">
        <v>14986</v>
      </c>
      <c r="E805" s="1" t="s">
        <v>14987</v>
      </c>
      <c r="F805" s="1" t="s">
        <v>3633</v>
      </c>
      <c r="G805" s="1" t="s">
        <v>14988</v>
      </c>
      <c r="H805" s="1" t="s">
        <v>14989</v>
      </c>
      <c r="I805" s="1" t="s">
        <v>14989</v>
      </c>
      <c r="J805" s="1">
        <v>9769519564</v>
      </c>
      <c r="K805" s="1" t="s">
        <v>84</v>
      </c>
      <c r="L805" s="1" t="s">
        <v>8563</v>
      </c>
      <c r="M805" s="1" t="s">
        <v>86</v>
      </c>
      <c r="N805" s="1" t="s">
        <v>11315</v>
      </c>
      <c r="O805" s="1" t="s">
        <v>14990</v>
      </c>
      <c r="P805" s="1" t="s">
        <v>219</v>
      </c>
      <c r="Q805" s="1">
        <v>239890599408</v>
      </c>
      <c r="R805" s="1" t="s">
        <v>14991</v>
      </c>
      <c r="S805" s="1">
        <v>9967531997</v>
      </c>
      <c r="T805" s="1" t="s">
        <v>14992</v>
      </c>
      <c r="U805" s="1" t="s">
        <v>14993</v>
      </c>
      <c r="V805" s="1">
        <v>7021045542</v>
      </c>
      <c r="W805" s="1" t="s">
        <v>14032</v>
      </c>
      <c r="X805" s="1" t="s">
        <v>14994</v>
      </c>
      <c r="Y805" s="1" t="s">
        <v>2259</v>
      </c>
      <c r="Z805" s="1" t="s">
        <v>97</v>
      </c>
      <c r="AA805" s="1" t="s">
        <v>14994</v>
      </c>
      <c r="AB805" s="1" t="s">
        <v>2259</v>
      </c>
      <c r="AC805" s="1" t="s">
        <v>97</v>
      </c>
      <c r="AD805" s="1" t="s">
        <v>98</v>
      </c>
      <c r="AE805" s="1" t="s">
        <v>98</v>
      </c>
      <c r="AF805" s="1" t="s">
        <v>14995</v>
      </c>
      <c r="AG805" s="1" t="s">
        <v>14238</v>
      </c>
      <c r="AH805" s="1" t="s">
        <v>167</v>
      </c>
      <c r="AI805" s="1" t="s">
        <v>200</v>
      </c>
      <c r="AJ805" s="1">
        <v>89.4</v>
      </c>
      <c r="AK805" s="1">
        <v>9.5</v>
      </c>
      <c r="AL805" s="1" t="s">
        <v>14996</v>
      </c>
      <c r="AM805" s="1" t="s">
        <v>14238</v>
      </c>
      <c r="AN805" s="1" t="s">
        <v>465</v>
      </c>
      <c r="AO805" s="1" t="s">
        <v>106</v>
      </c>
      <c r="AP805" s="1" t="s">
        <v>203</v>
      </c>
      <c r="AQ805" s="1">
        <v>80.31</v>
      </c>
      <c r="AR805" s="1">
        <v>8.4</v>
      </c>
      <c r="AS805" s="1"/>
      <c r="AT805" s="1"/>
      <c r="AU805" s="1"/>
      <c r="AV805" s="1"/>
      <c r="AW805" s="1"/>
      <c r="AX805" s="1"/>
      <c r="AY805" s="1" t="s">
        <v>14059</v>
      </c>
      <c r="AZ805" s="1" t="s">
        <v>14997</v>
      </c>
      <c r="BA805" s="1" t="s">
        <v>682</v>
      </c>
      <c r="BB805" s="1" t="s">
        <v>683</v>
      </c>
      <c r="BC805" s="1" t="s">
        <v>438</v>
      </c>
      <c r="BD805" s="1" t="s">
        <v>1314</v>
      </c>
      <c r="BE805" s="1">
        <v>71.42</v>
      </c>
      <c r="BF805" s="1">
        <v>8.03</v>
      </c>
      <c r="BG805" s="1"/>
      <c r="BH805" s="1"/>
      <c r="BI805" s="1"/>
      <c r="BJ805" s="1"/>
      <c r="BK805" s="1"/>
      <c r="BL805" s="1"/>
      <c r="BM805" s="1"/>
      <c r="BN805" s="1"/>
      <c r="BO805" s="1" t="s">
        <v>14998</v>
      </c>
      <c r="BP805" s="1" t="s">
        <v>14999</v>
      </c>
      <c r="BQ805" s="1" t="s">
        <v>1482</v>
      </c>
      <c r="BR805" s="1"/>
      <c r="BS805" s="1"/>
      <c r="BT805" s="1" t="s">
        <v>15000</v>
      </c>
      <c r="BU805" s="1" t="str">
        <f>HYPERLINK("https://nconnect.nicmar.ac.in/storage/profile/6a832461c4a86.png","Download")</f>
        <v>0</v>
      </c>
      <c r="BV805" s="3"/>
      <c r="BW805" s="3"/>
    </row>
    <row r="806" spans="1:75">
      <c r="A806" s="1" t="s">
        <v>75</v>
      </c>
      <c r="B806" s="1" t="s">
        <v>13976</v>
      </c>
      <c r="C806" s="1" t="s">
        <v>15001</v>
      </c>
      <c r="D806" s="1" t="s">
        <v>15002</v>
      </c>
      <c r="E806" s="1" t="s">
        <v>15003</v>
      </c>
      <c r="F806" s="1" t="s">
        <v>15004</v>
      </c>
      <c r="G806" s="1" t="s">
        <v>15005</v>
      </c>
      <c r="H806" s="1" t="s">
        <v>15006</v>
      </c>
      <c r="I806" s="1" t="s">
        <v>15006</v>
      </c>
      <c r="J806" s="1">
        <v>9579100224</v>
      </c>
      <c r="K806" s="1" t="s">
        <v>153</v>
      </c>
      <c r="L806" s="1" t="s">
        <v>15007</v>
      </c>
      <c r="M806" s="1" t="s">
        <v>86</v>
      </c>
      <c r="N806" s="1" t="s">
        <v>15008</v>
      </c>
      <c r="O806" s="1" t="s">
        <v>15009</v>
      </c>
      <c r="P806" s="1" t="s">
        <v>219</v>
      </c>
      <c r="Q806" s="1">
        <v>700735413667</v>
      </c>
      <c r="R806" s="1" t="s">
        <v>15003</v>
      </c>
      <c r="S806" s="1">
        <v>9767872036</v>
      </c>
      <c r="T806" s="1" t="s">
        <v>3441</v>
      </c>
      <c r="U806" s="1" t="s">
        <v>15010</v>
      </c>
      <c r="V806" s="1">
        <v>9011251667</v>
      </c>
      <c r="W806" s="1" t="s">
        <v>10306</v>
      </c>
      <c r="X806" s="1" t="s">
        <v>15011</v>
      </c>
      <c r="Y806" s="1" t="s">
        <v>1779</v>
      </c>
      <c r="Z806" s="1" t="s">
        <v>97</v>
      </c>
      <c r="AA806" s="1" t="s">
        <v>15011</v>
      </c>
      <c r="AB806" s="1" t="s">
        <v>1779</v>
      </c>
      <c r="AC806" s="1" t="s">
        <v>97</v>
      </c>
      <c r="AD806" s="1" t="s">
        <v>98</v>
      </c>
      <c r="AE806" s="1" t="s">
        <v>98</v>
      </c>
      <c r="AF806" s="1" t="s">
        <v>15012</v>
      </c>
      <c r="AG806" s="1" t="s">
        <v>97</v>
      </c>
      <c r="AH806" s="1" t="s">
        <v>170</v>
      </c>
      <c r="AI806" s="1" t="s">
        <v>286</v>
      </c>
      <c r="AJ806" s="1">
        <v>91.2</v>
      </c>
      <c r="AK806" s="1"/>
      <c r="AL806" s="1" t="s">
        <v>15013</v>
      </c>
      <c r="AM806" s="1" t="s">
        <v>97</v>
      </c>
      <c r="AN806" s="1" t="s">
        <v>465</v>
      </c>
      <c r="AO806" s="1" t="s">
        <v>438</v>
      </c>
      <c r="AP806" s="1" t="s">
        <v>365</v>
      </c>
      <c r="AQ806" s="1">
        <v>80.62</v>
      </c>
      <c r="AR806" s="1"/>
      <c r="AS806" s="1" t="s">
        <v>15014</v>
      </c>
      <c r="AT806" s="1" t="s">
        <v>196</v>
      </c>
      <c r="AU806" s="1" t="s">
        <v>1040</v>
      </c>
      <c r="AV806" s="1" t="s">
        <v>1400</v>
      </c>
      <c r="AW806" s="1">
        <v>90.07</v>
      </c>
      <c r="AX806" s="1"/>
      <c r="AY806" s="1" t="s">
        <v>14160</v>
      </c>
      <c r="AZ806" s="1" t="s">
        <v>15015</v>
      </c>
      <c r="BA806" s="1" t="s">
        <v>466</v>
      </c>
      <c r="BB806" s="1" t="s">
        <v>467</v>
      </c>
      <c r="BC806" s="1" t="s">
        <v>1889</v>
      </c>
      <c r="BD806" s="1" t="s">
        <v>553</v>
      </c>
      <c r="BE806" s="1">
        <v>86.92</v>
      </c>
      <c r="BF806" s="1">
        <v>9.15</v>
      </c>
      <c r="BG806" s="1"/>
      <c r="BH806" s="1"/>
      <c r="BI806" s="1"/>
      <c r="BJ806" s="1"/>
      <c r="BK806" s="1"/>
      <c r="BL806" s="1"/>
      <c r="BM806" s="1"/>
      <c r="BN806" s="1"/>
      <c r="BO806" s="1" t="s">
        <v>15016</v>
      </c>
      <c r="BP806" s="1"/>
      <c r="BQ806" s="1"/>
      <c r="BR806" s="1"/>
      <c r="BS806" s="1"/>
      <c r="BT806" s="1" t="s">
        <v>15017</v>
      </c>
      <c r="BU806" s="1" t="str">
        <f>HYPERLINK("https://nconnect.nicmar.ac.in/storage/profile/6a85c05b68d2a.png","Download")</f>
        <v>0</v>
      </c>
      <c r="BV806" s="3"/>
      <c r="BW806" s="3"/>
    </row>
    <row r="807" spans="1:75">
      <c r="A807" s="1" t="s">
        <v>75</v>
      </c>
      <c r="B807" s="1" t="s">
        <v>13976</v>
      </c>
      <c r="C807" s="1" t="s">
        <v>15018</v>
      </c>
      <c r="D807" s="1" t="s">
        <v>4625</v>
      </c>
      <c r="E807" s="1"/>
      <c r="F807" s="1" t="s">
        <v>15019</v>
      </c>
      <c r="G807" s="1" t="s">
        <v>15020</v>
      </c>
      <c r="H807" s="1" t="s">
        <v>15021</v>
      </c>
      <c r="I807" s="1" t="s">
        <v>15022</v>
      </c>
      <c r="J807" s="1">
        <v>9630903540</v>
      </c>
      <c r="K807" s="1" t="s">
        <v>84</v>
      </c>
      <c r="L807" s="1" t="s">
        <v>15023</v>
      </c>
      <c r="M807" s="1" t="s">
        <v>86</v>
      </c>
      <c r="N807" s="1" t="s">
        <v>4857</v>
      </c>
      <c r="O807" s="1" t="s">
        <v>15024</v>
      </c>
      <c r="P807" s="1" t="s">
        <v>219</v>
      </c>
      <c r="Q807" s="1">
        <v>669475114159</v>
      </c>
      <c r="R807" s="1" t="s">
        <v>15025</v>
      </c>
      <c r="S807" s="1">
        <v>9617530057</v>
      </c>
      <c r="T807" s="1" t="s">
        <v>15026</v>
      </c>
      <c r="U807" s="1" t="s">
        <v>15027</v>
      </c>
      <c r="V807" s="1">
        <v>9713870455</v>
      </c>
      <c r="W807" s="1" t="s">
        <v>10306</v>
      </c>
      <c r="X807" s="1" t="s">
        <v>15028</v>
      </c>
      <c r="Y807" s="1" t="s">
        <v>8001</v>
      </c>
      <c r="Z807" s="1" t="s">
        <v>3419</v>
      </c>
      <c r="AA807" s="1" t="s">
        <v>15028</v>
      </c>
      <c r="AB807" s="1" t="s">
        <v>8001</v>
      </c>
      <c r="AC807" s="1" t="s">
        <v>3419</v>
      </c>
      <c r="AD807" s="1" t="s">
        <v>98</v>
      </c>
      <c r="AE807" s="1" t="s">
        <v>98</v>
      </c>
      <c r="AF807" s="1" t="s">
        <v>15029</v>
      </c>
      <c r="AG807" s="1" t="s">
        <v>11430</v>
      </c>
      <c r="AH807" s="1" t="s">
        <v>388</v>
      </c>
      <c r="AI807" s="1" t="s">
        <v>171</v>
      </c>
      <c r="AJ807" s="1">
        <v>93.8</v>
      </c>
      <c r="AK807" s="1"/>
      <c r="AL807" s="1" t="s">
        <v>15029</v>
      </c>
      <c r="AM807" s="1" t="s">
        <v>11430</v>
      </c>
      <c r="AN807" s="1" t="s">
        <v>465</v>
      </c>
      <c r="AO807" s="1" t="s">
        <v>315</v>
      </c>
      <c r="AP807" s="1" t="s">
        <v>178</v>
      </c>
      <c r="AQ807" s="1">
        <v>85.8</v>
      </c>
      <c r="AR807" s="1"/>
      <c r="AS807" s="1"/>
      <c r="AT807" s="1"/>
      <c r="AU807" s="1"/>
      <c r="AV807" s="1"/>
      <c r="AW807" s="1"/>
      <c r="AX807" s="1"/>
      <c r="AY807" s="1" t="s">
        <v>15030</v>
      </c>
      <c r="AZ807" s="1" t="s">
        <v>15031</v>
      </c>
      <c r="BA807" s="1" t="s">
        <v>466</v>
      </c>
      <c r="BB807" s="1" t="s">
        <v>467</v>
      </c>
      <c r="BC807" s="1" t="s">
        <v>178</v>
      </c>
      <c r="BD807" s="1" t="s">
        <v>207</v>
      </c>
      <c r="BE807" s="1">
        <v>72.6</v>
      </c>
      <c r="BF807" s="1">
        <v>7.26</v>
      </c>
      <c r="BG807" s="1"/>
      <c r="BH807" s="1"/>
      <c r="BI807" s="1"/>
      <c r="BJ807" s="1"/>
      <c r="BK807" s="1"/>
      <c r="BL807" s="1"/>
      <c r="BM807" s="1"/>
      <c r="BN807" s="1"/>
      <c r="BO807" s="1" t="s">
        <v>15032</v>
      </c>
      <c r="BP807" s="1"/>
      <c r="BQ807" s="1"/>
      <c r="BR807" s="1"/>
      <c r="BS807" s="1"/>
      <c r="BT807" s="1" t="s">
        <v>15033</v>
      </c>
      <c r="BU807" s="1" t="str">
        <f>HYPERLINK("https://nconnect.nicmar.ac.in/storage/profile/6a85aaddd1ddb.png","Download")</f>
        <v>0</v>
      </c>
      <c r="BV807" s="3"/>
      <c r="BW807" s="3"/>
    </row>
    <row r="808" spans="1:75">
      <c r="A808" s="1" t="s">
        <v>75</v>
      </c>
      <c r="B808" s="1" t="s">
        <v>13976</v>
      </c>
      <c r="C808" s="1" t="s">
        <v>15034</v>
      </c>
      <c r="D808" s="1" t="s">
        <v>15035</v>
      </c>
      <c r="E808" s="1" t="s">
        <v>15036</v>
      </c>
      <c r="F808" s="1" t="s">
        <v>15037</v>
      </c>
      <c r="G808" s="1" t="s">
        <v>15038</v>
      </c>
      <c r="H808" s="1" t="s">
        <v>15039</v>
      </c>
      <c r="I808" s="1" t="s">
        <v>15039</v>
      </c>
      <c r="J808" s="1">
        <v>9511910812</v>
      </c>
      <c r="K808" s="1" t="s">
        <v>84</v>
      </c>
      <c r="L808" s="1" t="s">
        <v>15040</v>
      </c>
      <c r="M808" s="1" t="s">
        <v>86</v>
      </c>
      <c r="N808" s="1" t="s">
        <v>15041</v>
      </c>
      <c r="O808" s="1" t="s">
        <v>15042</v>
      </c>
      <c r="P808" s="1" t="s">
        <v>89</v>
      </c>
      <c r="Q808" s="1">
        <v>324363801126</v>
      </c>
      <c r="R808" s="1" t="s">
        <v>15043</v>
      </c>
      <c r="S808" s="1">
        <v>9595556555</v>
      </c>
      <c r="T808" s="1" t="s">
        <v>15044</v>
      </c>
      <c r="U808" s="1" t="s">
        <v>15045</v>
      </c>
      <c r="V808" s="1">
        <v>8669187059</v>
      </c>
      <c r="W808" s="1" t="s">
        <v>15046</v>
      </c>
      <c r="X808" s="1" t="s">
        <v>15047</v>
      </c>
      <c r="Y808" s="1" t="s">
        <v>96</v>
      </c>
      <c r="Z808" s="1" t="s">
        <v>97</v>
      </c>
      <c r="AA808" s="1" t="s">
        <v>15047</v>
      </c>
      <c r="AB808" s="1" t="s">
        <v>96</v>
      </c>
      <c r="AC808" s="1" t="s">
        <v>97</v>
      </c>
      <c r="AD808" s="1" t="s">
        <v>98</v>
      </c>
      <c r="AE808" s="1" t="s">
        <v>98</v>
      </c>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t="s">
        <v>15048</v>
      </c>
      <c r="BQ808" s="1" t="s">
        <v>2462</v>
      </c>
      <c r="BR808" s="1"/>
      <c r="BS808" s="1"/>
      <c r="BT808" s="1"/>
      <c r="BU808" s="1" t="str">
        <f>HYPERLINK("https://nconnect.nicmar.ac.in/storage/profile/6a85f5020c269.png","Download")</f>
        <v>0</v>
      </c>
      <c r="BV808" s="3"/>
      <c r="BW808" s="3"/>
    </row>
    <row r="809" spans="1:75">
      <c r="A809" s="1" t="s">
        <v>75</v>
      </c>
      <c r="B809" s="1" t="s">
        <v>13976</v>
      </c>
      <c r="C809" s="1" t="s">
        <v>15049</v>
      </c>
      <c r="D809" s="1"/>
      <c r="E809" s="1"/>
      <c r="F809" s="1"/>
      <c r="G809" s="1"/>
      <c r="H809" s="1" t="s">
        <v>15050</v>
      </c>
      <c r="I809" s="1" t="s">
        <v>15050</v>
      </c>
      <c r="J809" s="1"/>
      <c r="K809" s="1"/>
      <c r="L809" s="1"/>
      <c r="M809" s="1"/>
      <c r="N809" s="1"/>
      <c r="O809" s="1"/>
      <c r="P809" s="1"/>
      <c r="Q809" s="1"/>
      <c r="R809" s="1"/>
      <c r="S809" s="1"/>
      <c r="T809" s="1"/>
      <c r="U809" s="1"/>
      <c r="V809" s="1"/>
      <c r="W809" s="1"/>
      <c r="X809" s="1"/>
      <c r="Y809" s="1"/>
      <c r="Z809" s="1"/>
      <c r="AA809" s="1"/>
      <c r="AB809" s="1"/>
      <c r="AC809" s="1"/>
      <c r="AD809" s="1" t="s">
        <v>98</v>
      </c>
      <c r="AE809" s="1" t="s">
        <v>98</v>
      </c>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t="s">
        <v>9653</v>
      </c>
      <c r="BV809" s="3"/>
      <c r="BW809" s="3"/>
    </row>
    <row r="810" spans="1:75">
      <c r="A810" s="1" t="s">
        <v>75</v>
      </c>
      <c r="B810" s="1" t="s">
        <v>13976</v>
      </c>
      <c r="C810" s="1" t="s">
        <v>15051</v>
      </c>
      <c r="D810" s="1" t="s">
        <v>15052</v>
      </c>
      <c r="E810" s="1"/>
      <c r="F810" s="1" t="s">
        <v>15053</v>
      </c>
      <c r="G810" s="1" t="s">
        <v>15054</v>
      </c>
      <c r="H810" s="1" t="s">
        <v>15055</v>
      </c>
      <c r="I810" s="1" t="s">
        <v>15055</v>
      </c>
      <c r="J810" s="1">
        <v>9049534798</v>
      </c>
      <c r="K810" s="1" t="s">
        <v>153</v>
      </c>
      <c r="L810" s="1" t="s">
        <v>12023</v>
      </c>
      <c r="M810" s="1" t="s">
        <v>86</v>
      </c>
      <c r="N810" s="1" t="s">
        <v>618</v>
      </c>
      <c r="O810" s="1" t="s">
        <v>15056</v>
      </c>
      <c r="P810" s="1" t="s">
        <v>219</v>
      </c>
      <c r="Q810" s="1">
        <v>783773770935</v>
      </c>
      <c r="R810" s="1" t="s">
        <v>15057</v>
      </c>
      <c r="S810" s="1">
        <v>9923422380</v>
      </c>
      <c r="T810" s="1" t="s">
        <v>15058</v>
      </c>
      <c r="U810" s="1" t="s">
        <v>15059</v>
      </c>
      <c r="V810" s="1">
        <v>9923448787</v>
      </c>
      <c r="W810" s="1" t="s">
        <v>15060</v>
      </c>
      <c r="X810" s="1" t="s">
        <v>15061</v>
      </c>
      <c r="Y810" s="1" t="s">
        <v>410</v>
      </c>
      <c r="Z810" s="1" t="s">
        <v>97</v>
      </c>
      <c r="AA810" s="1" t="s">
        <v>15061</v>
      </c>
      <c r="AB810" s="1" t="s">
        <v>410</v>
      </c>
      <c r="AC810" s="1" t="s">
        <v>97</v>
      </c>
      <c r="AD810" s="1" t="s">
        <v>98</v>
      </c>
      <c r="AE810" s="1" t="s">
        <v>98</v>
      </c>
      <c r="AF810" s="1" t="s">
        <v>15054</v>
      </c>
      <c r="AG810" s="1" t="s">
        <v>410</v>
      </c>
      <c r="AH810" s="1" t="s">
        <v>174</v>
      </c>
      <c r="AI810" s="1" t="s">
        <v>313</v>
      </c>
      <c r="AJ810" s="1">
        <v>90.4</v>
      </c>
      <c r="AK810" s="1"/>
      <c r="AL810" s="1" t="s">
        <v>15054</v>
      </c>
      <c r="AM810" s="1" t="s">
        <v>410</v>
      </c>
      <c r="AN810" s="1" t="s">
        <v>465</v>
      </c>
      <c r="AO810" s="1" t="s">
        <v>178</v>
      </c>
      <c r="AP810" s="1" t="s">
        <v>845</v>
      </c>
      <c r="AQ810" s="1">
        <v>83.8</v>
      </c>
      <c r="AR810" s="1"/>
      <c r="AS810" s="1"/>
      <c r="AT810" s="1"/>
      <c r="AU810" s="1"/>
      <c r="AV810" s="1"/>
      <c r="AW810" s="1"/>
      <c r="AX810" s="1"/>
      <c r="AY810" s="1" t="s">
        <v>15062</v>
      </c>
      <c r="AZ810" s="1" t="s">
        <v>15063</v>
      </c>
      <c r="BA810" s="1" t="s">
        <v>466</v>
      </c>
      <c r="BB810" s="1" t="s">
        <v>467</v>
      </c>
      <c r="BC810" s="1" t="s">
        <v>871</v>
      </c>
      <c r="BD810" s="1" t="s">
        <v>1401</v>
      </c>
      <c r="BE810" s="1">
        <v>81.4</v>
      </c>
      <c r="BF810" s="1">
        <v>8.14</v>
      </c>
      <c r="BG810" s="1"/>
      <c r="BH810" s="1"/>
      <c r="BI810" s="1"/>
      <c r="BJ810" s="1"/>
      <c r="BK810" s="1"/>
      <c r="BL810" s="1"/>
      <c r="BM810" s="1"/>
      <c r="BN810" s="1"/>
      <c r="BO810" s="1" t="s">
        <v>15064</v>
      </c>
      <c r="BP810" s="1"/>
      <c r="BQ810" s="1"/>
      <c r="BR810" s="1"/>
      <c r="BS810" s="1"/>
      <c r="BT810" s="1"/>
      <c r="BU810" s="1" t="str">
        <f>HYPERLINK("https://nconnect.nicmar.ac.in/storage/profile/6a86db6d9bc0e.png","Download")</f>
        <v>0</v>
      </c>
      <c r="BV810" s="3"/>
      <c r="BW810" s="3"/>
    </row>
    <row r="811" spans="1:75">
      <c r="A811" s="1" t="s">
        <v>75</v>
      </c>
      <c r="B811" s="1" t="s">
        <v>13976</v>
      </c>
      <c r="C811" s="1" t="s">
        <v>15065</v>
      </c>
      <c r="D811" s="1" t="s">
        <v>15066</v>
      </c>
      <c r="E811" s="1" t="s">
        <v>15067</v>
      </c>
      <c r="F811" s="1" t="s">
        <v>15068</v>
      </c>
      <c r="G811" s="1" t="s">
        <v>15069</v>
      </c>
      <c r="H811" s="1" t="s">
        <v>15070</v>
      </c>
      <c r="I811" s="1" t="s">
        <v>15070</v>
      </c>
      <c r="J811" s="1">
        <v>8104442600</v>
      </c>
      <c r="K811" s="1" t="s">
        <v>84</v>
      </c>
      <c r="L811" s="1" t="s">
        <v>6141</v>
      </c>
      <c r="M811" s="1" t="s">
        <v>86</v>
      </c>
      <c r="N811" s="1" t="s">
        <v>768</v>
      </c>
      <c r="O811" s="1" t="s">
        <v>15071</v>
      </c>
      <c r="P811" s="1" t="s">
        <v>122</v>
      </c>
      <c r="Q811" s="1">
        <v>627674726937</v>
      </c>
      <c r="R811" s="1" t="s">
        <v>15072</v>
      </c>
      <c r="S811" s="1">
        <v>9819742825</v>
      </c>
      <c r="T811" s="1" t="s">
        <v>15073</v>
      </c>
      <c r="U811" s="1" t="s">
        <v>15074</v>
      </c>
      <c r="V811" s="1">
        <v>7900072462</v>
      </c>
      <c r="W811" s="1" t="s">
        <v>14212</v>
      </c>
      <c r="X811" s="1" t="s">
        <v>15075</v>
      </c>
      <c r="Y811" s="1" t="s">
        <v>1189</v>
      </c>
      <c r="Z811" s="1" t="s">
        <v>97</v>
      </c>
      <c r="AA811" s="1" t="s">
        <v>15075</v>
      </c>
      <c r="AB811" s="1" t="s">
        <v>1189</v>
      </c>
      <c r="AC811" s="1" t="s">
        <v>97</v>
      </c>
      <c r="AD811" s="1" t="s">
        <v>98</v>
      </c>
      <c r="AE811" s="1" t="s">
        <v>98</v>
      </c>
      <c r="AF811" s="1" t="s">
        <v>15076</v>
      </c>
      <c r="AG811" s="1" t="s">
        <v>15077</v>
      </c>
      <c r="AH811" s="1" t="s">
        <v>106</v>
      </c>
      <c r="AI811" s="1" t="s">
        <v>414</v>
      </c>
      <c r="AJ811" s="1">
        <v>72</v>
      </c>
      <c r="AK811" s="1"/>
      <c r="AL811" s="1"/>
      <c r="AM811" s="1"/>
      <c r="AN811" s="1"/>
      <c r="AO811" s="1"/>
      <c r="AP811" s="1"/>
      <c r="AQ811" s="1"/>
      <c r="AR811" s="1"/>
      <c r="AS811" s="1" t="s">
        <v>14158</v>
      </c>
      <c r="AT811" s="1" t="s">
        <v>15078</v>
      </c>
      <c r="AU811" s="1" t="s">
        <v>315</v>
      </c>
      <c r="AV811" s="1" t="s">
        <v>1400</v>
      </c>
      <c r="AW811" s="1">
        <v>83.53</v>
      </c>
      <c r="AX811" s="1"/>
      <c r="AY811" s="1" t="s">
        <v>14380</v>
      </c>
      <c r="AZ811" s="1" t="s">
        <v>15079</v>
      </c>
      <c r="BA811" s="1" t="s">
        <v>578</v>
      </c>
      <c r="BB811" s="1" t="s">
        <v>467</v>
      </c>
      <c r="BC811" s="1" t="s">
        <v>1400</v>
      </c>
      <c r="BD811" s="1" t="s">
        <v>553</v>
      </c>
      <c r="BE811" s="1">
        <v>66.87</v>
      </c>
      <c r="BF811" s="1">
        <v>7.48</v>
      </c>
      <c r="BG811" s="1"/>
      <c r="BH811" s="1"/>
      <c r="BI811" s="1"/>
      <c r="BJ811" s="1"/>
      <c r="BK811" s="1"/>
      <c r="BL811" s="1"/>
      <c r="BM811" s="1"/>
      <c r="BN811" s="1"/>
      <c r="BO811" s="1" t="s">
        <v>15080</v>
      </c>
      <c r="BP811" s="1"/>
      <c r="BQ811" s="1"/>
      <c r="BR811" s="1" t="s">
        <v>15081</v>
      </c>
      <c r="BS811" s="1">
        <v>7</v>
      </c>
      <c r="BT811" s="1" t="s">
        <v>15082</v>
      </c>
      <c r="BU811" s="1" t="str">
        <f>HYPERLINK("https://nconnect.nicmar.ac.in/storage/profile/6a86e783c1ee2.png","Download")</f>
        <v>0</v>
      </c>
      <c r="BV811" s="3"/>
      <c r="BW811" s="3"/>
    </row>
    <row r="812" spans="1:75">
      <c r="A812" s="1" t="s">
        <v>75</v>
      </c>
      <c r="B812" s="1" t="s">
        <v>13976</v>
      </c>
      <c r="C812" s="1" t="s">
        <v>15083</v>
      </c>
      <c r="D812" s="1" t="s">
        <v>15084</v>
      </c>
      <c r="E812" s="1" t="s">
        <v>15085</v>
      </c>
      <c r="F812" s="1" t="s">
        <v>15086</v>
      </c>
      <c r="G812" s="1" t="s">
        <v>15087</v>
      </c>
      <c r="H812" s="1" t="s">
        <v>15088</v>
      </c>
      <c r="I812" s="1" t="s">
        <v>15088</v>
      </c>
      <c r="J812" s="1">
        <v>8547863468</v>
      </c>
      <c r="K812" s="1" t="s">
        <v>84</v>
      </c>
      <c r="L812" s="1" t="s">
        <v>15089</v>
      </c>
      <c r="M812" s="1" t="s">
        <v>86</v>
      </c>
      <c r="N812" s="1" t="s">
        <v>15090</v>
      </c>
      <c r="O812" s="1" t="s">
        <v>15091</v>
      </c>
      <c r="P812" s="1" t="s">
        <v>219</v>
      </c>
      <c r="Q812" s="1">
        <v>986664120444</v>
      </c>
      <c r="R812" s="1" t="s">
        <v>15092</v>
      </c>
      <c r="S812" s="1">
        <v>9495706685</v>
      </c>
      <c r="T812" s="1" t="s">
        <v>596</v>
      </c>
      <c r="U812" s="1" t="s">
        <v>15093</v>
      </c>
      <c r="V812" s="1">
        <v>9074768704</v>
      </c>
      <c r="W812" s="1" t="s">
        <v>278</v>
      </c>
      <c r="X812" s="1" t="s">
        <v>15094</v>
      </c>
      <c r="Y812" s="1" t="s">
        <v>2526</v>
      </c>
      <c r="Z812" s="1" t="s">
        <v>130</v>
      </c>
      <c r="AA812" s="1" t="s">
        <v>15094</v>
      </c>
      <c r="AB812" s="1" t="s">
        <v>2526</v>
      </c>
      <c r="AC812" s="1" t="s">
        <v>130</v>
      </c>
      <c r="AD812" s="1" t="s">
        <v>98</v>
      </c>
      <c r="AE812" s="1" t="s">
        <v>98</v>
      </c>
      <c r="AF812" s="1" t="s">
        <v>15095</v>
      </c>
      <c r="AG812" s="1" t="s">
        <v>775</v>
      </c>
      <c r="AH812" s="1" t="s">
        <v>101</v>
      </c>
      <c r="AI812" s="1" t="s">
        <v>136</v>
      </c>
      <c r="AJ812" s="1">
        <v>83.6</v>
      </c>
      <c r="AK812" s="1">
        <v>8.8</v>
      </c>
      <c r="AL812" s="1" t="s">
        <v>15096</v>
      </c>
      <c r="AM812" s="1" t="s">
        <v>15097</v>
      </c>
      <c r="AN812" s="1" t="s">
        <v>575</v>
      </c>
      <c r="AO812" s="1" t="s">
        <v>342</v>
      </c>
      <c r="AP812" s="1" t="s">
        <v>170</v>
      </c>
      <c r="AQ812" s="1">
        <v>81</v>
      </c>
      <c r="AR812" s="1"/>
      <c r="AS812" s="1"/>
      <c r="AT812" s="1"/>
      <c r="AU812" s="1"/>
      <c r="AV812" s="1"/>
      <c r="AW812" s="1"/>
      <c r="AX812" s="1"/>
      <c r="AY812" s="1" t="s">
        <v>6324</v>
      </c>
      <c r="AZ812" s="1" t="s">
        <v>15098</v>
      </c>
      <c r="BA812" s="1" t="s">
        <v>682</v>
      </c>
      <c r="BB812" s="1" t="s">
        <v>683</v>
      </c>
      <c r="BC812" s="1" t="s">
        <v>1065</v>
      </c>
      <c r="BD812" s="1" t="s">
        <v>179</v>
      </c>
      <c r="BE812" s="1">
        <v>75.2</v>
      </c>
      <c r="BF812" s="1">
        <v>7.52</v>
      </c>
      <c r="BG812" s="1"/>
      <c r="BH812" s="1"/>
      <c r="BI812" s="1"/>
      <c r="BJ812" s="1"/>
      <c r="BK812" s="1"/>
      <c r="BL812" s="1"/>
      <c r="BM812" s="1"/>
      <c r="BN812" s="1"/>
      <c r="BO812" s="1" t="s">
        <v>15099</v>
      </c>
      <c r="BP812" s="1" t="s">
        <v>15100</v>
      </c>
      <c r="BQ812" s="1" t="s">
        <v>736</v>
      </c>
      <c r="BR812" s="1" t="s">
        <v>15101</v>
      </c>
      <c r="BS812" s="1">
        <v>32</v>
      </c>
      <c r="BT812" s="1" t="s">
        <v>15102</v>
      </c>
      <c r="BU812" s="1" t="str">
        <f>HYPERLINK("https://nconnect.nicmar.ac.in/storage/profile/6a84b6de31ff7.png","Download")</f>
        <v>0</v>
      </c>
      <c r="BV812" s="3"/>
      <c r="BW812" s="3"/>
    </row>
    <row r="813" spans="1:75">
      <c r="A813" s="1" t="s">
        <v>75</v>
      </c>
      <c r="B813" s="1" t="s">
        <v>13976</v>
      </c>
      <c r="C813" s="1" t="s">
        <v>15103</v>
      </c>
      <c r="D813" s="1" t="s">
        <v>15104</v>
      </c>
      <c r="E813" s="1"/>
      <c r="F813" s="1" t="s">
        <v>15105</v>
      </c>
      <c r="G813" s="1" t="s">
        <v>15106</v>
      </c>
      <c r="H813" s="1" t="s">
        <v>15107</v>
      </c>
      <c r="I813" s="1" t="s">
        <v>15107</v>
      </c>
      <c r="J813" s="1">
        <v>7993487124</v>
      </c>
      <c r="K813" s="1" t="s">
        <v>153</v>
      </c>
      <c r="L813" s="1" t="s">
        <v>15108</v>
      </c>
      <c r="M813" s="1" t="s">
        <v>86</v>
      </c>
      <c r="N813" s="1" t="s">
        <v>15109</v>
      </c>
      <c r="O813" s="1" t="s">
        <v>15110</v>
      </c>
      <c r="P813" s="1" t="s">
        <v>89</v>
      </c>
      <c r="Q813" s="1">
        <v>803696628422</v>
      </c>
      <c r="R813" s="1" t="s">
        <v>2273</v>
      </c>
      <c r="S813" s="1">
        <v>9959222943</v>
      </c>
      <c r="T813" s="1" t="s">
        <v>15111</v>
      </c>
      <c r="U813" s="1" t="s">
        <v>6331</v>
      </c>
      <c r="V813" s="1">
        <v>8985659121</v>
      </c>
      <c r="W813" s="1" t="s">
        <v>1257</v>
      </c>
      <c r="X813" s="1" t="s">
        <v>15112</v>
      </c>
      <c r="Y813" s="1" t="s">
        <v>8352</v>
      </c>
      <c r="Z813" s="1" t="s">
        <v>461</v>
      </c>
      <c r="AA813" s="1" t="s">
        <v>15112</v>
      </c>
      <c r="AB813" s="1" t="s">
        <v>8352</v>
      </c>
      <c r="AC813" s="1" t="s">
        <v>461</v>
      </c>
      <c r="AD813" s="1" t="s">
        <v>98</v>
      </c>
      <c r="AE813" s="1" t="s">
        <v>98</v>
      </c>
      <c r="AF813" s="1" t="s">
        <v>15113</v>
      </c>
      <c r="AG813" s="1" t="s">
        <v>15114</v>
      </c>
      <c r="AH813" s="1" t="s">
        <v>4439</v>
      </c>
      <c r="AI813" s="1" t="s">
        <v>106</v>
      </c>
      <c r="AJ813" s="1">
        <v>97</v>
      </c>
      <c r="AK813" s="1">
        <v>9.7</v>
      </c>
      <c r="AL813" s="1" t="s">
        <v>1603</v>
      </c>
      <c r="AM813" s="1" t="s">
        <v>15115</v>
      </c>
      <c r="AN813" s="1" t="s">
        <v>465</v>
      </c>
      <c r="AO813" s="1" t="s">
        <v>1065</v>
      </c>
      <c r="AP813" s="1" t="s">
        <v>977</v>
      </c>
      <c r="AQ813" s="1">
        <v>98.6</v>
      </c>
      <c r="AR813" s="1">
        <v>9.8</v>
      </c>
      <c r="AS813" s="1"/>
      <c r="AT813" s="1"/>
      <c r="AU813" s="1"/>
      <c r="AV813" s="1"/>
      <c r="AW813" s="1"/>
      <c r="AX813" s="1"/>
      <c r="AY813" s="1" t="s">
        <v>5533</v>
      </c>
      <c r="AZ813" s="1" t="s">
        <v>15116</v>
      </c>
      <c r="BA813" s="1" t="s">
        <v>682</v>
      </c>
      <c r="BB813" s="1" t="s">
        <v>683</v>
      </c>
      <c r="BC813" s="1" t="s">
        <v>890</v>
      </c>
      <c r="BD813" s="1" t="s">
        <v>5340</v>
      </c>
      <c r="BE813" s="1">
        <v>79</v>
      </c>
      <c r="BF813" s="1">
        <v>8.35</v>
      </c>
      <c r="BG813" s="1"/>
      <c r="BH813" s="1"/>
      <c r="BI813" s="1"/>
      <c r="BJ813" s="1"/>
      <c r="BK813" s="1"/>
      <c r="BL813" s="1"/>
      <c r="BM813" s="1"/>
      <c r="BN813" s="1"/>
      <c r="BO813" s="1" t="s">
        <v>15117</v>
      </c>
      <c r="BP813" s="1" t="s">
        <v>15118</v>
      </c>
      <c r="BQ813" s="1" t="s">
        <v>292</v>
      </c>
      <c r="BR813" s="1"/>
      <c r="BS813" s="1"/>
      <c r="BT813" s="1" t="s">
        <v>15119</v>
      </c>
      <c r="BU813" s="1" t="str">
        <f>HYPERLINK("https://nconnect.nicmar.ac.in/storage/profile/6a871cf367282.png","Download")</f>
        <v>0</v>
      </c>
      <c r="BV813" s="3"/>
      <c r="BW813" s="3"/>
    </row>
    <row r="814" spans="1:75">
      <c r="A814" s="1" t="s">
        <v>75</v>
      </c>
      <c r="B814" s="1" t="s">
        <v>13976</v>
      </c>
      <c r="C814" s="1" t="s">
        <v>15120</v>
      </c>
      <c r="D814" s="1" t="s">
        <v>15121</v>
      </c>
      <c r="E814" s="1" t="s">
        <v>15122</v>
      </c>
      <c r="F814" s="1" t="s">
        <v>15123</v>
      </c>
      <c r="G814" s="1" t="s">
        <v>15124</v>
      </c>
      <c r="H814" s="1" t="s">
        <v>15125</v>
      </c>
      <c r="I814" s="1" t="s">
        <v>15126</v>
      </c>
      <c r="J814" s="1">
        <v>7517089896</v>
      </c>
      <c r="K814" s="1" t="s">
        <v>84</v>
      </c>
      <c r="L814" s="1" t="s">
        <v>8110</v>
      </c>
      <c r="M814" s="1" t="s">
        <v>86</v>
      </c>
      <c r="N814" s="1" t="s">
        <v>4278</v>
      </c>
      <c r="O814" s="1" t="s">
        <v>15127</v>
      </c>
      <c r="P814" s="1" t="s">
        <v>122</v>
      </c>
      <c r="Q814" s="1" t="s">
        <v>15128</v>
      </c>
      <c r="R814" s="1" t="s">
        <v>15122</v>
      </c>
      <c r="S814" s="1">
        <v>9371089896</v>
      </c>
      <c r="T814" s="1" t="s">
        <v>3439</v>
      </c>
      <c r="U814" s="1" t="s">
        <v>15129</v>
      </c>
      <c r="V814" s="1">
        <v>9372289896</v>
      </c>
      <c r="W814" s="1" t="s">
        <v>14234</v>
      </c>
      <c r="X814" s="1" t="s">
        <v>15130</v>
      </c>
      <c r="Y814" s="1" t="s">
        <v>196</v>
      </c>
      <c r="Z814" s="1" t="s">
        <v>97</v>
      </c>
      <c r="AA814" s="1" t="s">
        <v>15130</v>
      </c>
      <c r="AB814" s="1" t="s">
        <v>196</v>
      </c>
      <c r="AC814" s="1" t="s">
        <v>97</v>
      </c>
      <c r="AD814" s="1" t="s">
        <v>98</v>
      </c>
      <c r="AE814" s="1" t="s">
        <v>98</v>
      </c>
      <c r="AF814" s="1" t="s">
        <v>15131</v>
      </c>
      <c r="AG814" s="1" t="s">
        <v>15132</v>
      </c>
      <c r="AH814" s="1" t="s">
        <v>438</v>
      </c>
      <c r="AI814" s="1" t="s">
        <v>603</v>
      </c>
      <c r="AJ814" s="1">
        <v>73.2</v>
      </c>
      <c r="AK814" s="1"/>
      <c r="AL814" s="1"/>
      <c r="AM814" s="1"/>
      <c r="AN814" s="1"/>
      <c r="AO814" s="1"/>
      <c r="AP814" s="1"/>
      <c r="AQ814" s="1"/>
      <c r="AR814" s="1"/>
      <c r="AS814" s="1" t="s">
        <v>14158</v>
      </c>
      <c r="AT814" s="1" t="s">
        <v>15133</v>
      </c>
      <c r="AU814" s="1" t="s">
        <v>1040</v>
      </c>
      <c r="AV814" s="1" t="s">
        <v>234</v>
      </c>
      <c r="AW814" s="1">
        <v>77.56</v>
      </c>
      <c r="AX814" s="1"/>
      <c r="AY814" s="1" t="s">
        <v>14160</v>
      </c>
      <c r="AZ814" s="1" t="s">
        <v>15134</v>
      </c>
      <c r="BA814" s="1" t="s">
        <v>578</v>
      </c>
      <c r="BB814" s="1" t="s">
        <v>467</v>
      </c>
      <c r="BC814" s="1" t="s">
        <v>391</v>
      </c>
      <c r="BD814" s="1" t="s">
        <v>14162</v>
      </c>
      <c r="BE814" s="1">
        <v>70</v>
      </c>
      <c r="BF814" s="1">
        <v>7.75</v>
      </c>
      <c r="BG814" s="1"/>
      <c r="BH814" s="1"/>
      <c r="BI814" s="1"/>
      <c r="BJ814" s="1"/>
      <c r="BK814" s="1"/>
      <c r="BL814" s="1"/>
      <c r="BM814" s="1"/>
      <c r="BN814" s="1"/>
      <c r="BO814" s="1" t="s">
        <v>15135</v>
      </c>
      <c r="BP814" s="1"/>
      <c r="BQ814" s="1"/>
      <c r="BR814" s="1" t="s">
        <v>15136</v>
      </c>
      <c r="BS814" s="1">
        <v>8</v>
      </c>
      <c r="BT814" s="1" t="s">
        <v>15137</v>
      </c>
      <c r="BU814" s="1" t="str">
        <f>HYPERLINK("https://nconnect.nicmar.ac.in/storage/profile/6a8582f041006.png","Download")</f>
        <v>0</v>
      </c>
      <c r="BV814" s="3"/>
      <c r="BW814" s="3"/>
    </row>
    <row r="815" spans="1:75">
      <c r="A815" s="1" t="s">
        <v>75</v>
      </c>
      <c r="B815" s="1" t="s">
        <v>13976</v>
      </c>
      <c r="C815" s="1" t="s">
        <v>15138</v>
      </c>
      <c r="D815" s="1" t="s">
        <v>15139</v>
      </c>
      <c r="E815" s="1"/>
      <c r="F815" s="1" t="s">
        <v>15140</v>
      </c>
      <c r="G815" s="1" t="s">
        <v>15141</v>
      </c>
      <c r="H815" s="1" t="s">
        <v>15142</v>
      </c>
      <c r="I815" s="1" t="s">
        <v>15142</v>
      </c>
      <c r="J815" s="1">
        <v>9555094869</v>
      </c>
      <c r="K815" s="1" t="s">
        <v>84</v>
      </c>
      <c r="L815" s="1" t="s">
        <v>15143</v>
      </c>
      <c r="M815" s="1" t="s">
        <v>86</v>
      </c>
      <c r="N815" s="1" t="s">
        <v>355</v>
      </c>
      <c r="O815" s="1" t="s">
        <v>15144</v>
      </c>
      <c r="P815" s="1" t="s">
        <v>122</v>
      </c>
      <c r="Q815" s="1">
        <v>786392636234</v>
      </c>
      <c r="R815" s="1" t="s">
        <v>15145</v>
      </c>
      <c r="S815" s="1">
        <v>9415385550</v>
      </c>
      <c r="T815" s="1" t="s">
        <v>15146</v>
      </c>
      <c r="U815" s="1" t="s">
        <v>15147</v>
      </c>
      <c r="V815" s="1">
        <v>9415390663</v>
      </c>
      <c r="W815" s="1" t="s">
        <v>15148</v>
      </c>
      <c r="X815" s="1" t="s">
        <v>15149</v>
      </c>
      <c r="Y815" s="1" t="s">
        <v>15150</v>
      </c>
      <c r="Z815" s="1" t="s">
        <v>544</v>
      </c>
      <c r="AA815" s="1" t="s">
        <v>15149</v>
      </c>
      <c r="AB815" s="1" t="s">
        <v>15150</v>
      </c>
      <c r="AC815" s="1" t="s">
        <v>544</v>
      </c>
      <c r="AD815" s="1" t="s">
        <v>98</v>
      </c>
      <c r="AE815" s="1" t="s">
        <v>98</v>
      </c>
      <c r="AF815" s="1" t="s">
        <v>15151</v>
      </c>
      <c r="AG815" s="1" t="s">
        <v>15152</v>
      </c>
      <c r="AH815" s="1" t="s">
        <v>547</v>
      </c>
      <c r="AI815" s="1" t="s">
        <v>977</v>
      </c>
      <c r="AJ815" s="1">
        <v>76</v>
      </c>
      <c r="AK815" s="1"/>
      <c r="AL815" s="1" t="s">
        <v>15153</v>
      </c>
      <c r="AM815" s="1" t="s">
        <v>796</v>
      </c>
      <c r="AN815" s="1" t="s">
        <v>465</v>
      </c>
      <c r="AO815" s="1" t="s">
        <v>178</v>
      </c>
      <c r="AP815" s="1" t="s">
        <v>632</v>
      </c>
      <c r="AQ815" s="1">
        <v>80</v>
      </c>
      <c r="AR815" s="1"/>
      <c r="AS815" s="1"/>
      <c r="AT815" s="1"/>
      <c r="AU815" s="1"/>
      <c r="AV815" s="1"/>
      <c r="AW815" s="1"/>
      <c r="AX815" s="1"/>
      <c r="AY815" s="1" t="s">
        <v>7423</v>
      </c>
      <c r="AZ815" s="1" t="s">
        <v>15154</v>
      </c>
      <c r="BA815" s="1" t="s">
        <v>466</v>
      </c>
      <c r="BB815" s="1" t="s">
        <v>467</v>
      </c>
      <c r="BC815" s="1" t="s">
        <v>1400</v>
      </c>
      <c r="BD815" s="1" t="s">
        <v>9688</v>
      </c>
      <c r="BE815" s="1">
        <v>67</v>
      </c>
      <c r="BF815" s="1">
        <v>7.05</v>
      </c>
      <c r="BG815" s="1"/>
      <c r="BH815" s="1"/>
      <c r="BI815" s="1"/>
      <c r="BJ815" s="1"/>
      <c r="BK815" s="1"/>
      <c r="BL815" s="1"/>
      <c r="BM815" s="1"/>
      <c r="BN815" s="1"/>
      <c r="BO815" s="1" t="s">
        <v>15155</v>
      </c>
      <c r="BP815" s="1"/>
      <c r="BQ815" s="1"/>
      <c r="BR815" s="1" t="s">
        <v>15156</v>
      </c>
      <c r="BS815" s="1">
        <v>19</v>
      </c>
      <c r="BT815" s="1" t="s">
        <v>15157</v>
      </c>
      <c r="BU815" s="1" t="str">
        <f>HYPERLINK("https://nconnect.nicmar.ac.in/storage/profile/6a874d6937713.png","Download")</f>
        <v>0</v>
      </c>
      <c r="BV815" s="3"/>
      <c r="BW815" s="3"/>
    </row>
    <row r="816" spans="1:75">
      <c r="A816" s="1" t="s">
        <v>75</v>
      </c>
      <c r="B816" s="1" t="s">
        <v>13976</v>
      </c>
      <c r="C816" s="1" t="s">
        <v>15158</v>
      </c>
      <c r="D816" s="1" t="s">
        <v>15159</v>
      </c>
      <c r="E816" s="1"/>
      <c r="F816" s="1" t="s">
        <v>15160</v>
      </c>
      <c r="G816" s="1" t="s">
        <v>15161</v>
      </c>
      <c r="H816" s="1" t="s">
        <v>15162</v>
      </c>
      <c r="I816" s="1" t="s">
        <v>15162</v>
      </c>
      <c r="J816" s="1">
        <v>9518277939</v>
      </c>
      <c r="K816" s="1" t="s">
        <v>84</v>
      </c>
      <c r="L816" s="1" t="s">
        <v>15163</v>
      </c>
      <c r="M816" s="1" t="s">
        <v>86</v>
      </c>
      <c r="N816" s="1" t="s">
        <v>15164</v>
      </c>
      <c r="O816" s="1" t="s">
        <v>15165</v>
      </c>
      <c r="P816" s="1" t="s">
        <v>89</v>
      </c>
      <c r="Q816" s="1">
        <v>759316099240</v>
      </c>
      <c r="R816" s="1" t="s">
        <v>15166</v>
      </c>
      <c r="S816" s="1">
        <v>9306575721</v>
      </c>
      <c r="T816" s="1" t="s">
        <v>13987</v>
      </c>
      <c r="U816" s="1" t="s">
        <v>15167</v>
      </c>
      <c r="V816" s="1">
        <v>8307709447</v>
      </c>
      <c r="W816" s="1" t="s">
        <v>15168</v>
      </c>
      <c r="X816" s="1" t="s">
        <v>15169</v>
      </c>
      <c r="Y816" s="1" t="s">
        <v>15170</v>
      </c>
      <c r="Z816" s="1" t="s">
        <v>1700</v>
      </c>
      <c r="AA816" s="1" t="s">
        <v>15169</v>
      </c>
      <c r="AB816" s="1" t="s">
        <v>15170</v>
      </c>
      <c r="AC816" s="1" t="s">
        <v>1700</v>
      </c>
      <c r="AD816" s="1" t="s">
        <v>98</v>
      </c>
      <c r="AE816" s="1" t="s">
        <v>98</v>
      </c>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t="s">
        <v>15171</v>
      </c>
      <c r="BS816" s="1">
        <v>21</v>
      </c>
      <c r="BT816" s="1"/>
      <c r="BU816" s="1" t="str">
        <f>HYPERLINK("https://nconnect.nicmar.ac.in/storage/profile/6a8681a7319be.png","Download")</f>
        <v>0</v>
      </c>
      <c r="BV816" s="3"/>
      <c r="BW816" s="3"/>
    </row>
    <row r="817" spans="1:75">
      <c r="A817" s="1" t="s">
        <v>75</v>
      </c>
      <c r="B817" s="1" t="s">
        <v>13976</v>
      </c>
      <c r="C817" s="1" t="s">
        <v>15172</v>
      </c>
      <c r="D817" s="1" t="s">
        <v>15173</v>
      </c>
      <c r="E817" s="1" t="s">
        <v>15174</v>
      </c>
      <c r="F817" s="1" t="s">
        <v>15175</v>
      </c>
      <c r="G817" s="1" t="s">
        <v>15176</v>
      </c>
      <c r="H817" s="1" t="s">
        <v>15177</v>
      </c>
      <c r="I817" s="1" t="s">
        <v>15178</v>
      </c>
      <c r="J817" s="1">
        <v>6354760609</v>
      </c>
      <c r="K817" s="1" t="s">
        <v>84</v>
      </c>
      <c r="L817" s="1" t="s">
        <v>15179</v>
      </c>
      <c r="M817" s="1" t="s">
        <v>86</v>
      </c>
      <c r="N817" s="1" t="s">
        <v>14313</v>
      </c>
      <c r="O817" s="1" t="s">
        <v>15180</v>
      </c>
      <c r="P817" s="1" t="s">
        <v>89</v>
      </c>
      <c r="Q817" s="1">
        <v>937855441468</v>
      </c>
      <c r="R817" s="1" t="s">
        <v>15181</v>
      </c>
      <c r="S817" s="1">
        <v>9909509760</v>
      </c>
      <c r="T817" s="1" t="s">
        <v>15182</v>
      </c>
      <c r="U817" s="1" t="s">
        <v>15183</v>
      </c>
      <c r="V817" s="1">
        <v>9925793774</v>
      </c>
      <c r="W817" s="1" t="s">
        <v>14154</v>
      </c>
      <c r="X817" s="1" t="s">
        <v>15184</v>
      </c>
      <c r="Y817" s="1" t="s">
        <v>5138</v>
      </c>
      <c r="Z817" s="1" t="s">
        <v>676</v>
      </c>
      <c r="AA817" s="1" t="s">
        <v>15184</v>
      </c>
      <c r="AB817" s="1" t="s">
        <v>5138</v>
      </c>
      <c r="AC817" s="1" t="s">
        <v>676</v>
      </c>
      <c r="AD817" s="1" t="s">
        <v>98</v>
      </c>
      <c r="AE817" s="1" t="s">
        <v>98</v>
      </c>
      <c r="AF817" s="1" t="s">
        <v>15185</v>
      </c>
      <c r="AG817" s="1" t="s">
        <v>15186</v>
      </c>
      <c r="AH817" s="1" t="s">
        <v>414</v>
      </c>
      <c r="AI817" s="1" t="s">
        <v>603</v>
      </c>
      <c r="AJ817" s="1">
        <v>66.5</v>
      </c>
      <c r="AK817" s="1">
        <v>7.0</v>
      </c>
      <c r="AL817" s="1" t="s">
        <v>15187</v>
      </c>
      <c r="AM817" s="1" t="s">
        <v>15186</v>
      </c>
      <c r="AN817" s="1" t="s">
        <v>465</v>
      </c>
      <c r="AO817" s="1" t="s">
        <v>1192</v>
      </c>
      <c r="AP817" s="1" t="s">
        <v>1886</v>
      </c>
      <c r="AQ817" s="1">
        <v>59.84</v>
      </c>
      <c r="AR817" s="1">
        <v>6.29</v>
      </c>
      <c r="AS817" s="1"/>
      <c r="AT817" s="1"/>
      <c r="AU817" s="1"/>
      <c r="AV817" s="1"/>
      <c r="AW817" s="1"/>
      <c r="AX817" s="1"/>
      <c r="AY817" s="1" t="s">
        <v>15188</v>
      </c>
      <c r="AZ817" s="1" t="s">
        <v>15189</v>
      </c>
      <c r="BA817" s="1" t="s">
        <v>578</v>
      </c>
      <c r="BB817" s="1" t="s">
        <v>467</v>
      </c>
      <c r="BC817" s="1" t="s">
        <v>1802</v>
      </c>
      <c r="BD817" s="1" t="s">
        <v>9688</v>
      </c>
      <c r="BE817" s="1">
        <v>70.1</v>
      </c>
      <c r="BF817" s="1">
        <v>7.51</v>
      </c>
      <c r="BG817" s="1"/>
      <c r="BH817" s="1"/>
      <c r="BI817" s="1"/>
      <c r="BJ817" s="1"/>
      <c r="BK817" s="1"/>
      <c r="BL817" s="1"/>
      <c r="BM817" s="1"/>
      <c r="BN817" s="1"/>
      <c r="BO817" s="1" t="s">
        <v>15190</v>
      </c>
      <c r="BP817" s="1"/>
      <c r="BQ817" s="1"/>
      <c r="BR817" s="1" t="s">
        <v>15191</v>
      </c>
      <c r="BS817" s="1">
        <v>12</v>
      </c>
      <c r="BT817" s="1" t="s">
        <v>15192</v>
      </c>
      <c r="BU817" s="1" t="str">
        <f>HYPERLINK("https://nconnect.nicmar.ac.in/storage/profile/6a872071c7a2b.png","Download")</f>
        <v>0</v>
      </c>
      <c r="BV817" s="3"/>
      <c r="BW817" s="3"/>
    </row>
    <row r="818" spans="1:75">
      <c r="A818" s="1" t="s">
        <v>75</v>
      </c>
      <c r="B818" s="1" t="s">
        <v>13976</v>
      </c>
      <c r="C818" s="1" t="s">
        <v>15193</v>
      </c>
      <c r="D818" s="1" t="s">
        <v>15194</v>
      </c>
      <c r="E818" s="1"/>
      <c r="F818" s="1" t="s">
        <v>15195</v>
      </c>
      <c r="G818" s="1" t="s">
        <v>15196</v>
      </c>
      <c r="H818" s="1" t="s">
        <v>15197</v>
      </c>
      <c r="I818" s="1" t="s">
        <v>15197</v>
      </c>
      <c r="J818" s="1">
        <v>8089338368</v>
      </c>
      <c r="K818" s="1" t="s">
        <v>84</v>
      </c>
      <c r="L818" s="1" t="s">
        <v>15198</v>
      </c>
      <c r="M818" s="1" t="s">
        <v>86</v>
      </c>
      <c r="N818" s="1" t="s">
        <v>15199</v>
      </c>
      <c r="O818" s="1" t="s">
        <v>15200</v>
      </c>
      <c r="P818" s="1" t="s">
        <v>122</v>
      </c>
      <c r="Q818" s="1" t="s">
        <v>15201</v>
      </c>
      <c r="R818" s="1" t="s">
        <v>15202</v>
      </c>
      <c r="S818" s="1">
        <v>7510459676</v>
      </c>
      <c r="T818" s="1" t="s">
        <v>3439</v>
      </c>
      <c r="U818" s="1" t="s">
        <v>15203</v>
      </c>
      <c r="V818" s="1">
        <v>9497459676</v>
      </c>
      <c r="W818" s="1" t="s">
        <v>14234</v>
      </c>
      <c r="X818" s="1" t="s">
        <v>15204</v>
      </c>
      <c r="Y818" s="1" t="s">
        <v>701</v>
      </c>
      <c r="Z818" s="1" t="s">
        <v>130</v>
      </c>
      <c r="AA818" s="1" t="s">
        <v>15204</v>
      </c>
      <c r="AB818" s="1" t="s">
        <v>701</v>
      </c>
      <c r="AC818" s="1" t="s">
        <v>130</v>
      </c>
      <c r="AD818" s="1" t="s">
        <v>98</v>
      </c>
      <c r="AE818" s="1" t="s">
        <v>98</v>
      </c>
      <c r="AF818" s="1" t="s">
        <v>15205</v>
      </c>
      <c r="AG818" s="1" t="s">
        <v>15206</v>
      </c>
      <c r="AH818" s="1" t="s">
        <v>438</v>
      </c>
      <c r="AI818" s="1" t="s">
        <v>977</v>
      </c>
      <c r="AJ818" s="1">
        <v>82.6</v>
      </c>
      <c r="AK818" s="1"/>
      <c r="AL818" s="1" t="s">
        <v>15207</v>
      </c>
      <c r="AM818" s="1" t="s">
        <v>15208</v>
      </c>
      <c r="AN818" s="1" t="s">
        <v>575</v>
      </c>
      <c r="AO818" s="1" t="s">
        <v>847</v>
      </c>
      <c r="AP818" s="1" t="s">
        <v>521</v>
      </c>
      <c r="AQ818" s="1">
        <v>92.33</v>
      </c>
      <c r="AR818" s="1"/>
      <c r="AS818" s="1"/>
      <c r="AT818" s="1"/>
      <c r="AU818" s="1"/>
      <c r="AV818" s="1"/>
      <c r="AW818" s="1"/>
      <c r="AX818" s="1"/>
      <c r="AY818" s="1" t="s">
        <v>15209</v>
      </c>
      <c r="AZ818" s="1" t="s">
        <v>15210</v>
      </c>
      <c r="BA818" s="1" t="s">
        <v>466</v>
      </c>
      <c r="BB818" s="1" t="s">
        <v>467</v>
      </c>
      <c r="BC818" s="1" t="s">
        <v>289</v>
      </c>
      <c r="BD818" s="1" t="s">
        <v>14101</v>
      </c>
      <c r="BE818" s="1">
        <v>68.0</v>
      </c>
      <c r="BF818" s="1">
        <v>6.8</v>
      </c>
      <c r="BG818" s="1"/>
      <c r="BH818" s="1"/>
      <c r="BI818" s="1"/>
      <c r="BJ818" s="1"/>
      <c r="BK818" s="1"/>
      <c r="BL818" s="1"/>
      <c r="BM818" s="1"/>
      <c r="BN818" s="1"/>
      <c r="BO818" s="1" t="s">
        <v>15211</v>
      </c>
      <c r="BP818" s="1"/>
      <c r="BQ818" s="1"/>
      <c r="BR818" s="1"/>
      <c r="BS818" s="1"/>
      <c r="BT818" s="1"/>
      <c r="BU818" s="1" t="str">
        <f>HYPERLINK("https://nconnect.nicmar.ac.in/storage/profile/6a85f412277cc.png","Download")</f>
        <v>0</v>
      </c>
      <c r="BV818" s="3"/>
      <c r="BW818" s="3"/>
    </row>
    <row r="819" spans="1:75">
      <c r="A819" s="1" t="s">
        <v>75</v>
      </c>
      <c r="B819" s="1" t="s">
        <v>13976</v>
      </c>
      <c r="C819" s="1" t="s">
        <v>15212</v>
      </c>
      <c r="D819" s="1" t="s">
        <v>15213</v>
      </c>
      <c r="E819" s="1" t="s">
        <v>15214</v>
      </c>
      <c r="F819" s="1" t="s">
        <v>15215</v>
      </c>
      <c r="G819" s="1" t="s">
        <v>15216</v>
      </c>
      <c r="H819" s="1" t="s">
        <v>15217</v>
      </c>
      <c r="I819" s="1" t="s">
        <v>15217</v>
      </c>
      <c r="J819" s="1">
        <v>8825890062</v>
      </c>
      <c r="K819" s="1" t="s">
        <v>84</v>
      </c>
      <c r="L819" s="1" t="s">
        <v>15218</v>
      </c>
      <c r="M819" s="1" t="s">
        <v>86</v>
      </c>
      <c r="N819" s="1" t="s">
        <v>15219</v>
      </c>
      <c r="O819" s="1" t="s">
        <v>15220</v>
      </c>
      <c r="P819" s="1" t="s">
        <v>356</v>
      </c>
      <c r="Q819" s="1">
        <v>276893558798</v>
      </c>
      <c r="R819" s="1" t="s">
        <v>15221</v>
      </c>
      <c r="S819" s="1">
        <v>7904149076</v>
      </c>
      <c r="T819" s="1" t="s">
        <v>15222</v>
      </c>
      <c r="U819" s="1" t="s">
        <v>15223</v>
      </c>
      <c r="V819" s="1">
        <v>9841685958</v>
      </c>
      <c r="W819" s="1" t="s">
        <v>3441</v>
      </c>
      <c r="X819" s="1" t="s">
        <v>15224</v>
      </c>
      <c r="Y819" s="1" t="s">
        <v>1498</v>
      </c>
      <c r="Z819" s="1" t="s">
        <v>570</v>
      </c>
      <c r="AA819" s="1" t="s">
        <v>15224</v>
      </c>
      <c r="AB819" s="1" t="s">
        <v>1498</v>
      </c>
      <c r="AC819" s="1" t="s">
        <v>570</v>
      </c>
      <c r="AD819" s="1" t="s">
        <v>98</v>
      </c>
      <c r="AE819" s="1" t="s">
        <v>98</v>
      </c>
      <c r="AF819" s="1" t="s">
        <v>15225</v>
      </c>
      <c r="AG819" s="1" t="s">
        <v>15226</v>
      </c>
      <c r="AH819" s="1" t="s">
        <v>171</v>
      </c>
      <c r="AI819" s="1" t="s">
        <v>313</v>
      </c>
      <c r="AJ819" s="1">
        <v>78.2</v>
      </c>
      <c r="AK819" s="1"/>
      <c r="AL819" s="1" t="s">
        <v>15227</v>
      </c>
      <c r="AM819" s="1" t="s">
        <v>15228</v>
      </c>
      <c r="AN819" s="1" t="s">
        <v>465</v>
      </c>
      <c r="AO819" s="1" t="s">
        <v>417</v>
      </c>
      <c r="AP819" s="1" t="s">
        <v>845</v>
      </c>
      <c r="AQ819" s="1">
        <v>80.37</v>
      </c>
      <c r="AR819" s="1"/>
      <c r="AS819" s="1"/>
      <c r="AT819" s="1"/>
      <c r="AU819" s="1"/>
      <c r="AV819" s="1"/>
      <c r="AW819" s="1"/>
      <c r="AX819" s="1"/>
      <c r="AY819" s="1" t="s">
        <v>15229</v>
      </c>
      <c r="AZ819" s="1" t="s">
        <v>15228</v>
      </c>
      <c r="BA819" s="1" t="s">
        <v>578</v>
      </c>
      <c r="BB819" s="1" t="s">
        <v>467</v>
      </c>
      <c r="BC819" s="1" t="s">
        <v>847</v>
      </c>
      <c r="BD819" s="1" t="s">
        <v>848</v>
      </c>
      <c r="BE819" s="1">
        <v>74.5</v>
      </c>
      <c r="BF819" s="1">
        <v>7.45</v>
      </c>
      <c r="BG819" s="1"/>
      <c r="BH819" s="1"/>
      <c r="BI819" s="1"/>
      <c r="BJ819" s="1"/>
      <c r="BK819" s="1"/>
      <c r="BL819" s="1"/>
      <c r="BM819" s="1"/>
      <c r="BN819" s="1"/>
      <c r="BO819" s="1" t="s">
        <v>15230</v>
      </c>
      <c r="BP819" s="1" t="s">
        <v>15231</v>
      </c>
      <c r="BQ819" s="1" t="s">
        <v>1070</v>
      </c>
      <c r="BR819" s="1" t="s">
        <v>15232</v>
      </c>
      <c r="BS819" s="1">
        <v>4</v>
      </c>
      <c r="BT819" s="1" t="s">
        <v>15233</v>
      </c>
      <c r="BU819" s="1" t="str">
        <f>HYPERLINK("https://nconnect.nicmar.ac.in/storage/profile/6a86f71d57fa0.png","Download")</f>
        <v>0</v>
      </c>
      <c r="BV819" s="3"/>
      <c r="BW819" s="3"/>
    </row>
    <row r="820" spans="1:75">
      <c r="A820" s="1" t="s">
        <v>75</v>
      </c>
      <c r="B820" s="1" t="s">
        <v>13976</v>
      </c>
      <c r="C820" s="1" t="s">
        <v>15234</v>
      </c>
      <c r="D820" s="1" t="s">
        <v>15235</v>
      </c>
      <c r="E820" s="1" t="s">
        <v>14328</v>
      </c>
      <c r="F820" s="1" t="s">
        <v>15236</v>
      </c>
      <c r="G820" s="1" t="s">
        <v>15237</v>
      </c>
      <c r="H820" s="1" t="s">
        <v>15238</v>
      </c>
      <c r="I820" s="1" t="s">
        <v>15239</v>
      </c>
      <c r="J820" s="1">
        <v>8658240432</v>
      </c>
      <c r="K820" s="1" t="s">
        <v>84</v>
      </c>
      <c r="L820" s="1" t="s">
        <v>7963</v>
      </c>
      <c r="M820" s="1" t="s">
        <v>86</v>
      </c>
      <c r="N820" s="1" t="s">
        <v>15240</v>
      </c>
      <c r="O820" s="1" t="s">
        <v>15241</v>
      </c>
      <c r="P820" s="1" t="s">
        <v>219</v>
      </c>
      <c r="Q820" s="1">
        <v>608727283990</v>
      </c>
      <c r="R820" s="1" t="s">
        <v>15242</v>
      </c>
      <c r="S820" s="1">
        <v>9439549695</v>
      </c>
      <c r="T820" s="1" t="s">
        <v>15243</v>
      </c>
      <c r="U820" s="1" t="s">
        <v>15244</v>
      </c>
      <c r="V820" s="1">
        <v>6370999659</v>
      </c>
      <c r="W820" s="1" t="s">
        <v>14212</v>
      </c>
      <c r="X820" s="1" t="s">
        <v>15245</v>
      </c>
      <c r="Y820" s="1" t="s">
        <v>4437</v>
      </c>
      <c r="Z820" s="1" t="s">
        <v>865</v>
      </c>
      <c r="AA820" s="1" t="s">
        <v>15245</v>
      </c>
      <c r="AB820" s="1" t="s">
        <v>4437</v>
      </c>
      <c r="AC820" s="1" t="s">
        <v>865</v>
      </c>
      <c r="AD820" s="1" t="s">
        <v>98</v>
      </c>
      <c r="AE820" s="1" t="s">
        <v>98</v>
      </c>
      <c r="AF820" s="1" t="s">
        <v>15246</v>
      </c>
      <c r="AG820" s="1" t="s">
        <v>15247</v>
      </c>
      <c r="AH820" s="1" t="s">
        <v>284</v>
      </c>
      <c r="AI820" s="1" t="s">
        <v>704</v>
      </c>
      <c r="AJ820" s="1">
        <v>80.16</v>
      </c>
      <c r="AK820" s="1"/>
      <c r="AL820" s="1" t="s">
        <v>15248</v>
      </c>
      <c r="AM820" s="1" t="s">
        <v>15249</v>
      </c>
      <c r="AN820" s="1" t="s">
        <v>465</v>
      </c>
      <c r="AO820" s="1" t="s">
        <v>170</v>
      </c>
      <c r="AP820" s="1" t="s">
        <v>438</v>
      </c>
      <c r="AQ820" s="1">
        <v>60</v>
      </c>
      <c r="AR820" s="1"/>
      <c r="AS820" s="1"/>
      <c r="AT820" s="1"/>
      <c r="AU820" s="1"/>
      <c r="AV820" s="1"/>
      <c r="AW820" s="1"/>
      <c r="AX820" s="1"/>
      <c r="AY820" s="1" t="s">
        <v>15250</v>
      </c>
      <c r="AZ820" s="1" t="s">
        <v>15251</v>
      </c>
      <c r="BA820" s="1" t="s">
        <v>466</v>
      </c>
      <c r="BB820" s="1" t="s">
        <v>467</v>
      </c>
      <c r="BC820" s="1" t="s">
        <v>468</v>
      </c>
      <c r="BD820" s="1" t="s">
        <v>207</v>
      </c>
      <c r="BE820" s="1">
        <v>74.5</v>
      </c>
      <c r="BF820" s="1">
        <v>7.95</v>
      </c>
      <c r="BG820" s="1"/>
      <c r="BH820" s="1"/>
      <c r="BI820" s="1"/>
      <c r="BJ820" s="1"/>
      <c r="BK820" s="1"/>
      <c r="BL820" s="1"/>
      <c r="BM820" s="1"/>
      <c r="BN820" s="1"/>
      <c r="BO820" s="1" t="s">
        <v>15252</v>
      </c>
      <c r="BP820" s="1" t="s">
        <v>15253</v>
      </c>
      <c r="BQ820" s="1" t="s">
        <v>7478</v>
      </c>
      <c r="BR820" s="1" t="s">
        <v>15254</v>
      </c>
      <c r="BS820" s="1">
        <v>52</v>
      </c>
      <c r="BT820" s="1"/>
      <c r="BU820" s="1" t="str">
        <f>HYPERLINK("https://nconnect.nicmar.ac.in/storage/profile/6a867a17436a7.png","Download")</f>
        <v>0</v>
      </c>
      <c r="BV820" s="3"/>
      <c r="BW820" s="3"/>
    </row>
    <row r="821" spans="1:75">
      <c r="A821" s="1" t="s">
        <v>75</v>
      </c>
      <c r="B821" s="1" t="s">
        <v>13976</v>
      </c>
      <c r="C821" s="1" t="s">
        <v>15255</v>
      </c>
      <c r="D821" s="1"/>
      <c r="E821" s="1"/>
      <c r="F821" s="1"/>
      <c r="G821" s="1"/>
      <c r="H821" s="1" t="s">
        <v>15256</v>
      </c>
      <c r="I821" s="1" t="s">
        <v>15256</v>
      </c>
      <c r="J821" s="1"/>
      <c r="K821" s="1"/>
      <c r="L821" s="1"/>
      <c r="M821" s="1"/>
      <c r="N821" s="1"/>
      <c r="O821" s="1"/>
      <c r="P821" s="1"/>
      <c r="Q821" s="1"/>
      <c r="R821" s="1"/>
      <c r="S821" s="1"/>
      <c r="T821" s="1"/>
      <c r="U821" s="1"/>
      <c r="V821" s="1"/>
      <c r="W821" s="1"/>
      <c r="X821" s="1"/>
      <c r="Y821" s="1"/>
      <c r="Z821" s="1"/>
      <c r="AA821" s="1"/>
      <c r="AB821" s="1"/>
      <c r="AC821" s="1"/>
      <c r="AD821" s="1" t="s">
        <v>98</v>
      </c>
      <c r="AE821" s="1" t="s">
        <v>98</v>
      </c>
      <c r="AF821" s="1" t="s">
        <v>15257</v>
      </c>
      <c r="AG821" s="1" t="s">
        <v>15258</v>
      </c>
      <c r="AH821" s="1" t="s">
        <v>704</v>
      </c>
      <c r="AI821" s="1" t="s">
        <v>171</v>
      </c>
      <c r="AJ821" s="1">
        <v>90</v>
      </c>
      <c r="AK821" s="1"/>
      <c r="AL821" s="1" t="s">
        <v>15259</v>
      </c>
      <c r="AM821" s="1" t="s">
        <v>15260</v>
      </c>
      <c r="AN821" s="1" t="s">
        <v>465</v>
      </c>
      <c r="AO821" s="1" t="s">
        <v>417</v>
      </c>
      <c r="AP821" s="1" t="s">
        <v>549</v>
      </c>
      <c r="AQ821" s="1">
        <v>70.8</v>
      </c>
      <c r="AR821" s="1"/>
      <c r="AS821" s="1"/>
      <c r="AT821" s="1"/>
      <c r="AU821" s="1"/>
      <c r="AV821" s="1"/>
      <c r="AW821" s="1"/>
      <c r="AX821" s="1"/>
      <c r="AY821" s="1" t="s">
        <v>15261</v>
      </c>
      <c r="AZ821" s="1" t="s">
        <v>15262</v>
      </c>
      <c r="BA821" s="1" t="s">
        <v>466</v>
      </c>
      <c r="BB821" s="1" t="s">
        <v>467</v>
      </c>
      <c r="BC821" s="1" t="s">
        <v>289</v>
      </c>
      <c r="BD821" s="1" t="s">
        <v>14514</v>
      </c>
      <c r="BE821" s="1">
        <v>75.33</v>
      </c>
      <c r="BF821" s="1">
        <v>7.93</v>
      </c>
      <c r="BG821" s="1"/>
      <c r="BH821" s="1"/>
      <c r="BI821" s="1"/>
      <c r="BJ821" s="1"/>
      <c r="BK821" s="1"/>
      <c r="BL821" s="1"/>
      <c r="BM821" s="1"/>
      <c r="BN821" s="1"/>
      <c r="BO821" s="1" t="s">
        <v>15263</v>
      </c>
      <c r="BP821" s="1"/>
      <c r="BQ821" s="1"/>
      <c r="BR821" s="1"/>
      <c r="BS821" s="1"/>
      <c r="BT821" s="1"/>
      <c r="BU821" s="1" t="str">
        <f>HYPERLINK("https://nconnect.nicmar.ac.in/storage/profile/6a83227a3dd5a.png","Download")</f>
        <v>0</v>
      </c>
      <c r="BV821" s="3"/>
      <c r="BW821" s="3"/>
    </row>
    <row r="822" spans="1:75">
      <c r="A822" s="1" t="s">
        <v>75</v>
      </c>
      <c r="B822" s="1" t="s">
        <v>13976</v>
      </c>
      <c r="C822" s="1" t="s">
        <v>15264</v>
      </c>
      <c r="D822" s="1" t="s">
        <v>14327</v>
      </c>
      <c r="E822" s="1" t="s">
        <v>14908</v>
      </c>
      <c r="F822" s="1" t="s">
        <v>15265</v>
      </c>
      <c r="G822" s="1" t="s">
        <v>15266</v>
      </c>
      <c r="H822" s="1" t="s">
        <v>15267</v>
      </c>
      <c r="I822" s="1" t="s">
        <v>15268</v>
      </c>
      <c r="J822" s="1">
        <v>9348562229</v>
      </c>
      <c r="K822" s="1" t="s">
        <v>84</v>
      </c>
      <c r="L822" s="1" t="s">
        <v>15269</v>
      </c>
      <c r="M822" s="1" t="s">
        <v>86</v>
      </c>
      <c r="N822" s="1" t="s">
        <v>1573</v>
      </c>
      <c r="O822" s="1" t="s">
        <v>15270</v>
      </c>
      <c r="P822" s="1" t="s">
        <v>219</v>
      </c>
      <c r="Q822" s="1">
        <v>661076932157</v>
      </c>
      <c r="R822" s="1" t="s">
        <v>15271</v>
      </c>
      <c r="S822" s="1">
        <v>7008705044</v>
      </c>
      <c r="T822" s="1" t="s">
        <v>3439</v>
      </c>
      <c r="U822" s="1" t="s">
        <v>15272</v>
      </c>
      <c r="V822" s="1">
        <v>8249577979</v>
      </c>
      <c r="W822" s="1" t="s">
        <v>14154</v>
      </c>
      <c r="X822" s="1" t="s">
        <v>15273</v>
      </c>
      <c r="Y822" s="1" t="s">
        <v>15274</v>
      </c>
      <c r="Z822" s="1" t="s">
        <v>865</v>
      </c>
      <c r="AA822" s="1" t="s">
        <v>15273</v>
      </c>
      <c r="AB822" s="1" t="s">
        <v>15274</v>
      </c>
      <c r="AC822" s="1" t="s">
        <v>865</v>
      </c>
      <c r="AD822" s="1" t="s">
        <v>98</v>
      </c>
      <c r="AE822" s="1" t="s">
        <v>98</v>
      </c>
      <c r="AF822" s="1" t="s">
        <v>15275</v>
      </c>
      <c r="AG822" s="1" t="s">
        <v>15276</v>
      </c>
      <c r="AH822" s="1" t="s">
        <v>102</v>
      </c>
      <c r="AI822" s="1" t="s">
        <v>284</v>
      </c>
      <c r="AJ822" s="1">
        <v>85.16</v>
      </c>
      <c r="AK822" s="1"/>
      <c r="AL822" s="1" t="s">
        <v>15277</v>
      </c>
      <c r="AM822" s="1" t="s">
        <v>15278</v>
      </c>
      <c r="AN822" s="1" t="s">
        <v>575</v>
      </c>
      <c r="AO822" s="1" t="s">
        <v>704</v>
      </c>
      <c r="AP822" s="1" t="s">
        <v>171</v>
      </c>
      <c r="AQ822" s="1">
        <v>60.66</v>
      </c>
      <c r="AR822" s="1"/>
      <c r="AS822" s="1"/>
      <c r="AT822" s="1"/>
      <c r="AU822" s="1"/>
      <c r="AV822" s="1"/>
      <c r="AW822" s="1"/>
      <c r="AX822" s="1"/>
      <c r="AY822" s="1" t="s">
        <v>15279</v>
      </c>
      <c r="AZ822" s="1" t="s">
        <v>15280</v>
      </c>
      <c r="BA822" s="1" t="s">
        <v>466</v>
      </c>
      <c r="BB822" s="1" t="s">
        <v>467</v>
      </c>
      <c r="BC822" s="1" t="s">
        <v>315</v>
      </c>
      <c r="BD822" s="1" t="s">
        <v>391</v>
      </c>
      <c r="BE822" s="1">
        <v>77.5</v>
      </c>
      <c r="BF822" s="1">
        <v>8.25</v>
      </c>
      <c r="BG822" s="1" t="s">
        <v>15281</v>
      </c>
      <c r="BH822" s="1" t="s">
        <v>15281</v>
      </c>
      <c r="BI822" s="1" t="s">
        <v>2209</v>
      </c>
      <c r="BJ822" s="1" t="s">
        <v>1585</v>
      </c>
      <c r="BK822" s="1" t="s">
        <v>179</v>
      </c>
      <c r="BL822" s="1" t="s">
        <v>1401</v>
      </c>
      <c r="BM822" s="1">
        <v>71.0</v>
      </c>
      <c r="BN822" s="1">
        <v>7.6</v>
      </c>
      <c r="BO822" s="1" t="s">
        <v>15282</v>
      </c>
      <c r="BP822" s="1" t="s">
        <v>15283</v>
      </c>
      <c r="BQ822" s="1" t="s">
        <v>1070</v>
      </c>
      <c r="BR822" s="1" t="s">
        <v>15284</v>
      </c>
      <c r="BS822" s="1">
        <v>18</v>
      </c>
      <c r="BT822" s="1" t="s">
        <v>15285</v>
      </c>
      <c r="BU822" s="1" t="str">
        <f>HYPERLINK("https://nconnect.nicmar.ac.in/storage/profile/6a85edd4ba25d.png","Download")</f>
        <v>0</v>
      </c>
      <c r="BV822" s="3"/>
      <c r="BW822" s="3"/>
    </row>
    <row r="823" spans="1:75">
      <c r="A823" s="1" t="s">
        <v>75</v>
      </c>
      <c r="B823" s="1" t="s">
        <v>13976</v>
      </c>
      <c r="C823" s="1" t="s">
        <v>15286</v>
      </c>
      <c r="D823" s="1" t="s">
        <v>15287</v>
      </c>
      <c r="E823" s="1" t="s">
        <v>15288</v>
      </c>
      <c r="F823" s="1" t="s">
        <v>15289</v>
      </c>
      <c r="G823" s="1" t="s">
        <v>15290</v>
      </c>
      <c r="H823" s="1" t="s">
        <v>15291</v>
      </c>
      <c r="I823" s="1" t="s">
        <v>15291</v>
      </c>
      <c r="J823" s="1">
        <v>9975836063</v>
      </c>
      <c r="K823" s="1" t="s">
        <v>84</v>
      </c>
      <c r="L823" s="1" t="s">
        <v>15292</v>
      </c>
      <c r="M823" s="1" t="s">
        <v>86</v>
      </c>
      <c r="N823" s="1" t="s">
        <v>15293</v>
      </c>
      <c r="O823" s="1" t="s">
        <v>15294</v>
      </c>
      <c r="P823" s="1" t="s">
        <v>356</v>
      </c>
      <c r="Q823" s="1">
        <v>519930719194</v>
      </c>
      <c r="R823" s="1" t="s">
        <v>15295</v>
      </c>
      <c r="S823" s="1">
        <v>9922661199</v>
      </c>
      <c r="T823" s="1" t="s">
        <v>15073</v>
      </c>
      <c r="U823" s="1" t="s">
        <v>15296</v>
      </c>
      <c r="V823" s="1">
        <v>7517827963</v>
      </c>
      <c r="W823" s="1" t="s">
        <v>14154</v>
      </c>
      <c r="X823" s="1" t="s">
        <v>15297</v>
      </c>
      <c r="Y823" s="1" t="s">
        <v>196</v>
      </c>
      <c r="Z823" s="1" t="s">
        <v>97</v>
      </c>
      <c r="AA823" s="1" t="s">
        <v>15297</v>
      </c>
      <c r="AB823" s="1" t="s">
        <v>196</v>
      </c>
      <c r="AC823" s="1" t="s">
        <v>97</v>
      </c>
      <c r="AD823" s="1" t="s">
        <v>98</v>
      </c>
      <c r="AE823" s="1" t="s">
        <v>98</v>
      </c>
      <c r="AF823" s="1" t="s">
        <v>15298</v>
      </c>
      <c r="AG823" s="1" t="s">
        <v>15299</v>
      </c>
      <c r="AH823" s="1" t="s">
        <v>438</v>
      </c>
      <c r="AI823" s="1" t="s">
        <v>603</v>
      </c>
      <c r="AJ823" s="1">
        <v>75.4</v>
      </c>
      <c r="AK823" s="1"/>
      <c r="AL823" s="1"/>
      <c r="AM823" s="1"/>
      <c r="AN823" s="1"/>
      <c r="AO823" s="1"/>
      <c r="AP823" s="1"/>
      <c r="AQ823" s="1"/>
      <c r="AR823" s="1"/>
      <c r="AS823" s="1" t="s">
        <v>14158</v>
      </c>
      <c r="AT823" s="1" t="s">
        <v>15300</v>
      </c>
      <c r="AU823" s="1" t="s">
        <v>178</v>
      </c>
      <c r="AV823" s="1" t="s">
        <v>234</v>
      </c>
      <c r="AW823" s="1">
        <v>68.95</v>
      </c>
      <c r="AX823" s="1"/>
      <c r="AY823" s="1" t="s">
        <v>14160</v>
      </c>
      <c r="AZ823" s="1" t="s">
        <v>15301</v>
      </c>
      <c r="BA823" s="1" t="s">
        <v>578</v>
      </c>
      <c r="BB823" s="1" t="s">
        <v>467</v>
      </c>
      <c r="BC823" s="1" t="s">
        <v>391</v>
      </c>
      <c r="BD823" s="1" t="s">
        <v>14162</v>
      </c>
      <c r="BE823" s="1">
        <v>71.2</v>
      </c>
      <c r="BF823" s="1">
        <v>7.87</v>
      </c>
      <c r="BG823" s="1"/>
      <c r="BH823" s="1"/>
      <c r="BI823" s="1"/>
      <c r="BJ823" s="1"/>
      <c r="BK823" s="1"/>
      <c r="BL823" s="1"/>
      <c r="BM823" s="1"/>
      <c r="BN823" s="1"/>
      <c r="BO823" s="1" t="s">
        <v>15302</v>
      </c>
      <c r="BP823" s="1"/>
      <c r="BQ823" s="1"/>
      <c r="BR823" s="1"/>
      <c r="BS823" s="1"/>
      <c r="BT823" s="1"/>
      <c r="BU823" s="1" t="str">
        <f>HYPERLINK("https://nconnect.nicmar.ac.in/storage/profile/6a86fb6d22ed9.png","Download")</f>
        <v>0</v>
      </c>
      <c r="BV823" s="3"/>
      <c r="BW823" s="3"/>
    </row>
    <row r="824" spans="1:75">
      <c r="A824" s="1" t="s">
        <v>75</v>
      </c>
      <c r="B824" s="1" t="s">
        <v>13976</v>
      </c>
      <c r="C824" s="1" t="s">
        <v>15303</v>
      </c>
      <c r="D824" s="1" t="s">
        <v>15304</v>
      </c>
      <c r="E824" s="1" t="s">
        <v>14327</v>
      </c>
      <c r="F824" s="1" t="s">
        <v>15305</v>
      </c>
      <c r="G824" s="1" t="s">
        <v>15306</v>
      </c>
      <c r="H824" s="1" t="s">
        <v>15307</v>
      </c>
      <c r="I824" s="1" t="s">
        <v>15307</v>
      </c>
      <c r="J824" s="1">
        <v>8928639672</v>
      </c>
      <c r="K824" s="1" t="s">
        <v>84</v>
      </c>
      <c r="L824" s="1" t="s">
        <v>15308</v>
      </c>
      <c r="M824" s="1" t="s">
        <v>86</v>
      </c>
      <c r="N824" s="1" t="s">
        <v>15309</v>
      </c>
      <c r="O824" s="1" t="s">
        <v>15310</v>
      </c>
      <c r="P824" s="1" t="s">
        <v>219</v>
      </c>
      <c r="Q824" s="1">
        <v>466001550751</v>
      </c>
      <c r="R824" s="1" t="s">
        <v>15311</v>
      </c>
      <c r="S824" s="1">
        <v>7208282929</v>
      </c>
      <c r="T824" s="1" t="s">
        <v>14507</v>
      </c>
      <c r="U824" s="1" t="s">
        <v>15312</v>
      </c>
      <c r="V824" s="1">
        <v>8850573398</v>
      </c>
      <c r="W824" s="1" t="s">
        <v>15313</v>
      </c>
      <c r="X824" s="1" t="s">
        <v>15314</v>
      </c>
      <c r="Y824" s="1" t="s">
        <v>2259</v>
      </c>
      <c r="Z824" s="1" t="s">
        <v>97</v>
      </c>
      <c r="AA824" s="1" t="s">
        <v>15314</v>
      </c>
      <c r="AB824" s="1" t="s">
        <v>2259</v>
      </c>
      <c r="AC824" s="1" t="s">
        <v>97</v>
      </c>
      <c r="AD824" s="1" t="s">
        <v>98</v>
      </c>
      <c r="AE824" s="1" t="s">
        <v>98</v>
      </c>
      <c r="AF824" s="1" t="s">
        <v>15315</v>
      </c>
      <c r="AG824" s="1" t="s">
        <v>15316</v>
      </c>
      <c r="AH824" s="1" t="s">
        <v>4593</v>
      </c>
      <c r="AI824" s="1" t="s">
        <v>603</v>
      </c>
      <c r="AJ824" s="1">
        <v>78.4</v>
      </c>
      <c r="AK824" s="1">
        <v>8.25</v>
      </c>
      <c r="AL824" s="1"/>
      <c r="AM824" s="1"/>
      <c r="AN824" s="1"/>
      <c r="AO824" s="1"/>
      <c r="AP824" s="1"/>
      <c r="AQ824" s="1"/>
      <c r="AR824" s="1"/>
      <c r="AS824" s="1" t="s">
        <v>15317</v>
      </c>
      <c r="AT824" s="1" t="s">
        <v>15318</v>
      </c>
      <c r="AU824" s="1" t="s">
        <v>1040</v>
      </c>
      <c r="AV824" s="1" t="s">
        <v>179</v>
      </c>
      <c r="AW824" s="1">
        <v>78.78</v>
      </c>
      <c r="AX824" s="1">
        <v>8.29</v>
      </c>
      <c r="AY824" s="1" t="s">
        <v>14059</v>
      </c>
      <c r="AZ824" s="1" t="s">
        <v>15319</v>
      </c>
      <c r="BA824" s="1" t="s">
        <v>578</v>
      </c>
      <c r="BB824" s="1" t="s">
        <v>467</v>
      </c>
      <c r="BC824" s="1" t="s">
        <v>391</v>
      </c>
      <c r="BD824" s="1" t="s">
        <v>14162</v>
      </c>
      <c r="BE824" s="1">
        <v>57.81</v>
      </c>
      <c r="BF824" s="1">
        <v>6.22</v>
      </c>
      <c r="BG824" s="1"/>
      <c r="BH824" s="1"/>
      <c r="BI824" s="1"/>
      <c r="BJ824" s="1"/>
      <c r="BK824" s="1"/>
      <c r="BL824" s="1"/>
      <c r="BM824" s="1"/>
      <c r="BN824" s="1"/>
      <c r="BO824" s="1" t="s">
        <v>15320</v>
      </c>
      <c r="BP824" s="1"/>
      <c r="BQ824" s="1"/>
      <c r="BR824" s="1" t="s">
        <v>15321</v>
      </c>
      <c r="BS824" s="1">
        <v>5</v>
      </c>
      <c r="BT824" s="1"/>
      <c r="BU824" s="1" t="str">
        <f>HYPERLINK("https://nconnect.nicmar.ac.in/storage/profile/6a860c775b0fb.png","Download")</f>
        <v>0</v>
      </c>
      <c r="BV824" s="3"/>
      <c r="BW824" s="3"/>
    </row>
    <row r="825" spans="1:75">
      <c r="A825" s="1" t="s">
        <v>75</v>
      </c>
      <c r="B825" s="1" t="s">
        <v>13976</v>
      </c>
      <c r="C825" s="1" t="s">
        <v>15322</v>
      </c>
      <c r="D825" s="1" t="s">
        <v>15323</v>
      </c>
      <c r="E825" s="1"/>
      <c r="F825" s="1" t="s">
        <v>15324</v>
      </c>
      <c r="G825" s="1" t="s">
        <v>15325</v>
      </c>
      <c r="H825" s="1" t="s">
        <v>15326</v>
      </c>
      <c r="I825" s="1" t="s">
        <v>15326</v>
      </c>
      <c r="J825" s="1">
        <v>7016804244</v>
      </c>
      <c r="K825" s="1" t="s">
        <v>84</v>
      </c>
      <c r="L825" s="1" t="s">
        <v>15327</v>
      </c>
      <c r="M825" s="1" t="s">
        <v>86</v>
      </c>
      <c r="N825" s="1" t="s">
        <v>15328</v>
      </c>
      <c r="O825" s="1" t="s">
        <v>15329</v>
      </c>
      <c r="P825" s="1" t="s">
        <v>356</v>
      </c>
      <c r="Q825" s="1">
        <v>502604031787</v>
      </c>
      <c r="R825" s="1" t="s">
        <v>15330</v>
      </c>
      <c r="S825" s="1">
        <v>9588496657</v>
      </c>
      <c r="T825" s="1" t="s">
        <v>15331</v>
      </c>
      <c r="U825" s="1" t="s">
        <v>15332</v>
      </c>
      <c r="V825" s="1">
        <v>7016029817</v>
      </c>
      <c r="W825" s="1" t="s">
        <v>14212</v>
      </c>
      <c r="X825" s="1" t="s">
        <v>15333</v>
      </c>
      <c r="Y825" s="1" t="s">
        <v>3920</v>
      </c>
      <c r="Z825" s="1" t="s">
        <v>1234</v>
      </c>
      <c r="AA825" s="1" t="s">
        <v>15334</v>
      </c>
      <c r="AB825" s="1" t="s">
        <v>196</v>
      </c>
      <c r="AC825" s="1" t="s">
        <v>97</v>
      </c>
      <c r="AD825" s="1" t="s">
        <v>98</v>
      </c>
      <c r="AE825" s="1" t="s">
        <v>98</v>
      </c>
      <c r="AF825" s="1" t="s">
        <v>15335</v>
      </c>
      <c r="AG825" s="1" t="s">
        <v>15336</v>
      </c>
      <c r="AH825" s="1" t="s">
        <v>704</v>
      </c>
      <c r="AI825" s="1" t="s">
        <v>414</v>
      </c>
      <c r="AJ825" s="1">
        <v>77.4</v>
      </c>
      <c r="AK825" s="1"/>
      <c r="AL825" s="1" t="s">
        <v>15337</v>
      </c>
      <c r="AM825" s="1" t="s">
        <v>15338</v>
      </c>
      <c r="AN825" s="1" t="s">
        <v>465</v>
      </c>
      <c r="AO825" s="1" t="s">
        <v>547</v>
      </c>
      <c r="AP825" s="1" t="s">
        <v>1192</v>
      </c>
      <c r="AQ825" s="1">
        <v>83.67</v>
      </c>
      <c r="AR825" s="1"/>
      <c r="AS825" s="1"/>
      <c r="AT825" s="1"/>
      <c r="AU825" s="1"/>
      <c r="AV825" s="1"/>
      <c r="AW825" s="1"/>
      <c r="AX825" s="1"/>
      <c r="AY825" s="1" t="s">
        <v>15339</v>
      </c>
      <c r="AZ825" s="1" t="s">
        <v>15340</v>
      </c>
      <c r="BA825" s="1" t="s">
        <v>466</v>
      </c>
      <c r="BB825" s="1" t="s">
        <v>467</v>
      </c>
      <c r="BC825" s="1" t="s">
        <v>441</v>
      </c>
      <c r="BD825" s="1" t="s">
        <v>848</v>
      </c>
      <c r="BE825" s="1">
        <v>72.8</v>
      </c>
      <c r="BF825" s="1">
        <v>7.78</v>
      </c>
      <c r="BG825" s="1"/>
      <c r="BH825" s="1"/>
      <c r="BI825" s="1"/>
      <c r="BJ825" s="1"/>
      <c r="BK825" s="1"/>
      <c r="BL825" s="1"/>
      <c r="BM825" s="1"/>
      <c r="BN825" s="1"/>
      <c r="BO825" s="1" t="s">
        <v>15341</v>
      </c>
      <c r="BP825" s="1"/>
      <c r="BQ825" s="1"/>
      <c r="BR825" s="1" t="s">
        <v>15342</v>
      </c>
      <c r="BS825" s="1">
        <v>8</v>
      </c>
      <c r="BT825" s="1" t="s">
        <v>15343</v>
      </c>
      <c r="BU825" s="1" t="str">
        <f>HYPERLINK("https://nconnect.nicmar.ac.in/storage/profile/6a85a55a6cb00.png","Download")</f>
        <v>0</v>
      </c>
      <c r="BV825" s="3"/>
      <c r="BW825" s="3"/>
    </row>
    <row r="826" spans="1:75">
      <c r="A826" s="1" t="s">
        <v>75</v>
      </c>
      <c r="B826" s="1" t="s">
        <v>13976</v>
      </c>
      <c r="C826" s="1" t="s">
        <v>15344</v>
      </c>
      <c r="D826" s="1"/>
      <c r="E826" s="1"/>
      <c r="F826" s="1"/>
      <c r="G826" s="1"/>
      <c r="H826" s="1" t="s">
        <v>15345</v>
      </c>
      <c r="I826" s="1" t="s">
        <v>15345</v>
      </c>
      <c r="J826" s="1"/>
      <c r="K826" s="1"/>
      <c r="L826" s="1"/>
      <c r="M826" s="1"/>
      <c r="N826" s="1"/>
      <c r="O826" s="1"/>
      <c r="P826" s="1"/>
      <c r="Q826" s="1"/>
      <c r="R826" s="1"/>
      <c r="S826" s="1"/>
      <c r="T826" s="1"/>
      <c r="U826" s="1"/>
      <c r="V826" s="1"/>
      <c r="W826" s="1"/>
      <c r="X826" s="1"/>
      <c r="Y826" s="1"/>
      <c r="Z826" s="1"/>
      <c r="AA826" s="1"/>
      <c r="AB826" s="1"/>
      <c r="AC826" s="1"/>
      <c r="AD826" s="1" t="s">
        <v>98</v>
      </c>
      <c r="AE826" s="1" t="s">
        <v>98</v>
      </c>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t="s">
        <v>9653</v>
      </c>
      <c r="BV826" s="3"/>
      <c r="BW826" s="3"/>
    </row>
    <row r="827" spans="1:75">
      <c r="A827" s="1" t="s">
        <v>75</v>
      </c>
      <c r="B827" s="1" t="s">
        <v>13976</v>
      </c>
      <c r="C827" s="1" t="s">
        <v>15346</v>
      </c>
      <c r="D827" s="1" t="s">
        <v>15347</v>
      </c>
      <c r="E827" s="1" t="s">
        <v>15348</v>
      </c>
      <c r="F827" s="1" t="s">
        <v>14460</v>
      </c>
      <c r="G827" s="1" t="s">
        <v>15349</v>
      </c>
      <c r="H827" s="1" t="s">
        <v>15350</v>
      </c>
      <c r="I827" s="1" t="s">
        <v>15350</v>
      </c>
      <c r="J827" s="1">
        <v>8767146009</v>
      </c>
      <c r="K827" s="1" t="s">
        <v>84</v>
      </c>
      <c r="L827" s="1" t="s">
        <v>15351</v>
      </c>
      <c r="M827" s="1" t="s">
        <v>86</v>
      </c>
      <c r="N827" s="1" t="s">
        <v>8520</v>
      </c>
      <c r="O827" s="1" t="s">
        <v>15352</v>
      </c>
      <c r="P827" s="1" t="s">
        <v>89</v>
      </c>
      <c r="Q827" s="1">
        <v>355284225777</v>
      </c>
      <c r="R827" s="1" t="s">
        <v>15353</v>
      </c>
      <c r="S827" s="1">
        <v>7972987707</v>
      </c>
      <c r="T827" s="1" t="s">
        <v>15354</v>
      </c>
      <c r="U827" s="1" t="s">
        <v>15355</v>
      </c>
      <c r="V827" s="1">
        <v>9860838987</v>
      </c>
      <c r="W827" s="1" t="s">
        <v>14154</v>
      </c>
      <c r="X827" s="1" t="s">
        <v>15356</v>
      </c>
      <c r="Y827" s="1" t="s">
        <v>1989</v>
      </c>
      <c r="Z827" s="1" t="s">
        <v>97</v>
      </c>
      <c r="AA827" s="1" t="s">
        <v>15357</v>
      </c>
      <c r="AB827" s="1" t="s">
        <v>1989</v>
      </c>
      <c r="AC827" s="1" t="s">
        <v>97</v>
      </c>
      <c r="AD827" s="1" t="s">
        <v>98</v>
      </c>
      <c r="AE827" s="1" t="s">
        <v>98</v>
      </c>
      <c r="AF827" s="1" t="s">
        <v>15358</v>
      </c>
      <c r="AG827" s="1" t="s">
        <v>15359</v>
      </c>
      <c r="AH827" s="1" t="s">
        <v>438</v>
      </c>
      <c r="AI827" s="1" t="s">
        <v>603</v>
      </c>
      <c r="AJ827" s="1">
        <v>89.6</v>
      </c>
      <c r="AK827" s="1"/>
      <c r="AL827" s="1" t="s">
        <v>15360</v>
      </c>
      <c r="AM827" s="1" t="s">
        <v>15361</v>
      </c>
      <c r="AN827" s="1" t="s">
        <v>465</v>
      </c>
      <c r="AO827" s="1" t="s">
        <v>847</v>
      </c>
      <c r="AP827" s="1" t="s">
        <v>1886</v>
      </c>
      <c r="AQ827" s="1">
        <v>86.0</v>
      </c>
      <c r="AR827" s="1"/>
      <c r="AS827" s="1"/>
      <c r="AT827" s="1"/>
      <c r="AU827" s="1"/>
      <c r="AV827" s="1"/>
      <c r="AW827" s="1"/>
      <c r="AX827" s="1"/>
      <c r="AY827" s="1" t="s">
        <v>14979</v>
      </c>
      <c r="AZ827" s="1" t="s">
        <v>15362</v>
      </c>
      <c r="BA827" s="1" t="s">
        <v>466</v>
      </c>
      <c r="BB827" s="1" t="s">
        <v>467</v>
      </c>
      <c r="BC827" s="1" t="s">
        <v>848</v>
      </c>
      <c r="BD827" s="1" t="s">
        <v>9688</v>
      </c>
      <c r="BE827" s="1">
        <v>81.6</v>
      </c>
      <c r="BF827" s="1"/>
      <c r="BG827" s="1"/>
      <c r="BH827" s="1"/>
      <c r="BI827" s="1"/>
      <c r="BJ827" s="1"/>
      <c r="BK827" s="1"/>
      <c r="BL827" s="1"/>
      <c r="BM827" s="1"/>
      <c r="BN827" s="1"/>
      <c r="BO827" s="1" t="s">
        <v>15363</v>
      </c>
      <c r="BP827" s="1" t="s">
        <v>15364</v>
      </c>
      <c r="BQ827" s="1" t="s">
        <v>7478</v>
      </c>
      <c r="BR827" s="1"/>
      <c r="BS827" s="1"/>
      <c r="BT827" s="1"/>
      <c r="BU827" s="1" t="str">
        <f>HYPERLINK("https://nconnect.nicmar.ac.in/storage/profile/6a85eb99e12e7.png","Download")</f>
        <v>0</v>
      </c>
      <c r="BV827" s="3"/>
      <c r="BW827" s="3"/>
    </row>
    <row r="828" spans="1:75">
      <c r="A828" s="1" t="s">
        <v>75</v>
      </c>
      <c r="B828" s="1" t="s">
        <v>13976</v>
      </c>
      <c r="C828" s="1" t="s">
        <v>15365</v>
      </c>
      <c r="D828" s="1" t="s">
        <v>15366</v>
      </c>
      <c r="E828" s="1"/>
      <c r="F828" s="1" t="s">
        <v>15367</v>
      </c>
      <c r="G828" s="1" t="s">
        <v>15368</v>
      </c>
      <c r="H828" s="1" t="s">
        <v>15369</v>
      </c>
      <c r="I828" s="1" t="s">
        <v>15369</v>
      </c>
      <c r="J828" s="1">
        <v>9117870267</v>
      </c>
      <c r="K828" s="1" t="s">
        <v>84</v>
      </c>
      <c r="L828" s="1" t="s">
        <v>15370</v>
      </c>
      <c r="M828" s="1" t="s">
        <v>86</v>
      </c>
      <c r="N828" s="1" t="s">
        <v>15371</v>
      </c>
      <c r="O828" s="1" t="s">
        <v>15372</v>
      </c>
      <c r="P828" s="1" t="s">
        <v>122</v>
      </c>
      <c r="Q828" s="1">
        <v>820282568270</v>
      </c>
      <c r="R828" s="1" t="s">
        <v>15373</v>
      </c>
      <c r="S828" s="1">
        <v>9835875577</v>
      </c>
      <c r="T828" s="1" t="s">
        <v>13987</v>
      </c>
      <c r="U828" s="1" t="s">
        <v>15374</v>
      </c>
      <c r="V828" s="1">
        <v>9199325411</v>
      </c>
      <c r="W828" s="1" t="s">
        <v>14234</v>
      </c>
      <c r="X828" s="1" t="s">
        <v>15375</v>
      </c>
      <c r="Y828" s="1" t="s">
        <v>648</v>
      </c>
      <c r="Z828" s="1" t="s">
        <v>649</v>
      </c>
      <c r="AA828" s="1" t="s">
        <v>15375</v>
      </c>
      <c r="AB828" s="1" t="s">
        <v>648</v>
      </c>
      <c r="AC828" s="1" t="s">
        <v>649</v>
      </c>
      <c r="AD828" s="1" t="s">
        <v>98</v>
      </c>
      <c r="AE828" s="1" t="s">
        <v>98</v>
      </c>
      <c r="AF828" s="1" t="s">
        <v>15376</v>
      </c>
      <c r="AG828" s="1" t="s">
        <v>15377</v>
      </c>
      <c r="AH828" s="1" t="s">
        <v>134</v>
      </c>
      <c r="AI828" s="1" t="s">
        <v>627</v>
      </c>
      <c r="AJ828" s="1">
        <v>83.6</v>
      </c>
      <c r="AK828" s="1">
        <v>8.8</v>
      </c>
      <c r="AL828" s="1" t="s">
        <v>15378</v>
      </c>
      <c r="AM828" s="1" t="s">
        <v>15379</v>
      </c>
      <c r="AN828" s="1" t="s">
        <v>465</v>
      </c>
      <c r="AO828" s="1" t="s">
        <v>167</v>
      </c>
      <c r="AP828" s="1" t="s">
        <v>106</v>
      </c>
      <c r="AQ828" s="1">
        <v>60</v>
      </c>
      <c r="AR828" s="1"/>
      <c r="AS828" s="1"/>
      <c r="AT828" s="1"/>
      <c r="AU828" s="1"/>
      <c r="AV828" s="1"/>
      <c r="AW828" s="1"/>
      <c r="AX828" s="1"/>
      <c r="AY828" s="1" t="s">
        <v>14884</v>
      </c>
      <c r="AZ828" s="1" t="s">
        <v>15380</v>
      </c>
      <c r="BA828" s="1" t="s">
        <v>466</v>
      </c>
      <c r="BB828" s="1" t="s">
        <v>467</v>
      </c>
      <c r="BC828" s="1" t="s">
        <v>174</v>
      </c>
      <c r="BD828" s="1" t="s">
        <v>632</v>
      </c>
      <c r="BE828" s="1">
        <v>74.3</v>
      </c>
      <c r="BF828" s="1">
        <v>8.18</v>
      </c>
      <c r="BG828" s="1"/>
      <c r="BH828" s="1"/>
      <c r="BI828" s="1"/>
      <c r="BJ828" s="1"/>
      <c r="BK828" s="1"/>
      <c r="BL828" s="1"/>
      <c r="BM828" s="1"/>
      <c r="BN828" s="1"/>
      <c r="BO828" s="1" t="s">
        <v>15381</v>
      </c>
      <c r="BP828" s="1" t="s">
        <v>15382</v>
      </c>
      <c r="BQ828" s="1" t="s">
        <v>2462</v>
      </c>
      <c r="BR828" s="1"/>
      <c r="BS828" s="1"/>
      <c r="BT828" s="1"/>
      <c r="BU828" s="1" t="str">
        <f>HYPERLINK("https://nconnect.nicmar.ac.in/storage/profile/6a8700758e53c.png","Download")</f>
        <v>0</v>
      </c>
      <c r="BV828" s="3"/>
      <c r="BW828" s="3"/>
    </row>
    <row r="829" spans="1:75">
      <c r="A829" s="1" t="s">
        <v>75</v>
      </c>
      <c r="B829" s="1" t="s">
        <v>13976</v>
      </c>
      <c r="C829" s="1" t="s">
        <v>15383</v>
      </c>
      <c r="D829" s="1" t="s">
        <v>15384</v>
      </c>
      <c r="E829" s="1" t="s">
        <v>14908</v>
      </c>
      <c r="F829" s="1" t="s">
        <v>15385</v>
      </c>
      <c r="G829" s="1" t="s">
        <v>15386</v>
      </c>
      <c r="H829" s="1" t="s">
        <v>15387</v>
      </c>
      <c r="I829" s="1" t="s">
        <v>15388</v>
      </c>
      <c r="J829" s="1">
        <v>8878207020</v>
      </c>
      <c r="K829" s="1" t="s">
        <v>84</v>
      </c>
      <c r="L829" s="1" t="s">
        <v>15389</v>
      </c>
      <c r="M829" s="1" t="s">
        <v>86</v>
      </c>
      <c r="N829" s="1" t="s">
        <v>355</v>
      </c>
      <c r="O829" s="1" t="s">
        <v>15390</v>
      </c>
      <c r="P829" s="1" t="s">
        <v>122</v>
      </c>
      <c r="Q829" s="1">
        <v>274695164232</v>
      </c>
      <c r="R829" s="1" t="s">
        <v>15391</v>
      </c>
      <c r="S829" s="1">
        <v>9425080436</v>
      </c>
      <c r="T829" s="1" t="s">
        <v>2177</v>
      </c>
      <c r="U829" s="1" t="s">
        <v>15392</v>
      </c>
      <c r="V829" s="1">
        <v>9424453819</v>
      </c>
      <c r="W829" s="1" t="s">
        <v>3441</v>
      </c>
      <c r="X829" s="1" t="s">
        <v>15393</v>
      </c>
      <c r="Y829" s="1" t="s">
        <v>7949</v>
      </c>
      <c r="Z829" s="1" t="s">
        <v>3419</v>
      </c>
      <c r="AA829" s="1" t="s">
        <v>15393</v>
      </c>
      <c r="AB829" s="1" t="s">
        <v>7949</v>
      </c>
      <c r="AC829" s="1" t="s">
        <v>3419</v>
      </c>
      <c r="AD829" s="1" t="s">
        <v>98</v>
      </c>
      <c r="AE829" s="1" t="s">
        <v>98</v>
      </c>
      <c r="AF829" s="1" t="s">
        <v>15394</v>
      </c>
      <c r="AG829" s="1" t="s">
        <v>15395</v>
      </c>
      <c r="AH829" s="1" t="s">
        <v>3421</v>
      </c>
      <c r="AI829" s="1" t="s">
        <v>1262</v>
      </c>
      <c r="AJ829" s="1">
        <v>66.5</v>
      </c>
      <c r="AK829" s="1">
        <v>7</v>
      </c>
      <c r="AL829" s="1" t="s">
        <v>15396</v>
      </c>
      <c r="AM829" s="1" t="s">
        <v>15397</v>
      </c>
      <c r="AN829" s="1" t="s">
        <v>465</v>
      </c>
      <c r="AO829" s="1" t="s">
        <v>284</v>
      </c>
      <c r="AP829" s="1" t="s">
        <v>573</v>
      </c>
      <c r="AQ829" s="1">
        <v>64</v>
      </c>
      <c r="AR829" s="1"/>
      <c r="AS829" s="1"/>
      <c r="AT829" s="1"/>
      <c r="AU829" s="1"/>
      <c r="AV829" s="1"/>
      <c r="AW829" s="1"/>
      <c r="AX829" s="1"/>
      <c r="AY829" s="1" t="s">
        <v>15398</v>
      </c>
      <c r="AZ829" s="1" t="s">
        <v>15399</v>
      </c>
      <c r="BA829" s="1" t="s">
        <v>578</v>
      </c>
      <c r="BB829" s="1" t="s">
        <v>467</v>
      </c>
      <c r="BC829" s="1" t="s">
        <v>388</v>
      </c>
      <c r="BD829" s="1" t="s">
        <v>549</v>
      </c>
      <c r="BE829" s="1">
        <v>76.9</v>
      </c>
      <c r="BF829" s="1">
        <v>7.69</v>
      </c>
      <c r="BG829" s="1"/>
      <c r="BH829" s="1"/>
      <c r="BI829" s="1"/>
      <c r="BJ829" s="1"/>
      <c r="BK829" s="1"/>
      <c r="BL829" s="1"/>
      <c r="BM829" s="1"/>
      <c r="BN829" s="1"/>
      <c r="BO829" s="1" t="s">
        <v>15400</v>
      </c>
      <c r="BP829" s="1"/>
      <c r="BQ829" s="1"/>
      <c r="BR829" s="1" t="s">
        <v>15401</v>
      </c>
      <c r="BS829" s="1">
        <v>26</v>
      </c>
      <c r="BT829" s="1" t="s">
        <v>15402</v>
      </c>
      <c r="BU829" s="1" t="str">
        <f>HYPERLINK("https://nconnect.nicmar.ac.in/storage/profile/6a8495abb7f9c.png","Download")</f>
        <v>0</v>
      </c>
      <c r="BV829" s="3"/>
      <c r="BW829" s="3"/>
    </row>
    <row r="830" spans="1:75">
      <c r="A830" s="1" t="s">
        <v>75</v>
      </c>
      <c r="B830" s="1" t="s">
        <v>13976</v>
      </c>
      <c r="C830" s="1" t="s">
        <v>15403</v>
      </c>
      <c r="D830" s="1"/>
      <c r="E830" s="1"/>
      <c r="F830" s="1"/>
      <c r="G830" s="1"/>
      <c r="H830" s="1" t="s">
        <v>15404</v>
      </c>
      <c r="I830" s="1" t="s">
        <v>15404</v>
      </c>
      <c r="J830" s="1"/>
      <c r="K830" s="1"/>
      <c r="L830" s="1"/>
      <c r="M830" s="1"/>
      <c r="N830" s="1"/>
      <c r="O830" s="1"/>
      <c r="P830" s="1"/>
      <c r="Q830" s="1"/>
      <c r="R830" s="1"/>
      <c r="S830" s="1"/>
      <c r="T830" s="1"/>
      <c r="U830" s="1"/>
      <c r="V830" s="1"/>
      <c r="W830" s="1"/>
      <c r="X830" s="1"/>
      <c r="Y830" s="1"/>
      <c r="Z830" s="1"/>
      <c r="AA830" s="1"/>
      <c r="AB830" s="1"/>
      <c r="AC830" s="1"/>
      <c r="AD830" s="1" t="s">
        <v>98</v>
      </c>
      <c r="AE830" s="1" t="s">
        <v>98</v>
      </c>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t="s">
        <v>9653</v>
      </c>
      <c r="BV830" s="3"/>
      <c r="BW830" s="3"/>
    </row>
    <row r="831" spans="1:75">
      <c r="A831" s="1" t="s">
        <v>75</v>
      </c>
      <c r="B831" s="1" t="s">
        <v>13976</v>
      </c>
      <c r="C831" s="1" t="s">
        <v>15405</v>
      </c>
      <c r="D831" s="1" t="s">
        <v>15406</v>
      </c>
      <c r="E831" s="1"/>
      <c r="F831" s="1" t="s">
        <v>15407</v>
      </c>
      <c r="G831" s="1" t="s">
        <v>15408</v>
      </c>
      <c r="H831" s="1" t="s">
        <v>15409</v>
      </c>
      <c r="I831" s="1" t="s">
        <v>15410</v>
      </c>
      <c r="J831" s="1">
        <v>9398820570</v>
      </c>
      <c r="K831" s="1" t="s">
        <v>84</v>
      </c>
      <c r="L831" s="1" t="s">
        <v>15411</v>
      </c>
      <c r="M831" s="1" t="s">
        <v>86</v>
      </c>
      <c r="N831" s="1" t="s">
        <v>15412</v>
      </c>
      <c r="O831" s="1" t="s">
        <v>15413</v>
      </c>
      <c r="P831" s="1" t="s">
        <v>356</v>
      </c>
      <c r="Q831" s="1">
        <v>661712444220</v>
      </c>
      <c r="R831" s="1" t="s">
        <v>15414</v>
      </c>
      <c r="S831" s="1">
        <v>9676132678</v>
      </c>
      <c r="T831" s="1" t="s">
        <v>13987</v>
      </c>
      <c r="U831" s="1" t="s">
        <v>15415</v>
      </c>
      <c r="V831" s="1">
        <v>8169500144</v>
      </c>
      <c r="W831" s="1" t="s">
        <v>14154</v>
      </c>
      <c r="X831" s="1" t="s">
        <v>15416</v>
      </c>
      <c r="Y831" s="1" t="s">
        <v>15417</v>
      </c>
      <c r="Z831" s="1" t="s">
        <v>461</v>
      </c>
      <c r="AA831" s="1" t="s">
        <v>15416</v>
      </c>
      <c r="AB831" s="1" t="s">
        <v>15417</v>
      </c>
      <c r="AC831" s="1" t="s">
        <v>461</v>
      </c>
      <c r="AD831" s="1" t="s">
        <v>98</v>
      </c>
      <c r="AE831" s="1" t="s">
        <v>98</v>
      </c>
      <c r="AF831" s="1" t="s">
        <v>15418</v>
      </c>
      <c r="AG831" s="1" t="s">
        <v>15419</v>
      </c>
      <c r="AH831" s="1" t="s">
        <v>134</v>
      </c>
      <c r="AI831" s="1" t="s">
        <v>704</v>
      </c>
      <c r="AJ831" s="1">
        <v>90.25</v>
      </c>
      <c r="AK831" s="1">
        <v>9.5</v>
      </c>
      <c r="AL831" s="1" t="s">
        <v>15420</v>
      </c>
      <c r="AM831" s="1" t="s">
        <v>15421</v>
      </c>
      <c r="AN831" s="1" t="s">
        <v>465</v>
      </c>
      <c r="AO831" s="1" t="s">
        <v>388</v>
      </c>
      <c r="AP831" s="1" t="s">
        <v>547</v>
      </c>
      <c r="AQ831" s="1">
        <v>96.2</v>
      </c>
      <c r="AR831" s="1">
        <v>9.6</v>
      </c>
      <c r="AS831" s="1"/>
      <c r="AT831" s="1"/>
      <c r="AU831" s="1"/>
      <c r="AV831" s="1"/>
      <c r="AW831" s="1"/>
      <c r="AX831" s="1"/>
      <c r="AY831" s="1" t="s">
        <v>15422</v>
      </c>
      <c r="AZ831" s="1" t="s">
        <v>15423</v>
      </c>
      <c r="BA831" s="1" t="s">
        <v>682</v>
      </c>
      <c r="BB831" s="1" t="s">
        <v>683</v>
      </c>
      <c r="BC831" s="1" t="s">
        <v>206</v>
      </c>
      <c r="BD831" s="1" t="s">
        <v>418</v>
      </c>
      <c r="BE831" s="1">
        <v>74.4</v>
      </c>
      <c r="BF831" s="1">
        <v>7.44</v>
      </c>
      <c r="BG831" s="1"/>
      <c r="BH831" s="1"/>
      <c r="BI831" s="1"/>
      <c r="BJ831" s="1"/>
      <c r="BK831" s="1"/>
      <c r="BL831" s="1"/>
      <c r="BM831" s="1"/>
      <c r="BN831" s="1"/>
      <c r="BO831" s="1" t="s">
        <v>15424</v>
      </c>
      <c r="BP831" s="1" t="s">
        <v>15425</v>
      </c>
      <c r="BQ831" s="1" t="s">
        <v>1564</v>
      </c>
      <c r="BR831" s="1" t="s">
        <v>15426</v>
      </c>
      <c r="BS831" s="1">
        <v>25</v>
      </c>
      <c r="BT831" s="1" t="s">
        <v>15427</v>
      </c>
      <c r="BU831" s="1" t="str">
        <f>HYPERLINK("https://nconnect.nicmar.ac.in/storage/profile/6a8720f1d31db.png","Download")</f>
        <v>0</v>
      </c>
      <c r="BV831" s="3"/>
      <c r="BW831" s="3"/>
    </row>
    <row r="832" spans="1:75">
      <c r="A832" s="1" t="s">
        <v>75</v>
      </c>
      <c r="B832" s="1" t="s">
        <v>13976</v>
      </c>
      <c r="C832" s="1" t="s">
        <v>15428</v>
      </c>
      <c r="D832" s="1" t="s">
        <v>15429</v>
      </c>
      <c r="E832" s="1" t="s">
        <v>15430</v>
      </c>
      <c r="F832" s="1" t="s">
        <v>15431</v>
      </c>
      <c r="G832" s="1" t="s">
        <v>15432</v>
      </c>
      <c r="H832" s="1" t="s">
        <v>15433</v>
      </c>
      <c r="I832" s="1" t="s">
        <v>15434</v>
      </c>
      <c r="J832" s="1">
        <v>9503724199</v>
      </c>
      <c r="K832" s="1" t="s">
        <v>84</v>
      </c>
      <c r="L832" s="1" t="s">
        <v>15435</v>
      </c>
      <c r="M832" s="1" t="s">
        <v>86</v>
      </c>
      <c r="N832" s="1" t="s">
        <v>190</v>
      </c>
      <c r="O832" s="1" t="s">
        <v>15436</v>
      </c>
      <c r="P832" s="1" t="s">
        <v>219</v>
      </c>
      <c r="Q832" s="1">
        <v>611326906447</v>
      </c>
      <c r="R832" s="1" t="s">
        <v>15430</v>
      </c>
      <c r="S832" s="1">
        <v>9422038649</v>
      </c>
      <c r="T832" s="1" t="s">
        <v>13987</v>
      </c>
      <c r="U832" s="1" t="s">
        <v>15437</v>
      </c>
      <c r="V832" s="1">
        <v>9423015479</v>
      </c>
      <c r="W832" s="1" t="s">
        <v>14154</v>
      </c>
      <c r="X832" s="1" t="s">
        <v>15438</v>
      </c>
      <c r="Y832" s="1" t="s">
        <v>5181</v>
      </c>
      <c r="Z832" s="1" t="s">
        <v>97</v>
      </c>
      <c r="AA832" s="1" t="s">
        <v>15438</v>
      </c>
      <c r="AB832" s="1" t="s">
        <v>5181</v>
      </c>
      <c r="AC832" s="1" t="s">
        <v>97</v>
      </c>
      <c r="AD832" s="1" t="s">
        <v>98</v>
      </c>
      <c r="AE832" s="1" t="s">
        <v>98</v>
      </c>
      <c r="AF832" s="1" t="s">
        <v>15439</v>
      </c>
      <c r="AG832" s="1" t="s">
        <v>15440</v>
      </c>
      <c r="AH832" s="1" t="s">
        <v>7331</v>
      </c>
      <c r="AI832" s="1" t="s">
        <v>286</v>
      </c>
      <c r="AJ832" s="1">
        <v>85.6</v>
      </c>
      <c r="AK832" s="1"/>
      <c r="AL832" s="1" t="s">
        <v>15441</v>
      </c>
      <c r="AM832" s="1" t="s">
        <v>15442</v>
      </c>
      <c r="AN832" s="1" t="s">
        <v>575</v>
      </c>
      <c r="AO832" s="1" t="s">
        <v>106</v>
      </c>
      <c r="AP832" s="1" t="s">
        <v>365</v>
      </c>
      <c r="AQ832" s="1">
        <v>63.38</v>
      </c>
      <c r="AR832" s="1"/>
      <c r="AS832" s="1"/>
      <c r="AT832" s="1"/>
      <c r="AU832" s="1"/>
      <c r="AV832" s="1"/>
      <c r="AW832" s="1"/>
      <c r="AX832" s="1"/>
      <c r="AY832" s="1" t="s">
        <v>14752</v>
      </c>
      <c r="AZ832" s="1" t="s">
        <v>15443</v>
      </c>
      <c r="BA832" s="1" t="s">
        <v>466</v>
      </c>
      <c r="BB832" s="1" t="s">
        <v>467</v>
      </c>
      <c r="BC832" s="1" t="s">
        <v>468</v>
      </c>
      <c r="BD832" s="1" t="s">
        <v>1089</v>
      </c>
      <c r="BE832" s="1">
        <v>65.6</v>
      </c>
      <c r="BF832" s="1">
        <v>7.06</v>
      </c>
      <c r="BG832" s="1"/>
      <c r="BH832" s="1"/>
      <c r="BI832" s="1"/>
      <c r="BJ832" s="1"/>
      <c r="BK832" s="1"/>
      <c r="BL832" s="1"/>
      <c r="BM832" s="1"/>
      <c r="BN832" s="1"/>
      <c r="BO832" s="1" t="s">
        <v>11309</v>
      </c>
      <c r="BP832" s="1"/>
      <c r="BQ832" s="1"/>
      <c r="BR832" s="1"/>
      <c r="BS832" s="1"/>
      <c r="BT832" s="1"/>
      <c r="BU832" s="1" t="str">
        <f>HYPERLINK("https://nconnect.nicmar.ac.in/storage/profile/6a8724ab38c7c.png","Download")</f>
        <v>0</v>
      </c>
      <c r="BV832" s="3"/>
      <c r="BW832" s="3"/>
    </row>
    <row r="833" spans="1:75">
      <c r="A833" s="1" t="s">
        <v>75</v>
      </c>
      <c r="B833" s="1" t="s">
        <v>13976</v>
      </c>
      <c r="C833" s="1" t="s">
        <v>15444</v>
      </c>
      <c r="D833" s="1" t="s">
        <v>15445</v>
      </c>
      <c r="E833" s="1" t="s">
        <v>14987</v>
      </c>
      <c r="F833" s="1" t="s">
        <v>15446</v>
      </c>
      <c r="G833" s="1" t="s">
        <v>15447</v>
      </c>
      <c r="H833" s="1" t="s">
        <v>15448</v>
      </c>
      <c r="I833" s="1" t="s">
        <v>15449</v>
      </c>
      <c r="J833" s="1">
        <v>9960135705</v>
      </c>
      <c r="K833" s="1" t="s">
        <v>153</v>
      </c>
      <c r="L833" s="1" t="s">
        <v>12693</v>
      </c>
      <c r="M833" s="1" t="s">
        <v>86</v>
      </c>
      <c r="N833" s="1" t="s">
        <v>190</v>
      </c>
      <c r="O833" s="1" t="s">
        <v>15450</v>
      </c>
      <c r="P833" s="1" t="s">
        <v>219</v>
      </c>
      <c r="Q833" s="1">
        <v>584456635269</v>
      </c>
      <c r="R833" s="1" t="s">
        <v>14987</v>
      </c>
      <c r="S833" s="1">
        <v>9422135520</v>
      </c>
      <c r="T833" s="1" t="s">
        <v>3439</v>
      </c>
      <c r="U833" s="1" t="s">
        <v>15451</v>
      </c>
      <c r="V833" s="1">
        <v>9422909789</v>
      </c>
      <c r="W833" s="1" t="s">
        <v>14032</v>
      </c>
      <c r="X833" s="1" t="s">
        <v>15452</v>
      </c>
      <c r="Y833" s="1" t="s">
        <v>410</v>
      </c>
      <c r="Z833" s="1" t="s">
        <v>97</v>
      </c>
      <c r="AA833" s="1" t="s">
        <v>15452</v>
      </c>
      <c r="AB833" s="1" t="s">
        <v>410</v>
      </c>
      <c r="AC833" s="1" t="s">
        <v>97</v>
      </c>
      <c r="AD833" s="1" t="s">
        <v>98</v>
      </c>
      <c r="AE833" s="1" t="s">
        <v>98</v>
      </c>
      <c r="AF833" s="1" t="s">
        <v>15453</v>
      </c>
      <c r="AG833" s="1" t="s">
        <v>15454</v>
      </c>
      <c r="AH833" s="1" t="s">
        <v>174</v>
      </c>
      <c r="AI833" s="1" t="s">
        <v>547</v>
      </c>
      <c r="AJ833" s="1">
        <v>70</v>
      </c>
      <c r="AK833" s="1">
        <v>7</v>
      </c>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t="s">
        <v>15455</v>
      </c>
      <c r="BP833" s="1"/>
      <c r="BQ833" s="1"/>
      <c r="BR833" s="1" t="s">
        <v>15456</v>
      </c>
      <c r="BS833" s="1">
        <v>21</v>
      </c>
      <c r="BT833" s="1"/>
      <c r="BU833" s="1" t="str">
        <f>HYPERLINK("https://nconnect.nicmar.ac.in/storage/profile/6a8b2d4e7fef8.png","Download")</f>
        <v>0</v>
      </c>
      <c r="BV833" s="3"/>
      <c r="BW833" s="3"/>
    </row>
    <row r="834" spans="1:75">
      <c r="A834" s="1" t="s">
        <v>75</v>
      </c>
      <c r="B834" s="1" t="s">
        <v>13976</v>
      </c>
      <c r="C834" s="1" t="s">
        <v>15457</v>
      </c>
      <c r="D834" s="1" t="s">
        <v>1320</v>
      </c>
      <c r="E834" s="1" t="s">
        <v>11469</v>
      </c>
      <c r="F834" s="1" t="s">
        <v>530</v>
      </c>
      <c r="G834" s="1" t="s">
        <v>15458</v>
      </c>
      <c r="H834" s="1" t="s">
        <v>15459</v>
      </c>
      <c r="I834" s="1" t="s">
        <v>15459</v>
      </c>
      <c r="J834" s="1">
        <v>6260389710</v>
      </c>
      <c r="K834" s="1" t="s">
        <v>84</v>
      </c>
      <c r="L834" s="1" t="s">
        <v>15460</v>
      </c>
      <c r="M834" s="1" t="s">
        <v>86</v>
      </c>
      <c r="N834" s="1" t="s">
        <v>246</v>
      </c>
      <c r="O834" s="1" t="s">
        <v>15461</v>
      </c>
      <c r="P834" s="1" t="s">
        <v>89</v>
      </c>
      <c r="Q834" s="1">
        <v>763546601579</v>
      </c>
      <c r="R834" s="1" t="s">
        <v>15462</v>
      </c>
      <c r="S834" s="1">
        <v>9425871412</v>
      </c>
      <c r="T834" s="1" t="s">
        <v>15463</v>
      </c>
      <c r="U834" s="1" t="s">
        <v>15464</v>
      </c>
      <c r="V834" s="1">
        <v>8770091054</v>
      </c>
      <c r="W834" s="1" t="s">
        <v>14212</v>
      </c>
      <c r="X834" s="1" t="s">
        <v>15465</v>
      </c>
      <c r="Y834" s="1" t="s">
        <v>8001</v>
      </c>
      <c r="Z834" s="1" t="s">
        <v>3419</v>
      </c>
      <c r="AA834" s="1" t="s">
        <v>15465</v>
      </c>
      <c r="AB834" s="1" t="s">
        <v>8001</v>
      </c>
      <c r="AC834" s="1" t="s">
        <v>3419</v>
      </c>
      <c r="AD834" s="1" t="s">
        <v>98</v>
      </c>
      <c r="AE834" s="1" t="s">
        <v>98</v>
      </c>
      <c r="AF834" s="1" t="s">
        <v>15466</v>
      </c>
      <c r="AG834" s="1" t="s">
        <v>15467</v>
      </c>
      <c r="AH834" s="1" t="s">
        <v>627</v>
      </c>
      <c r="AI834" s="1" t="s">
        <v>573</v>
      </c>
      <c r="AJ834" s="1">
        <v>89.3</v>
      </c>
      <c r="AK834" s="1">
        <v>9.4</v>
      </c>
      <c r="AL834" s="1" t="s">
        <v>15468</v>
      </c>
      <c r="AM834" s="1" t="s">
        <v>15469</v>
      </c>
      <c r="AN834" s="1" t="s">
        <v>465</v>
      </c>
      <c r="AO834" s="1" t="s">
        <v>171</v>
      </c>
      <c r="AP834" s="1" t="s">
        <v>313</v>
      </c>
      <c r="AQ834" s="1">
        <v>78</v>
      </c>
      <c r="AR834" s="1"/>
      <c r="AS834" s="1"/>
      <c r="AT834" s="1"/>
      <c r="AU834" s="1"/>
      <c r="AV834" s="1"/>
      <c r="AW834" s="1"/>
      <c r="AX834" s="1"/>
      <c r="AY834" s="1" t="s">
        <v>5106</v>
      </c>
      <c r="AZ834" s="1" t="s">
        <v>15470</v>
      </c>
      <c r="BA834" s="1" t="s">
        <v>466</v>
      </c>
      <c r="BB834" s="1" t="s">
        <v>467</v>
      </c>
      <c r="BC834" s="1" t="s">
        <v>890</v>
      </c>
      <c r="BD834" s="1" t="s">
        <v>1268</v>
      </c>
      <c r="BE834" s="1">
        <v>91.5</v>
      </c>
      <c r="BF834" s="1">
        <v>9.15</v>
      </c>
      <c r="BG834" s="1"/>
      <c r="BH834" s="1"/>
      <c r="BI834" s="1"/>
      <c r="BJ834" s="1"/>
      <c r="BK834" s="1"/>
      <c r="BL834" s="1"/>
      <c r="BM834" s="1"/>
      <c r="BN834" s="1"/>
      <c r="BO834" s="1" t="s">
        <v>15471</v>
      </c>
      <c r="BP834" s="1" t="s">
        <v>15472</v>
      </c>
      <c r="BQ834" s="1" t="s">
        <v>780</v>
      </c>
      <c r="BR834" s="1" t="s">
        <v>15473</v>
      </c>
      <c r="BS834" s="1">
        <v>8</v>
      </c>
      <c r="BT834" s="1" t="s">
        <v>15474</v>
      </c>
      <c r="BU834" s="1" t="str">
        <f>HYPERLINK("https://nconnect.nicmar.ac.in/storage/profile/6a86f643b759c.png","Download")</f>
        <v>0</v>
      </c>
      <c r="BV834" s="3"/>
      <c r="BW834" s="3"/>
    </row>
    <row r="835" spans="1:75">
      <c r="A835" s="1" t="s">
        <v>75</v>
      </c>
      <c r="B835" s="1" t="s">
        <v>13976</v>
      </c>
      <c r="C835" s="1" t="s">
        <v>15475</v>
      </c>
      <c r="D835" s="1" t="s">
        <v>15476</v>
      </c>
      <c r="E835" s="1"/>
      <c r="F835" s="1" t="s">
        <v>1997</v>
      </c>
      <c r="G835" s="1" t="s">
        <v>15477</v>
      </c>
      <c r="H835" s="1" t="s">
        <v>15478</v>
      </c>
      <c r="I835" s="1" t="s">
        <v>15479</v>
      </c>
      <c r="J835" s="1">
        <v>7975608143</v>
      </c>
      <c r="K835" s="1" t="s">
        <v>84</v>
      </c>
      <c r="L835" s="1" t="s">
        <v>15480</v>
      </c>
      <c r="M835" s="1" t="s">
        <v>86</v>
      </c>
      <c r="N835" s="1" t="s">
        <v>15481</v>
      </c>
      <c r="O835" s="1" t="s">
        <v>15482</v>
      </c>
      <c r="P835" s="1" t="s">
        <v>219</v>
      </c>
      <c r="Q835" s="1">
        <v>435695075183</v>
      </c>
      <c r="R835" s="1" t="s">
        <v>15483</v>
      </c>
      <c r="S835" s="1">
        <v>8277148900</v>
      </c>
      <c r="T835" s="1" t="s">
        <v>15484</v>
      </c>
      <c r="U835" s="1" t="s">
        <v>15485</v>
      </c>
      <c r="V835" s="1">
        <v>9481215939</v>
      </c>
      <c r="W835" s="1" t="s">
        <v>15486</v>
      </c>
      <c r="X835" s="1" t="s">
        <v>15487</v>
      </c>
      <c r="Y835" s="1" t="s">
        <v>15488</v>
      </c>
      <c r="Z835" s="1" t="s">
        <v>1210</v>
      </c>
      <c r="AA835" s="1" t="s">
        <v>15487</v>
      </c>
      <c r="AB835" s="1" t="s">
        <v>15488</v>
      </c>
      <c r="AC835" s="1" t="s">
        <v>1210</v>
      </c>
      <c r="AD835" s="1" t="s">
        <v>98</v>
      </c>
      <c r="AE835" s="1" t="s">
        <v>98</v>
      </c>
      <c r="AF835" s="1" t="s">
        <v>15489</v>
      </c>
      <c r="AG835" s="1" t="s">
        <v>1946</v>
      </c>
      <c r="AH835" s="1" t="s">
        <v>284</v>
      </c>
      <c r="AI835" s="1" t="s">
        <v>704</v>
      </c>
      <c r="AJ835" s="1">
        <v>69.76</v>
      </c>
      <c r="AK835" s="1"/>
      <c r="AL835" s="1" t="s">
        <v>15490</v>
      </c>
      <c r="AM835" s="1" t="s">
        <v>15491</v>
      </c>
      <c r="AN835" s="1" t="s">
        <v>575</v>
      </c>
      <c r="AO835" s="1" t="s">
        <v>286</v>
      </c>
      <c r="AP835" s="1" t="s">
        <v>414</v>
      </c>
      <c r="AQ835" s="1">
        <v>71.83</v>
      </c>
      <c r="AR835" s="1"/>
      <c r="AS835" s="1"/>
      <c r="AT835" s="1"/>
      <c r="AU835" s="1"/>
      <c r="AV835" s="1"/>
      <c r="AW835" s="1"/>
      <c r="AX835" s="1"/>
      <c r="AY835" s="1" t="s">
        <v>15492</v>
      </c>
      <c r="AZ835" s="1" t="s">
        <v>15493</v>
      </c>
      <c r="BA835" s="1" t="s">
        <v>578</v>
      </c>
      <c r="BB835" s="1" t="s">
        <v>467</v>
      </c>
      <c r="BC835" s="1" t="s">
        <v>206</v>
      </c>
      <c r="BD835" s="1" t="s">
        <v>391</v>
      </c>
      <c r="BE835" s="1">
        <v>72</v>
      </c>
      <c r="BF835" s="1">
        <v>7.94</v>
      </c>
      <c r="BG835" s="1"/>
      <c r="BH835" s="1"/>
      <c r="BI835" s="1"/>
      <c r="BJ835" s="1"/>
      <c r="BK835" s="1"/>
      <c r="BL835" s="1"/>
      <c r="BM835" s="1"/>
      <c r="BN835" s="1"/>
      <c r="BO835" s="1" t="s">
        <v>15494</v>
      </c>
      <c r="BP835" s="1" t="s">
        <v>15495</v>
      </c>
      <c r="BQ835" s="1" t="s">
        <v>2326</v>
      </c>
      <c r="BR835" s="1"/>
      <c r="BS835" s="1"/>
      <c r="BT835" s="1"/>
      <c r="BU835" s="1" t="str">
        <f>HYPERLINK("https://nconnect.nicmar.ac.in/storage/profile/6a8707a4ee3d9.png","Download")</f>
        <v>0</v>
      </c>
      <c r="BV835" s="3"/>
      <c r="BW835" s="3"/>
    </row>
    <row r="836" spans="1:75">
      <c r="A836" s="1" t="s">
        <v>75</v>
      </c>
      <c r="B836" s="1" t="s">
        <v>13976</v>
      </c>
      <c r="C836" s="1" t="s">
        <v>15496</v>
      </c>
      <c r="D836" s="1" t="s">
        <v>15497</v>
      </c>
      <c r="E836" s="1" t="s">
        <v>15498</v>
      </c>
      <c r="F836" s="1" t="s">
        <v>15499</v>
      </c>
      <c r="G836" s="1" t="s">
        <v>15500</v>
      </c>
      <c r="H836" s="1" t="s">
        <v>15501</v>
      </c>
      <c r="I836" s="1" t="s">
        <v>15502</v>
      </c>
      <c r="J836" s="1">
        <v>9370465487</v>
      </c>
      <c r="K836" s="1" t="s">
        <v>84</v>
      </c>
      <c r="L836" s="1" t="s">
        <v>15503</v>
      </c>
      <c r="M836" s="1" t="s">
        <v>86</v>
      </c>
      <c r="N836" s="1" t="s">
        <v>768</v>
      </c>
      <c r="O836" s="1" t="s">
        <v>15504</v>
      </c>
      <c r="P836" s="1" t="s">
        <v>89</v>
      </c>
      <c r="Q836" s="1">
        <v>509403481564</v>
      </c>
      <c r="R836" s="1" t="s">
        <v>15505</v>
      </c>
      <c r="S836" s="1">
        <v>9923399315</v>
      </c>
      <c r="T836" s="1" t="s">
        <v>15506</v>
      </c>
      <c r="U836" s="1" t="s">
        <v>15507</v>
      </c>
      <c r="V836" s="1">
        <v>9156397954</v>
      </c>
      <c r="W836" s="1" t="s">
        <v>14154</v>
      </c>
      <c r="X836" s="1" t="s">
        <v>15508</v>
      </c>
      <c r="Y836" s="1" t="s">
        <v>96</v>
      </c>
      <c r="Z836" s="1" t="s">
        <v>97</v>
      </c>
      <c r="AA836" s="1" t="s">
        <v>15509</v>
      </c>
      <c r="AB836" s="1" t="s">
        <v>196</v>
      </c>
      <c r="AC836" s="1" t="s">
        <v>97</v>
      </c>
      <c r="AD836" s="1" t="s">
        <v>98</v>
      </c>
      <c r="AE836" s="1" t="s">
        <v>98</v>
      </c>
      <c r="AF836" s="1" t="s">
        <v>15510</v>
      </c>
      <c r="AG836" s="1" t="s">
        <v>15511</v>
      </c>
      <c r="AH836" s="1" t="s">
        <v>547</v>
      </c>
      <c r="AI836" s="1" t="s">
        <v>603</v>
      </c>
      <c r="AJ836" s="1">
        <v>95.2</v>
      </c>
      <c r="AK836" s="1"/>
      <c r="AL836" s="1" t="s">
        <v>15512</v>
      </c>
      <c r="AM836" s="1" t="s">
        <v>15513</v>
      </c>
      <c r="AN836" s="1" t="s">
        <v>465</v>
      </c>
      <c r="AO836" s="1" t="s">
        <v>549</v>
      </c>
      <c r="AP836" s="1" t="s">
        <v>1886</v>
      </c>
      <c r="AQ836" s="1">
        <v>89.5</v>
      </c>
      <c r="AR836" s="1"/>
      <c r="AS836" s="1"/>
      <c r="AT836" s="1"/>
      <c r="AU836" s="1"/>
      <c r="AV836" s="1"/>
      <c r="AW836" s="1"/>
      <c r="AX836" s="1"/>
      <c r="AY836" s="1" t="s">
        <v>15514</v>
      </c>
      <c r="AZ836" s="1" t="s">
        <v>15514</v>
      </c>
      <c r="BA836" s="1" t="s">
        <v>578</v>
      </c>
      <c r="BB836" s="1" t="s">
        <v>467</v>
      </c>
      <c r="BC836" s="1" t="s">
        <v>1825</v>
      </c>
      <c r="BD836" s="1" t="s">
        <v>15515</v>
      </c>
      <c r="BE836" s="1">
        <v>80.7</v>
      </c>
      <c r="BF836" s="1">
        <v>8.07</v>
      </c>
      <c r="BG836" s="1"/>
      <c r="BH836" s="1"/>
      <c r="BI836" s="1"/>
      <c r="BJ836" s="1"/>
      <c r="BK836" s="1"/>
      <c r="BL836" s="1"/>
      <c r="BM836" s="1"/>
      <c r="BN836" s="1"/>
      <c r="BO836" s="1" t="s">
        <v>15516</v>
      </c>
      <c r="BP836" s="1" t="s">
        <v>15517</v>
      </c>
      <c r="BQ836" s="1" t="s">
        <v>1043</v>
      </c>
      <c r="BR836" s="1"/>
      <c r="BS836" s="1"/>
      <c r="BT836" s="1"/>
      <c r="BU836" s="1" t="str">
        <f>HYPERLINK("https://nconnect.nicmar.ac.in/storage/profile/6a85ed75f2712.png","Download")</f>
        <v>0</v>
      </c>
      <c r="BV836" s="3"/>
      <c r="BW836" s="3"/>
    </row>
    <row r="837" spans="1:75">
      <c r="A837" s="1" t="s">
        <v>75</v>
      </c>
      <c r="B837" s="1" t="s">
        <v>13976</v>
      </c>
      <c r="C837" s="1" t="s">
        <v>15518</v>
      </c>
      <c r="D837" s="1" t="s">
        <v>15519</v>
      </c>
      <c r="E837" s="1"/>
      <c r="F837" s="1" t="s">
        <v>15520</v>
      </c>
      <c r="G837" s="1" t="s">
        <v>15521</v>
      </c>
      <c r="H837" s="1" t="s">
        <v>15522</v>
      </c>
      <c r="I837" s="1" t="s">
        <v>15523</v>
      </c>
      <c r="J837" s="1">
        <v>7022071999</v>
      </c>
      <c r="K837" s="1" t="s">
        <v>84</v>
      </c>
      <c r="L837" s="1" t="s">
        <v>15524</v>
      </c>
      <c r="M837" s="1" t="s">
        <v>86</v>
      </c>
      <c r="N837" s="1" t="s">
        <v>15525</v>
      </c>
      <c r="O837" s="1" t="s">
        <v>15526</v>
      </c>
      <c r="P837" s="1" t="s">
        <v>356</v>
      </c>
      <c r="Q837" s="1">
        <v>793636594788</v>
      </c>
      <c r="R837" s="1" t="s">
        <v>15527</v>
      </c>
      <c r="S837" s="1">
        <v>9448470620</v>
      </c>
      <c r="T837" s="1" t="s">
        <v>14800</v>
      </c>
      <c r="U837" s="1" t="s">
        <v>15528</v>
      </c>
      <c r="V837" s="1">
        <v>9739046225</v>
      </c>
      <c r="W837" s="1" t="s">
        <v>14154</v>
      </c>
      <c r="X837" s="1" t="s">
        <v>15529</v>
      </c>
      <c r="Y837" s="1" t="s">
        <v>15530</v>
      </c>
      <c r="Z837" s="1" t="s">
        <v>1210</v>
      </c>
      <c r="AA837" s="1" t="s">
        <v>15529</v>
      </c>
      <c r="AB837" s="1" t="s">
        <v>15530</v>
      </c>
      <c r="AC837" s="1" t="s">
        <v>1210</v>
      </c>
      <c r="AD837" s="1" t="s">
        <v>98</v>
      </c>
      <c r="AE837" s="1" t="s">
        <v>98</v>
      </c>
      <c r="AF837" s="1" t="s">
        <v>15531</v>
      </c>
      <c r="AG837" s="1" t="s">
        <v>15532</v>
      </c>
      <c r="AH837" s="1" t="s">
        <v>167</v>
      </c>
      <c r="AI837" s="1" t="s">
        <v>603</v>
      </c>
      <c r="AJ837" s="1">
        <v>92.4</v>
      </c>
      <c r="AK837" s="1">
        <v>9.24</v>
      </c>
      <c r="AL837" s="1" t="s">
        <v>15533</v>
      </c>
      <c r="AM837" s="1" t="s">
        <v>15534</v>
      </c>
      <c r="AN837" s="1" t="s">
        <v>465</v>
      </c>
      <c r="AO837" s="1" t="s">
        <v>468</v>
      </c>
      <c r="AP837" s="1" t="s">
        <v>632</v>
      </c>
      <c r="AQ837" s="1">
        <v>98.3</v>
      </c>
      <c r="AR837" s="1">
        <v>9.83</v>
      </c>
      <c r="AS837" s="1"/>
      <c r="AT837" s="1"/>
      <c r="AU837" s="1"/>
      <c r="AV837" s="1"/>
      <c r="AW837" s="1"/>
      <c r="AX837" s="1"/>
      <c r="AY837" s="1" t="s">
        <v>15535</v>
      </c>
      <c r="AZ837" s="1" t="s">
        <v>15536</v>
      </c>
      <c r="BA837" s="1" t="s">
        <v>466</v>
      </c>
      <c r="BB837" s="1" t="s">
        <v>467</v>
      </c>
      <c r="BC837" s="1" t="s">
        <v>1802</v>
      </c>
      <c r="BD837" s="1" t="s">
        <v>9688</v>
      </c>
      <c r="BE837" s="1">
        <v>88.9</v>
      </c>
      <c r="BF837" s="1">
        <v>8.89</v>
      </c>
      <c r="BG837" s="1"/>
      <c r="BH837" s="1"/>
      <c r="BI837" s="1"/>
      <c r="BJ837" s="1"/>
      <c r="BK837" s="1"/>
      <c r="BL837" s="1"/>
      <c r="BM837" s="1"/>
      <c r="BN837" s="1"/>
      <c r="BO837" s="1" t="s">
        <v>15537</v>
      </c>
      <c r="BP837" s="1"/>
      <c r="BQ837" s="1"/>
      <c r="BR837" s="1" t="s">
        <v>15538</v>
      </c>
      <c r="BS837" s="1">
        <v>27</v>
      </c>
      <c r="BT837" s="1"/>
      <c r="BU837" s="1" t="str">
        <f>HYPERLINK("https://nconnect.nicmar.ac.in/storage/profile/6a86f618bb3d7.png","Download")</f>
        <v>0</v>
      </c>
      <c r="BV837" s="3"/>
      <c r="BW837" s="3"/>
    </row>
    <row r="838" spans="1:75">
      <c r="A838" s="1" t="s">
        <v>75</v>
      </c>
      <c r="B838" s="1" t="s">
        <v>13976</v>
      </c>
      <c r="C838" s="1" t="s">
        <v>15539</v>
      </c>
      <c r="D838" s="1" t="s">
        <v>15540</v>
      </c>
      <c r="E838" s="1" t="s">
        <v>15541</v>
      </c>
      <c r="F838" s="1" t="s">
        <v>15542</v>
      </c>
      <c r="G838" s="1" t="s">
        <v>15543</v>
      </c>
      <c r="H838" s="1" t="s">
        <v>15544</v>
      </c>
      <c r="I838" s="1" t="s">
        <v>15544</v>
      </c>
      <c r="J838" s="1">
        <v>9869034018</v>
      </c>
      <c r="K838" s="1" t="s">
        <v>84</v>
      </c>
      <c r="L838" s="1" t="s">
        <v>8161</v>
      </c>
      <c r="M838" s="1" t="s">
        <v>86</v>
      </c>
      <c r="N838" s="1" t="s">
        <v>7152</v>
      </c>
      <c r="O838" s="1" t="s">
        <v>15545</v>
      </c>
      <c r="P838" s="1" t="s">
        <v>122</v>
      </c>
      <c r="Q838" s="1" t="s">
        <v>15546</v>
      </c>
      <c r="R838" s="1" t="s">
        <v>15547</v>
      </c>
      <c r="S838" s="1">
        <v>8369699112</v>
      </c>
      <c r="T838" s="1" t="s">
        <v>15548</v>
      </c>
      <c r="U838" s="1" t="s">
        <v>15549</v>
      </c>
      <c r="V838" s="1">
        <v>9833042203</v>
      </c>
      <c r="W838" s="1" t="s">
        <v>15550</v>
      </c>
      <c r="X838" s="1" t="s">
        <v>15551</v>
      </c>
      <c r="Y838" s="1" t="s">
        <v>2259</v>
      </c>
      <c r="Z838" s="1" t="s">
        <v>97</v>
      </c>
      <c r="AA838" s="1" t="s">
        <v>15551</v>
      </c>
      <c r="AB838" s="1" t="s">
        <v>2259</v>
      </c>
      <c r="AC838" s="1" t="s">
        <v>97</v>
      </c>
      <c r="AD838" s="1" t="s">
        <v>98</v>
      </c>
      <c r="AE838" s="1" t="s">
        <v>98</v>
      </c>
      <c r="AF838" s="1" t="s">
        <v>15552</v>
      </c>
      <c r="AG838" s="1" t="s">
        <v>15553</v>
      </c>
      <c r="AH838" s="1" t="s">
        <v>106</v>
      </c>
      <c r="AI838" s="1" t="s">
        <v>414</v>
      </c>
      <c r="AJ838" s="1">
        <v>77.6</v>
      </c>
      <c r="AK838" s="1"/>
      <c r="AL838" s="1" t="s">
        <v>15554</v>
      </c>
      <c r="AM838" s="1" t="s">
        <v>15553</v>
      </c>
      <c r="AN838" s="1" t="s">
        <v>575</v>
      </c>
      <c r="AO838" s="1" t="s">
        <v>468</v>
      </c>
      <c r="AP838" s="1" t="s">
        <v>441</v>
      </c>
      <c r="AQ838" s="1">
        <v>75.83</v>
      </c>
      <c r="AR838" s="1"/>
      <c r="AS838" s="1"/>
      <c r="AT838" s="1"/>
      <c r="AU838" s="1"/>
      <c r="AV838" s="1"/>
      <c r="AW838" s="1"/>
      <c r="AX838" s="1"/>
      <c r="AY838" s="1" t="s">
        <v>14380</v>
      </c>
      <c r="AZ838" s="1" t="s">
        <v>15555</v>
      </c>
      <c r="BA838" s="1" t="s">
        <v>578</v>
      </c>
      <c r="BB838" s="1" t="s">
        <v>467</v>
      </c>
      <c r="BC838" s="1" t="s">
        <v>871</v>
      </c>
      <c r="BD838" s="1" t="s">
        <v>1401</v>
      </c>
      <c r="BE838" s="1">
        <v>71.46</v>
      </c>
      <c r="BF838" s="1">
        <v>8.06</v>
      </c>
      <c r="BG838" s="1"/>
      <c r="BH838" s="1"/>
      <c r="BI838" s="1"/>
      <c r="BJ838" s="1"/>
      <c r="BK838" s="1"/>
      <c r="BL838" s="1"/>
      <c r="BM838" s="1"/>
      <c r="BN838" s="1"/>
      <c r="BO838" s="1" t="s">
        <v>15556</v>
      </c>
      <c r="BP838" s="1"/>
      <c r="BQ838" s="1"/>
      <c r="BR838" s="1" t="s">
        <v>15557</v>
      </c>
      <c r="BS838" s="1">
        <v>13</v>
      </c>
      <c r="BT838" s="1" t="s">
        <v>15558</v>
      </c>
      <c r="BU838" s="1" t="str">
        <f>HYPERLINK("https://nconnect.nicmar.ac.in/storage/profile/6a8701450fcb4.png","Download")</f>
        <v>0</v>
      </c>
      <c r="BV838" s="3"/>
      <c r="BW838" s="3"/>
    </row>
    <row r="839" spans="1:75">
      <c r="A839" s="1" t="s">
        <v>75</v>
      </c>
      <c r="B839" s="1" t="s">
        <v>13976</v>
      </c>
      <c r="C839" s="1" t="s">
        <v>15559</v>
      </c>
      <c r="D839" s="1" t="s">
        <v>15560</v>
      </c>
      <c r="E839" s="1"/>
      <c r="F839" s="1" t="s">
        <v>11393</v>
      </c>
      <c r="G839" s="1" t="s">
        <v>15561</v>
      </c>
      <c r="H839" s="1" t="s">
        <v>15562</v>
      </c>
      <c r="I839" s="1" t="s">
        <v>15562</v>
      </c>
      <c r="J839" s="1">
        <v>8304864265</v>
      </c>
      <c r="K839" s="1" t="s">
        <v>153</v>
      </c>
      <c r="L839" s="1" t="s">
        <v>15563</v>
      </c>
      <c r="M839" s="1" t="s">
        <v>86</v>
      </c>
      <c r="N839" s="1" t="s">
        <v>1300</v>
      </c>
      <c r="O839" s="1" t="s">
        <v>15564</v>
      </c>
      <c r="P839" s="1" t="s">
        <v>89</v>
      </c>
      <c r="Q839" s="1">
        <v>464547407607</v>
      </c>
      <c r="R839" s="1" t="s">
        <v>15565</v>
      </c>
      <c r="S839" s="1">
        <v>9497150186</v>
      </c>
      <c r="T839" s="1" t="s">
        <v>15566</v>
      </c>
      <c r="U839" s="1" t="s">
        <v>15567</v>
      </c>
      <c r="V839" s="1">
        <v>9496678186</v>
      </c>
      <c r="W839" s="1" t="s">
        <v>15568</v>
      </c>
      <c r="X839" s="1" t="s">
        <v>15569</v>
      </c>
      <c r="Y839" s="1" t="s">
        <v>701</v>
      </c>
      <c r="Z839" s="1" t="s">
        <v>130</v>
      </c>
      <c r="AA839" s="1" t="s">
        <v>15569</v>
      </c>
      <c r="AB839" s="1" t="s">
        <v>701</v>
      </c>
      <c r="AC839" s="1" t="s">
        <v>130</v>
      </c>
      <c r="AD839" s="1" t="s">
        <v>98</v>
      </c>
      <c r="AE839" s="1" t="s">
        <v>98</v>
      </c>
      <c r="AF839" s="1" t="s">
        <v>15570</v>
      </c>
      <c r="AG839" s="1" t="s">
        <v>796</v>
      </c>
      <c r="AH839" s="1" t="s">
        <v>167</v>
      </c>
      <c r="AI839" s="1" t="s">
        <v>170</v>
      </c>
      <c r="AJ839" s="1">
        <v>95</v>
      </c>
      <c r="AK839" s="1">
        <v>10</v>
      </c>
      <c r="AL839" s="1" t="s">
        <v>15571</v>
      </c>
      <c r="AM839" s="1" t="s">
        <v>15572</v>
      </c>
      <c r="AN839" s="1" t="s">
        <v>575</v>
      </c>
      <c r="AO839" s="1" t="s">
        <v>388</v>
      </c>
      <c r="AP839" s="1" t="s">
        <v>313</v>
      </c>
      <c r="AQ839" s="1">
        <v>83.4</v>
      </c>
      <c r="AR839" s="1"/>
      <c r="AS839" s="1"/>
      <c r="AT839" s="1"/>
      <c r="AU839" s="1"/>
      <c r="AV839" s="1"/>
      <c r="AW839" s="1"/>
      <c r="AX839" s="1"/>
      <c r="AY839" s="1" t="s">
        <v>15573</v>
      </c>
      <c r="AZ839" s="1" t="s">
        <v>15574</v>
      </c>
      <c r="BA839" s="1" t="s">
        <v>466</v>
      </c>
      <c r="BB839" s="1" t="s">
        <v>467</v>
      </c>
      <c r="BC839" s="1" t="s">
        <v>315</v>
      </c>
      <c r="BD839" s="1" t="s">
        <v>179</v>
      </c>
      <c r="BE839" s="1">
        <v>75.6</v>
      </c>
      <c r="BF839" s="1">
        <v>7.56</v>
      </c>
      <c r="BG839" s="1"/>
      <c r="BH839" s="1"/>
      <c r="BI839" s="1"/>
      <c r="BJ839" s="1"/>
      <c r="BK839" s="1"/>
      <c r="BL839" s="1"/>
      <c r="BM839" s="1"/>
      <c r="BN839" s="1"/>
      <c r="BO839" s="1" t="s">
        <v>15575</v>
      </c>
      <c r="BP839" s="1" t="s">
        <v>15576</v>
      </c>
      <c r="BQ839" s="1" t="s">
        <v>7647</v>
      </c>
      <c r="BR839" s="1" t="s">
        <v>15577</v>
      </c>
      <c r="BS839" s="1">
        <v>26</v>
      </c>
      <c r="BT839" s="1" t="s">
        <v>15578</v>
      </c>
      <c r="BU839" s="1" t="str">
        <f>HYPERLINK("https://nconnect.nicmar.ac.in/storage/profile/6a833b8879fd5.png","Download")</f>
        <v>0</v>
      </c>
      <c r="BV839" s="3"/>
      <c r="BW839" s="3"/>
    </row>
    <row r="840" spans="1:75">
      <c r="A840" s="1" t="s">
        <v>75</v>
      </c>
      <c r="B840" s="1" t="s">
        <v>13976</v>
      </c>
      <c r="C840" s="1" t="s">
        <v>15579</v>
      </c>
      <c r="D840" s="1" t="s">
        <v>15580</v>
      </c>
      <c r="E840" s="1"/>
      <c r="F840" s="1" t="s">
        <v>9671</v>
      </c>
      <c r="G840" s="1" t="s">
        <v>15581</v>
      </c>
      <c r="H840" s="1" t="s">
        <v>15582</v>
      </c>
      <c r="I840" s="1" t="s">
        <v>15582</v>
      </c>
      <c r="J840" s="1">
        <v>8126432430</v>
      </c>
      <c r="K840" s="1" t="s">
        <v>84</v>
      </c>
      <c r="L840" s="1" t="s">
        <v>2124</v>
      </c>
      <c r="M840" s="1" t="s">
        <v>86</v>
      </c>
      <c r="N840" s="1" t="s">
        <v>15583</v>
      </c>
      <c r="O840" s="1" t="s">
        <v>15584</v>
      </c>
      <c r="P840" s="1" t="s">
        <v>122</v>
      </c>
      <c r="Q840" s="1">
        <v>210283008641</v>
      </c>
      <c r="R840" s="1" t="s">
        <v>15585</v>
      </c>
      <c r="S840" s="1">
        <v>9258706811</v>
      </c>
      <c r="T840" s="1" t="s">
        <v>15586</v>
      </c>
      <c r="U840" s="1" t="s">
        <v>15587</v>
      </c>
      <c r="V840" s="1">
        <v>7300579168</v>
      </c>
      <c r="W840" s="1" t="s">
        <v>15588</v>
      </c>
      <c r="X840" s="1" t="s">
        <v>15589</v>
      </c>
      <c r="Y840" s="1" t="s">
        <v>4959</v>
      </c>
      <c r="Z840" s="1" t="s">
        <v>544</v>
      </c>
      <c r="AA840" s="1" t="s">
        <v>15589</v>
      </c>
      <c r="AB840" s="1" t="s">
        <v>4959</v>
      </c>
      <c r="AC840" s="1" t="s">
        <v>544</v>
      </c>
      <c r="AD840" s="1" t="s">
        <v>98</v>
      </c>
      <c r="AE840" s="1" t="s">
        <v>98</v>
      </c>
      <c r="AF840" s="1" t="s">
        <v>15590</v>
      </c>
      <c r="AG840" s="1" t="s">
        <v>15591</v>
      </c>
      <c r="AH840" s="1" t="s">
        <v>704</v>
      </c>
      <c r="AI840" s="1" t="s">
        <v>171</v>
      </c>
      <c r="AJ840" s="1">
        <v>90</v>
      </c>
      <c r="AK840" s="1">
        <v>9.47</v>
      </c>
      <c r="AL840" s="1" t="s">
        <v>15592</v>
      </c>
      <c r="AM840" s="1" t="s">
        <v>15593</v>
      </c>
      <c r="AN840" s="1" t="s">
        <v>465</v>
      </c>
      <c r="AO840" s="1" t="s">
        <v>547</v>
      </c>
      <c r="AP840" s="1" t="s">
        <v>178</v>
      </c>
      <c r="AQ840" s="1">
        <v>72.6</v>
      </c>
      <c r="AR840" s="1">
        <v>7.64</v>
      </c>
      <c r="AS840" s="1"/>
      <c r="AT840" s="1"/>
      <c r="AU840" s="1"/>
      <c r="AV840" s="1"/>
      <c r="AW840" s="1"/>
      <c r="AX840" s="1"/>
      <c r="AY840" s="1" t="s">
        <v>15594</v>
      </c>
      <c r="AZ840" s="1" t="s">
        <v>15595</v>
      </c>
      <c r="BA840" s="1" t="s">
        <v>466</v>
      </c>
      <c r="BB840" s="1" t="s">
        <v>467</v>
      </c>
      <c r="BC840" s="1" t="s">
        <v>233</v>
      </c>
      <c r="BD840" s="1" t="s">
        <v>1089</v>
      </c>
      <c r="BE840" s="1">
        <v>73.6</v>
      </c>
      <c r="BF840" s="1">
        <v>7.36</v>
      </c>
      <c r="BG840" s="1"/>
      <c r="BH840" s="1"/>
      <c r="BI840" s="1"/>
      <c r="BJ840" s="1"/>
      <c r="BK840" s="1"/>
      <c r="BL840" s="1"/>
      <c r="BM840" s="1"/>
      <c r="BN840" s="1"/>
      <c r="BO840" s="1" t="s">
        <v>15596</v>
      </c>
      <c r="BP840" s="1"/>
      <c r="BQ840" s="1"/>
      <c r="BR840" s="1" t="s">
        <v>15597</v>
      </c>
      <c r="BS840" s="1">
        <v>17</v>
      </c>
      <c r="BT840" s="1" t="s">
        <v>15598</v>
      </c>
      <c r="BU840" s="1" t="str">
        <f>HYPERLINK("https://nconnect.nicmar.ac.in/storage/profile/6a85dc8a02d12.png","Download")</f>
        <v>0</v>
      </c>
      <c r="BV840" s="3"/>
      <c r="BW840" s="3"/>
    </row>
    <row r="841" spans="1:75">
      <c r="A841" s="1" t="s">
        <v>75</v>
      </c>
      <c r="B841" s="1" t="s">
        <v>13976</v>
      </c>
      <c r="C841" s="1" t="s">
        <v>15599</v>
      </c>
      <c r="D841" s="1" t="s">
        <v>15600</v>
      </c>
      <c r="E841" s="1" t="s">
        <v>15601</v>
      </c>
      <c r="F841" s="1" t="s">
        <v>15602</v>
      </c>
      <c r="G841" s="1" t="s">
        <v>15603</v>
      </c>
      <c r="H841" s="1" t="s">
        <v>15604</v>
      </c>
      <c r="I841" s="1" t="s">
        <v>15604</v>
      </c>
      <c r="J841" s="1">
        <v>8421803580</v>
      </c>
      <c r="K841" s="1" t="s">
        <v>84</v>
      </c>
      <c r="L841" s="1" t="s">
        <v>15605</v>
      </c>
      <c r="M841" s="1" t="s">
        <v>86</v>
      </c>
      <c r="N841" s="1" t="s">
        <v>768</v>
      </c>
      <c r="O841" s="1" t="s">
        <v>15606</v>
      </c>
      <c r="P841" s="1" t="s">
        <v>122</v>
      </c>
      <c r="Q841" s="1">
        <v>734313192205</v>
      </c>
      <c r="R841" s="1" t="s">
        <v>15607</v>
      </c>
      <c r="S841" s="1">
        <v>9175505164</v>
      </c>
      <c r="T841" s="1" t="s">
        <v>3439</v>
      </c>
      <c r="U841" s="1" t="s">
        <v>14413</v>
      </c>
      <c r="V841" s="1">
        <v>8421622314</v>
      </c>
      <c r="W841" s="1" t="s">
        <v>14821</v>
      </c>
      <c r="X841" s="1" t="s">
        <v>15608</v>
      </c>
      <c r="Y841" s="1" t="s">
        <v>1989</v>
      </c>
      <c r="Z841" s="1" t="s">
        <v>97</v>
      </c>
      <c r="AA841" s="1" t="s">
        <v>15608</v>
      </c>
      <c r="AB841" s="1" t="s">
        <v>1989</v>
      </c>
      <c r="AC841" s="1" t="s">
        <v>97</v>
      </c>
      <c r="AD841" s="1" t="s">
        <v>98</v>
      </c>
      <c r="AE841" s="1" t="s">
        <v>98</v>
      </c>
      <c r="AF841" s="1" t="s">
        <v>15609</v>
      </c>
      <c r="AG841" s="1" t="s">
        <v>15610</v>
      </c>
      <c r="AH841" s="1" t="s">
        <v>547</v>
      </c>
      <c r="AI841" s="1" t="s">
        <v>417</v>
      </c>
      <c r="AJ841" s="1">
        <v>94.4</v>
      </c>
      <c r="AK841" s="1"/>
      <c r="AL841" s="1"/>
      <c r="AM841" s="1"/>
      <c r="AN841" s="1"/>
      <c r="AO841" s="1"/>
      <c r="AP841" s="1"/>
      <c r="AQ841" s="1"/>
      <c r="AR841" s="1"/>
      <c r="AS841" s="1" t="s">
        <v>14713</v>
      </c>
      <c r="AT841" s="1" t="s">
        <v>15611</v>
      </c>
      <c r="AU841" s="1" t="s">
        <v>368</v>
      </c>
      <c r="AV841" s="1" t="s">
        <v>391</v>
      </c>
      <c r="AW841" s="1">
        <v>85.84</v>
      </c>
      <c r="AX841" s="1"/>
      <c r="AY841" s="1" t="s">
        <v>14262</v>
      </c>
      <c r="AZ841" s="1" t="s">
        <v>15612</v>
      </c>
      <c r="BA841" s="1" t="s">
        <v>466</v>
      </c>
      <c r="BB841" s="1" t="s">
        <v>467</v>
      </c>
      <c r="BC841" s="1" t="s">
        <v>1267</v>
      </c>
      <c r="BD841" s="1" t="s">
        <v>14514</v>
      </c>
      <c r="BE841" s="1">
        <v>63.65</v>
      </c>
      <c r="BF841" s="1">
        <v>6.79</v>
      </c>
      <c r="BG841" s="1"/>
      <c r="BH841" s="1"/>
      <c r="BI841" s="1"/>
      <c r="BJ841" s="1"/>
      <c r="BK841" s="1"/>
      <c r="BL841" s="1"/>
      <c r="BM841" s="1"/>
      <c r="BN841" s="1"/>
      <c r="BO841" s="1" t="s">
        <v>15613</v>
      </c>
      <c r="BP841" s="1"/>
      <c r="BQ841" s="1"/>
      <c r="BR841" s="1" t="s">
        <v>15614</v>
      </c>
      <c r="BS841" s="1">
        <v>150</v>
      </c>
      <c r="BT841" s="1" t="s">
        <v>15615</v>
      </c>
      <c r="BU841" s="1" t="str">
        <f>HYPERLINK("https://nconnect.nicmar.ac.in/storage/profile/6a870e7328707.png","Download")</f>
        <v>0</v>
      </c>
      <c r="BV841" s="3"/>
      <c r="BW841" s="3"/>
    </row>
    <row r="842" spans="1:75">
      <c r="A842" s="1" t="s">
        <v>75</v>
      </c>
      <c r="B842" s="1" t="s">
        <v>13976</v>
      </c>
      <c r="C842" s="1" t="s">
        <v>15616</v>
      </c>
      <c r="D842" s="1" t="s">
        <v>15617</v>
      </c>
      <c r="E842" s="1" t="s">
        <v>15618</v>
      </c>
      <c r="F842" s="1" t="s">
        <v>15619</v>
      </c>
      <c r="G842" s="1" t="s">
        <v>15620</v>
      </c>
      <c r="H842" s="1" t="s">
        <v>15621</v>
      </c>
      <c r="I842" s="1" t="s">
        <v>15622</v>
      </c>
      <c r="J842" s="1">
        <v>7720934781</v>
      </c>
      <c r="K842" s="1" t="s">
        <v>153</v>
      </c>
      <c r="L842" s="1" t="s">
        <v>15623</v>
      </c>
      <c r="M842" s="1" t="s">
        <v>86</v>
      </c>
      <c r="N842" s="1" t="s">
        <v>5472</v>
      </c>
      <c r="O842" s="1" t="s">
        <v>15624</v>
      </c>
      <c r="P842" s="1" t="s">
        <v>219</v>
      </c>
      <c r="Q842" s="1">
        <v>480113950125</v>
      </c>
      <c r="R842" s="1" t="s">
        <v>15625</v>
      </c>
      <c r="S842" s="1">
        <v>9922114556</v>
      </c>
      <c r="T842" s="1" t="s">
        <v>3439</v>
      </c>
      <c r="U842" s="1" t="s">
        <v>15626</v>
      </c>
      <c r="V842" s="1">
        <v>9619220638</v>
      </c>
      <c r="W842" s="1" t="s">
        <v>14154</v>
      </c>
      <c r="X842" s="1" t="s">
        <v>15627</v>
      </c>
      <c r="Y842" s="1" t="s">
        <v>6128</v>
      </c>
      <c r="Z842" s="1" t="s">
        <v>97</v>
      </c>
      <c r="AA842" s="1" t="s">
        <v>15627</v>
      </c>
      <c r="AB842" s="1" t="s">
        <v>6128</v>
      </c>
      <c r="AC842" s="1" t="s">
        <v>97</v>
      </c>
      <c r="AD842" s="1" t="s">
        <v>98</v>
      </c>
      <c r="AE842" s="1" t="s">
        <v>98</v>
      </c>
      <c r="AF842" s="1" t="s">
        <v>15628</v>
      </c>
      <c r="AG842" s="1" t="s">
        <v>14238</v>
      </c>
      <c r="AH842" s="1" t="s">
        <v>1111</v>
      </c>
      <c r="AI842" s="1" t="s">
        <v>200</v>
      </c>
      <c r="AJ842" s="1">
        <v>92</v>
      </c>
      <c r="AK842" s="1"/>
      <c r="AL842" s="1"/>
      <c r="AM842" s="1"/>
      <c r="AN842" s="1"/>
      <c r="AO842" s="1"/>
      <c r="AP842" s="1"/>
      <c r="AQ842" s="1"/>
      <c r="AR842" s="1"/>
      <c r="AS842" s="1" t="s">
        <v>14158</v>
      </c>
      <c r="AT842" s="1" t="s">
        <v>15629</v>
      </c>
      <c r="AU842" s="1" t="s">
        <v>230</v>
      </c>
      <c r="AV842" s="1" t="s">
        <v>175</v>
      </c>
      <c r="AW842" s="1">
        <v>87.03</v>
      </c>
      <c r="AX842" s="1"/>
      <c r="AY842" s="1" t="s">
        <v>14380</v>
      </c>
      <c r="AZ842" s="1" t="s">
        <v>15630</v>
      </c>
      <c r="BA842" s="1" t="s">
        <v>578</v>
      </c>
      <c r="BB842" s="1" t="s">
        <v>467</v>
      </c>
      <c r="BC842" s="1" t="s">
        <v>368</v>
      </c>
      <c r="BD842" s="1" t="s">
        <v>955</v>
      </c>
      <c r="BE842" s="1">
        <v>83.01</v>
      </c>
      <c r="BF842" s="1"/>
      <c r="BG842" s="1"/>
      <c r="BH842" s="1"/>
      <c r="BI842" s="1"/>
      <c r="BJ842" s="1"/>
      <c r="BK842" s="1"/>
      <c r="BL842" s="1"/>
      <c r="BM842" s="1"/>
      <c r="BN842" s="1"/>
      <c r="BO842" s="1" t="s">
        <v>15631</v>
      </c>
      <c r="BP842" s="1" t="s">
        <v>15632</v>
      </c>
      <c r="BQ842" s="1" t="s">
        <v>524</v>
      </c>
      <c r="BR842" s="1"/>
      <c r="BS842" s="1"/>
      <c r="BT842" s="1"/>
      <c r="BU842" s="1" t="str">
        <f>HYPERLINK("https://nconnect.nicmar.ac.in/storage/profile/6a86ec1eb97fa.png","Download")</f>
        <v>0</v>
      </c>
      <c r="BV842" s="3"/>
      <c r="BW842" s="3"/>
    </row>
    <row r="843" spans="1:75">
      <c r="A843" s="1" t="s">
        <v>75</v>
      </c>
      <c r="B843" s="1" t="s">
        <v>13976</v>
      </c>
      <c r="C843" s="1" t="s">
        <v>15633</v>
      </c>
      <c r="D843" s="1" t="s">
        <v>15634</v>
      </c>
      <c r="E843" s="1" t="s">
        <v>15607</v>
      </c>
      <c r="F843" s="1" t="s">
        <v>15635</v>
      </c>
      <c r="G843" s="1" t="s">
        <v>15636</v>
      </c>
      <c r="H843" s="1" t="s">
        <v>15637</v>
      </c>
      <c r="I843" s="1" t="s">
        <v>15637</v>
      </c>
      <c r="J843" s="1">
        <v>9172192142</v>
      </c>
      <c r="K843" s="1" t="s">
        <v>84</v>
      </c>
      <c r="L843" s="1" t="s">
        <v>15638</v>
      </c>
      <c r="M843" s="1" t="s">
        <v>86</v>
      </c>
      <c r="N843" s="1" t="s">
        <v>14876</v>
      </c>
      <c r="O843" s="1" t="s">
        <v>15639</v>
      </c>
      <c r="P843" s="1" t="s">
        <v>219</v>
      </c>
      <c r="Q843" s="1">
        <v>526909990959</v>
      </c>
      <c r="R843" s="1" t="s">
        <v>15640</v>
      </c>
      <c r="S843" s="1">
        <v>9823134475</v>
      </c>
      <c r="T843" s="1" t="s">
        <v>15641</v>
      </c>
      <c r="U843" s="1" t="s">
        <v>15642</v>
      </c>
      <c r="V843" s="1">
        <v>9075201020</v>
      </c>
      <c r="W843" s="1" t="s">
        <v>15643</v>
      </c>
      <c r="X843" s="1" t="s">
        <v>15644</v>
      </c>
      <c r="Y843" s="1" t="s">
        <v>410</v>
      </c>
      <c r="Z843" s="1" t="s">
        <v>97</v>
      </c>
      <c r="AA843" s="1" t="s">
        <v>15644</v>
      </c>
      <c r="AB843" s="1" t="s">
        <v>410</v>
      </c>
      <c r="AC843" s="1" t="s">
        <v>97</v>
      </c>
      <c r="AD843" s="1" t="s">
        <v>98</v>
      </c>
      <c r="AE843" s="1" t="s">
        <v>98</v>
      </c>
      <c r="AF843" s="1" t="s">
        <v>15645</v>
      </c>
      <c r="AG843" s="1" t="s">
        <v>15646</v>
      </c>
      <c r="AH843" s="1" t="s">
        <v>315</v>
      </c>
      <c r="AI843" s="1" t="s">
        <v>178</v>
      </c>
      <c r="AJ843" s="1">
        <v>86</v>
      </c>
      <c r="AK843" s="1"/>
      <c r="AL843" s="1" t="s">
        <v>15647</v>
      </c>
      <c r="AM843" s="1" t="s">
        <v>15646</v>
      </c>
      <c r="AN843" s="1" t="s">
        <v>465</v>
      </c>
      <c r="AO843" s="1" t="s">
        <v>549</v>
      </c>
      <c r="AP843" s="1" t="s">
        <v>1400</v>
      </c>
      <c r="AQ843" s="1">
        <v>60</v>
      </c>
      <c r="AR843" s="1"/>
      <c r="AS843" s="1"/>
      <c r="AT843" s="1"/>
      <c r="AU843" s="1"/>
      <c r="AV843" s="1"/>
      <c r="AW843" s="1"/>
      <c r="AX843" s="1"/>
      <c r="AY843" s="1" t="s">
        <v>15648</v>
      </c>
      <c r="AZ843" s="1" t="s">
        <v>15649</v>
      </c>
      <c r="BA843" s="1" t="s">
        <v>466</v>
      </c>
      <c r="BB843" s="1" t="s">
        <v>467</v>
      </c>
      <c r="BC843" s="1" t="s">
        <v>1400</v>
      </c>
      <c r="BD843" s="1" t="s">
        <v>14162</v>
      </c>
      <c r="BE843" s="1">
        <v>69.9</v>
      </c>
      <c r="BF843" s="1">
        <v>7.74</v>
      </c>
      <c r="BG843" s="1"/>
      <c r="BH843" s="1"/>
      <c r="BI843" s="1"/>
      <c r="BJ843" s="1"/>
      <c r="BK843" s="1"/>
      <c r="BL843" s="1"/>
      <c r="BM843" s="1"/>
      <c r="BN843" s="1"/>
      <c r="BO843" s="1" t="s">
        <v>15650</v>
      </c>
      <c r="BP843" s="1"/>
      <c r="BQ843" s="1"/>
      <c r="BR843" s="1" t="s">
        <v>15651</v>
      </c>
      <c r="BS843" s="1">
        <v>21</v>
      </c>
      <c r="BT843" s="1"/>
      <c r="BU843" s="1" t="str">
        <f>HYPERLINK("https://nconnect.nicmar.ac.in/storage/profile/6a85ec6093e88.png","Download")</f>
        <v>0</v>
      </c>
      <c r="BV843" s="3"/>
      <c r="BW843" s="3"/>
    </row>
    <row r="844" spans="1:75">
      <c r="A844" s="1" t="s">
        <v>75</v>
      </c>
      <c r="B844" s="1" t="s">
        <v>13976</v>
      </c>
      <c r="C844" s="1" t="s">
        <v>15652</v>
      </c>
      <c r="D844" s="1" t="s">
        <v>348</v>
      </c>
      <c r="E844" s="1"/>
      <c r="F844" s="1" t="s">
        <v>15653</v>
      </c>
      <c r="G844" s="1" t="s">
        <v>15654</v>
      </c>
      <c r="H844" s="1" t="s">
        <v>15655</v>
      </c>
      <c r="I844" s="1" t="s">
        <v>15655</v>
      </c>
      <c r="J844" s="1">
        <v>9746935355</v>
      </c>
      <c r="K844" s="1" t="s">
        <v>84</v>
      </c>
      <c r="L844" s="1" t="s">
        <v>15656</v>
      </c>
      <c r="M844" s="1" t="s">
        <v>86</v>
      </c>
      <c r="N844" s="1" t="s">
        <v>3147</v>
      </c>
      <c r="O844" s="1" t="s">
        <v>15657</v>
      </c>
      <c r="P844" s="1" t="s">
        <v>219</v>
      </c>
      <c r="Q844" s="1">
        <v>633951800899</v>
      </c>
      <c r="R844" s="1" t="s">
        <v>15658</v>
      </c>
      <c r="S844" s="1">
        <v>9846094431</v>
      </c>
      <c r="T844" s="1" t="s">
        <v>839</v>
      </c>
      <c r="U844" s="1" t="s">
        <v>15659</v>
      </c>
      <c r="V844" s="1">
        <v>9446169431</v>
      </c>
      <c r="W844" s="1" t="s">
        <v>5639</v>
      </c>
      <c r="X844" s="1" t="s">
        <v>15660</v>
      </c>
      <c r="Y844" s="1" t="s">
        <v>701</v>
      </c>
      <c r="Z844" s="1" t="s">
        <v>130</v>
      </c>
      <c r="AA844" s="1" t="s">
        <v>15660</v>
      </c>
      <c r="AB844" s="1" t="s">
        <v>701</v>
      </c>
      <c r="AC844" s="1" t="s">
        <v>130</v>
      </c>
      <c r="AD844" s="1" t="s">
        <v>98</v>
      </c>
      <c r="AE844" s="1" t="s">
        <v>98</v>
      </c>
      <c r="AF844" s="1" t="s">
        <v>15661</v>
      </c>
      <c r="AG844" s="1" t="s">
        <v>15662</v>
      </c>
      <c r="AH844" s="1" t="s">
        <v>170</v>
      </c>
      <c r="AI844" s="1" t="s">
        <v>171</v>
      </c>
      <c r="AJ844" s="1">
        <v>77.6</v>
      </c>
      <c r="AK844" s="1"/>
      <c r="AL844" s="1" t="s">
        <v>15663</v>
      </c>
      <c r="AM844" s="1" t="s">
        <v>15664</v>
      </c>
      <c r="AN844" s="1" t="s">
        <v>575</v>
      </c>
      <c r="AO844" s="1" t="s">
        <v>106</v>
      </c>
      <c r="AP844" s="1" t="s">
        <v>178</v>
      </c>
      <c r="AQ844" s="1">
        <v>81.5</v>
      </c>
      <c r="AR844" s="1"/>
      <c r="AS844" s="1"/>
      <c r="AT844" s="1"/>
      <c r="AU844" s="1"/>
      <c r="AV844" s="1"/>
      <c r="AW844" s="1"/>
      <c r="AX844" s="1"/>
      <c r="AY844" s="1" t="s">
        <v>15573</v>
      </c>
      <c r="AZ844" s="1" t="s">
        <v>15665</v>
      </c>
      <c r="BA844" s="1" t="s">
        <v>466</v>
      </c>
      <c r="BB844" s="1" t="s">
        <v>467</v>
      </c>
      <c r="BC844" s="1" t="s">
        <v>175</v>
      </c>
      <c r="BD844" s="1" t="s">
        <v>207</v>
      </c>
      <c r="BE844" s="1">
        <v>71.6</v>
      </c>
      <c r="BF844" s="1">
        <v>7.16</v>
      </c>
      <c r="BG844" s="1"/>
      <c r="BH844" s="1"/>
      <c r="BI844" s="1"/>
      <c r="BJ844" s="1"/>
      <c r="BK844" s="1"/>
      <c r="BL844" s="1"/>
      <c r="BM844" s="1"/>
      <c r="BN844" s="1"/>
      <c r="BO844" s="1" t="s">
        <v>15666</v>
      </c>
      <c r="BP844" s="1" t="s">
        <v>15667</v>
      </c>
      <c r="BQ844" s="1" t="s">
        <v>582</v>
      </c>
      <c r="BR844" s="1" t="s">
        <v>15668</v>
      </c>
      <c r="BS844" s="1"/>
      <c r="BT844" s="1"/>
      <c r="BU844" s="1" t="str">
        <f>HYPERLINK("https://nconnect.nicmar.ac.in/storage/profile/6a86e824750e8.png","Download")</f>
        <v>0</v>
      </c>
      <c r="BV844" s="3"/>
      <c r="BW844" s="3"/>
    </row>
    <row r="845" spans="1:75">
      <c r="A845" s="1" t="s">
        <v>75</v>
      </c>
      <c r="B845" s="1" t="s">
        <v>13976</v>
      </c>
      <c r="C845" s="1" t="s">
        <v>15669</v>
      </c>
      <c r="D845" s="1" t="s">
        <v>15670</v>
      </c>
      <c r="E845" s="1" t="s">
        <v>15671</v>
      </c>
      <c r="F845" s="1" t="s">
        <v>15672</v>
      </c>
      <c r="G845" s="1" t="s">
        <v>15673</v>
      </c>
      <c r="H845" s="1" t="s">
        <v>15674</v>
      </c>
      <c r="I845" s="1" t="s">
        <v>15675</v>
      </c>
      <c r="J845" s="1">
        <v>8010924009</v>
      </c>
      <c r="K845" s="1" t="s">
        <v>84</v>
      </c>
      <c r="L845" s="1" t="s">
        <v>15676</v>
      </c>
      <c r="M845" s="1" t="s">
        <v>86</v>
      </c>
      <c r="N845" s="1" t="s">
        <v>768</v>
      </c>
      <c r="O845" s="1" t="s">
        <v>15677</v>
      </c>
      <c r="P845" s="1" t="s">
        <v>122</v>
      </c>
      <c r="Q845" s="1">
        <v>810423506158</v>
      </c>
      <c r="R845" s="1" t="s">
        <v>15678</v>
      </c>
      <c r="S845" s="1">
        <v>9850459607</v>
      </c>
      <c r="T845" s="1" t="s">
        <v>15679</v>
      </c>
      <c r="U845" s="1" t="s">
        <v>15680</v>
      </c>
      <c r="V845" s="1">
        <v>7755958889</v>
      </c>
      <c r="W845" s="1" t="s">
        <v>10306</v>
      </c>
      <c r="X845" s="1" t="s">
        <v>15681</v>
      </c>
      <c r="Y845" s="1" t="s">
        <v>1145</v>
      </c>
      <c r="Z845" s="1" t="s">
        <v>97</v>
      </c>
      <c r="AA845" s="1" t="s">
        <v>15681</v>
      </c>
      <c r="AB845" s="1" t="s">
        <v>1145</v>
      </c>
      <c r="AC845" s="1" t="s">
        <v>97</v>
      </c>
      <c r="AD845" s="1" t="s">
        <v>98</v>
      </c>
      <c r="AE845" s="1" t="s">
        <v>98</v>
      </c>
      <c r="AF845" s="1" t="s">
        <v>15682</v>
      </c>
      <c r="AG845" s="1" t="s">
        <v>15683</v>
      </c>
      <c r="AH845" s="1" t="s">
        <v>336</v>
      </c>
      <c r="AI845" s="1" t="s">
        <v>417</v>
      </c>
      <c r="AJ845" s="1">
        <v>90.2</v>
      </c>
      <c r="AK845" s="1"/>
      <c r="AL845" s="1" t="s">
        <v>15684</v>
      </c>
      <c r="AM845" s="1" t="s">
        <v>15685</v>
      </c>
      <c r="AN845" s="1" t="s">
        <v>465</v>
      </c>
      <c r="AO845" s="1" t="s">
        <v>178</v>
      </c>
      <c r="AP845" s="1" t="s">
        <v>632</v>
      </c>
      <c r="AQ845" s="1">
        <v>65.67</v>
      </c>
      <c r="AR845" s="1"/>
      <c r="AS845" s="1"/>
      <c r="AT845" s="1"/>
      <c r="AU845" s="1"/>
      <c r="AV845" s="1"/>
      <c r="AW845" s="1"/>
      <c r="AX845" s="1"/>
      <c r="AY845" s="1" t="s">
        <v>14602</v>
      </c>
      <c r="AZ845" s="1" t="s">
        <v>15686</v>
      </c>
      <c r="BA845" s="1" t="s">
        <v>578</v>
      </c>
      <c r="BB845" s="1" t="s">
        <v>467</v>
      </c>
      <c r="BC845" s="1" t="s">
        <v>1400</v>
      </c>
      <c r="BD845" s="1" t="s">
        <v>9688</v>
      </c>
      <c r="BE845" s="1">
        <v>73.1</v>
      </c>
      <c r="BF845" s="1"/>
      <c r="BG845" s="1"/>
      <c r="BH845" s="1"/>
      <c r="BI845" s="1"/>
      <c r="BJ845" s="1"/>
      <c r="BK845" s="1"/>
      <c r="BL845" s="1"/>
      <c r="BM845" s="1"/>
      <c r="BN845" s="1"/>
      <c r="BO845" s="1" t="s">
        <v>15687</v>
      </c>
      <c r="BP845" s="1"/>
      <c r="BQ845" s="1"/>
      <c r="BR845" s="1"/>
      <c r="BS845" s="1"/>
      <c r="BT845" s="1"/>
      <c r="BU845" s="1" t="str">
        <f>HYPERLINK("https://nconnect.nicmar.ac.in/storage/profile/6a89dae3c9d3d.png","Download")</f>
        <v>0</v>
      </c>
      <c r="BV845" s="3"/>
      <c r="BW845" s="3"/>
    </row>
    <row r="846" spans="1:75">
      <c r="A846" s="1" t="s">
        <v>75</v>
      </c>
      <c r="B846" s="1" t="s">
        <v>13976</v>
      </c>
      <c r="C846" s="1" t="s">
        <v>15688</v>
      </c>
      <c r="D846" s="1" t="s">
        <v>15689</v>
      </c>
      <c r="E846" s="1" t="s">
        <v>15690</v>
      </c>
      <c r="F846" s="1" t="s">
        <v>15691</v>
      </c>
      <c r="G846" s="1" t="s">
        <v>15692</v>
      </c>
      <c r="H846" s="1" t="s">
        <v>15693</v>
      </c>
      <c r="I846" s="1" t="s">
        <v>15694</v>
      </c>
      <c r="J846" s="1">
        <v>9904517640</v>
      </c>
      <c r="K846" s="1" t="s">
        <v>84</v>
      </c>
      <c r="L846" s="1" t="s">
        <v>15695</v>
      </c>
      <c r="M846" s="1" t="s">
        <v>86</v>
      </c>
      <c r="N846" s="1" t="s">
        <v>14313</v>
      </c>
      <c r="O846" s="1" t="s">
        <v>15696</v>
      </c>
      <c r="P846" s="1" t="s">
        <v>356</v>
      </c>
      <c r="Q846" s="1">
        <v>541476110114</v>
      </c>
      <c r="R846" s="1" t="s">
        <v>15697</v>
      </c>
      <c r="S846" s="1">
        <v>9824117640</v>
      </c>
      <c r="T846" s="1" t="s">
        <v>14352</v>
      </c>
      <c r="U846" s="1" t="s">
        <v>15698</v>
      </c>
      <c r="V846" s="1">
        <v>9924117640</v>
      </c>
      <c r="W846" s="1" t="s">
        <v>14234</v>
      </c>
      <c r="X846" s="1" t="s">
        <v>15699</v>
      </c>
      <c r="Y846" s="1" t="s">
        <v>675</v>
      </c>
      <c r="Z846" s="1" t="s">
        <v>676</v>
      </c>
      <c r="AA846" s="1" t="s">
        <v>15699</v>
      </c>
      <c r="AB846" s="1" t="s">
        <v>675</v>
      </c>
      <c r="AC846" s="1" t="s">
        <v>676</v>
      </c>
      <c r="AD846" s="1" t="s">
        <v>98</v>
      </c>
      <c r="AE846" s="1" t="s">
        <v>98</v>
      </c>
      <c r="AF846" s="1" t="s">
        <v>15700</v>
      </c>
      <c r="AG846" s="1" t="s">
        <v>15701</v>
      </c>
      <c r="AH846" s="1" t="s">
        <v>170</v>
      </c>
      <c r="AI846" s="1" t="s">
        <v>286</v>
      </c>
      <c r="AJ846" s="1">
        <v>70</v>
      </c>
      <c r="AK846" s="1"/>
      <c r="AL846" s="1" t="s">
        <v>15702</v>
      </c>
      <c r="AM846" s="1" t="s">
        <v>15703</v>
      </c>
      <c r="AN846" s="1" t="s">
        <v>465</v>
      </c>
      <c r="AO846" s="1" t="s">
        <v>438</v>
      </c>
      <c r="AP846" s="1" t="s">
        <v>603</v>
      </c>
      <c r="AQ846" s="1">
        <v>60.4</v>
      </c>
      <c r="AR846" s="1"/>
      <c r="AS846" s="1"/>
      <c r="AT846" s="1"/>
      <c r="AU846" s="1"/>
      <c r="AV846" s="1"/>
      <c r="AW846" s="1"/>
      <c r="AX846" s="1"/>
      <c r="AY846" s="1" t="s">
        <v>15704</v>
      </c>
      <c r="AZ846" s="1" t="s">
        <v>15705</v>
      </c>
      <c r="BA846" s="1" t="s">
        <v>466</v>
      </c>
      <c r="BB846" s="1" t="s">
        <v>467</v>
      </c>
      <c r="BC846" s="1" t="s">
        <v>178</v>
      </c>
      <c r="BD846" s="1" t="s">
        <v>418</v>
      </c>
      <c r="BE846" s="1">
        <v>80</v>
      </c>
      <c r="BF846" s="1">
        <v>8.5</v>
      </c>
      <c r="BG846" s="1"/>
      <c r="BH846" s="1"/>
      <c r="BI846" s="1"/>
      <c r="BJ846" s="1"/>
      <c r="BK846" s="1"/>
      <c r="BL846" s="1"/>
      <c r="BM846" s="1"/>
      <c r="BN846" s="1"/>
      <c r="BO846" s="1" t="s">
        <v>15706</v>
      </c>
      <c r="BP846" s="1"/>
      <c r="BQ846" s="1"/>
      <c r="BR846" s="1"/>
      <c r="BS846" s="1"/>
      <c r="BT846" s="1"/>
      <c r="BU846" s="1" t="str">
        <f>HYPERLINK("https://nconnect.nicmar.ac.in/storage/profile/6a8c5078ca6cf.png","Download")</f>
        <v>0</v>
      </c>
      <c r="BV846" s="3"/>
      <c r="BW846" s="3"/>
    </row>
    <row r="847" spans="1:75">
      <c r="A847" s="1" t="s">
        <v>75</v>
      </c>
      <c r="B847" s="1" t="s">
        <v>13976</v>
      </c>
      <c r="C847" s="1" t="s">
        <v>15707</v>
      </c>
      <c r="D847" s="1" t="s">
        <v>15708</v>
      </c>
      <c r="E847" s="1"/>
      <c r="F847" s="1" t="s">
        <v>9432</v>
      </c>
      <c r="G847" s="1" t="s">
        <v>15709</v>
      </c>
      <c r="H847" s="1" t="s">
        <v>15710</v>
      </c>
      <c r="I847" s="1" t="s">
        <v>15710</v>
      </c>
      <c r="J847" s="1">
        <v>8328292571</v>
      </c>
      <c r="K847" s="1" t="s">
        <v>84</v>
      </c>
      <c r="L847" s="1" t="s">
        <v>15711</v>
      </c>
      <c r="M847" s="1" t="s">
        <v>86</v>
      </c>
      <c r="N847" s="1" t="s">
        <v>15712</v>
      </c>
      <c r="O847" s="1" t="s">
        <v>15713</v>
      </c>
      <c r="P847" s="1" t="s">
        <v>122</v>
      </c>
      <c r="Q847" s="1">
        <v>88633731869</v>
      </c>
      <c r="R847" s="1" t="s">
        <v>15714</v>
      </c>
      <c r="S847" s="1">
        <v>8008627463</v>
      </c>
      <c r="T847" s="1" t="s">
        <v>771</v>
      </c>
      <c r="U847" s="1" t="s">
        <v>15715</v>
      </c>
      <c r="V847" s="1">
        <v>8008420598</v>
      </c>
      <c r="W847" s="1" t="s">
        <v>15716</v>
      </c>
      <c r="X847" s="1" t="s">
        <v>15717</v>
      </c>
      <c r="Y847" s="1" t="s">
        <v>13200</v>
      </c>
      <c r="Z847" s="1" t="s">
        <v>281</v>
      </c>
      <c r="AA847" s="1" t="s">
        <v>15717</v>
      </c>
      <c r="AB847" s="1" t="s">
        <v>13200</v>
      </c>
      <c r="AC847" s="1" t="s">
        <v>281</v>
      </c>
      <c r="AD847" s="1" t="s">
        <v>98</v>
      </c>
      <c r="AE847" s="1" t="s">
        <v>98</v>
      </c>
      <c r="AF847" s="1" t="s">
        <v>15718</v>
      </c>
      <c r="AG847" s="1" t="s">
        <v>15719</v>
      </c>
      <c r="AH847" s="1" t="s">
        <v>286</v>
      </c>
      <c r="AI847" s="1" t="s">
        <v>414</v>
      </c>
      <c r="AJ847" s="1">
        <v>93</v>
      </c>
      <c r="AK847" s="1">
        <v>9.3</v>
      </c>
      <c r="AL847" s="1" t="s">
        <v>15720</v>
      </c>
      <c r="AM847" s="1" t="s">
        <v>15721</v>
      </c>
      <c r="AN847" s="1" t="s">
        <v>465</v>
      </c>
      <c r="AO847" s="1" t="s">
        <v>414</v>
      </c>
      <c r="AP847" s="1" t="s">
        <v>1192</v>
      </c>
      <c r="AQ847" s="1">
        <v>91.3</v>
      </c>
      <c r="AR847" s="1"/>
      <c r="AS847" s="1"/>
      <c r="AT847" s="1"/>
      <c r="AU847" s="1"/>
      <c r="AV847" s="1"/>
      <c r="AW847" s="1"/>
      <c r="AX847" s="1"/>
      <c r="AY847" s="1" t="s">
        <v>15722</v>
      </c>
      <c r="AZ847" s="1" t="s">
        <v>15723</v>
      </c>
      <c r="BA847" s="1" t="s">
        <v>466</v>
      </c>
      <c r="BB847" s="1" t="s">
        <v>467</v>
      </c>
      <c r="BC847" s="1" t="s">
        <v>441</v>
      </c>
      <c r="BD847" s="1" t="s">
        <v>848</v>
      </c>
      <c r="BE847" s="1">
        <v>68.3</v>
      </c>
      <c r="BF847" s="1">
        <v>7.19</v>
      </c>
      <c r="BG847" s="1"/>
      <c r="BH847" s="1"/>
      <c r="BI847" s="1"/>
      <c r="BJ847" s="1"/>
      <c r="BK847" s="1"/>
      <c r="BL847" s="1"/>
      <c r="BM847" s="1"/>
      <c r="BN847" s="1"/>
      <c r="BO847" s="1" t="s">
        <v>6132</v>
      </c>
      <c r="BP847" s="1"/>
      <c r="BQ847" s="1"/>
      <c r="BR847" s="1"/>
      <c r="BS847" s="1"/>
      <c r="BT847" s="1"/>
      <c r="BU847" s="1" t="str">
        <f>HYPERLINK("https://nconnect.nicmar.ac.in/storage/profile/6a872bb82f489.png","Download")</f>
        <v>0</v>
      </c>
      <c r="BV847" s="3"/>
      <c r="BW847" s="3"/>
    </row>
    <row r="848" spans="1:75">
      <c r="A848" s="1" t="s">
        <v>75</v>
      </c>
      <c r="B848" s="1" t="s">
        <v>13976</v>
      </c>
      <c r="C848" s="1" t="s">
        <v>15724</v>
      </c>
      <c r="D848" s="1" t="s">
        <v>15725</v>
      </c>
      <c r="E848" s="1"/>
      <c r="F848" s="1" t="s">
        <v>15726</v>
      </c>
      <c r="G848" s="1" t="s">
        <v>15727</v>
      </c>
      <c r="H848" s="1" t="s">
        <v>15728</v>
      </c>
      <c r="I848" s="1" t="s">
        <v>15728</v>
      </c>
      <c r="J848" s="1">
        <v>9966886614</v>
      </c>
      <c r="K848" s="1" t="s">
        <v>84</v>
      </c>
      <c r="L848" s="1" t="s">
        <v>15729</v>
      </c>
      <c r="M848" s="1" t="s">
        <v>86</v>
      </c>
      <c r="N848" s="1" t="s">
        <v>8486</v>
      </c>
      <c r="O848" s="1" t="s">
        <v>15730</v>
      </c>
      <c r="P848" s="1" t="s">
        <v>219</v>
      </c>
      <c r="Q848" s="1">
        <v>589468107737</v>
      </c>
      <c r="R848" s="1" t="s">
        <v>15731</v>
      </c>
      <c r="S848" s="1">
        <v>6281163909</v>
      </c>
      <c r="T848" s="1" t="s">
        <v>13987</v>
      </c>
      <c r="U848" s="1" t="s">
        <v>15732</v>
      </c>
      <c r="V848" s="1">
        <v>9494498701</v>
      </c>
      <c r="W848" s="1" t="s">
        <v>13987</v>
      </c>
      <c r="X848" s="1" t="s">
        <v>15733</v>
      </c>
      <c r="Y848" s="1" t="s">
        <v>280</v>
      </c>
      <c r="Z848" s="1" t="s">
        <v>281</v>
      </c>
      <c r="AA848" s="1" t="s">
        <v>15733</v>
      </c>
      <c r="AB848" s="1" t="s">
        <v>280</v>
      </c>
      <c r="AC848" s="1" t="s">
        <v>281</v>
      </c>
      <c r="AD848" s="1" t="s">
        <v>98</v>
      </c>
      <c r="AE848" s="1" t="s">
        <v>98</v>
      </c>
      <c r="AF848" s="1" t="s">
        <v>15734</v>
      </c>
      <c r="AG848" s="1" t="s">
        <v>15735</v>
      </c>
      <c r="AH848" s="1" t="s">
        <v>414</v>
      </c>
      <c r="AI848" s="1" t="s">
        <v>603</v>
      </c>
      <c r="AJ848" s="1">
        <v>86</v>
      </c>
      <c r="AK848" s="1"/>
      <c r="AL848" s="1"/>
      <c r="AM848" s="1"/>
      <c r="AN848" s="1"/>
      <c r="AO848" s="1"/>
      <c r="AP848" s="1"/>
      <c r="AQ848" s="1"/>
      <c r="AR848" s="1"/>
      <c r="AS848" s="1" t="s">
        <v>467</v>
      </c>
      <c r="AT848" s="1" t="s">
        <v>15736</v>
      </c>
      <c r="AU848" s="1" t="s">
        <v>233</v>
      </c>
      <c r="AV848" s="1" t="s">
        <v>579</v>
      </c>
      <c r="AW848" s="1">
        <v>75</v>
      </c>
      <c r="AX848" s="1"/>
      <c r="AY848" s="1" t="s">
        <v>15737</v>
      </c>
      <c r="AZ848" s="1" t="s">
        <v>15738</v>
      </c>
      <c r="BA848" s="1" t="s">
        <v>466</v>
      </c>
      <c r="BB848" s="1" t="s">
        <v>467</v>
      </c>
      <c r="BC848" s="1" t="s">
        <v>1267</v>
      </c>
      <c r="BD848" s="1" t="s">
        <v>14514</v>
      </c>
      <c r="BE848" s="1">
        <v>76</v>
      </c>
      <c r="BF848" s="1">
        <v>8</v>
      </c>
      <c r="BG848" s="1"/>
      <c r="BH848" s="1"/>
      <c r="BI848" s="1"/>
      <c r="BJ848" s="1"/>
      <c r="BK848" s="1"/>
      <c r="BL848" s="1"/>
      <c r="BM848" s="1"/>
      <c r="BN848" s="1"/>
      <c r="BO848" s="1" t="s">
        <v>15739</v>
      </c>
      <c r="BP848" s="1"/>
      <c r="BQ848" s="1"/>
      <c r="BR848" s="1" t="s">
        <v>15740</v>
      </c>
      <c r="BS848" s="1">
        <v>22</v>
      </c>
      <c r="BT848" s="1"/>
      <c r="BU848" s="1" t="str">
        <f>HYPERLINK("https://nconnect.nicmar.ac.in/storage/profile/6a8743f7b6c95.png","Download")</f>
        <v>0</v>
      </c>
      <c r="BV848" s="3"/>
      <c r="BW848" s="3"/>
    </row>
    <row r="849" spans="1:75">
      <c r="A849" s="1" t="s">
        <v>75</v>
      </c>
      <c r="B849" s="1" t="s">
        <v>13976</v>
      </c>
      <c r="C849" s="1" t="s">
        <v>15741</v>
      </c>
      <c r="D849" s="1" t="s">
        <v>15742</v>
      </c>
      <c r="E849" s="1"/>
      <c r="F849" s="1" t="s">
        <v>15743</v>
      </c>
      <c r="G849" s="1" t="s">
        <v>15744</v>
      </c>
      <c r="H849" s="1" t="s">
        <v>15745</v>
      </c>
      <c r="I849" s="1" t="s">
        <v>15746</v>
      </c>
      <c r="J849" s="1">
        <v>6909630543</v>
      </c>
      <c r="K849" s="1" t="s">
        <v>153</v>
      </c>
      <c r="L849" s="1" t="s">
        <v>15747</v>
      </c>
      <c r="M849" s="1" t="s">
        <v>86</v>
      </c>
      <c r="N849" s="1" t="s">
        <v>15748</v>
      </c>
      <c r="O849" s="1" t="s">
        <v>15749</v>
      </c>
      <c r="P849" s="1" t="s">
        <v>89</v>
      </c>
      <c r="Q849" s="1">
        <v>714736908199</v>
      </c>
      <c r="R849" s="1" t="s">
        <v>15750</v>
      </c>
      <c r="S849" s="1">
        <v>9862847360</v>
      </c>
      <c r="T849" s="1" t="s">
        <v>15751</v>
      </c>
      <c r="U849" s="1" t="s">
        <v>15752</v>
      </c>
      <c r="V849" s="1">
        <v>8974961120</v>
      </c>
      <c r="W849" s="1" t="s">
        <v>15753</v>
      </c>
      <c r="X849" s="1" t="s">
        <v>15754</v>
      </c>
      <c r="Y849" s="1" t="s">
        <v>15755</v>
      </c>
      <c r="Z849" s="1" t="s">
        <v>15756</v>
      </c>
      <c r="AA849" s="1" t="s">
        <v>15754</v>
      </c>
      <c r="AB849" s="1" t="s">
        <v>15755</v>
      </c>
      <c r="AC849" s="1" t="s">
        <v>15756</v>
      </c>
      <c r="AD849" s="1" t="s">
        <v>98</v>
      </c>
      <c r="AE849" s="1" t="s">
        <v>98</v>
      </c>
      <c r="AF849" s="1" t="s">
        <v>15757</v>
      </c>
      <c r="AG849" s="1" t="s">
        <v>15758</v>
      </c>
      <c r="AH849" s="1" t="s">
        <v>547</v>
      </c>
      <c r="AI849" s="1" t="s">
        <v>178</v>
      </c>
      <c r="AJ849" s="1">
        <v>88.4</v>
      </c>
      <c r="AK849" s="1"/>
      <c r="AL849" s="1" t="s">
        <v>15757</v>
      </c>
      <c r="AM849" s="1" t="s">
        <v>15758</v>
      </c>
      <c r="AN849" s="1" t="s">
        <v>465</v>
      </c>
      <c r="AO849" s="1" t="s">
        <v>2304</v>
      </c>
      <c r="AP849" s="1" t="s">
        <v>1400</v>
      </c>
      <c r="AQ849" s="1">
        <v>74.2</v>
      </c>
      <c r="AR849" s="1"/>
      <c r="AS849" s="1"/>
      <c r="AT849" s="1"/>
      <c r="AU849" s="1"/>
      <c r="AV849" s="1"/>
      <c r="AW849" s="1"/>
      <c r="AX849" s="1"/>
      <c r="AY849" s="1" t="s">
        <v>15759</v>
      </c>
      <c r="AZ849" s="1" t="s">
        <v>15760</v>
      </c>
      <c r="BA849" s="1" t="s">
        <v>466</v>
      </c>
      <c r="BB849" s="1" t="s">
        <v>467</v>
      </c>
      <c r="BC849" s="1" t="s">
        <v>1802</v>
      </c>
      <c r="BD849" s="1" t="s">
        <v>14494</v>
      </c>
      <c r="BE849" s="1">
        <v>79.5</v>
      </c>
      <c r="BF849" s="1">
        <v>7.95</v>
      </c>
      <c r="BG849" s="1"/>
      <c r="BH849" s="1"/>
      <c r="BI849" s="1"/>
      <c r="BJ849" s="1"/>
      <c r="BK849" s="1"/>
      <c r="BL849" s="1"/>
      <c r="BM849" s="1"/>
      <c r="BN849" s="1"/>
      <c r="BO849" s="1" t="s">
        <v>15761</v>
      </c>
      <c r="BP849" s="1"/>
      <c r="BQ849" s="1"/>
      <c r="BR849" s="1"/>
      <c r="BS849" s="1"/>
      <c r="BT849" s="1"/>
      <c r="BU849" s="1" t="str">
        <f>HYPERLINK("https://nconnect.nicmar.ac.in/storage/profile/6a8746a074fbc.png","Download")</f>
        <v>0</v>
      </c>
      <c r="BV849" s="3"/>
      <c r="BW849" s="3"/>
    </row>
    <row r="850" spans="1:75">
      <c r="A850" s="1" t="s">
        <v>75</v>
      </c>
      <c r="B850" s="1" t="s">
        <v>13976</v>
      </c>
      <c r="C850" s="1" t="s">
        <v>15762</v>
      </c>
      <c r="D850" s="1" t="s">
        <v>15763</v>
      </c>
      <c r="E850" s="1" t="s">
        <v>15764</v>
      </c>
      <c r="F850" s="1" t="s">
        <v>15765</v>
      </c>
      <c r="G850" s="1" t="s">
        <v>15766</v>
      </c>
      <c r="H850" s="1" t="s">
        <v>15767</v>
      </c>
      <c r="I850" s="1" t="s">
        <v>15767</v>
      </c>
      <c r="J850" s="1">
        <v>8055266630</v>
      </c>
      <c r="K850" s="1" t="s">
        <v>84</v>
      </c>
      <c r="L850" s="1" t="s">
        <v>15768</v>
      </c>
      <c r="M850" s="1" t="s">
        <v>86</v>
      </c>
      <c r="N850" s="1" t="s">
        <v>7152</v>
      </c>
      <c r="O850" s="1" t="s">
        <v>15769</v>
      </c>
      <c r="P850" s="1" t="s">
        <v>219</v>
      </c>
      <c r="Q850" s="1">
        <v>730421538560</v>
      </c>
      <c r="R850" s="1" t="s">
        <v>15770</v>
      </c>
      <c r="S850" s="1">
        <v>9673368148</v>
      </c>
      <c r="T850" s="1" t="s">
        <v>15771</v>
      </c>
      <c r="U850" s="1" t="s">
        <v>15772</v>
      </c>
      <c r="V850" s="1">
        <v>9673368189</v>
      </c>
      <c r="W850" s="1" t="s">
        <v>10306</v>
      </c>
      <c r="X850" s="1" t="s">
        <v>15773</v>
      </c>
      <c r="Y850" s="1" t="s">
        <v>410</v>
      </c>
      <c r="Z850" s="1" t="s">
        <v>97</v>
      </c>
      <c r="AA850" s="1" t="s">
        <v>15773</v>
      </c>
      <c r="AB850" s="1" t="s">
        <v>410</v>
      </c>
      <c r="AC850" s="1" t="s">
        <v>97</v>
      </c>
      <c r="AD850" s="1" t="s">
        <v>98</v>
      </c>
      <c r="AE850" s="1" t="s">
        <v>98</v>
      </c>
      <c r="AF850" s="1" t="s">
        <v>15774</v>
      </c>
      <c r="AG850" s="1" t="s">
        <v>15775</v>
      </c>
      <c r="AH850" s="1" t="s">
        <v>167</v>
      </c>
      <c r="AI850" s="1" t="s">
        <v>200</v>
      </c>
      <c r="AJ850" s="1">
        <v>79.4</v>
      </c>
      <c r="AK850" s="1"/>
      <c r="AL850" s="1" t="s">
        <v>15774</v>
      </c>
      <c r="AM850" s="1" t="s">
        <v>15775</v>
      </c>
      <c r="AN850" s="1" t="s">
        <v>465</v>
      </c>
      <c r="AO850" s="1" t="s">
        <v>106</v>
      </c>
      <c r="AP850" s="1" t="s">
        <v>203</v>
      </c>
      <c r="AQ850" s="1">
        <v>71.23</v>
      </c>
      <c r="AR850" s="1"/>
      <c r="AS850" s="1"/>
      <c r="AT850" s="1"/>
      <c r="AU850" s="1"/>
      <c r="AV850" s="1"/>
      <c r="AW850" s="1"/>
      <c r="AX850" s="1"/>
      <c r="AY850" s="1" t="s">
        <v>15776</v>
      </c>
      <c r="AZ850" s="1" t="s">
        <v>15777</v>
      </c>
      <c r="BA850" s="1" t="s">
        <v>466</v>
      </c>
      <c r="BB850" s="1" t="s">
        <v>467</v>
      </c>
      <c r="BC850" s="1" t="s">
        <v>315</v>
      </c>
      <c r="BD850" s="1" t="s">
        <v>234</v>
      </c>
      <c r="BE850" s="1">
        <v>83.7</v>
      </c>
      <c r="BF850" s="1">
        <v>8.37</v>
      </c>
      <c r="BG850" s="1"/>
      <c r="BH850" s="1"/>
      <c r="BI850" s="1"/>
      <c r="BJ850" s="1"/>
      <c r="BK850" s="1"/>
      <c r="BL850" s="1"/>
      <c r="BM850" s="1"/>
      <c r="BN850" s="1"/>
      <c r="BO850" s="1" t="s">
        <v>15778</v>
      </c>
      <c r="BP850" s="1" t="s">
        <v>15779</v>
      </c>
      <c r="BQ850" s="1" t="s">
        <v>8862</v>
      </c>
      <c r="BR850" s="1"/>
      <c r="BS850" s="1"/>
      <c r="BT850" s="1" t="s">
        <v>15780</v>
      </c>
      <c r="BU850" s="1" t="str">
        <f>HYPERLINK("https://nconnect.nicmar.ac.in/storage/profile/6a88177318b69.png","Download")</f>
        <v>0</v>
      </c>
      <c r="BV850" s="3"/>
      <c r="BW850" s="3"/>
    </row>
    <row r="851" spans="1:75">
      <c r="A851" s="1" t="s">
        <v>75</v>
      </c>
      <c r="B851" s="1" t="s">
        <v>13976</v>
      </c>
      <c r="C851" s="1" t="s">
        <v>15781</v>
      </c>
      <c r="D851" s="1" t="s">
        <v>15782</v>
      </c>
      <c r="E851" s="1"/>
      <c r="F851" s="1" t="s">
        <v>15783</v>
      </c>
      <c r="G851" s="1" t="s">
        <v>15784</v>
      </c>
      <c r="H851" s="1" t="s">
        <v>15785</v>
      </c>
      <c r="I851" s="1" t="s">
        <v>15786</v>
      </c>
      <c r="J851" s="1">
        <v>9121904563</v>
      </c>
      <c r="K851" s="1" t="s">
        <v>84</v>
      </c>
      <c r="L851" s="1" t="s">
        <v>15787</v>
      </c>
      <c r="M851" s="1" t="s">
        <v>86</v>
      </c>
      <c r="N851" s="1" t="s">
        <v>8486</v>
      </c>
      <c r="O851" s="1" t="s">
        <v>15788</v>
      </c>
      <c r="P851" s="1" t="s">
        <v>219</v>
      </c>
      <c r="Q851" s="1">
        <v>456523153126</v>
      </c>
      <c r="R851" s="1" t="s">
        <v>15789</v>
      </c>
      <c r="S851" s="1">
        <v>7095018770</v>
      </c>
      <c r="T851" s="1" t="s">
        <v>15790</v>
      </c>
      <c r="U851" s="1" t="s">
        <v>15791</v>
      </c>
      <c r="V851" s="1">
        <v>7981108074</v>
      </c>
      <c r="W851" s="1" t="s">
        <v>15792</v>
      </c>
      <c r="X851" s="1" t="s">
        <v>15793</v>
      </c>
      <c r="Y851" s="1" t="s">
        <v>15794</v>
      </c>
      <c r="Z851" s="1" t="s">
        <v>281</v>
      </c>
      <c r="AA851" s="1" t="s">
        <v>15793</v>
      </c>
      <c r="AB851" s="1" t="s">
        <v>15794</v>
      </c>
      <c r="AC851" s="1" t="s">
        <v>281</v>
      </c>
      <c r="AD851" s="1" t="s">
        <v>98</v>
      </c>
      <c r="AE851" s="1" t="s">
        <v>98</v>
      </c>
      <c r="AF851" s="1" t="s">
        <v>15795</v>
      </c>
      <c r="AG851" s="1" t="s">
        <v>15796</v>
      </c>
      <c r="AH851" s="1" t="s">
        <v>200</v>
      </c>
      <c r="AI851" s="1" t="s">
        <v>286</v>
      </c>
      <c r="AJ851" s="1">
        <v>92</v>
      </c>
      <c r="AK851" s="1">
        <v>9.2</v>
      </c>
      <c r="AL851" s="1" t="s">
        <v>15797</v>
      </c>
      <c r="AM851" s="1" t="s">
        <v>15798</v>
      </c>
      <c r="AN851" s="1" t="s">
        <v>465</v>
      </c>
      <c r="AO851" s="1" t="s">
        <v>490</v>
      </c>
      <c r="AP851" s="1" t="s">
        <v>603</v>
      </c>
      <c r="AQ851" s="1">
        <v>88.8</v>
      </c>
      <c r="AR851" s="1">
        <v>8.88</v>
      </c>
      <c r="AS851" s="1"/>
      <c r="AT851" s="1"/>
      <c r="AU851" s="1"/>
      <c r="AV851" s="1"/>
      <c r="AW851" s="1"/>
      <c r="AX851" s="1"/>
      <c r="AY851" s="1" t="s">
        <v>15799</v>
      </c>
      <c r="AZ851" s="1" t="s">
        <v>15800</v>
      </c>
      <c r="BA851" s="1" t="s">
        <v>466</v>
      </c>
      <c r="BB851" s="1" t="s">
        <v>467</v>
      </c>
      <c r="BC851" s="1" t="s">
        <v>977</v>
      </c>
      <c r="BD851" s="1" t="s">
        <v>1314</v>
      </c>
      <c r="BE851" s="1">
        <v>62.9</v>
      </c>
      <c r="BF851" s="1">
        <v>7.04</v>
      </c>
      <c r="BG851" s="1"/>
      <c r="BH851" s="1"/>
      <c r="BI851" s="1"/>
      <c r="BJ851" s="1"/>
      <c r="BK851" s="1"/>
      <c r="BL851" s="1"/>
      <c r="BM851" s="1"/>
      <c r="BN851" s="1"/>
      <c r="BO851" s="1" t="s">
        <v>15801</v>
      </c>
      <c r="BP851" s="1" t="s">
        <v>15802</v>
      </c>
      <c r="BQ851" s="1" t="s">
        <v>757</v>
      </c>
      <c r="BR851" s="1" t="s">
        <v>15803</v>
      </c>
      <c r="BS851" s="1">
        <v>11</v>
      </c>
      <c r="BT851" s="1"/>
      <c r="BU851" s="1" t="str">
        <f>HYPERLINK("https://nconnect.nicmar.ac.in/storage/profile/6a872f73be3ff.png","Download")</f>
        <v>0</v>
      </c>
      <c r="BV851" s="3"/>
      <c r="BW851" s="3"/>
    </row>
    <row r="852" spans="1:75">
      <c r="A852" s="1" t="s">
        <v>75</v>
      </c>
      <c r="B852" s="1" t="s">
        <v>13976</v>
      </c>
      <c r="C852" s="1" t="s">
        <v>15804</v>
      </c>
      <c r="D852" s="1" t="s">
        <v>15805</v>
      </c>
      <c r="E852" s="1" t="s">
        <v>15806</v>
      </c>
      <c r="F852" s="1" t="s">
        <v>15807</v>
      </c>
      <c r="G852" s="1" t="s">
        <v>15808</v>
      </c>
      <c r="H852" s="1" t="s">
        <v>15809</v>
      </c>
      <c r="I852" s="1" t="s">
        <v>15809</v>
      </c>
      <c r="J852" s="1">
        <v>8080859036</v>
      </c>
      <c r="K852" s="1" t="s">
        <v>153</v>
      </c>
      <c r="L852" s="1" t="s">
        <v>2485</v>
      </c>
      <c r="M852" s="1" t="s">
        <v>86</v>
      </c>
      <c r="N852" s="1" t="s">
        <v>15810</v>
      </c>
      <c r="O852" s="1" t="s">
        <v>15811</v>
      </c>
      <c r="P852" s="1" t="s">
        <v>219</v>
      </c>
      <c r="Q852" s="1">
        <v>915798203584</v>
      </c>
      <c r="R852" s="1" t="s">
        <v>15806</v>
      </c>
      <c r="S852" s="1">
        <v>9356775645</v>
      </c>
      <c r="T852" s="1" t="s">
        <v>15812</v>
      </c>
      <c r="U852" s="1" t="s">
        <v>15813</v>
      </c>
      <c r="V852" s="1">
        <v>8999462075</v>
      </c>
      <c r="W852" s="1" t="s">
        <v>14032</v>
      </c>
      <c r="X852" s="1" t="s">
        <v>15814</v>
      </c>
      <c r="Y852" s="1" t="s">
        <v>410</v>
      </c>
      <c r="Z852" s="1" t="s">
        <v>97</v>
      </c>
      <c r="AA852" s="1" t="s">
        <v>15814</v>
      </c>
      <c r="AB852" s="1" t="s">
        <v>410</v>
      </c>
      <c r="AC852" s="1" t="s">
        <v>97</v>
      </c>
      <c r="AD852" s="1" t="s">
        <v>98</v>
      </c>
      <c r="AE852" s="1" t="s">
        <v>98</v>
      </c>
      <c r="AF852" s="1" t="s">
        <v>15815</v>
      </c>
      <c r="AG852" s="1" t="s">
        <v>15816</v>
      </c>
      <c r="AH852" s="1" t="s">
        <v>106</v>
      </c>
      <c r="AI852" s="1" t="s">
        <v>313</v>
      </c>
      <c r="AJ852" s="1">
        <v>65.2</v>
      </c>
      <c r="AK852" s="1" t="s">
        <v>15817</v>
      </c>
      <c r="AL852" s="1" t="s">
        <v>15818</v>
      </c>
      <c r="AM852" s="1" t="s">
        <v>15819</v>
      </c>
      <c r="AN852" s="1" t="s">
        <v>465</v>
      </c>
      <c r="AO852" s="1" t="s">
        <v>178</v>
      </c>
      <c r="AP852" s="1" t="s">
        <v>845</v>
      </c>
      <c r="AQ852" s="1">
        <v>82</v>
      </c>
      <c r="AR852" s="1">
        <v>8.63</v>
      </c>
      <c r="AS852" s="1"/>
      <c r="AT852" s="1"/>
      <c r="AU852" s="1"/>
      <c r="AV852" s="1"/>
      <c r="AW852" s="1"/>
      <c r="AX852" s="1"/>
      <c r="AY852" s="1" t="s">
        <v>15820</v>
      </c>
      <c r="AZ852" s="1" t="s">
        <v>15821</v>
      </c>
      <c r="BA852" s="1" t="s">
        <v>466</v>
      </c>
      <c r="BB852" s="1" t="s">
        <v>467</v>
      </c>
      <c r="BC852" s="1" t="s">
        <v>632</v>
      </c>
      <c r="BD852" s="1" t="s">
        <v>848</v>
      </c>
      <c r="BE852" s="1">
        <v>65.64</v>
      </c>
      <c r="BF852" s="1">
        <v>6.91</v>
      </c>
      <c r="BG852" s="1"/>
      <c r="BH852" s="1"/>
      <c r="BI852" s="1"/>
      <c r="BJ852" s="1"/>
      <c r="BK852" s="1"/>
      <c r="BL852" s="1"/>
      <c r="BM852" s="1"/>
      <c r="BN852" s="1"/>
      <c r="BO852" s="1" t="s">
        <v>15822</v>
      </c>
      <c r="BP852" s="1"/>
      <c r="BQ852" s="1"/>
      <c r="BR852" s="1" t="s">
        <v>15823</v>
      </c>
      <c r="BS852" s="1">
        <v>1</v>
      </c>
      <c r="BT852" s="1"/>
      <c r="BU852" s="1" t="s">
        <v>9653</v>
      </c>
      <c r="BV852" s="3"/>
      <c r="BW852" s="3"/>
    </row>
    <row r="853" spans="1:75">
      <c r="A853" s="1" t="s">
        <v>75</v>
      </c>
      <c r="B853" s="1" t="s">
        <v>13976</v>
      </c>
      <c r="C853" s="1" t="s">
        <v>15824</v>
      </c>
      <c r="D853" s="1" t="s">
        <v>15498</v>
      </c>
      <c r="E853" s="1" t="s">
        <v>15067</v>
      </c>
      <c r="F853" s="1" t="s">
        <v>15825</v>
      </c>
      <c r="G853" s="1" t="s">
        <v>15826</v>
      </c>
      <c r="H853" s="1" t="s">
        <v>15827</v>
      </c>
      <c r="I853" s="1" t="s">
        <v>15827</v>
      </c>
      <c r="J853" s="1">
        <v>9075759936</v>
      </c>
      <c r="K853" s="1" t="s">
        <v>84</v>
      </c>
      <c r="L853" s="1" t="s">
        <v>15828</v>
      </c>
      <c r="M853" s="1" t="s">
        <v>86</v>
      </c>
      <c r="N853" s="1" t="s">
        <v>768</v>
      </c>
      <c r="O853" s="1" t="s">
        <v>15829</v>
      </c>
      <c r="P853" s="1" t="s">
        <v>219</v>
      </c>
      <c r="Q853" s="1">
        <v>636926059775</v>
      </c>
      <c r="R853" s="1" t="s">
        <v>15830</v>
      </c>
      <c r="S853" s="1">
        <v>9673624695</v>
      </c>
      <c r="T853" s="1" t="s">
        <v>13987</v>
      </c>
      <c r="U853" s="1" t="s">
        <v>15831</v>
      </c>
      <c r="V853" s="1">
        <v>9423447750</v>
      </c>
      <c r="W853" s="1" t="s">
        <v>14154</v>
      </c>
      <c r="X853" s="1" t="s">
        <v>15832</v>
      </c>
      <c r="Y853" s="1" t="s">
        <v>1989</v>
      </c>
      <c r="Z853" s="1" t="s">
        <v>97</v>
      </c>
      <c r="AA853" s="1" t="s">
        <v>15832</v>
      </c>
      <c r="AB853" s="1" t="s">
        <v>1989</v>
      </c>
      <c r="AC853" s="1" t="s">
        <v>97</v>
      </c>
      <c r="AD853" s="1" t="s">
        <v>98</v>
      </c>
      <c r="AE853" s="1" t="s">
        <v>98</v>
      </c>
      <c r="AF853" s="1" t="s">
        <v>15833</v>
      </c>
      <c r="AG853" s="1" t="s">
        <v>14157</v>
      </c>
      <c r="AH853" s="1" t="s">
        <v>101</v>
      </c>
      <c r="AI853" s="1" t="s">
        <v>166</v>
      </c>
      <c r="AJ853" s="1">
        <v>94.6</v>
      </c>
      <c r="AK853" s="1"/>
      <c r="AL853" s="1"/>
      <c r="AM853" s="1"/>
      <c r="AN853" s="1"/>
      <c r="AO853" s="1"/>
      <c r="AP853" s="1"/>
      <c r="AQ853" s="1"/>
      <c r="AR853" s="1"/>
      <c r="AS853" s="1" t="s">
        <v>15834</v>
      </c>
      <c r="AT853" s="1" t="s">
        <v>15835</v>
      </c>
      <c r="AU853" s="1" t="s">
        <v>342</v>
      </c>
      <c r="AV853" s="1" t="s">
        <v>106</v>
      </c>
      <c r="AW853" s="1">
        <v>81.63</v>
      </c>
      <c r="AX853" s="1"/>
      <c r="AY853" s="1" t="s">
        <v>14262</v>
      </c>
      <c r="AZ853" s="1" t="s">
        <v>15836</v>
      </c>
      <c r="BA853" s="1" t="s">
        <v>578</v>
      </c>
      <c r="BB853" s="1" t="s">
        <v>467</v>
      </c>
      <c r="BC853" s="1" t="s">
        <v>174</v>
      </c>
      <c r="BD853" s="1" t="s">
        <v>552</v>
      </c>
      <c r="BE853" s="1">
        <v>76.63</v>
      </c>
      <c r="BF853" s="1"/>
      <c r="BG853" s="1"/>
      <c r="BH853" s="1"/>
      <c r="BI853" s="1"/>
      <c r="BJ853" s="1"/>
      <c r="BK853" s="1"/>
      <c r="BL853" s="1"/>
      <c r="BM853" s="1"/>
      <c r="BN853" s="1"/>
      <c r="BO853" s="1" t="s">
        <v>14382</v>
      </c>
      <c r="BP853" s="1" t="s">
        <v>15837</v>
      </c>
      <c r="BQ853" s="1" t="s">
        <v>13562</v>
      </c>
      <c r="BR853" s="1"/>
      <c r="BS853" s="1"/>
      <c r="BT853" s="1"/>
      <c r="BU853" s="1" t="str">
        <f>HYPERLINK("https://nconnect.nicmar.ac.in/storage/profile/6a86ea4f18f93.png","Download")</f>
        <v>0</v>
      </c>
      <c r="BV853" s="3"/>
      <c r="BW853" s="3"/>
    </row>
    <row r="854" spans="1:75">
      <c r="A854" s="1" t="s">
        <v>75</v>
      </c>
      <c r="B854" s="1" t="s">
        <v>13976</v>
      </c>
      <c r="C854" s="1" t="s">
        <v>15838</v>
      </c>
      <c r="D854" s="1" t="s">
        <v>15839</v>
      </c>
      <c r="E854" s="1"/>
      <c r="F854" s="1" t="s">
        <v>15840</v>
      </c>
      <c r="G854" s="1" t="s">
        <v>15841</v>
      </c>
      <c r="H854" s="1" t="s">
        <v>15842</v>
      </c>
      <c r="I854" s="1" t="s">
        <v>15842</v>
      </c>
      <c r="J854" s="1">
        <v>9247906999</v>
      </c>
      <c r="K854" s="1" t="s">
        <v>84</v>
      </c>
      <c r="L854" s="1" t="s">
        <v>15843</v>
      </c>
      <c r="M854" s="1" t="s">
        <v>86</v>
      </c>
      <c r="N854" s="1" t="s">
        <v>15844</v>
      </c>
      <c r="O854" s="1" t="s">
        <v>15845</v>
      </c>
      <c r="P854" s="1" t="s">
        <v>89</v>
      </c>
      <c r="Q854" s="1">
        <v>221503765908</v>
      </c>
      <c r="R854" s="1" t="s">
        <v>15846</v>
      </c>
      <c r="S854" s="1">
        <v>9248834444</v>
      </c>
      <c r="T854" s="1" t="s">
        <v>926</v>
      </c>
      <c r="U854" s="1" t="s">
        <v>15847</v>
      </c>
      <c r="V854" s="1">
        <v>9542167066</v>
      </c>
      <c r="W854" s="1" t="s">
        <v>94</v>
      </c>
      <c r="X854" s="1" t="s">
        <v>15848</v>
      </c>
      <c r="Y854" s="1" t="s">
        <v>1416</v>
      </c>
      <c r="Z854" s="1" t="s">
        <v>281</v>
      </c>
      <c r="AA854" s="1" t="s">
        <v>15848</v>
      </c>
      <c r="AB854" s="1" t="s">
        <v>1416</v>
      </c>
      <c r="AC854" s="1" t="s">
        <v>281</v>
      </c>
      <c r="AD854" s="1" t="s">
        <v>98</v>
      </c>
      <c r="AE854" s="1" t="s">
        <v>98</v>
      </c>
      <c r="AF854" s="1" t="s">
        <v>15849</v>
      </c>
      <c r="AG854" s="1" t="s">
        <v>2341</v>
      </c>
      <c r="AH854" s="1" t="s">
        <v>704</v>
      </c>
      <c r="AI854" s="1" t="s">
        <v>286</v>
      </c>
      <c r="AJ854" s="1">
        <v>97</v>
      </c>
      <c r="AK854" s="1">
        <v>9.7</v>
      </c>
      <c r="AL854" s="1" t="s">
        <v>15850</v>
      </c>
      <c r="AM854" s="1" t="s">
        <v>2343</v>
      </c>
      <c r="AN854" s="1" t="s">
        <v>465</v>
      </c>
      <c r="AO854" s="1" t="s">
        <v>106</v>
      </c>
      <c r="AP854" s="1" t="s">
        <v>977</v>
      </c>
      <c r="AQ854" s="1">
        <v>89</v>
      </c>
      <c r="AR854" s="1">
        <v>9.29</v>
      </c>
      <c r="AS854" s="1"/>
      <c r="AT854" s="1"/>
      <c r="AU854" s="1"/>
      <c r="AV854" s="1"/>
      <c r="AW854" s="1"/>
      <c r="AX854" s="1"/>
      <c r="AY854" s="1" t="s">
        <v>15851</v>
      </c>
      <c r="AZ854" s="1" t="s">
        <v>15852</v>
      </c>
      <c r="BA854" s="1" t="s">
        <v>466</v>
      </c>
      <c r="BB854" s="1" t="s">
        <v>467</v>
      </c>
      <c r="BC854" s="1" t="s">
        <v>368</v>
      </c>
      <c r="BD854" s="1" t="s">
        <v>1314</v>
      </c>
      <c r="BE854" s="1">
        <v>73.4</v>
      </c>
      <c r="BF854" s="1">
        <v>8.09</v>
      </c>
      <c r="BG854" s="1"/>
      <c r="BH854" s="1"/>
      <c r="BI854" s="1"/>
      <c r="BJ854" s="1"/>
      <c r="BK854" s="1"/>
      <c r="BL854" s="1"/>
      <c r="BM854" s="1"/>
      <c r="BN854" s="1"/>
      <c r="BO854" s="1" t="s">
        <v>15853</v>
      </c>
      <c r="BP854" s="1" t="s">
        <v>15854</v>
      </c>
      <c r="BQ854" s="1" t="s">
        <v>6365</v>
      </c>
      <c r="BR854" s="1"/>
      <c r="BS854" s="1"/>
      <c r="BT854" s="1"/>
      <c r="BU854" s="1" t="str">
        <f>HYPERLINK("https://nconnect.nicmar.ac.in/storage/profile/6a8747451a584.png","Download")</f>
        <v>0</v>
      </c>
      <c r="BV854" s="3"/>
      <c r="BW854" s="3"/>
    </row>
    <row r="855" spans="1:75">
      <c r="A855" s="1" t="s">
        <v>75</v>
      </c>
      <c r="B855" s="1" t="s">
        <v>13976</v>
      </c>
      <c r="C855" s="1" t="s">
        <v>15855</v>
      </c>
      <c r="D855" s="1" t="s">
        <v>15856</v>
      </c>
      <c r="E855" s="1"/>
      <c r="F855" s="1" t="s">
        <v>15857</v>
      </c>
      <c r="G855" s="1" t="s">
        <v>15858</v>
      </c>
      <c r="H855" s="1" t="s">
        <v>15859</v>
      </c>
      <c r="I855" s="1" t="s">
        <v>15860</v>
      </c>
      <c r="J855" s="1">
        <v>9891013687</v>
      </c>
      <c r="K855" s="1" t="s">
        <v>153</v>
      </c>
      <c r="L855" s="1" t="s">
        <v>15861</v>
      </c>
      <c r="M855" s="1" t="s">
        <v>86</v>
      </c>
      <c r="N855" s="1" t="s">
        <v>15862</v>
      </c>
      <c r="O855" s="1" t="s">
        <v>15863</v>
      </c>
      <c r="P855" s="1" t="s">
        <v>219</v>
      </c>
      <c r="Q855" s="1">
        <v>356406264888</v>
      </c>
      <c r="R855" s="1" t="s">
        <v>15864</v>
      </c>
      <c r="S855" s="1">
        <v>9212708574</v>
      </c>
      <c r="T855" s="1" t="s">
        <v>14800</v>
      </c>
      <c r="U855" s="1" t="s">
        <v>15865</v>
      </c>
      <c r="V855" s="1">
        <v>9213938515</v>
      </c>
      <c r="W855" s="1" t="s">
        <v>15866</v>
      </c>
      <c r="X855" s="1" t="s">
        <v>15867</v>
      </c>
      <c r="Y855" s="1" t="s">
        <v>3767</v>
      </c>
      <c r="Z855" s="1" t="s">
        <v>544</v>
      </c>
      <c r="AA855" s="1" t="s">
        <v>15867</v>
      </c>
      <c r="AB855" s="1" t="s">
        <v>3767</v>
      </c>
      <c r="AC855" s="1" t="s">
        <v>544</v>
      </c>
      <c r="AD855" s="1" t="s">
        <v>98</v>
      </c>
      <c r="AE855" s="1" t="s">
        <v>98</v>
      </c>
      <c r="AF855" s="1" t="s">
        <v>15868</v>
      </c>
      <c r="AG855" s="1" t="s">
        <v>15869</v>
      </c>
      <c r="AH855" s="1" t="s">
        <v>490</v>
      </c>
      <c r="AI855" s="1" t="s">
        <v>547</v>
      </c>
      <c r="AJ855" s="1">
        <v>92.8</v>
      </c>
      <c r="AK855" s="1"/>
      <c r="AL855" s="1" t="s">
        <v>15868</v>
      </c>
      <c r="AM855" s="1" t="s">
        <v>15869</v>
      </c>
      <c r="AN855" s="1" t="s">
        <v>465</v>
      </c>
      <c r="AO855" s="1" t="s">
        <v>977</v>
      </c>
      <c r="AP855" s="1" t="s">
        <v>2304</v>
      </c>
      <c r="AQ855" s="1">
        <v>92</v>
      </c>
      <c r="AR855" s="1"/>
      <c r="AS855" s="1"/>
      <c r="AT855" s="1"/>
      <c r="AU855" s="1"/>
      <c r="AV855" s="1"/>
      <c r="AW855" s="1"/>
      <c r="AX855" s="1"/>
      <c r="AY855" s="1" t="s">
        <v>14806</v>
      </c>
      <c r="AZ855" s="1" t="s">
        <v>15870</v>
      </c>
      <c r="BA855" s="1" t="s">
        <v>682</v>
      </c>
      <c r="BB855" s="1" t="s">
        <v>1561</v>
      </c>
      <c r="BC855" s="1" t="s">
        <v>441</v>
      </c>
      <c r="BD855" s="1" t="s">
        <v>9688</v>
      </c>
      <c r="BE855" s="1">
        <v>90.3</v>
      </c>
      <c r="BF855" s="1"/>
      <c r="BG855" s="1"/>
      <c r="BH855" s="1"/>
      <c r="BI855" s="1"/>
      <c r="BJ855" s="1"/>
      <c r="BK855" s="1"/>
      <c r="BL855" s="1"/>
      <c r="BM855" s="1"/>
      <c r="BN855" s="1"/>
      <c r="BO855" s="1" t="s">
        <v>15871</v>
      </c>
      <c r="BP855" s="1"/>
      <c r="BQ855" s="1"/>
      <c r="BR855" s="1" t="s">
        <v>15872</v>
      </c>
      <c r="BS855" s="1">
        <v>16</v>
      </c>
      <c r="BT855" s="1" t="s">
        <v>15873</v>
      </c>
      <c r="BU855" s="1" t="str">
        <f>HYPERLINK("https://nconnect.nicmar.ac.in/storage/profile/6a87457f8f0bc.png","Download")</f>
        <v>0</v>
      </c>
      <c r="BV855" s="3"/>
      <c r="BW855" s="3"/>
    </row>
    <row r="856" spans="1:75">
      <c r="A856" s="1" t="s">
        <v>75</v>
      </c>
      <c r="B856" s="1" t="s">
        <v>13976</v>
      </c>
      <c r="C856" s="1" t="s">
        <v>15874</v>
      </c>
      <c r="D856" s="1" t="s">
        <v>6880</v>
      </c>
      <c r="E856" s="1"/>
      <c r="F856" s="1" t="s">
        <v>350</v>
      </c>
      <c r="G856" s="1" t="s">
        <v>15875</v>
      </c>
      <c r="H856" s="1" t="s">
        <v>15876</v>
      </c>
      <c r="I856" s="1" t="s">
        <v>15876</v>
      </c>
      <c r="J856" s="1">
        <v>9560085984</v>
      </c>
      <c r="K856" s="1" t="s">
        <v>84</v>
      </c>
      <c r="L856" s="1" t="s">
        <v>15877</v>
      </c>
      <c r="M856" s="1" t="s">
        <v>86</v>
      </c>
      <c r="N856" s="1" t="s">
        <v>15878</v>
      </c>
      <c r="O856" s="1" t="s">
        <v>15879</v>
      </c>
      <c r="P856" s="1" t="s">
        <v>219</v>
      </c>
      <c r="Q856" s="1">
        <v>392016149423</v>
      </c>
      <c r="R856" s="1" t="s">
        <v>15880</v>
      </c>
      <c r="S856" s="1">
        <v>9953395984</v>
      </c>
      <c r="T856" s="1" t="s">
        <v>15881</v>
      </c>
      <c r="U856" s="1" t="s">
        <v>15882</v>
      </c>
      <c r="V856" s="1">
        <v>9971102989</v>
      </c>
      <c r="W856" s="1" t="s">
        <v>14095</v>
      </c>
      <c r="X856" s="1" t="s">
        <v>15883</v>
      </c>
      <c r="Y856" s="1" t="s">
        <v>6853</v>
      </c>
      <c r="Z856" s="1" t="s">
        <v>1739</v>
      </c>
      <c r="AA856" s="1" t="s">
        <v>15883</v>
      </c>
      <c r="AB856" s="1" t="s">
        <v>6853</v>
      </c>
      <c r="AC856" s="1" t="s">
        <v>1739</v>
      </c>
      <c r="AD856" s="1" t="s">
        <v>98</v>
      </c>
      <c r="AE856" s="1" t="s">
        <v>98</v>
      </c>
      <c r="AF856" s="1" t="s">
        <v>15884</v>
      </c>
      <c r="AG856" s="1" t="s">
        <v>796</v>
      </c>
      <c r="AH856" s="1" t="s">
        <v>801</v>
      </c>
      <c r="AI856" s="1" t="s">
        <v>2726</v>
      </c>
      <c r="AJ856" s="1">
        <v>69</v>
      </c>
      <c r="AK856" s="1">
        <v>7.2</v>
      </c>
      <c r="AL856" s="1" t="s">
        <v>15885</v>
      </c>
      <c r="AM856" s="1" t="s">
        <v>796</v>
      </c>
      <c r="AN856" s="1" t="s">
        <v>465</v>
      </c>
      <c r="AO856" s="1" t="s">
        <v>134</v>
      </c>
      <c r="AP856" s="1" t="s">
        <v>1262</v>
      </c>
      <c r="AQ856" s="1">
        <v>56</v>
      </c>
      <c r="AR856" s="1"/>
      <c r="AS856" s="1"/>
      <c r="AT856" s="1"/>
      <c r="AU856" s="1"/>
      <c r="AV856" s="1"/>
      <c r="AW856" s="1"/>
      <c r="AX856" s="1"/>
      <c r="AY856" s="1" t="s">
        <v>15886</v>
      </c>
      <c r="AZ856" s="1" t="s">
        <v>15887</v>
      </c>
      <c r="BA856" s="1" t="s">
        <v>466</v>
      </c>
      <c r="BB856" s="1" t="s">
        <v>467</v>
      </c>
      <c r="BC856" s="1" t="s">
        <v>1262</v>
      </c>
      <c r="BD856" s="1" t="s">
        <v>171</v>
      </c>
      <c r="BE856" s="1">
        <v>55</v>
      </c>
      <c r="BF856" s="1"/>
      <c r="BG856" s="1"/>
      <c r="BH856" s="1"/>
      <c r="BI856" s="1"/>
      <c r="BJ856" s="1"/>
      <c r="BK856" s="1"/>
      <c r="BL856" s="1"/>
      <c r="BM856" s="1"/>
      <c r="BN856" s="1"/>
      <c r="BO856" s="1" t="s">
        <v>260</v>
      </c>
      <c r="BP856" s="1" t="s">
        <v>15888</v>
      </c>
      <c r="BQ856" s="1" t="s">
        <v>2213</v>
      </c>
      <c r="BR856" s="1"/>
      <c r="BS856" s="1"/>
      <c r="BT856" s="1"/>
      <c r="BU856" s="1" t="str">
        <f>HYPERLINK("https://nconnect.nicmar.ac.in/storage/profile/6a85f271df1b1.png","Download")</f>
        <v>0</v>
      </c>
      <c r="BV856" s="3"/>
      <c r="BW856" s="3"/>
    </row>
    <row r="857" spans="1:75">
      <c r="A857" s="1" t="s">
        <v>75</v>
      </c>
      <c r="B857" s="1" t="s">
        <v>13976</v>
      </c>
      <c r="C857" s="1" t="s">
        <v>15889</v>
      </c>
      <c r="D857" s="1" t="s">
        <v>7525</v>
      </c>
      <c r="E857" s="1" t="s">
        <v>15890</v>
      </c>
      <c r="F857" s="1" t="s">
        <v>10084</v>
      </c>
      <c r="G857" s="1" t="s">
        <v>15891</v>
      </c>
      <c r="H857" s="1" t="s">
        <v>15892</v>
      </c>
      <c r="I857" s="1" t="s">
        <v>15892</v>
      </c>
      <c r="J857" s="1">
        <v>9074181746</v>
      </c>
      <c r="K857" s="1" t="s">
        <v>153</v>
      </c>
      <c r="L857" s="1" t="s">
        <v>15893</v>
      </c>
      <c r="M857" s="1" t="s">
        <v>86</v>
      </c>
      <c r="N857" s="1" t="s">
        <v>15894</v>
      </c>
      <c r="O857" s="1" t="s">
        <v>15895</v>
      </c>
      <c r="P857" s="1" t="s">
        <v>89</v>
      </c>
      <c r="Q857" s="1">
        <v>349218615568</v>
      </c>
      <c r="R857" s="1" t="s">
        <v>15896</v>
      </c>
      <c r="S857" s="1">
        <v>8971885248</v>
      </c>
      <c r="T857" s="1" t="s">
        <v>722</v>
      </c>
      <c r="U857" s="1" t="s">
        <v>15897</v>
      </c>
      <c r="V857" s="1">
        <v>9744974151</v>
      </c>
      <c r="W857" s="1" t="s">
        <v>3588</v>
      </c>
      <c r="X857" s="1" t="s">
        <v>15898</v>
      </c>
      <c r="Y857" s="1" t="s">
        <v>701</v>
      </c>
      <c r="Z857" s="1" t="s">
        <v>130</v>
      </c>
      <c r="AA857" s="1" t="s">
        <v>15898</v>
      </c>
      <c r="AB857" s="1" t="s">
        <v>701</v>
      </c>
      <c r="AC857" s="1" t="s">
        <v>130</v>
      </c>
      <c r="AD857" s="1" t="s">
        <v>98</v>
      </c>
      <c r="AE857" s="1" t="s">
        <v>98</v>
      </c>
      <c r="AF857" s="1" t="s">
        <v>15899</v>
      </c>
      <c r="AG857" s="1" t="s">
        <v>8784</v>
      </c>
      <c r="AH857" s="1" t="s">
        <v>106</v>
      </c>
      <c r="AI857" s="1" t="s">
        <v>313</v>
      </c>
      <c r="AJ857" s="1">
        <v>98</v>
      </c>
      <c r="AK857" s="1"/>
      <c r="AL857" s="1" t="s">
        <v>15900</v>
      </c>
      <c r="AM857" s="1" t="s">
        <v>8784</v>
      </c>
      <c r="AN857" s="1" t="s">
        <v>575</v>
      </c>
      <c r="AO857" s="1" t="s">
        <v>468</v>
      </c>
      <c r="AP857" s="1" t="s">
        <v>549</v>
      </c>
      <c r="AQ857" s="1">
        <v>97.67</v>
      </c>
      <c r="AR857" s="1"/>
      <c r="AS857" s="1"/>
      <c r="AT857" s="1"/>
      <c r="AU857" s="1"/>
      <c r="AV857" s="1"/>
      <c r="AW857" s="1"/>
      <c r="AX857" s="1"/>
      <c r="AY857" s="1" t="s">
        <v>15901</v>
      </c>
      <c r="AZ857" s="1" t="s">
        <v>5974</v>
      </c>
      <c r="BA857" s="1" t="s">
        <v>466</v>
      </c>
      <c r="BB857" s="1" t="s">
        <v>467</v>
      </c>
      <c r="BC857" s="1" t="s">
        <v>549</v>
      </c>
      <c r="BD857" s="1" t="s">
        <v>607</v>
      </c>
      <c r="BE857" s="1">
        <v>86</v>
      </c>
      <c r="BF857" s="1">
        <v>8.6</v>
      </c>
      <c r="BG857" s="1"/>
      <c r="BH857" s="1"/>
      <c r="BI857" s="1"/>
      <c r="BJ857" s="1"/>
      <c r="BK857" s="1"/>
      <c r="BL857" s="1"/>
      <c r="BM857" s="1"/>
      <c r="BN857" s="1"/>
      <c r="BO857" s="1" t="s">
        <v>15902</v>
      </c>
      <c r="BP857" s="1"/>
      <c r="BQ857" s="1"/>
      <c r="BR857" s="1" t="s">
        <v>15903</v>
      </c>
      <c r="BS857" s="1">
        <v>25</v>
      </c>
      <c r="BT857" s="1"/>
      <c r="BU857" s="1" t="str">
        <f>HYPERLINK("https://nconnect.nicmar.ac.in/storage/profile/6a872748f2174.png","Download")</f>
        <v>0</v>
      </c>
      <c r="BV857" s="3"/>
      <c r="BW857" s="3"/>
    </row>
    <row r="858" spans="1:75">
      <c r="A858" s="1" t="s">
        <v>75</v>
      </c>
      <c r="B858" s="1" t="s">
        <v>13976</v>
      </c>
      <c r="C858" s="1" t="s">
        <v>15904</v>
      </c>
      <c r="D858" s="1" t="s">
        <v>11393</v>
      </c>
      <c r="E858" s="1"/>
      <c r="F858" s="1" t="s">
        <v>15905</v>
      </c>
      <c r="G858" s="1" t="s">
        <v>15906</v>
      </c>
      <c r="H858" s="1" t="s">
        <v>15907</v>
      </c>
      <c r="I858" s="1" t="s">
        <v>15908</v>
      </c>
      <c r="J858" s="1">
        <v>9205031217</v>
      </c>
      <c r="K858" s="1" t="s">
        <v>84</v>
      </c>
      <c r="L858" s="1" t="s">
        <v>15909</v>
      </c>
      <c r="M858" s="1" t="s">
        <v>86</v>
      </c>
      <c r="N858" s="1" t="s">
        <v>4857</v>
      </c>
      <c r="O858" s="1" t="s">
        <v>15910</v>
      </c>
      <c r="P858" s="1" t="s">
        <v>89</v>
      </c>
      <c r="Q858" s="1">
        <v>385020974330</v>
      </c>
      <c r="R858" s="1" t="s">
        <v>15911</v>
      </c>
      <c r="S858" s="1">
        <v>9971815812</v>
      </c>
      <c r="T858" s="1" t="s">
        <v>14800</v>
      </c>
      <c r="U858" s="1" t="s">
        <v>15912</v>
      </c>
      <c r="V858" s="1">
        <v>9910793483</v>
      </c>
      <c r="W858" s="1" t="s">
        <v>15866</v>
      </c>
      <c r="X858" s="1" t="s">
        <v>15913</v>
      </c>
      <c r="Y858" s="1" t="s">
        <v>1738</v>
      </c>
      <c r="Z858" s="1" t="s">
        <v>1739</v>
      </c>
      <c r="AA858" s="1"/>
      <c r="AB858" s="1"/>
      <c r="AC858" s="1"/>
      <c r="AD858" s="1" t="s">
        <v>98</v>
      </c>
      <c r="AE858" s="1" t="s">
        <v>98</v>
      </c>
      <c r="AF858" s="1" t="s">
        <v>15914</v>
      </c>
      <c r="AG858" s="1" t="s">
        <v>15869</v>
      </c>
      <c r="AH858" s="1" t="s">
        <v>490</v>
      </c>
      <c r="AI858" s="1" t="s">
        <v>313</v>
      </c>
      <c r="AJ858" s="1">
        <v>88.2</v>
      </c>
      <c r="AK858" s="1"/>
      <c r="AL858" s="1" t="s">
        <v>15914</v>
      </c>
      <c r="AM858" s="1" t="s">
        <v>15869</v>
      </c>
      <c r="AN858" s="1" t="s">
        <v>465</v>
      </c>
      <c r="AO858" s="1" t="s">
        <v>977</v>
      </c>
      <c r="AP858" s="1" t="s">
        <v>549</v>
      </c>
      <c r="AQ858" s="1">
        <v>85</v>
      </c>
      <c r="AR858" s="1"/>
      <c r="AS858" s="1"/>
      <c r="AT858" s="1"/>
      <c r="AU858" s="1"/>
      <c r="AV858" s="1"/>
      <c r="AW858" s="1"/>
      <c r="AX858" s="1"/>
      <c r="AY858" s="1" t="s">
        <v>14806</v>
      </c>
      <c r="AZ858" s="1" t="s">
        <v>15870</v>
      </c>
      <c r="BA858" s="1" t="s">
        <v>682</v>
      </c>
      <c r="BB858" s="1" t="s">
        <v>1561</v>
      </c>
      <c r="BC858" s="1" t="s">
        <v>441</v>
      </c>
      <c r="BD858" s="1" t="s">
        <v>9688</v>
      </c>
      <c r="BE858" s="1">
        <v>88.7</v>
      </c>
      <c r="BF858" s="1"/>
      <c r="BG858" s="1"/>
      <c r="BH858" s="1"/>
      <c r="BI858" s="1"/>
      <c r="BJ858" s="1"/>
      <c r="BK858" s="1"/>
      <c r="BL858" s="1"/>
      <c r="BM858" s="1"/>
      <c r="BN858" s="1"/>
      <c r="BO858" s="1" t="s">
        <v>15915</v>
      </c>
      <c r="BP858" s="1"/>
      <c r="BQ858" s="1"/>
      <c r="BR858" s="1" t="s">
        <v>15916</v>
      </c>
      <c r="BS858" s="1">
        <v>18</v>
      </c>
      <c r="BT858" s="1"/>
      <c r="BU858" s="1" t="str">
        <f>HYPERLINK("https://nconnect.nicmar.ac.in/storage/profile/6a874daaae0e2.png","Download")</f>
        <v>0</v>
      </c>
      <c r="BV858" s="3"/>
      <c r="BW858" s="3"/>
    </row>
    <row r="859" spans="1:75">
      <c r="A859" s="1" t="s">
        <v>75</v>
      </c>
      <c r="B859" s="1" t="s">
        <v>13976</v>
      </c>
      <c r="C859" s="1" t="s">
        <v>15917</v>
      </c>
      <c r="D859" s="1" t="s">
        <v>15918</v>
      </c>
      <c r="E859" s="1" t="s">
        <v>15919</v>
      </c>
      <c r="F859" s="1" t="s">
        <v>15920</v>
      </c>
      <c r="G859" s="1" t="s">
        <v>15921</v>
      </c>
      <c r="H859" s="1" t="s">
        <v>15922</v>
      </c>
      <c r="I859" s="1" t="s">
        <v>15922</v>
      </c>
      <c r="J859" s="1">
        <v>8459467917</v>
      </c>
      <c r="K859" s="1" t="s">
        <v>153</v>
      </c>
      <c r="L859" s="1" t="s">
        <v>15923</v>
      </c>
      <c r="M859" s="1" t="s">
        <v>86</v>
      </c>
      <c r="N859" s="1" t="s">
        <v>9375</v>
      </c>
      <c r="O859" s="1" t="s">
        <v>15924</v>
      </c>
      <c r="P859" s="1" t="s">
        <v>122</v>
      </c>
      <c r="Q859" s="1">
        <v>735732520735</v>
      </c>
      <c r="R859" s="1" t="s">
        <v>15925</v>
      </c>
      <c r="S859" s="1">
        <v>9890443639</v>
      </c>
      <c r="T859" s="1" t="s">
        <v>15926</v>
      </c>
      <c r="U859" s="1" t="s">
        <v>15927</v>
      </c>
      <c r="V859" s="1">
        <v>8600614662</v>
      </c>
      <c r="W859" s="1" t="s">
        <v>14154</v>
      </c>
      <c r="X859" s="1" t="s">
        <v>15928</v>
      </c>
      <c r="Y859" s="1" t="s">
        <v>410</v>
      </c>
      <c r="Z859" s="1" t="s">
        <v>97</v>
      </c>
      <c r="AA859" s="1" t="s">
        <v>15928</v>
      </c>
      <c r="AB859" s="1" t="s">
        <v>410</v>
      </c>
      <c r="AC859" s="1" t="s">
        <v>97</v>
      </c>
      <c r="AD859" s="1" t="s">
        <v>98</v>
      </c>
      <c r="AE859" s="1" t="s">
        <v>98</v>
      </c>
      <c r="AF859" s="1" t="s">
        <v>15929</v>
      </c>
      <c r="AG859" s="1" t="s">
        <v>15930</v>
      </c>
      <c r="AH859" s="1" t="s">
        <v>170</v>
      </c>
      <c r="AI859" s="1" t="s">
        <v>106</v>
      </c>
      <c r="AJ859" s="1">
        <v>86.8</v>
      </c>
      <c r="AK859" s="1"/>
      <c r="AL859" s="1" t="s">
        <v>15931</v>
      </c>
      <c r="AM859" s="1" t="s">
        <v>15932</v>
      </c>
      <c r="AN859" s="1" t="s">
        <v>465</v>
      </c>
      <c r="AO859" s="1" t="s">
        <v>106</v>
      </c>
      <c r="AP859" s="1" t="s">
        <v>468</v>
      </c>
      <c r="AQ859" s="1">
        <v>65.69</v>
      </c>
      <c r="AR859" s="1"/>
      <c r="AS859" s="1"/>
      <c r="AT859" s="1"/>
      <c r="AU859" s="1"/>
      <c r="AV859" s="1"/>
      <c r="AW859" s="1"/>
      <c r="AX859" s="1"/>
      <c r="AY859" s="1" t="s">
        <v>14884</v>
      </c>
      <c r="AZ859" s="1" t="s">
        <v>15933</v>
      </c>
      <c r="BA859" s="1" t="s">
        <v>682</v>
      </c>
      <c r="BB859" s="1" t="s">
        <v>683</v>
      </c>
      <c r="BC859" s="1" t="s">
        <v>468</v>
      </c>
      <c r="BD859" s="1" t="s">
        <v>848</v>
      </c>
      <c r="BE859" s="1">
        <v>67.88</v>
      </c>
      <c r="BF859" s="1">
        <v>7.09</v>
      </c>
      <c r="BG859" s="1"/>
      <c r="BH859" s="1"/>
      <c r="BI859" s="1"/>
      <c r="BJ859" s="1"/>
      <c r="BK859" s="1"/>
      <c r="BL859" s="1"/>
      <c r="BM859" s="1"/>
      <c r="BN859" s="1"/>
      <c r="BO859" s="1" t="s">
        <v>15934</v>
      </c>
      <c r="BP859" s="1" t="s">
        <v>15935</v>
      </c>
      <c r="BQ859" s="1" t="s">
        <v>2577</v>
      </c>
      <c r="BR859" s="1" t="s">
        <v>15936</v>
      </c>
      <c r="BS859" s="1">
        <v>101</v>
      </c>
      <c r="BT859" s="1" t="s">
        <v>15937</v>
      </c>
      <c r="BU859" s="1" t="str">
        <f>HYPERLINK("https://nconnect.nicmar.ac.in/storage/profile/6a8719ed293d7.png","Download")</f>
        <v>0</v>
      </c>
      <c r="BV859" s="3"/>
      <c r="BW859" s="3"/>
    </row>
    <row r="860" spans="1:75">
      <c r="A860" s="1" t="s">
        <v>75</v>
      </c>
      <c r="B860" s="1" t="s">
        <v>13976</v>
      </c>
      <c r="C860" s="1" t="s">
        <v>15938</v>
      </c>
      <c r="D860" s="1" t="s">
        <v>15939</v>
      </c>
      <c r="E860" s="1" t="s">
        <v>15940</v>
      </c>
      <c r="F860" s="1" t="s">
        <v>15941</v>
      </c>
      <c r="G860" s="1" t="s">
        <v>15942</v>
      </c>
      <c r="H860" s="1" t="s">
        <v>15943</v>
      </c>
      <c r="I860" s="1" t="s">
        <v>15943</v>
      </c>
      <c r="J860" s="1">
        <v>9137713173</v>
      </c>
      <c r="K860" s="1" t="s">
        <v>153</v>
      </c>
      <c r="L860" s="1" t="s">
        <v>15944</v>
      </c>
      <c r="M860" s="1" t="s">
        <v>86</v>
      </c>
      <c r="N860" s="1" t="s">
        <v>5472</v>
      </c>
      <c r="O860" s="1" t="s">
        <v>15945</v>
      </c>
      <c r="P860" s="1" t="s">
        <v>219</v>
      </c>
      <c r="Q860" s="1">
        <v>403626932130</v>
      </c>
      <c r="R860" s="1" t="s">
        <v>15940</v>
      </c>
      <c r="S860" s="1">
        <v>8080434018</v>
      </c>
      <c r="T860" s="1" t="s">
        <v>15946</v>
      </c>
      <c r="U860" s="1" t="s">
        <v>15947</v>
      </c>
      <c r="V860" s="1">
        <v>9594267778</v>
      </c>
      <c r="W860" s="1" t="s">
        <v>14154</v>
      </c>
      <c r="X860" s="1" t="s">
        <v>15948</v>
      </c>
      <c r="Y860" s="1" t="s">
        <v>1012</v>
      </c>
      <c r="Z860" s="1" t="s">
        <v>97</v>
      </c>
      <c r="AA860" s="1" t="s">
        <v>15948</v>
      </c>
      <c r="AB860" s="1" t="s">
        <v>1012</v>
      </c>
      <c r="AC860" s="1" t="s">
        <v>97</v>
      </c>
      <c r="AD860" s="1" t="s">
        <v>98</v>
      </c>
      <c r="AE860" s="1" t="s">
        <v>98</v>
      </c>
      <c r="AF860" s="1" t="s">
        <v>15949</v>
      </c>
      <c r="AG860" s="1" t="s">
        <v>14157</v>
      </c>
      <c r="AH860" s="1" t="s">
        <v>166</v>
      </c>
      <c r="AI860" s="1" t="s">
        <v>1111</v>
      </c>
      <c r="AJ860" s="1">
        <v>85.8</v>
      </c>
      <c r="AK860" s="1"/>
      <c r="AL860" s="1" t="s">
        <v>15950</v>
      </c>
      <c r="AM860" s="1" t="s">
        <v>14157</v>
      </c>
      <c r="AN860" s="1" t="s">
        <v>575</v>
      </c>
      <c r="AO860" s="1" t="s">
        <v>167</v>
      </c>
      <c r="AP860" s="1" t="s">
        <v>286</v>
      </c>
      <c r="AQ860" s="1">
        <v>62.15</v>
      </c>
      <c r="AR860" s="1"/>
      <c r="AS860" s="1"/>
      <c r="AT860" s="1"/>
      <c r="AU860" s="1"/>
      <c r="AV860" s="1"/>
      <c r="AW860" s="1"/>
      <c r="AX860" s="1"/>
      <c r="AY860" s="1" t="s">
        <v>14059</v>
      </c>
      <c r="AZ860" s="1" t="s">
        <v>15951</v>
      </c>
      <c r="BA860" s="1" t="s">
        <v>682</v>
      </c>
      <c r="BB860" s="1" t="s">
        <v>1561</v>
      </c>
      <c r="BC860" s="1" t="s">
        <v>174</v>
      </c>
      <c r="BD860" s="1" t="s">
        <v>579</v>
      </c>
      <c r="BE860" s="1">
        <v>66.66</v>
      </c>
      <c r="BF860" s="1">
        <v>7.84</v>
      </c>
      <c r="BG860" s="1"/>
      <c r="BH860" s="1"/>
      <c r="BI860" s="1"/>
      <c r="BJ860" s="1"/>
      <c r="BK860" s="1"/>
      <c r="BL860" s="1"/>
      <c r="BM860" s="1"/>
      <c r="BN860" s="1"/>
      <c r="BO860" s="1" t="s">
        <v>15952</v>
      </c>
      <c r="BP860" s="1" t="s">
        <v>15953</v>
      </c>
      <c r="BQ860" s="1" t="s">
        <v>4149</v>
      </c>
      <c r="BR860" s="1" t="s">
        <v>15954</v>
      </c>
      <c r="BS860" s="1">
        <v>20</v>
      </c>
      <c r="BT860" s="1"/>
      <c r="BU860" s="1" t="str">
        <f>HYPERLINK("https://nconnect.nicmar.ac.in/storage/profile/6a871f382869e.png","Download")</f>
        <v>0</v>
      </c>
      <c r="BV860" s="3"/>
      <c r="BW860" s="3"/>
    </row>
    <row r="861" spans="1:75">
      <c r="A861" s="1" t="s">
        <v>75</v>
      </c>
      <c r="B861" s="1" t="s">
        <v>13976</v>
      </c>
      <c r="C861" s="1" t="s">
        <v>15955</v>
      </c>
      <c r="D861" s="1" t="s">
        <v>15956</v>
      </c>
      <c r="E861" s="1"/>
      <c r="F861" s="1" t="s">
        <v>15957</v>
      </c>
      <c r="G861" s="1" t="s">
        <v>15958</v>
      </c>
      <c r="H861" s="1" t="s">
        <v>15959</v>
      </c>
      <c r="I861" s="1" t="s">
        <v>15960</v>
      </c>
      <c r="J861" s="1">
        <v>9482988592</v>
      </c>
      <c r="K861" s="1" t="s">
        <v>84</v>
      </c>
      <c r="L861" s="1" t="s">
        <v>15961</v>
      </c>
      <c r="M861" s="1" t="s">
        <v>86</v>
      </c>
      <c r="N861" s="1" t="s">
        <v>15962</v>
      </c>
      <c r="O861" s="1" t="s">
        <v>15963</v>
      </c>
      <c r="P861" s="1" t="s">
        <v>219</v>
      </c>
      <c r="Q861" s="1">
        <v>636544035852</v>
      </c>
      <c r="R861" s="1" t="s">
        <v>15964</v>
      </c>
      <c r="S861" s="1">
        <v>9731719372</v>
      </c>
      <c r="T861" s="1" t="s">
        <v>15965</v>
      </c>
      <c r="U861" s="1" t="s">
        <v>15966</v>
      </c>
      <c r="V861" s="1">
        <v>8762392093</v>
      </c>
      <c r="W861" s="1" t="s">
        <v>14032</v>
      </c>
      <c r="X861" s="1" t="s">
        <v>15967</v>
      </c>
      <c r="Y861" s="1" t="s">
        <v>3132</v>
      </c>
      <c r="Z861" s="1" t="s">
        <v>1210</v>
      </c>
      <c r="AA861" s="1" t="s">
        <v>15967</v>
      </c>
      <c r="AB861" s="1" t="s">
        <v>3132</v>
      </c>
      <c r="AC861" s="1" t="s">
        <v>1210</v>
      </c>
      <c r="AD861" s="1" t="s">
        <v>98</v>
      </c>
      <c r="AE861" s="1" t="s">
        <v>98</v>
      </c>
      <c r="AF861" s="1" t="s">
        <v>15968</v>
      </c>
      <c r="AG861" s="1" t="s">
        <v>15969</v>
      </c>
      <c r="AH861" s="1" t="s">
        <v>167</v>
      </c>
      <c r="AI861" s="1" t="s">
        <v>170</v>
      </c>
      <c r="AJ861" s="1">
        <v>81.7</v>
      </c>
      <c r="AK861" s="1">
        <v>8.6</v>
      </c>
      <c r="AL861" s="1" t="s">
        <v>15970</v>
      </c>
      <c r="AM861" s="1" t="s">
        <v>15971</v>
      </c>
      <c r="AN861" s="1" t="s">
        <v>575</v>
      </c>
      <c r="AO861" s="1" t="s">
        <v>388</v>
      </c>
      <c r="AP861" s="1" t="s">
        <v>547</v>
      </c>
      <c r="AQ861" s="1">
        <v>87.83</v>
      </c>
      <c r="AR861" s="1"/>
      <c r="AS861" s="1"/>
      <c r="AT861" s="1"/>
      <c r="AU861" s="1"/>
      <c r="AV861" s="1"/>
      <c r="AW861" s="1"/>
      <c r="AX861" s="1"/>
      <c r="AY861" s="1" t="s">
        <v>15972</v>
      </c>
      <c r="AZ861" s="1" t="s">
        <v>15973</v>
      </c>
      <c r="BA861" s="1" t="s">
        <v>578</v>
      </c>
      <c r="BB861" s="1" t="s">
        <v>467</v>
      </c>
      <c r="BC861" s="1" t="s">
        <v>206</v>
      </c>
      <c r="BD861" s="1" t="s">
        <v>234</v>
      </c>
      <c r="BE861" s="1">
        <v>72.7</v>
      </c>
      <c r="BF861" s="1">
        <v>8.02</v>
      </c>
      <c r="BG861" s="1"/>
      <c r="BH861" s="1"/>
      <c r="BI861" s="1"/>
      <c r="BJ861" s="1"/>
      <c r="BK861" s="1"/>
      <c r="BL861" s="1"/>
      <c r="BM861" s="1"/>
      <c r="BN861" s="1"/>
      <c r="BO861" s="1" t="s">
        <v>15974</v>
      </c>
      <c r="BP861" s="1" t="s">
        <v>15975</v>
      </c>
      <c r="BQ861" s="1" t="s">
        <v>143</v>
      </c>
      <c r="BR861" s="1" t="s">
        <v>15976</v>
      </c>
      <c r="BS861" s="1">
        <v>3</v>
      </c>
      <c r="BT861" s="1" t="s">
        <v>15977</v>
      </c>
      <c r="BU861" s="1" t="str">
        <f>HYPERLINK("https://nconnect.nicmar.ac.in/storage/profile/6a86fbbf7c858.png","Download")</f>
        <v>0</v>
      </c>
      <c r="BV861" s="3"/>
      <c r="BW861" s="3"/>
    </row>
    <row r="862" spans="1:75">
      <c r="A862" s="1" t="s">
        <v>75</v>
      </c>
      <c r="B862" s="1" t="s">
        <v>13976</v>
      </c>
      <c r="C862" s="1" t="s">
        <v>15978</v>
      </c>
      <c r="D862" s="1" t="s">
        <v>15979</v>
      </c>
      <c r="E862" s="1"/>
      <c r="F862" s="1" t="s">
        <v>116</v>
      </c>
      <c r="G862" s="1" t="s">
        <v>15980</v>
      </c>
      <c r="H862" s="1" t="s">
        <v>15981</v>
      </c>
      <c r="I862" s="1" t="s">
        <v>15981</v>
      </c>
      <c r="J862" s="1">
        <v>9606332650</v>
      </c>
      <c r="K862" s="1" t="s">
        <v>84</v>
      </c>
      <c r="L862" s="1" t="s">
        <v>7134</v>
      </c>
      <c r="M862" s="1" t="s">
        <v>86</v>
      </c>
      <c r="N862" s="1" t="s">
        <v>15982</v>
      </c>
      <c r="O862" s="1" t="s">
        <v>15983</v>
      </c>
      <c r="P862" s="1" t="s">
        <v>219</v>
      </c>
      <c r="Q862" s="1">
        <v>906311465664</v>
      </c>
      <c r="R862" s="1" t="s">
        <v>15984</v>
      </c>
      <c r="S862" s="1">
        <v>9480694078</v>
      </c>
      <c r="T862" s="1" t="s">
        <v>15965</v>
      </c>
      <c r="U862" s="1" t="s">
        <v>15985</v>
      </c>
      <c r="V862" s="1">
        <v>9740371348</v>
      </c>
      <c r="W862" s="1" t="s">
        <v>3441</v>
      </c>
      <c r="X862" s="1" t="s">
        <v>15986</v>
      </c>
      <c r="Y862" s="1" t="s">
        <v>4611</v>
      </c>
      <c r="Z862" s="1" t="s">
        <v>1210</v>
      </c>
      <c r="AA862" s="1" t="s">
        <v>15986</v>
      </c>
      <c r="AB862" s="1" t="s">
        <v>4611</v>
      </c>
      <c r="AC862" s="1" t="s">
        <v>1210</v>
      </c>
      <c r="AD862" s="1" t="s">
        <v>98</v>
      </c>
      <c r="AE862" s="1" t="s">
        <v>98</v>
      </c>
      <c r="AF862" s="1" t="s">
        <v>15987</v>
      </c>
      <c r="AG862" s="1" t="s">
        <v>15988</v>
      </c>
      <c r="AH862" s="1" t="s">
        <v>167</v>
      </c>
      <c r="AI862" s="1" t="s">
        <v>170</v>
      </c>
      <c r="AJ862" s="1">
        <v>68.4</v>
      </c>
      <c r="AK862" s="1">
        <v>7.2</v>
      </c>
      <c r="AL862" s="1" t="s">
        <v>15989</v>
      </c>
      <c r="AM862" s="1" t="s">
        <v>15990</v>
      </c>
      <c r="AN862" s="1" t="s">
        <v>465</v>
      </c>
      <c r="AO862" s="1" t="s">
        <v>388</v>
      </c>
      <c r="AP862" s="1" t="s">
        <v>14101</v>
      </c>
      <c r="AQ862" s="1">
        <v>69.5</v>
      </c>
      <c r="AR862" s="1">
        <v>7.32</v>
      </c>
      <c r="AS862" s="1"/>
      <c r="AT862" s="1"/>
      <c r="AU862" s="1"/>
      <c r="AV862" s="1"/>
      <c r="AW862" s="1"/>
      <c r="AX862" s="1"/>
      <c r="AY862" s="1" t="s">
        <v>6942</v>
      </c>
      <c r="AZ862" s="1" t="s">
        <v>11518</v>
      </c>
      <c r="BA862" s="1" t="s">
        <v>466</v>
      </c>
      <c r="BB862" s="1" t="s">
        <v>467</v>
      </c>
      <c r="BC862" s="1" t="s">
        <v>315</v>
      </c>
      <c r="BD862" s="1" t="s">
        <v>234</v>
      </c>
      <c r="BE862" s="1">
        <v>62.98</v>
      </c>
      <c r="BF862" s="1">
        <v>6.63</v>
      </c>
      <c r="BG862" s="1"/>
      <c r="BH862" s="1"/>
      <c r="BI862" s="1"/>
      <c r="BJ862" s="1"/>
      <c r="BK862" s="1"/>
      <c r="BL862" s="1"/>
      <c r="BM862" s="1"/>
      <c r="BN862" s="1"/>
      <c r="BO862" s="1" t="s">
        <v>15991</v>
      </c>
      <c r="BP862" s="1" t="s">
        <v>15992</v>
      </c>
      <c r="BQ862" s="1" t="s">
        <v>2326</v>
      </c>
      <c r="BR862" s="1"/>
      <c r="BS862" s="1"/>
      <c r="BT862" s="1"/>
      <c r="BU862" s="1" t="str">
        <f>HYPERLINK("https://nconnect.nicmar.ac.in/storage/profile/6a8719cc9631b.png","Download")</f>
        <v>0</v>
      </c>
      <c r="BV862" s="3"/>
      <c r="BW862" s="3"/>
    </row>
    <row r="863" spans="1:75">
      <c r="A863" s="1" t="s">
        <v>75</v>
      </c>
      <c r="B863" s="1" t="s">
        <v>13976</v>
      </c>
      <c r="C863" s="1" t="s">
        <v>15993</v>
      </c>
      <c r="D863" s="1" t="s">
        <v>15994</v>
      </c>
      <c r="E863" s="1" t="s">
        <v>15995</v>
      </c>
      <c r="F863" s="1" t="s">
        <v>15996</v>
      </c>
      <c r="G863" s="1" t="s">
        <v>15997</v>
      </c>
      <c r="H863" s="1" t="s">
        <v>15998</v>
      </c>
      <c r="I863" s="1" t="s">
        <v>15999</v>
      </c>
      <c r="J863" s="1">
        <v>9146401209</v>
      </c>
      <c r="K863" s="1" t="s">
        <v>84</v>
      </c>
      <c r="L863" s="1" t="s">
        <v>16000</v>
      </c>
      <c r="M863" s="1" t="s">
        <v>86</v>
      </c>
      <c r="N863" s="1" t="s">
        <v>16001</v>
      </c>
      <c r="O863" s="1" t="s">
        <v>16002</v>
      </c>
      <c r="P863" s="1" t="s">
        <v>219</v>
      </c>
      <c r="Q863" s="1">
        <v>967464377149</v>
      </c>
      <c r="R863" s="1" t="s">
        <v>16003</v>
      </c>
      <c r="S863" s="1">
        <v>9730334448</v>
      </c>
      <c r="T863" s="1" t="s">
        <v>16004</v>
      </c>
      <c r="U863" s="1" t="s">
        <v>16005</v>
      </c>
      <c r="V863" s="1">
        <v>9503775057</v>
      </c>
      <c r="W863" s="1" t="s">
        <v>14154</v>
      </c>
      <c r="X863" s="1" t="s">
        <v>16006</v>
      </c>
      <c r="Y863" s="1" t="s">
        <v>410</v>
      </c>
      <c r="Z863" s="1" t="s">
        <v>97</v>
      </c>
      <c r="AA863" s="1" t="s">
        <v>16006</v>
      </c>
      <c r="AB863" s="1" t="s">
        <v>410</v>
      </c>
      <c r="AC863" s="1" t="s">
        <v>97</v>
      </c>
      <c r="AD863" s="1" t="s">
        <v>98</v>
      </c>
      <c r="AE863" s="1" t="s">
        <v>98</v>
      </c>
      <c r="AF863" s="1" t="s">
        <v>16007</v>
      </c>
      <c r="AG863" s="1" t="s">
        <v>16008</v>
      </c>
      <c r="AH863" s="1" t="s">
        <v>106</v>
      </c>
      <c r="AI863" s="1" t="s">
        <v>438</v>
      </c>
      <c r="AJ863" s="1">
        <v>79.6</v>
      </c>
      <c r="AK863" s="1"/>
      <c r="AL863" s="1"/>
      <c r="AM863" s="1"/>
      <c r="AN863" s="1"/>
      <c r="AO863" s="1"/>
      <c r="AP863" s="1"/>
      <c r="AQ863" s="1"/>
      <c r="AR863" s="1"/>
      <c r="AS863" s="1" t="s">
        <v>14158</v>
      </c>
      <c r="AT863" s="1" t="s">
        <v>16009</v>
      </c>
      <c r="AU863" s="1" t="s">
        <v>206</v>
      </c>
      <c r="AV863" s="1" t="s">
        <v>1400</v>
      </c>
      <c r="AW863" s="1">
        <v>87.35</v>
      </c>
      <c r="AX863" s="1"/>
      <c r="AY863" s="1" t="s">
        <v>16010</v>
      </c>
      <c r="AZ863" s="1" t="s">
        <v>16011</v>
      </c>
      <c r="BA863" s="1" t="s">
        <v>466</v>
      </c>
      <c r="BB863" s="1" t="s">
        <v>467</v>
      </c>
      <c r="BC863" s="1" t="s">
        <v>1889</v>
      </c>
      <c r="BD863" s="1" t="s">
        <v>1401</v>
      </c>
      <c r="BE863" s="1">
        <v>85.8</v>
      </c>
      <c r="BF863" s="1"/>
      <c r="BG863" s="1"/>
      <c r="BH863" s="1"/>
      <c r="BI863" s="1"/>
      <c r="BJ863" s="1"/>
      <c r="BK863" s="1"/>
      <c r="BL863" s="1"/>
      <c r="BM863" s="1"/>
      <c r="BN863" s="1"/>
      <c r="BO863" s="1" t="s">
        <v>16012</v>
      </c>
      <c r="BP863" s="1" t="s">
        <v>16013</v>
      </c>
      <c r="BQ863" s="1" t="s">
        <v>471</v>
      </c>
      <c r="BR863" s="1" t="s">
        <v>16014</v>
      </c>
      <c r="BS863" s="1">
        <v>17</v>
      </c>
      <c r="BT863" s="1" t="s">
        <v>16015</v>
      </c>
      <c r="BU863" s="1" t="str">
        <f>HYPERLINK("https://nconnect.nicmar.ac.in/storage/profile/6a873b3c03bec.png","Download")</f>
        <v>0</v>
      </c>
      <c r="BV863" s="3"/>
      <c r="BW863" s="3"/>
    </row>
    <row r="864" spans="1:75">
      <c r="A864" s="1" t="s">
        <v>75</v>
      </c>
      <c r="B864" s="1" t="s">
        <v>13976</v>
      </c>
      <c r="C864" s="1" t="s">
        <v>16016</v>
      </c>
      <c r="D864" s="1" t="s">
        <v>16017</v>
      </c>
      <c r="E864" s="1" t="s">
        <v>16018</v>
      </c>
      <c r="F864" s="1" t="s">
        <v>16019</v>
      </c>
      <c r="G864" s="1" t="s">
        <v>16020</v>
      </c>
      <c r="H864" s="1" t="s">
        <v>16021</v>
      </c>
      <c r="I864" s="1" t="s">
        <v>16021</v>
      </c>
      <c r="J864" s="1">
        <v>9307816130</v>
      </c>
      <c r="K864" s="1" t="s">
        <v>153</v>
      </c>
      <c r="L864" s="1" t="s">
        <v>16022</v>
      </c>
      <c r="M864" s="1" t="s">
        <v>86</v>
      </c>
      <c r="N864" s="1" t="s">
        <v>16023</v>
      </c>
      <c r="O864" s="1" t="s">
        <v>16024</v>
      </c>
      <c r="P864" s="1" t="s">
        <v>122</v>
      </c>
      <c r="Q864" s="1">
        <v>725195912172</v>
      </c>
      <c r="R864" s="1" t="s">
        <v>16025</v>
      </c>
      <c r="S864" s="1">
        <v>9356658300</v>
      </c>
      <c r="T864" s="1" t="s">
        <v>13987</v>
      </c>
      <c r="U864" s="1" t="s">
        <v>16026</v>
      </c>
      <c r="V864" s="1">
        <v>9356658300</v>
      </c>
      <c r="W864" s="1" t="s">
        <v>14154</v>
      </c>
      <c r="X864" s="1" t="s">
        <v>16027</v>
      </c>
      <c r="Y864" s="1" t="s">
        <v>309</v>
      </c>
      <c r="Z864" s="1" t="s">
        <v>97</v>
      </c>
      <c r="AA864" s="1" t="s">
        <v>16027</v>
      </c>
      <c r="AB864" s="1" t="s">
        <v>309</v>
      </c>
      <c r="AC864" s="1" t="s">
        <v>97</v>
      </c>
      <c r="AD864" s="1" t="s">
        <v>98</v>
      </c>
      <c r="AE864" s="1" t="s">
        <v>98</v>
      </c>
      <c r="AF864" s="1" t="s">
        <v>16028</v>
      </c>
      <c r="AG864" s="1" t="s">
        <v>16029</v>
      </c>
      <c r="AH864" s="1" t="s">
        <v>106</v>
      </c>
      <c r="AI864" s="1" t="s">
        <v>414</v>
      </c>
      <c r="AJ864" s="1">
        <v>85.6</v>
      </c>
      <c r="AK864" s="1"/>
      <c r="AL864" s="1"/>
      <c r="AM864" s="1"/>
      <c r="AN864" s="1"/>
      <c r="AO864" s="1"/>
      <c r="AP864" s="1"/>
      <c r="AQ864" s="1"/>
      <c r="AR864" s="1"/>
      <c r="AS864" s="1" t="s">
        <v>467</v>
      </c>
      <c r="AT864" s="1" t="s">
        <v>16030</v>
      </c>
      <c r="AU864" s="1" t="s">
        <v>206</v>
      </c>
      <c r="AV864" s="1" t="s">
        <v>1400</v>
      </c>
      <c r="AW864" s="1">
        <v>81.89</v>
      </c>
      <c r="AX864" s="1"/>
      <c r="AY864" s="1" t="s">
        <v>14160</v>
      </c>
      <c r="AZ864" s="1" t="s">
        <v>16031</v>
      </c>
      <c r="BA864" s="1" t="s">
        <v>466</v>
      </c>
      <c r="BB864" s="1" t="s">
        <v>467</v>
      </c>
      <c r="BC864" s="1" t="s">
        <v>1889</v>
      </c>
      <c r="BD864" s="1" t="s">
        <v>848</v>
      </c>
      <c r="BE864" s="1">
        <v>89</v>
      </c>
      <c r="BF864" s="1"/>
      <c r="BG864" s="1"/>
      <c r="BH864" s="1"/>
      <c r="BI864" s="1"/>
      <c r="BJ864" s="1"/>
      <c r="BK864" s="1"/>
      <c r="BL864" s="1"/>
      <c r="BM864" s="1"/>
      <c r="BN864" s="1"/>
      <c r="BO864" s="1" t="s">
        <v>16032</v>
      </c>
      <c r="BP864" s="1" t="s">
        <v>16033</v>
      </c>
      <c r="BQ864" s="1" t="s">
        <v>1070</v>
      </c>
      <c r="BR864" s="1"/>
      <c r="BS864" s="1"/>
      <c r="BT864" s="1"/>
      <c r="BU864" s="1" t="str">
        <f>HYPERLINK("https://nconnect.nicmar.ac.in/storage/profile/6a8716e95f25c.png","Download")</f>
        <v>0</v>
      </c>
      <c r="BV864" s="3"/>
      <c r="BW864" s="3"/>
    </row>
    <row r="865" spans="1:75">
      <c r="A865" s="1" t="s">
        <v>75</v>
      </c>
      <c r="B865" s="1" t="s">
        <v>13976</v>
      </c>
      <c r="C865" s="1" t="s">
        <v>16034</v>
      </c>
      <c r="D865" s="1" t="s">
        <v>16035</v>
      </c>
      <c r="E865" s="1"/>
      <c r="F865" s="1" t="s">
        <v>7760</v>
      </c>
      <c r="G865" s="1" t="s">
        <v>16036</v>
      </c>
      <c r="H865" s="1" t="s">
        <v>16037</v>
      </c>
      <c r="I865" s="1" t="s">
        <v>16037</v>
      </c>
      <c r="J865" s="1">
        <v>6382519381</v>
      </c>
      <c r="K865" s="1" t="s">
        <v>84</v>
      </c>
      <c r="L865" s="1" t="s">
        <v>16038</v>
      </c>
      <c r="M865" s="1" t="s">
        <v>86</v>
      </c>
      <c r="N865" s="1" t="s">
        <v>16039</v>
      </c>
      <c r="O865" s="1" t="s">
        <v>16040</v>
      </c>
      <c r="P865" s="1" t="s">
        <v>219</v>
      </c>
      <c r="Q865" s="1">
        <v>327503339558</v>
      </c>
      <c r="R865" s="1" t="s">
        <v>16041</v>
      </c>
      <c r="S865" s="1">
        <v>9940646945</v>
      </c>
      <c r="T865" s="1" t="s">
        <v>16042</v>
      </c>
      <c r="U865" s="1" t="s">
        <v>16043</v>
      </c>
      <c r="V865" s="1">
        <v>9444525023</v>
      </c>
      <c r="W865" s="1" t="s">
        <v>3441</v>
      </c>
      <c r="X865" s="1" t="s">
        <v>16044</v>
      </c>
      <c r="Y865" s="1" t="s">
        <v>1498</v>
      </c>
      <c r="Z865" s="1" t="s">
        <v>570</v>
      </c>
      <c r="AA865" s="1" t="s">
        <v>16044</v>
      </c>
      <c r="AB865" s="1" t="s">
        <v>1498</v>
      </c>
      <c r="AC865" s="1" t="s">
        <v>570</v>
      </c>
      <c r="AD865" s="1" t="s">
        <v>98</v>
      </c>
      <c r="AE865" s="1" t="s">
        <v>98</v>
      </c>
      <c r="AF865" s="1" t="s">
        <v>16045</v>
      </c>
      <c r="AG865" s="1" t="s">
        <v>16046</v>
      </c>
      <c r="AH865" s="1" t="s">
        <v>170</v>
      </c>
      <c r="AI865" s="1" t="s">
        <v>171</v>
      </c>
      <c r="AJ865" s="1">
        <v>73</v>
      </c>
      <c r="AK865" s="1"/>
      <c r="AL865" s="1" t="s">
        <v>16047</v>
      </c>
      <c r="AM865" s="1" t="s">
        <v>8637</v>
      </c>
      <c r="AN865" s="1" t="s">
        <v>465</v>
      </c>
      <c r="AO865" s="1" t="s">
        <v>106</v>
      </c>
      <c r="AP865" s="1" t="s">
        <v>603</v>
      </c>
      <c r="AQ865" s="1">
        <v>63</v>
      </c>
      <c r="AR865" s="1"/>
      <c r="AS865" s="1"/>
      <c r="AT865" s="1"/>
      <c r="AU865" s="1"/>
      <c r="AV865" s="1"/>
      <c r="AW865" s="1"/>
      <c r="AX865" s="1"/>
      <c r="AY865" s="1" t="s">
        <v>9026</v>
      </c>
      <c r="AZ865" s="1" t="s">
        <v>16048</v>
      </c>
      <c r="BA865" s="1" t="s">
        <v>682</v>
      </c>
      <c r="BB865" s="1" t="s">
        <v>1561</v>
      </c>
      <c r="BC865" s="1" t="s">
        <v>890</v>
      </c>
      <c r="BD865" s="1" t="s">
        <v>553</v>
      </c>
      <c r="BE865" s="1">
        <v>80.7</v>
      </c>
      <c r="BF865" s="1">
        <v>8.07</v>
      </c>
      <c r="BG865" s="1"/>
      <c r="BH865" s="1"/>
      <c r="BI865" s="1"/>
      <c r="BJ865" s="1"/>
      <c r="BK865" s="1"/>
      <c r="BL865" s="1"/>
      <c r="BM865" s="1"/>
      <c r="BN865" s="1"/>
      <c r="BO865" s="1" t="s">
        <v>16049</v>
      </c>
      <c r="BP865" s="1" t="s">
        <v>16050</v>
      </c>
      <c r="BQ865" s="1" t="s">
        <v>1070</v>
      </c>
      <c r="BR865" s="1" t="s">
        <v>16051</v>
      </c>
      <c r="BS865" s="1">
        <v>17</v>
      </c>
      <c r="BT865" s="1" t="s">
        <v>16052</v>
      </c>
      <c r="BU865" s="1" t="str">
        <f>HYPERLINK("https://nconnect.nicmar.ac.in/storage/profile/6a870db800bc6.png","Download")</f>
        <v>0</v>
      </c>
      <c r="BV865" s="3"/>
      <c r="BW865" s="3"/>
    </row>
    <row r="866" spans="1:75">
      <c r="A866" s="1" t="s">
        <v>75</v>
      </c>
      <c r="B866" s="1" t="s">
        <v>13976</v>
      </c>
      <c r="C866" s="1" t="s">
        <v>16053</v>
      </c>
      <c r="D866" s="1" t="s">
        <v>16054</v>
      </c>
      <c r="E866" s="1"/>
      <c r="F866" s="1" t="s">
        <v>16055</v>
      </c>
      <c r="G866" s="1" t="s">
        <v>16056</v>
      </c>
      <c r="H866" s="1" t="s">
        <v>16057</v>
      </c>
      <c r="I866" s="1" t="s">
        <v>16057</v>
      </c>
      <c r="J866" s="1">
        <v>8848589891</v>
      </c>
      <c r="K866" s="1" t="s">
        <v>153</v>
      </c>
      <c r="L866" s="1" t="s">
        <v>7924</v>
      </c>
      <c r="M866" s="1" t="s">
        <v>86</v>
      </c>
      <c r="N866" s="1" t="s">
        <v>16058</v>
      </c>
      <c r="O866" s="1" t="s">
        <v>16059</v>
      </c>
      <c r="P866" s="1" t="s">
        <v>89</v>
      </c>
      <c r="Q866" s="1">
        <v>460733914185</v>
      </c>
      <c r="R866" s="1" t="s">
        <v>16060</v>
      </c>
      <c r="S866" s="1">
        <v>9447812109</v>
      </c>
      <c r="T866" s="1" t="s">
        <v>13987</v>
      </c>
      <c r="U866" s="1" t="s">
        <v>16061</v>
      </c>
      <c r="V866" s="1">
        <v>8281740094</v>
      </c>
      <c r="W866" s="1" t="s">
        <v>16062</v>
      </c>
      <c r="X866" s="1" t="s">
        <v>16063</v>
      </c>
      <c r="Y866" s="1" t="s">
        <v>701</v>
      </c>
      <c r="Z866" s="1" t="s">
        <v>130</v>
      </c>
      <c r="AA866" s="1" t="s">
        <v>16063</v>
      </c>
      <c r="AB866" s="1" t="s">
        <v>701</v>
      </c>
      <c r="AC866" s="1" t="s">
        <v>130</v>
      </c>
      <c r="AD866" s="1" t="s">
        <v>98</v>
      </c>
      <c r="AE866" s="1" t="s">
        <v>98</v>
      </c>
      <c r="AF866" s="1" t="s">
        <v>16064</v>
      </c>
      <c r="AG866" s="1" t="s">
        <v>16065</v>
      </c>
      <c r="AH866" s="1" t="s">
        <v>414</v>
      </c>
      <c r="AI866" s="1" t="s">
        <v>977</v>
      </c>
      <c r="AJ866" s="1">
        <v>92.3</v>
      </c>
      <c r="AK866" s="1"/>
      <c r="AL866" s="1" t="s">
        <v>16066</v>
      </c>
      <c r="AM866" s="1" t="s">
        <v>16067</v>
      </c>
      <c r="AN866" s="1" t="s">
        <v>575</v>
      </c>
      <c r="AO866" s="1" t="s">
        <v>845</v>
      </c>
      <c r="AP866" s="1" t="s">
        <v>289</v>
      </c>
      <c r="AQ866" s="1">
        <v>98</v>
      </c>
      <c r="AR866" s="1"/>
      <c r="AS866" s="1"/>
      <c r="AT866" s="1"/>
      <c r="AU866" s="1"/>
      <c r="AV866" s="1"/>
      <c r="AW866" s="1"/>
      <c r="AX866" s="1"/>
      <c r="AY866" s="1" t="s">
        <v>15573</v>
      </c>
      <c r="AZ866" s="1" t="s">
        <v>16068</v>
      </c>
      <c r="BA866" s="1" t="s">
        <v>466</v>
      </c>
      <c r="BB866" s="1" t="s">
        <v>467</v>
      </c>
      <c r="BC866" s="1" t="s">
        <v>1825</v>
      </c>
      <c r="BD866" s="1" t="s">
        <v>9688</v>
      </c>
      <c r="BE866" s="1">
        <v>79.8</v>
      </c>
      <c r="BF866" s="1">
        <v>7.98</v>
      </c>
      <c r="BG866" s="1"/>
      <c r="BH866" s="1"/>
      <c r="BI866" s="1"/>
      <c r="BJ866" s="1"/>
      <c r="BK866" s="1"/>
      <c r="BL866" s="1"/>
      <c r="BM866" s="1"/>
      <c r="BN866" s="1"/>
      <c r="BO866" s="1" t="s">
        <v>16069</v>
      </c>
      <c r="BP866" s="1"/>
      <c r="BQ866" s="1"/>
      <c r="BR866" s="1" t="s">
        <v>16070</v>
      </c>
      <c r="BS866" s="1">
        <v>2</v>
      </c>
      <c r="BT866" s="1" t="s">
        <v>16071</v>
      </c>
      <c r="BU866" s="1" t="str">
        <f>HYPERLINK("https://nconnect.nicmar.ac.in/storage/profile/6a85f5948d8f2.png","Download")</f>
        <v>0</v>
      </c>
      <c r="BV866" s="3"/>
      <c r="BW866" s="3"/>
    </row>
    <row r="867" spans="1:75">
      <c r="A867" s="1" t="s">
        <v>75</v>
      </c>
      <c r="B867" s="1" t="s">
        <v>13976</v>
      </c>
      <c r="C867" s="1" t="s">
        <v>16072</v>
      </c>
      <c r="D867" s="1"/>
      <c r="E867" s="1"/>
      <c r="F867" s="1"/>
      <c r="G867" s="1"/>
      <c r="H867" s="1" t="s">
        <v>16073</v>
      </c>
      <c r="I867" s="1" t="s">
        <v>16073</v>
      </c>
      <c r="J867" s="1"/>
      <c r="K867" s="1"/>
      <c r="L867" s="1"/>
      <c r="M867" s="1"/>
      <c r="N867" s="1"/>
      <c r="O867" s="1"/>
      <c r="P867" s="1"/>
      <c r="Q867" s="1"/>
      <c r="R867" s="1"/>
      <c r="S867" s="1"/>
      <c r="T867" s="1"/>
      <c r="U867" s="1"/>
      <c r="V867" s="1"/>
      <c r="W867" s="1"/>
      <c r="X867" s="1"/>
      <c r="Y867" s="1"/>
      <c r="Z867" s="1"/>
      <c r="AA867" s="1"/>
      <c r="AB867" s="1"/>
      <c r="AC867" s="1"/>
      <c r="AD867" s="1" t="s">
        <v>98</v>
      </c>
      <c r="AE867" s="1" t="s">
        <v>98</v>
      </c>
      <c r="AF867" s="1" t="s">
        <v>16074</v>
      </c>
      <c r="AG867" s="1" t="s">
        <v>16075</v>
      </c>
      <c r="AH867" s="1" t="s">
        <v>1262</v>
      </c>
      <c r="AI867" s="1" t="s">
        <v>438</v>
      </c>
      <c r="AJ867" s="1">
        <v>67</v>
      </c>
      <c r="AK867" s="1">
        <v>6.42</v>
      </c>
      <c r="AL867" s="1"/>
      <c r="AM867" s="1"/>
      <c r="AN867" s="1"/>
      <c r="AO867" s="1"/>
      <c r="AP867" s="1"/>
      <c r="AQ867" s="1"/>
      <c r="AR867" s="1"/>
      <c r="AS867" s="1" t="s">
        <v>16076</v>
      </c>
      <c r="AT867" s="1" t="s">
        <v>16077</v>
      </c>
      <c r="AU867" s="1" t="s">
        <v>315</v>
      </c>
      <c r="AV867" s="1" t="s">
        <v>289</v>
      </c>
      <c r="AW867" s="1">
        <v>77.84</v>
      </c>
      <c r="AX867" s="1">
        <v>8.19</v>
      </c>
      <c r="AY867" s="1" t="s">
        <v>16078</v>
      </c>
      <c r="AZ867" s="1" t="s">
        <v>16079</v>
      </c>
      <c r="BA867" s="1" t="s">
        <v>466</v>
      </c>
      <c r="BB867" s="1" t="s">
        <v>467</v>
      </c>
      <c r="BC867" s="1" t="s">
        <v>1802</v>
      </c>
      <c r="BD867" s="1" t="s">
        <v>8670</v>
      </c>
      <c r="BE867" s="1">
        <v>73.21</v>
      </c>
      <c r="BF867" s="1">
        <v>8.09</v>
      </c>
      <c r="BG867" s="1"/>
      <c r="BH867" s="1"/>
      <c r="BI867" s="1"/>
      <c r="BJ867" s="1"/>
      <c r="BK867" s="1"/>
      <c r="BL867" s="1"/>
      <c r="BM867" s="1"/>
      <c r="BN867" s="1"/>
      <c r="BO867" s="1" t="s">
        <v>16080</v>
      </c>
      <c r="BP867" s="1" t="s">
        <v>16081</v>
      </c>
      <c r="BQ867" s="1" t="s">
        <v>1070</v>
      </c>
      <c r="BR867" s="1" t="s">
        <v>16082</v>
      </c>
      <c r="BS867" s="1">
        <v>20</v>
      </c>
      <c r="BT867" s="1"/>
      <c r="BU867" s="1" t="str">
        <f>HYPERLINK("https://nconnect.nicmar.ac.in/storage/profile/6a85ecfff0f44.png","Download")</f>
        <v>0</v>
      </c>
      <c r="BV867" s="3"/>
      <c r="BW867" s="3"/>
    </row>
    <row r="868" spans="1:75">
      <c r="A868" s="1" t="s">
        <v>75</v>
      </c>
      <c r="B868" s="1" t="s">
        <v>13976</v>
      </c>
      <c r="C868" s="1" t="s">
        <v>16083</v>
      </c>
      <c r="D868" s="1" t="s">
        <v>16084</v>
      </c>
      <c r="E868" s="1" t="s">
        <v>16085</v>
      </c>
      <c r="F868" s="1" t="s">
        <v>16086</v>
      </c>
      <c r="G868" s="1" t="s">
        <v>16087</v>
      </c>
      <c r="H868" s="1" t="s">
        <v>16088</v>
      </c>
      <c r="I868" s="1" t="s">
        <v>16088</v>
      </c>
      <c r="J868" s="1">
        <v>9518560517</v>
      </c>
      <c r="K868" s="1" t="s">
        <v>84</v>
      </c>
      <c r="L868" s="1" t="s">
        <v>16089</v>
      </c>
      <c r="M868" s="1" t="s">
        <v>86</v>
      </c>
      <c r="N868" s="1" t="s">
        <v>16090</v>
      </c>
      <c r="O868" s="1" t="s">
        <v>16091</v>
      </c>
      <c r="P868" s="1" t="s">
        <v>89</v>
      </c>
      <c r="Q868" s="1">
        <v>304465792750</v>
      </c>
      <c r="R868" s="1" t="s">
        <v>16085</v>
      </c>
      <c r="S868" s="1">
        <v>9763185986</v>
      </c>
      <c r="T868" s="1" t="s">
        <v>16092</v>
      </c>
      <c r="U868" s="1" t="s">
        <v>16093</v>
      </c>
      <c r="V868" s="1">
        <v>7218731899</v>
      </c>
      <c r="W868" s="1" t="s">
        <v>14154</v>
      </c>
      <c r="X868" s="1" t="s">
        <v>16094</v>
      </c>
      <c r="Y868" s="1" t="s">
        <v>410</v>
      </c>
      <c r="Z868" s="1" t="s">
        <v>97</v>
      </c>
      <c r="AA868" s="1" t="s">
        <v>16094</v>
      </c>
      <c r="AB868" s="1" t="s">
        <v>410</v>
      </c>
      <c r="AC868" s="1" t="s">
        <v>97</v>
      </c>
      <c r="AD868" s="1" t="s">
        <v>98</v>
      </c>
      <c r="AE868" s="1" t="s">
        <v>98</v>
      </c>
      <c r="AF868" s="1" t="s">
        <v>16095</v>
      </c>
      <c r="AG868" s="1" t="s">
        <v>16096</v>
      </c>
      <c r="AH868" s="1" t="s">
        <v>167</v>
      </c>
      <c r="AI868" s="1" t="s">
        <v>170</v>
      </c>
      <c r="AJ868" s="1">
        <v>87.4</v>
      </c>
      <c r="AK868" s="1">
        <v>9.2</v>
      </c>
      <c r="AL868" s="1" t="s">
        <v>16097</v>
      </c>
      <c r="AM868" s="1" t="s">
        <v>16098</v>
      </c>
      <c r="AN868" s="1" t="s">
        <v>465</v>
      </c>
      <c r="AO868" s="1" t="s">
        <v>106</v>
      </c>
      <c r="AP868" s="1" t="s">
        <v>438</v>
      </c>
      <c r="AQ868" s="1">
        <v>72.4</v>
      </c>
      <c r="AR868" s="1"/>
      <c r="AS868" s="1"/>
      <c r="AT868" s="1"/>
      <c r="AU868" s="1"/>
      <c r="AV868" s="1"/>
      <c r="AW868" s="1"/>
      <c r="AX868" s="1"/>
      <c r="AY868" s="1" t="s">
        <v>16099</v>
      </c>
      <c r="AZ868" s="1" t="s">
        <v>16100</v>
      </c>
      <c r="BA868" s="1" t="s">
        <v>466</v>
      </c>
      <c r="BB868" s="1" t="s">
        <v>467</v>
      </c>
      <c r="BC868" s="1" t="s">
        <v>178</v>
      </c>
      <c r="BD868" s="1" t="s">
        <v>1089</v>
      </c>
      <c r="BE868" s="1">
        <v>72.48</v>
      </c>
      <c r="BF868" s="1">
        <v>7.63</v>
      </c>
      <c r="BG868" s="1"/>
      <c r="BH868" s="1"/>
      <c r="BI868" s="1"/>
      <c r="BJ868" s="1"/>
      <c r="BK868" s="1"/>
      <c r="BL868" s="1"/>
      <c r="BM868" s="1"/>
      <c r="BN868" s="1"/>
      <c r="BO868" s="1" t="s">
        <v>16101</v>
      </c>
      <c r="BP868" s="1"/>
      <c r="BQ868" s="1"/>
      <c r="BR868" s="1"/>
      <c r="BS868" s="1"/>
      <c r="BT868" s="1"/>
      <c r="BU868" s="1" t="str">
        <f>HYPERLINK("https://nconnect.nicmar.ac.in/storage/profile/6a8655f597726.png","Download")</f>
        <v>0</v>
      </c>
      <c r="BV868" s="3"/>
      <c r="BW868" s="3"/>
    </row>
    <row r="869" spans="1:75">
      <c r="A869" s="1" t="s">
        <v>75</v>
      </c>
      <c r="B869" s="1" t="s">
        <v>13976</v>
      </c>
      <c r="C869" s="1" t="s">
        <v>16102</v>
      </c>
      <c r="D869" s="1" t="s">
        <v>16103</v>
      </c>
      <c r="E869" s="1" t="s">
        <v>14908</v>
      </c>
      <c r="F869" s="1" t="s">
        <v>16104</v>
      </c>
      <c r="G869" s="1" t="s">
        <v>16105</v>
      </c>
      <c r="H869" s="1" t="s">
        <v>16106</v>
      </c>
      <c r="I869" s="1" t="s">
        <v>16106</v>
      </c>
      <c r="J869" s="1">
        <v>7735394338</v>
      </c>
      <c r="K869" s="1" t="s">
        <v>84</v>
      </c>
      <c r="L869" s="1" t="s">
        <v>16107</v>
      </c>
      <c r="M869" s="1" t="s">
        <v>86</v>
      </c>
      <c r="N869" s="1" t="s">
        <v>16108</v>
      </c>
      <c r="O869" s="1" t="s">
        <v>16109</v>
      </c>
      <c r="P869" s="1" t="s">
        <v>89</v>
      </c>
      <c r="Q869" s="1">
        <v>989461277931</v>
      </c>
      <c r="R869" s="1" t="s">
        <v>16110</v>
      </c>
      <c r="S869" s="1">
        <v>8986881015</v>
      </c>
      <c r="T869" s="1" t="s">
        <v>16111</v>
      </c>
      <c r="U869" s="1" t="s">
        <v>16112</v>
      </c>
      <c r="V869" s="1">
        <v>9437200078</v>
      </c>
      <c r="W869" s="1" t="s">
        <v>14234</v>
      </c>
      <c r="X869" s="1" t="s">
        <v>16113</v>
      </c>
      <c r="Y869" s="1" t="s">
        <v>16114</v>
      </c>
      <c r="Z869" s="1" t="s">
        <v>865</v>
      </c>
      <c r="AA869" s="1" t="s">
        <v>16113</v>
      </c>
      <c r="AB869" s="1" t="s">
        <v>16114</v>
      </c>
      <c r="AC869" s="1" t="s">
        <v>865</v>
      </c>
      <c r="AD869" s="1" t="s">
        <v>98</v>
      </c>
      <c r="AE869" s="1" t="s">
        <v>98</v>
      </c>
      <c r="AF869" s="1" t="s">
        <v>16115</v>
      </c>
      <c r="AG869" s="1" t="s">
        <v>16116</v>
      </c>
      <c r="AH869" s="1" t="s">
        <v>627</v>
      </c>
      <c r="AI869" s="1" t="s">
        <v>573</v>
      </c>
      <c r="AJ869" s="1">
        <v>93.1</v>
      </c>
      <c r="AK869" s="1">
        <v>9.8</v>
      </c>
      <c r="AL869" s="1" t="s">
        <v>16115</v>
      </c>
      <c r="AM869" s="1" t="s">
        <v>16116</v>
      </c>
      <c r="AN869" s="1" t="s">
        <v>465</v>
      </c>
      <c r="AO869" s="1" t="s">
        <v>171</v>
      </c>
      <c r="AP869" s="1" t="s">
        <v>414</v>
      </c>
      <c r="AQ869" s="1">
        <v>65.8</v>
      </c>
      <c r="AR869" s="1"/>
      <c r="AS869" s="1"/>
      <c r="AT869" s="1"/>
      <c r="AU869" s="1"/>
      <c r="AV869" s="1"/>
      <c r="AW869" s="1"/>
      <c r="AX869" s="1"/>
      <c r="AY869" s="1" t="s">
        <v>16117</v>
      </c>
      <c r="AZ869" s="1" t="s">
        <v>16118</v>
      </c>
      <c r="BA869" s="1" t="s">
        <v>682</v>
      </c>
      <c r="BB869" s="1" t="s">
        <v>1479</v>
      </c>
      <c r="BC869" s="1" t="s">
        <v>175</v>
      </c>
      <c r="BD869" s="1" t="s">
        <v>848</v>
      </c>
      <c r="BE869" s="1">
        <v>69.9</v>
      </c>
      <c r="BF869" s="1">
        <v>6.99</v>
      </c>
      <c r="BG869" s="1"/>
      <c r="BH869" s="1"/>
      <c r="BI869" s="1"/>
      <c r="BJ869" s="1"/>
      <c r="BK869" s="1"/>
      <c r="BL869" s="1"/>
      <c r="BM869" s="1"/>
      <c r="BN869" s="1"/>
      <c r="BO869" s="1" t="s">
        <v>16119</v>
      </c>
      <c r="BP869" s="1" t="s">
        <v>16120</v>
      </c>
      <c r="BQ869" s="1" t="s">
        <v>1070</v>
      </c>
      <c r="BR869" s="1" t="s">
        <v>16121</v>
      </c>
      <c r="BS869" s="1">
        <v>20</v>
      </c>
      <c r="BT869" s="1"/>
      <c r="BU869" s="1" t="str">
        <f>HYPERLINK("https://nconnect.nicmar.ac.in/storage/profile/6a85ddf985b62.png","Download")</f>
        <v>0</v>
      </c>
      <c r="BV869" s="3"/>
      <c r="BW869" s="3"/>
    </row>
    <row r="870" spans="1:75">
      <c r="A870" s="1" t="s">
        <v>75</v>
      </c>
      <c r="B870" s="1" t="s">
        <v>13976</v>
      </c>
      <c r="C870" s="1" t="s">
        <v>16122</v>
      </c>
      <c r="D870" s="1" t="s">
        <v>16123</v>
      </c>
      <c r="E870" s="1" t="s">
        <v>16124</v>
      </c>
      <c r="F870" s="1" t="s">
        <v>16125</v>
      </c>
      <c r="G870" s="1" t="s">
        <v>16126</v>
      </c>
      <c r="H870" s="1" t="s">
        <v>16127</v>
      </c>
      <c r="I870" s="1" t="s">
        <v>16127</v>
      </c>
      <c r="J870" s="1">
        <v>8329922697</v>
      </c>
      <c r="K870" s="1" t="s">
        <v>153</v>
      </c>
      <c r="L870" s="1" t="s">
        <v>2355</v>
      </c>
      <c r="M870" s="1" t="s">
        <v>86</v>
      </c>
      <c r="N870" s="1" t="s">
        <v>1595</v>
      </c>
      <c r="O870" s="1" t="s">
        <v>16128</v>
      </c>
      <c r="P870" s="1" t="s">
        <v>356</v>
      </c>
      <c r="Q870" s="1" t="s">
        <v>16129</v>
      </c>
      <c r="R870" s="1" t="s">
        <v>16130</v>
      </c>
      <c r="S870" s="1">
        <v>9637734134</v>
      </c>
      <c r="T870" s="1" t="s">
        <v>16131</v>
      </c>
      <c r="U870" s="1" t="s">
        <v>16132</v>
      </c>
      <c r="V870" s="1">
        <v>8459955408</v>
      </c>
      <c r="W870" s="1" t="s">
        <v>9679</v>
      </c>
      <c r="X870" s="1" t="s">
        <v>16133</v>
      </c>
      <c r="Y870" s="1" t="s">
        <v>5659</v>
      </c>
      <c r="Z870" s="1" t="s">
        <v>97</v>
      </c>
      <c r="AA870" s="1" t="s">
        <v>16133</v>
      </c>
      <c r="AB870" s="1" t="s">
        <v>5659</v>
      </c>
      <c r="AC870" s="1" t="s">
        <v>97</v>
      </c>
      <c r="AD870" s="1" t="s">
        <v>98</v>
      </c>
      <c r="AE870" s="1" t="s">
        <v>98</v>
      </c>
      <c r="AF870" s="1" t="s">
        <v>16134</v>
      </c>
      <c r="AG870" s="1" t="s">
        <v>16135</v>
      </c>
      <c r="AH870" s="1" t="s">
        <v>106</v>
      </c>
      <c r="AI870" s="1" t="s">
        <v>414</v>
      </c>
      <c r="AJ870" s="1">
        <v>78.8</v>
      </c>
      <c r="AK870" s="1"/>
      <c r="AL870" s="1" t="s">
        <v>16136</v>
      </c>
      <c r="AM870" s="1" t="s">
        <v>16137</v>
      </c>
      <c r="AN870" s="1" t="s">
        <v>465</v>
      </c>
      <c r="AO870" s="1" t="s">
        <v>468</v>
      </c>
      <c r="AP870" s="1" t="s">
        <v>441</v>
      </c>
      <c r="AQ870" s="1">
        <v>78.67</v>
      </c>
      <c r="AR870" s="1"/>
      <c r="AS870" s="1"/>
      <c r="AT870" s="1"/>
      <c r="AU870" s="1"/>
      <c r="AV870" s="1"/>
      <c r="AW870" s="1"/>
      <c r="AX870" s="1"/>
      <c r="AY870" s="1" t="s">
        <v>16138</v>
      </c>
      <c r="AZ870" s="1" t="s">
        <v>16139</v>
      </c>
      <c r="BA870" s="1" t="s">
        <v>466</v>
      </c>
      <c r="BB870" s="1" t="s">
        <v>467</v>
      </c>
      <c r="BC870" s="1" t="s">
        <v>871</v>
      </c>
      <c r="BD870" s="1" t="s">
        <v>5340</v>
      </c>
      <c r="BE870" s="1">
        <v>65.8</v>
      </c>
      <c r="BF870" s="1">
        <v>7.08</v>
      </c>
      <c r="BG870" s="1"/>
      <c r="BH870" s="1"/>
      <c r="BI870" s="1"/>
      <c r="BJ870" s="1"/>
      <c r="BK870" s="1"/>
      <c r="BL870" s="1"/>
      <c r="BM870" s="1"/>
      <c r="BN870" s="1"/>
      <c r="BO870" s="1" t="s">
        <v>16140</v>
      </c>
      <c r="BP870" s="1"/>
      <c r="BQ870" s="1"/>
      <c r="BR870" s="1" t="s">
        <v>16141</v>
      </c>
      <c r="BS870" s="1">
        <v>26</v>
      </c>
      <c r="BT870" s="1"/>
      <c r="BU870" s="1" t="str">
        <f>HYPERLINK("https://nconnect.nicmar.ac.in/storage/profile/6a86e6c5d3ed6.png","Download")</f>
        <v>0</v>
      </c>
      <c r="BV870" s="3"/>
      <c r="BW870" s="3"/>
    </row>
    <row r="871" spans="1:75">
      <c r="A871" s="1" t="s">
        <v>75</v>
      </c>
      <c r="B871" s="1" t="s">
        <v>13976</v>
      </c>
      <c r="C871" s="1" t="s">
        <v>16142</v>
      </c>
      <c r="D871" s="1" t="s">
        <v>16143</v>
      </c>
      <c r="E871" s="1" t="s">
        <v>16144</v>
      </c>
      <c r="F871" s="1" t="s">
        <v>16104</v>
      </c>
      <c r="G871" s="1" t="s">
        <v>16145</v>
      </c>
      <c r="H871" s="1" t="s">
        <v>16146</v>
      </c>
      <c r="I871" s="1" t="s">
        <v>16146</v>
      </c>
      <c r="J871" s="1">
        <v>8830862352</v>
      </c>
      <c r="K871" s="1" t="s">
        <v>84</v>
      </c>
      <c r="L871" s="1" t="s">
        <v>16147</v>
      </c>
      <c r="M871" s="1" t="s">
        <v>86</v>
      </c>
      <c r="N871" s="1" t="s">
        <v>16148</v>
      </c>
      <c r="O871" s="1" t="s">
        <v>16149</v>
      </c>
      <c r="P871" s="1" t="s">
        <v>89</v>
      </c>
      <c r="Q871" s="1">
        <v>437589028453</v>
      </c>
      <c r="R871" s="1" t="s">
        <v>16150</v>
      </c>
      <c r="S871" s="1">
        <v>9657480815</v>
      </c>
      <c r="T871" s="1" t="s">
        <v>16151</v>
      </c>
      <c r="U871" s="1" t="s">
        <v>16152</v>
      </c>
      <c r="V871" s="1">
        <v>7823067257</v>
      </c>
      <c r="W871" s="1" t="s">
        <v>14234</v>
      </c>
      <c r="X871" s="1" t="s">
        <v>16153</v>
      </c>
      <c r="Y871" s="1" t="s">
        <v>11302</v>
      </c>
      <c r="Z871" s="1" t="s">
        <v>6549</v>
      </c>
      <c r="AA871" s="1" t="s">
        <v>16153</v>
      </c>
      <c r="AB871" s="1" t="s">
        <v>11302</v>
      </c>
      <c r="AC871" s="1" t="s">
        <v>6549</v>
      </c>
      <c r="AD871" s="1" t="s">
        <v>98</v>
      </c>
      <c r="AE871" s="1" t="s">
        <v>98</v>
      </c>
      <c r="AF871" s="1" t="s">
        <v>16154</v>
      </c>
      <c r="AG871" s="1" t="s">
        <v>16155</v>
      </c>
      <c r="AH871" s="1" t="s">
        <v>170</v>
      </c>
      <c r="AI871" s="1" t="s">
        <v>286</v>
      </c>
      <c r="AJ871" s="1">
        <v>77.33</v>
      </c>
      <c r="AK871" s="1"/>
      <c r="AL871" s="1" t="s">
        <v>16156</v>
      </c>
      <c r="AM871" s="1" t="s">
        <v>16157</v>
      </c>
      <c r="AN871" s="1" t="s">
        <v>465</v>
      </c>
      <c r="AO871" s="1" t="s">
        <v>438</v>
      </c>
      <c r="AP871" s="1" t="s">
        <v>603</v>
      </c>
      <c r="AQ871" s="1">
        <v>66.83</v>
      </c>
      <c r="AR871" s="1"/>
      <c r="AS871" s="1"/>
      <c r="AT871" s="1"/>
      <c r="AU871" s="1"/>
      <c r="AV871" s="1"/>
      <c r="AW871" s="1"/>
      <c r="AX871" s="1"/>
      <c r="AY871" s="1" t="s">
        <v>16158</v>
      </c>
      <c r="AZ871" s="1" t="s">
        <v>16159</v>
      </c>
      <c r="BA871" s="1" t="s">
        <v>578</v>
      </c>
      <c r="BB871" s="1" t="s">
        <v>467</v>
      </c>
      <c r="BC871" s="1" t="s">
        <v>441</v>
      </c>
      <c r="BD871" s="1" t="s">
        <v>553</v>
      </c>
      <c r="BE871" s="1">
        <v>77.7</v>
      </c>
      <c r="BF871" s="1">
        <v>8.52</v>
      </c>
      <c r="BG871" s="1"/>
      <c r="BH871" s="1"/>
      <c r="BI871" s="1"/>
      <c r="BJ871" s="1"/>
      <c r="BK871" s="1"/>
      <c r="BL871" s="1"/>
      <c r="BM871" s="1"/>
      <c r="BN871" s="1"/>
      <c r="BO871" s="1" t="s">
        <v>16160</v>
      </c>
      <c r="BP871" s="1"/>
      <c r="BQ871" s="1"/>
      <c r="BR871" s="1" t="s">
        <v>16161</v>
      </c>
      <c r="BS871" s="1">
        <v>7</v>
      </c>
      <c r="BT871" s="1"/>
      <c r="BU871" s="1" t="str">
        <f>HYPERLINK("https://nconnect.nicmar.ac.in/storage/profile/6a81dc966aaa6.png","Download")</f>
        <v>0</v>
      </c>
      <c r="BV871" s="3"/>
      <c r="BW871" s="3"/>
    </row>
    <row r="872" spans="1:75">
      <c r="A872" s="1" t="s">
        <v>75</v>
      </c>
      <c r="B872" s="1" t="s">
        <v>13976</v>
      </c>
      <c r="C872" s="1" t="s">
        <v>16162</v>
      </c>
      <c r="D872" s="1" t="s">
        <v>16163</v>
      </c>
      <c r="E872" s="1"/>
      <c r="F872" s="1" t="s">
        <v>3180</v>
      </c>
      <c r="G872" s="1" t="s">
        <v>16164</v>
      </c>
      <c r="H872" s="1" t="s">
        <v>16165</v>
      </c>
      <c r="I872" s="1" t="s">
        <v>16165</v>
      </c>
      <c r="J872" s="1">
        <v>9600712183</v>
      </c>
      <c r="K872" s="1" t="s">
        <v>84</v>
      </c>
      <c r="L872" s="1" t="s">
        <v>16166</v>
      </c>
      <c r="M872" s="1" t="s">
        <v>86</v>
      </c>
      <c r="N872" s="1" t="s">
        <v>16167</v>
      </c>
      <c r="O872" s="1" t="s">
        <v>16168</v>
      </c>
      <c r="P872" s="1" t="s">
        <v>89</v>
      </c>
      <c r="Q872" s="1">
        <v>349518878244</v>
      </c>
      <c r="R872" s="1" t="s">
        <v>16169</v>
      </c>
      <c r="S872" s="1">
        <v>9790673333</v>
      </c>
      <c r="T872" s="1" t="s">
        <v>16170</v>
      </c>
      <c r="U872" s="1" t="s">
        <v>16171</v>
      </c>
      <c r="V872" s="1">
        <v>9865912184</v>
      </c>
      <c r="W872" s="1" t="s">
        <v>16172</v>
      </c>
      <c r="X872" s="1" t="s">
        <v>16173</v>
      </c>
      <c r="Y872" s="1" t="s">
        <v>2131</v>
      </c>
      <c r="Z872" s="1" t="s">
        <v>570</v>
      </c>
      <c r="AA872" s="1" t="s">
        <v>16173</v>
      </c>
      <c r="AB872" s="1" t="s">
        <v>2131</v>
      </c>
      <c r="AC872" s="1" t="s">
        <v>570</v>
      </c>
      <c r="AD872" s="1" t="s">
        <v>98</v>
      </c>
      <c r="AE872" s="1" t="s">
        <v>98</v>
      </c>
      <c r="AF872" s="1" t="s">
        <v>16174</v>
      </c>
      <c r="AG872" s="1" t="s">
        <v>16175</v>
      </c>
      <c r="AH872" s="1" t="s">
        <v>438</v>
      </c>
      <c r="AI872" s="1" t="s">
        <v>603</v>
      </c>
      <c r="AJ872" s="1">
        <v>98.8</v>
      </c>
      <c r="AK872" s="1"/>
      <c r="AL872" s="1" t="s">
        <v>16174</v>
      </c>
      <c r="AM872" s="1" t="s">
        <v>16175</v>
      </c>
      <c r="AN872" s="1" t="s">
        <v>6380</v>
      </c>
      <c r="AO872" s="1" t="s">
        <v>847</v>
      </c>
      <c r="AP872" s="1" t="s">
        <v>632</v>
      </c>
      <c r="AQ872" s="1">
        <v>94.83</v>
      </c>
      <c r="AR872" s="1"/>
      <c r="AS872" s="1"/>
      <c r="AT872" s="1"/>
      <c r="AU872" s="1"/>
      <c r="AV872" s="1"/>
      <c r="AW872" s="1"/>
      <c r="AX872" s="1"/>
      <c r="AY872" s="1" t="s">
        <v>576</v>
      </c>
      <c r="AZ872" s="1" t="s">
        <v>8825</v>
      </c>
      <c r="BA872" s="1" t="s">
        <v>578</v>
      </c>
      <c r="BB872" s="1" t="s">
        <v>467</v>
      </c>
      <c r="BC872" s="1" t="s">
        <v>1825</v>
      </c>
      <c r="BD872" s="1" t="s">
        <v>9688</v>
      </c>
      <c r="BE872" s="1">
        <v>76.2</v>
      </c>
      <c r="BF872" s="1">
        <v>7.62</v>
      </c>
      <c r="BG872" s="1"/>
      <c r="BH872" s="1"/>
      <c r="BI872" s="1"/>
      <c r="BJ872" s="1"/>
      <c r="BK872" s="1"/>
      <c r="BL872" s="1"/>
      <c r="BM872" s="1"/>
      <c r="BN872" s="1"/>
      <c r="BO872" s="1" t="s">
        <v>16176</v>
      </c>
      <c r="BP872" s="1"/>
      <c r="BQ872" s="1"/>
      <c r="BR872" s="1" t="s">
        <v>16177</v>
      </c>
      <c r="BS872" s="1">
        <v>17</v>
      </c>
      <c r="BT872" s="1"/>
      <c r="BU872" s="1" t="str">
        <f>HYPERLINK("https://nconnect.nicmar.ac.in/storage/profile/6a85ed92ada8c.png","Download")</f>
        <v>0</v>
      </c>
      <c r="BV872" s="3"/>
      <c r="BW872" s="3"/>
    </row>
    <row r="873" spans="1:75">
      <c r="A873" s="1" t="s">
        <v>75</v>
      </c>
      <c r="B873" s="1" t="s">
        <v>13976</v>
      </c>
      <c r="C873" s="1" t="s">
        <v>16178</v>
      </c>
      <c r="D873" s="1" t="s">
        <v>16179</v>
      </c>
      <c r="E873" s="1"/>
      <c r="F873" s="1" t="s">
        <v>16180</v>
      </c>
      <c r="G873" s="1" t="s">
        <v>16181</v>
      </c>
      <c r="H873" s="1" t="s">
        <v>16182</v>
      </c>
      <c r="I873" s="1" t="s">
        <v>16182</v>
      </c>
      <c r="J873" s="1">
        <v>9805818518</v>
      </c>
      <c r="K873" s="1" t="s">
        <v>84</v>
      </c>
      <c r="L873" s="1" t="s">
        <v>9575</v>
      </c>
      <c r="M873" s="1" t="s">
        <v>86</v>
      </c>
      <c r="N873" s="1" t="s">
        <v>14332</v>
      </c>
      <c r="O873" s="1" t="s">
        <v>16183</v>
      </c>
      <c r="P873" s="1" t="s">
        <v>122</v>
      </c>
      <c r="Q873" s="1">
        <v>477070392347</v>
      </c>
      <c r="R873" s="1" t="s">
        <v>16184</v>
      </c>
      <c r="S873" s="1">
        <v>9816102303</v>
      </c>
      <c r="T873" s="1" t="s">
        <v>16185</v>
      </c>
      <c r="U873" s="1" t="s">
        <v>16186</v>
      </c>
      <c r="V873" s="1">
        <v>9418118518</v>
      </c>
      <c r="W873" s="1" t="s">
        <v>16187</v>
      </c>
      <c r="X873" s="1" t="s">
        <v>16188</v>
      </c>
      <c r="Y873" s="1" t="s">
        <v>16189</v>
      </c>
      <c r="Z873" s="1" t="s">
        <v>2608</v>
      </c>
      <c r="AA873" s="1" t="s">
        <v>16188</v>
      </c>
      <c r="AB873" s="1" t="s">
        <v>16189</v>
      </c>
      <c r="AC873" s="1" t="s">
        <v>2608</v>
      </c>
      <c r="AD873" s="1" t="s">
        <v>98</v>
      </c>
      <c r="AE873" s="1" t="s">
        <v>98</v>
      </c>
      <c r="AF873" s="1" t="s">
        <v>16190</v>
      </c>
      <c r="AG873" s="1" t="s">
        <v>1310</v>
      </c>
      <c r="AH873" s="1" t="s">
        <v>16191</v>
      </c>
      <c r="AI873" s="1" t="s">
        <v>490</v>
      </c>
      <c r="AJ873" s="1">
        <v>85</v>
      </c>
      <c r="AK873" s="1"/>
      <c r="AL873" s="1" t="s">
        <v>16192</v>
      </c>
      <c r="AM873" s="1" t="s">
        <v>796</v>
      </c>
      <c r="AN873" s="1" t="s">
        <v>465</v>
      </c>
      <c r="AO873" s="1" t="s">
        <v>490</v>
      </c>
      <c r="AP873" s="1" t="s">
        <v>14101</v>
      </c>
      <c r="AQ873" s="1">
        <v>89</v>
      </c>
      <c r="AR873" s="1"/>
      <c r="AS873" s="1"/>
      <c r="AT873" s="1"/>
      <c r="AU873" s="1"/>
      <c r="AV873" s="1"/>
      <c r="AW873" s="1"/>
      <c r="AX873" s="1"/>
      <c r="AY873" s="1" t="s">
        <v>15759</v>
      </c>
      <c r="AZ873" s="1" t="s">
        <v>16193</v>
      </c>
      <c r="BA873" s="1" t="s">
        <v>466</v>
      </c>
      <c r="BB873" s="1" t="s">
        <v>467</v>
      </c>
      <c r="BC873" s="1" t="s">
        <v>890</v>
      </c>
      <c r="BD873" s="1" t="s">
        <v>418</v>
      </c>
      <c r="BE873" s="1">
        <v>75.6</v>
      </c>
      <c r="BF873" s="1">
        <v>7.56</v>
      </c>
      <c r="BG873" s="1"/>
      <c r="BH873" s="1"/>
      <c r="BI873" s="1"/>
      <c r="BJ873" s="1"/>
      <c r="BK873" s="1"/>
      <c r="BL873" s="1"/>
      <c r="BM873" s="1"/>
      <c r="BN873" s="1"/>
      <c r="BO873" s="1" t="s">
        <v>16194</v>
      </c>
      <c r="BP873" s="1" t="s">
        <v>16195</v>
      </c>
      <c r="BQ873" s="1" t="s">
        <v>582</v>
      </c>
      <c r="BR873" s="1"/>
      <c r="BS873" s="1"/>
      <c r="BT873" s="1"/>
      <c r="BU873" s="1" t="str">
        <f>HYPERLINK("https://nconnect.nicmar.ac.in/storage/profile/6a85e4149987a.png","Download")</f>
        <v>0</v>
      </c>
      <c r="BV873" s="3"/>
      <c r="BW873" s="3"/>
    </row>
    <row r="874" spans="1:75">
      <c r="A874" s="1" t="s">
        <v>75</v>
      </c>
      <c r="B874" s="1" t="s">
        <v>13976</v>
      </c>
      <c r="C874" s="1" t="s">
        <v>16196</v>
      </c>
      <c r="D874" s="1" t="s">
        <v>16197</v>
      </c>
      <c r="E874" s="1"/>
      <c r="F874" s="1" t="s">
        <v>16198</v>
      </c>
      <c r="G874" s="1" t="s">
        <v>16199</v>
      </c>
      <c r="H874" s="1" t="s">
        <v>16200</v>
      </c>
      <c r="I874" s="1" t="s">
        <v>16200</v>
      </c>
      <c r="J874" s="1">
        <v>9360423206</v>
      </c>
      <c r="K874" s="1" t="s">
        <v>84</v>
      </c>
      <c r="L874" s="1" t="s">
        <v>16201</v>
      </c>
      <c r="M874" s="1" t="s">
        <v>86</v>
      </c>
      <c r="N874" s="1" t="s">
        <v>12562</v>
      </c>
      <c r="O874" s="1" t="s">
        <v>16202</v>
      </c>
      <c r="P874" s="1" t="s">
        <v>122</v>
      </c>
      <c r="Q874" s="1">
        <v>482581143618</v>
      </c>
      <c r="R874" s="1" t="s">
        <v>16203</v>
      </c>
      <c r="S874" s="1">
        <v>9384743534</v>
      </c>
      <c r="T874" s="1" t="s">
        <v>16204</v>
      </c>
      <c r="U874" s="1" t="s">
        <v>16205</v>
      </c>
      <c r="V874" s="1">
        <v>9566548714</v>
      </c>
      <c r="W874" s="1" t="s">
        <v>9679</v>
      </c>
      <c r="X874" s="1" t="s">
        <v>16206</v>
      </c>
      <c r="Y874" s="1" t="s">
        <v>8931</v>
      </c>
      <c r="Z874" s="1" t="s">
        <v>570</v>
      </c>
      <c r="AA874" s="1" t="s">
        <v>16206</v>
      </c>
      <c r="AB874" s="1" t="s">
        <v>8931</v>
      </c>
      <c r="AC874" s="1" t="s">
        <v>570</v>
      </c>
      <c r="AD874" s="1" t="s">
        <v>98</v>
      </c>
      <c r="AE874" s="1" t="s">
        <v>98</v>
      </c>
      <c r="AF874" s="1" t="s">
        <v>16207</v>
      </c>
      <c r="AG874" s="1" t="s">
        <v>16208</v>
      </c>
      <c r="AH874" s="1" t="s">
        <v>438</v>
      </c>
      <c r="AI874" s="1" t="s">
        <v>468</v>
      </c>
      <c r="AJ874" s="1">
        <v>89.4</v>
      </c>
      <c r="AK874" s="1"/>
      <c r="AL874" s="1" t="s">
        <v>16207</v>
      </c>
      <c r="AM874" s="1" t="s">
        <v>16208</v>
      </c>
      <c r="AN874" s="1" t="s">
        <v>465</v>
      </c>
      <c r="AO874" s="1" t="s">
        <v>847</v>
      </c>
      <c r="AP874" s="1" t="s">
        <v>289</v>
      </c>
      <c r="AQ874" s="1">
        <v>86.2</v>
      </c>
      <c r="AR874" s="1"/>
      <c r="AS874" s="1"/>
      <c r="AT874" s="1"/>
      <c r="AU874" s="1"/>
      <c r="AV874" s="1"/>
      <c r="AW874" s="1"/>
      <c r="AX874" s="1"/>
      <c r="AY874" s="1" t="s">
        <v>14303</v>
      </c>
      <c r="AZ874" s="1" t="s">
        <v>16209</v>
      </c>
      <c r="BA874" s="1" t="s">
        <v>578</v>
      </c>
      <c r="BB874" s="1" t="s">
        <v>467</v>
      </c>
      <c r="BC874" s="1" t="s">
        <v>1802</v>
      </c>
      <c r="BD874" s="1" t="s">
        <v>9688</v>
      </c>
      <c r="BE874" s="1">
        <v>81.5</v>
      </c>
      <c r="BF874" s="1">
        <v>8.15</v>
      </c>
      <c r="BG874" s="1"/>
      <c r="BH874" s="1"/>
      <c r="BI874" s="1"/>
      <c r="BJ874" s="1"/>
      <c r="BK874" s="1"/>
      <c r="BL874" s="1"/>
      <c r="BM874" s="1"/>
      <c r="BN874" s="1"/>
      <c r="BO874" s="1" t="s">
        <v>16210</v>
      </c>
      <c r="BP874" s="1"/>
      <c r="BQ874" s="1"/>
      <c r="BR874" s="1" t="s">
        <v>16211</v>
      </c>
      <c r="BS874" s="1">
        <v>93</v>
      </c>
      <c r="BT874" s="1" t="s">
        <v>16212</v>
      </c>
      <c r="BU874" s="1" t="str">
        <f>HYPERLINK("https://nconnect.nicmar.ac.in/storage/profile/6a870e60c701d.png","Download")</f>
        <v>0</v>
      </c>
      <c r="BV874" s="3"/>
      <c r="BW874" s="3"/>
    </row>
    <row r="875" spans="1:75">
      <c r="A875" s="1" t="s">
        <v>75</v>
      </c>
      <c r="B875" s="1" t="s">
        <v>13976</v>
      </c>
      <c r="C875" s="1" t="s">
        <v>16213</v>
      </c>
      <c r="D875" s="1" t="s">
        <v>16214</v>
      </c>
      <c r="E875" s="1" t="s">
        <v>14024</v>
      </c>
      <c r="F875" s="1" t="s">
        <v>16215</v>
      </c>
      <c r="G875" s="1" t="s">
        <v>16216</v>
      </c>
      <c r="H875" s="1" t="s">
        <v>16217</v>
      </c>
      <c r="I875" s="1" t="s">
        <v>16217</v>
      </c>
      <c r="J875" s="1">
        <v>8010848971</v>
      </c>
      <c r="K875" s="1" t="s">
        <v>153</v>
      </c>
      <c r="L875" s="1" t="s">
        <v>16218</v>
      </c>
      <c r="M875" s="1" t="s">
        <v>86</v>
      </c>
      <c r="N875" s="1" t="s">
        <v>4263</v>
      </c>
      <c r="O875" s="1" t="s">
        <v>16219</v>
      </c>
      <c r="P875" s="1" t="s">
        <v>219</v>
      </c>
      <c r="Q875" s="1">
        <v>591795225966</v>
      </c>
      <c r="R875" s="1" t="s">
        <v>14024</v>
      </c>
      <c r="S875" s="1">
        <v>9423035850</v>
      </c>
      <c r="T875" s="1" t="s">
        <v>16220</v>
      </c>
      <c r="U875" s="1" t="s">
        <v>15437</v>
      </c>
      <c r="V875" s="1">
        <v>9423871148</v>
      </c>
      <c r="W875" s="1" t="s">
        <v>14234</v>
      </c>
      <c r="X875" s="1" t="s">
        <v>16221</v>
      </c>
      <c r="Y875" s="1" t="s">
        <v>1033</v>
      </c>
      <c r="Z875" s="1" t="s">
        <v>97</v>
      </c>
      <c r="AA875" s="1" t="s">
        <v>16222</v>
      </c>
      <c r="AB875" s="1" t="s">
        <v>1033</v>
      </c>
      <c r="AC875" s="1" t="s">
        <v>97</v>
      </c>
      <c r="AD875" s="1" t="s">
        <v>98</v>
      </c>
      <c r="AE875" s="1" t="s">
        <v>98</v>
      </c>
      <c r="AF875" s="1" t="s">
        <v>16223</v>
      </c>
      <c r="AG875" s="1" t="s">
        <v>16224</v>
      </c>
      <c r="AH875" s="1" t="s">
        <v>170</v>
      </c>
      <c r="AI875" s="1" t="s">
        <v>106</v>
      </c>
      <c r="AJ875" s="1">
        <v>85.83</v>
      </c>
      <c r="AK875" s="1"/>
      <c r="AL875" s="1" t="s">
        <v>16225</v>
      </c>
      <c r="AM875" s="1" t="s">
        <v>16226</v>
      </c>
      <c r="AN875" s="1" t="s">
        <v>465</v>
      </c>
      <c r="AO875" s="1" t="s">
        <v>438</v>
      </c>
      <c r="AP875" s="1" t="s">
        <v>468</v>
      </c>
      <c r="AQ875" s="1">
        <v>79.23</v>
      </c>
      <c r="AR875" s="1"/>
      <c r="AS875" s="1"/>
      <c r="AT875" s="1"/>
      <c r="AU875" s="1"/>
      <c r="AV875" s="1"/>
      <c r="AW875" s="1"/>
      <c r="AX875" s="1"/>
      <c r="AY875" s="1" t="s">
        <v>16227</v>
      </c>
      <c r="AZ875" s="1" t="s">
        <v>16228</v>
      </c>
      <c r="BA875" s="1" t="s">
        <v>682</v>
      </c>
      <c r="BB875" s="1" t="s">
        <v>683</v>
      </c>
      <c r="BC875" s="1" t="s">
        <v>368</v>
      </c>
      <c r="BD875" s="1" t="s">
        <v>553</v>
      </c>
      <c r="BE875" s="1">
        <v>71.83</v>
      </c>
      <c r="BF875" s="1">
        <v>7.49</v>
      </c>
      <c r="BG875" s="1"/>
      <c r="BH875" s="1"/>
      <c r="BI875" s="1"/>
      <c r="BJ875" s="1"/>
      <c r="BK875" s="1"/>
      <c r="BL875" s="1"/>
      <c r="BM875" s="1"/>
      <c r="BN875" s="1"/>
      <c r="BO875" s="1" t="s">
        <v>16229</v>
      </c>
      <c r="BP875" s="1" t="s">
        <v>16230</v>
      </c>
      <c r="BQ875" s="1" t="s">
        <v>2577</v>
      </c>
      <c r="BR875" s="1" t="s">
        <v>16231</v>
      </c>
      <c r="BS875" s="1">
        <v>28</v>
      </c>
      <c r="BT875" s="1"/>
      <c r="BU875" s="1" t="str">
        <f>HYPERLINK("https://nconnect.nicmar.ac.in/storage/profile/6a87374bcb675.png","Download")</f>
        <v>0</v>
      </c>
      <c r="BV875" s="3"/>
      <c r="BW875" s="3"/>
    </row>
    <row r="876" spans="1:75">
      <c r="A876" s="1" t="s">
        <v>75</v>
      </c>
      <c r="B876" s="1" t="s">
        <v>13976</v>
      </c>
      <c r="C876" s="1" t="s">
        <v>16232</v>
      </c>
      <c r="D876" s="1" t="s">
        <v>9691</v>
      </c>
      <c r="E876" s="1" t="s">
        <v>1294</v>
      </c>
      <c r="F876" s="1" t="s">
        <v>10978</v>
      </c>
      <c r="G876" s="1" t="s">
        <v>16233</v>
      </c>
      <c r="H876" s="1" t="s">
        <v>16234</v>
      </c>
      <c r="I876" s="1" t="s">
        <v>16235</v>
      </c>
      <c r="J876" s="1">
        <v>7758992070</v>
      </c>
      <c r="K876" s="1" t="s">
        <v>84</v>
      </c>
      <c r="L876" s="1" t="s">
        <v>16236</v>
      </c>
      <c r="M876" s="1" t="s">
        <v>86</v>
      </c>
      <c r="N876" s="1" t="s">
        <v>2279</v>
      </c>
      <c r="O876" s="1" t="s">
        <v>16237</v>
      </c>
      <c r="P876" s="1" t="s">
        <v>89</v>
      </c>
      <c r="Q876" s="1">
        <v>248778481329</v>
      </c>
      <c r="R876" s="1" t="s">
        <v>16238</v>
      </c>
      <c r="S876" s="1">
        <v>9890118755</v>
      </c>
      <c r="T876" s="1" t="s">
        <v>839</v>
      </c>
      <c r="U876" s="1" t="s">
        <v>16239</v>
      </c>
      <c r="V876" s="1">
        <v>9960618755</v>
      </c>
      <c r="W876" s="1" t="s">
        <v>2547</v>
      </c>
      <c r="X876" s="1" t="s">
        <v>16240</v>
      </c>
      <c r="Y876" s="1" t="s">
        <v>196</v>
      </c>
      <c r="Z876" s="1" t="s">
        <v>97</v>
      </c>
      <c r="AA876" s="1" t="s">
        <v>16241</v>
      </c>
      <c r="AB876" s="1" t="s">
        <v>196</v>
      </c>
      <c r="AC876" s="1" t="s">
        <v>97</v>
      </c>
      <c r="AD876" s="1" t="s">
        <v>98</v>
      </c>
      <c r="AE876" s="1" t="s">
        <v>98</v>
      </c>
      <c r="AF876" s="1" t="s">
        <v>16242</v>
      </c>
      <c r="AG876" s="1" t="s">
        <v>11764</v>
      </c>
      <c r="AH876" s="1" t="s">
        <v>313</v>
      </c>
      <c r="AI876" s="1" t="s">
        <v>178</v>
      </c>
      <c r="AJ876" s="1">
        <v>62</v>
      </c>
      <c r="AK876" s="1"/>
      <c r="AL876" s="1" t="s">
        <v>16243</v>
      </c>
      <c r="AM876" s="1" t="s">
        <v>1968</v>
      </c>
      <c r="AN876" s="1" t="s">
        <v>465</v>
      </c>
      <c r="AO876" s="1" t="s">
        <v>847</v>
      </c>
      <c r="AP876" s="1" t="s">
        <v>1886</v>
      </c>
      <c r="AQ876" s="1">
        <v>65</v>
      </c>
      <c r="AR876" s="1"/>
      <c r="AS876" s="1"/>
      <c r="AT876" s="1"/>
      <c r="AU876" s="1"/>
      <c r="AV876" s="1"/>
      <c r="AW876" s="1"/>
      <c r="AX876" s="1"/>
      <c r="AY876" s="1" t="s">
        <v>366</v>
      </c>
      <c r="AZ876" s="1" t="s">
        <v>16244</v>
      </c>
      <c r="BA876" s="1" t="s">
        <v>578</v>
      </c>
      <c r="BB876" s="1" t="s">
        <v>467</v>
      </c>
      <c r="BC876" s="1" t="s">
        <v>1889</v>
      </c>
      <c r="BD876" s="1" t="s">
        <v>14162</v>
      </c>
      <c r="BE876" s="1">
        <v>71.3</v>
      </c>
      <c r="BF876" s="1">
        <v>7.88</v>
      </c>
      <c r="BG876" s="1"/>
      <c r="BH876" s="1"/>
      <c r="BI876" s="1"/>
      <c r="BJ876" s="1"/>
      <c r="BK876" s="1"/>
      <c r="BL876" s="1"/>
      <c r="BM876" s="1"/>
      <c r="BN876" s="1"/>
      <c r="BO876" s="1" t="s">
        <v>16245</v>
      </c>
      <c r="BP876" s="1"/>
      <c r="BQ876" s="1"/>
      <c r="BR876" s="1"/>
      <c r="BS876" s="1"/>
      <c r="BT876" s="1"/>
      <c r="BU876" s="1" t="str">
        <f>HYPERLINK("https://nconnect.nicmar.ac.in/storage/profile/6a8b02c69440c.png","Download")</f>
        <v>0</v>
      </c>
      <c r="BV876" s="3"/>
      <c r="BW876" s="3"/>
    </row>
    <row r="877" spans="1:75">
      <c r="A877" s="1" t="s">
        <v>75</v>
      </c>
      <c r="B877" s="1" t="s">
        <v>13976</v>
      </c>
      <c r="C877" s="1" t="s">
        <v>16246</v>
      </c>
      <c r="D877" s="1" t="s">
        <v>16247</v>
      </c>
      <c r="E877" s="1" t="s">
        <v>16248</v>
      </c>
      <c r="F877" s="1" t="s">
        <v>14386</v>
      </c>
      <c r="G877" s="1" t="s">
        <v>16249</v>
      </c>
      <c r="H877" s="1" t="s">
        <v>16250</v>
      </c>
      <c r="I877" s="1" t="s">
        <v>16250</v>
      </c>
      <c r="J877" s="1">
        <v>9074476879</v>
      </c>
      <c r="K877" s="1" t="s">
        <v>153</v>
      </c>
      <c r="L877" s="1" t="s">
        <v>16251</v>
      </c>
      <c r="M877" s="1" t="s">
        <v>86</v>
      </c>
      <c r="N877" s="1" t="s">
        <v>1639</v>
      </c>
      <c r="O877" s="1" t="s">
        <v>16252</v>
      </c>
      <c r="P877" s="1" t="s">
        <v>219</v>
      </c>
      <c r="Q877" s="1">
        <v>421135524123</v>
      </c>
      <c r="R877" s="1" t="s">
        <v>16253</v>
      </c>
      <c r="S877" s="1">
        <v>2487391984</v>
      </c>
      <c r="T877" s="1" t="s">
        <v>16254</v>
      </c>
      <c r="U877" s="1" t="s">
        <v>16255</v>
      </c>
      <c r="V877" s="1">
        <v>9446494709</v>
      </c>
      <c r="W877" s="1" t="s">
        <v>3441</v>
      </c>
      <c r="X877" s="1" t="s">
        <v>16256</v>
      </c>
      <c r="Y877" s="1" t="s">
        <v>3190</v>
      </c>
      <c r="Z877" s="1" t="s">
        <v>130</v>
      </c>
      <c r="AA877" s="1" t="s">
        <v>16256</v>
      </c>
      <c r="AB877" s="1" t="s">
        <v>3190</v>
      </c>
      <c r="AC877" s="1" t="s">
        <v>130</v>
      </c>
      <c r="AD877" s="1" t="s">
        <v>98</v>
      </c>
      <c r="AE877" s="1" t="s">
        <v>98</v>
      </c>
      <c r="AF877" s="1" t="s">
        <v>16257</v>
      </c>
      <c r="AG877" s="1" t="s">
        <v>16258</v>
      </c>
      <c r="AH877" s="1" t="s">
        <v>313</v>
      </c>
      <c r="AI877" s="1" t="s">
        <v>417</v>
      </c>
      <c r="AJ877" s="1">
        <v>94</v>
      </c>
      <c r="AK877" s="1"/>
      <c r="AL877" s="1" t="s">
        <v>16257</v>
      </c>
      <c r="AM877" s="1" t="s">
        <v>16258</v>
      </c>
      <c r="AN877" s="1" t="s">
        <v>575</v>
      </c>
      <c r="AO877" s="1" t="s">
        <v>845</v>
      </c>
      <c r="AP877" s="1" t="s">
        <v>632</v>
      </c>
      <c r="AQ877" s="1">
        <v>93.75</v>
      </c>
      <c r="AR877" s="1"/>
      <c r="AS877" s="1"/>
      <c r="AT877" s="1"/>
      <c r="AU877" s="1"/>
      <c r="AV877" s="1"/>
      <c r="AW877" s="1"/>
      <c r="AX877" s="1"/>
      <c r="AY877" s="1" t="s">
        <v>16259</v>
      </c>
      <c r="AZ877" s="1" t="s">
        <v>16260</v>
      </c>
      <c r="BA877" s="1" t="s">
        <v>466</v>
      </c>
      <c r="BB877" s="1" t="s">
        <v>467</v>
      </c>
      <c r="BC877" s="1" t="s">
        <v>1825</v>
      </c>
      <c r="BD877" s="1" t="s">
        <v>9688</v>
      </c>
      <c r="BE877" s="1">
        <v>91.3</v>
      </c>
      <c r="BF877" s="1">
        <v>9.13</v>
      </c>
      <c r="BG877" s="1"/>
      <c r="BH877" s="1"/>
      <c r="BI877" s="1"/>
      <c r="BJ877" s="1"/>
      <c r="BK877" s="1"/>
      <c r="BL877" s="1"/>
      <c r="BM877" s="1"/>
      <c r="BN877" s="1"/>
      <c r="BO877" s="1" t="s">
        <v>915</v>
      </c>
      <c r="BP877" s="1"/>
      <c r="BQ877" s="1"/>
      <c r="BR877" s="1" t="s">
        <v>16261</v>
      </c>
      <c r="BS877" s="1">
        <v>1</v>
      </c>
      <c r="BT877" s="1" t="s">
        <v>16262</v>
      </c>
      <c r="BU877" s="1" t="str">
        <f>HYPERLINK("https://nconnect.nicmar.ac.in/storage/profile/6a85e677032e3.png","Download")</f>
        <v>0</v>
      </c>
      <c r="BV877" s="3"/>
      <c r="BW877" s="3"/>
    </row>
    <row r="878" spans="1:75">
      <c r="A878" s="1" t="s">
        <v>75</v>
      </c>
      <c r="B878" s="1" t="s">
        <v>13976</v>
      </c>
      <c r="C878" s="1" t="s">
        <v>16263</v>
      </c>
      <c r="D878" s="1" t="s">
        <v>4293</v>
      </c>
      <c r="E878" s="1"/>
      <c r="F878" s="1" t="s">
        <v>16264</v>
      </c>
      <c r="G878" s="1" t="s">
        <v>16265</v>
      </c>
      <c r="H878" s="1" t="s">
        <v>16266</v>
      </c>
      <c r="I878" s="1" t="s">
        <v>16267</v>
      </c>
      <c r="J878" s="1">
        <v>9492506313</v>
      </c>
      <c r="K878" s="1" t="s">
        <v>84</v>
      </c>
      <c r="L878" s="1" t="s">
        <v>16268</v>
      </c>
      <c r="M878" s="1" t="s">
        <v>86</v>
      </c>
      <c r="N878" s="1" t="s">
        <v>16269</v>
      </c>
      <c r="O878" s="1" t="s">
        <v>16270</v>
      </c>
      <c r="P878" s="1" t="s">
        <v>16271</v>
      </c>
      <c r="Q878" s="1">
        <v>843186816987</v>
      </c>
      <c r="R878" s="1" t="s">
        <v>16272</v>
      </c>
      <c r="S878" s="1">
        <v>9441665313</v>
      </c>
      <c r="T878" s="1" t="s">
        <v>16273</v>
      </c>
      <c r="U878" s="1" t="s">
        <v>16274</v>
      </c>
      <c r="V878" s="1">
        <v>9441554271</v>
      </c>
      <c r="W878" s="1" t="s">
        <v>16273</v>
      </c>
      <c r="X878" s="1" t="s">
        <v>16275</v>
      </c>
      <c r="Y878" s="1" t="s">
        <v>725</v>
      </c>
      <c r="Z878" s="1" t="s">
        <v>281</v>
      </c>
      <c r="AA878" s="1" t="s">
        <v>16275</v>
      </c>
      <c r="AB878" s="1" t="s">
        <v>725</v>
      </c>
      <c r="AC878" s="1" t="s">
        <v>281</v>
      </c>
      <c r="AD878" s="1" t="s">
        <v>98</v>
      </c>
      <c r="AE878" s="1" t="s">
        <v>98</v>
      </c>
      <c r="AF878" s="1" t="s">
        <v>16276</v>
      </c>
      <c r="AG878" s="1" t="s">
        <v>16277</v>
      </c>
      <c r="AH878" s="1" t="s">
        <v>704</v>
      </c>
      <c r="AI878" s="1" t="s">
        <v>490</v>
      </c>
      <c r="AJ878" s="1">
        <v>98</v>
      </c>
      <c r="AK878" s="1">
        <v>9.8</v>
      </c>
      <c r="AL878" s="1" t="s">
        <v>16278</v>
      </c>
      <c r="AM878" s="1" t="s">
        <v>16279</v>
      </c>
      <c r="AN878" s="1" t="s">
        <v>465</v>
      </c>
      <c r="AO878" s="1" t="s">
        <v>106</v>
      </c>
      <c r="AP878" s="1" t="s">
        <v>468</v>
      </c>
      <c r="AQ878" s="1">
        <v>92</v>
      </c>
      <c r="AR878" s="1">
        <v>9.7</v>
      </c>
      <c r="AS878" s="1"/>
      <c r="AT878" s="1"/>
      <c r="AU878" s="1"/>
      <c r="AV878" s="1"/>
      <c r="AW878" s="1"/>
      <c r="AX878" s="1"/>
      <c r="AY878" s="1" t="s">
        <v>16280</v>
      </c>
      <c r="AZ878" s="1" t="s">
        <v>16281</v>
      </c>
      <c r="BA878" s="1" t="s">
        <v>578</v>
      </c>
      <c r="BB878" s="1" t="s">
        <v>467</v>
      </c>
      <c r="BC878" s="1" t="s">
        <v>178</v>
      </c>
      <c r="BD878" s="1" t="s">
        <v>1089</v>
      </c>
      <c r="BE878" s="1">
        <v>65</v>
      </c>
      <c r="BF878" s="1">
        <v>7.17</v>
      </c>
      <c r="BG878" s="1"/>
      <c r="BH878" s="1"/>
      <c r="BI878" s="1"/>
      <c r="BJ878" s="1"/>
      <c r="BK878" s="1"/>
      <c r="BL878" s="1"/>
      <c r="BM878" s="1"/>
      <c r="BN878" s="1"/>
      <c r="BO878" s="1" t="s">
        <v>16282</v>
      </c>
      <c r="BP878" s="1"/>
      <c r="BQ878" s="1"/>
      <c r="BR878" s="1" t="s">
        <v>16283</v>
      </c>
      <c r="BS878" s="1">
        <v>4</v>
      </c>
      <c r="BT878" s="1" t="s">
        <v>16284</v>
      </c>
      <c r="BU878" s="1" t="str">
        <f>HYPERLINK("https://nconnect.nicmar.ac.in/storage/profile/6a86ed136430f.png","Download")</f>
        <v>0</v>
      </c>
      <c r="BV878" s="3"/>
      <c r="BW878" s="3"/>
    </row>
    <row r="879" spans="1:75">
      <c r="A879" s="1" t="s">
        <v>75</v>
      </c>
      <c r="B879" s="1" t="s">
        <v>13976</v>
      </c>
      <c r="C879" s="1" t="s">
        <v>16285</v>
      </c>
      <c r="D879" s="1" t="s">
        <v>16286</v>
      </c>
      <c r="E879" s="1" t="s">
        <v>16287</v>
      </c>
      <c r="F879" s="1" t="s">
        <v>16288</v>
      </c>
      <c r="G879" s="1" t="s">
        <v>16289</v>
      </c>
      <c r="H879" s="1" t="s">
        <v>16290</v>
      </c>
      <c r="I879" s="1" t="s">
        <v>16290</v>
      </c>
      <c r="J879" s="1">
        <v>8928468576</v>
      </c>
      <c r="K879" s="1" t="s">
        <v>84</v>
      </c>
      <c r="L879" s="1" t="s">
        <v>16291</v>
      </c>
      <c r="M879" s="1" t="s">
        <v>86</v>
      </c>
      <c r="N879" s="1" t="s">
        <v>16292</v>
      </c>
      <c r="O879" s="1" t="s">
        <v>16293</v>
      </c>
      <c r="P879" s="1" t="s">
        <v>219</v>
      </c>
      <c r="Q879" s="1">
        <v>278922448236</v>
      </c>
      <c r="R879" s="1" t="s">
        <v>16294</v>
      </c>
      <c r="S879" s="1">
        <v>9987194964</v>
      </c>
      <c r="T879" s="1" t="s">
        <v>2177</v>
      </c>
      <c r="U879" s="1" t="s">
        <v>16295</v>
      </c>
      <c r="V879" s="1">
        <v>8692966464</v>
      </c>
      <c r="W879" s="1" t="s">
        <v>14032</v>
      </c>
      <c r="X879" s="1" t="s">
        <v>16296</v>
      </c>
      <c r="Y879" s="1" t="s">
        <v>1012</v>
      </c>
      <c r="Z879" s="1" t="s">
        <v>97</v>
      </c>
      <c r="AA879" s="1" t="s">
        <v>16296</v>
      </c>
      <c r="AB879" s="1" t="s">
        <v>1012</v>
      </c>
      <c r="AC879" s="1" t="s">
        <v>97</v>
      </c>
      <c r="AD879" s="1" t="s">
        <v>98</v>
      </c>
      <c r="AE879" s="1" t="s">
        <v>98</v>
      </c>
      <c r="AF879" s="1" t="s">
        <v>16297</v>
      </c>
      <c r="AG879" s="1" t="s">
        <v>16298</v>
      </c>
      <c r="AH879" s="1" t="s">
        <v>1602</v>
      </c>
      <c r="AI879" s="1" t="s">
        <v>515</v>
      </c>
      <c r="AJ879" s="1">
        <v>85.4</v>
      </c>
      <c r="AK879" s="1"/>
      <c r="AL879" s="1" t="s">
        <v>16299</v>
      </c>
      <c r="AM879" s="1" t="s">
        <v>16300</v>
      </c>
      <c r="AN879" s="1" t="s">
        <v>575</v>
      </c>
      <c r="AO879" s="1" t="s">
        <v>101</v>
      </c>
      <c r="AP879" s="1" t="s">
        <v>517</v>
      </c>
      <c r="AQ879" s="1">
        <v>70.46</v>
      </c>
      <c r="AR879" s="1"/>
      <c r="AS879" s="1"/>
      <c r="AT879" s="1"/>
      <c r="AU879" s="1"/>
      <c r="AV879" s="1"/>
      <c r="AW879" s="1"/>
      <c r="AX879" s="1"/>
      <c r="AY879" s="1" t="s">
        <v>16301</v>
      </c>
      <c r="AZ879" s="1" t="s">
        <v>16302</v>
      </c>
      <c r="BA879" s="1" t="s">
        <v>466</v>
      </c>
      <c r="BB879" s="1" t="s">
        <v>467</v>
      </c>
      <c r="BC879" s="1" t="s">
        <v>139</v>
      </c>
      <c r="BD879" s="1" t="s">
        <v>417</v>
      </c>
      <c r="BE879" s="1">
        <v>77</v>
      </c>
      <c r="BF879" s="1">
        <v>8.2</v>
      </c>
      <c r="BG879" s="1"/>
      <c r="BH879" s="1"/>
      <c r="BI879" s="1"/>
      <c r="BJ879" s="1"/>
      <c r="BK879" s="1"/>
      <c r="BL879" s="1"/>
      <c r="BM879" s="1"/>
      <c r="BN879" s="1"/>
      <c r="BO879" s="1" t="s">
        <v>16303</v>
      </c>
      <c r="BP879" s="1" t="s">
        <v>16304</v>
      </c>
      <c r="BQ879" s="1" t="s">
        <v>16305</v>
      </c>
      <c r="BR879" s="1" t="s">
        <v>16306</v>
      </c>
      <c r="BS879" s="1">
        <v>7</v>
      </c>
      <c r="BT879" s="1" t="s">
        <v>16307</v>
      </c>
      <c r="BU879" s="1" t="str">
        <f>HYPERLINK("https://nconnect.nicmar.ac.in/storage/profile/6a8346b0921d7.png","Download")</f>
        <v>0</v>
      </c>
      <c r="BV879" s="3"/>
      <c r="BW879" s="3"/>
    </row>
    <row r="880" spans="1:75">
      <c r="A880" s="1" t="s">
        <v>75</v>
      </c>
      <c r="B880" s="1" t="s">
        <v>13976</v>
      </c>
      <c r="C880" s="1" t="s">
        <v>16308</v>
      </c>
      <c r="D880" s="1" t="s">
        <v>16309</v>
      </c>
      <c r="E880" s="1" t="s">
        <v>16310</v>
      </c>
      <c r="F880" s="1" t="s">
        <v>16311</v>
      </c>
      <c r="G880" s="1" t="s">
        <v>16312</v>
      </c>
      <c r="H880" s="1" t="s">
        <v>16313</v>
      </c>
      <c r="I880" s="1" t="s">
        <v>16313</v>
      </c>
      <c r="J880" s="1">
        <v>9096135904</v>
      </c>
      <c r="K880" s="1" t="s">
        <v>84</v>
      </c>
      <c r="L880" s="1" t="s">
        <v>16314</v>
      </c>
      <c r="M880" s="1" t="s">
        <v>86</v>
      </c>
      <c r="N880" s="1" t="s">
        <v>4263</v>
      </c>
      <c r="O880" s="1" t="s">
        <v>16315</v>
      </c>
      <c r="P880" s="1" t="s">
        <v>89</v>
      </c>
      <c r="Q880" s="1">
        <v>933933338155</v>
      </c>
      <c r="R880" s="1" t="s">
        <v>16316</v>
      </c>
      <c r="S880" s="1">
        <v>9673890999</v>
      </c>
      <c r="T880" s="1" t="s">
        <v>13987</v>
      </c>
      <c r="U880" s="1" t="s">
        <v>16317</v>
      </c>
      <c r="V880" s="1">
        <v>8855920999</v>
      </c>
      <c r="W880" s="1" t="s">
        <v>14154</v>
      </c>
      <c r="X880" s="1" t="s">
        <v>16318</v>
      </c>
      <c r="Y880" s="1" t="s">
        <v>1145</v>
      </c>
      <c r="Z880" s="1" t="s">
        <v>97</v>
      </c>
      <c r="AA880" s="1" t="s">
        <v>16319</v>
      </c>
      <c r="AB880" s="1" t="s">
        <v>196</v>
      </c>
      <c r="AC880" s="1" t="s">
        <v>97</v>
      </c>
      <c r="AD880" s="1" t="s">
        <v>98</v>
      </c>
      <c r="AE880" s="1" t="s">
        <v>98</v>
      </c>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t="s">
        <v>16320</v>
      </c>
      <c r="BQ880" s="1" t="s">
        <v>7917</v>
      </c>
      <c r="BR880" s="1" t="s">
        <v>16321</v>
      </c>
      <c r="BS880" s="1">
        <v>4</v>
      </c>
      <c r="BT880" s="1"/>
      <c r="BU880" s="1" t="str">
        <f>HYPERLINK("https://nconnect.nicmar.ac.in/storage/profile/6a84999f54b02.png","Download")</f>
        <v>0</v>
      </c>
      <c r="BV880" s="3"/>
      <c r="BW880" s="3"/>
    </row>
    <row r="881" spans="1:75">
      <c r="A881" s="1" t="s">
        <v>75</v>
      </c>
      <c r="B881" s="1" t="s">
        <v>13976</v>
      </c>
      <c r="C881" s="1" t="s">
        <v>16322</v>
      </c>
      <c r="D881" s="1" t="s">
        <v>16323</v>
      </c>
      <c r="E881" s="1"/>
      <c r="F881" s="1" t="s">
        <v>16324</v>
      </c>
      <c r="G881" s="1" t="s">
        <v>16325</v>
      </c>
      <c r="H881" s="1" t="s">
        <v>16326</v>
      </c>
      <c r="I881" s="1" t="s">
        <v>16326</v>
      </c>
      <c r="J881" s="1">
        <v>9741276931</v>
      </c>
      <c r="K881" s="1" t="s">
        <v>84</v>
      </c>
      <c r="L881" s="1" t="s">
        <v>1836</v>
      </c>
      <c r="M881" s="1" t="s">
        <v>86</v>
      </c>
      <c r="N881" s="1" t="s">
        <v>16327</v>
      </c>
      <c r="O881" s="1" t="s">
        <v>16328</v>
      </c>
      <c r="P881" s="1" t="s">
        <v>219</v>
      </c>
      <c r="Q881" s="1">
        <v>263132999457</v>
      </c>
      <c r="R881" s="1" t="s">
        <v>16329</v>
      </c>
      <c r="S881" s="1">
        <v>9910834666</v>
      </c>
      <c r="T881" s="1" t="s">
        <v>16330</v>
      </c>
      <c r="U881" s="1" t="s">
        <v>16331</v>
      </c>
      <c r="V881" s="1">
        <v>9810423001</v>
      </c>
      <c r="W881" s="1" t="s">
        <v>16332</v>
      </c>
      <c r="X881" s="1" t="s">
        <v>16333</v>
      </c>
      <c r="Y881" s="1" t="s">
        <v>16334</v>
      </c>
      <c r="Z881" s="1" t="s">
        <v>1700</v>
      </c>
      <c r="AA881" s="1" t="s">
        <v>16333</v>
      </c>
      <c r="AB881" s="1" t="s">
        <v>16334</v>
      </c>
      <c r="AC881" s="1" t="s">
        <v>1700</v>
      </c>
      <c r="AD881" s="1" t="s">
        <v>98</v>
      </c>
      <c r="AE881" s="1" t="s">
        <v>98</v>
      </c>
      <c r="AF881" s="1" t="s">
        <v>16335</v>
      </c>
      <c r="AG881" s="1" t="s">
        <v>16336</v>
      </c>
      <c r="AH881" s="1" t="s">
        <v>1262</v>
      </c>
      <c r="AI881" s="1" t="s">
        <v>136</v>
      </c>
      <c r="AJ881" s="1">
        <v>78.85</v>
      </c>
      <c r="AK881" s="1">
        <v>8.3</v>
      </c>
      <c r="AL881" s="1" t="s">
        <v>16337</v>
      </c>
      <c r="AM881" s="1" t="s">
        <v>16338</v>
      </c>
      <c r="AN881" s="1" t="s">
        <v>465</v>
      </c>
      <c r="AO881" s="1" t="s">
        <v>627</v>
      </c>
      <c r="AP881" s="1" t="s">
        <v>573</v>
      </c>
      <c r="AQ881" s="1">
        <v>79.12</v>
      </c>
      <c r="AR881" s="1"/>
      <c r="AS881" s="1"/>
      <c r="AT881" s="1"/>
      <c r="AU881" s="1"/>
      <c r="AV881" s="1"/>
      <c r="AW881" s="1"/>
      <c r="AX881" s="1"/>
      <c r="AY881" s="1" t="s">
        <v>16339</v>
      </c>
      <c r="AZ881" s="1" t="s">
        <v>16340</v>
      </c>
      <c r="BA881" s="1" t="s">
        <v>466</v>
      </c>
      <c r="BB881" s="1" t="s">
        <v>467</v>
      </c>
      <c r="BC881" s="1" t="s">
        <v>388</v>
      </c>
      <c r="BD881" s="1" t="s">
        <v>391</v>
      </c>
      <c r="BE881" s="1">
        <v>63</v>
      </c>
      <c r="BF881" s="1">
        <v>6.28</v>
      </c>
      <c r="BG881" s="1"/>
      <c r="BH881" s="1"/>
      <c r="BI881" s="1"/>
      <c r="BJ881" s="1"/>
      <c r="BK881" s="1"/>
      <c r="BL881" s="1"/>
      <c r="BM881" s="1"/>
      <c r="BN881" s="1"/>
      <c r="BO881" s="1" t="s">
        <v>16341</v>
      </c>
      <c r="BP881" s="1" t="s">
        <v>16342</v>
      </c>
      <c r="BQ881" s="1" t="s">
        <v>471</v>
      </c>
      <c r="BR881" s="1"/>
      <c r="BS881" s="1"/>
      <c r="BT881" s="1"/>
      <c r="BU881" s="1" t="str">
        <f>HYPERLINK("https://nconnect.nicmar.ac.in/storage/profile/6a86f4eb77643.png","Download")</f>
        <v>0</v>
      </c>
      <c r="BV881" s="3"/>
      <c r="BW881" s="3"/>
    </row>
    <row r="882" spans="1:75">
      <c r="A882" s="1" t="s">
        <v>75</v>
      </c>
      <c r="B882" s="1" t="s">
        <v>13976</v>
      </c>
      <c r="C882" s="1" t="s">
        <v>16343</v>
      </c>
      <c r="D882" s="1" t="s">
        <v>16344</v>
      </c>
      <c r="E882" s="1"/>
      <c r="F882" s="1" t="s">
        <v>1853</v>
      </c>
      <c r="G882" s="1" t="s">
        <v>16345</v>
      </c>
      <c r="H882" s="1" t="s">
        <v>16346</v>
      </c>
      <c r="I882" s="1" t="s">
        <v>16346</v>
      </c>
      <c r="J882" s="1">
        <v>7022701933</v>
      </c>
      <c r="K882" s="1" t="s">
        <v>84</v>
      </c>
      <c r="L882" s="1" t="s">
        <v>16347</v>
      </c>
      <c r="M882" s="1" t="s">
        <v>86</v>
      </c>
      <c r="N882" s="1" t="s">
        <v>14464</v>
      </c>
      <c r="O882" s="1" t="s">
        <v>16348</v>
      </c>
      <c r="P882" s="1" t="s">
        <v>219</v>
      </c>
      <c r="Q882" s="1" t="s">
        <v>16349</v>
      </c>
      <c r="R882" s="1" t="s">
        <v>16350</v>
      </c>
      <c r="S882" s="1">
        <v>9113559235</v>
      </c>
      <c r="T882" s="1" t="s">
        <v>16351</v>
      </c>
      <c r="U882" s="1" t="s">
        <v>16352</v>
      </c>
      <c r="V882" s="1">
        <v>9448574656</v>
      </c>
      <c r="W882" s="1" t="s">
        <v>16353</v>
      </c>
      <c r="X882" s="1" t="s">
        <v>16354</v>
      </c>
      <c r="Y882" s="1" t="s">
        <v>13502</v>
      </c>
      <c r="Z882" s="1" t="s">
        <v>1210</v>
      </c>
      <c r="AA882" s="1" t="s">
        <v>16354</v>
      </c>
      <c r="AB882" s="1" t="s">
        <v>13502</v>
      </c>
      <c r="AC882" s="1" t="s">
        <v>1210</v>
      </c>
      <c r="AD882" s="1" t="s">
        <v>98</v>
      </c>
      <c r="AE882" s="1" t="s">
        <v>98</v>
      </c>
      <c r="AF882" s="1" t="s">
        <v>16355</v>
      </c>
      <c r="AG882" s="1" t="s">
        <v>16356</v>
      </c>
      <c r="AH882" s="1" t="s">
        <v>166</v>
      </c>
      <c r="AI882" s="1" t="s">
        <v>627</v>
      </c>
      <c r="AJ882" s="1">
        <v>83.6</v>
      </c>
      <c r="AK882" s="1">
        <v>8.8</v>
      </c>
      <c r="AL882" s="1" t="s">
        <v>16357</v>
      </c>
      <c r="AM882" s="1" t="s">
        <v>16358</v>
      </c>
      <c r="AN882" s="1" t="s">
        <v>465</v>
      </c>
      <c r="AO882" s="1" t="s">
        <v>1396</v>
      </c>
      <c r="AP882" s="1" t="s">
        <v>171</v>
      </c>
      <c r="AQ882" s="1">
        <v>88</v>
      </c>
      <c r="AR882" s="1"/>
      <c r="AS882" s="1"/>
      <c r="AT882" s="1"/>
      <c r="AU882" s="1"/>
      <c r="AV882" s="1"/>
      <c r="AW882" s="1"/>
      <c r="AX882" s="1"/>
      <c r="AY882" s="1" t="s">
        <v>16359</v>
      </c>
      <c r="AZ882" s="1" t="s">
        <v>16360</v>
      </c>
      <c r="BA882" s="1" t="s">
        <v>682</v>
      </c>
      <c r="BB882" s="1" t="s">
        <v>1561</v>
      </c>
      <c r="BC882" s="1" t="s">
        <v>1065</v>
      </c>
      <c r="BD882" s="1" t="s">
        <v>391</v>
      </c>
      <c r="BE882" s="1">
        <v>65.74</v>
      </c>
      <c r="BF882" s="1">
        <v>6.92</v>
      </c>
      <c r="BG882" s="1"/>
      <c r="BH882" s="1"/>
      <c r="BI882" s="1"/>
      <c r="BJ882" s="1"/>
      <c r="BK882" s="1"/>
      <c r="BL882" s="1"/>
      <c r="BM882" s="1"/>
      <c r="BN882" s="1"/>
      <c r="BO882" s="1" t="s">
        <v>16361</v>
      </c>
      <c r="BP882" s="1" t="s">
        <v>16362</v>
      </c>
      <c r="BQ882" s="1" t="s">
        <v>7647</v>
      </c>
      <c r="BR882" s="1" t="s">
        <v>16363</v>
      </c>
      <c r="BS882" s="1">
        <v>16</v>
      </c>
      <c r="BT882" s="1"/>
      <c r="BU882" s="1" t="str">
        <f>HYPERLINK("https://nconnect.nicmar.ac.in/storage/profile/6a85b86a22d8f.png","Download")</f>
        <v>0</v>
      </c>
      <c r="BV882" s="3"/>
      <c r="BW882" s="3"/>
    </row>
    <row r="883" spans="1:75">
      <c r="A883" s="1" t="s">
        <v>75</v>
      </c>
      <c r="B883" s="1" t="s">
        <v>13976</v>
      </c>
      <c r="C883" s="1" t="s">
        <v>16364</v>
      </c>
      <c r="D883" s="1" t="s">
        <v>9655</v>
      </c>
      <c r="E883" s="1" t="s">
        <v>16365</v>
      </c>
      <c r="F883" s="1" t="s">
        <v>16366</v>
      </c>
      <c r="G883" s="1" t="s">
        <v>16367</v>
      </c>
      <c r="H883" s="1" t="s">
        <v>16368</v>
      </c>
      <c r="I883" s="1" t="s">
        <v>16369</v>
      </c>
      <c r="J883" s="1">
        <v>8270950818</v>
      </c>
      <c r="K883" s="1" t="s">
        <v>84</v>
      </c>
      <c r="L883" s="1" t="s">
        <v>7871</v>
      </c>
      <c r="M883" s="1" t="s">
        <v>86</v>
      </c>
      <c r="N883" s="1" t="s">
        <v>16370</v>
      </c>
      <c r="O883" s="1" t="s">
        <v>16371</v>
      </c>
      <c r="P883" s="1" t="s">
        <v>89</v>
      </c>
      <c r="Q883" s="1">
        <v>808393789423</v>
      </c>
      <c r="R883" s="1" t="s">
        <v>16372</v>
      </c>
      <c r="S883" s="1">
        <v>7025011100</v>
      </c>
      <c r="T883" s="1" t="s">
        <v>16373</v>
      </c>
      <c r="U883" s="1" t="s">
        <v>16374</v>
      </c>
      <c r="V883" s="1">
        <v>8891728073</v>
      </c>
      <c r="W883" s="1" t="s">
        <v>14212</v>
      </c>
      <c r="X883" s="1" t="s">
        <v>16375</v>
      </c>
      <c r="Y883" s="1" t="s">
        <v>1283</v>
      </c>
      <c r="Z883" s="1" t="s">
        <v>130</v>
      </c>
      <c r="AA883" s="1" t="s">
        <v>16376</v>
      </c>
      <c r="AB883" s="1" t="s">
        <v>1283</v>
      </c>
      <c r="AC883" s="1" t="s">
        <v>130</v>
      </c>
      <c r="AD883" s="1" t="s">
        <v>98</v>
      </c>
      <c r="AE883" s="1" t="s">
        <v>98</v>
      </c>
      <c r="AF883" s="1" t="s">
        <v>16377</v>
      </c>
      <c r="AG883" s="1" t="s">
        <v>16378</v>
      </c>
      <c r="AH883" s="1" t="s">
        <v>174</v>
      </c>
      <c r="AI883" s="1" t="s">
        <v>178</v>
      </c>
      <c r="AJ883" s="1">
        <v>78.6</v>
      </c>
      <c r="AK883" s="1"/>
      <c r="AL883" s="1" t="s">
        <v>16379</v>
      </c>
      <c r="AM883" s="1" t="s">
        <v>16380</v>
      </c>
      <c r="AN883" s="1" t="s">
        <v>465</v>
      </c>
      <c r="AO883" s="1" t="s">
        <v>890</v>
      </c>
      <c r="AP883" s="1" t="s">
        <v>1886</v>
      </c>
      <c r="AQ883" s="1">
        <v>88.16</v>
      </c>
      <c r="AR883" s="1"/>
      <c r="AS883" s="1"/>
      <c r="AT883" s="1"/>
      <c r="AU883" s="1"/>
      <c r="AV883" s="1"/>
      <c r="AW883" s="1"/>
      <c r="AX883" s="1"/>
      <c r="AY883" s="1" t="s">
        <v>15759</v>
      </c>
      <c r="AZ883" s="1" t="s">
        <v>16381</v>
      </c>
      <c r="BA883" s="1" t="s">
        <v>466</v>
      </c>
      <c r="BB883" s="1" t="s">
        <v>467</v>
      </c>
      <c r="BC883" s="1" t="s">
        <v>1802</v>
      </c>
      <c r="BD883" s="1" t="s">
        <v>9688</v>
      </c>
      <c r="BE883" s="1">
        <v>70.3</v>
      </c>
      <c r="BF883" s="1">
        <v>7.03</v>
      </c>
      <c r="BG883" s="1"/>
      <c r="BH883" s="1"/>
      <c r="BI883" s="1"/>
      <c r="BJ883" s="1"/>
      <c r="BK883" s="1"/>
      <c r="BL883" s="1"/>
      <c r="BM883" s="1"/>
      <c r="BN883" s="1"/>
      <c r="BO883" s="1" t="s">
        <v>16382</v>
      </c>
      <c r="BP883" s="1"/>
      <c r="BQ883" s="1"/>
      <c r="BR883" s="1"/>
      <c r="BS883" s="1"/>
      <c r="BT883" s="1"/>
      <c r="BU883" s="1" t="str">
        <f>HYPERLINK("https://nconnect.nicmar.ac.in/storage/profile/6a86f5fcb921c.png","Download")</f>
        <v>0</v>
      </c>
      <c r="BV883" s="3"/>
      <c r="BW883" s="3"/>
    </row>
    <row r="884" spans="1:75">
      <c r="A884" s="1" t="s">
        <v>75</v>
      </c>
      <c r="B884" s="1" t="s">
        <v>13976</v>
      </c>
      <c r="C884" s="1" t="s">
        <v>16383</v>
      </c>
      <c r="D884" s="1" t="s">
        <v>16384</v>
      </c>
      <c r="E884" s="1"/>
      <c r="F884" s="1" t="s">
        <v>16385</v>
      </c>
      <c r="G884" s="1" t="s">
        <v>16386</v>
      </c>
      <c r="H884" s="1" t="s">
        <v>16387</v>
      </c>
      <c r="I884" s="1" t="s">
        <v>16387</v>
      </c>
      <c r="J884" s="1">
        <v>9790442459</v>
      </c>
      <c r="K884" s="1" t="s">
        <v>84</v>
      </c>
      <c r="L884" s="1" t="s">
        <v>16388</v>
      </c>
      <c r="M884" s="1" t="s">
        <v>86</v>
      </c>
      <c r="N884" s="1" t="s">
        <v>12562</v>
      </c>
      <c r="O884" s="1" t="s">
        <v>16389</v>
      </c>
      <c r="P884" s="1" t="s">
        <v>219</v>
      </c>
      <c r="Q884" s="1">
        <v>785335914558</v>
      </c>
      <c r="R884" s="1" t="s">
        <v>16390</v>
      </c>
      <c r="S884" s="1">
        <v>9884944433</v>
      </c>
      <c r="T884" s="1" t="s">
        <v>839</v>
      </c>
      <c r="U884" s="1" t="s">
        <v>16391</v>
      </c>
      <c r="V884" s="1">
        <v>9884822939</v>
      </c>
      <c r="W884" s="1" t="s">
        <v>278</v>
      </c>
      <c r="X884" s="1" t="s">
        <v>16392</v>
      </c>
      <c r="Y884" s="1" t="s">
        <v>1498</v>
      </c>
      <c r="Z884" s="1" t="s">
        <v>570</v>
      </c>
      <c r="AA884" s="1" t="s">
        <v>16392</v>
      </c>
      <c r="AB884" s="1" t="s">
        <v>1498</v>
      </c>
      <c r="AC884" s="1" t="s">
        <v>570</v>
      </c>
      <c r="AD884" s="1" t="s">
        <v>98</v>
      </c>
      <c r="AE884" s="1" t="s">
        <v>98</v>
      </c>
      <c r="AF884" s="1" t="s">
        <v>16393</v>
      </c>
      <c r="AG884" s="1" t="s">
        <v>796</v>
      </c>
      <c r="AH884" s="1" t="s">
        <v>490</v>
      </c>
      <c r="AI884" s="1" t="s">
        <v>313</v>
      </c>
      <c r="AJ884" s="1">
        <v>95.6</v>
      </c>
      <c r="AK884" s="1">
        <v>9.56</v>
      </c>
      <c r="AL884" s="1" t="s">
        <v>16394</v>
      </c>
      <c r="AM884" s="1" t="s">
        <v>796</v>
      </c>
      <c r="AN884" s="1" t="s">
        <v>575</v>
      </c>
      <c r="AO884" s="1" t="s">
        <v>977</v>
      </c>
      <c r="AP884" s="1" t="s">
        <v>549</v>
      </c>
      <c r="AQ884" s="1">
        <v>93.8</v>
      </c>
      <c r="AR884" s="1">
        <v>9.38</v>
      </c>
      <c r="AS884" s="1"/>
      <c r="AT884" s="1"/>
      <c r="AU884" s="1"/>
      <c r="AV884" s="1"/>
      <c r="AW884" s="1"/>
      <c r="AX884" s="1"/>
      <c r="AY884" s="1" t="s">
        <v>550</v>
      </c>
      <c r="AZ884" s="1" t="s">
        <v>12447</v>
      </c>
      <c r="BA884" s="1" t="s">
        <v>466</v>
      </c>
      <c r="BB884" s="1" t="s">
        <v>467</v>
      </c>
      <c r="BC884" s="1" t="s">
        <v>552</v>
      </c>
      <c r="BD884" s="1" t="s">
        <v>553</v>
      </c>
      <c r="BE884" s="1">
        <v>92.5</v>
      </c>
      <c r="BF884" s="1">
        <v>9.25</v>
      </c>
      <c r="BG884" s="1"/>
      <c r="BH884" s="1"/>
      <c r="BI884" s="1"/>
      <c r="BJ884" s="1"/>
      <c r="BK884" s="1"/>
      <c r="BL884" s="1"/>
      <c r="BM884" s="1"/>
      <c r="BN884" s="1"/>
      <c r="BO884" s="1" t="s">
        <v>16395</v>
      </c>
      <c r="BP884" s="1"/>
      <c r="BQ884" s="1"/>
      <c r="BR884" s="1"/>
      <c r="BS884" s="1"/>
      <c r="BT884" s="1"/>
      <c r="BU884" s="1" t="str">
        <f>HYPERLINK("https://nconnect.nicmar.ac.in/storage/profile/6a86033601b1a.png","Download")</f>
        <v>0</v>
      </c>
      <c r="BV884" s="3"/>
      <c r="BW884" s="3"/>
    </row>
    <row r="885" spans="1:75">
      <c r="A885" s="1" t="s">
        <v>75</v>
      </c>
      <c r="B885" s="1" t="s">
        <v>13976</v>
      </c>
      <c r="C885" s="1" t="s">
        <v>16396</v>
      </c>
      <c r="D885" s="1" t="s">
        <v>16397</v>
      </c>
      <c r="E885" s="1" t="s">
        <v>16398</v>
      </c>
      <c r="F885" s="1" t="s">
        <v>16399</v>
      </c>
      <c r="G885" s="1" t="s">
        <v>16400</v>
      </c>
      <c r="H885" s="1" t="s">
        <v>16401</v>
      </c>
      <c r="I885" s="1" t="s">
        <v>16402</v>
      </c>
      <c r="J885" s="1">
        <v>9967648730</v>
      </c>
      <c r="K885" s="1" t="s">
        <v>84</v>
      </c>
      <c r="L885" s="1" t="s">
        <v>7530</v>
      </c>
      <c r="M885" s="1" t="s">
        <v>86</v>
      </c>
      <c r="N885" s="1" t="s">
        <v>16403</v>
      </c>
      <c r="O885" s="1" t="s">
        <v>16404</v>
      </c>
      <c r="P885" s="1" t="s">
        <v>219</v>
      </c>
      <c r="Q885" s="1" t="s">
        <v>16405</v>
      </c>
      <c r="R885" s="1" t="s">
        <v>16406</v>
      </c>
      <c r="S885" s="1">
        <v>9833279279</v>
      </c>
      <c r="T885" s="1" t="s">
        <v>3439</v>
      </c>
      <c r="U885" s="1" t="s">
        <v>16407</v>
      </c>
      <c r="V885" s="1">
        <v>9967404969</v>
      </c>
      <c r="W885" s="1" t="s">
        <v>10306</v>
      </c>
      <c r="X885" s="1" t="s">
        <v>16408</v>
      </c>
      <c r="Y885" s="1" t="s">
        <v>2259</v>
      </c>
      <c r="Z885" s="1" t="s">
        <v>97</v>
      </c>
      <c r="AA885" s="1" t="s">
        <v>16408</v>
      </c>
      <c r="AB885" s="1" t="s">
        <v>2259</v>
      </c>
      <c r="AC885" s="1" t="s">
        <v>97</v>
      </c>
      <c r="AD885" s="1" t="s">
        <v>98</v>
      </c>
      <c r="AE885" s="1" t="s">
        <v>98</v>
      </c>
      <c r="AF885" s="1" t="s">
        <v>16409</v>
      </c>
      <c r="AG885" s="1" t="s">
        <v>16410</v>
      </c>
      <c r="AH885" s="1" t="s">
        <v>254</v>
      </c>
      <c r="AI885" s="1" t="s">
        <v>171</v>
      </c>
      <c r="AJ885" s="1">
        <v>77.2</v>
      </c>
      <c r="AK885" s="1"/>
      <c r="AL885" s="1" t="s">
        <v>16411</v>
      </c>
      <c r="AM885" s="1" t="s">
        <v>16412</v>
      </c>
      <c r="AN885" s="1" t="s">
        <v>575</v>
      </c>
      <c r="AO885" s="1" t="s">
        <v>174</v>
      </c>
      <c r="AP885" s="1" t="s">
        <v>417</v>
      </c>
      <c r="AQ885" s="1">
        <v>54</v>
      </c>
      <c r="AR885" s="1"/>
      <c r="AS885" s="1"/>
      <c r="AT885" s="1"/>
      <c r="AU885" s="1"/>
      <c r="AV885" s="1"/>
      <c r="AW885" s="1"/>
      <c r="AX885" s="1"/>
      <c r="AY885" s="1" t="s">
        <v>14380</v>
      </c>
      <c r="AZ885" s="1" t="s">
        <v>16413</v>
      </c>
      <c r="BA885" s="1" t="s">
        <v>578</v>
      </c>
      <c r="BB885" s="1" t="s">
        <v>467</v>
      </c>
      <c r="BC885" s="1" t="s">
        <v>2304</v>
      </c>
      <c r="BD885" s="1" t="s">
        <v>418</v>
      </c>
      <c r="BE885" s="1">
        <v>74.38</v>
      </c>
      <c r="BF885" s="1">
        <v>8.43</v>
      </c>
      <c r="BG885" s="1"/>
      <c r="BH885" s="1"/>
      <c r="BI885" s="1"/>
      <c r="BJ885" s="1"/>
      <c r="BK885" s="1"/>
      <c r="BL885" s="1"/>
      <c r="BM885" s="1"/>
      <c r="BN885" s="1"/>
      <c r="BO885" s="1" t="s">
        <v>849</v>
      </c>
      <c r="BP885" s="1"/>
      <c r="BQ885" s="1"/>
      <c r="BR885" s="1"/>
      <c r="BS885" s="1"/>
      <c r="BT885" s="1" t="s">
        <v>16414</v>
      </c>
      <c r="BU885" s="1" t="str">
        <f>HYPERLINK("https://nconnect.nicmar.ac.in/storage/profile/6a8b53cfee04a.png","Download")</f>
        <v>0</v>
      </c>
      <c r="BV885" s="3"/>
      <c r="BW885" s="3"/>
    </row>
    <row r="886" spans="1:75">
      <c r="A886" s="1" t="s">
        <v>75</v>
      </c>
      <c r="B886" s="1" t="s">
        <v>13976</v>
      </c>
      <c r="C886" s="1" t="s">
        <v>16415</v>
      </c>
      <c r="D886" s="1" t="s">
        <v>16416</v>
      </c>
      <c r="E886" s="1"/>
      <c r="F886" s="1" t="s">
        <v>812</v>
      </c>
      <c r="G886" s="1" t="s">
        <v>16417</v>
      </c>
      <c r="H886" s="1" t="s">
        <v>16418</v>
      </c>
      <c r="I886" s="1" t="s">
        <v>16419</v>
      </c>
      <c r="J886" s="1">
        <v>6369013780</v>
      </c>
      <c r="K886" s="1" t="s">
        <v>84</v>
      </c>
      <c r="L886" s="1" t="s">
        <v>16420</v>
      </c>
      <c r="M886" s="1" t="s">
        <v>86</v>
      </c>
      <c r="N886" s="1" t="s">
        <v>16421</v>
      </c>
      <c r="O886" s="1" t="s">
        <v>16422</v>
      </c>
      <c r="P886" s="1" t="s">
        <v>16423</v>
      </c>
      <c r="Q886" s="1">
        <v>231588570580</v>
      </c>
      <c r="R886" s="1" t="s">
        <v>16424</v>
      </c>
      <c r="S886" s="1">
        <v>9443271799</v>
      </c>
      <c r="T886" s="1" t="s">
        <v>16425</v>
      </c>
      <c r="U886" s="1" t="s">
        <v>16426</v>
      </c>
      <c r="V886" s="1">
        <v>9566666763</v>
      </c>
      <c r="W886" s="1" t="s">
        <v>9663</v>
      </c>
      <c r="X886" s="1" t="s">
        <v>16427</v>
      </c>
      <c r="Y886" s="1" t="s">
        <v>8878</v>
      </c>
      <c r="Z886" s="1" t="s">
        <v>570</v>
      </c>
      <c r="AA886" s="1" t="s">
        <v>16427</v>
      </c>
      <c r="AB886" s="1" t="s">
        <v>8878</v>
      </c>
      <c r="AC886" s="1" t="s">
        <v>570</v>
      </c>
      <c r="AD886" s="1" t="s">
        <v>98</v>
      </c>
      <c r="AE886" s="1" t="s">
        <v>98</v>
      </c>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t="str">
        <f>HYPERLINK("https://nconnect.nicmar.ac.in/storage/profile/6a8a8c7850796.png","Download")</f>
        <v>0</v>
      </c>
      <c r="BV886" s="3"/>
      <c r="BW886" s="3"/>
    </row>
    <row r="887" spans="1:75">
      <c r="A887" s="1" t="s">
        <v>75</v>
      </c>
      <c r="B887" s="1" t="s">
        <v>13976</v>
      </c>
      <c r="C887" s="1" t="s">
        <v>16428</v>
      </c>
      <c r="D887" s="1" t="s">
        <v>16429</v>
      </c>
      <c r="E887" s="1"/>
      <c r="F887" s="1" t="s">
        <v>16430</v>
      </c>
      <c r="G887" s="1" t="s">
        <v>16431</v>
      </c>
      <c r="H887" s="1" t="s">
        <v>16432</v>
      </c>
      <c r="I887" s="1" t="s">
        <v>16433</v>
      </c>
      <c r="J887" s="1">
        <v>7722002590</v>
      </c>
      <c r="K887" s="1" t="s">
        <v>153</v>
      </c>
      <c r="L887" s="1" t="s">
        <v>16434</v>
      </c>
      <c r="M887" s="1" t="s">
        <v>86</v>
      </c>
      <c r="N887" s="1" t="s">
        <v>16435</v>
      </c>
      <c r="O887" s="1" t="s">
        <v>16436</v>
      </c>
      <c r="P887" s="1" t="s">
        <v>89</v>
      </c>
      <c r="Q887" s="1">
        <v>219476164603</v>
      </c>
      <c r="R887" s="1" t="s">
        <v>16437</v>
      </c>
      <c r="S887" s="1">
        <v>8964000099</v>
      </c>
      <c r="T887" s="1" t="s">
        <v>15146</v>
      </c>
      <c r="U887" s="1" t="s">
        <v>16438</v>
      </c>
      <c r="V887" s="1">
        <v>9623459991</v>
      </c>
      <c r="W887" s="1" t="s">
        <v>10306</v>
      </c>
      <c r="X887" s="1" t="s">
        <v>16439</v>
      </c>
      <c r="Y887" s="1" t="s">
        <v>410</v>
      </c>
      <c r="Z887" s="1" t="s">
        <v>97</v>
      </c>
      <c r="AA887" s="1" t="s">
        <v>16439</v>
      </c>
      <c r="AB887" s="1" t="s">
        <v>410</v>
      </c>
      <c r="AC887" s="1" t="s">
        <v>97</v>
      </c>
      <c r="AD887" s="1" t="s">
        <v>98</v>
      </c>
      <c r="AE887" s="1" t="s">
        <v>98</v>
      </c>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t="str">
        <f>HYPERLINK("https://nconnect.nicmar.ac.in/storage/profile/6a8b1f1cc7ad2.png","Download")</f>
        <v>0</v>
      </c>
      <c r="BV887" s="3"/>
      <c r="BW887" s="3"/>
    </row>
    <row r="888" spans="1:75">
      <c r="A888" s="1" t="s">
        <v>75</v>
      </c>
      <c r="B888" s="1" t="s">
        <v>13976</v>
      </c>
      <c r="C888" s="1" t="s">
        <v>16440</v>
      </c>
      <c r="D888" s="1" t="s">
        <v>16441</v>
      </c>
      <c r="E888" s="1" t="s">
        <v>16144</v>
      </c>
      <c r="F888" s="1" t="s">
        <v>16442</v>
      </c>
      <c r="G888" s="1" t="s">
        <v>16443</v>
      </c>
      <c r="H888" s="1" t="s">
        <v>16444</v>
      </c>
      <c r="I888" s="1" t="s">
        <v>16445</v>
      </c>
      <c r="J888" s="1">
        <v>9923304999</v>
      </c>
      <c r="K888" s="1" t="s">
        <v>153</v>
      </c>
      <c r="L888" s="1" t="s">
        <v>16446</v>
      </c>
      <c r="M888" s="1" t="s">
        <v>86</v>
      </c>
      <c r="N888" s="1" t="s">
        <v>16447</v>
      </c>
      <c r="O888" s="1" t="s">
        <v>16448</v>
      </c>
      <c r="P888" s="1" t="s">
        <v>356</v>
      </c>
      <c r="Q888" s="1">
        <v>280028418350</v>
      </c>
      <c r="R888" s="1" t="s">
        <v>16449</v>
      </c>
      <c r="S888" s="1">
        <v>9422004480</v>
      </c>
      <c r="T888" s="1" t="s">
        <v>3439</v>
      </c>
      <c r="U888" s="1" t="s">
        <v>16450</v>
      </c>
      <c r="V888" s="1">
        <v>9764304999</v>
      </c>
      <c r="W888" s="1" t="s">
        <v>3439</v>
      </c>
      <c r="X888" s="1" t="s">
        <v>16451</v>
      </c>
      <c r="Y888" s="1" t="s">
        <v>196</v>
      </c>
      <c r="Z888" s="1" t="s">
        <v>97</v>
      </c>
      <c r="AA888" s="1" t="s">
        <v>16451</v>
      </c>
      <c r="AB888" s="1" t="s">
        <v>196</v>
      </c>
      <c r="AC888" s="1" t="s">
        <v>97</v>
      </c>
      <c r="AD888" s="1" t="s">
        <v>98</v>
      </c>
      <c r="AE888" s="1" t="s">
        <v>98</v>
      </c>
      <c r="AF888" s="1" t="s">
        <v>16452</v>
      </c>
      <c r="AG888" s="1" t="s">
        <v>16453</v>
      </c>
      <c r="AH888" s="1" t="s">
        <v>101</v>
      </c>
      <c r="AI888" s="1" t="s">
        <v>547</v>
      </c>
      <c r="AJ888" s="1">
        <v>86.8</v>
      </c>
      <c r="AK888" s="1"/>
      <c r="AL888" s="1" t="s">
        <v>16454</v>
      </c>
      <c r="AM888" s="1" t="s">
        <v>16455</v>
      </c>
      <c r="AN888" s="1" t="s">
        <v>465</v>
      </c>
      <c r="AO888" s="1" t="s">
        <v>206</v>
      </c>
      <c r="AP888" s="1" t="s">
        <v>2304</v>
      </c>
      <c r="AQ888" s="1">
        <v>85.67</v>
      </c>
      <c r="AR888" s="1"/>
      <c r="AS888" s="1"/>
      <c r="AT888" s="1"/>
      <c r="AU888" s="1"/>
      <c r="AV888" s="1"/>
      <c r="AW888" s="1"/>
      <c r="AX888" s="1"/>
      <c r="AY888" s="1" t="s">
        <v>14059</v>
      </c>
      <c r="AZ888" s="1" t="s">
        <v>16456</v>
      </c>
      <c r="BA888" s="1" t="s">
        <v>682</v>
      </c>
      <c r="BB888" s="1" t="s">
        <v>98</v>
      </c>
      <c r="BC888" s="1" t="s">
        <v>871</v>
      </c>
      <c r="BD888" s="1" t="s">
        <v>14101</v>
      </c>
      <c r="BE888" s="1">
        <v>60.56</v>
      </c>
      <c r="BF888" s="1">
        <v>6.98</v>
      </c>
      <c r="BG888" s="1"/>
      <c r="BH888" s="1"/>
      <c r="BI888" s="1"/>
      <c r="BJ888" s="1"/>
      <c r="BK888" s="1"/>
      <c r="BL888" s="1"/>
      <c r="BM888" s="1"/>
      <c r="BN888" s="1"/>
      <c r="BO888" s="1" t="s">
        <v>16457</v>
      </c>
      <c r="BP888" s="1"/>
      <c r="BQ888" s="1"/>
      <c r="BR888" s="1" t="s">
        <v>16458</v>
      </c>
      <c r="BS888" s="1">
        <v>21</v>
      </c>
      <c r="BT888" s="1"/>
      <c r="BU888" s="1" t="str">
        <f>HYPERLINK("https://nconnect.nicmar.ac.in/storage/profile/6a8c22efe4311.png","Download")</f>
        <v>0</v>
      </c>
      <c r="BV888" s="3"/>
      <c r="BW888" s="3"/>
    </row>
    <row r="889" spans="1:75">
      <c r="A889" s="1" t="s">
        <v>75</v>
      </c>
      <c r="B889" s="1" t="s">
        <v>13976</v>
      </c>
      <c r="C889" s="1" t="s">
        <v>16459</v>
      </c>
      <c r="D889" s="1" t="s">
        <v>16460</v>
      </c>
      <c r="E889" s="1" t="s">
        <v>16461</v>
      </c>
      <c r="F889" s="1" t="s">
        <v>4310</v>
      </c>
      <c r="G889" s="1" t="s">
        <v>16462</v>
      </c>
      <c r="H889" s="1" t="s">
        <v>16463</v>
      </c>
      <c r="I889" s="1" t="s">
        <v>16463</v>
      </c>
      <c r="J889" s="1">
        <v>9730802132</v>
      </c>
      <c r="K889" s="1" t="s">
        <v>153</v>
      </c>
      <c r="L889" s="1" t="s">
        <v>16464</v>
      </c>
      <c r="M889" s="1" t="s">
        <v>86</v>
      </c>
      <c r="N889" s="1" t="s">
        <v>903</v>
      </c>
      <c r="O889" s="1" t="s">
        <v>16465</v>
      </c>
      <c r="P889" s="1" t="s">
        <v>219</v>
      </c>
      <c r="Q889" s="1">
        <v>918004458611</v>
      </c>
      <c r="R889" s="1" t="s">
        <v>16466</v>
      </c>
      <c r="S889" s="1">
        <v>9421279332</v>
      </c>
      <c r="T889" s="1" t="s">
        <v>2375</v>
      </c>
      <c r="U889" s="1" t="s">
        <v>16467</v>
      </c>
      <c r="V889" s="1">
        <v>9421279632</v>
      </c>
      <c r="W889" s="1" t="s">
        <v>14234</v>
      </c>
      <c r="X889" s="1" t="s">
        <v>16468</v>
      </c>
      <c r="Y889" s="1" t="s">
        <v>5659</v>
      </c>
      <c r="Z889" s="1" t="s">
        <v>97</v>
      </c>
      <c r="AA889" s="1" t="s">
        <v>16468</v>
      </c>
      <c r="AB889" s="1" t="s">
        <v>5659</v>
      </c>
      <c r="AC889" s="1" t="s">
        <v>97</v>
      </c>
      <c r="AD889" s="1" t="s">
        <v>98</v>
      </c>
      <c r="AE889" s="1" t="s">
        <v>98</v>
      </c>
      <c r="AF889" s="1" t="s">
        <v>16469</v>
      </c>
      <c r="AG889" s="1" t="s">
        <v>16470</v>
      </c>
      <c r="AH889" s="1" t="s">
        <v>170</v>
      </c>
      <c r="AI889" s="1" t="s">
        <v>286</v>
      </c>
      <c r="AJ889" s="1">
        <v>92.4</v>
      </c>
      <c r="AK889" s="1"/>
      <c r="AL889" s="1" t="s">
        <v>16471</v>
      </c>
      <c r="AM889" s="1" t="s">
        <v>16470</v>
      </c>
      <c r="AN889" s="1" t="s">
        <v>575</v>
      </c>
      <c r="AO889" s="1" t="s">
        <v>438</v>
      </c>
      <c r="AP889" s="1" t="s">
        <v>365</v>
      </c>
      <c r="AQ889" s="1">
        <v>70.31</v>
      </c>
      <c r="AR889" s="1"/>
      <c r="AS889" s="1"/>
      <c r="AT889" s="1"/>
      <c r="AU889" s="1"/>
      <c r="AV889" s="1"/>
      <c r="AW889" s="1"/>
      <c r="AX889" s="1"/>
      <c r="AY889" s="1" t="s">
        <v>14160</v>
      </c>
      <c r="AZ889" s="1" t="s">
        <v>16472</v>
      </c>
      <c r="BA889" s="1" t="s">
        <v>682</v>
      </c>
      <c r="BB889" s="1" t="s">
        <v>1561</v>
      </c>
      <c r="BC889" s="1" t="s">
        <v>1040</v>
      </c>
      <c r="BD889" s="1" t="s">
        <v>553</v>
      </c>
      <c r="BE889" s="1">
        <v>75</v>
      </c>
      <c r="BF889" s="1">
        <v>7.5</v>
      </c>
      <c r="BG889" s="1"/>
      <c r="BH889" s="1"/>
      <c r="BI889" s="1"/>
      <c r="BJ889" s="1"/>
      <c r="BK889" s="1"/>
      <c r="BL889" s="1"/>
      <c r="BM889" s="1"/>
      <c r="BN889" s="1"/>
      <c r="BO889" s="1" t="s">
        <v>16473</v>
      </c>
      <c r="BP889" s="1" t="s">
        <v>16474</v>
      </c>
      <c r="BQ889" s="1" t="s">
        <v>1070</v>
      </c>
      <c r="BR889" s="1"/>
      <c r="BS889" s="1"/>
      <c r="BT889" s="1"/>
      <c r="BU889" s="1" t="str">
        <f>HYPERLINK("https://nconnect.nicmar.ac.in/storage/profile/6a86ed639f424.png","Download")</f>
        <v>0</v>
      </c>
      <c r="BV889" s="3"/>
      <c r="BW889" s="3"/>
    </row>
    <row r="890" spans="1:75">
      <c r="A890" s="1" t="s">
        <v>75</v>
      </c>
      <c r="B890" s="1" t="s">
        <v>13976</v>
      </c>
      <c r="C890" s="1" t="s">
        <v>16475</v>
      </c>
      <c r="D890" s="1" t="s">
        <v>2405</v>
      </c>
      <c r="E890" s="1" t="s">
        <v>16476</v>
      </c>
      <c r="F890" s="1" t="s">
        <v>16477</v>
      </c>
      <c r="G890" s="1" t="s">
        <v>16478</v>
      </c>
      <c r="H890" s="1" t="s">
        <v>16479</v>
      </c>
      <c r="I890" s="1" t="s">
        <v>16479</v>
      </c>
      <c r="J890" s="1">
        <v>7720023438</v>
      </c>
      <c r="K890" s="1" t="s">
        <v>84</v>
      </c>
      <c r="L890" s="1" t="s">
        <v>16480</v>
      </c>
      <c r="M890" s="1" t="s">
        <v>86</v>
      </c>
      <c r="N890" s="1" t="s">
        <v>16481</v>
      </c>
      <c r="O890" s="1" t="s">
        <v>16482</v>
      </c>
      <c r="P890" s="1" t="s">
        <v>89</v>
      </c>
      <c r="Q890" s="1">
        <v>743632013746</v>
      </c>
      <c r="R890" s="1" t="s">
        <v>16476</v>
      </c>
      <c r="S890" s="1">
        <v>9423430723</v>
      </c>
      <c r="T890" s="1" t="s">
        <v>839</v>
      </c>
      <c r="U890" s="1" t="s">
        <v>16483</v>
      </c>
      <c r="V890" s="1">
        <v>7218899831</v>
      </c>
      <c r="W890" s="1" t="s">
        <v>16484</v>
      </c>
      <c r="X890" s="1" t="s">
        <v>16485</v>
      </c>
      <c r="Y890" s="1" t="s">
        <v>2108</v>
      </c>
      <c r="Z890" s="1" t="s">
        <v>97</v>
      </c>
      <c r="AA890" s="1" t="s">
        <v>16486</v>
      </c>
      <c r="AB890" s="1" t="s">
        <v>196</v>
      </c>
      <c r="AC890" s="1" t="s">
        <v>97</v>
      </c>
      <c r="AD890" s="1" t="s">
        <v>98</v>
      </c>
      <c r="AE890" s="1" t="s">
        <v>98</v>
      </c>
      <c r="AF890" s="1" t="s">
        <v>16487</v>
      </c>
      <c r="AG890" s="1" t="s">
        <v>15152</v>
      </c>
      <c r="AH890" s="1" t="s">
        <v>438</v>
      </c>
      <c r="AI890" s="1" t="s">
        <v>468</v>
      </c>
      <c r="AJ890" s="1">
        <v>80.5</v>
      </c>
      <c r="AK890" s="1"/>
      <c r="AL890" s="1" t="s">
        <v>16488</v>
      </c>
      <c r="AM890" s="1" t="s">
        <v>16489</v>
      </c>
      <c r="AN890" s="1" t="s">
        <v>6380</v>
      </c>
      <c r="AO890" s="1" t="s">
        <v>468</v>
      </c>
      <c r="AP890" s="1" t="s">
        <v>289</v>
      </c>
      <c r="AQ890" s="1">
        <v>85.67</v>
      </c>
      <c r="AR890" s="1"/>
      <c r="AS890" s="1"/>
      <c r="AT890" s="1"/>
      <c r="AU890" s="1"/>
      <c r="AV890" s="1"/>
      <c r="AW890" s="1"/>
      <c r="AX890" s="1"/>
      <c r="AY890" s="1" t="s">
        <v>16490</v>
      </c>
      <c r="AZ890" s="1" t="s">
        <v>16491</v>
      </c>
      <c r="BA890" s="1" t="s">
        <v>466</v>
      </c>
      <c r="BB890" s="1" t="s">
        <v>467</v>
      </c>
      <c r="BC890" s="1" t="s">
        <v>289</v>
      </c>
      <c r="BD890" s="1" t="s">
        <v>14514</v>
      </c>
      <c r="BE890" s="1">
        <v>62.1</v>
      </c>
      <c r="BF890" s="1">
        <v>6.21</v>
      </c>
      <c r="BG890" s="1"/>
      <c r="BH890" s="1"/>
      <c r="BI890" s="1"/>
      <c r="BJ890" s="1"/>
      <c r="BK890" s="1"/>
      <c r="BL890" s="1"/>
      <c r="BM890" s="1"/>
      <c r="BN890" s="1"/>
      <c r="BO890" s="1" t="s">
        <v>16492</v>
      </c>
      <c r="BP890" s="1"/>
      <c r="BQ890" s="1"/>
      <c r="BR890" s="1" t="s">
        <v>16493</v>
      </c>
      <c r="BS890" s="1">
        <v>20</v>
      </c>
      <c r="BT890" s="1" t="s">
        <v>16494</v>
      </c>
      <c r="BU890" s="1" t="str">
        <f>HYPERLINK("https://nconnect.nicmar.ac.in/storage/profile/6a85fe44585b2.png","Download")</f>
        <v>0</v>
      </c>
      <c r="BV890" s="3"/>
      <c r="BW890" s="3"/>
    </row>
    <row r="891" spans="1:75">
      <c r="A891" s="1" t="s">
        <v>75</v>
      </c>
      <c r="B891" s="1" t="s">
        <v>13976</v>
      </c>
      <c r="C891" s="1" t="s">
        <v>16495</v>
      </c>
      <c r="D891" s="1" t="s">
        <v>16496</v>
      </c>
      <c r="E891" s="1" t="s">
        <v>16497</v>
      </c>
      <c r="F891" s="1" t="s">
        <v>16498</v>
      </c>
      <c r="G891" s="1" t="s">
        <v>16499</v>
      </c>
      <c r="H891" s="1" t="s">
        <v>16500</v>
      </c>
      <c r="I891" s="1" t="s">
        <v>16501</v>
      </c>
      <c r="J891" s="1">
        <v>8087680320</v>
      </c>
      <c r="K891" s="1" t="s">
        <v>84</v>
      </c>
      <c r="L891" s="1" t="s">
        <v>16502</v>
      </c>
      <c r="M891" s="1" t="s">
        <v>86</v>
      </c>
      <c r="N891" s="1" t="s">
        <v>768</v>
      </c>
      <c r="O891" s="1" t="s">
        <v>16503</v>
      </c>
      <c r="P891" s="1" t="s">
        <v>122</v>
      </c>
      <c r="Q891" s="1">
        <v>585178120222</v>
      </c>
      <c r="R891" s="1" t="s">
        <v>16504</v>
      </c>
      <c r="S891" s="1">
        <v>9923599444</v>
      </c>
      <c r="T891" s="1" t="s">
        <v>3439</v>
      </c>
      <c r="U891" s="1" t="s">
        <v>16505</v>
      </c>
      <c r="V891" s="1">
        <v>9226650928</v>
      </c>
      <c r="W891" s="1" t="s">
        <v>14154</v>
      </c>
      <c r="X891" s="1" t="s">
        <v>16506</v>
      </c>
      <c r="Y891" s="1" t="s">
        <v>196</v>
      </c>
      <c r="Z891" s="1" t="s">
        <v>97</v>
      </c>
      <c r="AA891" s="1" t="s">
        <v>16506</v>
      </c>
      <c r="AB891" s="1" t="s">
        <v>196</v>
      </c>
      <c r="AC891" s="1" t="s">
        <v>97</v>
      </c>
      <c r="AD891" s="1" t="s">
        <v>98</v>
      </c>
      <c r="AE891" s="1" t="s">
        <v>98</v>
      </c>
      <c r="AF891" s="1" t="s">
        <v>16507</v>
      </c>
      <c r="AG891" s="1" t="s">
        <v>14157</v>
      </c>
      <c r="AH891" s="1" t="s">
        <v>170</v>
      </c>
      <c r="AI891" s="1" t="s">
        <v>286</v>
      </c>
      <c r="AJ891" s="1">
        <v>94.2</v>
      </c>
      <c r="AK891" s="1"/>
      <c r="AL891" s="1" t="s">
        <v>16508</v>
      </c>
      <c r="AM891" s="1" t="s">
        <v>14157</v>
      </c>
      <c r="AN891" s="1" t="s">
        <v>465</v>
      </c>
      <c r="AO891" s="1" t="s">
        <v>1065</v>
      </c>
      <c r="AP891" s="1" t="s">
        <v>603</v>
      </c>
      <c r="AQ891" s="1">
        <v>80.15</v>
      </c>
      <c r="AR891" s="1"/>
      <c r="AS891" s="1"/>
      <c r="AT891" s="1"/>
      <c r="AU891" s="1"/>
      <c r="AV891" s="1"/>
      <c r="AW891" s="1"/>
      <c r="AX891" s="1"/>
      <c r="AY891" s="1" t="s">
        <v>14160</v>
      </c>
      <c r="AZ891" s="1" t="s">
        <v>16509</v>
      </c>
      <c r="BA891" s="1" t="s">
        <v>578</v>
      </c>
      <c r="BB891" s="1" t="s">
        <v>467</v>
      </c>
      <c r="BC891" s="1" t="s">
        <v>178</v>
      </c>
      <c r="BD891" s="1" t="s">
        <v>418</v>
      </c>
      <c r="BE891" s="1">
        <v>79.52</v>
      </c>
      <c r="BF891" s="1">
        <v>8.71</v>
      </c>
      <c r="BG891" s="1"/>
      <c r="BH891" s="1"/>
      <c r="BI891" s="1"/>
      <c r="BJ891" s="1"/>
      <c r="BK891" s="1"/>
      <c r="BL891" s="1"/>
      <c r="BM891" s="1"/>
      <c r="BN891" s="1"/>
      <c r="BO891" s="1" t="s">
        <v>16510</v>
      </c>
      <c r="BP891" s="1" t="s">
        <v>16511</v>
      </c>
      <c r="BQ891" s="1" t="s">
        <v>1152</v>
      </c>
      <c r="BR891" s="1" t="s">
        <v>16512</v>
      </c>
      <c r="BS891" s="1">
        <v>4</v>
      </c>
      <c r="BT891" s="1" t="s">
        <v>16513</v>
      </c>
      <c r="BU891" s="1" t="str">
        <f>HYPERLINK("https://nconnect.nicmar.ac.in/storage/profile/6a85d8fbdbbc0.png","Download")</f>
        <v>0</v>
      </c>
      <c r="BV891" s="3"/>
      <c r="BW891" s="3"/>
    </row>
    <row r="892" spans="1:75">
      <c r="A892" s="1" t="s">
        <v>75</v>
      </c>
      <c r="B892" s="1" t="s">
        <v>13976</v>
      </c>
      <c r="C892" s="1" t="s">
        <v>16514</v>
      </c>
      <c r="D892" s="1" t="s">
        <v>16515</v>
      </c>
      <c r="E892" s="1" t="s">
        <v>16287</v>
      </c>
      <c r="F892" s="1" t="s">
        <v>16516</v>
      </c>
      <c r="G892" s="1" t="s">
        <v>16517</v>
      </c>
      <c r="H892" s="1" t="s">
        <v>16518</v>
      </c>
      <c r="I892" s="1" t="s">
        <v>16518</v>
      </c>
      <c r="J892" s="1">
        <v>8668264582</v>
      </c>
      <c r="K892" s="1" t="s">
        <v>84</v>
      </c>
      <c r="L892" s="1" t="s">
        <v>16519</v>
      </c>
      <c r="M892" s="1" t="s">
        <v>86</v>
      </c>
      <c r="N892" s="1" t="s">
        <v>16520</v>
      </c>
      <c r="O892" s="1" t="s">
        <v>16521</v>
      </c>
      <c r="P892" s="1" t="s">
        <v>122</v>
      </c>
      <c r="Q892" s="1">
        <v>478072925878</v>
      </c>
      <c r="R892" s="1" t="s">
        <v>16522</v>
      </c>
      <c r="S892" s="1">
        <v>9850118158</v>
      </c>
      <c r="T892" s="1" t="s">
        <v>16523</v>
      </c>
      <c r="U892" s="1" t="s">
        <v>16524</v>
      </c>
      <c r="V892" s="1">
        <v>9767753181</v>
      </c>
      <c r="W892" s="1" t="s">
        <v>16525</v>
      </c>
      <c r="X892" s="1" t="s">
        <v>16526</v>
      </c>
      <c r="Y892" s="1" t="s">
        <v>196</v>
      </c>
      <c r="Z892" s="1" t="s">
        <v>97</v>
      </c>
      <c r="AA892" s="1" t="s">
        <v>16526</v>
      </c>
      <c r="AB892" s="1" t="s">
        <v>196</v>
      </c>
      <c r="AC892" s="1" t="s">
        <v>97</v>
      </c>
      <c r="AD892" s="1" t="s">
        <v>98</v>
      </c>
      <c r="AE892" s="1" t="s">
        <v>98</v>
      </c>
      <c r="AF892" s="1" t="s">
        <v>16527</v>
      </c>
      <c r="AG892" s="1" t="s">
        <v>16528</v>
      </c>
      <c r="AH892" s="1" t="s">
        <v>313</v>
      </c>
      <c r="AI892" s="1" t="s">
        <v>417</v>
      </c>
      <c r="AJ892" s="1">
        <v>90.8</v>
      </c>
      <c r="AK892" s="1"/>
      <c r="AL892" s="1" t="s">
        <v>16529</v>
      </c>
      <c r="AM892" s="1" t="s">
        <v>16528</v>
      </c>
      <c r="AN892" s="1" t="s">
        <v>465</v>
      </c>
      <c r="AO892" s="1" t="s">
        <v>417</v>
      </c>
      <c r="AP892" s="1" t="s">
        <v>632</v>
      </c>
      <c r="AQ892" s="1">
        <v>69</v>
      </c>
      <c r="AR892" s="1"/>
      <c r="AS892" s="1"/>
      <c r="AT892" s="1"/>
      <c r="AU892" s="1"/>
      <c r="AV892" s="1"/>
      <c r="AW892" s="1"/>
      <c r="AX892" s="1"/>
      <c r="AY892" s="1" t="s">
        <v>14160</v>
      </c>
      <c r="AZ892" s="1" t="s">
        <v>16530</v>
      </c>
      <c r="BA892" s="1" t="s">
        <v>466</v>
      </c>
      <c r="BB892" s="1" t="s">
        <v>467</v>
      </c>
      <c r="BC892" s="1" t="s">
        <v>1889</v>
      </c>
      <c r="BD892" s="1" t="s">
        <v>9688</v>
      </c>
      <c r="BE892" s="1">
        <v>77.12</v>
      </c>
      <c r="BF892" s="1">
        <v>8.51</v>
      </c>
      <c r="BG892" s="1"/>
      <c r="BH892" s="1"/>
      <c r="BI892" s="1"/>
      <c r="BJ892" s="1"/>
      <c r="BK892" s="1"/>
      <c r="BL892" s="1"/>
      <c r="BM892" s="1"/>
      <c r="BN892" s="1"/>
      <c r="BO892" s="1" t="s">
        <v>16531</v>
      </c>
      <c r="BP892" s="1"/>
      <c r="BQ892" s="1"/>
      <c r="BR892" s="1" t="s">
        <v>16532</v>
      </c>
      <c r="BS892" s="1">
        <v>4</v>
      </c>
      <c r="BT892" s="1" t="s">
        <v>16533</v>
      </c>
      <c r="BU892" s="1" t="str">
        <f>HYPERLINK("https://nconnect.nicmar.ac.in/storage/profile/6a86ffe056156.png","Download")</f>
        <v>0</v>
      </c>
      <c r="BV892" s="3"/>
      <c r="BW892" s="3"/>
    </row>
    <row r="893" spans="1:75">
      <c r="A893" s="1" t="s">
        <v>75</v>
      </c>
      <c r="B893" s="1" t="s">
        <v>13976</v>
      </c>
      <c r="C893" s="1" t="s">
        <v>16534</v>
      </c>
      <c r="D893" s="1" t="s">
        <v>16535</v>
      </c>
      <c r="E893" s="1"/>
      <c r="F893" s="1" t="s">
        <v>16536</v>
      </c>
      <c r="G893" s="1" t="s">
        <v>16537</v>
      </c>
      <c r="H893" s="1" t="s">
        <v>16538</v>
      </c>
      <c r="I893" s="1" t="s">
        <v>16538</v>
      </c>
      <c r="J893" s="1">
        <v>9652571422</v>
      </c>
      <c r="K893" s="1" t="s">
        <v>153</v>
      </c>
      <c r="L893" s="1" t="s">
        <v>16539</v>
      </c>
      <c r="M893" s="1" t="s">
        <v>86</v>
      </c>
      <c r="N893" s="1" t="s">
        <v>4840</v>
      </c>
      <c r="O893" s="1" t="s">
        <v>15566</v>
      </c>
      <c r="P893" s="1" t="s">
        <v>89</v>
      </c>
      <c r="Q893" s="1">
        <v>474091777543</v>
      </c>
      <c r="R893" s="1" t="s">
        <v>16540</v>
      </c>
      <c r="S893" s="1">
        <v>8790713552</v>
      </c>
      <c r="T893" s="1" t="s">
        <v>16541</v>
      </c>
      <c r="U893" s="1" t="s">
        <v>16542</v>
      </c>
      <c r="V893" s="1">
        <v>9701321133</v>
      </c>
      <c r="W893" s="1" t="s">
        <v>16541</v>
      </c>
      <c r="X893" s="1" t="s">
        <v>16543</v>
      </c>
      <c r="Y893" s="1" t="s">
        <v>3031</v>
      </c>
      <c r="Z893" s="1" t="s">
        <v>461</v>
      </c>
      <c r="AA893" s="1" t="s">
        <v>16543</v>
      </c>
      <c r="AB893" s="1" t="s">
        <v>3031</v>
      </c>
      <c r="AC893" s="1" t="s">
        <v>461</v>
      </c>
      <c r="AD893" s="1" t="s">
        <v>98</v>
      </c>
      <c r="AE893" s="1" t="s">
        <v>98</v>
      </c>
      <c r="AF893" s="1" t="s">
        <v>16544</v>
      </c>
      <c r="AG893" s="1" t="s">
        <v>16545</v>
      </c>
      <c r="AH893" s="1" t="s">
        <v>166</v>
      </c>
      <c r="AI893" s="1" t="s">
        <v>627</v>
      </c>
      <c r="AJ893" s="1">
        <v>78</v>
      </c>
      <c r="AK893" s="1">
        <v>7.8</v>
      </c>
      <c r="AL893" s="1" t="s">
        <v>16546</v>
      </c>
      <c r="AM893" s="1" t="s">
        <v>15421</v>
      </c>
      <c r="AN893" s="1" t="s">
        <v>465</v>
      </c>
      <c r="AO893" s="1" t="s">
        <v>170</v>
      </c>
      <c r="AP893" s="1" t="s">
        <v>490</v>
      </c>
      <c r="AQ893" s="1">
        <v>86.6</v>
      </c>
      <c r="AR893" s="1"/>
      <c r="AS893" s="1"/>
      <c r="AT893" s="1"/>
      <c r="AU893" s="1"/>
      <c r="AV893" s="1"/>
      <c r="AW893" s="1"/>
      <c r="AX893" s="1"/>
      <c r="AY893" s="1" t="s">
        <v>16547</v>
      </c>
      <c r="AZ893" s="1" t="s">
        <v>461</v>
      </c>
      <c r="BA893" s="1" t="s">
        <v>682</v>
      </c>
      <c r="BB893" s="1" t="s">
        <v>683</v>
      </c>
      <c r="BC893" s="1" t="s">
        <v>1065</v>
      </c>
      <c r="BD893" s="1" t="s">
        <v>1089</v>
      </c>
      <c r="BE893" s="1">
        <v>73</v>
      </c>
      <c r="BF893" s="1">
        <v>7.3</v>
      </c>
      <c r="BG893" s="1"/>
      <c r="BH893" s="1"/>
      <c r="BI893" s="1"/>
      <c r="BJ893" s="1"/>
      <c r="BK893" s="1"/>
      <c r="BL893" s="1"/>
      <c r="BM893" s="1"/>
      <c r="BN893" s="1"/>
      <c r="BO893" s="1" t="s">
        <v>16548</v>
      </c>
      <c r="BP893" s="1"/>
      <c r="BQ893" s="1"/>
      <c r="BR893" s="1"/>
      <c r="BS893" s="1"/>
      <c r="BT893" s="1"/>
      <c r="BU893" s="1" t="str">
        <f>HYPERLINK("https://nconnect.nicmar.ac.in/storage/profile/6a87469d60867.png","Download")</f>
        <v>0</v>
      </c>
      <c r="BV893" s="3"/>
      <c r="BW893" s="3"/>
    </row>
    <row r="894" spans="1:75">
      <c r="A894" s="1" t="s">
        <v>75</v>
      </c>
      <c r="B894" s="1" t="s">
        <v>13976</v>
      </c>
      <c r="C894" s="1" t="s">
        <v>16549</v>
      </c>
      <c r="D894" s="1" t="s">
        <v>16550</v>
      </c>
      <c r="E894" s="1"/>
      <c r="F894" s="1" t="s">
        <v>16551</v>
      </c>
      <c r="G894" s="1" t="s">
        <v>16552</v>
      </c>
      <c r="H894" s="1" t="s">
        <v>16553</v>
      </c>
      <c r="I894" s="1" t="s">
        <v>16553</v>
      </c>
      <c r="J894" s="1">
        <v>8605691726</v>
      </c>
      <c r="K894" s="1" t="s">
        <v>153</v>
      </c>
      <c r="L894" s="1" t="s">
        <v>16554</v>
      </c>
      <c r="M894" s="1" t="s">
        <v>86</v>
      </c>
      <c r="N894" s="1" t="s">
        <v>7256</v>
      </c>
      <c r="O894" s="1" t="s">
        <v>16555</v>
      </c>
      <c r="P894" s="1" t="s">
        <v>89</v>
      </c>
      <c r="Q894" s="1">
        <v>817427196590</v>
      </c>
      <c r="R894" s="1" t="s">
        <v>16556</v>
      </c>
      <c r="S894" s="1">
        <v>9407015284</v>
      </c>
      <c r="T894" s="1" t="s">
        <v>16557</v>
      </c>
      <c r="U894" s="1" t="s">
        <v>16558</v>
      </c>
      <c r="V894" s="1">
        <v>8459624680</v>
      </c>
      <c r="W894" s="1" t="s">
        <v>10306</v>
      </c>
      <c r="X894" s="1" t="s">
        <v>16559</v>
      </c>
      <c r="Y894" s="1" t="s">
        <v>1454</v>
      </c>
      <c r="Z894" s="1" t="s">
        <v>281</v>
      </c>
      <c r="AA894" s="1" t="s">
        <v>16559</v>
      </c>
      <c r="AB894" s="1" t="s">
        <v>1454</v>
      </c>
      <c r="AC894" s="1" t="s">
        <v>281</v>
      </c>
      <c r="AD894" s="1" t="s">
        <v>98</v>
      </c>
      <c r="AE894" s="1" t="s">
        <v>98</v>
      </c>
      <c r="AF894" s="1" t="s">
        <v>16560</v>
      </c>
      <c r="AG894" s="1" t="s">
        <v>16561</v>
      </c>
      <c r="AH894" s="1" t="s">
        <v>704</v>
      </c>
      <c r="AI894" s="1" t="s">
        <v>286</v>
      </c>
      <c r="AJ894" s="1">
        <v>93</v>
      </c>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t="s">
        <v>16562</v>
      </c>
      <c r="BP894" s="1"/>
      <c r="BQ894" s="1"/>
      <c r="BR894" s="1" t="s">
        <v>16563</v>
      </c>
      <c r="BS894" s="1">
        <v>80</v>
      </c>
      <c r="BT894" s="1"/>
      <c r="BU894" s="1" t="str">
        <f>HYPERLINK("https://nconnect.nicmar.ac.in/storage/profile/6a8b1aeb9c0c9.png","Download")</f>
        <v>0</v>
      </c>
      <c r="BV894" s="3"/>
      <c r="BW894" s="3"/>
    </row>
    <row r="895" spans="1:75">
      <c r="A895" s="1" t="s">
        <v>75</v>
      </c>
      <c r="B895" s="1" t="s">
        <v>13976</v>
      </c>
      <c r="C895" s="1" t="s">
        <v>16564</v>
      </c>
      <c r="D895" s="1" t="s">
        <v>16565</v>
      </c>
      <c r="E895" s="1" t="s">
        <v>16566</v>
      </c>
      <c r="F895" s="1" t="s">
        <v>16567</v>
      </c>
      <c r="G895" s="1" t="s">
        <v>16568</v>
      </c>
      <c r="H895" s="1" t="s">
        <v>16569</v>
      </c>
      <c r="I895" s="1" t="s">
        <v>16570</v>
      </c>
      <c r="J895" s="1">
        <v>9004255912</v>
      </c>
      <c r="K895" s="1" t="s">
        <v>153</v>
      </c>
      <c r="L895" s="1" t="s">
        <v>15435</v>
      </c>
      <c r="M895" s="1" t="s">
        <v>86</v>
      </c>
      <c r="N895" s="1" t="s">
        <v>16571</v>
      </c>
      <c r="O895" s="1" t="s">
        <v>16572</v>
      </c>
      <c r="P895" s="1" t="s">
        <v>219</v>
      </c>
      <c r="Q895" s="1">
        <v>324810122470</v>
      </c>
      <c r="R895" s="1" t="s">
        <v>16573</v>
      </c>
      <c r="S895" s="1">
        <v>9869175792</v>
      </c>
      <c r="T895" s="1" t="s">
        <v>2177</v>
      </c>
      <c r="U895" s="1" t="s">
        <v>16574</v>
      </c>
      <c r="V895" s="1">
        <v>9969167650</v>
      </c>
      <c r="W895" s="1" t="s">
        <v>14154</v>
      </c>
      <c r="X895" s="1" t="s">
        <v>16575</v>
      </c>
      <c r="Y895" s="1" t="s">
        <v>2259</v>
      </c>
      <c r="Z895" s="1" t="s">
        <v>97</v>
      </c>
      <c r="AA895" s="1" t="s">
        <v>16575</v>
      </c>
      <c r="AB895" s="1" t="s">
        <v>2259</v>
      </c>
      <c r="AC895" s="1" t="s">
        <v>97</v>
      </c>
      <c r="AD895" s="1" t="s">
        <v>98</v>
      </c>
      <c r="AE895" s="1" t="s">
        <v>98</v>
      </c>
      <c r="AF895" s="1" t="s">
        <v>16576</v>
      </c>
      <c r="AG895" s="1" t="s">
        <v>97</v>
      </c>
      <c r="AH895" s="1" t="s">
        <v>1457</v>
      </c>
      <c r="AI895" s="1" t="s">
        <v>313</v>
      </c>
      <c r="AJ895" s="1">
        <v>90.4</v>
      </c>
      <c r="AK895" s="1">
        <v>9.04</v>
      </c>
      <c r="AL895" s="1" t="s">
        <v>16577</v>
      </c>
      <c r="AM895" s="1" t="s">
        <v>97</v>
      </c>
      <c r="AN895" s="1" t="s">
        <v>465</v>
      </c>
      <c r="AO895" s="1" t="s">
        <v>438</v>
      </c>
      <c r="AP895" s="1" t="s">
        <v>845</v>
      </c>
      <c r="AQ895" s="1">
        <v>93.8</v>
      </c>
      <c r="AR895" s="1">
        <v>9.38</v>
      </c>
      <c r="AS895" s="1"/>
      <c r="AT895" s="1"/>
      <c r="AU895" s="1"/>
      <c r="AV895" s="1"/>
      <c r="AW895" s="1"/>
      <c r="AX895" s="1"/>
      <c r="AY895" s="1" t="s">
        <v>14059</v>
      </c>
      <c r="AZ895" s="1" t="s">
        <v>16578</v>
      </c>
      <c r="BA895" s="1" t="s">
        <v>682</v>
      </c>
      <c r="BB895" s="1" t="s">
        <v>1561</v>
      </c>
      <c r="BC895" s="1" t="s">
        <v>606</v>
      </c>
      <c r="BD895" s="1" t="s">
        <v>9688</v>
      </c>
      <c r="BE895" s="1">
        <v>67</v>
      </c>
      <c r="BF895" s="1">
        <v>7.4</v>
      </c>
      <c r="BG895" s="1"/>
      <c r="BH895" s="1"/>
      <c r="BI895" s="1"/>
      <c r="BJ895" s="1"/>
      <c r="BK895" s="1"/>
      <c r="BL895" s="1"/>
      <c r="BM895" s="1"/>
      <c r="BN895" s="1"/>
      <c r="BO895" s="1" t="s">
        <v>16579</v>
      </c>
      <c r="BP895" s="1"/>
      <c r="BQ895" s="1"/>
      <c r="BR895" s="1" t="s">
        <v>16580</v>
      </c>
      <c r="BS895" s="1">
        <v>29</v>
      </c>
      <c r="BT895" s="1"/>
      <c r="BU895" s="1" t="str">
        <f>HYPERLINK("https://nconnect.nicmar.ac.in/storage/profile/6a860d8ead09e.png","Download")</f>
        <v>0</v>
      </c>
      <c r="BV895" s="3"/>
      <c r="BW895" s="3"/>
    </row>
    <row r="896" spans="1:75">
      <c r="A896" s="1" t="s">
        <v>75</v>
      </c>
      <c r="B896" s="1" t="s">
        <v>13976</v>
      </c>
      <c r="C896" s="1" t="s">
        <v>16581</v>
      </c>
      <c r="D896" s="1" t="s">
        <v>14233</v>
      </c>
      <c r="E896" s="1" t="s">
        <v>16582</v>
      </c>
      <c r="F896" s="1" t="s">
        <v>16583</v>
      </c>
      <c r="G896" s="1" t="s">
        <v>16584</v>
      </c>
      <c r="H896" s="1" t="s">
        <v>16585</v>
      </c>
      <c r="I896" s="1" t="s">
        <v>16585</v>
      </c>
      <c r="J896" s="1">
        <v>8310795938</v>
      </c>
      <c r="K896" s="1" t="s">
        <v>153</v>
      </c>
      <c r="L896" s="1" t="s">
        <v>16586</v>
      </c>
      <c r="M896" s="1" t="s">
        <v>86</v>
      </c>
      <c r="N896" s="1" t="s">
        <v>16587</v>
      </c>
      <c r="O896" s="1" t="s">
        <v>2175</v>
      </c>
      <c r="P896" s="1" t="s">
        <v>219</v>
      </c>
      <c r="Q896" s="1">
        <v>524231935358</v>
      </c>
      <c r="R896" s="1" t="s">
        <v>16582</v>
      </c>
      <c r="S896" s="1">
        <v>8431102543</v>
      </c>
      <c r="T896" s="1" t="s">
        <v>13987</v>
      </c>
      <c r="U896" s="1" t="s">
        <v>16588</v>
      </c>
      <c r="V896" s="1">
        <v>9663262634</v>
      </c>
      <c r="W896" s="1" t="s">
        <v>14154</v>
      </c>
      <c r="X896" s="1" t="s">
        <v>16589</v>
      </c>
      <c r="Y896" s="1" t="s">
        <v>3729</v>
      </c>
      <c r="Z896" s="1" t="s">
        <v>1210</v>
      </c>
      <c r="AA896" s="1" t="s">
        <v>16589</v>
      </c>
      <c r="AB896" s="1" t="s">
        <v>3729</v>
      </c>
      <c r="AC896" s="1" t="s">
        <v>1210</v>
      </c>
      <c r="AD896" s="1" t="s">
        <v>98</v>
      </c>
      <c r="AE896" s="1" t="s">
        <v>98</v>
      </c>
      <c r="AF896" s="1" t="s">
        <v>16590</v>
      </c>
      <c r="AG896" s="1" t="s">
        <v>16591</v>
      </c>
      <c r="AH896" s="1" t="s">
        <v>170</v>
      </c>
      <c r="AI896" s="1" t="s">
        <v>490</v>
      </c>
      <c r="AJ896" s="1">
        <v>91.36</v>
      </c>
      <c r="AK896" s="1"/>
      <c r="AL896" s="1" t="s">
        <v>16592</v>
      </c>
      <c r="AM896" s="1" t="s">
        <v>16593</v>
      </c>
      <c r="AN896" s="1" t="s">
        <v>575</v>
      </c>
      <c r="AO896" s="1" t="s">
        <v>438</v>
      </c>
      <c r="AP896" s="1" t="s">
        <v>603</v>
      </c>
      <c r="AQ896" s="1">
        <v>88.66</v>
      </c>
      <c r="AR896" s="1"/>
      <c r="AS896" s="1"/>
      <c r="AT896" s="1"/>
      <c r="AU896" s="1"/>
      <c r="AV896" s="1"/>
      <c r="AW896" s="1"/>
      <c r="AX896" s="1"/>
      <c r="AY896" s="1" t="s">
        <v>16594</v>
      </c>
      <c r="AZ896" s="1" t="s">
        <v>16595</v>
      </c>
      <c r="BA896" s="1" t="s">
        <v>578</v>
      </c>
      <c r="BB896" s="1" t="s">
        <v>467</v>
      </c>
      <c r="BC896" s="1" t="s">
        <v>233</v>
      </c>
      <c r="BD896" s="1" t="s">
        <v>207</v>
      </c>
      <c r="BE896" s="1">
        <v>77.3</v>
      </c>
      <c r="BF896" s="1">
        <v>8.48</v>
      </c>
      <c r="BG896" s="1"/>
      <c r="BH896" s="1"/>
      <c r="BI896" s="1"/>
      <c r="BJ896" s="1"/>
      <c r="BK896" s="1"/>
      <c r="BL896" s="1"/>
      <c r="BM896" s="1"/>
      <c r="BN896" s="1"/>
      <c r="BO896" s="1" t="s">
        <v>16194</v>
      </c>
      <c r="BP896" s="1"/>
      <c r="BQ896" s="1"/>
      <c r="BR896" s="1" t="s">
        <v>16596</v>
      </c>
      <c r="BS896" s="1">
        <v>8</v>
      </c>
      <c r="BT896" s="1" t="s">
        <v>16597</v>
      </c>
      <c r="BU896" s="1" t="str">
        <f>HYPERLINK("https://nconnect.nicmar.ac.in/storage/profile/6a85f1c8432f3.png","Download")</f>
        <v>0</v>
      </c>
      <c r="BV896" s="3"/>
      <c r="BW896" s="3"/>
    </row>
    <row r="897" spans="1:75">
      <c r="A897" s="1" t="s">
        <v>75</v>
      </c>
      <c r="B897" s="1" t="s">
        <v>13976</v>
      </c>
      <c r="C897" s="1" t="s">
        <v>16598</v>
      </c>
      <c r="D897" s="1" t="s">
        <v>16599</v>
      </c>
      <c r="E897" s="1"/>
      <c r="F897" s="1" t="s">
        <v>16600</v>
      </c>
      <c r="G897" s="1" t="s">
        <v>16601</v>
      </c>
      <c r="H897" s="1" t="s">
        <v>16602</v>
      </c>
      <c r="I897" s="1" t="s">
        <v>16602</v>
      </c>
      <c r="J897" s="1">
        <v>8287469476</v>
      </c>
      <c r="K897" s="1" t="s">
        <v>84</v>
      </c>
      <c r="L897" s="1" t="s">
        <v>16603</v>
      </c>
      <c r="M897" s="1" t="s">
        <v>86</v>
      </c>
      <c r="N897" s="1" t="s">
        <v>16604</v>
      </c>
      <c r="O897" s="1" t="s">
        <v>16605</v>
      </c>
      <c r="P897" s="1" t="s">
        <v>89</v>
      </c>
      <c r="Q897" s="1">
        <v>207630958932</v>
      </c>
      <c r="R897" s="1" t="s">
        <v>16606</v>
      </c>
      <c r="S897" s="1">
        <v>9818174588</v>
      </c>
      <c r="T897" s="1" t="s">
        <v>16607</v>
      </c>
      <c r="U897" s="1" t="s">
        <v>16608</v>
      </c>
      <c r="V897" s="1">
        <v>9810929096</v>
      </c>
      <c r="W897" s="1" t="s">
        <v>14234</v>
      </c>
      <c r="X897" s="1" t="s">
        <v>16609</v>
      </c>
      <c r="Y897" s="1" t="s">
        <v>14804</v>
      </c>
      <c r="Z897" s="1" t="s">
        <v>1739</v>
      </c>
      <c r="AA897" s="1" t="s">
        <v>16609</v>
      </c>
      <c r="AB897" s="1" t="s">
        <v>14804</v>
      </c>
      <c r="AC897" s="1" t="s">
        <v>1739</v>
      </c>
      <c r="AD897" s="1" t="s">
        <v>98</v>
      </c>
      <c r="AE897" s="1" t="s">
        <v>98</v>
      </c>
      <c r="AF897" s="1" t="s">
        <v>16610</v>
      </c>
      <c r="AG897" s="1" t="s">
        <v>1739</v>
      </c>
      <c r="AH897" s="1" t="s">
        <v>200</v>
      </c>
      <c r="AI897" s="1" t="s">
        <v>313</v>
      </c>
      <c r="AJ897" s="1">
        <v>85.6</v>
      </c>
      <c r="AK897" s="1"/>
      <c r="AL897" s="1" t="s">
        <v>16610</v>
      </c>
      <c r="AM897" s="1" t="s">
        <v>1739</v>
      </c>
      <c r="AN897" s="1" t="s">
        <v>465</v>
      </c>
      <c r="AO897" s="1" t="s">
        <v>315</v>
      </c>
      <c r="AP897" s="1" t="s">
        <v>549</v>
      </c>
      <c r="AQ897" s="1">
        <v>85.4</v>
      </c>
      <c r="AR897" s="1"/>
      <c r="AS897" s="1"/>
      <c r="AT897" s="1"/>
      <c r="AU897" s="1"/>
      <c r="AV897" s="1"/>
      <c r="AW897" s="1"/>
      <c r="AX897" s="1"/>
      <c r="AY897" s="1" t="s">
        <v>14806</v>
      </c>
      <c r="AZ897" s="1" t="s">
        <v>16611</v>
      </c>
      <c r="BA897" s="1" t="s">
        <v>466</v>
      </c>
      <c r="BB897" s="1" t="s">
        <v>467</v>
      </c>
      <c r="BC897" s="1" t="s">
        <v>606</v>
      </c>
      <c r="BD897" s="1" t="s">
        <v>553</v>
      </c>
      <c r="BE897" s="1">
        <v>94.1</v>
      </c>
      <c r="BF897" s="1">
        <v>9.41</v>
      </c>
      <c r="BG897" s="1"/>
      <c r="BH897" s="1"/>
      <c r="BI897" s="1"/>
      <c r="BJ897" s="1"/>
      <c r="BK897" s="1"/>
      <c r="BL897" s="1"/>
      <c r="BM897" s="1"/>
      <c r="BN897" s="1"/>
      <c r="BO897" s="1" t="s">
        <v>16612</v>
      </c>
      <c r="BP897" s="1" t="s">
        <v>16613</v>
      </c>
      <c r="BQ897" s="1" t="s">
        <v>2245</v>
      </c>
      <c r="BR897" s="1"/>
      <c r="BS897" s="1"/>
      <c r="BT897" s="1"/>
      <c r="BU897" s="1" t="str">
        <f>HYPERLINK("https://nconnect.nicmar.ac.in/storage/profile/6a84ab7ac8f60.png","Download")</f>
        <v>0</v>
      </c>
      <c r="BV897" s="3"/>
      <c r="BW897" s="3"/>
    </row>
    <row r="898" spans="1:75">
      <c r="A898" s="1" t="s">
        <v>75</v>
      </c>
      <c r="B898" s="1" t="s">
        <v>13976</v>
      </c>
      <c r="C898" s="1" t="s">
        <v>16614</v>
      </c>
      <c r="D898" s="1" t="s">
        <v>16615</v>
      </c>
      <c r="E898" s="1"/>
      <c r="F898" s="1" t="s">
        <v>16616</v>
      </c>
      <c r="G898" s="1" t="s">
        <v>16617</v>
      </c>
      <c r="H898" s="1" t="s">
        <v>16618</v>
      </c>
      <c r="I898" s="1" t="s">
        <v>16619</v>
      </c>
      <c r="J898" s="1">
        <v>9424275299</v>
      </c>
      <c r="K898" s="1" t="s">
        <v>153</v>
      </c>
      <c r="L898" s="1" t="s">
        <v>16620</v>
      </c>
      <c r="M898" s="1" t="s">
        <v>86</v>
      </c>
      <c r="N898" s="1" t="s">
        <v>8293</v>
      </c>
      <c r="O898" s="1" t="s">
        <v>16621</v>
      </c>
      <c r="P898" s="1" t="s">
        <v>219</v>
      </c>
      <c r="Q898" s="1">
        <v>435169843144</v>
      </c>
      <c r="R898" s="1" t="s">
        <v>16622</v>
      </c>
      <c r="S898" s="1">
        <v>9425236299</v>
      </c>
      <c r="T898" s="1" t="s">
        <v>15073</v>
      </c>
      <c r="U898" s="1" t="s">
        <v>16623</v>
      </c>
      <c r="V898" s="1">
        <v>9926136299</v>
      </c>
      <c r="W898" s="1" t="s">
        <v>15812</v>
      </c>
      <c r="X898" s="1" t="s">
        <v>16624</v>
      </c>
      <c r="Y898" s="1" t="s">
        <v>11762</v>
      </c>
      <c r="Z898" s="1" t="s">
        <v>2933</v>
      </c>
      <c r="AA898" s="1" t="s">
        <v>16624</v>
      </c>
      <c r="AB898" s="1" t="s">
        <v>11762</v>
      </c>
      <c r="AC898" s="1" t="s">
        <v>2933</v>
      </c>
      <c r="AD898" s="1" t="s">
        <v>98</v>
      </c>
      <c r="AE898" s="1" t="s">
        <v>98</v>
      </c>
      <c r="AF898" s="1" t="s">
        <v>16625</v>
      </c>
      <c r="AG898" s="1" t="s">
        <v>796</v>
      </c>
      <c r="AH898" s="1" t="s">
        <v>547</v>
      </c>
      <c r="AI898" s="1" t="s">
        <v>178</v>
      </c>
      <c r="AJ898" s="1">
        <v>86.6</v>
      </c>
      <c r="AK898" s="1"/>
      <c r="AL898" s="1" t="s">
        <v>16625</v>
      </c>
      <c r="AM898" s="1" t="s">
        <v>796</v>
      </c>
      <c r="AN898" s="1" t="s">
        <v>465</v>
      </c>
      <c r="AO898" s="1" t="s">
        <v>2304</v>
      </c>
      <c r="AP898" s="1" t="s">
        <v>1400</v>
      </c>
      <c r="AQ898" s="1">
        <v>73</v>
      </c>
      <c r="AR898" s="1"/>
      <c r="AS898" s="1"/>
      <c r="AT898" s="1"/>
      <c r="AU898" s="1"/>
      <c r="AV898" s="1"/>
      <c r="AW898" s="1"/>
      <c r="AX898" s="1"/>
      <c r="AY898" s="1" t="s">
        <v>16626</v>
      </c>
      <c r="AZ898" s="1" t="s">
        <v>16627</v>
      </c>
      <c r="BA898" s="1" t="s">
        <v>466</v>
      </c>
      <c r="BB898" s="1" t="s">
        <v>467</v>
      </c>
      <c r="BC898" s="1" t="s">
        <v>1825</v>
      </c>
      <c r="BD898" s="1" t="s">
        <v>14514</v>
      </c>
      <c r="BE898" s="1">
        <v>74.5</v>
      </c>
      <c r="BF898" s="1">
        <v>8.2</v>
      </c>
      <c r="BG898" s="1"/>
      <c r="BH898" s="1"/>
      <c r="BI898" s="1"/>
      <c r="BJ898" s="1"/>
      <c r="BK898" s="1"/>
      <c r="BL898" s="1"/>
      <c r="BM898" s="1"/>
      <c r="BN898" s="1"/>
      <c r="BO898" s="1" t="s">
        <v>849</v>
      </c>
      <c r="BP898" s="1"/>
      <c r="BQ898" s="1"/>
      <c r="BR898" s="1" t="s">
        <v>16628</v>
      </c>
      <c r="BS898" s="1">
        <v>9</v>
      </c>
      <c r="BT898" s="1"/>
      <c r="BU898" s="1" t="str">
        <f>HYPERLINK("https://nconnect.nicmar.ac.in/storage/profile/6a86042bc3913.png","Download")</f>
        <v>0</v>
      </c>
      <c r="BV898" s="3"/>
      <c r="BW898" s="3"/>
    </row>
    <row r="899" spans="1:75">
      <c r="A899" s="1" t="s">
        <v>75</v>
      </c>
      <c r="B899" s="1" t="s">
        <v>13976</v>
      </c>
      <c r="C899" s="1" t="s">
        <v>16629</v>
      </c>
      <c r="D899" s="1" t="s">
        <v>16630</v>
      </c>
      <c r="E899" s="1" t="s">
        <v>16631</v>
      </c>
      <c r="F899" s="1" t="s">
        <v>16632</v>
      </c>
      <c r="G899" s="1" t="s">
        <v>16633</v>
      </c>
      <c r="H899" s="1" t="s">
        <v>16634</v>
      </c>
      <c r="I899" s="1" t="s">
        <v>16635</v>
      </c>
      <c r="J899" s="1">
        <v>9762970911</v>
      </c>
      <c r="K899" s="1" t="s">
        <v>84</v>
      </c>
      <c r="L899" s="1" t="s">
        <v>16636</v>
      </c>
      <c r="M899" s="1" t="s">
        <v>86</v>
      </c>
      <c r="N899" s="1" t="s">
        <v>5472</v>
      </c>
      <c r="O899" s="1" t="s">
        <v>16637</v>
      </c>
      <c r="P899" s="1" t="s">
        <v>122</v>
      </c>
      <c r="Q899" s="1">
        <v>585013205975</v>
      </c>
      <c r="R899" s="1" t="s">
        <v>16638</v>
      </c>
      <c r="S899" s="1">
        <v>9822604977</v>
      </c>
      <c r="T899" s="1" t="s">
        <v>14316</v>
      </c>
      <c r="U899" s="1" t="s">
        <v>16639</v>
      </c>
      <c r="V899" s="1">
        <v>9922304977</v>
      </c>
      <c r="W899" s="1" t="s">
        <v>14154</v>
      </c>
      <c r="X899" s="1" t="s">
        <v>16640</v>
      </c>
      <c r="Y899" s="1" t="s">
        <v>1779</v>
      </c>
      <c r="Z899" s="1" t="s">
        <v>97</v>
      </c>
      <c r="AA899" s="1" t="s">
        <v>16640</v>
      </c>
      <c r="AB899" s="1" t="s">
        <v>1779</v>
      </c>
      <c r="AC899" s="1" t="s">
        <v>97</v>
      </c>
      <c r="AD899" s="1" t="s">
        <v>98</v>
      </c>
      <c r="AE899" s="1" t="s">
        <v>98</v>
      </c>
      <c r="AF899" s="1" t="s">
        <v>16641</v>
      </c>
      <c r="AG899" s="1" t="s">
        <v>14157</v>
      </c>
      <c r="AH899" s="1" t="s">
        <v>133</v>
      </c>
      <c r="AI899" s="1" t="s">
        <v>1213</v>
      </c>
      <c r="AJ899" s="1">
        <v>86.2</v>
      </c>
      <c r="AK899" s="1"/>
      <c r="AL899" s="1" t="s">
        <v>16642</v>
      </c>
      <c r="AM899" s="1" t="s">
        <v>14157</v>
      </c>
      <c r="AN899" s="1" t="s">
        <v>575</v>
      </c>
      <c r="AO899" s="1" t="s">
        <v>1262</v>
      </c>
      <c r="AP899" s="1" t="s">
        <v>136</v>
      </c>
      <c r="AQ899" s="1">
        <v>63.38</v>
      </c>
      <c r="AR899" s="1"/>
      <c r="AS899" s="1"/>
      <c r="AT899" s="1"/>
      <c r="AU899" s="1"/>
      <c r="AV899" s="1"/>
      <c r="AW899" s="1"/>
      <c r="AX899" s="1"/>
      <c r="AY899" s="1" t="s">
        <v>16643</v>
      </c>
      <c r="AZ899" s="1" t="s">
        <v>16644</v>
      </c>
      <c r="BA899" s="1" t="s">
        <v>578</v>
      </c>
      <c r="BB899" s="1" t="s">
        <v>467</v>
      </c>
      <c r="BC899" s="1" t="s">
        <v>1396</v>
      </c>
      <c r="BD899" s="1" t="s">
        <v>175</v>
      </c>
      <c r="BE899" s="1">
        <v>65.7</v>
      </c>
      <c r="BF899" s="1">
        <v>7.32</v>
      </c>
      <c r="BG899" s="1"/>
      <c r="BH899" s="1"/>
      <c r="BI899" s="1"/>
      <c r="BJ899" s="1"/>
      <c r="BK899" s="1"/>
      <c r="BL899" s="1"/>
      <c r="BM899" s="1"/>
      <c r="BN899" s="1"/>
      <c r="BO899" s="1" t="s">
        <v>16645</v>
      </c>
      <c r="BP899" s="1" t="s">
        <v>16646</v>
      </c>
      <c r="BQ899" s="1" t="s">
        <v>736</v>
      </c>
      <c r="BR899" s="1" t="s">
        <v>16647</v>
      </c>
      <c r="BS899" s="1">
        <v>21</v>
      </c>
      <c r="BT899" s="1" t="s">
        <v>16648</v>
      </c>
      <c r="BU899" s="1" t="str">
        <f>HYPERLINK("https://nconnect.nicmar.ac.in/storage/profile/6a87343ad2aae.png","Download")</f>
        <v>0</v>
      </c>
      <c r="BV899" s="3"/>
      <c r="BW899" s="3"/>
    </row>
    <row r="900" spans="1:75">
      <c r="A900" s="1" t="s">
        <v>75</v>
      </c>
      <c r="B900" s="1" t="s">
        <v>13976</v>
      </c>
      <c r="C900" s="1" t="s">
        <v>16649</v>
      </c>
      <c r="D900" s="1" t="s">
        <v>16650</v>
      </c>
      <c r="E900" s="1" t="s">
        <v>16651</v>
      </c>
      <c r="F900" s="1" t="s">
        <v>16652</v>
      </c>
      <c r="G900" s="1" t="s">
        <v>16653</v>
      </c>
      <c r="H900" s="1" t="s">
        <v>16654</v>
      </c>
      <c r="I900" s="1" t="s">
        <v>16655</v>
      </c>
      <c r="J900" s="1">
        <v>8010371847</v>
      </c>
      <c r="K900" s="1" t="s">
        <v>153</v>
      </c>
      <c r="L900" s="1" t="s">
        <v>8470</v>
      </c>
      <c r="M900" s="1" t="s">
        <v>86</v>
      </c>
      <c r="N900" s="1" t="s">
        <v>13516</v>
      </c>
      <c r="O900" s="1" t="s">
        <v>16656</v>
      </c>
      <c r="P900" s="1" t="s">
        <v>122</v>
      </c>
      <c r="Q900" s="1">
        <v>634860934527</v>
      </c>
      <c r="R900" s="1" t="s">
        <v>16657</v>
      </c>
      <c r="S900" s="1">
        <v>9158471949</v>
      </c>
      <c r="T900" s="1" t="s">
        <v>16658</v>
      </c>
      <c r="U900" s="1" t="s">
        <v>16659</v>
      </c>
      <c r="V900" s="1">
        <v>9422015861</v>
      </c>
      <c r="W900" s="1" t="s">
        <v>16660</v>
      </c>
      <c r="X900" s="1" t="s">
        <v>16661</v>
      </c>
      <c r="Y900" s="1" t="s">
        <v>1145</v>
      </c>
      <c r="Z900" s="1" t="s">
        <v>97</v>
      </c>
      <c r="AA900" s="1" t="s">
        <v>16662</v>
      </c>
      <c r="AB900" s="1" t="s">
        <v>196</v>
      </c>
      <c r="AC900" s="1" t="s">
        <v>97</v>
      </c>
      <c r="AD900" s="1" t="s">
        <v>98</v>
      </c>
      <c r="AE900" s="1" t="s">
        <v>98</v>
      </c>
      <c r="AF900" s="1" t="s">
        <v>16663</v>
      </c>
      <c r="AG900" s="1" t="s">
        <v>16664</v>
      </c>
      <c r="AH900" s="1" t="s">
        <v>547</v>
      </c>
      <c r="AI900" s="1" t="s">
        <v>603</v>
      </c>
      <c r="AJ900" s="1">
        <v>90.8</v>
      </c>
      <c r="AK900" s="1"/>
      <c r="AL900" s="1"/>
      <c r="AM900" s="1"/>
      <c r="AN900" s="1"/>
      <c r="AO900" s="1"/>
      <c r="AP900" s="1"/>
      <c r="AQ900" s="1"/>
      <c r="AR900" s="1"/>
      <c r="AS900" s="1" t="s">
        <v>467</v>
      </c>
      <c r="AT900" s="1" t="s">
        <v>16665</v>
      </c>
      <c r="AU900" s="1" t="s">
        <v>417</v>
      </c>
      <c r="AV900" s="1" t="s">
        <v>234</v>
      </c>
      <c r="AW900" s="1">
        <v>78.26</v>
      </c>
      <c r="AX900" s="1">
        <v>8.23</v>
      </c>
      <c r="AY900" s="1" t="s">
        <v>14160</v>
      </c>
      <c r="AZ900" s="1" t="s">
        <v>16666</v>
      </c>
      <c r="BA900" s="1" t="s">
        <v>578</v>
      </c>
      <c r="BB900" s="1" t="s">
        <v>467</v>
      </c>
      <c r="BC900" s="1" t="s">
        <v>1267</v>
      </c>
      <c r="BD900" s="1" t="s">
        <v>14162</v>
      </c>
      <c r="BE900" s="1">
        <v>68.9</v>
      </c>
      <c r="BF900" s="1">
        <v>7.64</v>
      </c>
      <c r="BG900" s="1"/>
      <c r="BH900" s="1"/>
      <c r="BI900" s="1"/>
      <c r="BJ900" s="1"/>
      <c r="BK900" s="1"/>
      <c r="BL900" s="1"/>
      <c r="BM900" s="1"/>
      <c r="BN900" s="1"/>
      <c r="BO900" s="1" t="s">
        <v>1890</v>
      </c>
      <c r="BP900" s="1"/>
      <c r="BQ900" s="1"/>
      <c r="BR900" s="1"/>
      <c r="BS900" s="1"/>
      <c r="BT900" s="1"/>
      <c r="BU900" s="1" t="str">
        <f>HYPERLINK("https://nconnect.nicmar.ac.in/storage/profile/6a859e6954626.png","Download")</f>
        <v>0</v>
      </c>
      <c r="BV900" s="3"/>
      <c r="BW900" s="3"/>
    </row>
    <row r="901" spans="1:75">
      <c r="A901" s="1" t="s">
        <v>75</v>
      </c>
      <c r="B901" s="1" t="s">
        <v>13976</v>
      </c>
      <c r="C901" s="1" t="s">
        <v>16667</v>
      </c>
      <c r="D901" s="1" t="s">
        <v>16668</v>
      </c>
      <c r="E901" s="1" t="s">
        <v>16669</v>
      </c>
      <c r="F901" s="1" t="s">
        <v>16670</v>
      </c>
      <c r="G901" s="1" t="s">
        <v>16671</v>
      </c>
      <c r="H901" s="1" t="s">
        <v>16672</v>
      </c>
      <c r="I901" s="1" t="s">
        <v>16672</v>
      </c>
      <c r="J901" s="1">
        <v>7030687878</v>
      </c>
      <c r="K901" s="1" t="s">
        <v>84</v>
      </c>
      <c r="L901" s="1" t="s">
        <v>16673</v>
      </c>
      <c r="M901" s="1" t="s">
        <v>86</v>
      </c>
      <c r="N901" s="1" t="s">
        <v>16674</v>
      </c>
      <c r="O901" s="1" t="s">
        <v>16675</v>
      </c>
      <c r="P901" s="1" t="s">
        <v>122</v>
      </c>
      <c r="Q901" s="1">
        <v>307187341139</v>
      </c>
      <c r="R901" s="1" t="s">
        <v>16670</v>
      </c>
      <c r="S901" s="1">
        <v>9423880924</v>
      </c>
      <c r="T901" s="1" t="s">
        <v>3439</v>
      </c>
      <c r="U901" s="1" t="s">
        <v>16676</v>
      </c>
      <c r="V901" s="1">
        <v>9403563747</v>
      </c>
      <c r="W901" s="1" t="s">
        <v>16677</v>
      </c>
      <c r="X901" s="1" t="s">
        <v>16678</v>
      </c>
      <c r="Y901" s="1" t="s">
        <v>6128</v>
      </c>
      <c r="Z901" s="1" t="s">
        <v>97</v>
      </c>
      <c r="AA901" s="1" t="s">
        <v>16678</v>
      </c>
      <c r="AB901" s="1" t="s">
        <v>6128</v>
      </c>
      <c r="AC901" s="1" t="s">
        <v>97</v>
      </c>
      <c r="AD901" s="1" t="s">
        <v>98</v>
      </c>
      <c r="AE901" s="1" t="s">
        <v>98</v>
      </c>
      <c r="AF901" s="1" t="s">
        <v>16679</v>
      </c>
      <c r="AG901" s="1" t="s">
        <v>16680</v>
      </c>
      <c r="AH901" s="1" t="s">
        <v>106</v>
      </c>
      <c r="AI901" s="1" t="s">
        <v>414</v>
      </c>
      <c r="AJ901" s="1">
        <v>79.2</v>
      </c>
      <c r="AK901" s="1"/>
      <c r="AL901" s="1"/>
      <c r="AM901" s="1"/>
      <c r="AN901" s="1"/>
      <c r="AO901" s="1"/>
      <c r="AP901" s="1"/>
      <c r="AQ901" s="1"/>
      <c r="AR901" s="1"/>
      <c r="AS901" s="1" t="s">
        <v>467</v>
      </c>
      <c r="AT901" s="1" t="s">
        <v>16681</v>
      </c>
      <c r="AU901" s="1" t="s">
        <v>315</v>
      </c>
      <c r="AV901" s="1" t="s">
        <v>1400</v>
      </c>
      <c r="AW901" s="1">
        <v>86.32</v>
      </c>
      <c r="AX901" s="1"/>
      <c r="AY901" s="1" t="s">
        <v>14059</v>
      </c>
      <c r="AZ901" s="1" t="s">
        <v>15079</v>
      </c>
      <c r="BA901" s="1" t="s">
        <v>578</v>
      </c>
      <c r="BB901" s="1" t="s">
        <v>467</v>
      </c>
      <c r="BC901" s="1" t="s">
        <v>1400</v>
      </c>
      <c r="BD901" s="1" t="s">
        <v>553</v>
      </c>
      <c r="BE901" s="1">
        <v>60.91</v>
      </c>
      <c r="BF901" s="1"/>
      <c r="BG901" s="1"/>
      <c r="BH901" s="1"/>
      <c r="BI901" s="1"/>
      <c r="BJ901" s="1"/>
      <c r="BK901" s="1"/>
      <c r="BL901" s="1"/>
      <c r="BM901" s="1"/>
      <c r="BN901" s="1"/>
      <c r="BO901" s="1" t="s">
        <v>16682</v>
      </c>
      <c r="BP901" s="1"/>
      <c r="BQ901" s="1"/>
      <c r="BR901" s="1"/>
      <c r="BS901" s="1"/>
      <c r="BT901" s="1"/>
      <c r="BU901" s="1" t="str">
        <f>HYPERLINK("https://nconnect.nicmar.ac.in/storage/profile/6a8722f0e3cb2.png","Download")</f>
        <v>0</v>
      </c>
      <c r="BV901" s="3"/>
      <c r="BW901" s="3"/>
    </row>
    <row r="902" spans="1:75">
      <c r="A902" s="1" t="s">
        <v>75</v>
      </c>
      <c r="B902" s="1" t="s">
        <v>13976</v>
      </c>
      <c r="C902" s="1" t="s">
        <v>16683</v>
      </c>
      <c r="D902" s="1" t="s">
        <v>16684</v>
      </c>
      <c r="E902" s="1" t="s">
        <v>16685</v>
      </c>
      <c r="F902" s="1" t="s">
        <v>15123</v>
      </c>
      <c r="G902" s="1" t="s">
        <v>16686</v>
      </c>
      <c r="H902" s="1" t="s">
        <v>16687</v>
      </c>
      <c r="I902" s="1" t="s">
        <v>16688</v>
      </c>
      <c r="J902" s="1">
        <v>7304780269</v>
      </c>
      <c r="K902" s="1" t="s">
        <v>84</v>
      </c>
      <c r="L902" s="1" t="s">
        <v>16689</v>
      </c>
      <c r="M902" s="1" t="s">
        <v>86</v>
      </c>
      <c r="N902" s="1" t="s">
        <v>4263</v>
      </c>
      <c r="O902" s="1" t="s">
        <v>16690</v>
      </c>
      <c r="P902" s="1" t="s">
        <v>122</v>
      </c>
      <c r="Q902" s="1">
        <v>255091202392</v>
      </c>
      <c r="R902" s="1" t="s">
        <v>16691</v>
      </c>
      <c r="S902" s="1" t="s">
        <v>16692</v>
      </c>
      <c r="T902" s="1" t="s">
        <v>16693</v>
      </c>
      <c r="U902" s="1" t="s">
        <v>16694</v>
      </c>
      <c r="V902" s="1">
        <v>9819158007</v>
      </c>
      <c r="W902" s="1" t="s">
        <v>16695</v>
      </c>
      <c r="X902" s="1" t="s">
        <v>16696</v>
      </c>
      <c r="Y902" s="1" t="s">
        <v>1189</v>
      </c>
      <c r="Z902" s="1" t="s">
        <v>97</v>
      </c>
      <c r="AA902" s="1" t="s">
        <v>16696</v>
      </c>
      <c r="AB902" s="1" t="s">
        <v>1189</v>
      </c>
      <c r="AC902" s="1" t="s">
        <v>97</v>
      </c>
      <c r="AD902" s="1" t="s">
        <v>98</v>
      </c>
      <c r="AE902" s="1" t="s">
        <v>98</v>
      </c>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t="str">
        <f>HYPERLINK("https://nconnect.nicmar.ac.in/storage/profile/6a8b35d6bc8c8.png","Download")</f>
        <v>0</v>
      </c>
      <c r="BV902" s="3"/>
      <c r="BW902" s="3"/>
    </row>
    <row r="903" spans="1:75">
      <c r="A903" s="1" t="s">
        <v>75</v>
      </c>
      <c r="B903" s="1" t="s">
        <v>13976</v>
      </c>
      <c r="C903" s="1" t="s">
        <v>16697</v>
      </c>
      <c r="D903" s="1" t="s">
        <v>14327</v>
      </c>
      <c r="E903" s="1" t="s">
        <v>16698</v>
      </c>
      <c r="F903" s="1" t="s">
        <v>16699</v>
      </c>
      <c r="G903" s="1" t="s">
        <v>16700</v>
      </c>
      <c r="H903" s="1" t="s">
        <v>16701</v>
      </c>
      <c r="I903" s="1" t="s">
        <v>16701</v>
      </c>
      <c r="J903" s="1">
        <v>9892824181</v>
      </c>
      <c r="K903" s="1" t="s">
        <v>84</v>
      </c>
      <c r="L903" s="1" t="s">
        <v>4042</v>
      </c>
      <c r="M903" s="1" t="s">
        <v>86</v>
      </c>
      <c r="N903" s="1" t="s">
        <v>16702</v>
      </c>
      <c r="O903" s="1" t="s">
        <v>16703</v>
      </c>
      <c r="P903" s="1" t="s">
        <v>219</v>
      </c>
      <c r="Q903" s="1">
        <v>879443872446</v>
      </c>
      <c r="R903" s="1" t="s">
        <v>16698</v>
      </c>
      <c r="S903" s="1">
        <v>9892413555</v>
      </c>
      <c r="T903" s="1" t="s">
        <v>16704</v>
      </c>
      <c r="U903" s="1" t="s">
        <v>16705</v>
      </c>
      <c r="V903" s="1">
        <v>9594567346</v>
      </c>
      <c r="W903" s="1" t="s">
        <v>15148</v>
      </c>
      <c r="X903" s="1" t="s">
        <v>16706</v>
      </c>
      <c r="Y903" s="1" t="s">
        <v>1189</v>
      </c>
      <c r="Z903" s="1" t="s">
        <v>97</v>
      </c>
      <c r="AA903" s="1" t="s">
        <v>16706</v>
      </c>
      <c r="AB903" s="1" t="s">
        <v>1189</v>
      </c>
      <c r="AC903" s="1" t="s">
        <v>97</v>
      </c>
      <c r="AD903" s="1" t="s">
        <v>98</v>
      </c>
      <c r="AE903" s="1" t="s">
        <v>98</v>
      </c>
      <c r="AF903" s="1" t="s">
        <v>16707</v>
      </c>
      <c r="AG903" s="1" t="s">
        <v>14977</v>
      </c>
      <c r="AH903" s="1" t="s">
        <v>438</v>
      </c>
      <c r="AI903" s="1" t="s">
        <v>603</v>
      </c>
      <c r="AJ903" s="1">
        <v>79.6</v>
      </c>
      <c r="AK903" s="1"/>
      <c r="AL903" s="1"/>
      <c r="AM903" s="1"/>
      <c r="AN903" s="1"/>
      <c r="AO903" s="1"/>
      <c r="AP903" s="1"/>
      <c r="AQ903" s="1"/>
      <c r="AR903" s="1"/>
      <c r="AS903" s="1" t="s">
        <v>467</v>
      </c>
      <c r="AT903" s="1" t="s">
        <v>16708</v>
      </c>
      <c r="AU903" s="1" t="s">
        <v>468</v>
      </c>
      <c r="AV903" s="1" t="s">
        <v>955</v>
      </c>
      <c r="AW903" s="1">
        <v>83.05</v>
      </c>
      <c r="AX903" s="1"/>
      <c r="AY903" s="1" t="s">
        <v>14059</v>
      </c>
      <c r="AZ903" s="1" t="s">
        <v>16709</v>
      </c>
      <c r="BA903" s="1" t="s">
        <v>578</v>
      </c>
      <c r="BB903" s="1" t="s">
        <v>467</v>
      </c>
      <c r="BC903" s="1" t="s">
        <v>391</v>
      </c>
      <c r="BD903" s="1" t="s">
        <v>9688</v>
      </c>
      <c r="BE903" s="1">
        <v>72.57</v>
      </c>
      <c r="BF903" s="1">
        <v>8.26</v>
      </c>
      <c r="BG903" s="1"/>
      <c r="BH903" s="1"/>
      <c r="BI903" s="1"/>
      <c r="BJ903" s="1"/>
      <c r="BK903" s="1"/>
      <c r="BL903" s="1"/>
      <c r="BM903" s="1"/>
      <c r="BN903" s="1"/>
      <c r="BO903" s="1" t="s">
        <v>16710</v>
      </c>
      <c r="BP903" s="1"/>
      <c r="BQ903" s="1"/>
      <c r="BR903" s="1" t="s">
        <v>16711</v>
      </c>
      <c r="BS903" s="1">
        <v>4</v>
      </c>
      <c r="BT903" s="1"/>
      <c r="BU903" s="1" t="str">
        <f>HYPERLINK("https://nconnect.nicmar.ac.in/storage/profile/6a8f0bd7d0eb3.png","Download")</f>
        <v>0</v>
      </c>
      <c r="BV903" s="3"/>
      <c r="BW903" s="3"/>
    </row>
    <row r="904" spans="1:75">
      <c r="A904" s="1" t="s">
        <v>75</v>
      </c>
      <c r="B904" s="1" t="s">
        <v>13976</v>
      </c>
      <c r="C904" s="1" t="s">
        <v>16712</v>
      </c>
      <c r="D904" s="1" t="s">
        <v>16713</v>
      </c>
      <c r="E904" s="1" t="s">
        <v>14535</v>
      </c>
      <c r="F904" s="1" t="s">
        <v>16714</v>
      </c>
      <c r="G904" s="1" t="s">
        <v>16715</v>
      </c>
      <c r="H904" s="1" t="s">
        <v>16716</v>
      </c>
      <c r="I904" s="1" t="s">
        <v>16716</v>
      </c>
      <c r="J904" s="1">
        <v>7083173511</v>
      </c>
      <c r="K904" s="1" t="s">
        <v>84</v>
      </c>
      <c r="L904" s="1" t="s">
        <v>16717</v>
      </c>
      <c r="M904" s="1" t="s">
        <v>86</v>
      </c>
      <c r="N904" s="1" t="s">
        <v>16718</v>
      </c>
      <c r="O904" s="1" t="s">
        <v>16719</v>
      </c>
      <c r="P904" s="1" t="s">
        <v>219</v>
      </c>
      <c r="Q904" s="1">
        <v>610577586031</v>
      </c>
      <c r="R904" s="1" t="s">
        <v>14535</v>
      </c>
      <c r="S904" s="1">
        <v>9850883181</v>
      </c>
      <c r="T904" s="1" t="s">
        <v>16720</v>
      </c>
      <c r="U904" s="1" t="s">
        <v>16721</v>
      </c>
      <c r="V904" s="1">
        <v>9881611757</v>
      </c>
      <c r="W904" s="1" t="s">
        <v>3441</v>
      </c>
      <c r="X904" s="1" t="s">
        <v>16722</v>
      </c>
      <c r="Y904" s="1" t="s">
        <v>1989</v>
      </c>
      <c r="Z904" s="1" t="s">
        <v>97</v>
      </c>
      <c r="AA904" s="1" t="s">
        <v>16722</v>
      </c>
      <c r="AB904" s="1" t="s">
        <v>1989</v>
      </c>
      <c r="AC904" s="1" t="s">
        <v>97</v>
      </c>
      <c r="AD904" s="1" t="s">
        <v>98</v>
      </c>
      <c r="AE904" s="1" t="s">
        <v>98</v>
      </c>
      <c r="AF904" s="1" t="s">
        <v>16723</v>
      </c>
      <c r="AG904" s="1" t="s">
        <v>16724</v>
      </c>
      <c r="AH904" s="1" t="s">
        <v>166</v>
      </c>
      <c r="AI904" s="1" t="s">
        <v>1111</v>
      </c>
      <c r="AJ904" s="1">
        <v>92</v>
      </c>
      <c r="AK904" s="1"/>
      <c r="AL904" s="1" t="s">
        <v>16725</v>
      </c>
      <c r="AM904" s="1" t="s">
        <v>16528</v>
      </c>
      <c r="AN904" s="1" t="s">
        <v>465</v>
      </c>
      <c r="AO904" s="1" t="s">
        <v>573</v>
      </c>
      <c r="AP904" s="1" t="s">
        <v>1477</v>
      </c>
      <c r="AQ904" s="1">
        <v>75</v>
      </c>
      <c r="AR904" s="1"/>
      <c r="AS904" s="1"/>
      <c r="AT904" s="1"/>
      <c r="AU904" s="1"/>
      <c r="AV904" s="1"/>
      <c r="AW904" s="1"/>
      <c r="AX904" s="1"/>
      <c r="AY904" s="1" t="s">
        <v>14979</v>
      </c>
      <c r="AZ904" s="1" t="s">
        <v>16726</v>
      </c>
      <c r="BA904" s="1" t="s">
        <v>466</v>
      </c>
      <c r="BB904" s="1" t="s">
        <v>467</v>
      </c>
      <c r="BC904" s="1" t="s">
        <v>174</v>
      </c>
      <c r="BD904" s="1" t="s">
        <v>632</v>
      </c>
      <c r="BE904" s="1">
        <v>70</v>
      </c>
      <c r="BF904" s="1">
        <v>7.36</v>
      </c>
      <c r="BG904" s="1"/>
      <c r="BH904" s="1"/>
      <c r="BI904" s="1"/>
      <c r="BJ904" s="1"/>
      <c r="BK904" s="1"/>
      <c r="BL904" s="1"/>
      <c r="BM904" s="1"/>
      <c r="BN904" s="1"/>
      <c r="BO904" s="1" t="s">
        <v>16727</v>
      </c>
      <c r="BP904" s="1"/>
      <c r="BQ904" s="1"/>
      <c r="BR904" s="1"/>
      <c r="BS904" s="1"/>
      <c r="BT904" s="1"/>
      <c r="BU904" s="1" t="str">
        <f>HYPERLINK("https://nconnect.nicmar.ac.in/storage/profile/6a8671ff89ee2.png","Download")</f>
        <v>0</v>
      </c>
      <c r="BV904" s="3"/>
      <c r="BW904" s="3"/>
    </row>
    <row r="905" spans="1:75">
      <c r="A905" s="1" t="s">
        <v>75</v>
      </c>
      <c r="B905" s="1" t="s">
        <v>13976</v>
      </c>
      <c r="C905" s="1" t="s">
        <v>16728</v>
      </c>
      <c r="D905" s="1" t="s">
        <v>16729</v>
      </c>
      <c r="E905" s="1"/>
      <c r="F905" s="1" t="s">
        <v>16730</v>
      </c>
      <c r="G905" s="1" t="s">
        <v>16731</v>
      </c>
      <c r="H905" s="1" t="s">
        <v>16732</v>
      </c>
      <c r="I905" s="1" t="s">
        <v>16733</v>
      </c>
      <c r="J905" s="1">
        <v>6371890905</v>
      </c>
      <c r="K905" s="1" t="s">
        <v>84</v>
      </c>
      <c r="L905" s="1" t="s">
        <v>16734</v>
      </c>
      <c r="M905" s="1" t="s">
        <v>86</v>
      </c>
      <c r="N905" s="1" t="s">
        <v>16735</v>
      </c>
      <c r="O905" s="1" t="s">
        <v>16736</v>
      </c>
      <c r="P905" s="1" t="s">
        <v>122</v>
      </c>
      <c r="Q905" s="1">
        <v>310941530038</v>
      </c>
      <c r="R905" s="1" t="s">
        <v>16737</v>
      </c>
      <c r="S905" s="1">
        <v>9556156780</v>
      </c>
      <c r="T905" s="1" t="s">
        <v>16738</v>
      </c>
      <c r="U905" s="1" t="s">
        <v>16739</v>
      </c>
      <c r="V905" s="1">
        <v>8895637206</v>
      </c>
      <c r="W905" s="1" t="s">
        <v>161</v>
      </c>
      <c r="X905" s="1" t="s">
        <v>16740</v>
      </c>
      <c r="Y905" s="1" t="s">
        <v>16741</v>
      </c>
      <c r="Z905" s="1" t="s">
        <v>865</v>
      </c>
      <c r="AA905" s="1" t="s">
        <v>16742</v>
      </c>
      <c r="AB905" s="1" t="s">
        <v>886</v>
      </c>
      <c r="AC905" s="1" t="s">
        <v>865</v>
      </c>
      <c r="AD905" s="1" t="s">
        <v>98</v>
      </c>
      <c r="AE905" s="1" t="s">
        <v>98</v>
      </c>
      <c r="AF905" s="1" t="s">
        <v>16743</v>
      </c>
      <c r="AG905" s="1" t="s">
        <v>16744</v>
      </c>
      <c r="AH905" s="1" t="s">
        <v>200</v>
      </c>
      <c r="AI905" s="1" t="s">
        <v>286</v>
      </c>
      <c r="AJ905" s="1">
        <v>85</v>
      </c>
      <c r="AK905" s="1"/>
      <c r="AL905" s="1" t="s">
        <v>16743</v>
      </c>
      <c r="AM905" s="1" t="s">
        <v>16744</v>
      </c>
      <c r="AN905" s="1" t="s">
        <v>465</v>
      </c>
      <c r="AO905" s="1" t="s">
        <v>174</v>
      </c>
      <c r="AP905" s="1" t="s">
        <v>603</v>
      </c>
      <c r="AQ905" s="1">
        <v>72</v>
      </c>
      <c r="AR905" s="1"/>
      <c r="AS905" s="1"/>
      <c r="AT905" s="1"/>
      <c r="AU905" s="1"/>
      <c r="AV905" s="1"/>
      <c r="AW905" s="1"/>
      <c r="AX905" s="1"/>
      <c r="AY905" s="1" t="s">
        <v>16745</v>
      </c>
      <c r="AZ905" s="1" t="s">
        <v>16746</v>
      </c>
      <c r="BA905" s="1" t="s">
        <v>466</v>
      </c>
      <c r="BB905" s="1" t="s">
        <v>467</v>
      </c>
      <c r="BC905" s="1" t="s">
        <v>1040</v>
      </c>
      <c r="BD905" s="1" t="s">
        <v>1242</v>
      </c>
      <c r="BE905" s="1">
        <v>74.2</v>
      </c>
      <c r="BF905" s="1">
        <v>7.92</v>
      </c>
      <c r="BG905" s="1"/>
      <c r="BH905" s="1"/>
      <c r="BI905" s="1"/>
      <c r="BJ905" s="1"/>
      <c r="BK905" s="1"/>
      <c r="BL905" s="1"/>
      <c r="BM905" s="1"/>
      <c r="BN905" s="1"/>
      <c r="BO905" s="1" t="s">
        <v>16747</v>
      </c>
      <c r="BP905" s="1" t="s">
        <v>16748</v>
      </c>
      <c r="BQ905" s="1" t="s">
        <v>2245</v>
      </c>
      <c r="BR905" s="1" t="s">
        <v>16749</v>
      </c>
      <c r="BS905" s="1">
        <v>4</v>
      </c>
      <c r="BT905" s="1"/>
      <c r="BU905" s="1" t="str">
        <f>HYPERLINK("https://nconnect.nicmar.ac.in/storage/profile/6a8709cc34c35.png","Download")</f>
        <v>0</v>
      </c>
      <c r="BV905" s="3"/>
      <c r="BW905" s="3"/>
    </row>
    <row r="906" spans="1:75">
      <c r="A906" s="1" t="s">
        <v>75</v>
      </c>
      <c r="B906" s="1" t="s">
        <v>13976</v>
      </c>
      <c r="C906" s="1" t="s">
        <v>16750</v>
      </c>
      <c r="D906" s="1" t="s">
        <v>16751</v>
      </c>
      <c r="E906" s="1" t="s">
        <v>3631</v>
      </c>
      <c r="F906" s="1" t="s">
        <v>16752</v>
      </c>
      <c r="G906" s="1" t="s">
        <v>16753</v>
      </c>
      <c r="H906" s="1" t="s">
        <v>16754</v>
      </c>
      <c r="I906" s="1" t="s">
        <v>16754</v>
      </c>
      <c r="J906" s="1">
        <v>7066661655</v>
      </c>
      <c r="K906" s="1" t="s">
        <v>153</v>
      </c>
      <c r="L906" s="1" t="s">
        <v>16755</v>
      </c>
      <c r="M906" s="1" t="s">
        <v>86</v>
      </c>
      <c r="N906" s="1" t="s">
        <v>16756</v>
      </c>
      <c r="O906" s="1" t="s">
        <v>16757</v>
      </c>
      <c r="P906" s="1" t="s">
        <v>89</v>
      </c>
      <c r="Q906" s="1">
        <v>620085721294</v>
      </c>
      <c r="R906" s="1" t="s">
        <v>16758</v>
      </c>
      <c r="S906" s="1">
        <v>9822471355</v>
      </c>
      <c r="T906" s="1" t="s">
        <v>16759</v>
      </c>
      <c r="U906" s="1" t="s">
        <v>16760</v>
      </c>
      <c r="V906" s="1">
        <v>9422444808</v>
      </c>
      <c r="W906" s="1" t="s">
        <v>14095</v>
      </c>
      <c r="X906" s="1" t="s">
        <v>16761</v>
      </c>
      <c r="Y906" s="1" t="s">
        <v>410</v>
      </c>
      <c r="Z906" s="1" t="s">
        <v>97</v>
      </c>
      <c r="AA906" s="1" t="s">
        <v>16761</v>
      </c>
      <c r="AB906" s="1" t="s">
        <v>410</v>
      </c>
      <c r="AC906" s="1" t="s">
        <v>97</v>
      </c>
      <c r="AD906" s="1" t="s">
        <v>98</v>
      </c>
      <c r="AE906" s="1" t="s">
        <v>98</v>
      </c>
      <c r="AF906" s="1" t="s">
        <v>16762</v>
      </c>
      <c r="AG906" s="1" t="s">
        <v>16763</v>
      </c>
      <c r="AH906" s="1" t="s">
        <v>315</v>
      </c>
      <c r="AI906" s="1" t="s">
        <v>178</v>
      </c>
      <c r="AJ906" s="1">
        <v>92.6</v>
      </c>
      <c r="AK906" s="1"/>
      <c r="AL906" s="1" t="s">
        <v>12533</v>
      </c>
      <c r="AM906" s="1" t="s">
        <v>16763</v>
      </c>
      <c r="AN906" s="1" t="s">
        <v>575</v>
      </c>
      <c r="AO906" s="1" t="s">
        <v>549</v>
      </c>
      <c r="AP906" s="1" t="s">
        <v>1400</v>
      </c>
      <c r="AQ906" s="1">
        <v>78</v>
      </c>
      <c r="AR906" s="1"/>
      <c r="AS906" s="1"/>
      <c r="AT906" s="1"/>
      <c r="AU906" s="1"/>
      <c r="AV906" s="1"/>
      <c r="AW906" s="1"/>
      <c r="AX906" s="1"/>
      <c r="AY906" s="1" t="s">
        <v>14380</v>
      </c>
      <c r="AZ906" s="1" t="s">
        <v>16764</v>
      </c>
      <c r="BA906" s="1" t="s">
        <v>466</v>
      </c>
      <c r="BB906" s="1" t="s">
        <v>467</v>
      </c>
      <c r="BC906" s="1" t="s">
        <v>289</v>
      </c>
      <c r="BD906" s="1" t="s">
        <v>14514</v>
      </c>
      <c r="BE906" s="1">
        <v>79.8</v>
      </c>
      <c r="BF906" s="1">
        <v>8.73</v>
      </c>
      <c r="BG906" s="1"/>
      <c r="BH906" s="1"/>
      <c r="BI906" s="1"/>
      <c r="BJ906" s="1"/>
      <c r="BK906" s="1"/>
      <c r="BL906" s="1"/>
      <c r="BM906" s="1"/>
      <c r="BN906" s="1"/>
      <c r="BO906" s="1" t="s">
        <v>16765</v>
      </c>
      <c r="BP906" s="1"/>
      <c r="BQ906" s="1"/>
      <c r="BR906" s="1" t="s">
        <v>16766</v>
      </c>
      <c r="BS906" s="1">
        <v>25</v>
      </c>
      <c r="BT906" s="1" t="s">
        <v>16767</v>
      </c>
      <c r="BU906" s="1" t="str">
        <f>HYPERLINK("https://nconnect.nicmar.ac.in/storage/profile/6a87397659d54.png","Download")</f>
        <v>0</v>
      </c>
      <c r="BV906" s="3"/>
      <c r="BW906" s="3"/>
    </row>
    <row r="907" spans="1:75">
      <c r="A907" s="1" t="s">
        <v>75</v>
      </c>
      <c r="B907" s="1" t="s">
        <v>13976</v>
      </c>
      <c r="C907" s="1" t="s">
        <v>16768</v>
      </c>
      <c r="D907" s="1" t="s">
        <v>7146</v>
      </c>
      <c r="E907" s="1" t="s">
        <v>1320</v>
      </c>
      <c r="F907" s="1" t="s">
        <v>239</v>
      </c>
      <c r="G907" s="1" t="s">
        <v>16769</v>
      </c>
      <c r="H907" s="1" t="s">
        <v>16770</v>
      </c>
      <c r="I907" s="1" t="s">
        <v>16770</v>
      </c>
      <c r="J907" s="1">
        <v>6299118399</v>
      </c>
      <c r="K907" s="1" t="s">
        <v>84</v>
      </c>
      <c r="L907" s="1" t="s">
        <v>12643</v>
      </c>
      <c r="M907" s="1" t="s">
        <v>86</v>
      </c>
      <c r="N907" s="1" t="s">
        <v>16771</v>
      </c>
      <c r="O907" s="1" t="s">
        <v>16772</v>
      </c>
      <c r="P907" s="1" t="s">
        <v>219</v>
      </c>
      <c r="Q907" s="1">
        <v>796603832311</v>
      </c>
      <c r="R907" s="1" t="s">
        <v>16773</v>
      </c>
      <c r="S907" s="1">
        <v>9631885837</v>
      </c>
      <c r="T907" s="1" t="s">
        <v>159</v>
      </c>
      <c r="U907" s="1" t="s">
        <v>16774</v>
      </c>
      <c r="V907" s="1">
        <v>6206388671</v>
      </c>
      <c r="W907" s="1" t="s">
        <v>161</v>
      </c>
      <c r="X907" s="1" t="s">
        <v>16775</v>
      </c>
      <c r="Y907" s="1" t="s">
        <v>16776</v>
      </c>
      <c r="Z907" s="1" t="s">
        <v>649</v>
      </c>
      <c r="AA907" s="1" t="s">
        <v>16777</v>
      </c>
      <c r="AB907" s="1" t="s">
        <v>1012</v>
      </c>
      <c r="AC907" s="1" t="s">
        <v>97</v>
      </c>
      <c r="AD907" s="1" t="s">
        <v>98</v>
      </c>
      <c r="AE907" s="1" t="s">
        <v>98</v>
      </c>
      <c r="AF907" s="1" t="s">
        <v>16778</v>
      </c>
      <c r="AG907" s="1" t="s">
        <v>16779</v>
      </c>
      <c r="AH907" s="1" t="s">
        <v>704</v>
      </c>
      <c r="AI907" s="1" t="s">
        <v>174</v>
      </c>
      <c r="AJ907" s="1">
        <v>73.2</v>
      </c>
      <c r="AK907" s="1"/>
      <c r="AL907" s="1"/>
      <c r="AM907" s="1"/>
      <c r="AN907" s="1"/>
      <c r="AO907" s="1"/>
      <c r="AP907" s="1"/>
      <c r="AQ907" s="1"/>
      <c r="AR907" s="1"/>
      <c r="AS907" s="1" t="s">
        <v>16780</v>
      </c>
      <c r="AT907" s="1" t="s">
        <v>16781</v>
      </c>
      <c r="AU907" s="1" t="s">
        <v>174</v>
      </c>
      <c r="AV907" s="1" t="s">
        <v>549</v>
      </c>
      <c r="AW907" s="1">
        <v>75.29</v>
      </c>
      <c r="AX907" s="1">
        <v>8.28</v>
      </c>
      <c r="AY907" s="1" t="s">
        <v>16782</v>
      </c>
      <c r="AZ907" s="1" t="s">
        <v>16783</v>
      </c>
      <c r="BA907" s="1" t="s">
        <v>466</v>
      </c>
      <c r="BB907" s="1" t="s">
        <v>467</v>
      </c>
      <c r="BC907" s="1" t="s">
        <v>549</v>
      </c>
      <c r="BD907" s="1" t="s">
        <v>1089</v>
      </c>
      <c r="BE907" s="1">
        <v>75.1</v>
      </c>
      <c r="BF907" s="1">
        <v>8.26</v>
      </c>
      <c r="BG907" s="1"/>
      <c r="BH907" s="1"/>
      <c r="BI907" s="1"/>
      <c r="BJ907" s="1"/>
      <c r="BK907" s="1"/>
      <c r="BL907" s="1"/>
      <c r="BM907" s="1"/>
      <c r="BN907" s="1"/>
      <c r="BO907" s="1" t="s">
        <v>16784</v>
      </c>
      <c r="BP907" s="1" t="s">
        <v>16785</v>
      </c>
      <c r="BQ907" s="1" t="s">
        <v>780</v>
      </c>
      <c r="BR907" s="1" t="s">
        <v>16786</v>
      </c>
      <c r="BS907" s="1">
        <v>12</v>
      </c>
      <c r="BT907" s="1" t="s">
        <v>16787</v>
      </c>
      <c r="BU907" s="1" t="str">
        <f>HYPERLINK("https://nconnect.nicmar.ac.in/storage/profile/6a85ec721d1c9.png","Download")</f>
        <v>0</v>
      </c>
      <c r="BV907" s="3"/>
      <c r="BW907" s="3"/>
    </row>
    <row r="908" spans="1:75">
      <c r="A908" s="1" t="s">
        <v>75</v>
      </c>
      <c r="B908" s="1" t="s">
        <v>13976</v>
      </c>
      <c r="C908" s="1" t="s">
        <v>16788</v>
      </c>
      <c r="D908" s="1" t="s">
        <v>16789</v>
      </c>
      <c r="E908" s="1"/>
      <c r="F908" s="1" t="s">
        <v>16790</v>
      </c>
      <c r="G908" s="1" t="s">
        <v>16791</v>
      </c>
      <c r="H908" s="1" t="s">
        <v>16792</v>
      </c>
      <c r="I908" s="1" t="s">
        <v>16793</v>
      </c>
      <c r="J908" s="1">
        <v>6353721710</v>
      </c>
      <c r="K908" s="1" t="s">
        <v>84</v>
      </c>
      <c r="L908" s="1" t="s">
        <v>1674</v>
      </c>
      <c r="M908" s="1" t="s">
        <v>86</v>
      </c>
      <c r="N908" s="1" t="s">
        <v>16794</v>
      </c>
      <c r="O908" s="1" t="s">
        <v>16795</v>
      </c>
      <c r="P908" s="1" t="s">
        <v>122</v>
      </c>
      <c r="Q908" s="1">
        <v>737397246978</v>
      </c>
      <c r="R908" s="1" t="s">
        <v>16796</v>
      </c>
      <c r="S908" s="1">
        <v>9274915930</v>
      </c>
      <c r="T908" s="1" t="s">
        <v>16797</v>
      </c>
      <c r="U908" s="1" t="s">
        <v>16798</v>
      </c>
      <c r="V908" s="1">
        <v>9998148901</v>
      </c>
      <c r="W908" s="1" t="s">
        <v>14821</v>
      </c>
      <c r="X908" s="1" t="s">
        <v>16799</v>
      </c>
      <c r="Y908" s="1" t="s">
        <v>14319</v>
      </c>
      <c r="Z908" s="1" t="s">
        <v>676</v>
      </c>
      <c r="AA908" s="1" t="s">
        <v>16799</v>
      </c>
      <c r="AB908" s="1" t="s">
        <v>14319</v>
      </c>
      <c r="AC908" s="1" t="s">
        <v>676</v>
      </c>
      <c r="AD908" s="1" t="s">
        <v>98</v>
      </c>
      <c r="AE908" s="1" t="s">
        <v>98</v>
      </c>
      <c r="AF908" s="1" t="s">
        <v>16800</v>
      </c>
      <c r="AG908" s="1" t="s">
        <v>16801</v>
      </c>
      <c r="AH908" s="1" t="s">
        <v>704</v>
      </c>
      <c r="AI908" s="1" t="s">
        <v>171</v>
      </c>
      <c r="AJ908" s="1">
        <v>79</v>
      </c>
      <c r="AK908" s="1">
        <v>7.9</v>
      </c>
      <c r="AL908" s="1" t="s">
        <v>16800</v>
      </c>
      <c r="AM908" s="1" t="s">
        <v>16801</v>
      </c>
      <c r="AN908" s="1" t="s">
        <v>465</v>
      </c>
      <c r="AO908" s="1" t="s">
        <v>203</v>
      </c>
      <c r="AP908" s="1" t="s">
        <v>178</v>
      </c>
      <c r="AQ908" s="1">
        <v>67.8</v>
      </c>
      <c r="AR908" s="1">
        <v>6.78</v>
      </c>
      <c r="AS908" s="1"/>
      <c r="AT908" s="1"/>
      <c r="AU908" s="1"/>
      <c r="AV908" s="1"/>
      <c r="AW908" s="1"/>
      <c r="AX908" s="1"/>
      <c r="AY908" s="1" t="s">
        <v>16802</v>
      </c>
      <c r="AZ908" s="1" t="s">
        <v>16803</v>
      </c>
      <c r="BA908" s="1" t="s">
        <v>466</v>
      </c>
      <c r="BB908" s="1" t="s">
        <v>467</v>
      </c>
      <c r="BC908" s="1" t="s">
        <v>233</v>
      </c>
      <c r="BD908" s="1" t="s">
        <v>4093</v>
      </c>
      <c r="BE908" s="1">
        <v>66</v>
      </c>
      <c r="BF908" s="1">
        <v>6.6</v>
      </c>
      <c r="BG908" s="1"/>
      <c r="BH908" s="1"/>
      <c r="BI908" s="1"/>
      <c r="BJ908" s="1"/>
      <c r="BK908" s="1"/>
      <c r="BL908" s="1"/>
      <c r="BM908" s="1"/>
      <c r="BN908" s="1"/>
      <c r="BO908" s="1" t="s">
        <v>16804</v>
      </c>
      <c r="BP908" s="1" t="s">
        <v>16805</v>
      </c>
      <c r="BQ908" s="1" t="s">
        <v>4149</v>
      </c>
      <c r="BR908" s="1" t="s">
        <v>16806</v>
      </c>
      <c r="BS908" s="1">
        <v>45</v>
      </c>
      <c r="BT908" s="1" t="s">
        <v>16807</v>
      </c>
      <c r="BU908" s="1" t="str">
        <f>HYPERLINK("https://nconnect.nicmar.ac.in/storage/profile/6a87288793455.png","Download")</f>
        <v>0</v>
      </c>
      <c r="BV908" s="3"/>
      <c r="BW908" s="3"/>
    </row>
    <row r="909" spans="1:75">
      <c r="A909" s="1" t="s">
        <v>75</v>
      </c>
      <c r="B909" s="1" t="s">
        <v>13976</v>
      </c>
      <c r="C909" s="1" t="s">
        <v>16808</v>
      </c>
      <c r="D909" s="1" t="s">
        <v>8904</v>
      </c>
      <c r="E909" s="1" t="s">
        <v>16809</v>
      </c>
      <c r="F909" s="1" t="s">
        <v>1179</v>
      </c>
      <c r="G909" s="1" t="s">
        <v>16810</v>
      </c>
      <c r="H909" s="1" t="s">
        <v>16811</v>
      </c>
      <c r="I909" s="1" t="s">
        <v>16811</v>
      </c>
      <c r="J909" s="1">
        <v>7350032383</v>
      </c>
      <c r="K909" s="1" t="s">
        <v>84</v>
      </c>
      <c r="L909" s="1" t="s">
        <v>16812</v>
      </c>
      <c r="M909" s="1" t="s">
        <v>86</v>
      </c>
      <c r="N909" s="1" t="s">
        <v>16813</v>
      </c>
      <c r="O909" s="1" t="s">
        <v>16814</v>
      </c>
      <c r="P909" s="1" t="s">
        <v>89</v>
      </c>
      <c r="Q909" s="1">
        <v>542980814725</v>
      </c>
      <c r="R909" s="1" t="s">
        <v>16809</v>
      </c>
      <c r="S909" s="1">
        <v>9545151398</v>
      </c>
      <c r="T909" s="1" t="s">
        <v>159</v>
      </c>
      <c r="U909" s="1" t="s">
        <v>6299</v>
      </c>
      <c r="V909" s="1">
        <v>9130820912</v>
      </c>
      <c r="W909" s="1" t="s">
        <v>159</v>
      </c>
      <c r="X909" s="1" t="s">
        <v>16815</v>
      </c>
      <c r="Y909" s="1" t="s">
        <v>309</v>
      </c>
      <c r="Z909" s="1" t="s">
        <v>97</v>
      </c>
      <c r="AA909" s="1" t="s">
        <v>16815</v>
      </c>
      <c r="AB909" s="1" t="s">
        <v>309</v>
      </c>
      <c r="AC909" s="1" t="s">
        <v>97</v>
      </c>
      <c r="AD909" s="1" t="s">
        <v>98</v>
      </c>
      <c r="AE909" s="1" t="s">
        <v>98</v>
      </c>
      <c r="AF909" s="1" t="s">
        <v>16816</v>
      </c>
      <c r="AG909" s="1" t="s">
        <v>16817</v>
      </c>
      <c r="AH909" s="1" t="s">
        <v>10573</v>
      </c>
      <c r="AI909" s="1" t="s">
        <v>1396</v>
      </c>
      <c r="AJ909" s="1">
        <v>85.2</v>
      </c>
      <c r="AK909" s="1"/>
      <c r="AL909" s="1"/>
      <c r="AM909" s="1"/>
      <c r="AN909" s="1"/>
      <c r="AO909" s="1"/>
      <c r="AP909" s="1"/>
      <c r="AQ909" s="1"/>
      <c r="AR909" s="1"/>
      <c r="AS909" s="1" t="s">
        <v>439</v>
      </c>
      <c r="AT909" s="1" t="s">
        <v>11499</v>
      </c>
      <c r="AU909" s="1" t="s">
        <v>139</v>
      </c>
      <c r="AV909" s="1" t="s">
        <v>438</v>
      </c>
      <c r="AW909" s="1">
        <v>72.73</v>
      </c>
      <c r="AX909" s="1"/>
      <c r="AY909" s="1" t="s">
        <v>16818</v>
      </c>
      <c r="AZ909" s="1" t="s">
        <v>16819</v>
      </c>
      <c r="BA909" s="1" t="s">
        <v>578</v>
      </c>
      <c r="BB909" s="1" t="s">
        <v>467</v>
      </c>
      <c r="BC909" s="1" t="s">
        <v>206</v>
      </c>
      <c r="BD909" s="1" t="s">
        <v>110</v>
      </c>
      <c r="BE909" s="1">
        <v>76.33</v>
      </c>
      <c r="BF909" s="1">
        <v>8.15</v>
      </c>
      <c r="BG909" s="1"/>
      <c r="BH909" s="1"/>
      <c r="BI909" s="1"/>
      <c r="BJ909" s="1"/>
      <c r="BK909" s="1"/>
      <c r="BL909" s="1"/>
      <c r="BM909" s="1"/>
      <c r="BN909" s="1"/>
      <c r="BO909" s="1" t="s">
        <v>16820</v>
      </c>
      <c r="BP909" s="1" t="s">
        <v>16821</v>
      </c>
      <c r="BQ909" s="1" t="s">
        <v>524</v>
      </c>
      <c r="BR909" s="1"/>
      <c r="BS909" s="1"/>
      <c r="BT909" s="1"/>
      <c r="BU909" s="1" t="str">
        <f>HYPERLINK("https://nconnect.nicmar.ac.in/storage/profile/6a8713197330a.png","Download")</f>
        <v>0</v>
      </c>
      <c r="BV909" s="3"/>
      <c r="BW909" s="3"/>
    </row>
    <row r="910" spans="1:75">
      <c r="A910" s="1" t="s">
        <v>75</v>
      </c>
      <c r="B910" s="1" t="s">
        <v>13976</v>
      </c>
      <c r="C910" s="1" t="s">
        <v>16822</v>
      </c>
      <c r="D910" s="1" t="s">
        <v>16823</v>
      </c>
      <c r="E910" s="1"/>
      <c r="F910" s="1" t="s">
        <v>16824</v>
      </c>
      <c r="G910" s="1" t="s">
        <v>16825</v>
      </c>
      <c r="H910" s="1" t="s">
        <v>16826</v>
      </c>
      <c r="I910" s="1" t="s">
        <v>16826</v>
      </c>
      <c r="J910" s="1">
        <v>8260957439</v>
      </c>
      <c r="K910" s="1" t="s">
        <v>84</v>
      </c>
      <c r="L910" s="1" t="s">
        <v>16827</v>
      </c>
      <c r="M910" s="1" t="s">
        <v>86</v>
      </c>
      <c r="N910" s="1" t="s">
        <v>8679</v>
      </c>
      <c r="O910" s="1" t="s">
        <v>16828</v>
      </c>
      <c r="P910" s="1" t="s">
        <v>122</v>
      </c>
      <c r="Q910" s="1">
        <v>610535649257</v>
      </c>
      <c r="R910" s="1" t="s">
        <v>16829</v>
      </c>
      <c r="S910" s="1">
        <v>9937132200</v>
      </c>
      <c r="T910" s="1" t="s">
        <v>16830</v>
      </c>
      <c r="U910" s="1" t="s">
        <v>16831</v>
      </c>
      <c r="V910" s="1">
        <v>9937230202</v>
      </c>
      <c r="W910" s="1" t="s">
        <v>16830</v>
      </c>
      <c r="X910" s="1" t="s">
        <v>16832</v>
      </c>
      <c r="Y910" s="1" t="s">
        <v>864</v>
      </c>
      <c r="Z910" s="1" t="s">
        <v>865</v>
      </c>
      <c r="AA910" s="1" t="s">
        <v>16832</v>
      </c>
      <c r="AB910" s="1" t="s">
        <v>864</v>
      </c>
      <c r="AC910" s="1" t="s">
        <v>865</v>
      </c>
      <c r="AD910" s="1" t="s">
        <v>98</v>
      </c>
      <c r="AE910" s="1" t="s">
        <v>98</v>
      </c>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t="s">
        <v>16833</v>
      </c>
      <c r="BU910" s="1" t="str">
        <f>HYPERLINK("https://nconnect.nicmar.ac.in/storage/profile/6a87218ac54c4.png","Download")</f>
        <v>0</v>
      </c>
      <c r="BV910" s="3"/>
      <c r="BW910" s="3"/>
    </row>
    <row r="911" spans="1:75">
      <c r="A911" s="1" t="s">
        <v>75</v>
      </c>
      <c r="B911" s="1" t="s">
        <v>13976</v>
      </c>
      <c r="C911" s="1" t="s">
        <v>16834</v>
      </c>
      <c r="D911" s="1" t="s">
        <v>9165</v>
      </c>
      <c r="E911" s="1"/>
      <c r="F911" s="1" t="s">
        <v>4293</v>
      </c>
      <c r="G911" s="1" t="s">
        <v>16835</v>
      </c>
      <c r="H911" s="1" t="s">
        <v>16836</v>
      </c>
      <c r="I911" s="1" t="s">
        <v>16836</v>
      </c>
      <c r="J911" s="1">
        <v>7022776262</v>
      </c>
      <c r="K911" s="1" t="s">
        <v>84</v>
      </c>
      <c r="L911" s="1" t="s">
        <v>16837</v>
      </c>
      <c r="M911" s="1" t="s">
        <v>86</v>
      </c>
      <c r="N911" s="1" t="s">
        <v>16838</v>
      </c>
      <c r="O911" s="1" t="s">
        <v>16839</v>
      </c>
      <c r="P911" s="1" t="s">
        <v>219</v>
      </c>
      <c r="Q911" s="1">
        <v>527098425222</v>
      </c>
      <c r="R911" s="1" t="s">
        <v>16840</v>
      </c>
      <c r="S911" s="1">
        <v>9686522274</v>
      </c>
      <c r="T911" s="1" t="s">
        <v>13987</v>
      </c>
      <c r="U911" s="1" t="s">
        <v>16841</v>
      </c>
      <c r="V911" s="1">
        <v>8217469915</v>
      </c>
      <c r="W911" s="1" t="s">
        <v>14234</v>
      </c>
      <c r="X911" s="1" t="s">
        <v>16842</v>
      </c>
      <c r="Y911" s="1" t="s">
        <v>9074</v>
      </c>
      <c r="Z911" s="1" t="s">
        <v>1210</v>
      </c>
      <c r="AA911" s="1" t="s">
        <v>16843</v>
      </c>
      <c r="AB911" s="1" t="s">
        <v>9074</v>
      </c>
      <c r="AC911" s="1" t="s">
        <v>1210</v>
      </c>
      <c r="AD911" s="1" t="s">
        <v>98</v>
      </c>
      <c r="AE911" s="1" t="s">
        <v>98</v>
      </c>
      <c r="AF911" s="1" t="s">
        <v>16844</v>
      </c>
      <c r="AG911" s="1" t="s">
        <v>16845</v>
      </c>
      <c r="AH911" s="1" t="s">
        <v>573</v>
      </c>
      <c r="AI911" s="1" t="s">
        <v>171</v>
      </c>
      <c r="AJ911" s="1">
        <v>86.56</v>
      </c>
      <c r="AK911" s="1"/>
      <c r="AL911" s="1" t="s">
        <v>16846</v>
      </c>
      <c r="AM911" s="1" t="s">
        <v>16847</v>
      </c>
      <c r="AN911" s="1" t="s">
        <v>575</v>
      </c>
      <c r="AO911" s="1" t="s">
        <v>174</v>
      </c>
      <c r="AP911" s="1" t="s">
        <v>178</v>
      </c>
      <c r="AQ911" s="1">
        <v>72</v>
      </c>
      <c r="AR911" s="1"/>
      <c r="AS911" s="1"/>
      <c r="AT911" s="1"/>
      <c r="AU911" s="1"/>
      <c r="AV911" s="1"/>
      <c r="AW911" s="1"/>
      <c r="AX911" s="1"/>
      <c r="AY911" s="1" t="s">
        <v>16848</v>
      </c>
      <c r="AZ911" s="1" t="s">
        <v>16849</v>
      </c>
      <c r="BA911" s="1" t="s">
        <v>578</v>
      </c>
      <c r="BB911" s="1" t="s">
        <v>467</v>
      </c>
      <c r="BC911" s="1" t="s">
        <v>233</v>
      </c>
      <c r="BD911" s="1" t="s">
        <v>1242</v>
      </c>
      <c r="BE911" s="1">
        <v>66</v>
      </c>
      <c r="BF911" s="1">
        <v>7.3</v>
      </c>
      <c r="BG911" s="1"/>
      <c r="BH911" s="1"/>
      <c r="BI911" s="1"/>
      <c r="BJ911" s="1"/>
      <c r="BK911" s="1"/>
      <c r="BL911" s="1"/>
      <c r="BM911" s="1"/>
      <c r="BN911" s="1"/>
      <c r="BO911" s="1" t="s">
        <v>16850</v>
      </c>
      <c r="BP911" s="1" t="s">
        <v>16851</v>
      </c>
      <c r="BQ911" s="1" t="s">
        <v>3949</v>
      </c>
      <c r="BR911" s="1"/>
      <c r="BS911" s="1"/>
      <c r="BT911" s="1"/>
      <c r="BU911" s="1" t="str">
        <f>HYPERLINK("https://nconnect.nicmar.ac.in/storage/profile/6a872bd7a7aba.png","Download")</f>
        <v>0</v>
      </c>
      <c r="BV911" s="3"/>
      <c r="BW911" s="3"/>
    </row>
    <row r="912" spans="1:75">
      <c r="A912" s="1" t="s">
        <v>75</v>
      </c>
      <c r="B912" s="1" t="s">
        <v>13976</v>
      </c>
      <c r="C912" s="1" t="s">
        <v>16852</v>
      </c>
      <c r="D912" s="1" t="s">
        <v>16853</v>
      </c>
      <c r="E912" s="1"/>
      <c r="F912" s="1" t="s">
        <v>16854</v>
      </c>
      <c r="G912" s="1" t="s">
        <v>16855</v>
      </c>
      <c r="H912" s="1" t="s">
        <v>16856</v>
      </c>
      <c r="I912" s="1" t="s">
        <v>16856</v>
      </c>
      <c r="J912" s="1">
        <v>8296808613</v>
      </c>
      <c r="K912" s="1" t="s">
        <v>153</v>
      </c>
      <c r="L912" s="1" t="s">
        <v>1278</v>
      </c>
      <c r="M912" s="1" t="s">
        <v>86</v>
      </c>
      <c r="N912" s="1" t="s">
        <v>16857</v>
      </c>
      <c r="O912" s="1" t="s">
        <v>16858</v>
      </c>
      <c r="P912" s="1" t="s">
        <v>122</v>
      </c>
      <c r="Q912" s="1">
        <v>951670389280</v>
      </c>
      <c r="R912" s="1" t="s">
        <v>16859</v>
      </c>
      <c r="S912" s="1">
        <v>9980016215</v>
      </c>
      <c r="T912" s="1" t="s">
        <v>16860</v>
      </c>
      <c r="U912" s="1" t="s">
        <v>16861</v>
      </c>
      <c r="V912" s="1">
        <v>9845662290</v>
      </c>
      <c r="W912" s="1" t="s">
        <v>10306</v>
      </c>
      <c r="X912" s="1" t="s">
        <v>16862</v>
      </c>
      <c r="Y912" s="1" t="s">
        <v>3132</v>
      </c>
      <c r="Z912" s="1" t="s">
        <v>1210</v>
      </c>
      <c r="AA912" s="1" t="s">
        <v>16862</v>
      </c>
      <c r="AB912" s="1" t="s">
        <v>3132</v>
      </c>
      <c r="AC912" s="1" t="s">
        <v>1210</v>
      </c>
      <c r="AD912" s="1" t="s">
        <v>98</v>
      </c>
      <c r="AE912" s="1" t="s">
        <v>98</v>
      </c>
      <c r="AF912" s="1" t="s">
        <v>16863</v>
      </c>
      <c r="AG912" s="1" t="s">
        <v>16864</v>
      </c>
      <c r="AH912" s="1" t="s">
        <v>627</v>
      </c>
      <c r="AI912" s="1" t="s">
        <v>704</v>
      </c>
      <c r="AJ912" s="1">
        <v>89.3</v>
      </c>
      <c r="AK912" s="1">
        <v>9.4</v>
      </c>
      <c r="AL912" s="1" t="s">
        <v>16863</v>
      </c>
      <c r="AM912" s="1" t="s">
        <v>16864</v>
      </c>
      <c r="AN912" s="1" t="s">
        <v>1062</v>
      </c>
      <c r="AO912" s="1" t="s">
        <v>171</v>
      </c>
      <c r="AP912" s="1" t="s">
        <v>547</v>
      </c>
      <c r="AQ912" s="1">
        <v>78.0</v>
      </c>
      <c r="AR912" s="1">
        <v>8.21</v>
      </c>
      <c r="AS912" s="1"/>
      <c r="AT912" s="1"/>
      <c r="AU912" s="1"/>
      <c r="AV912" s="1"/>
      <c r="AW912" s="1"/>
      <c r="AX912" s="1"/>
      <c r="AY912" s="1" t="s">
        <v>16865</v>
      </c>
      <c r="AZ912" s="1" t="s">
        <v>16866</v>
      </c>
      <c r="BA912" s="1" t="s">
        <v>682</v>
      </c>
      <c r="BB912" s="1" t="s">
        <v>683</v>
      </c>
      <c r="BC912" s="1" t="s">
        <v>206</v>
      </c>
      <c r="BD912" s="1" t="s">
        <v>207</v>
      </c>
      <c r="BE912" s="1">
        <v>73.0</v>
      </c>
      <c r="BF912" s="1">
        <v>8.05</v>
      </c>
      <c r="BG912" s="1"/>
      <c r="BH912" s="1"/>
      <c r="BI912" s="1"/>
      <c r="BJ912" s="1"/>
      <c r="BK912" s="1"/>
      <c r="BL912" s="1"/>
      <c r="BM912" s="1"/>
      <c r="BN912" s="1"/>
      <c r="BO912" s="1" t="s">
        <v>16867</v>
      </c>
      <c r="BP912" s="1" t="s">
        <v>16868</v>
      </c>
      <c r="BQ912" s="1" t="s">
        <v>1152</v>
      </c>
      <c r="BR912" s="1" t="s">
        <v>16869</v>
      </c>
      <c r="BS912" s="1">
        <v>16</v>
      </c>
      <c r="BT912" s="1" t="s">
        <v>16870</v>
      </c>
      <c r="BU912" s="1" t="str">
        <f>HYPERLINK("https://nconnect.nicmar.ac.in/storage/profile/6a86fa61ca26d.png","Download")</f>
        <v>0</v>
      </c>
      <c r="BV912" s="3"/>
      <c r="BW912" s="3"/>
    </row>
    <row r="913" spans="1:75">
      <c r="A913" s="1" t="s">
        <v>75</v>
      </c>
      <c r="B913" s="1" t="s">
        <v>13976</v>
      </c>
      <c r="C913" s="1" t="s">
        <v>16871</v>
      </c>
      <c r="D913" s="1" t="s">
        <v>16872</v>
      </c>
      <c r="E913" s="1" t="s">
        <v>14742</v>
      </c>
      <c r="F913" s="1" t="s">
        <v>16873</v>
      </c>
      <c r="G913" s="1" t="s">
        <v>16874</v>
      </c>
      <c r="H913" s="1" t="s">
        <v>16875</v>
      </c>
      <c r="I913" s="1" t="s">
        <v>16875</v>
      </c>
      <c r="J913" s="1">
        <v>8482920596</v>
      </c>
      <c r="K913" s="1" t="s">
        <v>84</v>
      </c>
      <c r="L913" s="1" t="s">
        <v>4219</v>
      </c>
      <c r="M913" s="1" t="s">
        <v>86</v>
      </c>
      <c r="N913" s="1" t="s">
        <v>768</v>
      </c>
      <c r="O913" s="1" t="s">
        <v>16876</v>
      </c>
      <c r="P913" s="1" t="s">
        <v>219</v>
      </c>
      <c r="Q913" s="1">
        <v>908279054288</v>
      </c>
      <c r="R913" s="1" t="s">
        <v>14742</v>
      </c>
      <c r="S913" s="1">
        <v>9421209244</v>
      </c>
      <c r="T913" s="1" t="s">
        <v>14316</v>
      </c>
      <c r="U913" s="1" t="s">
        <v>16877</v>
      </c>
      <c r="V913" s="1">
        <v>9404293029</v>
      </c>
      <c r="W913" s="1" t="s">
        <v>10306</v>
      </c>
      <c r="X913" s="1" t="s">
        <v>16878</v>
      </c>
      <c r="Y913" s="1" t="s">
        <v>5181</v>
      </c>
      <c r="Z913" s="1" t="s">
        <v>97</v>
      </c>
      <c r="AA913" s="1" t="s">
        <v>16878</v>
      </c>
      <c r="AB913" s="1" t="s">
        <v>5181</v>
      </c>
      <c r="AC913" s="1" t="s">
        <v>97</v>
      </c>
      <c r="AD913" s="1" t="s">
        <v>98</v>
      </c>
      <c r="AE913" s="1" t="s">
        <v>98</v>
      </c>
      <c r="AF913" s="1" t="s">
        <v>16879</v>
      </c>
      <c r="AG913" s="1" t="s">
        <v>14238</v>
      </c>
      <c r="AH913" s="1" t="s">
        <v>10573</v>
      </c>
      <c r="AI913" s="1" t="s">
        <v>1110</v>
      </c>
      <c r="AJ913" s="1">
        <v>89.8</v>
      </c>
      <c r="AK913" s="1"/>
      <c r="AL913" s="1" t="s">
        <v>16880</v>
      </c>
      <c r="AM913" s="1" t="s">
        <v>14238</v>
      </c>
      <c r="AN913" s="1" t="s">
        <v>575</v>
      </c>
      <c r="AO913" s="1" t="s">
        <v>342</v>
      </c>
      <c r="AP913" s="1" t="s">
        <v>200</v>
      </c>
      <c r="AQ913" s="1">
        <v>66</v>
      </c>
      <c r="AR913" s="1"/>
      <c r="AS913" s="1"/>
      <c r="AT913" s="1"/>
      <c r="AU913" s="1"/>
      <c r="AV913" s="1"/>
      <c r="AW913" s="1"/>
      <c r="AX913" s="1"/>
      <c r="AY913" s="1" t="s">
        <v>14979</v>
      </c>
      <c r="AZ913" s="1" t="s">
        <v>16881</v>
      </c>
      <c r="BA913" s="1" t="s">
        <v>466</v>
      </c>
      <c r="BB913" s="1" t="s">
        <v>467</v>
      </c>
      <c r="BC913" s="1" t="s">
        <v>230</v>
      </c>
      <c r="BD913" s="1" t="s">
        <v>845</v>
      </c>
      <c r="BE913" s="1">
        <v>64.2</v>
      </c>
      <c r="BF913" s="1">
        <v>7.17</v>
      </c>
      <c r="BG913" s="1"/>
      <c r="BH913" s="1"/>
      <c r="BI913" s="1"/>
      <c r="BJ913" s="1"/>
      <c r="BK913" s="1"/>
      <c r="BL913" s="1"/>
      <c r="BM913" s="1"/>
      <c r="BN913" s="1"/>
      <c r="BO913" s="1" t="s">
        <v>1315</v>
      </c>
      <c r="BP913" s="1" t="s">
        <v>16882</v>
      </c>
      <c r="BQ913" s="1" t="s">
        <v>8862</v>
      </c>
      <c r="BR913" s="1"/>
      <c r="BS913" s="1"/>
      <c r="BT913" s="1" t="s">
        <v>16883</v>
      </c>
      <c r="BU913" s="1" t="str">
        <f>HYPERLINK("https://nconnect.nicmar.ac.in/storage/profile/6a871168062f7.png","Download")</f>
        <v>0</v>
      </c>
      <c r="BV913" s="3"/>
      <c r="BW913" s="3"/>
    </row>
    <row r="914" spans="1:75">
      <c r="A914" s="1" t="s">
        <v>75</v>
      </c>
      <c r="B914" s="1" t="s">
        <v>13976</v>
      </c>
      <c r="C914" s="1" t="s">
        <v>16884</v>
      </c>
      <c r="D914" s="1" t="s">
        <v>16885</v>
      </c>
      <c r="E914" s="1" t="s">
        <v>16886</v>
      </c>
      <c r="F914" s="1" t="s">
        <v>16886</v>
      </c>
      <c r="G914" s="1" t="s">
        <v>16887</v>
      </c>
      <c r="H914" s="1" t="s">
        <v>16888</v>
      </c>
      <c r="I914" s="1" t="s">
        <v>16888</v>
      </c>
      <c r="J914" s="1">
        <v>9867262590</v>
      </c>
      <c r="K914" s="1" t="s">
        <v>84</v>
      </c>
      <c r="L914" s="1" t="s">
        <v>11153</v>
      </c>
      <c r="M914" s="1" t="s">
        <v>86</v>
      </c>
      <c r="N914" s="1" t="s">
        <v>6390</v>
      </c>
      <c r="O914" s="1" t="s">
        <v>16889</v>
      </c>
      <c r="P914" s="1" t="s">
        <v>122</v>
      </c>
      <c r="Q914" s="1">
        <v>807408598877</v>
      </c>
      <c r="R914" s="1" t="s">
        <v>16890</v>
      </c>
      <c r="S914" s="1">
        <v>9870009903</v>
      </c>
      <c r="T914" s="1" t="s">
        <v>16891</v>
      </c>
      <c r="U914" s="1" t="s">
        <v>16892</v>
      </c>
      <c r="V914" s="1">
        <v>9821636419</v>
      </c>
      <c r="W914" s="1" t="s">
        <v>14154</v>
      </c>
      <c r="X914" s="1" t="s">
        <v>16893</v>
      </c>
      <c r="Y914" s="1" t="s">
        <v>1882</v>
      </c>
      <c r="Z914" s="1" t="s">
        <v>97</v>
      </c>
      <c r="AA914" s="1" t="s">
        <v>16893</v>
      </c>
      <c r="AB914" s="1" t="s">
        <v>1882</v>
      </c>
      <c r="AC914" s="1" t="s">
        <v>97</v>
      </c>
      <c r="AD914" s="1" t="s">
        <v>98</v>
      </c>
      <c r="AE914" s="1" t="s">
        <v>98</v>
      </c>
      <c r="AF914" s="1" t="s">
        <v>16894</v>
      </c>
      <c r="AG914" s="1" t="s">
        <v>14261</v>
      </c>
      <c r="AH914" s="1" t="s">
        <v>170</v>
      </c>
      <c r="AI914" s="1" t="s">
        <v>286</v>
      </c>
      <c r="AJ914" s="1">
        <v>82.6</v>
      </c>
      <c r="AK914" s="1"/>
      <c r="AL914" s="1" t="s">
        <v>16895</v>
      </c>
      <c r="AM914" s="1" t="s">
        <v>14261</v>
      </c>
      <c r="AN914" s="1" t="s">
        <v>465</v>
      </c>
      <c r="AO914" s="1" t="s">
        <v>438</v>
      </c>
      <c r="AP914" s="1" t="s">
        <v>365</v>
      </c>
      <c r="AQ914" s="1">
        <v>68.77</v>
      </c>
      <c r="AR914" s="1"/>
      <c r="AS914" s="1"/>
      <c r="AT914" s="1"/>
      <c r="AU914" s="1"/>
      <c r="AV914" s="1"/>
      <c r="AW914" s="1"/>
      <c r="AX914" s="1"/>
      <c r="AY914" s="1" t="s">
        <v>16896</v>
      </c>
      <c r="AZ914" s="1" t="s">
        <v>16897</v>
      </c>
      <c r="BA914" s="1" t="s">
        <v>578</v>
      </c>
      <c r="BB914" s="1" t="s">
        <v>467</v>
      </c>
      <c r="BC914" s="1" t="s">
        <v>368</v>
      </c>
      <c r="BD914" s="1" t="s">
        <v>418</v>
      </c>
      <c r="BE914" s="1">
        <v>65.5</v>
      </c>
      <c r="BF914" s="1">
        <v>7.23</v>
      </c>
      <c r="BG914" s="1"/>
      <c r="BH914" s="1"/>
      <c r="BI914" s="1"/>
      <c r="BJ914" s="1"/>
      <c r="BK914" s="1"/>
      <c r="BL914" s="1"/>
      <c r="BM914" s="1"/>
      <c r="BN914" s="1"/>
      <c r="BO914" s="1" t="s">
        <v>16898</v>
      </c>
      <c r="BP914" s="1" t="s">
        <v>16899</v>
      </c>
      <c r="BQ914" s="1" t="s">
        <v>582</v>
      </c>
      <c r="BR914" s="1"/>
      <c r="BS914" s="1"/>
      <c r="BT914" s="1"/>
      <c r="BU914" s="1" t="str">
        <f>HYPERLINK("https://nconnect.nicmar.ac.in/storage/profile/6a866ed671b08.png","Download")</f>
        <v>0</v>
      </c>
      <c r="BV914" s="3"/>
      <c r="BW914" s="3"/>
    </row>
    <row r="915" spans="1:75">
      <c r="A915" s="1" t="s">
        <v>75</v>
      </c>
      <c r="B915" s="1" t="s">
        <v>13976</v>
      </c>
      <c r="C915" s="1" t="s">
        <v>16900</v>
      </c>
      <c r="D915" s="1" t="s">
        <v>16901</v>
      </c>
      <c r="E915" s="1" t="s">
        <v>16902</v>
      </c>
      <c r="F915" s="1" t="s">
        <v>16903</v>
      </c>
      <c r="G915" s="1" t="s">
        <v>16904</v>
      </c>
      <c r="H915" s="1" t="s">
        <v>16905</v>
      </c>
      <c r="I915" s="1" t="s">
        <v>16905</v>
      </c>
      <c r="J915" s="1">
        <v>8010812808</v>
      </c>
      <c r="K915" s="1" t="s">
        <v>84</v>
      </c>
      <c r="L915" s="1" t="s">
        <v>15747</v>
      </c>
      <c r="M915" s="1" t="s">
        <v>86</v>
      </c>
      <c r="N915" s="1" t="s">
        <v>16906</v>
      </c>
      <c r="O915" s="1" t="s">
        <v>16907</v>
      </c>
      <c r="P915" s="1" t="s">
        <v>356</v>
      </c>
      <c r="Q915" s="1">
        <v>624407640273</v>
      </c>
      <c r="R915" s="1" t="s">
        <v>16908</v>
      </c>
      <c r="S915" s="1">
        <v>9763700633</v>
      </c>
      <c r="T915" s="1" t="s">
        <v>16909</v>
      </c>
      <c r="U915" s="1" t="s">
        <v>16910</v>
      </c>
      <c r="V915" s="1">
        <v>8830028820</v>
      </c>
      <c r="W915" s="1" t="s">
        <v>15313</v>
      </c>
      <c r="X915" s="1" t="s">
        <v>16911</v>
      </c>
      <c r="Y915" s="1" t="s">
        <v>1145</v>
      </c>
      <c r="Z915" s="1" t="s">
        <v>97</v>
      </c>
      <c r="AA915" s="1" t="s">
        <v>16911</v>
      </c>
      <c r="AB915" s="1" t="s">
        <v>1145</v>
      </c>
      <c r="AC915" s="1" t="s">
        <v>97</v>
      </c>
      <c r="AD915" s="1" t="s">
        <v>98</v>
      </c>
      <c r="AE915" s="1" t="s">
        <v>98</v>
      </c>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t="str">
        <f>HYPERLINK("https://nconnect.nicmar.ac.in/storage/profile/6a8708c32de2c.png","Download")</f>
        <v>0</v>
      </c>
      <c r="BV915" s="3"/>
      <c r="BW915" s="3"/>
    </row>
    <row r="916" spans="1:75">
      <c r="A916" s="1" t="s">
        <v>75</v>
      </c>
      <c r="B916" s="1" t="s">
        <v>13976</v>
      </c>
      <c r="C916" s="1" t="s">
        <v>16912</v>
      </c>
      <c r="D916" s="1" t="s">
        <v>16913</v>
      </c>
      <c r="E916" s="1"/>
      <c r="F916" s="1" t="s">
        <v>16914</v>
      </c>
      <c r="G916" s="1" t="s">
        <v>16915</v>
      </c>
      <c r="H916" s="1" t="s">
        <v>16916</v>
      </c>
      <c r="I916" s="1" t="s">
        <v>16917</v>
      </c>
      <c r="J916" s="1">
        <v>7340610549</v>
      </c>
      <c r="K916" s="1" t="s">
        <v>84</v>
      </c>
      <c r="L916" s="1" t="s">
        <v>9300</v>
      </c>
      <c r="M916" s="1" t="s">
        <v>86</v>
      </c>
      <c r="N916" s="1" t="s">
        <v>4857</v>
      </c>
      <c r="O916" s="1" t="s">
        <v>16918</v>
      </c>
      <c r="P916" s="1" t="s">
        <v>219</v>
      </c>
      <c r="Q916" s="1">
        <v>728645283814</v>
      </c>
      <c r="R916" s="1" t="s">
        <v>16919</v>
      </c>
      <c r="S916" s="1">
        <v>9413511498</v>
      </c>
      <c r="T916" s="1" t="s">
        <v>14800</v>
      </c>
      <c r="U916" s="1" t="s">
        <v>16920</v>
      </c>
      <c r="V916" s="1">
        <v>9549196717</v>
      </c>
      <c r="W916" s="1" t="s">
        <v>16921</v>
      </c>
      <c r="X916" s="1" t="s">
        <v>16922</v>
      </c>
      <c r="Y916" s="1" t="s">
        <v>16923</v>
      </c>
      <c r="Z916" s="1" t="s">
        <v>2153</v>
      </c>
      <c r="AA916" s="1" t="s">
        <v>16922</v>
      </c>
      <c r="AB916" s="1" t="s">
        <v>16923</v>
      </c>
      <c r="AC916" s="1" t="s">
        <v>2153</v>
      </c>
      <c r="AD916" s="1" t="s">
        <v>98</v>
      </c>
      <c r="AE916" s="1" t="s">
        <v>98</v>
      </c>
      <c r="AF916" s="1" t="s">
        <v>16924</v>
      </c>
      <c r="AG916" s="1" t="s">
        <v>15703</v>
      </c>
      <c r="AH916" s="1" t="s">
        <v>135</v>
      </c>
      <c r="AI916" s="1" t="s">
        <v>136</v>
      </c>
      <c r="AJ916" s="1">
        <v>79.8</v>
      </c>
      <c r="AK916" s="1" t="s">
        <v>16925</v>
      </c>
      <c r="AL916" s="1" t="s">
        <v>16926</v>
      </c>
      <c r="AM916" s="1" t="s">
        <v>16927</v>
      </c>
      <c r="AN916" s="1" t="s">
        <v>465</v>
      </c>
      <c r="AO916" s="1" t="s">
        <v>1396</v>
      </c>
      <c r="AP916" s="1" t="s">
        <v>573</v>
      </c>
      <c r="AQ916" s="1">
        <v>80.4</v>
      </c>
      <c r="AR916" s="1"/>
      <c r="AS916" s="1"/>
      <c r="AT916" s="1"/>
      <c r="AU916" s="1"/>
      <c r="AV916" s="1"/>
      <c r="AW916" s="1"/>
      <c r="AX916" s="1"/>
      <c r="AY916" s="1" t="s">
        <v>2614</v>
      </c>
      <c r="AZ916" s="1" t="s">
        <v>2615</v>
      </c>
      <c r="BA916" s="1" t="s">
        <v>466</v>
      </c>
      <c r="BB916" s="1" t="s">
        <v>467</v>
      </c>
      <c r="BC916" s="1" t="s">
        <v>106</v>
      </c>
      <c r="BD916" s="1" t="s">
        <v>632</v>
      </c>
      <c r="BE916" s="1">
        <v>86.5</v>
      </c>
      <c r="BF916" s="1">
        <v>8.65</v>
      </c>
      <c r="BG916" s="1"/>
      <c r="BH916" s="1"/>
      <c r="BI916" s="1"/>
      <c r="BJ916" s="1"/>
      <c r="BK916" s="1"/>
      <c r="BL916" s="1"/>
      <c r="BM916" s="1"/>
      <c r="BN916" s="1"/>
      <c r="BO916" s="1" t="s">
        <v>369</v>
      </c>
      <c r="BP916" s="1"/>
      <c r="BQ916" s="1"/>
      <c r="BR916" s="1"/>
      <c r="BS916" s="1"/>
      <c r="BT916" s="1"/>
      <c r="BU916" s="1" t="str">
        <f>HYPERLINK("https://nconnect.nicmar.ac.in/storage/profile/6a871d00b49f6.png","Download")</f>
        <v>0</v>
      </c>
      <c r="BV916" s="3"/>
      <c r="BW916" s="3"/>
    </row>
    <row r="917" spans="1:75">
      <c r="A917" s="1" t="s">
        <v>75</v>
      </c>
      <c r="B917" s="1" t="s">
        <v>13976</v>
      </c>
      <c r="C917" s="1" t="s">
        <v>16928</v>
      </c>
      <c r="D917" s="1" t="s">
        <v>16929</v>
      </c>
      <c r="E917" s="1" t="s">
        <v>16930</v>
      </c>
      <c r="F917" s="1" t="s">
        <v>16931</v>
      </c>
      <c r="G917" s="1" t="s">
        <v>16932</v>
      </c>
      <c r="H917" s="1" t="s">
        <v>16933</v>
      </c>
      <c r="I917" s="1" t="s">
        <v>16933</v>
      </c>
      <c r="J917" s="1">
        <v>7012742646</v>
      </c>
      <c r="K917" s="1" t="s">
        <v>84</v>
      </c>
      <c r="L917" s="1" t="s">
        <v>10137</v>
      </c>
      <c r="M917" s="1" t="s">
        <v>86</v>
      </c>
      <c r="N917" s="1" t="s">
        <v>16934</v>
      </c>
      <c r="O917" s="1" t="s">
        <v>16935</v>
      </c>
      <c r="P917" s="1" t="s">
        <v>356</v>
      </c>
      <c r="Q917" s="1">
        <v>573652683814</v>
      </c>
      <c r="R917" s="1" t="s">
        <v>16936</v>
      </c>
      <c r="S917" s="1">
        <v>9895294224</v>
      </c>
      <c r="T917" s="1" t="s">
        <v>16937</v>
      </c>
      <c r="U917" s="1" t="s">
        <v>16938</v>
      </c>
      <c r="V917" s="1">
        <v>9142027907</v>
      </c>
      <c r="W917" s="1" t="s">
        <v>14154</v>
      </c>
      <c r="X917" s="1" t="s">
        <v>16939</v>
      </c>
      <c r="Y917" s="1" t="s">
        <v>701</v>
      </c>
      <c r="Z917" s="1" t="s">
        <v>130</v>
      </c>
      <c r="AA917" s="1" t="s">
        <v>16939</v>
      </c>
      <c r="AB917" s="1" t="s">
        <v>701</v>
      </c>
      <c r="AC917" s="1" t="s">
        <v>130</v>
      </c>
      <c r="AD917" s="1" t="s">
        <v>98</v>
      </c>
      <c r="AE917" s="1" t="s">
        <v>98</v>
      </c>
      <c r="AF917" s="1" t="s">
        <v>16940</v>
      </c>
      <c r="AG917" s="1" t="s">
        <v>796</v>
      </c>
      <c r="AH917" s="1" t="s">
        <v>106</v>
      </c>
      <c r="AI917" s="1" t="s">
        <v>313</v>
      </c>
      <c r="AJ917" s="1">
        <v>93.6</v>
      </c>
      <c r="AK917" s="1"/>
      <c r="AL917" s="1" t="s">
        <v>16940</v>
      </c>
      <c r="AM917" s="1" t="s">
        <v>796</v>
      </c>
      <c r="AN917" s="1" t="s">
        <v>575</v>
      </c>
      <c r="AO917" s="1" t="s">
        <v>468</v>
      </c>
      <c r="AP917" s="1" t="s">
        <v>549</v>
      </c>
      <c r="AQ917" s="1">
        <v>86.6</v>
      </c>
      <c r="AR917" s="1"/>
      <c r="AS917" s="1"/>
      <c r="AT917" s="1"/>
      <c r="AU917" s="1"/>
      <c r="AV917" s="1"/>
      <c r="AW917" s="1"/>
      <c r="AX917" s="1"/>
      <c r="AY917" s="1" t="s">
        <v>15573</v>
      </c>
      <c r="AZ917" s="1" t="s">
        <v>16941</v>
      </c>
      <c r="BA917" s="1" t="s">
        <v>466</v>
      </c>
      <c r="BB917" s="1" t="s">
        <v>467</v>
      </c>
      <c r="BC917" s="1" t="s">
        <v>140</v>
      </c>
      <c r="BD917" s="1" t="s">
        <v>553</v>
      </c>
      <c r="BE917" s="1">
        <v>68.18</v>
      </c>
      <c r="BF917" s="1">
        <v>6.99</v>
      </c>
      <c r="BG917" s="1"/>
      <c r="BH917" s="1"/>
      <c r="BI917" s="1"/>
      <c r="BJ917" s="1"/>
      <c r="BK917" s="1"/>
      <c r="BL917" s="1"/>
      <c r="BM917" s="1"/>
      <c r="BN917" s="1"/>
      <c r="BO917" s="1" t="s">
        <v>16942</v>
      </c>
      <c r="BP917" s="1"/>
      <c r="BQ917" s="1"/>
      <c r="BR917" s="1" t="s">
        <v>16943</v>
      </c>
      <c r="BS917" s="1">
        <v>1</v>
      </c>
      <c r="BT917" s="1" t="s">
        <v>16944</v>
      </c>
      <c r="BU917" s="1" t="str">
        <f>HYPERLINK("https://nconnect.nicmar.ac.in/storage/profile/6a86f30f3fe30.png","Download")</f>
        <v>0</v>
      </c>
      <c r="BV917" s="3"/>
      <c r="BW917" s="3"/>
    </row>
    <row r="918" spans="1:75">
      <c r="A918" s="1" t="s">
        <v>75</v>
      </c>
      <c r="B918" s="1" t="s">
        <v>13976</v>
      </c>
      <c r="C918" s="1" t="s">
        <v>16945</v>
      </c>
      <c r="D918" s="1" t="s">
        <v>16946</v>
      </c>
      <c r="E918" s="1"/>
      <c r="F918" s="1" t="s">
        <v>16947</v>
      </c>
      <c r="G918" s="1" t="s">
        <v>16948</v>
      </c>
      <c r="H918" s="1" t="s">
        <v>16949</v>
      </c>
      <c r="I918" s="1" t="s">
        <v>16949</v>
      </c>
      <c r="J918" s="1">
        <v>7021724634</v>
      </c>
      <c r="K918" s="1" t="s">
        <v>84</v>
      </c>
      <c r="L918" s="1" t="s">
        <v>5580</v>
      </c>
      <c r="M918" s="1" t="s">
        <v>86</v>
      </c>
      <c r="N918" s="1" t="s">
        <v>16950</v>
      </c>
      <c r="O918" s="1" t="s">
        <v>16951</v>
      </c>
      <c r="P918" s="1" t="s">
        <v>122</v>
      </c>
      <c r="Q918" s="1">
        <v>445110639853</v>
      </c>
      <c r="R918" s="1" t="s">
        <v>16952</v>
      </c>
      <c r="S918" s="1">
        <v>9967624154</v>
      </c>
      <c r="T918" s="1" t="s">
        <v>16953</v>
      </c>
      <c r="U918" s="1" t="s">
        <v>16954</v>
      </c>
      <c r="V918" s="1">
        <v>9820224154</v>
      </c>
      <c r="W918" s="1" t="s">
        <v>14212</v>
      </c>
      <c r="X918" s="1" t="s">
        <v>16955</v>
      </c>
      <c r="Y918" s="1" t="s">
        <v>2259</v>
      </c>
      <c r="Z918" s="1" t="s">
        <v>97</v>
      </c>
      <c r="AA918" s="1" t="s">
        <v>16955</v>
      </c>
      <c r="AB918" s="1" t="s">
        <v>2259</v>
      </c>
      <c r="AC918" s="1" t="s">
        <v>97</v>
      </c>
      <c r="AD918" s="1" t="s">
        <v>98</v>
      </c>
      <c r="AE918" s="1" t="s">
        <v>98</v>
      </c>
      <c r="AF918" s="1" t="s">
        <v>16956</v>
      </c>
      <c r="AG918" s="1" t="s">
        <v>2181</v>
      </c>
      <c r="AH918" s="1" t="s">
        <v>16957</v>
      </c>
      <c r="AI918" s="1" t="s">
        <v>573</v>
      </c>
      <c r="AJ918" s="1">
        <v>71.33</v>
      </c>
      <c r="AK918" s="1"/>
      <c r="AL918" s="1" t="s">
        <v>16958</v>
      </c>
      <c r="AM918" s="1" t="s">
        <v>2181</v>
      </c>
      <c r="AN918" s="1" t="s">
        <v>465</v>
      </c>
      <c r="AO918" s="1" t="s">
        <v>388</v>
      </c>
      <c r="AP918" s="1" t="s">
        <v>313</v>
      </c>
      <c r="AQ918" s="1">
        <v>61.8</v>
      </c>
      <c r="AR918" s="1"/>
      <c r="AS918" s="1"/>
      <c r="AT918" s="1"/>
      <c r="AU918" s="1"/>
      <c r="AV918" s="1"/>
      <c r="AW918" s="1"/>
      <c r="AX918" s="1"/>
      <c r="AY918" s="1" t="s">
        <v>14059</v>
      </c>
      <c r="AZ918" s="1" t="s">
        <v>16959</v>
      </c>
      <c r="BA918" s="1" t="s">
        <v>682</v>
      </c>
      <c r="BB918" s="1" t="s">
        <v>1479</v>
      </c>
      <c r="BC918" s="1" t="s">
        <v>206</v>
      </c>
      <c r="BD918" s="1" t="s">
        <v>418</v>
      </c>
      <c r="BE918" s="1">
        <v>61.2</v>
      </c>
      <c r="BF918" s="1">
        <v>6.93</v>
      </c>
      <c r="BG918" s="1"/>
      <c r="BH918" s="1"/>
      <c r="BI918" s="1"/>
      <c r="BJ918" s="1"/>
      <c r="BK918" s="1"/>
      <c r="BL918" s="1"/>
      <c r="BM918" s="1"/>
      <c r="BN918" s="1"/>
      <c r="BO918" s="1" t="s">
        <v>16960</v>
      </c>
      <c r="BP918" s="1" t="s">
        <v>16961</v>
      </c>
      <c r="BQ918" s="1" t="s">
        <v>1152</v>
      </c>
      <c r="BR918" s="1" t="s">
        <v>16962</v>
      </c>
      <c r="BS918" s="1">
        <v>29</v>
      </c>
      <c r="BT918" s="1"/>
      <c r="BU918" s="1" t="str">
        <f>HYPERLINK("https://nconnect.nicmar.ac.in/storage/profile/6a8739a9a4c0c.png","Download")</f>
        <v>0</v>
      </c>
      <c r="BV918" s="3"/>
      <c r="BW918" s="3"/>
    </row>
    <row r="919" spans="1:75">
      <c r="A919" s="1" t="s">
        <v>75</v>
      </c>
      <c r="B919" s="1" t="s">
        <v>13976</v>
      </c>
      <c r="C919" s="1" t="s">
        <v>16963</v>
      </c>
      <c r="D919" s="1" t="s">
        <v>16964</v>
      </c>
      <c r="E919" s="1" t="s">
        <v>16965</v>
      </c>
      <c r="F919" s="1" t="s">
        <v>16966</v>
      </c>
      <c r="G919" s="1" t="s">
        <v>16967</v>
      </c>
      <c r="H919" s="1" t="s">
        <v>16968</v>
      </c>
      <c r="I919" s="1" t="s">
        <v>16968</v>
      </c>
      <c r="J919" s="1">
        <v>9633969403</v>
      </c>
      <c r="K919" s="1" t="s">
        <v>153</v>
      </c>
      <c r="L919" s="1" t="s">
        <v>16969</v>
      </c>
      <c r="M919" s="1" t="s">
        <v>155</v>
      </c>
      <c r="N919" s="1" t="s">
        <v>2699</v>
      </c>
      <c r="O919" s="1" t="s">
        <v>16970</v>
      </c>
      <c r="P919" s="1" t="s">
        <v>356</v>
      </c>
      <c r="Q919" s="1">
        <v>330588608508</v>
      </c>
      <c r="R919" s="1" t="s">
        <v>16971</v>
      </c>
      <c r="S919" s="1">
        <v>9895334897</v>
      </c>
      <c r="T919" s="1" t="s">
        <v>16972</v>
      </c>
      <c r="U919" s="1" t="s">
        <v>16973</v>
      </c>
      <c r="V919" s="1">
        <v>9567774997</v>
      </c>
      <c r="W919" s="1" t="s">
        <v>541</v>
      </c>
      <c r="X919" s="1" t="s">
        <v>16974</v>
      </c>
      <c r="Y919" s="1" t="s">
        <v>701</v>
      </c>
      <c r="Z919" s="1" t="s">
        <v>130</v>
      </c>
      <c r="AA919" s="1" t="s">
        <v>16975</v>
      </c>
      <c r="AB919" s="1" t="s">
        <v>701</v>
      </c>
      <c r="AC919" s="1" t="s">
        <v>130</v>
      </c>
      <c r="AD919" s="1" t="s">
        <v>98</v>
      </c>
      <c r="AE919" s="1" t="s">
        <v>98</v>
      </c>
      <c r="AF919" s="1" t="s">
        <v>16976</v>
      </c>
      <c r="AG919" s="1" t="s">
        <v>16977</v>
      </c>
      <c r="AH919" s="1" t="s">
        <v>166</v>
      </c>
      <c r="AI919" s="1" t="s">
        <v>284</v>
      </c>
      <c r="AJ919" s="1">
        <v>100</v>
      </c>
      <c r="AK919" s="1"/>
      <c r="AL919" s="1" t="s">
        <v>16978</v>
      </c>
      <c r="AM919" s="1" t="s">
        <v>16979</v>
      </c>
      <c r="AN919" s="1" t="s">
        <v>575</v>
      </c>
      <c r="AO919" s="1" t="s">
        <v>167</v>
      </c>
      <c r="AP919" s="1" t="s">
        <v>171</v>
      </c>
      <c r="AQ919" s="1">
        <v>88.33</v>
      </c>
      <c r="AR919" s="1"/>
      <c r="AS919" s="1"/>
      <c r="AT919" s="1"/>
      <c r="AU919" s="1"/>
      <c r="AV919" s="1"/>
      <c r="AW919" s="1"/>
      <c r="AX919" s="1"/>
      <c r="AY919" s="1" t="s">
        <v>15573</v>
      </c>
      <c r="AZ919" s="1" t="s">
        <v>16980</v>
      </c>
      <c r="BA919" s="1" t="s">
        <v>466</v>
      </c>
      <c r="BB919" s="1" t="s">
        <v>467</v>
      </c>
      <c r="BC919" s="1" t="s">
        <v>315</v>
      </c>
      <c r="BD919" s="1" t="s">
        <v>391</v>
      </c>
      <c r="BE919" s="1">
        <v>81</v>
      </c>
      <c r="BF919" s="1">
        <v>8.1</v>
      </c>
      <c r="BG919" s="1"/>
      <c r="BH919" s="1"/>
      <c r="BI919" s="1"/>
      <c r="BJ919" s="1"/>
      <c r="BK919" s="1"/>
      <c r="BL919" s="1"/>
      <c r="BM919" s="1"/>
      <c r="BN919" s="1"/>
      <c r="BO919" s="1" t="s">
        <v>16981</v>
      </c>
      <c r="BP919" s="1" t="s">
        <v>16982</v>
      </c>
      <c r="BQ919" s="1" t="s">
        <v>7647</v>
      </c>
      <c r="BR919" s="1"/>
      <c r="BS919" s="1"/>
      <c r="BT919" s="1"/>
      <c r="BU919" s="1" t="str">
        <f>HYPERLINK("https://nconnect.nicmar.ac.in/storage/profile/6a872b6705f0a.png","Download")</f>
        <v>0</v>
      </c>
      <c r="BV919" s="3"/>
      <c r="BW919" s="3"/>
    </row>
    <row r="920" spans="1:75">
      <c r="A920" s="1" t="s">
        <v>75</v>
      </c>
      <c r="B920" s="1" t="s">
        <v>13976</v>
      </c>
      <c r="C920" s="1" t="s">
        <v>16983</v>
      </c>
      <c r="D920" s="1" t="s">
        <v>16984</v>
      </c>
      <c r="E920" s="1" t="s">
        <v>16287</v>
      </c>
      <c r="F920" s="1" t="s">
        <v>16985</v>
      </c>
      <c r="G920" s="1" t="s">
        <v>16986</v>
      </c>
      <c r="H920" s="1" t="s">
        <v>16987</v>
      </c>
      <c r="I920" s="1" t="s">
        <v>16987</v>
      </c>
      <c r="J920" s="1">
        <v>6281939391</v>
      </c>
      <c r="K920" s="1" t="s">
        <v>84</v>
      </c>
      <c r="L920" s="1" t="s">
        <v>6051</v>
      </c>
      <c r="M920" s="1" t="s">
        <v>86</v>
      </c>
      <c r="N920" s="1" t="s">
        <v>16988</v>
      </c>
      <c r="O920" s="1" t="s">
        <v>16989</v>
      </c>
      <c r="P920" s="1" t="s">
        <v>122</v>
      </c>
      <c r="Q920" s="1">
        <v>702894023469</v>
      </c>
      <c r="R920" s="1" t="s">
        <v>16287</v>
      </c>
      <c r="S920" s="1">
        <v>9225619101</v>
      </c>
      <c r="T920" s="1" t="s">
        <v>3439</v>
      </c>
      <c r="U920" s="1" t="s">
        <v>16990</v>
      </c>
      <c r="V920" s="1">
        <v>8855976627</v>
      </c>
      <c r="W920" s="1" t="s">
        <v>14154</v>
      </c>
      <c r="X920" s="1" t="s">
        <v>16991</v>
      </c>
      <c r="Y920" s="1" t="s">
        <v>196</v>
      </c>
      <c r="Z920" s="1" t="s">
        <v>97</v>
      </c>
      <c r="AA920" s="1" t="s">
        <v>16991</v>
      </c>
      <c r="AB920" s="1" t="s">
        <v>196</v>
      </c>
      <c r="AC920" s="1" t="s">
        <v>97</v>
      </c>
      <c r="AD920" s="1" t="s">
        <v>98</v>
      </c>
      <c r="AE920" s="1" t="s">
        <v>98</v>
      </c>
      <c r="AF920" s="1" t="s">
        <v>16992</v>
      </c>
      <c r="AG920" s="1" t="s">
        <v>16993</v>
      </c>
      <c r="AH920" s="1" t="s">
        <v>2783</v>
      </c>
      <c r="AI920" s="1" t="s">
        <v>1111</v>
      </c>
      <c r="AJ920" s="1">
        <v>66.6</v>
      </c>
      <c r="AK920" s="1"/>
      <c r="AL920" s="1"/>
      <c r="AM920" s="1"/>
      <c r="AN920" s="1"/>
      <c r="AO920" s="1"/>
      <c r="AP920" s="1"/>
      <c r="AQ920" s="1"/>
      <c r="AR920" s="1"/>
      <c r="AS920" s="1" t="s">
        <v>467</v>
      </c>
      <c r="AT920" s="1" t="s">
        <v>16994</v>
      </c>
      <c r="AU920" s="1" t="s">
        <v>139</v>
      </c>
      <c r="AV920" s="1" t="s">
        <v>140</v>
      </c>
      <c r="AW920" s="1">
        <v>76.12</v>
      </c>
      <c r="AX920" s="1"/>
      <c r="AY920" s="1" t="s">
        <v>16995</v>
      </c>
      <c r="AZ920" s="1" t="s">
        <v>16996</v>
      </c>
      <c r="BA920" s="1" t="s">
        <v>578</v>
      </c>
      <c r="BB920" s="1" t="s">
        <v>467</v>
      </c>
      <c r="BC920" s="1" t="s">
        <v>871</v>
      </c>
      <c r="BD920" s="1" t="s">
        <v>16997</v>
      </c>
      <c r="BE920" s="1">
        <v>65.4</v>
      </c>
      <c r="BF920" s="1">
        <v>7.29</v>
      </c>
      <c r="BG920" s="1"/>
      <c r="BH920" s="1"/>
      <c r="BI920" s="1"/>
      <c r="BJ920" s="1"/>
      <c r="BK920" s="1"/>
      <c r="BL920" s="1"/>
      <c r="BM920" s="1"/>
      <c r="BN920" s="1"/>
      <c r="BO920" s="1" t="s">
        <v>14717</v>
      </c>
      <c r="BP920" s="1"/>
      <c r="BQ920" s="1"/>
      <c r="BR920" s="1"/>
      <c r="BS920" s="1"/>
      <c r="BT920" s="1" t="s">
        <v>849</v>
      </c>
      <c r="BU920" s="1" t="str">
        <f>HYPERLINK("https://nconnect.nicmar.ac.in/storage/profile/6a871a3ddc388.png","Download")</f>
        <v>0</v>
      </c>
      <c r="BV920" s="3"/>
      <c r="BW920" s="3"/>
    </row>
    <row r="921" spans="1:75">
      <c r="A921" s="1" t="s">
        <v>75</v>
      </c>
      <c r="B921" s="1" t="s">
        <v>13976</v>
      </c>
      <c r="C921" s="1" t="s">
        <v>16998</v>
      </c>
      <c r="D921" s="1" t="s">
        <v>1021</v>
      </c>
      <c r="E921" s="1" t="s">
        <v>10044</v>
      </c>
      <c r="F921" s="1" t="s">
        <v>16999</v>
      </c>
      <c r="G921" s="1" t="s">
        <v>17000</v>
      </c>
      <c r="H921" s="1" t="s">
        <v>17001</v>
      </c>
      <c r="I921" s="1" t="s">
        <v>17001</v>
      </c>
      <c r="J921" s="1">
        <v>7083097225</v>
      </c>
      <c r="K921" s="1" t="s">
        <v>84</v>
      </c>
      <c r="L921" s="1" t="s">
        <v>17002</v>
      </c>
      <c r="M921" s="1" t="s">
        <v>86</v>
      </c>
      <c r="N921" s="1" t="s">
        <v>903</v>
      </c>
      <c r="O921" s="1" t="s">
        <v>17003</v>
      </c>
      <c r="P921" s="1" t="s">
        <v>219</v>
      </c>
      <c r="Q921" s="1">
        <v>947526865041</v>
      </c>
      <c r="R921" s="1" t="s">
        <v>10044</v>
      </c>
      <c r="S921" s="1">
        <v>9673796459</v>
      </c>
      <c r="T921" s="1" t="s">
        <v>159</v>
      </c>
      <c r="U921" s="1" t="s">
        <v>17004</v>
      </c>
      <c r="V921" s="1">
        <v>9145410552</v>
      </c>
      <c r="W921" s="1" t="s">
        <v>278</v>
      </c>
      <c r="X921" s="1" t="s">
        <v>17005</v>
      </c>
      <c r="Y921" s="1" t="s">
        <v>410</v>
      </c>
      <c r="Z921" s="1" t="s">
        <v>97</v>
      </c>
      <c r="AA921" s="1" t="s">
        <v>17005</v>
      </c>
      <c r="AB921" s="1" t="s">
        <v>410</v>
      </c>
      <c r="AC921" s="1" t="s">
        <v>97</v>
      </c>
      <c r="AD921" s="1" t="s">
        <v>98</v>
      </c>
      <c r="AE921" s="1" t="s">
        <v>98</v>
      </c>
      <c r="AF921" s="1" t="s">
        <v>17006</v>
      </c>
      <c r="AG921" s="1" t="s">
        <v>11782</v>
      </c>
      <c r="AH921" s="1" t="s">
        <v>1262</v>
      </c>
      <c r="AI921" s="1" t="s">
        <v>166</v>
      </c>
      <c r="AJ921" s="1">
        <v>85.6</v>
      </c>
      <c r="AK921" s="1"/>
      <c r="AL921" s="1" t="s">
        <v>17007</v>
      </c>
      <c r="AM921" s="1" t="s">
        <v>11782</v>
      </c>
      <c r="AN921" s="1" t="s">
        <v>575</v>
      </c>
      <c r="AO921" s="1" t="s">
        <v>627</v>
      </c>
      <c r="AP921" s="1" t="s">
        <v>170</v>
      </c>
      <c r="AQ921" s="1">
        <v>69.69</v>
      </c>
      <c r="AR921" s="1"/>
      <c r="AS921" s="1"/>
      <c r="AT921" s="1"/>
      <c r="AU921" s="1"/>
      <c r="AV921" s="1"/>
      <c r="AW921" s="1"/>
      <c r="AX921" s="1"/>
      <c r="AY921" s="1" t="s">
        <v>17008</v>
      </c>
      <c r="AZ921" s="1" t="s">
        <v>17009</v>
      </c>
      <c r="BA921" s="1" t="s">
        <v>578</v>
      </c>
      <c r="BB921" s="1" t="s">
        <v>467</v>
      </c>
      <c r="BC921" s="1" t="s">
        <v>230</v>
      </c>
      <c r="BD921" s="1" t="s">
        <v>606</v>
      </c>
      <c r="BE921" s="1">
        <v>86.2</v>
      </c>
      <c r="BF921" s="1">
        <v>9.37</v>
      </c>
      <c r="BG921" s="1" t="s">
        <v>17010</v>
      </c>
      <c r="BH921" s="1" t="s">
        <v>17011</v>
      </c>
      <c r="BI921" s="1" t="s">
        <v>2209</v>
      </c>
      <c r="BJ921" s="1" t="s">
        <v>1585</v>
      </c>
      <c r="BK921" s="1" t="s">
        <v>391</v>
      </c>
      <c r="BL921" s="1" t="s">
        <v>1401</v>
      </c>
      <c r="BM921" s="1">
        <v>71.1</v>
      </c>
      <c r="BN921" s="1">
        <v>7.11</v>
      </c>
      <c r="BO921" s="1" t="s">
        <v>1666</v>
      </c>
      <c r="BP921" s="1" t="s">
        <v>17012</v>
      </c>
      <c r="BQ921" s="1" t="s">
        <v>1070</v>
      </c>
      <c r="BR921" s="1" t="s">
        <v>17013</v>
      </c>
      <c r="BS921" s="1">
        <v>2</v>
      </c>
      <c r="BT921" s="1"/>
      <c r="BU921" s="1" t="str">
        <f>HYPERLINK("https://nconnect.nicmar.ac.in/storage/profile/6a86eaf24de10.png","Download")</f>
        <v>0</v>
      </c>
      <c r="BV921" s="3"/>
      <c r="BW921" s="3"/>
    </row>
    <row r="922" spans="1:75">
      <c r="A922" s="1" t="s">
        <v>75</v>
      </c>
      <c r="B922" s="1" t="s">
        <v>13976</v>
      </c>
      <c r="C922" s="1" t="s">
        <v>17014</v>
      </c>
      <c r="D922" s="1" t="s">
        <v>17015</v>
      </c>
      <c r="E922" s="1"/>
      <c r="F922" s="1" t="s">
        <v>17016</v>
      </c>
      <c r="G922" s="1" t="s">
        <v>17017</v>
      </c>
      <c r="H922" s="1" t="s">
        <v>17018</v>
      </c>
      <c r="I922" s="1" t="s">
        <v>17019</v>
      </c>
      <c r="J922" s="1">
        <v>7722989431</v>
      </c>
      <c r="K922" s="1" t="s">
        <v>84</v>
      </c>
      <c r="L922" s="1" t="s">
        <v>16554</v>
      </c>
      <c r="M922" s="1" t="s">
        <v>86</v>
      </c>
      <c r="N922" s="1" t="s">
        <v>4857</v>
      </c>
      <c r="O922" s="1" t="s">
        <v>17020</v>
      </c>
      <c r="P922" s="1" t="s">
        <v>122</v>
      </c>
      <c r="Q922" s="1">
        <v>648411154072</v>
      </c>
      <c r="R922" s="1" t="s">
        <v>17021</v>
      </c>
      <c r="S922" s="1">
        <v>7879514649</v>
      </c>
      <c r="T922" s="1" t="s">
        <v>17022</v>
      </c>
      <c r="U922" s="1" t="s">
        <v>17023</v>
      </c>
      <c r="V922" s="1">
        <v>7869181522</v>
      </c>
      <c r="W922" s="1" t="s">
        <v>3441</v>
      </c>
      <c r="X922" s="1" t="s">
        <v>17024</v>
      </c>
      <c r="Y922" s="1" t="s">
        <v>9103</v>
      </c>
      <c r="Z922" s="1" t="s">
        <v>3419</v>
      </c>
      <c r="AA922" s="1" t="s">
        <v>17024</v>
      </c>
      <c r="AB922" s="1" t="s">
        <v>9103</v>
      </c>
      <c r="AC922" s="1" t="s">
        <v>3419</v>
      </c>
      <c r="AD922" s="1" t="s">
        <v>98</v>
      </c>
      <c r="AE922" s="1" t="s">
        <v>98</v>
      </c>
      <c r="AF922" s="1" t="s">
        <v>17025</v>
      </c>
      <c r="AG922" s="1" t="s">
        <v>9682</v>
      </c>
      <c r="AH922" s="1" t="s">
        <v>284</v>
      </c>
      <c r="AI922" s="1" t="s">
        <v>573</v>
      </c>
      <c r="AJ922" s="1">
        <v>72.2</v>
      </c>
      <c r="AK922" s="1">
        <v>7.6</v>
      </c>
      <c r="AL922" s="1" t="s">
        <v>17025</v>
      </c>
      <c r="AM922" s="1" t="s">
        <v>9682</v>
      </c>
      <c r="AN922" s="1" t="s">
        <v>465</v>
      </c>
      <c r="AO922" s="1" t="s">
        <v>490</v>
      </c>
      <c r="AP922" s="1" t="s">
        <v>313</v>
      </c>
      <c r="AQ922" s="1">
        <v>64.4</v>
      </c>
      <c r="AR922" s="1"/>
      <c r="AS922" s="1"/>
      <c r="AT922" s="1"/>
      <c r="AU922" s="1"/>
      <c r="AV922" s="1"/>
      <c r="AW922" s="1"/>
      <c r="AX922" s="1"/>
      <c r="AY922" s="1" t="s">
        <v>17026</v>
      </c>
      <c r="AZ922" s="1" t="s">
        <v>17027</v>
      </c>
      <c r="BA922" s="1" t="s">
        <v>466</v>
      </c>
      <c r="BB922" s="1" t="s">
        <v>467</v>
      </c>
      <c r="BC922" s="1" t="s">
        <v>206</v>
      </c>
      <c r="BD922" s="1" t="s">
        <v>955</v>
      </c>
      <c r="BE922" s="1">
        <v>82.4</v>
      </c>
      <c r="BF922" s="1">
        <v>8.24</v>
      </c>
      <c r="BG922" s="1"/>
      <c r="BH922" s="1"/>
      <c r="BI922" s="1"/>
      <c r="BJ922" s="1"/>
      <c r="BK922" s="1"/>
      <c r="BL922" s="1"/>
      <c r="BM922" s="1"/>
      <c r="BN922" s="1"/>
      <c r="BO922" s="1" t="s">
        <v>17028</v>
      </c>
      <c r="BP922" s="1" t="s">
        <v>17029</v>
      </c>
      <c r="BQ922" s="1" t="s">
        <v>6365</v>
      </c>
      <c r="BR922" s="1"/>
      <c r="BS922" s="1"/>
      <c r="BT922" s="1" t="s">
        <v>17030</v>
      </c>
      <c r="BU922" s="1" t="str">
        <f>HYPERLINK("https://nconnect.nicmar.ac.in/storage/profile/6a85fb1c98172.png","Download")</f>
        <v>0</v>
      </c>
      <c r="BV922" s="3"/>
      <c r="BW922" s="3"/>
    </row>
    <row r="923" spans="1:75">
      <c r="A923" s="1" t="s">
        <v>75</v>
      </c>
      <c r="B923" s="1" t="s">
        <v>13976</v>
      </c>
      <c r="C923" s="1" t="s">
        <v>17031</v>
      </c>
      <c r="D923" s="1" t="s">
        <v>17032</v>
      </c>
      <c r="E923" s="1"/>
      <c r="F923" s="1" t="s">
        <v>17033</v>
      </c>
      <c r="G923" s="1" t="s">
        <v>17034</v>
      </c>
      <c r="H923" s="1" t="s">
        <v>17035</v>
      </c>
      <c r="I923" s="1" t="s">
        <v>17035</v>
      </c>
      <c r="J923" s="1">
        <v>9080352752</v>
      </c>
      <c r="K923" s="1" t="s">
        <v>84</v>
      </c>
      <c r="L923" s="1" t="s">
        <v>480</v>
      </c>
      <c r="M923" s="1" t="s">
        <v>86</v>
      </c>
      <c r="N923" s="1" t="s">
        <v>17036</v>
      </c>
      <c r="O923" s="1" t="s">
        <v>17037</v>
      </c>
      <c r="P923" s="1" t="s">
        <v>219</v>
      </c>
      <c r="Q923" s="1">
        <v>829113235707</v>
      </c>
      <c r="R923" s="1" t="s">
        <v>17038</v>
      </c>
      <c r="S923" s="1">
        <v>9442873997</v>
      </c>
      <c r="T923" s="1" t="s">
        <v>17039</v>
      </c>
      <c r="U923" s="1" t="s">
        <v>17040</v>
      </c>
      <c r="V923" s="1">
        <v>9443023997</v>
      </c>
      <c r="W923" s="1" t="s">
        <v>9679</v>
      </c>
      <c r="X923" s="1" t="s">
        <v>17041</v>
      </c>
      <c r="Y923" s="1" t="s">
        <v>9770</v>
      </c>
      <c r="Z923" s="1" t="s">
        <v>570</v>
      </c>
      <c r="AA923" s="1" t="s">
        <v>17041</v>
      </c>
      <c r="AB923" s="1" t="s">
        <v>9770</v>
      </c>
      <c r="AC923" s="1" t="s">
        <v>570</v>
      </c>
      <c r="AD923" s="1" t="s">
        <v>98</v>
      </c>
      <c r="AE923" s="1" t="s">
        <v>98</v>
      </c>
      <c r="AF923" s="1" t="s">
        <v>17042</v>
      </c>
      <c r="AG923" s="1" t="s">
        <v>17043</v>
      </c>
      <c r="AH923" s="1" t="s">
        <v>106</v>
      </c>
      <c r="AI923" s="1" t="s">
        <v>414</v>
      </c>
      <c r="AJ923" s="1">
        <v>93</v>
      </c>
      <c r="AK923" s="1"/>
      <c r="AL923" s="1" t="s">
        <v>17044</v>
      </c>
      <c r="AM923" s="1" t="s">
        <v>17043</v>
      </c>
      <c r="AN923" s="1" t="s">
        <v>575</v>
      </c>
      <c r="AO923" s="1" t="s">
        <v>438</v>
      </c>
      <c r="AP923" s="1" t="s">
        <v>845</v>
      </c>
      <c r="AQ923" s="1">
        <v>92</v>
      </c>
      <c r="AR923" s="1"/>
      <c r="AS923" s="1"/>
      <c r="AT923" s="1"/>
      <c r="AU923" s="1"/>
      <c r="AV923" s="1"/>
      <c r="AW923" s="1"/>
      <c r="AX923" s="1"/>
      <c r="AY923" s="1" t="s">
        <v>17045</v>
      </c>
      <c r="AZ923" s="1" t="s">
        <v>17046</v>
      </c>
      <c r="BA923" s="1" t="s">
        <v>466</v>
      </c>
      <c r="BB923" s="1" t="s">
        <v>467</v>
      </c>
      <c r="BC923" s="1" t="s">
        <v>441</v>
      </c>
      <c r="BD923" s="1" t="s">
        <v>15515</v>
      </c>
      <c r="BE923" s="1">
        <v>71.7</v>
      </c>
      <c r="BF923" s="1">
        <v>7.17</v>
      </c>
      <c r="BG923" s="1"/>
      <c r="BH923" s="1"/>
      <c r="BI923" s="1"/>
      <c r="BJ923" s="1"/>
      <c r="BK923" s="1"/>
      <c r="BL923" s="1"/>
      <c r="BM923" s="1"/>
      <c r="BN923" s="1"/>
      <c r="BO923" s="1" t="s">
        <v>17047</v>
      </c>
      <c r="BP923" s="1"/>
      <c r="BQ923" s="1"/>
      <c r="BR923" s="1" t="s">
        <v>17048</v>
      </c>
      <c r="BS923" s="1">
        <v>56</v>
      </c>
      <c r="BT923" s="1" t="s">
        <v>17049</v>
      </c>
      <c r="BU923" s="1" t="str">
        <f>HYPERLINK("https://nconnect.nicmar.ac.in/storage/profile/6a8745b5bbad4.png","Download")</f>
        <v>0</v>
      </c>
      <c r="BV923" s="3"/>
      <c r="BW923" s="3"/>
    </row>
    <row r="924" spans="1:75">
      <c r="A924" s="1" t="s">
        <v>75</v>
      </c>
      <c r="B924" s="1" t="s">
        <v>13976</v>
      </c>
      <c r="C924" s="1" t="s">
        <v>17050</v>
      </c>
      <c r="D924" s="1" t="s">
        <v>17051</v>
      </c>
      <c r="E924" s="1" t="s">
        <v>4802</v>
      </c>
      <c r="F924" s="1" t="s">
        <v>17052</v>
      </c>
      <c r="G924" s="1" t="s">
        <v>17053</v>
      </c>
      <c r="H924" s="1" t="s">
        <v>17054</v>
      </c>
      <c r="I924" s="1" t="s">
        <v>17054</v>
      </c>
      <c r="J924" s="1">
        <v>9037878183</v>
      </c>
      <c r="K924" s="1" t="s">
        <v>153</v>
      </c>
      <c r="L924" s="1" t="s">
        <v>17055</v>
      </c>
      <c r="M924" s="1" t="s">
        <v>86</v>
      </c>
      <c r="N924" s="1" t="s">
        <v>17056</v>
      </c>
      <c r="O924" s="1" t="s">
        <v>17057</v>
      </c>
      <c r="P924" s="1" t="s">
        <v>219</v>
      </c>
      <c r="Q924" s="1">
        <v>236135810901</v>
      </c>
      <c r="R924" s="1" t="s">
        <v>17058</v>
      </c>
      <c r="S924" s="1">
        <v>9446183183</v>
      </c>
      <c r="T924" s="1" t="s">
        <v>16658</v>
      </c>
      <c r="U924" s="1" t="s">
        <v>17059</v>
      </c>
      <c r="V924" s="1">
        <v>7356516630</v>
      </c>
      <c r="W924" s="1" t="s">
        <v>14212</v>
      </c>
      <c r="X924" s="1" t="s">
        <v>17060</v>
      </c>
      <c r="Y924" s="1" t="s">
        <v>5313</v>
      </c>
      <c r="Z924" s="1" t="s">
        <v>130</v>
      </c>
      <c r="AA924" s="1" t="s">
        <v>17060</v>
      </c>
      <c r="AB924" s="1" t="s">
        <v>5313</v>
      </c>
      <c r="AC924" s="1" t="s">
        <v>130</v>
      </c>
      <c r="AD924" s="1" t="s">
        <v>98</v>
      </c>
      <c r="AE924" s="1" t="s">
        <v>98</v>
      </c>
      <c r="AF924" s="1" t="s">
        <v>17061</v>
      </c>
      <c r="AG924" s="1" t="s">
        <v>17062</v>
      </c>
      <c r="AH924" s="1" t="s">
        <v>170</v>
      </c>
      <c r="AI924" s="1" t="s">
        <v>286</v>
      </c>
      <c r="AJ924" s="1">
        <v>86</v>
      </c>
      <c r="AK924" s="1"/>
      <c r="AL924" s="1" t="s">
        <v>17063</v>
      </c>
      <c r="AM924" s="1" t="s">
        <v>17064</v>
      </c>
      <c r="AN924" s="1" t="s">
        <v>575</v>
      </c>
      <c r="AO924" s="1" t="s">
        <v>106</v>
      </c>
      <c r="AP924" s="1" t="s">
        <v>603</v>
      </c>
      <c r="AQ924" s="1">
        <v>75.83</v>
      </c>
      <c r="AR924" s="1"/>
      <c r="AS924" s="1"/>
      <c r="AT924" s="1"/>
      <c r="AU924" s="1"/>
      <c r="AV924" s="1"/>
      <c r="AW924" s="1"/>
      <c r="AX924" s="1"/>
      <c r="AY924" s="1" t="s">
        <v>17065</v>
      </c>
      <c r="AZ924" s="1" t="s">
        <v>17066</v>
      </c>
      <c r="BA924" s="1" t="s">
        <v>466</v>
      </c>
      <c r="BB924" s="1" t="s">
        <v>467</v>
      </c>
      <c r="BC924" s="1" t="s">
        <v>178</v>
      </c>
      <c r="BD924" s="1" t="s">
        <v>207</v>
      </c>
      <c r="BE924" s="1">
        <v>70</v>
      </c>
      <c r="BF924" s="1"/>
      <c r="BG924" s="1"/>
      <c r="BH924" s="1"/>
      <c r="BI924" s="1"/>
      <c r="BJ924" s="1"/>
      <c r="BK924" s="1"/>
      <c r="BL924" s="1"/>
      <c r="BM924" s="1"/>
      <c r="BN924" s="1"/>
      <c r="BO924" s="1" t="s">
        <v>17067</v>
      </c>
      <c r="BP924" s="1" t="s">
        <v>17068</v>
      </c>
      <c r="BQ924" s="1" t="s">
        <v>1564</v>
      </c>
      <c r="BR924" s="1" t="s">
        <v>17069</v>
      </c>
      <c r="BS924" s="1">
        <v>32</v>
      </c>
      <c r="BT924" s="1" t="s">
        <v>17070</v>
      </c>
      <c r="BU924" s="1" t="str">
        <f>HYPERLINK("https://nconnect.nicmar.ac.in/storage/profile/6a87044284cb4.png","Download")</f>
        <v>0</v>
      </c>
      <c r="BV924" s="3"/>
      <c r="BW924" s="3"/>
    </row>
    <row r="925" spans="1:75">
      <c r="A925" s="1" t="s">
        <v>75</v>
      </c>
      <c r="B925" s="1" t="s">
        <v>13976</v>
      </c>
      <c r="C925" s="1" t="s">
        <v>17071</v>
      </c>
      <c r="D925" s="1" t="s">
        <v>17072</v>
      </c>
      <c r="E925" s="1"/>
      <c r="F925" s="1" t="s">
        <v>17073</v>
      </c>
      <c r="G925" s="1" t="s">
        <v>17074</v>
      </c>
      <c r="H925" s="1" t="s">
        <v>17075</v>
      </c>
      <c r="I925" s="1" t="s">
        <v>17075</v>
      </c>
      <c r="J925" s="1">
        <v>8919235986</v>
      </c>
      <c r="K925" s="1" t="s">
        <v>84</v>
      </c>
      <c r="L925" s="1" t="s">
        <v>428</v>
      </c>
      <c r="M925" s="1" t="s">
        <v>86</v>
      </c>
      <c r="N925" s="1" t="s">
        <v>17076</v>
      </c>
      <c r="O925" s="1" t="s">
        <v>17077</v>
      </c>
      <c r="P925" s="1" t="s">
        <v>219</v>
      </c>
      <c r="Q925" s="1">
        <v>432490317176</v>
      </c>
      <c r="R925" s="1" t="s">
        <v>17078</v>
      </c>
      <c r="S925" s="1">
        <v>9030709867</v>
      </c>
      <c r="T925" s="1" t="s">
        <v>3439</v>
      </c>
      <c r="U925" s="1" t="s">
        <v>17079</v>
      </c>
      <c r="V925" s="1">
        <v>6301489339</v>
      </c>
      <c r="W925" s="1" t="s">
        <v>9679</v>
      </c>
      <c r="X925" s="1" t="s">
        <v>17080</v>
      </c>
      <c r="Y925" s="1" t="s">
        <v>13200</v>
      </c>
      <c r="Z925" s="1" t="s">
        <v>281</v>
      </c>
      <c r="AA925" s="1" t="s">
        <v>17080</v>
      </c>
      <c r="AB925" s="1" t="s">
        <v>13200</v>
      </c>
      <c r="AC925" s="1" t="s">
        <v>281</v>
      </c>
      <c r="AD925" s="1" t="s">
        <v>98</v>
      </c>
      <c r="AE925" s="1" t="s">
        <v>98</v>
      </c>
      <c r="AF925" s="1" t="s">
        <v>17081</v>
      </c>
      <c r="AG925" s="1" t="s">
        <v>312</v>
      </c>
      <c r="AH925" s="1" t="s">
        <v>284</v>
      </c>
      <c r="AI925" s="1" t="s">
        <v>170</v>
      </c>
      <c r="AJ925" s="1">
        <v>81.7</v>
      </c>
      <c r="AK925" s="1">
        <v>8.6</v>
      </c>
      <c r="AL925" s="1" t="s">
        <v>17082</v>
      </c>
      <c r="AM925" s="1" t="s">
        <v>17083</v>
      </c>
      <c r="AN925" s="1" t="s">
        <v>465</v>
      </c>
      <c r="AO925" s="1" t="s">
        <v>490</v>
      </c>
      <c r="AP925" s="1" t="s">
        <v>547</v>
      </c>
      <c r="AQ925" s="1">
        <v>85.1</v>
      </c>
      <c r="AR925" s="1">
        <v>9</v>
      </c>
      <c r="AS925" s="1"/>
      <c r="AT925" s="1"/>
      <c r="AU925" s="1"/>
      <c r="AV925" s="1"/>
      <c r="AW925" s="1"/>
      <c r="AX925" s="1"/>
      <c r="AY925" s="1" t="s">
        <v>15972</v>
      </c>
      <c r="AZ925" s="1" t="s">
        <v>17084</v>
      </c>
      <c r="BA925" s="1" t="s">
        <v>682</v>
      </c>
      <c r="BB925" s="1" t="s">
        <v>1561</v>
      </c>
      <c r="BC925" s="1" t="s">
        <v>438</v>
      </c>
      <c r="BD925" s="1" t="s">
        <v>207</v>
      </c>
      <c r="BE925" s="1">
        <v>61.0</v>
      </c>
      <c r="BF925" s="1">
        <v>6.85</v>
      </c>
      <c r="BG925" s="1"/>
      <c r="BH925" s="1"/>
      <c r="BI925" s="1"/>
      <c r="BJ925" s="1"/>
      <c r="BK925" s="1"/>
      <c r="BL925" s="1"/>
      <c r="BM925" s="1"/>
      <c r="BN925" s="1"/>
      <c r="BO925" s="1" t="s">
        <v>17085</v>
      </c>
      <c r="BP925" s="1" t="s">
        <v>17086</v>
      </c>
      <c r="BQ925" s="1" t="s">
        <v>658</v>
      </c>
      <c r="BR925" s="1" t="s">
        <v>17087</v>
      </c>
      <c r="BS925" s="1">
        <v>15</v>
      </c>
      <c r="BT925" s="1" t="s">
        <v>17088</v>
      </c>
      <c r="BU925" s="1" t="str">
        <f>HYPERLINK("https://nconnect.nicmar.ac.in/storage/profile/6a87f1d3b61c5.png","Download")</f>
        <v>0</v>
      </c>
      <c r="BV925" s="3"/>
      <c r="BW925" s="3"/>
    </row>
    <row r="926" spans="1:75">
      <c r="A926" s="1" t="s">
        <v>75</v>
      </c>
      <c r="B926" s="1" t="s">
        <v>13976</v>
      </c>
      <c r="C926" s="1" t="s">
        <v>17089</v>
      </c>
      <c r="D926" s="1" t="s">
        <v>17090</v>
      </c>
      <c r="E926" s="1" t="s">
        <v>15430</v>
      </c>
      <c r="F926" s="1" t="s">
        <v>17091</v>
      </c>
      <c r="G926" s="1" t="s">
        <v>17092</v>
      </c>
      <c r="H926" s="1" t="s">
        <v>17093</v>
      </c>
      <c r="I926" s="1" t="s">
        <v>17094</v>
      </c>
      <c r="J926" s="1">
        <v>9326499705</v>
      </c>
      <c r="K926" s="1" t="s">
        <v>84</v>
      </c>
      <c r="L926" s="1" t="s">
        <v>17095</v>
      </c>
      <c r="M926" s="1" t="s">
        <v>86</v>
      </c>
      <c r="N926" s="1" t="s">
        <v>768</v>
      </c>
      <c r="O926" s="1" t="s">
        <v>17096</v>
      </c>
      <c r="P926" s="1" t="s">
        <v>89</v>
      </c>
      <c r="Q926" s="1">
        <v>256018087205</v>
      </c>
      <c r="R926" s="1" t="s">
        <v>17097</v>
      </c>
      <c r="S926" s="1">
        <v>9769608555</v>
      </c>
      <c r="T926" s="1" t="s">
        <v>17098</v>
      </c>
      <c r="U926" s="1" t="s">
        <v>17099</v>
      </c>
      <c r="V926" s="1">
        <v>8425000563</v>
      </c>
      <c r="W926" s="1" t="s">
        <v>14212</v>
      </c>
      <c r="X926" s="1" t="s">
        <v>17100</v>
      </c>
      <c r="Y926" s="1" t="s">
        <v>1882</v>
      </c>
      <c r="Z926" s="1" t="s">
        <v>97</v>
      </c>
      <c r="AA926" s="1" t="s">
        <v>17100</v>
      </c>
      <c r="AB926" s="1" t="s">
        <v>1882</v>
      </c>
      <c r="AC926" s="1" t="s">
        <v>97</v>
      </c>
      <c r="AD926" s="1" t="s">
        <v>98</v>
      </c>
      <c r="AE926" s="1" t="s">
        <v>98</v>
      </c>
      <c r="AF926" s="1" t="s">
        <v>17101</v>
      </c>
      <c r="AG926" s="1" t="s">
        <v>17102</v>
      </c>
      <c r="AH926" s="1" t="s">
        <v>170</v>
      </c>
      <c r="AI926" s="1" t="s">
        <v>106</v>
      </c>
      <c r="AJ926" s="1">
        <v>78.4</v>
      </c>
      <c r="AK926" s="1"/>
      <c r="AL926" s="1" t="s">
        <v>17103</v>
      </c>
      <c r="AM926" s="1" t="s">
        <v>17104</v>
      </c>
      <c r="AN926" s="1" t="s">
        <v>465</v>
      </c>
      <c r="AO926" s="1" t="s">
        <v>438</v>
      </c>
      <c r="AP926" s="1" t="s">
        <v>468</v>
      </c>
      <c r="AQ926" s="1">
        <v>66</v>
      </c>
      <c r="AR926" s="1"/>
      <c r="AS926" s="1"/>
      <c r="AT926" s="1"/>
      <c r="AU926" s="1"/>
      <c r="AV926" s="1"/>
      <c r="AW926" s="1"/>
      <c r="AX926" s="1"/>
      <c r="AY926" s="1" t="s">
        <v>17105</v>
      </c>
      <c r="AZ926" s="1" t="s">
        <v>17106</v>
      </c>
      <c r="BA926" s="1" t="s">
        <v>578</v>
      </c>
      <c r="BB926" s="1" t="s">
        <v>467</v>
      </c>
      <c r="BC926" s="1" t="s">
        <v>1040</v>
      </c>
      <c r="BD926" s="1" t="s">
        <v>848</v>
      </c>
      <c r="BE926" s="1">
        <v>56.34</v>
      </c>
      <c r="BF926" s="1">
        <v>6.14</v>
      </c>
      <c r="BG926" s="1"/>
      <c r="BH926" s="1"/>
      <c r="BI926" s="1"/>
      <c r="BJ926" s="1"/>
      <c r="BK926" s="1"/>
      <c r="BL926" s="1"/>
      <c r="BM926" s="1"/>
      <c r="BN926" s="1"/>
      <c r="BO926" s="1" t="s">
        <v>17107</v>
      </c>
      <c r="BP926" s="1"/>
      <c r="BQ926" s="1"/>
      <c r="BR926" s="1" t="s">
        <v>17108</v>
      </c>
      <c r="BS926" s="1">
        <v>13</v>
      </c>
      <c r="BT926" s="1"/>
      <c r="BU926" s="1" t="str">
        <f>HYPERLINK("https://nconnect.nicmar.ac.in/storage/profile/6a86d3150a820.png","Download")</f>
        <v>0</v>
      </c>
      <c r="BV926" s="3"/>
      <c r="BW926" s="3"/>
    </row>
    <row r="927" spans="1:75">
      <c r="A927" s="1" t="s">
        <v>75</v>
      </c>
      <c r="B927" s="1" t="s">
        <v>13976</v>
      </c>
      <c r="C927" s="1" t="s">
        <v>17109</v>
      </c>
      <c r="D927" s="1" t="s">
        <v>17110</v>
      </c>
      <c r="E927" s="1"/>
      <c r="F927" s="1" t="s">
        <v>17111</v>
      </c>
      <c r="G927" s="1" t="s">
        <v>17112</v>
      </c>
      <c r="H927" s="1" t="s">
        <v>17113</v>
      </c>
      <c r="I927" s="1" t="s">
        <v>17113</v>
      </c>
      <c r="J927" s="1">
        <v>7356796420</v>
      </c>
      <c r="K927" s="1" t="s">
        <v>84</v>
      </c>
      <c r="L927" s="1" t="s">
        <v>17114</v>
      </c>
      <c r="M927" s="1" t="s">
        <v>86</v>
      </c>
      <c r="N927" s="1" t="s">
        <v>17115</v>
      </c>
      <c r="O927" s="1" t="s">
        <v>17116</v>
      </c>
      <c r="P927" s="1" t="s">
        <v>219</v>
      </c>
      <c r="Q927" s="1">
        <v>358526993315</v>
      </c>
      <c r="R927" s="1" t="s">
        <v>17117</v>
      </c>
      <c r="S927" s="1">
        <v>9446048279</v>
      </c>
      <c r="T927" s="1" t="s">
        <v>17118</v>
      </c>
      <c r="U927" s="1" t="s">
        <v>17119</v>
      </c>
      <c r="V927" s="1">
        <v>9497109430</v>
      </c>
      <c r="W927" s="1" t="s">
        <v>17120</v>
      </c>
      <c r="X927" s="1" t="s">
        <v>17121</v>
      </c>
      <c r="Y927" s="1" t="s">
        <v>1283</v>
      </c>
      <c r="Z927" s="1" t="s">
        <v>130</v>
      </c>
      <c r="AA927" s="1" t="s">
        <v>17121</v>
      </c>
      <c r="AB927" s="1" t="s">
        <v>1283</v>
      </c>
      <c r="AC927" s="1" t="s">
        <v>130</v>
      </c>
      <c r="AD927" s="1" t="s">
        <v>98</v>
      </c>
      <c r="AE927" s="1" t="s">
        <v>98</v>
      </c>
      <c r="AF927" s="1" t="s">
        <v>17122</v>
      </c>
      <c r="AG927" s="1" t="s">
        <v>17123</v>
      </c>
      <c r="AH927" s="1" t="s">
        <v>167</v>
      </c>
      <c r="AI927" s="1" t="s">
        <v>573</v>
      </c>
      <c r="AJ927" s="1">
        <v>90</v>
      </c>
      <c r="AK927" s="1">
        <v>8.9</v>
      </c>
      <c r="AL927" s="1" t="s">
        <v>17124</v>
      </c>
      <c r="AM927" s="1" t="s">
        <v>17125</v>
      </c>
      <c r="AN927" s="1" t="s">
        <v>575</v>
      </c>
      <c r="AO927" s="1" t="s">
        <v>170</v>
      </c>
      <c r="AP927" s="1" t="s">
        <v>313</v>
      </c>
      <c r="AQ927" s="1">
        <v>85.67</v>
      </c>
      <c r="AR927" s="1"/>
      <c r="AS927" s="1"/>
      <c r="AT927" s="1"/>
      <c r="AU927" s="1"/>
      <c r="AV927" s="1"/>
      <c r="AW927" s="1"/>
      <c r="AX927" s="1"/>
      <c r="AY927" s="1" t="s">
        <v>137</v>
      </c>
      <c r="AZ927" s="1" t="s">
        <v>17126</v>
      </c>
      <c r="BA927" s="1" t="s">
        <v>466</v>
      </c>
      <c r="BB927" s="1" t="s">
        <v>467</v>
      </c>
      <c r="BC927" s="1" t="s">
        <v>438</v>
      </c>
      <c r="BD927" s="1" t="s">
        <v>234</v>
      </c>
      <c r="BE927" s="1">
        <v>77</v>
      </c>
      <c r="BF927" s="1">
        <v>7.7</v>
      </c>
      <c r="BG927" s="1"/>
      <c r="BH927" s="1"/>
      <c r="BI927" s="1"/>
      <c r="BJ927" s="1"/>
      <c r="BK927" s="1"/>
      <c r="BL927" s="1"/>
      <c r="BM927" s="1"/>
      <c r="BN927" s="1"/>
      <c r="BO927" s="1" t="s">
        <v>17127</v>
      </c>
      <c r="BP927" s="1" t="s">
        <v>17128</v>
      </c>
      <c r="BQ927" s="1" t="s">
        <v>1070</v>
      </c>
      <c r="BR927" s="1"/>
      <c r="BS927" s="1"/>
      <c r="BT927" s="1" t="s">
        <v>17129</v>
      </c>
      <c r="BU927" s="1" t="str">
        <f>HYPERLINK("https://nconnect.nicmar.ac.in/storage/profile/6a8705f028b96.png","Download")</f>
        <v>0</v>
      </c>
      <c r="BV927" s="3"/>
      <c r="BW927" s="3"/>
    </row>
    <row r="928" spans="1:75">
      <c r="A928" s="1" t="s">
        <v>75</v>
      </c>
      <c r="B928" s="1" t="s">
        <v>13976</v>
      </c>
      <c r="C928" s="1" t="s">
        <v>17130</v>
      </c>
      <c r="D928" s="1" t="s">
        <v>17131</v>
      </c>
      <c r="E928" s="1"/>
      <c r="F928" s="1" t="s">
        <v>17132</v>
      </c>
      <c r="G928" s="1" t="s">
        <v>17133</v>
      </c>
      <c r="H928" s="1" t="s">
        <v>17134</v>
      </c>
      <c r="I928" s="1" t="s">
        <v>17135</v>
      </c>
      <c r="J928" s="1">
        <v>8660811590</v>
      </c>
      <c r="K928" s="1" t="s">
        <v>84</v>
      </c>
      <c r="L928" s="1" t="s">
        <v>17136</v>
      </c>
      <c r="M928" s="1" t="s">
        <v>86</v>
      </c>
      <c r="N928" s="1" t="s">
        <v>17137</v>
      </c>
      <c r="O928" s="1" t="s">
        <v>17138</v>
      </c>
      <c r="P928" s="1" t="s">
        <v>122</v>
      </c>
      <c r="Q928" s="1">
        <v>939811584865</v>
      </c>
      <c r="R928" s="1" t="s">
        <v>17139</v>
      </c>
      <c r="S928" s="1">
        <v>9844127826</v>
      </c>
      <c r="T928" s="1" t="s">
        <v>3439</v>
      </c>
      <c r="U928" s="1" t="s">
        <v>17140</v>
      </c>
      <c r="V928" s="1">
        <v>9986398904</v>
      </c>
      <c r="W928" s="1" t="s">
        <v>14154</v>
      </c>
      <c r="X928" s="1" t="s">
        <v>17141</v>
      </c>
      <c r="Y928" s="1" t="s">
        <v>3132</v>
      </c>
      <c r="Z928" s="1" t="s">
        <v>1210</v>
      </c>
      <c r="AA928" s="1" t="s">
        <v>17141</v>
      </c>
      <c r="AB928" s="1" t="s">
        <v>3132</v>
      </c>
      <c r="AC928" s="1" t="s">
        <v>1210</v>
      </c>
      <c r="AD928" s="1" t="s">
        <v>98</v>
      </c>
      <c r="AE928" s="1" t="s">
        <v>98</v>
      </c>
      <c r="AF928" s="1" t="s">
        <v>17142</v>
      </c>
      <c r="AG928" s="1" t="s">
        <v>17143</v>
      </c>
      <c r="AH928" s="1" t="s">
        <v>167</v>
      </c>
      <c r="AI928" s="1" t="s">
        <v>704</v>
      </c>
      <c r="AJ928" s="1">
        <v>88</v>
      </c>
      <c r="AK928" s="1"/>
      <c r="AL928" s="1" t="s">
        <v>17144</v>
      </c>
      <c r="AM928" s="1" t="s">
        <v>17143</v>
      </c>
      <c r="AN928" s="1" t="s">
        <v>465</v>
      </c>
      <c r="AO928" s="1" t="s">
        <v>170</v>
      </c>
      <c r="AP928" s="1" t="s">
        <v>414</v>
      </c>
      <c r="AQ928" s="1">
        <v>89.66</v>
      </c>
      <c r="AR928" s="1"/>
      <c r="AS928" s="1"/>
      <c r="AT928" s="1"/>
      <c r="AU928" s="1"/>
      <c r="AV928" s="1"/>
      <c r="AW928" s="1"/>
      <c r="AX928" s="1"/>
      <c r="AY928" s="1" t="s">
        <v>17145</v>
      </c>
      <c r="AZ928" s="1" t="s">
        <v>17143</v>
      </c>
      <c r="BA928" s="1" t="s">
        <v>682</v>
      </c>
      <c r="BB928" s="1" t="s">
        <v>1561</v>
      </c>
      <c r="BC928" s="1" t="s">
        <v>109</v>
      </c>
      <c r="BD928" s="1" t="s">
        <v>1089</v>
      </c>
      <c r="BE928" s="1">
        <v>76.7</v>
      </c>
      <c r="BF928" s="1">
        <v>8.42</v>
      </c>
      <c r="BG928" s="1"/>
      <c r="BH928" s="1"/>
      <c r="BI928" s="1"/>
      <c r="BJ928" s="1"/>
      <c r="BK928" s="1"/>
      <c r="BL928" s="1"/>
      <c r="BM928" s="1"/>
      <c r="BN928" s="1"/>
      <c r="BO928" s="1" t="s">
        <v>17146</v>
      </c>
      <c r="BP928" s="1" t="s">
        <v>17147</v>
      </c>
      <c r="BQ928" s="1" t="s">
        <v>1152</v>
      </c>
      <c r="BR928" s="1" t="s">
        <v>17148</v>
      </c>
      <c r="BS928" s="1">
        <v>15</v>
      </c>
      <c r="BT928" s="1"/>
      <c r="BU928" s="1" t="str">
        <f>HYPERLINK("https://nconnect.nicmar.ac.in/storage/profile/6a8700f61e1f5.png","Download")</f>
        <v>0</v>
      </c>
      <c r="BV928" s="3"/>
      <c r="BW928" s="3"/>
    </row>
    <row r="929" spans="1:75">
      <c r="A929" s="1" t="s">
        <v>75</v>
      </c>
      <c r="B929" s="1" t="s">
        <v>13976</v>
      </c>
      <c r="C929" s="1" t="s">
        <v>17149</v>
      </c>
      <c r="D929" s="1" t="s">
        <v>17150</v>
      </c>
      <c r="E929" s="1"/>
      <c r="F929" s="1" t="s">
        <v>2772</v>
      </c>
      <c r="G929" s="1" t="s">
        <v>17151</v>
      </c>
      <c r="H929" s="1" t="s">
        <v>17152</v>
      </c>
      <c r="I929" s="1" t="s">
        <v>17152</v>
      </c>
      <c r="J929" s="1">
        <v>6369656363</v>
      </c>
      <c r="K929" s="1" t="s">
        <v>84</v>
      </c>
      <c r="L929" s="1" t="s">
        <v>17153</v>
      </c>
      <c r="M929" s="1" t="s">
        <v>86</v>
      </c>
      <c r="N929" s="1" t="s">
        <v>17154</v>
      </c>
      <c r="O929" s="1" t="s">
        <v>17155</v>
      </c>
      <c r="P929" s="1" t="s">
        <v>356</v>
      </c>
      <c r="Q929" s="1">
        <v>465222213769</v>
      </c>
      <c r="R929" s="1" t="s">
        <v>17156</v>
      </c>
      <c r="S929" s="1">
        <v>9943705357</v>
      </c>
      <c r="T929" s="1" t="s">
        <v>926</v>
      </c>
      <c r="U929" s="1" t="s">
        <v>17157</v>
      </c>
      <c r="V929" s="1">
        <v>9092700755</v>
      </c>
      <c r="W929" s="1" t="s">
        <v>278</v>
      </c>
      <c r="X929" s="1" t="s">
        <v>17158</v>
      </c>
      <c r="Y929" s="1" t="s">
        <v>17159</v>
      </c>
      <c r="Z929" s="1" t="s">
        <v>570</v>
      </c>
      <c r="AA929" s="1" t="s">
        <v>17158</v>
      </c>
      <c r="AB929" s="1" t="s">
        <v>17159</v>
      </c>
      <c r="AC929" s="1" t="s">
        <v>570</v>
      </c>
      <c r="AD929" s="1" t="s">
        <v>98</v>
      </c>
      <c r="AE929" s="1" t="s">
        <v>98</v>
      </c>
      <c r="AF929" s="1" t="s">
        <v>17160</v>
      </c>
      <c r="AG929" s="1" t="s">
        <v>16175</v>
      </c>
      <c r="AH929" s="1" t="s">
        <v>102</v>
      </c>
      <c r="AI929" s="1" t="s">
        <v>627</v>
      </c>
      <c r="AJ929" s="1">
        <v>80.6</v>
      </c>
      <c r="AK929" s="1"/>
      <c r="AL929" s="1" t="s">
        <v>17161</v>
      </c>
      <c r="AM929" s="1" t="s">
        <v>16175</v>
      </c>
      <c r="AN929" s="1" t="s">
        <v>6380</v>
      </c>
      <c r="AO929" s="1" t="s">
        <v>170</v>
      </c>
      <c r="AP929" s="1" t="s">
        <v>171</v>
      </c>
      <c r="AQ929" s="1">
        <v>64.33</v>
      </c>
      <c r="AR929" s="1"/>
      <c r="AS929" s="1"/>
      <c r="AT929" s="1"/>
      <c r="AU929" s="1"/>
      <c r="AV929" s="1"/>
      <c r="AW929" s="1"/>
      <c r="AX929" s="1"/>
      <c r="AY929" s="1" t="s">
        <v>576</v>
      </c>
      <c r="AZ929" s="1" t="s">
        <v>17162</v>
      </c>
      <c r="BA929" s="1" t="s">
        <v>578</v>
      </c>
      <c r="BB929" s="1" t="s">
        <v>467</v>
      </c>
      <c r="BC929" s="1" t="s">
        <v>17163</v>
      </c>
      <c r="BD929" s="1" t="s">
        <v>632</v>
      </c>
      <c r="BE929" s="1">
        <v>72.2</v>
      </c>
      <c r="BF929" s="1">
        <v>7.22</v>
      </c>
      <c r="BG929" s="1"/>
      <c r="BH929" s="1"/>
      <c r="BI929" s="1"/>
      <c r="BJ929" s="1"/>
      <c r="BK929" s="1"/>
      <c r="BL929" s="1"/>
      <c r="BM929" s="1"/>
      <c r="BN929" s="1"/>
      <c r="BO929" s="1" t="s">
        <v>17164</v>
      </c>
      <c r="BP929" s="1" t="s">
        <v>17165</v>
      </c>
      <c r="BQ929" s="1" t="s">
        <v>757</v>
      </c>
      <c r="BR929" s="1"/>
      <c r="BS929" s="1"/>
      <c r="BT929" s="1" t="s">
        <v>17166</v>
      </c>
      <c r="BU929" s="1" t="str">
        <f>HYPERLINK("https://nconnect.nicmar.ac.in/storage/profile/6a871a3f99ba9.png","Download")</f>
        <v>0</v>
      </c>
      <c r="BV929" s="3"/>
      <c r="BW929" s="3"/>
    </row>
    <row r="930" spans="1:75">
      <c r="A930" s="1" t="s">
        <v>75</v>
      </c>
      <c r="B930" s="1" t="s">
        <v>13976</v>
      </c>
      <c r="C930" s="1" t="s">
        <v>17167</v>
      </c>
      <c r="D930" s="1" t="s">
        <v>17168</v>
      </c>
      <c r="E930" s="1" t="s">
        <v>2233</v>
      </c>
      <c r="F930" s="1" t="s">
        <v>17169</v>
      </c>
      <c r="G930" s="1" t="s">
        <v>17170</v>
      </c>
      <c r="H930" s="1" t="s">
        <v>17171</v>
      </c>
      <c r="I930" s="1" t="s">
        <v>17171</v>
      </c>
      <c r="J930" s="1">
        <v>7038228646</v>
      </c>
      <c r="K930" s="1" t="s">
        <v>84</v>
      </c>
      <c r="L930" s="1" t="s">
        <v>17172</v>
      </c>
      <c r="M930" s="1" t="s">
        <v>86</v>
      </c>
      <c r="N930" s="1" t="s">
        <v>6390</v>
      </c>
      <c r="O930" s="1" t="s">
        <v>17173</v>
      </c>
      <c r="P930" s="1" t="s">
        <v>89</v>
      </c>
      <c r="Q930" s="1">
        <v>44513958256</v>
      </c>
      <c r="R930" s="1" t="s">
        <v>2233</v>
      </c>
      <c r="S930" s="1">
        <v>9145699164</v>
      </c>
      <c r="T930" s="1" t="s">
        <v>17174</v>
      </c>
      <c r="U930" s="1" t="s">
        <v>17175</v>
      </c>
      <c r="V930" s="1">
        <v>8237573074</v>
      </c>
      <c r="W930" s="1" t="s">
        <v>2177</v>
      </c>
      <c r="X930" s="1" t="s">
        <v>17176</v>
      </c>
      <c r="Y930" s="1" t="s">
        <v>410</v>
      </c>
      <c r="Z930" s="1" t="s">
        <v>97</v>
      </c>
      <c r="AA930" s="1" t="s">
        <v>17176</v>
      </c>
      <c r="AB930" s="1" t="s">
        <v>410</v>
      </c>
      <c r="AC930" s="1" t="s">
        <v>97</v>
      </c>
      <c r="AD930" s="1" t="s">
        <v>98</v>
      </c>
      <c r="AE930" s="1" t="s">
        <v>98</v>
      </c>
      <c r="AF930" s="1" t="s">
        <v>17177</v>
      </c>
      <c r="AG930" s="1" t="s">
        <v>17178</v>
      </c>
      <c r="AH930" s="1" t="s">
        <v>136</v>
      </c>
      <c r="AI930" s="1" t="s">
        <v>627</v>
      </c>
      <c r="AJ930" s="1">
        <v>77.9</v>
      </c>
      <c r="AK930" s="1">
        <v>8.2</v>
      </c>
      <c r="AL930" s="1" t="s">
        <v>17179</v>
      </c>
      <c r="AM930" s="1" t="s">
        <v>17180</v>
      </c>
      <c r="AN930" s="1" t="s">
        <v>465</v>
      </c>
      <c r="AO930" s="1" t="s">
        <v>573</v>
      </c>
      <c r="AP930" s="1" t="s">
        <v>171</v>
      </c>
      <c r="AQ930" s="1">
        <v>62.15</v>
      </c>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t="s">
        <v>17181</v>
      </c>
      <c r="BP930" s="1" t="s">
        <v>17182</v>
      </c>
      <c r="BQ930" s="1" t="s">
        <v>582</v>
      </c>
      <c r="BR930" s="1" t="s">
        <v>17183</v>
      </c>
      <c r="BS930" s="1">
        <v>35</v>
      </c>
      <c r="BT930" s="1" t="s">
        <v>17184</v>
      </c>
      <c r="BU930" s="1" t="str">
        <f>HYPERLINK("https://nconnect.nicmar.ac.in/storage/profile/6a872e7cbf96d.png","Download")</f>
        <v>0</v>
      </c>
      <c r="BV930" s="3"/>
      <c r="BW930" s="3"/>
    </row>
    <row r="931" spans="1:75">
      <c r="A931" s="1" t="s">
        <v>75</v>
      </c>
      <c r="B931" s="1" t="s">
        <v>13976</v>
      </c>
      <c r="C931" s="1" t="s">
        <v>17185</v>
      </c>
      <c r="D931" s="1" t="s">
        <v>14232</v>
      </c>
      <c r="E931" s="1" t="s">
        <v>17186</v>
      </c>
      <c r="F931" s="1" t="s">
        <v>17187</v>
      </c>
      <c r="G931" s="1" t="s">
        <v>17188</v>
      </c>
      <c r="H931" s="1" t="s">
        <v>17189</v>
      </c>
      <c r="I931" s="1" t="s">
        <v>17190</v>
      </c>
      <c r="J931" s="1">
        <v>9823556589</v>
      </c>
      <c r="K931" s="1" t="s">
        <v>84</v>
      </c>
      <c r="L931" s="1" t="s">
        <v>17191</v>
      </c>
      <c r="M931" s="1" t="s">
        <v>86</v>
      </c>
      <c r="N931" s="1" t="s">
        <v>17192</v>
      </c>
      <c r="O931" s="1" t="s">
        <v>17193</v>
      </c>
      <c r="P931" s="1" t="s">
        <v>89</v>
      </c>
      <c r="Q931" s="1">
        <v>737441457307</v>
      </c>
      <c r="R931" s="1" t="s">
        <v>17194</v>
      </c>
      <c r="S931" s="1">
        <v>9923471659</v>
      </c>
      <c r="T931" s="1" t="s">
        <v>13987</v>
      </c>
      <c r="U931" s="1" t="s">
        <v>17195</v>
      </c>
      <c r="V931" s="1">
        <v>8623945989</v>
      </c>
      <c r="W931" s="1" t="s">
        <v>14710</v>
      </c>
      <c r="X931" s="1" t="s">
        <v>17196</v>
      </c>
      <c r="Y931" s="1" t="s">
        <v>196</v>
      </c>
      <c r="Z931" s="1" t="s">
        <v>97</v>
      </c>
      <c r="AA931" s="1" t="s">
        <v>17196</v>
      </c>
      <c r="AB931" s="1" t="s">
        <v>196</v>
      </c>
      <c r="AC931" s="1" t="s">
        <v>97</v>
      </c>
      <c r="AD931" s="1" t="s">
        <v>98</v>
      </c>
      <c r="AE931" s="1" t="s">
        <v>98</v>
      </c>
      <c r="AF931" s="1" t="s">
        <v>17197</v>
      </c>
      <c r="AG931" s="1" t="s">
        <v>17198</v>
      </c>
      <c r="AH931" s="1" t="s">
        <v>627</v>
      </c>
      <c r="AI931" s="1" t="s">
        <v>170</v>
      </c>
      <c r="AJ931" s="1">
        <v>82.2</v>
      </c>
      <c r="AK931" s="1"/>
      <c r="AL931" s="1" t="s">
        <v>17199</v>
      </c>
      <c r="AM931" s="1" t="s">
        <v>17200</v>
      </c>
      <c r="AN931" s="1" t="s">
        <v>575</v>
      </c>
      <c r="AO931" s="1" t="s">
        <v>171</v>
      </c>
      <c r="AP931" s="1" t="s">
        <v>313</v>
      </c>
      <c r="AQ931" s="1">
        <v>68.62</v>
      </c>
      <c r="AR931" s="1"/>
      <c r="AS931" s="1"/>
      <c r="AT931" s="1"/>
      <c r="AU931" s="1"/>
      <c r="AV931" s="1"/>
      <c r="AW931" s="1"/>
      <c r="AX931" s="1"/>
      <c r="AY931" s="1" t="s">
        <v>16643</v>
      </c>
      <c r="AZ931" s="1" t="s">
        <v>17201</v>
      </c>
      <c r="BA931" s="1" t="s">
        <v>578</v>
      </c>
      <c r="BB931" s="1" t="s">
        <v>467</v>
      </c>
      <c r="BC931" s="1" t="s">
        <v>206</v>
      </c>
      <c r="BD931" s="1" t="s">
        <v>179</v>
      </c>
      <c r="BE931" s="1">
        <v>70.3</v>
      </c>
      <c r="BF931" s="1">
        <v>7.78</v>
      </c>
      <c r="BG931" s="1"/>
      <c r="BH931" s="1"/>
      <c r="BI931" s="1"/>
      <c r="BJ931" s="1"/>
      <c r="BK931" s="1"/>
      <c r="BL931" s="1"/>
      <c r="BM931" s="1"/>
      <c r="BN931" s="1"/>
      <c r="BO931" s="1" t="s">
        <v>17202</v>
      </c>
      <c r="BP931" s="1"/>
      <c r="BQ931" s="1"/>
      <c r="BR931" s="1" t="s">
        <v>17203</v>
      </c>
      <c r="BS931" s="1">
        <v>8</v>
      </c>
      <c r="BT931" s="1" t="s">
        <v>17204</v>
      </c>
      <c r="BU931" s="1" t="str">
        <f>HYPERLINK("https://nconnect.nicmar.ac.in/storage/profile/6a8680d98bf34.png","Download")</f>
        <v>0</v>
      </c>
      <c r="BV931" s="3"/>
      <c r="BW931" s="3"/>
    </row>
    <row r="932" spans="1:75">
      <c r="A932" s="1" t="s">
        <v>75</v>
      </c>
      <c r="B932" s="1" t="s">
        <v>13976</v>
      </c>
      <c r="C932" s="1" t="s">
        <v>17205</v>
      </c>
      <c r="D932" s="1" t="s">
        <v>17206</v>
      </c>
      <c r="E932" s="1" t="s">
        <v>17207</v>
      </c>
      <c r="F932" s="1" t="s">
        <v>17208</v>
      </c>
      <c r="G932" s="1" t="s">
        <v>17209</v>
      </c>
      <c r="H932" s="1" t="s">
        <v>17210</v>
      </c>
      <c r="I932" s="1" t="s">
        <v>17211</v>
      </c>
      <c r="J932" s="1">
        <v>8766919254</v>
      </c>
      <c r="K932" s="1" t="s">
        <v>84</v>
      </c>
      <c r="L932" s="1" t="s">
        <v>17212</v>
      </c>
      <c r="M932" s="1" t="s">
        <v>86</v>
      </c>
      <c r="N932" s="1" t="s">
        <v>7152</v>
      </c>
      <c r="O932" s="1" t="s">
        <v>17213</v>
      </c>
      <c r="P932" s="1" t="s">
        <v>219</v>
      </c>
      <c r="Q932" s="1">
        <v>460014353791</v>
      </c>
      <c r="R932" s="1" t="s">
        <v>17214</v>
      </c>
      <c r="S932" s="1">
        <v>8830648760</v>
      </c>
      <c r="T932" s="1" t="s">
        <v>17215</v>
      </c>
      <c r="U932" s="1" t="s">
        <v>17216</v>
      </c>
      <c r="V932" s="1">
        <v>8830648760</v>
      </c>
      <c r="W932" s="1" t="s">
        <v>10306</v>
      </c>
      <c r="X932" s="1" t="s">
        <v>17217</v>
      </c>
      <c r="Y932" s="1" t="s">
        <v>5584</v>
      </c>
      <c r="Z932" s="1" t="s">
        <v>97</v>
      </c>
      <c r="AA932" s="1" t="s">
        <v>17218</v>
      </c>
      <c r="AB932" s="1" t="s">
        <v>196</v>
      </c>
      <c r="AC932" s="1" t="s">
        <v>97</v>
      </c>
      <c r="AD932" s="1" t="s">
        <v>98</v>
      </c>
      <c r="AE932" s="1" t="s">
        <v>98</v>
      </c>
      <c r="AF932" s="1" t="s">
        <v>17219</v>
      </c>
      <c r="AG932" s="1" t="s">
        <v>16528</v>
      </c>
      <c r="AH932" s="1" t="s">
        <v>167</v>
      </c>
      <c r="AI932" s="1" t="s">
        <v>200</v>
      </c>
      <c r="AJ932" s="1">
        <v>84.4</v>
      </c>
      <c r="AK932" s="1"/>
      <c r="AL932" s="1" t="s">
        <v>17220</v>
      </c>
      <c r="AM932" s="1" t="s">
        <v>16528</v>
      </c>
      <c r="AN932" s="1" t="s">
        <v>465</v>
      </c>
      <c r="AO932" s="1" t="s">
        <v>106</v>
      </c>
      <c r="AP932" s="1" t="s">
        <v>203</v>
      </c>
      <c r="AQ932" s="1">
        <v>72.15</v>
      </c>
      <c r="AR932" s="1"/>
      <c r="AS932" s="1"/>
      <c r="AT932" s="1"/>
      <c r="AU932" s="1"/>
      <c r="AV932" s="1"/>
      <c r="AW932" s="1"/>
      <c r="AX932" s="1"/>
      <c r="AY932" s="1" t="s">
        <v>14160</v>
      </c>
      <c r="AZ932" s="1" t="s">
        <v>17221</v>
      </c>
      <c r="BA932" s="1" t="s">
        <v>578</v>
      </c>
      <c r="BB932" s="1" t="s">
        <v>467</v>
      </c>
      <c r="BC932" s="1" t="s">
        <v>206</v>
      </c>
      <c r="BD932" s="1" t="s">
        <v>179</v>
      </c>
      <c r="BE932" s="1">
        <v>76.7</v>
      </c>
      <c r="BF932" s="1">
        <v>8.42</v>
      </c>
      <c r="BG932" s="1"/>
      <c r="BH932" s="1"/>
      <c r="BI932" s="1"/>
      <c r="BJ932" s="1"/>
      <c r="BK932" s="1"/>
      <c r="BL932" s="1"/>
      <c r="BM932" s="1"/>
      <c r="BN932" s="1"/>
      <c r="BO932" s="1" t="s">
        <v>17222</v>
      </c>
      <c r="BP932" s="1" t="s">
        <v>17223</v>
      </c>
      <c r="BQ932" s="1" t="s">
        <v>4149</v>
      </c>
      <c r="BR932" s="1" t="s">
        <v>17224</v>
      </c>
      <c r="BS932" s="1">
        <v>4</v>
      </c>
      <c r="BT932" s="1" t="s">
        <v>17225</v>
      </c>
      <c r="BU932" s="1" t="str">
        <f>HYPERLINK("https://nconnect.nicmar.ac.in/storage/profile/6a86e6ab65a73.png","Download")</f>
        <v>0</v>
      </c>
      <c r="BV932" s="3"/>
      <c r="BW932" s="3"/>
    </row>
    <row r="933" spans="1:75">
      <c r="A933" s="1" t="s">
        <v>75</v>
      </c>
      <c r="B933" s="1" t="s">
        <v>13976</v>
      </c>
      <c r="C933" s="1" t="s">
        <v>17226</v>
      </c>
      <c r="D933" s="1" t="s">
        <v>17227</v>
      </c>
      <c r="E933" s="1" t="s">
        <v>17228</v>
      </c>
      <c r="F933" s="1" t="s">
        <v>4885</v>
      </c>
      <c r="G933" s="1" t="s">
        <v>17229</v>
      </c>
      <c r="H933" s="1" t="s">
        <v>17230</v>
      </c>
      <c r="I933" s="1" t="s">
        <v>17230</v>
      </c>
      <c r="J933" s="1">
        <v>7396432397</v>
      </c>
      <c r="K933" s="1" t="s">
        <v>84</v>
      </c>
      <c r="L933" s="1" t="s">
        <v>3517</v>
      </c>
      <c r="M933" s="1" t="s">
        <v>86</v>
      </c>
      <c r="N933" s="1" t="s">
        <v>17231</v>
      </c>
      <c r="O933" s="1" t="s">
        <v>17232</v>
      </c>
      <c r="P933" s="1" t="s">
        <v>122</v>
      </c>
      <c r="Q933" s="1">
        <v>837928237485</v>
      </c>
      <c r="R933" s="1" t="s">
        <v>17233</v>
      </c>
      <c r="S933" s="1">
        <v>7075854671</v>
      </c>
      <c r="T933" s="1" t="s">
        <v>159</v>
      </c>
      <c r="U933" s="1" t="s">
        <v>17234</v>
      </c>
      <c r="V933" s="1">
        <v>9346391438</v>
      </c>
      <c r="W933" s="1" t="s">
        <v>278</v>
      </c>
      <c r="X933" s="1" t="s">
        <v>17235</v>
      </c>
      <c r="Y933" s="1" t="s">
        <v>1436</v>
      </c>
      <c r="Z933" s="1" t="s">
        <v>281</v>
      </c>
      <c r="AA933" s="1" t="s">
        <v>17235</v>
      </c>
      <c r="AB933" s="1" t="s">
        <v>1436</v>
      </c>
      <c r="AC933" s="1" t="s">
        <v>281</v>
      </c>
      <c r="AD933" s="1" t="s">
        <v>98</v>
      </c>
      <c r="AE933" s="1" t="s">
        <v>98</v>
      </c>
      <c r="AF933" s="1" t="s">
        <v>17236</v>
      </c>
      <c r="AG933" s="1" t="s">
        <v>17237</v>
      </c>
      <c r="AH933" s="1" t="s">
        <v>388</v>
      </c>
      <c r="AI933" s="1" t="s">
        <v>490</v>
      </c>
      <c r="AJ933" s="1">
        <v>98</v>
      </c>
      <c r="AK933" s="1">
        <v>9.8</v>
      </c>
      <c r="AL933" s="1" t="s">
        <v>3467</v>
      </c>
      <c r="AM933" s="1" t="s">
        <v>17238</v>
      </c>
      <c r="AN933" s="1" t="s">
        <v>465</v>
      </c>
      <c r="AO933" s="1" t="s">
        <v>174</v>
      </c>
      <c r="AP933" s="1" t="s">
        <v>977</v>
      </c>
      <c r="AQ933" s="1">
        <v>86.3</v>
      </c>
      <c r="AR933" s="1">
        <v>8.63</v>
      </c>
      <c r="AS933" s="1"/>
      <c r="AT933" s="1"/>
      <c r="AU933" s="1"/>
      <c r="AV933" s="1"/>
      <c r="AW933" s="1"/>
      <c r="AX933" s="1"/>
      <c r="AY933" s="1" t="s">
        <v>3467</v>
      </c>
      <c r="AZ933" s="1" t="s">
        <v>17239</v>
      </c>
      <c r="BA933" s="1" t="s">
        <v>466</v>
      </c>
      <c r="BB933" s="1" t="s">
        <v>467</v>
      </c>
      <c r="BC933" s="1" t="s">
        <v>178</v>
      </c>
      <c r="BD933" s="1" t="s">
        <v>1314</v>
      </c>
      <c r="BE933" s="1">
        <v>82.4</v>
      </c>
      <c r="BF933" s="1">
        <v>8.24</v>
      </c>
      <c r="BG933" s="1"/>
      <c r="BH933" s="1"/>
      <c r="BI933" s="1"/>
      <c r="BJ933" s="1"/>
      <c r="BK933" s="1"/>
      <c r="BL933" s="1"/>
      <c r="BM933" s="1"/>
      <c r="BN933" s="1"/>
      <c r="BO933" s="1" t="s">
        <v>17240</v>
      </c>
      <c r="BP933" s="1" t="s">
        <v>17241</v>
      </c>
      <c r="BQ933" s="1" t="s">
        <v>582</v>
      </c>
      <c r="BR933" s="1" t="s">
        <v>17242</v>
      </c>
      <c r="BS933" s="1">
        <v>30</v>
      </c>
      <c r="BT933" s="1" t="s">
        <v>17243</v>
      </c>
      <c r="BU933" s="1" t="str">
        <f>HYPERLINK("https://nconnect.nicmar.ac.in/storage/profile/6a85e76d6c350.png","Download")</f>
        <v>0</v>
      </c>
      <c r="BV933" s="3"/>
      <c r="BW933" s="3"/>
    </row>
    <row r="934" spans="1:75">
      <c r="A934" s="1" t="s">
        <v>75</v>
      </c>
      <c r="B934" s="1" t="s">
        <v>13976</v>
      </c>
      <c r="C934" s="1" t="s">
        <v>17244</v>
      </c>
      <c r="D934" s="1" t="s">
        <v>17245</v>
      </c>
      <c r="E934" s="1" t="s">
        <v>17246</v>
      </c>
      <c r="F934" s="1" t="s">
        <v>17247</v>
      </c>
      <c r="G934" s="1" t="s">
        <v>17248</v>
      </c>
      <c r="H934" s="1" t="s">
        <v>17249</v>
      </c>
      <c r="I934" s="1" t="s">
        <v>17249</v>
      </c>
      <c r="J934" s="1">
        <v>6299711143</v>
      </c>
      <c r="K934" s="1" t="s">
        <v>84</v>
      </c>
      <c r="L934" s="1" t="s">
        <v>17250</v>
      </c>
      <c r="M934" s="1" t="s">
        <v>86</v>
      </c>
      <c r="N934" s="1" t="s">
        <v>4857</v>
      </c>
      <c r="O934" s="1" t="s">
        <v>17251</v>
      </c>
      <c r="P934" s="1" t="s">
        <v>122</v>
      </c>
      <c r="Q934" s="1">
        <v>927146233846</v>
      </c>
      <c r="R934" s="1" t="s">
        <v>17252</v>
      </c>
      <c r="S934" s="1">
        <v>8969197460</v>
      </c>
      <c r="T934" s="1" t="s">
        <v>17253</v>
      </c>
      <c r="U934" s="1" t="s">
        <v>17254</v>
      </c>
      <c r="V934" s="1">
        <v>8271324957</v>
      </c>
      <c r="W934" s="1" t="s">
        <v>15148</v>
      </c>
      <c r="X934" s="1" t="s">
        <v>17255</v>
      </c>
      <c r="Y934" s="1" t="s">
        <v>8299</v>
      </c>
      <c r="Z934" s="1" t="s">
        <v>2955</v>
      </c>
      <c r="AA934" s="1" t="s">
        <v>17255</v>
      </c>
      <c r="AB934" s="1" t="s">
        <v>8299</v>
      </c>
      <c r="AC934" s="1" t="s">
        <v>2955</v>
      </c>
      <c r="AD934" s="1" t="s">
        <v>98</v>
      </c>
      <c r="AE934" s="1" t="s">
        <v>98</v>
      </c>
      <c r="AF934" s="1" t="s">
        <v>17256</v>
      </c>
      <c r="AG934" s="1" t="s">
        <v>17257</v>
      </c>
      <c r="AH934" s="1" t="s">
        <v>284</v>
      </c>
      <c r="AI934" s="1" t="s">
        <v>704</v>
      </c>
      <c r="AJ934" s="1">
        <v>89.3</v>
      </c>
      <c r="AK934" s="1">
        <v>9.4</v>
      </c>
      <c r="AL934" s="1" t="s">
        <v>17258</v>
      </c>
      <c r="AM934" s="1" t="s">
        <v>17257</v>
      </c>
      <c r="AN934" s="1" t="s">
        <v>465</v>
      </c>
      <c r="AO934" s="1" t="s">
        <v>704</v>
      </c>
      <c r="AP934" s="1" t="s">
        <v>547</v>
      </c>
      <c r="AQ934" s="1">
        <v>65.3</v>
      </c>
      <c r="AR934" s="1"/>
      <c r="AS934" s="1"/>
      <c r="AT934" s="1"/>
      <c r="AU934" s="1"/>
      <c r="AV934" s="1"/>
      <c r="AW934" s="1"/>
      <c r="AX934" s="1"/>
      <c r="AY934" s="1" t="s">
        <v>17259</v>
      </c>
      <c r="AZ934" s="1" t="s">
        <v>17260</v>
      </c>
      <c r="BA934" s="1" t="s">
        <v>466</v>
      </c>
      <c r="BB934" s="1" t="s">
        <v>467</v>
      </c>
      <c r="BC934" s="1" t="s">
        <v>468</v>
      </c>
      <c r="BD934" s="1" t="s">
        <v>14101</v>
      </c>
      <c r="BE934" s="1">
        <v>65.3</v>
      </c>
      <c r="BF934" s="1"/>
      <c r="BG934" s="1"/>
      <c r="BH934" s="1"/>
      <c r="BI934" s="1"/>
      <c r="BJ934" s="1"/>
      <c r="BK934" s="1"/>
      <c r="BL934" s="1"/>
      <c r="BM934" s="1"/>
      <c r="BN934" s="1"/>
      <c r="BO934" s="1" t="s">
        <v>17261</v>
      </c>
      <c r="BP934" s="1" t="s">
        <v>17262</v>
      </c>
      <c r="BQ934" s="1" t="s">
        <v>2245</v>
      </c>
      <c r="BR934" s="1" t="s">
        <v>17263</v>
      </c>
      <c r="BS934" s="1">
        <v>4</v>
      </c>
      <c r="BT934" s="1" t="s">
        <v>17264</v>
      </c>
      <c r="BU934" s="1" t="str">
        <f>HYPERLINK("https://nconnect.nicmar.ac.in/storage/profile/6a872c7cc96e8.png","Download")</f>
        <v>0</v>
      </c>
      <c r="BV934" s="3"/>
      <c r="BW934" s="3"/>
    </row>
    <row r="935" spans="1:75">
      <c r="A935" s="1" t="s">
        <v>75</v>
      </c>
      <c r="B935" s="1" t="s">
        <v>13976</v>
      </c>
      <c r="C935" s="1" t="s">
        <v>17265</v>
      </c>
      <c r="D935" s="1" t="s">
        <v>17266</v>
      </c>
      <c r="E935" s="1"/>
      <c r="F935" s="1" t="s">
        <v>587</v>
      </c>
      <c r="G935" s="1" t="s">
        <v>17267</v>
      </c>
      <c r="H935" s="1" t="s">
        <v>17268</v>
      </c>
      <c r="I935" s="1" t="s">
        <v>17268</v>
      </c>
      <c r="J935" s="1">
        <v>8431717183</v>
      </c>
      <c r="K935" s="1" t="s">
        <v>84</v>
      </c>
      <c r="L935" s="1" t="s">
        <v>17269</v>
      </c>
      <c r="M935" s="1" t="s">
        <v>86</v>
      </c>
      <c r="N935" s="1" t="s">
        <v>17270</v>
      </c>
      <c r="O935" s="1" t="s">
        <v>17271</v>
      </c>
      <c r="P935" s="1" t="s">
        <v>122</v>
      </c>
      <c r="Q935" s="1">
        <v>594094660106</v>
      </c>
      <c r="R935" s="1" t="s">
        <v>17272</v>
      </c>
      <c r="S935" s="1">
        <v>9686548662</v>
      </c>
      <c r="T935" s="1" t="s">
        <v>13411</v>
      </c>
      <c r="U935" s="1" t="s">
        <v>17273</v>
      </c>
      <c r="V935" s="1">
        <v>9902137820</v>
      </c>
      <c r="W935" s="1" t="s">
        <v>17274</v>
      </c>
      <c r="X935" s="1" t="s">
        <v>17275</v>
      </c>
      <c r="Y935" s="1" t="s">
        <v>9929</v>
      </c>
      <c r="Z935" s="1" t="s">
        <v>1210</v>
      </c>
      <c r="AA935" s="1" t="s">
        <v>17275</v>
      </c>
      <c r="AB935" s="1" t="s">
        <v>9929</v>
      </c>
      <c r="AC935" s="1" t="s">
        <v>1210</v>
      </c>
      <c r="AD935" s="1" t="s">
        <v>98</v>
      </c>
      <c r="AE935" s="1" t="s">
        <v>98</v>
      </c>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t="str">
        <f>HYPERLINK("https://nconnect.nicmar.ac.in/storage/profile/6a871fae1dbe9.png","Download")</f>
        <v>0</v>
      </c>
      <c r="BV935" s="3"/>
      <c r="BW935" s="3"/>
    </row>
    <row r="936" spans="1:75">
      <c r="A936" s="1" t="s">
        <v>75</v>
      </c>
      <c r="B936" s="1" t="s">
        <v>13976</v>
      </c>
      <c r="C936" s="1" t="s">
        <v>17276</v>
      </c>
      <c r="D936" s="1" t="s">
        <v>17277</v>
      </c>
      <c r="E936" s="1"/>
      <c r="F936" s="1" t="s">
        <v>17278</v>
      </c>
      <c r="G936" s="1" t="s">
        <v>17279</v>
      </c>
      <c r="H936" s="1" t="s">
        <v>17280</v>
      </c>
      <c r="I936" s="1" t="s">
        <v>17280</v>
      </c>
      <c r="J936" s="1">
        <v>9654518324</v>
      </c>
      <c r="K936" s="1" t="s">
        <v>84</v>
      </c>
      <c r="L936" s="1" t="s">
        <v>17281</v>
      </c>
      <c r="M936" s="1" t="s">
        <v>86</v>
      </c>
      <c r="N936" s="1" t="s">
        <v>8293</v>
      </c>
      <c r="O936" s="1" t="s">
        <v>16389</v>
      </c>
      <c r="P936" s="1" t="s">
        <v>122</v>
      </c>
      <c r="Q936" s="1">
        <v>6436926620351</v>
      </c>
      <c r="R936" s="1" t="s">
        <v>17282</v>
      </c>
      <c r="S936" s="1">
        <v>9717098806</v>
      </c>
      <c r="T936" s="1" t="s">
        <v>3439</v>
      </c>
      <c r="U936" s="1" t="s">
        <v>15451</v>
      </c>
      <c r="V936" s="1">
        <v>9013248866</v>
      </c>
      <c r="W936" s="1" t="s">
        <v>10306</v>
      </c>
      <c r="X936" s="1" t="s">
        <v>17283</v>
      </c>
      <c r="Y936" s="1" t="s">
        <v>3767</v>
      </c>
      <c r="Z936" s="1" t="s">
        <v>544</v>
      </c>
      <c r="AA936" s="1" t="s">
        <v>17284</v>
      </c>
      <c r="AB936" s="1" t="s">
        <v>196</v>
      </c>
      <c r="AC936" s="1" t="s">
        <v>97</v>
      </c>
      <c r="AD936" s="1" t="s">
        <v>98</v>
      </c>
      <c r="AE936" s="1" t="s">
        <v>98</v>
      </c>
      <c r="AF936" s="1" t="s">
        <v>17285</v>
      </c>
      <c r="AG936" s="1" t="s">
        <v>796</v>
      </c>
      <c r="AH936" s="1" t="s">
        <v>3421</v>
      </c>
      <c r="AI936" s="1" t="s">
        <v>1262</v>
      </c>
      <c r="AJ936" s="1">
        <v>76</v>
      </c>
      <c r="AK936" s="1">
        <v>8</v>
      </c>
      <c r="AL936" s="1"/>
      <c r="AM936" s="1"/>
      <c r="AN936" s="1"/>
      <c r="AO936" s="1"/>
      <c r="AP936" s="1"/>
      <c r="AQ936" s="1"/>
      <c r="AR936" s="1"/>
      <c r="AS936" s="1" t="s">
        <v>14158</v>
      </c>
      <c r="AT936" s="1" t="s">
        <v>17286</v>
      </c>
      <c r="AU936" s="1" t="s">
        <v>257</v>
      </c>
      <c r="AV936" s="1" t="s">
        <v>174</v>
      </c>
      <c r="AW936" s="1">
        <v>70.02</v>
      </c>
      <c r="AX936" s="1"/>
      <c r="AY936" s="1" t="s">
        <v>17287</v>
      </c>
      <c r="AZ936" s="1" t="s">
        <v>17287</v>
      </c>
      <c r="BA936" s="1" t="s">
        <v>466</v>
      </c>
      <c r="BB936" s="1" t="s">
        <v>467</v>
      </c>
      <c r="BC936" s="1" t="s">
        <v>1065</v>
      </c>
      <c r="BD936" s="1" t="s">
        <v>289</v>
      </c>
      <c r="BE936" s="1">
        <v>71.4</v>
      </c>
      <c r="BF936" s="1">
        <v>7.14</v>
      </c>
      <c r="BG936" s="1"/>
      <c r="BH936" s="1"/>
      <c r="BI936" s="1"/>
      <c r="BJ936" s="1"/>
      <c r="BK936" s="1"/>
      <c r="BL936" s="1"/>
      <c r="BM936" s="1"/>
      <c r="BN936" s="1"/>
      <c r="BO936" s="1" t="s">
        <v>17288</v>
      </c>
      <c r="BP936" s="1" t="s">
        <v>17289</v>
      </c>
      <c r="BQ936" s="1" t="s">
        <v>4944</v>
      </c>
      <c r="BR936" s="1" t="s">
        <v>17290</v>
      </c>
      <c r="BS936" s="1">
        <v>122</v>
      </c>
      <c r="BT936" s="1"/>
      <c r="BU936" s="1" t="str">
        <f>HYPERLINK("https://nconnect.nicmar.ac.in/storage/profile/6a872cd4c6794.png","Download")</f>
        <v>0</v>
      </c>
      <c r="BV936" s="3"/>
      <c r="BW936" s="3"/>
    </row>
    <row r="937" spans="1:75">
      <c r="A937" s="1" t="s">
        <v>75</v>
      </c>
      <c r="B937" s="1" t="s">
        <v>13976</v>
      </c>
      <c r="C937" s="1" t="s">
        <v>17291</v>
      </c>
      <c r="D937" s="1" t="s">
        <v>17292</v>
      </c>
      <c r="E937" s="1" t="s">
        <v>17293</v>
      </c>
      <c r="F937" s="1" t="s">
        <v>1872</v>
      </c>
      <c r="G937" s="1" t="s">
        <v>17294</v>
      </c>
      <c r="H937" s="1" t="s">
        <v>17295</v>
      </c>
      <c r="I937" s="1" t="s">
        <v>17295</v>
      </c>
      <c r="J937" s="1">
        <v>9356412372</v>
      </c>
      <c r="K937" s="1" t="s">
        <v>84</v>
      </c>
      <c r="L937" s="1" t="s">
        <v>17296</v>
      </c>
      <c r="M937" s="1" t="s">
        <v>86</v>
      </c>
      <c r="N937" s="1" t="s">
        <v>17297</v>
      </c>
      <c r="O937" s="1" t="s">
        <v>17298</v>
      </c>
      <c r="P937" s="1" t="s">
        <v>219</v>
      </c>
      <c r="Q937" s="1">
        <v>839181853093</v>
      </c>
      <c r="R937" s="1" t="s">
        <v>17299</v>
      </c>
      <c r="S937" s="1">
        <v>9422335869</v>
      </c>
      <c r="T937" s="1" t="s">
        <v>5065</v>
      </c>
      <c r="U937" s="1" t="s">
        <v>17300</v>
      </c>
      <c r="V937" s="1">
        <v>9158724352</v>
      </c>
      <c r="W937" s="1" t="s">
        <v>161</v>
      </c>
      <c r="X937" s="1" t="s">
        <v>17301</v>
      </c>
      <c r="Y937" s="1" t="s">
        <v>96</v>
      </c>
      <c r="Z937" s="1" t="s">
        <v>97</v>
      </c>
      <c r="AA937" s="1" t="s">
        <v>17301</v>
      </c>
      <c r="AB937" s="1" t="s">
        <v>96</v>
      </c>
      <c r="AC937" s="1" t="s">
        <v>97</v>
      </c>
      <c r="AD937" s="1" t="s">
        <v>98</v>
      </c>
      <c r="AE937" s="1" t="s">
        <v>98</v>
      </c>
      <c r="AF937" s="1" t="s">
        <v>6490</v>
      </c>
      <c r="AG937" s="1" t="s">
        <v>17302</v>
      </c>
      <c r="AH937" s="1" t="s">
        <v>1213</v>
      </c>
      <c r="AI937" s="1" t="s">
        <v>1214</v>
      </c>
      <c r="AJ937" s="1">
        <v>74</v>
      </c>
      <c r="AK937" s="1"/>
      <c r="AL937" s="1" t="s">
        <v>7969</v>
      </c>
      <c r="AM937" s="1" t="s">
        <v>629</v>
      </c>
      <c r="AN937" s="1" t="s">
        <v>465</v>
      </c>
      <c r="AO937" s="1" t="s">
        <v>135</v>
      </c>
      <c r="AP937" s="1" t="s">
        <v>517</v>
      </c>
      <c r="AQ937" s="1">
        <v>60</v>
      </c>
      <c r="AR937" s="1"/>
      <c r="AS937" s="1"/>
      <c r="AT937" s="1"/>
      <c r="AU937" s="1"/>
      <c r="AV937" s="1"/>
      <c r="AW937" s="1"/>
      <c r="AX937" s="1"/>
      <c r="AY937" s="1" t="s">
        <v>17303</v>
      </c>
      <c r="AZ937" s="1" t="s">
        <v>17304</v>
      </c>
      <c r="BA937" s="1" t="s">
        <v>466</v>
      </c>
      <c r="BB937" s="1" t="s">
        <v>467</v>
      </c>
      <c r="BC937" s="1" t="s">
        <v>1396</v>
      </c>
      <c r="BD937" s="1" t="s">
        <v>110</v>
      </c>
      <c r="BE937" s="1">
        <v>62.4</v>
      </c>
      <c r="BF937" s="1">
        <v>6.74</v>
      </c>
      <c r="BG937" s="1"/>
      <c r="BH937" s="1"/>
      <c r="BI937" s="1"/>
      <c r="BJ937" s="1"/>
      <c r="BK937" s="1"/>
      <c r="BL937" s="1"/>
      <c r="BM937" s="1"/>
      <c r="BN937" s="1"/>
      <c r="BO937" s="1" t="s">
        <v>17305</v>
      </c>
      <c r="BP937" s="1" t="s">
        <v>17306</v>
      </c>
      <c r="BQ937" s="1" t="s">
        <v>292</v>
      </c>
      <c r="BR937" s="1" t="s">
        <v>17307</v>
      </c>
      <c r="BS937" s="1">
        <v>13</v>
      </c>
      <c r="BT937" s="1"/>
      <c r="BU937" s="1" t="str">
        <f>HYPERLINK("https://nconnect.nicmar.ac.in/storage/profile/6a872b6bb8299.png","Download")</f>
        <v>0</v>
      </c>
      <c r="BV937" s="3"/>
      <c r="BW937" s="3"/>
    </row>
    <row r="938" spans="1:75">
      <c r="A938" s="1" t="s">
        <v>75</v>
      </c>
      <c r="B938" s="1" t="s">
        <v>13976</v>
      </c>
      <c r="C938" s="1" t="s">
        <v>17308</v>
      </c>
      <c r="D938" s="1" t="s">
        <v>17309</v>
      </c>
      <c r="E938" s="1" t="s">
        <v>17310</v>
      </c>
      <c r="F938" s="1" t="s">
        <v>4037</v>
      </c>
      <c r="G938" s="1" t="s">
        <v>17311</v>
      </c>
      <c r="H938" s="1" t="s">
        <v>17312</v>
      </c>
      <c r="I938" s="1" t="s">
        <v>17312</v>
      </c>
      <c r="J938" s="1">
        <v>7815946792</v>
      </c>
      <c r="K938" s="1" t="s">
        <v>153</v>
      </c>
      <c r="L938" s="1" t="s">
        <v>17313</v>
      </c>
      <c r="M938" s="1" t="s">
        <v>86</v>
      </c>
      <c r="N938" s="1" t="s">
        <v>15844</v>
      </c>
      <c r="O938" s="1" t="s">
        <v>17314</v>
      </c>
      <c r="P938" s="1" t="s">
        <v>122</v>
      </c>
      <c r="Q938" s="1">
        <v>988314683464</v>
      </c>
      <c r="R938" s="1" t="s">
        <v>17315</v>
      </c>
      <c r="S938" s="1">
        <v>9959403535</v>
      </c>
      <c r="T938" s="1" t="s">
        <v>11408</v>
      </c>
      <c r="U938" s="1" t="s">
        <v>17316</v>
      </c>
      <c r="V938" s="1">
        <v>9701550918</v>
      </c>
      <c r="W938" s="1" t="s">
        <v>127</v>
      </c>
      <c r="X938" s="1" t="s">
        <v>17317</v>
      </c>
      <c r="Y938" s="1" t="s">
        <v>3031</v>
      </c>
      <c r="Z938" s="1" t="s">
        <v>461</v>
      </c>
      <c r="AA938" s="1" t="s">
        <v>17317</v>
      </c>
      <c r="AB938" s="1" t="s">
        <v>3031</v>
      </c>
      <c r="AC938" s="1" t="s">
        <v>461</v>
      </c>
      <c r="AD938" s="1" t="s">
        <v>98</v>
      </c>
      <c r="AE938" s="1" t="s">
        <v>98</v>
      </c>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t="s">
        <v>17318</v>
      </c>
      <c r="BU938" s="1" t="str">
        <f>HYPERLINK("https://nconnect.nicmar.ac.in/storage/profile/6a8700e2b90ab.png","Download")</f>
        <v>0</v>
      </c>
      <c r="BV938" s="3"/>
      <c r="BW938" s="3"/>
    </row>
    <row r="939" spans="1:75">
      <c r="A939" s="1" t="s">
        <v>75</v>
      </c>
      <c r="B939" s="1" t="s">
        <v>13976</v>
      </c>
      <c r="C939" s="1" t="s">
        <v>17319</v>
      </c>
      <c r="D939" s="1" t="s">
        <v>17320</v>
      </c>
      <c r="E939" s="1"/>
      <c r="F939" s="1" t="s">
        <v>587</v>
      </c>
      <c r="G939" s="1" t="s">
        <v>17321</v>
      </c>
      <c r="H939" s="1" t="s">
        <v>17322</v>
      </c>
      <c r="I939" s="1" t="s">
        <v>17323</v>
      </c>
      <c r="J939" s="1">
        <v>9500376232</v>
      </c>
      <c r="K939" s="1" t="s">
        <v>153</v>
      </c>
      <c r="L939" s="1" t="s">
        <v>17324</v>
      </c>
      <c r="M939" s="1" t="s">
        <v>86</v>
      </c>
      <c r="N939" s="1" t="s">
        <v>17325</v>
      </c>
      <c r="O939" s="1" t="s">
        <v>17326</v>
      </c>
      <c r="P939" s="1" t="s">
        <v>219</v>
      </c>
      <c r="Q939" s="1">
        <v>602772459580</v>
      </c>
      <c r="R939" s="1" t="s">
        <v>17327</v>
      </c>
      <c r="S939" s="1">
        <v>9629848109</v>
      </c>
      <c r="T939" s="1" t="s">
        <v>839</v>
      </c>
      <c r="U939" s="1" t="s">
        <v>17328</v>
      </c>
      <c r="V939" s="1">
        <v>8489369059</v>
      </c>
      <c r="W939" s="1" t="s">
        <v>94</v>
      </c>
      <c r="X939" s="1" t="s">
        <v>17329</v>
      </c>
      <c r="Y939" s="1" t="s">
        <v>8822</v>
      </c>
      <c r="Z939" s="1" t="s">
        <v>570</v>
      </c>
      <c r="AA939" s="1" t="s">
        <v>17329</v>
      </c>
      <c r="AB939" s="1" t="s">
        <v>8822</v>
      </c>
      <c r="AC939" s="1" t="s">
        <v>570</v>
      </c>
      <c r="AD939" s="1" t="s">
        <v>98</v>
      </c>
      <c r="AE939" s="1" t="s">
        <v>98</v>
      </c>
      <c r="AF939" s="1" t="s">
        <v>17330</v>
      </c>
      <c r="AG939" s="1" t="s">
        <v>17331</v>
      </c>
      <c r="AH939" s="1" t="s">
        <v>106</v>
      </c>
      <c r="AI939" s="1" t="s">
        <v>414</v>
      </c>
      <c r="AJ939" s="1">
        <v>85</v>
      </c>
      <c r="AK939" s="1">
        <v>8.5</v>
      </c>
      <c r="AL939" s="1" t="s">
        <v>17332</v>
      </c>
      <c r="AM939" s="1" t="s">
        <v>17331</v>
      </c>
      <c r="AN939" s="1" t="s">
        <v>575</v>
      </c>
      <c r="AO939" s="1" t="s">
        <v>468</v>
      </c>
      <c r="AP939" s="1" t="s">
        <v>845</v>
      </c>
      <c r="AQ939" s="1">
        <v>85.63</v>
      </c>
      <c r="AR939" s="1">
        <v>8.63</v>
      </c>
      <c r="AS939" s="1"/>
      <c r="AT939" s="1"/>
      <c r="AU939" s="1"/>
      <c r="AV939" s="1"/>
      <c r="AW939" s="1"/>
      <c r="AX939" s="1"/>
      <c r="AY939" s="1" t="s">
        <v>576</v>
      </c>
      <c r="AZ939" s="1" t="s">
        <v>17333</v>
      </c>
      <c r="BA939" s="1" t="s">
        <v>578</v>
      </c>
      <c r="BB939" s="1" t="s">
        <v>467</v>
      </c>
      <c r="BC939" s="1" t="s">
        <v>1889</v>
      </c>
      <c r="BD939" s="1" t="s">
        <v>9688</v>
      </c>
      <c r="BE939" s="1">
        <v>77.7</v>
      </c>
      <c r="BF939" s="1">
        <v>7.77</v>
      </c>
      <c r="BG939" s="1"/>
      <c r="BH939" s="1"/>
      <c r="BI939" s="1"/>
      <c r="BJ939" s="1"/>
      <c r="BK939" s="1"/>
      <c r="BL939" s="1"/>
      <c r="BM939" s="1"/>
      <c r="BN939" s="1"/>
      <c r="BO939" s="1" t="s">
        <v>1315</v>
      </c>
      <c r="BP939" s="1"/>
      <c r="BQ939" s="1"/>
      <c r="BR939" s="1" t="s">
        <v>17334</v>
      </c>
      <c r="BS939" s="1">
        <v>35</v>
      </c>
      <c r="BT939" s="1"/>
      <c r="BU939" s="1" t="str">
        <f>HYPERLINK("https://nconnect.nicmar.ac.in/storage/profile/6a88327f050ac.png","Download")</f>
        <v>0</v>
      </c>
      <c r="BV939" s="3"/>
      <c r="BW939" s="3"/>
    </row>
    <row r="940" spans="1:75">
      <c r="A940" s="1" t="s">
        <v>75</v>
      </c>
      <c r="B940" s="1" t="s">
        <v>13976</v>
      </c>
      <c r="C940" s="1" t="s">
        <v>17335</v>
      </c>
      <c r="D940" s="1" t="s">
        <v>17336</v>
      </c>
      <c r="E940" s="1" t="s">
        <v>17337</v>
      </c>
      <c r="F940" s="1" t="s">
        <v>17338</v>
      </c>
      <c r="G940" s="1" t="s">
        <v>17339</v>
      </c>
      <c r="H940" s="1" t="s">
        <v>17340</v>
      </c>
      <c r="I940" s="1" t="s">
        <v>17340</v>
      </c>
      <c r="J940" s="1">
        <v>7021605792</v>
      </c>
      <c r="K940" s="1" t="s">
        <v>153</v>
      </c>
      <c r="L940" s="1" t="s">
        <v>17341</v>
      </c>
      <c r="M940" s="1" t="s">
        <v>86</v>
      </c>
      <c r="N940" s="1" t="s">
        <v>17342</v>
      </c>
      <c r="O940" s="1" t="s">
        <v>17343</v>
      </c>
      <c r="P940" s="1" t="s">
        <v>89</v>
      </c>
      <c r="Q940" s="1">
        <v>814894608574</v>
      </c>
      <c r="R940" s="1" t="s">
        <v>17344</v>
      </c>
      <c r="S940" s="1">
        <v>9969730167</v>
      </c>
      <c r="T940" s="1" t="s">
        <v>2177</v>
      </c>
      <c r="U940" s="1" t="s">
        <v>17345</v>
      </c>
      <c r="V940" s="1">
        <v>9869819629</v>
      </c>
      <c r="W940" s="1" t="s">
        <v>17120</v>
      </c>
      <c r="X940" s="1" t="s">
        <v>17346</v>
      </c>
      <c r="Y940" s="1" t="s">
        <v>1882</v>
      </c>
      <c r="Z940" s="1" t="s">
        <v>97</v>
      </c>
      <c r="AA940" s="1" t="s">
        <v>17346</v>
      </c>
      <c r="AB940" s="1" t="s">
        <v>1882</v>
      </c>
      <c r="AC940" s="1" t="s">
        <v>97</v>
      </c>
      <c r="AD940" s="1" t="s">
        <v>98</v>
      </c>
      <c r="AE940" s="1" t="s">
        <v>98</v>
      </c>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t="s">
        <v>17347</v>
      </c>
      <c r="BQ940" s="1" t="s">
        <v>2116</v>
      </c>
      <c r="BR940" s="1"/>
      <c r="BS940" s="1"/>
      <c r="BT940" s="1"/>
      <c r="BU940" s="1" t="str">
        <f>HYPERLINK("https://nconnect.nicmar.ac.in/storage/profile/6a86f98167f97.png","Download")</f>
        <v>0</v>
      </c>
      <c r="BV940" s="3"/>
      <c r="BW940" s="3"/>
    </row>
    <row r="941" spans="1:75">
      <c r="A941" s="1" t="s">
        <v>75</v>
      </c>
      <c r="B941" s="1" t="s">
        <v>13976</v>
      </c>
      <c r="C941" s="1" t="s">
        <v>17348</v>
      </c>
      <c r="D941" s="1" t="s">
        <v>17349</v>
      </c>
      <c r="E941" s="1"/>
      <c r="F941" s="1" t="s">
        <v>5809</v>
      </c>
      <c r="G941" s="1" t="s">
        <v>17350</v>
      </c>
      <c r="H941" s="1" t="s">
        <v>17351</v>
      </c>
      <c r="I941" s="1" t="s">
        <v>17351</v>
      </c>
      <c r="J941" s="1">
        <v>8967553396</v>
      </c>
      <c r="K941" s="1" t="s">
        <v>84</v>
      </c>
      <c r="L941" s="1" t="s">
        <v>8090</v>
      </c>
      <c r="M941" s="1" t="s">
        <v>86</v>
      </c>
      <c r="N941" s="1" t="s">
        <v>17352</v>
      </c>
      <c r="O941" s="1" t="s">
        <v>17353</v>
      </c>
      <c r="P941" s="1" t="s">
        <v>219</v>
      </c>
      <c r="Q941" s="1">
        <v>984184494319</v>
      </c>
      <c r="R941" s="1" t="s">
        <v>17354</v>
      </c>
      <c r="S941" s="1">
        <v>9933383233</v>
      </c>
      <c r="T941" s="1" t="s">
        <v>159</v>
      </c>
      <c r="U941" s="1" t="s">
        <v>17355</v>
      </c>
      <c r="V941" s="1">
        <v>7063527794</v>
      </c>
      <c r="W941" s="1" t="s">
        <v>161</v>
      </c>
      <c r="X941" s="1" t="s">
        <v>17356</v>
      </c>
      <c r="Y941" s="1" t="s">
        <v>17357</v>
      </c>
      <c r="Z941" s="1" t="s">
        <v>1234</v>
      </c>
      <c r="AA941" s="1" t="s">
        <v>17356</v>
      </c>
      <c r="AB941" s="1" t="s">
        <v>17357</v>
      </c>
      <c r="AC941" s="1" t="s">
        <v>1234</v>
      </c>
      <c r="AD941" s="1" t="s">
        <v>98</v>
      </c>
      <c r="AE941" s="1" t="s">
        <v>98</v>
      </c>
      <c r="AF941" s="1" t="s">
        <v>17358</v>
      </c>
      <c r="AG941" s="1" t="s">
        <v>17359</v>
      </c>
      <c r="AH941" s="1" t="s">
        <v>17360</v>
      </c>
      <c r="AI941" s="1" t="s">
        <v>1262</v>
      </c>
      <c r="AJ941" s="1">
        <v>75.28</v>
      </c>
      <c r="AK941" s="1"/>
      <c r="AL941" s="1" t="s">
        <v>17358</v>
      </c>
      <c r="AM941" s="1" t="s">
        <v>17361</v>
      </c>
      <c r="AN941" s="1" t="s">
        <v>575</v>
      </c>
      <c r="AO941" s="1" t="s">
        <v>101</v>
      </c>
      <c r="AP941" s="1" t="s">
        <v>627</v>
      </c>
      <c r="AQ941" s="1">
        <v>71.4</v>
      </c>
      <c r="AR941" s="1"/>
      <c r="AS941" s="1" t="s">
        <v>103</v>
      </c>
      <c r="AT941" s="1" t="s">
        <v>17362</v>
      </c>
      <c r="AU941" s="1" t="s">
        <v>139</v>
      </c>
      <c r="AV941" s="1" t="s">
        <v>206</v>
      </c>
      <c r="AW941" s="1">
        <v>68.2</v>
      </c>
      <c r="AX941" s="1"/>
      <c r="AY941" s="1" t="s">
        <v>17363</v>
      </c>
      <c r="AZ941" s="1" t="s">
        <v>17364</v>
      </c>
      <c r="BA941" s="1" t="s">
        <v>466</v>
      </c>
      <c r="BB941" s="1" t="s">
        <v>467</v>
      </c>
      <c r="BC941" s="1" t="s">
        <v>206</v>
      </c>
      <c r="BD941" s="1" t="s">
        <v>1267</v>
      </c>
      <c r="BE941" s="1">
        <v>76</v>
      </c>
      <c r="BF941" s="1">
        <v>8.35</v>
      </c>
      <c r="BG941" s="1"/>
      <c r="BH941" s="1"/>
      <c r="BI941" s="1"/>
      <c r="BJ941" s="1"/>
      <c r="BK941" s="1"/>
      <c r="BL941" s="1"/>
      <c r="BM941" s="1"/>
      <c r="BN941" s="1"/>
      <c r="BO941" s="1" t="s">
        <v>17365</v>
      </c>
      <c r="BP941" s="1" t="s">
        <v>17366</v>
      </c>
      <c r="BQ941" s="1" t="s">
        <v>8862</v>
      </c>
      <c r="BR941" s="1" t="s">
        <v>17367</v>
      </c>
      <c r="BS941" s="1">
        <v>8</v>
      </c>
      <c r="BT941" s="1" t="s">
        <v>17368</v>
      </c>
      <c r="BU941" s="1" t="str">
        <f>HYPERLINK("https://nconnect.nicmar.ac.in/storage/profile/6a872b676934a.png","Download")</f>
        <v>0</v>
      </c>
      <c r="BV941" s="3"/>
      <c r="BW941" s="3"/>
    </row>
    <row r="942" spans="1:75">
      <c r="A942" s="1" t="s">
        <v>75</v>
      </c>
      <c r="B942" s="1" t="s">
        <v>13976</v>
      </c>
      <c r="C942" s="1" t="s">
        <v>17369</v>
      </c>
      <c r="D942" s="1" t="s">
        <v>17370</v>
      </c>
      <c r="E942" s="1" t="s">
        <v>17371</v>
      </c>
      <c r="F942" s="1" t="s">
        <v>17372</v>
      </c>
      <c r="G942" s="1" t="s">
        <v>17373</v>
      </c>
      <c r="H942" s="1" t="s">
        <v>17374</v>
      </c>
      <c r="I942" s="1" t="s">
        <v>17375</v>
      </c>
      <c r="J942" s="1">
        <v>9860247635</v>
      </c>
      <c r="K942" s="1" t="s">
        <v>84</v>
      </c>
      <c r="L942" s="1" t="s">
        <v>17376</v>
      </c>
      <c r="M942" s="1" t="s">
        <v>86</v>
      </c>
      <c r="N942" s="1" t="s">
        <v>17377</v>
      </c>
      <c r="O942" s="1" t="s">
        <v>17378</v>
      </c>
      <c r="P942" s="1" t="s">
        <v>16271</v>
      </c>
      <c r="Q942" s="1">
        <v>754734798582</v>
      </c>
      <c r="R942" s="1" t="s">
        <v>17379</v>
      </c>
      <c r="S942" s="1">
        <v>9172888459</v>
      </c>
      <c r="T942" s="1" t="s">
        <v>15073</v>
      </c>
      <c r="U942" s="1" t="s">
        <v>17380</v>
      </c>
      <c r="V942" s="1">
        <v>7745007253</v>
      </c>
      <c r="W942" s="1" t="s">
        <v>14234</v>
      </c>
      <c r="X942" s="1" t="s">
        <v>17381</v>
      </c>
      <c r="Y942" s="1" t="s">
        <v>196</v>
      </c>
      <c r="Z942" s="1" t="s">
        <v>97</v>
      </c>
      <c r="AA942" s="1" t="s">
        <v>17382</v>
      </c>
      <c r="AB942" s="1" t="s">
        <v>196</v>
      </c>
      <c r="AC942" s="1" t="s">
        <v>97</v>
      </c>
      <c r="AD942" s="1" t="s">
        <v>98</v>
      </c>
      <c r="AE942" s="1" t="s">
        <v>98</v>
      </c>
      <c r="AF942" s="1" t="s">
        <v>17383</v>
      </c>
      <c r="AG942" s="1" t="s">
        <v>17384</v>
      </c>
      <c r="AH942" s="1" t="s">
        <v>3112</v>
      </c>
      <c r="AI942" s="1" t="s">
        <v>417</v>
      </c>
      <c r="AJ942" s="1">
        <v>61.2</v>
      </c>
      <c r="AK942" s="1">
        <v>6.4</v>
      </c>
      <c r="AL942" s="1"/>
      <c r="AM942" s="1"/>
      <c r="AN942" s="1"/>
      <c r="AO942" s="1"/>
      <c r="AP942" s="1"/>
      <c r="AQ942" s="1"/>
      <c r="AR942" s="1"/>
      <c r="AS942" s="1" t="s">
        <v>17385</v>
      </c>
      <c r="AT942" s="1" t="s">
        <v>17386</v>
      </c>
      <c r="AU942" s="1" t="s">
        <v>368</v>
      </c>
      <c r="AV942" s="1" t="s">
        <v>955</v>
      </c>
      <c r="AW942" s="1">
        <v>83.74</v>
      </c>
      <c r="AX942" s="1">
        <v>8.75</v>
      </c>
      <c r="AY942" s="1" t="s">
        <v>17387</v>
      </c>
      <c r="AZ942" s="1" t="s">
        <v>17388</v>
      </c>
      <c r="BA942" s="1" t="s">
        <v>466</v>
      </c>
      <c r="BB942" s="1" t="s">
        <v>467</v>
      </c>
      <c r="BC942" s="1" t="s">
        <v>234</v>
      </c>
      <c r="BD942" s="1" t="s">
        <v>14514</v>
      </c>
      <c r="BE942" s="1">
        <v>78</v>
      </c>
      <c r="BF942" s="1">
        <v>8.16</v>
      </c>
      <c r="BG942" s="1"/>
      <c r="BH942" s="1"/>
      <c r="BI942" s="1"/>
      <c r="BJ942" s="1"/>
      <c r="BK942" s="1"/>
      <c r="BL942" s="1"/>
      <c r="BM942" s="1"/>
      <c r="BN942" s="1"/>
      <c r="BO942" s="1" t="s">
        <v>17389</v>
      </c>
      <c r="BP942" s="1" t="s">
        <v>17390</v>
      </c>
      <c r="BQ942" s="1" t="s">
        <v>2093</v>
      </c>
      <c r="BR942" s="1"/>
      <c r="BS942" s="1"/>
      <c r="BT942" s="1"/>
      <c r="BU942" s="1" t="str">
        <f>HYPERLINK("https://nconnect.nicmar.ac.in/storage/profile/6a870ace0e57c.png","Download")</f>
        <v>0</v>
      </c>
      <c r="BV942" s="3"/>
      <c r="BW942" s="3"/>
    </row>
    <row r="943" spans="1:75">
      <c r="A943" s="1" t="s">
        <v>75</v>
      </c>
      <c r="B943" s="1" t="s">
        <v>13976</v>
      </c>
      <c r="C943" s="1" t="s">
        <v>17391</v>
      </c>
      <c r="D943" s="1" t="s">
        <v>15429</v>
      </c>
      <c r="E943" s="1" t="s">
        <v>17392</v>
      </c>
      <c r="F943" s="1" t="s">
        <v>17393</v>
      </c>
      <c r="G943" s="1" t="s">
        <v>17394</v>
      </c>
      <c r="H943" s="1" t="s">
        <v>17395</v>
      </c>
      <c r="I943" s="1" t="s">
        <v>17395</v>
      </c>
      <c r="J943" s="1">
        <v>9423566896</v>
      </c>
      <c r="K943" s="1" t="s">
        <v>84</v>
      </c>
      <c r="L943" s="1" t="s">
        <v>17396</v>
      </c>
      <c r="M943" s="1" t="s">
        <v>86</v>
      </c>
      <c r="N943" s="1" t="s">
        <v>17397</v>
      </c>
      <c r="O943" s="1" t="s">
        <v>17398</v>
      </c>
      <c r="P943" s="1" t="s">
        <v>122</v>
      </c>
      <c r="Q943" s="1">
        <v>459083214732</v>
      </c>
      <c r="R943" s="1" t="s">
        <v>17392</v>
      </c>
      <c r="S943" s="1">
        <v>9423963010</v>
      </c>
      <c r="T943" s="1" t="s">
        <v>3439</v>
      </c>
      <c r="U943" s="1" t="s">
        <v>17399</v>
      </c>
      <c r="V943" s="1">
        <v>9423963011</v>
      </c>
      <c r="W943" s="1" t="s">
        <v>10306</v>
      </c>
      <c r="X943" s="1" t="s">
        <v>17400</v>
      </c>
      <c r="Y943" s="1" t="s">
        <v>910</v>
      </c>
      <c r="Z943" s="1" t="s">
        <v>97</v>
      </c>
      <c r="AA943" s="1" t="s">
        <v>17400</v>
      </c>
      <c r="AB943" s="1" t="s">
        <v>910</v>
      </c>
      <c r="AC943" s="1" t="s">
        <v>97</v>
      </c>
      <c r="AD943" s="1" t="s">
        <v>98</v>
      </c>
      <c r="AE943" s="1" t="s">
        <v>98</v>
      </c>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t="s">
        <v>17401</v>
      </c>
      <c r="BQ943" s="1" t="s">
        <v>2577</v>
      </c>
      <c r="BR943" s="1"/>
      <c r="BS943" s="1"/>
      <c r="BT943" s="1"/>
      <c r="BU943" s="1" t="str">
        <f>HYPERLINK("https://nconnect.nicmar.ac.in/storage/profile/6a87093be0c05.png","Download")</f>
        <v>0</v>
      </c>
      <c r="BV943" s="3"/>
      <c r="BW943" s="3"/>
    </row>
    <row r="944" spans="1:75">
      <c r="A944" s="1" t="s">
        <v>75</v>
      </c>
      <c r="B944" s="1" t="s">
        <v>13976</v>
      </c>
      <c r="C944" s="1" t="s">
        <v>17402</v>
      </c>
      <c r="D944" s="1" t="s">
        <v>17403</v>
      </c>
      <c r="E944" s="1" t="s">
        <v>17404</v>
      </c>
      <c r="F944" s="1" t="s">
        <v>17405</v>
      </c>
      <c r="G944" s="1" t="s">
        <v>17406</v>
      </c>
      <c r="H944" s="1" t="s">
        <v>17407</v>
      </c>
      <c r="I944" s="1" t="s">
        <v>17407</v>
      </c>
      <c r="J944" s="1">
        <v>9960334121</v>
      </c>
      <c r="K944" s="1" t="s">
        <v>84</v>
      </c>
      <c r="L944" s="1" t="s">
        <v>17408</v>
      </c>
      <c r="M944" s="1" t="s">
        <v>86</v>
      </c>
      <c r="N944" s="1" t="s">
        <v>768</v>
      </c>
      <c r="O944" s="1" t="s">
        <v>17409</v>
      </c>
      <c r="P944" s="1" t="s">
        <v>89</v>
      </c>
      <c r="Q944" s="1">
        <v>853524862641</v>
      </c>
      <c r="R944" s="1" t="s">
        <v>17410</v>
      </c>
      <c r="S944" s="1">
        <v>8983487717</v>
      </c>
      <c r="T944" s="1" t="s">
        <v>15073</v>
      </c>
      <c r="U944" s="1" t="s">
        <v>17411</v>
      </c>
      <c r="V944" s="1">
        <v>9922394121</v>
      </c>
      <c r="W944" s="1" t="s">
        <v>14154</v>
      </c>
      <c r="X944" s="1" t="s">
        <v>17412</v>
      </c>
      <c r="Y944" s="1" t="s">
        <v>1189</v>
      </c>
      <c r="Z944" s="1" t="s">
        <v>97</v>
      </c>
      <c r="AA944" s="1" t="s">
        <v>17412</v>
      </c>
      <c r="AB944" s="1" t="s">
        <v>1189</v>
      </c>
      <c r="AC944" s="1" t="s">
        <v>97</v>
      </c>
      <c r="AD944" s="1" t="s">
        <v>98</v>
      </c>
      <c r="AE944" s="1" t="s">
        <v>98</v>
      </c>
      <c r="AF944" s="1" t="s">
        <v>17413</v>
      </c>
      <c r="AG944" s="1" t="s">
        <v>17414</v>
      </c>
      <c r="AH944" s="1" t="s">
        <v>170</v>
      </c>
      <c r="AI944" s="1" t="s">
        <v>286</v>
      </c>
      <c r="AJ944" s="1">
        <v>71.4</v>
      </c>
      <c r="AK944" s="1"/>
      <c r="AL944" s="1"/>
      <c r="AM944" s="1"/>
      <c r="AN944" s="1"/>
      <c r="AO944" s="1"/>
      <c r="AP944" s="1"/>
      <c r="AQ944" s="1"/>
      <c r="AR944" s="1"/>
      <c r="AS944" s="1" t="s">
        <v>14158</v>
      </c>
      <c r="AT944" s="1" t="s">
        <v>17415</v>
      </c>
      <c r="AU944" s="1" t="s">
        <v>106</v>
      </c>
      <c r="AV944" s="1" t="s">
        <v>441</v>
      </c>
      <c r="AW944" s="1">
        <v>81.42</v>
      </c>
      <c r="AX944" s="1"/>
      <c r="AY944" s="1" t="s">
        <v>14380</v>
      </c>
      <c r="AZ944" s="1" t="s">
        <v>17416</v>
      </c>
      <c r="BA944" s="1" t="s">
        <v>578</v>
      </c>
      <c r="BB944" s="1" t="s">
        <v>467</v>
      </c>
      <c r="BC944" s="1" t="s">
        <v>441</v>
      </c>
      <c r="BD944" s="1" t="s">
        <v>1089</v>
      </c>
      <c r="BE944" s="1">
        <v>62.85</v>
      </c>
      <c r="BF944" s="1">
        <v>6.88</v>
      </c>
      <c r="BG944" s="1"/>
      <c r="BH944" s="1"/>
      <c r="BI944" s="1"/>
      <c r="BJ944" s="1"/>
      <c r="BK944" s="1"/>
      <c r="BL944" s="1"/>
      <c r="BM944" s="1"/>
      <c r="BN944" s="1"/>
      <c r="BO944" s="1" t="s">
        <v>17417</v>
      </c>
      <c r="BP944" s="1" t="s">
        <v>17418</v>
      </c>
      <c r="BQ944" s="1" t="s">
        <v>1070</v>
      </c>
      <c r="BR944" s="1"/>
      <c r="BS944" s="1"/>
      <c r="BT944" s="1"/>
      <c r="BU944" s="1" t="str">
        <f>HYPERLINK("https://nconnect.nicmar.ac.in/storage/profile/6a85e77934f43.png","Download")</f>
        <v>0</v>
      </c>
      <c r="BV944" s="3"/>
      <c r="BW944" s="3"/>
    </row>
    <row r="945" spans="1:75">
      <c r="A945" s="1" t="s">
        <v>75</v>
      </c>
      <c r="B945" s="1" t="s">
        <v>13976</v>
      </c>
      <c r="C945" s="1" t="s">
        <v>17419</v>
      </c>
      <c r="D945" s="1" t="s">
        <v>17420</v>
      </c>
      <c r="E945" s="1"/>
      <c r="F945" s="1" t="s">
        <v>17421</v>
      </c>
      <c r="G945" s="1" t="s">
        <v>17422</v>
      </c>
      <c r="H945" s="1" t="s">
        <v>17423</v>
      </c>
      <c r="I945" s="1" t="s">
        <v>17423</v>
      </c>
      <c r="J945" s="1">
        <v>9526848603</v>
      </c>
      <c r="K945" s="1" t="s">
        <v>84</v>
      </c>
      <c r="L945" s="1" t="s">
        <v>17424</v>
      </c>
      <c r="M945" s="1" t="s">
        <v>86</v>
      </c>
      <c r="N945" s="1" t="s">
        <v>17425</v>
      </c>
      <c r="O945" s="1" t="s">
        <v>17426</v>
      </c>
      <c r="P945" s="1" t="s">
        <v>89</v>
      </c>
      <c r="Q945" s="1">
        <v>477260505872</v>
      </c>
      <c r="R945" s="1" t="s">
        <v>17427</v>
      </c>
      <c r="S945" s="1">
        <v>9387260849</v>
      </c>
      <c r="T945" s="1" t="s">
        <v>14352</v>
      </c>
      <c r="U945" s="1" t="s">
        <v>17428</v>
      </c>
      <c r="V945" s="1">
        <v>9744422971</v>
      </c>
      <c r="W945" s="1" t="s">
        <v>17429</v>
      </c>
      <c r="X945" s="1" t="s">
        <v>17430</v>
      </c>
      <c r="Y945" s="1" t="s">
        <v>701</v>
      </c>
      <c r="Z945" s="1" t="s">
        <v>130</v>
      </c>
      <c r="AA945" s="1" t="s">
        <v>17430</v>
      </c>
      <c r="AB945" s="1" t="s">
        <v>701</v>
      </c>
      <c r="AC945" s="1" t="s">
        <v>130</v>
      </c>
      <c r="AD945" s="1" t="s">
        <v>98</v>
      </c>
      <c r="AE945" s="1" t="s">
        <v>98</v>
      </c>
      <c r="AF945" s="1" t="s">
        <v>17431</v>
      </c>
      <c r="AG945" s="1" t="s">
        <v>17432</v>
      </c>
      <c r="AH945" s="1" t="s">
        <v>313</v>
      </c>
      <c r="AI945" s="1" t="s">
        <v>178</v>
      </c>
      <c r="AJ945" s="1">
        <v>90.6</v>
      </c>
      <c r="AK945" s="1"/>
      <c r="AL945" s="1" t="s">
        <v>17431</v>
      </c>
      <c r="AM945" s="1" t="s">
        <v>17433</v>
      </c>
      <c r="AN945" s="1" t="s">
        <v>6380</v>
      </c>
      <c r="AO945" s="1" t="s">
        <v>845</v>
      </c>
      <c r="AP945" s="1" t="s">
        <v>289</v>
      </c>
      <c r="AQ945" s="1">
        <v>78.4</v>
      </c>
      <c r="AR945" s="1"/>
      <c r="AS945" s="1"/>
      <c r="AT945" s="1"/>
      <c r="AU945" s="1"/>
      <c r="AV945" s="1"/>
      <c r="AW945" s="1"/>
      <c r="AX945" s="1"/>
      <c r="AY945" s="1" t="s">
        <v>17434</v>
      </c>
      <c r="AZ945" s="1" t="s">
        <v>17435</v>
      </c>
      <c r="BA945" s="1" t="s">
        <v>466</v>
      </c>
      <c r="BB945" s="1" t="s">
        <v>467</v>
      </c>
      <c r="BC945" s="1" t="s">
        <v>1802</v>
      </c>
      <c r="BD945" s="1" t="s">
        <v>14514</v>
      </c>
      <c r="BE945" s="1">
        <v>81.9</v>
      </c>
      <c r="BF945" s="1">
        <v>8.19</v>
      </c>
      <c r="BG945" s="1"/>
      <c r="BH945" s="1"/>
      <c r="BI945" s="1"/>
      <c r="BJ945" s="1"/>
      <c r="BK945" s="1"/>
      <c r="BL945" s="1"/>
      <c r="BM945" s="1"/>
      <c r="BN945" s="1"/>
      <c r="BO945" s="1" t="s">
        <v>17436</v>
      </c>
      <c r="BP945" s="1"/>
      <c r="BQ945" s="1"/>
      <c r="BR945" s="1" t="s">
        <v>17437</v>
      </c>
      <c r="BS945" s="1">
        <v>21</v>
      </c>
      <c r="BT945" s="1" t="s">
        <v>17438</v>
      </c>
      <c r="BU945" s="1" t="str">
        <f>HYPERLINK("https://nconnect.nicmar.ac.in/storage/profile/6a86a0a2b935c.png","Download")</f>
        <v>0</v>
      </c>
      <c r="BV945" s="3"/>
      <c r="BW945" s="3"/>
    </row>
    <row r="946" spans="1:75">
      <c r="A946" s="1" t="s">
        <v>75</v>
      </c>
      <c r="B946" s="1" t="s">
        <v>13976</v>
      </c>
      <c r="C946" s="1" t="s">
        <v>17439</v>
      </c>
      <c r="D946" s="1" t="s">
        <v>17440</v>
      </c>
      <c r="E946" s="1"/>
      <c r="F946" s="1" t="s">
        <v>17441</v>
      </c>
      <c r="G946" s="1" t="s">
        <v>17442</v>
      </c>
      <c r="H946" s="1" t="s">
        <v>17443</v>
      </c>
      <c r="I946" s="1" t="s">
        <v>17444</v>
      </c>
      <c r="J946" s="1">
        <v>7895602782</v>
      </c>
      <c r="K946" s="1" t="s">
        <v>84</v>
      </c>
      <c r="L946" s="1" t="s">
        <v>17445</v>
      </c>
      <c r="M946" s="1" t="s">
        <v>86</v>
      </c>
      <c r="N946" s="1" t="s">
        <v>4857</v>
      </c>
      <c r="O946" s="1" t="s">
        <v>17446</v>
      </c>
      <c r="P946" s="1" t="s">
        <v>122</v>
      </c>
      <c r="Q946" s="1">
        <v>577453030975</v>
      </c>
      <c r="R946" s="1" t="s">
        <v>17447</v>
      </c>
      <c r="S946" s="1">
        <v>9368256440</v>
      </c>
      <c r="T946" s="1" t="s">
        <v>17448</v>
      </c>
      <c r="U946" s="1" t="s">
        <v>17449</v>
      </c>
      <c r="V946" s="1">
        <v>8979080932</v>
      </c>
      <c r="W946" s="1" t="s">
        <v>17450</v>
      </c>
      <c r="X946" s="1" t="s">
        <v>17451</v>
      </c>
      <c r="Y946" s="1" t="s">
        <v>17452</v>
      </c>
      <c r="Z946" s="1" t="s">
        <v>544</v>
      </c>
      <c r="AA946" s="1" t="s">
        <v>17451</v>
      </c>
      <c r="AB946" s="1" t="s">
        <v>17452</v>
      </c>
      <c r="AC946" s="1" t="s">
        <v>544</v>
      </c>
      <c r="AD946" s="1" t="s">
        <v>98</v>
      </c>
      <c r="AE946" s="1" t="s">
        <v>98</v>
      </c>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t="s">
        <v>17453</v>
      </c>
      <c r="BS946" s="1">
        <v>8</v>
      </c>
      <c r="BT946" s="1"/>
      <c r="BU946" s="1" t="str">
        <f>HYPERLINK("https://nconnect.nicmar.ac.in/storage/profile/6a86030697e42.png","Download")</f>
        <v>0</v>
      </c>
      <c r="BV946" s="3"/>
      <c r="BW946" s="3"/>
    </row>
    <row r="947" spans="1:75">
      <c r="A947" s="1" t="s">
        <v>75</v>
      </c>
      <c r="B947" s="1" t="s">
        <v>13976</v>
      </c>
      <c r="C947" s="1" t="s">
        <v>17454</v>
      </c>
      <c r="D947" s="1" t="s">
        <v>17455</v>
      </c>
      <c r="E947" s="1"/>
      <c r="F947" s="1" t="s">
        <v>17456</v>
      </c>
      <c r="G947" s="1" t="s">
        <v>17457</v>
      </c>
      <c r="H947" s="1" t="s">
        <v>17458</v>
      </c>
      <c r="I947" s="1" t="s">
        <v>17458</v>
      </c>
      <c r="J947" s="1">
        <v>9917771056</v>
      </c>
      <c r="K947" s="1" t="s">
        <v>84</v>
      </c>
      <c r="L947" s="1" t="s">
        <v>17459</v>
      </c>
      <c r="M947" s="1" t="s">
        <v>86</v>
      </c>
      <c r="N947" s="1" t="s">
        <v>4857</v>
      </c>
      <c r="O947" s="1" t="s">
        <v>17460</v>
      </c>
      <c r="P947" s="1" t="s">
        <v>219</v>
      </c>
      <c r="Q947" s="1">
        <v>987662791501</v>
      </c>
      <c r="R947" s="1" t="s">
        <v>17461</v>
      </c>
      <c r="S947" s="1">
        <v>7500028747</v>
      </c>
      <c r="T947" s="1" t="s">
        <v>16204</v>
      </c>
      <c r="U947" s="1" t="s">
        <v>17462</v>
      </c>
      <c r="V947" s="1">
        <v>9719065310</v>
      </c>
      <c r="W947" s="1" t="s">
        <v>14154</v>
      </c>
      <c r="X947" s="1" t="s">
        <v>17463</v>
      </c>
      <c r="Y947" s="1" t="s">
        <v>17464</v>
      </c>
      <c r="Z947" s="1" t="s">
        <v>544</v>
      </c>
      <c r="AA947" s="1" t="s">
        <v>17463</v>
      </c>
      <c r="AB947" s="1" t="s">
        <v>17464</v>
      </c>
      <c r="AC947" s="1" t="s">
        <v>544</v>
      </c>
      <c r="AD947" s="1" t="s">
        <v>98</v>
      </c>
      <c r="AE947" s="1" t="s">
        <v>98</v>
      </c>
      <c r="AF947" s="1" t="s">
        <v>17465</v>
      </c>
      <c r="AG947" s="1" t="s">
        <v>12063</v>
      </c>
      <c r="AH947" s="1" t="s">
        <v>2203</v>
      </c>
      <c r="AI947" s="1" t="s">
        <v>4593</v>
      </c>
      <c r="AJ947" s="1">
        <v>80</v>
      </c>
      <c r="AK947" s="1"/>
      <c r="AL947" s="1" t="s">
        <v>17465</v>
      </c>
      <c r="AM947" s="1" t="s">
        <v>12063</v>
      </c>
      <c r="AN947" s="1" t="s">
        <v>465</v>
      </c>
      <c r="AO947" s="1" t="s">
        <v>2726</v>
      </c>
      <c r="AP947" s="1" t="s">
        <v>133</v>
      </c>
      <c r="AQ947" s="1">
        <v>69.6</v>
      </c>
      <c r="AR947" s="1"/>
      <c r="AS947" s="1"/>
      <c r="AT947" s="1"/>
      <c r="AU947" s="1"/>
      <c r="AV947" s="1"/>
      <c r="AW947" s="1"/>
      <c r="AX947" s="1"/>
      <c r="AY947" s="1" t="s">
        <v>7933</v>
      </c>
      <c r="AZ947" s="1" t="s">
        <v>17466</v>
      </c>
      <c r="BA947" s="1" t="s">
        <v>466</v>
      </c>
      <c r="BB947" s="1" t="s">
        <v>467</v>
      </c>
      <c r="BC947" s="1" t="s">
        <v>1583</v>
      </c>
      <c r="BD947" s="1" t="s">
        <v>170</v>
      </c>
      <c r="BE947" s="1">
        <v>63.7</v>
      </c>
      <c r="BF947" s="1"/>
      <c r="BG947" s="1"/>
      <c r="BH947" s="1"/>
      <c r="BI947" s="1"/>
      <c r="BJ947" s="1"/>
      <c r="BK947" s="1"/>
      <c r="BL947" s="1"/>
      <c r="BM947" s="1"/>
      <c r="BN947" s="1"/>
      <c r="BO947" s="1" t="s">
        <v>17467</v>
      </c>
      <c r="BP947" s="1" t="s">
        <v>17468</v>
      </c>
      <c r="BQ947" s="1" t="s">
        <v>4552</v>
      </c>
      <c r="BR947" s="1" t="s">
        <v>17469</v>
      </c>
      <c r="BS947" s="1">
        <v>4</v>
      </c>
      <c r="BT947" s="1" t="s">
        <v>17470</v>
      </c>
      <c r="BU947" s="1" t="str">
        <f>HYPERLINK("https://nconnect.nicmar.ac.in/storage/profile/6a86b571af741.png","Download")</f>
        <v>0</v>
      </c>
      <c r="BV947" s="3"/>
      <c r="BW947" s="3"/>
    </row>
    <row r="948" spans="1:75">
      <c r="A948" s="1" t="s">
        <v>75</v>
      </c>
      <c r="B948" s="1" t="s">
        <v>13976</v>
      </c>
      <c r="C948" s="1" t="s">
        <v>17471</v>
      </c>
      <c r="D948" s="1" t="s">
        <v>17472</v>
      </c>
      <c r="E948" s="1"/>
      <c r="F948" s="1" t="s">
        <v>17473</v>
      </c>
      <c r="G948" s="1" t="s">
        <v>17474</v>
      </c>
      <c r="H948" s="1" t="s">
        <v>17475</v>
      </c>
      <c r="I948" s="1" t="s">
        <v>17476</v>
      </c>
      <c r="J948" s="1">
        <v>9922941924</v>
      </c>
      <c r="K948" s="1" t="s">
        <v>84</v>
      </c>
      <c r="L948" s="1" t="s">
        <v>12238</v>
      </c>
      <c r="M948" s="1" t="s">
        <v>86</v>
      </c>
      <c r="N948" s="1" t="s">
        <v>8020</v>
      </c>
      <c r="O948" s="1" t="s">
        <v>17477</v>
      </c>
      <c r="P948" s="1" t="s">
        <v>122</v>
      </c>
      <c r="Q948" s="1">
        <v>330947918367</v>
      </c>
      <c r="R948" s="1" t="s">
        <v>17478</v>
      </c>
      <c r="S948" s="1">
        <v>9600751061</v>
      </c>
      <c r="T948" s="1" t="s">
        <v>17120</v>
      </c>
      <c r="U948" s="1" t="s">
        <v>17479</v>
      </c>
      <c r="V948" s="1">
        <v>9791086456</v>
      </c>
      <c r="W948" s="1" t="s">
        <v>9679</v>
      </c>
      <c r="X948" s="1" t="s">
        <v>17480</v>
      </c>
      <c r="Y948" s="1" t="s">
        <v>1498</v>
      </c>
      <c r="Z948" s="1" t="s">
        <v>570</v>
      </c>
      <c r="AA948" s="1" t="s">
        <v>17480</v>
      </c>
      <c r="AB948" s="1" t="s">
        <v>1498</v>
      </c>
      <c r="AC948" s="1" t="s">
        <v>570</v>
      </c>
      <c r="AD948" s="1" t="s">
        <v>98</v>
      </c>
      <c r="AE948" s="1" t="s">
        <v>98</v>
      </c>
      <c r="AF948" s="1" t="s">
        <v>17481</v>
      </c>
      <c r="AG948" s="1" t="s">
        <v>17482</v>
      </c>
      <c r="AH948" s="1" t="s">
        <v>167</v>
      </c>
      <c r="AI948" s="1" t="s">
        <v>200</v>
      </c>
      <c r="AJ948" s="1">
        <v>88.4</v>
      </c>
      <c r="AK948" s="1"/>
      <c r="AL948" s="1" t="s">
        <v>17483</v>
      </c>
      <c r="AM948" s="1" t="s">
        <v>17484</v>
      </c>
      <c r="AN948" s="1" t="s">
        <v>465</v>
      </c>
      <c r="AO948" s="1" t="s">
        <v>106</v>
      </c>
      <c r="AP948" s="1" t="s">
        <v>414</v>
      </c>
      <c r="AQ948" s="1">
        <v>72.16</v>
      </c>
      <c r="AR948" s="1"/>
      <c r="AS948" s="1"/>
      <c r="AT948" s="1"/>
      <c r="AU948" s="1"/>
      <c r="AV948" s="1"/>
      <c r="AW948" s="1"/>
      <c r="AX948" s="1"/>
      <c r="AY948" s="1" t="s">
        <v>14639</v>
      </c>
      <c r="AZ948" s="1" t="s">
        <v>17485</v>
      </c>
      <c r="BA948" s="1" t="s">
        <v>682</v>
      </c>
      <c r="BB948" s="1" t="s">
        <v>1561</v>
      </c>
      <c r="BC948" s="1" t="s">
        <v>438</v>
      </c>
      <c r="BD948" s="1" t="s">
        <v>418</v>
      </c>
      <c r="BE948" s="1">
        <v>79.3</v>
      </c>
      <c r="BF948" s="1">
        <v>7.93</v>
      </c>
      <c r="BG948" s="1"/>
      <c r="BH948" s="1"/>
      <c r="BI948" s="1"/>
      <c r="BJ948" s="1"/>
      <c r="BK948" s="1"/>
      <c r="BL948" s="1"/>
      <c r="BM948" s="1"/>
      <c r="BN948" s="1"/>
      <c r="BO948" s="1" t="s">
        <v>17486</v>
      </c>
      <c r="BP948" s="1"/>
      <c r="BQ948" s="1"/>
      <c r="BR948" s="1" t="s">
        <v>17487</v>
      </c>
      <c r="BS948" s="1">
        <v>23</v>
      </c>
      <c r="BT948" s="1" t="s">
        <v>17488</v>
      </c>
      <c r="BU948" s="1" t="str">
        <f>HYPERLINK("https://nconnect.nicmar.ac.in/storage/profile/6a86ff30e9b0e.png","Download")</f>
        <v>0</v>
      </c>
      <c r="BV948" s="3"/>
      <c r="BW948" s="3"/>
    </row>
    <row r="949" spans="1:75">
      <c r="A949" s="1" t="s">
        <v>75</v>
      </c>
      <c r="B949" s="1" t="s">
        <v>13976</v>
      </c>
      <c r="C949" s="1" t="s">
        <v>17489</v>
      </c>
      <c r="D949" s="1" t="s">
        <v>17490</v>
      </c>
      <c r="E949" s="1" t="s">
        <v>17491</v>
      </c>
      <c r="F949" s="1" t="s">
        <v>17492</v>
      </c>
      <c r="G949" s="1" t="s">
        <v>17493</v>
      </c>
      <c r="H949" s="1" t="s">
        <v>17494</v>
      </c>
      <c r="I949" s="1" t="s">
        <v>17495</v>
      </c>
      <c r="J949" s="1">
        <v>8425024428</v>
      </c>
      <c r="K949" s="1" t="s">
        <v>84</v>
      </c>
      <c r="L949" s="1" t="s">
        <v>17496</v>
      </c>
      <c r="M949" s="1" t="s">
        <v>86</v>
      </c>
      <c r="N949" s="1" t="s">
        <v>17497</v>
      </c>
      <c r="O949" s="1" t="s">
        <v>17498</v>
      </c>
      <c r="P949" s="1" t="s">
        <v>122</v>
      </c>
      <c r="Q949" s="1" t="s">
        <v>17499</v>
      </c>
      <c r="R949" s="1" t="s">
        <v>17500</v>
      </c>
      <c r="S949" s="1">
        <v>8108322442</v>
      </c>
      <c r="T949" s="1" t="s">
        <v>10304</v>
      </c>
      <c r="U949" s="1" t="s">
        <v>17501</v>
      </c>
      <c r="V949" s="1">
        <v>9702353696</v>
      </c>
      <c r="W949" s="1" t="s">
        <v>14154</v>
      </c>
      <c r="X949" s="1" t="s">
        <v>17502</v>
      </c>
      <c r="Y949" s="1" t="s">
        <v>1882</v>
      </c>
      <c r="Z949" s="1" t="s">
        <v>97</v>
      </c>
      <c r="AA949" s="1" t="s">
        <v>17503</v>
      </c>
      <c r="AB949" s="1" t="s">
        <v>2259</v>
      </c>
      <c r="AC949" s="1" t="s">
        <v>97</v>
      </c>
      <c r="AD949" s="1" t="s">
        <v>98</v>
      </c>
      <c r="AE949" s="1" t="s">
        <v>98</v>
      </c>
      <c r="AF949" s="1" t="s">
        <v>17504</v>
      </c>
      <c r="AG949" s="1" t="s">
        <v>17505</v>
      </c>
      <c r="AH949" s="1" t="s">
        <v>170</v>
      </c>
      <c r="AI949" s="1" t="s">
        <v>286</v>
      </c>
      <c r="AJ949" s="1">
        <v>87.4</v>
      </c>
      <c r="AK949" s="1"/>
      <c r="AL949" s="1"/>
      <c r="AM949" s="1"/>
      <c r="AN949" s="1"/>
      <c r="AO949" s="1"/>
      <c r="AP949" s="1"/>
      <c r="AQ949" s="1"/>
      <c r="AR949" s="1"/>
      <c r="AS949" s="1" t="s">
        <v>14158</v>
      </c>
      <c r="AT949" s="1" t="s">
        <v>17506</v>
      </c>
      <c r="AU949" s="1" t="s">
        <v>174</v>
      </c>
      <c r="AV949" s="1" t="s">
        <v>845</v>
      </c>
      <c r="AW949" s="1">
        <v>95.05</v>
      </c>
      <c r="AX949" s="1"/>
      <c r="AY949" s="1" t="s">
        <v>14380</v>
      </c>
      <c r="AZ949" s="1" t="s">
        <v>17507</v>
      </c>
      <c r="BA949" s="1" t="s">
        <v>578</v>
      </c>
      <c r="BB949" s="1" t="s">
        <v>467</v>
      </c>
      <c r="BC949" s="1" t="s">
        <v>549</v>
      </c>
      <c r="BD949" s="1" t="s">
        <v>418</v>
      </c>
      <c r="BE949" s="1">
        <v>71.16</v>
      </c>
      <c r="BF949" s="1">
        <v>8.09</v>
      </c>
      <c r="BG949" s="1"/>
      <c r="BH949" s="1"/>
      <c r="BI949" s="1"/>
      <c r="BJ949" s="1"/>
      <c r="BK949" s="1"/>
      <c r="BL949" s="1"/>
      <c r="BM949" s="1"/>
      <c r="BN949" s="1"/>
      <c r="BO949" s="1" t="s">
        <v>17508</v>
      </c>
      <c r="BP949" s="1" t="s">
        <v>17509</v>
      </c>
      <c r="BQ949" s="1" t="s">
        <v>4149</v>
      </c>
      <c r="BR949" s="1"/>
      <c r="BS949" s="1"/>
      <c r="BT949" s="1"/>
      <c r="BU949" s="1" t="str">
        <f>HYPERLINK("https://nconnect.nicmar.ac.in/storage/profile/6a85aa19d9fe3.png","Download")</f>
        <v>0</v>
      </c>
      <c r="BV949" s="3"/>
      <c r="BW949" s="3"/>
    </row>
    <row r="950" spans="1:75">
      <c r="A950" s="1" t="s">
        <v>75</v>
      </c>
      <c r="B950" s="1" t="s">
        <v>13976</v>
      </c>
      <c r="C950" s="1" t="s">
        <v>17510</v>
      </c>
      <c r="D950" s="1" t="s">
        <v>17511</v>
      </c>
      <c r="E950" s="1" t="s">
        <v>17512</v>
      </c>
      <c r="F950" s="1" t="s">
        <v>17513</v>
      </c>
      <c r="G950" s="1" t="s">
        <v>17514</v>
      </c>
      <c r="H950" s="1" t="s">
        <v>17515</v>
      </c>
      <c r="I950" s="1" t="s">
        <v>17515</v>
      </c>
      <c r="J950" s="1">
        <v>9033901700</v>
      </c>
      <c r="K950" s="1" t="s">
        <v>153</v>
      </c>
      <c r="L950" s="1" t="s">
        <v>17516</v>
      </c>
      <c r="M950" s="1" t="s">
        <v>86</v>
      </c>
      <c r="N950" s="1" t="s">
        <v>17517</v>
      </c>
      <c r="O950" s="1" t="s">
        <v>17518</v>
      </c>
      <c r="P950" s="1" t="s">
        <v>89</v>
      </c>
      <c r="Q950" s="1" t="s">
        <v>17519</v>
      </c>
      <c r="R950" s="1" t="s">
        <v>17520</v>
      </c>
      <c r="S950" s="1">
        <v>9879490909</v>
      </c>
      <c r="T950" s="1" t="s">
        <v>14800</v>
      </c>
      <c r="U950" s="1" t="s">
        <v>17521</v>
      </c>
      <c r="V950" s="1">
        <v>9712590909</v>
      </c>
      <c r="W950" s="1" t="s">
        <v>14154</v>
      </c>
      <c r="X950" s="1" t="s">
        <v>17522</v>
      </c>
      <c r="Y950" s="1" t="s">
        <v>675</v>
      </c>
      <c r="Z950" s="1" t="s">
        <v>676</v>
      </c>
      <c r="AA950" s="1" t="s">
        <v>17522</v>
      </c>
      <c r="AB950" s="1" t="s">
        <v>675</v>
      </c>
      <c r="AC950" s="1" t="s">
        <v>676</v>
      </c>
      <c r="AD950" s="1" t="s">
        <v>98</v>
      </c>
      <c r="AE950" s="1" t="s">
        <v>98</v>
      </c>
      <c r="AF950" s="1" t="s">
        <v>17523</v>
      </c>
      <c r="AG950" s="1" t="s">
        <v>17524</v>
      </c>
      <c r="AH950" s="1" t="s">
        <v>704</v>
      </c>
      <c r="AI950" s="1" t="s">
        <v>171</v>
      </c>
      <c r="AJ950" s="1">
        <v>74</v>
      </c>
      <c r="AK950" s="1">
        <v>7.8</v>
      </c>
      <c r="AL950" s="1" t="s">
        <v>17523</v>
      </c>
      <c r="AM950" s="1" t="s">
        <v>17524</v>
      </c>
      <c r="AN950" s="1" t="s">
        <v>465</v>
      </c>
      <c r="AO950" s="1" t="s">
        <v>547</v>
      </c>
      <c r="AP950" s="1" t="s">
        <v>468</v>
      </c>
      <c r="AQ950" s="1">
        <v>75</v>
      </c>
      <c r="AR950" s="1">
        <v>7.9</v>
      </c>
      <c r="AS950" s="1"/>
      <c r="AT950" s="1"/>
      <c r="AU950" s="1"/>
      <c r="AV950" s="1"/>
      <c r="AW950" s="1"/>
      <c r="AX950" s="1"/>
      <c r="AY950" s="1" t="s">
        <v>17525</v>
      </c>
      <c r="AZ950" s="1" t="s">
        <v>17526</v>
      </c>
      <c r="BA950" s="1" t="s">
        <v>682</v>
      </c>
      <c r="BB950" s="1" t="s">
        <v>683</v>
      </c>
      <c r="BC950" s="1" t="s">
        <v>468</v>
      </c>
      <c r="BD950" s="1" t="s">
        <v>8670</v>
      </c>
      <c r="BE950" s="1">
        <v>74.86</v>
      </c>
      <c r="BF950" s="1">
        <v>7.88</v>
      </c>
      <c r="BG950" s="1"/>
      <c r="BH950" s="1"/>
      <c r="BI950" s="1"/>
      <c r="BJ950" s="1"/>
      <c r="BK950" s="1"/>
      <c r="BL950" s="1"/>
      <c r="BM950" s="1"/>
      <c r="BN950" s="1"/>
      <c r="BO950" s="1" t="s">
        <v>17527</v>
      </c>
      <c r="BP950" s="1"/>
      <c r="BQ950" s="1"/>
      <c r="BR950" s="1" t="s">
        <v>17528</v>
      </c>
      <c r="BS950" s="1">
        <v>17</v>
      </c>
      <c r="BT950" s="1" t="s">
        <v>17529</v>
      </c>
      <c r="BU950" s="1" t="str">
        <f>HYPERLINK("https://nconnect.nicmar.ac.in/storage/profile/6a86b43f1cb58.png","Download")</f>
        <v>0</v>
      </c>
      <c r="BV950" s="3"/>
      <c r="BW950" s="3"/>
    </row>
    <row r="951" spans="1:75">
      <c r="A951" s="1" t="s">
        <v>75</v>
      </c>
      <c r="B951" s="1" t="s">
        <v>13976</v>
      </c>
      <c r="C951" s="1" t="s">
        <v>17530</v>
      </c>
      <c r="D951" s="1" t="s">
        <v>17531</v>
      </c>
      <c r="E951" s="1"/>
      <c r="F951" s="1" t="s">
        <v>1964</v>
      </c>
      <c r="G951" s="1" t="s">
        <v>17532</v>
      </c>
      <c r="H951" s="1" t="s">
        <v>17533</v>
      </c>
      <c r="I951" s="1" t="s">
        <v>17534</v>
      </c>
      <c r="J951" s="1">
        <v>9063618572</v>
      </c>
      <c r="K951" s="1" t="s">
        <v>84</v>
      </c>
      <c r="L951" s="1" t="s">
        <v>3784</v>
      </c>
      <c r="M951" s="1" t="s">
        <v>86</v>
      </c>
      <c r="N951" s="1" t="s">
        <v>17535</v>
      </c>
      <c r="O951" s="1" t="s">
        <v>17536</v>
      </c>
      <c r="P951" s="1" t="s">
        <v>219</v>
      </c>
      <c r="Q951" s="1">
        <v>874625410625</v>
      </c>
      <c r="R951" s="1" t="s">
        <v>17537</v>
      </c>
      <c r="S951" s="1">
        <v>9177810030</v>
      </c>
      <c r="T951" s="1" t="s">
        <v>13987</v>
      </c>
      <c r="U951" s="1" t="s">
        <v>17538</v>
      </c>
      <c r="V951" s="1">
        <v>9177810030</v>
      </c>
      <c r="W951" s="1" t="s">
        <v>17539</v>
      </c>
      <c r="X951" s="1" t="s">
        <v>17540</v>
      </c>
      <c r="Y951" s="1" t="s">
        <v>17541</v>
      </c>
      <c r="Z951" s="1" t="s">
        <v>281</v>
      </c>
      <c r="AA951" s="1" t="s">
        <v>17540</v>
      </c>
      <c r="AB951" s="1" t="s">
        <v>17541</v>
      </c>
      <c r="AC951" s="1" t="s">
        <v>281</v>
      </c>
      <c r="AD951" s="1" t="s">
        <v>98</v>
      </c>
      <c r="AE951" s="1" t="s">
        <v>98</v>
      </c>
      <c r="AF951" s="1" t="s">
        <v>17542</v>
      </c>
      <c r="AG951" s="1" t="s">
        <v>17543</v>
      </c>
      <c r="AH951" s="1" t="s">
        <v>170</v>
      </c>
      <c r="AI951" s="1" t="s">
        <v>490</v>
      </c>
      <c r="AJ951" s="1">
        <v>88</v>
      </c>
      <c r="AK951" s="1">
        <v>8.8</v>
      </c>
      <c r="AL951" s="1" t="s">
        <v>17544</v>
      </c>
      <c r="AM951" s="1" t="s">
        <v>17545</v>
      </c>
      <c r="AN951" s="1" t="s">
        <v>1062</v>
      </c>
      <c r="AO951" s="1" t="s">
        <v>106</v>
      </c>
      <c r="AP951" s="1" t="s">
        <v>977</v>
      </c>
      <c r="AQ951" s="1">
        <v>83.5</v>
      </c>
      <c r="AR951" s="1">
        <v>8.78</v>
      </c>
      <c r="AS951" s="1"/>
      <c r="AT951" s="1"/>
      <c r="AU951" s="1"/>
      <c r="AV951" s="1"/>
      <c r="AW951" s="1"/>
      <c r="AX951" s="1"/>
      <c r="AY951" s="1" t="s">
        <v>17546</v>
      </c>
      <c r="AZ951" s="1" t="s">
        <v>17547</v>
      </c>
      <c r="BA951" s="1" t="s">
        <v>466</v>
      </c>
      <c r="BB951" s="1" t="s">
        <v>467</v>
      </c>
      <c r="BC951" s="1" t="s">
        <v>233</v>
      </c>
      <c r="BD951" s="1" t="s">
        <v>1314</v>
      </c>
      <c r="BE951" s="1">
        <v>70.4</v>
      </c>
      <c r="BF951" s="1">
        <v>7.79</v>
      </c>
      <c r="BG951" s="1"/>
      <c r="BH951" s="1"/>
      <c r="BI951" s="1"/>
      <c r="BJ951" s="1"/>
      <c r="BK951" s="1"/>
      <c r="BL951" s="1"/>
      <c r="BM951" s="1"/>
      <c r="BN951" s="1"/>
      <c r="BO951" s="1" t="s">
        <v>17548</v>
      </c>
      <c r="BP951" s="1" t="s">
        <v>17549</v>
      </c>
      <c r="BQ951" s="1" t="s">
        <v>3404</v>
      </c>
      <c r="BR951" s="1" t="s">
        <v>17550</v>
      </c>
      <c r="BS951" s="1">
        <v>4</v>
      </c>
      <c r="BT951" s="1"/>
      <c r="BU951" s="1" t="str">
        <f>HYPERLINK("https://nconnect.nicmar.ac.in/storage/profile/6a85f23169805.png","Download")</f>
        <v>0</v>
      </c>
      <c r="BV951" s="3"/>
      <c r="BW951" s="3"/>
    </row>
    <row r="952" spans="1:75">
      <c r="A952" s="1" t="s">
        <v>75</v>
      </c>
      <c r="B952" s="1" t="s">
        <v>13976</v>
      </c>
      <c r="C952" s="1" t="s">
        <v>17551</v>
      </c>
      <c r="D952" s="1"/>
      <c r="E952" s="1"/>
      <c r="F952" s="1"/>
      <c r="G952" s="1"/>
      <c r="H952" s="1" t="s">
        <v>17552</v>
      </c>
      <c r="I952" s="1" t="s">
        <v>17552</v>
      </c>
      <c r="J952" s="1"/>
      <c r="K952" s="1"/>
      <c r="L952" s="1"/>
      <c r="M952" s="1"/>
      <c r="N952" s="1"/>
      <c r="O952" s="1"/>
      <c r="P952" s="1"/>
      <c r="Q952" s="1"/>
      <c r="R952" s="1"/>
      <c r="S952" s="1"/>
      <c r="T952" s="1"/>
      <c r="U952" s="1"/>
      <c r="V952" s="1"/>
      <c r="W952" s="1"/>
      <c r="X952" s="1"/>
      <c r="Y952" s="1"/>
      <c r="Z952" s="1"/>
      <c r="AA952" s="1"/>
      <c r="AB952" s="1"/>
      <c r="AC952" s="1"/>
      <c r="AD952" s="1" t="s">
        <v>98</v>
      </c>
      <c r="AE952" s="1" t="s">
        <v>98</v>
      </c>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t="s">
        <v>9653</v>
      </c>
      <c r="BV952" s="3"/>
      <c r="BW952" s="3"/>
    </row>
    <row r="953" spans="1:75">
      <c r="A953" s="1" t="s">
        <v>75</v>
      </c>
      <c r="B953" s="1" t="s">
        <v>13976</v>
      </c>
      <c r="C953" s="1" t="s">
        <v>17553</v>
      </c>
      <c r="D953" s="1" t="s">
        <v>17554</v>
      </c>
      <c r="E953" s="1" t="s">
        <v>17555</v>
      </c>
      <c r="F953" s="1" t="s">
        <v>17556</v>
      </c>
      <c r="G953" s="1" t="s">
        <v>17557</v>
      </c>
      <c r="H953" s="1" t="s">
        <v>17558</v>
      </c>
      <c r="I953" s="1" t="s">
        <v>17559</v>
      </c>
      <c r="J953" s="1">
        <v>8767004523</v>
      </c>
      <c r="K953" s="1" t="s">
        <v>84</v>
      </c>
      <c r="L953" s="1" t="s">
        <v>2485</v>
      </c>
      <c r="M953" s="1" t="s">
        <v>86</v>
      </c>
      <c r="N953" s="1" t="s">
        <v>768</v>
      </c>
      <c r="O953" s="1" t="s">
        <v>17560</v>
      </c>
      <c r="P953" s="1" t="s">
        <v>122</v>
      </c>
      <c r="Q953" s="1">
        <v>558790470629</v>
      </c>
      <c r="R953" s="1" t="s">
        <v>17555</v>
      </c>
      <c r="S953" s="1">
        <v>8888813647</v>
      </c>
      <c r="T953" s="1" t="s">
        <v>17561</v>
      </c>
      <c r="U953" s="1" t="s">
        <v>15813</v>
      </c>
      <c r="V953" s="1">
        <v>9022397986</v>
      </c>
      <c r="W953" s="1" t="s">
        <v>16332</v>
      </c>
      <c r="X953" s="1" t="s">
        <v>17562</v>
      </c>
      <c r="Y953" s="1" t="s">
        <v>2668</v>
      </c>
      <c r="Z953" s="1" t="s">
        <v>97</v>
      </c>
      <c r="AA953" s="1" t="s">
        <v>17563</v>
      </c>
      <c r="AB953" s="1" t="s">
        <v>196</v>
      </c>
      <c r="AC953" s="1" t="s">
        <v>97</v>
      </c>
      <c r="AD953" s="1" t="s">
        <v>98</v>
      </c>
      <c r="AE953" s="1" t="s">
        <v>98</v>
      </c>
      <c r="AF953" s="1" t="s">
        <v>17564</v>
      </c>
      <c r="AG953" s="1" t="s">
        <v>1145</v>
      </c>
      <c r="AH953" s="1" t="s">
        <v>106</v>
      </c>
      <c r="AI953" s="1" t="s">
        <v>414</v>
      </c>
      <c r="AJ953" s="1">
        <v>85</v>
      </c>
      <c r="AK953" s="1"/>
      <c r="AL953" s="1" t="s">
        <v>17565</v>
      </c>
      <c r="AM953" s="1" t="s">
        <v>1145</v>
      </c>
      <c r="AN953" s="1" t="s">
        <v>465</v>
      </c>
      <c r="AO953" s="1" t="s">
        <v>438</v>
      </c>
      <c r="AP953" s="1" t="s">
        <v>441</v>
      </c>
      <c r="AQ953" s="1">
        <v>96</v>
      </c>
      <c r="AR953" s="1"/>
      <c r="AS953" s="1"/>
      <c r="AT953" s="1"/>
      <c r="AU953" s="1"/>
      <c r="AV953" s="1"/>
      <c r="AW953" s="1"/>
      <c r="AX953" s="1"/>
      <c r="AY953" s="1" t="s">
        <v>17566</v>
      </c>
      <c r="AZ953" s="1" t="s">
        <v>5030</v>
      </c>
      <c r="BA953" s="1" t="s">
        <v>466</v>
      </c>
      <c r="BB953" s="1" t="s">
        <v>467</v>
      </c>
      <c r="BC953" s="1" t="s">
        <v>871</v>
      </c>
      <c r="BD953" s="1" t="s">
        <v>553</v>
      </c>
      <c r="BE953" s="1">
        <v>71</v>
      </c>
      <c r="BF953" s="1">
        <v>7.1</v>
      </c>
      <c r="BG953" s="1"/>
      <c r="BH953" s="1"/>
      <c r="BI953" s="1"/>
      <c r="BJ953" s="1"/>
      <c r="BK953" s="1"/>
      <c r="BL953" s="1"/>
      <c r="BM953" s="1"/>
      <c r="BN953" s="1"/>
      <c r="BO953" s="1" t="s">
        <v>17567</v>
      </c>
      <c r="BP953" s="1" t="s">
        <v>17568</v>
      </c>
      <c r="BQ953" s="1" t="s">
        <v>1070</v>
      </c>
      <c r="BR953" s="1" t="s">
        <v>17569</v>
      </c>
      <c r="BS953" s="1">
        <v>12</v>
      </c>
      <c r="BT953" s="1" t="s">
        <v>17570</v>
      </c>
      <c r="BU953" s="1" t="str">
        <f>HYPERLINK("https://nconnect.nicmar.ac.in/storage/profile/6a86f650b03c1.png","Download")</f>
        <v>0</v>
      </c>
      <c r="BV953" s="3"/>
      <c r="BW953" s="3"/>
    </row>
    <row r="954" spans="1:75">
      <c r="A954" s="1" t="s">
        <v>75</v>
      </c>
      <c r="B954" s="1" t="s">
        <v>13976</v>
      </c>
      <c r="C954" s="1" t="s">
        <v>17571</v>
      </c>
      <c r="D954" s="1" t="s">
        <v>17572</v>
      </c>
      <c r="E954" s="1" t="s">
        <v>17573</v>
      </c>
      <c r="F954" s="1" t="s">
        <v>17574</v>
      </c>
      <c r="G954" s="1" t="s">
        <v>17575</v>
      </c>
      <c r="H954" s="1" t="s">
        <v>17576</v>
      </c>
      <c r="I954" s="1" t="s">
        <v>17576</v>
      </c>
      <c r="J954" s="1">
        <v>9373916306</v>
      </c>
      <c r="K954" s="1" t="s">
        <v>84</v>
      </c>
      <c r="L954" s="1" t="s">
        <v>17577</v>
      </c>
      <c r="M954" s="1" t="s">
        <v>86</v>
      </c>
      <c r="N954" s="1" t="s">
        <v>17578</v>
      </c>
      <c r="O954" s="1" t="s">
        <v>17579</v>
      </c>
      <c r="P954" s="1" t="s">
        <v>122</v>
      </c>
      <c r="Q954" s="1">
        <v>943817452644</v>
      </c>
      <c r="R954" s="1" t="s">
        <v>17573</v>
      </c>
      <c r="S954" s="1">
        <v>8698342454</v>
      </c>
      <c r="T954" s="1" t="s">
        <v>13987</v>
      </c>
      <c r="U954" s="1" t="s">
        <v>17580</v>
      </c>
      <c r="V954" s="1">
        <v>8554848564</v>
      </c>
      <c r="W954" s="1" t="s">
        <v>14154</v>
      </c>
      <c r="X954" s="1" t="s">
        <v>17581</v>
      </c>
      <c r="Y954" s="1" t="s">
        <v>384</v>
      </c>
      <c r="Z954" s="1" t="s">
        <v>97</v>
      </c>
      <c r="AA954" s="1" t="s">
        <v>17581</v>
      </c>
      <c r="AB954" s="1" t="s">
        <v>384</v>
      </c>
      <c r="AC954" s="1" t="s">
        <v>97</v>
      </c>
      <c r="AD954" s="1" t="s">
        <v>98</v>
      </c>
      <c r="AE954" s="1" t="s">
        <v>98</v>
      </c>
      <c r="AF954" s="1" t="s">
        <v>17582</v>
      </c>
      <c r="AG954" s="1" t="s">
        <v>17583</v>
      </c>
      <c r="AH954" s="1" t="s">
        <v>438</v>
      </c>
      <c r="AI954" s="1" t="s">
        <v>603</v>
      </c>
      <c r="AJ954" s="1">
        <v>86.0</v>
      </c>
      <c r="AK954" s="1"/>
      <c r="AL954" s="1" t="s">
        <v>17584</v>
      </c>
      <c r="AM954" s="1" t="s">
        <v>17583</v>
      </c>
      <c r="AN954" s="1" t="s">
        <v>575</v>
      </c>
      <c r="AO954" s="1" t="s">
        <v>847</v>
      </c>
      <c r="AP954" s="1" t="s">
        <v>1886</v>
      </c>
      <c r="AQ954" s="1">
        <v>62.67</v>
      </c>
      <c r="AR954" s="1"/>
      <c r="AS954" s="1"/>
      <c r="AT954" s="1"/>
      <c r="AU954" s="1"/>
      <c r="AV954" s="1"/>
      <c r="AW954" s="1"/>
      <c r="AX954" s="1"/>
      <c r="AY954" s="1" t="s">
        <v>14884</v>
      </c>
      <c r="AZ954" s="1" t="s">
        <v>17585</v>
      </c>
      <c r="BA954" s="1" t="s">
        <v>466</v>
      </c>
      <c r="BB954" s="1" t="s">
        <v>467</v>
      </c>
      <c r="BC954" s="1" t="s">
        <v>1889</v>
      </c>
      <c r="BD954" s="1" t="s">
        <v>9688</v>
      </c>
      <c r="BE954" s="1">
        <v>67</v>
      </c>
      <c r="BF954" s="1">
        <v>6.74</v>
      </c>
      <c r="BG954" s="1"/>
      <c r="BH954" s="1"/>
      <c r="BI954" s="1"/>
      <c r="BJ954" s="1"/>
      <c r="BK954" s="1"/>
      <c r="BL954" s="1"/>
      <c r="BM954" s="1"/>
      <c r="BN954" s="1"/>
      <c r="BO954" s="1" t="s">
        <v>16194</v>
      </c>
      <c r="BP954" s="1"/>
      <c r="BQ954" s="1"/>
      <c r="BR954" s="1"/>
      <c r="BS954" s="1"/>
      <c r="BT954" s="1"/>
      <c r="BU954" s="1" t="str">
        <f>HYPERLINK("https://nconnect.nicmar.ac.in/storage/profile/6a86ec5e70046.png","Download")</f>
        <v>0</v>
      </c>
      <c r="BV954" s="3"/>
      <c r="BW954" s="3"/>
    </row>
    <row r="955" spans="1:75">
      <c r="A955" s="1" t="s">
        <v>75</v>
      </c>
      <c r="B955" s="1" t="s">
        <v>13976</v>
      </c>
      <c r="C955" s="1" t="s">
        <v>17586</v>
      </c>
      <c r="D955" s="1" t="s">
        <v>17587</v>
      </c>
      <c r="E955" s="1"/>
      <c r="F955" s="1" t="s">
        <v>17588</v>
      </c>
      <c r="G955" s="1" t="s">
        <v>17589</v>
      </c>
      <c r="H955" s="1" t="s">
        <v>17590</v>
      </c>
      <c r="I955" s="1" t="s">
        <v>17590</v>
      </c>
      <c r="J955" s="1">
        <v>8547741068</v>
      </c>
      <c r="K955" s="1" t="s">
        <v>153</v>
      </c>
      <c r="L955" s="1" t="s">
        <v>11475</v>
      </c>
      <c r="M955" s="1" t="s">
        <v>86</v>
      </c>
      <c r="N955" s="1" t="s">
        <v>17591</v>
      </c>
      <c r="O955" s="1" t="s">
        <v>17592</v>
      </c>
      <c r="P955" s="1" t="s">
        <v>1693</v>
      </c>
      <c r="Q955" s="1">
        <v>967551608382</v>
      </c>
      <c r="R955" s="1" t="s">
        <v>17593</v>
      </c>
      <c r="S955" s="1">
        <v>9895853962</v>
      </c>
      <c r="T955" s="1" t="s">
        <v>2177</v>
      </c>
      <c r="U955" s="1" t="s">
        <v>17594</v>
      </c>
      <c r="V955" s="1" t="s">
        <v>16692</v>
      </c>
      <c r="W955" s="1" t="s">
        <v>98</v>
      </c>
      <c r="X955" s="1" t="s">
        <v>17595</v>
      </c>
      <c r="Y955" s="1" t="s">
        <v>599</v>
      </c>
      <c r="Z955" s="1" t="s">
        <v>130</v>
      </c>
      <c r="AA955" s="1" t="s">
        <v>17596</v>
      </c>
      <c r="AB955" s="1" t="s">
        <v>3555</v>
      </c>
      <c r="AC955" s="1" t="s">
        <v>130</v>
      </c>
      <c r="AD955" s="1" t="s">
        <v>98</v>
      </c>
      <c r="AE955" s="1" t="s">
        <v>98</v>
      </c>
      <c r="AF955" s="1" t="s">
        <v>17597</v>
      </c>
      <c r="AG955" s="1" t="s">
        <v>17598</v>
      </c>
      <c r="AH955" s="1" t="s">
        <v>166</v>
      </c>
      <c r="AI955" s="1" t="s">
        <v>627</v>
      </c>
      <c r="AJ955" s="1">
        <v>95</v>
      </c>
      <c r="AK955" s="1">
        <v>10</v>
      </c>
      <c r="AL955" s="1" t="s">
        <v>17599</v>
      </c>
      <c r="AM955" s="1" t="s">
        <v>17598</v>
      </c>
      <c r="AN955" s="1" t="s">
        <v>6380</v>
      </c>
      <c r="AO955" s="1" t="s">
        <v>170</v>
      </c>
      <c r="AP955" s="1" t="s">
        <v>171</v>
      </c>
      <c r="AQ955" s="1">
        <v>74</v>
      </c>
      <c r="AR955" s="1"/>
      <c r="AS955" s="1"/>
      <c r="AT955" s="1"/>
      <c r="AU955" s="1"/>
      <c r="AV955" s="1"/>
      <c r="AW955" s="1"/>
      <c r="AX955" s="1"/>
      <c r="AY955" s="1" t="s">
        <v>17600</v>
      </c>
      <c r="AZ955" s="1" t="s">
        <v>17601</v>
      </c>
      <c r="BA955" s="1" t="s">
        <v>466</v>
      </c>
      <c r="BB955" s="1" t="s">
        <v>467</v>
      </c>
      <c r="BC955" s="1" t="s">
        <v>174</v>
      </c>
      <c r="BD955" s="1" t="s">
        <v>110</v>
      </c>
      <c r="BE955" s="1">
        <v>80</v>
      </c>
      <c r="BF955" s="1">
        <v>8.02</v>
      </c>
      <c r="BG955" s="1"/>
      <c r="BH955" s="1"/>
      <c r="BI955" s="1"/>
      <c r="BJ955" s="1"/>
      <c r="BK955" s="1"/>
      <c r="BL955" s="1"/>
      <c r="BM955" s="1"/>
      <c r="BN955" s="1"/>
      <c r="BO955" s="1" t="s">
        <v>17602</v>
      </c>
      <c r="BP955" s="1" t="s">
        <v>17603</v>
      </c>
      <c r="BQ955" s="1" t="s">
        <v>2245</v>
      </c>
      <c r="BR955" s="1"/>
      <c r="BS955" s="1"/>
      <c r="BT955" s="1"/>
      <c r="BU955" s="1" t="str">
        <f>HYPERLINK("https://nconnect.nicmar.ac.in/storage/profile/6a87078dc6ac5.png","Download")</f>
        <v>0</v>
      </c>
      <c r="BV955" s="3"/>
      <c r="BW955" s="3"/>
    </row>
    <row r="956" spans="1:75">
      <c r="A956" s="1" t="s">
        <v>75</v>
      </c>
      <c r="B956" s="1" t="s">
        <v>13976</v>
      </c>
      <c r="C956" s="1" t="s">
        <v>17604</v>
      </c>
      <c r="D956" s="1" t="s">
        <v>17605</v>
      </c>
      <c r="E956" s="1" t="s">
        <v>17606</v>
      </c>
      <c r="F956" s="1" t="s">
        <v>17607</v>
      </c>
      <c r="G956" s="1" t="s">
        <v>17608</v>
      </c>
      <c r="H956" s="1" t="s">
        <v>17609</v>
      </c>
      <c r="I956" s="1" t="s">
        <v>17609</v>
      </c>
      <c r="J956" s="1">
        <v>9699407744</v>
      </c>
      <c r="K956" s="1" t="s">
        <v>153</v>
      </c>
      <c r="L956" s="1" t="s">
        <v>17610</v>
      </c>
      <c r="M956" s="1" t="s">
        <v>86</v>
      </c>
      <c r="N956" s="1" t="s">
        <v>17611</v>
      </c>
      <c r="O956" s="1" t="s">
        <v>17612</v>
      </c>
      <c r="P956" s="1" t="s">
        <v>1693</v>
      </c>
      <c r="Q956" s="1">
        <v>227448055193</v>
      </c>
      <c r="R956" s="1" t="s">
        <v>17606</v>
      </c>
      <c r="S956" s="1">
        <v>8805235172</v>
      </c>
      <c r="T956" s="1" t="s">
        <v>17613</v>
      </c>
      <c r="U956" s="1" t="s">
        <v>17614</v>
      </c>
      <c r="V956" s="1">
        <v>9673771661</v>
      </c>
      <c r="W956" s="1" t="s">
        <v>14154</v>
      </c>
      <c r="X956" s="1" t="s">
        <v>17615</v>
      </c>
      <c r="Y956" s="1" t="s">
        <v>196</v>
      </c>
      <c r="Z956" s="1" t="s">
        <v>97</v>
      </c>
      <c r="AA956" s="1" t="s">
        <v>17615</v>
      </c>
      <c r="AB956" s="1" t="s">
        <v>196</v>
      </c>
      <c r="AC956" s="1" t="s">
        <v>97</v>
      </c>
      <c r="AD956" s="1" t="s">
        <v>98</v>
      </c>
      <c r="AE956" s="1" t="s">
        <v>98</v>
      </c>
      <c r="AF956" s="1" t="s">
        <v>17616</v>
      </c>
      <c r="AG956" s="1" t="s">
        <v>17617</v>
      </c>
      <c r="AH956" s="1" t="s">
        <v>4593</v>
      </c>
      <c r="AI956" s="1" t="s">
        <v>468</v>
      </c>
      <c r="AJ956" s="1">
        <v>72.4</v>
      </c>
      <c r="AK956" s="1"/>
      <c r="AL956" s="1"/>
      <c r="AM956" s="1"/>
      <c r="AN956" s="1"/>
      <c r="AO956" s="1"/>
      <c r="AP956" s="1"/>
      <c r="AQ956" s="1"/>
      <c r="AR956" s="1"/>
      <c r="AS956" s="1" t="s">
        <v>467</v>
      </c>
      <c r="AT956" s="1" t="s">
        <v>17618</v>
      </c>
      <c r="AU956" s="1" t="s">
        <v>468</v>
      </c>
      <c r="AV956" s="1" t="s">
        <v>234</v>
      </c>
      <c r="AW956" s="1">
        <v>79.67</v>
      </c>
      <c r="AX956" s="1"/>
      <c r="AY956" s="1" t="s">
        <v>17619</v>
      </c>
      <c r="AZ956" s="1" t="s">
        <v>17620</v>
      </c>
      <c r="BA956" s="1" t="s">
        <v>578</v>
      </c>
      <c r="BB956" s="1" t="s">
        <v>467</v>
      </c>
      <c r="BC956" s="1" t="s">
        <v>179</v>
      </c>
      <c r="BD956" s="1" t="s">
        <v>14162</v>
      </c>
      <c r="BE956" s="1">
        <v>68.97</v>
      </c>
      <c r="BF956" s="1">
        <v>7.75</v>
      </c>
      <c r="BG956" s="1"/>
      <c r="BH956" s="1"/>
      <c r="BI956" s="1"/>
      <c r="BJ956" s="1"/>
      <c r="BK956" s="1"/>
      <c r="BL956" s="1"/>
      <c r="BM956" s="1"/>
      <c r="BN956" s="1"/>
      <c r="BO956" s="1" t="s">
        <v>16612</v>
      </c>
      <c r="BP956" s="1"/>
      <c r="BQ956" s="1"/>
      <c r="BR956" s="1"/>
      <c r="BS956" s="1"/>
      <c r="BT956" s="1"/>
      <c r="BU956" s="1" t="str">
        <f>HYPERLINK("https://nconnect.nicmar.ac.in/storage/profile/6a85e04248110.png","Download")</f>
        <v>0</v>
      </c>
      <c r="BV956" s="3"/>
      <c r="BW956" s="3"/>
    </row>
    <row r="957" spans="1:75">
      <c r="A957" s="1" t="s">
        <v>75</v>
      </c>
      <c r="B957" s="1" t="s">
        <v>13976</v>
      </c>
      <c r="C957" s="1" t="s">
        <v>17621</v>
      </c>
      <c r="D957" s="1" t="s">
        <v>17622</v>
      </c>
      <c r="E957" s="1" t="s">
        <v>17623</v>
      </c>
      <c r="F957" s="1" t="s">
        <v>17624</v>
      </c>
      <c r="G957" s="1" t="s">
        <v>17625</v>
      </c>
      <c r="H957" s="1" t="s">
        <v>17626</v>
      </c>
      <c r="I957" s="1" t="s">
        <v>17626</v>
      </c>
      <c r="J957" s="1">
        <v>8421410717</v>
      </c>
      <c r="K957" s="1" t="s">
        <v>84</v>
      </c>
      <c r="L957" s="1" t="s">
        <v>17627</v>
      </c>
      <c r="M957" s="1" t="s">
        <v>86</v>
      </c>
      <c r="N957" s="1" t="s">
        <v>17628</v>
      </c>
      <c r="O957" s="1" t="s">
        <v>17629</v>
      </c>
      <c r="P957" s="1" t="s">
        <v>89</v>
      </c>
      <c r="Q957" s="1">
        <v>422081593849</v>
      </c>
      <c r="R957" s="1" t="s">
        <v>17630</v>
      </c>
      <c r="S957" s="1">
        <v>9823334555</v>
      </c>
      <c r="T957" s="1" t="s">
        <v>17631</v>
      </c>
      <c r="U957" s="1" t="s">
        <v>17632</v>
      </c>
      <c r="V957" s="1">
        <v>9823244555</v>
      </c>
      <c r="W957" s="1" t="s">
        <v>14154</v>
      </c>
      <c r="X957" s="1" t="s">
        <v>17633</v>
      </c>
      <c r="Y957" s="1" t="s">
        <v>96</v>
      </c>
      <c r="Z957" s="1" t="s">
        <v>97</v>
      </c>
      <c r="AA957" s="1" t="s">
        <v>17634</v>
      </c>
      <c r="AB957" s="1" t="s">
        <v>196</v>
      </c>
      <c r="AC957" s="1" t="s">
        <v>97</v>
      </c>
      <c r="AD957" s="1" t="s">
        <v>98</v>
      </c>
      <c r="AE957" s="1" t="s">
        <v>98</v>
      </c>
      <c r="AF957" s="1" t="s">
        <v>17635</v>
      </c>
      <c r="AG957" s="1" t="s">
        <v>17636</v>
      </c>
      <c r="AH957" s="1" t="s">
        <v>627</v>
      </c>
      <c r="AI957" s="1" t="s">
        <v>170</v>
      </c>
      <c r="AJ957" s="1">
        <v>82.4</v>
      </c>
      <c r="AK957" s="1"/>
      <c r="AL957" s="1" t="s">
        <v>17637</v>
      </c>
      <c r="AM957" s="1" t="s">
        <v>17636</v>
      </c>
      <c r="AN957" s="1" t="s">
        <v>575</v>
      </c>
      <c r="AO957" s="1" t="s">
        <v>171</v>
      </c>
      <c r="AP957" s="1" t="s">
        <v>313</v>
      </c>
      <c r="AQ957" s="1">
        <v>78.92</v>
      </c>
      <c r="AR957" s="1"/>
      <c r="AS957" s="1"/>
      <c r="AT957" s="1"/>
      <c r="AU957" s="1"/>
      <c r="AV957" s="1"/>
      <c r="AW957" s="1"/>
      <c r="AX957" s="1"/>
      <c r="AY957" s="1" t="s">
        <v>17638</v>
      </c>
      <c r="AZ957" s="1" t="s">
        <v>17639</v>
      </c>
      <c r="BA957" s="1" t="s">
        <v>466</v>
      </c>
      <c r="BB957" s="1" t="s">
        <v>467</v>
      </c>
      <c r="BC957" s="1" t="s">
        <v>206</v>
      </c>
      <c r="BD957" s="1" t="s">
        <v>179</v>
      </c>
      <c r="BE957" s="1">
        <v>69.8</v>
      </c>
      <c r="BF957" s="1">
        <v>7.48</v>
      </c>
      <c r="BG957" s="1"/>
      <c r="BH957" s="1"/>
      <c r="BI957" s="1"/>
      <c r="BJ957" s="1"/>
      <c r="BK957" s="1"/>
      <c r="BL957" s="1"/>
      <c r="BM957" s="1"/>
      <c r="BN957" s="1"/>
      <c r="BO957" s="1" t="s">
        <v>17640</v>
      </c>
      <c r="BP957" s="1"/>
      <c r="BQ957" s="1"/>
      <c r="BR957" s="1"/>
      <c r="BS957" s="1"/>
      <c r="BT957" s="1"/>
      <c r="BU957" s="1" t="str">
        <f>HYPERLINK("https://nconnect.nicmar.ac.in/storage/profile/6a85df69369c0.png","Download")</f>
        <v>0</v>
      </c>
      <c r="BV957" s="3"/>
      <c r="BW957" s="3"/>
    </row>
    <row r="958" spans="1:75">
      <c r="A958" s="1" t="s">
        <v>75</v>
      </c>
      <c r="B958" s="1" t="s">
        <v>13976</v>
      </c>
      <c r="C958" s="1" t="s">
        <v>17641</v>
      </c>
      <c r="D958" s="1" t="s">
        <v>14645</v>
      </c>
      <c r="E958" s="1" t="s">
        <v>17642</v>
      </c>
      <c r="F958" s="1" t="s">
        <v>16498</v>
      </c>
      <c r="G958" s="1" t="s">
        <v>17643</v>
      </c>
      <c r="H958" s="1" t="s">
        <v>17644</v>
      </c>
      <c r="I958" s="1" t="s">
        <v>17645</v>
      </c>
      <c r="J958" s="1">
        <v>9067968087</v>
      </c>
      <c r="K958" s="1" t="s">
        <v>153</v>
      </c>
      <c r="L958" s="1" t="s">
        <v>14390</v>
      </c>
      <c r="M958" s="1" t="s">
        <v>86</v>
      </c>
      <c r="N958" s="1" t="s">
        <v>5025</v>
      </c>
      <c r="O958" s="1" t="s">
        <v>17646</v>
      </c>
      <c r="P958" s="1" t="s">
        <v>356</v>
      </c>
      <c r="Q958" s="1">
        <v>228252036894</v>
      </c>
      <c r="R958" s="1" t="s">
        <v>17647</v>
      </c>
      <c r="S958" s="1">
        <v>9225520079</v>
      </c>
      <c r="T958" s="1" t="s">
        <v>2177</v>
      </c>
      <c r="U958" s="1" t="s">
        <v>17648</v>
      </c>
      <c r="V958" s="1">
        <v>8329339987</v>
      </c>
      <c r="W958" s="1" t="s">
        <v>14154</v>
      </c>
      <c r="X958" s="1" t="s">
        <v>17649</v>
      </c>
      <c r="Y958" s="1" t="s">
        <v>196</v>
      </c>
      <c r="Z958" s="1" t="s">
        <v>97</v>
      </c>
      <c r="AA958" s="1" t="s">
        <v>17649</v>
      </c>
      <c r="AB958" s="1" t="s">
        <v>196</v>
      </c>
      <c r="AC958" s="1" t="s">
        <v>97</v>
      </c>
      <c r="AD958" s="1" t="s">
        <v>98</v>
      </c>
      <c r="AE958" s="1" t="s">
        <v>98</v>
      </c>
      <c r="AF958" s="1" t="s">
        <v>17650</v>
      </c>
      <c r="AG958" s="1" t="s">
        <v>17651</v>
      </c>
      <c r="AH958" s="1" t="s">
        <v>797</v>
      </c>
      <c r="AI958" s="1" t="s">
        <v>414</v>
      </c>
      <c r="AJ958" s="1">
        <v>66.6</v>
      </c>
      <c r="AK958" s="1"/>
      <c r="AL958" s="1"/>
      <c r="AM958" s="1"/>
      <c r="AN958" s="1"/>
      <c r="AO958" s="1"/>
      <c r="AP958" s="1"/>
      <c r="AQ958" s="1"/>
      <c r="AR958" s="1"/>
      <c r="AS958" s="1" t="s">
        <v>467</v>
      </c>
      <c r="AT958" s="1" t="s">
        <v>17652</v>
      </c>
      <c r="AU958" s="1" t="s">
        <v>206</v>
      </c>
      <c r="AV958" s="1" t="s">
        <v>632</v>
      </c>
      <c r="AW958" s="1">
        <v>73.35</v>
      </c>
      <c r="AX958" s="1"/>
      <c r="AY958" s="1" t="s">
        <v>14160</v>
      </c>
      <c r="AZ958" s="1" t="s">
        <v>17653</v>
      </c>
      <c r="BA958" s="1" t="s">
        <v>578</v>
      </c>
      <c r="BB958" s="1" t="s">
        <v>467</v>
      </c>
      <c r="BC958" s="1" t="s">
        <v>2765</v>
      </c>
      <c r="BD958" s="1" t="s">
        <v>553</v>
      </c>
      <c r="BE958" s="1">
        <v>53.85</v>
      </c>
      <c r="BF958" s="1">
        <v>6.05</v>
      </c>
      <c r="BG958" s="1"/>
      <c r="BH958" s="1"/>
      <c r="BI958" s="1"/>
      <c r="BJ958" s="1"/>
      <c r="BK958" s="1"/>
      <c r="BL958" s="1"/>
      <c r="BM958" s="1"/>
      <c r="BN958" s="1"/>
      <c r="BO958" s="1" t="s">
        <v>17654</v>
      </c>
      <c r="BP958" s="1"/>
      <c r="BQ958" s="1"/>
      <c r="BR958" s="1"/>
      <c r="BS958" s="1"/>
      <c r="BT958" s="1" t="s">
        <v>849</v>
      </c>
      <c r="BU958" s="1" t="str">
        <f>HYPERLINK("https://nconnect.nicmar.ac.in/storage/profile/6a888c706f0d6.png","Download")</f>
        <v>0</v>
      </c>
      <c r="BV958" s="3"/>
      <c r="BW958" s="3"/>
    </row>
    <row r="959" spans="1:75">
      <c r="A959" s="1" t="s">
        <v>75</v>
      </c>
      <c r="B959" s="1" t="s">
        <v>13976</v>
      </c>
      <c r="C959" s="1" t="s">
        <v>17655</v>
      </c>
      <c r="D959" s="1" t="s">
        <v>17656</v>
      </c>
      <c r="E959" s="1"/>
      <c r="F959" s="1" t="s">
        <v>116</v>
      </c>
      <c r="G959" s="1" t="s">
        <v>17657</v>
      </c>
      <c r="H959" s="1" t="s">
        <v>17658</v>
      </c>
      <c r="I959" s="1" t="s">
        <v>17658</v>
      </c>
      <c r="J959" s="1">
        <v>9789596700</v>
      </c>
      <c r="K959" s="1" t="s">
        <v>84</v>
      </c>
      <c r="L959" s="1" t="s">
        <v>17659</v>
      </c>
      <c r="M959" s="1" t="s">
        <v>86</v>
      </c>
      <c r="N959" s="1" t="s">
        <v>12562</v>
      </c>
      <c r="O959" s="1" t="s">
        <v>17660</v>
      </c>
      <c r="P959" s="1" t="s">
        <v>122</v>
      </c>
      <c r="Q959" s="1">
        <v>933458645892</v>
      </c>
      <c r="R959" s="1" t="s">
        <v>17661</v>
      </c>
      <c r="S959" s="1">
        <v>9842825770</v>
      </c>
      <c r="T959" s="1" t="s">
        <v>17662</v>
      </c>
      <c r="U959" s="1" t="s">
        <v>17663</v>
      </c>
      <c r="V959" s="1">
        <v>9688818195</v>
      </c>
      <c r="W959" s="1" t="s">
        <v>14032</v>
      </c>
      <c r="X959" s="1" t="s">
        <v>17664</v>
      </c>
      <c r="Y959" s="1" t="s">
        <v>6938</v>
      </c>
      <c r="Z959" s="1" t="s">
        <v>570</v>
      </c>
      <c r="AA959" s="1" t="s">
        <v>17665</v>
      </c>
      <c r="AB959" s="1" t="s">
        <v>6938</v>
      </c>
      <c r="AC959" s="1" t="s">
        <v>570</v>
      </c>
      <c r="AD959" s="1" t="s">
        <v>98</v>
      </c>
      <c r="AE959" s="1" t="s">
        <v>98</v>
      </c>
      <c r="AF959" s="1" t="s">
        <v>17666</v>
      </c>
      <c r="AG959" s="1" t="s">
        <v>312</v>
      </c>
      <c r="AH959" s="1" t="s">
        <v>438</v>
      </c>
      <c r="AI959" s="1" t="s">
        <v>417</v>
      </c>
      <c r="AJ959" s="1">
        <v>90</v>
      </c>
      <c r="AK959" s="1"/>
      <c r="AL959" s="1" t="s">
        <v>17667</v>
      </c>
      <c r="AM959" s="1" t="s">
        <v>312</v>
      </c>
      <c r="AN959" s="1" t="s">
        <v>465</v>
      </c>
      <c r="AO959" s="1" t="s">
        <v>847</v>
      </c>
      <c r="AP959" s="1" t="s">
        <v>632</v>
      </c>
      <c r="AQ959" s="1">
        <v>80</v>
      </c>
      <c r="AR959" s="1"/>
      <c r="AS959" s="1"/>
      <c r="AT959" s="1"/>
      <c r="AU959" s="1"/>
      <c r="AV959" s="1"/>
      <c r="AW959" s="1"/>
      <c r="AX959" s="1"/>
      <c r="AY959" s="1" t="s">
        <v>17668</v>
      </c>
      <c r="AZ959" s="1" t="s">
        <v>17668</v>
      </c>
      <c r="BA959" s="1" t="s">
        <v>466</v>
      </c>
      <c r="BB959" s="1" t="s">
        <v>467</v>
      </c>
      <c r="BC959" s="1" t="s">
        <v>1889</v>
      </c>
      <c r="BD959" s="1" t="s">
        <v>14162</v>
      </c>
      <c r="BE959" s="1">
        <v>65.3</v>
      </c>
      <c r="BF959" s="1">
        <v>6.41</v>
      </c>
      <c r="BG959" s="1"/>
      <c r="BH959" s="1"/>
      <c r="BI959" s="1"/>
      <c r="BJ959" s="1"/>
      <c r="BK959" s="1"/>
      <c r="BL959" s="1"/>
      <c r="BM959" s="1"/>
      <c r="BN959" s="1"/>
      <c r="BO959" s="1" t="s">
        <v>17669</v>
      </c>
      <c r="BP959" s="1"/>
      <c r="BQ959" s="1"/>
      <c r="BR959" s="1" t="s">
        <v>17670</v>
      </c>
      <c r="BS959" s="1">
        <v>48</v>
      </c>
      <c r="BT959" s="1" t="s">
        <v>17671</v>
      </c>
      <c r="BU959" s="1" t="str">
        <f>HYPERLINK("https://nconnect.nicmar.ac.in/storage/profile/6a86b0f2c889c.png","Download")</f>
        <v>0</v>
      </c>
      <c r="BV959" s="3"/>
      <c r="BW959" s="3"/>
    </row>
    <row r="960" spans="1:75">
      <c r="A960" s="1" t="s">
        <v>75</v>
      </c>
      <c r="B960" s="1" t="s">
        <v>13976</v>
      </c>
      <c r="C960" s="1" t="s">
        <v>17672</v>
      </c>
      <c r="D960" s="1" t="s">
        <v>17673</v>
      </c>
      <c r="E960" s="1" t="s">
        <v>9655</v>
      </c>
      <c r="F960" s="1" t="s">
        <v>17674</v>
      </c>
      <c r="G960" s="1" t="s">
        <v>17675</v>
      </c>
      <c r="H960" s="1" t="s">
        <v>17676</v>
      </c>
      <c r="I960" s="1" t="s">
        <v>17676</v>
      </c>
      <c r="J960" s="1">
        <v>8668959715</v>
      </c>
      <c r="K960" s="1" t="s">
        <v>84</v>
      </c>
      <c r="L960" s="1" t="s">
        <v>17677</v>
      </c>
      <c r="M960" s="1" t="s">
        <v>86</v>
      </c>
      <c r="N960" s="1" t="s">
        <v>4857</v>
      </c>
      <c r="O960" s="1" t="s">
        <v>17678</v>
      </c>
      <c r="P960" s="1" t="s">
        <v>122</v>
      </c>
      <c r="Q960" s="1">
        <v>899468893487</v>
      </c>
      <c r="R960" s="1" t="s">
        <v>17679</v>
      </c>
      <c r="S960" s="1">
        <v>9823871188</v>
      </c>
      <c r="T960" s="1" t="s">
        <v>17680</v>
      </c>
      <c r="U960" s="1" t="s">
        <v>17681</v>
      </c>
      <c r="V960" s="1">
        <v>9823931188</v>
      </c>
      <c r="W960" s="1" t="s">
        <v>14154</v>
      </c>
      <c r="X960" s="1" t="s">
        <v>17682</v>
      </c>
      <c r="Y960" s="1" t="s">
        <v>309</v>
      </c>
      <c r="Z960" s="1" t="s">
        <v>97</v>
      </c>
      <c r="AA960" s="1" t="s">
        <v>17682</v>
      </c>
      <c r="AB960" s="1" t="s">
        <v>309</v>
      </c>
      <c r="AC960" s="1" t="s">
        <v>97</v>
      </c>
      <c r="AD960" s="1" t="s">
        <v>98</v>
      </c>
      <c r="AE960" s="1" t="s">
        <v>98</v>
      </c>
      <c r="AF960" s="1" t="s">
        <v>17683</v>
      </c>
      <c r="AG960" s="1" t="s">
        <v>17684</v>
      </c>
      <c r="AH960" s="1" t="s">
        <v>170</v>
      </c>
      <c r="AI960" s="1" t="s">
        <v>286</v>
      </c>
      <c r="AJ960" s="1">
        <v>85.6</v>
      </c>
      <c r="AK960" s="1"/>
      <c r="AL960" s="1"/>
      <c r="AM960" s="1"/>
      <c r="AN960" s="1"/>
      <c r="AO960" s="1"/>
      <c r="AP960" s="1"/>
      <c r="AQ960" s="1"/>
      <c r="AR960" s="1"/>
      <c r="AS960" s="1" t="s">
        <v>14158</v>
      </c>
      <c r="AT960" s="1" t="s">
        <v>17685</v>
      </c>
      <c r="AU960" s="1" t="s">
        <v>171</v>
      </c>
      <c r="AV960" s="1" t="s">
        <v>441</v>
      </c>
      <c r="AW960" s="1">
        <v>86.89</v>
      </c>
      <c r="AX960" s="1"/>
      <c r="AY960" s="1" t="s">
        <v>14160</v>
      </c>
      <c r="AZ960" s="1" t="s">
        <v>17686</v>
      </c>
      <c r="BA960" s="1" t="s">
        <v>578</v>
      </c>
      <c r="BB960" s="1" t="s">
        <v>467</v>
      </c>
      <c r="BC960" s="1" t="s">
        <v>4722</v>
      </c>
      <c r="BD960" s="1" t="s">
        <v>418</v>
      </c>
      <c r="BE960" s="1">
        <v>63.6</v>
      </c>
      <c r="BF960" s="1">
        <v>7.11</v>
      </c>
      <c r="BG960" s="1"/>
      <c r="BH960" s="1"/>
      <c r="BI960" s="1"/>
      <c r="BJ960" s="1"/>
      <c r="BK960" s="1"/>
      <c r="BL960" s="1"/>
      <c r="BM960" s="1"/>
      <c r="BN960" s="1"/>
      <c r="BO960" s="1" t="s">
        <v>17687</v>
      </c>
      <c r="BP960" s="1"/>
      <c r="BQ960" s="1"/>
      <c r="BR960" s="1" t="s">
        <v>17688</v>
      </c>
      <c r="BS960" s="1">
        <v>31</v>
      </c>
      <c r="BT960" s="1"/>
      <c r="BU960" s="1" t="str">
        <f>HYPERLINK("https://nconnect.nicmar.ac.in/storage/profile/6a87138bbbfea.png","Download")</f>
        <v>0</v>
      </c>
      <c r="BV960" s="3"/>
      <c r="BW960" s="3"/>
    </row>
    <row r="961" spans="1:75">
      <c r="A961" s="1" t="s">
        <v>75</v>
      </c>
      <c r="B961" s="1" t="s">
        <v>13976</v>
      </c>
      <c r="C961" s="1" t="s">
        <v>17689</v>
      </c>
      <c r="D961" s="1" t="s">
        <v>17690</v>
      </c>
      <c r="E961" s="1" t="s">
        <v>17691</v>
      </c>
      <c r="F961" s="1" t="s">
        <v>17692</v>
      </c>
      <c r="G961" s="1" t="s">
        <v>17693</v>
      </c>
      <c r="H961" s="1" t="s">
        <v>17694</v>
      </c>
      <c r="I961" s="1" t="s">
        <v>17694</v>
      </c>
      <c r="J961" s="1">
        <v>9021740940</v>
      </c>
      <c r="K961" s="1" t="s">
        <v>153</v>
      </c>
      <c r="L961" s="1" t="s">
        <v>7530</v>
      </c>
      <c r="M961" s="1" t="s">
        <v>86</v>
      </c>
      <c r="N961" s="1" t="s">
        <v>768</v>
      </c>
      <c r="O961" s="1" t="s">
        <v>17695</v>
      </c>
      <c r="P961" s="1" t="s">
        <v>89</v>
      </c>
      <c r="Q961" s="1">
        <v>330777693846</v>
      </c>
      <c r="R961" s="1" t="s">
        <v>17696</v>
      </c>
      <c r="S961" s="1">
        <v>9689088747</v>
      </c>
      <c r="T961" s="1" t="s">
        <v>17697</v>
      </c>
      <c r="U961" s="1" t="s">
        <v>16093</v>
      </c>
      <c r="V961" s="1">
        <v>9420716607</v>
      </c>
      <c r="W961" s="1" t="s">
        <v>17698</v>
      </c>
      <c r="X961" s="1" t="s">
        <v>17699</v>
      </c>
      <c r="Y961" s="1" t="s">
        <v>5030</v>
      </c>
      <c r="Z961" s="1" t="s">
        <v>97</v>
      </c>
      <c r="AA961" s="1" t="s">
        <v>17699</v>
      </c>
      <c r="AB961" s="1" t="s">
        <v>5030</v>
      </c>
      <c r="AC961" s="1" t="s">
        <v>97</v>
      </c>
      <c r="AD961" s="1" t="s">
        <v>98</v>
      </c>
      <c r="AE961" s="1" t="s">
        <v>98</v>
      </c>
      <c r="AF961" s="1" t="s">
        <v>17700</v>
      </c>
      <c r="AG961" s="1" t="s">
        <v>17701</v>
      </c>
      <c r="AH961" s="1" t="s">
        <v>573</v>
      </c>
      <c r="AI961" s="1" t="s">
        <v>171</v>
      </c>
      <c r="AJ961" s="1">
        <v>72.2</v>
      </c>
      <c r="AK961" s="1"/>
      <c r="AL961" s="1" t="s">
        <v>17702</v>
      </c>
      <c r="AM961" s="1" t="s">
        <v>17701</v>
      </c>
      <c r="AN961" s="1" t="s">
        <v>465</v>
      </c>
      <c r="AO961" s="1" t="s">
        <v>203</v>
      </c>
      <c r="AP961" s="1" t="s">
        <v>365</v>
      </c>
      <c r="AQ961" s="1">
        <v>90.7</v>
      </c>
      <c r="AR961" s="1"/>
      <c r="AS961" s="1"/>
      <c r="AT961" s="1"/>
      <c r="AU961" s="1"/>
      <c r="AV961" s="1"/>
      <c r="AW961" s="1"/>
      <c r="AX961" s="1"/>
      <c r="AY961" s="1" t="s">
        <v>17703</v>
      </c>
      <c r="AZ961" s="1" t="s">
        <v>17704</v>
      </c>
      <c r="BA961" s="1" t="s">
        <v>682</v>
      </c>
      <c r="BB961" s="1" t="s">
        <v>683</v>
      </c>
      <c r="BC961" s="1" t="s">
        <v>4740</v>
      </c>
      <c r="BD961" s="1" t="s">
        <v>553</v>
      </c>
      <c r="BE961" s="1">
        <v>79.7</v>
      </c>
      <c r="BF961" s="1">
        <v>7.97</v>
      </c>
      <c r="BG961" s="1"/>
      <c r="BH961" s="1"/>
      <c r="BI961" s="1"/>
      <c r="BJ961" s="1"/>
      <c r="BK961" s="1"/>
      <c r="BL961" s="1"/>
      <c r="BM961" s="1"/>
      <c r="BN961" s="1"/>
      <c r="BO961" s="1" t="s">
        <v>17705</v>
      </c>
      <c r="BP961" s="1" t="s">
        <v>17706</v>
      </c>
      <c r="BQ961" s="1" t="s">
        <v>2213</v>
      </c>
      <c r="BR961" s="1"/>
      <c r="BS961" s="1"/>
      <c r="BT961" s="1"/>
      <c r="BU961" s="1" t="str">
        <f>HYPERLINK("https://nconnect.nicmar.ac.in/storage/profile/6a87152b27a8c.png","Download")</f>
        <v>0</v>
      </c>
      <c r="BV961" s="3"/>
      <c r="BW961" s="3"/>
    </row>
    <row r="962" spans="1:75">
      <c r="A962" s="1" t="s">
        <v>75</v>
      </c>
      <c r="B962" s="1" t="s">
        <v>13976</v>
      </c>
      <c r="C962" s="1" t="s">
        <v>17707</v>
      </c>
      <c r="D962" s="1" t="s">
        <v>17708</v>
      </c>
      <c r="E962" s="1" t="s">
        <v>15430</v>
      </c>
      <c r="F962" s="1" t="s">
        <v>17709</v>
      </c>
      <c r="G962" s="1" t="s">
        <v>17710</v>
      </c>
      <c r="H962" s="1" t="s">
        <v>17711</v>
      </c>
      <c r="I962" s="1" t="s">
        <v>17711</v>
      </c>
      <c r="J962" s="1">
        <v>7775919822</v>
      </c>
      <c r="K962" s="1" t="s">
        <v>84</v>
      </c>
      <c r="L962" s="1" t="s">
        <v>17712</v>
      </c>
      <c r="M962" s="1" t="s">
        <v>86</v>
      </c>
      <c r="N962" s="1" t="s">
        <v>768</v>
      </c>
      <c r="O962" s="1" t="s">
        <v>17713</v>
      </c>
      <c r="P962" s="1" t="s">
        <v>122</v>
      </c>
      <c r="Q962" s="1">
        <v>463211283362</v>
      </c>
      <c r="R962" s="1" t="s">
        <v>17714</v>
      </c>
      <c r="S962" s="1">
        <v>7774945777</v>
      </c>
      <c r="T962" s="1" t="s">
        <v>13987</v>
      </c>
      <c r="U962" s="1" t="s">
        <v>17715</v>
      </c>
      <c r="V962" s="1">
        <v>9309781817</v>
      </c>
      <c r="W962" s="1" t="s">
        <v>3441</v>
      </c>
      <c r="X962" s="1" t="s">
        <v>17716</v>
      </c>
      <c r="Y962" s="1" t="s">
        <v>5083</v>
      </c>
      <c r="Z962" s="1" t="s">
        <v>97</v>
      </c>
      <c r="AA962" s="1" t="s">
        <v>17716</v>
      </c>
      <c r="AB962" s="1" t="s">
        <v>5083</v>
      </c>
      <c r="AC962" s="1" t="s">
        <v>97</v>
      </c>
      <c r="AD962" s="1" t="s">
        <v>98</v>
      </c>
      <c r="AE962" s="1" t="s">
        <v>98</v>
      </c>
      <c r="AF962" s="1" t="s">
        <v>17717</v>
      </c>
      <c r="AG962" s="1" t="s">
        <v>15703</v>
      </c>
      <c r="AH962" s="1" t="s">
        <v>490</v>
      </c>
      <c r="AI962" s="1" t="s">
        <v>313</v>
      </c>
      <c r="AJ962" s="1">
        <v>88.4</v>
      </c>
      <c r="AK962" s="1"/>
      <c r="AL962" s="1" t="s">
        <v>17718</v>
      </c>
      <c r="AM962" s="1" t="s">
        <v>17719</v>
      </c>
      <c r="AN962" s="1" t="s">
        <v>465</v>
      </c>
      <c r="AO962" s="1" t="s">
        <v>468</v>
      </c>
      <c r="AP962" s="1" t="s">
        <v>845</v>
      </c>
      <c r="AQ962" s="1">
        <v>90.5</v>
      </c>
      <c r="AR962" s="1"/>
      <c r="AS962" s="1"/>
      <c r="AT962" s="1"/>
      <c r="AU962" s="1"/>
      <c r="AV962" s="1"/>
      <c r="AW962" s="1"/>
      <c r="AX962" s="1"/>
      <c r="AY962" s="1" t="s">
        <v>17720</v>
      </c>
      <c r="AZ962" s="1" t="s">
        <v>14160</v>
      </c>
      <c r="BA962" s="1" t="s">
        <v>466</v>
      </c>
      <c r="BB962" s="1" t="s">
        <v>467</v>
      </c>
      <c r="BC962" s="1" t="s">
        <v>871</v>
      </c>
      <c r="BD962" s="1" t="s">
        <v>553</v>
      </c>
      <c r="BE962" s="1">
        <v>70.11</v>
      </c>
      <c r="BF962" s="1">
        <v>7.38</v>
      </c>
      <c r="BG962" s="1"/>
      <c r="BH962" s="1"/>
      <c r="BI962" s="1"/>
      <c r="BJ962" s="1"/>
      <c r="BK962" s="1"/>
      <c r="BL962" s="1"/>
      <c r="BM962" s="1"/>
      <c r="BN962" s="1"/>
      <c r="BO962" s="1" t="s">
        <v>369</v>
      </c>
      <c r="BP962" s="1"/>
      <c r="BQ962" s="1"/>
      <c r="BR962" s="1" t="s">
        <v>17721</v>
      </c>
      <c r="BS962" s="1">
        <v>4</v>
      </c>
      <c r="BT962" s="1"/>
      <c r="BU962" s="1" t="str">
        <f>HYPERLINK("https://nconnect.nicmar.ac.in/storage/profile/6a8722fe8acf4.png","Download")</f>
        <v>0</v>
      </c>
      <c r="BV962" s="3"/>
      <c r="BW962" s="3"/>
    </row>
    <row r="963" spans="1:75">
      <c r="A963" s="1" t="s">
        <v>75</v>
      </c>
      <c r="B963" s="1" t="s">
        <v>13976</v>
      </c>
      <c r="C963" s="1" t="s">
        <v>17722</v>
      </c>
      <c r="D963" s="1" t="s">
        <v>17723</v>
      </c>
      <c r="E963" s="1" t="s">
        <v>14908</v>
      </c>
      <c r="F963" s="1" t="s">
        <v>17724</v>
      </c>
      <c r="G963" s="1" t="s">
        <v>17725</v>
      </c>
      <c r="H963" s="1" t="s">
        <v>17726</v>
      </c>
      <c r="I963" s="1" t="s">
        <v>17726</v>
      </c>
      <c r="J963" s="1">
        <v>8491863563</v>
      </c>
      <c r="K963" s="1" t="s">
        <v>84</v>
      </c>
      <c r="L963" s="1" t="s">
        <v>17727</v>
      </c>
      <c r="M963" s="1" t="s">
        <v>86</v>
      </c>
      <c r="N963" s="1" t="s">
        <v>17728</v>
      </c>
      <c r="O963" s="1" t="s">
        <v>17729</v>
      </c>
      <c r="P963" s="1" t="s">
        <v>219</v>
      </c>
      <c r="Q963" s="1" t="s">
        <v>17730</v>
      </c>
      <c r="R963" s="1" t="s">
        <v>17731</v>
      </c>
      <c r="S963" s="1">
        <v>9419138323</v>
      </c>
      <c r="T963" s="1" t="s">
        <v>17732</v>
      </c>
      <c r="U963" s="1" t="s">
        <v>17733</v>
      </c>
      <c r="V963" s="1">
        <v>9419179331</v>
      </c>
      <c r="W963" s="1" t="s">
        <v>10306</v>
      </c>
      <c r="X963" s="1" t="s">
        <v>17734</v>
      </c>
      <c r="Y963" s="1" t="s">
        <v>8895</v>
      </c>
      <c r="Z963" s="1" t="s">
        <v>8896</v>
      </c>
      <c r="AA963" s="1" t="s">
        <v>17734</v>
      </c>
      <c r="AB963" s="1" t="s">
        <v>8895</v>
      </c>
      <c r="AC963" s="1" t="s">
        <v>8896</v>
      </c>
      <c r="AD963" s="1" t="s">
        <v>98</v>
      </c>
      <c r="AE963" s="1" t="s">
        <v>98</v>
      </c>
      <c r="AF963" s="1" t="s">
        <v>17735</v>
      </c>
      <c r="AG963" s="1" t="s">
        <v>17736</v>
      </c>
      <c r="AH963" s="1" t="s">
        <v>704</v>
      </c>
      <c r="AI963" s="1" t="s">
        <v>171</v>
      </c>
      <c r="AJ963" s="1">
        <v>75.5</v>
      </c>
      <c r="AK963" s="1"/>
      <c r="AL963" s="1" t="s">
        <v>17735</v>
      </c>
      <c r="AM963" s="1" t="s">
        <v>17736</v>
      </c>
      <c r="AN963" s="1" t="s">
        <v>465</v>
      </c>
      <c r="AO963" s="1" t="s">
        <v>547</v>
      </c>
      <c r="AP963" s="1" t="s">
        <v>468</v>
      </c>
      <c r="AQ963" s="1">
        <v>72.83</v>
      </c>
      <c r="AR963" s="1"/>
      <c r="AS963" s="1"/>
      <c r="AT963" s="1"/>
      <c r="AU963" s="1"/>
      <c r="AV963" s="1"/>
      <c r="AW963" s="1"/>
      <c r="AX963" s="1"/>
      <c r="AY963" s="1" t="s">
        <v>17737</v>
      </c>
      <c r="AZ963" s="1" t="s">
        <v>17738</v>
      </c>
      <c r="BA963" s="1" t="s">
        <v>466</v>
      </c>
      <c r="BB963" s="1" t="s">
        <v>467</v>
      </c>
      <c r="BC963" s="1" t="s">
        <v>175</v>
      </c>
      <c r="BD963" s="1" t="s">
        <v>207</v>
      </c>
      <c r="BE963" s="1">
        <v>79.4</v>
      </c>
      <c r="BF963" s="1">
        <v>7.94</v>
      </c>
      <c r="BG963" s="1"/>
      <c r="BH963" s="1"/>
      <c r="BI963" s="1"/>
      <c r="BJ963" s="1"/>
      <c r="BK963" s="1"/>
      <c r="BL963" s="1"/>
      <c r="BM963" s="1"/>
      <c r="BN963" s="1"/>
      <c r="BO963" s="1" t="s">
        <v>17739</v>
      </c>
      <c r="BP963" s="1" t="s">
        <v>17740</v>
      </c>
      <c r="BQ963" s="1" t="s">
        <v>582</v>
      </c>
      <c r="BR963" s="1" t="s">
        <v>17741</v>
      </c>
      <c r="BS963" s="1">
        <v>7</v>
      </c>
      <c r="BT963" s="1"/>
      <c r="BU963" s="1" t="str">
        <f>HYPERLINK("https://nconnect.nicmar.ac.in/storage/profile/6a859845c38be.png","Download")</f>
        <v>0</v>
      </c>
      <c r="BV963" s="3"/>
      <c r="BW963" s="3"/>
    </row>
    <row r="964" spans="1:75">
      <c r="A964" s="1" t="s">
        <v>75</v>
      </c>
      <c r="B964" s="1" t="s">
        <v>13976</v>
      </c>
      <c r="C964" s="1" t="s">
        <v>17742</v>
      </c>
      <c r="D964" s="1" t="s">
        <v>17743</v>
      </c>
      <c r="E964" s="1"/>
      <c r="F964" s="1" t="s">
        <v>14406</v>
      </c>
      <c r="G964" s="1" t="s">
        <v>17744</v>
      </c>
      <c r="H964" s="1" t="s">
        <v>17745</v>
      </c>
      <c r="I964" s="1" t="s">
        <v>17745</v>
      </c>
      <c r="J964" s="1">
        <v>8340754065</v>
      </c>
      <c r="K964" s="1" t="s">
        <v>84</v>
      </c>
      <c r="L964" s="1" t="s">
        <v>17746</v>
      </c>
      <c r="M964" s="1" t="s">
        <v>86</v>
      </c>
      <c r="N964" s="1" t="s">
        <v>17747</v>
      </c>
      <c r="O964" s="1" t="s">
        <v>17748</v>
      </c>
      <c r="P964" s="1" t="s">
        <v>89</v>
      </c>
      <c r="Q964" s="1">
        <v>737266382420</v>
      </c>
      <c r="R964" s="1" t="s">
        <v>17749</v>
      </c>
      <c r="S964" s="1">
        <v>8969282520</v>
      </c>
      <c r="T964" s="1" t="s">
        <v>14275</v>
      </c>
      <c r="U964" s="1" t="s">
        <v>17750</v>
      </c>
      <c r="V964" s="1">
        <v>9304070650</v>
      </c>
      <c r="W964" s="1" t="s">
        <v>14212</v>
      </c>
      <c r="X964" s="1" t="s">
        <v>17751</v>
      </c>
      <c r="Y964" s="1" t="s">
        <v>17752</v>
      </c>
      <c r="Z964" s="1" t="s">
        <v>649</v>
      </c>
      <c r="AA964" s="1" t="s">
        <v>17753</v>
      </c>
      <c r="AB964" s="1" t="s">
        <v>196</v>
      </c>
      <c r="AC964" s="1" t="s">
        <v>97</v>
      </c>
      <c r="AD964" s="1" t="s">
        <v>98</v>
      </c>
      <c r="AE964" s="1" t="s">
        <v>98</v>
      </c>
      <c r="AF964" s="1" t="s">
        <v>17754</v>
      </c>
      <c r="AG964" s="1" t="s">
        <v>796</v>
      </c>
      <c r="AH964" s="1" t="s">
        <v>547</v>
      </c>
      <c r="AI964" s="1" t="s">
        <v>178</v>
      </c>
      <c r="AJ964" s="1">
        <v>70</v>
      </c>
      <c r="AK964" s="1"/>
      <c r="AL964" s="1" t="s">
        <v>17754</v>
      </c>
      <c r="AM964" s="1" t="s">
        <v>796</v>
      </c>
      <c r="AN964" s="1" t="s">
        <v>465</v>
      </c>
      <c r="AO964" s="1" t="s">
        <v>2304</v>
      </c>
      <c r="AP964" s="1" t="s">
        <v>1400</v>
      </c>
      <c r="AQ964" s="1">
        <v>70</v>
      </c>
      <c r="AR964" s="1"/>
      <c r="AS964" s="1"/>
      <c r="AT964" s="1"/>
      <c r="AU964" s="1"/>
      <c r="AV964" s="1"/>
      <c r="AW964" s="1"/>
      <c r="AX964" s="1"/>
      <c r="AY964" s="1" t="s">
        <v>17619</v>
      </c>
      <c r="AZ964" s="1" t="s">
        <v>196</v>
      </c>
      <c r="BA964" s="1" t="s">
        <v>578</v>
      </c>
      <c r="BB964" s="1" t="s">
        <v>467</v>
      </c>
      <c r="BC964" s="1" t="s">
        <v>1825</v>
      </c>
      <c r="BD964" s="1" t="s">
        <v>14162</v>
      </c>
      <c r="BE964" s="1">
        <v>79.64</v>
      </c>
      <c r="BF964" s="1"/>
      <c r="BG964" s="1"/>
      <c r="BH964" s="1"/>
      <c r="BI964" s="1"/>
      <c r="BJ964" s="1"/>
      <c r="BK964" s="1"/>
      <c r="BL964" s="1"/>
      <c r="BM964" s="1"/>
      <c r="BN964" s="1"/>
      <c r="BO964" s="1" t="s">
        <v>17755</v>
      </c>
      <c r="BP964" s="1" t="s">
        <v>17756</v>
      </c>
      <c r="BQ964" s="1" t="s">
        <v>7917</v>
      </c>
      <c r="BR964" s="1" t="s">
        <v>17757</v>
      </c>
      <c r="BS964" s="1">
        <v>8</v>
      </c>
      <c r="BT964" s="1" t="s">
        <v>17758</v>
      </c>
      <c r="BU964" s="1" t="str">
        <f>HYPERLINK("https://nconnect.nicmar.ac.in/storage/profile/6a85f219795fa.png","Download")</f>
        <v>0</v>
      </c>
      <c r="BV964" s="3"/>
      <c r="BW964" s="3"/>
    </row>
    <row r="965" spans="1:75">
      <c r="A965" s="1" t="s">
        <v>75</v>
      </c>
      <c r="B965" s="1" t="s">
        <v>13976</v>
      </c>
      <c r="C965" s="1" t="s">
        <v>17759</v>
      </c>
      <c r="D965" s="1" t="s">
        <v>17760</v>
      </c>
      <c r="E965" s="1" t="s">
        <v>17761</v>
      </c>
      <c r="F965" s="1" t="s">
        <v>17762</v>
      </c>
      <c r="G965" s="1" t="s">
        <v>17763</v>
      </c>
      <c r="H965" s="1" t="s">
        <v>17764</v>
      </c>
      <c r="I965" s="1" t="s">
        <v>17764</v>
      </c>
      <c r="J965" s="1">
        <v>9930673265</v>
      </c>
      <c r="K965" s="1" t="s">
        <v>84</v>
      </c>
      <c r="L965" s="1" t="s">
        <v>14761</v>
      </c>
      <c r="M965" s="1" t="s">
        <v>86</v>
      </c>
      <c r="N965" s="1" t="s">
        <v>4857</v>
      </c>
      <c r="O965" s="1" t="s">
        <v>17765</v>
      </c>
      <c r="P965" s="1" t="s">
        <v>219</v>
      </c>
      <c r="Q965" s="1">
        <v>497179753210</v>
      </c>
      <c r="R965" s="1" t="s">
        <v>17766</v>
      </c>
      <c r="S965" s="1">
        <v>9833907383</v>
      </c>
      <c r="T965" s="1" t="s">
        <v>17767</v>
      </c>
      <c r="U965" s="1" t="s">
        <v>17768</v>
      </c>
      <c r="V965" s="1">
        <v>8850130322</v>
      </c>
      <c r="W965" s="1" t="s">
        <v>14710</v>
      </c>
      <c r="X965" s="1" t="s">
        <v>17769</v>
      </c>
      <c r="Y965" s="1" t="s">
        <v>2259</v>
      </c>
      <c r="Z965" s="1" t="s">
        <v>97</v>
      </c>
      <c r="AA965" s="1" t="s">
        <v>17769</v>
      </c>
      <c r="AB965" s="1" t="s">
        <v>2259</v>
      </c>
      <c r="AC965" s="1" t="s">
        <v>97</v>
      </c>
      <c r="AD965" s="1" t="s">
        <v>98</v>
      </c>
      <c r="AE965" s="1" t="s">
        <v>98</v>
      </c>
      <c r="AF965" s="1" t="s">
        <v>17770</v>
      </c>
      <c r="AG965" s="1" t="s">
        <v>17771</v>
      </c>
      <c r="AH965" s="1" t="s">
        <v>174</v>
      </c>
      <c r="AI965" s="1" t="s">
        <v>178</v>
      </c>
      <c r="AJ965" s="1">
        <v>83.6</v>
      </c>
      <c r="AK965" s="1"/>
      <c r="AL965" s="1" t="s">
        <v>17772</v>
      </c>
      <c r="AM965" s="1" t="s">
        <v>17773</v>
      </c>
      <c r="AN965" s="1" t="s">
        <v>465</v>
      </c>
      <c r="AO965" s="1" t="s">
        <v>178</v>
      </c>
      <c r="AP965" s="1" t="s">
        <v>1400</v>
      </c>
      <c r="AQ965" s="1">
        <v>79.4</v>
      </c>
      <c r="AR965" s="1"/>
      <c r="AS965" s="1"/>
      <c r="AT965" s="1"/>
      <c r="AU965" s="1"/>
      <c r="AV965" s="1"/>
      <c r="AW965" s="1"/>
      <c r="AX965" s="1"/>
      <c r="AY965" s="1" t="s">
        <v>17774</v>
      </c>
      <c r="AZ965" s="1" t="s">
        <v>17775</v>
      </c>
      <c r="BA965" s="1" t="s">
        <v>466</v>
      </c>
      <c r="BB965" s="1" t="s">
        <v>467</v>
      </c>
      <c r="BC965" s="1" t="s">
        <v>110</v>
      </c>
      <c r="BD965" s="1" t="s">
        <v>14514</v>
      </c>
      <c r="BE965" s="1">
        <v>79.75</v>
      </c>
      <c r="BF965" s="1">
        <v>3.19</v>
      </c>
      <c r="BG965" s="1"/>
      <c r="BH965" s="1"/>
      <c r="BI965" s="1"/>
      <c r="BJ965" s="1"/>
      <c r="BK965" s="1"/>
      <c r="BL965" s="1"/>
      <c r="BM965" s="1"/>
      <c r="BN965" s="1"/>
      <c r="BO965" s="1" t="s">
        <v>17776</v>
      </c>
      <c r="BP965" s="1"/>
      <c r="BQ965" s="1"/>
      <c r="BR965" s="1" t="s">
        <v>17777</v>
      </c>
      <c r="BS965" s="1">
        <v>22</v>
      </c>
      <c r="BT965" s="1"/>
      <c r="BU965" s="1" t="str">
        <f>HYPERLINK("https://nconnect.nicmar.ac.in/storage/profile/6a870b9a232ac.png","Download")</f>
        <v>0</v>
      </c>
      <c r="BV965" s="3"/>
      <c r="BW965" s="3"/>
    </row>
    <row r="966" spans="1:75">
      <c r="A966" s="1" t="s">
        <v>75</v>
      </c>
      <c r="B966" s="1" t="s">
        <v>13976</v>
      </c>
      <c r="C966" s="1" t="s">
        <v>17778</v>
      </c>
      <c r="D966" s="1"/>
      <c r="E966" s="1"/>
      <c r="F966" s="1"/>
      <c r="G966" s="1"/>
      <c r="H966" s="1" t="s">
        <v>17779</v>
      </c>
      <c r="I966" s="1" t="s">
        <v>17779</v>
      </c>
      <c r="J966" s="1"/>
      <c r="K966" s="1"/>
      <c r="L966" s="1"/>
      <c r="M966" s="1"/>
      <c r="N966" s="1"/>
      <c r="O966" s="1"/>
      <c r="P966" s="1"/>
      <c r="Q966" s="1"/>
      <c r="R966" s="1"/>
      <c r="S966" s="1"/>
      <c r="T966" s="1"/>
      <c r="U966" s="1"/>
      <c r="V966" s="1"/>
      <c r="W966" s="1"/>
      <c r="X966" s="1"/>
      <c r="Y966" s="1"/>
      <c r="Z966" s="1"/>
      <c r="AA966" s="1"/>
      <c r="AB966" s="1"/>
      <c r="AC966" s="1"/>
      <c r="AD966" s="1" t="s">
        <v>98</v>
      </c>
      <c r="AE966" s="1" t="s">
        <v>98</v>
      </c>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t="s">
        <v>17780</v>
      </c>
      <c r="BQ966" s="1" t="s">
        <v>658</v>
      </c>
      <c r="BR966" s="1"/>
      <c r="BS966" s="1"/>
      <c r="BT966" s="1"/>
      <c r="BU966" s="1" t="str">
        <f>HYPERLINK("https://nconnect.nicmar.ac.in/storage/profile/6a85e5e119bb5.png","Download")</f>
        <v>0</v>
      </c>
      <c r="BV966" s="3"/>
      <c r="BW966" s="3"/>
    </row>
    <row r="967" spans="1:75">
      <c r="A967" s="1" t="s">
        <v>75</v>
      </c>
      <c r="B967" s="1" t="s">
        <v>13976</v>
      </c>
      <c r="C967" s="1" t="s">
        <v>17781</v>
      </c>
      <c r="D967" s="1" t="s">
        <v>11148</v>
      </c>
      <c r="E967" s="1" t="s">
        <v>17782</v>
      </c>
      <c r="F967" s="1" t="s">
        <v>17783</v>
      </c>
      <c r="G967" s="1" t="s">
        <v>17784</v>
      </c>
      <c r="H967" s="1" t="s">
        <v>17785</v>
      </c>
      <c r="I967" s="1" t="s">
        <v>17785</v>
      </c>
      <c r="J967" s="1">
        <v>7498228082</v>
      </c>
      <c r="K967" s="1" t="s">
        <v>84</v>
      </c>
      <c r="L967" s="1" t="s">
        <v>17786</v>
      </c>
      <c r="M967" s="1" t="s">
        <v>86</v>
      </c>
      <c r="N967" s="1" t="s">
        <v>6390</v>
      </c>
      <c r="O967" s="1" t="s">
        <v>17787</v>
      </c>
      <c r="P967" s="1" t="s">
        <v>219</v>
      </c>
      <c r="Q967" s="1">
        <v>565051672344</v>
      </c>
      <c r="R967" s="1" t="s">
        <v>17788</v>
      </c>
      <c r="S967" s="1">
        <v>9822026654</v>
      </c>
      <c r="T967" s="1" t="s">
        <v>17767</v>
      </c>
      <c r="U967" s="1" t="s">
        <v>17789</v>
      </c>
      <c r="V967" s="1">
        <v>9823066554</v>
      </c>
      <c r="W967" s="1" t="s">
        <v>10306</v>
      </c>
      <c r="X967" s="1" t="s">
        <v>17790</v>
      </c>
      <c r="Y967" s="1" t="s">
        <v>1989</v>
      </c>
      <c r="Z967" s="1" t="s">
        <v>97</v>
      </c>
      <c r="AA967" s="1" t="s">
        <v>17790</v>
      </c>
      <c r="AB967" s="1" t="s">
        <v>1989</v>
      </c>
      <c r="AC967" s="1" t="s">
        <v>97</v>
      </c>
      <c r="AD967" s="1" t="s">
        <v>98</v>
      </c>
      <c r="AE967" s="1" t="s">
        <v>98</v>
      </c>
      <c r="AF967" s="1" t="s">
        <v>17791</v>
      </c>
      <c r="AG967" s="1" t="s">
        <v>17792</v>
      </c>
      <c r="AH967" s="1" t="s">
        <v>438</v>
      </c>
      <c r="AI967" s="1" t="s">
        <v>178</v>
      </c>
      <c r="AJ967" s="1">
        <v>90.8</v>
      </c>
      <c r="AK967" s="1">
        <v>0</v>
      </c>
      <c r="AL967" s="1" t="s">
        <v>17793</v>
      </c>
      <c r="AM967" s="1" t="s">
        <v>17794</v>
      </c>
      <c r="AN967" s="1" t="s">
        <v>465</v>
      </c>
      <c r="AO967" s="1" t="s">
        <v>847</v>
      </c>
      <c r="AP967" s="1" t="s">
        <v>632</v>
      </c>
      <c r="AQ967" s="1">
        <v>71</v>
      </c>
      <c r="AR967" s="1"/>
      <c r="AS967" s="1"/>
      <c r="AT967" s="1"/>
      <c r="AU967" s="1"/>
      <c r="AV967" s="1"/>
      <c r="AW967" s="1"/>
      <c r="AX967" s="1"/>
      <c r="AY967" s="1" t="s">
        <v>366</v>
      </c>
      <c r="AZ967" s="1" t="s">
        <v>17795</v>
      </c>
      <c r="BA967" s="1" t="s">
        <v>466</v>
      </c>
      <c r="BB967" s="1" t="s">
        <v>467</v>
      </c>
      <c r="BC967" s="1" t="s">
        <v>1889</v>
      </c>
      <c r="BD967" s="1" t="s">
        <v>9688</v>
      </c>
      <c r="BE967" s="1">
        <v>65.93</v>
      </c>
      <c r="BF967" s="1">
        <v>6.94</v>
      </c>
      <c r="BG967" s="1"/>
      <c r="BH967" s="1"/>
      <c r="BI967" s="1"/>
      <c r="BJ967" s="1"/>
      <c r="BK967" s="1"/>
      <c r="BL967" s="1"/>
      <c r="BM967" s="1"/>
      <c r="BN967" s="1"/>
      <c r="BO967" s="1" t="s">
        <v>17796</v>
      </c>
      <c r="BP967" s="1"/>
      <c r="BQ967" s="1"/>
      <c r="BR967" s="1"/>
      <c r="BS967" s="1"/>
      <c r="BT967" s="1"/>
      <c r="BU967" s="1" t="str">
        <f>HYPERLINK("https://nconnect.nicmar.ac.in/storage/profile/6a85f8bbd0f17.png","Download")</f>
        <v>0</v>
      </c>
      <c r="BV967" s="3"/>
      <c r="BW967" s="3"/>
    </row>
    <row r="968" spans="1:75">
      <c r="A968" s="1" t="s">
        <v>75</v>
      </c>
      <c r="B968" s="1" t="s">
        <v>13976</v>
      </c>
      <c r="C968" s="1" t="s">
        <v>17797</v>
      </c>
      <c r="D968" s="1" t="s">
        <v>17798</v>
      </c>
      <c r="E968" s="1" t="s">
        <v>17799</v>
      </c>
      <c r="F968" s="1" t="s">
        <v>17800</v>
      </c>
      <c r="G968" s="1" t="s">
        <v>17801</v>
      </c>
      <c r="H968" s="1" t="s">
        <v>17802</v>
      </c>
      <c r="I968" s="1" t="s">
        <v>17802</v>
      </c>
      <c r="J968" s="1">
        <v>7045699758</v>
      </c>
      <c r="K968" s="1" t="s">
        <v>153</v>
      </c>
      <c r="L968" s="1" t="s">
        <v>11527</v>
      </c>
      <c r="M968" s="1" t="s">
        <v>86</v>
      </c>
      <c r="N968" s="1" t="s">
        <v>17803</v>
      </c>
      <c r="O968" s="1" t="s">
        <v>17804</v>
      </c>
      <c r="P968" s="1" t="s">
        <v>89</v>
      </c>
      <c r="Q968" s="1">
        <v>567044203445</v>
      </c>
      <c r="R968" s="1" t="s">
        <v>17799</v>
      </c>
      <c r="S968" s="1">
        <v>9769900524</v>
      </c>
      <c r="T968" s="1" t="s">
        <v>16891</v>
      </c>
      <c r="U968" s="1" t="s">
        <v>17805</v>
      </c>
      <c r="V968" s="1">
        <v>9819341813</v>
      </c>
      <c r="W968" s="1" t="s">
        <v>15073</v>
      </c>
      <c r="X968" s="1" t="s">
        <v>17806</v>
      </c>
      <c r="Y968" s="1" t="s">
        <v>2259</v>
      </c>
      <c r="Z968" s="1" t="s">
        <v>97</v>
      </c>
      <c r="AA968" s="1" t="s">
        <v>17806</v>
      </c>
      <c r="AB968" s="1" t="s">
        <v>2259</v>
      </c>
      <c r="AC968" s="1" t="s">
        <v>97</v>
      </c>
      <c r="AD968" s="1" t="s">
        <v>98</v>
      </c>
      <c r="AE968" s="1" t="s">
        <v>98</v>
      </c>
      <c r="AF968" s="1" t="s">
        <v>17807</v>
      </c>
      <c r="AG968" s="1" t="s">
        <v>17808</v>
      </c>
      <c r="AH968" s="1" t="s">
        <v>170</v>
      </c>
      <c r="AI968" s="1" t="s">
        <v>286</v>
      </c>
      <c r="AJ968" s="1">
        <v>93.4</v>
      </c>
      <c r="AK968" s="1"/>
      <c r="AL968" s="1" t="s">
        <v>17809</v>
      </c>
      <c r="AM968" s="1" t="s">
        <v>17808</v>
      </c>
      <c r="AN968" s="1" t="s">
        <v>465</v>
      </c>
      <c r="AO968" s="1" t="s">
        <v>438</v>
      </c>
      <c r="AP968" s="1" t="s">
        <v>603</v>
      </c>
      <c r="AQ968" s="1">
        <v>75.85</v>
      </c>
      <c r="AR968" s="1"/>
      <c r="AS968" s="1"/>
      <c r="AT968" s="1"/>
      <c r="AU968" s="1"/>
      <c r="AV968" s="1"/>
      <c r="AW968" s="1"/>
      <c r="AX968" s="1"/>
      <c r="AY968" s="1" t="s">
        <v>17810</v>
      </c>
      <c r="AZ968" s="1" t="s">
        <v>17808</v>
      </c>
      <c r="BA968" s="1" t="s">
        <v>682</v>
      </c>
      <c r="BB968" s="1" t="s">
        <v>1561</v>
      </c>
      <c r="BC968" s="1" t="s">
        <v>468</v>
      </c>
      <c r="BD968" s="1" t="s">
        <v>8670</v>
      </c>
      <c r="BE968" s="1">
        <v>70.42</v>
      </c>
      <c r="BF968" s="1">
        <v>8.38</v>
      </c>
      <c r="BG968" s="1"/>
      <c r="BH968" s="1"/>
      <c r="BI968" s="1"/>
      <c r="BJ968" s="1"/>
      <c r="BK968" s="1"/>
      <c r="BL968" s="1"/>
      <c r="BM968" s="1"/>
      <c r="BN968" s="1"/>
      <c r="BO968" s="1" t="s">
        <v>17811</v>
      </c>
      <c r="BP968" s="1" t="s">
        <v>17812</v>
      </c>
      <c r="BQ968" s="1" t="s">
        <v>1070</v>
      </c>
      <c r="BR968" s="1" t="s">
        <v>17813</v>
      </c>
      <c r="BS968" s="1">
        <v>23</v>
      </c>
      <c r="BT968" s="1" t="s">
        <v>17814</v>
      </c>
      <c r="BU968" s="1" t="str">
        <f>HYPERLINK("https://nconnect.nicmar.ac.in/storage/profile/6a85eb29466df.png","Download")</f>
        <v>0</v>
      </c>
      <c r="BV968" s="3"/>
      <c r="BW968" s="3"/>
    </row>
    <row r="969" spans="1:75">
      <c r="A969" s="1" t="s">
        <v>75</v>
      </c>
      <c r="B969" s="1" t="s">
        <v>13976</v>
      </c>
      <c r="C969" s="1" t="s">
        <v>17815</v>
      </c>
      <c r="D969" s="1" t="s">
        <v>17816</v>
      </c>
      <c r="E969" s="1"/>
      <c r="F969" s="1" t="s">
        <v>17817</v>
      </c>
      <c r="G969" s="1" t="s">
        <v>17818</v>
      </c>
      <c r="H969" s="1" t="s">
        <v>17819</v>
      </c>
      <c r="I969" s="1" t="s">
        <v>17819</v>
      </c>
      <c r="J969" s="1">
        <v>8610223599</v>
      </c>
      <c r="K969" s="1" t="s">
        <v>84</v>
      </c>
      <c r="L969" s="1" t="s">
        <v>17820</v>
      </c>
      <c r="M969" s="1" t="s">
        <v>86</v>
      </c>
      <c r="N969" s="1" t="s">
        <v>11611</v>
      </c>
      <c r="O969" s="1" t="s">
        <v>17821</v>
      </c>
      <c r="P969" s="1" t="s">
        <v>219</v>
      </c>
      <c r="Q969" s="1">
        <v>815501714648</v>
      </c>
      <c r="R969" s="1" t="s">
        <v>17822</v>
      </c>
      <c r="S969" s="1">
        <v>6381291743</v>
      </c>
      <c r="T969" s="1" t="s">
        <v>92</v>
      </c>
      <c r="U969" s="1" t="s">
        <v>17823</v>
      </c>
      <c r="V969" s="1">
        <v>9489013015</v>
      </c>
      <c r="W969" s="1" t="s">
        <v>278</v>
      </c>
      <c r="X969" s="1" t="s">
        <v>17824</v>
      </c>
      <c r="Y969" s="1" t="s">
        <v>1864</v>
      </c>
      <c r="Z969" s="1" t="s">
        <v>570</v>
      </c>
      <c r="AA969" s="1" t="s">
        <v>17824</v>
      </c>
      <c r="AB969" s="1" t="s">
        <v>1864</v>
      </c>
      <c r="AC969" s="1" t="s">
        <v>570</v>
      </c>
      <c r="AD969" s="1" t="s">
        <v>98</v>
      </c>
      <c r="AE969" s="1" t="s">
        <v>98</v>
      </c>
      <c r="AF969" s="1" t="s">
        <v>17825</v>
      </c>
      <c r="AG969" s="1" t="s">
        <v>17826</v>
      </c>
      <c r="AH969" s="1" t="s">
        <v>313</v>
      </c>
      <c r="AI969" s="1" t="s">
        <v>178</v>
      </c>
      <c r="AJ969" s="1">
        <v>78.8</v>
      </c>
      <c r="AK969" s="1"/>
      <c r="AL969" s="1" t="s">
        <v>17825</v>
      </c>
      <c r="AM969" s="1" t="s">
        <v>17826</v>
      </c>
      <c r="AN969" s="1" t="s">
        <v>575</v>
      </c>
      <c r="AO969" s="1" t="s">
        <v>845</v>
      </c>
      <c r="AP969" s="1" t="s">
        <v>1400</v>
      </c>
      <c r="AQ969" s="1">
        <v>73</v>
      </c>
      <c r="AR969" s="1"/>
      <c r="AS969" s="1"/>
      <c r="AT969" s="1"/>
      <c r="AU969" s="1"/>
      <c r="AV969" s="1"/>
      <c r="AW969" s="1"/>
      <c r="AX969" s="1"/>
      <c r="AY969" s="1" t="s">
        <v>17827</v>
      </c>
      <c r="AZ969" s="1" t="s">
        <v>17828</v>
      </c>
      <c r="BA969" s="1" t="s">
        <v>578</v>
      </c>
      <c r="BB969" s="1" t="s">
        <v>467</v>
      </c>
      <c r="BC969" s="1" t="s">
        <v>110</v>
      </c>
      <c r="BD969" s="1" t="s">
        <v>14162</v>
      </c>
      <c r="BE969" s="1">
        <v>66</v>
      </c>
      <c r="BF969" s="1">
        <v>6.6</v>
      </c>
      <c r="BG969" s="1"/>
      <c r="BH969" s="1"/>
      <c r="BI969" s="1"/>
      <c r="BJ969" s="1"/>
      <c r="BK969" s="1"/>
      <c r="BL969" s="1"/>
      <c r="BM969" s="1"/>
      <c r="BN969" s="1"/>
      <c r="BO969" s="1" t="s">
        <v>17829</v>
      </c>
      <c r="BP969" s="1"/>
      <c r="BQ969" s="1"/>
      <c r="BR969" s="1" t="s">
        <v>17830</v>
      </c>
      <c r="BS969" s="1">
        <v>1</v>
      </c>
      <c r="BT969" s="1"/>
      <c r="BU969" s="1" t="str">
        <f>HYPERLINK("https://nconnect.nicmar.ac.in/storage/profile/6a85ee6a5a3dd.png","Download")</f>
        <v>0</v>
      </c>
      <c r="BV969" s="3"/>
      <c r="BW969" s="3"/>
    </row>
    <row r="970" spans="1:75">
      <c r="A970" s="1" t="s">
        <v>75</v>
      </c>
      <c r="B970" s="1" t="s">
        <v>13976</v>
      </c>
      <c r="C970" s="1" t="s">
        <v>17831</v>
      </c>
      <c r="D970" s="1" t="s">
        <v>17832</v>
      </c>
      <c r="E970" s="1" t="s">
        <v>17833</v>
      </c>
      <c r="F970" s="1" t="s">
        <v>17834</v>
      </c>
      <c r="G970" s="1" t="s">
        <v>17835</v>
      </c>
      <c r="H970" s="1" t="s">
        <v>17836</v>
      </c>
      <c r="I970" s="1" t="s">
        <v>17837</v>
      </c>
      <c r="J970" s="1">
        <v>9356716645</v>
      </c>
      <c r="K970" s="1" t="s">
        <v>84</v>
      </c>
      <c r="L970" s="1" t="s">
        <v>17838</v>
      </c>
      <c r="M970" s="1" t="s">
        <v>86</v>
      </c>
      <c r="N970" s="1" t="s">
        <v>6390</v>
      </c>
      <c r="O970" s="1" t="s">
        <v>17839</v>
      </c>
      <c r="P970" s="1" t="s">
        <v>89</v>
      </c>
      <c r="Q970" s="1">
        <v>540067145104</v>
      </c>
      <c r="R970" s="1" t="s">
        <v>17840</v>
      </c>
      <c r="S970" s="1">
        <v>9423072747</v>
      </c>
      <c r="T970" s="1" t="s">
        <v>17841</v>
      </c>
      <c r="U970" s="1" t="s">
        <v>17842</v>
      </c>
      <c r="V970" s="1">
        <v>8605273674</v>
      </c>
      <c r="W970" s="1" t="s">
        <v>3441</v>
      </c>
      <c r="X970" s="1" t="s">
        <v>17843</v>
      </c>
      <c r="Y970" s="1" t="s">
        <v>196</v>
      </c>
      <c r="Z970" s="1" t="s">
        <v>97</v>
      </c>
      <c r="AA970" s="1" t="s">
        <v>17843</v>
      </c>
      <c r="AB970" s="1" t="s">
        <v>196</v>
      </c>
      <c r="AC970" s="1" t="s">
        <v>97</v>
      </c>
      <c r="AD970" s="1" t="s">
        <v>98</v>
      </c>
      <c r="AE970" s="1" t="s">
        <v>98</v>
      </c>
      <c r="AF970" s="1" t="s">
        <v>17844</v>
      </c>
      <c r="AG970" s="1" t="s">
        <v>17845</v>
      </c>
      <c r="AH970" s="1" t="s">
        <v>200</v>
      </c>
      <c r="AI970" s="1" t="s">
        <v>286</v>
      </c>
      <c r="AJ970" s="1">
        <v>69.4</v>
      </c>
      <c r="AK970" s="1"/>
      <c r="AL970" s="1" t="s">
        <v>17845</v>
      </c>
      <c r="AM970" s="1" t="s">
        <v>17845</v>
      </c>
      <c r="AN970" s="1" t="s">
        <v>465</v>
      </c>
      <c r="AO970" s="1" t="s">
        <v>203</v>
      </c>
      <c r="AP970" s="1" t="s">
        <v>365</v>
      </c>
      <c r="AQ970" s="1">
        <v>63.23</v>
      </c>
      <c r="AR970" s="1"/>
      <c r="AS970" s="1"/>
      <c r="AT970" s="1"/>
      <c r="AU970" s="1"/>
      <c r="AV970" s="1"/>
      <c r="AW970" s="1"/>
      <c r="AX970" s="1"/>
      <c r="AY970" s="1" t="s">
        <v>14160</v>
      </c>
      <c r="AZ970" s="1" t="s">
        <v>17846</v>
      </c>
      <c r="BA970" s="1" t="s">
        <v>466</v>
      </c>
      <c r="BB970" s="1" t="s">
        <v>467</v>
      </c>
      <c r="BC970" s="1" t="s">
        <v>391</v>
      </c>
      <c r="BD970" s="1" t="s">
        <v>1089</v>
      </c>
      <c r="BE970" s="1">
        <v>81.8</v>
      </c>
      <c r="BF970" s="1">
        <v>8.93</v>
      </c>
      <c r="BG970" s="1"/>
      <c r="BH970" s="1"/>
      <c r="BI970" s="1"/>
      <c r="BJ970" s="1"/>
      <c r="BK970" s="1"/>
      <c r="BL970" s="1"/>
      <c r="BM970" s="1"/>
      <c r="BN970" s="1"/>
      <c r="BO970" s="1" t="s">
        <v>17847</v>
      </c>
      <c r="BP970" s="1" t="s">
        <v>17848</v>
      </c>
      <c r="BQ970" s="1" t="s">
        <v>1357</v>
      </c>
      <c r="BR970" s="1" t="s">
        <v>17849</v>
      </c>
      <c r="BS970" s="1">
        <v>22</v>
      </c>
      <c r="BT970" s="1"/>
      <c r="BU970" s="1" t="str">
        <f>HYPERLINK("https://nconnect.nicmar.ac.in/storage/profile/6a8675db4bfc1.png","Download")</f>
        <v>0</v>
      </c>
      <c r="BV970" s="3"/>
      <c r="BW970" s="3"/>
    </row>
    <row r="971" spans="1:75">
      <c r="A971" s="1" t="s">
        <v>75</v>
      </c>
      <c r="B971" s="1" t="s">
        <v>13976</v>
      </c>
      <c r="C971" s="1" t="s">
        <v>17850</v>
      </c>
      <c r="D971" s="1" t="s">
        <v>17851</v>
      </c>
      <c r="E971" s="1" t="s">
        <v>17852</v>
      </c>
      <c r="F971" s="1" t="s">
        <v>17853</v>
      </c>
      <c r="G971" s="1" t="s">
        <v>17854</v>
      </c>
      <c r="H971" s="1" t="s">
        <v>17855</v>
      </c>
      <c r="I971" s="1" t="s">
        <v>17855</v>
      </c>
      <c r="J971" s="1">
        <v>9970721620</v>
      </c>
      <c r="K971" s="1" t="s">
        <v>84</v>
      </c>
      <c r="L971" s="1" t="s">
        <v>17856</v>
      </c>
      <c r="M971" s="1" t="s">
        <v>86</v>
      </c>
      <c r="N971" s="1" t="s">
        <v>17857</v>
      </c>
      <c r="O971" s="1" t="s">
        <v>17858</v>
      </c>
      <c r="P971" s="1" t="s">
        <v>122</v>
      </c>
      <c r="Q971" s="1">
        <v>496022245684</v>
      </c>
      <c r="R971" s="1" t="s">
        <v>17859</v>
      </c>
      <c r="S971" s="1">
        <v>8421878011</v>
      </c>
      <c r="T971" s="1" t="s">
        <v>17120</v>
      </c>
      <c r="U971" s="1" t="s">
        <v>17860</v>
      </c>
      <c r="V971" s="1">
        <v>8421046527</v>
      </c>
      <c r="W971" s="1" t="s">
        <v>14154</v>
      </c>
      <c r="X971" s="1" t="s">
        <v>17861</v>
      </c>
      <c r="Y971" s="1" t="s">
        <v>163</v>
      </c>
      <c r="Z971" s="1" t="s">
        <v>97</v>
      </c>
      <c r="AA971" s="1" t="s">
        <v>17861</v>
      </c>
      <c r="AB971" s="1" t="s">
        <v>163</v>
      </c>
      <c r="AC971" s="1" t="s">
        <v>97</v>
      </c>
      <c r="AD971" s="1" t="s">
        <v>98</v>
      </c>
      <c r="AE971" s="1" t="s">
        <v>98</v>
      </c>
      <c r="AF971" s="1" t="s">
        <v>17862</v>
      </c>
      <c r="AG971" s="1" t="s">
        <v>17863</v>
      </c>
      <c r="AH971" s="1" t="s">
        <v>438</v>
      </c>
      <c r="AI971" s="1" t="s">
        <v>603</v>
      </c>
      <c r="AJ971" s="1">
        <v>71.6</v>
      </c>
      <c r="AK971" s="1"/>
      <c r="AL971" s="1"/>
      <c r="AM971" s="1"/>
      <c r="AN971" s="1"/>
      <c r="AO971" s="1"/>
      <c r="AP971" s="1"/>
      <c r="AQ971" s="1"/>
      <c r="AR971" s="1"/>
      <c r="AS971" s="1" t="s">
        <v>14377</v>
      </c>
      <c r="AT971" s="1" t="s">
        <v>17864</v>
      </c>
      <c r="AU971" s="1" t="s">
        <v>368</v>
      </c>
      <c r="AV971" s="1" t="s">
        <v>234</v>
      </c>
      <c r="AW971" s="1">
        <v>85.32</v>
      </c>
      <c r="AX971" s="1"/>
      <c r="AY971" s="1" t="s">
        <v>17865</v>
      </c>
      <c r="AZ971" s="1" t="s">
        <v>17866</v>
      </c>
      <c r="BA971" s="1" t="s">
        <v>466</v>
      </c>
      <c r="BB971" s="1" t="s">
        <v>467</v>
      </c>
      <c r="BC971" s="1" t="s">
        <v>391</v>
      </c>
      <c r="BD971" s="1" t="s">
        <v>9688</v>
      </c>
      <c r="BE971" s="1">
        <v>88.8</v>
      </c>
      <c r="BF971" s="1">
        <v>9.67</v>
      </c>
      <c r="BG971" s="1"/>
      <c r="BH971" s="1"/>
      <c r="BI971" s="1"/>
      <c r="BJ971" s="1"/>
      <c r="BK971" s="1"/>
      <c r="BL971" s="1"/>
      <c r="BM971" s="1"/>
      <c r="BN971" s="1"/>
      <c r="BO971" s="1" t="s">
        <v>17867</v>
      </c>
      <c r="BP971" s="1"/>
      <c r="BQ971" s="1"/>
      <c r="BR971" s="1" t="s">
        <v>17868</v>
      </c>
      <c r="BS971" s="1">
        <v>19</v>
      </c>
      <c r="BT971" s="1" t="s">
        <v>17869</v>
      </c>
      <c r="BU971" s="1" t="str">
        <f>HYPERLINK("https://nconnect.nicmar.ac.in/storage/profile/6a85f49006c96.png","Download")</f>
        <v>0</v>
      </c>
      <c r="BV971" s="3"/>
      <c r="BW971" s="3"/>
    </row>
    <row r="972" spans="1:75">
      <c r="A972" s="1" t="s">
        <v>75</v>
      </c>
      <c r="B972" s="1" t="s">
        <v>13976</v>
      </c>
      <c r="C972" s="1" t="s">
        <v>17870</v>
      </c>
      <c r="D972" s="1" t="s">
        <v>17871</v>
      </c>
      <c r="E972" s="1"/>
      <c r="F972" s="1" t="s">
        <v>17872</v>
      </c>
      <c r="G972" s="1" t="s">
        <v>17873</v>
      </c>
      <c r="H972" s="1" t="s">
        <v>17874</v>
      </c>
      <c r="I972" s="1" t="s">
        <v>17874</v>
      </c>
      <c r="J972" s="1">
        <v>9740365382</v>
      </c>
      <c r="K972" s="1" t="s">
        <v>84</v>
      </c>
      <c r="L972" s="1" t="s">
        <v>17875</v>
      </c>
      <c r="M972" s="1" t="s">
        <v>86</v>
      </c>
      <c r="N972" s="1" t="s">
        <v>17876</v>
      </c>
      <c r="O972" s="1" t="s">
        <v>17877</v>
      </c>
      <c r="P972" s="1" t="s">
        <v>122</v>
      </c>
      <c r="Q972" s="1">
        <v>565663782996</v>
      </c>
      <c r="R972" s="1" t="s">
        <v>17878</v>
      </c>
      <c r="S972" s="1">
        <v>9448448963</v>
      </c>
      <c r="T972" s="1" t="s">
        <v>14116</v>
      </c>
      <c r="U972" s="1" t="s">
        <v>17879</v>
      </c>
      <c r="V972" s="1">
        <v>8892828586</v>
      </c>
      <c r="W972" s="1" t="s">
        <v>14212</v>
      </c>
      <c r="X972" s="1" t="s">
        <v>17880</v>
      </c>
      <c r="Y972" s="1" t="s">
        <v>3132</v>
      </c>
      <c r="Z972" s="1" t="s">
        <v>1210</v>
      </c>
      <c r="AA972" s="1" t="s">
        <v>17880</v>
      </c>
      <c r="AB972" s="1" t="s">
        <v>3132</v>
      </c>
      <c r="AC972" s="1" t="s">
        <v>1210</v>
      </c>
      <c r="AD972" s="1" t="s">
        <v>98</v>
      </c>
      <c r="AE972" s="1" t="s">
        <v>98</v>
      </c>
      <c r="AF972" s="1" t="s">
        <v>17881</v>
      </c>
      <c r="AG972" s="1" t="s">
        <v>17882</v>
      </c>
      <c r="AH972" s="1" t="s">
        <v>2321</v>
      </c>
      <c r="AI972" s="1" t="s">
        <v>171</v>
      </c>
      <c r="AJ972" s="1">
        <v>70</v>
      </c>
      <c r="AK972" s="1"/>
      <c r="AL972" s="1" t="s">
        <v>17883</v>
      </c>
      <c r="AM972" s="1" t="s">
        <v>17884</v>
      </c>
      <c r="AN972" s="1" t="s">
        <v>575</v>
      </c>
      <c r="AO972" s="1" t="s">
        <v>106</v>
      </c>
      <c r="AP972" s="1" t="s">
        <v>603</v>
      </c>
      <c r="AQ972" s="1">
        <v>62.8</v>
      </c>
      <c r="AR972" s="1"/>
      <c r="AS972" s="1"/>
      <c r="AT972" s="1"/>
      <c r="AU972" s="1"/>
      <c r="AV972" s="1"/>
      <c r="AW972" s="1"/>
      <c r="AX972" s="1"/>
      <c r="AY972" s="1" t="s">
        <v>15972</v>
      </c>
      <c r="AZ972" s="1" t="s">
        <v>17885</v>
      </c>
      <c r="BA972" s="1" t="s">
        <v>578</v>
      </c>
      <c r="BB972" s="1" t="s">
        <v>467</v>
      </c>
      <c r="BC972" s="1" t="s">
        <v>233</v>
      </c>
      <c r="BD972" s="1" t="s">
        <v>2383</v>
      </c>
      <c r="BE972" s="1">
        <v>61.4</v>
      </c>
      <c r="BF972" s="1">
        <v>6.89</v>
      </c>
      <c r="BG972" s="1"/>
      <c r="BH972" s="1"/>
      <c r="BI972" s="1"/>
      <c r="BJ972" s="1"/>
      <c r="BK972" s="1"/>
      <c r="BL972" s="1"/>
      <c r="BM972" s="1"/>
      <c r="BN972" s="1"/>
      <c r="BO972" s="1" t="s">
        <v>17886</v>
      </c>
      <c r="BP972" s="1"/>
      <c r="BQ972" s="1"/>
      <c r="BR972" s="1"/>
      <c r="BS972" s="1"/>
      <c r="BT972" s="1"/>
      <c r="BU972" s="1" t="str">
        <f>HYPERLINK("https://nconnect.nicmar.ac.in/storage/profile/6a8801a0253d7.png","Download")</f>
        <v>0</v>
      </c>
      <c r="BV972" s="3"/>
      <c r="BW972" s="3"/>
    </row>
    <row r="973" spans="1:75">
      <c r="A973" s="1" t="s">
        <v>75</v>
      </c>
      <c r="B973" s="1" t="s">
        <v>13976</v>
      </c>
      <c r="C973" s="1" t="s">
        <v>17887</v>
      </c>
      <c r="D973" s="1" t="s">
        <v>17888</v>
      </c>
      <c r="E973" s="1" t="s">
        <v>17889</v>
      </c>
      <c r="F973" s="1" t="s">
        <v>17890</v>
      </c>
      <c r="G973" s="1" t="s">
        <v>17891</v>
      </c>
      <c r="H973" s="1" t="s">
        <v>17892</v>
      </c>
      <c r="I973" s="1" t="s">
        <v>17892</v>
      </c>
      <c r="J973" s="1">
        <v>9322113409</v>
      </c>
      <c r="K973" s="1" t="s">
        <v>153</v>
      </c>
      <c r="L973" s="1" t="s">
        <v>17893</v>
      </c>
      <c r="M973" s="1" t="s">
        <v>86</v>
      </c>
      <c r="N973" s="1" t="s">
        <v>8520</v>
      </c>
      <c r="O973" s="1" t="s">
        <v>17894</v>
      </c>
      <c r="P973" s="1" t="s">
        <v>122</v>
      </c>
      <c r="Q973" s="1">
        <v>917193304807</v>
      </c>
      <c r="R973" s="1" t="s">
        <v>17895</v>
      </c>
      <c r="S973" s="1">
        <v>9850540531</v>
      </c>
      <c r="T973" s="1" t="s">
        <v>16658</v>
      </c>
      <c r="U973" s="1" t="s">
        <v>17896</v>
      </c>
      <c r="V973" s="1">
        <v>9325087936</v>
      </c>
      <c r="W973" s="1" t="s">
        <v>14154</v>
      </c>
      <c r="X973" s="1" t="s">
        <v>17897</v>
      </c>
      <c r="Y973" s="1" t="s">
        <v>96</v>
      </c>
      <c r="Z973" s="1" t="s">
        <v>97</v>
      </c>
      <c r="AA973" s="1" t="s">
        <v>17897</v>
      </c>
      <c r="AB973" s="1" t="s">
        <v>96</v>
      </c>
      <c r="AC973" s="1" t="s">
        <v>97</v>
      </c>
      <c r="AD973" s="1" t="s">
        <v>98</v>
      </c>
      <c r="AE973" s="1" t="s">
        <v>98</v>
      </c>
      <c r="AF973" s="1" t="s">
        <v>17898</v>
      </c>
      <c r="AG973" s="1" t="s">
        <v>17899</v>
      </c>
      <c r="AH973" s="1" t="s">
        <v>2726</v>
      </c>
      <c r="AI973" s="1" t="s">
        <v>178</v>
      </c>
      <c r="AJ973" s="1">
        <v>84.88</v>
      </c>
      <c r="AK973" s="1"/>
      <c r="AL973" s="1" t="s">
        <v>17900</v>
      </c>
      <c r="AM973" s="1" t="s">
        <v>14157</v>
      </c>
      <c r="AN973" s="1" t="s">
        <v>465</v>
      </c>
      <c r="AO973" s="1" t="s">
        <v>1647</v>
      </c>
      <c r="AP973" s="1" t="s">
        <v>1886</v>
      </c>
      <c r="AQ973" s="1">
        <v>86.83</v>
      </c>
      <c r="AR973" s="1"/>
      <c r="AS973" s="1"/>
      <c r="AT973" s="1"/>
      <c r="AU973" s="1"/>
      <c r="AV973" s="1"/>
      <c r="AW973" s="1"/>
      <c r="AX973" s="1"/>
      <c r="AY973" s="1" t="s">
        <v>17901</v>
      </c>
      <c r="AZ973" s="1" t="s">
        <v>17902</v>
      </c>
      <c r="BA973" s="1" t="s">
        <v>466</v>
      </c>
      <c r="BB973" s="1" t="s">
        <v>467</v>
      </c>
      <c r="BC973" s="1" t="s">
        <v>1889</v>
      </c>
      <c r="BD973" s="1" t="s">
        <v>9688</v>
      </c>
      <c r="BE973" s="1">
        <v>68.97</v>
      </c>
      <c r="BF973" s="1"/>
      <c r="BG973" s="1"/>
      <c r="BH973" s="1"/>
      <c r="BI973" s="1"/>
      <c r="BJ973" s="1"/>
      <c r="BK973" s="1"/>
      <c r="BL973" s="1"/>
      <c r="BM973" s="1"/>
      <c r="BN973" s="1"/>
      <c r="BO973" s="1" t="s">
        <v>17903</v>
      </c>
      <c r="BP973" s="1"/>
      <c r="BQ973" s="1"/>
      <c r="BR973" s="1"/>
      <c r="BS973" s="1"/>
      <c r="BT973" s="1"/>
      <c r="BU973" s="1" t="str">
        <f>HYPERLINK("https://nconnect.nicmar.ac.in/storage/profile/6a869f51564c3.png","Download")</f>
        <v>0</v>
      </c>
      <c r="BV973" s="3"/>
      <c r="BW973" s="3"/>
    </row>
    <row r="974" spans="1:75">
      <c r="A974" s="1" t="s">
        <v>75</v>
      </c>
      <c r="B974" s="1" t="s">
        <v>13976</v>
      </c>
      <c r="C974" s="1" t="s">
        <v>17904</v>
      </c>
      <c r="D974" s="1" t="s">
        <v>17905</v>
      </c>
      <c r="E974" s="1"/>
      <c r="F974" s="1" t="s">
        <v>17906</v>
      </c>
      <c r="G974" s="1" t="s">
        <v>17907</v>
      </c>
      <c r="H974" s="1" t="s">
        <v>17908</v>
      </c>
      <c r="I974" s="1" t="s">
        <v>17908</v>
      </c>
      <c r="J974" s="1">
        <v>8617288981</v>
      </c>
      <c r="K974" s="1" t="s">
        <v>84</v>
      </c>
      <c r="L974" s="1" t="s">
        <v>17909</v>
      </c>
      <c r="M974" s="1" t="s">
        <v>86</v>
      </c>
      <c r="N974" s="1" t="s">
        <v>17910</v>
      </c>
      <c r="O974" s="1" t="s">
        <v>17911</v>
      </c>
      <c r="P974" s="1" t="s">
        <v>89</v>
      </c>
      <c r="Q974" s="1">
        <v>751841768030</v>
      </c>
      <c r="R974" s="1" t="s">
        <v>17912</v>
      </c>
      <c r="S974" s="1">
        <v>9475746601</v>
      </c>
      <c r="T974" s="1" t="s">
        <v>4693</v>
      </c>
      <c r="U974" s="1" t="s">
        <v>17913</v>
      </c>
      <c r="V974" s="1">
        <v>9475050767</v>
      </c>
      <c r="W974" s="1" t="s">
        <v>307</v>
      </c>
      <c r="X974" s="1" t="s">
        <v>17914</v>
      </c>
      <c r="Y974" s="1" t="s">
        <v>10874</v>
      </c>
      <c r="Z974" s="1" t="s">
        <v>1234</v>
      </c>
      <c r="AA974" s="1" t="s">
        <v>17914</v>
      </c>
      <c r="AB974" s="1" t="s">
        <v>10874</v>
      </c>
      <c r="AC974" s="1" t="s">
        <v>1234</v>
      </c>
      <c r="AD974" s="1" t="s">
        <v>98</v>
      </c>
      <c r="AE974" s="1" t="s">
        <v>98</v>
      </c>
      <c r="AF974" s="1" t="s">
        <v>17915</v>
      </c>
      <c r="AG974" s="1" t="s">
        <v>17916</v>
      </c>
      <c r="AH974" s="1" t="s">
        <v>17917</v>
      </c>
      <c r="AI974" s="1" t="s">
        <v>1262</v>
      </c>
      <c r="AJ974" s="1">
        <v>62.14</v>
      </c>
      <c r="AK974" s="1"/>
      <c r="AL974" s="1" t="s">
        <v>17918</v>
      </c>
      <c r="AM974" s="1" t="s">
        <v>17919</v>
      </c>
      <c r="AN974" s="1" t="s">
        <v>2635</v>
      </c>
      <c r="AO974" s="1" t="s">
        <v>257</v>
      </c>
      <c r="AP974" s="1" t="s">
        <v>627</v>
      </c>
      <c r="AQ974" s="1">
        <v>62</v>
      </c>
      <c r="AR974" s="1">
        <v>6.95</v>
      </c>
      <c r="AS974" s="1" t="s">
        <v>17920</v>
      </c>
      <c r="AT974" s="1" t="s">
        <v>17921</v>
      </c>
      <c r="AU974" s="1" t="s">
        <v>4940</v>
      </c>
      <c r="AV974" s="1" t="s">
        <v>438</v>
      </c>
      <c r="AW974" s="1">
        <v>71.8</v>
      </c>
      <c r="AX974" s="1">
        <v>7.4</v>
      </c>
      <c r="AY974" s="1" t="s">
        <v>17922</v>
      </c>
      <c r="AZ974" s="1" t="s">
        <v>17923</v>
      </c>
      <c r="BA974" s="1" t="s">
        <v>466</v>
      </c>
      <c r="BB974" s="1" t="s">
        <v>467</v>
      </c>
      <c r="BC974" s="1" t="s">
        <v>206</v>
      </c>
      <c r="BD974" s="1" t="s">
        <v>289</v>
      </c>
      <c r="BE974" s="1">
        <v>62</v>
      </c>
      <c r="BF974" s="1">
        <v>6.95</v>
      </c>
      <c r="BG974" s="1"/>
      <c r="BH974" s="1"/>
      <c r="BI974" s="1"/>
      <c r="BJ974" s="1"/>
      <c r="BK974" s="1"/>
      <c r="BL974" s="1"/>
      <c r="BM974" s="1"/>
      <c r="BN974" s="1"/>
      <c r="BO974" s="1" t="s">
        <v>17924</v>
      </c>
      <c r="BP974" s="1"/>
      <c r="BQ974" s="1"/>
      <c r="BR974" s="1" t="s">
        <v>17925</v>
      </c>
      <c r="BS974" s="1">
        <v>4</v>
      </c>
      <c r="BT974" s="1"/>
      <c r="BU974" s="1" t="str">
        <f>HYPERLINK("https://nconnect.nicmar.ac.in/storage/profile/6a81fcd407b8d.png","Download")</f>
        <v>0</v>
      </c>
      <c r="BV974" s="3"/>
      <c r="BW974" s="3"/>
    </row>
    <row r="975" spans="1:75">
      <c r="A975" s="1" t="s">
        <v>75</v>
      </c>
      <c r="B975" s="1" t="s">
        <v>13976</v>
      </c>
      <c r="C975" s="1" t="s">
        <v>17926</v>
      </c>
      <c r="D975" s="1" t="s">
        <v>17927</v>
      </c>
      <c r="E975" s="1" t="s">
        <v>17928</v>
      </c>
      <c r="F975" s="1" t="s">
        <v>17929</v>
      </c>
      <c r="G975" s="1" t="s">
        <v>17930</v>
      </c>
      <c r="H975" s="1" t="s">
        <v>17931</v>
      </c>
      <c r="I975" s="1" t="s">
        <v>17932</v>
      </c>
      <c r="J975" s="1">
        <v>9405387240</v>
      </c>
      <c r="K975" s="1" t="s">
        <v>84</v>
      </c>
      <c r="L975" s="1" t="s">
        <v>17933</v>
      </c>
      <c r="M975" s="1" t="s">
        <v>86</v>
      </c>
      <c r="N975" s="1" t="s">
        <v>17934</v>
      </c>
      <c r="O975" s="1" t="s">
        <v>17935</v>
      </c>
      <c r="P975" s="1" t="s">
        <v>89</v>
      </c>
      <c r="Q975" s="1">
        <v>581652451783</v>
      </c>
      <c r="R975" s="1" t="s">
        <v>1669</v>
      </c>
      <c r="S975" s="1">
        <v>9372611699</v>
      </c>
      <c r="T975" s="1" t="s">
        <v>17936</v>
      </c>
      <c r="U975" s="1" t="s">
        <v>6471</v>
      </c>
      <c r="V975" s="1">
        <v>8830726079</v>
      </c>
      <c r="W975" s="1" t="s">
        <v>17937</v>
      </c>
      <c r="X975" s="1" t="s">
        <v>17938</v>
      </c>
      <c r="Y975" s="1" t="s">
        <v>5083</v>
      </c>
      <c r="Z975" s="1" t="s">
        <v>97</v>
      </c>
      <c r="AA975" s="1" t="s">
        <v>17939</v>
      </c>
      <c r="AB975" s="1" t="s">
        <v>196</v>
      </c>
      <c r="AC975" s="1" t="s">
        <v>97</v>
      </c>
      <c r="AD975" s="1" t="s">
        <v>98</v>
      </c>
      <c r="AE975" s="1" t="s">
        <v>98</v>
      </c>
      <c r="AF975" s="1" t="s">
        <v>17940</v>
      </c>
      <c r="AG975" s="1" t="s">
        <v>312</v>
      </c>
      <c r="AH975" s="1" t="s">
        <v>801</v>
      </c>
      <c r="AI975" s="1" t="s">
        <v>2726</v>
      </c>
      <c r="AJ975" s="1">
        <v>76</v>
      </c>
      <c r="AK975" s="1">
        <v>8</v>
      </c>
      <c r="AL975" s="1"/>
      <c r="AM975" s="1"/>
      <c r="AN975" s="1"/>
      <c r="AO975" s="1"/>
      <c r="AP975" s="1"/>
      <c r="AQ975" s="1"/>
      <c r="AR975" s="1"/>
      <c r="AS975" s="1" t="s">
        <v>17941</v>
      </c>
      <c r="AT975" s="1" t="s">
        <v>17942</v>
      </c>
      <c r="AU975" s="1" t="s">
        <v>254</v>
      </c>
      <c r="AV975" s="1" t="s">
        <v>166</v>
      </c>
      <c r="AW975" s="1">
        <v>77.33</v>
      </c>
      <c r="AX975" s="1"/>
      <c r="AY975" s="1" t="s">
        <v>340</v>
      </c>
      <c r="AZ975" s="1" t="s">
        <v>17943</v>
      </c>
      <c r="BA975" s="1" t="s">
        <v>578</v>
      </c>
      <c r="BB975" s="1" t="s">
        <v>467</v>
      </c>
      <c r="BC975" s="1" t="s">
        <v>105</v>
      </c>
      <c r="BD975" s="1" t="s">
        <v>174</v>
      </c>
      <c r="BE975" s="1">
        <v>79.5</v>
      </c>
      <c r="BF975" s="1">
        <v>8.39</v>
      </c>
      <c r="BG975" s="1"/>
      <c r="BH975" s="1"/>
      <c r="BI975" s="1"/>
      <c r="BJ975" s="1"/>
      <c r="BK975" s="1"/>
      <c r="BL975" s="1"/>
      <c r="BM975" s="1"/>
      <c r="BN975" s="1"/>
      <c r="BO975" s="1" t="s">
        <v>17944</v>
      </c>
      <c r="BP975" s="1" t="s">
        <v>17945</v>
      </c>
      <c r="BQ975" s="1" t="s">
        <v>1849</v>
      </c>
      <c r="BR975" s="1"/>
      <c r="BS975" s="1"/>
      <c r="BT975" s="1"/>
      <c r="BU975" s="1" t="str">
        <f>HYPERLINK("https://nconnect.nicmar.ac.in/storage/profile/6a8717807ec96.png","Download")</f>
        <v>0</v>
      </c>
      <c r="BV975" s="3"/>
      <c r="BW975" s="3"/>
    </row>
    <row r="976" spans="1:75">
      <c r="A976" s="1" t="s">
        <v>75</v>
      </c>
      <c r="B976" s="1" t="s">
        <v>13976</v>
      </c>
      <c r="C976" s="1" t="s">
        <v>17946</v>
      </c>
      <c r="D976" s="1" t="s">
        <v>17277</v>
      </c>
      <c r="E976" s="1"/>
      <c r="F976" s="1" t="s">
        <v>16365</v>
      </c>
      <c r="G976" s="1" t="s">
        <v>17947</v>
      </c>
      <c r="H976" s="1" t="s">
        <v>17948</v>
      </c>
      <c r="I976" s="1" t="s">
        <v>17948</v>
      </c>
      <c r="J976" s="1">
        <v>8848191739</v>
      </c>
      <c r="K976" s="1" t="s">
        <v>84</v>
      </c>
      <c r="L976" s="1" t="s">
        <v>17949</v>
      </c>
      <c r="M976" s="1" t="s">
        <v>86</v>
      </c>
      <c r="N976" s="1" t="s">
        <v>17950</v>
      </c>
      <c r="O976" s="1" t="s">
        <v>17951</v>
      </c>
      <c r="P976" s="1" t="s">
        <v>219</v>
      </c>
      <c r="Q976" s="1">
        <v>418296612069</v>
      </c>
      <c r="R976" s="1" t="s">
        <v>17952</v>
      </c>
      <c r="S976" s="1">
        <v>9447379459</v>
      </c>
      <c r="T976" s="1" t="s">
        <v>3439</v>
      </c>
      <c r="U976" s="1" t="s">
        <v>17953</v>
      </c>
      <c r="V976" s="1">
        <v>9495256452</v>
      </c>
      <c r="W976" s="1" t="s">
        <v>14234</v>
      </c>
      <c r="X976" s="1" t="s">
        <v>17954</v>
      </c>
      <c r="Y976" s="1" t="s">
        <v>701</v>
      </c>
      <c r="Z976" s="1" t="s">
        <v>130</v>
      </c>
      <c r="AA976" s="1" t="s">
        <v>17954</v>
      </c>
      <c r="AB976" s="1" t="s">
        <v>701</v>
      </c>
      <c r="AC976" s="1" t="s">
        <v>130</v>
      </c>
      <c r="AD976" s="1" t="s">
        <v>98</v>
      </c>
      <c r="AE976" s="1" t="s">
        <v>98</v>
      </c>
      <c r="AF976" s="1" t="s">
        <v>17955</v>
      </c>
      <c r="AG976" s="1" t="s">
        <v>9682</v>
      </c>
      <c r="AH976" s="1" t="s">
        <v>1262</v>
      </c>
      <c r="AI976" s="1" t="s">
        <v>136</v>
      </c>
      <c r="AJ976" s="1">
        <v>93.1</v>
      </c>
      <c r="AK976" s="1">
        <v>9.8</v>
      </c>
      <c r="AL976" s="1" t="s">
        <v>17955</v>
      </c>
      <c r="AM976" s="1" t="s">
        <v>9682</v>
      </c>
      <c r="AN976" s="1" t="s">
        <v>575</v>
      </c>
      <c r="AO976" s="1" t="s">
        <v>627</v>
      </c>
      <c r="AP976" s="1" t="s">
        <v>573</v>
      </c>
      <c r="AQ976" s="1">
        <v>73</v>
      </c>
      <c r="AR976" s="1"/>
      <c r="AS976" s="1"/>
      <c r="AT976" s="1"/>
      <c r="AU976" s="1"/>
      <c r="AV976" s="1"/>
      <c r="AW976" s="1"/>
      <c r="AX976" s="1"/>
      <c r="AY976" s="1" t="s">
        <v>15573</v>
      </c>
      <c r="AZ976" s="1" t="s">
        <v>17956</v>
      </c>
      <c r="BA976" s="1" t="s">
        <v>466</v>
      </c>
      <c r="BB976" s="1" t="s">
        <v>467</v>
      </c>
      <c r="BC976" s="1" t="s">
        <v>106</v>
      </c>
      <c r="BD976" s="1" t="s">
        <v>289</v>
      </c>
      <c r="BE976" s="1">
        <v>71.4</v>
      </c>
      <c r="BF976" s="1">
        <v>7.14</v>
      </c>
      <c r="BG976" s="1"/>
      <c r="BH976" s="1"/>
      <c r="BI976" s="1"/>
      <c r="BJ976" s="1"/>
      <c r="BK976" s="1"/>
      <c r="BL976" s="1"/>
      <c r="BM976" s="1"/>
      <c r="BN976" s="1"/>
      <c r="BO976" s="1" t="s">
        <v>17957</v>
      </c>
      <c r="BP976" s="1" t="s">
        <v>17958</v>
      </c>
      <c r="BQ976" s="1" t="s">
        <v>7108</v>
      </c>
      <c r="BR976" s="1"/>
      <c r="BS976" s="1"/>
      <c r="BT976" s="1"/>
      <c r="BU976" s="1" t="str">
        <f>HYPERLINK("https://nconnect.nicmar.ac.in/storage/profile/6a86ad197866c.png","Download")</f>
        <v>0</v>
      </c>
      <c r="BV976" s="3"/>
      <c r="BW976" s="3"/>
    </row>
    <row r="977" spans="1:75">
      <c r="A977" s="1" t="s">
        <v>75</v>
      </c>
      <c r="B977" s="1" t="s">
        <v>13976</v>
      </c>
      <c r="C977" s="1" t="s">
        <v>17959</v>
      </c>
      <c r="D977" s="1" t="s">
        <v>17960</v>
      </c>
      <c r="E977" s="1" t="s">
        <v>17961</v>
      </c>
      <c r="F977" s="1" t="s">
        <v>17962</v>
      </c>
      <c r="G977" s="1" t="s">
        <v>17963</v>
      </c>
      <c r="H977" s="1" t="s">
        <v>17964</v>
      </c>
      <c r="I977" s="1" t="s">
        <v>17964</v>
      </c>
      <c r="J977" s="1">
        <v>7276693122</v>
      </c>
      <c r="K977" s="1" t="s">
        <v>84</v>
      </c>
      <c r="L977" s="1" t="s">
        <v>17965</v>
      </c>
      <c r="M977" s="1" t="s">
        <v>86</v>
      </c>
      <c r="N977" s="1" t="s">
        <v>17966</v>
      </c>
      <c r="O977" s="1" t="s">
        <v>17967</v>
      </c>
      <c r="P977" s="1" t="s">
        <v>89</v>
      </c>
      <c r="Q977" s="1">
        <v>222080112451</v>
      </c>
      <c r="R977" s="1" t="s">
        <v>17968</v>
      </c>
      <c r="S977" s="1">
        <v>9423402480</v>
      </c>
      <c r="T977" s="1" t="s">
        <v>16677</v>
      </c>
      <c r="U977" s="1" t="s">
        <v>17969</v>
      </c>
      <c r="V977" s="1">
        <v>9767760801</v>
      </c>
      <c r="W977" s="1" t="s">
        <v>15148</v>
      </c>
      <c r="X977" s="1" t="s">
        <v>17970</v>
      </c>
      <c r="Y977" s="1" t="s">
        <v>410</v>
      </c>
      <c r="Z977" s="1" t="s">
        <v>97</v>
      </c>
      <c r="AA977" s="1" t="s">
        <v>17971</v>
      </c>
      <c r="AB977" s="1" t="s">
        <v>196</v>
      </c>
      <c r="AC977" s="1" t="s">
        <v>97</v>
      </c>
      <c r="AD977" s="1" t="s">
        <v>98</v>
      </c>
      <c r="AE977" s="1" t="s">
        <v>98</v>
      </c>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t="s">
        <v>17972</v>
      </c>
      <c r="BQ977" s="1" t="s">
        <v>736</v>
      </c>
      <c r="BR977" s="1"/>
      <c r="BS977" s="1"/>
      <c r="BT977" s="1"/>
      <c r="BU977" s="1" t="str">
        <f>HYPERLINK("https://nconnect.nicmar.ac.in/storage/profile/6a8740581a578.png","Download")</f>
        <v>0</v>
      </c>
      <c r="BV977" s="3"/>
      <c r="BW977" s="3"/>
    </row>
    <row r="978" spans="1:75">
      <c r="A978" s="1" t="s">
        <v>75</v>
      </c>
      <c r="B978" s="1" t="s">
        <v>13976</v>
      </c>
      <c r="C978" s="1" t="s">
        <v>17973</v>
      </c>
      <c r="D978" s="1" t="s">
        <v>17974</v>
      </c>
      <c r="E978" s="1"/>
      <c r="F978" s="1" t="s">
        <v>17975</v>
      </c>
      <c r="G978" s="1" t="s">
        <v>17976</v>
      </c>
      <c r="H978" s="1" t="s">
        <v>17977</v>
      </c>
      <c r="I978" s="1" t="s">
        <v>17977</v>
      </c>
      <c r="J978" s="1">
        <v>6002806503</v>
      </c>
      <c r="K978" s="1" t="s">
        <v>153</v>
      </c>
      <c r="L978" s="1" t="s">
        <v>402</v>
      </c>
      <c r="M978" s="1" t="s">
        <v>86</v>
      </c>
      <c r="N978" s="1" t="s">
        <v>17978</v>
      </c>
      <c r="O978" s="1" t="s">
        <v>17979</v>
      </c>
      <c r="P978" s="1" t="s">
        <v>219</v>
      </c>
      <c r="Q978" s="1">
        <v>285395346590</v>
      </c>
      <c r="R978" s="1" t="s">
        <v>17980</v>
      </c>
      <c r="S978" s="1">
        <v>9101472337</v>
      </c>
      <c r="T978" s="1" t="s">
        <v>17981</v>
      </c>
      <c r="U978" s="1" t="s">
        <v>17982</v>
      </c>
      <c r="V978" s="1">
        <v>7002833858</v>
      </c>
      <c r="W978" s="1" t="s">
        <v>17981</v>
      </c>
      <c r="X978" s="1" t="s">
        <v>17983</v>
      </c>
      <c r="Y978" s="1" t="s">
        <v>1555</v>
      </c>
      <c r="Z978" s="1" t="s">
        <v>1556</v>
      </c>
      <c r="AA978" s="1" t="s">
        <v>17984</v>
      </c>
      <c r="AB978" s="1" t="s">
        <v>1555</v>
      </c>
      <c r="AC978" s="1" t="s">
        <v>1556</v>
      </c>
      <c r="AD978" s="1" t="s">
        <v>98</v>
      </c>
      <c r="AE978" s="1" t="s">
        <v>98</v>
      </c>
      <c r="AF978" s="1" t="s">
        <v>17985</v>
      </c>
      <c r="AG978" s="1" t="s">
        <v>17986</v>
      </c>
      <c r="AH978" s="1" t="s">
        <v>704</v>
      </c>
      <c r="AI978" s="1" t="s">
        <v>286</v>
      </c>
      <c r="AJ978" s="1">
        <v>82.8</v>
      </c>
      <c r="AK978" s="1"/>
      <c r="AL978" s="1" t="s">
        <v>17987</v>
      </c>
      <c r="AM978" s="1" t="s">
        <v>17988</v>
      </c>
      <c r="AN978" s="1" t="s">
        <v>575</v>
      </c>
      <c r="AO978" s="1" t="s">
        <v>977</v>
      </c>
      <c r="AP978" s="1" t="s">
        <v>847</v>
      </c>
      <c r="AQ978" s="1">
        <v>83.2</v>
      </c>
      <c r="AR978" s="1"/>
      <c r="AS978" s="1"/>
      <c r="AT978" s="1"/>
      <c r="AU978" s="1"/>
      <c r="AV978" s="1"/>
      <c r="AW978" s="1"/>
      <c r="AX978" s="1"/>
      <c r="AY978" s="1" t="s">
        <v>17989</v>
      </c>
      <c r="AZ978" s="1" t="s">
        <v>17990</v>
      </c>
      <c r="BA978" s="1" t="s">
        <v>466</v>
      </c>
      <c r="BB978" s="1" t="s">
        <v>467</v>
      </c>
      <c r="BC978" s="1" t="s">
        <v>847</v>
      </c>
      <c r="BD978" s="1" t="s">
        <v>553</v>
      </c>
      <c r="BE978" s="1">
        <v>80.2</v>
      </c>
      <c r="BF978" s="1">
        <v>8.02</v>
      </c>
      <c r="BG978" s="1"/>
      <c r="BH978" s="1"/>
      <c r="BI978" s="1"/>
      <c r="BJ978" s="1"/>
      <c r="BK978" s="1"/>
      <c r="BL978" s="1"/>
      <c r="BM978" s="1"/>
      <c r="BN978" s="1"/>
      <c r="BO978" s="1" t="s">
        <v>17991</v>
      </c>
      <c r="BP978" s="1" t="s">
        <v>17992</v>
      </c>
      <c r="BQ978" s="1" t="s">
        <v>1070</v>
      </c>
      <c r="BR978" s="1" t="s">
        <v>17993</v>
      </c>
      <c r="BS978" s="1">
        <v>37</v>
      </c>
      <c r="BT978" s="1" t="s">
        <v>17994</v>
      </c>
      <c r="BU978" s="1" t="str">
        <f>HYPERLINK("https://nconnect.nicmar.ac.in/storage/profile/6a87155045146.png","Download")</f>
        <v>0</v>
      </c>
      <c r="BV978" s="3"/>
      <c r="BW978" s="3"/>
    </row>
    <row r="979" spans="1:75">
      <c r="A979" s="1" t="s">
        <v>75</v>
      </c>
      <c r="B979" s="1" t="s">
        <v>13976</v>
      </c>
      <c r="C979" s="1" t="s">
        <v>17995</v>
      </c>
      <c r="D979" s="1" t="s">
        <v>17996</v>
      </c>
      <c r="E979" s="1"/>
      <c r="F979" s="1" t="s">
        <v>3998</v>
      </c>
      <c r="G979" s="1" t="s">
        <v>17997</v>
      </c>
      <c r="H979" s="1" t="s">
        <v>17998</v>
      </c>
      <c r="I979" s="1" t="s">
        <v>17998</v>
      </c>
      <c r="J979" s="1">
        <v>7012172305</v>
      </c>
      <c r="K979" s="1" t="s">
        <v>153</v>
      </c>
      <c r="L979" s="1" t="s">
        <v>17999</v>
      </c>
      <c r="M979" s="1" t="s">
        <v>86</v>
      </c>
      <c r="N979" s="1" t="s">
        <v>1639</v>
      </c>
      <c r="O979" s="1" t="s">
        <v>4179</v>
      </c>
      <c r="P979" s="1" t="s">
        <v>219</v>
      </c>
      <c r="Q979" s="1">
        <v>542083130677</v>
      </c>
      <c r="R979" s="1" t="s">
        <v>18000</v>
      </c>
      <c r="S979" s="1">
        <v>9446324119</v>
      </c>
      <c r="T979" s="1" t="s">
        <v>2177</v>
      </c>
      <c r="U979" s="1" t="s">
        <v>18001</v>
      </c>
      <c r="V979" s="1">
        <v>9446541119</v>
      </c>
      <c r="W979" s="1" t="s">
        <v>2177</v>
      </c>
      <c r="X979" s="1" t="s">
        <v>18002</v>
      </c>
      <c r="Y979" s="1" t="s">
        <v>3555</v>
      </c>
      <c r="Z979" s="1" t="s">
        <v>130</v>
      </c>
      <c r="AA979" s="1" t="s">
        <v>18003</v>
      </c>
      <c r="AB979" s="1" t="s">
        <v>196</v>
      </c>
      <c r="AC979" s="1" t="s">
        <v>97</v>
      </c>
      <c r="AD979" s="1" t="s">
        <v>98</v>
      </c>
      <c r="AE979" s="1" t="s">
        <v>98</v>
      </c>
      <c r="AF979" s="1" t="s">
        <v>18004</v>
      </c>
      <c r="AG979" s="1" t="s">
        <v>18005</v>
      </c>
      <c r="AH979" s="1" t="s">
        <v>414</v>
      </c>
      <c r="AI979" s="1" t="s">
        <v>603</v>
      </c>
      <c r="AJ979" s="1">
        <v>96.83</v>
      </c>
      <c r="AK979" s="1"/>
      <c r="AL979" s="1" t="s">
        <v>18004</v>
      </c>
      <c r="AM979" s="1" t="s">
        <v>18005</v>
      </c>
      <c r="AN979" s="1" t="s">
        <v>465</v>
      </c>
      <c r="AO979" s="1" t="s">
        <v>1192</v>
      </c>
      <c r="AP979" s="1" t="s">
        <v>289</v>
      </c>
      <c r="AQ979" s="1">
        <v>94.8</v>
      </c>
      <c r="AR979" s="1"/>
      <c r="AS979" s="1"/>
      <c r="AT979" s="1"/>
      <c r="AU979" s="1"/>
      <c r="AV979" s="1"/>
      <c r="AW979" s="1"/>
      <c r="AX979" s="1"/>
      <c r="AY979" s="1" t="s">
        <v>18006</v>
      </c>
      <c r="AZ979" s="1" t="s">
        <v>18007</v>
      </c>
      <c r="BA979" s="1" t="s">
        <v>466</v>
      </c>
      <c r="BB979" s="1" t="s">
        <v>467</v>
      </c>
      <c r="BC979" s="1" t="s">
        <v>1825</v>
      </c>
      <c r="BD979" s="1" t="s">
        <v>14101</v>
      </c>
      <c r="BE979" s="1">
        <v>84.3</v>
      </c>
      <c r="BF979" s="1">
        <v>8.43</v>
      </c>
      <c r="BG979" s="1"/>
      <c r="BH979" s="1"/>
      <c r="BI979" s="1"/>
      <c r="BJ979" s="1"/>
      <c r="BK979" s="1"/>
      <c r="BL979" s="1"/>
      <c r="BM979" s="1"/>
      <c r="BN979" s="1"/>
      <c r="BO979" s="1" t="s">
        <v>18008</v>
      </c>
      <c r="BP979" s="1"/>
      <c r="BQ979" s="1"/>
      <c r="BR979" s="1" t="s">
        <v>18009</v>
      </c>
      <c r="BS979" s="1">
        <v>5</v>
      </c>
      <c r="BT979" s="1" t="s">
        <v>18010</v>
      </c>
      <c r="BU979" s="1" t="str">
        <f>HYPERLINK("https://nconnect.nicmar.ac.in/storage/profile/6a86e56992510.png","Download")</f>
        <v>0</v>
      </c>
      <c r="BV979" s="3"/>
      <c r="BW979" s="3"/>
    </row>
    <row r="980" spans="1:75">
      <c r="A980" s="1" t="s">
        <v>75</v>
      </c>
      <c r="B980" s="1" t="s">
        <v>13976</v>
      </c>
      <c r="C980" s="1" t="s">
        <v>18011</v>
      </c>
      <c r="D980" s="1" t="s">
        <v>18012</v>
      </c>
      <c r="E980" s="1"/>
      <c r="F980" s="1" t="s">
        <v>116</v>
      </c>
      <c r="G980" s="1" t="s">
        <v>18013</v>
      </c>
      <c r="H980" s="1" t="s">
        <v>18014</v>
      </c>
      <c r="I980" s="1" t="s">
        <v>18014</v>
      </c>
      <c r="J980" s="1">
        <v>7904545981</v>
      </c>
      <c r="K980" s="1" t="s">
        <v>84</v>
      </c>
      <c r="L980" s="1" t="s">
        <v>10547</v>
      </c>
      <c r="M980" s="1" t="s">
        <v>86</v>
      </c>
      <c r="N980" s="1" t="s">
        <v>18015</v>
      </c>
      <c r="O980" s="1" t="s">
        <v>18016</v>
      </c>
      <c r="P980" s="1" t="s">
        <v>219</v>
      </c>
      <c r="Q980" s="1">
        <v>800969352452</v>
      </c>
      <c r="R980" s="1" t="s">
        <v>18017</v>
      </c>
      <c r="S980" s="1">
        <v>9443377887</v>
      </c>
      <c r="T980" s="1" t="s">
        <v>3439</v>
      </c>
      <c r="U980" s="1" t="s">
        <v>18018</v>
      </c>
      <c r="V980" s="1">
        <v>9443798637</v>
      </c>
      <c r="W980" s="1" t="s">
        <v>18019</v>
      </c>
      <c r="X980" s="1" t="s">
        <v>18020</v>
      </c>
      <c r="Y980" s="1" t="s">
        <v>822</v>
      </c>
      <c r="Z980" s="1" t="s">
        <v>570</v>
      </c>
      <c r="AA980" s="1" t="s">
        <v>18020</v>
      </c>
      <c r="AB980" s="1" t="s">
        <v>822</v>
      </c>
      <c r="AC980" s="1" t="s">
        <v>570</v>
      </c>
      <c r="AD980" s="1" t="s">
        <v>98</v>
      </c>
      <c r="AE980" s="1" t="s">
        <v>98</v>
      </c>
      <c r="AF980" s="1" t="s">
        <v>18021</v>
      </c>
      <c r="AG980" s="1" t="s">
        <v>18022</v>
      </c>
      <c r="AH980" s="1" t="s">
        <v>438</v>
      </c>
      <c r="AI980" s="1" t="s">
        <v>977</v>
      </c>
      <c r="AJ980" s="1">
        <v>74</v>
      </c>
      <c r="AK980" s="1">
        <v>7.4</v>
      </c>
      <c r="AL980" s="1" t="s">
        <v>18021</v>
      </c>
      <c r="AM980" s="1" t="s">
        <v>18022</v>
      </c>
      <c r="AN980" s="1" t="s">
        <v>465</v>
      </c>
      <c r="AO980" s="1" t="s">
        <v>549</v>
      </c>
      <c r="AP980" s="1" t="s">
        <v>289</v>
      </c>
      <c r="AQ980" s="1">
        <v>73</v>
      </c>
      <c r="AR980" s="1">
        <v>7.28</v>
      </c>
      <c r="AS980" s="1"/>
      <c r="AT980" s="1"/>
      <c r="AU980" s="1"/>
      <c r="AV980" s="1"/>
      <c r="AW980" s="1"/>
      <c r="AX980" s="1"/>
      <c r="AY980" s="1" t="s">
        <v>18023</v>
      </c>
      <c r="AZ980" s="1" t="s">
        <v>14357</v>
      </c>
      <c r="BA980" s="1" t="s">
        <v>578</v>
      </c>
      <c r="BB980" s="1" t="s">
        <v>467</v>
      </c>
      <c r="BC980" s="1" t="s">
        <v>1825</v>
      </c>
      <c r="BD980" s="1" t="s">
        <v>14101</v>
      </c>
      <c r="BE980" s="1">
        <v>75</v>
      </c>
      <c r="BF980" s="1">
        <v>7.55</v>
      </c>
      <c r="BG980" s="1"/>
      <c r="BH980" s="1"/>
      <c r="BI980" s="1"/>
      <c r="BJ980" s="1"/>
      <c r="BK980" s="1"/>
      <c r="BL980" s="1"/>
      <c r="BM980" s="1"/>
      <c r="BN980" s="1"/>
      <c r="BO980" s="1" t="s">
        <v>18024</v>
      </c>
      <c r="BP980" s="1"/>
      <c r="BQ980" s="1"/>
      <c r="BR980" s="1" t="s">
        <v>18025</v>
      </c>
      <c r="BS980" s="1">
        <v>8</v>
      </c>
      <c r="BT980" s="1" t="s">
        <v>18026</v>
      </c>
      <c r="BU980" s="1" t="str">
        <f>HYPERLINK("https://nconnect.nicmar.ac.in/storage/profile/6a867c835da40.png","Download")</f>
        <v>0</v>
      </c>
      <c r="BV980" s="3"/>
      <c r="BW980" s="3"/>
    </row>
    <row r="981" spans="1:75">
      <c r="A981" s="1" t="s">
        <v>75</v>
      </c>
      <c r="B981" s="1" t="s">
        <v>13976</v>
      </c>
      <c r="C981" s="1" t="s">
        <v>18027</v>
      </c>
      <c r="D981" s="1" t="s">
        <v>18028</v>
      </c>
      <c r="E981" s="1"/>
      <c r="F981" s="1" t="s">
        <v>1853</v>
      </c>
      <c r="G981" s="1" t="s">
        <v>18029</v>
      </c>
      <c r="H981" s="1" t="s">
        <v>18030</v>
      </c>
      <c r="I981" s="1" t="s">
        <v>18030</v>
      </c>
      <c r="J981" s="1">
        <v>6238717526</v>
      </c>
      <c r="K981" s="1" t="s">
        <v>84</v>
      </c>
      <c r="L981" s="1" t="s">
        <v>18031</v>
      </c>
      <c r="M981" s="1" t="s">
        <v>86</v>
      </c>
      <c r="N981" s="1" t="s">
        <v>7058</v>
      </c>
      <c r="O981" s="1" t="s">
        <v>18032</v>
      </c>
      <c r="P981" s="1" t="s">
        <v>219</v>
      </c>
      <c r="Q981" s="1">
        <v>935678685241</v>
      </c>
      <c r="R981" s="1" t="s">
        <v>18033</v>
      </c>
      <c r="S981" s="1">
        <v>9446707372</v>
      </c>
      <c r="T981" s="1" t="s">
        <v>18034</v>
      </c>
      <c r="U981" s="1" t="s">
        <v>18035</v>
      </c>
      <c r="V981" s="1">
        <v>9446566844</v>
      </c>
      <c r="W981" s="1" t="s">
        <v>18036</v>
      </c>
      <c r="X981" s="1" t="s">
        <v>18037</v>
      </c>
      <c r="Y981" s="1" t="s">
        <v>5313</v>
      </c>
      <c r="Z981" s="1" t="s">
        <v>130</v>
      </c>
      <c r="AA981" s="1" t="s">
        <v>18037</v>
      </c>
      <c r="AB981" s="1" t="s">
        <v>5313</v>
      </c>
      <c r="AC981" s="1" t="s">
        <v>130</v>
      </c>
      <c r="AD981" s="1" t="s">
        <v>98</v>
      </c>
      <c r="AE981" s="1" t="s">
        <v>98</v>
      </c>
      <c r="AF981" s="1" t="s">
        <v>18038</v>
      </c>
      <c r="AG981" s="1" t="s">
        <v>312</v>
      </c>
      <c r="AH981" s="1" t="s">
        <v>106</v>
      </c>
      <c r="AI981" s="1" t="s">
        <v>313</v>
      </c>
      <c r="AJ981" s="1">
        <v>90.6</v>
      </c>
      <c r="AK981" s="1"/>
      <c r="AL981" s="1" t="s">
        <v>18038</v>
      </c>
      <c r="AM981" s="1" t="s">
        <v>312</v>
      </c>
      <c r="AN981" s="1" t="s">
        <v>575</v>
      </c>
      <c r="AO981" s="1" t="s">
        <v>468</v>
      </c>
      <c r="AP981" s="1" t="s">
        <v>549</v>
      </c>
      <c r="AQ981" s="1">
        <v>82.2</v>
      </c>
      <c r="AR981" s="1"/>
      <c r="AS981" s="1"/>
      <c r="AT981" s="1"/>
      <c r="AU981" s="1"/>
      <c r="AV981" s="1"/>
      <c r="AW981" s="1"/>
      <c r="AX981" s="1"/>
      <c r="AY981" s="1" t="s">
        <v>4109</v>
      </c>
      <c r="AZ981" s="1" t="s">
        <v>18039</v>
      </c>
      <c r="BA981" s="1" t="s">
        <v>466</v>
      </c>
      <c r="BB981" s="1" t="s">
        <v>467</v>
      </c>
      <c r="BC981" s="1" t="s">
        <v>549</v>
      </c>
      <c r="BD981" s="1" t="s">
        <v>553</v>
      </c>
      <c r="BE981" s="1">
        <v>65.9</v>
      </c>
      <c r="BF981" s="1"/>
      <c r="BG981" s="1"/>
      <c r="BH981" s="1"/>
      <c r="BI981" s="1"/>
      <c r="BJ981" s="1"/>
      <c r="BK981" s="1"/>
      <c r="BL981" s="1"/>
      <c r="BM981" s="1"/>
      <c r="BN981" s="1"/>
      <c r="BO981" s="1" t="s">
        <v>18040</v>
      </c>
      <c r="BP981" s="1"/>
      <c r="BQ981" s="1"/>
      <c r="BR981" s="1" t="s">
        <v>18041</v>
      </c>
      <c r="BS981" s="1">
        <v>3</v>
      </c>
      <c r="BT981" s="1" t="s">
        <v>18042</v>
      </c>
      <c r="BU981" s="1" t="str">
        <f>HYPERLINK("https://nconnect.nicmar.ac.in/storage/profile/6a86ea7bbf976.png","Download")</f>
        <v>0</v>
      </c>
      <c r="BV981" s="3"/>
      <c r="BW981" s="3"/>
    </row>
    <row r="982" spans="1:75">
      <c r="A982" s="1" t="s">
        <v>75</v>
      </c>
      <c r="B982" s="1" t="s">
        <v>13976</v>
      </c>
      <c r="C982" s="1" t="s">
        <v>18043</v>
      </c>
      <c r="D982" s="1" t="s">
        <v>18044</v>
      </c>
      <c r="E982" s="1"/>
      <c r="F982" s="1" t="s">
        <v>18045</v>
      </c>
      <c r="G982" s="1" t="s">
        <v>18046</v>
      </c>
      <c r="H982" s="1" t="s">
        <v>18047</v>
      </c>
      <c r="I982" s="1" t="s">
        <v>18047</v>
      </c>
      <c r="J982" s="1">
        <v>7993379066</v>
      </c>
      <c r="K982" s="1" t="s">
        <v>84</v>
      </c>
      <c r="L982" s="1" t="s">
        <v>1006</v>
      </c>
      <c r="M982" s="1" t="s">
        <v>86</v>
      </c>
      <c r="N982" s="1" t="s">
        <v>18048</v>
      </c>
      <c r="O982" s="1" t="s">
        <v>18049</v>
      </c>
      <c r="P982" s="1" t="s">
        <v>219</v>
      </c>
      <c r="Q982" s="1">
        <v>518527154404</v>
      </c>
      <c r="R982" s="1" t="s">
        <v>18050</v>
      </c>
      <c r="S982" s="1">
        <v>7675951103</v>
      </c>
      <c r="T982" s="1" t="s">
        <v>18051</v>
      </c>
      <c r="U982" s="1" t="s">
        <v>18052</v>
      </c>
      <c r="V982" s="1">
        <v>9490250144</v>
      </c>
      <c r="W982" s="1" t="s">
        <v>14212</v>
      </c>
      <c r="X982" s="1" t="s">
        <v>18053</v>
      </c>
      <c r="Y982" s="1" t="s">
        <v>3522</v>
      </c>
      <c r="Z982" s="1" t="s">
        <v>281</v>
      </c>
      <c r="AA982" s="1" t="s">
        <v>18053</v>
      </c>
      <c r="AB982" s="1" t="s">
        <v>3522</v>
      </c>
      <c r="AC982" s="1" t="s">
        <v>281</v>
      </c>
      <c r="AD982" s="1" t="s">
        <v>98</v>
      </c>
      <c r="AE982" s="1" t="s">
        <v>98</v>
      </c>
      <c r="AF982" s="1" t="s">
        <v>18054</v>
      </c>
      <c r="AG982" s="1" t="s">
        <v>18055</v>
      </c>
      <c r="AH982" s="1" t="s">
        <v>170</v>
      </c>
      <c r="AI982" s="1" t="s">
        <v>490</v>
      </c>
      <c r="AJ982" s="1">
        <v>63.6</v>
      </c>
      <c r="AK982" s="1"/>
      <c r="AL982" s="1" t="s">
        <v>18056</v>
      </c>
      <c r="AM982" s="1" t="s">
        <v>18057</v>
      </c>
      <c r="AN982" s="1" t="s">
        <v>465</v>
      </c>
      <c r="AO982" s="1" t="s">
        <v>106</v>
      </c>
      <c r="AP982" s="1" t="s">
        <v>603</v>
      </c>
      <c r="AQ982" s="1">
        <v>86.3</v>
      </c>
      <c r="AR982" s="1"/>
      <c r="AS982" s="1"/>
      <c r="AT982" s="1"/>
      <c r="AU982" s="1"/>
      <c r="AV982" s="1"/>
      <c r="AW982" s="1"/>
      <c r="AX982" s="1"/>
      <c r="AY982" s="1" t="s">
        <v>18058</v>
      </c>
      <c r="AZ982" s="1" t="s">
        <v>18059</v>
      </c>
      <c r="BA982" s="1" t="s">
        <v>466</v>
      </c>
      <c r="BB982" s="1" t="s">
        <v>467</v>
      </c>
      <c r="BC982" s="1" t="s">
        <v>1647</v>
      </c>
      <c r="BD982" s="1" t="s">
        <v>418</v>
      </c>
      <c r="BE982" s="1">
        <v>65.5</v>
      </c>
      <c r="BF982" s="1"/>
      <c r="BG982" s="1"/>
      <c r="BH982" s="1"/>
      <c r="BI982" s="1"/>
      <c r="BJ982" s="1"/>
      <c r="BK982" s="1"/>
      <c r="BL982" s="1"/>
      <c r="BM982" s="1"/>
      <c r="BN982" s="1"/>
      <c r="BO982" s="1" t="s">
        <v>18060</v>
      </c>
      <c r="BP982" s="1" t="s">
        <v>18061</v>
      </c>
      <c r="BQ982" s="1" t="s">
        <v>1564</v>
      </c>
      <c r="BR982" s="1" t="s">
        <v>18062</v>
      </c>
      <c r="BS982" s="1">
        <v>1</v>
      </c>
      <c r="BT982" s="1" t="s">
        <v>18063</v>
      </c>
      <c r="BU982" s="1" t="str">
        <f>HYPERLINK("https://nconnect.nicmar.ac.in/storage/profile/6a87012c5d057.png","Download")</f>
        <v>0</v>
      </c>
      <c r="BV982" s="3"/>
      <c r="BW982" s="3"/>
    </row>
    <row r="983" spans="1:75">
      <c r="A983" s="1" t="s">
        <v>75</v>
      </c>
      <c r="B983" s="1" t="s">
        <v>13976</v>
      </c>
      <c r="C983" s="1" t="s">
        <v>18064</v>
      </c>
      <c r="D983" s="1" t="s">
        <v>18065</v>
      </c>
      <c r="E983" s="1"/>
      <c r="F983" s="1" t="s">
        <v>18066</v>
      </c>
      <c r="G983" s="1" t="s">
        <v>18067</v>
      </c>
      <c r="H983" s="1" t="s">
        <v>18068</v>
      </c>
      <c r="I983" s="1" t="s">
        <v>18068</v>
      </c>
      <c r="J983" s="1">
        <v>9818774128</v>
      </c>
      <c r="K983" s="1" t="s">
        <v>84</v>
      </c>
      <c r="L983" s="1" t="s">
        <v>5689</v>
      </c>
      <c r="M983" s="1" t="s">
        <v>86</v>
      </c>
      <c r="N983" s="1" t="s">
        <v>4278</v>
      </c>
      <c r="O983" s="1" t="s">
        <v>18069</v>
      </c>
      <c r="P983" s="1" t="s">
        <v>89</v>
      </c>
      <c r="Q983" s="1">
        <v>843967006716</v>
      </c>
      <c r="R983" s="1" t="s">
        <v>18070</v>
      </c>
      <c r="S983" s="1">
        <v>7310191019</v>
      </c>
      <c r="T983" s="1" t="s">
        <v>17767</v>
      </c>
      <c r="U983" s="1" t="s">
        <v>18071</v>
      </c>
      <c r="V983" s="1">
        <v>9818774508</v>
      </c>
      <c r="W983" s="1" t="s">
        <v>18072</v>
      </c>
      <c r="X983" s="1" t="s">
        <v>18073</v>
      </c>
      <c r="Y983" s="1" t="s">
        <v>3767</v>
      </c>
      <c r="Z983" s="1" t="s">
        <v>544</v>
      </c>
      <c r="AA983" s="1" t="s">
        <v>18074</v>
      </c>
      <c r="AB983" s="1" t="s">
        <v>3767</v>
      </c>
      <c r="AC983" s="1" t="s">
        <v>544</v>
      </c>
      <c r="AD983" s="1" t="s">
        <v>98</v>
      </c>
      <c r="AE983" s="1" t="s">
        <v>98</v>
      </c>
      <c r="AF983" s="1" t="s">
        <v>18075</v>
      </c>
      <c r="AG983" s="1" t="s">
        <v>18076</v>
      </c>
      <c r="AH983" s="1" t="s">
        <v>490</v>
      </c>
      <c r="AI983" s="1" t="s">
        <v>313</v>
      </c>
      <c r="AJ983" s="1">
        <v>83</v>
      </c>
      <c r="AK983" s="1">
        <v>8.73</v>
      </c>
      <c r="AL983" s="1" t="s">
        <v>18075</v>
      </c>
      <c r="AM983" s="1" t="s">
        <v>18076</v>
      </c>
      <c r="AN983" s="1" t="s">
        <v>465</v>
      </c>
      <c r="AO983" s="1" t="s">
        <v>977</v>
      </c>
      <c r="AP983" s="1" t="s">
        <v>549</v>
      </c>
      <c r="AQ983" s="1">
        <v>81.6</v>
      </c>
      <c r="AR983" s="1">
        <v>8.58</v>
      </c>
      <c r="AS983" s="1"/>
      <c r="AT983" s="1"/>
      <c r="AU983" s="1"/>
      <c r="AV983" s="1"/>
      <c r="AW983" s="1"/>
      <c r="AX983" s="1"/>
      <c r="AY983" s="1" t="s">
        <v>18077</v>
      </c>
      <c r="AZ983" s="1" t="s">
        <v>18078</v>
      </c>
      <c r="BA983" s="1" t="s">
        <v>466</v>
      </c>
      <c r="BB983" s="1" t="s">
        <v>467</v>
      </c>
      <c r="BC983" s="1" t="s">
        <v>1825</v>
      </c>
      <c r="BD983" s="1" t="s">
        <v>14514</v>
      </c>
      <c r="BE983" s="1">
        <v>84.4</v>
      </c>
      <c r="BF983" s="1">
        <v>8.44</v>
      </c>
      <c r="BG983" s="1"/>
      <c r="BH983" s="1"/>
      <c r="BI983" s="1"/>
      <c r="BJ983" s="1"/>
      <c r="BK983" s="1"/>
      <c r="BL983" s="1"/>
      <c r="BM983" s="1"/>
      <c r="BN983" s="1"/>
      <c r="BO983" s="1" t="s">
        <v>18079</v>
      </c>
      <c r="BP983" s="1"/>
      <c r="BQ983" s="1"/>
      <c r="BR983" s="1" t="s">
        <v>18080</v>
      </c>
      <c r="BS983" s="1">
        <v>8</v>
      </c>
      <c r="BT983" s="1"/>
      <c r="BU983" s="1" t="str">
        <f>HYPERLINK("https://nconnect.nicmar.ac.in/storage/profile/6a85f0971ea53.png","Download")</f>
        <v>0</v>
      </c>
      <c r="BV983" s="3"/>
      <c r="BW983" s="3"/>
    </row>
    <row r="984" spans="1:75">
      <c r="A984" s="1" t="s">
        <v>75</v>
      </c>
      <c r="B984" s="1" t="s">
        <v>13976</v>
      </c>
      <c r="C984" s="1" t="s">
        <v>18081</v>
      </c>
      <c r="D984" s="1" t="s">
        <v>18082</v>
      </c>
      <c r="E984" s="1" t="s">
        <v>18083</v>
      </c>
      <c r="F984" s="1" t="s">
        <v>7814</v>
      </c>
      <c r="G984" s="1" t="s">
        <v>18084</v>
      </c>
      <c r="H984" s="1" t="s">
        <v>18085</v>
      </c>
      <c r="I984" s="1" t="s">
        <v>18086</v>
      </c>
      <c r="J984" s="1">
        <v>9106623250</v>
      </c>
      <c r="K984" s="1" t="s">
        <v>84</v>
      </c>
      <c r="L984" s="1" t="s">
        <v>18087</v>
      </c>
      <c r="M984" s="1" t="s">
        <v>86</v>
      </c>
      <c r="N984" s="1" t="s">
        <v>18088</v>
      </c>
      <c r="O984" s="1" t="s">
        <v>18089</v>
      </c>
      <c r="P984" s="1" t="s">
        <v>122</v>
      </c>
      <c r="Q984" s="1">
        <v>914350641783</v>
      </c>
      <c r="R984" s="1" t="s">
        <v>18090</v>
      </c>
      <c r="S984" s="1">
        <v>9426582209</v>
      </c>
      <c r="T984" s="1" t="s">
        <v>14316</v>
      </c>
      <c r="U984" s="1" t="s">
        <v>18091</v>
      </c>
      <c r="V984" s="1">
        <v>9727075429</v>
      </c>
      <c r="W984" s="1" t="s">
        <v>14154</v>
      </c>
      <c r="X984" s="1" t="s">
        <v>18092</v>
      </c>
      <c r="Y984" s="1" t="s">
        <v>2880</v>
      </c>
      <c r="Z984" s="1" t="s">
        <v>676</v>
      </c>
      <c r="AA984" s="1" t="s">
        <v>18092</v>
      </c>
      <c r="AB984" s="1" t="s">
        <v>2880</v>
      </c>
      <c r="AC984" s="1" t="s">
        <v>676</v>
      </c>
      <c r="AD984" s="1" t="s">
        <v>98</v>
      </c>
      <c r="AE984" s="1" t="s">
        <v>98</v>
      </c>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t="str">
        <f>HYPERLINK("https://nconnect.nicmar.ac.in/storage/profile/6a872a558f51f.png","Download")</f>
        <v>0</v>
      </c>
      <c r="BV984" s="3"/>
      <c r="BW984" s="3"/>
    </row>
    <row r="985" spans="1:75">
      <c r="A985" s="1" t="s">
        <v>75</v>
      </c>
      <c r="B985" s="1" t="s">
        <v>13976</v>
      </c>
      <c r="C985" s="1" t="s">
        <v>18093</v>
      </c>
      <c r="D985" s="1" t="s">
        <v>18094</v>
      </c>
      <c r="E985" s="1"/>
      <c r="F985" s="1" t="s">
        <v>1320</v>
      </c>
      <c r="G985" s="1" t="s">
        <v>18095</v>
      </c>
      <c r="H985" s="1" t="s">
        <v>18096</v>
      </c>
      <c r="I985" s="1" t="s">
        <v>18096</v>
      </c>
      <c r="J985" s="1">
        <v>7259722613</v>
      </c>
      <c r="K985" s="1" t="s">
        <v>84</v>
      </c>
      <c r="L985" s="1" t="s">
        <v>17250</v>
      </c>
      <c r="M985" s="1" t="s">
        <v>86</v>
      </c>
      <c r="N985" s="1" t="s">
        <v>18097</v>
      </c>
      <c r="O985" s="1" t="s">
        <v>18098</v>
      </c>
      <c r="P985" s="1" t="s">
        <v>219</v>
      </c>
      <c r="Q985" s="1">
        <v>458476464538</v>
      </c>
      <c r="R985" s="1" t="s">
        <v>18099</v>
      </c>
      <c r="S985" s="1">
        <v>9535905347</v>
      </c>
      <c r="T985" s="1" t="s">
        <v>18100</v>
      </c>
      <c r="U985" s="1" t="s">
        <v>18101</v>
      </c>
      <c r="V985" s="1">
        <v>9538885347</v>
      </c>
      <c r="W985" s="1" t="s">
        <v>14234</v>
      </c>
      <c r="X985" s="1" t="s">
        <v>18102</v>
      </c>
      <c r="Y985" s="1" t="s">
        <v>3132</v>
      </c>
      <c r="Z985" s="1" t="s">
        <v>1210</v>
      </c>
      <c r="AA985" s="1" t="s">
        <v>18102</v>
      </c>
      <c r="AB985" s="1" t="s">
        <v>3132</v>
      </c>
      <c r="AC985" s="1" t="s">
        <v>1210</v>
      </c>
      <c r="AD985" s="1" t="s">
        <v>98</v>
      </c>
      <c r="AE985" s="1" t="s">
        <v>98</v>
      </c>
      <c r="AF985" s="1" t="s">
        <v>18103</v>
      </c>
      <c r="AG985" s="1" t="s">
        <v>18104</v>
      </c>
      <c r="AH985" s="1" t="s">
        <v>167</v>
      </c>
      <c r="AI985" s="1" t="s">
        <v>170</v>
      </c>
      <c r="AJ985" s="1">
        <v>68.4</v>
      </c>
      <c r="AK985" s="1">
        <v>7.2</v>
      </c>
      <c r="AL985" s="1" t="s">
        <v>18105</v>
      </c>
      <c r="AM985" s="1" t="s">
        <v>18106</v>
      </c>
      <c r="AN985" s="1" t="s">
        <v>575</v>
      </c>
      <c r="AO985" s="1" t="s">
        <v>106</v>
      </c>
      <c r="AP985" s="1" t="s">
        <v>313</v>
      </c>
      <c r="AQ985" s="1">
        <v>61.33</v>
      </c>
      <c r="AR985" s="1">
        <v>6.46</v>
      </c>
      <c r="AS985" s="1"/>
      <c r="AT985" s="1"/>
      <c r="AU985" s="1"/>
      <c r="AV985" s="1"/>
      <c r="AW985" s="1"/>
      <c r="AX985" s="1"/>
      <c r="AY985" s="1" t="s">
        <v>18107</v>
      </c>
      <c r="AZ985" s="1" t="s">
        <v>18108</v>
      </c>
      <c r="BA985" s="1" t="s">
        <v>466</v>
      </c>
      <c r="BB985" s="1" t="s">
        <v>467</v>
      </c>
      <c r="BC985" s="1" t="s">
        <v>438</v>
      </c>
      <c r="BD985" s="1" t="s">
        <v>955</v>
      </c>
      <c r="BE985" s="1">
        <v>75.7</v>
      </c>
      <c r="BF985" s="1">
        <v>7.57</v>
      </c>
      <c r="BG985" s="1"/>
      <c r="BH985" s="1"/>
      <c r="BI985" s="1"/>
      <c r="BJ985" s="1"/>
      <c r="BK985" s="1"/>
      <c r="BL985" s="1"/>
      <c r="BM985" s="1"/>
      <c r="BN985" s="1"/>
      <c r="BO985" s="1" t="s">
        <v>18109</v>
      </c>
      <c r="BP985" s="1" t="s">
        <v>18110</v>
      </c>
      <c r="BQ985" s="1" t="s">
        <v>345</v>
      </c>
      <c r="BR985" s="1"/>
      <c r="BS985" s="1"/>
      <c r="BT985" s="1"/>
      <c r="BU985" s="1" t="str">
        <f>HYPERLINK("https://nconnect.nicmar.ac.in/storage/profile/6a81bd68de39a.png","Download")</f>
        <v>0</v>
      </c>
      <c r="BV985" s="3"/>
      <c r="BW985" s="3"/>
    </row>
    <row r="986" spans="1:75">
      <c r="A986" s="1" t="s">
        <v>75</v>
      </c>
      <c r="B986" s="1" t="s">
        <v>13976</v>
      </c>
      <c r="C986" s="1" t="s">
        <v>18111</v>
      </c>
      <c r="D986" s="1" t="s">
        <v>18112</v>
      </c>
      <c r="E986" s="1"/>
      <c r="F986" s="1" t="s">
        <v>18113</v>
      </c>
      <c r="G986" s="1" t="s">
        <v>18114</v>
      </c>
      <c r="H986" s="1" t="s">
        <v>18115</v>
      </c>
      <c r="I986" s="1" t="s">
        <v>18115</v>
      </c>
      <c r="J986" s="1">
        <v>7978418281</v>
      </c>
      <c r="K986" s="1" t="s">
        <v>153</v>
      </c>
      <c r="L986" s="1" t="s">
        <v>18116</v>
      </c>
      <c r="M986" s="1" t="s">
        <v>86</v>
      </c>
      <c r="N986" s="1" t="s">
        <v>13318</v>
      </c>
      <c r="O986" s="1" t="s">
        <v>18117</v>
      </c>
      <c r="P986" s="1" t="s">
        <v>356</v>
      </c>
      <c r="Q986" s="1">
        <v>954633742527</v>
      </c>
      <c r="R986" s="1" t="s">
        <v>18118</v>
      </c>
      <c r="S986" s="1">
        <v>9437111426</v>
      </c>
      <c r="T986" s="1" t="s">
        <v>18119</v>
      </c>
      <c r="U986" s="1" t="s">
        <v>18120</v>
      </c>
      <c r="V986" s="1">
        <v>7894177628</v>
      </c>
      <c r="W986" s="1" t="s">
        <v>10306</v>
      </c>
      <c r="X986" s="1" t="s">
        <v>18121</v>
      </c>
      <c r="Y986" s="1" t="s">
        <v>11210</v>
      </c>
      <c r="Z986" s="1" t="s">
        <v>865</v>
      </c>
      <c r="AA986" s="1" t="s">
        <v>18121</v>
      </c>
      <c r="AB986" s="1" t="s">
        <v>11210</v>
      </c>
      <c r="AC986" s="1" t="s">
        <v>865</v>
      </c>
      <c r="AD986" s="1" t="s">
        <v>98</v>
      </c>
      <c r="AE986" s="1" t="s">
        <v>98</v>
      </c>
      <c r="AF986" s="1" t="s">
        <v>18122</v>
      </c>
      <c r="AG986" s="1" t="s">
        <v>18123</v>
      </c>
      <c r="AH986" s="1" t="s">
        <v>286</v>
      </c>
      <c r="AI986" s="1" t="s">
        <v>414</v>
      </c>
      <c r="AJ986" s="1">
        <v>94</v>
      </c>
      <c r="AK986" s="1"/>
      <c r="AL986" s="1" t="s">
        <v>18124</v>
      </c>
      <c r="AM986" s="1" t="s">
        <v>18125</v>
      </c>
      <c r="AN986" s="1" t="s">
        <v>575</v>
      </c>
      <c r="AO986" s="1" t="s">
        <v>547</v>
      </c>
      <c r="AP986" s="1" t="s">
        <v>845</v>
      </c>
      <c r="AQ986" s="1">
        <v>88</v>
      </c>
      <c r="AR986" s="1"/>
      <c r="AS986" s="1"/>
      <c r="AT986" s="1"/>
      <c r="AU986" s="1"/>
      <c r="AV986" s="1"/>
      <c r="AW986" s="1"/>
      <c r="AX986" s="1"/>
      <c r="AY986" s="1" t="s">
        <v>18126</v>
      </c>
      <c r="AZ986" s="1" t="s">
        <v>18127</v>
      </c>
      <c r="BA986" s="1" t="s">
        <v>466</v>
      </c>
      <c r="BB986" s="1" t="s">
        <v>467</v>
      </c>
      <c r="BC986" s="1" t="s">
        <v>549</v>
      </c>
      <c r="BD986" s="1" t="s">
        <v>553</v>
      </c>
      <c r="BE986" s="1">
        <v>82.5</v>
      </c>
      <c r="BF986" s="1">
        <v>8.25</v>
      </c>
      <c r="BG986" s="1"/>
      <c r="BH986" s="1"/>
      <c r="BI986" s="1"/>
      <c r="BJ986" s="1"/>
      <c r="BK986" s="1"/>
      <c r="BL986" s="1"/>
      <c r="BM986" s="1"/>
      <c r="BN986" s="1"/>
      <c r="BO986" s="1" t="s">
        <v>18128</v>
      </c>
      <c r="BP986" s="1" t="s">
        <v>18129</v>
      </c>
      <c r="BQ986" s="1" t="s">
        <v>292</v>
      </c>
      <c r="BR986" s="1" t="s">
        <v>18130</v>
      </c>
      <c r="BS986" s="1">
        <v>189</v>
      </c>
      <c r="BT986" s="1"/>
      <c r="BU986" s="1" t="str">
        <f>HYPERLINK("https://nconnect.nicmar.ac.in/storage/profile/6a873f96017a3.png","Download")</f>
        <v>0</v>
      </c>
      <c r="BV986" s="3"/>
      <c r="BW986" s="3"/>
    </row>
    <row r="987" spans="1:75">
      <c r="A987" s="1" t="s">
        <v>75</v>
      </c>
      <c r="B987" s="1" t="s">
        <v>13976</v>
      </c>
      <c r="C987" s="1" t="s">
        <v>18131</v>
      </c>
      <c r="D987" s="1" t="s">
        <v>18132</v>
      </c>
      <c r="E987" s="1"/>
      <c r="F987" s="1" t="s">
        <v>1853</v>
      </c>
      <c r="G987" s="1" t="s">
        <v>18133</v>
      </c>
      <c r="H987" s="1" t="s">
        <v>18134</v>
      </c>
      <c r="I987" s="1" t="s">
        <v>18135</v>
      </c>
      <c r="J987" s="1">
        <v>9944346351</v>
      </c>
      <c r="K987" s="1" t="s">
        <v>84</v>
      </c>
      <c r="L987" s="1" t="s">
        <v>18136</v>
      </c>
      <c r="M987" s="1" t="s">
        <v>86</v>
      </c>
      <c r="N987" s="1" t="s">
        <v>2061</v>
      </c>
      <c r="O987" s="1" t="s">
        <v>18137</v>
      </c>
      <c r="P987" s="1" t="s">
        <v>219</v>
      </c>
      <c r="Q987" s="1">
        <v>232874936025</v>
      </c>
      <c r="R987" s="1" t="s">
        <v>18138</v>
      </c>
      <c r="S987" s="1">
        <v>9443314590</v>
      </c>
      <c r="T987" s="1" t="s">
        <v>18139</v>
      </c>
      <c r="U987" s="1" t="s">
        <v>18140</v>
      </c>
      <c r="V987" s="1">
        <v>9443314598</v>
      </c>
      <c r="W987" s="1" t="s">
        <v>10306</v>
      </c>
      <c r="X987" s="1" t="s">
        <v>18141</v>
      </c>
      <c r="Y987" s="1" t="s">
        <v>8878</v>
      </c>
      <c r="Z987" s="1" t="s">
        <v>570</v>
      </c>
      <c r="AA987" s="1" t="s">
        <v>18141</v>
      </c>
      <c r="AB987" s="1" t="s">
        <v>8878</v>
      </c>
      <c r="AC987" s="1" t="s">
        <v>570</v>
      </c>
      <c r="AD987" s="1" t="s">
        <v>98</v>
      </c>
      <c r="AE987" s="1" t="s">
        <v>98</v>
      </c>
      <c r="AF987" s="1" t="s">
        <v>18142</v>
      </c>
      <c r="AG987" s="1" t="s">
        <v>18143</v>
      </c>
      <c r="AH987" s="1" t="s">
        <v>106</v>
      </c>
      <c r="AI987" s="1" t="s">
        <v>547</v>
      </c>
      <c r="AJ987" s="1">
        <v>91.6</v>
      </c>
      <c r="AK987" s="1"/>
      <c r="AL987" s="1" t="s">
        <v>18142</v>
      </c>
      <c r="AM987" s="1" t="s">
        <v>18144</v>
      </c>
      <c r="AN987" s="1" t="s">
        <v>575</v>
      </c>
      <c r="AO987" s="1" t="s">
        <v>468</v>
      </c>
      <c r="AP987" s="1" t="s">
        <v>845</v>
      </c>
      <c r="AQ987" s="1">
        <v>91.5</v>
      </c>
      <c r="AR987" s="1"/>
      <c r="AS987" s="1"/>
      <c r="AT987" s="1"/>
      <c r="AU987" s="1"/>
      <c r="AV987" s="1"/>
      <c r="AW987" s="1"/>
      <c r="AX987" s="1"/>
      <c r="AY987" s="1" t="s">
        <v>18058</v>
      </c>
      <c r="AZ987" s="1" t="s">
        <v>18145</v>
      </c>
      <c r="BA987" s="1" t="s">
        <v>466</v>
      </c>
      <c r="BB987" s="1" t="s">
        <v>467</v>
      </c>
      <c r="BC987" s="1" t="s">
        <v>552</v>
      </c>
      <c r="BD987" s="1" t="s">
        <v>607</v>
      </c>
      <c r="BE987" s="1">
        <v>81.2</v>
      </c>
      <c r="BF987" s="1">
        <v>8.11</v>
      </c>
      <c r="BG987" s="1"/>
      <c r="BH987" s="1"/>
      <c r="BI987" s="1"/>
      <c r="BJ987" s="1"/>
      <c r="BK987" s="1"/>
      <c r="BL987" s="1"/>
      <c r="BM987" s="1"/>
      <c r="BN987" s="1"/>
      <c r="BO987" s="1" t="s">
        <v>18146</v>
      </c>
      <c r="BP987" s="1" t="s">
        <v>18147</v>
      </c>
      <c r="BQ987" s="1" t="s">
        <v>471</v>
      </c>
      <c r="BR987" s="1" t="s">
        <v>18148</v>
      </c>
      <c r="BS987" s="1">
        <v>6</v>
      </c>
      <c r="BT987" s="1"/>
      <c r="BU987" s="1" t="str">
        <f>HYPERLINK("https://nconnect.nicmar.ac.in/storage/profile/6a84816adbd15.png","Download")</f>
        <v>0</v>
      </c>
      <c r="BV987" s="3"/>
      <c r="BW987" s="3"/>
    </row>
    <row r="988" spans="1:75">
      <c r="A988" s="1" t="s">
        <v>75</v>
      </c>
      <c r="B988" s="1" t="s">
        <v>13976</v>
      </c>
      <c r="C988" s="1" t="s">
        <v>18149</v>
      </c>
      <c r="D988" s="1" t="s">
        <v>18150</v>
      </c>
      <c r="E988" s="1" t="s">
        <v>18151</v>
      </c>
      <c r="F988" s="1" t="s">
        <v>18152</v>
      </c>
      <c r="G988" s="1" t="s">
        <v>18153</v>
      </c>
      <c r="H988" s="1" t="s">
        <v>18154</v>
      </c>
      <c r="I988" s="1" t="s">
        <v>18154</v>
      </c>
      <c r="J988" s="1">
        <v>9767711557</v>
      </c>
      <c r="K988" s="1" t="s">
        <v>84</v>
      </c>
      <c r="L988" s="1" t="s">
        <v>18155</v>
      </c>
      <c r="M988" s="1" t="s">
        <v>86</v>
      </c>
      <c r="N988" s="1" t="s">
        <v>18156</v>
      </c>
      <c r="O988" s="1" t="s">
        <v>18157</v>
      </c>
      <c r="P988" s="1" t="s">
        <v>89</v>
      </c>
      <c r="Q988" s="1">
        <v>949055468467</v>
      </c>
      <c r="R988" s="1" t="s">
        <v>18151</v>
      </c>
      <c r="S988" s="1">
        <v>9823011557</v>
      </c>
      <c r="T988" s="1" t="s">
        <v>18158</v>
      </c>
      <c r="U988" s="1" t="s">
        <v>18159</v>
      </c>
      <c r="V988" s="1">
        <v>9373211557</v>
      </c>
      <c r="W988" s="1" t="s">
        <v>14154</v>
      </c>
      <c r="X988" s="1" t="s">
        <v>18160</v>
      </c>
      <c r="Y988" s="1" t="s">
        <v>910</v>
      </c>
      <c r="Z988" s="1" t="s">
        <v>97</v>
      </c>
      <c r="AA988" s="1" t="s">
        <v>18160</v>
      </c>
      <c r="AB988" s="1" t="s">
        <v>910</v>
      </c>
      <c r="AC988" s="1" t="s">
        <v>97</v>
      </c>
      <c r="AD988" s="1" t="s">
        <v>98</v>
      </c>
      <c r="AE988" s="1" t="s">
        <v>98</v>
      </c>
      <c r="AF988" s="1" t="s">
        <v>18161</v>
      </c>
      <c r="AG988" s="1" t="s">
        <v>18162</v>
      </c>
      <c r="AH988" s="1" t="s">
        <v>547</v>
      </c>
      <c r="AI988" s="1" t="s">
        <v>603</v>
      </c>
      <c r="AJ988" s="1">
        <v>84.0</v>
      </c>
      <c r="AK988" s="1"/>
      <c r="AL988" s="1" t="s">
        <v>18163</v>
      </c>
      <c r="AM988" s="1" t="s">
        <v>18164</v>
      </c>
      <c r="AN988" s="1" t="s">
        <v>465</v>
      </c>
      <c r="AO988" s="1" t="s">
        <v>1192</v>
      </c>
      <c r="AP988" s="1" t="s">
        <v>1886</v>
      </c>
      <c r="AQ988" s="1">
        <v>67.33</v>
      </c>
      <c r="AR988" s="1"/>
      <c r="AS988" s="1"/>
      <c r="AT988" s="1"/>
      <c r="AU988" s="1"/>
      <c r="AV988" s="1"/>
      <c r="AW988" s="1"/>
      <c r="AX988" s="1"/>
      <c r="AY988" s="1" t="s">
        <v>14160</v>
      </c>
      <c r="AZ988" s="1" t="s">
        <v>18165</v>
      </c>
      <c r="BA988" s="1" t="s">
        <v>578</v>
      </c>
      <c r="BB988" s="1" t="s">
        <v>467</v>
      </c>
      <c r="BC988" s="1" t="s">
        <v>110</v>
      </c>
      <c r="BD988" s="1" t="s">
        <v>14162</v>
      </c>
      <c r="BE988" s="1">
        <v>73.91</v>
      </c>
      <c r="BF988" s="1">
        <v>7.78</v>
      </c>
      <c r="BG988" s="1"/>
      <c r="BH988" s="1"/>
      <c r="BI988" s="1"/>
      <c r="BJ988" s="1"/>
      <c r="BK988" s="1"/>
      <c r="BL988" s="1"/>
      <c r="BM988" s="1"/>
      <c r="BN988" s="1"/>
      <c r="BO988" s="1" t="s">
        <v>18166</v>
      </c>
      <c r="BP988" s="1"/>
      <c r="BQ988" s="1"/>
      <c r="BR988" s="1" t="s">
        <v>18167</v>
      </c>
      <c r="BS988" s="1">
        <v>57</v>
      </c>
      <c r="BT988" s="1" t="s">
        <v>18168</v>
      </c>
      <c r="BU988" s="1" t="str">
        <f>HYPERLINK("https://nconnect.nicmar.ac.in/storage/profile/6a86fca550493.png","Download")</f>
        <v>0</v>
      </c>
      <c r="BV988" s="3"/>
      <c r="BW988" s="3"/>
    </row>
    <row r="989" spans="1:75">
      <c r="A989" s="1" t="s">
        <v>75</v>
      </c>
      <c r="B989" s="1" t="s">
        <v>13976</v>
      </c>
      <c r="C989" s="1" t="s">
        <v>18169</v>
      </c>
      <c r="D989" s="1" t="s">
        <v>3493</v>
      </c>
      <c r="E989" s="1"/>
      <c r="F989" s="1" t="s">
        <v>7992</v>
      </c>
      <c r="G989" s="1" t="s">
        <v>18170</v>
      </c>
      <c r="H989" s="1" t="s">
        <v>18171</v>
      </c>
      <c r="I989" s="1" t="s">
        <v>18172</v>
      </c>
      <c r="J989" s="1">
        <v>7297972175</v>
      </c>
      <c r="K989" s="1" t="s">
        <v>84</v>
      </c>
      <c r="L989" s="1" t="s">
        <v>18173</v>
      </c>
      <c r="M989" s="1" t="s">
        <v>86</v>
      </c>
      <c r="N989" s="1" t="s">
        <v>4857</v>
      </c>
      <c r="O989" s="1" t="s">
        <v>18174</v>
      </c>
      <c r="P989" s="1" t="s">
        <v>219</v>
      </c>
      <c r="Q989" s="1">
        <v>405578294446</v>
      </c>
      <c r="R989" s="1" t="s">
        <v>18175</v>
      </c>
      <c r="S989" s="1">
        <v>9214036616</v>
      </c>
      <c r="T989" s="1" t="s">
        <v>14800</v>
      </c>
      <c r="U989" s="1" t="s">
        <v>18176</v>
      </c>
      <c r="V989" s="1">
        <v>7297993132</v>
      </c>
      <c r="W989" s="1" t="s">
        <v>15148</v>
      </c>
      <c r="X989" s="1" t="s">
        <v>18177</v>
      </c>
      <c r="Y989" s="1" t="s">
        <v>16923</v>
      </c>
      <c r="Z989" s="1" t="s">
        <v>2153</v>
      </c>
      <c r="AA989" s="1" t="s">
        <v>18177</v>
      </c>
      <c r="AB989" s="1" t="s">
        <v>16923</v>
      </c>
      <c r="AC989" s="1" t="s">
        <v>2153</v>
      </c>
      <c r="AD989" s="1" t="s">
        <v>98</v>
      </c>
      <c r="AE989" s="1" t="s">
        <v>98</v>
      </c>
      <c r="AF989" s="1" t="s">
        <v>18178</v>
      </c>
      <c r="AG989" s="1" t="s">
        <v>18179</v>
      </c>
      <c r="AH989" s="1" t="s">
        <v>135</v>
      </c>
      <c r="AI989" s="1" t="s">
        <v>136</v>
      </c>
      <c r="AJ989" s="1">
        <v>70.3</v>
      </c>
      <c r="AK989" s="1" t="s">
        <v>18180</v>
      </c>
      <c r="AL989" s="1" t="s">
        <v>18181</v>
      </c>
      <c r="AM989" s="1" t="s">
        <v>18182</v>
      </c>
      <c r="AN989" s="1" t="s">
        <v>465</v>
      </c>
      <c r="AO989" s="1" t="s">
        <v>1396</v>
      </c>
      <c r="AP989" s="1" t="s">
        <v>573</v>
      </c>
      <c r="AQ989" s="1">
        <v>66.2</v>
      </c>
      <c r="AR989" s="1"/>
      <c r="AS989" s="1"/>
      <c r="AT989" s="1"/>
      <c r="AU989" s="1"/>
      <c r="AV989" s="1"/>
      <c r="AW989" s="1"/>
      <c r="AX989" s="1"/>
      <c r="AY989" s="1" t="s">
        <v>2614</v>
      </c>
      <c r="AZ989" s="1" t="s">
        <v>6113</v>
      </c>
      <c r="BA989" s="1" t="s">
        <v>466</v>
      </c>
      <c r="BB989" s="1" t="s">
        <v>467</v>
      </c>
      <c r="BC989" s="1" t="s">
        <v>106</v>
      </c>
      <c r="BD989" s="1" t="s">
        <v>632</v>
      </c>
      <c r="BE989" s="1">
        <v>78.3</v>
      </c>
      <c r="BF989" s="1">
        <v>7.83</v>
      </c>
      <c r="BG989" s="1"/>
      <c r="BH989" s="1"/>
      <c r="BI989" s="1"/>
      <c r="BJ989" s="1"/>
      <c r="BK989" s="1"/>
      <c r="BL989" s="1"/>
      <c r="BM989" s="1"/>
      <c r="BN989" s="1"/>
      <c r="BO989" s="1" t="s">
        <v>18183</v>
      </c>
      <c r="BP989" s="1"/>
      <c r="BQ989" s="1"/>
      <c r="BR989" s="1"/>
      <c r="BS989" s="1"/>
      <c r="BT989" s="1"/>
      <c r="BU989" s="1" t="str">
        <f>HYPERLINK("https://nconnect.nicmar.ac.in/storage/profile/6a8730d3e48ec.png","Download")</f>
        <v>0</v>
      </c>
      <c r="BV989" s="3"/>
      <c r="BW989" s="3"/>
    </row>
    <row r="990" spans="1:75">
      <c r="A990" s="1" t="s">
        <v>75</v>
      </c>
      <c r="B990" s="1" t="s">
        <v>13976</v>
      </c>
      <c r="C990" s="1" t="s">
        <v>18184</v>
      </c>
      <c r="D990" s="1" t="s">
        <v>18185</v>
      </c>
      <c r="E990" s="1"/>
      <c r="F990" s="1" t="s">
        <v>1853</v>
      </c>
      <c r="G990" s="1" t="s">
        <v>18186</v>
      </c>
      <c r="H990" s="1" t="s">
        <v>18187</v>
      </c>
      <c r="I990" s="1" t="s">
        <v>18187</v>
      </c>
      <c r="J990" s="1">
        <v>9482192677</v>
      </c>
      <c r="K990" s="1" t="s">
        <v>84</v>
      </c>
      <c r="L990" s="1" t="s">
        <v>18188</v>
      </c>
      <c r="M990" s="1" t="s">
        <v>86</v>
      </c>
      <c r="N990" s="1" t="s">
        <v>18189</v>
      </c>
      <c r="O990" s="1" t="s">
        <v>18190</v>
      </c>
      <c r="P990" s="1" t="s">
        <v>122</v>
      </c>
      <c r="Q990" s="1">
        <v>598855570125</v>
      </c>
      <c r="R990" s="1" t="s">
        <v>18191</v>
      </c>
      <c r="S990" s="1">
        <v>9036594211</v>
      </c>
      <c r="T990" s="1" t="s">
        <v>3439</v>
      </c>
      <c r="U990" s="1" t="s">
        <v>18192</v>
      </c>
      <c r="V990" s="1">
        <v>9916330173</v>
      </c>
      <c r="W990" s="1" t="s">
        <v>14212</v>
      </c>
      <c r="X990" s="1" t="s">
        <v>18193</v>
      </c>
      <c r="Y990" s="1" t="s">
        <v>9929</v>
      </c>
      <c r="Z990" s="1" t="s">
        <v>1210</v>
      </c>
      <c r="AA990" s="1" t="s">
        <v>18193</v>
      </c>
      <c r="AB990" s="1" t="s">
        <v>9929</v>
      </c>
      <c r="AC990" s="1" t="s">
        <v>1210</v>
      </c>
      <c r="AD990" s="1" t="s">
        <v>98</v>
      </c>
      <c r="AE990" s="1" t="s">
        <v>98</v>
      </c>
      <c r="AF990" s="1" t="s">
        <v>18194</v>
      </c>
      <c r="AG990" s="1" t="s">
        <v>18195</v>
      </c>
      <c r="AH990" s="1" t="s">
        <v>170</v>
      </c>
      <c r="AI990" s="1" t="s">
        <v>490</v>
      </c>
      <c r="AJ990" s="1">
        <v>77.44</v>
      </c>
      <c r="AK990" s="1">
        <v>0</v>
      </c>
      <c r="AL990" s="1" t="s">
        <v>18196</v>
      </c>
      <c r="AM990" s="1" t="s">
        <v>18197</v>
      </c>
      <c r="AN990" s="1" t="s">
        <v>575</v>
      </c>
      <c r="AO990" s="1" t="s">
        <v>438</v>
      </c>
      <c r="AP990" s="1" t="s">
        <v>603</v>
      </c>
      <c r="AQ990" s="1">
        <v>80.17</v>
      </c>
      <c r="AR990" s="1"/>
      <c r="AS990" s="1"/>
      <c r="AT990" s="1"/>
      <c r="AU990" s="1"/>
      <c r="AV990" s="1"/>
      <c r="AW990" s="1"/>
      <c r="AX990" s="1"/>
      <c r="AY990" s="1" t="s">
        <v>15972</v>
      </c>
      <c r="AZ990" s="1" t="s">
        <v>18198</v>
      </c>
      <c r="BA990" s="1" t="s">
        <v>578</v>
      </c>
      <c r="BB990" s="1" t="s">
        <v>467</v>
      </c>
      <c r="BC990" s="1" t="s">
        <v>233</v>
      </c>
      <c r="BD990" s="1" t="s">
        <v>1089</v>
      </c>
      <c r="BE990" s="1">
        <v>61</v>
      </c>
      <c r="BF990" s="1">
        <v>6.85</v>
      </c>
      <c r="BG990" s="1"/>
      <c r="BH990" s="1"/>
      <c r="BI990" s="1"/>
      <c r="BJ990" s="1"/>
      <c r="BK990" s="1"/>
      <c r="BL990" s="1"/>
      <c r="BM990" s="1"/>
      <c r="BN990" s="1"/>
      <c r="BO990" s="1" t="s">
        <v>18199</v>
      </c>
      <c r="BP990" s="1" t="s">
        <v>18200</v>
      </c>
      <c r="BQ990" s="1" t="s">
        <v>1152</v>
      </c>
      <c r="BR990" s="1"/>
      <c r="BS990" s="1"/>
      <c r="BT990" s="1" t="s">
        <v>18201</v>
      </c>
      <c r="BU990" s="1" t="str">
        <f>HYPERLINK("https://nconnect.nicmar.ac.in/storage/profile/6a846d71c22ca.png","Download")</f>
        <v>0</v>
      </c>
      <c r="BV990" s="3"/>
      <c r="BW990" s="3"/>
    </row>
    <row r="991" spans="1:75">
      <c r="A991" s="1" t="s">
        <v>75</v>
      </c>
      <c r="B991" s="1" t="s">
        <v>13976</v>
      </c>
      <c r="C991" s="1" t="s">
        <v>18202</v>
      </c>
      <c r="D991" s="1" t="s">
        <v>18203</v>
      </c>
      <c r="E991" s="1"/>
      <c r="F991" s="1" t="s">
        <v>18204</v>
      </c>
      <c r="G991" s="1" t="s">
        <v>18205</v>
      </c>
      <c r="H991" s="1" t="s">
        <v>18206</v>
      </c>
      <c r="I991" s="1" t="s">
        <v>18206</v>
      </c>
      <c r="J991" s="1">
        <v>6382989855</v>
      </c>
      <c r="K991" s="1" t="s">
        <v>84</v>
      </c>
      <c r="L991" s="1" t="s">
        <v>18207</v>
      </c>
      <c r="M991" s="1" t="s">
        <v>86</v>
      </c>
      <c r="N991" s="1" t="s">
        <v>18208</v>
      </c>
      <c r="O991" s="1" t="s">
        <v>18209</v>
      </c>
      <c r="P991" s="1" t="s">
        <v>18210</v>
      </c>
      <c r="Q991" s="1">
        <v>813344419068</v>
      </c>
      <c r="R991" s="1" t="s">
        <v>18204</v>
      </c>
      <c r="S991" s="1">
        <v>9842910543</v>
      </c>
      <c r="T991" s="1" t="s">
        <v>18211</v>
      </c>
      <c r="U991" s="1" t="s">
        <v>18212</v>
      </c>
      <c r="V991" s="1">
        <v>7010255699</v>
      </c>
      <c r="W991" s="1" t="s">
        <v>18213</v>
      </c>
      <c r="X991" s="1" t="s">
        <v>18214</v>
      </c>
      <c r="Y991" s="1" t="s">
        <v>18215</v>
      </c>
      <c r="Z991" s="1" t="s">
        <v>570</v>
      </c>
      <c r="AA991" s="1" t="s">
        <v>18214</v>
      </c>
      <c r="AB991" s="1" t="s">
        <v>18215</v>
      </c>
      <c r="AC991" s="1" t="s">
        <v>570</v>
      </c>
      <c r="AD991" s="1" t="s">
        <v>98</v>
      </c>
      <c r="AE991" s="1" t="s">
        <v>98</v>
      </c>
      <c r="AF991" s="1" t="s">
        <v>18216</v>
      </c>
      <c r="AG991" s="1" t="s">
        <v>18217</v>
      </c>
      <c r="AH991" s="1" t="s">
        <v>167</v>
      </c>
      <c r="AI991" s="1" t="s">
        <v>200</v>
      </c>
      <c r="AJ991" s="1">
        <v>96.8</v>
      </c>
      <c r="AK991" s="1"/>
      <c r="AL991" s="1" t="s">
        <v>18218</v>
      </c>
      <c r="AM991" s="1" t="s">
        <v>570</v>
      </c>
      <c r="AN991" s="1" t="s">
        <v>465</v>
      </c>
      <c r="AO991" s="1" t="s">
        <v>106</v>
      </c>
      <c r="AP991" s="1" t="s">
        <v>547</v>
      </c>
      <c r="AQ991" s="1">
        <v>82.83</v>
      </c>
      <c r="AR991" s="1"/>
      <c r="AS991" s="1"/>
      <c r="AT991" s="1"/>
      <c r="AU991" s="1"/>
      <c r="AV991" s="1"/>
      <c r="AW991" s="1"/>
      <c r="AX991" s="1"/>
      <c r="AY991" s="1" t="s">
        <v>18219</v>
      </c>
      <c r="AZ991" s="1" t="s">
        <v>18220</v>
      </c>
      <c r="BA991" s="1" t="s">
        <v>578</v>
      </c>
      <c r="BB991" s="1" t="s">
        <v>467</v>
      </c>
      <c r="BC991" s="1" t="s">
        <v>315</v>
      </c>
      <c r="BD991" s="1" t="s">
        <v>955</v>
      </c>
      <c r="BE991" s="1">
        <v>81.3</v>
      </c>
      <c r="BF991" s="1">
        <v>8.13</v>
      </c>
      <c r="BG991" s="1"/>
      <c r="BH991" s="1"/>
      <c r="BI991" s="1"/>
      <c r="BJ991" s="1"/>
      <c r="BK991" s="1"/>
      <c r="BL991" s="1"/>
      <c r="BM991" s="1"/>
      <c r="BN991" s="1"/>
      <c r="BO991" s="1" t="s">
        <v>18221</v>
      </c>
      <c r="BP991" s="1" t="s">
        <v>18222</v>
      </c>
      <c r="BQ991" s="1" t="s">
        <v>658</v>
      </c>
      <c r="BR991" s="1"/>
      <c r="BS991" s="1"/>
      <c r="BT991" s="1"/>
      <c r="BU991" s="1" t="str">
        <f>HYPERLINK("https://nconnect.nicmar.ac.in/storage/profile/6a86ef434da50.png","Download")</f>
        <v>0</v>
      </c>
      <c r="BV991" s="3"/>
      <c r="BW991" s="3"/>
    </row>
    <row r="992" spans="1:75">
      <c r="A992" s="1" t="s">
        <v>75</v>
      </c>
      <c r="B992" s="1" t="s">
        <v>13976</v>
      </c>
      <c r="C992" s="1" t="s">
        <v>18223</v>
      </c>
      <c r="D992" s="1" t="s">
        <v>18224</v>
      </c>
      <c r="E992" s="1" t="s">
        <v>18225</v>
      </c>
      <c r="F992" s="1" t="s">
        <v>16886</v>
      </c>
      <c r="G992" s="1" t="s">
        <v>18226</v>
      </c>
      <c r="H992" s="1" t="s">
        <v>18227</v>
      </c>
      <c r="I992" s="1" t="s">
        <v>18228</v>
      </c>
      <c r="J992" s="1">
        <v>8855940511</v>
      </c>
      <c r="K992" s="1" t="s">
        <v>153</v>
      </c>
      <c r="L992" s="1" t="s">
        <v>18229</v>
      </c>
      <c r="M992" s="1" t="s">
        <v>86</v>
      </c>
      <c r="N992" s="1" t="s">
        <v>18230</v>
      </c>
      <c r="O992" s="1" t="s">
        <v>18231</v>
      </c>
      <c r="P992" s="1" t="s">
        <v>122</v>
      </c>
      <c r="Q992" s="1" t="s">
        <v>18232</v>
      </c>
      <c r="R992" s="1" t="s">
        <v>18233</v>
      </c>
      <c r="S992" s="1">
        <v>7588001511</v>
      </c>
      <c r="T992" s="1" t="s">
        <v>18234</v>
      </c>
      <c r="U992" s="1" t="s">
        <v>18235</v>
      </c>
      <c r="V992" s="1">
        <v>7588733721</v>
      </c>
      <c r="W992" s="1" t="s">
        <v>18236</v>
      </c>
      <c r="X992" s="1" t="s">
        <v>18237</v>
      </c>
      <c r="Y992" s="1" t="s">
        <v>5659</v>
      </c>
      <c r="Z992" s="1" t="s">
        <v>97</v>
      </c>
      <c r="AA992" s="1" t="s">
        <v>18237</v>
      </c>
      <c r="AB992" s="1" t="s">
        <v>5659</v>
      </c>
      <c r="AC992" s="1" t="s">
        <v>97</v>
      </c>
      <c r="AD992" s="1" t="s">
        <v>98</v>
      </c>
      <c r="AE992" s="1" t="s">
        <v>98</v>
      </c>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t="str">
        <f>HYPERLINK("https://nconnect.nicmar.ac.in/storage/profile/6a869c7a9f7ad.png","Download")</f>
        <v>0</v>
      </c>
      <c r="BV992" s="3"/>
      <c r="BW992" s="3"/>
    </row>
    <row r="993" spans="1:75">
      <c r="A993" s="1" t="s">
        <v>75</v>
      </c>
      <c r="B993" s="1" t="s">
        <v>13976</v>
      </c>
      <c r="C993" s="1" t="s">
        <v>18238</v>
      </c>
      <c r="D993" s="1" t="s">
        <v>18239</v>
      </c>
      <c r="E993" s="1"/>
      <c r="F993" s="1" t="s">
        <v>15430</v>
      </c>
      <c r="G993" s="1" t="s">
        <v>18240</v>
      </c>
      <c r="H993" s="1" t="s">
        <v>18241</v>
      </c>
      <c r="I993" s="1" t="s">
        <v>18241</v>
      </c>
      <c r="J993" s="1">
        <v>8943026647</v>
      </c>
      <c r="K993" s="1" t="s">
        <v>153</v>
      </c>
      <c r="L993" s="1" t="s">
        <v>18242</v>
      </c>
      <c r="M993" s="1" t="s">
        <v>86</v>
      </c>
      <c r="N993" s="1" t="s">
        <v>5194</v>
      </c>
      <c r="O993" s="1" t="s">
        <v>18243</v>
      </c>
      <c r="P993" s="1" t="s">
        <v>219</v>
      </c>
      <c r="Q993" s="1">
        <v>533508801470</v>
      </c>
      <c r="R993" s="1" t="s">
        <v>18244</v>
      </c>
      <c r="S993" s="1">
        <v>7593946647</v>
      </c>
      <c r="T993" s="1" t="s">
        <v>18245</v>
      </c>
      <c r="U993" s="1" t="s">
        <v>18246</v>
      </c>
      <c r="V993" s="1">
        <v>8075962923</v>
      </c>
      <c r="W993" s="1" t="s">
        <v>10306</v>
      </c>
      <c r="X993" s="1" t="s">
        <v>18247</v>
      </c>
      <c r="Y993" s="1" t="s">
        <v>1307</v>
      </c>
      <c r="Z993" s="1" t="s">
        <v>130</v>
      </c>
      <c r="AA993" s="1" t="s">
        <v>18247</v>
      </c>
      <c r="AB993" s="1" t="s">
        <v>1307</v>
      </c>
      <c r="AC993" s="1" t="s">
        <v>130</v>
      </c>
      <c r="AD993" s="1" t="s">
        <v>98</v>
      </c>
      <c r="AE993" s="1" t="s">
        <v>98</v>
      </c>
      <c r="AF993" s="1" t="s">
        <v>18248</v>
      </c>
      <c r="AG993" s="1" t="s">
        <v>18249</v>
      </c>
      <c r="AH993" s="1" t="s">
        <v>490</v>
      </c>
      <c r="AI993" s="1" t="s">
        <v>313</v>
      </c>
      <c r="AJ993" s="1">
        <v>95.2</v>
      </c>
      <c r="AK993" s="1">
        <v>9.52</v>
      </c>
      <c r="AL993" s="1" t="s">
        <v>18248</v>
      </c>
      <c r="AM993" s="1" t="s">
        <v>18249</v>
      </c>
      <c r="AN993" s="1" t="s">
        <v>465</v>
      </c>
      <c r="AO993" s="1" t="s">
        <v>977</v>
      </c>
      <c r="AP993" s="1" t="s">
        <v>549</v>
      </c>
      <c r="AQ993" s="1">
        <v>95.2</v>
      </c>
      <c r="AR993" s="1">
        <v>9.52</v>
      </c>
      <c r="AS993" s="1"/>
      <c r="AT993" s="1"/>
      <c r="AU993" s="1"/>
      <c r="AV993" s="1"/>
      <c r="AW993" s="1"/>
      <c r="AX993" s="1"/>
      <c r="AY993" s="1" t="s">
        <v>18250</v>
      </c>
      <c r="AZ993" s="1" t="s">
        <v>16381</v>
      </c>
      <c r="BA993" s="1" t="s">
        <v>466</v>
      </c>
      <c r="BB993" s="1" t="s">
        <v>467</v>
      </c>
      <c r="BC993" s="1" t="s">
        <v>441</v>
      </c>
      <c r="BD993" s="1" t="s">
        <v>5340</v>
      </c>
      <c r="BE993" s="1">
        <v>86.7</v>
      </c>
      <c r="BF993" s="1">
        <v>8.67</v>
      </c>
      <c r="BG993" s="1"/>
      <c r="BH993" s="1"/>
      <c r="BI993" s="1"/>
      <c r="BJ993" s="1"/>
      <c r="BK993" s="1"/>
      <c r="BL993" s="1"/>
      <c r="BM993" s="1"/>
      <c r="BN993" s="1"/>
      <c r="BO993" s="1" t="s">
        <v>18251</v>
      </c>
      <c r="BP993" s="1"/>
      <c r="BQ993" s="1"/>
      <c r="BR993" s="1" t="s">
        <v>18252</v>
      </c>
      <c r="BS993" s="1">
        <v>11</v>
      </c>
      <c r="BT993" s="1" t="s">
        <v>18253</v>
      </c>
      <c r="BU993" s="1" t="str">
        <f>HYPERLINK("https://nconnect.nicmar.ac.in/storage/profile/6a8741454e046.png","Download")</f>
        <v>0</v>
      </c>
      <c r="BV993" s="3"/>
      <c r="BW993" s="3"/>
    </row>
    <row r="994" spans="1:75">
      <c r="A994" s="1" t="s">
        <v>75</v>
      </c>
      <c r="B994" s="1" t="s">
        <v>13976</v>
      </c>
      <c r="C994" s="1" t="s">
        <v>18254</v>
      </c>
      <c r="D994" s="1" t="s">
        <v>18255</v>
      </c>
      <c r="E994" s="1"/>
      <c r="F994" s="1" t="s">
        <v>18256</v>
      </c>
      <c r="G994" s="1" t="s">
        <v>18257</v>
      </c>
      <c r="H994" s="1" t="s">
        <v>18258</v>
      </c>
      <c r="I994" s="1" t="s">
        <v>18258</v>
      </c>
      <c r="J994" s="1">
        <v>6287004690</v>
      </c>
      <c r="K994" s="1" t="s">
        <v>84</v>
      </c>
      <c r="L994" s="1" t="s">
        <v>18259</v>
      </c>
      <c r="M994" s="1" t="s">
        <v>86</v>
      </c>
      <c r="N994" s="1" t="s">
        <v>4857</v>
      </c>
      <c r="O994" s="1" t="s">
        <v>18260</v>
      </c>
      <c r="P994" s="1" t="s">
        <v>16423</v>
      </c>
      <c r="Q994" s="1">
        <v>854492034823</v>
      </c>
      <c r="R994" s="1" t="s">
        <v>18261</v>
      </c>
      <c r="S994" s="1">
        <v>8789163426</v>
      </c>
      <c r="T994" s="1" t="s">
        <v>3439</v>
      </c>
      <c r="U994" s="1" t="s">
        <v>18262</v>
      </c>
      <c r="V994" s="1">
        <v>9955940015</v>
      </c>
      <c r="W994" s="1" t="s">
        <v>14154</v>
      </c>
      <c r="X994" s="1" t="s">
        <v>18263</v>
      </c>
      <c r="Y994" s="1" t="s">
        <v>18264</v>
      </c>
      <c r="Z994" s="1" t="s">
        <v>649</v>
      </c>
      <c r="AA994" s="1" t="s">
        <v>18263</v>
      </c>
      <c r="AB994" s="1" t="s">
        <v>18264</v>
      </c>
      <c r="AC994" s="1" t="s">
        <v>649</v>
      </c>
      <c r="AD994" s="1" t="s">
        <v>98</v>
      </c>
      <c r="AE994" s="1" t="s">
        <v>98</v>
      </c>
      <c r="AF994" s="1" t="s">
        <v>18265</v>
      </c>
      <c r="AG994" s="1" t="s">
        <v>18266</v>
      </c>
      <c r="AH994" s="1" t="s">
        <v>3965</v>
      </c>
      <c r="AI994" s="1" t="s">
        <v>1457</v>
      </c>
      <c r="AJ994" s="1">
        <v>95</v>
      </c>
      <c r="AK994" s="1">
        <v>10</v>
      </c>
      <c r="AL994" s="1" t="s">
        <v>18267</v>
      </c>
      <c r="AM994" s="1" t="s">
        <v>18266</v>
      </c>
      <c r="AN994" s="1" t="s">
        <v>465</v>
      </c>
      <c r="AO994" s="1" t="s">
        <v>1262</v>
      </c>
      <c r="AP994" s="1" t="s">
        <v>627</v>
      </c>
      <c r="AQ994" s="1">
        <v>67.8</v>
      </c>
      <c r="AR994" s="1"/>
      <c r="AS994" s="1"/>
      <c r="AT994" s="1"/>
      <c r="AU994" s="1"/>
      <c r="AV994" s="1"/>
      <c r="AW994" s="1"/>
      <c r="AX994" s="1"/>
      <c r="AY994" s="1" t="s">
        <v>18268</v>
      </c>
      <c r="AZ994" s="1" t="s">
        <v>18269</v>
      </c>
      <c r="BA994" s="1" t="s">
        <v>466</v>
      </c>
      <c r="BB994" s="1" t="s">
        <v>467</v>
      </c>
      <c r="BC994" s="1" t="s">
        <v>170</v>
      </c>
      <c r="BD994" s="1" t="s">
        <v>549</v>
      </c>
      <c r="BE994" s="1">
        <v>74.93</v>
      </c>
      <c r="BF994" s="1"/>
      <c r="BG994" s="1" t="s">
        <v>18270</v>
      </c>
      <c r="BH994" s="1" t="s">
        <v>18269</v>
      </c>
      <c r="BI994" s="1" t="s">
        <v>2209</v>
      </c>
      <c r="BJ994" s="1" t="s">
        <v>18271</v>
      </c>
      <c r="BK994" s="1" t="s">
        <v>391</v>
      </c>
      <c r="BL994" s="1" t="s">
        <v>1401</v>
      </c>
      <c r="BM994" s="1">
        <v>59.81</v>
      </c>
      <c r="BN994" s="1">
        <v>6.69</v>
      </c>
      <c r="BO994" s="1" t="s">
        <v>18272</v>
      </c>
      <c r="BP994" s="1" t="s">
        <v>18273</v>
      </c>
      <c r="BQ994" s="1" t="s">
        <v>757</v>
      </c>
      <c r="BR994" s="1"/>
      <c r="BS994" s="1"/>
      <c r="BT994" s="1"/>
      <c r="BU994" s="1" t="str">
        <f>HYPERLINK("https://nconnect.nicmar.ac.in/storage/profile/6a86f1e0783ca.png","Download")</f>
        <v>0</v>
      </c>
      <c r="BV994" s="3"/>
      <c r="BW994" s="3"/>
    </row>
    <row r="995" spans="1:75">
      <c r="A995" s="1" t="s">
        <v>75</v>
      </c>
      <c r="B995" s="1" t="s">
        <v>13976</v>
      </c>
      <c r="C995" s="1" t="s">
        <v>18274</v>
      </c>
      <c r="D995" s="1" t="s">
        <v>18275</v>
      </c>
      <c r="E995" s="1" t="s">
        <v>319</v>
      </c>
      <c r="F995" s="1" t="s">
        <v>18276</v>
      </c>
      <c r="G995" s="1" t="s">
        <v>18277</v>
      </c>
      <c r="H995" s="1" t="s">
        <v>18278</v>
      </c>
      <c r="I995" s="1" t="s">
        <v>18278</v>
      </c>
      <c r="J995" s="1">
        <v>9356967684</v>
      </c>
      <c r="K995" s="1" t="s">
        <v>84</v>
      </c>
      <c r="L995" s="1" t="s">
        <v>10493</v>
      </c>
      <c r="M995" s="1" t="s">
        <v>86</v>
      </c>
      <c r="N995" s="1" t="s">
        <v>18279</v>
      </c>
      <c r="O995" s="1" t="s">
        <v>18280</v>
      </c>
      <c r="P995" s="1" t="s">
        <v>219</v>
      </c>
      <c r="Q995" s="1">
        <v>311145090061</v>
      </c>
      <c r="R995" s="1" t="s">
        <v>18281</v>
      </c>
      <c r="S995" s="1">
        <v>9822202771</v>
      </c>
      <c r="T995" s="1" t="s">
        <v>2950</v>
      </c>
      <c r="U995" s="1" t="s">
        <v>18282</v>
      </c>
      <c r="V995" s="1">
        <v>9404082148</v>
      </c>
      <c r="W995" s="1" t="s">
        <v>2950</v>
      </c>
      <c r="X995" s="1" t="s">
        <v>18283</v>
      </c>
      <c r="Y995" s="1" t="s">
        <v>410</v>
      </c>
      <c r="Z995" s="1" t="s">
        <v>97</v>
      </c>
      <c r="AA995" s="1" t="s">
        <v>18283</v>
      </c>
      <c r="AB995" s="1" t="s">
        <v>410</v>
      </c>
      <c r="AC995" s="1" t="s">
        <v>97</v>
      </c>
      <c r="AD995" s="1" t="s">
        <v>98</v>
      </c>
      <c r="AE995" s="1" t="s">
        <v>98</v>
      </c>
      <c r="AF995" s="1" t="s">
        <v>18284</v>
      </c>
      <c r="AG995" s="1" t="s">
        <v>18285</v>
      </c>
      <c r="AH995" s="1" t="s">
        <v>315</v>
      </c>
      <c r="AI995" s="1" t="s">
        <v>178</v>
      </c>
      <c r="AJ995" s="1">
        <v>73.8</v>
      </c>
      <c r="AK995" s="1"/>
      <c r="AL995" s="1" t="s">
        <v>18286</v>
      </c>
      <c r="AM995" s="1" t="s">
        <v>753</v>
      </c>
      <c r="AN995" s="1" t="s">
        <v>465</v>
      </c>
      <c r="AO995" s="1" t="s">
        <v>178</v>
      </c>
      <c r="AP995" s="1" t="s">
        <v>1400</v>
      </c>
      <c r="AQ995" s="1">
        <v>76.67</v>
      </c>
      <c r="AR995" s="1"/>
      <c r="AS995" s="1"/>
      <c r="AT995" s="1"/>
      <c r="AU995" s="1"/>
      <c r="AV995" s="1"/>
      <c r="AW995" s="1"/>
      <c r="AX995" s="1"/>
      <c r="AY995" s="1" t="s">
        <v>18287</v>
      </c>
      <c r="AZ995" s="1" t="s">
        <v>18288</v>
      </c>
      <c r="BA995" s="1" t="s">
        <v>466</v>
      </c>
      <c r="BB995" s="1" t="s">
        <v>467</v>
      </c>
      <c r="BC995" s="1" t="s">
        <v>1825</v>
      </c>
      <c r="BD995" s="1" t="s">
        <v>14162</v>
      </c>
      <c r="BE995" s="1">
        <v>69.15</v>
      </c>
      <c r="BF995" s="1">
        <v>6.91</v>
      </c>
      <c r="BG995" s="1"/>
      <c r="BH995" s="1"/>
      <c r="BI995" s="1"/>
      <c r="BJ995" s="1"/>
      <c r="BK995" s="1"/>
      <c r="BL995" s="1"/>
      <c r="BM995" s="1"/>
      <c r="BN995" s="1"/>
      <c r="BO995" s="1" t="s">
        <v>18289</v>
      </c>
      <c r="BP995" s="1"/>
      <c r="BQ995" s="1"/>
      <c r="BR995" s="1"/>
      <c r="BS995" s="1"/>
      <c r="BT995" s="1"/>
      <c r="BU995" s="1" t="str">
        <f>HYPERLINK("https://nconnect.nicmar.ac.in/storage/profile/6a86bdc99a0cf.png","Download")</f>
        <v>0</v>
      </c>
      <c r="BV995" s="3"/>
      <c r="BW995" s="3"/>
    </row>
    <row r="996" spans="1:75">
      <c r="A996" s="1" t="s">
        <v>75</v>
      </c>
      <c r="B996" s="1" t="s">
        <v>13976</v>
      </c>
      <c r="C996" s="1" t="s">
        <v>18290</v>
      </c>
      <c r="D996" s="1" t="s">
        <v>18291</v>
      </c>
      <c r="E996" s="1"/>
      <c r="F996" s="1" t="s">
        <v>18292</v>
      </c>
      <c r="G996" s="1" t="s">
        <v>18293</v>
      </c>
      <c r="H996" s="1" t="s">
        <v>18294</v>
      </c>
      <c r="I996" s="1" t="s">
        <v>18294</v>
      </c>
      <c r="J996" s="1">
        <v>8178326019</v>
      </c>
      <c r="K996" s="1" t="s">
        <v>84</v>
      </c>
      <c r="L996" s="1" t="s">
        <v>18295</v>
      </c>
      <c r="M996" s="1" t="s">
        <v>86</v>
      </c>
      <c r="N996" s="1" t="s">
        <v>8293</v>
      </c>
      <c r="O996" s="1" t="s">
        <v>18296</v>
      </c>
      <c r="P996" s="1" t="s">
        <v>89</v>
      </c>
      <c r="Q996" s="1">
        <v>269355843336</v>
      </c>
      <c r="R996" s="1" t="s">
        <v>18297</v>
      </c>
      <c r="S996" s="1">
        <v>8700126899</v>
      </c>
      <c r="T996" s="1" t="s">
        <v>14256</v>
      </c>
      <c r="U996" s="1" t="s">
        <v>18298</v>
      </c>
      <c r="V996" s="1">
        <v>8700024281</v>
      </c>
      <c r="W996" s="1" t="s">
        <v>10306</v>
      </c>
      <c r="X996" s="1" t="s">
        <v>18299</v>
      </c>
      <c r="Y996" s="1" t="s">
        <v>3767</v>
      </c>
      <c r="Z996" s="1" t="s">
        <v>544</v>
      </c>
      <c r="AA996" s="1" t="s">
        <v>18299</v>
      </c>
      <c r="AB996" s="1" t="s">
        <v>3767</v>
      </c>
      <c r="AC996" s="1" t="s">
        <v>544</v>
      </c>
      <c r="AD996" s="1" t="s">
        <v>98</v>
      </c>
      <c r="AE996" s="1" t="s">
        <v>98</v>
      </c>
      <c r="AF996" s="1" t="s">
        <v>18300</v>
      </c>
      <c r="AG996" s="1" t="s">
        <v>18301</v>
      </c>
      <c r="AH996" s="1" t="s">
        <v>704</v>
      </c>
      <c r="AI996" s="1" t="s">
        <v>171</v>
      </c>
      <c r="AJ996" s="1">
        <v>89.6</v>
      </c>
      <c r="AK996" s="1"/>
      <c r="AL996" s="1" t="s">
        <v>18300</v>
      </c>
      <c r="AM996" s="1" t="s">
        <v>18301</v>
      </c>
      <c r="AN996" s="1" t="s">
        <v>465</v>
      </c>
      <c r="AO996" s="1" t="s">
        <v>547</v>
      </c>
      <c r="AP996" s="1" t="s">
        <v>178</v>
      </c>
      <c r="AQ996" s="1">
        <v>81.2</v>
      </c>
      <c r="AR996" s="1"/>
      <c r="AS996" s="1"/>
      <c r="AT996" s="1"/>
      <c r="AU996" s="1"/>
      <c r="AV996" s="1"/>
      <c r="AW996" s="1"/>
      <c r="AX996" s="1"/>
      <c r="AY996" s="1" t="s">
        <v>14806</v>
      </c>
      <c r="AZ996" s="1" t="s">
        <v>18302</v>
      </c>
      <c r="BA996" s="1" t="s">
        <v>466</v>
      </c>
      <c r="BB996" s="1" t="s">
        <v>467</v>
      </c>
      <c r="BC996" s="1" t="s">
        <v>233</v>
      </c>
      <c r="BD996" s="1" t="s">
        <v>1089</v>
      </c>
      <c r="BE996" s="1">
        <v>94</v>
      </c>
      <c r="BF996" s="1"/>
      <c r="BG996" s="1"/>
      <c r="BH996" s="1"/>
      <c r="BI996" s="1"/>
      <c r="BJ996" s="1"/>
      <c r="BK996" s="1"/>
      <c r="BL996" s="1"/>
      <c r="BM996" s="1"/>
      <c r="BN996" s="1"/>
      <c r="BO996" s="1" t="s">
        <v>18303</v>
      </c>
      <c r="BP996" s="1" t="s">
        <v>18304</v>
      </c>
      <c r="BQ996" s="1" t="s">
        <v>1564</v>
      </c>
      <c r="BR996" s="1" t="s">
        <v>18305</v>
      </c>
      <c r="BS996" s="1">
        <v>4</v>
      </c>
      <c r="BT996" s="1" t="s">
        <v>18306</v>
      </c>
      <c r="BU996" s="1" t="str">
        <f>HYPERLINK("https://nconnect.nicmar.ac.in/storage/profile/6a873d08e4b8b.png","Download")</f>
        <v>0</v>
      </c>
      <c r="BV996" s="3"/>
      <c r="BW996" s="3"/>
    </row>
    <row r="997" spans="1:75">
      <c r="A997" s="1" t="s">
        <v>75</v>
      </c>
      <c r="B997" s="1" t="s">
        <v>13976</v>
      </c>
      <c r="C997" s="1" t="s">
        <v>18307</v>
      </c>
      <c r="D997" s="1" t="s">
        <v>18308</v>
      </c>
      <c r="E997" s="1" t="s">
        <v>15067</v>
      </c>
      <c r="F997" s="1" t="s">
        <v>18309</v>
      </c>
      <c r="G997" s="1" t="s">
        <v>18310</v>
      </c>
      <c r="H997" s="1" t="s">
        <v>18311</v>
      </c>
      <c r="I997" s="1" t="s">
        <v>18311</v>
      </c>
      <c r="J997" s="1">
        <v>9284956778</v>
      </c>
      <c r="K997" s="1" t="s">
        <v>84</v>
      </c>
      <c r="L997" s="1" t="s">
        <v>18312</v>
      </c>
      <c r="M997" s="1" t="s">
        <v>86</v>
      </c>
      <c r="N997" s="1" t="s">
        <v>768</v>
      </c>
      <c r="O997" s="1" t="s">
        <v>10801</v>
      </c>
      <c r="P997" s="1" t="s">
        <v>122</v>
      </c>
      <c r="Q997" s="1">
        <v>895385932511</v>
      </c>
      <c r="R997" s="1" t="s">
        <v>18313</v>
      </c>
      <c r="S997" s="1">
        <v>9423649872</v>
      </c>
      <c r="T997" s="1" t="s">
        <v>14800</v>
      </c>
      <c r="U997" s="1" t="s">
        <v>18314</v>
      </c>
      <c r="V997" s="1">
        <v>9422858417</v>
      </c>
      <c r="W997" s="1" t="s">
        <v>14154</v>
      </c>
      <c r="X997" s="1" t="s">
        <v>18315</v>
      </c>
      <c r="Y997" s="1" t="s">
        <v>224</v>
      </c>
      <c r="Z997" s="1" t="s">
        <v>97</v>
      </c>
      <c r="AA997" s="1" t="s">
        <v>18315</v>
      </c>
      <c r="AB997" s="1" t="s">
        <v>224</v>
      </c>
      <c r="AC997" s="1" t="s">
        <v>97</v>
      </c>
      <c r="AD997" s="1" t="s">
        <v>98</v>
      </c>
      <c r="AE997" s="1" t="s">
        <v>98</v>
      </c>
      <c r="AF997" s="1" t="s">
        <v>18316</v>
      </c>
      <c r="AG997" s="1" t="s">
        <v>16724</v>
      </c>
      <c r="AH997" s="1" t="s">
        <v>200</v>
      </c>
      <c r="AI997" s="1" t="s">
        <v>286</v>
      </c>
      <c r="AJ997" s="1">
        <v>75.6</v>
      </c>
      <c r="AK997" s="1"/>
      <c r="AL997" s="1" t="s">
        <v>18317</v>
      </c>
      <c r="AM997" s="1" t="s">
        <v>16724</v>
      </c>
      <c r="AN997" s="1" t="s">
        <v>465</v>
      </c>
      <c r="AO997" s="1" t="s">
        <v>203</v>
      </c>
      <c r="AP997" s="1" t="s">
        <v>365</v>
      </c>
      <c r="AQ997" s="1">
        <v>70</v>
      </c>
      <c r="AR997" s="1"/>
      <c r="AS997" s="1"/>
      <c r="AT997" s="1"/>
      <c r="AU997" s="1"/>
      <c r="AV997" s="1"/>
      <c r="AW997" s="1"/>
      <c r="AX997" s="1"/>
      <c r="AY997" s="1" t="s">
        <v>18318</v>
      </c>
      <c r="AZ997" s="1" t="s">
        <v>18319</v>
      </c>
      <c r="BA997" s="1" t="s">
        <v>578</v>
      </c>
      <c r="BB997" s="1" t="s">
        <v>467</v>
      </c>
      <c r="BC997" s="1" t="s">
        <v>368</v>
      </c>
      <c r="BD997" s="1" t="s">
        <v>418</v>
      </c>
      <c r="BE997" s="1">
        <v>67.15</v>
      </c>
      <c r="BF997" s="1">
        <v>6.48</v>
      </c>
      <c r="BG997" s="1"/>
      <c r="BH997" s="1"/>
      <c r="BI997" s="1"/>
      <c r="BJ997" s="1"/>
      <c r="BK997" s="1"/>
      <c r="BL997" s="1"/>
      <c r="BM997" s="1"/>
      <c r="BN997" s="1"/>
      <c r="BO997" s="1" t="s">
        <v>98</v>
      </c>
      <c r="BP997" s="1" t="s">
        <v>18320</v>
      </c>
      <c r="BQ997" s="1" t="s">
        <v>1174</v>
      </c>
      <c r="BR997" s="1"/>
      <c r="BS997" s="1"/>
      <c r="BT997" s="1"/>
      <c r="BU997" s="1" t="str">
        <f>HYPERLINK("https://nconnect.nicmar.ac.in/storage/profile/6a84930bcf276.png","Download")</f>
        <v>0</v>
      </c>
      <c r="BV997" s="3"/>
      <c r="BW997" s="3"/>
    </row>
    <row r="998" spans="1:75">
      <c r="A998" s="1" t="s">
        <v>75</v>
      </c>
      <c r="B998" s="1" t="s">
        <v>13976</v>
      </c>
      <c r="C998" s="1" t="s">
        <v>18321</v>
      </c>
      <c r="D998" s="1" t="s">
        <v>18322</v>
      </c>
      <c r="E998" s="1"/>
      <c r="F998" s="1" t="s">
        <v>18323</v>
      </c>
      <c r="G998" s="1" t="s">
        <v>18324</v>
      </c>
      <c r="H998" s="1" t="s">
        <v>18325</v>
      </c>
      <c r="I998" s="1" t="s">
        <v>18326</v>
      </c>
      <c r="J998" s="1">
        <v>9188052529</v>
      </c>
      <c r="K998" s="1" t="s">
        <v>153</v>
      </c>
      <c r="L998" s="1" t="s">
        <v>18327</v>
      </c>
      <c r="M998" s="1" t="s">
        <v>86</v>
      </c>
      <c r="N998" s="1" t="s">
        <v>18328</v>
      </c>
      <c r="O998" s="1" t="s">
        <v>18329</v>
      </c>
      <c r="P998" s="1" t="s">
        <v>219</v>
      </c>
      <c r="Q998" s="1">
        <v>856053435110</v>
      </c>
      <c r="R998" s="1" t="s">
        <v>18330</v>
      </c>
      <c r="S998" s="1">
        <v>9496418937</v>
      </c>
      <c r="T998" s="1" t="s">
        <v>18331</v>
      </c>
      <c r="U998" s="1" t="s">
        <v>18332</v>
      </c>
      <c r="V998" s="1">
        <v>9349174160</v>
      </c>
      <c r="W998" s="1" t="s">
        <v>3441</v>
      </c>
      <c r="X998" s="1" t="s">
        <v>18333</v>
      </c>
      <c r="Y998" s="1" t="s">
        <v>1307</v>
      </c>
      <c r="Z998" s="1" t="s">
        <v>130</v>
      </c>
      <c r="AA998" s="1" t="s">
        <v>18334</v>
      </c>
      <c r="AB998" s="1" t="s">
        <v>701</v>
      </c>
      <c r="AC998" s="1" t="s">
        <v>130</v>
      </c>
      <c r="AD998" s="1" t="s">
        <v>98</v>
      </c>
      <c r="AE998" s="1" t="s">
        <v>98</v>
      </c>
      <c r="AF998" s="1" t="s">
        <v>18335</v>
      </c>
      <c r="AG998" s="1" t="s">
        <v>17123</v>
      </c>
      <c r="AH998" s="1" t="s">
        <v>170</v>
      </c>
      <c r="AI998" s="1" t="s">
        <v>286</v>
      </c>
      <c r="AJ998" s="1">
        <v>98</v>
      </c>
      <c r="AK998" s="1">
        <v>9.8</v>
      </c>
      <c r="AL998" s="1" t="s">
        <v>18336</v>
      </c>
      <c r="AM998" s="1" t="s">
        <v>18337</v>
      </c>
      <c r="AN998" s="1" t="s">
        <v>6380</v>
      </c>
      <c r="AO998" s="1" t="s">
        <v>438</v>
      </c>
      <c r="AP998" s="1" t="s">
        <v>178</v>
      </c>
      <c r="AQ998" s="1">
        <v>94.5</v>
      </c>
      <c r="AR998" s="1">
        <v>9.45</v>
      </c>
      <c r="AS998" s="1"/>
      <c r="AT998" s="1"/>
      <c r="AU998" s="1"/>
      <c r="AV998" s="1"/>
      <c r="AW998" s="1"/>
      <c r="AX998" s="1"/>
      <c r="AY998" s="1" t="s">
        <v>15573</v>
      </c>
      <c r="AZ998" s="1" t="s">
        <v>18338</v>
      </c>
      <c r="BA998" s="1" t="s">
        <v>466</v>
      </c>
      <c r="BB998" s="1" t="s">
        <v>467</v>
      </c>
      <c r="BC998" s="1" t="s">
        <v>1647</v>
      </c>
      <c r="BD998" s="1" t="s">
        <v>418</v>
      </c>
      <c r="BE998" s="1">
        <v>81.2</v>
      </c>
      <c r="BF998" s="1">
        <v>8.12</v>
      </c>
      <c r="BG998" s="1"/>
      <c r="BH998" s="1"/>
      <c r="BI998" s="1"/>
      <c r="BJ998" s="1"/>
      <c r="BK998" s="1"/>
      <c r="BL998" s="1"/>
      <c r="BM998" s="1"/>
      <c r="BN998" s="1"/>
      <c r="BO998" s="1" t="s">
        <v>18339</v>
      </c>
      <c r="BP998" s="1" t="s">
        <v>18340</v>
      </c>
      <c r="BQ998" s="1" t="s">
        <v>1482</v>
      </c>
      <c r="BR998" s="1" t="s">
        <v>18341</v>
      </c>
      <c r="BS998" s="1">
        <v>1</v>
      </c>
      <c r="BT998" s="1"/>
      <c r="BU998" s="1" t="str">
        <f>HYPERLINK("https://nconnect.nicmar.ac.in/storage/profile/6a8b58568d421.png","Download")</f>
        <v>0</v>
      </c>
      <c r="BV998" s="3"/>
      <c r="BW998" s="3"/>
    </row>
    <row r="999" spans="1:75">
      <c r="A999" s="1" t="s">
        <v>75</v>
      </c>
      <c r="B999" s="1" t="s">
        <v>13976</v>
      </c>
      <c r="C999" s="1" t="s">
        <v>18342</v>
      </c>
      <c r="D999" s="1" t="s">
        <v>18343</v>
      </c>
      <c r="E999" s="1" t="s">
        <v>18344</v>
      </c>
      <c r="F999" s="1" t="s">
        <v>18345</v>
      </c>
      <c r="G999" s="1" t="s">
        <v>18346</v>
      </c>
      <c r="H999" s="1" t="s">
        <v>18347</v>
      </c>
      <c r="I999" s="1" t="s">
        <v>18347</v>
      </c>
      <c r="J999" s="1">
        <v>8169421224</v>
      </c>
      <c r="K999" s="1" t="s">
        <v>84</v>
      </c>
      <c r="L999" s="1" t="s">
        <v>12438</v>
      </c>
      <c r="M999" s="1" t="s">
        <v>86</v>
      </c>
      <c r="N999" s="1" t="s">
        <v>18348</v>
      </c>
      <c r="O999" s="1" t="s">
        <v>18349</v>
      </c>
      <c r="P999" s="1" t="s">
        <v>219</v>
      </c>
      <c r="Q999" s="1">
        <v>316937568256</v>
      </c>
      <c r="R999" s="1" t="s">
        <v>18350</v>
      </c>
      <c r="S999" s="1">
        <v>9221758100</v>
      </c>
      <c r="T999" s="1" t="s">
        <v>18351</v>
      </c>
      <c r="U999" s="1" t="s">
        <v>18352</v>
      </c>
      <c r="V999" s="1">
        <v>9221406960</v>
      </c>
      <c r="W999" s="1" t="s">
        <v>14212</v>
      </c>
      <c r="X999" s="1" t="s">
        <v>18353</v>
      </c>
      <c r="Y999" s="1" t="s">
        <v>1012</v>
      </c>
      <c r="Z999" s="1" t="s">
        <v>97</v>
      </c>
      <c r="AA999" s="1" t="s">
        <v>18353</v>
      </c>
      <c r="AB999" s="1" t="s">
        <v>1012</v>
      </c>
      <c r="AC999" s="1" t="s">
        <v>97</v>
      </c>
      <c r="AD999" s="1" t="s">
        <v>98</v>
      </c>
      <c r="AE999" s="1" t="s">
        <v>98</v>
      </c>
      <c r="AF999" s="1" t="s">
        <v>18354</v>
      </c>
      <c r="AG999" s="1" t="s">
        <v>18355</v>
      </c>
      <c r="AH999" s="1" t="s">
        <v>170</v>
      </c>
      <c r="AI999" s="1" t="s">
        <v>286</v>
      </c>
      <c r="AJ999" s="1">
        <v>78.2</v>
      </c>
      <c r="AK999" s="1"/>
      <c r="AL999" s="1" t="s">
        <v>18356</v>
      </c>
      <c r="AM999" s="1" t="s">
        <v>14238</v>
      </c>
      <c r="AN999" s="1" t="s">
        <v>465</v>
      </c>
      <c r="AO999" s="1" t="s">
        <v>414</v>
      </c>
      <c r="AP999" s="1" t="s">
        <v>365</v>
      </c>
      <c r="AQ999" s="1">
        <v>70.15</v>
      </c>
      <c r="AR999" s="1"/>
      <c r="AS999" s="1"/>
      <c r="AT999" s="1"/>
      <c r="AU999" s="1"/>
      <c r="AV999" s="1"/>
      <c r="AW999" s="1"/>
      <c r="AX999" s="1"/>
      <c r="AY999" s="1" t="s">
        <v>14380</v>
      </c>
      <c r="AZ999" s="1" t="s">
        <v>18357</v>
      </c>
      <c r="BA999" s="1" t="s">
        <v>466</v>
      </c>
      <c r="BB999" s="1" t="s">
        <v>467</v>
      </c>
      <c r="BC999" s="1" t="s">
        <v>1040</v>
      </c>
      <c r="BD999" s="1" t="s">
        <v>1242</v>
      </c>
      <c r="BE999" s="1">
        <v>66.24</v>
      </c>
      <c r="BF999" s="1">
        <v>7.22</v>
      </c>
      <c r="BG999" s="1"/>
      <c r="BH999" s="1"/>
      <c r="BI999" s="1"/>
      <c r="BJ999" s="1"/>
      <c r="BK999" s="1"/>
      <c r="BL999" s="1"/>
      <c r="BM999" s="1"/>
      <c r="BN999" s="1"/>
      <c r="BO999" s="1" t="s">
        <v>18358</v>
      </c>
      <c r="BP999" s="1"/>
      <c r="BQ999" s="1"/>
      <c r="BR999" s="1"/>
      <c r="BS999" s="1"/>
      <c r="BT999" s="1" t="s">
        <v>18359</v>
      </c>
      <c r="BU999" s="1" t="str">
        <f>HYPERLINK("https://nconnect.nicmar.ac.in/storage/profile/6a871d5e5fb34.png","Download")</f>
        <v>0</v>
      </c>
      <c r="BV999" s="3"/>
      <c r="BW999" s="3"/>
    </row>
    <row r="1000" spans="1:75">
      <c r="A1000" s="1" t="s">
        <v>75</v>
      </c>
      <c r="B1000" s="1" t="s">
        <v>13976</v>
      </c>
      <c r="C1000" s="1" t="s">
        <v>18360</v>
      </c>
      <c r="D1000" s="1" t="s">
        <v>18361</v>
      </c>
      <c r="E1000" s="1" t="s">
        <v>18362</v>
      </c>
      <c r="F1000" s="1" t="s">
        <v>18363</v>
      </c>
      <c r="G1000" s="1" t="s">
        <v>18364</v>
      </c>
      <c r="H1000" s="1" t="s">
        <v>18365</v>
      </c>
      <c r="I1000" s="1" t="s">
        <v>18366</v>
      </c>
      <c r="J1000" s="1">
        <v>7709445770</v>
      </c>
      <c r="K1000" s="1" t="s">
        <v>84</v>
      </c>
      <c r="L1000" s="1" t="s">
        <v>13829</v>
      </c>
      <c r="M1000" s="1" t="s">
        <v>86</v>
      </c>
      <c r="N1000" s="1" t="s">
        <v>768</v>
      </c>
      <c r="O1000" s="1" t="s">
        <v>18367</v>
      </c>
      <c r="P1000" s="1" t="s">
        <v>219</v>
      </c>
      <c r="Q1000" s="1">
        <v>958440800620</v>
      </c>
      <c r="R1000" s="1" t="s">
        <v>18362</v>
      </c>
      <c r="S1000" s="1">
        <v>7499067767</v>
      </c>
      <c r="T1000" s="1" t="s">
        <v>18368</v>
      </c>
      <c r="U1000" s="1" t="s">
        <v>18369</v>
      </c>
      <c r="V1000" s="1">
        <v>9130324544</v>
      </c>
      <c r="W1000" s="1" t="s">
        <v>14154</v>
      </c>
      <c r="X1000" s="1" t="s">
        <v>18370</v>
      </c>
      <c r="Y1000" s="1" t="s">
        <v>434</v>
      </c>
      <c r="Z1000" s="1" t="s">
        <v>97</v>
      </c>
      <c r="AA1000" s="1" t="s">
        <v>18370</v>
      </c>
      <c r="AB1000" s="1" t="s">
        <v>434</v>
      </c>
      <c r="AC1000" s="1" t="s">
        <v>97</v>
      </c>
      <c r="AD1000" s="1" t="s">
        <v>98</v>
      </c>
      <c r="AE1000" s="1" t="s">
        <v>98</v>
      </c>
      <c r="AF1000" s="1" t="s">
        <v>18371</v>
      </c>
      <c r="AG1000" s="1" t="s">
        <v>18372</v>
      </c>
      <c r="AH1000" s="1" t="s">
        <v>414</v>
      </c>
      <c r="AI1000" s="1" t="s">
        <v>468</v>
      </c>
      <c r="AJ1000" s="1">
        <v>85.0</v>
      </c>
      <c r="AK1000" s="1"/>
      <c r="AL1000" s="1"/>
      <c r="AM1000" s="1"/>
      <c r="AN1000" s="1"/>
      <c r="AO1000" s="1"/>
      <c r="AP1000" s="1"/>
      <c r="AQ1000" s="1"/>
      <c r="AR1000" s="1"/>
      <c r="AS1000" s="1" t="s">
        <v>14377</v>
      </c>
      <c r="AT1000" s="1" t="s">
        <v>18373</v>
      </c>
      <c r="AU1000" s="1" t="s">
        <v>233</v>
      </c>
      <c r="AV1000" s="1" t="s">
        <v>234</v>
      </c>
      <c r="AW1000" s="1">
        <v>77.53</v>
      </c>
      <c r="AX1000" s="1"/>
      <c r="AY1000" s="1" t="s">
        <v>14160</v>
      </c>
      <c r="AZ1000" s="1" t="s">
        <v>18374</v>
      </c>
      <c r="BA1000" s="1" t="s">
        <v>578</v>
      </c>
      <c r="BB1000" s="1" t="s">
        <v>467</v>
      </c>
      <c r="BC1000" s="1" t="s">
        <v>1267</v>
      </c>
      <c r="BD1000" s="1" t="s">
        <v>14162</v>
      </c>
      <c r="BE1000" s="1">
        <v>69.8</v>
      </c>
      <c r="BF1000" s="1">
        <v>7.73</v>
      </c>
      <c r="BG1000" s="1"/>
      <c r="BH1000" s="1"/>
      <c r="BI1000" s="1"/>
      <c r="BJ1000" s="1"/>
      <c r="BK1000" s="1"/>
      <c r="BL1000" s="1"/>
      <c r="BM1000" s="1"/>
      <c r="BN1000" s="1"/>
      <c r="BO1000" s="1" t="s">
        <v>260</v>
      </c>
      <c r="BP1000" s="1"/>
      <c r="BQ1000" s="1"/>
      <c r="BR1000" s="1" t="s">
        <v>18375</v>
      </c>
      <c r="BS1000" s="1">
        <v>10</v>
      </c>
      <c r="BT1000" s="1"/>
      <c r="BU1000" s="1" t="str">
        <f>HYPERLINK("https://nconnect.nicmar.ac.in/storage/profile/6a873d107795c.png","Download")</f>
        <v>0</v>
      </c>
      <c r="BV1000" s="3"/>
      <c r="BW1000" s="3"/>
    </row>
    <row r="1001" spans="1:75">
      <c r="A1001" s="1" t="s">
        <v>75</v>
      </c>
      <c r="B1001" s="1" t="s">
        <v>13976</v>
      </c>
      <c r="C1001" s="1" t="s">
        <v>18376</v>
      </c>
      <c r="D1001" s="1" t="s">
        <v>8398</v>
      </c>
      <c r="E1001" s="1"/>
      <c r="F1001" s="1" t="s">
        <v>18377</v>
      </c>
      <c r="G1001" s="1" t="s">
        <v>18378</v>
      </c>
      <c r="H1001" s="1" t="s">
        <v>18379</v>
      </c>
      <c r="I1001" s="1" t="s">
        <v>18379</v>
      </c>
      <c r="J1001" s="1">
        <v>7058290304</v>
      </c>
      <c r="K1001" s="1" t="s">
        <v>84</v>
      </c>
      <c r="L1001" s="1" t="s">
        <v>2485</v>
      </c>
      <c r="M1001" s="1" t="s">
        <v>86</v>
      </c>
      <c r="N1001" s="1" t="s">
        <v>18380</v>
      </c>
      <c r="O1001" s="1" t="s">
        <v>18381</v>
      </c>
      <c r="P1001" s="1" t="s">
        <v>219</v>
      </c>
      <c r="Q1001" s="1">
        <v>338665349710</v>
      </c>
      <c r="R1001" s="1" t="s">
        <v>18382</v>
      </c>
      <c r="S1001" s="1">
        <v>9822854814</v>
      </c>
      <c r="T1001" s="1" t="s">
        <v>926</v>
      </c>
      <c r="U1001" s="1" t="s">
        <v>18383</v>
      </c>
      <c r="V1001" s="1">
        <v>8975210077</v>
      </c>
      <c r="W1001" s="1" t="s">
        <v>161</v>
      </c>
      <c r="X1001" s="1" t="s">
        <v>18384</v>
      </c>
      <c r="Y1001" s="1" t="s">
        <v>434</v>
      </c>
      <c r="Z1001" s="1" t="s">
        <v>97</v>
      </c>
      <c r="AA1001" s="1" t="s">
        <v>18385</v>
      </c>
      <c r="AB1001" s="1" t="s">
        <v>196</v>
      </c>
      <c r="AC1001" s="1" t="s">
        <v>97</v>
      </c>
      <c r="AD1001" s="1" t="s">
        <v>98</v>
      </c>
      <c r="AE1001" s="1" t="s">
        <v>98</v>
      </c>
      <c r="AF1001" s="1" t="s">
        <v>18386</v>
      </c>
      <c r="AG1001" s="1" t="s">
        <v>199</v>
      </c>
      <c r="AH1001" s="1" t="s">
        <v>7331</v>
      </c>
      <c r="AI1001" s="1" t="s">
        <v>313</v>
      </c>
      <c r="AJ1001" s="1">
        <v>63.4</v>
      </c>
      <c r="AK1001" s="1"/>
      <c r="AL1001" s="1" t="s">
        <v>18387</v>
      </c>
      <c r="AM1001" s="1" t="s">
        <v>202</v>
      </c>
      <c r="AN1001" s="1" t="s">
        <v>465</v>
      </c>
      <c r="AO1001" s="1" t="s">
        <v>438</v>
      </c>
      <c r="AP1001" s="1" t="s">
        <v>845</v>
      </c>
      <c r="AQ1001" s="1">
        <v>81.83</v>
      </c>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t="s">
        <v>18388</v>
      </c>
      <c r="BP1001" s="1"/>
      <c r="BQ1001" s="1"/>
      <c r="BR1001" s="1"/>
      <c r="BS1001" s="1"/>
      <c r="BT1001" s="1"/>
      <c r="BU1001" s="1" t="str">
        <f>HYPERLINK("https://nconnect.nicmar.ac.in/storage/profile/6a874352822c3.png","Download")</f>
        <v>0</v>
      </c>
      <c r="BV1001" s="3"/>
      <c r="BW1001" s="3"/>
    </row>
    <row r="1002" spans="1:75">
      <c r="A1002" s="1" t="s">
        <v>75</v>
      </c>
      <c r="B1002" s="1" t="s">
        <v>13976</v>
      </c>
      <c r="C1002" s="1" t="s">
        <v>18389</v>
      </c>
      <c r="D1002" s="1" t="s">
        <v>18390</v>
      </c>
      <c r="E1002" s="1" t="s">
        <v>18391</v>
      </c>
      <c r="F1002" s="1" t="s">
        <v>18392</v>
      </c>
      <c r="G1002" s="1" t="s">
        <v>18393</v>
      </c>
      <c r="H1002" s="1" t="s">
        <v>18394</v>
      </c>
      <c r="I1002" s="1" t="s">
        <v>18394</v>
      </c>
      <c r="J1002" s="1">
        <v>9324175833</v>
      </c>
      <c r="K1002" s="1" t="s">
        <v>84</v>
      </c>
      <c r="L1002" s="1" t="s">
        <v>12304</v>
      </c>
      <c r="M1002" s="1" t="s">
        <v>86</v>
      </c>
      <c r="N1002" s="1" t="s">
        <v>18395</v>
      </c>
      <c r="O1002" s="1" t="s">
        <v>18396</v>
      </c>
      <c r="P1002" s="1" t="s">
        <v>89</v>
      </c>
      <c r="Q1002" s="1" t="s">
        <v>18397</v>
      </c>
      <c r="R1002" s="1" t="s">
        <v>18398</v>
      </c>
      <c r="S1002" s="1">
        <v>9167058745</v>
      </c>
      <c r="T1002" s="1" t="s">
        <v>18399</v>
      </c>
      <c r="U1002" s="1" t="s">
        <v>18400</v>
      </c>
      <c r="V1002" s="1">
        <v>9326917960</v>
      </c>
      <c r="W1002" s="1" t="s">
        <v>14154</v>
      </c>
      <c r="X1002" s="1" t="s">
        <v>18401</v>
      </c>
      <c r="Y1002" s="1" t="s">
        <v>1012</v>
      </c>
      <c r="Z1002" s="1" t="s">
        <v>97</v>
      </c>
      <c r="AA1002" s="1" t="s">
        <v>18401</v>
      </c>
      <c r="AB1002" s="1" t="s">
        <v>1012</v>
      </c>
      <c r="AC1002" s="1" t="s">
        <v>97</v>
      </c>
      <c r="AD1002" s="1" t="s">
        <v>98</v>
      </c>
      <c r="AE1002" s="1" t="s">
        <v>98</v>
      </c>
      <c r="AF1002" s="1" t="s">
        <v>18402</v>
      </c>
      <c r="AG1002" s="1" t="s">
        <v>18403</v>
      </c>
      <c r="AH1002" s="1" t="s">
        <v>167</v>
      </c>
      <c r="AI1002" s="1" t="s">
        <v>170</v>
      </c>
      <c r="AJ1002" s="1">
        <v>78.2</v>
      </c>
      <c r="AK1002" s="1">
        <v>8.23</v>
      </c>
      <c r="AL1002" s="1"/>
      <c r="AM1002" s="1"/>
      <c r="AN1002" s="1"/>
      <c r="AO1002" s="1"/>
      <c r="AP1002" s="1"/>
      <c r="AQ1002" s="1"/>
      <c r="AR1002" s="1"/>
      <c r="AS1002" s="1" t="s">
        <v>14377</v>
      </c>
      <c r="AT1002" s="1" t="s">
        <v>18404</v>
      </c>
      <c r="AU1002" s="1" t="s">
        <v>438</v>
      </c>
      <c r="AV1002" s="1" t="s">
        <v>847</v>
      </c>
      <c r="AW1002" s="1">
        <v>84.53</v>
      </c>
      <c r="AX1002" s="1"/>
      <c r="AY1002" s="1" t="s">
        <v>14059</v>
      </c>
      <c r="AZ1002" s="1" t="s">
        <v>18405</v>
      </c>
      <c r="BA1002" s="1" t="s">
        <v>578</v>
      </c>
      <c r="BB1002" s="1" t="s">
        <v>467</v>
      </c>
      <c r="BC1002" s="1" t="s">
        <v>441</v>
      </c>
      <c r="BD1002" s="1" t="s">
        <v>1089</v>
      </c>
      <c r="BE1002" s="1">
        <v>63.07</v>
      </c>
      <c r="BF1002" s="1">
        <v>7.06</v>
      </c>
      <c r="BG1002" s="1"/>
      <c r="BH1002" s="1"/>
      <c r="BI1002" s="1"/>
      <c r="BJ1002" s="1"/>
      <c r="BK1002" s="1"/>
      <c r="BL1002" s="1"/>
      <c r="BM1002" s="1"/>
      <c r="BN1002" s="1"/>
      <c r="BO1002" s="1" t="s">
        <v>18406</v>
      </c>
      <c r="BP1002" s="1" t="s">
        <v>18407</v>
      </c>
      <c r="BQ1002" s="1" t="s">
        <v>1152</v>
      </c>
      <c r="BR1002" s="1"/>
      <c r="BS1002" s="1"/>
      <c r="BT1002" s="1"/>
      <c r="BU1002" s="1" t="str">
        <f>HYPERLINK("https://nconnect.nicmar.ac.in/storage/profile/6a87241902a0e.png","Download")</f>
        <v>0</v>
      </c>
      <c r="BV1002" s="3"/>
      <c r="BW1002" s="3"/>
    </row>
    <row r="1003" spans="1:75">
      <c r="A1003" s="1" t="s">
        <v>75</v>
      </c>
      <c r="B1003" s="1" t="s">
        <v>13976</v>
      </c>
      <c r="C1003" s="1" t="s">
        <v>18408</v>
      </c>
      <c r="D1003" s="1" t="s">
        <v>18409</v>
      </c>
      <c r="E1003" s="1" t="s">
        <v>1320</v>
      </c>
      <c r="F1003" s="1" t="s">
        <v>18410</v>
      </c>
      <c r="G1003" s="1" t="s">
        <v>18411</v>
      </c>
      <c r="H1003" s="1" t="s">
        <v>18412</v>
      </c>
      <c r="I1003" s="1" t="s">
        <v>18412</v>
      </c>
      <c r="J1003" s="1">
        <v>6309733772</v>
      </c>
      <c r="K1003" s="1" t="s">
        <v>84</v>
      </c>
      <c r="L1003" s="1" t="s">
        <v>2645</v>
      </c>
      <c r="M1003" s="1" t="s">
        <v>86</v>
      </c>
      <c r="N1003" s="1" t="s">
        <v>8347</v>
      </c>
      <c r="O1003" s="1" t="s">
        <v>18413</v>
      </c>
      <c r="P1003" s="1" t="s">
        <v>122</v>
      </c>
      <c r="Q1003" s="1">
        <v>305693267012</v>
      </c>
      <c r="R1003" s="1" t="s">
        <v>18414</v>
      </c>
      <c r="S1003" s="1">
        <v>9177346310</v>
      </c>
      <c r="T1003" s="1" t="s">
        <v>18415</v>
      </c>
      <c r="U1003" s="1" t="s">
        <v>18416</v>
      </c>
      <c r="V1003" s="1">
        <v>8106629705</v>
      </c>
      <c r="W1003" s="1" t="s">
        <v>541</v>
      </c>
      <c r="X1003" s="1" t="s">
        <v>18417</v>
      </c>
      <c r="Y1003" s="1" t="s">
        <v>1924</v>
      </c>
      <c r="Z1003" s="1" t="s">
        <v>281</v>
      </c>
      <c r="AA1003" s="1" t="s">
        <v>18417</v>
      </c>
      <c r="AB1003" s="1" t="s">
        <v>1924</v>
      </c>
      <c r="AC1003" s="1" t="s">
        <v>281</v>
      </c>
      <c r="AD1003" s="1" t="s">
        <v>98</v>
      </c>
      <c r="AE1003" s="1" t="s">
        <v>98</v>
      </c>
      <c r="AF1003" s="1" t="s">
        <v>18418</v>
      </c>
      <c r="AG1003" s="1" t="s">
        <v>18419</v>
      </c>
      <c r="AH1003" s="1" t="s">
        <v>200</v>
      </c>
      <c r="AI1003" s="1" t="s">
        <v>286</v>
      </c>
      <c r="AJ1003" s="1">
        <v>92</v>
      </c>
      <c r="AK1003" s="1">
        <v>9.2</v>
      </c>
      <c r="AL1003" s="1" t="s">
        <v>18420</v>
      </c>
      <c r="AM1003" s="1" t="s">
        <v>18419</v>
      </c>
      <c r="AN1003" s="1" t="s">
        <v>465</v>
      </c>
      <c r="AO1003" s="1" t="s">
        <v>286</v>
      </c>
      <c r="AP1003" s="1" t="s">
        <v>603</v>
      </c>
      <c r="AQ1003" s="1">
        <v>69.6</v>
      </c>
      <c r="AR1003" s="1">
        <v>6.96</v>
      </c>
      <c r="AS1003" s="1"/>
      <c r="AT1003" s="1"/>
      <c r="AU1003" s="1"/>
      <c r="AV1003" s="1"/>
      <c r="AW1003" s="1"/>
      <c r="AX1003" s="1"/>
      <c r="AY1003" s="1" t="s">
        <v>18421</v>
      </c>
      <c r="AZ1003" s="1" t="s">
        <v>18419</v>
      </c>
      <c r="BA1003" s="1" t="s">
        <v>466</v>
      </c>
      <c r="BB1003" s="1" t="s">
        <v>467</v>
      </c>
      <c r="BC1003" s="1" t="s">
        <v>417</v>
      </c>
      <c r="BD1003" s="1" t="s">
        <v>418</v>
      </c>
      <c r="BE1003" s="1">
        <v>65.62</v>
      </c>
      <c r="BF1003" s="1">
        <v>7.03</v>
      </c>
      <c r="BG1003" s="1"/>
      <c r="BH1003" s="1"/>
      <c r="BI1003" s="1"/>
      <c r="BJ1003" s="1"/>
      <c r="BK1003" s="1"/>
      <c r="BL1003" s="1"/>
      <c r="BM1003" s="1"/>
      <c r="BN1003" s="1"/>
      <c r="BO1003" s="1" t="s">
        <v>18422</v>
      </c>
      <c r="BP1003" s="1" t="s">
        <v>18423</v>
      </c>
      <c r="BQ1003" s="1" t="s">
        <v>6365</v>
      </c>
      <c r="BR1003" s="1"/>
      <c r="BS1003" s="1"/>
      <c r="BT1003" s="1"/>
      <c r="BU1003" s="1" t="str">
        <f>HYPERLINK("https://nconnect.nicmar.ac.in/storage/profile/6a85eccb62d04.png","Download")</f>
        <v>0</v>
      </c>
      <c r="BV1003" s="3"/>
      <c r="BW1003" s="3"/>
    </row>
    <row r="1004" spans="1:75">
      <c r="A1004" s="1" t="s">
        <v>75</v>
      </c>
      <c r="B1004" s="1" t="s">
        <v>13976</v>
      </c>
      <c r="C1004" s="1" t="s">
        <v>18424</v>
      </c>
      <c r="D1004" s="1" t="s">
        <v>18425</v>
      </c>
      <c r="E1004" s="1" t="s">
        <v>18426</v>
      </c>
      <c r="F1004" s="1" t="s">
        <v>18427</v>
      </c>
      <c r="G1004" s="1" t="s">
        <v>18428</v>
      </c>
      <c r="H1004" s="1" t="s">
        <v>18429</v>
      </c>
      <c r="I1004" s="1" t="s">
        <v>18430</v>
      </c>
      <c r="J1004" s="1">
        <v>8123840785</v>
      </c>
      <c r="K1004" s="1" t="s">
        <v>153</v>
      </c>
      <c r="L1004" s="1" t="s">
        <v>18431</v>
      </c>
      <c r="M1004" s="1" t="s">
        <v>86</v>
      </c>
      <c r="N1004" s="1" t="s">
        <v>18432</v>
      </c>
      <c r="O1004" s="1" t="s">
        <v>18433</v>
      </c>
      <c r="P1004" s="1" t="s">
        <v>122</v>
      </c>
      <c r="Q1004" s="1">
        <v>604530175958</v>
      </c>
      <c r="R1004" s="1" t="s">
        <v>18434</v>
      </c>
      <c r="S1004" s="1">
        <v>9448347622</v>
      </c>
      <c r="T1004" s="1" t="s">
        <v>18435</v>
      </c>
      <c r="U1004" s="1" t="s">
        <v>18436</v>
      </c>
      <c r="V1004" s="1">
        <v>9731142572</v>
      </c>
      <c r="W1004" s="1" t="s">
        <v>10306</v>
      </c>
      <c r="X1004" s="1" t="s">
        <v>18437</v>
      </c>
      <c r="Y1004" s="1" t="s">
        <v>18438</v>
      </c>
      <c r="Z1004" s="1" t="s">
        <v>1210</v>
      </c>
      <c r="AA1004" s="1" t="s">
        <v>18437</v>
      </c>
      <c r="AB1004" s="1" t="s">
        <v>18438</v>
      </c>
      <c r="AC1004" s="1" t="s">
        <v>1210</v>
      </c>
      <c r="AD1004" s="1" t="s">
        <v>98</v>
      </c>
      <c r="AE1004" s="1" t="s">
        <v>98</v>
      </c>
      <c r="AF1004" s="1" t="s">
        <v>18439</v>
      </c>
      <c r="AG1004" s="1" t="s">
        <v>18440</v>
      </c>
      <c r="AH1004" s="1" t="s">
        <v>106</v>
      </c>
      <c r="AI1004" s="1" t="s">
        <v>313</v>
      </c>
      <c r="AJ1004" s="1">
        <v>64.6</v>
      </c>
      <c r="AK1004" s="1">
        <v>6.8</v>
      </c>
      <c r="AL1004" s="1" t="s">
        <v>18441</v>
      </c>
      <c r="AM1004" s="1" t="s">
        <v>18442</v>
      </c>
      <c r="AN1004" s="1" t="s">
        <v>575</v>
      </c>
      <c r="AO1004" s="1" t="s">
        <v>438</v>
      </c>
      <c r="AP1004" s="1" t="s">
        <v>549</v>
      </c>
      <c r="AQ1004" s="1">
        <v>68.67</v>
      </c>
      <c r="AR1004" s="1">
        <v>6.8</v>
      </c>
      <c r="AS1004" s="1"/>
      <c r="AT1004" s="1"/>
      <c r="AU1004" s="1"/>
      <c r="AV1004" s="1"/>
      <c r="AW1004" s="1"/>
      <c r="AX1004" s="1"/>
      <c r="AY1004" s="1" t="s">
        <v>18443</v>
      </c>
      <c r="AZ1004" s="1" t="s">
        <v>18444</v>
      </c>
      <c r="BA1004" s="1" t="s">
        <v>578</v>
      </c>
      <c r="BB1004" s="1" t="s">
        <v>467</v>
      </c>
      <c r="BC1004" s="1" t="s">
        <v>549</v>
      </c>
      <c r="BD1004" s="1" t="s">
        <v>1401</v>
      </c>
      <c r="BE1004" s="1">
        <v>71</v>
      </c>
      <c r="BF1004" s="1">
        <v>6.93</v>
      </c>
      <c r="BG1004" s="1"/>
      <c r="BH1004" s="1"/>
      <c r="BI1004" s="1"/>
      <c r="BJ1004" s="1"/>
      <c r="BK1004" s="1"/>
      <c r="BL1004" s="1"/>
      <c r="BM1004" s="1"/>
      <c r="BN1004" s="1"/>
      <c r="BO1004" s="1" t="s">
        <v>18445</v>
      </c>
      <c r="BP1004" s="1"/>
      <c r="BQ1004" s="1"/>
      <c r="BR1004" s="1"/>
      <c r="BS1004" s="1"/>
      <c r="BT1004" s="1"/>
      <c r="BU1004" s="1" t="str">
        <f>HYPERLINK("https://nconnect.nicmar.ac.in/storage/profile/6a85f3533d6f2.png","Download")</f>
        <v>0</v>
      </c>
      <c r="BV1004" s="3"/>
      <c r="BW1004" s="3"/>
    </row>
    <row r="1005" spans="1:75">
      <c r="A1005" s="1" t="s">
        <v>75</v>
      </c>
      <c r="B1005" s="1" t="s">
        <v>13976</v>
      </c>
      <c r="C1005" s="1" t="s">
        <v>18446</v>
      </c>
      <c r="D1005" s="1" t="s">
        <v>18447</v>
      </c>
      <c r="E1005" s="1" t="s">
        <v>18448</v>
      </c>
      <c r="F1005" s="1" t="s">
        <v>18449</v>
      </c>
      <c r="G1005" s="1" t="s">
        <v>18450</v>
      </c>
      <c r="H1005" s="1" t="s">
        <v>18451</v>
      </c>
      <c r="I1005" s="1" t="s">
        <v>18451</v>
      </c>
      <c r="J1005" s="1">
        <v>8104789303</v>
      </c>
      <c r="K1005" s="1" t="s">
        <v>84</v>
      </c>
      <c r="L1005" s="1" t="s">
        <v>18452</v>
      </c>
      <c r="M1005" s="1" t="s">
        <v>86</v>
      </c>
      <c r="N1005" s="1" t="s">
        <v>18453</v>
      </c>
      <c r="O1005" s="1" t="s">
        <v>18454</v>
      </c>
      <c r="P1005" s="1" t="s">
        <v>219</v>
      </c>
      <c r="Q1005" s="1">
        <v>793010431336</v>
      </c>
      <c r="R1005" s="1" t="s">
        <v>18448</v>
      </c>
      <c r="S1005" s="1">
        <v>8104789456</v>
      </c>
      <c r="T1005" s="1" t="s">
        <v>18051</v>
      </c>
      <c r="U1005" s="1" t="s">
        <v>18455</v>
      </c>
      <c r="V1005" s="1">
        <v>9372234933</v>
      </c>
      <c r="W1005" s="1" t="s">
        <v>14154</v>
      </c>
      <c r="X1005" s="1" t="s">
        <v>18456</v>
      </c>
      <c r="Y1005" s="1" t="s">
        <v>1882</v>
      </c>
      <c r="Z1005" s="1" t="s">
        <v>97</v>
      </c>
      <c r="AA1005" s="1" t="s">
        <v>18456</v>
      </c>
      <c r="AB1005" s="1" t="s">
        <v>1882</v>
      </c>
      <c r="AC1005" s="1" t="s">
        <v>97</v>
      </c>
      <c r="AD1005" s="1" t="s">
        <v>98</v>
      </c>
      <c r="AE1005" s="1" t="s">
        <v>98</v>
      </c>
      <c r="AF1005" s="1" t="s">
        <v>18457</v>
      </c>
      <c r="AG1005" s="1" t="s">
        <v>18458</v>
      </c>
      <c r="AH1005" s="1" t="s">
        <v>170</v>
      </c>
      <c r="AI1005" s="1" t="s">
        <v>106</v>
      </c>
      <c r="AJ1005" s="1">
        <v>84.6</v>
      </c>
      <c r="AK1005" s="1">
        <v>8.9</v>
      </c>
      <c r="AL1005" s="1" t="s">
        <v>18459</v>
      </c>
      <c r="AM1005" s="1" t="s">
        <v>18460</v>
      </c>
      <c r="AN1005" s="1" t="s">
        <v>465</v>
      </c>
      <c r="AO1005" s="1" t="s">
        <v>438</v>
      </c>
      <c r="AP1005" s="1" t="s">
        <v>1040</v>
      </c>
      <c r="AQ1005" s="1">
        <v>62.31</v>
      </c>
      <c r="AR1005" s="1">
        <v>6.55</v>
      </c>
      <c r="AS1005" s="1"/>
      <c r="AT1005" s="1"/>
      <c r="AU1005" s="1"/>
      <c r="AV1005" s="1"/>
      <c r="AW1005" s="1"/>
      <c r="AX1005" s="1"/>
      <c r="AY1005" s="1" t="s">
        <v>14059</v>
      </c>
      <c r="AZ1005" s="1" t="s">
        <v>18461</v>
      </c>
      <c r="BA1005" s="1" t="s">
        <v>578</v>
      </c>
      <c r="BB1005" s="1" t="s">
        <v>467</v>
      </c>
      <c r="BC1005" s="1" t="s">
        <v>890</v>
      </c>
      <c r="BD1005" s="1" t="s">
        <v>1089</v>
      </c>
      <c r="BE1005" s="1">
        <v>65.52</v>
      </c>
      <c r="BF1005" s="1">
        <v>7.24</v>
      </c>
      <c r="BG1005" s="1"/>
      <c r="BH1005" s="1"/>
      <c r="BI1005" s="1"/>
      <c r="BJ1005" s="1"/>
      <c r="BK1005" s="1"/>
      <c r="BL1005" s="1"/>
      <c r="BM1005" s="1"/>
      <c r="BN1005" s="1"/>
      <c r="BO1005" s="1" t="s">
        <v>18462</v>
      </c>
      <c r="BP1005" s="1" t="s">
        <v>18463</v>
      </c>
      <c r="BQ1005" s="1" t="s">
        <v>582</v>
      </c>
      <c r="BR1005" s="1"/>
      <c r="BS1005" s="1"/>
      <c r="BT1005" s="1"/>
      <c r="BU1005" s="1" t="str">
        <f>HYPERLINK("https://nconnect.nicmar.ac.in/storage/profile/6a8712465e7c8.png","Download")</f>
        <v>0</v>
      </c>
      <c r="BV1005" s="3"/>
      <c r="BW1005" s="3"/>
    </row>
    <row r="1006" spans="1:75">
      <c r="A1006" s="1" t="s">
        <v>75</v>
      </c>
      <c r="B1006" s="1" t="s">
        <v>13976</v>
      </c>
      <c r="C1006" s="1" t="s">
        <v>18464</v>
      </c>
      <c r="D1006" s="1" t="s">
        <v>18465</v>
      </c>
      <c r="E1006" s="1" t="s">
        <v>18466</v>
      </c>
      <c r="F1006" s="1" t="s">
        <v>18467</v>
      </c>
      <c r="G1006" s="1" t="s">
        <v>18468</v>
      </c>
      <c r="H1006" s="1" t="s">
        <v>18469</v>
      </c>
      <c r="I1006" s="1" t="s">
        <v>18469</v>
      </c>
      <c r="J1006" s="1">
        <v>9096529988</v>
      </c>
      <c r="K1006" s="1" t="s">
        <v>153</v>
      </c>
      <c r="L1006" s="1" t="s">
        <v>18470</v>
      </c>
      <c r="M1006" s="1" t="s">
        <v>86</v>
      </c>
      <c r="N1006" s="1" t="s">
        <v>18471</v>
      </c>
      <c r="O1006" s="1" t="s">
        <v>18472</v>
      </c>
      <c r="P1006" s="1" t="s">
        <v>122</v>
      </c>
      <c r="Q1006" s="1">
        <v>764244369849</v>
      </c>
      <c r="R1006" s="1" t="s">
        <v>18473</v>
      </c>
      <c r="S1006" s="1">
        <v>9156035522</v>
      </c>
      <c r="T1006" s="1" t="s">
        <v>98</v>
      </c>
      <c r="U1006" s="1" t="s">
        <v>18474</v>
      </c>
      <c r="V1006" s="1">
        <v>9689825255</v>
      </c>
      <c r="W1006" s="1" t="s">
        <v>14192</v>
      </c>
      <c r="X1006" s="1" t="s">
        <v>18475</v>
      </c>
      <c r="Y1006" s="1" t="s">
        <v>309</v>
      </c>
      <c r="Z1006" s="1" t="s">
        <v>97</v>
      </c>
      <c r="AA1006" s="1" t="s">
        <v>18475</v>
      </c>
      <c r="AB1006" s="1" t="s">
        <v>309</v>
      </c>
      <c r="AC1006" s="1" t="s">
        <v>97</v>
      </c>
      <c r="AD1006" s="1" t="s">
        <v>98</v>
      </c>
      <c r="AE1006" s="1" t="s">
        <v>98</v>
      </c>
      <c r="AF1006" s="1" t="s">
        <v>18476</v>
      </c>
      <c r="AG1006" s="1" t="s">
        <v>18477</v>
      </c>
      <c r="AH1006" s="1" t="s">
        <v>170</v>
      </c>
      <c r="AI1006" s="1" t="s">
        <v>106</v>
      </c>
      <c r="AJ1006" s="1">
        <v>90.4</v>
      </c>
      <c r="AK1006" s="1"/>
      <c r="AL1006" s="1" t="s">
        <v>18478</v>
      </c>
      <c r="AM1006" s="1" t="s">
        <v>18477</v>
      </c>
      <c r="AN1006" s="1" t="s">
        <v>465</v>
      </c>
      <c r="AO1006" s="1" t="s">
        <v>438</v>
      </c>
      <c r="AP1006" s="1" t="s">
        <v>365</v>
      </c>
      <c r="AQ1006" s="1">
        <v>68</v>
      </c>
      <c r="AR1006" s="1"/>
      <c r="AS1006" s="1"/>
      <c r="AT1006" s="1"/>
      <c r="AU1006" s="1"/>
      <c r="AV1006" s="1"/>
      <c r="AW1006" s="1"/>
      <c r="AX1006" s="1"/>
      <c r="AY1006" s="1" t="s">
        <v>14380</v>
      </c>
      <c r="AZ1006" s="1" t="s">
        <v>18479</v>
      </c>
      <c r="BA1006" s="1" t="s">
        <v>682</v>
      </c>
      <c r="BB1006" s="1" t="s">
        <v>1561</v>
      </c>
      <c r="BC1006" s="1" t="s">
        <v>1040</v>
      </c>
      <c r="BD1006" s="1" t="s">
        <v>607</v>
      </c>
      <c r="BE1006" s="1">
        <v>72.39</v>
      </c>
      <c r="BF1006" s="1">
        <v>7.62</v>
      </c>
      <c r="BG1006" s="1"/>
      <c r="BH1006" s="1"/>
      <c r="BI1006" s="1"/>
      <c r="BJ1006" s="1"/>
      <c r="BK1006" s="1"/>
      <c r="BL1006" s="1"/>
      <c r="BM1006" s="1"/>
      <c r="BN1006" s="1"/>
      <c r="BO1006" s="1" t="s">
        <v>18480</v>
      </c>
      <c r="BP1006" s="1" t="s">
        <v>18481</v>
      </c>
      <c r="BQ1006" s="1" t="s">
        <v>9405</v>
      </c>
      <c r="BR1006" s="1" t="s">
        <v>18482</v>
      </c>
      <c r="BS1006" s="1">
        <v>20</v>
      </c>
      <c r="BT1006" s="1"/>
      <c r="BU1006" s="1" t="str">
        <f>HYPERLINK("https://nconnect.nicmar.ac.in/storage/profile/6a87004aa0a76.png","Download")</f>
        <v>0</v>
      </c>
      <c r="BV1006" s="3"/>
      <c r="BW1006" s="3"/>
    </row>
    <row r="1007" spans="1:75">
      <c r="A1007" s="1" t="s">
        <v>75</v>
      </c>
      <c r="B1007" s="1" t="s">
        <v>13976</v>
      </c>
      <c r="C1007" s="1" t="s">
        <v>18483</v>
      </c>
      <c r="D1007" s="1" t="s">
        <v>18484</v>
      </c>
      <c r="E1007" s="1" t="s">
        <v>18151</v>
      </c>
      <c r="F1007" s="1" t="s">
        <v>3633</v>
      </c>
      <c r="G1007" s="1" t="s">
        <v>18485</v>
      </c>
      <c r="H1007" s="1" t="s">
        <v>18486</v>
      </c>
      <c r="I1007" s="1" t="s">
        <v>18486</v>
      </c>
      <c r="J1007" s="1">
        <v>9284881228</v>
      </c>
      <c r="K1007" s="1" t="s">
        <v>153</v>
      </c>
      <c r="L1007" s="1" t="s">
        <v>18487</v>
      </c>
      <c r="M1007" s="1" t="s">
        <v>86</v>
      </c>
      <c r="N1007" s="1" t="s">
        <v>4263</v>
      </c>
      <c r="O1007" s="1" t="s">
        <v>18488</v>
      </c>
      <c r="P1007" s="1" t="s">
        <v>219</v>
      </c>
      <c r="Q1007" s="1">
        <v>461709424092</v>
      </c>
      <c r="R1007" s="1" t="s">
        <v>18151</v>
      </c>
      <c r="S1007" s="1">
        <v>9579541371</v>
      </c>
      <c r="T1007" s="1" t="s">
        <v>18489</v>
      </c>
      <c r="U1007" s="1" t="s">
        <v>18490</v>
      </c>
      <c r="V1007" s="1">
        <v>9403480680</v>
      </c>
      <c r="W1007" s="1" t="s">
        <v>14256</v>
      </c>
      <c r="X1007" s="1" t="s">
        <v>18491</v>
      </c>
      <c r="Y1007" s="1" t="s">
        <v>309</v>
      </c>
      <c r="Z1007" s="1" t="s">
        <v>97</v>
      </c>
      <c r="AA1007" s="1" t="s">
        <v>18491</v>
      </c>
      <c r="AB1007" s="1" t="s">
        <v>309</v>
      </c>
      <c r="AC1007" s="1" t="s">
        <v>97</v>
      </c>
      <c r="AD1007" s="1" t="s">
        <v>98</v>
      </c>
      <c r="AE1007" s="1" t="s">
        <v>98</v>
      </c>
      <c r="AF1007" s="1" t="s">
        <v>18492</v>
      </c>
      <c r="AG1007" s="1" t="s">
        <v>18493</v>
      </c>
      <c r="AH1007" s="1" t="s">
        <v>170</v>
      </c>
      <c r="AI1007" s="1" t="s">
        <v>286</v>
      </c>
      <c r="AJ1007" s="1">
        <v>80.2</v>
      </c>
      <c r="AK1007" s="1"/>
      <c r="AL1007" s="1" t="s">
        <v>18494</v>
      </c>
      <c r="AM1007" s="1" t="s">
        <v>18493</v>
      </c>
      <c r="AN1007" s="1" t="s">
        <v>465</v>
      </c>
      <c r="AO1007" s="1" t="s">
        <v>438</v>
      </c>
      <c r="AP1007" s="1" t="s">
        <v>365</v>
      </c>
      <c r="AQ1007" s="1">
        <v>65.38</v>
      </c>
      <c r="AR1007" s="1"/>
      <c r="AS1007" s="1"/>
      <c r="AT1007" s="1"/>
      <c r="AU1007" s="1"/>
      <c r="AV1007" s="1"/>
      <c r="AW1007" s="1"/>
      <c r="AX1007" s="1"/>
      <c r="AY1007" s="1" t="s">
        <v>18495</v>
      </c>
      <c r="AZ1007" s="1" t="s">
        <v>18496</v>
      </c>
      <c r="BA1007" s="1" t="s">
        <v>682</v>
      </c>
      <c r="BB1007" s="1" t="s">
        <v>683</v>
      </c>
      <c r="BC1007" s="1" t="s">
        <v>1040</v>
      </c>
      <c r="BD1007" s="1" t="s">
        <v>607</v>
      </c>
      <c r="BE1007" s="1">
        <v>73.63</v>
      </c>
      <c r="BF1007" s="1">
        <v>7.75</v>
      </c>
      <c r="BG1007" s="1"/>
      <c r="BH1007" s="1"/>
      <c r="BI1007" s="1"/>
      <c r="BJ1007" s="1"/>
      <c r="BK1007" s="1"/>
      <c r="BL1007" s="1"/>
      <c r="BM1007" s="1"/>
      <c r="BN1007" s="1"/>
      <c r="BO1007" s="1" t="s">
        <v>18497</v>
      </c>
      <c r="BP1007" s="1" t="s">
        <v>18498</v>
      </c>
      <c r="BQ1007" s="1" t="s">
        <v>1043</v>
      </c>
      <c r="BR1007" s="1" t="s">
        <v>18499</v>
      </c>
      <c r="BS1007" s="1">
        <v>14</v>
      </c>
      <c r="BT1007" s="1"/>
      <c r="BU1007" s="1" t="str">
        <f>HYPERLINK("https://nconnect.nicmar.ac.in/storage/profile/6a87017d87981.png","Download")</f>
        <v>0</v>
      </c>
      <c r="BV1007" s="3"/>
      <c r="BW1007" s="3"/>
    </row>
    <row r="1008" spans="1:75">
      <c r="A1008" s="1" t="s">
        <v>75</v>
      </c>
      <c r="B1008" s="1" t="s">
        <v>13976</v>
      </c>
      <c r="C1008" s="1" t="s">
        <v>18500</v>
      </c>
      <c r="D1008" s="1" t="s">
        <v>15634</v>
      </c>
      <c r="E1008" s="1"/>
      <c r="F1008" s="1" t="s">
        <v>18501</v>
      </c>
      <c r="G1008" s="1" t="s">
        <v>18502</v>
      </c>
      <c r="H1008" s="1" t="s">
        <v>18503</v>
      </c>
      <c r="I1008" s="1" t="s">
        <v>18503</v>
      </c>
      <c r="J1008" s="1">
        <v>6262668043</v>
      </c>
      <c r="K1008" s="1" t="s">
        <v>84</v>
      </c>
      <c r="L1008" s="1" t="s">
        <v>18504</v>
      </c>
      <c r="M1008" s="1" t="s">
        <v>86</v>
      </c>
      <c r="N1008" s="1" t="s">
        <v>355</v>
      </c>
      <c r="O1008" s="1" t="s">
        <v>18505</v>
      </c>
      <c r="P1008" s="1" t="s">
        <v>122</v>
      </c>
      <c r="Q1008" s="1">
        <v>583354877553</v>
      </c>
      <c r="R1008" s="1" t="s">
        <v>18506</v>
      </c>
      <c r="S1008" s="1">
        <v>7067746761</v>
      </c>
      <c r="T1008" s="1" t="s">
        <v>18507</v>
      </c>
      <c r="U1008" s="1" t="s">
        <v>18508</v>
      </c>
      <c r="V1008" s="1">
        <v>8109407220</v>
      </c>
      <c r="W1008" s="1" t="s">
        <v>14154</v>
      </c>
      <c r="X1008" s="1" t="s">
        <v>18509</v>
      </c>
      <c r="Y1008" s="1" t="s">
        <v>18510</v>
      </c>
      <c r="Z1008" s="1" t="s">
        <v>3419</v>
      </c>
      <c r="AA1008" s="1" t="s">
        <v>18509</v>
      </c>
      <c r="AB1008" s="1" t="s">
        <v>18510</v>
      </c>
      <c r="AC1008" s="1" t="s">
        <v>3419</v>
      </c>
      <c r="AD1008" s="1" t="s">
        <v>98</v>
      </c>
      <c r="AE1008" s="1" t="s">
        <v>98</v>
      </c>
      <c r="AF1008" s="1" t="s">
        <v>18511</v>
      </c>
      <c r="AG1008" s="1" t="s">
        <v>18512</v>
      </c>
      <c r="AH1008" s="1" t="s">
        <v>1110</v>
      </c>
      <c r="AI1008" s="1" t="s">
        <v>627</v>
      </c>
      <c r="AJ1008" s="1">
        <v>81.7</v>
      </c>
      <c r="AK1008" s="1">
        <v>8.6</v>
      </c>
      <c r="AL1008" s="1" t="s">
        <v>18513</v>
      </c>
      <c r="AM1008" s="1" t="s">
        <v>18514</v>
      </c>
      <c r="AN1008" s="1" t="s">
        <v>465</v>
      </c>
      <c r="AO1008" s="1" t="s">
        <v>704</v>
      </c>
      <c r="AP1008" s="1" t="s">
        <v>171</v>
      </c>
      <c r="AQ1008" s="1">
        <v>64.8</v>
      </c>
      <c r="AR1008" s="1"/>
      <c r="AS1008" s="1"/>
      <c r="AT1008" s="1"/>
      <c r="AU1008" s="1"/>
      <c r="AV1008" s="1"/>
      <c r="AW1008" s="1"/>
      <c r="AX1008" s="1"/>
      <c r="AY1008" s="1" t="s">
        <v>978</v>
      </c>
      <c r="AZ1008" s="1" t="s">
        <v>18515</v>
      </c>
      <c r="BA1008" s="1" t="s">
        <v>578</v>
      </c>
      <c r="BB1008" s="1" t="s">
        <v>467</v>
      </c>
      <c r="BC1008" s="1" t="s">
        <v>315</v>
      </c>
      <c r="BD1008" s="1" t="s">
        <v>179</v>
      </c>
      <c r="BE1008" s="1">
        <v>66.5</v>
      </c>
      <c r="BF1008" s="1">
        <v>6.65</v>
      </c>
      <c r="BG1008" s="1"/>
      <c r="BH1008" s="1"/>
      <c r="BI1008" s="1"/>
      <c r="BJ1008" s="1"/>
      <c r="BK1008" s="1"/>
      <c r="BL1008" s="1"/>
      <c r="BM1008" s="1"/>
      <c r="BN1008" s="1"/>
      <c r="BO1008" s="1" t="s">
        <v>18516</v>
      </c>
      <c r="BP1008" s="1" t="s">
        <v>18517</v>
      </c>
      <c r="BQ1008" s="1" t="s">
        <v>2326</v>
      </c>
      <c r="BR1008" s="1"/>
      <c r="BS1008" s="1"/>
      <c r="BT1008" s="1"/>
      <c r="BU1008" s="1" t="str">
        <f>HYPERLINK("https://nconnect.nicmar.ac.in/storage/profile/6a872132762eb.png","Download")</f>
        <v>0</v>
      </c>
      <c r="BV1008" s="3"/>
      <c r="BW1008" s="3"/>
    </row>
    <row r="1009" spans="1:75">
      <c r="A1009" s="1" t="s">
        <v>75</v>
      </c>
      <c r="B1009" s="1" t="s">
        <v>13976</v>
      </c>
      <c r="C1009" s="1" t="s">
        <v>18518</v>
      </c>
      <c r="D1009" s="1" t="s">
        <v>18519</v>
      </c>
      <c r="E1009" s="1" t="s">
        <v>18520</v>
      </c>
      <c r="F1009" s="1" t="s">
        <v>18521</v>
      </c>
      <c r="G1009" s="1" t="s">
        <v>18522</v>
      </c>
      <c r="H1009" s="1" t="s">
        <v>18523</v>
      </c>
      <c r="I1009" s="1" t="s">
        <v>18523</v>
      </c>
      <c r="J1009" s="1">
        <v>9850445036</v>
      </c>
      <c r="K1009" s="1" t="s">
        <v>84</v>
      </c>
      <c r="L1009" s="1" t="s">
        <v>18524</v>
      </c>
      <c r="M1009" s="1" t="s">
        <v>86</v>
      </c>
      <c r="N1009" s="1" t="s">
        <v>18525</v>
      </c>
      <c r="O1009" s="1" t="s">
        <v>18526</v>
      </c>
      <c r="P1009" s="1" t="s">
        <v>356</v>
      </c>
      <c r="Q1009" s="1">
        <v>602975681754</v>
      </c>
      <c r="R1009" s="1" t="s">
        <v>18527</v>
      </c>
      <c r="S1009" s="1">
        <v>9850685036</v>
      </c>
      <c r="T1009" s="1" t="s">
        <v>18528</v>
      </c>
      <c r="U1009" s="1" t="s">
        <v>18529</v>
      </c>
      <c r="V1009" s="1">
        <v>9850685036</v>
      </c>
      <c r="W1009" s="1" t="s">
        <v>14154</v>
      </c>
      <c r="X1009" s="1" t="s">
        <v>18530</v>
      </c>
      <c r="Y1009" s="1" t="s">
        <v>196</v>
      </c>
      <c r="Z1009" s="1" t="s">
        <v>97</v>
      </c>
      <c r="AA1009" s="1" t="s">
        <v>18530</v>
      </c>
      <c r="AB1009" s="1" t="s">
        <v>196</v>
      </c>
      <c r="AC1009" s="1" t="s">
        <v>97</v>
      </c>
      <c r="AD1009" s="1" t="s">
        <v>98</v>
      </c>
      <c r="AE1009" s="1" t="s">
        <v>98</v>
      </c>
      <c r="AF1009" s="1" t="s">
        <v>18522</v>
      </c>
      <c r="AG1009" s="1" t="s">
        <v>18531</v>
      </c>
      <c r="AH1009" s="1" t="s">
        <v>200</v>
      </c>
      <c r="AI1009" s="1" t="s">
        <v>286</v>
      </c>
      <c r="AJ1009" s="1">
        <v>77.6</v>
      </c>
      <c r="AK1009" s="1"/>
      <c r="AL1009" s="1" t="s">
        <v>18532</v>
      </c>
      <c r="AM1009" s="1" t="s">
        <v>18531</v>
      </c>
      <c r="AN1009" s="1" t="s">
        <v>465</v>
      </c>
      <c r="AO1009" s="1" t="s">
        <v>490</v>
      </c>
      <c r="AP1009" s="1" t="s">
        <v>365</v>
      </c>
      <c r="AQ1009" s="1">
        <v>67.54</v>
      </c>
      <c r="AR1009" s="1"/>
      <c r="AS1009" s="1"/>
      <c r="AT1009" s="1"/>
      <c r="AU1009" s="1"/>
      <c r="AV1009" s="1"/>
      <c r="AW1009" s="1"/>
      <c r="AX1009" s="1"/>
      <c r="AY1009" s="1" t="s">
        <v>18533</v>
      </c>
      <c r="AZ1009" s="1" t="s">
        <v>18533</v>
      </c>
      <c r="BA1009" s="1" t="s">
        <v>466</v>
      </c>
      <c r="BB1009" s="1" t="s">
        <v>467</v>
      </c>
      <c r="BC1009" s="1" t="s">
        <v>4740</v>
      </c>
      <c r="BD1009" s="1" t="s">
        <v>207</v>
      </c>
      <c r="BE1009" s="1">
        <v>80.3</v>
      </c>
      <c r="BF1009" s="1">
        <v>8.78</v>
      </c>
      <c r="BG1009" s="1"/>
      <c r="BH1009" s="1"/>
      <c r="BI1009" s="1"/>
      <c r="BJ1009" s="1"/>
      <c r="BK1009" s="1"/>
      <c r="BL1009" s="1"/>
      <c r="BM1009" s="1"/>
      <c r="BN1009" s="1"/>
      <c r="BO1009" s="1" t="s">
        <v>18534</v>
      </c>
      <c r="BP1009" s="1" t="s">
        <v>18535</v>
      </c>
      <c r="BQ1009" s="1" t="s">
        <v>4149</v>
      </c>
      <c r="BR1009" s="1" t="s">
        <v>18536</v>
      </c>
      <c r="BS1009" s="1">
        <v>25</v>
      </c>
      <c r="BT1009" s="1" t="s">
        <v>18537</v>
      </c>
      <c r="BU1009" s="1" t="str">
        <f>HYPERLINK("https://nconnect.nicmar.ac.in/storage/profile/6a85f6e2a2939.png","Download")</f>
        <v>0</v>
      </c>
      <c r="BV1009" s="3"/>
      <c r="BW1009" s="3"/>
    </row>
    <row r="1010" spans="1:75">
      <c r="A1010" s="1" t="s">
        <v>75</v>
      </c>
      <c r="B1010" s="1" t="s">
        <v>13976</v>
      </c>
      <c r="C1010" s="1" t="s">
        <v>18538</v>
      </c>
      <c r="D1010" s="1" t="s">
        <v>18539</v>
      </c>
      <c r="E1010" s="1"/>
      <c r="F1010" s="1" t="s">
        <v>18540</v>
      </c>
      <c r="G1010" s="1" t="s">
        <v>18541</v>
      </c>
      <c r="H1010" s="1" t="s">
        <v>18542</v>
      </c>
      <c r="I1010" s="1" t="s">
        <v>18543</v>
      </c>
      <c r="J1010" s="1">
        <v>9398068311</v>
      </c>
      <c r="K1010" s="1" t="s">
        <v>153</v>
      </c>
      <c r="L1010" s="1" t="s">
        <v>18544</v>
      </c>
      <c r="M1010" s="1" t="s">
        <v>86</v>
      </c>
      <c r="N1010" s="1" t="s">
        <v>18545</v>
      </c>
      <c r="O1010" s="1" t="s">
        <v>18546</v>
      </c>
      <c r="P1010" s="1" t="s">
        <v>219</v>
      </c>
      <c r="Q1010" s="1">
        <v>233412561119</v>
      </c>
      <c r="R1010" s="1" t="s">
        <v>18547</v>
      </c>
      <c r="S1010" s="1">
        <v>9441796366</v>
      </c>
      <c r="T1010" s="1" t="s">
        <v>3439</v>
      </c>
      <c r="U1010" s="1" t="s">
        <v>18548</v>
      </c>
      <c r="V1010" s="1">
        <v>9676907259</v>
      </c>
      <c r="W1010" s="1" t="s">
        <v>14212</v>
      </c>
      <c r="X1010" s="1" t="s">
        <v>18549</v>
      </c>
      <c r="Y1010" s="1" t="s">
        <v>18550</v>
      </c>
      <c r="Z1010" s="1" t="s">
        <v>461</v>
      </c>
      <c r="AA1010" s="1" t="s">
        <v>18549</v>
      </c>
      <c r="AB1010" s="1" t="s">
        <v>18550</v>
      </c>
      <c r="AC1010" s="1" t="s">
        <v>461</v>
      </c>
      <c r="AD1010" s="1" t="s">
        <v>98</v>
      </c>
      <c r="AE1010" s="1" t="s">
        <v>98</v>
      </c>
      <c r="AF1010" s="1" t="s">
        <v>18551</v>
      </c>
      <c r="AG1010" s="1" t="s">
        <v>18552</v>
      </c>
      <c r="AH1010" s="1" t="s">
        <v>170</v>
      </c>
      <c r="AI1010" s="1" t="s">
        <v>286</v>
      </c>
      <c r="AJ1010" s="1">
        <v>88.35</v>
      </c>
      <c r="AK1010" s="1">
        <v>9.3</v>
      </c>
      <c r="AL1010" s="1"/>
      <c r="AM1010" s="1"/>
      <c r="AN1010" s="1"/>
      <c r="AO1010" s="1"/>
      <c r="AP1010" s="1"/>
      <c r="AQ1010" s="1"/>
      <c r="AR1010" s="1"/>
      <c r="AS1010" s="1" t="s">
        <v>103</v>
      </c>
      <c r="AT1010" s="1" t="s">
        <v>18553</v>
      </c>
      <c r="AU1010" s="1" t="s">
        <v>106</v>
      </c>
      <c r="AV1010" s="1" t="s">
        <v>552</v>
      </c>
      <c r="AW1010" s="1">
        <v>94.53</v>
      </c>
      <c r="AX1010" s="1">
        <v>9.95</v>
      </c>
      <c r="AY1010" s="1" t="s">
        <v>1823</v>
      </c>
      <c r="AZ1010" s="1" t="s">
        <v>18554</v>
      </c>
      <c r="BA1010" s="1" t="s">
        <v>466</v>
      </c>
      <c r="BB1010" s="1" t="s">
        <v>467</v>
      </c>
      <c r="BC1010" s="1" t="s">
        <v>140</v>
      </c>
      <c r="BD1010" s="1" t="s">
        <v>418</v>
      </c>
      <c r="BE1010" s="1">
        <v>80.56</v>
      </c>
      <c r="BF1010" s="1">
        <v>8.48</v>
      </c>
      <c r="BG1010" s="1"/>
      <c r="BH1010" s="1"/>
      <c r="BI1010" s="1"/>
      <c r="BJ1010" s="1"/>
      <c r="BK1010" s="1"/>
      <c r="BL1010" s="1"/>
      <c r="BM1010" s="1"/>
      <c r="BN1010" s="1"/>
      <c r="BO1010" s="1" t="s">
        <v>18555</v>
      </c>
      <c r="BP1010" s="1" t="s">
        <v>18556</v>
      </c>
      <c r="BQ1010" s="1" t="s">
        <v>2577</v>
      </c>
      <c r="BR1010" s="1" t="s">
        <v>18557</v>
      </c>
      <c r="BS1010" s="1">
        <v>352</v>
      </c>
      <c r="BT1010" s="1"/>
      <c r="BU1010" s="1" t="str">
        <f>HYPERLINK("https://nconnect.nicmar.ac.in/storage/profile/6a850ec938bbc.png","Download")</f>
        <v>0</v>
      </c>
      <c r="BV1010" s="3"/>
      <c r="BW1010" s="3"/>
    </row>
    <row r="1011" spans="1:75">
      <c r="A1011" s="1" t="s">
        <v>75</v>
      </c>
      <c r="B1011" s="1" t="s">
        <v>13976</v>
      </c>
      <c r="C1011" s="1" t="s">
        <v>18558</v>
      </c>
      <c r="D1011" s="1" t="s">
        <v>18559</v>
      </c>
      <c r="E1011" s="1"/>
      <c r="F1011" s="1" t="s">
        <v>18560</v>
      </c>
      <c r="G1011" s="1" t="s">
        <v>18561</v>
      </c>
      <c r="H1011" s="1" t="s">
        <v>18562</v>
      </c>
      <c r="I1011" s="1" t="s">
        <v>18562</v>
      </c>
      <c r="J1011" s="1">
        <v>6303986063</v>
      </c>
      <c r="K1011" s="1" t="s">
        <v>84</v>
      </c>
      <c r="L1011" s="1" t="s">
        <v>18563</v>
      </c>
      <c r="M1011" s="1" t="s">
        <v>86</v>
      </c>
      <c r="N1011" s="1" t="s">
        <v>18564</v>
      </c>
      <c r="O1011" s="1" t="s">
        <v>18565</v>
      </c>
      <c r="P1011" s="1" t="s">
        <v>122</v>
      </c>
      <c r="Q1011" s="1">
        <v>973894565923</v>
      </c>
      <c r="R1011" s="1" t="s">
        <v>18566</v>
      </c>
      <c r="S1011" s="1">
        <v>9849296668</v>
      </c>
      <c r="T1011" s="1" t="s">
        <v>3439</v>
      </c>
      <c r="U1011" s="1" t="s">
        <v>18567</v>
      </c>
      <c r="V1011" s="1">
        <v>9490812668</v>
      </c>
      <c r="W1011" s="1" t="s">
        <v>14154</v>
      </c>
      <c r="X1011" s="1" t="s">
        <v>18568</v>
      </c>
      <c r="Y1011" s="1" t="s">
        <v>13200</v>
      </c>
      <c r="Z1011" s="1" t="s">
        <v>281</v>
      </c>
      <c r="AA1011" s="1" t="s">
        <v>18568</v>
      </c>
      <c r="AB1011" s="1" t="s">
        <v>13200</v>
      </c>
      <c r="AC1011" s="1" t="s">
        <v>281</v>
      </c>
      <c r="AD1011" s="1" t="s">
        <v>98</v>
      </c>
      <c r="AE1011" s="1" t="s">
        <v>98</v>
      </c>
      <c r="AF1011" s="1" t="s">
        <v>18569</v>
      </c>
      <c r="AG1011" s="1" t="s">
        <v>18570</v>
      </c>
      <c r="AH1011" s="1" t="s">
        <v>106</v>
      </c>
      <c r="AI1011" s="1" t="s">
        <v>313</v>
      </c>
      <c r="AJ1011" s="1">
        <v>98.0</v>
      </c>
      <c r="AK1011" s="1">
        <v>9.8</v>
      </c>
      <c r="AL1011" s="1" t="s">
        <v>18571</v>
      </c>
      <c r="AM1011" s="1" t="s">
        <v>18572</v>
      </c>
      <c r="AN1011" s="1" t="s">
        <v>465</v>
      </c>
      <c r="AO1011" s="1" t="s">
        <v>313</v>
      </c>
      <c r="AP1011" s="1" t="s">
        <v>549</v>
      </c>
      <c r="AQ1011" s="1">
        <v>97.9</v>
      </c>
      <c r="AR1011" s="1"/>
      <c r="AS1011" s="1"/>
      <c r="AT1011" s="1"/>
      <c r="AU1011" s="1"/>
      <c r="AV1011" s="1"/>
      <c r="AW1011" s="1"/>
      <c r="AX1011" s="1"/>
      <c r="AY1011" s="1" t="s">
        <v>18058</v>
      </c>
      <c r="AZ1011" s="1" t="s">
        <v>18007</v>
      </c>
      <c r="BA1011" s="1" t="s">
        <v>466</v>
      </c>
      <c r="BB1011" s="1" t="s">
        <v>467</v>
      </c>
      <c r="BC1011" s="1" t="s">
        <v>552</v>
      </c>
      <c r="BD1011" s="1" t="s">
        <v>607</v>
      </c>
      <c r="BE1011" s="1">
        <v>84.8</v>
      </c>
      <c r="BF1011" s="1">
        <v>8.48</v>
      </c>
      <c r="BG1011" s="1"/>
      <c r="BH1011" s="1"/>
      <c r="BI1011" s="1"/>
      <c r="BJ1011" s="1"/>
      <c r="BK1011" s="1"/>
      <c r="BL1011" s="1"/>
      <c r="BM1011" s="1"/>
      <c r="BN1011" s="1"/>
      <c r="BO1011" s="1" t="s">
        <v>18573</v>
      </c>
      <c r="BP1011" s="1"/>
      <c r="BQ1011" s="1"/>
      <c r="BR1011" s="1" t="s">
        <v>18574</v>
      </c>
      <c r="BS1011" s="1">
        <v>34</v>
      </c>
      <c r="BT1011" s="1" t="s">
        <v>18575</v>
      </c>
      <c r="BU1011" s="1" t="str">
        <f>HYPERLINK("https://nconnect.nicmar.ac.in/storage/profile/6a85dc3b52eff.png","Download")</f>
        <v>0</v>
      </c>
      <c r="BV1011" s="3"/>
      <c r="BW1011" s="3"/>
    </row>
    <row r="1012" spans="1:75">
      <c r="A1012" s="1" t="s">
        <v>75</v>
      </c>
      <c r="B1012" s="1" t="s">
        <v>13976</v>
      </c>
      <c r="C1012" s="1" t="s">
        <v>18576</v>
      </c>
      <c r="D1012" s="1" t="s">
        <v>18577</v>
      </c>
      <c r="E1012" s="1"/>
      <c r="F1012" s="1" t="s">
        <v>18578</v>
      </c>
      <c r="G1012" s="1" t="s">
        <v>18579</v>
      </c>
      <c r="H1012" s="1" t="s">
        <v>18580</v>
      </c>
      <c r="I1012" s="1" t="s">
        <v>18580</v>
      </c>
      <c r="J1012" s="1">
        <v>9972543016</v>
      </c>
      <c r="K1012" s="1" t="s">
        <v>153</v>
      </c>
      <c r="L1012" s="1" t="s">
        <v>18581</v>
      </c>
      <c r="M1012" s="1" t="s">
        <v>86</v>
      </c>
      <c r="N1012" s="1" t="s">
        <v>18582</v>
      </c>
      <c r="O1012" s="1" t="s">
        <v>18583</v>
      </c>
      <c r="P1012" s="1" t="s">
        <v>219</v>
      </c>
      <c r="Q1012" s="1">
        <v>642351824863</v>
      </c>
      <c r="R1012" s="1" t="s">
        <v>18584</v>
      </c>
      <c r="S1012" s="1">
        <v>9341710431</v>
      </c>
      <c r="T1012" s="1" t="s">
        <v>13987</v>
      </c>
      <c r="U1012" s="1" t="s">
        <v>18585</v>
      </c>
      <c r="V1012" s="1">
        <v>7676323128</v>
      </c>
      <c r="W1012" s="1" t="s">
        <v>9663</v>
      </c>
      <c r="X1012" s="1" t="s">
        <v>18586</v>
      </c>
      <c r="Y1012" s="1" t="s">
        <v>18587</v>
      </c>
      <c r="Z1012" s="1" t="s">
        <v>1210</v>
      </c>
      <c r="AA1012" s="1" t="s">
        <v>18586</v>
      </c>
      <c r="AB1012" s="1" t="s">
        <v>18587</v>
      </c>
      <c r="AC1012" s="1" t="s">
        <v>1210</v>
      </c>
      <c r="AD1012" s="1" t="s">
        <v>98</v>
      </c>
      <c r="AE1012" s="1" t="s">
        <v>98</v>
      </c>
      <c r="AF1012" s="1" t="s">
        <v>18588</v>
      </c>
      <c r="AG1012" s="1" t="s">
        <v>1210</v>
      </c>
      <c r="AH1012" s="1" t="s">
        <v>167</v>
      </c>
      <c r="AI1012" s="1" t="s">
        <v>704</v>
      </c>
      <c r="AJ1012" s="1">
        <v>88</v>
      </c>
      <c r="AK1012" s="1"/>
      <c r="AL1012" s="1" t="s">
        <v>18589</v>
      </c>
      <c r="AM1012" s="1" t="s">
        <v>1210</v>
      </c>
      <c r="AN1012" s="1" t="s">
        <v>575</v>
      </c>
      <c r="AO1012" s="1" t="s">
        <v>1477</v>
      </c>
      <c r="AP1012" s="1" t="s">
        <v>414</v>
      </c>
      <c r="AQ1012" s="1">
        <v>74</v>
      </c>
      <c r="AR1012" s="1"/>
      <c r="AS1012" s="1"/>
      <c r="AT1012" s="1"/>
      <c r="AU1012" s="1"/>
      <c r="AV1012" s="1"/>
      <c r="AW1012" s="1"/>
      <c r="AX1012" s="1"/>
      <c r="AY1012" s="1" t="s">
        <v>18590</v>
      </c>
      <c r="AZ1012" s="1" t="s">
        <v>1210</v>
      </c>
      <c r="BA1012" s="1" t="s">
        <v>578</v>
      </c>
      <c r="BB1012" s="1" t="s">
        <v>467</v>
      </c>
      <c r="BC1012" s="1" t="s">
        <v>206</v>
      </c>
      <c r="BD1012" s="1" t="s">
        <v>234</v>
      </c>
      <c r="BE1012" s="1">
        <v>73.5</v>
      </c>
      <c r="BF1012" s="1">
        <v>8.1</v>
      </c>
      <c r="BG1012" s="1"/>
      <c r="BH1012" s="1"/>
      <c r="BI1012" s="1"/>
      <c r="BJ1012" s="1"/>
      <c r="BK1012" s="1"/>
      <c r="BL1012" s="1"/>
      <c r="BM1012" s="1"/>
      <c r="BN1012" s="1"/>
      <c r="BO1012" s="1" t="s">
        <v>18591</v>
      </c>
      <c r="BP1012" s="1" t="s">
        <v>18592</v>
      </c>
      <c r="BQ1012" s="1" t="s">
        <v>9111</v>
      </c>
      <c r="BR1012" s="1"/>
      <c r="BS1012" s="1"/>
      <c r="BT1012" s="1"/>
      <c r="BU1012" s="1" t="str">
        <f>HYPERLINK("https://nconnect.nicmar.ac.in/storage/profile/6a86b0811d18f.png","Download")</f>
        <v>0</v>
      </c>
      <c r="BV1012" s="3"/>
      <c r="BW1012" s="3"/>
    </row>
    <row r="1013" spans="1:75">
      <c r="A1013" s="1" t="s">
        <v>75</v>
      </c>
      <c r="B1013" s="1" t="s">
        <v>13976</v>
      </c>
      <c r="C1013" s="1" t="s">
        <v>18593</v>
      </c>
      <c r="D1013" s="1"/>
      <c r="E1013" s="1"/>
      <c r="F1013" s="1"/>
      <c r="G1013" s="1"/>
      <c r="H1013" s="1" t="s">
        <v>18594</v>
      </c>
      <c r="I1013" s="1" t="s">
        <v>18594</v>
      </c>
      <c r="J1013" s="1"/>
      <c r="K1013" s="1"/>
      <c r="L1013" s="1"/>
      <c r="M1013" s="1"/>
      <c r="N1013" s="1"/>
      <c r="O1013" s="1"/>
      <c r="P1013" s="1"/>
      <c r="Q1013" s="1"/>
      <c r="R1013" s="1"/>
      <c r="S1013" s="1"/>
      <c r="T1013" s="1"/>
      <c r="U1013" s="1"/>
      <c r="V1013" s="1"/>
      <c r="W1013" s="1"/>
      <c r="X1013" s="1"/>
      <c r="Y1013" s="1"/>
      <c r="Z1013" s="1"/>
      <c r="AA1013" s="1"/>
      <c r="AB1013" s="1"/>
      <c r="AC1013" s="1"/>
      <c r="AD1013" s="1" t="s">
        <v>98</v>
      </c>
      <c r="AE1013" s="1" t="s">
        <v>98</v>
      </c>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t="s">
        <v>9653</v>
      </c>
      <c r="BV1013" s="3"/>
      <c r="BW1013" s="3"/>
    </row>
    <row r="1014" spans="1:75">
      <c r="A1014" s="1" t="s">
        <v>75</v>
      </c>
      <c r="B1014" s="1" t="s">
        <v>13976</v>
      </c>
      <c r="C1014" s="1" t="s">
        <v>18595</v>
      </c>
      <c r="D1014" s="1" t="s">
        <v>18596</v>
      </c>
      <c r="E1014" s="1"/>
      <c r="F1014" s="1" t="s">
        <v>18597</v>
      </c>
      <c r="G1014" s="1" t="s">
        <v>18598</v>
      </c>
      <c r="H1014" s="1" t="s">
        <v>18599</v>
      </c>
      <c r="I1014" s="1" t="s">
        <v>18599</v>
      </c>
      <c r="J1014" s="1">
        <v>7406544856</v>
      </c>
      <c r="K1014" s="1" t="s">
        <v>84</v>
      </c>
      <c r="L1014" s="1" t="s">
        <v>18600</v>
      </c>
      <c r="M1014" s="1" t="s">
        <v>86</v>
      </c>
      <c r="N1014" s="1" t="s">
        <v>18601</v>
      </c>
      <c r="O1014" s="1" t="s">
        <v>18602</v>
      </c>
      <c r="P1014" s="1" t="s">
        <v>219</v>
      </c>
      <c r="Q1014" s="1">
        <v>976691243235</v>
      </c>
      <c r="R1014" s="1" t="s">
        <v>18603</v>
      </c>
      <c r="S1014" s="1">
        <v>9663946210</v>
      </c>
      <c r="T1014" s="1" t="s">
        <v>17120</v>
      </c>
      <c r="U1014" s="1" t="s">
        <v>18604</v>
      </c>
      <c r="V1014" s="1">
        <v>6362384223</v>
      </c>
      <c r="W1014" s="1" t="s">
        <v>14154</v>
      </c>
      <c r="X1014" s="1" t="s">
        <v>18605</v>
      </c>
      <c r="Y1014" s="1" t="s">
        <v>1209</v>
      </c>
      <c r="Z1014" s="1" t="s">
        <v>1210</v>
      </c>
      <c r="AA1014" s="1" t="s">
        <v>18606</v>
      </c>
      <c r="AB1014" s="1" t="s">
        <v>196</v>
      </c>
      <c r="AC1014" s="1" t="s">
        <v>97</v>
      </c>
      <c r="AD1014" s="1" t="s">
        <v>98</v>
      </c>
      <c r="AE1014" s="1" t="s">
        <v>98</v>
      </c>
      <c r="AF1014" s="1" t="s">
        <v>18607</v>
      </c>
      <c r="AG1014" s="1" t="s">
        <v>18608</v>
      </c>
      <c r="AH1014" s="1" t="s">
        <v>313</v>
      </c>
      <c r="AI1014" s="1" t="s">
        <v>178</v>
      </c>
      <c r="AJ1014" s="1">
        <v>93.12</v>
      </c>
      <c r="AK1014" s="1"/>
      <c r="AL1014" s="1" t="s">
        <v>18609</v>
      </c>
      <c r="AM1014" s="1" t="s">
        <v>18610</v>
      </c>
      <c r="AN1014" s="1" t="s">
        <v>575</v>
      </c>
      <c r="AO1014" s="1" t="s">
        <v>441</v>
      </c>
      <c r="AP1014" s="1" t="s">
        <v>632</v>
      </c>
      <c r="AQ1014" s="1">
        <v>87.17</v>
      </c>
      <c r="AR1014" s="1"/>
      <c r="AS1014" s="1"/>
      <c r="AT1014" s="1"/>
      <c r="AU1014" s="1"/>
      <c r="AV1014" s="1"/>
      <c r="AW1014" s="1"/>
      <c r="AX1014" s="1"/>
      <c r="AY1014" s="1" t="s">
        <v>15972</v>
      </c>
      <c r="AZ1014" s="1" t="s">
        <v>18611</v>
      </c>
      <c r="BA1014" s="1" t="s">
        <v>578</v>
      </c>
      <c r="BB1014" s="1" t="s">
        <v>467</v>
      </c>
      <c r="BC1014" s="1" t="s">
        <v>2765</v>
      </c>
      <c r="BD1014" s="1" t="s">
        <v>9688</v>
      </c>
      <c r="BE1014" s="1">
        <v>73.1</v>
      </c>
      <c r="BF1014" s="1">
        <v>7.31</v>
      </c>
      <c r="BG1014" s="1"/>
      <c r="BH1014" s="1"/>
      <c r="BI1014" s="1"/>
      <c r="BJ1014" s="1"/>
      <c r="BK1014" s="1"/>
      <c r="BL1014" s="1"/>
      <c r="BM1014" s="1"/>
      <c r="BN1014" s="1"/>
      <c r="BO1014" s="1" t="s">
        <v>18612</v>
      </c>
      <c r="BP1014" s="1"/>
      <c r="BQ1014" s="1"/>
      <c r="BR1014" s="1" t="s">
        <v>18613</v>
      </c>
      <c r="BS1014" s="1">
        <v>12</v>
      </c>
      <c r="BT1014" s="1" t="s">
        <v>18614</v>
      </c>
      <c r="BU1014" s="1" t="str">
        <f>HYPERLINK("https://nconnect.nicmar.ac.in/storage/profile/6a85ea1e69878.png","Download")</f>
        <v>0</v>
      </c>
      <c r="BV1014" s="3"/>
      <c r="BW1014" s="3"/>
    </row>
    <row r="1015" spans="1:75">
      <c r="A1015" s="1" t="s">
        <v>75</v>
      </c>
      <c r="B1015" s="1" t="s">
        <v>13976</v>
      </c>
      <c r="C1015" s="1" t="s">
        <v>18615</v>
      </c>
      <c r="D1015" s="1" t="s">
        <v>18616</v>
      </c>
      <c r="E1015" s="1" t="s">
        <v>349</v>
      </c>
      <c r="F1015" s="1" t="s">
        <v>18617</v>
      </c>
      <c r="G1015" s="1" t="s">
        <v>18618</v>
      </c>
      <c r="H1015" s="1" t="s">
        <v>18619</v>
      </c>
      <c r="I1015" s="1" t="s">
        <v>18619</v>
      </c>
      <c r="J1015" s="1">
        <v>8805253565</v>
      </c>
      <c r="K1015" s="1" t="s">
        <v>84</v>
      </c>
      <c r="L1015" s="1" t="s">
        <v>18620</v>
      </c>
      <c r="M1015" s="1" t="s">
        <v>86</v>
      </c>
      <c r="N1015" s="1" t="s">
        <v>9268</v>
      </c>
      <c r="O1015" s="1" t="s">
        <v>18621</v>
      </c>
      <c r="P1015" s="1" t="s">
        <v>122</v>
      </c>
      <c r="Q1015" s="1">
        <v>652916875982</v>
      </c>
      <c r="R1015" s="1" t="s">
        <v>18622</v>
      </c>
      <c r="S1015" s="1">
        <v>7066620113</v>
      </c>
      <c r="T1015" s="1" t="s">
        <v>18623</v>
      </c>
      <c r="U1015" s="1" t="s">
        <v>18624</v>
      </c>
      <c r="V1015" s="1">
        <v>9420758113</v>
      </c>
      <c r="W1015" s="1" t="s">
        <v>14154</v>
      </c>
      <c r="X1015" s="1" t="s">
        <v>18625</v>
      </c>
      <c r="Y1015" s="1" t="s">
        <v>1989</v>
      </c>
      <c r="Z1015" s="1" t="s">
        <v>97</v>
      </c>
      <c r="AA1015" s="1" t="s">
        <v>18626</v>
      </c>
      <c r="AB1015" s="1" t="s">
        <v>1989</v>
      </c>
      <c r="AC1015" s="1" t="s">
        <v>97</v>
      </c>
      <c r="AD1015" s="1" t="s">
        <v>98</v>
      </c>
      <c r="AE1015" s="1" t="s">
        <v>98</v>
      </c>
      <c r="AF1015" s="1" t="s">
        <v>18627</v>
      </c>
      <c r="AG1015" s="1" t="s">
        <v>6717</v>
      </c>
      <c r="AH1015" s="1" t="s">
        <v>166</v>
      </c>
      <c r="AI1015" s="1" t="s">
        <v>1111</v>
      </c>
      <c r="AJ1015" s="1">
        <v>83</v>
      </c>
      <c r="AK1015" s="1"/>
      <c r="AL1015" s="1"/>
      <c r="AM1015" s="1"/>
      <c r="AN1015" s="1"/>
      <c r="AO1015" s="1"/>
      <c r="AP1015" s="1"/>
      <c r="AQ1015" s="1"/>
      <c r="AR1015" s="1"/>
      <c r="AS1015" s="1" t="s">
        <v>103</v>
      </c>
      <c r="AT1015" s="1" t="s">
        <v>18628</v>
      </c>
      <c r="AU1015" s="1" t="s">
        <v>1396</v>
      </c>
      <c r="AV1015" s="1" t="s">
        <v>438</v>
      </c>
      <c r="AW1015" s="1">
        <v>74.3</v>
      </c>
      <c r="AX1015" s="1"/>
      <c r="AY1015" s="1" t="s">
        <v>366</v>
      </c>
      <c r="AZ1015" s="1" t="s">
        <v>18629</v>
      </c>
      <c r="BA1015" s="1" t="s">
        <v>578</v>
      </c>
      <c r="BB1015" s="1" t="s">
        <v>467</v>
      </c>
      <c r="BC1015" s="1" t="s">
        <v>206</v>
      </c>
      <c r="BD1015" s="1" t="s">
        <v>110</v>
      </c>
      <c r="BE1015" s="1">
        <v>79.6</v>
      </c>
      <c r="BF1015" s="1">
        <v>8.98</v>
      </c>
      <c r="BG1015" s="1"/>
      <c r="BH1015" s="1"/>
      <c r="BI1015" s="1"/>
      <c r="BJ1015" s="1"/>
      <c r="BK1015" s="1"/>
      <c r="BL1015" s="1"/>
      <c r="BM1015" s="1"/>
      <c r="BN1015" s="1"/>
      <c r="BO1015" s="1" t="s">
        <v>18630</v>
      </c>
      <c r="BP1015" s="1" t="s">
        <v>18631</v>
      </c>
      <c r="BQ1015" s="1" t="s">
        <v>143</v>
      </c>
      <c r="BR1015" s="1"/>
      <c r="BS1015" s="1"/>
      <c r="BT1015" s="1" t="s">
        <v>18630</v>
      </c>
      <c r="BU1015" s="1" t="str">
        <f>HYPERLINK("https://nconnect.nicmar.ac.in/storage/profile/6a86dd213ebb2.png","Download")</f>
        <v>0</v>
      </c>
      <c r="BV1015" s="3"/>
      <c r="BW1015" s="3"/>
    </row>
    <row r="1016" spans="1:75">
      <c r="A1016" s="1" t="s">
        <v>75</v>
      </c>
      <c r="B1016" s="1" t="s">
        <v>13976</v>
      </c>
      <c r="C1016" s="1" t="s">
        <v>18632</v>
      </c>
      <c r="D1016" s="1" t="s">
        <v>18633</v>
      </c>
      <c r="E1016" s="1" t="s">
        <v>17554</v>
      </c>
      <c r="F1016" s="1" t="s">
        <v>18634</v>
      </c>
      <c r="G1016" s="1" t="s">
        <v>18635</v>
      </c>
      <c r="H1016" s="1" t="s">
        <v>18636</v>
      </c>
      <c r="I1016" s="1" t="s">
        <v>18636</v>
      </c>
      <c r="J1016" s="1">
        <v>8767422854</v>
      </c>
      <c r="K1016" s="1" t="s">
        <v>84</v>
      </c>
      <c r="L1016" s="1" t="s">
        <v>18637</v>
      </c>
      <c r="M1016" s="1" t="s">
        <v>86</v>
      </c>
      <c r="N1016" s="1" t="s">
        <v>8520</v>
      </c>
      <c r="O1016" s="1" t="s">
        <v>18638</v>
      </c>
      <c r="P1016" s="1" t="s">
        <v>356</v>
      </c>
      <c r="Q1016" s="1">
        <v>766291742276</v>
      </c>
      <c r="R1016" s="1" t="s">
        <v>18639</v>
      </c>
      <c r="S1016" s="1">
        <v>9763797585</v>
      </c>
      <c r="T1016" s="1" t="s">
        <v>18640</v>
      </c>
      <c r="U1016" s="1" t="s">
        <v>18641</v>
      </c>
      <c r="V1016" s="1">
        <v>8308155535</v>
      </c>
      <c r="W1016" s="1" t="s">
        <v>14154</v>
      </c>
      <c r="X1016" s="1" t="s">
        <v>18642</v>
      </c>
      <c r="Y1016" s="1" t="s">
        <v>224</v>
      </c>
      <c r="Z1016" s="1" t="s">
        <v>97</v>
      </c>
      <c r="AA1016" s="1" t="s">
        <v>18643</v>
      </c>
      <c r="AB1016" s="1" t="s">
        <v>196</v>
      </c>
      <c r="AC1016" s="1" t="s">
        <v>97</v>
      </c>
      <c r="AD1016" s="1" t="s">
        <v>98</v>
      </c>
      <c r="AE1016" s="1" t="s">
        <v>98</v>
      </c>
      <c r="AF1016" s="1" t="s">
        <v>18644</v>
      </c>
      <c r="AG1016" s="1" t="s">
        <v>18645</v>
      </c>
      <c r="AH1016" s="1" t="s">
        <v>106</v>
      </c>
      <c r="AI1016" s="1" t="s">
        <v>414</v>
      </c>
      <c r="AJ1016" s="1">
        <v>84.2</v>
      </c>
      <c r="AK1016" s="1"/>
      <c r="AL1016" s="1" t="s">
        <v>18646</v>
      </c>
      <c r="AM1016" s="1" t="s">
        <v>18647</v>
      </c>
      <c r="AN1016" s="1" t="s">
        <v>575</v>
      </c>
      <c r="AO1016" s="1" t="s">
        <v>468</v>
      </c>
      <c r="AP1016" s="1" t="s">
        <v>1192</v>
      </c>
      <c r="AQ1016" s="1">
        <v>85.17</v>
      </c>
      <c r="AR1016" s="1"/>
      <c r="AS1016" s="1"/>
      <c r="AT1016" s="1"/>
      <c r="AU1016" s="1"/>
      <c r="AV1016" s="1"/>
      <c r="AW1016" s="1"/>
      <c r="AX1016" s="1"/>
      <c r="AY1016" s="1" t="s">
        <v>14160</v>
      </c>
      <c r="AZ1016" s="1" t="s">
        <v>18648</v>
      </c>
      <c r="BA1016" s="1" t="s">
        <v>466</v>
      </c>
      <c r="BB1016" s="1" t="s">
        <v>467</v>
      </c>
      <c r="BC1016" s="1" t="s">
        <v>871</v>
      </c>
      <c r="BD1016" s="1" t="s">
        <v>5340</v>
      </c>
      <c r="BE1016" s="1">
        <v>69</v>
      </c>
      <c r="BF1016" s="1">
        <v>7.65</v>
      </c>
      <c r="BG1016" s="1"/>
      <c r="BH1016" s="1"/>
      <c r="BI1016" s="1"/>
      <c r="BJ1016" s="1"/>
      <c r="BK1016" s="1"/>
      <c r="BL1016" s="1"/>
      <c r="BM1016" s="1"/>
      <c r="BN1016" s="1"/>
      <c r="BO1016" s="1" t="s">
        <v>18649</v>
      </c>
      <c r="BP1016" s="1"/>
      <c r="BQ1016" s="1"/>
      <c r="BR1016" s="1"/>
      <c r="BS1016" s="1"/>
      <c r="BT1016" s="1"/>
      <c r="BU1016" s="1" t="str">
        <f>HYPERLINK("https://nconnect.nicmar.ac.in/storage/profile/6a870929d4df6.png","Download")</f>
        <v>0</v>
      </c>
      <c r="BV1016" s="3"/>
      <c r="BW1016" s="3"/>
    </row>
    <row r="1017" spans="1:75">
      <c r="A1017" s="1" t="s">
        <v>75</v>
      </c>
      <c r="B1017" s="1" t="s">
        <v>13976</v>
      </c>
      <c r="C1017" s="1" t="s">
        <v>18650</v>
      </c>
      <c r="D1017" s="1" t="s">
        <v>18651</v>
      </c>
      <c r="E1017" s="1" t="s">
        <v>18652</v>
      </c>
      <c r="F1017" s="1" t="s">
        <v>5772</v>
      </c>
      <c r="G1017" s="1" t="s">
        <v>18653</v>
      </c>
      <c r="H1017" s="1" t="s">
        <v>18654</v>
      </c>
      <c r="I1017" s="1" t="s">
        <v>18654</v>
      </c>
      <c r="J1017" s="1">
        <v>6369466990</v>
      </c>
      <c r="K1017" s="1" t="s">
        <v>84</v>
      </c>
      <c r="L1017" s="1" t="s">
        <v>18655</v>
      </c>
      <c r="M1017" s="1" t="s">
        <v>86</v>
      </c>
      <c r="N1017" s="1" t="s">
        <v>18656</v>
      </c>
      <c r="O1017" s="1" t="s">
        <v>18657</v>
      </c>
      <c r="P1017" s="1" t="s">
        <v>122</v>
      </c>
      <c r="Q1017" s="1">
        <v>318538548482</v>
      </c>
      <c r="R1017" s="1" t="s">
        <v>18658</v>
      </c>
      <c r="S1017" s="1">
        <v>9444070868</v>
      </c>
      <c r="T1017" s="1" t="s">
        <v>3439</v>
      </c>
      <c r="U1017" s="1" t="s">
        <v>18659</v>
      </c>
      <c r="V1017" s="1">
        <v>9940297972</v>
      </c>
      <c r="W1017" s="1" t="s">
        <v>14212</v>
      </c>
      <c r="X1017" s="1" t="s">
        <v>18660</v>
      </c>
      <c r="Y1017" s="1" t="s">
        <v>1498</v>
      </c>
      <c r="Z1017" s="1" t="s">
        <v>570</v>
      </c>
      <c r="AA1017" s="1" t="s">
        <v>18660</v>
      </c>
      <c r="AB1017" s="1" t="s">
        <v>1498</v>
      </c>
      <c r="AC1017" s="1" t="s">
        <v>570</v>
      </c>
      <c r="AD1017" s="1" t="s">
        <v>98</v>
      </c>
      <c r="AE1017" s="1" t="s">
        <v>98</v>
      </c>
      <c r="AF1017" s="1" t="s">
        <v>18661</v>
      </c>
      <c r="AG1017" s="1" t="s">
        <v>18662</v>
      </c>
      <c r="AH1017" s="1" t="s">
        <v>203</v>
      </c>
      <c r="AI1017" s="1" t="s">
        <v>603</v>
      </c>
      <c r="AJ1017" s="1">
        <v>60.6</v>
      </c>
      <c r="AK1017" s="1"/>
      <c r="AL1017" s="1" t="s">
        <v>18661</v>
      </c>
      <c r="AM1017" s="1" t="s">
        <v>18662</v>
      </c>
      <c r="AN1017" s="1" t="s">
        <v>465</v>
      </c>
      <c r="AO1017" s="1" t="s">
        <v>2304</v>
      </c>
      <c r="AP1017" s="1" t="s">
        <v>632</v>
      </c>
      <c r="AQ1017" s="1">
        <v>64.8</v>
      </c>
      <c r="AR1017" s="1"/>
      <c r="AS1017" s="1"/>
      <c r="AT1017" s="1"/>
      <c r="AU1017" s="1"/>
      <c r="AV1017" s="1"/>
      <c r="AW1017" s="1"/>
      <c r="AX1017" s="1"/>
      <c r="AY1017" s="1" t="s">
        <v>576</v>
      </c>
      <c r="AZ1017" s="1" t="s">
        <v>18663</v>
      </c>
      <c r="BA1017" s="1" t="s">
        <v>578</v>
      </c>
      <c r="BB1017" s="1" t="s">
        <v>467</v>
      </c>
      <c r="BC1017" s="1" t="s">
        <v>1825</v>
      </c>
      <c r="BD1017" s="1" t="s">
        <v>14083</v>
      </c>
      <c r="BE1017" s="1">
        <v>70.7</v>
      </c>
      <c r="BF1017" s="1">
        <v>7.07</v>
      </c>
      <c r="BG1017" s="1"/>
      <c r="BH1017" s="1"/>
      <c r="BI1017" s="1"/>
      <c r="BJ1017" s="1"/>
      <c r="BK1017" s="1"/>
      <c r="BL1017" s="1"/>
      <c r="BM1017" s="1"/>
      <c r="BN1017" s="1"/>
      <c r="BO1017" s="1" t="s">
        <v>3508</v>
      </c>
      <c r="BP1017" s="1"/>
      <c r="BQ1017" s="1"/>
      <c r="BR1017" s="1"/>
      <c r="BS1017" s="1"/>
      <c r="BT1017" s="1" t="s">
        <v>18664</v>
      </c>
      <c r="BU1017" s="1" t="str">
        <f>HYPERLINK("https://nconnect.nicmar.ac.in/storage/profile/6a85f1a867cf5.png","Download")</f>
        <v>0</v>
      </c>
      <c r="BV1017" s="3"/>
      <c r="BW1017" s="3"/>
    </row>
    <row r="1018" spans="1:75">
      <c r="A1018" s="1" t="s">
        <v>75</v>
      </c>
      <c r="B1018" s="1" t="s">
        <v>13976</v>
      </c>
      <c r="C1018" s="1" t="s">
        <v>18665</v>
      </c>
      <c r="D1018" s="1" t="s">
        <v>17512</v>
      </c>
      <c r="E1018" s="1" t="s">
        <v>18666</v>
      </c>
      <c r="F1018" s="1" t="s">
        <v>18667</v>
      </c>
      <c r="G1018" s="1" t="s">
        <v>18668</v>
      </c>
      <c r="H1018" s="1" t="s">
        <v>18669</v>
      </c>
      <c r="I1018" s="1" t="s">
        <v>18669</v>
      </c>
      <c r="J1018" s="1">
        <v>9566785049</v>
      </c>
      <c r="K1018" s="1" t="s">
        <v>84</v>
      </c>
      <c r="L1018" s="1" t="s">
        <v>18670</v>
      </c>
      <c r="M1018" s="1" t="s">
        <v>86</v>
      </c>
      <c r="N1018" s="1" t="s">
        <v>18671</v>
      </c>
      <c r="O1018" s="1" t="s">
        <v>18672</v>
      </c>
      <c r="P1018" s="1" t="s">
        <v>219</v>
      </c>
      <c r="Q1018" s="1">
        <v>743444878582</v>
      </c>
      <c r="R1018" s="1" t="s">
        <v>18673</v>
      </c>
      <c r="S1018" s="1">
        <v>9443375049</v>
      </c>
      <c r="T1018" s="1" t="s">
        <v>18674</v>
      </c>
      <c r="U1018" s="1" t="s">
        <v>18675</v>
      </c>
      <c r="V1018" s="1">
        <v>9487575049</v>
      </c>
      <c r="W1018" s="1" t="s">
        <v>14032</v>
      </c>
      <c r="X1018" s="1" t="s">
        <v>18676</v>
      </c>
      <c r="Y1018" s="1" t="s">
        <v>9174</v>
      </c>
      <c r="Z1018" s="1" t="s">
        <v>570</v>
      </c>
      <c r="AA1018" s="1" t="s">
        <v>18676</v>
      </c>
      <c r="AB1018" s="1" t="s">
        <v>9174</v>
      </c>
      <c r="AC1018" s="1" t="s">
        <v>570</v>
      </c>
      <c r="AD1018" s="1" t="s">
        <v>98</v>
      </c>
      <c r="AE1018" s="1" t="s">
        <v>98</v>
      </c>
      <c r="AF1018" s="1" t="s">
        <v>18677</v>
      </c>
      <c r="AG1018" s="1" t="s">
        <v>18678</v>
      </c>
      <c r="AH1018" s="1" t="s">
        <v>106</v>
      </c>
      <c r="AI1018" s="1" t="s">
        <v>414</v>
      </c>
      <c r="AJ1018" s="1">
        <v>86.2</v>
      </c>
      <c r="AK1018" s="1">
        <v>9.1</v>
      </c>
      <c r="AL1018" s="1" t="s">
        <v>18679</v>
      </c>
      <c r="AM1018" s="1" t="s">
        <v>18680</v>
      </c>
      <c r="AN1018" s="1" t="s">
        <v>465</v>
      </c>
      <c r="AO1018" s="1" t="s">
        <v>468</v>
      </c>
      <c r="AP1018" s="1" t="s">
        <v>845</v>
      </c>
      <c r="AQ1018" s="1">
        <v>81.8</v>
      </c>
      <c r="AR1018" s="1">
        <v>8.61</v>
      </c>
      <c r="AS1018" s="1"/>
      <c r="AT1018" s="1"/>
      <c r="AU1018" s="1"/>
      <c r="AV1018" s="1"/>
      <c r="AW1018" s="1"/>
      <c r="AX1018" s="1"/>
      <c r="AY1018" s="1" t="s">
        <v>18681</v>
      </c>
      <c r="AZ1018" s="1" t="s">
        <v>18682</v>
      </c>
      <c r="BA1018" s="1" t="s">
        <v>466</v>
      </c>
      <c r="BB1018" s="1" t="s">
        <v>467</v>
      </c>
      <c r="BC1018" s="1" t="s">
        <v>441</v>
      </c>
      <c r="BD1018" s="1" t="s">
        <v>848</v>
      </c>
      <c r="BE1018" s="1">
        <v>72.8</v>
      </c>
      <c r="BF1018" s="1">
        <v>7.28</v>
      </c>
      <c r="BG1018" s="1"/>
      <c r="BH1018" s="1"/>
      <c r="BI1018" s="1"/>
      <c r="BJ1018" s="1"/>
      <c r="BK1018" s="1"/>
      <c r="BL1018" s="1"/>
      <c r="BM1018" s="1"/>
      <c r="BN1018" s="1"/>
      <c r="BO1018" s="1" t="s">
        <v>18683</v>
      </c>
      <c r="BP1018" s="1"/>
      <c r="BQ1018" s="1"/>
      <c r="BR1018" s="1"/>
      <c r="BS1018" s="1"/>
      <c r="BT1018" s="1"/>
      <c r="BU1018" s="1" t="str">
        <f>HYPERLINK("https://nconnect.nicmar.ac.in/storage/profile/6a8fb245e5a66.png","Download")</f>
        <v>0</v>
      </c>
      <c r="BV1018" s="3"/>
      <c r="BW1018" s="3"/>
    </row>
    <row r="1019" spans="1:75">
      <c r="A1019" s="1" t="s">
        <v>75</v>
      </c>
      <c r="B1019" s="1" t="s">
        <v>13976</v>
      </c>
      <c r="C1019" s="1" t="s">
        <v>18684</v>
      </c>
      <c r="D1019" s="1" t="s">
        <v>18685</v>
      </c>
      <c r="E1019" s="1"/>
      <c r="F1019" s="1" t="s">
        <v>10761</v>
      </c>
      <c r="G1019" s="1" t="s">
        <v>18686</v>
      </c>
      <c r="H1019" s="1" t="s">
        <v>18687</v>
      </c>
      <c r="I1019" s="1" t="s">
        <v>18687</v>
      </c>
      <c r="J1019" s="1">
        <v>9567241276</v>
      </c>
      <c r="K1019" s="1" t="s">
        <v>84</v>
      </c>
      <c r="L1019" s="1" t="s">
        <v>18688</v>
      </c>
      <c r="M1019" s="1" t="s">
        <v>86</v>
      </c>
      <c r="N1019" s="1" t="s">
        <v>1639</v>
      </c>
      <c r="O1019" s="1" t="s">
        <v>18689</v>
      </c>
      <c r="P1019" s="1" t="s">
        <v>89</v>
      </c>
      <c r="Q1019" s="1">
        <v>628167981489</v>
      </c>
      <c r="R1019" s="1" t="s">
        <v>10761</v>
      </c>
      <c r="S1019" s="1">
        <v>9744182009</v>
      </c>
      <c r="T1019" s="1" t="s">
        <v>18690</v>
      </c>
      <c r="U1019" s="1" t="s">
        <v>18691</v>
      </c>
      <c r="V1019" s="1">
        <v>8157087175</v>
      </c>
      <c r="W1019" s="1" t="s">
        <v>94</v>
      </c>
      <c r="X1019" s="1" t="s">
        <v>18692</v>
      </c>
      <c r="Y1019" s="1" t="s">
        <v>5874</v>
      </c>
      <c r="Z1019" s="1" t="s">
        <v>130</v>
      </c>
      <c r="AA1019" s="1" t="s">
        <v>18692</v>
      </c>
      <c r="AB1019" s="1" t="s">
        <v>5874</v>
      </c>
      <c r="AC1019" s="1" t="s">
        <v>130</v>
      </c>
      <c r="AD1019" s="1" t="s">
        <v>98</v>
      </c>
      <c r="AE1019" s="1" t="s">
        <v>98</v>
      </c>
      <c r="AF1019" s="1" t="s">
        <v>18693</v>
      </c>
      <c r="AG1019" s="1" t="s">
        <v>18694</v>
      </c>
      <c r="AH1019" s="1" t="s">
        <v>547</v>
      </c>
      <c r="AI1019" s="1" t="s">
        <v>603</v>
      </c>
      <c r="AJ1019" s="1">
        <v>77.4</v>
      </c>
      <c r="AK1019" s="1"/>
      <c r="AL1019" s="1" t="s">
        <v>18695</v>
      </c>
      <c r="AM1019" s="1" t="s">
        <v>18694</v>
      </c>
      <c r="AN1019" s="1" t="s">
        <v>575</v>
      </c>
      <c r="AO1019" s="1" t="s">
        <v>845</v>
      </c>
      <c r="AP1019" s="1" t="s">
        <v>1886</v>
      </c>
      <c r="AQ1019" s="1">
        <v>68.6</v>
      </c>
      <c r="AR1019" s="1"/>
      <c r="AS1019" s="1"/>
      <c r="AT1019" s="1"/>
      <c r="AU1019" s="1"/>
      <c r="AV1019" s="1"/>
      <c r="AW1019" s="1"/>
      <c r="AX1019" s="1"/>
      <c r="AY1019" s="1" t="s">
        <v>137</v>
      </c>
      <c r="AZ1019" s="1" t="s">
        <v>18696</v>
      </c>
      <c r="BA1019" s="1" t="s">
        <v>466</v>
      </c>
      <c r="BB1019" s="1" t="s">
        <v>467</v>
      </c>
      <c r="BC1019" s="1" t="s">
        <v>1802</v>
      </c>
      <c r="BD1019" s="1" t="s">
        <v>14101</v>
      </c>
      <c r="BE1019" s="1">
        <v>67.8</v>
      </c>
      <c r="BF1019" s="1">
        <v>6.78</v>
      </c>
      <c r="BG1019" s="1"/>
      <c r="BH1019" s="1"/>
      <c r="BI1019" s="1"/>
      <c r="BJ1019" s="1"/>
      <c r="BK1019" s="1"/>
      <c r="BL1019" s="1"/>
      <c r="BM1019" s="1"/>
      <c r="BN1019" s="1"/>
      <c r="BO1019" s="1" t="s">
        <v>18697</v>
      </c>
      <c r="BP1019" s="1"/>
      <c r="BQ1019" s="1"/>
      <c r="BR1019" s="1" t="s">
        <v>18698</v>
      </c>
      <c r="BS1019" s="1"/>
      <c r="BT1019" s="1" t="s">
        <v>18699</v>
      </c>
      <c r="BU1019" s="1" t="str">
        <f>HYPERLINK("https://nconnect.nicmar.ac.in/storage/profile/6a85f70d97594.png","Download")</f>
        <v>0</v>
      </c>
      <c r="BV1019" s="3"/>
      <c r="BW1019" s="3"/>
    </row>
    <row r="1020" spans="1:75">
      <c r="A1020" s="1" t="s">
        <v>75</v>
      </c>
      <c r="B1020" s="1" t="s">
        <v>13976</v>
      </c>
      <c r="C1020" s="1" t="s">
        <v>18700</v>
      </c>
      <c r="D1020" s="1" t="s">
        <v>18701</v>
      </c>
      <c r="E1020" s="1" t="s">
        <v>18702</v>
      </c>
      <c r="F1020" s="1" t="s">
        <v>18703</v>
      </c>
      <c r="G1020" s="1" t="s">
        <v>18704</v>
      </c>
      <c r="H1020" s="1" t="s">
        <v>18705</v>
      </c>
      <c r="I1020" s="1" t="s">
        <v>18705</v>
      </c>
      <c r="J1020" s="1">
        <v>7506084162</v>
      </c>
      <c r="K1020" s="1" t="s">
        <v>84</v>
      </c>
      <c r="L1020" s="1" t="s">
        <v>18706</v>
      </c>
      <c r="M1020" s="1" t="s">
        <v>86</v>
      </c>
      <c r="N1020" s="1" t="s">
        <v>355</v>
      </c>
      <c r="O1020" s="1" t="s">
        <v>18707</v>
      </c>
      <c r="P1020" s="1" t="s">
        <v>219</v>
      </c>
      <c r="Q1020" s="1">
        <v>574756758952</v>
      </c>
      <c r="R1020" s="1" t="s">
        <v>18708</v>
      </c>
      <c r="S1020" s="1">
        <v>9833570682</v>
      </c>
      <c r="T1020" s="1" t="s">
        <v>14507</v>
      </c>
      <c r="U1020" s="1" t="s">
        <v>18709</v>
      </c>
      <c r="V1020" s="1">
        <v>9820535508</v>
      </c>
      <c r="W1020" s="1" t="s">
        <v>18710</v>
      </c>
      <c r="X1020" s="1" t="s">
        <v>18711</v>
      </c>
      <c r="Y1020" s="1" t="s">
        <v>1882</v>
      </c>
      <c r="Z1020" s="1" t="s">
        <v>97</v>
      </c>
      <c r="AA1020" s="1" t="s">
        <v>18711</v>
      </c>
      <c r="AB1020" s="1" t="s">
        <v>1882</v>
      </c>
      <c r="AC1020" s="1" t="s">
        <v>97</v>
      </c>
      <c r="AD1020" s="1" t="s">
        <v>98</v>
      </c>
      <c r="AE1020" s="1" t="s">
        <v>98</v>
      </c>
      <c r="AF1020" s="1" t="s">
        <v>18712</v>
      </c>
      <c r="AG1020" s="1" t="s">
        <v>796</v>
      </c>
      <c r="AH1020" s="1" t="s">
        <v>4593</v>
      </c>
      <c r="AI1020" s="1" t="s">
        <v>178</v>
      </c>
      <c r="AJ1020" s="1">
        <v>82.2</v>
      </c>
      <c r="AK1020" s="1">
        <v>8.22</v>
      </c>
      <c r="AL1020" s="1"/>
      <c r="AM1020" s="1"/>
      <c r="AN1020" s="1"/>
      <c r="AO1020" s="1"/>
      <c r="AP1020" s="1"/>
      <c r="AQ1020" s="1"/>
      <c r="AR1020" s="1"/>
      <c r="AS1020" s="1" t="s">
        <v>14158</v>
      </c>
      <c r="AT1020" s="1" t="s">
        <v>18713</v>
      </c>
      <c r="AU1020" s="1" t="s">
        <v>890</v>
      </c>
      <c r="AV1020" s="1" t="s">
        <v>955</v>
      </c>
      <c r="AW1020" s="1">
        <v>93.8</v>
      </c>
      <c r="AX1020" s="1">
        <v>9.38</v>
      </c>
      <c r="AY1020" s="1" t="s">
        <v>18714</v>
      </c>
      <c r="AZ1020" s="1" t="s">
        <v>18715</v>
      </c>
      <c r="BA1020" s="1" t="s">
        <v>466</v>
      </c>
      <c r="BB1020" s="1" t="s">
        <v>467</v>
      </c>
      <c r="BC1020" s="1" t="s">
        <v>234</v>
      </c>
      <c r="BD1020" s="1" t="s">
        <v>14514</v>
      </c>
      <c r="BE1020" s="1">
        <v>77.5</v>
      </c>
      <c r="BF1020" s="1">
        <v>8.5</v>
      </c>
      <c r="BG1020" s="1"/>
      <c r="BH1020" s="1"/>
      <c r="BI1020" s="1"/>
      <c r="BJ1020" s="1"/>
      <c r="BK1020" s="1"/>
      <c r="BL1020" s="1"/>
      <c r="BM1020" s="1"/>
      <c r="BN1020" s="1"/>
      <c r="BO1020" s="1" t="s">
        <v>18716</v>
      </c>
      <c r="BP1020" s="1"/>
      <c r="BQ1020" s="1"/>
      <c r="BR1020" s="1"/>
      <c r="BS1020" s="1"/>
      <c r="BT1020" s="1"/>
      <c r="BU1020" s="1" t="str">
        <f>HYPERLINK("https://nconnect.nicmar.ac.in/storage/profile/6a873fe417473.png","Download")</f>
        <v>0</v>
      </c>
      <c r="BV1020" s="3"/>
      <c r="BW1020" s="3"/>
    </row>
    <row r="1021" spans="1:75">
      <c r="A1021" s="1" t="s">
        <v>75</v>
      </c>
      <c r="B1021" s="1" t="s">
        <v>13976</v>
      </c>
      <c r="C1021" s="1" t="s">
        <v>18717</v>
      </c>
      <c r="D1021" s="1" t="s">
        <v>18718</v>
      </c>
      <c r="E1021" s="1" t="s">
        <v>18719</v>
      </c>
      <c r="F1021" s="1" t="s">
        <v>18392</v>
      </c>
      <c r="G1021" s="1" t="s">
        <v>18720</v>
      </c>
      <c r="H1021" s="1" t="s">
        <v>18721</v>
      </c>
      <c r="I1021" s="1" t="s">
        <v>18722</v>
      </c>
      <c r="J1021" s="1">
        <v>9922964863</v>
      </c>
      <c r="K1021" s="1" t="s">
        <v>153</v>
      </c>
      <c r="L1021" s="1" t="s">
        <v>18723</v>
      </c>
      <c r="M1021" s="1" t="s">
        <v>86</v>
      </c>
      <c r="N1021" s="1" t="s">
        <v>9268</v>
      </c>
      <c r="O1021" s="1" t="s">
        <v>18724</v>
      </c>
      <c r="P1021" s="1" t="s">
        <v>122</v>
      </c>
      <c r="Q1021" s="1">
        <v>774174109452</v>
      </c>
      <c r="R1021" s="1" t="s">
        <v>18725</v>
      </c>
      <c r="S1021" s="1">
        <v>9422561367</v>
      </c>
      <c r="T1021" s="1" t="s">
        <v>18726</v>
      </c>
      <c r="U1021" s="1" t="s">
        <v>18727</v>
      </c>
      <c r="V1021" s="1">
        <v>8999397197</v>
      </c>
      <c r="W1021" s="1" t="s">
        <v>10306</v>
      </c>
      <c r="X1021" s="1" t="s">
        <v>18728</v>
      </c>
      <c r="Y1021" s="1" t="s">
        <v>196</v>
      </c>
      <c r="Z1021" s="1" t="s">
        <v>97</v>
      </c>
      <c r="AA1021" s="1" t="s">
        <v>18728</v>
      </c>
      <c r="AB1021" s="1" t="s">
        <v>196</v>
      </c>
      <c r="AC1021" s="1" t="s">
        <v>97</v>
      </c>
      <c r="AD1021" s="1" t="s">
        <v>98</v>
      </c>
      <c r="AE1021" s="1" t="s">
        <v>98</v>
      </c>
      <c r="AF1021" s="1" t="s">
        <v>18729</v>
      </c>
      <c r="AG1021" s="1" t="s">
        <v>14157</v>
      </c>
      <c r="AH1021" s="1" t="s">
        <v>166</v>
      </c>
      <c r="AI1021" s="1" t="s">
        <v>1111</v>
      </c>
      <c r="AJ1021" s="1">
        <v>79.8</v>
      </c>
      <c r="AK1021" s="1"/>
      <c r="AL1021" s="1" t="s">
        <v>18730</v>
      </c>
      <c r="AM1021" s="1" t="s">
        <v>14157</v>
      </c>
      <c r="AN1021" s="1" t="s">
        <v>465</v>
      </c>
      <c r="AO1021" s="1" t="s">
        <v>170</v>
      </c>
      <c r="AP1021" s="1" t="s">
        <v>1477</v>
      </c>
      <c r="AQ1021" s="1">
        <v>73.54</v>
      </c>
      <c r="AR1021" s="1"/>
      <c r="AS1021" s="1"/>
      <c r="AT1021" s="1"/>
      <c r="AU1021" s="1"/>
      <c r="AV1021" s="1"/>
      <c r="AW1021" s="1"/>
      <c r="AX1021" s="1"/>
      <c r="AY1021" s="1" t="s">
        <v>14160</v>
      </c>
      <c r="AZ1021" s="1" t="s">
        <v>18731</v>
      </c>
      <c r="BA1021" s="1" t="s">
        <v>682</v>
      </c>
      <c r="BB1021" s="1" t="s">
        <v>683</v>
      </c>
      <c r="BC1021" s="1" t="s">
        <v>106</v>
      </c>
      <c r="BD1021" s="1" t="s">
        <v>179</v>
      </c>
      <c r="BE1021" s="1">
        <v>70.43</v>
      </c>
      <c r="BF1021" s="1">
        <v>7.41</v>
      </c>
      <c r="BG1021" s="1"/>
      <c r="BH1021" s="1"/>
      <c r="BI1021" s="1"/>
      <c r="BJ1021" s="1"/>
      <c r="BK1021" s="1"/>
      <c r="BL1021" s="1"/>
      <c r="BM1021" s="1"/>
      <c r="BN1021" s="1"/>
      <c r="BO1021" s="1" t="s">
        <v>18732</v>
      </c>
      <c r="BP1021" s="1" t="s">
        <v>18733</v>
      </c>
      <c r="BQ1021" s="1" t="s">
        <v>3404</v>
      </c>
      <c r="BR1021" s="1"/>
      <c r="BS1021" s="1"/>
      <c r="BT1021" s="1"/>
      <c r="BU1021" s="1" t="str">
        <f>HYPERLINK("https://nconnect.nicmar.ac.in/storage/profile/6a87445f44aaa.png","Download")</f>
        <v>0</v>
      </c>
      <c r="BV1021" s="3"/>
      <c r="BW1021" s="3"/>
    </row>
    <row r="1022" spans="1:75">
      <c r="A1022" s="1" t="s">
        <v>75</v>
      </c>
      <c r="B1022" s="1" t="s">
        <v>13976</v>
      </c>
      <c r="C1022" s="1" t="s">
        <v>18734</v>
      </c>
      <c r="D1022" s="1" t="s">
        <v>18735</v>
      </c>
      <c r="E1022" s="1"/>
      <c r="F1022" s="1" t="s">
        <v>18736</v>
      </c>
      <c r="G1022" s="1" t="s">
        <v>18737</v>
      </c>
      <c r="H1022" s="1" t="s">
        <v>18738</v>
      </c>
      <c r="I1022" s="1" t="s">
        <v>18738</v>
      </c>
      <c r="J1022" s="1">
        <v>8708057203</v>
      </c>
      <c r="K1022" s="1" t="s">
        <v>84</v>
      </c>
      <c r="L1022" s="1" t="s">
        <v>18739</v>
      </c>
      <c r="M1022" s="1" t="s">
        <v>86</v>
      </c>
      <c r="N1022" s="1" t="s">
        <v>18740</v>
      </c>
      <c r="O1022" s="1" t="s">
        <v>18741</v>
      </c>
      <c r="P1022" s="1" t="s">
        <v>89</v>
      </c>
      <c r="Q1022" s="1">
        <v>263043047743</v>
      </c>
      <c r="R1022" s="1" t="s">
        <v>18742</v>
      </c>
      <c r="S1022" s="1">
        <v>9467022163</v>
      </c>
      <c r="T1022" s="1" t="s">
        <v>16092</v>
      </c>
      <c r="U1022" s="1" t="s">
        <v>18743</v>
      </c>
      <c r="V1022" s="1">
        <v>9992067963</v>
      </c>
      <c r="W1022" s="1" t="s">
        <v>15148</v>
      </c>
      <c r="X1022" s="1" t="s">
        <v>18744</v>
      </c>
      <c r="Y1022" s="1" t="s">
        <v>18745</v>
      </c>
      <c r="Z1022" s="1" t="s">
        <v>1700</v>
      </c>
      <c r="AA1022" s="1" t="s">
        <v>18744</v>
      </c>
      <c r="AB1022" s="1" t="s">
        <v>18745</v>
      </c>
      <c r="AC1022" s="1" t="s">
        <v>1700</v>
      </c>
      <c r="AD1022" s="1" t="s">
        <v>98</v>
      </c>
      <c r="AE1022" s="1" t="s">
        <v>98</v>
      </c>
      <c r="AF1022" s="1" t="s">
        <v>18746</v>
      </c>
      <c r="AG1022" s="1" t="s">
        <v>796</v>
      </c>
      <c r="AH1022" s="1" t="s">
        <v>284</v>
      </c>
      <c r="AI1022" s="1" t="s">
        <v>170</v>
      </c>
      <c r="AJ1022" s="1">
        <v>95</v>
      </c>
      <c r="AK1022" s="1">
        <v>10</v>
      </c>
      <c r="AL1022" s="1" t="s">
        <v>18747</v>
      </c>
      <c r="AM1022" s="1" t="s">
        <v>796</v>
      </c>
      <c r="AN1022" s="1" t="s">
        <v>465</v>
      </c>
      <c r="AO1022" s="1" t="s">
        <v>547</v>
      </c>
      <c r="AP1022" s="1" t="s">
        <v>313</v>
      </c>
      <c r="AQ1022" s="1">
        <v>76.8</v>
      </c>
      <c r="AR1022" s="1"/>
      <c r="AS1022" s="1"/>
      <c r="AT1022" s="1"/>
      <c r="AU1022" s="1"/>
      <c r="AV1022" s="1"/>
      <c r="AW1022" s="1"/>
      <c r="AX1022" s="1"/>
      <c r="AY1022" s="1" t="s">
        <v>18748</v>
      </c>
      <c r="AZ1022" s="1" t="s">
        <v>18749</v>
      </c>
      <c r="BA1022" s="1" t="s">
        <v>578</v>
      </c>
      <c r="BB1022" s="1" t="s">
        <v>467</v>
      </c>
      <c r="BC1022" s="1" t="s">
        <v>315</v>
      </c>
      <c r="BD1022" s="1" t="s">
        <v>9528</v>
      </c>
      <c r="BE1022" s="1">
        <v>71.4</v>
      </c>
      <c r="BF1022" s="1">
        <v>7.14</v>
      </c>
      <c r="BG1022" s="1"/>
      <c r="BH1022" s="1"/>
      <c r="BI1022" s="1"/>
      <c r="BJ1022" s="1"/>
      <c r="BK1022" s="1"/>
      <c r="BL1022" s="1"/>
      <c r="BM1022" s="1"/>
      <c r="BN1022" s="1"/>
      <c r="BO1022" s="1" t="s">
        <v>18750</v>
      </c>
      <c r="BP1022" s="1"/>
      <c r="BQ1022" s="1"/>
      <c r="BR1022" s="1"/>
      <c r="BS1022" s="1"/>
      <c r="BT1022" s="1"/>
      <c r="BU1022" s="1" t="str">
        <f>HYPERLINK("https://nconnect.nicmar.ac.in/storage/profile/6a86e5bc19618.png","Download")</f>
        <v>0</v>
      </c>
      <c r="BV1022" s="3"/>
      <c r="BW1022" s="3"/>
    </row>
    <row r="1023" spans="1:75">
      <c r="A1023" s="1" t="s">
        <v>75</v>
      </c>
      <c r="B1023" s="1" t="s">
        <v>13976</v>
      </c>
      <c r="C1023" s="1" t="s">
        <v>18751</v>
      </c>
      <c r="D1023" s="1" t="s">
        <v>18752</v>
      </c>
      <c r="E1023" s="1" t="s">
        <v>15430</v>
      </c>
      <c r="F1023" s="1" t="s">
        <v>18753</v>
      </c>
      <c r="G1023" s="1" t="s">
        <v>18754</v>
      </c>
      <c r="H1023" s="1" t="s">
        <v>18755</v>
      </c>
      <c r="I1023" s="1" t="s">
        <v>18755</v>
      </c>
      <c r="J1023" s="1">
        <v>9766595455</v>
      </c>
      <c r="K1023" s="1" t="s">
        <v>153</v>
      </c>
      <c r="L1023" s="1" t="s">
        <v>8419</v>
      </c>
      <c r="M1023" s="1" t="s">
        <v>86</v>
      </c>
      <c r="N1023" s="1" t="s">
        <v>18756</v>
      </c>
      <c r="O1023" s="1" t="s">
        <v>18757</v>
      </c>
      <c r="P1023" s="1" t="s">
        <v>219</v>
      </c>
      <c r="Q1023" s="1">
        <v>569950020873</v>
      </c>
      <c r="R1023" s="1" t="s">
        <v>18758</v>
      </c>
      <c r="S1023" s="1">
        <v>9922487890</v>
      </c>
      <c r="T1023" s="1" t="s">
        <v>18759</v>
      </c>
      <c r="U1023" s="1" t="s">
        <v>18760</v>
      </c>
      <c r="V1023" s="1">
        <v>9075788372</v>
      </c>
      <c r="W1023" s="1" t="s">
        <v>10306</v>
      </c>
      <c r="X1023" s="1" t="s">
        <v>18761</v>
      </c>
      <c r="Y1023" s="1" t="s">
        <v>224</v>
      </c>
      <c r="Z1023" s="1" t="s">
        <v>97</v>
      </c>
      <c r="AA1023" s="1" t="s">
        <v>18761</v>
      </c>
      <c r="AB1023" s="1" t="s">
        <v>224</v>
      </c>
      <c r="AC1023" s="1" t="s">
        <v>97</v>
      </c>
      <c r="AD1023" s="1" t="s">
        <v>98</v>
      </c>
      <c r="AE1023" s="1" t="s">
        <v>98</v>
      </c>
      <c r="AF1023" s="1" t="s">
        <v>18762</v>
      </c>
      <c r="AG1023" s="1" t="s">
        <v>18763</v>
      </c>
      <c r="AH1023" s="1" t="s">
        <v>167</v>
      </c>
      <c r="AI1023" s="1" t="s">
        <v>170</v>
      </c>
      <c r="AJ1023" s="1">
        <v>88.6</v>
      </c>
      <c r="AK1023" s="1"/>
      <c r="AL1023" s="1" t="s">
        <v>18764</v>
      </c>
      <c r="AM1023" s="1" t="s">
        <v>18763</v>
      </c>
      <c r="AN1023" s="1" t="s">
        <v>465</v>
      </c>
      <c r="AO1023" s="1" t="s">
        <v>1477</v>
      </c>
      <c r="AP1023" s="1" t="s">
        <v>203</v>
      </c>
      <c r="AQ1023" s="1">
        <v>58.77</v>
      </c>
      <c r="AR1023" s="1"/>
      <c r="AS1023" s="1"/>
      <c r="AT1023" s="1"/>
      <c r="AU1023" s="1"/>
      <c r="AV1023" s="1"/>
      <c r="AW1023" s="1"/>
      <c r="AX1023" s="1"/>
      <c r="AY1023" s="1" t="s">
        <v>18765</v>
      </c>
      <c r="AZ1023" s="1" t="s">
        <v>18763</v>
      </c>
      <c r="BA1023" s="1" t="s">
        <v>578</v>
      </c>
      <c r="BB1023" s="1" t="s">
        <v>467</v>
      </c>
      <c r="BC1023" s="1" t="s">
        <v>438</v>
      </c>
      <c r="BD1023" s="1" t="s">
        <v>234</v>
      </c>
      <c r="BE1023" s="1">
        <v>75</v>
      </c>
      <c r="BF1023" s="1">
        <v>6.45</v>
      </c>
      <c r="BG1023" s="1"/>
      <c r="BH1023" s="1"/>
      <c r="BI1023" s="1"/>
      <c r="BJ1023" s="1"/>
      <c r="BK1023" s="1"/>
      <c r="BL1023" s="1"/>
      <c r="BM1023" s="1"/>
      <c r="BN1023" s="1"/>
      <c r="BO1023" s="1" t="s">
        <v>18766</v>
      </c>
      <c r="BP1023" s="1"/>
      <c r="BQ1023" s="1"/>
      <c r="BR1023" s="1"/>
      <c r="BS1023" s="1"/>
      <c r="BT1023" s="1"/>
      <c r="BU1023" s="1" t="str">
        <f>HYPERLINK("https://nconnect.nicmar.ac.in/storage/profile/6a874256d25d1.png","Download")</f>
        <v>0</v>
      </c>
      <c r="BV1023" s="3"/>
      <c r="BW1023" s="3"/>
    </row>
    <row r="1024" spans="1:75">
      <c r="A1024" s="1" t="s">
        <v>75</v>
      </c>
      <c r="B1024" s="1" t="s">
        <v>13976</v>
      </c>
      <c r="C1024" s="1" t="s">
        <v>18767</v>
      </c>
      <c r="D1024" s="1" t="s">
        <v>18768</v>
      </c>
      <c r="E1024" s="1"/>
      <c r="F1024" s="1" t="s">
        <v>18769</v>
      </c>
      <c r="G1024" s="1" t="s">
        <v>18770</v>
      </c>
      <c r="H1024" s="1" t="s">
        <v>18771</v>
      </c>
      <c r="I1024" s="1" t="s">
        <v>18771</v>
      </c>
      <c r="J1024" s="1">
        <v>9014266235</v>
      </c>
      <c r="K1024" s="1" t="s">
        <v>84</v>
      </c>
      <c r="L1024" s="1" t="s">
        <v>18772</v>
      </c>
      <c r="M1024" s="1" t="s">
        <v>86</v>
      </c>
      <c r="N1024" s="1" t="s">
        <v>18773</v>
      </c>
      <c r="O1024" s="1" t="s">
        <v>18774</v>
      </c>
      <c r="P1024" s="1" t="s">
        <v>89</v>
      </c>
      <c r="Q1024" s="1" t="s">
        <v>18775</v>
      </c>
      <c r="R1024" s="1" t="s">
        <v>18776</v>
      </c>
      <c r="S1024" s="1">
        <v>9247800415</v>
      </c>
      <c r="T1024" s="1" t="s">
        <v>3439</v>
      </c>
      <c r="U1024" s="1" t="s">
        <v>18777</v>
      </c>
      <c r="V1024" s="1">
        <v>9618608787</v>
      </c>
      <c r="W1024" s="1" t="s">
        <v>3439</v>
      </c>
      <c r="X1024" s="1" t="s">
        <v>18778</v>
      </c>
      <c r="Y1024" s="1" t="s">
        <v>3031</v>
      </c>
      <c r="Z1024" s="1" t="s">
        <v>461</v>
      </c>
      <c r="AA1024" s="1" t="s">
        <v>18778</v>
      </c>
      <c r="AB1024" s="1" t="s">
        <v>3031</v>
      </c>
      <c r="AC1024" s="1" t="s">
        <v>461</v>
      </c>
      <c r="AD1024" s="1" t="s">
        <v>98</v>
      </c>
      <c r="AE1024" s="1" t="s">
        <v>98</v>
      </c>
      <c r="AF1024" s="1" t="s">
        <v>14214</v>
      </c>
      <c r="AG1024" s="1" t="s">
        <v>18779</v>
      </c>
      <c r="AH1024" s="1" t="s">
        <v>171</v>
      </c>
      <c r="AI1024" s="1" t="s">
        <v>313</v>
      </c>
      <c r="AJ1024" s="1">
        <v>98</v>
      </c>
      <c r="AK1024" s="1">
        <v>9.8</v>
      </c>
      <c r="AL1024" s="1" t="s">
        <v>18780</v>
      </c>
      <c r="AM1024" s="1" t="s">
        <v>15421</v>
      </c>
      <c r="AN1024" s="1" t="s">
        <v>465</v>
      </c>
      <c r="AO1024" s="1" t="s">
        <v>438</v>
      </c>
      <c r="AP1024" s="1" t="s">
        <v>845</v>
      </c>
      <c r="AQ1024" s="1">
        <v>91</v>
      </c>
      <c r="AR1024" s="1">
        <v>9.1</v>
      </c>
      <c r="AS1024" s="1"/>
      <c r="AT1024" s="1"/>
      <c r="AU1024" s="1"/>
      <c r="AV1024" s="1"/>
      <c r="AW1024" s="1"/>
      <c r="AX1024" s="1"/>
      <c r="AY1024" s="1" t="s">
        <v>18781</v>
      </c>
      <c r="AZ1024" s="1" t="s">
        <v>18782</v>
      </c>
      <c r="BA1024" s="1" t="s">
        <v>682</v>
      </c>
      <c r="BB1024" s="1" t="s">
        <v>1561</v>
      </c>
      <c r="BC1024" s="1" t="s">
        <v>871</v>
      </c>
      <c r="BD1024" s="1" t="s">
        <v>14162</v>
      </c>
      <c r="BE1024" s="1">
        <v>70</v>
      </c>
      <c r="BF1024" s="1">
        <v>7.04</v>
      </c>
      <c r="BG1024" s="1"/>
      <c r="BH1024" s="1"/>
      <c r="BI1024" s="1"/>
      <c r="BJ1024" s="1"/>
      <c r="BK1024" s="1"/>
      <c r="BL1024" s="1"/>
      <c r="BM1024" s="1"/>
      <c r="BN1024" s="1"/>
      <c r="BO1024" s="1" t="s">
        <v>18783</v>
      </c>
      <c r="BP1024" s="1"/>
      <c r="BQ1024" s="1"/>
      <c r="BR1024" s="1"/>
      <c r="BS1024" s="1"/>
      <c r="BT1024" s="1"/>
      <c r="BU1024" s="1" t="str">
        <f>HYPERLINK("https://nconnect.nicmar.ac.in/storage/profile/6a86d32821b81.png","Download")</f>
        <v>0</v>
      </c>
      <c r="BV1024" s="3"/>
      <c r="BW1024" s="3"/>
    </row>
    <row r="1025" spans="1:75">
      <c r="A1025" s="1" t="s">
        <v>75</v>
      </c>
      <c r="B1025" s="1" t="s">
        <v>13976</v>
      </c>
      <c r="C1025" s="1" t="s">
        <v>18784</v>
      </c>
      <c r="D1025" s="1" t="s">
        <v>18785</v>
      </c>
      <c r="E1025" s="1" t="s">
        <v>18786</v>
      </c>
      <c r="F1025" s="1" t="s">
        <v>18787</v>
      </c>
      <c r="G1025" s="1" t="s">
        <v>18788</v>
      </c>
      <c r="H1025" s="1" t="s">
        <v>18789</v>
      </c>
      <c r="I1025" s="1" t="s">
        <v>18789</v>
      </c>
      <c r="J1025" s="1">
        <v>9309168077</v>
      </c>
      <c r="K1025" s="1" t="s">
        <v>84</v>
      </c>
      <c r="L1025" s="1" t="s">
        <v>15695</v>
      </c>
      <c r="M1025" s="1" t="s">
        <v>86</v>
      </c>
      <c r="N1025" s="1" t="s">
        <v>18790</v>
      </c>
      <c r="O1025" s="1" t="s">
        <v>18791</v>
      </c>
      <c r="P1025" s="1" t="s">
        <v>219</v>
      </c>
      <c r="Q1025" s="1">
        <v>770339577719</v>
      </c>
      <c r="R1025" s="1" t="s">
        <v>18792</v>
      </c>
      <c r="S1025" s="1">
        <v>9370540984</v>
      </c>
      <c r="T1025" s="1" t="s">
        <v>14134</v>
      </c>
      <c r="U1025" s="1" t="s">
        <v>16877</v>
      </c>
      <c r="V1025" s="1">
        <v>8265007151</v>
      </c>
      <c r="W1025" s="1" t="s">
        <v>14154</v>
      </c>
      <c r="X1025" s="1" t="s">
        <v>18793</v>
      </c>
      <c r="Y1025" s="1" t="s">
        <v>196</v>
      </c>
      <c r="Z1025" s="1" t="s">
        <v>97</v>
      </c>
      <c r="AA1025" s="1" t="s">
        <v>18793</v>
      </c>
      <c r="AB1025" s="1" t="s">
        <v>196</v>
      </c>
      <c r="AC1025" s="1" t="s">
        <v>97</v>
      </c>
      <c r="AD1025" s="1" t="s">
        <v>98</v>
      </c>
      <c r="AE1025" s="1" t="s">
        <v>98</v>
      </c>
      <c r="AF1025" s="1" t="s">
        <v>18794</v>
      </c>
      <c r="AG1025" s="1" t="s">
        <v>18795</v>
      </c>
      <c r="AH1025" s="1" t="s">
        <v>1583</v>
      </c>
      <c r="AI1025" s="1" t="s">
        <v>286</v>
      </c>
      <c r="AJ1025" s="1">
        <v>87</v>
      </c>
      <c r="AK1025" s="1"/>
      <c r="AL1025" s="1" t="s">
        <v>18796</v>
      </c>
      <c r="AM1025" s="1" t="s">
        <v>18795</v>
      </c>
      <c r="AN1025" s="1" t="s">
        <v>465</v>
      </c>
      <c r="AO1025" s="1" t="s">
        <v>438</v>
      </c>
      <c r="AP1025" s="1" t="s">
        <v>1192</v>
      </c>
      <c r="AQ1025" s="1">
        <v>89.5</v>
      </c>
      <c r="AR1025" s="1"/>
      <c r="AS1025" s="1"/>
      <c r="AT1025" s="1"/>
      <c r="AU1025" s="1"/>
      <c r="AV1025" s="1"/>
      <c r="AW1025" s="1"/>
      <c r="AX1025" s="1"/>
      <c r="AY1025" s="1" t="s">
        <v>17619</v>
      </c>
      <c r="AZ1025" s="1" t="s">
        <v>18797</v>
      </c>
      <c r="BA1025" s="1" t="s">
        <v>466</v>
      </c>
      <c r="BB1025" s="1" t="s">
        <v>467</v>
      </c>
      <c r="BC1025" s="1" t="s">
        <v>1192</v>
      </c>
      <c r="BD1025" s="1" t="s">
        <v>9688</v>
      </c>
      <c r="BE1025" s="1">
        <v>64</v>
      </c>
      <c r="BF1025" s="1"/>
      <c r="BG1025" s="1"/>
      <c r="BH1025" s="1"/>
      <c r="BI1025" s="1"/>
      <c r="BJ1025" s="1"/>
      <c r="BK1025" s="1"/>
      <c r="BL1025" s="1"/>
      <c r="BM1025" s="1"/>
      <c r="BN1025" s="1"/>
      <c r="BO1025" s="1" t="s">
        <v>18798</v>
      </c>
      <c r="BP1025" s="1"/>
      <c r="BQ1025" s="1"/>
      <c r="BR1025" s="1"/>
      <c r="BS1025" s="1"/>
      <c r="BT1025" s="1"/>
      <c r="BU1025" s="1" t="str">
        <f>HYPERLINK("https://nconnect.nicmar.ac.in/storage/profile/6a85fecc70882.png","Download")</f>
        <v>0</v>
      </c>
      <c r="BV1025" s="3"/>
      <c r="BW1025" s="3"/>
    </row>
    <row r="1026" spans="1:75">
      <c r="A1026" s="1" t="s">
        <v>75</v>
      </c>
      <c r="B1026" s="1" t="s">
        <v>13976</v>
      </c>
      <c r="C1026" s="1" t="s">
        <v>18799</v>
      </c>
      <c r="D1026" s="1" t="s">
        <v>18800</v>
      </c>
      <c r="E1026" s="1" t="s">
        <v>17961</v>
      </c>
      <c r="F1026" s="1" t="s">
        <v>14460</v>
      </c>
      <c r="G1026" s="1" t="s">
        <v>18801</v>
      </c>
      <c r="H1026" s="1" t="s">
        <v>18802</v>
      </c>
      <c r="I1026" s="1" t="s">
        <v>18802</v>
      </c>
      <c r="J1026" s="1">
        <v>8767420168</v>
      </c>
      <c r="K1026" s="1" t="s">
        <v>84</v>
      </c>
      <c r="L1026" s="1" t="s">
        <v>18803</v>
      </c>
      <c r="M1026" s="1" t="s">
        <v>86</v>
      </c>
      <c r="N1026" s="1" t="s">
        <v>14876</v>
      </c>
      <c r="O1026" s="1" t="s">
        <v>18804</v>
      </c>
      <c r="P1026" s="1" t="s">
        <v>89</v>
      </c>
      <c r="Q1026" s="1">
        <v>957370751239</v>
      </c>
      <c r="R1026" s="1" t="s">
        <v>18805</v>
      </c>
      <c r="S1026" s="1">
        <v>9922498684</v>
      </c>
      <c r="T1026" s="1" t="s">
        <v>18806</v>
      </c>
      <c r="U1026" s="1" t="s">
        <v>18807</v>
      </c>
      <c r="V1026" s="1">
        <v>9764084407</v>
      </c>
      <c r="W1026" s="1" t="s">
        <v>14154</v>
      </c>
      <c r="X1026" s="1" t="s">
        <v>18808</v>
      </c>
      <c r="Y1026" s="1" t="s">
        <v>1989</v>
      </c>
      <c r="Z1026" s="1" t="s">
        <v>97</v>
      </c>
      <c r="AA1026" s="1" t="s">
        <v>18808</v>
      </c>
      <c r="AB1026" s="1" t="s">
        <v>1989</v>
      </c>
      <c r="AC1026" s="1" t="s">
        <v>97</v>
      </c>
      <c r="AD1026" s="1" t="s">
        <v>98</v>
      </c>
      <c r="AE1026" s="1" t="s">
        <v>98</v>
      </c>
      <c r="AF1026" s="1" t="s">
        <v>18809</v>
      </c>
      <c r="AG1026" s="1" t="s">
        <v>18810</v>
      </c>
      <c r="AH1026" s="1" t="s">
        <v>388</v>
      </c>
      <c r="AI1026" s="1" t="s">
        <v>286</v>
      </c>
      <c r="AJ1026" s="1">
        <v>79.2</v>
      </c>
      <c r="AK1026" s="1"/>
      <c r="AL1026" s="1" t="s">
        <v>18811</v>
      </c>
      <c r="AM1026" s="1" t="s">
        <v>18810</v>
      </c>
      <c r="AN1026" s="1" t="s">
        <v>465</v>
      </c>
      <c r="AO1026" s="1" t="s">
        <v>174</v>
      </c>
      <c r="AP1026" s="1" t="s">
        <v>365</v>
      </c>
      <c r="AQ1026" s="1">
        <v>66.31</v>
      </c>
      <c r="AR1026" s="1"/>
      <c r="AS1026" s="1"/>
      <c r="AT1026" s="1"/>
      <c r="AU1026" s="1"/>
      <c r="AV1026" s="1"/>
      <c r="AW1026" s="1"/>
      <c r="AX1026" s="1"/>
      <c r="AY1026" s="1" t="s">
        <v>7334</v>
      </c>
      <c r="AZ1026" s="1" t="s">
        <v>12857</v>
      </c>
      <c r="BA1026" s="1" t="s">
        <v>466</v>
      </c>
      <c r="BB1026" s="1" t="s">
        <v>467</v>
      </c>
      <c r="BC1026" s="1" t="s">
        <v>441</v>
      </c>
      <c r="BD1026" s="1" t="s">
        <v>418</v>
      </c>
      <c r="BE1026" s="1">
        <v>65.36</v>
      </c>
      <c r="BF1026" s="1">
        <v>6.88</v>
      </c>
      <c r="BG1026" s="1"/>
      <c r="BH1026" s="1"/>
      <c r="BI1026" s="1"/>
      <c r="BJ1026" s="1"/>
      <c r="BK1026" s="1"/>
      <c r="BL1026" s="1"/>
      <c r="BM1026" s="1"/>
      <c r="BN1026" s="1"/>
      <c r="BO1026" s="1" t="s">
        <v>18812</v>
      </c>
      <c r="BP1026" s="1" t="s">
        <v>18813</v>
      </c>
      <c r="BQ1026" s="1" t="s">
        <v>1482</v>
      </c>
      <c r="BR1026" s="1"/>
      <c r="BS1026" s="1"/>
      <c r="BT1026" s="1"/>
      <c r="BU1026" s="1" t="str">
        <f>HYPERLINK("https://nconnect.nicmar.ac.in/storage/profile/6a86d6c690a68.png","Download")</f>
        <v>0</v>
      </c>
      <c r="BV1026" s="3"/>
      <c r="BW1026" s="3"/>
    </row>
    <row r="1027" spans="1:75">
      <c r="A1027" s="1" t="s">
        <v>75</v>
      </c>
      <c r="B1027" s="1" t="s">
        <v>13976</v>
      </c>
      <c r="C1027" s="1" t="s">
        <v>18814</v>
      </c>
      <c r="D1027" s="1" t="s">
        <v>18815</v>
      </c>
      <c r="E1027" s="1"/>
      <c r="F1027" s="1" t="s">
        <v>18816</v>
      </c>
      <c r="G1027" s="1" t="s">
        <v>18817</v>
      </c>
      <c r="H1027" s="1" t="s">
        <v>18818</v>
      </c>
      <c r="I1027" s="1" t="s">
        <v>18818</v>
      </c>
      <c r="J1027" s="1">
        <v>6302200381</v>
      </c>
      <c r="K1027" s="1" t="s">
        <v>84</v>
      </c>
      <c r="L1027" s="1" t="s">
        <v>5414</v>
      </c>
      <c r="M1027" s="1" t="s">
        <v>86</v>
      </c>
      <c r="N1027" s="1" t="s">
        <v>18819</v>
      </c>
      <c r="O1027" s="1" t="s">
        <v>18820</v>
      </c>
      <c r="P1027" s="1" t="s">
        <v>122</v>
      </c>
      <c r="Q1027" s="1">
        <v>552522489642</v>
      </c>
      <c r="R1027" s="1" t="s">
        <v>18821</v>
      </c>
      <c r="S1027" s="1">
        <v>9000823909</v>
      </c>
      <c r="T1027" s="1" t="s">
        <v>159</v>
      </c>
      <c r="U1027" s="1" t="s">
        <v>18822</v>
      </c>
      <c r="V1027" s="1">
        <v>9000823909</v>
      </c>
      <c r="W1027" s="1" t="s">
        <v>159</v>
      </c>
      <c r="X1027" s="1" t="s">
        <v>18823</v>
      </c>
      <c r="Y1027" s="1" t="s">
        <v>18824</v>
      </c>
      <c r="Z1027" s="1" t="s">
        <v>281</v>
      </c>
      <c r="AA1027" s="1" t="s">
        <v>18823</v>
      </c>
      <c r="AB1027" s="1" t="s">
        <v>18824</v>
      </c>
      <c r="AC1027" s="1" t="s">
        <v>281</v>
      </c>
      <c r="AD1027" s="1" t="s">
        <v>98</v>
      </c>
      <c r="AE1027" s="1" t="s">
        <v>98</v>
      </c>
      <c r="AF1027" s="1" t="s">
        <v>4846</v>
      </c>
      <c r="AG1027" s="1" t="s">
        <v>2341</v>
      </c>
      <c r="AH1027" s="1" t="s">
        <v>170</v>
      </c>
      <c r="AI1027" s="1" t="s">
        <v>490</v>
      </c>
      <c r="AJ1027" s="1">
        <v>93.1</v>
      </c>
      <c r="AK1027" s="1">
        <v>9.8</v>
      </c>
      <c r="AL1027" s="1"/>
      <c r="AM1027" s="1"/>
      <c r="AN1027" s="1"/>
      <c r="AO1027" s="1"/>
      <c r="AP1027" s="1"/>
      <c r="AQ1027" s="1"/>
      <c r="AR1027" s="1"/>
      <c r="AS1027" s="1" t="s">
        <v>439</v>
      </c>
      <c r="AT1027" s="1" t="s">
        <v>18825</v>
      </c>
      <c r="AU1027" s="1" t="s">
        <v>106</v>
      </c>
      <c r="AV1027" s="1" t="s">
        <v>871</v>
      </c>
      <c r="AW1027" s="1">
        <v>88.18</v>
      </c>
      <c r="AX1027" s="1"/>
      <c r="AY1027" s="1" t="s">
        <v>18826</v>
      </c>
      <c r="AZ1027" s="1" t="s">
        <v>18827</v>
      </c>
      <c r="BA1027" s="1" t="s">
        <v>466</v>
      </c>
      <c r="BB1027" s="1" t="s">
        <v>467</v>
      </c>
      <c r="BC1027" s="1" t="s">
        <v>871</v>
      </c>
      <c r="BD1027" s="1" t="s">
        <v>418</v>
      </c>
      <c r="BE1027" s="1">
        <v>79</v>
      </c>
      <c r="BF1027" s="1">
        <v>8.65</v>
      </c>
      <c r="BG1027" s="1"/>
      <c r="BH1027" s="1"/>
      <c r="BI1027" s="1"/>
      <c r="BJ1027" s="1"/>
      <c r="BK1027" s="1"/>
      <c r="BL1027" s="1"/>
      <c r="BM1027" s="1"/>
      <c r="BN1027" s="1"/>
      <c r="BO1027" s="1" t="s">
        <v>18828</v>
      </c>
      <c r="BP1027" s="1" t="s">
        <v>18829</v>
      </c>
      <c r="BQ1027" s="1" t="s">
        <v>582</v>
      </c>
      <c r="BR1027" s="1" t="s">
        <v>18830</v>
      </c>
      <c r="BS1027" s="1">
        <v>24</v>
      </c>
      <c r="BT1027" s="1"/>
      <c r="BU1027" s="1" t="str">
        <f>HYPERLINK("https://nconnect.nicmar.ac.in/storage/profile/6a86d980847fe.png","Download")</f>
        <v>0</v>
      </c>
      <c r="BV1027" s="3"/>
      <c r="BW1027" s="3"/>
    </row>
    <row r="1028" spans="1:75">
      <c r="A1028" s="1" t="s">
        <v>75</v>
      </c>
      <c r="B1028" s="1" t="s">
        <v>13976</v>
      </c>
      <c r="C1028" s="1" t="s">
        <v>18831</v>
      </c>
      <c r="D1028" s="1" t="s">
        <v>18832</v>
      </c>
      <c r="E1028" s="1" t="s">
        <v>18833</v>
      </c>
      <c r="F1028" s="1" t="s">
        <v>18834</v>
      </c>
      <c r="G1028" s="1" t="s">
        <v>18835</v>
      </c>
      <c r="H1028" s="1" t="s">
        <v>18836</v>
      </c>
      <c r="I1028" s="1" t="s">
        <v>18836</v>
      </c>
      <c r="J1028" s="1">
        <v>9075045989</v>
      </c>
      <c r="K1028" s="1" t="s">
        <v>84</v>
      </c>
      <c r="L1028" s="1" t="s">
        <v>8995</v>
      </c>
      <c r="M1028" s="1" t="s">
        <v>86</v>
      </c>
      <c r="N1028" s="1" t="s">
        <v>768</v>
      </c>
      <c r="O1028" s="1" t="s">
        <v>18837</v>
      </c>
      <c r="P1028" s="1" t="s">
        <v>122</v>
      </c>
      <c r="Q1028" s="1">
        <v>956649110726</v>
      </c>
      <c r="R1028" s="1" t="s">
        <v>18838</v>
      </c>
      <c r="S1028" s="1">
        <v>9822802180</v>
      </c>
      <c r="T1028" s="1" t="s">
        <v>14800</v>
      </c>
      <c r="U1028" s="1" t="s">
        <v>18839</v>
      </c>
      <c r="V1028" s="1">
        <v>9766772190</v>
      </c>
      <c r="W1028" s="1" t="s">
        <v>14154</v>
      </c>
      <c r="X1028" s="1" t="s">
        <v>18840</v>
      </c>
      <c r="Y1028" s="1" t="s">
        <v>5659</v>
      </c>
      <c r="Z1028" s="1" t="s">
        <v>97</v>
      </c>
      <c r="AA1028" s="1" t="s">
        <v>18840</v>
      </c>
      <c r="AB1028" s="1" t="s">
        <v>5659</v>
      </c>
      <c r="AC1028" s="1" t="s">
        <v>97</v>
      </c>
      <c r="AD1028" s="1" t="s">
        <v>98</v>
      </c>
      <c r="AE1028" s="1" t="s">
        <v>98</v>
      </c>
      <c r="AF1028" s="1" t="s">
        <v>18841</v>
      </c>
      <c r="AG1028" s="1" t="s">
        <v>97</v>
      </c>
      <c r="AH1028" s="1" t="s">
        <v>170</v>
      </c>
      <c r="AI1028" s="1" t="s">
        <v>106</v>
      </c>
      <c r="AJ1028" s="1">
        <v>87.4</v>
      </c>
      <c r="AK1028" s="1"/>
      <c r="AL1028" s="1" t="s">
        <v>18842</v>
      </c>
      <c r="AM1028" s="1" t="s">
        <v>97</v>
      </c>
      <c r="AN1028" s="1" t="s">
        <v>465</v>
      </c>
      <c r="AO1028" s="1" t="s">
        <v>438</v>
      </c>
      <c r="AP1028" s="1" t="s">
        <v>178</v>
      </c>
      <c r="AQ1028" s="1">
        <v>68.31</v>
      </c>
      <c r="AR1028" s="1"/>
      <c r="AS1028" s="1"/>
      <c r="AT1028" s="1"/>
      <c r="AU1028" s="1"/>
      <c r="AV1028" s="1"/>
      <c r="AW1028" s="1"/>
      <c r="AX1028" s="1"/>
      <c r="AY1028" s="1" t="s">
        <v>14160</v>
      </c>
      <c r="AZ1028" s="1" t="s">
        <v>18843</v>
      </c>
      <c r="BA1028" s="1" t="s">
        <v>578</v>
      </c>
      <c r="BB1028" s="1" t="s">
        <v>467</v>
      </c>
      <c r="BC1028" s="1" t="s">
        <v>890</v>
      </c>
      <c r="BD1028" s="1" t="s">
        <v>207</v>
      </c>
      <c r="BE1028" s="1">
        <v>74.12</v>
      </c>
      <c r="BF1028" s="1">
        <v>8.26</v>
      </c>
      <c r="BG1028" s="1"/>
      <c r="BH1028" s="1"/>
      <c r="BI1028" s="1"/>
      <c r="BJ1028" s="1"/>
      <c r="BK1028" s="1"/>
      <c r="BL1028" s="1"/>
      <c r="BM1028" s="1"/>
      <c r="BN1028" s="1"/>
      <c r="BO1028" s="1" t="s">
        <v>18844</v>
      </c>
      <c r="BP1028" s="1" t="s">
        <v>18845</v>
      </c>
      <c r="BQ1028" s="1" t="s">
        <v>1070</v>
      </c>
      <c r="BR1028" s="1"/>
      <c r="BS1028" s="1"/>
      <c r="BT1028" s="1"/>
      <c r="BU1028" s="1" t="str">
        <f>HYPERLINK("https://nconnect.nicmar.ac.in/storage/profile/6a846443ca90c.png","Download")</f>
        <v>0</v>
      </c>
      <c r="BV1028" s="3"/>
      <c r="BW1028" s="3"/>
    </row>
    <row r="1029" spans="1:75">
      <c r="A1029" s="1" t="s">
        <v>75</v>
      </c>
      <c r="B1029" s="1" t="s">
        <v>13976</v>
      </c>
      <c r="C1029" s="1" t="s">
        <v>18846</v>
      </c>
      <c r="D1029" s="1" t="s">
        <v>18847</v>
      </c>
      <c r="E1029" s="1"/>
      <c r="F1029" s="1" t="s">
        <v>18848</v>
      </c>
      <c r="G1029" s="1" t="s">
        <v>18849</v>
      </c>
      <c r="H1029" s="1" t="s">
        <v>18850</v>
      </c>
      <c r="I1029" s="1" t="s">
        <v>18850</v>
      </c>
      <c r="J1029" s="1">
        <v>7668882776</v>
      </c>
      <c r="K1029" s="1" t="s">
        <v>84</v>
      </c>
      <c r="L1029" s="1" t="s">
        <v>18851</v>
      </c>
      <c r="M1029" s="1" t="s">
        <v>86</v>
      </c>
      <c r="N1029" s="1" t="s">
        <v>4857</v>
      </c>
      <c r="O1029" s="1" t="s">
        <v>18852</v>
      </c>
      <c r="P1029" s="1" t="s">
        <v>356</v>
      </c>
      <c r="Q1029" s="1">
        <v>824347556993</v>
      </c>
      <c r="R1029" s="1" t="s">
        <v>18853</v>
      </c>
      <c r="S1029" s="1">
        <v>9838330911</v>
      </c>
      <c r="T1029" s="1" t="s">
        <v>13987</v>
      </c>
      <c r="U1029" s="1" t="s">
        <v>18854</v>
      </c>
      <c r="V1029" s="1">
        <v>9005454538</v>
      </c>
      <c r="W1029" s="1" t="s">
        <v>14154</v>
      </c>
      <c r="X1029" s="1" t="s">
        <v>18855</v>
      </c>
      <c r="Y1029" s="1" t="s">
        <v>18856</v>
      </c>
      <c r="Z1029" s="1" t="s">
        <v>544</v>
      </c>
      <c r="AA1029" s="1" t="s">
        <v>18855</v>
      </c>
      <c r="AB1029" s="1" t="s">
        <v>18856</v>
      </c>
      <c r="AC1029" s="1" t="s">
        <v>544</v>
      </c>
      <c r="AD1029" s="1" t="s">
        <v>98</v>
      </c>
      <c r="AE1029" s="1" t="s">
        <v>98</v>
      </c>
      <c r="AF1029" s="1" t="s">
        <v>18857</v>
      </c>
      <c r="AG1029" s="1" t="s">
        <v>18858</v>
      </c>
      <c r="AH1029" s="1" t="s">
        <v>1583</v>
      </c>
      <c r="AI1029" s="1" t="s">
        <v>1262</v>
      </c>
      <c r="AJ1029" s="1">
        <v>84.83</v>
      </c>
      <c r="AK1029" s="1"/>
      <c r="AL1029" s="1" t="s">
        <v>18857</v>
      </c>
      <c r="AM1029" s="1" t="s">
        <v>18858</v>
      </c>
      <c r="AN1029" s="1" t="s">
        <v>465</v>
      </c>
      <c r="AO1029" s="1" t="s">
        <v>342</v>
      </c>
      <c r="AP1029" s="1" t="s">
        <v>627</v>
      </c>
      <c r="AQ1029" s="1">
        <v>76.2</v>
      </c>
      <c r="AR1029" s="1"/>
      <c r="AS1029" s="1"/>
      <c r="AT1029" s="1"/>
      <c r="AU1029" s="1"/>
      <c r="AV1029" s="1"/>
      <c r="AW1029" s="1"/>
      <c r="AX1029" s="1"/>
      <c r="AY1029" s="1" t="s">
        <v>18859</v>
      </c>
      <c r="AZ1029" s="1" t="s">
        <v>18860</v>
      </c>
      <c r="BA1029" s="1" t="s">
        <v>466</v>
      </c>
      <c r="BB1029" s="1" t="s">
        <v>467</v>
      </c>
      <c r="BC1029" s="1" t="s">
        <v>388</v>
      </c>
      <c r="BD1029" s="1" t="s">
        <v>441</v>
      </c>
      <c r="BE1029" s="1">
        <v>76.3</v>
      </c>
      <c r="BF1029" s="1">
        <v>7.63</v>
      </c>
      <c r="BG1029" s="1"/>
      <c r="BH1029" s="1"/>
      <c r="BI1029" s="1"/>
      <c r="BJ1029" s="1"/>
      <c r="BK1029" s="1"/>
      <c r="BL1029" s="1"/>
      <c r="BM1029" s="1"/>
      <c r="BN1029" s="1"/>
      <c r="BO1029" s="1" t="s">
        <v>18861</v>
      </c>
      <c r="BP1029" s="1" t="s">
        <v>18862</v>
      </c>
      <c r="BQ1029" s="1" t="s">
        <v>18863</v>
      </c>
      <c r="BR1029" s="1"/>
      <c r="BS1029" s="1"/>
      <c r="BT1029" s="1"/>
      <c r="BU1029" s="1" t="str">
        <f>HYPERLINK("https://nconnect.nicmar.ac.in/storage/profile/6a88b187e004a.png","Download")</f>
        <v>0</v>
      </c>
      <c r="BV1029" s="3"/>
      <c r="BW1029" s="3"/>
    </row>
    <row r="1030" spans="1:75">
      <c r="A1030" s="1" t="s">
        <v>75</v>
      </c>
      <c r="B1030" s="1" t="s">
        <v>13976</v>
      </c>
      <c r="C1030" s="1" t="s">
        <v>18864</v>
      </c>
      <c r="D1030" s="1" t="s">
        <v>15348</v>
      </c>
      <c r="E1030" s="1" t="s">
        <v>18865</v>
      </c>
      <c r="F1030" s="1" t="s">
        <v>18866</v>
      </c>
      <c r="G1030" s="1" t="s">
        <v>18867</v>
      </c>
      <c r="H1030" s="1" t="s">
        <v>18868</v>
      </c>
      <c r="I1030" s="1" t="s">
        <v>18869</v>
      </c>
      <c r="J1030" s="1">
        <v>8625837793</v>
      </c>
      <c r="K1030" s="1" t="s">
        <v>84</v>
      </c>
      <c r="L1030" s="1" t="s">
        <v>18870</v>
      </c>
      <c r="M1030" s="1" t="s">
        <v>86</v>
      </c>
      <c r="N1030" s="1" t="s">
        <v>18871</v>
      </c>
      <c r="O1030" s="1" t="s">
        <v>18872</v>
      </c>
      <c r="P1030" s="1" t="s">
        <v>219</v>
      </c>
      <c r="Q1030" s="1">
        <v>767556237270</v>
      </c>
      <c r="R1030" s="1" t="s">
        <v>18873</v>
      </c>
      <c r="S1030" s="1">
        <v>9881528682</v>
      </c>
      <c r="T1030" s="1" t="s">
        <v>3439</v>
      </c>
      <c r="U1030" s="1" t="s">
        <v>18874</v>
      </c>
      <c r="V1030" s="1">
        <v>9881487679</v>
      </c>
      <c r="W1030" s="1" t="s">
        <v>18875</v>
      </c>
      <c r="X1030" s="1" t="s">
        <v>18876</v>
      </c>
      <c r="Y1030" s="1" t="s">
        <v>384</v>
      </c>
      <c r="Z1030" s="1" t="s">
        <v>97</v>
      </c>
      <c r="AA1030" s="1" t="s">
        <v>18876</v>
      </c>
      <c r="AB1030" s="1" t="s">
        <v>384</v>
      </c>
      <c r="AC1030" s="1" t="s">
        <v>97</v>
      </c>
      <c r="AD1030" s="1" t="s">
        <v>98</v>
      </c>
      <c r="AE1030" s="1" t="s">
        <v>98</v>
      </c>
      <c r="AF1030" s="1" t="s">
        <v>18877</v>
      </c>
      <c r="AG1030" s="1" t="s">
        <v>18878</v>
      </c>
      <c r="AH1030" s="1" t="s">
        <v>315</v>
      </c>
      <c r="AI1030" s="1" t="s">
        <v>468</v>
      </c>
      <c r="AJ1030" s="1">
        <v>64.0</v>
      </c>
      <c r="AK1030" s="1"/>
      <c r="AL1030" s="1"/>
      <c r="AM1030" s="1"/>
      <c r="AN1030" s="1"/>
      <c r="AO1030" s="1"/>
      <c r="AP1030" s="1"/>
      <c r="AQ1030" s="1"/>
      <c r="AR1030" s="1"/>
      <c r="AS1030" s="1" t="s">
        <v>15834</v>
      </c>
      <c r="AT1030" s="1" t="s">
        <v>18879</v>
      </c>
      <c r="AU1030" s="1" t="s">
        <v>1040</v>
      </c>
      <c r="AV1030" s="1" t="s">
        <v>234</v>
      </c>
      <c r="AW1030" s="1">
        <v>79.42</v>
      </c>
      <c r="AX1030" s="1"/>
      <c r="AY1030" s="1" t="s">
        <v>18880</v>
      </c>
      <c r="AZ1030" s="1" t="s">
        <v>18881</v>
      </c>
      <c r="BA1030" s="1" t="s">
        <v>466</v>
      </c>
      <c r="BB1030" s="1" t="s">
        <v>467</v>
      </c>
      <c r="BC1030" s="1" t="s">
        <v>391</v>
      </c>
      <c r="BD1030" s="1" t="s">
        <v>14514</v>
      </c>
      <c r="BE1030" s="1">
        <v>71.5</v>
      </c>
      <c r="BF1030" s="1">
        <v>7.65</v>
      </c>
      <c r="BG1030" s="1"/>
      <c r="BH1030" s="1"/>
      <c r="BI1030" s="1"/>
      <c r="BJ1030" s="1"/>
      <c r="BK1030" s="1"/>
      <c r="BL1030" s="1"/>
      <c r="BM1030" s="1"/>
      <c r="BN1030" s="1"/>
      <c r="BO1030" s="1" t="s">
        <v>18882</v>
      </c>
      <c r="BP1030" s="1"/>
      <c r="BQ1030" s="1"/>
      <c r="BR1030" s="1" t="s">
        <v>18883</v>
      </c>
      <c r="BS1030" s="1">
        <v>25</v>
      </c>
      <c r="BT1030" s="1"/>
      <c r="BU1030" s="1" t="str">
        <f>HYPERLINK("https://nconnect.nicmar.ac.in/storage/profile/6a8700fe3895d.png","Download")</f>
        <v>0</v>
      </c>
      <c r="BV1030" s="3"/>
      <c r="BW1030" s="3"/>
    </row>
    <row r="1031" spans="1:75">
      <c r="A1031" s="1" t="s">
        <v>75</v>
      </c>
      <c r="B1031" s="1" t="s">
        <v>13976</v>
      </c>
      <c r="C1031" s="1" t="s">
        <v>18884</v>
      </c>
      <c r="D1031" s="1" t="s">
        <v>18885</v>
      </c>
      <c r="E1031" s="1" t="s">
        <v>6471</v>
      </c>
      <c r="F1031" s="1" t="s">
        <v>18886</v>
      </c>
      <c r="G1031" s="1" t="s">
        <v>18887</v>
      </c>
      <c r="H1031" s="1" t="s">
        <v>18888</v>
      </c>
      <c r="I1031" s="1" t="s">
        <v>18888</v>
      </c>
      <c r="J1031" s="1">
        <v>8767851095</v>
      </c>
      <c r="K1031" s="1" t="s">
        <v>153</v>
      </c>
      <c r="L1031" s="1" t="s">
        <v>18889</v>
      </c>
      <c r="M1031" s="1" t="s">
        <v>86</v>
      </c>
      <c r="N1031" s="1" t="s">
        <v>18890</v>
      </c>
      <c r="O1031" s="1" t="s">
        <v>18891</v>
      </c>
      <c r="P1031" s="1" t="s">
        <v>219</v>
      </c>
      <c r="Q1031" s="1">
        <v>956630524355</v>
      </c>
      <c r="R1031" s="1" t="s">
        <v>18892</v>
      </c>
      <c r="S1031" s="1">
        <v>7385913805</v>
      </c>
      <c r="T1031" s="1" t="s">
        <v>18893</v>
      </c>
      <c r="U1031" s="1" t="s">
        <v>18892</v>
      </c>
      <c r="V1031" s="1">
        <v>7385913805</v>
      </c>
      <c r="W1031" s="1" t="s">
        <v>18893</v>
      </c>
      <c r="X1031" s="1" t="s">
        <v>18894</v>
      </c>
      <c r="Y1031" s="1" t="s">
        <v>224</v>
      </c>
      <c r="Z1031" s="1" t="s">
        <v>97</v>
      </c>
      <c r="AA1031" s="1" t="s">
        <v>18894</v>
      </c>
      <c r="AB1031" s="1" t="s">
        <v>224</v>
      </c>
      <c r="AC1031" s="1" t="s">
        <v>97</v>
      </c>
      <c r="AD1031" s="1" t="s">
        <v>98</v>
      </c>
      <c r="AE1031" s="1" t="s">
        <v>98</v>
      </c>
      <c r="AF1031" s="1" t="s">
        <v>18895</v>
      </c>
      <c r="AG1031" s="1" t="s">
        <v>18896</v>
      </c>
      <c r="AH1031" s="1" t="s">
        <v>547</v>
      </c>
      <c r="AI1031" s="1" t="s">
        <v>178</v>
      </c>
      <c r="AJ1031" s="1">
        <v>91.2</v>
      </c>
      <c r="AK1031" s="1"/>
      <c r="AL1031" s="1"/>
      <c r="AM1031" s="1"/>
      <c r="AN1031" s="1"/>
      <c r="AO1031" s="1"/>
      <c r="AP1031" s="1"/>
      <c r="AQ1031" s="1"/>
      <c r="AR1031" s="1"/>
      <c r="AS1031" s="1" t="s">
        <v>14713</v>
      </c>
      <c r="AT1031" s="1" t="s">
        <v>18897</v>
      </c>
      <c r="AU1031" s="1" t="s">
        <v>233</v>
      </c>
      <c r="AV1031" s="1" t="s">
        <v>955</v>
      </c>
      <c r="AW1031" s="1">
        <v>90.47</v>
      </c>
      <c r="AX1031" s="1"/>
      <c r="AY1031" s="1" t="s">
        <v>18898</v>
      </c>
      <c r="AZ1031" s="1" t="s">
        <v>18899</v>
      </c>
      <c r="BA1031" s="1" t="s">
        <v>466</v>
      </c>
      <c r="BB1031" s="1" t="s">
        <v>467</v>
      </c>
      <c r="BC1031" s="1" t="s">
        <v>1267</v>
      </c>
      <c r="BD1031" s="1" t="s">
        <v>15515</v>
      </c>
      <c r="BE1031" s="1">
        <v>94.2</v>
      </c>
      <c r="BF1031" s="1">
        <v>9.42</v>
      </c>
      <c r="BG1031" s="1"/>
      <c r="BH1031" s="1"/>
      <c r="BI1031" s="1"/>
      <c r="BJ1031" s="1"/>
      <c r="BK1031" s="1"/>
      <c r="BL1031" s="1"/>
      <c r="BM1031" s="1"/>
      <c r="BN1031" s="1"/>
      <c r="BO1031" s="1" t="s">
        <v>18900</v>
      </c>
      <c r="BP1031" s="1"/>
      <c r="BQ1031" s="1"/>
      <c r="BR1031" s="1" t="s">
        <v>18901</v>
      </c>
      <c r="BS1031" s="1">
        <v>55</v>
      </c>
      <c r="BT1031" s="1"/>
      <c r="BU1031" s="1" t="str">
        <f>HYPERLINK("https://nconnect.nicmar.ac.in/storage/profile/6a860afe47763.png","Download")</f>
        <v>0</v>
      </c>
      <c r="BV1031" s="3"/>
      <c r="BW1031" s="3"/>
    </row>
    <row r="1032" spans="1:75">
      <c r="A1032" s="1" t="s">
        <v>75</v>
      </c>
      <c r="B1032" s="1" t="s">
        <v>13976</v>
      </c>
      <c r="C1032" s="1" t="s">
        <v>18902</v>
      </c>
      <c r="D1032" s="1" t="s">
        <v>11734</v>
      </c>
      <c r="E1032" s="1"/>
      <c r="F1032" s="1" t="s">
        <v>18903</v>
      </c>
      <c r="G1032" s="1" t="s">
        <v>18904</v>
      </c>
      <c r="H1032" s="1" t="s">
        <v>18905</v>
      </c>
      <c r="I1032" s="1" t="s">
        <v>18906</v>
      </c>
      <c r="J1032" s="1">
        <v>8218835938</v>
      </c>
      <c r="K1032" s="1" t="s">
        <v>84</v>
      </c>
      <c r="L1032" s="1" t="s">
        <v>18907</v>
      </c>
      <c r="M1032" s="1" t="s">
        <v>86</v>
      </c>
      <c r="N1032" s="1" t="s">
        <v>4857</v>
      </c>
      <c r="O1032" s="1" t="s">
        <v>18908</v>
      </c>
      <c r="P1032" s="1" t="s">
        <v>219</v>
      </c>
      <c r="Q1032" s="1">
        <v>253745130330</v>
      </c>
      <c r="R1032" s="1" t="s">
        <v>18909</v>
      </c>
      <c r="S1032" s="1">
        <v>8279540158</v>
      </c>
      <c r="T1032" s="1" t="s">
        <v>18910</v>
      </c>
      <c r="U1032" s="1" t="s">
        <v>18911</v>
      </c>
      <c r="V1032" s="1">
        <v>8475950188</v>
      </c>
      <c r="W1032" s="1" t="s">
        <v>18912</v>
      </c>
      <c r="X1032" s="1" t="s">
        <v>18913</v>
      </c>
      <c r="Y1032" s="1" t="s">
        <v>18914</v>
      </c>
      <c r="Z1032" s="1" t="s">
        <v>544</v>
      </c>
      <c r="AA1032" s="1" t="s">
        <v>18913</v>
      </c>
      <c r="AB1032" s="1" t="s">
        <v>18914</v>
      </c>
      <c r="AC1032" s="1" t="s">
        <v>544</v>
      </c>
      <c r="AD1032" s="1" t="s">
        <v>98</v>
      </c>
      <c r="AE1032" s="1" t="s">
        <v>98</v>
      </c>
      <c r="AF1032" s="1" t="s">
        <v>18915</v>
      </c>
      <c r="AG1032" s="1" t="s">
        <v>18916</v>
      </c>
      <c r="AH1032" s="1" t="s">
        <v>18917</v>
      </c>
      <c r="AI1032" s="1" t="s">
        <v>337</v>
      </c>
      <c r="AJ1032" s="1">
        <v>81.7</v>
      </c>
      <c r="AK1032" s="1">
        <v>8.6</v>
      </c>
      <c r="AL1032" s="1" t="s">
        <v>18918</v>
      </c>
      <c r="AM1032" s="1" t="s">
        <v>18916</v>
      </c>
      <c r="AN1032" s="1" t="s">
        <v>465</v>
      </c>
      <c r="AO1032" s="1" t="s">
        <v>3923</v>
      </c>
      <c r="AP1032" s="1" t="s">
        <v>134</v>
      </c>
      <c r="AQ1032" s="1">
        <v>68.2</v>
      </c>
      <c r="AR1032" s="1"/>
      <c r="AS1032" s="1"/>
      <c r="AT1032" s="1"/>
      <c r="AU1032" s="1"/>
      <c r="AV1032" s="1"/>
      <c r="AW1032" s="1"/>
      <c r="AX1032" s="1"/>
      <c r="AY1032" s="1" t="s">
        <v>18919</v>
      </c>
      <c r="AZ1032" s="1" t="s">
        <v>18920</v>
      </c>
      <c r="BA1032" s="1" t="s">
        <v>466</v>
      </c>
      <c r="BB1032" s="1" t="s">
        <v>467</v>
      </c>
      <c r="BC1032" s="1" t="s">
        <v>804</v>
      </c>
      <c r="BD1032" s="1" t="s">
        <v>18921</v>
      </c>
      <c r="BE1032" s="1">
        <v>70.6</v>
      </c>
      <c r="BF1032" s="1">
        <v>7.06</v>
      </c>
      <c r="BG1032" s="1"/>
      <c r="BH1032" s="1"/>
      <c r="BI1032" s="1"/>
      <c r="BJ1032" s="1"/>
      <c r="BK1032" s="1"/>
      <c r="BL1032" s="1"/>
      <c r="BM1032" s="1"/>
      <c r="BN1032" s="1"/>
      <c r="BO1032" s="1" t="s">
        <v>260</v>
      </c>
      <c r="BP1032" s="1" t="s">
        <v>18922</v>
      </c>
      <c r="BQ1032" s="1" t="s">
        <v>7108</v>
      </c>
      <c r="BR1032" s="1" t="s">
        <v>18923</v>
      </c>
      <c r="BS1032" s="1">
        <v>6</v>
      </c>
      <c r="BT1032" s="1" t="s">
        <v>18924</v>
      </c>
      <c r="BU1032" s="1" t="str">
        <f>HYPERLINK("https://nconnect.nicmar.ac.in/storage/profile/6a85e2ee22711.png","Download")</f>
        <v>0</v>
      </c>
      <c r="BV1032" s="3"/>
      <c r="BW1032" s="3"/>
    </row>
    <row r="1033" spans="1:75">
      <c r="A1033" s="1" t="s">
        <v>75</v>
      </c>
      <c r="B1033" s="1" t="s">
        <v>13976</v>
      </c>
      <c r="C1033" s="1" t="s">
        <v>18925</v>
      </c>
      <c r="D1033" s="1" t="s">
        <v>16615</v>
      </c>
      <c r="E1033" s="1" t="s">
        <v>15430</v>
      </c>
      <c r="F1033" s="1" t="s">
        <v>18926</v>
      </c>
      <c r="G1033" s="1" t="s">
        <v>18927</v>
      </c>
      <c r="H1033" s="1" t="s">
        <v>18928</v>
      </c>
      <c r="I1033" s="1" t="s">
        <v>18928</v>
      </c>
      <c r="J1033" s="1">
        <v>9834402206</v>
      </c>
      <c r="K1033" s="1" t="s">
        <v>153</v>
      </c>
      <c r="L1033" s="1" t="s">
        <v>18929</v>
      </c>
      <c r="M1033" s="1" t="s">
        <v>86</v>
      </c>
      <c r="N1033" s="1" t="s">
        <v>618</v>
      </c>
      <c r="O1033" s="1" t="s">
        <v>18930</v>
      </c>
      <c r="P1033" s="1" t="s">
        <v>219</v>
      </c>
      <c r="Q1033" s="1">
        <v>291442016848</v>
      </c>
      <c r="R1033" s="1" t="s">
        <v>18931</v>
      </c>
      <c r="S1033" s="1">
        <v>9325850783</v>
      </c>
      <c r="T1033" s="1" t="s">
        <v>2177</v>
      </c>
      <c r="U1033" s="1" t="s">
        <v>18932</v>
      </c>
      <c r="V1033" s="1">
        <v>8788583051</v>
      </c>
      <c r="W1033" s="1" t="s">
        <v>14154</v>
      </c>
      <c r="X1033" s="1" t="s">
        <v>18933</v>
      </c>
      <c r="Y1033" s="1" t="s">
        <v>4302</v>
      </c>
      <c r="Z1033" s="1" t="s">
        <v>97</v>
      </c>
      <c r="AA1033" s="1" t="s">
        <v>18933</v>
      </c>
      <c r="AB1033" s="1" t="s">
        <v>4302</v>
      </c>
      <c r="AC1033" s="1" t="s">
        <v>97</v>
      </c>
      <c r="AD1033" s="1" t="s">
        <v>98</v>
      </c>
      <c r="AE1033" s="1" t="s">
        <v>98</v>
      </c>
      <c r="AF1033" s="1" t="s">
        <v>18934</v>
      </c>
      <c r="AG1033" s="1" t="s">
        <v>14238</v>
      </c>
      <c r="AH1033" s="1" t="s">
        <v>3112</v>
      </c>
      <c r="AI1033" s="1" t="s">
        <v>200</v>
      </c>
      <c r="AJ1033" s="1">
        <v>89.6</v>
      </c>
      <c r="AK1033" s="1"/>
      <c r="AL1033" s="1"/>
      <c r="AM1033" s="1"/>
      <c r="AN1033" s="1"/>
      <c r="AO1033" s="1"/>
      <c r="AP1033" s="1"/>
      <c r="AQ1033" s="1"/>
      <c r="AR1033" s="1"/>
      <c r="AS1033" s="1" t="s">
        <v>467</v>
      </c>
      <c r="AT1033" s="1" t="s">
        <v>18935</v>
      </c>
      <c r="AU1033" s="1" t="s">
        <v>388</v>
      </c>
      <c r="AV1033" s="1" t="s">
        <v>175</v>
      </c>
      <c r="AW1033" s="1">
        <v>79.17</v>
      </c>
      <c r="AX1033" s="1"/>
      <c r="AY1033" s="1" t="s">
        <v>18936</v>
      </c>
      <c r="AZ1033" s="1" t="s">
        <v>18937</v>
      </c>
      <c r="BA1033" s="1" t="s">
        <v>578</v>
      </c>
      <c r="BB1033" s="1" t="s">
        <v>467</v>
      </c>
      <c r="BC1033" s="1" t="s">
        <v>2304</v>
      </c>
      <c r="BD1033" s="1" t="s">
        <v>179</v>
      </c>
      <c r="BE1033" s="1">
        <v>80.15</v>
      </c>
      <c r="BF1033" s="1"/>
      <c r="BG1033" s="1"/>
      <c r="BH1033" s="1"/>
      <c r="BI1033" s="1"/>
      <c r="BJ1033" s="1"/>
      <c r="BK1033" s="1"/>
      <c r="BL1033" s="1"/>
      <c r="BM1033" s="1"/>
      <c r="BN1033" s="1"/>
      <c r="BO1033" s="1" t="s">
        <v>18938</v>
      </c>
      <c r="BP1033" s="1" t="s">
        <v>18939</v>
      </c>
      <c r="BQ1033" s="1" t="s">
        <v>4149</v>
      </c>
      <c r="BR1033" s="1" t="s">
        <v>18940</v>
      </c>
      <c r="BS1033" s="1">
        <v>18</v>
      </c>
      <c r="BT1033" s="1" t="s">
        <v>18941</v>
      </c>
      <c r="BU1033" s="1" t="str">
        <f>HYPERLINK("https://nconnect.nicmar.ac.in/storage/profile/6a85fd689076a.png","Download")</f>
        <v>0</v>
      </c>
      <c r="BV1033" s="3"/>
      <c r="BW1033" s="3"/>
    </row>
    <row r="1034" spans="1:75">
      <c r="A1034" s="1" t="s">
        <v>75</v>
      </c>
      <c r="B1034" s="1" t="s">
        <v>13976</v>
      </c>
      <c r="C1034" s="1" t="s">
        <v>18942</v>
      </c>
      <c r="D1034" s="1" t="s">
        <v>18943</v>
      </c>
      <c r="E1034" s="1"/>
      <c r="F1034" s="1" t="s">
        <v>17833</v>
      </c>
      <c r="G1034" s="1" t="s">
        <v>18944</v>
      </c>
      <c r="H1034" s="1" t="s">
        <v>18945</v>
      </c>
      <c r="I1034" s="1" t="s">
        <v>18946</v>
      </c>
      <c r="J1034" s="1">
        <v>9629897091</v>
      </c>
      <c r="K1034" s="1" t="s">
        <v>84</v>
      </c>
      <c r="L1034" s="1" t="s">
        <v>18947</v>
      </c>
      <c r="M1034" s="1" t="s">
        <v>86</v>
      </c>
      <c r="N1034" s="1" t="s">
        <v>18948</v>
      </c>
      <c r="O1034" s="1" t="s">
        <v>18949</v>
      </c>
      <c r="P1034" s="1" t="s">
        <v>219</v>
      </c>
      <c r="Q1034" s="1">
        <v>605730577334</v>
      </c>
      <c r="R1034" s="1" t="s">
        <v>18950</v>
      </c>
      <c r="S1034" s="1">
        <v>6380885822</v>
      </c>
      <c r="T1034" s="1" t="s">
        <v>18951</v>
      </c>
      <c r="U1034" s="1" t="s">
        <v>18952</v>
      </c>
      <c r="V1034" s="1">
        <v>9486087760</v>
      </c>
      <c r="W1034" s="1" t="s">
        <v>3441</v>
      </c>
      <c r="X1034" s="1" t="s">
        <v>18953</v>
      </c>
      <c r="Y1034" s="1" t="s">
        <v>2068</v>
      </c>
      <c r="Z1034" s="1" t="s">
        <v>2068</v>
      </c>
      <c r="AA1034" s="1" t="s">
        <v>18953</v>
      </c>
      <c r="AB1034" s="1" t="s">
        <v>2068</v>
      </c>
      <c r="AC1034" s="1" t="s">
        <v>2068</v>
      </c>
      <c r="AD1034" s="1" t="s">
        <v>98</v>
      </c>
      <c r="AE1034" s="1" t="s">
        <v>98</v>
      </c>
      <c r="AF1034" s="1" t="s">
        <v>18954</v>
      </c>
      <c r="AG1034" s="1" t="s">
        <v>18955</v>
      </c>
      <c r="AH1034" s="1" t="s">
        <v>171</v>
      </c>
      <c r="AI1034" s="1" t="s">
        <v>313</v>
      </c>
      <c r="AJ1034" s="1">
        <v>80</v>
      </c>
      <c r="AK1034" s="1"/>
      <c r="AL1034" s="1" t="s">
        <v>18956</v>
      </c>
      <c r="AM1034" s="1" t="s">
        <v>18955</v>
      </c>
      <c r="AN1034" s="1" t="s">
        <v>575</v>
      </c>
      <c r="AO1034" s="1" t="s">
        <v>178</v>
      </c>
      <c r="AP1034" s="1" t="s">
        <v>549</v>
      </c>
      <c r="AQ1034" s="1">
        <v>81.6</v>
      </c>
      <c r="AR1034" s="1"/>
      <c r="AS1034" s="1"/>
      <c r="AT1034" s="1"/>
      <c r="AU1034" s="1"/>
      <c r="AV1034" s="1"/>
      <c r="AW1034" s="1"/>
      <c r="AX1034" s="1"/>
      <c r="AY1034" s="1" t="s">
        <v>18957</v>
      </c>
      <c r="AZ1034" s="1" t="s">
        <v>18958</v>
      </c>
      <c r="BA1034" s="1" t="s">
        <v>466</v>
      </c>
      <c r="BB1034" s="1" t="s">
        <v>467</v>
      </c>
      <c r="BC1034" s="1" t="s">
        <v>2765</v>
      </c>
      <c r="BD1034" s="1" t="s">
        <v>14494</v>
      </c>
      <c r="BE1034" s="1">
        <v>73.43</v>
      </c>
      <c r="BF1034" s="1">
        <v>7.73</v>
      </c>
      <c r="BG1034" s="1"/>
      <c r="BH1034" s="1"/>
      <c r="BI1034" s="1"/>
      <c r="BJ1034" s="1"/>
      <c r="BK1034" s="1"/>
      <c r="BL1034" s="1"/>
      <c r="BM1034" s="1"/>
      <c r="BN1034" s="1"/>
      <c r="BO1034" s="1" t="s">
        <v>18959</v>
      </c>
      <c r="BP1034" s="1"/>
      <c r="BQ1034" s="1"/>
      <c r="BR1034" s="1" t="s">
        <v>18960</v>
      </c>
      <c r="BS1034" s="1">
        <v>6</v>
      </c>
      <c r="BT1034" s="1" t="s">
        <v>18961</v>
      </c>
      <c r="BU1034" s="1" t="str">
        <f>HYPERLINK("https://nconnect.nicmar.ac.in/storage/profile/6a86eb4b9382d.png","Download")</f>
        <v>0</v>
      </c>
      <c r="BV1034" s="3"/>
      <c r="BW1034" s="3"/>
    </row>
    <row r="1035" spans="1:75">
      <c r="A1035" s="1" t="s">
        <v>75</v>
      </c>
      <c r="B1035" s="1" t="s">
        <v>13976</v>
      </c>
      <c r="C1035" s="1" t="s">
        <v>18962</v>
      </c>
      <c r="D1035" s="1"/>
      <c r="E1035" s="1"/>
      <c r="F1035" s="1"/>
      <c r="G1035" s="1"/>
      <c r="H1035" s="1" t="s">
        <v>18963</v>
      </c>
      <c r="I1035" s="1" t="s">
        <v>18963</v>
      </c>
      <c r="J1035" s="1"/>
      <c r="K1035" s="1"/>
      <c r="L1035" s="1"/>
      <c r="M1035" s="1"/>
      <c r="N1035" s="1"/>
      <c r="O1035" s="1"/>
      <c r="P1035" s="1"/>
      <c r="Q1035" s="1"/>
      <c r="R1035" s="1"/>
      <c r="S1035" s="1"/>
      <c r="T1035" s="1"/>
      <c r="U1035" s="1"/>
      <c r="V1035" s="1"/>
      <c r="W1035" s="1"/>
      <c r="X1035" s="1"/>
      <c r="Y1035" s="1"/>
      <c r="Z1035" s="1"/>
      <c r="AA1035" s="1"/>
      <c r="AB1035" s="1"/>
      <c r="AC1035" s="1"/>
      <c r="AD1035" s="1" t="s">
        <v>98</v>
      </c>
      <c r="AE1035" s="1" t="s">
        <v>98</v>
      </c>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t="s">
        <v>9653</v>
      </c>
      <c r="BV1035" s="3"/>
      <c r="BW1035" s="3"/>
    </row>
    <row r="1036" spans="1:75">
      <c r="A1036" s="1" t="s">
        <v>75</v>
      </c>
      <c r="B1036" s="1" t="s">
        <v>13976</v>
      </c>
      <c r="C1036" s="1" t="s">
        <v>18964</v>
      </c>
      <c r="D1036" s="1" t="s">
        <v>16684</v>
      </c>
      <c r="E1036" s="1" t="s">
        <v>18965</v>
      </c>
      <c r="F1036" s="1" t="s">
        <v>16699</v>
      </c>
      <c r="G1036" s="1" t="s">
        <v>18966</v>
      </c>
      <c r="H1036" s="1" t="s">
        <v>18967</v>
      </c>
      <c r="I1036" s="1" t="s">
        <v>18967</v>
      </c>
      <c r="J1036" s="1">
        <v>7028266993</v>
      </c>
      <c r="K1036" s="1" t="s">
        <v>84</v>
      </c>
      <c r="L1036" s="1" t="s">
        <v>18968</v>
      </c>
      <c r="M1036" s="1" t="s">
        <v>86</v>
      </c>
      <c r="N1036" s="1" t="s">
        <v>768</v>
      </c>
      <c r="O1036" s="1" t="s">
        <v>18969</v>
      </c>
      <c r="P1036" s="1" t="s">
        <v>89</v>
      </c>
      <c r="Q1036" s="1">
        <v>705908281264</v>
      </c>
      <c r="R1036" s="1" t="s">
        <v>18970</v>
      </c>
      <c r="S1036" s="1">
        <v>9594930300</v>
      </c>
      <c r="T1036" s="1" t="s">
        <v>18971</v>
      </c>
      <c r="U1036" s="1" t="s">
        <v>18972</v>
      </c>
      <c r="V1036" s="1">
        <v>9545244270</v>
      </c>
      <c r="W1036" s="1" t="s">
        <v>10306</v>
      </c>
      <c r="X1036" s="1" t="s">
        <v>18973</v>
      </c>
      <c r="Y1036" s="1" t="s">
        <v>1189</v>
      </c>
      <c r="Z1036" s="1" t="s">
        <v>97</v>
      </c>
      <c r="AA1036" s="1" t="s">
        <v>18973</v>
      </c>
      <c r="AB1036" s="1" t="s">
        <v>1189</v>
      </c>
      <c r="AC1036" s="1" t="s">
        <v>97</v>
      </c>
      <c r="AD1036" s="1" t="s">
        <v>98</v>
      </c>
      <c r="AE1036" s="1" t="s">
        <v>98</v>
      </c>
      <c r="AF1036" s="1" t="s">
        <v>18974</v>
      </c>
      <c r="AG1036" s="1" t="s">
        <v>14157</v>
      </c>
      <c r="AH1036" s="1" t="s">
        <v>170</v>
      </c>
      <c r="AI1036" s="1" t="s">
        <v>286</v>
      </c>
      <c r="AJ1036" s="1">
        <v>85.6</v>
      </c>
      <c r="AK1036" s="1">
        <v>9.01</v>
      </c>
      <c r="AL1036" s="1" t="s">
        <v>18975</v>
      </c>
      <c r="AM1036" s="1" t="s">
        <v>14157</v>
      </c>
      <c r="AN1036" s="1" t="s">
        <v>465</v>
      </c>
      <c r="AO1036" s="1" t="s">
        <v>438</v>
      </c>
      <c r="AP1036" s="1" t="s">
        <v>365</v>
      </c>
      <c r="AQ1036" s="1">
        <v>60.46</v>
      </c>
      <c r="AR1036" s="1">
        <v>6.36</v>
      </c>
      <c r="AS1036" s="1"/>
      <c r="AT1036" s="1"/>
      <c r="AU1036" s="1"/>
      <c r="AV1036" s="1"/>
      <c r="AW1036" s="1"/>
      <c r="AX1036" s="1"/>
      <c r="AY1036" s="1" t="s">
        <v>18976</v>
      </c>
      <c r="AZ1036" s="1" t="s">
        <v>14380</v>
      </c>
      <c r="BA1036" s="1" t="s">
        <v>578</v>
      </c>
      <c r="BB1036" s="1" t="s">
        <v>467</v>
      </c>
      <c r="BC1036" s="1" t="s">
        <v>890</v>
      </c>
      <c r="BD1036" s="1" t="s">
        <v>1089</v>
      </c>
      <c r="BE1036" s="1">
        <v>65.82</v>
      </c>
      <c r="BF1036" s="1">
        <v>7.25</v>
      </c>
      <c r="BG1036" s="1"/>
      <c r="BH1036" s="1"/>
      <c r="BI1036" s="1"/>
      <c r="BJ1036" s="1"/>
      <c r="BK1036" s="1"/>
      <c r="BL1036" s="1"/>
      <c r="BM1036" s="1"/>
      <c r="BN1036" s="1"/>
      <c r="BO1036" s="1" t="s">
        <v>260</v>
      </c>
      <c r="BP1036" s="1" t="s">
        <v>18977</v>
      </c>
      <c r="BQ1036" s="1" t="s">
        <v>2213</v>
      </c>
      <c r="BR1036" s="1" t="s">
        <v>18978</v>
      </c>
      <c r="BS1036" s="1">
        <v>2</v>
      </c>
      <c r="BT1036" s="1"/>
      <c r="BU1036" s="1" t="str">
        <f>HYPERLINK("https://nconnect.nicmar.ac.in/storage/profile/6a85f730f3fa3.png","Download")</f>
        <v>0</v>
      </c>
      <c r="BV1036" s="3"/>
      <c r="BW1036" s="3"/>
    </row>
    <row r="1037" spans="1:75">
      <c r="A1037" s="1" t="s">
        <v>75</v>
      </c>
      <c r="B1037" s="1" t="s">
        <v>13976</v>
      </c>
      <c r="C1037" s="1" t="s">
        <v>18979</v>
      </c>
      <c r="D1037" s="1" t="s">
        <v>18980</v>
      </c>
      <c r="E1037" s="1"/>
      <c r="F1037" s="1" t="s">
        <v>1964</v>
      </c>
      <c r="G1037" s="1" t="s">
        <v>18981</v>
      </c>
      <c r="H1037" s="1" t="s">
        <v>18982</v>
      </c>
      <c r="I1037" s="1" t="s">
        <v>18983</v>
      </c>
      <c r="J1037" s="1">
        <v>7204644072</v>
      </c>
      <c r="K1037" s="1" t="s">
        <v>84</v>
      </c>
      <c r="L1037" s="1" t="s">
        <v>5673</v>
      </c>
      <c r="M1037" s="1" t="s">
        <v>86</v>
      </c>
      <c r="N1037" s="1" t="s">
        <v>18984</v>
      </c>
      <c r="O1037" s="1" t="s">
        <v>18985</v>
      </c>
      <c r="P1037" s="1" t="s">
        <v>89</v>
      </c>
      <c r="Q1037" s="1">
        <v>789187617705</v>
      </c>
      <c r="R1037" s="1" t="s">
        <v>18986</v>
      </c>
      <c r="S1037" s="1">
        <v>9902368990</v>
      </c>
      <c r="T1037" s="1" t="s">
        <v>18987</v>
      </c>
      <c r="U1037" s="1" t="s">
        <v>18988</v>
      </c>
      <c r="V1037" s="1">
        <v>9731760036</v>
      </c>
      <c r="W1037" s="1" t="s">
        <v>14234</v>
      </c>
      <c r="X1037" s="1" t="s">
        <v>18989</v>
      </c>
      <c r="Y1037" s="1" t="s">
        <v>18990</v>
      </c>
      <c r="Z1037" s="1" t="s">
        <v>1210</v>
      </c>
      <c r="AA1037" s="1" t="s">
        <v>18989</v>
      </c>
      <c r="AB1037" s="1" t="s">
        <v>18990</v>
      </c>
      <c r="AC1037" s="1" t="s">
        <v>1210</v>
      </c>
      <c r="AD1037" s="1" t="s">
        <v>98</v>
      </c>
      <c r="AE1037" s="1" t="s">
        <v>98</v>
      </c>
      <c r="AF1037" s="1" t="s">
        <v>18991</v>
      </c>
      <c r="AG1037" s="1" t="s">
        <v>18195</v>
      </c>
      <c r="AH1037" s="1" t="s">
        <v>170</v>
      </c>
      <c r="AI1037" s="1" t="s">
        <v>171</v>
      </c>
      <c r="AJ1037" s="1">
        <v>83.04</v>
      </c>
      <c r="AK1037" s="1"/>
      <c r="AL1037" s="1" t="s">
        <v>18992</v>
      </c>
      <c r="AM1037" s="1" t="s">
        <v>18993</v>
      </c>
      <c r="AN1037" s="1" t="s">
        <v>575</v>
      </c>
      <c r="AO1037" s="1" t="s">
        <v>438</v>
      </c>
      <c r="AP1037" s="1" t="s">
        <v>178</v>
      </c>
      <c r="AQ1037" s="1">
        <v>66.33</v>
      </c>
      <c r="AR1037" s="1"/>
      <c r="AS1037" s="1"/>
      <c r="AT1037" s="1"/>
      <c r="AU1037" s="1"/>
      <c r="AV1037" s="1"/>
      <c r="AW1037" s="1"/>
      <c r="AX1037" s="1"/>
      <c r="AY1037" s="1" t="s">
        <v>18994</v>
      </c>
      <c r="AZ1037" s="1" t="s">
        <v>18995</v>
      </c>
      <c r="BA1037" s="1" t="s">
        <v>466</v>
      </c>
      <c r="BB1037" s="1" t="s">
        <v>467</v>
      </c>
      <c r="BC1037" s="1" t="s">
        <v>871</v>
      </c>
      <c r="BD1037" s="1" t="s">
        <v>848</v>
      </c>
      <c r="BE1037" s="1">
        <v>69.1</v>
      </c>
      <c r="BF1037" s="1">
        <v>6.91</v>
      </c>
      <c r="BG1037" s="1"/>
      <c r="BH1037" s="1"/>
      <c r="BI1037" s="1"/>
      <c r="BJ1037" s="1"/>
      <c r="BK1037" s="1"/>
      <c r="BL1037" s="1"/>
      <c r="BM1037" s="1"/>
      <c r="BN1037" s="1"/>
      <c r="BO1037" s="1" t="s">
        <v>18996</v>
      </c>
      <c r="BP1037" s="1"/>
      <c r="BQ1037" s="1"/>
      <c r="BR1037" s="1" t="s">
        <v>18997</v>
      </c>
      <c r="BS1037" s="1">
        <v>4</v>
      </c>
      <c r="BT1037" s="1"/>
      <c r="BU1037" s="1" t="str">
        <f>HYPERLINK("https://nconnect.nicmar.ac.in/storage/profile/6a85f625acc67.png","Download")</f>
        <v>0</v>
      </c>
      <c r="BV1037" s="3"/>
      <c r="BW1037" s="3"/>
    </row>
    <row r="1038" spans="1:75">
      <c r="A1038" s="1" t="s">
        <v>75</v>
      </c>
      <c r="B1038" s="1" t="s">
        <v>13976</v>
      </c>
      <c r="C1038" s="1" t="s">
        <v>18998</v>
      </c>
      <c r="D1038" s="1" t="s">
        <v>14946</v>
      </c>
      <c r="E1038" s="1" t="s">
        <v>17673</v>
      </c>
      <c r="F1038" s="1" t="s">
        <v>6516</v>
      </c>
      <c r="G1038" s="1" t="s">
        <v>18999</v>
      </c>
      <c r="H1038" s="1" t="s">
        <v>19000</v>
      </c>
      <c r="I1038" s="1" t="s">
        <v>19000</v>
      </c>
      <c r="J1038" s="1">
        <v>9766143609</v>
      </c>
      <c r="K1038" s="1" t="s">
        <v>153</v>
      </c>
      <c r="L1038" s="1" t="s">
        <v>16388</v>
      </c>
      <c r="M1038" s="1" t="s">
        <v>86</v>
      </c>
      <c r="N1038" s="1" t="s">
        <v>6390</v>
      </c>
      <c r="O1038" s="1" t="s">
        <v>19001</v>
      </c>
      <c r="P1038" s="1" t="s">
        <v>219</v>
      </c>
      <c r="Q1038" s="1">
        <v>213157953444</v>
      </c>
      <c r="R1038" s="1" t="s">
        <v>19002</v>
      </c>
      <c r="S1038" s="1">
        <v>7588500933</v>
      </c>
      <c r="T1038" s="1" t="s">
        <v>14352</v>
      </c>
      <c r="U1038" s="1" t="s">
        <v>14726</v>
      </c>
      <c r="V1038" s="1">
        <v>9834327538</v>
      </c>
      <c r="W1038" s="1" t="s">
        <v>14154</v>
      </c>
      <c r="X1038" s="1" t="s">
        <v>19003</v>
      </c>
      <c r="Y1038" s="1" t="s">
        <v>333</v>
      </c>
      <c r="Z1038" s="1" t="s">
        <v>97</v>
      </c>
      <c r="AA1038" s="1" t="s">
        <v>19003</v>
      </c>
      <c r="AB1038" s="1" t="s">
        <v>333</v>
      </c>
      <c r="AC1038" s="1" t="s">
        <v>97</v>
      </c>
      <c r="AD1038" s="1" t="s">
        <v>98</v>
      </c>
      <c r="AE1038" s="1" t="s">
        <v>98</v>
      </c>
      <c r="AF1038" s="1" t="s">
        <v>19004</v>
      </c>
      <c r="AG1038" s="1" t="s">
        <v>19005</v>
      </c>
      <c r="AH1038" s="1" t="s">
        <v>106</v>
      </c>
      <c r="AI1038" s="1" t="s">
        <v>313</v>
      </c>
      <c r="AJ1038" s="1">
        <v>74.2</v>
      </c>
      <c r="AK1038" s="1"/>
      <c r="AL1038" s="1" t="s">
        <v>19006</v>
      </c>
      <c r="AM1038" s="1" t="s">
        <v>97</v>
      </c>
      <c r="AN1038" s="1" t="s">
        <v>465</v>
      </c>
      <c r="AO1038" s="1" t="s">
        <v>468</v>
      </c>
      <c r="AP1038" s="1" t="s">
        <v>845</v>
      </c>
      <c r="AQ1038" s="1">
        <v>86.83</v>
      </c>
      <c r="AR1038" s="1"/>
      <c r="AS1038" s="1"/>
      <c r="AT1038" s="1"/>
      <c r="AU1038" s="1"/>
      <c r="AV1038" s="1"/>
      <c r="AW1038" s="1"/>
      <c r="AX1038" s="1"/>
      <c r="AY1038" s="1" t="s">
        <v>19007</v>
      </c>
      <c r="AZ1038" s="1" t="s">
        <v>19008</v>
      </c>
      <c r="BA1038" s="1" t="s">
        <v>682</v>
      </c>
      <c r="BB1038" s="1" t="s">
        <v>1561</v>
      </c>
      <c r="BC1038" s="1" t="s">
        <v>441</v>
      </c>
      <c r="BD1038" s="1" t="s">
        <v>14101</v>
      </c>
      <c r="BE1038" s="1">
        <v>75.53</v>
      </c>
      <c r="BF1038" s="1">
        <v>7.95</v>
      </c>
      <c r="BG1038" s="1"/>
      <c r="BH1038" s="1"/>
      <c r="BI1038" s="1"/>
      <c r="BJ1038" s="1"/>
      <c r="BK1038" s="1"/>
      <c r="BL1038" s="1"/>
      <c r="BM1038" s="1"/>
      <c r="BN1038" s="1"/>
      <c r="BO1038" s="1" t="s">
        <v>19009</v>
      </c>
      <c r="BP1038" s="1"/>
      <c r="BQ1038" s="1"/>
      <c r="BR1038" s="1" t="s">
        <v>19010</v>
      </c>
      <c r="BS1038" s="1">
        <v>19</v>
      </c>
      <c r="BT1038" s="1"/>
      <c r="BU1038" s="1" t="str">
        <f>HYPERLINK("https://nconnect.nicmar.ac.in/storage/profile/6a8700908cdc8.png","Download")</f>
        <v>0</v>
      </c>
      <c r="BV1038" s="3"/>
      <c r="BW1038" s="3"/>
    </row>
    <row r="1039" spans="1:75">
      <c r="A1039" s="1" t="s">
        <v>75</v>
      </c>
      <c r="B1039" s="1" t="s">
        <v>13976</v>
      </c>
      <c r="C1039" s="1" t="s">
        <v>19011</v>
      </c>
      <c r="D1039" s="1" t="s">
        <v>19012</v>
      </c>
      <c r="E1039" s="1"/>
      <c r="F1039" s="1" t="s">
        <v>19013</v>
      </c>
      <c r="G1039" s="1" t="s">
        <v>19014</v>
      </c>
      <c r="H1039" s="1" t="s">
        <v>19015</v>
      </c>
      <c r="I1039" s="1" t="s">
        <v>19015</v>
      </c>
      <c r="J1039" s="1">
        <v>6282388114</v>
      </c>
      <c r="K1039" s="1" t="s">
        <v>84</v>
      </c>
      <c r="L1039" s="1" t="s">
        <v>19016</v>
      </c>
      <c r="M1039" s="1" t="s">
        <v>86</v>
      </c>
      <c r="N1039" s="1" t="s">
        <v>18328</v>
      </c>
      <c r="O1039" s="1" t="s">
        <v>19017</v>
      </c>
      <c r="P1039" s="1" t="s">
        <v>122</v>
      </c>
      <c r="Q1039" s="1">
        <v>526903986555</v>
      </c>
      <c r="R1039" s="1" t="s">
        <v>19018</v>
      </c>
      <c r="S1039" s="1">
        <v>9605555136</v>
      </c>
      <c r="T1039" s="1" t="s">
        <v>3439</v>
      </c>
      <c r="U1039" s="1" t="s">
        <v>19019</v>
      </c>
      <c r="V1039" s="1">
        <v>9961246495</v>
      </c>
      <c r="W1039" s="1" t="s">
        <v>10306</v>
      </c>
      <c r="X1039" s="1" t="s">
        <v>19020</v>
      </c>
      <c r="Y1039" s="1" t="s">
        <v>701</v>
      </c>
      <c r="Z1039" s="1" t="s">
        <v>130</v>
      </c>
      <c r="AA1039" s="1" t="s">
        <v>19020</v>
      </c>
      <c r="AB1039" s="1" t="s">
        <v>701</v>
      </c>
      <c r="AC1039" s="1" t="s">
        <v>130</v>
      </c>
      <c r="AD1039" s="1" t="s">
        <v>98</v>
      </c>
      <c r="AE1039" s="1" t="s">
        <v>98</v>
      </c>
      <c r="AF1039" s="1" t="s">
        <v>19021</v>
      </c>
      <c r="AG1039" s="1" t="s">
        <v>19022</v>
      </c>
      <c r="AH1039" s="1" t="s">
        <v>166</v>
      </c>
      <c r="AI1039" s="1" t="s">
        <v>627</v>
      </c>
      <c r="AJ1039" s="1">
        <v>95</v>
      </c>
      <c r="AK1039" s="1">
        <v>9.5</v>
      </c>
      <c r="AL1039" s="1" t="s">
        <v>19023</v>
      </c>
      <c r="AM1039" s="1" t="s">
        <v>19024</v>
      </c>
      <c r="AN1039" s="1" t="s">
        <v>575</v>
      </c>
      <c r="AO1039" s="1" t="s">
        <v>170</v>
      </c>
      <c r="AP1039" s="1" t="s">
        <v>171</v>
      </c>
      <c r="AQ1039" s="1">
        <v>74</v>
      </c>
      <c r="AR1039" s="1">
        <v>7.4</v>
      </c>
      <c r="AS1039" s="1"/>
      <c r="AT1039" s="1"/>
      <c r="AU1039" s="1"/>
      <c r="AV1039" s="1"/>
      <c r="AW1039" s="1"/>
      <c r="AX1039" s="1"/>
      <c r="AY1039" s="1" t="s">
        <v>19025</v>
      </c>
      <c r="AZ1039" s="1" t="s">
        <v>19026</v>
      </c>
      <c r="BA1039" s="1" t="s">
        <v>466</v>
      </c>
      <c r="BB1039" s="1" t="s">
        <v>467</v>
      </c>
      <c r="BC1039" s="1" t="s">
        <v>1065</v>
      </c>
      <c r="BD1039" s="1" t="s">
        <v>207</v>
      </c>
      <c r="BE1039" s="1">
        <v>66.03</v>
      </c>
      <c r="BF1039" s="1">
        <v>6.95</v>
      </c>
      <c r="BG1039" s="1"/>
      <c r="BH1039" s="1"/>
      <c r="BI1039" s="1"/>
      <c r="BJ1039" s="1"/>
      <c r="BK1039" s="1"/>
      <c r="BL1039" s="1"/>
      <c r="BM1039" s="1"/>
      <c r="BN1039" s="1"/>
      <c r="BO1039" s="1" t="s">
        <v>19027</v>
      </c>
      <c r="BP1039" s="1"/>
      <c r="BQ1039" s="1"/>
      <c r="BR1039" s="1"/>
      <c r="BS1039" s="1"/>
      <c r="BT1039" s="1"/>
      <c r="BU1039" s="1" t="str">
        <f>HYPERLINK("https://nconnect.nicmar.ac.in/storage/profile/6a86c0aea037e.png","Download")</f>
        <v>0</v>
      </c>
      <c r="BV1039" s="3"/>
      <c r="BW1039" s="3"/>
    </row>
    <row r="1040" spans="1:75">
      <c r="A1040" s="1" t="s">
        <v>75</v>
      </c>
      <c r="B1040" s="1" t="s">
        <v>13976</v>
      </c>
      <c r="C1040" s="1" t="s">
        <v>19028</v>
      </c>
      <c r="D1040" s="1" t="s">
        <v>19029</v>
      </c>
      <c r="E1040" s="1" t="s">
        <v>19030</v>
      </c>
      <c r="F1040" s="1" t="s">
        <v>19031</v>
      </c>
      <c r="G1040" s="1" t="s">
        <v>19032</v>
      </c>
      <c r="H1040" s="1" t="s">
        <v>19033</v>
      </c>
      <c r="I1040" s="1" t="s">
        <v>19033</v>
      </c>
      <c r="J1040" s="1">
        <v>9714900071</v>
      </c>
      <c r="K1040" s="1" t="s">
        <v>84</v>
      </c>
      <c r="L1040" s="1" t="s">
        <v>19034</v>
      </c>
      <c r="M1040" s="1" t="s">
        <v>86</v>
      </c>
      <c r="N1040" s="1" t="s">
        <v>19035</v>
      </c>
      <c r="O1040" s="1" t="s">
        <v>19036</v>
      </c>
      <c r="P1040" s="1" t="s">
        <v>122</v>
      </c>
      <c r="Q1040" s="1">
        <v>238901190462</v>
      </c>
      <c r="R1040" s="1" t="s">
        <v>19037</v>
      </c>
      <c r="S1040" s="1">
        <v>9925107267</v>
      </c>
      <c r="T1040" s="1" t="s">
        <v>3439</v>
      </c>
      <c r="U1040" s="1" t="s">
        <v>19038</v>
      </c>
      <c r="V1040" s="1">
        <v>8849350327</v>
      </c>
      <c r="W1040" s="1" t="s">
        <v>14154</v>
      </c>
      <c r="X1040" s="1" t="s">
        <v>19039</v>
      </c>
      <c r="Y1040" s="1" t="s">
        <v>19040</v>
      </c>
      <c r="Z1040" s="1" t="s">
        <v>19041</v>
      </c>
      <c r="AA1040" s="1" t="s">
        <v>19039</v>
      </c>
      <c r="AB1040" s="1" t="s">
        <v>19040</v>
      </c>
      <c r="AC1040" s="1" t="s">
        <v>19041</v>
      </c>
      <c r="AD1040" s="1" t="s">
        <v>98</v>
      </c>
      <c r="AE1040" s="1" t="s">
        <v>98</v>
      </c>
      <c r="AF1040" s="1" t="s">
        <v>19042</v>
      </c>
      <c r="AG1040" s="1" t="s">
        <v>19043</v>
      </c>
      <c r="AH1040" s="1" t="s">
        <v>170</v>
      </c>
      <c r="AI1040" s="1" t="s">
        <v>286</v>
      </c>
      <c r="AJ1040" s="1">
        <v>83.17</v>
      </c>
      <c r="AK1040" s="1"/>
      <c r="AL1040" s="1" t="s">
        <v>19042</v>
      </c>
      <c r="AM1040" s="1" t="s">
        <v>19043</v>
      </c>
      <c r="AN1040" s="1" t="s">
        <v>465</v>
      </c>
      <c r="AO1040" s="1" t="s">
        <v>438</v>
      </c>
      <c r="AP1040" s="1" t="s">
        <v>603</v>
      </c>
      <c r="AQ1040" s="1">
        <v>61.07</v>
      </c>
      <c r="AR1040" s="1"/>
      <c r="AS1040" s="1"/>
      <c r="AT1040" s="1"/>
      <c r="AU1040" s="1"/>
      <c r="AV1040" s="1"/>
      <c r="AW1040" s="1"/>
      <c r="AX1040" s="1"/>
      <c r="AY1040" s="1" t="s">
        <v>19044</v>
      </c>
      <c r="AZ1040" s="1" t="s">
        <v>5138</v>
      </c>
      <c r="BA1040" s="1" t="s">
        <v>466</v>
      </c>
      <c r="BB1040" s="1" t="s">
        <v>467</v>
      </c>
      <c r="BC1040" s="1" t="s">
        <v>1647</v>
      </c>
      <c r="BD1040" s="1" t="s">
        <v>418</v>
      </c>
      <c r="BE1040" s="1">
        <v>80.3</v>
      </c>
      <c r="BF1040" s="1">
        <v>8.03</v>
      </c>
      <c r="BG1040" s="1"/>
      <c r="BH1040" s="1"/>
      <c r="BI1040" s="1"/>
      <c r="BJ1040" s="1"/>
      <c r="BK1040" s="1"/>
      <c r="BL1040" s="1"/>
      <c r="BM1040" s="1"/>
      <c r="BN1040" s="1"/>
      <c r="BO1040" s="1" t="s">
        <v>19045</v>
      </c>
      <c r="BP1040" s="1" t="s">
        <v>19046</v>
      </c>
      <c r="BQ1040" s="1" t="s">
        <v>780</v>
      </c>
      <c r="BR1040" s="1" t="s">
        <v>19047</v>
      </c>
      <c r="BS1040" s="1">
        <v>16</v>
      </c>
      <c r="BT1040" s="1" t="s">
        <v>19048</v>
      </c>
      <c r="BU1040" s="1" t="str">
        <f>HYPERLINK("https://nconnect.nicmar.ac.in/storage/profile/6a874a69487d4.png","Download")</f>
        <v>0</v>
      </c>
      <c r="BV1040" s="3"/>
      <c r="BW1040" s="3"/>
    </row>
    <row r="1041" spans="1:75">
      <c r="A1041" s="1" t="s">
        <v>75</v>
      </c>
      <c r="B1041" s="1" t="s">
        <v>13976</v>
      </c>
      <c r="C1041" s="1" t="s">
        <v>19049</v>
      </c>
      <c r="D1041" s="1" t="s">
        <v>19050</v>
      </c>
      <c r="E1041" s="1"/>
      <c r="F1041" s="1" t="s">
        <v>19051</v>
      </c>
      <c r="G1041" s="1" t="s">
        <v>19052</v>
      </c>
      <c r="H1041" s="1" t="s">
        <v>19053</v>
      </c>
      <c r="I1041" s="1" t="s">
        <v>19053</v>
      </c>
      <c r="J1041" s="1">
        <v>9975732498</v>
      </c>
      <c r="K1041" s="1" t="s">
        <v>84</v>
      </c>
      <c r="L1041" s="1" t="s">
        <v>19054</v>
      </c>
      <c r="M1041" s="1" t="s">
        <v>86</v>
      </c>
      <c r="N1041" s="1" t="s">
        <v>19055</v>
      </c>
      <c r="O1041" s="1" t="s">
        <v>19056</v>
      </c>
      <c r="P1041" s="1" t="s">
        <v>89</v>
      </c>
      <c r="Q1041" s="1">
        <v>351588262436</v>
      </c>
      <c r="R1041" s="1" t="s">
        <v>19057</v>
      </c>
      <c r="S1041" s="1">
        <v>8411888333</v>
      </c>
      <c r="T1041" s="1" t="s">
        <v>15073</v>
      </c>
      <c r="U1041" s="1" t="s">
        <v>19058</v>
      </c>
      <c r="V1041" s="1">
        <v>7020951637</v>
      </c>
      <c r="W1041" s="1" t="s">
        <v>19059</v>
      </c>
      <c r="X1041" s="1" t="s">
        <v>19060</v>
      </c>
      <c r="Y1041" s="1" t="s">
        <v>410</v>
      </c>
      <c r="Z1041" s="1" t="s">
        <v>97</v>
      </c>
      <c r="AA1041" s="1" t="s">
        <v>19060</v>
      </c>
      <c r="AB1041" s="1" t="s">
        <v>410</v>
      </c>
      <c r="AC1041" s="1" t="s">
        <v>97</v>
      </c>
      <c r="AD1041" s="1" t="s">
        <v>98</v>
      </c>
      <c r="AE1041" s="1" t="s">
        <v>98</v>
      </c>
      <c r="AF1041" s="1" t="s">
        <v>19061</v>
      </c>
      <c r="AG1041" s="1" t="s">
        <v>410</v>
      </c>
      <c r="AH1041" s="1" t="s">
        <v>171</v>
      </c>
      <c r="AI1041" s="1" t="s">
        <v>313</v>
      </c>
      <c r="AJ1041" s="1">
        <v>69.4</v>
      </c>
      <c r="AK1041" s="1"/>
      <c r="AL1041" s="1" t="s">
        <v>19062</v>
      </c>
      <c r="AM1041" s="1" t="s">
        <v>410</v>
      </c>
      <c r="AN1041" s="1" t="s">
        <v>465</v>
      </c>
      <c r="AO1041" s="1" t="s">
        <v>1040</v>
      </c>
      <c r="AP1041" s="1" t="s">
        <v>441</v>
      </c>
      <c r="AQ1041" s="1">
        <v>82.8</v>
      </c>
      <c r="AR1041" s="1"/>
      <c r="AS1041" s="1"/>
      <c r="AT1041" s="1"/>
      <c r="AU1041" s="1"/>
      <c r="AV1041" s="1"/>
      <c r="AW1041" s="1"/>
      <c r="AX1041" s="1"/>
      <c r="AY1041" s="1" t="s">
        <v>19063</v>
      </c>
      <c r="AZ1041" s="1" t="s">
        <v>1210</v>
      </c>
      <c r="BA1041" s="1" t="s">
        <v>466</v>
      </c>
      <c r="BB1041" s="1" t="s">
        <v>467</v>
      </c>
      <c r="BC1041" s="1" t="s">
        <v>1802</v>
      </c>
      <c r="BD1041" s="1" t="s">
        <v>19064</v>
      </c>
      <c r="BE1041" s="1">
        <v>63</v>
      </c>
      <c r="BF1041" s="1">
        <v>6.3</v>
      </c>
      <c r="BG1041" s="1"/>
      <c r="BH1041" s="1"/>
      <c r="BI1041" s="1"/>
      <c r="BJ1041" s="1"/>
      <c r="BK1041" s="1"/>
      <c r="BL1041" s="1"/>
      <c r="BM1041" s="1"/>
      <c r="BN1041" s="1"/>
      <c r="BO1041" s="1" t="s">
        <v>19065</v>
      </c>
      <c r="BP1041" s="1"/>
      <c r="BQ1041" s="1"/>
      <c r="BR1041" s="1"/>
      <c r="BS1041" s="1"/>
      <c r="BT1041" s="1"/>
      <c r="BU1041" s="1" t="str">
        <f>HYPERLINK("https://nconnect.nicmar.ac.in/storage/profile/6a86d59d2a567.png","Download")</f>
        <v>0</v>
      </c>
      <c r="BV1041" s="3"/>
      <c r="BW1041" s="3"/>
    </row>
    <row r="1042" spans="1:75">
      <c r="A1042" s="1" t="s">
        <v>75</v>
      </c>
      <c r="B1042" s="1" t="s">
        <v>13976</v>
      </c>
      <c r="C1042" s="1" t="s">
        <v>19066</v>
      </c>
      <c r="D1042" s="1" t="s">
        <v>15159</v>
      </c>
      <c r="E1042" s="1" t="s">
        <v>19067</v>
      </c>
      <c r="F1042" s="1" t="s">
        <v>19068</v>
      </c>
      <c r="G1042" s="1" t="s">
        <v>19069</v>
      </c>
      <c r="H1042" s="1" t="s">
        <v>19070</v>
      </c>
      <c r="I1042" s="1" t="s">
        <v>19071</v>
      </c>
      <c r="J1042" s="1">
        <v>8799129301</v>
      </c>
      <c r="K1042" s="1" t="s">
        <v>84</v>
      </c>
      <c r="L1042" s="1" t="s">
        <v>19072</v>
      </c>
      <c r="M1042" s="1" t="s">
        <v>86</v>
      </c>
      <c r="N1042" s="1" t="s">
        <v>19073</v>
      </c>
      <c r="O1042" s="1" t="s">
        <v>19074</v>
      </c>
      <c r="P1042" s="1" t="s">
        <v>219</v>
      </c>
      <c r="Q1042" s="1">
        <v>894139133234</v>
      </c>
      <c r="R1042" s="1" t="s">
        <v>19075</v>
      </c>
      <c r="S1042" s="1">
        <v>9898005431</v>
      </c>
      <c r="T1042" s="1" t="s">
        <v>3439</v>
      </c>
      <c r="U1042" s="1" t="s">
        <v>19076</v>
      </c>
      <c r="V1042" s="1">
        <v>9998397797</v>
      </c>
      <c r="W1042" s="1" t="s">
        <v>14154</v>
      </c>
      <c r="X1042" s="1" t="s">
        <v>19077</v>
      </c>
      <c r="Y1042" s="1" t="s">
        <v>8166</v>
      </c>
      <c r="Z1042" s="1" t="s">
        <v>676</v>
      </c>
      <c r="AA1042" s="1" t="s">
        <v>19077</v>
      </c>
      <c r="AB1042" s="1" t="s">
        <v>8166</v>
      </c>
      <c r="AC1042" s="1" t="s">
        <v>676</v>
      </c>
      <c r="AD1042" s="1" t="s">
        <v>98</v>
      </c>
      <c r="AE1042" s="1" t="s">
        <v>98</v>
      </c>
      <c r="AF1042" s="1" t="s">
        <v>19078</v>
      </c>
      <c r="AG1042" s="1" t="s">
        <v>19079</v>
      </c>
      <c r="AH1042" s="1" t="s">
        <v>106</v>
      </c>
      <c r="AI1042" s="1" t="s">
        <v>313</v>
      </c>
      <c r="AJ1042" s="1">
        <v>78.2</v>
      </c>
      <c r="AK1042" s="1"/>
      <c r="AL1042" s="1" t="s">
        <v>19080</v>
      </c>
      <c r="AM1042" s="1" t="s">
        <v>19081</v>
      </c>
      <c r="AN1042" s="1" t="s">
        <v>465</v>
      </c>
      <c r="AO1042" s="1" t="s">
        <v>468</v>
      </c>
      <c r="AP1042" s="1" t="s">
        <v>845</v>
      </c>
      <c r="AQ1042" s="1">
        <v>84.92</v>
      </c>
      <c r="AR1042" s="1"/>
      <c r="AS1042" s="1"/>
      <c r="AT1042" s="1"/>
      <c r="AU1042" s="1"/>
      <c r="AV1042" s="1"/>
      <c r="AW1042" s="1"/>
      <c r="AX1042" s="1"/>
      <c r="AY1042" s="1" t="s">
        <v>19082</v>
      </c>
      <c r="AZ1042" s="1" t="s">
        <v>19083</v>
      </c>
      <c r="BA1042" s="1" t="s">
        <v>466</v>
      </c>
      <c r="BB1042" s="1" t="s">
        <v>19084</v>
      </c>
      <c r="BC1042" s="1" t="s">
        <v>549</v>
      </c>
      <c r="BD1042" s="1" t="s">
        <v>9688</v>
      </c>
      <c r="BE1042" s="1">
        <v>77</v>
      </c>
      <c r="BF1042" s="1">
        <v>3.4</v>
      </c>
      <c r="BG1042" s="1"/>
      <c r="BH1042" s="1"/>
      <c r="BI1042" s="1"/>
      <c r="BJ1042" s="1"/>
      <c r="BK1042" s="1"/>
      <c r="BL1042" s="1"/>
      <c r="BM1042" s="1"/>
      <c r="BN1042" s="1"/>
      <c r="BO1042" s="1" t="s">
        <v>19085</v>
      </c>
      <c r="BP1042" s="1"/>
      <c r="BQ1042" s="1"/>
      <c r="BR1042" s="1" t="s">
        <v>19086</v>
      </c>
      <c r="BS1042" s="1">
        <v>16</v>
      </c>
      <c r="BT1042" s="1" t="s">
        <v>19087</v>
      </c>
      <c r="BU1042" s="1" t="str">
        <f>HYPERLINK("https://nconnect.nicmar.ac.in/storage/profile/6a848d64c6b55.png","Download")</f>
        <v>0</v>
      </c>
      <c r="BV1042" s="3"/>
      <c r="BW1042" s="3"/>
    </row>
    <row r="1043" spans="1:75">
      <c r="A1043" s="1" t="s">
        <v>75</v>
      </c>
      <c r="B1043" s="1" t="s">
        <v>13976</v>
      </c>
      <c r="C1043" s="1" t="s">
        <v>19088</v>
      </c>
      <c r="D1043" s="1" t="s">
        <v>19089</v>
      </c>
      <c r="E1043" s="1"/>
      <c r="F1043" s="1" t="s">
        <v>19090</v>
      </c>
      <c r="G1043" s="1" t="s">
        <v>19091</v>
      </c>
      <c r="H1043" s="1" t="s">
        <v>19092</v>
      </c>
      <c r="I1043" s="1" t="s">
        <v>19092</v>
      </c>
      <c r="J1043" s="1">
        <v>7028180402</v>
      </c>
      <c r="K1043" s="1" t="s">
        <v>153</v>
      </c>
      <c r="L1043" s="1" t="s">
        <v>12134</v>
      </c>
      <c r="M1043" s="1" t="s">
        <v>86</v>
      </c>
      <c r="N1043" s="1" t="s">
        <v>19093</v>
      </c>
      <c r="O1043" s="1" t="s">
        <v>19094</v>
      </c>
      <c r="P1043" s="1" t="s">
        <v>122</v>
      </c>
      <c r="Q1043" s="1" t="s">
        <v>19095</v>
      </c>
      <c r="R1043" s="1" t="s">
        <v>19096</v>
      </c>
      <c r="S1043" s="1">
        <v>9560505277</v>
      </c>
      <c r="T1043" s="1" t="s">
        <v>19097</v>
      </c>
      <c r="U1043" s="1" t="s">
        <v>19098</v>
      </c>
      <c r="V1043" s="1">
        <v>9051065650</v>
      </c>
      <c r="W1043" s="1" t="s">
        <v>19099</v>
      </c>
      <c r="X1043" s="1" t="s">
        <v>19100</v>
      </c>
      <c r="Y1043" s="1" t="s">
        <v>19101</v>
      </c>
      <c r="Z1043" s="1" t="s">
        <v>7930</v>
      </c>
      <c r="AA1043" s="1" t="s">
        <v>19100</v>
      </c>
      <c r="AB1043" s="1" t="s">
        <v>19101</v>
      </c>
      <c r="AC1043" s="1" t="s">
        <v>7930</v>
      </c>
      <c r="AD1043" s="1" t="s">
        <v>98</v>
      </c>
      <c r="AE1043" s="1" t="s">
        <v>98</v>
      </c>
      <c r="AF1043" s="1" t="s">
        <v>19102</v>
      </c>
      <c r="AG1043" s="1" t="s">
        <v>19103</v>
      </c>
      <c r="AH1043" s="1" t="s">
        <v>704</v>
      </c>
      <c r="AI1043" s="1" t="s">
        <v>490</v>
      </c>
      <c r="AJ1043" s="1">
        <v>87.4</v>
      </c>
      <c r="AK1043" s="1"/>
      <c r="AL1043" s="1" t="s">
        <v>19102</v>
      </c>
      <c r="AM1043" s="1" t="s">
        <v>19104</v>
      </c>
      <c r="AN1043" s="1" t="s">
        <v>465</v>
      </c>
      <c r="AO1043" s="1" t="s">
        <v>547</v>
      </c>
      <c r="AP1043" s="1" t="s">
        <v>977</v>
      </c>
      <c r="AQ1043" s="1">
        <v>73.8</v>
      </c>
      <c r="AR1043" s="1"/>
      <c r="AS1043" s="1"/>
      <c r="AT1043" s="1"/>
      <c r="AU1043" s="1"/>
      <c r="AV1043" s="1"/>
      <c r="AW1043" s="1"/>
      <c r="AX1043" s="1"/>
      <c r="AY1043" s="1" t="s">
        <v>19105</v>
      </c>
      <c r="AZ1043" s="1" t="s">
        <v>19106</v>
      </c>
      <c r="BA1043" s="1" t="s">
        <v>682</v>
      </c>
      <c r="BB1043" s="1" t="s">
        <v>1561</v>
      </c>
      <c r="BC1043" s="1" t="s">
        <v>1647</v>
      </c>
      <c r="BD1043" s="1" t="s">
        <v>607</v>
      </c>
      <c r="BE1043" s="1">
        <v>77</v>
      </c>
      <c r="BF1043" s="1">
        <v>7.73</v>
      </c>
      <c r="BG1043" s="1"/>
      <c r="BH1043" s="1"/>
      <c r="BI1043" s="1"/>
      <c r="BJ1043" s="1"/>
      <c r="BK1043" s="1"/>
      <c r="BL1043" s="1"/>
      <c r="BM1043" s="1"/>
      <c r="BN1043" s="1"/>
      <c r="BO1043" s="1" t="s">
        <v>19107</v>
      </c>
      <c r="BP1043" s="1" t="s">
        <v>19108</v>
      </c>
      <c r="BQ1043" s="1" t="s">
        <v>2577</v>
      </c>
      <c r="BR1043" s="1"/>
      <c r="BS1043" s="1"/>
      <c r="BT1043" s="1"/>
      <c r="BU1043" s="1" t="str">
        <f>HYPERLINK("https://nconnect.nicmar.ac.in/storage/profile/6a869c3f711cd.png","Download")</f>
        <v>0</v>
      </c>
      <c r="BV1043" s="3"/>
      <c r="BW1043" s="3"/>
    </row>
    <row r="1044" spans="1:75">
      <c r="A1044" s="1" t="s">
        <v>75</v>
      </c>
      <c r="B1044" s="1" t="s">
        <v>13976</v>
      </c>
      <c r="C1044" s="1" t="s">
        <v>19109</v>
      </c>
      <c r="D1044" s="1" t="s">
        <v>19110</v>
      </c>
      <c r="E1044" s="1"/>
      <c r="F1044" s="1" t="s">
        <v>19111</v>
      </c>
      <c r="G1044" s="1" t="s">
        <v>19112</v>
      </c>
      <c r="H1044" s="1" t="s">
        <v>19113</v>
      </c>
      <c r="I1044" s="1" t="s">
        <v>19113</v>
      </c>
      <c r="J1044" s="1">
        <v>9133289412</v>
      </c>
      <c r="K1044" s="1" t="s">
        <v>84</v>
      </c>
      <c r="L1044" s="1" t="s">
        <v>5009</v>
      </c>
      <c r="M1044" s="1" t="s">
        <v>86</v>
      </c>
      <c r="N1044" s="1" t="s">
        <v>19114</v>
      </c>
      <c r="O1044" s="1" t="s">
        <v>19115</v>
      </c>
      <c r="P1044" s="1" t="s">
        <v>89</v>
      </c>
      <c r="Q1044" s="1">
        <v>847427089139</v>
      </c>
      <c r="R1044" s="1" t="s">
        <v>19116</v>
      </c>
      <c r="S1044" s="1">
        <v>9490924647</v>
      </c>
      <c r="T1044" s="1" t="s">
        <v>839</v>
      </c>
      <c r="U1044" s="1" t="s">
        <v>19117</v>
      </c>
      <c r="V1044" s="1">
        <v>9490634761</v>
      </c>
      <c r="W1044" s="1" t="s">
        <v>94</v>
      </c>
      <c r="X1044" s="1" t="s">
        <v>19118</v>
      </c>
      <c r="Y1044" s="1" t="s">
        <v>12907</v>
      </c>
      <c r="Z1044" s="1" t="s">
        <v>281</v>
      </c>
      <c r="AA1044" s="1" t="s">
        <v>19118</v>
      </c>
      <c r="AB1044" s="1" t="s">
        <v>12907</v>
      </c>
      <c r="AC1044" s="1" t="s">
        <v>281</v>
      </c>
      <c r="AD1044" s="1" t="s">
        <v>98</v>
      </c>
      <c r="AE1044" s="1" t="s">
        <v>98</v>
      </c>
      <c r="AF1044" s="1" t="s">
        <v>8353</v>
      </c>
      <c r="AG1044" s="1" t="s">
        <v>19119</v>
      </c>
      <c r="AH1044" s="1" t="s">
        <v>1396</v>
      </c>
      <c r="AI1044" s="1" t="s">
        <v>200</v>
      </c>
      <c r="AJ1044" s="1">
        <v>90.0</v>
      </c>
      <c r="AK1044" s="1">
        <v>9.0</v>
      </c>
      <c r="AL1044" s="1" t="s">
        <v>285</v>
      </c>
      <c r="AM1044" s="1" t="s">
        <v>2343</v>
      </c>
      <c r="AN1044" s="1" t="s">
        <v>465</v>
      </c>
      <c r="AO1044" s="1" t="s">
        <v>388</v>
      </c>
      <c r="AP1044" s="1" t="s">
        <v>414</v>
      </c>
      <c r="AQ1044" s="1">
        <v>84.9</v>
      </c>
      <c r="AR1044" s="1">
        <v>9.04</v>
      </c>
      <c r="AS1044" s="1"/>
      <c r="AT1044" s="1"/>
      <c r="AU1044" s="1"/>
      <c r="AV1044" s="1"/>
      <c r="AW1044" s="1"/>
      <c r="AX1044" s="1"/>
      <c r="AY1044" s="1" t="s">
        <v>19120</v>
      </c>
      <c r="AZ1044" s="1" t="s">
        <v>19121</v>
      </c>
      <c r="BA1044" s="1" t="s">
        <v>682</v>
      </c>
      <c r="BB1044" s="1" t="s">
        <v>1561</v>
      </c>
      <c r="BC1044" s="1" t="s">
        <v>315</v>
      </c>
      <c r="BD1044" s="1" t="s">
        <v>1314</v>
      </c>
      <c r="BE1044" s="1">
        <v>73.81</v>
      </c>
      <c r="BF1044" s="1">
        <v>7.17</v>
      </c>
      <c r="BG1044" s="1"/>
      <c r="BH1044" s="1"/>
      <c r="BI1044" s="1"/>
      <c r="BJ1044" s="1"/>
      <c r="BK1044" s="1"/>
      <c r="BL1044" s="1"/>
      <c r="BM1044" s="1"/>
      <c r="BN1044" s="1"/>
      <c r="BO1044" s="1" t="s">
        <v>19122</v>
      </c>
      <c r="BP1044" s="1" t="s">
        <v>19123</v>
      </c>
      <c r="BQ1044" s="1" t="s">
        <v>582</v>
      </c>
      <c r="BR1044" s="1" t="s">
        <v>19124</v>
      </c>
      <c r="BS1044" s="1">
        <v>25</v>
      </c>
      <c r="BT1044" s="1" t="s">
        <v>19125</v>
      </c>
      <c r="BU1044" s="1" t="str">
        <f>HYPERLINK("https://nconnect.nicmar.ac.in/storage/profile/6a86d022e5f74.png","Download")</f>
        <v>0</v>
      </c>
      <c r="BV1044" s="3"/>
      <c r="BW1044" s="3"/>
    </row>
    <row r="1045" spans="1:75">
      <c r="A1045" s="1" t="s">
        <v>75</v>
      </c>
      <c r="B1045" s="1" t="s">
        <v>13976</v>
      </c>
      <c r="C1045" s="1" t="s">
        <v>19126</v>
      </c>
      <c r="D1045" s="1" t="s">
        <v>19127</v>
      </c>
      <c r="E1045" s="1" t="s">
        <v>19128</v>
      </c>
      <c r="F1045" s="1" t="s">
        <v>19129</v>
      </c>
      <c r="G1045" s="1" t="s">
        <v>19130</v>
      </c>
      <c r="H1045" s="1" t="s">
        <v>19131</v>
      </c>
      <c r="I1045" s="1" t="s">
        <v>19131</v>
      </c>
      <c r="J1045" s="1">
        <v>9730490963</v>
      </c>
      <c r="K1045" s="1" t="s">
        <v>84</v>
      </c>
      <c r="L1045" s="1" t="s">
        <v>19132</v>
      </c>
      <c r="M1045" s="1" t="s">
        <v>86</v>
      </c>
      <c r="N1045" s="1" t="s">
        <v>19133</v>
      </c>
      <c r="O1045" s="1" t="s">
        <v>18454</v>
      </c>
      <c r="P1045" s="1" t="s">
        <v>219</v>
      </c>
      <c r="Q1045" s="1">
        <v>365949389924</v>
      </c>
      <c r="R1045" s="1" t="s">
        <v>19134</v>
      </c>
      <c r="S1045" s="1">
        <v>9921342137</v>
      </c>
      <c r="T1045" s="1" t="s">
        <v>14800</v>
      </c>
      <c r="U1045" s="1" t="s">
        <v>19135</v>
      </c>
      <c r="V1045" s="1">
        <v>8624048274</v>
      </c>
      <c r="W1045" s="1" t="s">
        <v>14154</v>
      </c>
      <c r="X1045" s="1" t="s">
        <v>19136</v>
      </c>
      <c r="Y1045" s="1" t="s">
        <v>1012</v>
      </c>
      <c r="Z1045" s="1" t="s">
        <v>97</v>
      </c>
      <c r="AA1045" s="1" t="s">
        <v>19136</v>
      </c>
      <c r="AB1045" s="1" t="s">
        <v>1012</v>
      </c>
      <c r="AC1045" s="1" t="s">
        <v>97</v>
      </c>
      <c r="AD1045" s="1" t="s">
        <v>98</v>
      </c>
      <c r="AE1045" s="1" t="s">
        <v>98</v>
      </c>
      <c r="AF1045" s="1" t="s">
        <v>19137</v>
      </c>
      <c r="AG1045" s="1" t="s">
        <v>19138</v>
      </c>
      <c r="AH1045" s="1" t="s">
        <v>2783</v>
      </c>
      <c r="AI1045" s="1" t="s">
        <v>102</v>
      </c>
      <c r="AJ1045" s="1">
        <v>84.8</v>
      </c>
      <c r="AK1045" s="1"/>
      <c r="AL1045" s="1" t="s">
        <v>19139</v>
      </c>
      <c r="AM1045" s="1" t="s">
        <v>19138</v>
      </c>
      <c r="AN1045" s="1" t="s">
        <v>575</v>
      </c>
      <c r="AO1045" s="1" t="s">
        <v>105</v>
      </c>
      <c r="AP1045" s="1" t="s">
        <v>518</v>
      </c>
      <c r="AQ1045" s="1">
        <v>68.31</v>
      </c>
      <c r="AR1045" s="1"/>
      <c r="AS1045" s="1"/>
      <c r="AT1045" s="1"/>
      <c r="AU1045" s="1"/>
      <c r="AV1045" s="1"/>
      <c r="AW1045" s="1"/>
      <c r="AX1045" s="1"/>
      <c r="AY1045" s="1" t="s">
        <v>14059</v>
      </c>
      <c r="AZ1045" s="1" t="s">
        <v>19140</v>
      </c>
      <c r="BA1045" s="1" t="s">
        <v>578</v>
      </c>
      <c r="BB1045" s="1" t="s">
        <v>467</v>
      </c>
      <c r="BC1045" s="1" t="s">
        <v>230</v>
      </c>
      <c r="BD1045" s="1" t="s">
        <v>847</v>
      </c>
      <c r="BE1045" s="1">
        <v>67.3</v>
      </c>
      <c r="BF1045" s="1">
        <v>7.54</v>
      </c>
      <c r="BG1045" s="1"/>
      <c r="BH1045" s="1"/>
      <c r="BI1045" s="1"/>
      <c r="BJ1045" s="1"/>
      <c r="BK1045" s="1"/>
      <c r="BL1045" s="1"/>
      <c r="BM1045" s="1"/>
      <c r="BN1045" s="1"/>
      <c r="BO1045" s="1" t="s">
        <v>19141</v>
      </c>
      <c r="BP1045" s="1" t="s">
        <v>19142</v>
      </c>
      <c r="BQ1045" s="1" t="s">
        <v>2462</v>
      </c>
      <c r="BR1045" s="1" t="s">
        <v>19143</v>
      </c>
      <c r="BS1045" s="1">
        <v>25</v>
      </c>
      <c r="BT1045" s="1" t="s">
        <v>19144</v>
      </c>
      <c r="BU1045" s="1" t="str">
        <f>HYPERLINK("https://nconnect.nicmar.ac.in/storage/profile/6a87039f3ca3c.png","Download")</f>
        <v>0</v>
      </c>
      <c r="BV1045" s="3"/>
      <c r="BW1045" s="3"/>
    </row>
    <row r="1046" spans="1:75">
      <c r="A1046" s="1" t="s">
        <v>75</v>
      </c>
      <c r="B1046" s="1" t="s">
        <v>13976</v>
      </c>
      <c r="C1046" s="1" t="s">
        <v>19145</v>
      </c>
      <c r="D1046" s="1" t="s">
        <v>11469</v>
      </c>
      <c r="E1046" s="1"/>
      <c r="F1046" s="1" t="s">
        <v>784</v>
      </c>
      <c r="G1046" s="1" t="s">
        <v>19146</v>
      </c>
      <c r="H1046" s="1" t="s">
        <v>19147</v>
      </c>
      <c r="I1046" s="1" t="s">
        <v>19147</v>
      </c>
      <c r="J1046" s="1">
        <v>8969936335</v>
      </c>
      <c r="K1046" s="1" t="s">
        <v>84</v>
      </c>
      <c r="L1046" s="1" t="s">
        <v>19148</v>
      </c>
      <c r="M1046" s="1" t="s">
        <v>86</v>
      </c>
      <c r="N1046" s="1" t="s">
        <v>13274</v>
      </c>
      <c r="O1046" s="1" t="s">
        <v>19149</v>
      </c>
      <c r="P1046" s="1" t="s">
        <v>219</v>
      </c>
      <c r="Q1046" s="1">
        <v>462235909876</v>
      </c>
      <c r="R1046" s="1" t="s">
        <v>19150</v>
      </c>
      <c r="S1046" s="1">
        <v>9263352239</v>
      </c>
      <c r="T1046" s="1" t="s">
        <v>839</v>
      </c>
      <c r="U1046" s="1" t="s">
        <v>19151</v>
      </c>
      <c r="V1046" s="1">
        <v>8863972003</v>
      </c>
      <c r="W1046" s="1" t="s">
        <v>161</v>
      </c>
      <c r="X1046" s="1" t="s">
        <v>19152</v>
      </c>
      <c r="Y1046" s="1" t="s">
        <v>19153</v>
      </c>
      <c r="Z1046" s="1" t="s">
        <v>2955</v>
      </c>
      <c r="AA1046" s="1" t="s">
        <v>19152</v>
      </c>
      <c r="AB1046" s="1" t="s">
        <v>19153</v>
      </c>
      <c r="AC1046" s="1" t="s">
        <v>2955</v>
      </c>
      <c r="AD1046" s="1" t="s">
        <v>98</v>
      </c>
      <c r="AE1046" s="1" t="s">
        <v>98</v>
      </c>
      <c r="AF1046" s="1" t="s">
        <v>19154</v>
      </c>
      <c r="AG1046" s="1" t="s">
        <v>19155</v>
      </c>
      <c r="AH1046" s="1" t="s">
        <v>10231</v>
      </c>
      <c r="AI1046" s="1" t="s">
        <v>106</v>
      </c>
      <c r="AJ1046" s="1">
        <v>86.16</v>
      </c>
      <c r="AK1046" s="1"/>
      <c r="AL1046" s="1" t="s">
        <v>19154</v>
      </c>
      <c r="AM1046" s="1" t="s">
        <v>19156</v>
      </c>
      <c r="AN1046" s="1" t="s">
        <v>465</v>
      </c>
      <c r="AO1046" s="1" t="s">
        <v>174</v>
      </c>
      <c r="AP1046" s="1" t="s">
        <v>468</v>
      </c>
      <c r="AQ1046" s="1">
        <v>69.71</v>
      </c>
      <c r="AR1046" s="1"/>
      <c r="AS1046" s="1"/>
      <c r="AT1046" s="1"/>
      <c r="AU1046" s="1"/>
      <c r="AV1046" s="1"/>
      <c r="AW1046" s="1"/>
      <c r="AX1046" s="1"/>
      <c r="AY1046" s="1" t="s">
        <v>19157</v>
      </c>
      <c r="AZ1046" s="1" t="s">
        <v>19158</v>
      </c>
      <c r="BA1046" s="1" t="s">
        <v>466</v>
      </c>
      <c r="BB1046" s="1" t="s">
        <v>467</v>
      </c>
      <c r="BC1046" s="1" t="s">
        <v>441</v>
      </c>
      <c r="BD1046" s="1" t="s">
        <v>848</v>
      </c>
      <c r="BE1046" s="1">
        <v>62.1</v>
      </c>
      <c r="BF1046" s="1">
        <v>6.21</v>
      </c>
      <c r="BG1046" s="1"/>
      <c r="BH1046" s="1"/>
      <c r="BI1046" s="1"/>
      <c r="BJ1046" s="1"/>
      <c r="BK1046" s="1"/>
      <c r="BL1046" s="1"/>
      <c r="BM1046" s="1"/>
      <c r="BN1046" s="1"/>
      <c r="BO1046" s="1" t="s">
        <v>19159</v>
      </c>
      <c r="BP1046" s="1" t="s">
        <v>19160</v>
      </c>
      <c r="BQ1046" s="1" t="s">
        <v>9405</v>
      </c>
      <c r="BR1046" s="1" t="s">
        <v>19161</v>
      </c>
      <c r="BS1046" s="1">
        <v>8</v>
      </c>
      <c r="BT1046" s="1" t="s">
        <v>19162</v>
      </c>
      <c r="BU1046" s="1" t="str">
        <f>HYPERLINK("https://nconnect.nicmar.ac.in/storage/profile/6a85e31b131e8.png","Download")</f>
        <v>0</v>
      </c>
      <c r="BV1046" s="3"/>
      <c r="BW1046" s="3"/>
    </row>
    <row r="1047" spans="1:75">
      <c r="A1047" s="1" t="s">
        <v>75</v>
      </c>
      <c r="B1047" s="1" t="s">
        <v>13976</v>
      </c>
      <c r="C1047" s="1" t="s">
        <v>19163</v>
      </c>
      <c r="D1047" s="1" t="s">
        <v>19164</v>
      </c>
      <c r="E1047" s="1" t="s">
        <v>19165</v>
      </c>
      <c r="F1047" s="1" t="s">
        <v>15941</v>
      </c>
      <c r="G1047" s="1" t="s">
        <v>19166</v>
      </c>
      <c r="H1047" s="1" t="s">
        <v>19167</v>
      </c>
      <c r="I1047" s="1" t="s">
        <v>19168</v>
      </c>
      <c r="J1047" s="1">
        <v>9881100077</v>
      </c>
      <c r="K1047" s="1" t="s">
        <v>153</v>
      </c>
      <c r="L1047" s="1" t="s">
        <v>19169</v>
      </c>
      <c r="M1047" s="1" t="s">
        <v>86</v>
      </c>
      <c r="N1047" s="1" t="s">
        <v>768</v>
      </c>
      <c r="O1047" s="1" t="s">
        <v>19170</v>
      </c>
      <c r="P1047" s="1" t="s">
        <v>122</v>
      </c>
      <c r="Q1047" s="1">
        <v>794277175678</v>
      </c>
      <c r="R1047" s="1" t="s">
        <v>19171</v>
      </c>
      <c r="S1047" s="1">
        <v>9881800077</v>
      </c>
      <c r="T1047" s="1" t="s">
        <v>15679</v>
      </c>
      <c r="U1047" s="1" t="s">
        <v>19172</v>
      </c>
      <c r="V1047" s="1">
        <v>7722075073</v>
      </c>
      <c r="W1047" s="1" t="s">
        <v>14154</v>
      </c>
      <c r="X1047" s="1" t="s">
        <v>19173</v>
      </c>
      <c r="Y1047" s="1" t="s">
        <v>5181</v>
      </c>
      <c r="Z1047" s="1" t="s">
        <v>97</v>
      </c>
      <c r="AA1047" s="1" t="s">
        <v>19173</v>
      </c>
      <c r="AB1047" s="1" t="s">
        <v>5181</v>
      </c>
      <c r="AC1047" s="1" t="s">
        <v>97</v>
      </c>
      <c r="AD1047" s="1" t="s">
        <v>98</v>
      </c>
      <c r="AE1047" s="1" t="s">
        <v>98</v>
      </c>
      <c r="AF1047" s="1" t="s">
        <v>19174</v>
      </c>
      <c r="AG1047" s="1" t="s">
        <v>17771</v>
      </c>
      <c r="AH1047" s="1" t="s">
        <v>438</v>
      </c>
      <c r="AI1047" s="1" t="s">
        <v>178</v>
      </c>
      <c r="AJ1047" s="1">
        <v>75</v>
      </c>
      <c r="AK1047" s="1"/>
      <c r="AL1047" s="1" t="s">
        <v>19175</v>
      </c>
      <c r="AM1047" s="1" t="s">
        <v>17771</v>
      </c>
      <c r="AN1047" s="1" t="s">
        <v>465</v>
      </c>
      <c r="AO1047" s="1" t="s">
        <v>847</v>
      </c>
      <c r="AP1047" s="1" t="s">
        <v>1400</v>
      </c>
      <c r="AQ1047" s="1">
        <v>80.39</v>
      </c>
      <c r="AR1047" s="1"/>
      <c r="AS1047" s="1"/>
      <c r="AT1047" s="1"/>
      <c r="AU1047" s="1"/>
      <c r="AV1047" s="1"/>
      <c r="AW1047" s="1"/>
      <c r="AX1047" s="1"/>
      <c r="AY1047" s="1" t="s">
        <v>19176</v>
      </c>
      <c r="AZ1047" s="1" t="s">
        <v>19177</v>
      </c>
      <c r="BA1047" s="1" t="s">
        <v>466</v>
      </c>
      <c r="BB1047" s="1" t="s">
        <v>467</v>
      </c>
      <c r="BC1047" s="1" t="s">
        <v>110</v>
      </c>
      <c r="BD1047" s="1" t="s">
        <v>14162</v>
      </c>
      <c r="BE1047" s="1">
        <v>83.25</v>
      </c>
      <c r="BF1047" s="1"/>
      <c r="BG1047" s="1"/>
      <c r="BH1047" s="1"/>
      <c r="BI1047" s="1"/>
      <c r="BJ1047" s="1"/>
      <c r="BK1047" s="1"/>
      <c r="BL1047" s="1"/>
      <c r="BM1047" s="1"/>
      <c r="BN1047" s="1"/>
      <c r="BO1047" s="1" t="s">
        <v>19178</v>
      </c>
      <c r="BP1047" s="1"/>
      <c r="BQ1047" s="1"/>
      <c r="BR1047" s="1" t="s">
        <v>19179</v>
      </c>
      <c r="BS1047" s="1">
        <v>8</v>
      </c>
      <c r="BT1047" s="1" t="s">
        <v>19180</v>
      </c>
      <c r="BU1047" s="1" t="str">
        <f>HYPERLINK("https://nconnect.nicmar.ac.in/storage/profile/6a85f1e28c288.png","Download")</f>
        <v>0</v>
      </c>
      <c r="BV1047" s="3"/>
      <c r="BW1047" s="3"/>
    </row>
    <row r="1048" spans="1:75">
      <c r="A1048" s="1" t="s">
        <v>75</v>
      </c>
      <c r="B1048" s="1" t="s">
        <v>13976</v>
      </c>
      <c r="C1048" s="1" t="s">
        <v>19181</v>
      </c>
      <c r="D1048" s="1" t="s">
        <v>19182</v>
      </c>
      <c r="E1048" s="1"/>
      <c r="F1048" s="1" t="s">
        <v>19183</v>
      </c>
      <c r="G1048" s="1" t="s">
        <v>19184</v>
      </c>
      <c r="H1048" s="1" t="s">
        <v>19185</v>
      </c>
      <c r="I1048" s="1" t="s">
        <v>19185</v>
      </c>
      <c r="J1048" s="1">
        <v>6383448896</v>
      </c>
      <c r="K1048" s="1" t="s">
        <v>84</v>
      </c>
      <c r="L1048" s="1" t="s">
        <v>19186</v>
      </c>
      <c r="M1048" s="1" t="s">
        <v>86</v>
      </c>
      <c r="N1048" s="1" t="s">
        <v>19187</v>
      </c>
      <c r="O1048" s="1" t="s">
        <v>19188</v>
      </c>
      <c r="P1048" s="1" t="s">
        <v>89</v>
      </c>
      <c r="Q1048" s="1">
        <v>545269875009</v>
      </c>
      <c r="R1048" s="1" t="s">
        <v>19189</v>
      </c>
      <c r="S1048" s="1">
        <v>9840039976</v>
      </c>
      <c r="T1048" s="1" t="s">
        <v>15926</v>
      </c>
      <c r="U1048" s="1" t="s">
        <v>19190</v>
      </c>
      <c r="V1048" s="1">
        <v>9003023663</v>
      </c>
      <c r="W1048" s="1" t="s">
        <v>9679</v>
      </c>
      <c r="X1048" s="1" t="s">
        <v>19191</v>
      </c>
      <c r="Y1048" s="1" t="s">
        <v>1498</v>
      </c>
      <c r="Z1048" s="1" t="s">
        <v>570</v>
      </c>
      <c r="AA1048" s="1" t="s">
        <v>19191</v>
      </c>
      <c r="AB1048" s="1" t="s">
        <v>1498</v>
      </c>
      <c r="AC1048" s="1" t="s">
        <v>570</v>
      </c>
      <c r="AD1048" s="1" t="s">
        <v>98</v>
      </c>
      <c r="AE1048" s="1" t="s">
        <v>98</v>
      </c>
      <c r="AF1048" s="1" t="s">
        <v>19192</v>
      </c>
      <c r="AG1048" s="1" t="s">
        <v>19193</v>
      </c>
      <c r="AH1048" s="1" t="s">
        <v>438</v>
      </c>
      <c r="AI1048" s="1" t="s">
        <v>178</v>
      </c>
      <c r="AJ1048" s="1">
        <v>73.8</v>
      </c>
      <c r="AK1048" s="1"/>
      <c r="AL1048" s="1" t="s">
        <v>19194</v>
      </c>
      <c r="AM1048" s="1" t="s">
        <v>19195</v>
      </c>
      <c r="AN1048" s="1" t="s">
        <v>465</v>
      </c>
      <c r="AO1048" s="1" t="s">
        <v>847</v>
      </c>
      <c r="AP1048" s="1" t="s">
        <v>1400</v>
      </c>
      <c r="AQ1048" s="1">
        <v>81.8</v>
      </c>
      <c r="AR1048" s="1"/>
      <c r="AS1048" s="1"/>
      <c r="AT1048" s="1"/>
      <c r="AU1048" s="1"/>
      <c r="AV1048" s="1"/>
      <c r="AW1048" s="1"/>
      <c r="AX1048" s="1"/>
      <c r="AY1048" s="1" t="s">
        <v>15535</v>
      </c>
      <c r="AZ1048" s="1" t="s">
        <v>19196</v>
      </c>
      <c r="BA1048" s="1" t="s">
        <v>466</v>
      </c>
      <c r="BB1048" s="1" t="s">
        <v>7898</v>
      </c>
      <c r="BC1048" s="1" t="s">
        <v>1802</v>
      </c>
      <c r="BD1048" s="1" t="s">
        <v>9688</v>
      </c>
      <c r="BE1048" s="1">
        <v>81.6</v>
      </c>
      <c r="BF1048" s="1">
        <v>8.16</v>
      </c>
      <c r="BG1048" s="1"/>
      <c r="BH1048" s="1"/>
      <c r="BI1048" s="1"/>
      <c r="BJ1048" s="1"/>
      <c r="BK1048" s="1"/>
      <c r="BL1048" s="1"/>
      <c r="BM1048" s="1"/>
      <c r="BN1048" s="1"/>
      <c r="BO1048" s="1" t="s">
        <v>19197</v>
      </c>
      <c r="BP1048" s="1"/>
      <c r="BQ1048" s="1"/>
      <c r="BR1048" s="1" t="s">
        <v>19198</v>
      </c>
      <c r="BS1048" s="1">
        <v>8</v>
      </c>
      <c r="BT1048" s="1" t="s">
        <v>19199</v>
      </c>
      <c r="BU1048" s="1" t="str">
        <f>HYPERLINK("https://nconnect.nicmar.ac.in/storage/profile/6a85fedd35fa6.png","Download")</f>
        <v>0</v>
      </c>
      <c r="BV1048" s="3"/>
      <c r="BW1048" s="3"/>
    </row>
    <row r="1049" spans="1:75">
      <c r="A1049" s="1" t="s">
        <v>75</v>
      </c>
      <c r="B1049" s="1" t="s">
        <v>13976</v>
      </c>
      <c r="C1049" s="1" t="s">
        <v>19200</v>
      </c>
      <c r="D1049" s="1" t="s">
        <v>19201</v>
      </c>
      <c r="E1049" s="1" t="s">
        <v>19202</v>
      </c>
      <c r="F1049" s="1" t="s">
        <v>19203</v>
      </c>
      <c r="G1049" s="1" t="s">
        <v>19204</v>
      </c>
      <c r="H1049" s="1" t="s">
        <v>19205</v>
      </c>
      <c r="I1049" s="1" t="s">
        <v>19206</v>
      </c>
      <c r="J1049" s="1">
        <v>9322699056</v>
      </c>
      <c r="K1049" s="1" t="s">
        <v>84</v>
      </c>
      <c r="L1049" s="1" t="s">
        <v>19207</v>
      </c>
      <c r="M1049" s="1" t="s">
        <v>86</v>
      </c>
      <c r="N1049" s="1" t="s">
        <v>8520</v>
      </c>
      <c r="O1049" s="1" t="s">
        <v>19208</v>
      </c>
      <c r="P1049" s="1" t="s">
        <v>89</v>
      </c>
      <c r="Q1049" s="1">
        <v>497850549542</v>
      </c>
      <c r="R1049" s="1" t="s">
        <v>19202</v>
      </c>
      <c r="S1049" s="1">
        <v>8788672404</v>
      </c>
      <c r="T1049" s="1" t="s">
        <v>15026</v>
      </c>
      <c r="U1049" s="1" t="s">
        <v>19209</v>
      </c>
      <c r="V1049" s="1">
        <v>9604447124</v>
      </c>
      <c r="W1049" s="1" t="s">
        <v>14154</v>
      </c>
      <c r="X1049" s="1" t="s">
        <v>19210</v>
      </c>
      <c r="Y1049" s="1" t="s">
        <v>1779</v>
      </c>
      <c r="Z1049" s="1" t="s">
        <v>97</v>
      </c>
      <c r="AA1049" s="1" t="s">
        <v>19211</v>
      </c>
      <c r="AB1049" s="1" t="s">
        <v>196</v>
      </c>
      <c r="AC1049" s="1" t="s">
        <v>97</v>
      </c>
      <c r="AD1049" s="1" t="s">
        <v>98</v>
      </c>
      <c r="AE1049" s="1" t="s">
        <v>98</v>
      </c>
      <c r="AF1049" s="1" t="s">
        <v>19212</v>
      </c>
      <c r="AG1049" s="1" t="s">
        <v>14977</v>
      </c>
      <c r="AH1049" s="1" t="s">
        <v>170</v>
      </c>
      <c r="AI1049" s="1" t="s">
        <v>106</v>
      </c>
      <c r="AJ1049" s="1">
        <v>89.4</v>
      </c>
      <c r="AK1049" s="1"/>
      <c r="AL1049" s="1" t="s">
        <v>19213</v>
      </c>
      <c r="AM1049" s="1" t="s">
        <v>14977</v>
      </c>
      <c r="AN1049" s="1" t="s">
        <v>575</v>
      </c>
      <c r="AO1049" s="1" t="s">
        <v>438</v>
      </c>
      <c r="AP1049" s="1" t="s">
        <v>178</v>
      </c>
      <c r="AQ1049" s="1">
        <v>72.77</v>
      </c>
      <c r="AR1049" s="1"/>
      <c r="AS1049" s="1"/>
      <c r="AT1049" s="1"/>
      <c r="AU1049" s="1"/>
      <c r="AV1049" s="1"/>
      <c r="AW1049" s="1"/>
      <c r="AX1049" s="1"/>
      <c r="AY1049" s="1" t="s">
        <v>14160</v>
      </c>
      <c r="AZ1049" s="1" t="s">
        <v>19214</v>
      </c>
      <c r="BA1049" s="1" t="s">
        <v>578</v>
      </c>
      <c r="BB1049" s="1" t="s">
        <v>467</v>
      </c>
      <c r="BC1049" s="1" t="s">
        <v>368</v>
      </c>
      <c r="BD1049" s="1" t="s">
        <v>207</v>
      </c>
      <c r="BE1049" s="1">
        <v>71.9</v>
      </c>
      <c r="BF1049" s="1"/>
      <c r="BG1049" s="1"/>
      <c r="BH1049" s="1"/>
      <c r="BI1049" s="1"/>
      <c r="BJ1049" s="1"/>
      <c r="BK1049" s="1"/>
      <c r="BL1049" s="1"/>
      <c r="BM1049" s="1"/>
      <c r="BN1049" s="1"/>
      <c r="BO1049" s="1" t="s">
        <v>19215</v>
      </c>
      <c r="BP1049" s="1" t="s">
        <v>19216</v>
      </c>
      <c r="BQ1049" s="1" t="s">
        <v>4149</v>
      </c>
      <c r="BR1049" s="1" t="s">
        <v>19217</v>
      </c>
      <c r="BS1049" s="1">
        <v>12</v>
      </c>
      <c r="BT1049" s="1"/>
      <c r="BU1049" s="1" t="str">
        <f>HYPERLINK("https://nconnect.nicmar.ac.in/storage/profile/6a872699bb7a5.png","Download")</f>
        <v>0</v>
      </c>
      <c r="BV1049" s="3"/>
      <c r="BW1049" s="3"/>
    </row>
    <row r="1050" spans="1:75">
      <c r="A1050" s="1" t="s">
        <v>75</v>
      </c>
      <c r="B1050" s="1" t="s">
        <v>13976</v>
      </c>
      <c r="C1050" s="1" t="s">
        <v>19218</v>
      </c>
      <c r="D1050" s="1" t="s">
        <v>19219</v>
      </c>
      <c r="E1050" s="1" t="s">
        <v>19220</v>
      </c>
      <c r="F1050" s="1" t="s">
        <v>19221</v>
      </c>
      <c r="G1050" s="1" t="s">
        <v>19222</v>
      </c>
      <c r="H1050" s="1" t="s">
        <v>19223</v>
      </c>
      <c r="I1050" s="1" t="s">
        <v>19224</v>
      </c>
      <c r="J1050" s="1">
        <v>7057357565</v>
      </c>
      <c r="K1050" s="1" t="s">
        <v>84</v>
      </c>
      <c r="L1050" s="1" t="s">
        <v>19225</v>
      </c>
      <c r="M1050" s="1" t="s">
        <v>86</v>
      </c>
      <c r="N1050" s="1" t="s">
        <v>9268</v>
      </c>
      <c r="O1050" s="1" t="s">
        <v>19226</v>
      </c>
      <c r="P1050" s="1" t="s">
        <v>89</v>
      </c>
      <c r="Q1050" s="1">
        <v>204512333882</v>
      </c>
      <c r="R1050" s="1" t="s">
        <v>19227</v>
      </c>
      <c r="S1050" s="1">
        <v>9011082035</v>
      </c>
      <c r="T1050" s="1" t="s">
        <v>19228</v>
      </c>
      <c r="U1050" s="1" t="s">
        <v>19229</v>
      </c>
      <c r="V1050" s="1">
        <v>9822858198</v>
      </c>
      <c r="W1050" s="1" t="s">
        <v>14710</v>
      </c>
      <c r="X1050" s="1" t="s">
        <v>19230</v>
      </c>
      <c r="Y1050" s="1" t="s">
        <v>163</v>
      </c>
      <c r="Z1050" s="1" t="s">
        <v>97</v>
      </c>
      <c r="AA1050" s="1" t="s">
        <v>19230</v>
      </c>
      <c r="AB1050" s="1" t="s">
        <v>163</v>
      </c>
      <c r="AC1050" s="1" t="s">
        <v>97</v>
      </c>
      <c r="AD1050" s="1" t="s">
        <v>98</v>
      </c>
      <c r="AE1050" s="1" t="s">
        <v>98</v>
      </c>
      <c r="AF1050" s="1" t="s">
        <v>19231</v>
      </c>
      <c r="AG1050" s="1" t="s">
        <v>16528</v>
      </c>
      <c r="AH1050" s="1" t="s">
        <v>1111</v>
      </c>
      <c r="AI1050" s="1" t="s">
        <v>200</v>
      </c>
      <c r="AJ1050" s="1">
        <v>67.8</v>
      </c>
      <c r="AK1050" s="1">
        <v>7.13</v>
      </c>
      <c r="AL1050" s="1"/>
      <c r="AM1050" s="1"/>
      <c r="AN1050" s="1"/>
      <c r="AO1050" s="1"/>
      <c r="AP1050" s="1"/>
      <c r="AQ1050" s="1"/>
      <c r="AR1050" s="1"/>
      <c r="AS1050" s="1" t="s">
        <v>14656</v>
      </c>
      <c r="AT1050" s="1" t="s">
        <v>19232</v>
      </c>
      <c r="AU1050" s="1" t="s">
        <v>704</v>
      </c>
      <c r="AV1050" s="1" t="s">
        <v>977</v>
      </c>
      <c r="AW1050" s="1">
        <v>85.16</v>
      </c>
      <c r="AX1050" s="1">
        <v>8.96</v>
      </c>
      <c r="AY1050" s="1" t="s">
        <v>19233</v>
      </c>
      <c r="AZ1050" s="1" t="s">
        <v>19234</v>
      </c>
      <c r="BA1050" s="1" t="s">
        <v>466</v>
      </c>
      <c r="BB1050" s="1" t="s">
        <v>467</v>
      </c>
      <c r="BC1050" s="1" t="s">
        <v>417</v>
      </c>
      <c r="BD1050" s="1" t="s">
        <v>955</v>
      </c>
      <c r="BE1050" s="1">
        <v>72.0</v>
      </c>
      <c r="BF1050" s="1" t="s">
        <v>19235</v>
      </c>
      <c r="BG1050" s="1"/>
      <c r="BH1050" s="1"/>
      <c r="BI1050" s="1"/>
      <c r="BJ1050" s="1"/>
      <c r="BK1050" s="1"/>
      <c r="BL1050" s="1"/>
      <c r="BM1050" s="1"/>
      <c r="BN1050" s="1"/>
      <c r="BO1050" s="1" t="s">
        <v>19236</v>
      </c>
      <c r="BP1050" s="1"/>
      <c r="BQ1050" s="1"/>
      <c r="BR1050" s="1"/>
      <c r="BS1050" s="1"/>
      <c r="BT1050" s="1"/>
      <c r="BU1050" s="1" t="str">
        <f>HYPERLINK("https://nconnect.nicmar.ac.in/storage/profile/6a85c2995ac39.png","Download")</f>
        <v>0</v>
      </c>
      <c r="BV1050" s="3"/>
      <c r="BW1050" s="3"/>
    </row>
    <row r="1051" spans="1:75">
      <c r="A1051" s="1" t="s">
        <v>75</v>
      </c>
      <c r="B1051" s="1" t="s">
        <v>13976</v>
      </c>
      <c r="C1051" s="1" t="s">
        <v>19237</v>
      </c>
      <c r="D1051" s="1" t="s">
        <v>19238</v>
      </c>
      <c r="E1051" s="1" t="s">
        <v>15323</v>
      </c>
      <c r="F1051" s="1" t="s">
        <v>19239</v>
      </c>
      <c r="G1051" s="1" t="s">
        <v>19240</v>
      </c>
      <c r="H1051" s="1" t="s">
        <v>19241</v>
      </c>
      <c r="I1051" s="1" t="s">
        <v>19242</v>
      </c>
      <c r="J1051" s="1">
        <v>9309856274</v>
      </c>
      <c r="K1051" s="1" t="s">
        <v>84</v>
      </c>
      <c r="L1051" s="1" t="s">
        <v>19243</v>
      </c>
      <c r="M1051" s="1" t="s">
        <v>86</v>
      </c>
      <c r="N1051" s="1" t="s">
        <v>4263</v>
      </c>
      <c r="O1051" s="1" t="s">
        <v>19244</v>
      </c>
      <c r="P1051" s="1" t="s">
        <v>122</v>
      </c>
      <c r="Q1051" s="1">
        <v>621622682534</v>
      </c>
      <c r="R1051" s="1" t="s">
        <v>19245</v>
      </c>
      <c r="S1051" s="1">
        <v>9822477668</v>
      </c>
      <c r="T1051" s="1" t="s">
        <v>19246</v>
      </c>
      <c r="U1051" s="1" t="s">
        <v>19247</v>
      </c>
      <c r="V1051" s="1">
        <v>7020530124</v>
      </c>
      <c r="W1051" s="1" t="s">
        <v>14154</v>
      </c>
      <c r="X1051" s="1" t="s">
        <v>19248</v>
      </c>
      <c r="Y1051" s="1" t="s">
        <v>3538</v>
      </c>
      <c r="Z1051" s="1" t="s">
        <v>97</v>
      </c>
      <c r="AA1051" s="1" t="s">
        <v>19248</v>
      </c>
      <c r="AB1051" s="1" t="s">
        <v>3538</v>
      </c>
      <c r="AC1051" s="1" t="s">
        <v>97</v>
      </c>
      <c r="AD1051" s="1" t="s">
        <v>98</v>
      </c>
      <c r="AE1051" s="1" t="s">
        <v>98</v>
      </c>
      <c r="AF1051" s="1" t="s">
        <v>19249</v>
      </c>
      <c r="AG1051" s="1" t="s">
        <v>19250</v>
      </c>
      <c r="AH1051" s="1" t="s">
        <v>171</v>
      </c>
      <c r="AI1051" s="1" t="s">
        <v>313</v>
      </c>
      <c r="AJ1051" s="1">
        <v>67.4</v>
      </c>
      <c r="AK1051" s="1"/>
      <c r="AL1051" s="1" t="s">
        <v>19251</v>
      </c>
      <c r="AM1051" s="1" t="s">
        <v>19252</v>
      </c>
      <c r="AN1051" s="1" t="s">
        <v>575</v>
      </c>
      <c r="AO1051" s="1" t="s">
        <v>417</v>
      </c>
      <c r="AP1051" s="1" t="s">
        <v>845</v>
      </c>
      <c r="AQ1051" s="1">
        <v>82.83</v>
      </c>
      <c r="AR1051" s="1"/>
      <c r="AS1051" s="1"/>
      <c r="AT1051" s="1"/>
      <c r="AU1051" s="1"/>
      <c r="AV1051" s="1"/>
      <c r="AW1051" s="1"/>
      <c r="AX1051" s="1"/>
      <c r="AY1051" s="1" t="s">
        <v>19253</v>
      </c>
      <c r="AZ1051" s="1" t="s">
        <v>19254</v>
      </c>
      <c r="BA1051" s="1" t="s">
        <v>466</v>
      </c>
      <c r="BB1051" s="1" t="s">
        <v>467</v>
      </c>
      <c r="BC1051" s="1" t="s">
        <v>552</v>
      </c>
      <c r="BD1051" s="1" t="s">
        <v>848</v>
      </c>
      <c r="BE1051" s="1">
        <v>63.66</v>
      </c>
      <c r="BF1051" s="1">
        <v>6.66</v>
      </c>
      <c r="BG1051" s="1"/>
      <c r="BH1051" s="1"/>
      <c r="BI1051" s="1"/>
      <c r="BJ1051" s="1"/>
      <c r="BK1051" s="1"/>
      <c r="BL1051" s="1"/>
      <c r="BM1051" s="1"/>
      <c r="BN1051" s="1"/>
      <c r="BO1051" s="1" t="s">
        <v>3385</v>
      </c>
      <c r="BP1051" s="1"/>
      <c r="BQ1051" s="1"/>
      <c r="BR1051" s="1" t="s">
        <v>19255</v>
      </c>
      <c r="BS1051" s="1">
        <v>19</v>
      </c>
      <c r="BT1051" s="1" t="s">
        <v>19256</v>
      </c>
      <c r="BU1051" s="1" t="str">
        <f>HYPERLINK("https://nconnect.nicmar.ac.in/storage/profile/6a86ea31a3397.png","Download")</f>
        <v>0</v>
      </c>
      <c r="BV1051" s="3"/>
      <c r="BW1051" s="3"/>
    </row>
    <row r="1052" spans="1:75">
      <c r="A1052" s="1" t="s">
        <v>75</v>
      </c>
      <c r="B1052" s="1" t="s">
        <v>13976</v>
      </c>
      <c r="C1052" s="1" t="s">
        <v>19257</v>
      </c>
      <c r="D1052" s="1" t="s">
        <v>16676</v>
      </c>
      <c r="E1052" s="1" t="s">
        <v>19258</v>
      </c>
      <c r="F1052" s="1" t="s">
        <v>19259</v>
      </c>
      <c r="G1052" s="1" t="s">
        <v>19260</v>
      </c>
      <c r="H1052" s="1" t="s">
        <v>19261</v>
      </c>
      <c r="I1052" s="1" t="s">
        <v>19262</v>
      </c>
      <c r="J1052" s="1">
        <v>9696714545</v>
      </c>
      <c r="K1052" s="1" t="s">
        <v>84</v>
      </c>
      <c r="L1052" s="1" t="s">
        <v>19263</v>
      </c>
      <c r="M1052" s="1" t="s">
        <v>86</v>
      </c>
      <c r="N1052" s="1" t="s">
        <v>19264</v>
      </c>
      <c r="O1052" s="1" t="s">
        <v>19265</v>
      </c>
      <c r="P1052" s="1" t="s">
        <v>219</v>
      </c>
      <c r="Q1052" s="1">
        <v>448831367818</v>
      </c>
      <c r="R1052" s="1" t="s">
        <v>19266</v>
      </c>
      <c r="S1052" s="1">
        <v>9823211970</v>
      </c>
      <c r="T1052" s="1" t="s">
        <v>3439</v>
      </c>
      <c r="U1052" s="1" t="s">
        <v>19267</v>
      </c>
      <c r="V1052" s="1">
        <v>9765027467</v>
      </c>
      <c r="W1052" s="1" t="s">
        <v>14316</v>
      </c>
      <c r="X1052" s="1" t="s">
        <v>19268</v>
      </c>
      <c r="Y1052" s="1" t="s">
        <v>196</v>
      </c>
      <c r="Z1052" s="1" t="s">
        <v>97</v>
      </c>
      <c r="AA1052" s="1" t="s">
        <v>19268</v>
      </c>
      <c r="AB1052" s="1" t="s">
        <v>196</v>
      </c>
      <c r="AC1052" s="1" t="s">
        <v>97</v>
      </c>
      <c r="AD1052" s="1" t="s">
        <v>98</v>
      </c>
      <c r="AE1052" s="1" t="s">
        <v>98</v>
      </c>
      <c r="AF1052" s="1" t="s">
        <v>19269</v>
      </c>
      <c r="AG1052" s="1" t="s">
        <v>19270</v>
      </c>
      <c r="AH1052" s="1" t="s">
        <v>438</v>
      </c>
      <c r="AI1052" s="1" t="s">
        <v>178</v>
      </c>
      <c r="AJ1052" s="1">
        <v>91.67</v>
      </c>
      <c r="AK1052" s="1"/>
      <c r="AL1052" s="1" t="s">
        <v>19271</v>
      </c>
      <c r="AM1052" s="1" t="s">
        <v>19272</v>
      </c>
      <c r="AN1052" s="1" t="s">
        <v>465</v>
      </c>
      <c r="AO1052" s="1" t="s">
        <v>847</v>
      </c>
      <c r="AP1052" s="1" t="s">
        <v>289</v>
      </c>
      <c r="AQ1052" s="1">
        <v>64.17</v>
      </c>
      <c r="AR1052" s="1"/>
      <c r="AS1052" s="1"/>
      <c r="AT1052" s="1"/>
      <c r="AU1052" s="1"/>
      <c r="AV1052" s="1"/>
      <c r="AW1052" s="1"/>
      <c r="AX1052" s="1"/>
      <c r="AY1052" s="1" t="s">
        <v>14160</v>
      </c>
      <c r="AZ1052" s="1" t="s">
        <v>18165</v>
      </c>
      <c r="BA1052" s="1" t="s">
        <v>578</v>
      </c>
      <c r="BB1052" s="1" t="s">
        <v>467</v>
      </c>
      <c r="BC1052" s="1" t="s">
        <v>1825</v>
      </c>
      <c r="BD1052" s="1" t="s">
        <v>14162</v>
      </c>
      <c r="BE1052" s="1">
        <v>64.1</v>
      </c>
      <c r="BF1052" s="1">
        <v>7.16</v>
      </c>
      <c r="BG1052" s="1"/>
      <c r="BH1052" s="1"/>
      <c r="BI1052" s="1"/>
      <c r="BJ1052" s="1"/>
      <c r="BK1052" s="1"/>
      <c r="BL1052" s="1"/>
      <c r="BM1052" s="1"/>
      <c r="BN1052" s="1"/>
      <c r="BO1052" s="1" t="s">
        <v>19273</v>
      </c>
      <c r="BP1052" s="1"/>
      <c r="BQ1052" s="1"/>
      <c r="BR1052" s="1" t="s">
        <v>19274</v>
      </c>
      <c r="BS1052" s="1">
        <v>4</v>
      </c>
      <c r="BT1052" s="1"/>
      <c r="BU1052" s="1" t="str">
        <f>HYPERLINK("https://nconnect.nicmar.ac.in/storage/profile/6a8aec643f0f4.png","Download")</f>
        <v>0</v>
      </c>
      <c r="BV1052" s="3"/>
      <c r="BW1052" s="3"/>
    </row>
    <row r="1053" spans="1:75">
      <c r="A1053" s="1" t="s">
        <v>75</v>
      </c>
      <c r="B1053" s="1" t="s">
        <v>13976</v>
      </c>
      <c r="C1053" s="1" t="s">
        <v>19275</v>
      </c>
      <c r="D1053" s="1" t="s">
        <v>19276</v>
      </c>
      <c r="E1053" s="1"/>
      <c r="F1053" s="1" t="s">
        <v>1295</v>
      </c>
      <c r="G1053" s="1" t="s">
        <v>19277</v>
      </c>
      <c r="H1053" s="1" t="s">
        <v>19278</v>
      </c>
      <c r="I1053" s="1" t="s">
        <v>19279</v>
      </c>
      <c r="J1053" s="1">
        <v>7397724106</v>
      </c>
      <c r="K1053" s="1" t="s">
        <v>84</v>
      </c>
      <c r="L1053" s="1" t="s">
        <v>11280</v>
      </c>
      <c r="M1053" s="1" t="s">
        <v>86</v>
      </c>
      <c r="N1053" s="1" t="s">
        <v>19280</v>
      </c>
      <c r="O1053" s="1" t="s">
        <v>19281</v>
      </c>
      <c r="P1053" s="1" t="s">
        <v>219</v>
      </c>
      <c r="Q1053" s="1">
        <v>962831215690</v>
      </c>
      <c r="R1053" s="1" t="s">
        <v>19282</v>
      </c>
      <c r="S1053" s="1">
        <v>7397424966</v>
      </c>
      <c r="T1053" s="1" t="s">
        <v>19283</v>
      </c>
      <c r="U1053" s="1" t="s">
        <v>19284</v>
      </c>
      <c r="V1053" s="1">
        <v>7397424966</v>
      </c>
      <c r="W1053" s="1" t="s">
        <v>19285</v>
      </c>
      <c r="X1053" s="1" t="s">
        <v>19286</v>
      </c>
      <c r="Y1053" s="1" t="s">
        <v>569</v>
      </c>
      <c r="Z1053" s="1" t="s">
        <v>570</v>
      </c>
      <c r="AA1053" s="1" t="s">
        <v>19286</v>
      </c>
      <c r="AB1053" s="1" t="s">
        <v>569</v>
      </c>
      <c r="AC1053" s="1" t="s">
        <v>570</v>
      </c>
      <c r="AD1053" s="1" t="s">
        <v>98</v>
      </c>
      <c r="AE1053" s="1" t="s">
        <v>98</v>
      </c>
      <c r="AF1053" s="1" t="s">
        <v>19287</v>
      </c>
      <c r="AG1053" s="1" t="s">
        <v>19288</v>
      </c>
      <c r="AH1053" s="1" t="s">
        <v>166</v>
      </c>
      <c r="AI1053" s="1" t="s">
        <v>627</v>
      </c>
      <c r="AJ1053" s="1">
        <v>97.2</v>
      </c>
      <c r="AK1053" s="1"/>
      <c r="AL1053" s="1" t="s">
        <v>19287</v>
      </c>
      <c r="AM1053" s="1" t="s">
        <v>19288</v>
      </c>
      <c r="AN1053" s="1" t="s">
        <v>575</v>
      </c>
      <c r="AO1053" s="1" t="s">
        <v>170</v>
      </c>
      <c r="AP1053" s="1" t="s">
        <v>171</v>
      </c>
      <c r="AQ1053" s="1">
        <v>87.17</v>
      </c>
      <c r="AR1053" s="1"/>
      <c r="AS1053" s="1"/>
      <c r="AT1053" s="1"/>
      <c r="AU1053" s="1"/>
      <c r="AV1053" s="1"/>
      <c r="AW1053" s="1"/>
      <c r="AX1053" s="1"/>
      <c r="AY1053" s="1" t="s">
        <v>19289</v>
      </c>
      <c r="AZ1053" s="1" t="s">
        <v>19290</v>
      </c>
      <c r="BA1053" s="1" t="s">
        <v>578</v>
      </c>
      <c r="BB1053" s="1" t="s">
        <v>467</v>
      </c>
      <c r="BC1053" s="1" t="s">
        <v>17163</v>
      </c>
      <c r="BD1053" s="1" t="s">
        <v>632</v>
      </c>
      <c r="BE1053" s="1">
        <v>93.9</v>
      </c>
      <c r="BF1053" s="1">
        <v>9.39</v>
      </c>
      <c r="BG1053" s="1"/>
      <c r="BH1053" s="1"/>
      <c r="BI1053" s="1"/>
      <c r="BJ1053" s="1"/>
      <c r="BK1053" s="1"/>
      <c r="BL1053" s="1"/>
      <c r="BM1053" s="1"/>
      <c r="BN1053" s="1"/>
      <c r="BO1053" s="1" t="s">
        <v>19291</v>
      </c>
      <c r="BP1053" s="1" t="s">
        <v>19292</v>
      </c>
      <c r="BQ1053" s="1" t="s">
        <v>19293</v>
      </c>
      <c r="BR1053" s="1"/>
      <c r="BS1053" s="1"/>
      <c r="BT1053" s="1" t="s">
        <v>19294</v>
      </c>
      <c r="BU1053" s="1" t="str">
        <f>HYPERLINK("https://nconnect.nicmar.ac.in/storage/profile/6a870829c0b6f.png","Download")</f>
        <v>0</v>
      </c>
      <c r="BV1053" s="3"/>
      <c r="BW1053" s="3"/>
    </row>
    <row r="1054" spans="1:75">
      <c r="A1054" s="1" t="s">
        <v>75</v>
      </c>
      <c r="B1054" s="1" t="s">
        <v>13976</v>
      </c>
      <c r="C1054" s="1" t="s">
        <v>19295</v>
      </c>
      <c r="D1054" s="1" t="s">
        <v>19296</v>
      </c>
      <c r="E1054" s="1"/>
      <c r="F1054" s="1" t="s">
        <v>1997</v>
      </c>
      <c r="G1054" s="1" t="s">
        <v>19297</v>
      </c>
      <c r="H1054" s="1" t="s">
        <v>19298</v>
      </c>
      <c r="I1054" s="1" t="s">
        <v>19299</v>
      </c>
      <c r="J1054" s="1">
        <v>6369117869</v>
      </c>
      <c r="K1054" s="1" t="s">
        <v>153</v>
      </c>
      <c r="L1054" s="1" t="s">
        <v>15198</v>
      </c>
      <c r="M1054" s="1" t="s">
        <v>86</v>
      </c>
      <c r="N1054" s="1" t="s">
        <v>19300</v>
      </c>
      <c r="O1054" s="1" t="s">
        <v>19301</v>
      </c>
      <c r="P1054" s="1" t="s">
        <v>122</v>
      </c>
      <c r="Q1054" s="1">
        <v>715175642395</v>
      </c>
      <c r="R1054" s="1" t="s">
        <v>19302</v>
      </c>
      <c r="S1054" s="1">
        <v>9840722475</v>
      </c>
      <c r="T1054" s="1" t="s">
        <v>19303</v>
      </c>
      <c r="U1054" s="1" t="s">
        <v>19304</v>
      </c>
      <c r="V1054" s="1">
        <v>9710397547</v>
      </c>
      <c r="W1054" s="1" t="s">
        <v>19305</v>
      </c>
      <c r="X1054" s="1" t="s">
        <v>19306</v>
      </c>
      <c r="Y1054" s="1" t="s">
        <v>1498</v>
      </c>
      <c r="Z1054" s="1" t="s">
        <v>570</v>
      </c>
      <c r="AA1054" s="1" t="s">
        <v>19306</v>
      </c>
      <c r="AB1054" s="1" t="s">
        <v>1498</v>
      </c>
      <c r="AC1054" s="1" t="s">
        <v>570</v>
      </c>
      <c r="AD1054" s="1" t="s">
        <v>98</v>
      </c>
      <c r="AE1054" s="1" t="s">
        <v>98</v>
      </c>
      <c r="AF1054" s="1" t="s">
        <v>19307</v>
      </c>
      <c r="AG1054" s="1" t="s">
        <v>19308</v>
      </c>
      <c r="AH1054" s="1" t="s">
        <v>106</v>
      </c>
      <c r="AI1054" s="1" t="s">
        <v>414</v>
      </c>
      <c r="AJ1054" s="1">
        <v>78.6</v>
      </c>
      <c r="AK1054" s="1">
        <v>7.86</v>
      </c>
      <c r="AL1054" s="1" t="s">
        <v>19309</v>
      </c>
      <c r="AM1054" s="1" t="s">
        <v>19310</v>
      </c>
      <c r="AN1054" s="1" t="s">
        <v>465</v>
      </c>
      <c r="AO1054" s="1" t="s">
        <v>468</v>
      </c>
      <c r="AP1054" s="1" t="s">
        <v>845</v>
      </c>
      <c r="AQ1054" s="1">
        <v>86.6</v>
      </c>
      <c r="AR1054" s="1">
        <v>8.86</v>
      </c>
      <c r="AS1054" s="1"/>
      <c r="AT1054" s="1"/>
      <c r="AU1054" s="1"/>
      <c r="AV1054" s="1"/>
      <c r="AW1054" s="1"/>
      <c r="AX1054" s="1"/>
      <c r="AY1054" s="1" t="s">
        <v>15759</v>
      </c>
      <c r="AZ1054" s="1" t="s">
        <v>19311</v>
      </c>
      <c r="BA1054" s="1" t="s">
        <v>466</v>
      </c>
      <c r="BB1054" s="1" t="s">
        <v>467</v>
      </c>
      <c r="BC1054" s="1" t="s">
        <v>552</v>
      </c>
      <c r="BD1054" s="1" t="s">
        <v>607</v>
      </c>
      <c r="BE1054" s="1">
        <v>75.2</v>
      </c>
      <c r="BF1054" s="1">
        <v>7.52</v>
      </c>
      <c r="BG1054" s="1"/>
      <c r="BH1054" s="1"/>
      <c r="BI1054" s="1"/>
      <c r="BJ1054" s="1"/>
      <c r="BK1054" s="1"/>
      <c r="BL1054" s="1"/>
      <c r="BM1054" s="1"/>
      <c r="BN1054" s="1"/>
      <c r="BO1054" s="1" t="s">
        <v>19312</v>
      </c>
      <c r="BP1054" s="1" t="s">
        <v>19313</v>
      </c>
      <c r="BQ1054" s="1" t="s">
        <v>9405</v>
      </c>
      <c r="BR1054" s="1" t="s">
        <v>19314</v>
      </c>
      <c r="BS1054" s="1">
        <v>5</v>
      </c>
      <c r="BT1054" s="1" t="s">
        <v>19315</v>
      </c>
      <c r="BU1054" s="1" t="str">
        <f>HYPERLINK("https://nconnect.nicmar.ac.in/storage/profile/6a8749e2bcac7.png","Download")</f>
        <v>0</v>
      </c>
      <c r="BV1054" s="3"/>
      <c r="BW1054" s="3"/>
    </row>
    <row r="1055" spans="1:75">
      <c r="A1055" s="1" t="s">
        <v>75</v>
      </c>
      <c r="B1055" s="1" t="s">
        <v>13976</v>
      </c>
      <c r="C1055" s="1" t="s">
        <v>19316</v>
      </c>
      <c r="D1055" s="1" t="s">
        <v>19317</v>
      </c>
      <c r="E1055" s="1"/>
      <c r="F1055" s="1" t="s">
        <v>19318</v>
      </c>
      <c r="G1055" s="1" t="s">
        <v>19319</v>
      </c>
      <c r="H1055" s="1" t="s">
        <v>19320</v>
      </c>
      <c r="I1055" s="1" t="s">
        <v>19321</v>
      </c>
      <c r="J1055" s="1">
        <v>7999073415</v>
      </c>
      <c r="K1055" s="1" t="s">
        <v>84</v>
      </c>
      <c r="L1055" s="1" t="s">
        <v>19322</v>
      </c>
      <c r="M1055" s="1" t="s">
        <v>86</v>
      </c>
      <c r="N1055" s="1" t="s">
        <v>19323</v>
      </c>
      <c r="O1055" s="1" t="s">
        <v>19324</v>
      </c>
      <c r="P1055" s="1" t="s">
        <v>122</v>
      </c>
      <c r="Q1055" s="1">
        <v>460410761271</v>
      </c>
      <c r="R1055" s="1" t="s">
        <v>19325</v>
      </c>
      <c r="S1055" s="1">
        <v>9981409687</v>
      </c>
      <c r="T1055" s="1" t="s">
        <v>13987</v>
      </c>
      <c r="U1055" s="1" t="s">
        <v>19326</v>
      </c>
      <c r="V1055" s="1">
        <v>9685973387</v>
      </c>
      <c r="W1055" s="1" t="s">
        <v>19327</v>
      </c>
      <c r="X1055" s="1" t="s">
        <v>19328</v>
      </c>
      <c r="Y1055" s="1" t="s">
        <v>19329</v>
      </c>
      <c r="Z1055" s="1" t="s">
        <v>3419</v>
      </c>
      <c r="AA1055" s="1" t="s">
        <v>19328</v>
      </c>
      <c r="AB1055" s="1" t="s">
        <v>19329</v>
      </c>
      <c r="AC1055" s="1" t="s">
        <v>3419</v>
      </c>
      <c r="AD1055" s="1" t="s">
        <v>98</v>
      </c>
      <c r="AE1055" s="1" t="s">
        <v>98</v>
      </c>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t="str">
        <f>HYPERLINK("https://nconnect.nicmar.ac.in/storage/profile/6a8f190832745.png","Download")</f>
        <v>0</v>
      </c>
      <c r="BV1055" s="3"/>
      <c r="BW1055" s="3"/>
    </row>
    <row r="1056" spans="1:75">
      <c r="A1056" s="1" t="s">
        <v>75</v>
      </c>
      <c r="B1056" s="1" t="s">
        <v>13976</v>
      </c>
      <c r="C1056" s="1" t="s">
        <v>19330</v>
      </c>
      <c r="D1056" s="1" t="s">
        <v>15429</v>
      </c>
      <c r="E1056" s="1"/>
      <c r="F1056" s="1" t="s">
        <v>19331</v>
      </c>
      <c r="G1056" s="1" t="s">
        <v>19332</v>
      </c>
      <c r="H1056" s="1" t="s">
        <v>19333</v>
      </c>
      <c r="I1056" s="1" t="s">
        <v>19334</v>
      </c>
      <c r="J1056" s="1">
        <v>7206053383</v>
      </c>
      <c r="K1056" s="1" t="s">
        <v>84</v>
      </c>
      <c r="L1056" s="1" t="s">
        <v>19335</v>
      </c>
      <c r="M1056" s="1" t="s">
        <v>86</v>
      </c>
      <c r="N1056" s="1" t="s">
        <v>19336</v>
      </c>
      <c r="O1056" s="1" t="s">
        <v>19337</v>
      </c>
      <c r="P1056" s="1" t="s">
        <v>356</v>
      </c>
      <c r="Q1056" s="1">
        <v>989144285191</v>
      </c>
      <c r="R1056" s="1" t="s">
        <v>19338</v>
      </c>
      <c r="S1056" s="1">
        <v>9416053383</v>
      </c>
      <c r="T1056" s="1" t="s">
        <v>14275</v>
      </c>
      <c r="U1056" s="1" t="s">
        <v>19339</v>
      </c>
      <c r="V1056" s="1">
        <v>9466848509</v>
      </c>
      <c r="W1056" s="1" t="s">
        <v>16921</v>
      </c>
      <c r="X1056" s="1" t="s">
        <v>19340</v>
      </c>
      <c r="Y1056" s="1" t="s">
        <v>19341</v>
      </c>
      <c r="Z1056" s="1" t="s">
        <v>1700</v>
      </c>
      <c r="AA1056" s="1" t="s">
        <v>19340</v>
      </c>
      <c r="AB1056" s="1" t="s">
        <v>19341</v>
      </c>
      <c r="AC1056" s="1" t="s">
        <v>1700</v>
      </c>
      <c r="AD1056" s="1" t="s">
        <v>98</v>
      </c>
      <c r="AE1056" s="1" t="s">
        <v>98</v>
      </c>
      <c r="AF1056" s="1" t="s">
        <v>19342</v>
      </c>
      <c r="AG1056" s="1" t="s">
        <v>19343</v>
      </c>
      <c r="AH1056" s="1" t="s">
        <v>414</v>
      </c>
      <c r="AI1056" s="1" t="s">
        <v>178</v>
      </c>
      <c r="AJ1056" s="1">
        <v>82.5</v>
      </c>
      <c r="AK1056" s="1"/>
      <c r="AL1056" s="1" t="s">
        <v>19344</v>
      </c>
      <c r="AM1056" s="1" t="s">
        <v>19345</v>
      </c>
      <c r="AN1056" s="1" t="s">
        <v>465</v>
      </c>
      <c r="AO1056" s="1" t="s">
        <v>1192</v>
      </c>
      <c r="AP1056" s="1" t="s">
        <v>1400</v>
      </c>
      <c r="AQ1056" s="1">
        <v>65.6</v>
      </c>
      <c r="AR1056" s="1"/>
      <c r="AS1056" s="1"/>
      <c r="AT1056" s="1"/>
      <c r="AU1056" s="1"/>
      <c r="AV1056" s="1"/>
      <c r="AW1056" s="1"/>
      <c r="AX1056" s="1"/>
      <c r="AY1056" s="1" t="s">
        <v>19346</v>
      </c>
      <c r="AZ1056" s="1" t="s">
        <v>19346</v>
      </c>
      <c r="BA1056" s="1" t="s">
        <v>466</v>
      </c>
      <c r="BB1056" s="1" t="s">
        <v>467</v>
      </c>
      <c r="BC1056" s="1" t="s">
        <v>1802</v>
      </c>
      <c r="BD1056" s="1" t="s">
        <v>14514</v>
      </c>
      <c r="BE1056" s="1">
        <v>72</v>
      </c>
      <c r="BF1056" s="1">
        <v>7.2</v>
      </c>
      <c r="BG1056" s="1"/>
      <c r="BH1056" s="1"/>
      <c r="BI1056" s="1"/>
      <c r="BJ1056" s="1"/>
      <c r="BK1056" s="1"/>
      <c r="BL1056" s="1"/>
      <c r="BM1056" s="1"/>
      <c r="BN1056" s="1"/>
      <c r="BO1056" s="1" t="s">
        <v>19347</v>
      </c>
      <c r="BP1056" s="1"/>
      <c r="BQ1056" s="1"/>
      <c r="BR1056" s="1" t="s">
        <v>19348</v>
      </c>
      <c r="BS1056" s="1">
        <v>20</v>
      </c>
      <c r="BT1056" s="1"/>
      <c r="BU1056" s="1" t="str">
        <f>HYPERLINK("https://nconnect.nicmar.ac.in/storage/profile/6a8714d8cceb2.png","Download")</f>
        <v>0</v>
      </c>
      <c r="BV1056" s="3"/>
      <c r="BW1056" s="3"/>
    </row>
    <row r="1057" spans="1:75">
      <c r="A1057" s="1" t="s">
        <v>75</v>
      </c>
      <c r="B1057" s="1" t="s">
        <v>13976</v>
      </c>
      <c r="C1057" s="1" t="s">
        <v>19349</v>
      </c>
      <c r="D1057" s="1" t="s">
        <v>19350</v>
      </c>
      <c r="E1057" s="1"/>
      <c r="F1057" s="1" t="s">
        <v>1320</v>
      </c>
      <c r="G1057" s="1" t="s">
        <v>19351</v>
      </c>
      <c r="H1057" s="1" t="s">
        <v>19352</v>
      </c>
      <c r="I1057" s="1" t="s">
        <v>19353</v>
      </c>
      <c r="J1057" s="1">
        <v>8935874567</v>
      </c>
      <c r="K1057" s="1" t="s">
        <v>84</v>
      </c>
      <c r="L1057" s="1" t="s">
        <v>19354</v>
      </c>
      <c r="M1057" s="1" t="s">
        <v>86</v>
      </c>
      <c r="N1057" s="1" t="s">
        <v>19355</v>
      </c>
      <c r="O1057" s="1" t="s">
        <v>19356</v>
      </c>
      <c r="P1057" s="1" t="s">
        <v>122</v>
      </c>
      <c r="Q1057" s="1">
        <v>248664359226</v>
      </c>
      <c r="R1057" s="1" t="s">
        <v>19357</v>
      </c>
      <c r="S1057" s="1">
        <v>9234003572</v>
      </c>
      <c r="T1057" s="1" t="s">
        <v>19358</v>
      </c>
      <c r="U1057" s="1" t="s">
        <v>19359</v>
      </c>
      <c r="V1057" s="1">
        <v>9508797183</v>
      </c>
      <c r="W1057" s="1" t="s">
        <v>161</v>
      </c>
      <c r="X1057" s="1" t="s">
        <v>19360</v>
      </c>
      <c r="Y1057" s="1" t="s">
        <v>19361</v>
      </c>
      <c r="Z1057" s="1" t="s">
        <v>649</v>
      </c>
      <c r="AA1057" s="1" t="s">
        <v>19360</v>
      </c>
      <c r="AB1057" s="1" t="s">
        <v>19361</v>
      </c>
      <c r="AC1057" s="1" t="s">
        <v>649</v>
      </c>
      <c r="AD1057" s="1" t="s">
        <v>98</v>
      </c>
      <c r="AE1057" s="1" t="s">
        <v>98</v>
      </c>
      <c r="AF1057" s="1" t="s">
        <v>19362</v>
      </c>
      <c r="AG1057" s="1" t="s">
        <v>19363</v>
      </c>
      <c r="AH1057" s="1" t="s">
        <v>490</v>
      </c>
      <c r="AI1057" s="1" t="s">
        <v>547</v>
      </c>
      <c r="AJ1057" s="1">
        <v>69.2</v>
      </c>
      <c r="AK1057" s="1"/>
      <c r="AL1057" s="1" t="s">
        <v>19364</v>
      </c>
      <c r="AM1057" s="1" t="s">
        <v>19363</v>
      </c>
      <c r="AN1057" s="1" t="s">
        <v>465</v>
      </c>
      <c r="AO1057" s="1" t="s">
        <v>414</v>
      </c>
      <c r="AP1057" s="1" t="s">
        <v>1192</v>
      </c>
      <c r="AQ1057" s="1">
        <v>70.8</v>
      </c>
      <c r="AR1057" s="1"/>
      <c r="AS1057" s="1"/>
      <c r="AT1057" s="1"/>
      <c r="AU1057" s="1"/>
      <c r="AV1057" s="1"/>
      <c r="AW1057" s="1"/>
      <c r="AX1057" s="1"/>
      <c r="AY1057" s="1" t="s">
        <v>19365</v>
      </c>
      <c r="AZ1057" s="1" t="s">
        <v>19366</v>
      </c>
      <c r="BA1057" s="1" t="s">
        <v>466</v>
      </c>
      <c r="BB1057" s="1" t="s">
        <v>467</v>
      </c>
      <c r="BC1057" s="1" t="s">
        <v>845</v>
      </c>
      <c r="BD1057" s="1" t="s">
        <v>553</v>
      </c>
      <c r="BE1057" s="1">
        <v>65.13</v>
      </c>
      <c r="BF1057" s="1"/>
      <c r="BG1057" s="1"/>
      <c r="BH1057" s="1"/>
      <c r="BI1057" s="1"/>
      <c r="BJ1057" s="1"/>
      <c r="BK1057" s="1"/>
      <c r="BL1057" s="1"/>
      <c r="BM1057" s="1"/>
      <c r="BN1057" s="1"/>
      <c r="BO1057" s="1" t="s">
        <v>19367</v>
      </c>
      <c r="BP1057" s="1"/>
      <c r="BQ1057" s="1"/>
      <c r="BR1057" s="1" t="s">
        <v>19368</v>
      </c>
      <c r="BS1057" s="1">
        <v>8</v>
      </c>
      <c r="BT1057" s="1" t="s">
        <v>19369</v>
      </c>
      <c r="BU1057" s="1" t="str">
        <f>HYPERLINK("https://nconnect.nicmar.ac.in/storage/profile/6a8723d228a00.png","Download")</f>
        <v>0</v>
      </c>
      <c r="BV1057" s="3"/>
      <c r="BW1057" s="3"/>
    </row>
    <row r="1058" spans="1:75">
      <c r="A1058" s="1" t="s">
        <v>75</v>
      </c>
      <c r="B1058" s="1" t="s">
        <v>13976</v>
      </c>
      <c r="C1058" s="1" t="s">
        <v>19370</v>
      </c>
      <c r="D1058" s="1" t="s">
        <v>17833</v>
      </c>
      <c r="E1058" s="1" t="s">
        <v>19371</v>
      </c>
      <c r="F1058" s="1" t="s">
        <v>19372</v>
      </c>
      <c r="G1058" s="1" t="s">
        <v>19373</v>
      </c>
      <c r="H1058" s="1" t="s">
        <v>19374</v>
      </c>
      <c r="I1058" s="1" t="s">
        <v>19375</v>
      </c>
      <c r="J1058" s="1">
        <v>9370727587</v>
      </c>
      <c r="K1058" s="1" t="s">
        <v>84</v>
      </c>
      <c r="L1058" s="1" t="s">
        <v>16603</v>
      </c>
      <c r="M1058" s="1" t="s">
        <v>86</v>
      </c>
      <c r="N1058" s="1" t="s">
        <v>19376</v>
      </c>
      <c r="O1058" s="1" t="s">
        <v>19377</v>
      </c>
      <c r="P1058" s="1" t="s">
        <v>122</v>
      </c>
      <c r="Q1058" s="1">
        <v>840852450231</v>
      </c>
      <c r="R1058" s="1" t="s">
        <v>19378</v>
      </c>
      <c r="S1058" s="1">
        <v>9892004477</v>
      </c>
      <c r="T1058" s="1" t="s">
        <v>19379</v>
      </c>
      <c r="U1058" s="1" t="s">
        <v>19380</v>
      </c>
      <c r="V1058" s="1">
        <v>9326661854</v>
      </c>
      <c r="W1058" s="1" t="s">
        <v>14234</v>
      </c>
      <c r="X1058" s="1" t="s">
        <v>19381</v>
      </c>
      <c r="Y1058" s="1" t="s">
        <v>4302</v>
      </c>
      <c r="Z1058" s="1" t="s">
        <v>97</v>
      </c>
      <c r="AA1058" s="1" t="s">
        <v>19381</v>
      </c>
      <c r="AB1058" s="1" t="s">
        <v>4302</v>
      </c>
      <c r="AC1058" s="1" t="s">
        <v>97</v>
      </c>
      <c r="AD1058" s="1" t="s">
        <v>98</v>
      </c>
      <c r="AE1058" s="1" t="s">
        <v>98</v>
      </c>
      <c r="AF1058" s="1" t="s">
        <v>19382</v>
      </c>
      <c r="AG1058" s="1" t="s">
        <v>19383</v>
      </c>
      <c r="AH1058" s="1" t="s">
        <v>167</v>
      </c>
      <c r="AI1058" s="1" t="s">
        <v>171</v>
      </c>
      <c r="AJ1058" s="1">
        <v>75.6</v>
      </c>
      <c r="AK1058" s="1"/>
      <c r="AL1058" s="1" t="s">
        <v>19384</v>
      </c>
      <c r="AM1058" s="1" t="s">
        <v>19383</v>
      </c>
      <c r="AN1058" s="1" t="s">
        <v>575</v>
      </c>
      <c r="AO1058" s="1" t="s">
        <v>106</v>
      </c>
      <c r="AP1058" s="1" t="s">
        <v>178</v>
      </c>
      <c r="AQ1058" s="1">
        <v>70.62</v>
      </c>
      <c r="AR1058" s="1"/>
      <c r="AS1058" s="1" t="s">
        <v>15317</v>
      </c>
      <c r="AT1058" s="1" t="s">
        <v>19385</v>
      </c>
      <c r="AU1058" s="1" t="s">
        <v>1040</v>
      </c>
      <c r="AV1058" s="1" t="s">
        <v>1400</v>
      </c>
      <c r="AW1058" s="1">
        <v>78</v>
      </c>
      <c r="AX1058" s="1"/>
      <c r="AY1058" s="1" t="s">
        <v>19386</v>
      </c>
      <c r="AZ1058" s="1" t="s">
        <v>19387</v>
      </c>
      <c r="BA1058" s="1" t="s">
        <v>578</v>
      </c>
      <c r="BB1058" s="1" t="s">
        <v>467</v>
      </c>
      <c r="BC1058" s="1" t="s">
        <v>1400</v>
      </c>
      <c r="BD1058" s="1" t="s">
        <v>848</v>
      </c>
      <c r="BE1058" s="1">
        <v>64.53</v>
      </c>
      <c r="BF1058" s="1">
        <v>7.85</v>
      </c>
      <c r="BG1058" s="1"/>
      <c r="BH1058" s="1"/>
      <c r="BI1058" s="1"/>
      <c r="BJ1058" s="1"/>
      <c r="BK1058" s="1"/>
      <c r="BL1058" s="1"/>
      <c r="BM1058" s="1"/>
      <c r="BN1058" s="1"/>
      <c r="BO1058" s="1" t="s">
        <v>19388</v>
      </c>
      <c r="BP1058" s="1" t="s">
        <v>19389</v>
      </c>
      <c r="BQ1058" s="1" t="s">
        <v>471</v>
      </c>
      <c r="BR1058" s="1" t="s">
        <v>19390</v>
      </c>
      <c r="BS1058" s="1">
        <v>3</v>
      </c>
      <c r="BT1058" s="1"/>
      <c r="BU1058" s="1" t="str">
        <f>HYPERLINK("https://nconnect.nicmar.ac.in/storage/profile/6a85a040706ba.png","Download")</f>
        <v>0</v>
      </c>
      <c r="BV1058" s="3"/>
      <c r="BW1058" s="3"/>
    </row>
    <row r="1059" spans="1:75">
      <c r="A1059" s="1" t="s">
        <v>75</v>
      </c>
      <c r="B1059" s="1" t="s">
        <v>13976</v>
      </c>
      <c r="C1059" s="1" t="s">
        <v>19391</v>
      </c>
      <c r="D1059" s="1" t="s">
        <v>19392</v>
      </c>
      <c r="E1059" s="1"/>
      <c r="F1059" s="1" t="s">
        <v>19393</v>
      </c>
      <c r="G1059" s="1" t="s">
        <v>19394</v>
      </c>
      <c r="H1059" s="1" t="s">
        <v>19395</v>
      </c>
      <c r="I1059" s="1" t="s">
        <v>19396</v>
      </c>
      <c r="J1059" s="1">
        <v>7349549613</v>
      </c>
      <c r="K1059" s="1" t="s">
        <v>153</v>
      </c>
      <c r="L1059" s="1" t="s">
        <v>19397</v>
      </c>
      <c r="M1059" s="1" t="s">
        <v>86</v>
      </c>
      <c r="N1059" s="1" t="s">
        <v>19398</v>
      </c>
      <c r="O1059" s="1" t="s">
        <v>3959</v>
      </c>
      <c r="P1059" s="1" t="s">
        <v>89</v>
      </c>
      <c r="Q1059" s="1">
        <v>732708032548</v>
      </c>
      <c r="R1059" s="1" t="s">
        <v>19399</v>
      </c>
      <c r="S1059" s="1">
        <v>9901829613</v>
      </c>
      <c r="T1059" s="1" t="s">
        <v>19400</v>
      </c>
      <c r="U1059" s="1" t="s">
        <v>19401</v>
      </c>
      <c r="V1059" s="1">
        <v>9731945345</v>
      </c>
      <c r="W1059" s="1" t="s">
        <v>14234</v>
      </c>
      <c r="X1059" s="1" t="s">
        <v>19402</v>
      </c>
      <c r="Y1059" s="1" t="s">
        <v>3132</v>
      </c>
      <c r="Z1059" s="1" t="s">
        <v>1210</v>
      </c>
      <c r="AA1059" s="1" t="s">
        <v>19402</v>
      </c>
      <c r="AB1059" s="1" t="s">
        <v>3132</v>
      </c>
      <c r="AC1059" s="1" t="s">
        <v>1210</v>
      </c>
      <c r="AD1059" s="1" t="s">
        <v>98</v>
      </c>
      <c r="AE1059" s="1" t="s">
        <v>98</v>
      </c>
      <c r="AF1059" s="1" t="s">
        <v>19403</v>
      </c>
      <c r="AG1059" s="1" t="s">
        <v>19404</v>
      </c>
      <c r="AH1059" s="1" t="s">
        <v>167</v>
      </c>
      <c r="AI1059" s="1" t="s">
        <v>170</v>
      </c>
      <c r="AJ1059" s="1">
        <v>85.5</v>
      </c>
      <c r="AK1059" s="1">
        <v>9.0</v>
      </c>
      <c r="AL1059" s="1" t="s">
        <v>19405</v>
      </c>
      <c r="AM1059" s="1" t="s">
        <v>19406</v>
      </c>
      <c r="AN1059" s="1" t="s">
        <v>575</v>
      </c>
      <c r="AO1059" s="1" t="s">
        <v>704</v>
      </c>
      <c r="AP1059" s="1" t="s">
        <v>547</v>
      </c>
      <c r="AQ1059" s="1">
        <v>72.0</v>
      </c>
      <c r="AR1059" s="1">
        <v>7.5</v>
      </c>
      <c r="AS1059" s="1"/>
      <c r="AT1059" s="1"/>
      <c r="AU1059" s="1"/>
      <c r="AV1059" s="1"/>
      <c r="AW1059" s="1"/>
      <c r="AX1059" s="1"/>
      <c r="AY1059" s="1" t="s">
        <v>19407</v>
      </c>
      <c r="AZ1059" s="1" t="s">
        <v>19408</v>
      </c>
      <c r="BA1059" s="1" t="s">
        <v>578</v>
      </c>
      <c r="BB1059" s="1" t="s">
        <v>467</v>
      </c>
      <c r="BC1059" s="1" t="s">
        <v>206</v>
      </c>
      <c r="BD1059" s="1" t="s">
        <v>391</v>
      </c>
      <c r="BE1059" s="1">
        <v>77.0</v>
      </c>
      <c r="BF1059" s="1">
        <v>8.45</v>
      </c>
      <c r="BG1059" s="1"/>
      <c r="BH1059" s="1"/>
      <c r="BI1059" s="1"/>
      <c r="BJ1059" s="1"/>
      <c r="BK1059" s="1"/>
      <c r="BL1059" s="1"/>
      <c r="BM1059" s="1"/>
      <c r="BN1059" s="1"/>
      <c r="BO1059" s="1" t="s">
        <v>19409</v>
      </c>
      <c r="BP1059" s="1" t="s">
        <v>19410</v>
      </c>
      <c r="BQ1059" s="1" t="s">
        <v>524</v>
      </c>
      <c r="BR1059" s="1" t="s">
        <v>19411</v>
      </c>
      <c r="BS1059" s="1">
        <v>4</v>
      </c>
      <c r="BT1059" s="1" t="s">
        <v>19412</v>
      </c>
      <c r="BU1059" s="1" t="str">
        <f>HYPERLINK("https://nconnect.nicmar.ac.in/storage/profile/6a85c1653a488.png","Download")</f>
        <v>0</v>
      </c>
      <c r="BV1059" s="3"/>
      <c r="BW1059" s="3"/>
    </row>
    <row r="1060" spans="1:75">
      <c r="A1060" s="1" t="s">
        <v>75</v>
      </c>
      <c r="B1060" s="1" t="s">
        <v>13976</v>
      </c>
      <c r="C1060" s="1" t="s">
        <v>19413</v>
      </c>
      <c r="D1060" s="1" t="s">
        <v>19414</v>
      </c>
      <c r="E1060" s="1"/>
      <c r="F1060" s="1" t="s">
        <v>19415</v>
      </c>
      <c r="G1060" s="1" t="s">
        <v>19416</v>
      </c>
      <c r="H1060" s="1" t="s">
        <v>19417</v>
      </c>
      <c r="I1060" s="1" t="s">
        <v>19418</v>
      </c>
      <c r="J1060" s="1">
        <v>9348421534</v>
      </c>
      <c r="K1060" s="1" t="s">
        <v>153</v>
      </c>
      <c r="L1060" s="1" t="s">
        <v>17172</v>
      </c>
      <c r="M1060" s="1" t="s">
        <v>86</v>
      </c>
      <c r="N1060" s="1" t="s">
        <v>1573</v>
      </c>
      <c r="O1060" s="1" t="s">
        <v>19419</v>
      </c>
      <c r="P1060" s="1" t="s">
        <v>219</v>
      </c>
      <c r="Q1060" s="1">
        <v>316415650396</v>
      </c>
      <c r="R1060" s="1" t="s">
        <v>19420</v>
      </c>
      <c r="S1060" s="1">
        <v>7008200488</v>
      </c>
      <c r="T1060" s="1" t="s">
        <v>98</v>
      </c>
      <c r="U1060" s="1" t="s">
        <v>19421</v>
      </c>
      <c r="V1060" s="1">
        <v>9437079006</v>
      </c>
      <c r="W1060" s="1" t="s">
        <v>19422</v>
      </c>
      <c r="X1060" s="1" t="s">
        <v>19423</v>
      </c>
      <c r="Y1060" s="1" t="s">
        <v>16114</v>
      </c>
      <c r="Z1060" s="1" t="s">
        <v>865</v>
      </c>
      <c r="AA1060" s="1" t="s">
        <v>19423</v>
      </c>
      <c r="AB1060" s="1" t="s">
        <v>16114</v>
      </c>
      <c r="AC1060" s="1" t="s">
        <v>865</v>
      </c>
      <c r="AD1060" s="1" t="s">
        <v>98</v>
      </c>
      <c r="AE1060" s="1" t="s">
        <v>98</v>
      </c>
      <c r="AF1060" s="1" t="s">
        <v>19424</v>
      </c>
      <c r="AG1060" s="1" t="s">
        <v>865</v>
      </c>
      <c r="AH1060" s="1" t="s">
        <v>166</v>
      </c>
      <c r="AI1060" s="1" t="s">
        <v>284</v>
      </c>
      <c r="AJ1060" s="1">
        <v>77.83</v>
      </c>
      <c r="AK1060" s="1"/>
      <c r="AL1060" s="1" t="s">
        <v>19425</v>
      </c>
      <c r="AM1060" s="1" t="s">
        <v>865</v>
      </c>
      <c r="AN1060" s="1" t="s">
        <v>465</v>
      </c>
      <c r="AO1060" s="1" t="s">
        <v>167</v>
      </c>
      <c r="AP1060" s="1" t="s">
        <v>171</v>
      </c>
      <c r="AQ1060" s="1">
        <v>63.5</v>
      </c>
      <c r="AR1060" s="1"/>
      <c r="AS1060" s="1"/>
      <c r="AT1060" s="1"/>
      <c r="AU1060" s="1"/>
      <c r="AV1060" s="1"/>
      <c r="AW1060" s="1"/>
      <c r="AX1060" s="1"/>
      <c r="AY1060" s="1" t="s">
        <v>19426</v>
      </c>
      <c r="AZ1060" s="1" t="s">
        <v>19427</v>
      </c>
      <c r="BA1060" s="1" t="s">
        <v>466</v>
      </c>
      <c r="BB1060" s="1" t="s">
        <v>467</v>
      </c>
      <c r="BC1060" s="1" t="s">
        <v>106</v>
      </c>
      <c r="BD1060" s="1" t="s">
        <v>632</v>
      </c>
      <c r="BE1060" s="1">
        <v>78.5</v>
      </c>
      <c r="BF1060" s="1">
        <v>8.35</v>
      </c>
      <c r="BG1060" s="1"/>
      <c r="BH1060" s="1"/>
      <c r="BI1060" s="1"/>
      <c r="BJ1060" s="1"/>
      <c r="BK1060" s="1"/>
      <c r="BL1060" s="1"/>
      <c r="BM1060" s="1"/>
      <c r="BN1060" s="1"/>
      <c r="BO1060" s="1" t="s">
        <v>19428</v>
      </c>
      <c r="BP1060" s="1"/>
      <c r="BQ1060" s="1"/>
      <c r="BR1060" s="1" t="s">
        <v>19429</v>
      </c>
      <c r="BS1060" s="1">
        <v>52</v>
      </c>
      <c r="BT1060" s="1" t="s">
        <v>19430</v>
      </c>
      <c r="BU1060" s="1" t="str">
        <f>HYPERLINK("https://nconnect.nicmar.ac.in/storage/profile/6a85fb5405696.png","Download")</f>
        <v>0</v>
      </c>
      <c r="BV1060" s="3"/>
      <c r="BW1060" s="3"/>
    </row>
    <row r="1061" spans="1:75">
      <c r="A1061" s="1" t="s">
        <v>75</v>
      </c>
      <c r="B1061" s="1" t="s">
        <v>13976</v>
      </c>
      <c r="C1061" s="1" t="s">
        <v>19431</v>
      </c>
      <c r="D1061" s="1" t="s">
        <v>19432</v>
      </c>
      <c r="E1061" s="1"/>
      <c r="F1061" s="1" t="s">
        <v>19433</v>
      </c>
      <c r="G1061" s="1" t="s">
        <v>19434</v>
      </c>
      <c r="H1061" s="1" t="s">
        <v>19435</v>
      </c>
      <c r="I1061" s="1" t="s">
        <v>19436</v>
      </c>
      <c r="J1061" s="1">
        <v>9373469723</v>
      </c>
      <c r="K1061" s="1" t="s">
        <v>153</v>
      </c>
      <c r="L1061" s="1" t="s">
        <v>11243</v>
      </c>
      <c r="M1061" s="1" t="s">
        <v>86</v>
      </c>
      <c r="N1061" s="1" t="s">
        <v>17192</v>
      </c>
      <c r="O1061" s="1" t="s">
        <v>19437</v>
      </c>
      <c r="P1061" s="1" t="s">
        <v>89</v>
      </c>
      <c r="Q1061" s="1">
        <v>511779513971</v>
      </c>
      <c r="R1061" s="1" t="s">
        <v>19438</v>
      </c>
      <c r="S1061" s="1">
        <v>9822692232</v>
      </c>
      <c r="T1061" s="1" t="s">
        <v>14352</v>
      </c>
      <c r="U1061" s="1" t="s">
        <v>19439</v>
      </c>
      <c r="V1061" s="1">
        <v>9527879192</v>
      </c>
      <c r="W1061" s="1" t="s">
        <v>14032</v>
      </c>
      <c r="X1061" s="1" t="s">
        <v>19440</v>
      </c>
      <c r="Y1061" s="1" t="s">
        <v>410</v>
      </c>
      <c r="Z1061" s="1" t="s">
        <v>97</v>
      </c>
      <c r="AA1061" s="1" t="s">
        <v>19440</v>
      </c>
      <c r="AB1061" s="1" t="s">
        <v>410</v>
      </c>
      <c r="AC1061" s="1" t="s">
        <v>97</v>
      </c>
      <c r="AD1061" s="1" t="s">
        <v>98</v>
      </c>
      <c r="AE1061" s="1" t="s">
        <v>98</v>
      </c>
      <c r="AF1061" s="1" t="s">
        <v>19441</v>
      </c>
      <c r="AG1061" s="1" t="s">
        <v>19442</v>
      </c>
      <c r="AH1061" s="1" t="s">
        <v>627</v>
      </c>
      <c r="AI1061" s="1" t="s">
        <v>170</v>
      </c>
      <c r="AJ1061" s="1">
        <v>73.2</v>
      </c>
      <c r="AK1061" s="1"/>
      <c r="AL1061" s="1" t="s">
        <v>19443</v>
      </c>
      <c r="AM1061" s="1" t="s">
        <v>19442</v>
      </c>
      <c r="AN1061" s="1" t="s">
        <v>465</v>
      </c>
      <c r="AO1061" s="1" t="s">
        <v>106</v>
      </c>
      <c r="AP1061" s="1" t="s">
        <v>313</v>
      </c>
      <c r="AQ1061" s="1">
        <v>54.77</v>
      </c>
      <c r="AR1061" s="1"/>
      <c r="AS1061" s="1" t="s">
        <v>14656</v>
      </c>
      <c r="AT1061" s="1" t="s">
        <v>19444</v>
      </c>
      <c r="AU1061" s="1" t="s">
        <v>206</v>
      </c>
      <c r="AV1061" s="1" t="s">
        <v>1400</v>
      </c>
      <c r="AW1061" s="1">
        <v>85.2</v>
      </c>
      <c r="AX1061" s="1"/>
      <c r="AY1061" s="1" t="s">
        <v>14828</v>
      </c>
      <c r="AZ1061" s="1" t="s">
        <v>19445</v>
      </c>
      <c r="BA1061" s="1" t="s">
        <v>466</v>
      </c>
      <c r="BB1061" s="1" t="s">
        <v>467</v>
      </c>
      <c r="BC1061" s="1" t="s">
        <v>110</v>
      </c>
      <c r="BD1061" s="1" t="s">
        <v>848</v>
      </c>
      <c r="BE1061" s="1">
        <v>77.9</v>
      </c>
      <c r="BF1061" s="1">
        <v>8.54</v>
      </c>
      <c r="BG1061" s="1"/>
      <c r="BH1061" s="1"/>
      <c r="BI1061" s="1"/>
      <c r="BJ1061" s="1"/>
      <c r="BK1061" s="1"/>
      <c r="BL1061" s="1"/>
      <c r="BM1061" s="1"/>
      <c r="BN1061" s="1"/>
      <c r="BO1061" s="1" t="s">
        <v>19446</v>
      </c>
      <c r="BP1061" s="1"/>
      <c r="BQ1061" s="1"/>
      <c r="BR1061" s="1"/>
      <c r="BS1061" s="1"/>
      <c r="BT1061" s="1" t="s">
        <v>19447</v>
      </c>
      <c r="BU1061" s="1" t="str">
        <f>HYPERLINK("https://nconnect.nicmar.ac.in/storage/profile/6a8dde791f10d.png","Download")</f>
        <v>0</v>
      </c>
      <c r="BV1061" s="3"/>
      <c r="BW1061" s="3"/>
    </row>
    <row r="1062" spans="1:75">
      <c r="A1062" s="1" t="s">
        <v>75</v>
      </c>
      <c r="B1062" s="1" t="s">
        <v>13976</v>
      </c>
      <c r="C1062" s="1" t="s">
        <v>19448</v>
      </c>
      <c r="D1062" s="1" t="s">
        <v>19449</v>
      </c>
      <c r="E1062" s="1" t="s">
        <v>19450</v>
      </c>
      <c r="F1062" s="1" t="s">
        <v>19451</v>
      </c>
      <c r="G1062" s="1" t="s">
        <v>19452</v>
      </c>
      <c r="H1062" s="1" t="s">
        <v>19453</v>
      </c>
      <c r="I1062" s="1" t="s">
        <v>19454</v>
      </c>
      <c r="J1062" s="1">
        <v>8421715575</v>
      </c>
      <c r="K1062" s="1" t="s">
        <v>84</v>
      </c>
      <c r="L1062" s="1" t="s">
        <v>12253</v>
      </c>
      <c r="M1062" s="1" t="s">
        <v>86</v>
      </c>
      <c r="N1062" s="1" t="s">
        <v>4263</v>
      </c>
      <c r="O1062" s="1" t="s">
        <v>19455</v>
      </c>
      <c r="P1062" s="1" t="s">
        <v>219</v>
      </c>
      <c r="Q1062" s="1">
        <v>832396873016</v>
      </c>
      <c r="R1062" s="1" t="s">
        <v>19456</v>
      </c>
      <c r="S1062" s="1">
        <v>9730247698</v>
      </c>
      <c r="T1062" s="1" t="s">
        <v>3439</v>
      </c>
      <c r="U1062" s="1" t="s">
        <v>19457</v>
      </c>
      <c r="V1062" s="1">
        <v>9970284565</v>
      </c>
      <c r="W1062" s="1" t="s">
        <v>14154</v>
      </c>
      <c r="X1062" s="1" t="s">
        <v>19458</v>
      </c>
      <c r="Y1062" s="1" t="s">
        <v>6128</v>
      </c>
      <c r="Z1062" s="1" t="s">
        <v>97</v>
      </c>
      <c r="AA1062" s="1" t="s">
        <v>19458</v>
      </c>
      <c r="AB1062" s="1" t="s">
        <v>6128</v>
      </c>
      <c r="AC1062" s="1" t="s">
        <v>97</v>
      </c>
      <c r="AD1062" s="1" t="s">
        <v>98</v>
      </c>
      <c r="AE1062" s="1" t="s">
        <v>98</v>
      </c>
      <c r="AF1062" s="1" t="s">
        <v>19459</v>
      </c>
      <c r="AG1062" s="1" t="s">
        <v>14977</v>
      </c>
      <c r="AH1062" s="1" t="s">
        <v>106</v>
      </c>
      <c r="AI1062" s="1" t="s">
        <v>414</v>
      </c>
      <c r="AJ1062" s="1">
        <v>96.0</v>
      </c>
      <c r="AK1062" s="1"/>
      <c r="AL1062" s="1" t="s">
        <v>19460</v>
      </c>
      <c r="AM1062" s="1" t="s">
        <v>14977</v>
      </c>
      <c r="AN1062" s="1" t="s">
        <v>465</v>
      </c>
      <c r="AO1062" s="1" t="s">
        <v>468</v>
      </c>
      <c r="AP1062" s="1" t="s">
        <v>1192</v>
      </c>
      <c r="AQ1062" s="1">
        <v>96.33</v>
      </c>
      <c r="AR1062" s="1"/>
      <c r="AS1062" s="1"/>
      <c r="AT1062" s="1"/>
      <c r="AU1062" s="1"/>
      <c r="AV1062" s="1"/>
      <c r="AW1062" s="1"/>
      <c r="AX1062" s="1"/>
      <c r="AY1062" s="1" t="s">
        <v>14160</v>
      </c>
      <c r="AZ1062" s="1" t="s">
        <v>19461</v>
      </c>
      <c r="BA1062" s="1" t="s">
        <v>466</v>
      </c>
      <c r="BB1062" s="1" t="s">
        <v>467</v>
      </c>
      <c r="BC1062" s="1" t="s">
        <v>871</v>
      </c>
      <c r="BD1062" s="1" t="s">
        <v>553</v>
      </c>
      <c r="BE1062" s="1">
        <v>83.98</v>
      </c>
      <c r="BF1062" s="1">
        <v>8.84</v>
      </c>
      <c r="BG1062" s="1"/>
      <c r="BH1062" s="1"/>
      <c r="BI1062" s="1"/>
      <c r="BJ1062" s="1"/>
      <c r="BK1062" s="1"/>
      <c r="BL1062" s="1"/>
      <c r="BM1062" s="1"/>
      <c r="BN1062" s="1"/>
      <c r="BO1062" s="1" t="s">
        <v>19462</v>
      </c>
      <c r="BP1062" s="1"/>
      <c r="BQ1062" s="1"/>
      <c r="BR1062" s="1" t="s">
        <v>19463</v>
      </c>
      <c r="BS1062" s="1">
        <v>4</v>
      </c>
      <c r="BT1062" s="1"/>
      <c r="BU1062" s="1" t="str">
        <f>HYPERLINK("https://nconnect.nicmar.ac.in/storage/profile/6a85cf852c11a.png","Download")</f>
        <v>0</v>
      </c>
      <c r="BV1062" s="3"/>
      <c r="BW1062" s="3"/>
    </row>
    <row r="1063" spans="1:75">
      <c r="A1063" s="1" t="s">
        <v>75</v>
      </c>
      <c r="B1063" s="1" t="s">
        <v>13976</v>
      </c>
      <c r="C1063" s="1" t="s">
        <v>19464</v>
      </c>
      <c r="D1063" s="1" t="s">
        <v>1361</v>
      </c>
      <c r="E1063" s="1" t="s">
        <v>116</v>
      </c>
      <c r="F1063" s="1" t="s">
        <v>8398</v>
      </c>
      <c r="G1063" s="1" t="s">
        <v>19465</v>
      </c>
      <c r="H1063" s="1" t="s">
        <v>19466</v>
      </c>
      <c r="I1063" s="1" t="s">
        <v>19467</v>
      </c>
      <c r="J1063" s="1">
        <v>9606066404</v>
      </c>
      <c r="K1063" s="1" t="s">
        <v>84</v>
      </c>
      <c r="L1063" s="1" t="s">
        <v>14131</v>
      </c>
      <c r="M1063" s="1" t="s">
        <v>86</v>
      </c>
      <c r="N1063" s="1" t="s">
        <v>16857</v>
      </c>
      <c r="O1063" s="1" t="s">
        <v>19468</v>
      </c>
      <c r="P1063" s="1" t="s">
        <v>89</v>
      </c>
      <c r="Q1063" s="1">
        <v>900433597734</v>
      </c>
      <c r="R1063" s="1" t="s">
        <v>19469</v>
      </c>
      <c r="S1063" s="1">
        <v>9448855551</v>
      </c>
      <c r="T1063" s="1" t="s">
        <v>3439</v>
      </c>
      <c r="U1063" s="1" t="s">
        <v>19470</v>
      </c>
      <c r="V1063" s="1">
        <v>9449711433</v>
      </c>
      <c r="W1063" s="1" t="s">
        <v>14032</v>
      </c>
      <c r="X1063" s="1" t="s">
        <v>19471</v>
      </c>
      <c r="Y1063" s="1" t="s">
        <v>3132</v>
      </c>
      <c r="Z1063" s="1" t="s">
        <v>1210</v>
      </c>
      <c r="AA1063" s="1" t="s">
        <v>19471</v>
      </c>
      <c r="AB1063" s="1" t="s">
        <v>3132</v>
      </c>
      <c r="AC1063" s="1" t="s">
        <v>1210</v>
      </c>
      <c r="AD1063" s="1" t="s">
        <v>98</v>
      </c>
      <c r="AE1063" s="1" t="s">
        <v>98</v>
      </c>
      <c r="AF1063" s="1" t="s">
        <v>19472</v>
      </c>
      <c r="AG1063" s="1" t="s">
        <v>19473</v>
      </c>
      <c r="AH1063" s="1" t="s">
        <v>438</v>
      </c>
      <c r="AI1063" s="1" t="s">
        <v>468</v>
      </c>
      <c r="AJ1063" s="1">
        <v>81.67</v>
      </c>
      <c r="AK1063" s="1"/>
      <c r="AL1063" s="1" t="s">
        <v>19474</v>
      </c>
      <c r="AM1063" s="1" t="s">
        <v>19475</v>
      </c>
      <c r="AN1063" s="1" t="s">
        <v>575</v>
      </c>
      <c r="AO1063" s="1" t="s">
        <v>549</v>
      </c>
      <c r="AP1063" s="1" t="s">
        <v>1400</v>
      </c>
      <c r="AQ1063" s="1">
        <v>68.8</v>
      </c>
      <c r="AR1063" s="1"/>
      <c r="AS1063" s="1"/>
      <c r="AT1063" s="1"/>
      <c r="AU1063" s="1"/>
      <c r="AV1063" s="1"/>
      <c r="AW1063" s="1"/>
      <c r="AX1063" s="1"/>
      <c r="AY1063" s="1" t="s">
        <v>19476</v>
      </c>
      <c r="AZ1063" s="1" t="s">
        <v>19477</v>
      </c>
      <c r="BA1063" s="1" t="s">
        <v>578</v>
      </c>
      <c r="BB1063" s="1" t="s">
        <v>467</v>
      </c>
      <c r="BC1063" s="1" t="s">
        <v>1889</v>
      </c>
      <c r="BD1063" s="1" t="s">
        <v>14514</v>
      </c>
      <c r="BE1063" s="1">
        <v>77.5</v>
      </c>
      <c r="BF1063" s="1">
        <v>7.75</v>
      </c>
      <c r="BG1063" s="1"/>
      <c r="BH1063" s="1"/>
      <c r="BI1063" s="1"/>
      <c r="BJ1063" s="1"/>
      <c r="BK1063" s="1"/>
      <c r="BL1063" s="1"/>
      <c r="BM1063" s="1"/>
      <c r="BN1063" s="1"/>
      <c r="BO1063" s="1" t="s">
        <v>19478</v>
      </c>
      <c r="BP1063" s="1"/>
      <c r="BQ1063" s="1"/>
      <c r="BR1063" s="1" t="s">
        <v>19479</v>
      </c>
      <c r="BS1063" s="1">
        <v>13</v>
      </c>
      <c r="BT1063" s="1"/>
      <c r="BU1063" s="1" t="str">
        <f>HYPERLINK("https://nconnect.nicmar.ac.in/storage/profile/6a8706e61a431.png","Download")</f>
        <v>0</v>
      </c>
      <c r="BV1063" s="3"/>
      <c r="BW1063" s="3"/>
    </row>
    <row r="1064" spans="1:75">
      <c r="A1064" s="1" t="s">
        <v>75</v>
      </c>
      <c r="B1064" s="1" t="s">
        <v>13976</v>
      </c>
      <c r="C1064" s="1" t="s">
        <v>19480</v>
      </c>
      <c r="D1064" s="1" t="s">
        <v>18800</v>
      </c>
      <c r="E1064" s="1" t="s">
        <v>19481</v>
      </c>
      <c r="F1064" s="1" t="s">
        <v>19482</v>
      </c>
      <c r="G1064" s="1" t="s">
        <v>19483</v>
      </c>
      <c r="H1064" s="1" t="s">
        <v>19484</v>
      </c>
      <c r="I1064" s="1" t="s">
        <v>19485</v>
      </c>
      <c r="J1064" s="1">
        <v>9028295319</v>
      </c>
      <c r="K1064" s="1" t="s">
        <v>84</v>
      </c>
      <c r="L1064" s="1" t="s">
        <v>16827</v>
      </c>
      <c r="M1064" s="1" t="s">
        <v>86</v>
      </c>
      <c r="N1064" s="1" t="s">
        <v>618</v>
      </c>
      <c r="O1064" s="1" t="s">
        <v>19486</v>
      </c>
      <c r="P1064" s="1" t="s">
        <v>122</v>
      </c>
      <c r="Q1064" s="1">
        <v>474137358654</v>
      </c>
      <c r="R1064" s="1" t="s">
        <v>19487</v>
      </c>
      <c r="S1064" s="1">
        <v>9028976384</v>
      </c>
      <c r="T1064" s="1" t="s">
        <v>14335</v>
      </c>
      <c r="U1064" s="1" t="s">
        <v>19488</v>
      </c>
      <c r="V1064" s="1">
        <v>9028976384</v>
      </c>
      <c r="W1064" s="1" t="s">
        <v>14154</v>
      </c>
      <c r="X1064" s="1" t="s">
        <v>19489</v>
      </c>
      <c r="Y1064" s="1" t="s">
        <v>910</v>
      </c>
      <c r="Z1064" s="1" t="s">
        <v>97</v>
      </c>
      <c r="AA1064" s="1" t="s">
        <v>19489</v>
      </c>
      <c r="AB1064" s="1" t="s">
        <v>910</v>
      </c>
      <c r="AC1064" s="1" t="s">
        <v>97</v>
      </c>
      <c r="AD1064" s="1" t="s">
        <v>98</v>
      </c>
      <c r="AE1064" s="1" t="s">
        <v>98</v>
      </c>
      <c r="AF1064" s="1" t="s">
        <v>19490</v>
      </c>
      <c r="AG1064" s="1" t="s">
        <v>19491</v>
      </c>
      <c r="AH1064" s="1" t="s">
        <v>438</v>
      </c>
      <c r="AI1064" s="1" t="s">
        <v>603</v>
      </c>
      <c r="AJ1064" s="1">
        <v>82.0</v>
      </c>
      <c r="AK1064" s="1"/>
      <c r="AL1064" s="1"/>
      <c r="AM1064" s="1"/>
      <c r="AN1064" s="1"/>
      <c r="AO1064" s="1"/>
      <c r="AP1064" s="1"/>
      <c r="AQ1064" s="1"/>
      <c r="AR1064" s="1"/>
      <c r="AS1064" s="1" t="s">
        <v>14377</v>
      </c>
      <c r="AT1064" s="1" t="s">
        <v>19492</v>
      </c>
      <c r="AU1064" s="1" t="s">
        <v>178</v>
      </c>
      <c r="AV1064" s="1" t="s">
        <v>179</v>
      </c>
      <c r="AW1064" s="1">
        <v>71.11</v>
      </c>
      <c r="AX1064" s="1"/>
      <c r="AY1064" s="1" t="s">
        <v>14160</v>
      </c>
      <c r="AZ1064" s="1" t="s">
        <v>19493</v>
      </c>
      <c r="BA1064" s="1" t="s">
        <v>578</v>
      </c>
      <c r="BB1064" s="1" t="s">
        <v>467</v>
      </c>
      <c r="BC1064" s="1" t="s">
        <v>179</v>
      </c>
      <c r="BD1064" s="1" t="s">
        <v>14514</v>
      </c>
      <c r="BE1064" s="1">
        <v>76.29</v>
      </c>
      <c r="BF1064" s="1">
        <v>8.03</v>
      </c>
      <c r="BG1064" s="1"/>
      <c r="BH1064" s="1"/>
      <c r="BI1064" s="1"/>
      <c r="BJ1064" s="1"/>
      <c r="BK1064" s="1"/>
      <c r="BL1064" s="1"/>
      <c r="BM1064" s="1"/>
      <c r="BN1064" s="1"/>
      <c r="BO1064" s="1" t="s">
        <v>19494</v>
      </c>
      <c r="BP1064" s="1"/>
      <c r="BQ1064" s="1"/>
      <c r="BR1064" s="1"/>
      <c r="BS1064" s="1"/>
      <c r="BT1064" s="1"/>
      <c r="BU1064" s="1" t="str">
        <f>HYPERLINK("https://nconnect.nicmar.ac.in/storage/profile/6a81c9bb647fd.png","Download")</f>
        <v>0</v>
      </c>
      <c r="BV1064" s="3"/>
      <c r="BW1064" s="3"/>
    </row>
    <row r="1065" spans="1:75">
      <c r="A1065" s="1" t="s">
        <v>75</v>
      </c>
      <c r="B1065" s="1" t="s">
        <v>13976</v>
      </c>
      <c r="C1065" s="1" t="s">
        <v>19495</v>
      </c>
      <c r="D1065" s="1" t="s">
        <v>19496</v>
      </c>
      <c r="E1065" s="1" t="s">
        <v>19497</v>
      </c>
      <c r="F1065" s="1" t="s">
        <v>19498</v>
      </c>
      <c r="G1065" s="1" t="s">
        <v>19499</v>
      </c>
      <c r="H1065" s="1" t="s">
        <v>19500</v>
      </c>
      <c r="I1065" s="1" t="s">
        <v>19501</v>
      </c>
      <c r="J1065" s="1">
        <v>8639807420</v>
      </c>
      <c r="K1065" s="1" t="s">
        <v>84</v>
      </c>
      <c r="L1065" s="1" t="s">
        <v>19502</v>
      </c>
      <c r="M1065" s="1" t="s">
        <v>86</v>
      </c>
      <c r="N1065" s="1" t="s">
        <v>2486</v>
      </c>
      <c r="O1065" s="1" t="s">
        <v>19503</v>
      </c>
      <c r="P1065" s="1" t="s">
        <v>219</v>
      </c>
      <c r="Q1065" s="1">
        <v>747601098309</v>
      </c>
      <c r="R1065" s="1" t="s">
        <v>19504</v>
      </c>
      <c r="S1065" s="1">
        <v>9949737234</v>
      </c>
      <c r="T1065" s="1" t="s">
        <v>159</v>
      </c>
      <c r="U1065" s="1" t="s">
        <v>19505</v>
      </c>
      <c r="V1065" s="1" t="s">
        <v>16692</v>
      </c>
      <c r="W1065" s="1" t="s">
        <v>9878</v>
      </c>
      <c r="X1065" s="1" t="s">
        <v>19506</v>
      </c>
      <c r="Y1065" s="1" t="s">
        <v>19507</v>
      </c>
      <c r="Z1065" s="1" t="s">
        <v>281</v>
      </c>
      <c r="AA1065" s="1" t="s">
        <v>19508</v>
      </c>
      <c r="AB1065" s="1" t="s">
        <v>1454</v>
      </c>
      <c r="AC1065" s="1" t="s">
        <v>281</v>
      </c>
      <c r="AD1065" s="1" t="s">
        <v>98</v>
      </c>
      <c r="AE1065" s="1" t="s">
        <v>98</v>
      </c>
      <c r="AF1065" s="1" t="s">
        <v>19509</v>
      </c>
      <c r="AG1065" s="1" t="s">
        <v>19510</v>
      </c>
      <c r="AH1065" s="1" t="s">
        <v>106</v>
      </c>
      <c r="AI1065" s="1" t="s">
        <v>313</v>
      </c>
      <c r="AJ1065" s="1">
        <v>0</v>
      </c>
      <c r="AK1065" s="1">
        <v>9.3</v>
      </c>
      <c r="AL1065" s="1" t="s">
        <v>18571</v>
      </c>
      <c r="AM1065" s="1" t="s">
        <v>19510</v>
      </c>
      <c r="AN1065" s="1" t="s">
        <v>465</v>
      </c>
      <c r="AO1065" s="1" t="s">
        <v>438</v>
      </c>
      <c r="AP1065" s="1" t="s">
        <v>1192</v>
      </c>
      <c r="AQ1065" s="1">
        <v>71.4</v>
      </c>
      <c r="AR1065" s="1"/>
      <c r="AS1065" s="1"/>
      <c r="AT1065" s="1"/>
      <c r="AU1065" s="1"/>
      <c r="AV1065" s="1"/>
      <c r="AW1065" s="1"/>
      <c r="AX1065" s="1"/>
      <c r="AY1065" s="1" t="s">
        <v>19511</v>
      </c>
      <c r="AZ1065" s="1" t="s">
        <v>19512</v>
      </c>
      <c r="BA1065" s="1" t="s">
        <v>466</v>
      </c>
      <c r="BB1065" s="1" t="s">
        <v>467</v>
      </c>
      <c r="BC1065" s="1" t="s">
        <v>871</v>
      </c>
      <c r="BD1065" s="1" t="s">
        <v>8670</v>
      </c>
      <c r="BE1065" s="1">
        <v>66.1</v>
      </c>
      <c r="BF1065" s="1">
        <v>7.36</v>
      </c>
      <c r="BG1065" s="1"/>
      <c r="BH1065" s="1"/>
      <c r="BI1065" s="1"/>
      <c r="BJ1065" s="1"/>
      <c r="BK1065" s="1"/>
      <c r="BL1065" s="1"/>
      <c r="BM1065" s="1"/>
      <c r="BN1065" s="1"/>
      <c r="BO1065" s="1" t="s">
        <v>19513</v>
      </c>
      <c r="BP1065" s="1" t="s">
        <v>19514</v>
      </c>
      <c r="BQ1065" s="1" t="s">
        <v>1070</v>
      </c>
      <c r="BR1065" s="1" t="s">
        <v>19515</v>
      </c>
      <c r="BS1065" s="1">
        <v>19</v>
      </c>
      <c r="BT1065" s="1"/>
      <c r="BU1065" s="1" t="str">
        <f>HYPERLINK("https://nconnect.nicmar.ac.in/storage/profile/6a87213c0ef46.png","Download")</f>
        <v>0</v>
      </c>
      <c r="BV1065" s="3"/>
      <c r="BW1065" s="3"/>
    </row>
    <row r="1066" spans="1:75">
      <c r="A1066" s="1" t="s">
        <v>75</v>
      </c>
      <c r="B1066" s="1" t="s">
        <v>13976</v>
      </c>
      <c r="C1066" s="1" t="s">
        <v>19516</v>
      </c>
      <c r="D1066" s="1" t="s">
        <v>19517</v>
      </c>
      <c r="E1066" s="1" t="s">
        <v>16085</v>
      </c>
      <c r="F1066" s="1" t="s">
        <v>19518</v>
      </c>
      <c r="G1066" s="1" t="s">
        <v>19519</v>
      </c>
      <c r="H1066" s="1" t="s">
        <v>19520</v>
      </c>
      <c r="I1066" s="1" t="s">
        <v>19521</v>
      </c>
      <c r="J1066" s="1">
        <v>9322938809</v>
      </c>
      <c r="K1066" s="1" t="s">
        <v>84</v>
      </c>
      <c r="L1066" s="1" t="s">
        <v>19522</v>
      </c>
      <c r="M1066" s="1" t="s">
        <v>86</v>
      </c>
      <c r="N1066" s="1" t="s">
        <v>17803</v>
      </c>
      <c r="O1066" s="1" t="s">
        <v>19523</v>
      </c>
      <c r="P1066" s="1" t="s">
        <v>89</v>
      </c>
      <c r="Q1066" s="1">
        <v>775636114898</v>
      </c>
      <c r="R1066" s="1" t="s">
        <v>19524</v>
      </c>
      <c r="S1066" s="1">
        <v>9763207011</v>
      </c>
      <c r="T1066" s="1" t="s">
        <v>19525</v>
      </c>
      <c r="U1066" s="1" t="s">
        <v>19526</v>
      </c>
      <c r="V1066" s="1">
        <v>8380857902</v>
      </c>
      <c r="W1066" s="1" t="s">
        <v>14154</v>
      </c>
      <c r="X1066" s="1" t="s">
        <v>19527</v>
      </c>
      <c r="Y1066" s="1" t="s">
        <v>410</v>
      </c>
      <c r="Z1066" s="1" t="s">
        <v>97</v>
      </c>
      <c r="AA1066" s="1" t="s">
        <v>19527</v>
      </c>
      <c r="AB1066" s="1" t="s">
        <v>410</v>
      </c>
      <c r="AC1066" s="1" t="s">
        <v>97</v>
      </c>
      <c r="AD1066" s="1" t="s">
        <v>98</v>
      </c>
      <c r="AE1066" s="1" t="s">
        <v>98</v>
      </c>
      <c r="AF1066" s="1" t="s">
        <v>19528</v>
      </c>
      <c r="AG1066" s="1" t="s">
        <v>19529</v>
      </c>
      <c r="AH1066" s="1" t="s">
        <v>438</v>
      </c>
      <c r="AI1066" s="1" t="s">
        <v>603</v>
      </c>
      <c r="AJ1066" s="1">
        <v>82</v>
      </c>
      <c r="AK1066" s="1"/>
      <c r="AL1066" s="1" t="s">
        <v>19530</v>
      </c>
      <c r="AM1066" s="1" t="s">
        <v>19529</v>
      </c>
      <c r="AN1066" s="1" t="s">
        <v>465</v>
      </c>
      <c r="AO1066" s="1" t="s">
        <v>847</v>
      </c>
      <c r="AP1066" s="1" t="s">
        <v>1886</v>
      </c>
      <c r="AQ1066" s="1">
        <v>68.83</v>
      </c>
      <c r="AR1066" s="1"/>
      <c r="AS1066" s="1"/>
      <c r="AT1066" s="1"/>
      <c r="AU1066" s="1"/>
      <c r="AV1066" s="1"/>
      <c r="AW1066" s="1"/>
      <c r="AX1066" s="1"/>
      <c r="AY1066" s="1" t="s">
        <v>19531</v>
      </c>
      <c r="AZ1066" s="1" t="s">
        <v>19532</v>
      </c>
      <c r="BA1066" s="1" t="s">
        <v>466</v>
      </c>
      <c r="BB1066" s="1" t="s">
        <v>467</v>
      </c>
      <c r="BC1066" s="1" t="s">
        <v>1400</v>
      </c>
      <c r="BD1066" s="1" t="s">
        <v>14514</v>
      </c>
      <c r="BE1066" s="1">
        <v>65.2</v>
      </c>
      <c r="BF1066" s="1">
        <v>7.27</v>
      </c>
      <c r="BG1066" s="1"/>
      <c r="BH1066" s="1"/>
      <c r="BI1066" s="1"/>
      <c r="BJ1066" s="1"/>
      <c r="BK1066" s="1"/>
      <c r="BL1066" s="1"/>
      <c r="BM1066" s="1"/>
      <c r="BN1066" s="1"/>
      <c r="BO1066" s="1" t="s">
        <v>19533</v>
      </c>
      <c r="BP1066" s="1"/>
      <c r="BQ1066" s="1"/>
      <c r="BR1066" s="1" t="s">
        <v>19534</v>
      </c>
      <c r="BS1066" s="1">
        <v>30</v>
      </c>
      <c r="BT1066" s="1" t="s">
        <v>19535</v>
      </c>
      <c r="BU1066" s="1" t="str">
        <f>HYPERLINK("https://nconnect.nicmar.ac.in/storage/profile/6a80502fa1f06.png","Download")</f>
        <v>0</v>
      </c>
      <c r="BV1066" s="3"/>
      <c r="BW1066" s="3"/>
    </row>
    <row r="1067" spans="1:75">
      <c r="A1067" s="1" t="s">
        <v>75</v>
      </c>
      <c r="B1067" s="1" t="s">
        <v>13976</v>
      </c>
      <c r="C1067" s="1" t="s">
        <v>19536</v>
      </c>
      <c r="D1067" s="1" t="s">
        <v>19537</v>
      </c>
      <c r="E1067" s="1" t="s">
        <v>17573</v>
      </c>
      <c r="F1067" s="1" t="s">
        <v>19538</v>
      </c>
      <c r="G1067" s="1" t="s">
        <v>19539</v>
      </c>
      <c r="H1067" s="1" t="s">
        <v>19540</v>
      </c>
      <c r="I1067" s="1" t="s">
        <v>19541</v>
      </c>
      <c r="J1067" s="1">
        <v>9637462444</v>
      </c>
      <c r="K1067" s="1" t="s">
        <v>84</v>
      </c>
      <c r="L1067" s="1" t="s">
        <v>9354</v>
      </c>
      <c r="M1067" s="1" t="s">
        <v>86</v>
      </c>
      <c r="N1067" s="1" t="s">
        <v>19542</v>
      </c>
      <c r="O1067" s="1" t="s">
        <v>19543</v>
      </c>
      <c r="P1067" s="1" t="s">
        <v>219</v>
      </c>
      <c r="Q1067" s="1">
        <v>296348529175</v>
      </c>
      <c r="R1067" s="1" t="s">
        <v>17573</v>
      </c>
      <c r="S1067" s="1">
        <v>7447728211</v>
      </c>
      <c r="T1067" s="1" t="s">
        <v>19544</v>
      </c>
      <c r="U1067" s="1" t="s">
        <v>19545</v>
      </c>
      <c r="V1067" s="1">
        <v>9890771202</v>
      </c>
      <c r="W1067" s="1" t="s">
        <v>14212</v>
      </c>
      <c r="X1067" s="1" t="s">
        <v>19546</v>
      </c>
      <c r="Y1067" s="1" t="s">
        <v>224</v>
      </c>
      <c r="Z1067" s="1" t="s">
        <v>97</v>
      </c>
      <c r="AA1067" s="1" t="s">
        <v>19546</v>
      </c>
      <c r="AB1067" s="1" t="s">
        <v>224</v>
      </c>
      <c r="AC1067" s="1" t="s">
        <v>97</v>
      </c>
      <c r="AD1067" s="1" t="s">
        <v>98</v>
      </c>
      <c r="AE1067" s="1" t="s">
        <v>98</v>
      </c>
      <c r="AF1067" s="1" t="s">
        <v>19547</v>
      </c>
      <c r="AG1067" s="1" t="s">
        <v>19548</v>
      </c>
      <c r="AH1067" s="1" t="s">
        <v>518</v>
      </c>
      <c r="AI1067" s="1" t="s">
        <v>286</v>
      </c>
      <c r="AJ1067" s="1">
        <v>68</v>
      </c>
      <c r="AK1067" s="1">
        <v>7.15</v>
      </c>
      <c r="AL1067" s="1"/>
      <c r="AM1067" s="1"/>
      <c r="AN1067" s="1"/>
      <c r="AO1067" s="1"/>
      <c r="AP1067" s="1"/>
      <c r="AQ1067" s="1"/>
      <c r="AR1067" s="1"/>
      <c r="AS1067" s="1" t="s">
        <v>14377</v>
      </c>
      <c r="AT1067" s="1" t="s">
        <v>19549</v>
      </c>
      <c r="AU1067" s="1" t="s">
        <v>174</v>
      </c>
      <c r="AV1067" s="1" t="s">
        <v>441</v>
      </c>
      <c r="AW1067" s="1">
        <v>83.26</v>
      </c>
      <c r="AX1067" s="1">
        <v>8.76</v>
      </c>
      <c r="AY1067" s="1" t="s">
        <v>19550</v>
      </c>
      <c r="AZ1067" s="1" t="s">
        <v>19551</v>
      </c>
      <c r="BA1067" s="1" t="s">
        <v>578</v>
      </c>
      <c r="BB1067" s="1" t="s">
        <v>467</v>
      </c>
      <c r="BC1067" s="1" t="s">
        <v>871</v>
      </c>
      <c r="BD1067" s="1" t="s">
        <v>207</v>
      </c>
      <c r="BE1067" s="1">
        <v>0</v>
      </c>
      <c r="BF1067" s="1">
        <v>6.35</v>
      </c>
      <c r="BG1067" s="1"/>
      <c r="BH1067" s="1"/>
      <c r="BI1067" s="1"/>
      <c r="BJ1067" s="1"/>
      <c r="BK1067" s="1"/>
      <c r="BL1067" s="1"/>
      <c r="BM1067" s="1"/>
      <c r="BN1067" s="1"/>
      <c r="BO1067" s="1" t="s">
        <v>19552</v>
      </c>
      <c r="BP1067" s="1" t="s">
        <v>19553</v>
      </c>
      <c r="BQ1067" s="1" t="s">
        <v>658</v>
      </c>
      <c r="BR1067" s="1"/>
      <c r="BS1067" s="1"/>
      <c r="BT1067" s="1"/>
      <c r="BU1067" s="1" t="str">
        <f>HYPERLINK("https://nconnect.nicmar.ac.in/storage/profile/6a85f53f761e8.png","Download")</f>
        <v>0</v>
      </c>
      <c r="BV1067" s="3"/>
      <c r="BW1067" s="3"/>
    </row>
    <row r="1068" spans="1:75">
      <c r="A1068" s="1" t="s">
        <v>75</v>
      </c>
      <c r="B1068" s="1" t="s">
        <v>13976</v>
      </c>
      <c r="C1068" s="1" t="s">
        <v>19554</v>
      </c>
      <c r="D1068" s="1" t="s">
        <v>19555</v>
      </c>
      <c r="E1068" s="1" t="s">
        <v>14680</v>
      </c>
      <c r="F1068" s="1" t="s">
        <v>15304</v>
      </c>
      <c r="G1068" s="1" t="s">
        <v>19556</v>
      </c>
      <c r="H1068" s="1" t="s">
        <v>19557</v>
      </c>
      <c r="I1068" s="1" t="s">
        <v>19558</v>
      </c>
      <c r="J1068" s="1">
        <v>8431817399</v>
      </c>
      <c r="K1068" s="1" t="s">
        <v>84</v>
      </c>
      <c r="L1068" s="1" t="s">
        <v>19559</v>
      </c>
      <c r="M1068" s="1" t="s">
        <v>86</v>
      </c>
      <c r="N1068" s="1" t="s">
        <v>19560</v>
      </c>
      <c r="O1068" s="1" t="s">
        <v>19561</v>
      </c>
      <c r="P1068" s="1" t="s">
        <v>89</v>
      </c>
      <c r="Q1068" s="1">
        <v>337695038563</v>
      </c>
      <c r="R1068" s="1" t="s">
        <v>19562</v>
      </c>
      <c r="S1068" s="1">
        <v>7892669728</v>
      </c>
      <c r="T1068" s="1" t="s">
        <v>13987</v>
      </c>
      <c r="U1068" s="1" t="s">
        <v>19563</v>
      </c>
      <c r="V1068" s="1">
        <v>9980089010</v>
      </c>
      <c r="W1068" s="1" t="s">
        <v>14154</v>
      </c>
      <c r="X1068" s="1" t="s">
        <v>19564</v>
      </c>
      <c r="Y1068" s="1" t="s">
        <v>18438</v>
      </c>
      <c r="Z1068" s="1" t="s">
        <v>1210</v>
      </c>
      <c r="AA1068" s="1" t="s">
        <v>19564</v>
      </c>
      <c r="AB1068" s="1" t="s">
        <v>18438</v>
      </c>
      <c r="AC1068" s="1" t="s">
        <v>1210</v>
      </c>
      <c r="AD1068" s="1" t="s">
        <v>98</v>
      </c>
      <c r="AE1068" s="1" t="s">
        <v>98</v>
      </c>
      <c r="AF1068" s="1" t="s">
        <v>19565</v>
      </c>
      <c r="AG1068" s="1" t="s">
        <v>19566</v>
      </c>
      <c r="AH1068" s="1" t="s">
        <v>388</v>
      </c>
      <c r="AI1068" s="1" t="s">
        <v>171</v>
      </c>
      <c r="AJ1068" s="1">
        <v>70</v>
      </c>
      <c r="AK1068" s="1"/>
      <c r="AL1068" s="1" t="s">
        <v>19567</v>
      </c>
      <c r="AM1068" s="1" t="s">
        <v>19568</v>
      </c>
      <c r="AN1068" s="1" t="s">
        <v>575</v>
      </c>
      <c r="AO1068" s="1" t="s">
        <v>438</v>
      </c>
      <c r="AP1068" s="1" t="s">
        <v>468</v>
      </c>
      <c r="AQ1068" s="1">
        <v>72.33</v>
      </c>
      <c r="AR1068" s="1"/>
      <c r="AS1068" s="1"/>
      <c r="AT1068" s="1"/>
      <c r="AU1068" s="1"/>
      <c r="AV1068" s="1"/>
      <c r="AW1068" s="1"/>
      <c r="AX1068" s="1"/>
      <c r="AY1068" s="1" t="s">
        <v>12715</v>
      </c>
      <c r="AZ1068" s="1" t="s">
        <v>19569</v>
      </c>
      <c r="BA1068" s="1" t="s">
        <v>578</v>
      </c>
      <c r="BB1068" s="1" t="s">
        <v>467</v>
      </c>
      <c r="BC1068" s="1" t="s">
        <v>871</v>
      </c>
      <c r="BD1068" s="1" t="s">
        <v>848</v>
      </c>
      <c r="BE1068" s="1">
        <v>77.5</v>
      </c>
      <c r="BF1068" s="1">
        <v>8.5</v>
      </c>
      <c r="BG1068" s="1"/>
      <c r="BH1068" s="1"/>
      <c r="BI1068" s="1"/>
      <c r="BJ1068" s="1"/>
      <c r="BK1068" s="1"/>
      <c r="BL1068" s="1"/>
      <c r="BM1068" s="1"/>
      <c r="BN1068" s="1"/>
      <c r="BO1068" s="1" t="s">
        <v>19570</v>
      </c>
      <c r="BP1068" s="1"/>
      <c r="BQ1068" s="1"/>
      <c r="BR1068" s="1" t="s">
        <v>19571</v>
      </c>
      <c r="BS1068" s="1">
        <v>68</v>
      </c>
      <c r="BT1068" s="1" t="s">
        <v>19572</v>
      </c>
      <c r="BU1068" s="1" t="str">
        <f>HYPERLINK("https://nconnect.nicmar.ac.in/storage/profile/6a8706b03350b.png","Download")</f>
        <v>0</v>
      </c>
      <c r="BV1068" s="3"/>
      <c r="BW1068" s="3"/>
    </row>
    <row r="1069" spans="1:75">
      <c r="A1069" s="1" t="s">
        <v>75</v>
      </c>
      <c r="B1069" s="1" t="s">
        <v>13976</v>
      </c>
      <c r="C1069" s="1" t="s">
        <v>19573</v>
      </c>
      <c r="D1069" s="1" t="s">
        <v>19574</v>
      </c>
      <c r="E1069" s="1"/>
      <c r="F1069" s="1" t="s">
        <v>16248</v>
      </c>
      <c r="G1069" s="1" t="s">
        <v>19575</v>
      </c>
      <c r="H1069" s="1" t="s">
        <v>19576</v>
      </c>
      <c r="I1069" s="1" t="s">
        <v>19577</v>
      </c>
      <c r="J1069" s="1">
        <v>9072003090</v>
      </c>
      <c r="K1069" s="1" t="s">
        <v>84</v>
      </c>
      <c r="L1069" s="1" t="s">
        <v>8908</v>
      </c>
      <c r="M1069" s="1" t="s">
        <v>86</v>
      </c>
      <c r="N1069" s="1" t="s">
        <v>19578</v>
      </c>
      <c r="O1069" s="1" t="s">
        <v>19579</v>
      </c>
      <c r="P1069" s="1" t="s">
        <v>356</v>
      </c>
      <c r="Q1069" s="1">
        <v>211632093448</v>
      </c>
      <c r="R1069" s="1" t="s">
        <v>16253</v>
      </c>
      <c r="S1069" s="1">
        <v>9605239269</v>
      </c>
      <c r="T1069" s="1" t="s">
        <v>19580</v>
      </c>
      <c r="U1069" s="1" t="s">
        <v>19581</v>
      </c>
      <c r="V1069" s="1">
        <v>9497643761</v>
      </c>
      <c r="W1069" s="1" t="s">
        <v>19582</v>
      </c>
      <c r="X1069" s="1" t="s">
        <v>19583</v>
      </c>
      <c r="Y1069" s="1" t="s">
        <v>19584</v>
      </c>
      <c r="Z1069" s="1" t="s">
        <v>130</v>
      </c>
      <c r="AA1069" s="1" t="s">
        <v>19585</v>
      </c>
      <c r="AB1069" s="1" t="s">
        <v>19584</v>
      </c>
      <c r="AC1069" s="1" t="s">
        <v>130</v>
      </c>
      <c r="AD1069" s="1" t="s">
        <v>98</v>
      </c>
      <c r="AE1069" s="1" t="s">
        <v>98</v>
      </c>
      <c r="AF1069" s="1" t="s">
        <v>19586</v>
      </c>
      <c r="AG1069" s="1" t="s">
        <v>17123</v>
      </c>
      <c r="AH1069" s="1" t="s">
        <v>167</v>
      </c>
      <c r="AI1069" s="1" t="s">
        <v>200</v>
      </c>
      <c r="AJ1069" s="1">
        <v>90</v>
      </c>
      <c r="AK1069" s="1"/>
      <c r="AL1069" s="1" t="s">
        <v>19587</v>
      </c>
      <c r="AM1069" s="1" t="s">
        <v>17125</v>
      </c>
      <c r="AN1069" s="1" t="s">
        <v>575</v>
      </c>
      <c r="AO1069" s="1" t="s">
        <v>106</v>
      </c>
      <c r="AP1069" s="1" t="s">
        <v>414</v>
      </c>
      <c r="AQ1069" s="1">
        <v>97.5</v>
      </c>
      <c r="AR1069" s="1"/>
      <c r="AS1069" s="1"/>
      <c r="AT1069" s="1"/>
      <c r="AU1069" s="1"/>
      <c r="AV1069" s="1"/>
      <c r="AW1069" s="1"/>
      <c r="AX1069" s="1"/>
      <c r="AY1069" s="1" t="s">
        <v>15573</v>
      </c>
      <c r="AZ1069" s="1" t="s">
        <v>19588</v>
      </c>
      <c r="BA1069" s="1" t="s">
        <v>466</v>
      </c>
      <c r="BB1069" s="1" t="s">
        <v>467</v>
      </c>
      <c r="BC1069" s="1" t="s">
        <v>438</v>
      </c>
      <c r="BD1069" s="1" t="s">
        <v>234</v>
      </c>
      <c r="BE1069" s="1">
        <v>88.9</v>
      </c>
      <c r="BF1069" s="1">
        <v>8.89</v>
      </c>
      <c r="BG1069" s="1"/>
      <c r="BH1069" s="1"/>
      <c r="BI1069" s="1"/>
      <c r="BJ1069" s="1"/>
      <c r="BK1069" s="1"/>
      <c r="BL1069" s="1"/>
      <c r="BM1069" s="1"/>
      <c r="BN1069" s="1"/>
      <c r="BO1069" s="1" t="s">
        <v>3508</v>
      </c>
      <c r="BP1069" s="1" t="s">
        <v>19589</v>
      </c>
      <c r="BQ1069" s="1" t="s">
        <v>9111</v>
      </c>
      <c r="BR1069" s="1"/>
      <c r="BS1069" s="1"/>
      <c r="BT1069" s="1"/>
      <c r="BU1069" s="1" t="str">
        <f>HYPERLINK("https://nconnect.nicmar.ac.in/storage/profile/6a86158d236cf.png","Download")</f>
        <v>0</v>
      </c>
      <c r="BV1069" s="3"/>
      <c r="BW1069" s="3"/>
    </row>
    <row r="1070" spans="1:75">
      <c r="A1070" s="1" t="s">
        <v>75</v>
      </c>
      <c r="B1070" s="1" t="s">
        <v>13976</v>
      </c>
      <c r="C1070" s="1" t="s">
        <v>19590</v>
      </c>
      <c r="D1070" s="1" t="s">
        <v>17760</v>
      </c>
      <c r="E1070" s="1" t="s">
        <v>9660</v>
      </c>
      <c r="F1070" s="1" t="s">
        <v>14250</v>
      </c>
      <c r="G1070" s="1" t="s">
        <v>19591</v>
      </c>
      <c r="H1070" s="1" t="s">
        <v>19592</v>
      </c>
      <c r="I1070" s="1" t="s">
        <v>19593</v>
      </c>
      <c r="J1070" s="1">
        <v>8767247414</v>
      </c>
      <c r="K1070" s="1" t="s">
        <v>84</v>
      </c>
      <c r="L1070" s="1" t="s">
        <v>19594</v>
      </c>
      <c r="M1070" s="1" t="s">
        <v>86</v>
      </c>
      <c r="N1070" s="1" t="s">
        <v>19595</v>
      </c>
      <c r="O1070" s="1" t="s">
        <v>19596</v>
      </c>
      <c r="P1070" s="1" t="s">
        <v>122</v>
      </c>
      <c r="Q1070" s="1">
        <v>268944410820</v>
      </c>
      <c r="R1070" s="1" t="s">
        <v>5753</v>
      </c>
      <c r="S1070" s="1">
        <v>9890189758</v>
      </c>
      <c r="T1070" s="1" t="s">
        <v>127</v>
      </c>
      <c r="U1070" s="1" t="s">
        <v>19597</v>
      </c>
      <c r="V1070" s="1">
        <v>9890189758</v>
      </c>
      <c r="W1070" s="1" t="s">
        <v>94</v>
      </c>
      <c r="X1070" s="1" t="s">
        <v>19598</v>
      </c>
      <c r="Y1070" s="1" t="s">
        <v>96</v>
      </c>
      <c r="Z1070" s="1" t="s">
        <v>97</v>
      </c>
      <c r="AA1070" s="1" t="s">
        <v>19599</v>
      </c>
      <c r="AB1070" s="1" t="s">
        <v>96</v>
      </c>
      <c r="AC1070" s="1" t="s">
        <v>97</v>
      </c>
      <c r="AD1070" s="1" t="s">
        <v>98</v>
      </c>
      <c r="AE1070" s="1" t="s">
        <v>98</v>
      </c>
      <c r="AF1070" s="1" t="s">
        <v>19600</v>
      </c>
      <c r="AG1070" s="1" t="s">
        <v>16008</v>
      </c>
      <c r="AH1070" s="1" t="s">
        <v>438</v>
      </c>
      <c r="AI1070" s="1" t="s">
        <v>603</v>
      </c>
      <c r="AJ1070" s="1">
        <v>95.8</v>
      </c>
      <c r="AK1070" s="1"/>
      <c r="AL1070" s="1" t="s">
        <v>19601</v>
      </c>
      <c r="AM1070" s="1" t="s">
        <v>16008</v>
      </c>
      <c r="AN1070" s="1" t="s">
        <v>575</v>
      </c>
      <c r="AO1070" s="1" t="s">
        <v>1192</v>
      </c>
      <c r="AP1070" s="1" t="s">
        <v>1886</v>
      </c>
      <c r="AQ1070" s="1">
        <v>77.83</v>
      </c>
      <c r="AR1070" s="1"/>
      <c r="AS1070" s="1"/>
      <c r="AT1070" s="1"/>
      <c r="AU1070" s="1"/>
      <c r="AV1070" s="1"/>
      <c r="AW1070" s="1"/>
      <c r="AX1070" s="1"/>
      <c r="AY1070" s="1" t="s">
        <v>19602</v>
      </c>
      <c r="AZ1070" s="1" t="s">
        <v>19603</v>
      </c>
      <c r="BA1070" s="1" t="s">
        <v>466</v>
      </c>
      <c r="BB1070" s="1" t="s">
        <v>467</v>
      </c>
      <c r="BC1070" s="1" t="s">
        <v>1889</v>
      </c>
      <c r="BD1070" s="1" t="s">
        <v>14514</v>
      </c>
      <c r="BE1070" s="1">
        <v>63.33</v>
      </c>
      <c r="BF1070" s="1">
        <v>6.33</v>
      </c>
      <c r="BG1070" s="1"/>
      <c r="BH1070" s="1"/>
      <c r="BI1070" s="1"/>
      <c r="BJ1070" s="1"/>
      <c r="BK1070" s="1"/>
      <c r="BL1070" s="1"/>
      <c r="BM1070" s="1"/>
      <c r="BN1070" s="1"/>
      <c r="BO1070" s="1" t="s">
        <v>19604</v>
      </c>
      <c r="BP1070" s="1"/>
      <c r="BQ1070" s="1"/>
      <c r="BR1070" s="1" t="s">
        <v>19605</v>
      </c>
      <c r="BS1070" s="1">
        <v>4</v>
      </c>
      <c r="BT1070" s="1"/>
      <c r="BU1070" s="1" t="str">
        <f>HYPERLINK("https://nconnect.nicmar.ac.in/storage/profile/6a85f303e2b5f.png","Download")</f>
        <v>0</v>
      </c>
      <c r="BV1070" s="3"/>
      <c r="BW1070" s="3"/>
    </row>
    <row r="1071" spans="1:75">
      <c r="A1071" s="1" t="s">
        <v>75</v>
      </c>
      <c r="B1071" s="1" t="s">
        <v>13976</v>
      </c>
      <c r="C1071" s="1" t="s">
        <v>19606</v>
      </c>
      <c r="D1071" s="1" t="s">
        <v>7146</v>
      </c>
      <c r="E1071" s="1" t="s">
        <v>19607</v>
      </c>
      <c r="F1071" s="1" t="s">
        <v>19608</v>
      </c>
      <c r="G1071" s="1" t="s">
        <v>19609</v>
      </c>
      <c r="H1071" s="1" t="s">
        <v>19610</v>
      </c>
      <c r="I1071" s="1" t="s">
        <v>19611</v>
      </c>
      <c r="J1071" s="1">
        <v>7995976003</v>
      </c>
      <c r="K1071" s="1" t="s">
        <v>84</v>
      </c>
      <c r="L1071" s="1" t="s">
        <v>19612</v>
      </c>
      <c r="M1071" s="1" t="s">
        <v>86</v>
      </c>
      <c r="N1071" s="1" t="s">
        <v>18773</v>
      </c>
      <c r="O1071" s="1" t="s">
        <v>19613</v>
      </c>
      <c r="P1071" s="1" t="s">
        <v>356</v>
      </c>
      <c r="Q1071" s="1">
        <v>437210264956</v>
      </c>
      <c r="R1071" s="1" t="s">
        <v>19614</v>
      </c>
      <c r="S1071" s="1">
        <v>9502365252</v>
      </c>
      <c r="T1071" s="1" t="s">
        <v>839</v>
      </c>
      <c r="U1071" s="1" t="s">
        <v>19615</v>
      </c>
      <c r="V1071" s="1">
        <v>8978971859</v>
      </c>
      <c r="W1071" s="1" t="s">
        <v>94</v>
      </c>
      <c r="X1071" s="1" t="s">
        <v>19616</v>
      </c>
      <c r="Y1071" s="1" t="s">
        <v>725</v>
      </c>
      <c r="Z1071" s="1" t="s">
        <v>281</v>
      </c>
      <c r="AA1071" s="1" t="s">
        <v>19616</v>
      </c>
      <c r="AB1071" s="1" t="s">
        <v>725</v>
      </c>
      <c r="AC1071" s="1" t="s">
        <v>281</v>
      </c>
      <c r="AD1071" s="1" t="s">
        <v>98</v>
      </c>
      <c r="AE1071" s="1" t="s">
        <v>98</v>
      </c>
      <c r="AF1071" s="1" t="s">
        <v>19617</v>
      </c>
      <c r="AG1071" s="1" t="s">
        <v>19618</v>
      </c>
      <c r="AH1071" s="1" t="s">
        <v>490</v>
      </c>
      <c r="AI1071" s="1" t="s">
        <v>414</v>
      </c>
      <c r="AJ1071" s="1">
        <v>98</v>
      </c>
      <c r="AK1071" s="1">
        <v>9.8</v>
      </c>
      <c r="AL1071" s="1" t="s">
        <v>19619</v>
      </c>
      <c r="AM1071" s="1" t="s">
        <v>19620</v>
      </c>
      <c r="AN1071" s="1" t="s">
        <v>465</v>
      </c>
      <c r="AO1071" s="1" t="s">
        <v>438</v>
      </c>
      <c r="AP1071" s="1" t="s">
        <v>549</v>
      </c>
      <c r="AQ1071" s="1">
        <v>90</v>
      </c>
      <c r="AR1071" s="1"/>
      <c r="AS1071" s="1"/>
      <c r="AT1071" s="1"/>
      <c r="AU1071" s="1"/>
      <c r="AV1071" s="1"/>
      <c r="AW1071" s="1"/>
      <c r="AX1071" s="1"/>
      <c r="AY1071" s="1" t="s">
        <v>2344</v>
      </c>
      <c r="AZ1071" s="1" t="s">
        <v>19621</v>
      </c>
      <c r="BA1071" s="1" t="s">
        <v>466</v>
      </c>
      <c r="BB1071" s="1" t="s">
        <v>467</v>
      </c>
      <c r="BC1071" s="1" t="s">
        <v>110</v>
      </c>
      <c r="BD1071" s="1" t="s">
        <v>14514</v>
      </c>
      <c r="BE1071" s="1">
        <v>70</v>
      </c>
      <c r="BF1071" s="1">
        <v>8.1</v>
      </c>
      <c r="BG1071" s="1"/>
      <c r="BH1071" s="1"/>
      <c r="BI1071" s="1"/>
      <c r="BJ1071" s="1"/>
      <c r="BK1071" s="1"/>
      <c r="BL1071" s="1"/>
      <c r="BM1071" s="1"/>
      <c r="BN1071" s="1"/>
      <c r="BO1071" s="1" t="s">
        <v>19622</v>
      </c>
      <c r="BP1071" s="1"/>
      <c r="BQ1071" s="1"/>
      <c r="BR1071" s="1" t="s">
        <v>19623</v>
      </c>
      <c r="BS1071" s="1">
        <v>16</v>
      </c>
      <c r="BT1071" s="1" t="s">
        <v>19624</v>
      </c>
      <c r="BU1071" s="1" t="str">
        <f>HYPERLINK("https://nconnect.nicmar.ac.in/storage/profile/6a870ee38ce13.png","Download")</f>
        <v>0</v>
      </c>
      <c r="BV1071" s="3"/>
      <c r="BW1071" s="3"/>
    </row>
    <row r="1072" spans="1:75">
      <c r="A1072" s="1" t="s">
        <v>75</v>
      </c>
      <c r="B1072" s="1" t="s">
        <v>13976</v>
      </c>
      <c r="C1072" s="1" t="s">
        <v>19625</v>
      </c>
      <c r="D1072" s="1" t="s">
        <v>19626</v>
      </c>
      <c r="E1072" s="1" t="s">
        <v>19627</v>
      </c>
      <c r="F1072" s="1" t="s">
        <v>19628</v>
      </c>
      <c r="G1072" s="1" t="s">
        <v>19629</v>
      </c>
      <c r="H1072" s="1" t="s">
        <v>19630</v>
      </c>
      <c r="I1072" s="1" t="s">
        <v>19631</v>
      </c>
      <c r="J1072" s="1">
        <v>7058344911</v>
      </c>
      <c r="K1072" s="1" t="s">
        <v>153</v>
      </c>
      <c r="L1072" s="1" t="s">
        <v>9334</v>
      </c>
      <c r="M1072" s="1" t="s">
        <v>86</v>
      </c>
      <c r="N1072" s="1" t="s">
        <v>19632</v>
      </c>
      <c r="O1072" s="1" t="s">
        <v>19633</v>
      </c>
      <c r="P1072" s="1" t="s">
        <v>219</v>
      </c>
      <c r="Q1072" s="1">
        <v>349469798096</v>
      </c>
      <c r="R1072" s="1" t="s">
        <v>19634</v>
      </c>
      <c r="S1072" s="1">
        <v>9822422687</v>
      </c>
      <c r="T1072" s="1" t="s">
        <v>17767</v>
      </c>
      <c r="U1072" s="1" t="s">
        <v>19635</v>
      </c>
      <c r="V1072" s="1">
        <v>9420244046</v>
      </c>
      <c r="W1072" s="1" t="s">
        <v>10306</v>
      </c>
      <c r="X1072" s="1" t="s">
        <v>19636</v>
      </c>
      <c r="Y1072" s="1" t="s">
        <v>5181</v>
      </c>
      <c r="Z1072" s="1" t="s">
        <v>97</v>
      </c>
      <c r="AA1072" s="1" t="s">
        <v>19636</v>
      </c>
      <c r="AB1072" s="1" t="s">
        <v>5181</v>
      </c>
      <c r="AC1072" s="1" t="s">
        <v>97</v>
      </c>
      <c r="AD1072" s="1" t="s">
        <v>98</v>
      </c>
      <c r="AE1072" s="1" t="s">
        <v>98</v>
      </c>
      <c r="AF1072" s="1" t="s">
        <v>19637</v>
      </c>
      <c r="AG1072" s="1" t="s">
        <v>18372</v>
      </c>
      <c r="AH1072" s="1" t="s">
        <v>167</v>
      </c>
      <c r="AI1072" s="1" t="s">
        <v>200</v>
      </c>
      <c r="AJ1072" s="1">
        <v>88.2</v>
      </c>
      <c r="AK1072" s="1"/>
      <c r="AL1072" s="1" t="s">
        <v>19638</v>
      </c>
      <c r="AM1072" s="1" t="s">
        <v>18372</v>
      </c>
      <c r="AN1072" s="1" t="s">
        <v>465</v>
      </c>
      <c r="AO1072" s="1" t="s">
        <v>438</v>
      </c>
      <c r="AP1072" s="1" t="s">
        <v>365</v>
      </c>
      <c r="AQ1072" s="1">
        <v>74.46</v>
      </c>
      <c r="AR1072" s="1"/>
      <c r="AS1072" s="1"/>
      <c r="AT1072" s="1"/>
      <c r="AU1072" s="1"/>
      <c r="AV1072" s="1"/>
      <c r="AW1072" s="1"/>
      <c r="AX1072" s="1"/>
      <c r="AY1072" s="1" t="s">
        <v>16643</v>
      </c>
      <c r="AZ1072" s="1" t="s">
        <v>19639</v>
      </c>
      <c r="BA1072" s="1" t="s">
        <v>682</v>
      </c>
      <c r="BB1072" s="1" t="s">
        <v>1561</v>
      </c>
      <c r="BC1072" s="1" t="s">
        <v>468</v>
      </c>
      <c r="BD1072" s="1" t="s">
        <v>607</v>
      </c>
      <c r="BE1072" s="1">
        <v>60.25</v>
      </c>
      <c r="BF1072" s="1">
        <v>6.77</v>
      </c>
      <c r="BG1072" s="1"/>
      <c r="BH1072" s="1"/>
      <c r="BI1072" s="1"/>
      <c r="BJ1072" s="1"/>
      <c r="BK1072" s="1"/>
      <c r="BL1072" s="1"/>
      <c r="BM1072" s="1"/>
      <c r="BN1072" s="1"/>
      <c r="BO1072" s="1" t="s">
        <v>19640</v>
      </c>
      <c r="BP1072" s="1" t="s">
        <v>19641</v>
      </c>
      <c r="BQ1072" s="1" t="s">
        <v>471</v>
      </c>
      <c r="BR1072" s="1" t="s">
        <v>19642</v>
      </c>
      <c r="BS1072" s="1">
        <v>17</v>
      </c>
      <c r="BT1072" s="1"/>
      <c r="BU1072" s="1" t="str">
        <f>HYPERLINK("https://nconnect.nicmar.ac.in/storage/profile/6a87424f5a04d.png","Download")</f>
        <v>0</v>
      </c>
      <c r="BV1072" s="3"/>
      <c r="BW1072" s="3"/>
    </row>
    <row r="1073" spans="1:75">
      <c r="A1073" s="1" t="s">
        <v>75</v>
      </c>
      <c r="B1073" s="1" t="s">
        <v>13976</v>
      </c>
      <c r="C1073" s="1" t="s">
        <v>19643</v>
      </c>
      <c r="D1073" s="1" t="s">
        <v>15194</v>
      </c>
      <c r="E1073" s="1"/>
      <c r="F1073" s="1" t="s">
        <v>14908</v>
      </c>
      <c r="G1073" s="1" t="s">
        <v>4556</v>
      </c>
      <c r="H1073" s="1" t="s">
        <v>19644</v>
      </c>
      <c r="I1073" s="1" t="s">
        <v>19645</v>
      </c>
      <c r="J1073" s="1">
        <v>9534515166</v>
      </c>
      <c r="K1073" s="1" t="s">
        <v>84</v>
      </c>
      <c r="L1073" s="1" t="s">
        <v>19646</v>
      </c>
      <c r="M1073" s="1" t="s">
        <v>86</v>
      </c>
      <c r="N1073" s="1" t="s">
        <v>4857</v>
      </c>
      <c r="O1073" s="1" t="s">
        <v>19647</v>
      </c>
      <c r="P1073" s="1" t="s">
        <v>122</v>
      </c>
      <c r="Q1073" s="1">
        <v>872743966770</v>
      </c>
      <c r="R1073" s="1" t="s">
        <v>19648</v>
      </c>
      <c r="S1073" s="1">
        <v>9431266481</v>
      </c>
      <c r="T1073" s="1" t="s">
        <v>15926</v>
      </c>
      <c r="U1073" s="1" t="s">
        <v>19649</v>
      </c>
      <c r="V1073" s="1">
        <v>9431266481</v>
      </c>
      <c r="W1073" s="1" t="s">
        <v>14212</v>
      </c>
      <c r="X1073" s="1" t="s">
        <v>19650</v>
      </c>
      <c r="Y1073" s="1" t="s">
        <v>19651</v>
      </c>
      <c r="Z1073" s="1" t="s">
        <v>649</v>
      </c>
      <c r="AA1073" s="1" t="s">
        <v>19650</v>
      </c>
      <c r="AB1073" s="1" t="s">
        <v>19651</v>
      </c>
      <c r="AC1073" s="1" t="s">
        <v>649</v>
      </c>
      <c r="AD1073" s="1" t="s">
        <v>98</v>
      </c>
      <c r="AE1073" s="1" t="s">
        <v>98</v>
      </c>
      <c r="AF1073" s="1" t="s">
        <v>19652</v>
      </c>
      <c r="AG1073" s="1" t="s">
        <v>19653</v>
      </c>
      <c r="AH1073" s="1" t="s">
        <v>134</v>
      </c>
      <c r="AI1073" s="1" t="s">
        <v>1262</v>
      </c>
      <c r="AJ1073" s="1">
        <v>95</v>
      </c>
      <c r="AK1073" s="1">
        <v>10</v>
      </c>
      <c r="AL1073" s="1" t="s">
        <v>19654</v>
      </c>
      <c r="AM1073" s="1" t="s">
        <v>19653</v>
      </c>
      <c r="AN1073" s="1" t="s">
        <v>465</v>
      </c>
      <c r="AO1073" s="1" t="s">
        <v>1262</v>
      </c>
      <c r="AP1073" s="1" t="s">
        <v>627</v>
      </c>
      <c r="AQ1073" s="1">
        <v>66.6</v>
      </c>
      <c r="AR1073" s="1"/>
      <c r="AS1073" s="1"/>
      <c r="AT1073" s="1"/>
      <c r="AU1073" s="1"/>
      <c r="AV1073" s="1"/>
      <c r="AW1073" s="1"/>
      <c r="AX1073" s="1"/>
      <c r="AY1073" s="1" t="s">
        <v>19655</v>
      </c>
      <c r="AZ1073" s="1" t="s">
        <v>19656</v>
      </c>
      <c r="BA1073" s="1" t="s">
        <v>466</v>
      </c>
      <c r="BB1073" s="1" t="s">
        <v>467</v>
      </c>
      <c r="BC1073" s="1" t="s">
        <v>139</v>
      </c>
      <c r="BD1073" s="1" t="s">
        <v>1040</v>
      </c>
      <c r="BE1073" s="1">
        <v>75.6</v>
      </c>
      <c r="BF1073" s="1">
        <v>8.06</v>
      </c>
      <c r="BG1073" s="1"/>
      <c r="BH1073" s="1"/>
      <c r="BI1073" s="1"/>
      <c r="BJ1073" s="1"/>
      <c r="BK1073" s="1"/>
      <c r="BL1073" s="1"/>
      <c r="BM1073" s="1"/>
      <c r="BN1073" s="1"/>
      <c r="BO1073" s="1" t="s">
        <v>19657</v>
      </c>
      <c r="BP1073" s="1" t="s">
        <v>19658</v>
      </c>
      <c r="BQ1073" s="1" t="s">
        <v>345</v>
      </c>
      <c r="BR1073" s="1"/>
      <c r="BS1073" s="1"/>
      <c r="BT1073" s="1" t="s">
        <v>19659</v>
      </c>
      <c r="BU1073" s="1" t="str">
        <f>HYPERLINK("https://nconnect.nicmar.ac.in/storage/profile/6a86f02304dcb.png","Download")</f>
        <v>0</v>
      </c>
      <c r="BV1073" s="3"/>
      <c r="BW1073" s="3"/>
    </row>
    <row r="1074" spans="1:75">
      <c r="A1074" s="1" t="s">
        <v>75</v>
      </c>
      <c r="B1074" s="1" t="s">
        <v>13976</v>
      </c>
      <c r="C1074" s="1" t="s">
        <v>19660</v>
      </c>
      <c r="D1074" s="1" t="s">
        <v>19661</v>
      </c>
      <c r="E1074" s="1"/>
      <c r="F1074" s="1" t="s">
        <v>19129</v>
      </c>
      <c r="G1074" s="1" t="s">
        <v>19662</v>
      </c>
      <c r="H1074" s="1" t="s">
        <v>19663</v>
      </c>
      <c r="I1074" s="1" t="s">
        <v>19664</v>
      </c>
      <c r="J1074" s="1">
        <v>9571999416</v>
      </c>
      <c r="K1074" s="1" t="s">
        <v>153</v>
      </c>
      <c r="L1074" s="1" t="s">
        <v>19665</v>
      </c>
      <c r="M1074" s="1" t="s">
        <v>86</v>
      </c>
      <c r="N1074" s="1" t="s">
        <v>4278</v>
      </c>
      <c r="O1074" s="1" t="s">
        <v>19666</v>
      </c>
      <c r="P1074" s="1" t="s">
        <v>89</v>
      </c>
      <c r="Q1074" s="1">
        <v>801689011531</v>
      </c>
      <c r="R1074" s="1" t="s">
        <v>19667</v>
      </c>
      <c r="S1074" s="1">
        <v>9772799323</v>
      </c>
      <c r="T1074" s="1" t="s">
        <v>19668</v>
      </c>
      <c r="U1074" s="1" t="s">
        <v>19669</v>
      </c>
      <c r="V1074" s="1">
        <v>9983335986</v>
      </c>
      <c r="W1074" s="1" t="s">
        <v>19670</v>
      </c>
      <c r="X1074" s="1" t="s">
        <v>19671</v>
      </c>
      <c r="Y1074" s="1" t="s">
        <v>8184</v>
      </c>
      <c r="Z1074" s="1" t="s">
        <v>2153</v>
      </c>
      <c r="AA1074" s="1" t="s">
        <v>19671</v>
      </c>
      <c r="AB1074" s="1" t="s">
        <v>8184</v>
      </c>
      <c r="AC1074" s="1" t="s">
        <v>2153</v>
      </c>
      <c r="AD1074" s="1" t="s">
        <v>98</v>
      </c>
      <c r="AE1074" s="1" t="s">
        <v>98</v>
      </c>
      <c r="AF1074" s="1" t="s">
        <v>19672</v>
      </c>
      <c r="AG1074" s="1" t="s">
        <v>19673</v>
      </c>
      <c r="AH1074" s="1" t="s">
        <v>704</v>
      </c>
      <c r="AI1074" s="1" t="s">
        <v>490</v>
      </c>
      <c r="AJ1074" s="1">
        <v>82.5</v>
      </c>
      <c r="AK1074" s="1"/>
      <c r="AL1074" s="1" t="s">
        <v>19672</v>
      </c>
      <c r="AM1074" s="1" t="s">
        <v>19673</v>
      </c>
      <c r="AN1074" s="1" t="s">
        <v>465</v>
      </c>
      <c r="AO1074" s="1" t="s">
        <v>547</v>
      </c>
      <c r="AP1074" s="1" t="s">
        <v>977</v>
      </c>
      <c r="AQ1074" s="1">
        <v>74.8</v>
      </c>
      <c r="AR1074" s="1"/>
      <c r="AS1074" s="1"/>
      <c r="AT1074" s="1"/>
      <c r="AU1074" s="1"/>
      <c r="AV1074" s="1"/>
      <c r="AW1074" s="1"/>
      <c r="AX1074" s="1"/>
      <c r="AY1074" s="1" t="s">
        <v>19674</v>
      </c>
      <c r="AZ1074" s="1" t="s">
        <v>19675</v>
      </c>
      <c r="BA1074" s="1" t="s">
        <v>682</v>
      </c>
      <c r="BB1074" s="1" t="s">
        <v>1561</v>
      </c>
      <c r="BC1074" s="1" t="s">
        <v>233</v>
      </c>
      <c r="BD1074" s="1" t="s">
        <v>848</v>
      </c>
      <c r="BE1074" s="1">
        <v>65.6</v>
      </c>
      <c r="BF1074" s="1">
        <v>7.31</v>
      </c>
      <c r="BG1074" s="1"/>
      <c r="BH1074" s="1"/>
      <c r="BI1074" s="1"/>
      <c r="BJ1074" s="1"/>
      <c r="BK1074" s="1"/>
      <c r="BL1074" s="1"/>
      <c r="BM1074" s="1"/>
      <c r="BN1074" s="1"/>
      <c r="BO1074" s="1" t="s">
        <v>19676</v>
      </c>
      <c r="BP1074" s="1"/>
      <c r="BQ1074" s="1"/>
      <c r="BR1074" s="1" t="s">
        <v>19677</v>
      </c>
      <c r="BS1074" s="1">
        <v>19</v>
      </c>
      <c r="BT1074" s="1"/>
      <c r="BU1074" s="1" t="str">
        <f>HYPERLINK("https://nconnect.nicmar.ac.in/storage/profile/6a860d491b42f.png","Download")</f>
        <v>0</v>
      </c>
      <c r="BV1074" s="3"/>
      <c r="BW1074" s="3"/>
    </row>
    <row r="1075" spans="1:75">
      <c r="A1075" s="1" t="s">
        <v>75</v>
      </c>
      <c r="B1075" s="1" t="s">
        <v>13976</v>
      </c>
      <c r="C1075" s="1" t="s">
        <v>19678</v>
      </c>
      <c r="D1075" s="1" t="s">
        <v>19679</v>
      </c>
      <c r="E1075" s="1" t="s">
        <v>19680</v>
      </c>
      <c r="F1075" s="1" t="s">
        <v>19681</v>
      </c>
      <c r="G1075" s="1" t="s">
        <v>19682</v>
      </c>
      <c r="H1075" s="1" t="s">
        <v>19683</v>
      </c>
      <c r="I1075" s="1" t="s">
        <v>19684</v>
      </c>
      <c r="J1075" s="1">
        <v>9370159931</v>
      </c>
      <c r="K1075" s="1" t="s">
        <v>153</v>
      </c>
      <c r="L1075" s="1" t="s">
        <v>19685</v>
      </c>
      <c r="M1075" s="1" t="s">
        <v>86</v>
      </c>
      <c r="N1075" s="1" t="s">
        <v>19686</v>
      </c>
      <c r="O1075" s="1" t="s">
        <v>19687</v>
      </c>
      <c r="P1075" s="1" t="s">
        <v>122</v>
      </c>
      <c r="Q1075" s="1">
        <v>495571028738</v>
      </c>
      <c r="R1075" s="1" t="s">
        <v>19680</v>
      </c>
      <c r="S1075" s="1">
        <v>9923546054</v>
      </c>
      <c r="T1075" s="1" t="s">
        <v>17450</v>
      </c>
      <c r="U1075" s="1" t="s">
        <v>15167</v>
      </c>
      <c r="V1075" s="1">
        <v>9158868555</v>
      </c>
      <c r="W1075" s="1" t="s">
        <v>17450</v>
      </c>
      <c r="X1075" s="1" t="s">
        <v>19688</v>
      </c>
      <c r="Y1075" s="1" t="s">
        <v>224</v>
      </c>
      <c r="Z1075" s="1" t="s">
        <v>97</v>
      </c>
      <c r="AA1075" s="1" t="s">
        <v>19689</v>
      </c>
      <c r="AB1075" s="1" t="s">
        <v>196</v>
      </c>
      <c r="AC1075" s="1" t="s">
        <v>97</v>
      </c>
      <c r="AD1075" s="1" t="s">
        <v>98</v>
      </c>
      <c r="AE1075" s="1" t="s">
        <v>98</v>
      </c>
      <c r="AF1075" s="1" t="s">
        <v>19690</v>
      </c>
      <c r="AG1075" s="1" t="s">
        <v>19691</v>
      </c>
      <c r="AH1075" s="1" t="s">
        <v>106</v>
      </c>
      <c r="AI1075" s="1" t="s">
        <v>313</v>
      </c>
      <c r="AJ1075" s="1">
        <v>90.8</v>
      </c>
      <c r="AK1075" s="1"/>
      <c r="AL1075" s="1"/>
      <c r="AM1075" s="1"/>
      <c r="AN1075" s="1"/>
      <c r="AO1075" s="1"/>
      <c r="AP1075" s="1"/>
      <c r="AQ1075" s="1"/>
      <c r="AR1075" s="1"/>
      <c r="AS1075" s="1" t="s">
        <v>14158</v>
      </c>
      <c r="AT1075" s="1" t="s">
        <v>19692</v>
      </c>
      <c r="AU1075" s="1" t="s">
        <v>206</v>
      </c>
      <c r="AV1075" s="1" t="s">
        <v>110</v>
      </c>
      <c r="AW1075" s="1">
        <v>85.0</v>
      </c>
      <c r="AX1075" s="1"/>
      <c r="AY1075" s="1" t="s">
        <v>19693</v>
      </c>
      <c r="AZ1075" s="1" t="s">
        <v>19694</v>
      </c>
      <c r="BA1075" s="1" t="s">
        <v>466</v>
      </c>
      <c r="BB1075" s="1" t="s">
        <v>467</v>
      </c>
      <c r="BC1075" s="1" t="s">
        <v>110</v>
      </c>
      <c r="BD1075" s="1" t="s">
        <v>5340</v>
      </c>
      <c r="BE1075" s="1">
        <v>82.0</v>
      </c>
      <c r="BF1075" s="1">
        <v>8.95</v>
      </c>
      <c r="BG1075" s="1"/>
      <c r="BH1075" s="1"/>
      <c r="BI1075" s="1"/>
      <c r="BJ1075" s="1"/>
      <c r="BK1075" s="1"/>
      <c r="BL1075" s="1"/>
      <c r="BM1075" s="1"/>
      <c r="BN1075" s="1"/>
      <c r="BO1075" s="1" t="s">
        <v>19695</v>
      </c>
      <c r="BP1075" s="1" t="s">
        <v>19696</v>
      </c>
      <c r="BQ1075" s="1" t="s">
        <v>2577</v>
      </c>
      <c r="BR1075" s="1" t="s">
        <v>19697</v>
      </c>
      <c r="BS1075" s="1">
        <v>12</v>
      </c>
      <c r="BT1075" s="1"/>
      <c r="BU1075" s="1" t="str">
        <f>HYPERLINK("https://nconnect.nicmar.ac.in/storage/profile/6a8cf88800577.png","Download")</f>
        <v>0</v>
      </c>
      <c r="BV1075" s="3"/>
      <c r="BW1075" s="3"/>
    </row>
    <row r="1076" spans="1:75">
      <c r="A1076" s="1" t="s">
        <v>75</v>
      </c>
      <c r="B1076" s="1" t="s">
        <v>13976</v>
      </c>
      <c r="C1076" s="1" t="s">
        <v>19698</v>
      </c>
      <c r="D1076" s="1" t="s">
        <v>19699</v>
      </c>
      <c r="E1076" s="1" t="s">
        <v>8790</v>
      </c>
      <c r="F1076" s="1" t="s">
        <v>8325</v>
      </c>
      <c r="G1076" s="1" t="s">
        <v>19700</v>
      </c>
      <c r="H1076" s="1" t="s">
        <v>19701</v>
      </c>
      <c r="I1076" s="1" t="s">
        <v>19701</v>
      </c>
      <c r="J1076" s="1">
        <v>9515644830</v>
      </c>
      <c r="K1076" s="1" t="s">
        <v>84</v>
      </c>
      <c r="L1076" s="1" t="s">
        <v>19702</v>
      </c>
      <c r="M1076" s="1" t="s">
        <v>86</v>
      </c>
      <c r="N1076" s="1" t="s">
        <v>8486</v>
      </c>
      <c r="O1076" s="1" t="s">
        <v>19703</v>
      </c>
      <c r="P1076" s="1" t="s">
        <v>122</v>
      </c>
      <c r="Q1076" s="1">
        <v>573659613653</v>
      </c>
      <c r="R1076" s="1" t="s">
        <v>19704</v>
      </c>
      <c r="S1076" s="1">
        <v>9490637654</v>
      </c>
      <c r="T1076" s="1" t="s">
        <v>19705</v>
      </c>
      <c r="U1076" s="1" t="s">
        <v>19706</v>
      </c>
      <c r="V1076" s="1">
        <v>9381243485</v>
      </c>
      <c r="W1076" s="1" t="s">
        <v>278</v>
      </c>
      <c r="X1076" s="1" t="s">
        <v>19707</v>
      </c>
      <c r="Y1076" s="1" t="s">
        <v>1436</v>
      </c>
      <c r="Z1076" s="1" t="s">
        <v>281</v>
      </c>
      <c r="AA1076" s="1" t="s">
        <v>19707</v>
      </c>
      <c r="AB1076" s="1" t="s">
        <v>1436</v>
      </c>
      <c r="AC1076" s="1" t="s">
        <v>281</v>
      </c>
      <c r="AD1076" s="1" t="s">
        <v>98</v>
      </c>
      <c r="AE1076" s="1" t="s">
        <v>98</v>
      </c>
      <c r="AF1076" s="1" t="s">
        <v>19708</v>
      </c>
      <c r="AG1076" s="1" t="s">
        <v>10442</v>
      </c>
      <c r="AH1076" s="1" t="s">
        <v>170</v>
      </c>
      <c r="AI1076" s="1" t="s">
        <v>286</v>
      </c>
      <c r="AJ1076" s="1">
        <v>98.0</v>
      </c>
      <c r="AK1076" s="1">
        <v>9.8</v>
      </c>
      <c r="AL1076" s="1" t="s">
        <v>1843</v>
      </c>
      <c r="AM1076" s="1" t="s">
        <v>19709</v>
      </c>
      <c r="AN1076" s="1" t="s">
        <v>465</v>
      </c>
      <c r="AO1076" s="1" t="s">
        <v>106</v>
      </c>
      <c r="AP1076" s="1" t="s">
        <v>603</v>
      </c>
      <c r="AQ1076" s="1">
        <v>93.0</v>
      </c>
      <c r="AR1076" s="1">
        <v>9.4</v>
      </c>
      <c r="AS1076" s="1"/>
      <c r="AT1076" s="1"/>
      <c r="AU1076" s="1"/>
      <c r="AV1076" s="1"/>
      <c r="AW1076" s="1"/>
      <c r="AX1076" s="1"/>
      <c r="AY1076" s="1" t="s">
        <v>11536</v>
      </c>
      <c r="AZ1076" s="1" t="s">
        <v>19710</v>
      </c>
      <c r="BA1076" s="1" t="s">
        <v>466</v>
      </c>
      <c r="BB1076" s="1" t="s">
        <v>467</v>
      </c>
      <c r="BC1076" s="1" t="s">
        <v>1647</v>
      </c>
      <c r="BD1076" s="1" t="s">
        <v>418</v>
      </c>
      <c r="BE1076" s="1">
        <v>94.1</v>
      </c>
      <c r="BF1076" s="1">
        <v>9.41</v>
      </c>
      <c r="BG1076" s="1"/>
      <c r="BH1076" s="1"/>
      <c r="BI1076" s="1"/>
      <c r="BJ1076" s="1"/>
      <c r="BK1076" s="1"/>
      <c r="BL1076" s="1"/>
      <c r="BM1076" s="1"/>
      <c r="BN1076" s="1"/>
      <c r="BO1076" s="1" t="s">
        <v>19711</v>
      </c>
      <c r="BP1076" s="1"/>
      <c r="BQ1076" s="1"/>
      <c r="BR1076" s="1" t="s">
        <v>19712</v>
      </c>
      <c r="BS1076" s="1">
        <v>2</v>
      </c>
      <c r="BT1076" s="1" t="s">
        <v>19713</v>
      </c>
      <c r="BU1076" s="1" t="str">
        <f>HYPERLINK("https://nconnect.nicmar.ac.in/storage/profile/6a870ac3108a6.png","Download")</f>
        <v>0</v>
      </c>
      <c r="BV1076" s="3"/>
      <c r="BW1076" s="3"/>
    </row>
    <row r="1077" spans="1:75">
      <c r="A1077" s="1" t="s">
        <v>75</v>
      </c>
      <c r="B1077" s="1" t="s">
        <v>13976</v>
      </c>
      <c r="C1077" s="1" t="s">
        <v>19714</v>
      </c>
      <c r="D1077" s="1" t="s">
        <v>19715</v>
      </c>
      <c r="E1077" s="1" t="s">
        <v>19716</v>
      </c>
      <c r="F1077" s="1" t="s">
        <v>9660</v>
      </c>
      <c r="G1077" s="1" t="s">
        <v>19717</v>
      </c>
      <c r="H1077" s="1" t="s">
        <v>19718</v>
      </c>
      <c r="I1077" s="1" t="s">
        <v>19718</v>
      </c>
      <c r="J1077" s="1">
        <v>8828521501</v>
      </c>
      <c r="K1077" s="1" t="s">
        <v>153</v>
      </c>
      <c r="L1077" s="1" t="s">
        <v>19719</v>
      </c>
      <c r="M1077" s="1" t="s">
        <v>86</v>
      </c>
      <c r="N1077" s="1" t="s">
        <v>19720</v>
      </c>
      <c r="O1077" s="1" t="s">
        <v>19721</v>
      </c>
      <c r="P1077" s="1" t="s">
        <v>89</v>
      </c>
      <c r="Q1077" s="1">
        <v>611799906066</v>
      </c>
      <c r="R1077" s="1" t="s">
        <v>9660</v>
      </c>
      <c r="S1077" s="1">
        <v>9867629847</v>
      </c>
      <c r="T1077" s="1" t="s">
        <v>19722</v>
      </c>
      <c r="U1077" s="1" t="s">
        <v>19723</v>
      </c>
      <c r="V1077" s="1">
        <v>9930192920</v>
      </c>
      <c r="W1077" s="1" t="s">
        <v>14234</v>
      </c>
      <c r="X1077" s="1" t="s">
        <v>19724</v>
      </c>
      <c r="Y1077" s="1" t="s">
        <v>1882</v>
      </c>
      <c r="Z1077" s="1" t="s">
        <v>97</v>
      </c>
      <c r="AA1077" s="1" t="s">
        <v>19724</v>
      </c>
      <c r="AB1077" s="1" t="s">
        <v>1882</v>
      </c>
      <c r="AC1077" s="1" t="s">
        <v>97</v>
      </c>
      <c r="AD1077" s="1" t="s">
        <v>98</v>
      </c>
      <c r="AE1077" s="1" t="s">
        <v>98</v>
      </c>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t="s">
        <v>9653</v>
      </c>
      <c r="BV1077" s="3"/>
      <c r="BW1077" s="3"/>
    </row>
    <row r="1078" spans="1:75">
      <c r="A1078" s="1" t="s">
        <v>75</v>
      </c>
      <c r="B1078" s="1" t="s">
        <v>13976</v>
      </c>
      <c r="C1078" s="1" t="s">
        <v>19725</v>
      </c>
      <c r="D1078" s="1" t="s">
        <v>19726</v>
      </c>
      <c r="E1078" s="1" t="s">
        <v>8379</v>
      </c>
      <c r="F1078" s="1" t="s">
        <v>13206</v>
      </c>
      <c r="G1078" s="1" t="s">
        <v>19727</v>
      </c>
      <c r="H1078" s="1" t="s">
        <v>19728</v>
      </c>
      <c r="I1078" s="1" t="s">
        <v>19729</v>
      </c>
      <c r="J1078" s="1">
        <v>8459388774</v>
      </c>
      <c r="K1078" s="1" t="s">
        <v>84</v>
      </c>
      <c r="L1078" s="1" t="s">
        <v>19730</v>
      </c>
      <c r="M1078" s="1" t="s">
        <v>155</v>
      </c>
      <c r="N1078" s="1" t="s">
        <v>903</v>
      </c>
      <c r="O1078" s="1" t="s">
        <v>19731</v>
      </c>
      <c r="P1078" s="1" t="s">
        <v>122</v>
      </c>
      <c r="Q1078" s="1">
        <v>489798212324</v>
      </c>
      <c r="R1078" s="1" t="s">
        <v>19732</v>
      </c>
      <c r="S1078" s="1">
        <v>7741016829</v>
      </c>
      <c r="T1078" s="1" t="s">
        <v>127</v>
      </c>
      <c r="U1078" s="1" t="s">
        <v>19733</v>
      </c>
      <c r="V1078" s="1">
        <v>7083136463</v>
      </c>
      <c r="W1078" s="1" t="s">
        <v>161</v>
      </c>
      <c r="X1078" s="1" t="s">
        <v>19734</v>
      </c>
      <c r="Y1078" s="1" t="s">
        <v>224</v>
      </c>
      <c r="Z1078" s="1" t="s">
        <v>97</v>
      </c>
      <c r="AA1078" s="1" t="s">
        <v>19734</v>
      </c>
      <c r="AB1078" s="1" t="s">
        <v>224</v>
      </c>
      <c r="AC1078" s="1" t="s">
        <v>97</v>
      </c>
      <c r="AD1078" s="1" t="s">
        <v>98</v>
      </c>
      <c r="AE1078" s="1" t="s">
        <v>98</v>
      </c>
      <c r="AF1078" s="1" t="s">
        <v>19735</v>
      </c>
      <c r="AG1078" s="1" t="s">
        <v>19736</v>
      </c>
      <c r="AH1078" s="1" t="s">
        <v>136</v>
      </c>
      <c r="AI1078" s="1" t="s">
        <v>627</v>
      </c>
      <c r="AJ1078" s="1">
        <v>80.77</v>
      </c>
      <c r="AK1078" s="1">
        <v>8.8</v>
      </c>
      <c r="AL1078" s="1" t="s">
        <v>19737</v>
      </c>
      <c r="AM1078" s="1" t="s">
        <v>19738</v>
      </c>
      <c r="AN1078" s="1" t="s">
        <v>465</v>
      </c>
      <c r="AO1078" s="1" t="s">
        <v>388</v>
      </c>
      <c r="AP1078" s="1" t="s">
        <v>438</v>
      </c>
      <c r="AQ1078" s="1">
        <v>70.15</v>
      </c>
      <c r="AR1078" s="1"/>
      <c r="AS1078" s="1"/>
      <c r="AT1078" s="1"/>
      <c r="AU1078" s="1"/>
      <c r="AV1078" s="1"/>
      <c r="AW1078" s="1"/>
      <c r="AX1078" s="1"/>
      <c r="AY1078" s="1" t="s">
        <v>366</v>
      </c>
      <c r="AZ1078" s="1" t="s">
        <v>19739</v>
      </c>
      <c r="BA1078" s="1" t="s">
        <v>578</v>
      </c>
      <c r="BB1078" s="1" t="s">
        <v>467</v>
      </c>
      <c r="BC1078" s="1" t="s">
        <v>206</v>
      </c>
      <c r="BD1078" s="1" t="s">
        <v>234</v>
      </c>
      <c r="BE1078" s="1">
        <v>70.2</v>
      </c>
      <c r="BF1078" s="1">
        <v>7.77</v>
      </c>
      <c r="BG1078" s="1"/>
      <c r="BH1078" s="1"/>
      <c r="BI1078" s="1"/>
      <c r="BJ1078" s="1"/>
      <c r="BK1078" s="1"/>
      <c r="BL1078" s="1"/>
      <c r="BM1078" s="1"/>
      <c r="BN1078" s="1"/>
      <c r="BO1078" s="1" t="s">
        <v>19740</v>
      </c>
      <c r="BP1078" s="1"/>
      <c r="BQ1078" s="1"/>
      <c r="BR1078" s="1"/>
      <c r="BS1078" s="1"/>
      <c r="BT1078" s="1"/>
      <c r="BU1078" s="1" t="str">
        <f>HYPERLINK("https://nconnect.nicmar.ac.in/storage/profile/6a86fad2c811f.png","Download")</f>
        <v>0</v>
      </c>
      <c r="BV1078" s="3"/>
      <c r="BW1078" s="3"/>
    </row>
    <row r="1079" spans="1:75">
      <c r="A1079" s="1" t="s">
        <v>75</v>
      </c>
      <c r="B1079" s="1" t="s">
        <v>13976</v>
      </c>
      <c r="C1079" s="1" t="s">
        <v>19741</v>
      </c>
      <c r="D1079" s="1" t="s">
        <v>19742</v>
      </c>
      <c r="E1079" s="1"/>
      <c r="F1079" s="1" t="s">
        <v>1853</v>
      </c>
      <c r="G1079" s="1" t="s">
        <v>19743</v>
      </c>
      <c r="H1079" s="1" t="s">
        <v>19744</v>
      </c>
      <c r="I1079" s="1" t="s">
        <v>19745</v>
      </c>
      <c r="J1079" s="1">
        <v>9901360137</v>
      </c>
      <c r="K1079" s="1" t="s">
        <v>153</v>
      </c>
      <c r="L1079" s="1" t="s">
        <v>19746</v>
      </c>
      <c r="M1079" s="1" t="s">
        <v>86</v>
      </c>
      <c r="N1079" s="1" t="s">
        <v>14464</v>
      </c>
      <c r="O1079" s="1" t="s">
        <v>19747</v>
      </c>
      <c r="P1079" s="1" t="s">
        <v>219</v>
      </c>
      <c r="Q1079" s="1">
        <v>700556954122</v>
      </c>
      <c r="R1079" s="1" t="s">
        <v>19748</v>
      </c>
      <c r="S1079" s="1">
        <v>9845412889</v>
      </c>
      <c r="T1079" s="1" t="s">
        <v>19749</v>
      </c>
      <c r="U1079" s="1" t="s">
        <v>19750</v>
      </c>
      <c r="V1079" s="1">
        <v>9900517022</v>
      </c>
      <c r="W1079" s="1" t="s">
        <v>19327</v>
      </c>
      <c r="X1079" s="1" t="s">
        <v>19751</v>
      </c>
      <c r="Y1079" s="1" t="s">
        <v>3132</v>
      </c>
      <c r="Z1079" s="1" t="s">
        <v>1210</v>
      </c>
      <c r="AA1079" s="1" t="s">
        <v>19751</v>
      </c>
      <c r="AB1079" s="1" t="s">
        <v>3132</v>
      </c>
      <c r="AC1079" s="1" t="s">
        <v>1210</v>
      </c>
      <c r="AD1079" s="1" t="s">
        <v>98</v>
      </c>
      <c r="AE1079" s="1" t="s">
        <v>98</v>
      </c>
      <c r="AF1079" s="1" t="s">
        <v>19752</v>
      </c>
      <c r="AG1079" s="1" t="s">
        <v>15969</v>
      </c>
      <c r="AH1079" s="1" t="s">
        <v>166</v>
      </c>
      <c r="AI1079" s="1" t="s">
        <v>200</v>
      </c>
      <c r="AJ1079" s="1">
        <v>83.6</v>
      </c>
      <c r="AK1079" s="1">
        <v>8.8</v>
      </c>
      <c r="AL1079" s="1" t="s">
        <v>19753</v>
      </c>
      <c r="AM1079" s="1" t="s">
        <v>19754</v>
      </c>
      <c r="AN1079" s="1" t="s">
        <v>465</v>
      </c>
      <c r="AO1079" s="1" t="s">
        <v>170</v>
      </c>
      <c r="AP1079" s="1" t="s">
        <v>414</v>
      </c>
      <c r="AQ1079" s="1">
        <v>77.2</v>
      </c>
      <c r="AR1079" s="1"/>
      <c r="AS1079" s="1"/>
      <c r="AT1079" s="1"/>
      <c r="AU1079" s="1"/>
      <c r="AV1079" s="1"/>
      <c r="AW1079" s="1"/>
      <c r="AX1079" s="1"/>
      <c r="AY1079" s="1" t="s">
        <v>19755</v>
      </c>
      <c r="AZ1079" s="1" t="s">
        <v>19756</v>
      </c>
      <c r="BA1079" s="1" t="s">
        <v>682</v>
      </c>
      <c r="BB1079" s="1" t="s">
        <v>1561</v>
      </c>
      <c r="BC1079" s="1" t="s">
        <v>206</v>
      </c>
      <c r="BD1079" s="1" t="s">
        <v>418</v>
      </c>
      <c r="BE1079" s="1">
        <v>90.1</v>
      </c>
      <c r="BF1079" s="1">
        <v>9.01</v>
      </c>
      <c r="BG1079" s="1"/>
      <c r="BH1079" s="1"/>
      <c r="BI1079" s="1"/>
      <c r="BJ1079" s="1"/>
      <c r="BK1079" s="1"/>
      <c r="BL1079" s="1"/>
      <c r="BM1079" s="1"/>
      <c r="BN1079" s="1"/>
      <c r="BO1079" s="1" t="s">
        <v>19757</v>
      </c>
      <c r="BP1079" s="1" t="s">
        <v>19758</v>
      </c>
      <c r="BQ1079" s="1" t="s">
        <v>1070</v>
      </c>
      <c r="BR1079" s="1" t="s">
        <v>19759</v>
      </c>
      <c r="BS1079" s="1">
        <v>18</v>
      </c>
      <c r="BT1079" s="1" t="s">
        <v>19760</v>
      </c>
      <c r="BU1079" s="1" t="str">
        <f>HYPERLINK("https://nconnect.nicmar.ac.in/storage/profile/6a86e10832455.png","Download")</f>
        <v>0</v>
      </c>
      <c r="BV1079" s="3"/>
      <c r="BW1079" s="3"/>
    </row>
    <row r="1080" spans="1:75">
      <c r="A1080" s="1" t="s">
        <v>75</v>
      </c>
      <c r="B1080" s="1" t="s">
        <v>13976</v>
      </c>
      <c r="C1080" s="1" t="s">
        <v>19761</v>
      </c>
      <c r="D1080" s="1" t="s">
        <v>18800</v>
      </c>
      <c r="E1080" s="1" t="s">
        <v>19762</v>
      </c>
      <c r="F1080" s="1" t="s">
        <v>19763</v>
      </c>
      <c r="G1080" s="1" t="s">
        <v>19764</v>
      </c>
      <c r="H1080" s="1" t="s">
        <v>19765</v>
      </c>
      <c r="I1080" s="1" t="s">
        <v>19766</v>
      </c>
      <c r="J1080" s="1">
        <v>7972716819</v>
      </c>
      <c r="K1080" s="1" t="s">
        <v>84</v>
      </c>
      <c r="L1080" s="1" t="s">
        <v>19767</v>
      </c>
      <c r="M1080" s="1" t="s">
        <v>86</v>
      </c>
      <c r="N1080" s="1" t="s">
        <v>8520</v>
      </c>
      <c r="O1080" s="1" t="s">
        <v>191</v>
      </c>
      <c r="P1080" s="1" t="s">
        <v>122</v>
      </c>
      <c r="Q1080" s="1">
        <v>263299528068</v>
      </c>
      <c r="R1080" s="1" t="s">
        <v>19768</v>
      </c>
      <c r="S1080" s="1">
        <v>9923670625</v>
      </c>
      <c r="T1080" s="1" t="s">
        <v>15073</v>
      </c>
      <c r="U1080" s="1" t="s">
        <v>19769</v>
      </c>
      <c r="V1080" s="1">
        <v>7276440625</v>
      </c>
      <c r="W1080" s="1" t="s">
        <v>14234</v>
      </c>
      <c r="X1080" s="1" t="s">
        <v>19770</v>
      </c>
      <c r="Y1080" s="1" t="s">
        <v>1189</v>
      </c>
      <c r="Z1080" s="1" t="s">
        <v>97</v>
      </c>
      <c r="AA1080" s="1" t="s">
        <v>19770</v>
      </c>
      <c r="AB1080" s="1" t="s">
        <v>1189</v>
      </c>
      <c r="AC1080" s="1" t="s">
        <v>97</v>
      </c>
      <c r="AD1080" s="1" t="s">
        <v>98</v>
      </c>
      <c r="AE1080" s="1" t="s">
        <v>98</v>
      </c>
      <c r="AF1080" s="1" t="s">
        <v>19771</v>
      </c>
      <c r="AG1080" s="1" t="s">
        <v>19772</v>
      </c>
      <c r="AH1080" s="1" t="s">
        <v>167</v>
      </c>
      <c r="AI1080" s="1" t="s">
        <v>200</v>
      </c>
      <c r="AJ1080" s="1">
        <v>70</v>
      </c>
      <c r="AK1080" s="1"/>
      <c r="AL1080" s="1" t="s">
        <v>19773</v>
      </c>
      <c r="AM1080" s="1" t="s">
        <v>19774</v>
      </c>
      <c r="AN1080" s="1" t="s">
        <v>465</v>
      </c>
      <c r="AO1080" s="1" t="s">
        <v>106</v>
      </c>
      <c r="AP1080" s="1" t="s">
        <v>203</v>
      </c>
      <c r="AQ1080" s="1">
        <v>53.85</v>
      </c>
      <c r="AR1080" s="1"/>
      <c r="AS1080" s="1" t="s">
        <v>14158</v>
      </c>
      <c r="AT1080" s="1" t="s">
        <v>19775</v>
      </c>
      <c r="AU1080" s="1" t="s">
        <v>315</v>
      </c>
      <c r="AV1080" s="1" t="s">
        <v>441</v>
      </c>
      <c r="AW1080" s="1">
        <v>93.84</v>
      </c>
      <c r="AX1080" s="1"/>
      <c r="AY1080" s="1" t="s">
        <v>14380</v>
      </c>
      <c r="AZ1080" s="1" t="s">
        <v>19776</v>
      </c>
      <c r="BA1080" s="1" t="s">
        <v>578</v>
      </c>
      <c r="BB1080" s="1" t="s">
        <v>467</v>
      </c>
      <c r="BC1080" s="1" t="s">
        <v>552</v>
      </c>
      <c r="BD1080" s="1" t="s">
        <v>418</v>
      </c>
      <c r="BE1080" s="1">
        <v>81.46</v>
      </c>
      <c r="BF1080" s="1">
        <v>9.24</v>
      </c>
      <c r="BG1080" s="1"/>
      <c r="BH1080" s="1"/>
      <c r="BI1080" s="1"/>
      <c r="BJ1080" s="1"/>
      <c r="BK1080" s="1"/>
      <c r="BL1080" s="1"/>
      <c r="BM1080" s="1"/>
      <c r="BN1080" s="1"/>
      <c r="BO1080" s="1" t="s">
        <v>16194</v>
      </c>
      <c r="BP1080" s="1" t="s">
        <v>19777</v>
      </c>
      <c r="BQ1080" s="1" t="s">
        <v>1357</v>
      </c>
      <c r="BR1080" s="1"/>
      <c r="BS1080" s="1"/>
      <c r="BT1080" s="1"/>
      <c r="BU1080" s="1" t="str">
        <f>HYPERLINK("https://nconnect.nicmar.ac.in/storage/profile/6a8d7248c3cf6.png","Download")</f>
        <v>0</v>
      </c>
      <c r="BV1080" s="3"/>
      <c r="BW1080" s="3"/>
    </row>
    <row r="1081" spans="1:75">
      <c r="A1081" s="1" t="s">
        <v>75</v>
      </c>
      <c r="B1081" s="1" t="s">
        <v>13976</v>
      </c>
      <c r="C1081" s="1" t="s">
        <v>19778</v>
      </c>
      <c r="D1081" s="1" t="s">
        <v>19779</v>
      </c>
      <c r="E1081" s="1" t="s">
        <v>17186</v>
      </c>
      <c r="F1081" s="1" t="s">
        <v>14590</v>
      </c>
      <c r="G1081" s="1" t="s">
        <v>19780</v>
      </c>
      <c r="H1081" s="1" t="s">
        <v>19781</v>
      </c>
      <c r="I1081" s="1" t="s">
        <v>19782</v>
      </c>
      <c r="J1081" s="1">
        <v>9156404222</v>
      </c>
      <c r="K1081" s="1" t="s">
        <v>84</v>
      </c>
      <c r="L1081" s="1" t="s">
        <v>19783</v>
      </c>
      <c r="M1081" s="1" t="s">
        <v>86</v>
      </c>
      <c r="N1081" s="1" t="s">
        <v>6390</v>
      </c>
      <c r="O1081" s="1" t="s">
        <v>19784</v>
      </c>
      <c r="P1081" s="1" t="s">
        <v>89</v>
      </c>
      <c r="Q1081" s="1">
        <v>507306116778</v>
      </c>
      <c r="R1081" s="1" t="s">
        <v>17186</v>
      </c>
      <c r="S1081" s="1">
        <v>9665553249</v>
      </c>
      <c r="T1081" s="1" t="s">
        <v>17120</v>
      </c>
      <c r="U1081" s="1" t="s">
        <v>19785</v>
      </c>
      <c r="V1081" s="1">
        <v>9970536893</v>
      </c>
      <c r="W1081" s="1" t="s">
        <v>14154</v>
      </c>
      <c r="X1081" s="1" t="s">
        <v>19786</v>
      </c>
      <c r="Y1081" s="1" t="s">
        <v>309</v>
      </c>
      <c r="Z1081" s="1" t="s">
        <v>97</v>
      </c>
      <c r="AA1081" s="1" t="s">
        <v>19787</v>
      </c>
      <c r="AB1081" s="1" t="s">
        <v>309</v>
      </c>
      <c r="AC1081" s="1" t="s">
        <v>97</v>
      </c>
      <c r="AD1081" s="1" t="s">
        <v>98</v>
      </c>
      <c r="AE1081" s="1" t="s">
        <v>98</v>
      </c>
      <c r="AF1081" s="1" t="s">
        <v>19788</v>
      </c>
      <c r="AG1081" s="1" t="s">
        <v>19789</v>
      </c>
      <c r="AH1081" s="1" t="s">
        <v>170</v>
      </c>
      <c r="AI1081" s="1" t="s">
        <v>286</v>
      </c>
      <c r="AJ1081" s="1">
        <v>82.4</v>
      </c>
      <c r="AK1081" s="1"/>
      <c r="AL1081" s="1"/>
      <c r="AM1081" s="1"/>
      <c r="AN1081" s="1"/>
      <c r="AO1081" s="1"/>
      <c r="AP1081" s="1"/>
      <c r="AQ1081" s="1"/>
      <c r="AR1081" s="1"/>
      <c r="AS1081" s="1" t="s">
        <v>14158</v>
      </c>
      <c r="AT1081" s="1" t="s">
        <v>16030</v>
      </c>
      <c r="AU1081" s="1" t="s">
        <v>171</v>
      </c>
      <c r="AV1081" s="1" t="s">
        <v>441</v>
      </c>
      <c r="AW1081" s="1">
        <v>87.21</v>
      </c>
      <c r="AX1081" s="1"/>
      <c r="AY1081" s="1" t="s">
        <v>14160</v>
      </c>
      <c r="AZ1081" s="1" t="s">
        <v>19790</v>
      </c>
      <c r="BA1081" s="1" t="s">
        <v>578</v>
      </c>
      <c r="BB1081" s="1" t="s">
        <v>467</v>
      </c>
      <c r="BC1081" s="1" t="s">
        <v>4722</v>
      </c>
      <c r="BD1081" s="1" t="s">
        <v>418</v>
      </c>
      <c r="BE1081" s="1">
        <v>62.4</v>
      </c>
      <c r="BF1081" s="1">
        <v>6.99</v>
      </c>
      <c r="BG1081" s="1"/>
      <c r="BH1081" s="1"/>
      <c r="BI1081" s="1"/>
      <c r="BJ1081" s="1"/>
      <c r="BK1081" s="1"/>
      <c r="BL1081" s="1"/>
      <c r="BM1081" s="1"/>
      <c r="BN1081" s="1"/>
      <c r="BO1081" s="1" t="s">
        <v>19791</v>
      </c>
      <c r="BP1081" s="1"/>
      <c r="BQ1081" s="1"/>
      <c r="BR1081" s="1" t="s">
        <v>19792</v>
      </c>
      <c r="BS1081" s="1">
        <v>26</v>
      </c>
      <c r="BT1081" s="1"/>
      <c r="BU1081" s="1" t="str">
        <f>HYPERLINK("https://nconnect.nicmar.ac.in/storage/profile/6a87053427187.png","Download")</f>
        <v>0</v>
      </c>
      <c r="BV1081" s="3"/>
      <c r="BW1081" s="3"/>
    </row>
    <row r="1082" spans="1:75">
      <c r="A1082" s="1" t="s">
        <v>75</v>
      </c>
      <c r="B1082" s="1" t="s">
        <v>13976</v>
      </c>
      <c r="C1082" s="1" t="s">
        <v>19793</v>
      </c>
      <c r="D1082" s="1" t="s">
        <v>19794</v>
      </c>
      <c r="E1082" s="1" t="s">
        <v>19795</v>
      </c>
      <c r="F1082" s="1" t="s">
        <v>19796</v>
      </c>
      <c r="G1082" s="1" t="s">
        <v>19797</v>
      </c>
      <c r="H1082" s="1" t="s">
        <v>19798</v>
      </c>
      <c r="I1082" s="1" t="s">
        <v>19799</v>
      </c>
      <c r="J1082" s="1">
        <v>8830937395</v>
      </c>
      <c r="K1082" s="1" t="s">
        <v>84</v>
      </c>
      <c r="L1082" s="1" t="s">
        <v>19800</v>
      </c>
      <c r="M1082" s="1" t="s">
        <v>86</v>
      </c>
      <c r="N1082" s="1" t="s">
        <v>5472</v>
      </c>
      <c r="O1082" s="1" t="s">
        <v>19801</v>
      </c>
      <c r="P1082" s="1" t="s">
        <v>122</v>
      </c>
      <c r="Q1082" s="1">
        <v>935867742151</v>
      </c>
      <c r="R1082" s="1" t="s">
        <v>19802</v>
      </c>
      <c r="S1082" s="1">
        <v>7378728939</v>
      </c>
      <c r="T1082" s="1" t="s">
        <v>3441</v>
      </c>
      <c r="U1082" s="1" t="s">
        <v>19803</v>
      </c>
      <c r="V1082" s="1">
        <v>9604127215</v>
      </c>
      <c r="W1082" s="1" t="s">
        <v>14212</v>
      </c>
      <c r="X1082" s="1" t="s">
        <v>19804</v>
      </c>
      <c r="Y1082" s="1" t="s">
        <v>309</v>
      </c>
      <c r="Z1082" s="1" t="s">
        <v>97</v>
      </c>
      <c r="AA1082" s="1" t="s">
        <v>19804</v>
      </c>
      <c r="AB1082" s="1" t="s">
        <v>309</v>
      </c>
      <c r="AC1082" s="1" t="s">
        <v>97</v>
      </c>
      <c r="AD1082" s="1" t="s">
        <v>98</v>
      </c>
      <c r="AE1082" s="1" t="s">
        <v>98</v>
      </c>
      <c r="AF1082" s="1" t="s">
        <v>19805</v>
      </c>
      <c r="AG1082" s="1" t="s">
        <v>18372</v>
      </c>
      <c r="AH1082" s="1" t="s">
        <v>11567</v>
      </c>
      <c r="AI1082" s="1" t="s">
        <v>1111</v>
      </c>
      <c r="AJ1082" s="1">
        <v>80.6</v>
      </c>
      <c r="AK1082" s="1"/>
      <c r="AL1082" s="1" t="s">
        <v>19806</v>
      </c>
      <c r="AM1082" s="1" t="s">
        <v>18372</v>
      </c>
      <c r="AN1082" s="1" t="s">
        <v>465</v>
      </c>
      <c r="AO1082" s="1" t="s">
        <v>518</v>
      </c>
      <c r="AP1082" s="1" t="s">
        <v>286</v>
      </c>
      <c r="AQ1082" s="1">
        <v>73.69</v>
      </c>
      <c r="AR1082" s="1"/>
      <c r="AS1082" s="1"/>
      <c r="AT1082" s="1"/>
      <c r="AU1082" s="1"/>
      <c r="AV1082" s="1"/>
      <c r="AW1082" s="1"/>
      <c r="AX1082" s="1"/>
      <c r="AY1082" s="1" t="s">
        <v>14160</v>
      </c>
      <c r="AZ1082" s="1" t="s">
        <v>19807</v>
      </c>
      <c r="BA1082" s="1" t="s">
        <v>578</v>
      </c>
      <c r="BB1082" s="1" t="s">
        <v>467</v>
      </c>
      <c r="BC1082" s="1" t="s">
        <v>1065</v>
      </c>
      <c r="BD1082" s="1" t="s">
        <v>179</v>
      </c>
      <c r="BE1082" s="1">
        <v>60.3</v>
      </c>
      <c r="BF1082" s="1">
        <v>6.78</v>
      </c>
      <c r="BG1082" s="1"/>
      <c r="BH1082" s="1"/>
      <c r="BI1082" s="1"/>
      <c r="BJ1082" s="1"/>
      <c r="BK1082" s="1"/>
      <c r="BL1082" s="1"/>
      <c r="BM1082" s="1"/>
      <c r="BN1082" s="1"/>
      <c r="BO1082" s="1" t="s">
        <v>19808</v>
      </c>
      <c r="BP1082" s="1"/>
      <c r="BQ1082" s="1"/>
      <c r="BR1082" s="1"/>
      <c r="BS1082" s="1"/>
      <c r="BT1082" s="1"/>
      <c r="BU1082" s="1" t="str">
        <f>HYPERLINK("https://nconnect.nicmar.ac.in/storage/profile/6a870e3f796b4.png","Download")</f>
        <v>0</v>
      </c>
      <c r="BV1082" s="3"/>
      <c r="BW1082" s="3"/>
    </row>
    <row r="1083" spans="1:75">
      <c r="A1083" s="1" t="s">
        <v>75</v>
      </c>
      <c r="B1083" s="1" t="s">
        <v>13976</v>
      </c>
      <c r="C1083" s="1" t="s">
        <v>19809</v>
      </c>
      <c r="D1083" s="1" t="s">
        <v>19810</v>
      </c>
      <c r="E1083" s="1"/>
      <c r="F1083" s="1" t="s">
        <v>19317</v>
      </c>
      <c r="G1083" s="1" t="s">
        <v>19811</v>
      </c>
      <c r="H1083" s="1" t="s">
        <v>19812</v>
      </c>
      <c r="I1083" s="1" t="s">
        <v>19813</v>
      </c>
      <c r="J1083" s="1">
        <v>8919678365</v>
      </c>
      <c r="K1083" s="1" t="s">
        <v>84</v>
      </c>
      <c r="L1083" s="1" t="s">
        <v>591</v>
      </c>
      <c r="M1083" s="1" t="s">
        <v>86</v>
      </c>
      <c r="N1083" s="1" t="s">
        <v>19814</v>
      </c>
      <c r="O1083" s="1" t="s">
        <v>19815</v>
      </c>
      <c r="P1083" s="1" t="s">
        <v>356</v>
      </c>
      <c r="Q1083" s="1">
        <v>906416152118</v>
      </c>
      <c r="R1083" s="1" t="s">
        <v>19816</v>
      </c>
      <c r="S1083" s="1">
        <v>9948218082</v>
      </c>
      <c r="T1083" s="1" t="s">
        <v>3439</v>
      </c>
      <c r="U1083" s="1" t="s">
        <v>19817</v>
      </c>
      <c r="V1083" s="1">
        <v>9492428082</v>
      </c>
      <c r="W1083" s="1" t="s">
        <v>9679</v>
      </c>
      <c r="X1083" s="1" t="s">
        <v>19818</v>
      </c>
      <c r="Y1083" s="1" t="s">
        <v>19819</v>
      </c>
      <c r="Z1083" s="1" t="s">
        <v>461</v>
      </c>
      <c r="AA1083" s="1" t="s">
        <v>19818</v>
      </c>
      <c r="AB1083" s="1" t="s">
        <v>19819</v>
      </c>
      <c r="AC1083" s="1" t="s">
        <v>461</v>
      </c>
      <c r="AD1083" s="1" t="s">
        <v>98</v>
      </c>
      <c r="AE1083" s="1" t="s">
        <v>98</v>
      </c>
      <c r="AF1083" s="1" t="s">
        <v>19820</v>
      </c>
      <c r="AG1083" s="1" t="s">
        <v>15419</v>
      </c>
      <c r="AH1083" s="1" t="s">
        <v>106</v>
      </c>
      <c r="AI1083" s="1" t="s">
        <v>414</v>
      </c>
      <c r="AJ1083" s="1">
        <v>93.1</v>
      </c>
      <c r="AK1083" s="1">
        <v>9.8</v>
      </c>
      <c r="AL1083" s="1"/>
      <c r="AM1083" s="1"/>
      <c r="AN1083" s="1"/>
      <c r="AO1083" s="1"/>
      <c r="AP1083" s="1"/>
      <c r="AQ1083" s="1"/>
      <c r="AR1083" s="1"/>
      <c r="AS1083" s="1" t="s">
        <v>467</v>
      </c>
      <c r="AT1083" s="1" t="s">
        <v>19821</v>
      </c>
      <c r="AU1083" s="1" t="s">
        <v>438</v>
      </c>
      <c r="AV1083" s="1" t="s">
        <v>632</v>
      </c>
      <c r="AW1083" s="1">
        <v>93.3</v>
      </c>
      <c r="AX1083" s="1">
        <v>9.83</v>
      </c>
      <c r="AY1083" s="1" t="s">
        <v>19822</v>
      </c>
      <c r="AZ1083" s="1" t="s">
        <v>19823</v>
      </c>
      <c r="BA1083" s="1" t="s">
        <v>466</v>
      </c>
      <c r="BB1083" s="1" t="s">
        <v>467</v>
      </c>
      <c r="BC1083" s="1" t="s">
        <v>1825</v>
      </c>
      <c r="BD1083" s="1" t="s">
        <v>553</v>
      </c>
      <c r="BE1083" s="1">
        <v>86.4</v>
      </c>
      <c r="BF1083" s="1">
        <v>9.14</v>
      </c>
      <c r="BG1083" s="1"/>
      <c r="BH1083" s="1"/>
      <c r="BI1083" s="1"/>
      <c r="BJ1083" s="1"/>
      <c r="BK1083" s="1"/>
      <c r="BL1083" s="1"/>
      <c r="BM1083" s="1"/>
      <c r="BN1083" s="1"/>
      <c r="BO1083" s="1" t="s">
        <v>19824</v>
      </c>
      <c r="BP1083" s="1" t="s">
        <v>19825</v>
      </c>
      <c r="BQ1083" s="1" t="s">
        <v>471</v>
      </c>
      <c r="BR1083" s="1" t="s">
        <v>19826</v>
      </c>
      <c r="BS1083" s="1">
        <v>31</v>
      </c>
      <c r="BT1083" s="1" t="s">
        <v>19827</v>
      </c>
      <c r="BU1083" s="1" t="str">
        <f>HYPERLINK("https://nconnect.nicmar.ac.in/storage/profile/6a85e341d7c63.png","Download")</f>
        <v>0</v>
      </c>
      <c r="BV1083" s="3"/>
      <c r="BW1083" s="3"/>
    </row>
    <row r="1084" spans="1:75">
      <c r="A1084" s="1" t="s">
        <v>75</v>
      </c>
      <c r="B1084" s="1" t="s">
        <v>13976</v>
      </c>
      <c r="C1084" s="1" t="s">
        <v>19828</v>
      </c>
      <c r="D1084" s="1" t="s">
        <v>19829</v>
      </c>
      <c r="E1084" s="1"/>
      <c r="F1084" s="1" t="s">
        <v>19830</v>
      </c>
      <c r="G1084" s="1" t="s">
        <v>19831</v>
      </c>
      <c r="H1084" s="1" t="s">
        <v>19832</v>
      </c>
      <c r="I1084" s="1" t="s">
        <v>19833</v>
      </c>
      <c r="J1084" s="1">
        <v>7045419308</v>
      </c>
      <c r="K1084" s="1" t="s">
        <v>153</v>
      </c>
      <c r="L1084" s="1" t="s">
        <v>19834</v>
      </c>
      <c r="M1084" s="1" t="s">
        <v>86</v>
      </c>
      <c r="N1084" s="1" t="s">
        <v>19835</v>
      </c>
      <c r="O1084" s="1" t="s">
        <v>19836</v>
      </c>
      <c r="P1084" s="1" t="s">
        <v>219</v>
      </c>
      <c r="Q1084" s="1">
        <v>282648475968</v>
      </c>
      <c r="R1084" s="1" t="s">
        <v>19837</v>
      </c>
      <c r="S1084" s="1">
        <v>9435723837</v>
      </c>
      <c r="T1084" s="1" t="s">
        <v>645</v>
      </c>
      <c r="U1084" s="1" t="s">
        <v>19838</v>
      </c>
      <c r="V1084" s="1">
        <v>9930223103</v>
      </c>
      <c r="W1084" s="1" t="s">
        <v>161</v>
      </c>
      <c r="X1084" s="1" t="s">
        <v>19839</v>
      </c>
      <c r="Y1084" s="1" t="s">
        <v>2259</v>
      </c>
      <c r="Z1084" s="1" t="s">
        <v>97</v>
      </c>
      <c r="AA1084" s="1" t="s">
        <v>19840</v>
      </c>
      <c r="AB1084" s="1" t="s">
        <v>2259</v>
      </c>
      <c r="AC1084" s="1" t="s">
        <v>97</v>
      </c>
      <c r="AD1084" s="1" t="s">
        <v>98</v>
      </c>
      <c r="AE1084" s="1" t="s">
        <v>98</v>
      </c>
      <c r="AF1084" s="1" t="s">
        <v>19841</v>
      </c>
      <c r="AG1084" s="1" t="s">
        <v>19842</v>
      </c>
      <c r="AH1084" s="1" t="s">
        <v>3421</v>
      </c>
      <c r="AI1084" s="1" t="s">
        <v>1262</v>
      </c>
      <c r="AJ1084" s="1">
        <v>95</v>
      </c>
      <c r="AK1084" s="1">
        <v>10</v>
      </c>
      <c r="AL1084" s="1" t="s">
        <v>19841</v>
      </c>
      <c r="AM1084" s="1" t="s">
        <v>19842</v>
      </c>
      <c r="AN1084" s="1" t="s">
        <v>575</v>
      </c>
      <c r="AO1084" s="1" t="s">
        <v>1110</v>
      </c>
      <c r="AP1084" s="1" t="s">
        <v>627</v>
      </c>
      <c r="AQ1084" s="1">
        <v>90</v>
      </c>
      <c r="AR1084" s="1"/>
      <c r="AS1084" s="1"/>
      <c r="AT1084" s="1"/>
      <c r="AU1084" s="1"/>
      <c r="AV1084" s="1"/>
      <c r="AW1084" s="1"/>
      <c r="AX1084" s="1"/>
      <c r="AY1084" s="1" t="s">
        <v>14059</v>
      </c>
      <c r="AZ1084" s="1" t="s">
        <v>19843</v>
      </c>
      <c r="BA1084" s="1" t="s">
        <v>682</v>
      </c>
      <c r="BB1084" s="1" t="s">
        <v>1561</v>
      </c>
      <c r="BC1084" s="1" t="s">
        <v>139</v>
      </c>
      <c r="BD1084" s="1" t="s">
        <v>845</v>
      </c>
      <c r="BE1084" s="1">
        <v>71.12</v>
      </c>
      <c r="BF1084" s="1">
        <v>7.99</v>
      </c>
      <c r="BG1084" s="1"/>
      <c r="BH1084" s="1"/>
      <c r="BI1084" s="1"/>
      <c r="BJ1084" s="1"/>
      <c r="BK1084" s="1"/>
      <c r="BL1084" s="1"/>
      <c r="BM1084" s="1"/>
      <c r="BN1084" s="1"/>
      <c r="BO1084" s="1" t="s">
        <v>19844</v>
      </c>
      <c r="BP1084" s="1" t="s">
        <v>19845</v>
      </c>
      <c r="BQ1084" s="1" t="s">
        <v>19846</v>
      </c>
      <c r="BR1084" s="1" t="s">
        <v>19847</v>
      </c>
      <c r="BS1084" s="1">
        <v>37</v>
      </c>
      <c r="BT1084" s="1" t="s">
        <v>19848</v>
      </c>
      <c r="BU1084" s="1" t="str">
        <f>HYPERLINK("https://nconnect.nicmar.ac.in/storage/profile/6a85f88ad883b.png","Download")</f>
        <v>0</v>
      </c>
      <c r="BV1084" s="3"/>
      <c r="BW1084" s="3"/>
    </row>
    <row r="1085" spans="1:75">
      <c r="A1085" s="1" t="s">
        <v>75</v>
      </c>
      <c r="B1085" s="1" t="s">
        <v>13976</v>
      </c>
      <c r="C1085" s="1" t="s">
        <v>19849</v>
      </c>
      <c r="D1085" s="1" t="s">
        <v>19850</v>
      </c>
      <c r="E1085" s="1" t="s">
        <v>17573</v>
      </c>
      <c r="F1085" s="1" t="s">
        <v>14147</v>
      </c>
      <c r="G1085" s="1" t="s">
        <v>19851</v>
      </c>
      <c r="H1085" s="1" t="s">
        <v>19852</v>
      </c>
      <c r="I1085" s="1" t="s">
        <v>19853</v>
      </c>
      <c r="J1085" s="1">
        <v>9922244974</v>
      </c>
      <c r="K1085" s="1" t="s">
        <v>84</v>
      </c>
      <c r="L1085" s="1" t="s">
        <v>19854</v>
      </c>
      <c r="M1085" s="1" t="s">
        <v>86</v>
      </c>
      <c r="N1085" s="1" t="s">
        <v>8520</v>
      </c>
      <c r="O1085" s="1" t="s">
        <v>19855</v>
      </c>
      <c r="P1085" s="1" t="s">
        <v>356</v>
      </c>
      <c r="Q1085" s="1">
        <v>202956898509</v>
      </c>
      <c r="R1085" s="1" t="s">
        <v>17573</v>
      </c>
      <c r="S1085" s="1">
        <v>9922426186</v>
      </c>
      <c r="T1085" s="1" t="s">
        <v>15073</v>
      </c>
      <c r="U1085" s="1" t="s">
        <v>19856</v>
      </c>
      <c r="V1085" s="1">
        <v>9922172241</v>
      </c>
      <c r="W1085" s="1" t="s">
        <v>14212</v>
      </c>
      <c r="X1085" s="1" t="s">
        <v>19857</v>
      </c>
      <c r="Y1085" s="1" t="s">
        <v>196</v>
      </c>
      <c r="Z1085" s="1" t="s">
        <v>97</v>
      </c>
      <c r="AA1085" s="1" t="s">
        <v>19857</v>
      </c>
      <c r="AB1085" s="1" t="s">
        <v>196</v>
      </c>
      <c r="AC1085" s="1" t="s">
        <v>97</v>
      </c>
      <c r="AD1085" s="1" t="s">
        <v>98</v>
      </c>
      <c r="AE1085" s="1" t="s">
        <v>98</v>
      </c>
      <c r="AF1085" s="1" t="s">
        <v>19858</v>
      </c>
      <c r="AG1085" s="1" t="s">
        <v>17414</v>
      </c>
      <c r="AH1085" s="1" t="s">
        <v>106</v>
      </c>
      <c r="AI1085" s="1" t="s">
        <v>438</v>
      </c>
      <c r="AJ1085" s="1">
        <v>75.4</v>
      </c>
      <c r="AK1085" s="1"/>
      <c r="AL1085" s="1"/>
      <c r="AM1085" s="1"/>
      <c r="AN1085" s="1"/>
      <c r="AO1085" s="1"/>
      <c r="AP1085" s="1"/>
      <c r="AQ1085" s="1"/>
      <c r="AR1085" s="1"/>
      <c r="AS1085" s="1" t="s">
        <v>467</v>
      </c>
      <c r="AT1085" s="1" t="s">
        <v>19859</v>
      </c>
      <c r="AU1085" s="1" t="s">
        <v>438</v>
      </c>
      <c r="AV1085" s="1" t="s">
        <v>289</v>
      </c>
      <c r="AW1085" s="1">
        <v>87.42</v>
      </c>
      <c r="AX1085" s="1"/>
      <c r="AY1085" s="1" t="s">
        <v>19860</v>
      </c>
      <c r="AZ1085" s="1" t="s">
        <v>19861</v>
      </c>
      <c r="BA1085" s="1" t="s">
        <v>578</v>
      </c>
      <c r="BB1085" s="1" t="s">
        <v>467</v>
      </c>
      <c r="BC1085" s="1" t="s">
        <v>289</v>
      </c>
      <c r="BD1085" s="1" t="s">
        <v>848</v>
      </c>
      <c r="BE1085" s="1">
        <v>76.2</v>
      </c>
      <c r="BF1085" s="1">
        <v>8.37</v>
      </c>
      <c r="BG1085" s="1"/>
      <c r="BH1085" s="1"/>
      <c r="BI1085" s="1"/>
      <c r="BJ1085" s="1"/>
      <c r="BK1085" s="1"/>
      <c r="BL1085" s="1"/>
      <c r="BM1085" s="1"/>
      <c r="BN1085" s="1"/>
      <c r="BO1085" s="1" t="s">
        <v>19862</v>
      </c>
      <c r="BP1085" s="1" t="s">
        <v>19863</v>
      </c>
      <c r="BQ1085" s="1" t="s">
        <v>471</v>
      </c>
      <c r="BR1085" s="1" t="s">
        <v>19864</v>
      </c>
      <c r="BS1085" s="1">
        <v>4</v>
      </c>
      <c r="BT1085" s="1"/>
      <c r="BU1085" s="1" t="str">
        <f>HYPERLINK("https://nconnect.nicmar.ac.in/storage/profile/6a871bac429a3.png","Download")</f>
        <v>0</v>
      </c>
      <c r="BV1085" s="3"/>
      <c r="BW1085" s="3"/>
    </row>
    <row r="1086" spans="1:75">
      <c r="A1086" s="1" t="s">
        <v>75</v>
      </c>
      <c r="B1086" s="1" t="s">
        <v>13976</v>
      </c>
      <c r="C1086" s="1" t="s">
        <v>19865</v>
      </c>
      <c r="D1086" s="1" t="s">
        <v>19866</v>
      </c>
      <c r="E1086" s="1" t="s">
        <v>19867</v>
      </c>
      <c r="F1086" s="1" t="s">
        <v>19868</v>
      </c>
      <c r="G1086" s="1" t="s">
        <v>19869</v>
      </c>
      <c r="H1086" s="1" t="s">
        <v>19870</v>
      </c>
      <c r="I1086" s="1" t="s">
        <v>19871</v>
      </c>
      <c r="J1086" s="1">
        <v>7249481507</v>
      </c>
      <c r="K1086" s="1" t="s">
        <v>84</v>
      </c>
      <c r="L1086" s="1" t="s">
        <v>19872</v>
      </c>
      <c r="M1086" s="1" t="s">
        <v>86</v>
      </c>
      <c r="N1086" s="1" t="s">
        <v>19873</v>
      </c>
      <c r="O1086" s="1" t="s">
        <v>19874</v>
      </c>
      <c r="P1086" s="1" t="s">
        <v>122</v>
      </c>
      <c r="Q1086" s="1">
        <v>872003398502</v>
      </c>
      <c r="R1086" s="1" t="s">
        <v>19875</v>
      </c>
      <c r="S1086" s="1">
        <v>9422292012</v>
      </c>
      <c r="T1086" s="1" t="s">
        <v>3439</v>
      </c>
      <c r="U1086" s="1" t="s">
        <v>19876</v>
      </c>
      <c r="V1086" s="1">
        <v>8600952007</v>
      </c>
      <c r="W1086" s="1" t="s">
        <v>14212</v>
      </c>
      <c r="X1086" s="1" t="s">
        <v>19877</v>
      </c>
      <c r="Y1086" s="1" t="s">
        <v>96</v>
      </c>
      <c r="Z1086" s="1" t="s">
        <v>97</v>
      </c>
      <c r="AA1086" s="1" t="s">
        <v>19877</v>
      </c>
      <c r="AB1086" s="1" t="s">
        <v>96</v>
      </c>
      <c r="AC1086" s="1" t="s">
        <v>97</v>
      </c>
      <c r="AD1086" s="1" t="s">
        <v>98</v>
      </c>
      <c r="AE1086" s="1" t="s">
        <v>98</v>
      </c>
      <c r="AF1086" s="1" t="s">
        <v>19878</v>
      </c>
      <c r="AG1086" s="1" t="s">
        <v>19879</v>
      </c>
      <c r="AH1086" s="1" t="s">
        <v>170</v>
      </c>
      <c r="AI1086" s="1" t="s">
        <v>286</v>
      </c>
      <c r="AJ1086" s="1">
        <v>63.2</v>
      </c>
      <c r="AK1086" s="1">
        <v>6.65</v>
      </c>
      <c r="AL1086" s="1"/>
      <c r="AM1086" s="1"/>
      <c r="AN1086" s="1"/>
      <c r="AO1086" s="1"/>
      <c r="AP1086" s="1"/>
      <c r="AQ1086" s="1"/>
      <c r="AR1086" s="1"/>
      <c r="AS1086" s="1" t="s">
        <v>19880</v>
      </c>
      <c r="AT1086" s="1" t="s">
        <v>19881</v>
      </c>
      <c r="AU1086" s="1" t="s">
        <v>1065</v>
      </c>
      <c r="AV1086" s="1" t="s">
        <v>441</v>
      </c>
      <c r="AW1086" s="1">
        <v>75.22</v>
      </c>
      <c r="AX1086" s="1">
        <v>7.91</v>
      </c>
      <c r="AY1086" s="1" t="s">
        <v>19882</v>
      </c>
      <c r="AZ1086" s="1" t="s">
        <v>19883</v>
      </c>
      <c r="BA1086" s="1" t="s">
        <v>466</v>
      </c>
      <c r="BB1086" s="1" t="s">
        <v>467</v>
      </c>
      <c r="BC1086" s="1" t="s">
        <v>441</v>
      </c>
      <c r="BD1086" s="1" t="s">
        <v>848</v>
      </c>
      <c r="BE1086" s="1">
        <v>61.5</v>
      </c>
      <c r="BF1086" s="1">
        <v>6.65</v>
      </c>
      <c r="BG1086" s="1"/>
      <c r="BH1086" s="1"/>
      <c r="BI1086" s="1"/>
      <c r="BJ1086" s="1"/>
      <c r="BK1086" s="1"/>
      <c r="BL1086" s="1"/>
      <c r="BM1086" s="1"/>
      <c r="BN1086" s="1"/>
      <c r="BO1086" s="1" t="s">
        <v>19884</v>
      </c>
      <c r="BP1086" s="1"/>
      <c r="BQ1086" s="1"/>
      <c r="BR1086" s="1" t="s">
        <v>19885</v>
      </c>
      <c r="BS1086" s="1">
        <v>16</v>
      </c>
      <c r="BT1086" s="1"/>
      <c r="BU1086" s="1" t="str">
        <f>HYPERLINK("https://nconnect.nicmar.ac.in/storage/profile/6a85b8bfddb1e.png","Download")</f>
        <v>0</v>
      </c>
      <c r="BV1086" s="3"/>
      <c r="BW1086" s="3"/>
    </row>
    <row r="1087" spans="1:75">
      <c r="A1087" s="1" t="s">
        <v>75</v>
      </c>
      <c r="B1087" s="1" t="s">
        <v>13976</v>
      </c>
      <c r="C1087" s="1" t="s">
        <v>19886</v>
      </c>
      <c r="D1087" s="1"/>
      <c r="E1087" s="1"/>
      <c r="F1087" s="1"/>
      <c r="G1087" s="1"/>
      <c r="H1087" s="1" t="s">
        <v>19887</v>
      </c>
      <c r="I1087" s="1" t="s">
        <v>19887</v>
      </c>
      <c r="J1087" s="1"/>
      <c r="K1087" s="1"/>
      <c r="L1087" s="1"/>
      <c r="M1087" s="1"/>
      <c r="N1087" s="1"/>
      <c r="O1087" s="1"/>
      <c r="P1087" s="1"/>
      <c r="Q1087" s="1"/>
      <c r="R1087" s="1"/>
      <c r="S1087" s="1"/>
      <c r="T1087" s="1"/>
      <c r="U1087" s="1"/>
      <c r="V1087" s="1"/>
      <c r="W1087" s="1"/>
      <c r="X1087" s="1"/>
      <c r="Y1087" s="1"/>
      <c r="Z1087" s="1"/>
      <c r="AA1087" s="1"/>
      <c r="AB1087" s="1"/>
      <c r="AC1087" s="1"/>
      <c r="AD1087" s="1" t="s">
        <v>98</v>
      </c>
      <c r="AE1087" s="1" t="s">
        <v>98</v>
      </c>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t="s">
        <v>9653</v>
      </c>
      <c r="BV1087" s="3"/>
      <c r="BW1087" s="3"/>
    </row>
    <row r="1088" spans="1:75">
      <c r="A1088" s="1" t="s">
        <v>75</v>
      </c>
      <c r="B1088" s="1" t="s">
        <v>13976</v>
      </c>
      <c r="C1088" s="1" t="s">
        <v>19888</v>
      </c>
      <c r="D1088" s="1" t="s">
        <v>17245</v>
      </c>
      <c r="E1088" s="1" t="s">
        <v>1320</v>
      </c>
      <c r="F1088" s="1" t="s">
        <v>19889</v>
      </c>
      <c r="G1088" s="1" t="s">
        <v>19890</v>
      </c>
      <c r="H1088" s="1" t="s">
        <v>19891</v>
      </c>
      <c r="I1088" s="1" t="s">
        <v>19892</v>
      </c>
      <c r="J1088" s="1">
        <v>9137424462</v>
      </c>
      <c r="K1088" s="1" t="s">
        <v>84</v>
      </c>
      <c r="L1088" s="1" t="s">
        <v>19893</v>
      </c>
      <c r="M1088" s="1" t="s">
        <v>86</v>
      </c>
      <c r="N1088" s="1" t="s">
        <v>4857</v>
      </c>
      <c r="O1088" s="1" t="s">
        <v>19894</v>
      </c>
      <c r="P1088" s="1" t="s">
        <v>356</v>
      </c>
      <c r="Q1088" s="1">
        <v>672295896610</v>
      </c>
      <c r="R1088" s="1" t="s">
        <v>19895</v>
      </c>
      <c r="S1088" s="1">
        <v>9324591158</v>
      </c>
      <c r="T1088" s="1" t="s">
        <v>19896</v>
      </c>
      <c r="U1088" s="1" t="s">
        <v>19897</v>
      </c>
      <c r="V1088" s="1">
        <v>8097290186</v>
      </c>
      <c r="W1088" s="1" t="s">
        <v>14234</v>
      </c>
      <c r="X1088" s="1" t="s">
        <v>19898</v>
      </c>
      <c r="Y1088" s="1" t="s">
        <v>19899</v>
      </c>
      <c r="Z1088" s="1" t="s">
        <v>544</v>
      </c>
      <c r="AA1088" s="1" t="s">
        <v>19900</v>
      </c>
      <c r="AB1088" s="1" t="s">
        <v>1012</v>
      </c>
      <c r="AC1088" s="1" t="s">
        <v>97</v>
      </c>
      <c r="AD1088" s="1" t="s">
        <v>98</v>
      </c>
      <c r="AE1088" s="1" t="s">
        <v>98</v>
      </c>
      <c r="AF1088" s="1" t="s">
        <v>19901</v>
      </c>
      <c r="AG1088" s="1" t="s">
        <v>19902</v>
      </c>
      <c r="AH1088" s="1" t="s">
        <v>1396</v>
      </c>
      <c r="AI1088" s="1" t="s">
        <v>573</v>
      </c>
      <c r="AJ1088" s="1">
        <v>60.2</v>
      </c>
      <c r="AK1088" s="1"/>
      <c r="AL1088" s="1" t="s">
        <v>19903</v>
      </c>
      <c r="AM1088" s="1" t="s">
        <v>19904</v>
      </c>
      <c r="AN1088" s="1" t="s">
        <v>465</v>
      </c>
      <c r="AO1088" s="1" t="s">
        <v>388</v>
      </c>
      <c r="AP1088" s="1" t="s">
        <v>313</v>
      </c>
      <c r="AQ1088" s="1">
        <v>70.5</v>
      </c>
      <c r="AR1088" s="1"/>
      <c r="AS1088" s="1"/>
      <c r="AT1088" s="1"/>
      <c r="AU1088" s="1"/>
      <c r="AV1088" s="1"/>
      <c r="AW1088" s="1"/>
      <c r="AX1088" s="1"/>
      <c r="AY1088" s="1" t="s">
        <v>19905</v>
      </c>
      <c r="AZ1088" s="1" t="s">
        <v>19906</v>
      </c>
      <c r="BA1088" s="1" t="s">
        <v>578</v>
      </c>
      <c r="BB1088" s="1" t="s">
        <v>467</v>
      </c>
      <c r="BC1088" s="1" t="s">
        <v>315</v>
      </c>
      <c r="BD1088" s="1" t="s">
        <v>179</v>
      </c>
      <c r="BE1088" s="1">
        <v>76.05</v>
      </c>
      <c r="BF1088" s="1"/>
      <c r="BG1088" s="1"/>
      <c r="BH1088" s="1"/>
      <c r="BI1088" s="1"/>
      <c r="BJ1088" s="1"/>
      <c r="BK1088" s="1"/>
      <c r="BL1088" s="1"/>
      <c r="BM1088" s="1"/>
      <c r="BN1088" s="1"/>
      <c r="BO1088" s="1" t="s">
        <v>19907</v>
      </c>
      <c r="BP1088" s="1"/>
      <c r="BQ1088" s="1"/>
      <c r="BR1088" s="1" t="s">
        <v>19908</v>
      </c>
      <c r="BS1088" s="1">
        <v>27</v>
      </c>
      <c r="BT1088" s="1"/>
      <c r="BU1088" s="1" t="str">
        <f>HYPERLINK("https://nconnect.nicmar.ac.in/storage/profile/6a872bfaa8733.png","Download")</f>
        <v>0</v>
      </c>
      <c r="BV1088" s="3"/>
      <c r="BW1088" s="3"/>
    </row>
    <row r="1089" spans="1:75">
      <c r="A1089" s="1" t="s">
        <v>75</v>
      </c>
      <c r="B1089" s="1" t="s">
        <v>13976</v>
      </c>
      <c r="C1089" s="1" t="s">
        <v>19909</v>
      </c>
      <c r="D1089" s="1" t="s">
        <v>19910</v>
      </c>
      <c r="E1089" s="1"/>
      <c r="F1089" s="1" t="s">
        <v>19911</v>
      </c>
      <c r="G1089" s="1" t="s">
        <v>19912</v>
      </c>
      <c r="H1089" s="1" t="s">
        <v>19913</v>
      </c>
      <c r="I1089" s="1" t="s">
        <v>19914</v>
      </c>
      <c r="J1089" s="1">
        <v>8590415941</v>
      </c>
      <c r="K1089" s="1" t="s">
        <v>84</v>
      </c>
      <c r="L1089" s="1" t="s">
        <v>10966</v>
      </c>
      <c r="M1089" s="1" t="s">
        <v>86</v>
      </c>
      <c r="N1089" s="1" t="s">
        <v>1639</v>
      </c>
      <c r="O1089" s="1" t="s">
        <v>19915</v>
      </c>
      <c r="P1089" s="1" t="s">
        <v>122</v>
      </c>
      <c r="Q1089" s="1">
        <v>657553587072</v>
      </c>
      <c r="R1089" s="1" t="s">
        <v>19916</v>
      </c>
      <c r="S1089" s="1">
        <v>9744633594</v>
      </c>
      <c r="T1089" s="1" t="s">
        <v>19917</v>
      </c>
      <c r="U1089" s="1" t="s">
        <v>19918</v>
      </c>
      <c r="V1089" s="1">
        <v>9048962524</v>
      </c>
      <c r="W1089" s="1" t="s">
        <v>19919</v>
      </c>
      <c r="X1089" s="1" t="s">
        <v>19920</v>
      </c>
      <c r="Y1089" s="1" t="s">
        <v>19921</v>
      </c>
      <c r="Z1089" s="1" t="s">
        <v>130</v>
      </c>
      <c r="AA1089" s="1" t="s">
        <v>19920</v>
      </c>
      <c r="AB1089" s="1" t="s">
        <v>19921</v>
      </c>
      <c r="AC1089" s="1" t="s">
        <v>130</v>
      </c>
      <c r="AD1089" s="1" t="s">
        <v>98</v>
      </c>
      <c r="AE1089" s="1" t="s">
        <v>98</v>
      </c>
      <c r="AF1089" s="1" t="s">
        <v>19922</v>
      </c>
      <c r="AG1089" s="1" t="s">
        <v>17123</v>
      </c>
      <c r="AH1089" s="1" t="s">
        <v>106</v>
      </c>
      <c r="AI1089" s="1" t="s">
        <v>414</v>
      </c>
      <c r="AJ1089" s="1">
        <v>83</v>
      </c>
      <c r="AK1089" s="1">
        <v>9.3</v>
      </c>
      <c r="AL1089" s="1" t="s">
        <v>19923</v>
      </c>
      <c r="AM1089" s="1" t="s">
        <v>19924</v>
      </c>
      <c r="AN1089" s="1" t="s">
        <v>2635</v>
      </c>
      <c r="AO1089" s="1" t="s">
        <v>438</v>
      </c>
      <c r="AP1089" s="1" t="s">
        <v>549</v>
      </c>
      <c r="AQ1089" s="1">
        <v>92.25</v>
      </c>
      <c r="AR1089" s="1">
        <v>9.23</v>
      </c>
      <c r="AS1089" s="1"/>
      <c r="AT1089" s="1"/>
      <c r="AU1089" s="1"/>
      <c r="AV1089" s="1"/>
      <c r="AW1089" s="1"/>
      <c r="AX1089" s="1"/>
      <c r="AY1089" s="1" t="s">
        <v>15573</v>
      </c>
      <c r="AZ1089" s="1" t="s">
        <v>19925</v>
      </c>
      <c r="BA1089" s="1" t="s">
        <v>466</v>
      </c>
      <c r="BB1089" s="1" t="s">
        <v>467</v>
      </c>
      <c r="BC1089" s="1" t="s">
        <v>847</v>
      </c>
      <c r="BD1089" s="1" t="s">
        <v>553</v>
      </c>
      <c r="BE1089" s="1">
        <v>66.1</v>
      </c>
      <c r="BF1089" s="1">
        <v>6.61</v>
      </c>
      <c r="BG1089" s="1"/>
      <c r="BH1089" s="1"/>
      <c r="BI1089" s="1"/>
      <c r="BJ1089" s="1"/>
      <c r="BK1089" s="1"/>
      <c r="BL1089" s="1"/>
      <c r="BM1089" s="1"/>
      <c r="BN1089" s="1"/>
      <c r="BO1089" s="1" t="s">
        <v>19926</v>
      </c>
      <c r="BP1089" s="1"/>
      <c r="BQ1089" s="1"/>
      <c r="BR1089" s="1"/>
      <c r="BS1089" s="1"/>
      <c r="BT1089" s="1" t="s">
        <v>19927</v>
      </c>
      <c r="BU1089" s="1" t="str">
        <f>HYPERLINK("https://nconnect.nicmar.ac.in/storage/profile/6a8618df6f51f.png","Download")</f>
        <v>0</v>
      </c>
      <c r="BV1089" s="3"/>
      <c r="BW1089" s="3"/>
    </row>
    <row r="1090" spans="1:75">
      <c r="A1090" s="1" t="s">
        <v>75</v>
      </c>
      <c r="B1090" s="1" t="s">
        <v>13976</v>
      </c>
      <c r="C1090" s="1" t="s">
        <v>19928</v>
      </c>
      <c r="D1090" s="1" t="s">
        <v>9649</v>
      </c>
      <c r="E1090" s="1" t="s">
        <v>19929</v>
      </c>
      <c r="F1090" s="1" t="s">
        <v>19930</v>
      </c>
      <c r="G1090" s="1" t="s">
        <v>19931</v>
      </c>
      <c r="H1090" s="1" t="s">
        <v>19932</v>
      </c>
      <c r="I1090" s="1" t="s">
        <v>19933</v>
      </c>
      <c r="J1090" s="1">
        <v>8356035521</v>
      </c>
      <c r="K1090" s="1" t="s">
        <v>84</v>
      </c>
      <c r="L1090" s="1" t="s">
        <v>19934</v>
      </c>
      <c r="M1090" s="1" t="s">
        <v>86</v>
      </c>
      <c r="N1090" s="1" t="s">
        <v>3568</v>
      </c>
      <c r="O1090" s="1" t="s">
        <v>19935</v>
      </c>
      <c r="P1090" s="1" t="s">
        <v>89</v>
      </c>
      <c r="Q1090" s="1">
        <v>860300484012</v>
      </c>
      <c r="R1090" s="1" t="s">
        <v>19936</v>
      </c>
      <c r="S1090" s="1">
        <v>9619155274</v>
      </c>
      <c r="T1090" s="1" t="s">
        <v>19937</v>
      </c>
      <c r="U1090" s="1" t="s">
        <v>19938</v>
      </c>
      <c r="V1090" s="1">
        <v>8657423629</v>
      </c>
      <c r="W1090" s="1" t="s">
        <v>10306</v>
      </c>
      <c r="X1090" s="1" t="s">
        <v>19939</v>
      </c>
      <c r="Y1090" s="1" t="s">
        <v>1012</v>
      </c>
      <c r="Z1090" s="1" t="s">
        <v>97</v>
      </c>
      <c r="AA1090" s="1" t="s">
        <v>19939</v>
      </c>
      <c r="AB1090" s="1" t="s">
        <v>1012</v>
      </c>
      <c r="AC1090" s="1" t="s">
        <v>97</v>
      </c>
      <c r="AD1090" s="1" t="s">
        <v>98</v>
      </c>
      <c r="AE1090" s="1" t="s">
        <v>98</v>
      </c>
      <c r="AF1090" s="1" t="s">
        <v>19940</v>
      </c>
      <c r="AG1090" s="1" t="s">
        <v>19941</v>
      </c>
      <c r="AH1090" s="1" t="s">
        <v>1214</v>
      </c>
      <c r="AI1090" s="1" t="s">
        <v>102</v>
      </c>
      <c r="AJ1090" s="1">
        <v>81.2</v>
      </c>
      <c r="AK1090" s="1"/>
      <c r="AL1090" s="1" t="s">
        <v>19942</v>
      </c>
      <c r="AM1090" s="1" t="s">
        <v>19941</v>
      </c>
      <c r="AN1090" s="1" t="s">
        <v>465</v>
      </c>
      <c r="AO1090" s="1" t="s">
        <v>284</v>
      </c>
      <c r="AP1090" s="1" t="s">
        <v>518</v>
      </c>
      <c r="AQ1090" s="1">
        <v>65.85</v>
      </c>
      <c r="AR1090" s="1"/>
      <c r="AS1090" s="1"/>
      <c r="AT1090" s="1"/>
      <c r="AU1090" s="1"/>
      <c r="AV1090" s="1"/>
      <c r="AW1090" s="1"/>
      <c r="AX1090" s="1"/>
      <c r="AY1090" s="1" t="s">
        <v>14059</v>
      </c>
      <c r="AZ1090" s="1" t="s">
        <v>19943</v>
      </c>
      <c r="BA1090" s="1" t="s">
        <v>682</v>
      </c>
      <c r="BB1090" s="1" t="s">
        <v>1479</v>
      </c>
      <c r="BC1090" s="1" t="s">
        <v>230</v>
      </c>
      <c r="BD1090" s="1" t="s">
        <v>289</v>
      </c>
      <c r="BE1090" s="1">
        <v>67.35</v>
      </c>
      <c r="BF1090" s="1">
        <v>7.48</v>
      </c>
      <c r="BG1090" s="1"/>
      <c r="BH1090" s="1"/>
      <c r="BI1090" s="1"/>
      <c r="BJ1090" s="1"/>
      <c r="BK1090" s="1"/>
      <c r="BL1090" s="1"/>
      <c r="BM1090" s="1"/>
      <c r="BN1090" s="1"/>
      <c r="BO1090" s="1" t="s">
        <v>19944</v>
      </c>
      <c r="BP1090" s="1" t="s">
        <v>19945</v>
      </c>
      <c r="BQ1090" s="1" t="s">
        <v>524</v>
      </c>
      <c r="BR1090" s="1" t="s">
        <v>19946</v>
      </c>
      <c r="BS1090" s="1">
        <v>17</v>
      </c>
      <c r="BT1090" s="1"/>
      <c r="BU1090" s="1" t="str">
        <f>HYPERLINK("https://nconnect.nicmar.ac.in/storage/profile/6a871974f3953.png","Download")</f>
        <v>0</v>
      </c>
      <c r="BV1090" s="3"/>
      <c r="BW1090" s="3"/>
    </row>
    <row r="1091" spans="1:75">
      <c r="A1091" s="1" t="s">
        <v>75</v>
      </c>
      <c r="B1091" s="1" t="s">
        <v>13976</v>
      </c>
      <c r="C1091" s="1" t="s">
        <v>19947</v>
      </c>
      <c r="D1091" s="1" t="s">
        <v>19948</v>
      </c>
      <c r="E1091" s="1" t="s">
        <v>19949</v>
      </c>
      <c r="F1091" s="1" t="s">
        <v>19031</v>
      </c>
      <c r="G1091" s="1" t="s">
        <v>19950</v>
      </c>
      <c r="H1091" s="1" t="s">
        <v>19951</v>
      </c>
      <c r="I1091" s="1" t="s">
        <v>19951</v>
      </c>
      <c r="J1091" s="1">
        <v>8488852351</v>
      </c>
      <c r="K1091" s="1" t="s">
        <v>84</v>
      </c>
      <c r="L1091" s="1" t="s">
        <v>19952</v>
      </c>
      <c r="M1091" s="1" t="s">
        <v>86</v>
      </c>
      <c r="N1091" s="1" t="s">
        <v>19953</v>
      </c>
      <c r="O1091" s="1" t="s">
        <v>19954</v>
      </c>
      <c r="P1091" s="1" t="s">
        <v>89</v>
      </c>
      <c r="Q1091" s="1" t="s">
        <v>19955</v>
      </c>
      <c r="R1091" s="1" t="s">
        <v>19956</v>
      </c>
      <c r="S1091" s="1">
        <v>9998462351</v>
      </c>
      <c r="T1091" s="1" t="s">
        <v>19957</v>
      </c>
      <c r="U1091" s="1" t="s">
        <v>19958</v>
      </c>
      <c r="V1091" s="1">
        <v>9978662351</v>
      </c>
      <c r="W1091" s="1" t="s">
        <v>14154</v>
      </c>
      <c r="X1091" s="1" t="s">
        <v>19959</v>
      </c>
      <c r="Y1091" s="1" t="s">
        <v>8166</v>
      </c>
      <c r="Z1091" s="1" t="s">
        <v>676</v>
      </c>
      <c r="AA1091" s="1" t="s">
        <v>19959</v>
      </c>
      <c r="AB1091" s="1" t="s">
        <v>8166</v>
      </c>
      <c r="AC1091" s="1" t="s">
        <v>676</v>
      </c>
      <c r="AD1091" s="1" t="s">
        <v>98</v>
      </c>
      <c r="AE1091" s="1" t="s">
        <v>98</v>
      </c>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t="s">
        <v>19960</v>
      </c>
      <c r="BQ1091" s="1" t="s">
        <v>2093</v>
      </c>
      <c r="BR1091" s="1"/>
      <c r="BS1091" s="1"/>
      <c r="BT1091" s="1"/>
      <c r="BU1091" s="1" t="str">
        <f>HYPERLINK("https://nconnect.nicmar.ac.in/storage/profile/6a867d98b4196.png","Download")</f>
        <v>0</v>
      </c>
      <c r="BV1091" s="3"/>
      <c r="BW1091" s="3"/>
    </row>
    <row r="1092" spans="1:75">
      <c r="A1092" s="1" t="s">
        <v>75</v>
      </c>
      <c r="B1092" s="1" t="s">
        <v>13976</v>
      </c>
      <c r="C1092" s="1" t="s">
        <v>19961</v>
      </c>
      <c r="D1092" s="1" t="s">
        <v>19962</v>
      </c>
      <c r="E1092" s="1"/>
      <c r="F1092" s="1" t="s">
        <v>1853</v>
      </c>
      <c r="G1092" s="1" t="s">
        <v>19963</v>
      </c>
      <c r="H1092" s="1" t="s">
        <v>19964</v>
      </c>
      <c r="I1092" s="1" t="s">
        <v>19965</v>
      </c>
      <c r="J1092" s="1">
        <v>9072605061</v>
      </c>
      <c r="K1092" s="1" t="s">
        <v>84</v>
      </c>
      <c r="L1092" s="1" t="s">
        <v>19966</v>
      </c>
      <c r="M1092" s="1" t="s">
        <v>86</v>
      </c>
      <c r="N1092" s="1" t="s">
        <v>355</v>
      </c>
      <c r="O1092" s="1" t="s">
        <v>19967</v>
      </c>
      <c r="P1092" s="1" t="s">
        <v>219</v>
      </c>
      <c r="Q1092" s="1">
        <v>410692073047</v>
      </c>
      <c r="R1092" s="1" t="s">
        <v>19968</v>
      </c>
      <c r="S1092" s="1">
        <v>9447011555</v>
      </c>
      <c r="T1092" s="1" t="s">
        <v>3439</v>
      </c>
      <c r="U1092" s="1" t="s">
        <v>19969</v>
      </c>
      <c r="V1092" s="1">
        <v>9349336396</v>
      </c>
      <c r="W1092" s="1" t="s">
        <v>14953</v>
      </c>
      <c r="X1092" s="1" t="s">
        <v>19970</v>
      </c>
      <c r="Y1092" s="1" t="s">
        <v>3190</v>
      </c>
      <c r="Z1092" s="1" t="s">
        <v>130</v>
      </c>
      <c r="AA1092" s="1" t="s">
        <v>19970</v>
      </c>
      <c r="AB1092" s="1" t="s">
        <v>3190</v>
      </c>
      <c r="AC1092" s="1" t="s">
        <v>130</v>
      </c>
      <c r="AD1092" s="1" t="s">
        <v>98</v>
      </c>
      <c r="AE1092" s="1" t="s">
        <v>98</v>
      </c>
      <c r="AF1092" s="1" t="s">
        <v>19971</v>
      </c>
      <c r="AG1092" s="1" t="s">
        <v>19972</v>
      </c>
      <c r="AH1092" s="1" t="s">
        <v>170</v>
      </c>
      <c r="AI1092" s="1" t="s">
        <v>490</v>
      </c>
      <c r="AJ1092" s="1">
        <v>94.4</v>
      </c>
      <c r="AK1092" s="1">
        <v>9.44</v>
      </c>
      <c r="AL1092" s="1" t="s">
        <v>19973</v>
      </c>
      <c r="AM1092" s="1" t="s">
        <v>19972</v>
      </c>
      <c r="AN1092" s="1" t="s">
        <v>465</v>
      </c>
      <c r="AO1092" s="1" t="s">
        <v>106</v>
      </c>
      <c r="AP1092" s="1" t="s">
        <v>365</v>
      </c>
      <c r="AQ1092" s="1">
        <v>84.8</v>
      </c>
      <c r="AR1092" s="1">
        <v>8.48</v>
      </c>
      <c r="AS1092" s="1"/>
      <c r="AT1092" s="1"/>
      <c r="AU1092" s="1"/>
      <c r="AV1092" s="1"/>
      <c r="AW1092" s="1"/>
      <c r="AX1092" s="1"/>
      <c r="AY1092" s="1" t="s">
        <v>19974</v>
      </c>
      <c r="AZ1092" s="1" t="s">
        <v>19975</v>
      </c>
      <c r="BA1092" s="1" t="s">
        <v>466</v>
      </c>
      <c r="BB1092" s="1" t="s">
        <v>467</v>
      </c>
      <c r="BC1092" s="1" t="s">
        <v>468</v>
      </c>
      <c r="BD1092" s="1" t="s">
        <v>207</v>
      </c>
      <c r="BE1092" s="1">
        <v>77.9</v>
      </c>
      <c r="BF1092" s="1">
        <v>7.79</v>
      </c>
      <c r="BG1092" s="1"/>
      <c r="BH1092" s="1"/>
      <c r="BI1092" s="1"/>
      <c r="BJ1092" s="1"/>
      <c r="BK1092" s="1"/>
      <c r="BL1092" s="1"/>
      <c r="BM1092" s="1"/>
      <c r="BN1092" s="1"/>
      <c r="BO1092" s="1" t="s">
        <v>19976</v>
      </c>
      <c r="BP1092" s="1" t="s">
        <v>19977</v>
      </c>
      <c r="BQ1092" s="1" t="s">
        <v>4149</v>
      </c>
      <c r="BR1092" s="1" t="s">
        <v>19978</v>
      </c>
      <c r="BS1092" s="1">
        <v>2</v>
      </c>
      <c r="BT1092" s="1" t="s">
        <v>19979</v>
      </c>
      <c r="BU1092" s="1" t="str">
        <f>HYPERLINK("https://nconnect.nicmar.ac.in/storage/profile/6a87f009c182e.png","Download")</f>
        <v>0</v>
      </c>
      <c r="BV1092" s="3"/>
      <c r="BW1092" s="3"/>
    </row>
    <row r="1093" spans="1:75">
      <c r="A1093" s="1" t="s">
        <v>75</v>
      </c>
      <c r="B1093" s="1" t="s">
        <v>13976</v>
      </c>
      <c r="C1093" s="1" t="s">
        <v>19980</v>
      </c>
      <c r="D1093" s="1" t="s">
        <v>16676</v>
      </c>
      <c r="E1093" s="1" t="s">
        <v>19013</v>
      </c>
      <c r="F1093" s="1" t="s">
        <v>19981</v>
      </c>
      <c r="G1093" s="1" t="s">
        <v>19982</v>
      </c>
      <c r="H1093" s="1" t="s">
        <v>19983</v>
      </c>
      <c r="I1093" s="1" t="s">
        <v>19984</v>
      </c>
      <c r="J1093" s="1">
        <v>8356817530</v>
      </c>
      <c r="K1093" s="1" t="s">
        <v>84</v>
      </c>
      <c r="L1093" s="1" t="s">
        <v>19985</v>
      </c>
      <c r="M1093" s="1" t="s">
        <v>86</v>
      </c>
      <c r="N1093" s="1" t="s">
        <v>19986</v>
      </c>
      <c r="O1093" s="1" t="s">
        <v>19987</v>
      </c>
      <c r="P1093" s="1" t="s">
        <v>89</v>
      </c>
      <c r="Q1093" s="1">
        <v>772586804677</v>
      </c>
      <c r="R1093" s="1" t="s">
        <v>19988</v>
      </c>
      <c r="S1093" s="1">
        <v>9820093289</v>
      </c>
      <c r="T1093" s="1" t="s">
        <v>19989</v>
      </c>
      <c r="U1093" s="1" t="s">
        <v>19990</v>
      </c>
      <c r="V1093" s="1">
        <v>7977172990</v>
      </c>
      <c r="W1093" s="1" t="s">
        <v>19989</v>
      </c>
      <c r="X1093" s="1" t="s">
        <v>19991</v>
      </c>
      <c r="Y1093" s="1" t="s">
        <v>1882</v>
      </c>
      <c r="Z1093" s="1" t="s">
        <v>97</v>
      </c>
      <c r="AA1093" s="1" t="s">
        <v>19992</v>
      </c>
      <c r="AB1093" s="1" t="s">
        <v>196</v>
      </c>
      <c r="AC1093" s="1" t="s">
        <v>97</v>
      </c>
      <c r="AD1093" s="1" t="s">
        <v>98</v>
      </c>
      <c r="AE1093" s="1" t="s">
        <v>98</v>
      </c>
      <c r="AF1093" s="1" t="s">
        <v>19993</v>
      </c>
      <c r="AG1093" s="1" t="s">
        <v>19994</v>
      </c>
      <c r="AH1093" s="1" t="s">
        <v>19995</v>
      </c>
      <c r="AI1093" s="1" t="s">
        <v>438</v>
      </c>
      <c r="AJ1093" s="1">
        <v>66.5</v>
      </c>
      <c r="AK1093" s="1"/>
      <c r="AL1093" s="1"/>
      <c r="AM1093" s="1"/>
      <c r="AN1093" s="1"/>
      <c r="AO1093" s="1"/>
      <c r="AP1093" s="1"/>
      <c r="AQ1093" s="1"/>
      <c r="AR1093" s="1"/>
      <c r="AS1093" s="1" t="s">
        <v>14377</v>
      </c>
      <c r="AT1093" s="1" t="s">
        <v>19996</v>
      </c>
      <c r="AU1093" s="1" t="s">
        <v>315</v>
      </c>
      <c r="AV1093" s="1" t="s">
        <v>1400</v>
      </c>
      <c r="AW1093" s="1">
        <v>76.32</v>
      </c>
      <c r="AX1093" s="1"/>
      <c r="AY1093" s="1" t="s">
        <v>14059</v>
      </c>
      <c r="AZ1093" s="1" t="s">
        <v>19997</v>
      </c>
      <c r="BA1093" s="1" t="s">
        <v>578</v>
      </c>
      <c r="BB1093" s="1" t="s">
        <v>467</v>
      </c>
      <c r="BC1093" s="1" t="s">
        <v>1400</v>
      </c>
      <c r="BD1093" s="1" t="s">
        <v>1401</v>
      </c>
      <c r="BE1093" s="1">
        <v>61.99</v>
      </c>
      <c r="BF1093" s="1"/>
      <c r="BG1093" s="1"/>
      <c r="BH1093" s="1"/>
      <c r="BI1093" s="1"/>
      <c r="BJ1093" s="1"/>
      <c r="BK1093" s="1"/>
      <c r="BL1093" s="1"/>
      <c r="BM1093" s="1"/>
      <c r="BN1093" s="1"/>
      <c r="BO1093" s="1" t="s">
        <v>19998</v>
      </c>
      <c r="BP1093" s="1"/>
      <c r="BQ1093" s="1"/>
      <c r="BR1093" s="1"/>
      <c r="BS1093" s="1"/>
      <c r="BT1093" s="1"/>
      <c r="BU1093" s="1" t="str">
        <f>HYPERLINK("https://nconnect.nicmar.ac.in/storage/profile/6a8d610b7d8e9.png","Download")</f>
        <v>0</v>
      </c>
      <c r="BV1093" s="3"/>
      <c r="BW1093" s="3"/>
    </row>
    <row r="1094" spans="1:75">
      <c r="A1094" s="1" t="s">
        <v>75</v>
      </c>
      <c r="B1094" s="1" t="s">
        <v>13976</v>
      </c>
      <c r="C1094" s="1" t="s">
        <v>19999</v>
      </c>
      <c r="D1094" s="1" t="s">
        <v>20000</v>
      </c>
      <c r="E1094" s="1"/>
      <c r="F1094" s="1" t="s">
        <v>20001</v>
      </c>
      <c r="G1094" s="1" t="s">
        <v>20002</v>
      </c>
      <c r="H1094" s="1" t="s">
        <v>20003</v>
      </c>
      <c r="I1094" s="1" t="s">
        <v>20004</v>
      </c>
      <c r="J1094" s="1">
        <v>8370814764</v>
      </c>
      <c r="K1094" s="1" t="s">
        <v>84</v>
      </c>
      <c r="L1094" s="1" t="s">
        <v>7691</v>
      </c>
      <c r="M1094" s="1" t="s">
        <v>86</v>
      </c>
      <c r="N1094" s="1" t="s">
        <v>20005</v>
      </c>
      <c r="O1094" s="1" t="s">
        <v>20006</v>
      </c>
      <c r="P1094" s="1" t="s">
        <v>16423</v>
      </c>
      <c r="Q1094" s="1">
        <v>595721216549</v>
      </c>
      <c r="R1094" s="1" t="s">
        <v>20007</v>
      </c>
      <c r="S1094" s="1">
        <v>9733594675</v>
      </c>
      <c r="T1094" s="1" t="s">
        <v>14352</v>
      </c>
      <c r="U1094" s="1" t="s">
        <v>20008</v>
      </c>
      <c r="V1094" s="1">
        <v>9732522225</v>
      </c>
      <c r="W1094" s="1" t="s">
        <v>20009</v>
      </c>
      <c r="X1094" s="1" t="s">
        <v>20010</v>
      </c>
      <c r="Y1094" s="1" t="s">
        <v>17357</v>
      </c>
      <c r="Z1094" s="1" t="s">
        <v>1234</v>
      </c>
      <c r="AA1094" s="1" t="s">
        <v>20010</v>
      </c>
      <c r="AB1094" s="1" t="s">
        <v>17357</v>
      </c>
      <c r="AC1094" s="1" t="s">
        <v>1234</v>
      </c>
      <c r="AD1094" s="1" t="s">
        <v>98</v>
      </c>
      <c r="AE1094" s="1" t="s">
        <v>98</v>
      </c>
      <c r="AF1094" s="1" t="s">
        <v>20011</v>
      </c>
      <c r="AG1094" s="1" t="s">
        <v>1234</v>
      </c>
      <c r="AH1094" s="1" t="s">
        <v>3421</v>
      </c>
      <c r="AI1094" s="1" t="s">
        <v>3967</v>
      </c>
      <c r="AJ1094" s="1">
        <v>58.57</v>
      </c>
      <c r="AK1094" s="1"/>
      <c r="AL1094" s="1"/>
      <c r="AM1094" s="1"/>
      <c r="AN1094" s="1"/>
      <c r="AO1094" s="1"/>
      <c r="AP1094" s="1"/>
      <c r="AQ1094" s="1"/>
      <c r="AR1094" s="1"/>
      <c r="AS1094" s="1" t="s">
        <v>20012</v>
      </c>
      <c r="AT1094" s="1" t="s">
        <v>1234</v>
      </c>
      <c r="AU1094" s="1" t="s">
        <v>105</v>
      </c>
      <c r="AV1094" s="1" t="s">
        <v>106</v>
      </c>
      <c r="AW1094" s="1">
        <v>64.5</v>
      </c>
      <c r="AX1094" s="1"/>
      <c r="AY1094" s="1" t="s">
        <v>20013</v>
      </c>
      <c r="AZ1094" s="1" t="s">
        <v>20014</v>
      </c>
      <c r="BA1094" s="1" t="s">
        <v>466</v>
      </c>
      <c r="BB1094" s="1" t="s">
        <v>467</v>
      </c>
      <c r="BC1094" s="1" t="s">
        <v>1065</v>
      </c>
      <c r="BD1094" s="1" t="s">
        <v>549</v>
      </c>
      <c r="BE1094" s="1">
        <v>71.5</v>
      </c>
      <c r="BF1094" s="1"/>
      <c r="BG1094" s="1"/>
      <c r="BH1094" s="1"/>
      <c r="BI1094" s="1"/>
      <c r="BJ1094" s="1"/>
      <c r="BK1094" s="1"/>
      <c r="BL1094" s="1"/>
      <c r="BM1094" s="1"/>
      <c r="BN1094" s="1"/>
      <c r="BO1094" s="1" t="s">
        <v>15575</v>
      </c>
      <c r="BP1094" s="1"/>
      <c r="BQ1094" s="1"/>
      <c r="BR1094" s="1"/>
      <c r="BS1094" s="1"/>
      <c r="BT1094" s="1" t="s">
        <v>20015</v>
      </c>
      <c r="BU1094" s="1" t="str">
        <f>HYPERLINK("https://nconnect.nicmar.ac.in/storage/profile/6a87210087b5d.png","Download")</f>
        <v>0</v>
      </c>
      <c r="BV1094" s="3"/>
      <c r="BW1094" s="3"/>
    </row>
    <row r="1095" spans="1:75">
      <c r="A1095" s="1" t="s">
        <v>75</v>
      </c>
      <c r="B1095" s="1" t="s">
        <v>13976</v>
      </c>
      <c r="C1095" s="1" t="s">
        <v>20016</v>
      </c>
      <c r="D1095" s="1" t="s">
        <v>14308</v>
      </c>
      <c r="E1095" s="1"/>
      <c r="F1095" s="1" t="s">
        <v>20017</v>
      </c>
      <c r="G1095" s="1" t="s">
        <v>20018</v>
      </c>
      <c r="H1095" s="1" t="s">
        <v>20019</v>
      </c>
      <c r="I1095" s="1" t="s">
        <v>20020</v>
      </c>
      <c r="J1095" s="1">
        <v>8660227683</v>
      </c>
      <c r="K1095" s="1" t="s">
        <v>84</v>
      </c>
      <c r="L1095" s="1" t="s">
        <v>4504</v>
      </c>
      <c r="M1095" s="1" t="s">
        <v>86</v>
      </c>
      <c r="N1095" s="1" t="s">
        <v>20021</v>
      </c>
      <c r="O1095" s="1" t="s">
        <v>20022</v>
      </c>
      <c r="P1095" s="1" t="s">
        <v>122</v>
      </c>
      <c r="Q1095" s="1">
        <v>362052785697</v>
      </c>
      <c r="R1095" s="1" t="s">
        <v>20023</v>
      </c>
      <c r="S1095" s="1">
        <v>9945863497</v>
      </c>
      <c r="T1095" s="1" t="s">
        <v>3439</v>
      </c>
      <c r="U1095" s="1" t="s">
        <v>20024</v>
      </c>
      <c r="V1095" s="1">
        <v>9480189083</v>
      </c>
      <c r="W1095" s="1" t="s">
        <v>14032</v>
      </c>
      <c r="X1095" s="1" t="s">
        <v>20025</v>
      </c>
      <c r="Y1095" s="1" t="s">
        <v>6871</v>
      </c>
      <c r="Z1095" s="1" t="s">
        <v>1210</v>
      </c>
      <c r="AA1095" s="1" t="s">
        <v>20026</v>
      </c>
      <c r="AB1095" s="1" t="s">
        <v>196</v>
      </c>
      <c r="AC1095" s="1" t="s">
        <v>97</v>
      </c>
      <c r="AD1095" s="1" t="s">
        <v>98</v>
      </c>
      <c r="AE1095" s="1" t="s">
        <v>98</v>
      </c>
      <c r="AF1095" s="1" t="s">
        <v>20027</v>
      </c>
      <c r="AG1095" s="1" t="s">
        <v>18195</v>
      </c>
      <c r="AH1095" s="1" t="s">
        <v>573</v>
      </c>
      <c r="AI1095" s="1" t="s">
        <v>171</v>
      </c>
      <c r="AJ1095" s="1">
        <v>81.44</v>
      </c>
      <c r="AK1095" s="1"/>
      <c r="AL1095" s="1" t="s">
        <v>20028</v>
      </c>
      <c r="AM1095" s="1" t="s">
        <v>20029</v>
      </c>
      <c r="AN1095" s="1" t="s">
        <v>6380</v>
      </c>
      <c r="AO1095" s="1" t="s">
        <v>315</v>
      </c>
      <c r="AP1095" s="1" t="s">
        <v>178</v>
      </c>
      <c r="AQ1095" s="1">
        <v>79.83</v>
      </c>
      <c r="AR1095" s="1"/>
      <c r="AS1095" s="1"/>
      <c r="AT1095" s="1"/>
      <c r="AU1095" s="1"/>
      <c r="AV1095" s="1"/>
      <c r="AW1095" s="1"/>
      <c r="AX1095" s="1"/>
      <c r="AY1095" s="1" t="s">
        <v>15972</v>
      </c>
      <c r="AZ1095" s="1" t="s">
        <v>20030</v>
      </c>
      <c r="BA1095" s="1" t="s">
        <v>578</v>
      </c>
      <c r="BB1095" s="1" t="s">
        <v>467</v>
      </c>
      <c r="BC1095" s="1" t="s">
        <v>1040</v>
      </c>
      <c r="BD1095" s="1" t="s">
        <v>207</v>
      </c>
      <c r="BE1095" s="1">
        <v>67.5</v>
      </c>
      <c r="BF1095" s="1">
        <v>7.5</v>
      </c>
      <c r="BG1095" s="1"/>
      <c r="BH1095" s="1"/>
      <c r="BI1095" s="1"/>
      <c r="BJ1095" s="1"/>
      <c r="BK1095" s="1"/>
      <c r="BL1095" s="1"/>
      <c r="BM1095" s="1"/>
      <c r="BN1095" s="1"/>
      <c r="BO1095" s="1" t="s">
        <v>20031</v>
      </c>
      <c r="BP1095" s="1" t="s">
        <v>20032</v>
      </c>
      <c r="BQ1095" s="1" t="s">
        <v>1174</v>
      </c>
      <c r="BR1095" s="1"/>
      <c r="BS1095" s="1"/>
      <c r="BT1095" s="1"/>
      <c r="BU1095" s="1" t="str">
        <f>HYPERLINK("https://nconnect.nicmar.ac.in/storage/profile/6a86e3a4056bb.png","Download")</f>
        <v>0</v>
      </c>
      <c r="BV1095" s="3"/>
      <c r="BW1095" s="3"/>
    </row>
    <row r="1096" spans="1:75">
      <c r="A1096" s="1" t="s">
        <v>75</v>
      </c>
      <c r="B1096" s="1" t="s">
        <v>13976</v>
      </c>
      <c r="C1096" s="1" t="s">
        <v>20033</v>
      </c>
      <c r="D1096" s="1" t="s">
        <v>20034</v>
      </c>
      <c r="E1096" s="1"/>
      <c r="F1096" s="1" t="s">
        <v>1853</v>
      </c>
      <c r="G1096" s="1" t="s">
        <v>20035</v>
      </c>
      <c r="H1096" s="1" t="s">
        <v>20036</v>
      </c>
      <c r="I1096" s="1" t="s">
        <v>20037</v>
      </c>
      <c r="J1096" s="1">
        <v>9940617229</v>
      </c>
      <c r="K1096" s="1" t="s">
        <v>84</v>
      </c>
      <c r="L1096" s="1" t="s">
        <v>20038</v>
      </c>
      <c r="M1096" s="1" t="s">
        <v>86</v>
      </c>
      <c r="N1096" s="1" t="s">
        <v>20039</v>
      </c>
      <c r="O1096" s="1" t="s">
        <v>20040</v>
      </c>
      <c r="P1096" s="1" t="s">
        <v>356</v>
      </c>
      <c r="Q1096" s="1">
        <v>538701283347</v>
      </c>
      <c r="R1096" s="1" t="s">
        <v>20041</v>
      </c>
      <c r="S1096" s="1">
        <v>8428806779</v>
      </c>
      <c r="T1096" s="1" t="s">
        <v>14352</v>
      </c>
      <c r="U1096" s="1" t="s">
        <v>20042</v>
      </c>
      <c r="V1096" s="1">
        <v>9941890666</v>
      </c>
      <c r="W1096" s="1" t="s">
        <v>15313</v>
      </c>
      <c r="X1096" s="1" t="s">
        <v>20043</v>
      </c>
      <c r="Y1096" s="1" t="s">
        <v>1498</v>
      </c>
      <c r="Z1096" s="1" t="s">
        <v>570</v>
      </c>
      <c r="AA1096" s="1" t="s">
        <v>20044</v>
      </c>
      <c r="AB1096" s="1" t="s">
        <v>1498</v>
      </c>
      <c r="AC1096" s="1" t="s">
        <v>570</v>
      </c>
      <c r="AD1096" s="1" t="s">
        <v>98</v>
      </c>
      <c r="AE1096" s="1" t="s">
        <v>98</v>
      </c>
      <c r="AF1096" s="1" t="s">
        <v>20045</v>
      </c>
      <c r="AG1096" s="1" t="s">
        <v>20046</v>
      </c>
      <c r="AH1096" s="1" t="s">
        <v>848</v>
      </c>
      <c r="AI1096" s="1" t="s">
        <v>14083</v>
      </c>
      <c r="AJ1096" s="1">
        <v>66.2</v>
      </c>
      <c r="AK1096" s="1"/>
      <c r="AL1096" s="1" t="s">
        <v>20045</v>
      </c>
      <c r="AM1096" s="1" t="s">
        <v>20046</v>
      </c>
      <c r="AN1096" s="1" t="s">
        <v>6380</v>
      </c>
      <c r="AO1096" s="1" t="s">
        <v>977</v>
      </c>
      <c r="AP1096" s="1" t="s">
        <v>845</v>
      </c>
      <c r="AQ1096" s="1">
        <v>75.0</v>
      </c>
      <c r="AR1096" s="1"/>
      <c r="AS1096" s="1"/>
      <c r="AT1096" s="1"/>
      <c r="AU1096" s="1"/>
      <c r="AV1096" s="1"/>
      <c r="AW1096" s="1"/>
      <c r="AX1096" s="1"/>
      <c r="AY1096" s="1" t="s">
        <v>20047</v>
      </c>
      <c r="AZ1096" s="1" t="s">
        <v>20048</v>
      </c>
      <c r="BA1096" s="1" t="s">
        <v>578</v>
      </c>
      <c r="BB1096" s="1" t="s">
        <v>467</v>
      </c>
      <c r="BC1096" s="1" t="s">
        <v>847</v>
      </c>
      <c r="BD1096" s="1" t="s">
        <v>8670</v>
      </c>
      <c r="BE1096" s="1">
        <v>61.0</v>
      </c>
      <c r="BF1096" s="1">
        <v>6.17</v>
      </c>
      <c r="BG1096" s="1"/>
      <c r="BH1096" s="1"/>
      <c r="BI1096" s="1"/>
      <c r="BJ1096" s="1"/>
      <c r="BK1096" s="1"/>
      <c r="BL1096" s="1"/>
      <c r="BM1096" s="1"/>
      <c r="BN1096" s="1"/>
      <c r="BO1096" s="1" t="s">
        <v>20049</v>
      </c>
      <c r="BP1096" s="1" t="s">
        <v>20050</v>
      </c>
      <c r="BQ1096" s="1" t="s">
        <v>893</v>
      </c>
      <c r="BR1096" s="1"/>
      <c r="BS1096" s="1"/>
      <c r="BT1096" s="1"/>
      <c r="BU1096" s="1" t="str">
        <f>HYPERLINK("https://nconnect.nicmar.ac.in/storage/profile/6a86f6da93b7d.png","Download")</f>
        <v>0</v>
      </c>
      <c r="BV1096" s="3"/>
      <c r="BW1096" s="3"/>
    </row>
    <row r="1097" spans="1:75">
      <c r="A1097" s="1" t="s">
        <v>75</v>
      </c>
      <c r="B1097" s="1" t="s">
        <v>13976</v>
      </c>
      <c r="C1097" s="1" t="s">
        <v>20051</v>
      </c>
      <c r="D1097" s="1" t="s">
        <v>20052</v>
      </c>
      <c r="E1097" s="1"/>
      <c r="F1097" s="1" t="s">
        <v>1487</v>
      </c>
      <c r="G1097" s="1" t="s">
        <v>20053</v>
      </c>
      <c r="H1097" s="1" t="s">
        <v>20054</v>
      </c>
      <c r="I1097" s="1" t="s">
        <v>20055</v>
      </c>
      <c r="J1097" s="1">
        <v>7907087850</v>
      </c>
      <c r="K1097" s="1" t="s">
        <v>153</v>
      </c>
      <c r="L1097" s="1" t="s">
        <v>20056</v>
      </c>
      <c r="M1097" s="1" t="s">
        <v>86</v>
      </c>
      <c r="N1097" s="1" t="s">
        <v>20057</v>
      </c>
      <c r="O1097" s="1" t="s">
        <v>20058</v>
      </c>
      <c r="P1097" s="1" t="s">
        <v>122</v>
      </c>
      <c r="Q1097" s="1">
        <v>971687284552</v>
      </c>
      <c r="R1097" s="1" t="s">
        <v>20059</v>
      </c>
      <c r="S1097" s="1">
        <v>9961199011</v>
      </c>
      <c r="T1097" s="1" t="s">
        <v>20060</v>
      </c>
      <c r="U1097" s="1" t="s">
        <v>20061</v>
      </c>
      <c r="V1097" s="1">
        <v>9446412127</v>
      </c>
      <c r="W1097" s="1" t="s">
        <v>20062</v>
      </c>
      <c r="X1097" s="1" t="s">
        <v>20063</v>
      </c>
      <c r="Y1097" s="1" t="s">
        <v>701</v>
      </c>
      <c r="Z1097" s="1" t="s">
        <v>130</v>
      </c>
      <c r="AA1097" s="1" t="s">
        <v>20063</v>
      </c>
      <c r="AB1097" s="1" t="s">
        <v>701</v>
      </c>
      <c r="AC1097" s="1" t="s">
        <v>130</v>
      </c>
      <c r="AD1097" s="1" t="s">
        <v>98</v>
      </c>
      <c r="AE1097" s="1" t="s">
        <v>98</v>
      </c>
      <c r="AF1097" s="1" t="s">
        <v>20064</v>
      </c>
      <c r="AG1097" s="1" t="s">
        <v>20065</v>
      </c>
      <c r="AH1097" s="1" t="s">
        <v>438</v>
      </c>
      <c r="AI1097" s="1" t="s">
        <v>178</v>
      </c>
      <c r="AJ1097" s="1">
        <v>78.2</v>
      </c>
      <c r="AK1097" s="1"/>
      <c r="AL1097" s="1" t="s">
        <v>20066</v>
      </c>
      <c r="AM1097" s="1" t="s">
        <v>20067</v>
      </c>
      <c r="AN1097" s="1" t="s">
        <v>465</v>
      </c>
      <c r="AO1097" s="1" t="s">
        <v>140</v>
      </c>
      <c r="AP1097" s="1" t="s">
        <v>289</v>
      </c>
      <c r="AQ1097" s="1">
        <v>85.67</v>
      </c>
      <c r="AR1097" s="1"/>
      <c r="AS1097" s="1"/>
      <c r="AT1097" s="1"/>
      <c r="AU1097" s="1"/>
      <c r="AV1097" s="1"/>
      <c r="AW1097" s="1"/>
      <c r="AX1097" s="1"/>
      <c r="AY1097" s="1" t="s">
        <v>15665</v>
      </c>
      <c r="AZ1097" s="1" t="s">
        <v>8784</v>
      </c>
      <c r="BA1097" s="1" t="s">
        <v>466</v>
      </c>
      <c r="BB1097" s="1" t="s">
        <v>467</v>
      </c>
      <c r="BC1097" s="1" t="s">
        <v>1825</v>
      </c>
      <c r="BD1097" s="1" t="s">
        <v>14101</v>
      </c>
      <c r="BE1097" s="1">
        <v>75.1</v>
      </c>
      <c r="BF1097" s="1">
        <v>7.51</v>
      </c>
      <c r="BG1097" s="1"/>
      <c r="BH1097" s="1"/>
      <c r="BI1097" s="1"/>
      <c r="BJ1097" s="1"/>
      <c r="BK1097" s="1"/>
      <c r="BL1097" s="1"/>
      <c r="BM1097" s="1"/>
      <c r="BN1097" s="1"/>
      <c r="BO1097" s="1" t="s">
        <v>20068</v>
      </c>
      <c r="BP1097" s="1"/>
      <c r="BQ1097" s="1"/>
      <c r="BR1097" s="1" t="s">
        <v>20069</v>
      </c>
      <c r="BS1097" s="1">
        <v>4</v>
      </c>
      <c r="BT1097" s="1" t="s">
        <v>20070</v>
      </c>
      <c r="BU1097" s="1" t="str">
        <f>HYPERLINK("https://nconnect.nicmar.ac.in/storage/profile/6a8706056c248.png","Download")</f>
        <v>0</v>
      </c>
      <c r="BV1097" s="3"/>
      <c r="BW1097" s="3"/>
    </row>
    <row r="1098" spans="1:75">
      <c r="A1098" s="1" t="s">
        <v>75</v>
      </c>
      <c r="B1098" s="1" t="s">
        <v>13976</v>
      </c>
      <c r="C1098" s="1" t="s">
        <v>20071</v>
      </c>
      <c r="D1098" s="1" t="s">
        <v>14964</v>
      </c>
      <c r="E1098" s="1" t="s">
        <v>17833</v>
      </c>
      <c r="F1098" s="1" t="s">
        <v>20072</v>
      </c>
      <c r="G1098" s="1" t="s">
        <v>20073</v>
      </c>
      <c r="H1098" s="1" t="s">
        <v>20074</v>
      </c>
      <c r="I1098" s="1" t="s">
        <v>20075</v>
      </c>
      <c r="J1098" s="1">
        <v>7507941150</v>
      </c>
      <c r="K1098" s="1" t="s">
        <v>84</v>
      </c>
      <c r="L1098" s="1" t="s">
        <v>2910</v>
      </c>
      <c r="M1098" s="1" t="s">
        <v>86</v>
      </c>
      <c r="N1098" s="1" t="s">
        <v>768</v>
      </c>
      <c r="O1098" s="1" t="s">
        <v>20076</v>
      </c>
      <c r="P1098" s="1" t="s">
        <v>219</v>
      </c>
      <c r="Q1098" s="1">
        <v>978849792066</v>
      </c>
      <c r="R1098" s="1" t="s">
        <v>20077</v>
      </c>
      <c r="S1098" s="1">
        <v>8149446734</v>
      </c>
      <c r="T1098" s="1" t="s">
        <v>20078</v>
      </c>
      <c r="U1098" s="1" t="s">
        <v>18455</v>
      </c>
      <c r="V1098" s="1">
        <v>9923533848</v>
      </c>
      <c r="W1098" s="1" t="s">
        <v>14234</v>
      </c>
      <c r="X1098" s="1" t="s">
        <v>20079</v>
      </c>
      <c r="Y1098" s="1" t="s">
        <v>2259</v>
      </c>
      <c r="Z1098" s="1" t="s">
        <v>97</v>
      </c>
      <c r="AA1098" s="1" t="s">
        <v>20079</v>
      </c>
      <c r="AB1098" s="1" t="s">
        <v>2259</v>
      </c>
      <c r="AC1098" s="1" t="s">
        <v>97</v>
      </c>
      <c r="AD1098" s="1" t="s">
        <v>98</v>
      </c>
      <c r="AE1098" s="1" t="s">
        <v>98</v>
      </c>
      <c r="AF1098" s="1" t="s">
        <v>20080</v>
      </c>
      <c r="AG1098" s="1" t="s">
        <v>20081</v>
      </c>
      <c r="AH1098" s="1" t="s">
        <v>573</v>
      </c>
      <c r="AI1098" s="1" t="s">
        <v>106</v>
      </c>
      <c r="AJ1098" s="1">
        <v>83.6</v>
      </c>
      <c r="AK1098" s="1"/>
      <c r="AL1098" s="1" t="s">
        <v>20082</v>
      </c>
      <c r="AM1098" s="1" t="s">
        <v>20081</v>
      </c>
      <c r="AN1098" s="1" t="s">
        <v>465</v>
      </c>
      <c r="AO1098" s="1" t="s">
        <v>438</v>
      </c>
      <c r="AP1098" s="1" t="s">
        <v>417</v>
      </c>
      <c r="AQ1098" s="1">
        <v>68.62</v>
      </c>
      <c r="AR1098" s="1"/>
      <c r="AS1098" s="1"/>
      <c r="AT1098" s="1"/>
      <c r="AU1098" s="1"/>
      <c r="AV1098" s="1"/>
      <c r="AW1098" s="1"/>
      <c r="AX1098" s="1"/>
      <c r="AY1098" s="1" t="s">
        <v>14160</v>
      </c>
      <c r="AZ1098" s="1" t="s">
        <v>20083</v>
      </c>
      <c r="BA1098" s="1" t="s">
        <v>578</v>
      </c>
      <c r="BB1098" s="1" t="s">
        <v>467</v>
      </c>
      <c r="BC1098" s="1" t="s">
        <v>468</v>
      </c>
      <c r="BD1098" s="1" t="s">
        <v>207</v>
      </c>
      <c r="BE1098" s="1">
        <v>72.0</v>
      </c>
      <c r="BF1098" s="1">
        <v>7.95</v>
      </c>
      <c r="BG1098" s="1"/>
      <c r="BH1098" s="1"/>
      <c r="BI1098" s="1"/>
      <c r="BJ1098" s="1"/>
      <c r="BK1098" s="1"/>
      <c r="BL1098" s="1"/>
      <c r="BM1098" s="1"/>
      <c r="BN1098" s="1"/>
      <c r="BO1098" s="1" t="s">
        <v>20084</v>
      </c>
      <c r="BP1098" s="1" t="s">
        <v>20085</v>
      </c>
      <c r="BQ1098" s="1" t="s">
        <v>4149</v>
      </c>
      <c r="BR1098" s="1" t="s">
        <v>20086</v>
      </c>
      <c r="BS1098" s="1">
        <v>4</v>
      </c>
      <c r="BT1098" s="1" t="s">
        <v>20087</v>
      </c>
      <c r="BU1098" s="1" t="str">
        <f>HYPERLINK("https://nconnect.nicmar.ac.in/storage/profile/6a85f1532bad0.png","Download")</f>
        <v>0</v>
      </c>
      <c r="BV1098" s="3"/>
      <c r="BW1098" s="3"/>
    </row>
    <row r="1099" spans="1:75">
      <c r="A1099" s="1" t="s">
        <v>75</v>
      </c>
      <c r="B1099" s="1" t="s">
        <v>13976</v>
      </c>
      <c r="C1099" s="1" t="s">
        <v>20088</v>
      </c>
      <c r="D1099" s="1" t="s">
        <v>20089</v>
      </c>
      <c r="E1099" s="1"/>
      <c r="F1099" s="1" t="s">
        <v>20090</v>
      </c>
      <c r="G1099" s="1" t="s">
        <v>20091</v>
      </c>
      <c r="H1099" s="1" t="s">
        <v>20092</v>
      </c>
      <c r="I1099" s="1" t="s">
        <v>20093</v>
      </c>
      <c r="J1099" s="1">
        <v>9360573947</v>
      </c>
      <c r="K1099" s="1" t="s">
        <v>84</v>
      </c>
      <c r="L1099" s="1" t="s">
        <v>20094</v>
      </c>
      <c r="M1099" s="1" t="s">
        <v>86</v>
      </c>
      <c r="N1099" s="1" t="s">
        <v>1492</v>
      </c>
      <c r="O1099" s="1" t="s">
        <v>20095</v>
      </c>
      <c r="P1099" s="1" t="s">
        <v>122</v>
      </c>
      <c r="Q1099" s="1">
        <v>928365355417</v>
      </c>
      <c r="R1099" s="1" t="s">
        <v>20096</v>
      </c>
      <c r="S1099" s="1">
        <v>9842054053</v>
      </c>
      <c r="T1099" s="1" t="s">
        <v>20097</v>
      </c>
      <c r="U1099" s="1" t="s">
        <v>20098</v>
      </c>
      <c r="V1099" s="1">
        <v>8608754053</v>
      </c>
      <c r="W1099" s="1" t="s">
        <v>14154</v>
      </c>
      <c r="X1099" s="1" t="s">
        <v>20099</v>
      </c>
      <c r="Y1099" s="1" t="s">
        <v>18215</v>
      </c>
      <c r="Z1099" s="1" t="s">
        <v>570</v>
      </c>
      <c r="AA1099" s="1" t="s">
        <v>20099</v>
      </c>
      <c r="AB1099" s="1" t="s">
        <v>18215</v>
      </c>
      <c r="AC1099" s="1" t="s">
        <v>570</v>
      </c>
      <c r="AD1099" s="1" t="s">
        <v>98</v>
      </c>
      <c r="AE1099" s="1" t="s">
        <v>98</v>
      </c>
      <c r="AF1099" s="1" t="s">
        <v>20100</v>
      </c>
      <c r="AG1099" s="1" t="s">
        <v>20101</v>
      </c>
      <c r="AH1099" s="1" t="s">
        <v>414</v>
      </c>
      <c r="AI1099" s="1" t="s">
        <v>603</v>
      </c>
      <c r="AJ1099" s="1">
        <v>74.6</v>
      </c>
      <c r="AK1099" s="1"/>
      <c r="AL1099" s="1" t="s">
        <v>20100</v>
      </c>
      <c r="AM1099" s="1" t="s">
        <v>20101</v>
      </c>
      <c r="AN1099" s="1" t="s">
        <v>6380</v>
      </c>
      <c r="AO1099" s="1" t="s">
        <v>847</v>
      </c>
      <c r="AP1099" s="1" t="s">
        <v>1886</v>
      </c>
      <c r="AQ1099" s="1">
        <v>83.96</v>
      </c>
      <c r="AR1099" s="1"/>
      <c r="AS1099" s="1"/>
      <c r="AT1099" s="1"/>
      <c r="AU1099" s="1"/>
      <c r="AV1099" s="1"/>
      <c r="AW1099" s="1"/>
      <c r="AX1099" s="1"/>
      <c r="AY1099" s="1" t="s">
        <v>576</v>
      </c>
      <c r="AZ1099" s="1" t="s">
        <v>20102</v>
      </c>
      <c r="BA1099" s="1" t="s">
        <v>578</v>
      </c>
      <c r="BB1099" s="1" t="s">
        <v>467</v>
      </c>
      <c r="BC1099" s="1" t="s">
        <v>1889</v>
      </c>
      <c r="BD1099" s="1" t="s">
        <v>9688</v>
      </c>
      <c r="BE1099" s="1">
        <v>84.9</v>
      </c>
      <c r="BF1099" s="1">
        <v>8.49</v>
      </c>
      <c r="BG1099" s="1"/>
      <c r="BH1099" s="1"/>
      <c r="BI1099" s="1"/>
      <c r="BJ1099" s="1"/>
      <c r="BK1099" s="1"/>
      <c r="BL1099" s="1"/>
      <c r="BM1099" s="1"/>
      <c r="BN1099" s="1"/>
      <c r="BO1099" s="1" t="s">
        <v>20103</v>
      </c>
      <c r="BP1099" s="1"/>
      <c r="BQ1099" s="1"/>
      <c r="BR1099" s="1" t="s">
        <v>20104</v>
      </c>
      <c r="BS1099" s="1">
        <v>2</v>
      </c>
      <c r="BT1099" s="1" t="s">
        <v>20105</v>
      </c>
      <c r="BU1099" s="1" t="str">
        <f>HYPERLINK("https://nconnect.nicmar.ac.in/storage/profile/6a87150cd3c27.png","Download")</f>
        <v>0</v>
      </c>
      <c r="BV1099" s="3"/>
      <c r="BW1099" s="3"/>
    </row>
    <row r="1100" spans="1:75">
      <c r="A1100" s="1" t="s">
        <v>75</v>
      </c>
      <c r="B1100" s="1" t="s">
        <v>13976</v>
      </c>
      <c r="C1100" s="1" t="s">
        <v>20106</v>
      </c>
      <c r="D1100" s="1"/>
      <c r="E1100" s="1"/>
      <c r="F1100" s="1"/>
      <c r="G1100" s="1"/>
      <c r="H1100" s="1" t="s">
        <v>20107</v>
      </c>
      <c r="I1100" s="1" t="s">
        <v>20107</v>
      </c>
      <c r="J1100" s="1"/>
      <c r="K1100" s="1"/>
      <c r="L1100" s="1"/>
      <c r="M1100" s="1"/>
      <c r="N1100" s="1"/>
      <c r="O1100" s="1"/>
      <c r="P1100" s="1"/>
      <c r="Q1100" s="1"/>
      <c r="R1100" s="1"/>
      <c r="S1100" s="1"/>
      <c r="T1100" s="1"/>
      <c r="U1100" s="1"/>
      <c r="V1100" s="1"/>
      <c r="W1100" s="1"/>
      <c r="X1100" s="1"/>
      <c r="Y1100" s="1"/>
      <c r="Z1100" s="1"/>
      <c r="AA1100" s="1"/>
      <c r="AB1100" s="1"/>
      <c r="AC1100" s="1"/>
      <c r="AD1100" s="1" t="s">
        <v>98</v>
      </c>
      <c r="AE1100" s="1" t="s">
        <v>98</v>
      </c>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t="s">
        <v>9653</v>
      </c>
      <c r="BV1100" s="3"/>
      <c r="BW1100" s="3"/>
    </row>
    <row r="1101" spans="1:75">
      <c r="A1101" s="1" t="s">
        <v>75</v>
      </c>
      <c r="B1101" s="1" t="s">
        <v>13976</v>
      </c>
      <c r="C1101" s="1" t="s">
        <v>20108</v>
      </c>
      <c r="D1101" s="1" t="s">
        <v>20109</v>
      </c>
      <c r="E1101" s="1"/>
      <c r="F1101" s="1" t="s">
        <v>20110</v>
      </c>
      <c r="G1101" s="1" t="s">
        <v>20111</v>
      </c>
      <c r="H1101" s="1" t="s">
        <v>20112</v>
      </c>
      <c r="I1101" s="1" t="s">
        <v>20113</v>
      </c>
      <c r="J1101" s="1">
        <v>9895508527</v>
      </c>
      <c r="K1101" s="1" t="s">
        <v>153</v>
      </c>
      <c r="L1101" s="1" t="s">
        <v>7549</v>
      </c>
      <c r="M1101" s="1" t="s">
        <v>86</v>
      </c>
      <c r="N1101" s="1" t="s">
        <v>17950</v>
      </c>
      <c r="O1101" s="1" t="s">
        <v>20114</v>
      </c>
      <c r="P1101" s="1" t="s">
        <v>219</v>
      </c>
      <c r="Q1101" s="1">
        <v>941900545406</v>
      </c>
      <c r="R1101" s="1" t="s">
        <v>20115</v>
      </c>
      <c r="S1101" s="1">
        <v>9895500070</v>
      </c>
      <c r="T1101" s="1" t="s">
        <v>3439</v>
      </c>
      <c r="U1101" s="1" t="s">
        <v>20116</v>
      </c>
      <c r="V1101" s="1">
        <v>7736973398</v>
      </c>
      <c r="W1101" s="1" t="s">
        <v>10306</v>
      </c>
      <c r="X1101" s="1" t="s">
        <v>20117</v>
      </c>
      <c r="Y1101" s="1" t="s">
        <v>701</v>
      </c>
      <c r="Z1101" s="1" t="s">
        <v>130</v>
      </c>
      <c r="AA1101" s="1" t="s">
        <v>20117</v>
      </c>
      <c r="AB1101" s="1" t="s">
        <v>701</v>
      </c>
      <c r="AC1101" s="1" t="s">
        <v>130</v>
      </c>
      <c r="AD1101" s="1" t="s">
        <v>98</v>
      </c>
      <c r="AE1101" s="1" t="s">
        <v>98</v>
      </c>
      <c r="AF1101" s="1" t="s">
        <v>20118</v>
      </c>
      <c r="AG1101" s="1" t="s">
        <v>20119</v>
      </c>
      <c r="AH1101" s="1" t="s">
        <v>171</v>
      </c>
      <c r="AI1101" s="1" t="s">
        <v>313</v>
      </c>
      <c r="AJ1101" s="1">
        <v>93.6</v>
      </c>
      <c r="AK1101" s="1"/>
      <c r="AL1101" s="1" t="s">
        <v>20120</v>
      </c>
      <c r="AM1101" s="1" t="s">
        <v>20121</v>
      </c>
      <c r="AN1101" s="1" t="s">
        <v>575</v>
      </c>
      <c r="AO1101" s="1" t="s">
        <v>315</v>
      </c>
      <c r="AP1101" s="1" t="s">
        <v>549</v>
      </c>
      <c r="AQ1101" s="1">
        <v>96.1</v>
      </c>
      <c r="AR1101" s="1"/>
      <c r="AS1101" s="1"/>
      <c r="AT1101" s="1"/>
      <c r="AU1101" s="1"/>
      <c r="AV1101" s="1"/>
      <c r="AW1101" s="1"/>
      <c r="AX1101" s="1"/>
      <c r="AY1101" s="1" t="s">
        <v>17065</v>
      </c>
      <c r="AZ1101" s="1" t="s">
        <v>20122</v>
      </c>
      <c r="BA1101" s="1" t="s">
        <v>466</v>
      </c>
      <c r="BB1101" s="1" t="s">
        <v>467</v>
      </c>
      <c r="BC1101" s="1" t="s">
        <v>140</v>
      </c>
      <c r="BD1101" s="1" t="s">
        <v>553</v>
      </c>
      <c r="BE1101" s="1">
        <v>79.24</v>
      </c>
      <c r="BF1101" s="1">
        <v>8.3</v>
      </c>
      <c r="BG1101" s="1"/>
      <c r="BH1101" s="1"/>
      <c r="BI1101" s="1"/>
      <c r="BJ1101" s="1"/>
      <c r="BK1101" s="1"/>
      <c r="BL1101" s="1"/>
      <c r="BM1101" s="1"/>
      <c r="BN1101" s="1"/>
      <c r="BO1101" s="1" t="s">
        <v>20123</v>
      </c>
      <c r="BP1101" s="1" t="s">
        <v>20124</v>
      </c>
      <c r="BQ1101" s="1" t="s">
        <v>1070</v>
      </c>
      <c r="BR1101" s="1"/>
      <c r="BS1101" s="1"/>
      <c r="BT1101" s="1"/>
      <c r="BU1101" s="1" t="str">
        <f>HYPERLINK("https://nconnect.nicmar.ac.in/storage/profile/6a86e557a09eb.png","Download")</f>
        <v>0</v>
      </c>
      <c r="BV1101" s="3"/>
      <c r="BW1101" s="3"/>
    </row>
    <row r="1102" spans="1:75">
      <c r="A1102" s="1" t="s">
        <v>75</v>
      </c>
      <c r="B1102" s="1" t="s">
        <v>13976</v>
      </c>
      <c r="C1102" s="1" t="s">
        <v>20125</v>
      </c>
      <c r="D1102" s="1" t="s">
        <v>19794</v>
      </c>
      <c r="E1102" s="1" t="s">
        <v>20126</v>
      </c>
      <c r="F1102" s="1" t="s">
        <v>18786</v>
      </c>
      <c r="G1102" s="1" t="s">
        <v>20127</v>
      </c>
      <c r="H1102" s="1" t="s">
        <v>20128</v>
      </c>
      <c r="I1102" s="1" t="s">
        <v>20129</v>
      </c>
      <c r="J1102" s="1">
        <v>8421027356</v>
      </c>
      <c r="K1102" s="1" t="s">
        <v>84</v>
      </c>
      <c r="L1102" s="1" t="s">
        <v>20130</v>
      </c>
      <c r="M1102" s="1" t="s">
        <v>86</v>
      </c>
      <c r="N1102" s="1" t="s">
        <v>20131</v>
      </c>
      <c r="O1102" s="1" t="s">
        <v>20132</v>
      </c>
      <c r="P1102" s="1" t="s">
        <v>122</v>
      </c>
      <c r="Q1102" s="1">
        <v>547336228313</v>
      </c>
      <c r="R1102" s="1" t="s">
        <v>20133</v>
      </c>
      <c r="S1102" s="1">
        <v>9923111078</v>
      </c>
      <c r="T1102" s="1" t="s">
        <v>20134</v>
      </c>
      <c r="U1102" s="1" t="s">
        <v>20135</v>
      </c>
      <c r="V1102" s="1">
        <v>8007474306</v>
      </c>
      <c r="W1102" s="1" t="s">
        <v>14212</v>
      </c>
      <c r="X1102" s="1" t="s">
        <v>20136</v>
      </c>
      <c r="Y1102" s="1" t="s">
        <v>384</v>
      </c>
      <c r="Z1102" s="1" t="s">
        <v>97</v>
      </c>
      <c r="AA1102" s="1" t="s">
        <v>20136</v>
      </c>
      <c r="AB1102" s="1" t="s">
        <v>384</v>
      </c>
      <c r="AC1102" s="1" t="s">
        <v>97</v>
      </c>
      <c r="AD1102" s="1" t="s">
        <v>98</v>
      </c>
      <c r="AE1102" s="1" t="s">
        <v>98</v>
      </c>
      <c r="AF1102" s="1" t="s">
        <v>20137</v>
      </c>
      <c r="AG1102" s="1" t="s">
        <v>20138</v>
      </c>
      <c r="AH1102" s="1" t="s">
        <v>438</v>
      </c>
      <c r="AI1102" s="1" t="s">
        <v>603</v>
      </c>
      <c r="AJ1102" s="1">
        <v>70.8</v>
      </c>
      <c r="AK1102" s="1"/>
      <c r="AL1102" s="1"/>
      <c r="AM1102" s="1"/>
      <c r="AN1102" s="1"/>
      <c r="AO1102" s="1"/>
      <c r="AP1102" s="1"/>
      <c r="AQ1102" s="1"/>
      <c r="AR1102" s="1"/>
      <c r="AS1102" s="1" t="s">
        <v>20139</v>
      </c>
      <c r="AT1102" s="1" t="s">
        <v>20140</v>
      </c>
      <c r="AU1102" s="1" t="s">
        <v>178</v>
      </c>
      <c r="AV1102" s="1" t="s">
        <v>179</v>
      </c>
      <c r="AW1102" s="1">
        <v>78.63</v>
      </c>
      <c r="AX1102" s="1"/>
      <c r="AY1102" s="1" t="s">
        <v>14160</v>
      </c>
      <c r="AZ1102" s="1" t="s">
        <v>20141</v>
      </c>
      <c r="BA1102" s="1" t="s">
        <v>578</v>
      </c>
      <c r="BB1102" s="1" t="s">
        <v>467</v>
      </c>
      <c r="BC1102" s="1" t="s">
        <v>234</v>
      </c>
      <c r="BD1102" s="1" t="s">
        <v>14514</v>
      </c>
      <c r="BE1102" s="1">
        <v>74.1</v>
      </c>
      <c r="BF1102" s="1">
        <v>8.16</v>
      </c>
      <c r="BG1102" s="1"/>
      <c r="BH1102" s="1"/>
      <c r="BI1102" s="1"/>
      <c r="BJ1102" s="1"/>
      <c r="BK1102" s="1"/>
      <c r="BL1102" s="1"/>
      <c r="BM1102" s="1"/>
      <c r="BN1102" s="1"/>
      <c r="BO1102" s="1" t="s">
        <v>20142</v>
      </c>
      <c r="BP1102" s="1"/>
      <c r="BQ1102" s="1"/>
      <c r="BR1102" s="1" t="s">
        <v>20143</v>
      </c>
      <c r="BS1102" s="1">
        <v>19</v>
      </c>
      <c r="BT1102" s="1" t="s">
        <v>20144</v>
      </c>
      <c r="BU1102" s="1" t="str">
        <f>HYPERLINK("https://nconnect.nicmar.ac.in/storage/profile/6a8d6926779a8.png","Download")</f>
        <v>0</v>
      </c>
      <c r="BV1102" s="3"/>
      <c r="BW1102" s="3"/>
    </row>
    <row r="1103" spans="1:75">
      <c r="A1103" s="1" t="s">
        <v>75</v>
      </c>
      <c r="B1103" s="1" t="s">
        <v>13976</v>
      </c>
      <c r="C1103" s="1" t="s">
        <v>20145</v>
      </c>
      <c r="D1103" s="1" t="s">
        <v>20146</v>
      </c>
      <c r="E1103" s="1"/>
      <c r="F1103" s="1" t="s">
        <v>14045</v>
      </c>
      <c r="G1103" s="1" t="s">
        <v>20147</v>
      </c>
      <c r="H1103" s="1" t="s">
        <v>20148</v>
      </c>
      <c r="I1103" s="1" t="s">
        <v>20148</v>
      </c>
      <c r="J1103" s="1">
        <v>9398169160</v>
      </c>
      <c r="K1103" s="1" t="s">
        <v>84</v>
      </c>
      <c r="L1103" s="1" t="s">
        <v>20149</v>
      </c>
      <c r="M1103" s="1" t="s">
        <v>86</v>
      </c>
      <c r="N1103" s="1" t="s">
        <v>20150</v>
      </c>
      <c r="O1103" s="1" t="s">
        <v>20151</v>
      </c>
      <c r="P1103" s="1" t="s">
        <v>356</v>
      </c>
      <c r="Q1103" s="1">
        <v>417208179065</v>
      </c>
      <c r="R1103" s="1" t="s">
        <v>20152</v>
      </c>
      <c r="S1103" s="1">
        <v>7893321909</v>
      </c>
      <c r="T1103" s="1" t="s">
        <v>20153</v>
      </c>
      <c r="U1103" s="1" t="s">
        <v>20154</v>
      </c>
      <c r="V1103" s="1">
        <v>9391520377</v>
      </c>
      <c r="W1103" s="1" t="s">
        <v>14212</v>
      </c>
      <c r="X1103" s="1" t="s">
        <v>20155</v>
      </c>
      <c r="Y1103" s="1" t="s">
        <v>20156</v>
      </c>
      <c r="Z1103" s="1" t="s">
        <v>281</v>
      </c>
      <c r="AA1103" s="1" t="s">
        <v>20155</v>
      </c>
      <c r="AB1103" s="1" t="s">
        <v>20156</v>
      </c>
      <c r="AC1103" s="1" t="s">
        <v>281</v>
      </c>
      <c r="AD1103" s="1" t="s">
        <v>98</v>
      </c>
      <c r="AE1103" s="1" t="s">
        <v>98</v>
      </c>
      <c r="AF1103" s="1" t="s">
        <v>20157</v>
      </c>
      <c r="AG1103" s="1" t="s">
        <v>20158</v>
      </c>
      <c r="AH1103" s="1" t="s">
        <v>438</v>
      </c>
      <c r="AI1103" s="1" t="s">
        <v>603</v>
      </c>
      <c r="AJ1103" s="1">
        <v>75.83</v>
      </c>
      <c r="AK1103" s="1"/>
      <c r="AL1103" s="1" t="s">
        <v>20159</v>
      </c>
      <c r="AM1103" s="1" t="s">
        <v>20160</v>
      </c>
      <c r="AN1103" s="1" t="s">
        <v>465</v>
      </c>
      <c r="AO1103" s="1" t="s">
        <v>179</v>
      </c>
      <c r="AP1103" s="1" t="s">
        <v>4093</v>
      </c>
      <c r="AQ1103" s="1">
        <v>67.4</v>
      </c>
      <c r="AR1103" s="1"/>
      <c r="AS1103" s="1" t="s">
        <v>14158</v>
      </c>
      <c r="AT1103" s="1" t="s">
        <v>20161</v>
      </c>
      <c r="AU1103" s="1" t="s">
        <v>175</v>
      </c>
      <c r="AV1103" s="1" t="s">
        <v>234</v>
      </c>
      <c r="AW1103" s="1">
        <v>67.44</v>
      </c>
      <c r="AX1103" s="1"/>
      <c r="AY1103" s="1" t="s">
        <v>20162</v>
      </c>
      <c r="AZ1103" s="1" t="s">
        <v>20163</v>
      </c>
      <c r="BA1103" s="1" t="s">
        <v>466</v>
      </c>
      <c r="BB1103" s="1" t="s">
        <v>467</v>
      </c>
      <c r="BC1103" s="1" t="s">
        <v>391</v>
      </c>
      <c r="BD1103" s="1" t="s">
        <v>14101</v>
      </c>
      <c r="BE1103" s="1">
        <v>72.2</v>
      </c>
      <c r="BF1103" s="1">
        <v>7.97</v>
      </c>
      <c r="BG1103" s="1"/>
      <c r="BH1103" s="1"/>
      <c r="BI1103" s="1"/>
      <c r="BJ1103" s="1"/>
      <c r="BK1103" s="1"/>
      <c r="BL1103" s="1"/>
      <c r="BM1103" s="1"/>
      <c r="BN1103" s="1"/>
      <c r="BO1103" s="1" t="s">
        <v>20164</v>
      </c>
      <c r="BP1103" s="1"/>
      <c r="BQ1103" s="1"/>
      <c r="BR1103" s="1" t="s">
        <v>20165</v>
      </c>
      <c r="BS1103" s="1">
        <v>60</v>
      </c>
      <c r="BT1103" s="1" t="s">
        <v>20166</v>
      </c>
      <c r="BU1103" s="1" t="str">
        <f>HYPERLINK("https://nconnect.nicmar.ac.in/storage/profile/6a86e293526fb.png","Download")</f>
        <v>0</v>
      </c>
      <c r="BV1103" s="3"/>
      <c r="BW1103" s="3"/>
    </row>
    <row r="1104" spans="1:75">
      <c r="A1104" s="1" t="s">
        <v>75</v>
      </c>
      <c r="B1104" s="1" t="s">
        <v>13976</v>
      </c>
      <c r="C1104" s="1" t="s">
        <v>20167</v>
      </c>
      <c r="D1104" s="1" t="s">
        <v>19517</v>
      </c>
      <c r="E1104" s="1" t="s">
        <v>20168</v>
      </c>
      <c r="F1104" s="1" t="s">
        <v>20169</v>
      </c>
      <c r="G1104" s="1" t="s">
        <v>20170</v>
      </c>
      <c r="H1104" s="1" t="s">
        <v>20171</v>
      </c>
      <c r="I1104" s="1" t="s">
        <v>20172</v>
      </c>
      <c r="J1104" s="1">
        <v>9313940700</v>
      </c>
      <c r="K1104" s="1" t="s">
        <v>84</v>
      </c>
      <c r="L1104" s="1" t="s">
        <v>19243</v>
      </c>
      <c r="M1104" s="1" t="s">
        <v>86</v>
      </c>
      <c r="N1104" s="1" t="s">
        <v>20173</v>
      </c>
      <c r="O1104" s="1" t="s">
        <v>20174</v>
      </c>
      <c r="P1104" s="1" t="s">
        <v>1693</v>
      </c>
      <c r="Q1104" s="1">
        <v>980878657305</v>
      </c>
      <c r="R1104" s="1" t="s">
        <v>20175</v>
      </c>
      <c r="S1104" s="1">
        <v>9825395717</v>
      </c>
      <c r="T1104" s="1" t="s">
        <v>20176</v>
      </c>
      <c r="U1104" s="1" t="s">
        <v>20177</v>
      </c>
      <c r="V1104" s="1">
        <v>9427581505</v>
      </c>
      <c r="W1104" s="1" t="s">
        <v>14154</v>
      </c>
      <c r="X1104" s="1" t="s">
        <v>20178</v>
      </c>
      <c r="Y1104" s="1" t="s">
        <v>5138</v>
      </c>
      <c r="Z1104" s="1" t="s">
        <v>676</v>
      </c>
      <c r="AA1104" s="1" t="s">
        <v>20178</v>
      </c>
      <c r="AB1104" s="1" t="s">
        <v>5138</v>
      </c>
      <c r="AC1104" s="1" t="s">
        <v>676</v>
      </c>
      <c r="AD1104" s="1" t="s">
        <v>98</v>
      </c>
      <c r="AE1104" s="1" t="s">
        <v>98</v>
      </c>
      <c r="AF1104" s="1" t="s">
        <v>20179</v>
      </c>
      <c r="AG1104" s="1" t="s">
        <v>20180</v>
      </c>
      <c r="AH1104" s="1" t="s">
        <v>414</v>
      </c>
      <c r="AI1104" s="1" t="s">
        <v>603</v>
      </c>
      <c r="AJ1104" s="1">
        <v>85.16</v>
      </c>
      <c r="AK1104" s="1"/>
      <c r="AL1104" s="1" t="s">
        <v>20179</v>
      </c>
      <c r="AM1104" s="1" t="s">
        <v>20180</v>
      </c>
      <c r="AN1104" s="1" t="s">
        <v>465</v>
      </c>
      <c r="AO1104" s="1" t="s">
        <v>1192</v>
      </c>
      <c r="AP1104" s="1" t="s">
        <v>1886</v>
      </c>
      <c r="AQ1104" s="1">
        <v>70.3</v>
      </c>
      <c r="AR1104" s="1"/>
      <c r="AS1104" s="1"/>
      <c r="AT1104" s="1"/>
      <c r="AU1104" s="1"/>
      <c r="AV1104" s="1"/>
      <c r="AW1104" s="1"/>
      <c r="AX1104" s="1"/>
      <c r="AY1104" s="1" t="s">
        <v>15188</v>
      </c>
      <c r="AZ1104" s="1" t="s">
        <v>20181</v>
      </c>
      <c r="BA1104" s="1" t="s">
        <v>466</v>
      </c>
      <c r="BB1104" s="1" t="s">
        <v>467</v>
      </c>
      <c r="BC1104" s="1" t="s">
        <v>1400</v>
      </c>
      <c r="BD1104" s="1" t="s">
        <v>9688</v>
      </c>
      <c r="BE1104" s="1">
        <v>80.8</v>
      </c>
      <c r="BF1104" s="1">
        <v>8.58</v>
      </c>
      <c r="BG1104" s="1"/>
      <c r="BH1104" s="1"/>
      <c r="BI1104" s="1"/>
      <c r="BJ1104" s="1"/>
      <c r="BK1104" s="1"/>
      <c r="BL1104" s="1"/>
      <c r="BM1104" s="1"/>
      <c r="BN1104" s="1"/>
      <c r="BO1104" s="1" t="s">
        <v>20182</v>
      </c>
      <c r="BP1104" s="1"/>
      <c r="BQ1104" s="1"/>
      <c r="BR1104" s="1" t="s">
        <v>20183</v>
      </c>
      <c r="BS1104" s="1">
        <v>3</v>
      </c>
      <c r="BT1104" s="1" t="s">
        <v>20184</v>
      </c>
      <c r="BU1104" s="1" t="str">
        <f>HYPERLINK("https://nconnect.nicmar.ac.in/storage/profile/6a874723e8123.png","Download")</f>
        <v>0</v>
      </c>
      <c r="BV1104" s="3"/>
      <c r="BW1104" s="3"/>
    </row>
    <row r="1105" spans="1:75">
      <c r="A1105" s="1" t="s">
        <v>75</v>
      </c>
      <c r="B1105" s="1" t="s">
        <v>13976</v>
      </c>
      <c r="C1105" s="1" t="s">
        <v>20185</v>
      </c>
      <c r="D1105" s="1" t="s">
        <v>20186</v>
      </c>
      <c r="E1105" s="1" t="s">
        <v>20187</v>
      </c>
      <c r="F1105" s="1" t="s">
        <v>20188</v>
      </c>
      <c r="G1105" s="1" t="s">
        <v>20189</v>
      </c>
      <c r="H1105" s="1" t="s">
        <v>20190</v>
      </c>
      <c r="I1105" s="1" t="s">
        <v>20190</v>
      </c>
      <c r="J1105" s="1">
        <v>9167379984</v>
      </c>
      <c r="K1105" s="1" t="s">
        <v>84</v>
      </c>
      <c r="L1105" s="1" t="s">
        <v>20191</v>
      </c>
      <c r="M1105" s="1" t="s">
        <v>86</v>
      </c>
      <c r="N1105" s="1" t="s">
        <v>20192</v>
      </c>
      <c r="O1105" s="1" t="s">
        <v>20193</v>
      </c>
      <c r="P1105" s="1" t="s">
        <v>122</v>
      </c>
      <c r="Q1105" s="1">
        <v>961605071157</v>
      </c>
      <c r="R1105" s="1" t="s">
        <v>20194</v>
      </c>
      <c r="S1105" s="1">
        <v>9653472245</v>
      </c>
      <c r="T1105" s="1" t="s">
        <v>14335</v>
      </c>
      <c r="U1105" s="1" t="s">
        <v>20195</v>
      </c>
      <c r="V1105" s="1">
        <v>9892564994</v>
      </c>
      <c r="W1105" s="1" t="s">
        <v>16332</v>
      </c>
      <c r="X1105" s="1" t="s">
        <v>20196</v>
      </c>
      <c r="Y1105" s="1" t="s">
        <v>1882</v>
      </c>
      <c r="Z1105" s="1" t="s">
        <v>97</v>
      </c>
      <c r="AA1105" s="1" t="s">
        <v>20196</v>
      </c>
      <c r="AB1105" s="1" t="s">
        <v>1882</v>
      </c>
      <c r="AC1105" s="1" t="s">
        <v>97</v>
      </c>
      <c r="AD1105" s="1" t="s">
        <v>98</v>
      </c>
      <c r="AE1105" s="1" t="s">
        <v>98</v>
      </c>
      <c r="AF1105" s="1" t="s">
        <v>20197</v>
      </c>
      <c r="AG1105" s="1" t="s">
        <v>20198</v>
      </c>
      <c r="AH1105" s="1" t="s">
        <v>106</v>
      </c>
      <c r="AI1105" s="1" t="s">
        <v>414</v>
      </c>
      <c r="AJ1105" s="1">
        <v>73.6</v>
      </c>
      <c r="AK1105" s="1"/>
      <c r="AL1105" s="1"/>
      <c r="AM1105" s="1"/>
      <c r="AN1105" s="1"/>
      <c r="AO1105" s="1"/>
      <c r="AP1105" s="1"/>
      <c r="AQ1105" s="1"/>
      <c r="AR1105" s="1"/>
      <c r="AS1105" s="1" t="s">
        <v>14158</v>
      </c>
      <c r="AT1105" s="1" t="s">
        <v>20199</v>
      </c>
      <c r="AU1105" s="1" t="s">
        <v>206</v>
      </c>
      <c r="AV1105" s="1" t="s">
        <v>1400</v>
      </c>
      <c r="AW1105" s="1">
        <v>88.47</v>
      </c>
      <c r="AX1105" s="1"/>
      <c r="AY1105" s="1" t="s">
        <v>14380</v>
      </c>
      <c r="AZ1105" s="1" t="s">
        <v>20200</v>
      </c>
      <c r="BA1105" s="1" t="s">
        <v>578</v>
      </c>
      <c r="BB1105" s="1" t="s">
        <v>467</v>
      </c>
      <c r="BC1105" s="1" t="s">
        <v>1400</v>
      </c>
      <c r="BD1105" s="1" t="s">
        <v>1401</v>
      </c>
      <c r="BE1105" s="1">
        <v>66.83</v>
      </c>
      <c r="BF1105" s="1">
        <v>7.24</v>
      </c>
      <c r="BG1105" s="1"/>
      <c r="BH1105" s="1"/>
      <c r="BI1105" s="1"/>
      <c r="BJ1105" s="1"/>
      <c r="BK1105" s="1"/>
      <c r="BL1105" s="1"/>
      <c r="BM1105" s="1"/>
      <c r="BN1105" s="1"/>
      <c r="BO1105" s="1" t="s">
        <v>20201</v>
      </c>
      <c r="BP1105" s="1" t="s">
        <v>20202</v>
      </c>
      <c r="BQ1105" s="1" t="s">
        <v>471</v>
      </c>
      <c r="BR1105" s="1" t="s">
        <v>20203</v>
      </c>
      <c r="BS1105" s="1">
        <v>3</v>
      </c>
      <c r="BT1105" s="1"/>
      <c r="BU1105" s="1" t="str">
        <f>HYPERLINK("https://nconnect.nicmar.ac.in/storage/profile/6a870d7005d41.png","Download")</f>
        <v>0</v>
      </c>
      <c r="BV1105" s="3"/>
      <c r="BW1105" s="3"/>
    </row>
    <row r="1106" spans="1:75">
      <c r="A1106" s="1" t="s">
        <v>75</v>
      </c>
      <c r="B1106" s="1" t="s">
        <v>13976</v>
      </c>
      <c r="C1106" s="1" t="s">
        <v>20204</v>
      </c>
      <c r="D1106" s="1" t="s">
        <v>20205</v>
      </c>
      <c r="E1106" s="1"/>
      <c r="F1106" s="1" t="s">
        <v>20206</v>
      </c>
      <c r="G1106" s="1" t="s">
        <v>20207</v>
      </c>
      <c r="H1106" s="1" t="s">
        <v>20208</v>
      </c>
      <c r="I1106" s="1" t="s">
        <v>20209</v>
      </c>
      <c r="J1106" s="1">
        <v>9496920370</v>
      </c>
      <c r="K1106" s="1" t="s">
        <v>84</v>
      </c>
      <c r="L1106" s="1" t="s">
        <v>11475</v>
      </c>
      <c r="M1106" s="1" t="s">
        <v>86</v>
      </c>
      <c r="N1106" s="1" t="s">
        <v>11866</v>
      </c>
      <c r="O1106" s="1" t="s">
        <v>20210</v>
      </c>
      <c r="P1106" s="1" t="s">
        <v>122</v>
      </c>
      <c r="Q1106" s="1">
        <v>317017869218</v>
      </c>
      <c r="R1106" s="1" t="s">
        <v>20211</v>
      </c>
      <c r="S1106" s="1">
        <v>9645545588</v>
      </c>
      <c r="T1106" s="1" t="s">
        <v>839</v>
      </c>
      <c r="U1106" s="1" t="s">
        <v>20212</v>
      </c>
      <c r="V1106" s="1">
        <v>8281478003</v>
      </c>
      <c r="W1106" s="1" t="s">
        <v>127</v>
      </c>
      <c r="X1106" s="1" t="s">
        <v>20213</v>
      </c>
      <c r="Y1106" s="1" t="s">
        <v>3190</v>
      </c>
      <c r="Z1106" s="1" t="s">
        <v>130</v>
      </c>
      <c r="AA1106" s="1" t="s">
        <v>20213</v>
      </c>
      <c r="AB1106" s="1" t="s">
        <v>3190</v>
      </c>
      <c r="AC1106" s="1" t="s">
        <v>130</v>
      </c>
      <c r="AD1106" s="1" t="s">
        <v>98</v>
      </c>
      <c r="AE1106" s="1" t="s">
        <v>98</v>
      </c>
      <c r="AF1106" s="1" t="s">
        <v>20214</v>
      </c>
      <c r="AG1106" s="1" t="s">
        <v>312</v>
      </c>
      <c r="AH1106" s="1" t="s">
        <v>166</v>
      </c>
      <c r="AI1106" s="1" t="s">
        <v>627</v>
      </c>
      <c r="AJ1106" s="1">
        <v>91.2</v>
      </c>
      <c r="AK1106" s="1">
        <v>9.6</v>
      </c>
      <c r="AL1106" s="1" t="s">
        <v>20214</v>
      </c>
      <c r="AM1106" s="1" t="s">
        <v>312</v>
      </c>
      <c r="AN1106" s="1" t="s">
        <v>465</v>
      </c>
      <c r="AO1106" s="1" t="s">
        <v>170</v>
      </c>
      <c r="AP1106" s="1" t="s">
        <v>171</v>
      </c>
      <c r="AQ1106" s="1">
        <v>75.8</v>
      </c>
      <c r="AR1106" s="1"/>
      <c r="AS1106" s="1"/>
      <c r="AT1106" s="1"/>
      <c r="AU1106" s="1"/>
      <c r="AV1106" s="1"/>
      <c r="AW1106" s="1"/>
      <c r="AX1106" s="1"/>
      <c r="AY1106" s="1" t="s">
        <v>20215</v>
      </c>
      <c r="AZ1106" s="1" t="s">
        <v>20216</v>
      </c>
      <c r="BA1106" s="1" t="s">
        <v>682</v>
      </c>
      <c r="BB1106" s="1" t="s">
        <v>683</v>
      </c>
      <c r="BC1106" s="1" t="s">
        <v>206</v>
      </c>
      <c r="BD1106" s="1" t="s">
        <v>14903</v>
      </c>
      <c r="BE1106" s="1">
        <v>72.8</v>
      </c>
      <c r="BF1106" s="1">
        <v>7.28</v>
      </c>
      <c r="BG1106" s="1"/>
      <c r="BH1106" s="1"/>
      <c r="BI1106" s="1"/>
      <c r="BJ1106" s="1"/>
      <c r="BK1106" s="1"/>
      <c r="BL1106" s="1"/>
      <c r="BM1106" s="1"/>
      <c r="BN1106" s="1"/>
      <c r="BO1106" s="1" t="s">
        <v>20217</v>
      </c>
      <c r="BP1106" s="1" t="s">
        <v>20218</v>
      </c>
      <c r="BQ1106" s="1" t="s">
        <v>2093</v>
      </c>
      <c r="BR1106" s="1"/>
      <c r="BS1106" s="1"/>
      <c r="BT1106" s="1"/>
      <c r="BU1106" s="1" t="str">
        <f>HYPERLINK("https://nconnect.nicmar.ac.in/storage/profile/6a85c9eac6126.png","Download")</f>
        <v>0</v>
      </c>
      <c r="BV1106" s="3"/>
      <c r="BW1106" s="3"/>
    </row>
    <row r="1107" spans="1:75">
      <c r="A1107" s="1" t="s">
        <v>75</v>
      </c>
      <c r="B1107" s="1" t="s">
        <v>13976</v>
      </c>
      <c r="C1107" s="1" t="s">
        <v>20219</v>
      </c>
      <c r="D1107" s="1" t="s">
        <v>20220</v>
      </c>
      <c r="E1107" s="1" t="s">
        <v>20221</v>
      </c>
      <c r="F1107" s="1" t="s">
        <v>20222</v>
      </c>
      <c r="G1107" s="1" t="s">
        <v>20223</v>
      </c>
      <c r="H1107" s="1" t="s">
        <v>20224</v>
      </c>
      <c r="I1107" s="1" t="s">
        <v>20225</v>
      </c>
      <c r="J1107" s="1">
        <v>8080410668</v>
      </c>
      <c r="K1107" s="1" t="s">
        <v>84</v>
      </c>
      <c r="L1107" s="1" t="s">
        <v>20226</v>
      </c>
      <c r="M1107" s="1" t="s">
        <v>86</v>
      </c>
      <c r="N1107" s="1" t="s">
        <v>4263</v>
      </c>
      <c r="O1107" s="1" t="s">
        <v>20227</v>
      </c>
      <c r="P1107" s="1" t="s">
        <v>219</v>
      </c>
      <c r="Q1107" s="1">
        <v>341543966130</v>
      </c>
      <c r="R1107" s="1" t="s">
        <v>20228</v>
      </c>
      <c r="S1107" s="1">
        <v>9822534201</v>
      </c>
      <c r="T1107" s="1" t="s">
        <v>20229</v>
      </c>
      <c r="U1107" s="1" t="s">
        <v>20230</v>
      </c>
      <c r="V1107" s="1">
        <v>8080412319</v>
      </c>
      <c r="W1107" s="1" t="s">
        <v>14095</v>
      </c>
      <c r="X1107" s="1" t="s">
        <v>20231</v>
      </c>
      <c r="Y1107" s="1" t="s">
        <v>910</v>
      </c>
      <c r="Z1107" s="1" t="s">
        <v>97</v>
      </c>
      <c r="AA1107" s="1" t="s">
        <v>20232</v>
      </c>
      <c r="AB1107" s="1" t="s">
        <v>196</v>
      </c>
      <c r="AC1107" s="1" t="s">
        <v>97</v>
      </c>
      <c r="AD1107" s="1" t="s">
        <v>98</v>
      </c>
      <c r="AE1107" s="1" t="s">
        <v>98</v>
      </c>
      <c r="AF1107" s="1" t="s">
        <v>20233</v>
      </c>
      <c r="AG1107" s="1" t="s">
        <v>97</v>
      </c>
      <c r="AH1107" s="1" t="s">
        <v>174</v>
      </c>
      <c r="AI1107" s="1" t="s">
        <v>414</v>
      </c>
      <c r="AJ1107" s="1">
        <v>61.3</v>
      </c>
      <c r="AK1107" s="1"/>
      <c r="AL1107" s="1"/>
      <c r="AM1107" s="1"/>
      <c r="AN1107" s="1"/>
      <c r="AO1107" s="1"/>
      <c r="AP1107" s="1"/>
      <c r="AQ1107" s="1"/>
      <c r="AR1107" s="1"/>
      <c r="AS1107" s="1" t="s">
        <v>467</v>
      </c>
      <c r="AT1107" s="1" t="s">
        <v>20234</v>
      </c>
      <c r="AU1107" s="1" t="s">
        <v>438</v>
      </c>
      <c r="AV1107" s="1" t="s">
        <v>1400</v>
      </c>
      <c r="AW1107" s="1">
        <v>88.89</v>
      </c>
      <c r="AX1107" s="1"/>
      <c r="AY1107" s="1" t="s">
        <v>20235</v>
      </c>
      <c r="AZ1107" s="1" t="s">
        <v>20236</v>
      </c>
      <c r="BA1107" s="1" t="s">
        <v>466</v>
      </c>
      <c r="BB1107" s="1" t="s">
        <v>467</v>
      </c>
      <c r="BC1107" s="1" t="s">
        <v>9528</v>
      </c>
      <c r="BD1107" s="1" t="s">
        <v>16997</v>
      </c>
      <c r="BE1107" s="1">
        <v>88.89</v>
      </c>
      <c r="BF1107" s="1"/>
      <c r="BG1107" s="1"/>
      <c r="BH1107" s="1"/>
      <c r="BI1107" s="1"/>
      <c r="BJ1107" s="1"/>
      <c r="BK1107" s="1"/>
      <c r="BL1107" s="1"/>
      <c r="BM1107" s="1"/>
      <c r="BN1107" s="1"/>
      <c r="BO1107" s="1" t="s">
        <v>20237</v>
      </c>
      <c r="BP1107" s="1" t="s">
        <v>20238</v>
      </c>
      <c r="BQ1107" s="1" t="s">
        <v>471</v>
      </c>
      <c r="BR1107" s="1"/>
      <c r="BS1107" s="1"/>
      <c r="BT1107" s="1"/>
      <c r="BU1107" s="1" t="str">
        <f>HYPERLINK("https://nconnect.nicmar.ac.in/storage/profile/6a8726a2a0e4f.png","Download")</f>
        <v>0</v>
      </c>
      <c r="BV1107" s="3"/>
      <c r="BW1107" s="3"/>
    </row>
    <row r="1108" spans="1:75">
      <c r="A1108" s="1" t="s">
        <v>75</v>
      </c>
      <c r="B1108" s="1" t="s">
        <v>13976</v>
      </c>
      <c r="C1108" s="1" t="s">
        <v>20239</v>
      </c>
      <c r="D1108" s="1" t="s">
        <v>20240</v>
      </c>
      <c r="E1108" s="1" t="s">
        <v>20241</v>
      </c>
      <c r="F1108" s="1" t="s">
        <v>9650</v>
      </c>
      <c r="G1108" s="1" t="s">
        <v>20242</v>
      </c>
      <c r="H1108" s="1" t="s">
        <v>20243</v>
      </c>
      <c r="I1108" s="1" t="s">
        <v>20244</v>
      </c>
      <c r="J1108" s="1">
        <v>9588431744</v>
      </c>
      <c r="K1108" s="1" t="s">
        <v>153</v>
      </c>
      <c r="L1108" s="1" t="s">
        <v>20245</v>
      </c>
      <c r="M1108" s="1" t="s">
        <v>86</v>
      </c>
      <c r="N1108" s="1" t="s">
        <v>20246</v>
      </c>
      <c r="O1108" s="1" t="s">
        <v>20247</v>
      </c>
      <c r="P1108" s="1" t="s">
        <v>89</v>
      </c>
      <c r="Q1108" s="1">
        <v>238191684292</v>
      </c>
      <c r="R1108" s="1" t="s">
        <v>20248</v>
      </c>
      <c r="S1108" s="1">
        <v>8412847089</v>
      </c>
      <c r="T1108" s="1" t="s">
        <v>20249</v>
      </c>
      <c r="U1108" s="1" t="s">
        <v>20250</v>
      </c>
      <c r="V1108" s="1">
        <v>8412095482</v>
      </c>
      <c r="W1108" s="1" t="s">
        <v>14032</v>
      </c>
      <c r="X1108" s="1" t="s">
        <v>20251</v>
      </c>
      <c r="Y1108" s="1" t="s">
        <v>3282</v>
      </c>
      <c r="Z1108" s="1" t="s">
        <v>1234</v>
      </c>
      <c r="AA1108" s="1" t="s">
        <v>20252</v>
      </c>
      <c r="AB1108" s="1" t="s">
        <v>196</v>
      </c>
      <c r="AC1108" s="1" t="s">
        <v>97</v>
      </c>
      <c r="AD1108" s="1" t="s">
        <v>98</v>
      </c>
      <c r="AE1108" s="1" t="s">
        <v>98</v>
      </c>
      <c r="AF1108" s="1" t="s">
        <v>20253</v>
      </c>
      <c r="AG1108" s="1" t="s">
        <v>20254</v>
      </c>
      <c r="AH1108" s="1" t="s">
        <v>284</v>
      </c>
      <c r="AI1108" s="1" t="s">
        <v>200</v>
      </c>
      <c r="AJ1108" s="1">
        <v>95</v>
      </c>
      <c r="AK1108" s="1">
        <v>10</v>
      </c>
      <c r="AL1108" s="1" t="s">
        <v>20253</v>
      </c>
      <c r="AM1108" s="1" t="s">
        <v>20254</v>
      </c>
      <c r="AN1108" s="1" t="s">
        <v>465</v>
      </c>
      <c r="AO1108" s="1" t="s">
        <v>490</v>
      </c>
      <c r="AP1108" s="1" t="s">
        <v>414</v>
      </c>
      <c r="AQ1108" s="1">
        <v>92.2</v>
      </c>
      <c r="AR1108" s="1"/>
      <c r="AS1108" s="1"/>
      <c r="AT1108" s="1"/>
      <c r="AU1108" s="1"/>
      <c r="AV1108" s="1"/>
      <c r="AW1108" s="1"/>
      <c r="AX1108" s="1"/>
      <c r="AY1108" s="1" t="s">
        <v>20255</v>
      </c>
      <c r="AZ1108" s="1" t="s">
        <v>20256</v>
      </c>
      <c r="BA1108" s="1" t="s">
        <v>682</v>
      </c>
      <c r="BB1108" s="1" t="s">
        <v>1561</v>
      </c>
      <c r="BC1108" s="1" t="s">
        <v>206</v>
      </c>
      <c r="BD1108" s="1" t="s">
        <v>1314</v>
      </c>
      <c r="BE1108" s="1">
        <v>75.56</v>
      </c>
      <c r="BF1108" s="1">
        <v>8.59</v>
      </c>
      <c r="BG1108" s="1"/>
      <c r="BH1108" s="1"/>
      <c r="BI1108" s="1"/>
      <c r="BJ1108" s="1"/>
      <c r="BK1108" s="1"/>
      <c r="BL1108" s="1"/>
      <c r="BM1108" s="1"/>
      <c r="BN1108" s="1"/>
      <c r="BO1108" s="1" t="s">
        <v>20257</v>
      </c>
      <c r="BP1108" s="1" t="s">
        <v>20258</v>
      </c>
      <c r="BQ1108" s="1" t="s">
        <v>757</v>
      </c>
      <c r="BR1108" s="1" t="s">
        <v>20259</v>
      </c>
      <c r="BS1108" s="1">
        <v>73</v>
      </c>
      <c r="BT1108" s="1" t="s">
        <v>20260</v>
      </c>
      <c r="BU1108" s="1" t="str">
        <f>HYPERLINK("https://nconnect.nicmar.ac.in/storage/profile/6a843f416ecac.png","Download")</f>
        <v>0</v>
      </c>
      <c r="BV1108" s="3"/>
      <c r="BW1108" s="3"/>
    </row>
    <row r="1109" spans="1:75">
      <c r="A1109" s="1" t="s">
        <v>75</v>
      </c>
      <c r="B1109" s="1" t="s">
        <v>13976</v>
      </c>
      <c r="C1109" s="1" t="s">
        <v>20261</v>
      </c>
      <c r="D1109" s="1" t="s">
        <v>1319</v>
      </c>
      <c r="E1109" s="1" t="s">
        <v>20262</v>
      </c>
      <c r="F1109" s="1" t="s">
        <v>20263</v>
      </c>
      <c r="G1109" s="1" t="s">
        <v>20264</v>
      </c>
      <c r="H1109" s="1" t="s">
        <v>20265</v>
      </c>
      <c r="I1109" s="1" t="s">
        <v>20266</v>
      </c>
      <c r="J1109" s="1">
        <v>7977932629</v>
      </c>
      <c r="K1109" s="1" t="s">
        <v>84</v>
      </c>
      <c r="L1109" s="1" t="s">
        <v>20267</v>
      </c>
      <c r="M1109" s="1" t="s">
        <v>86</v>
      </c>
      <c r="N1109" s="1" t="s">
        <v>6390</v>
      </c>
      <c r="O1109" s="1" t="s">
        <v>20268</v>
      </c>
      <c r="P1109" s="1" t="s">
        <v>122</v>
      </c>
      <c r="Q1109" s="1">
        <v>972982944063</v>
      </c>
      <c r="R1109" s="1" t="s">
        <v>20269</v>
      </c>
      <c r="S1109" s="1">
        <v>9702948862</v>
      </c>
      <c r="T1109" s="1" t="s">
        <v>20270</v>
      </c>
      <c r="U1109" s="1" t="s">
        <v>20271</v>
      </c>
      <c r="V1109" s="1">
        <v>9324340738</v>
      </c>
      <c r="W1109" s="1" t="s">
        <v>14710</v>
      </c>
      <c r="X1109" s="1" t="s">
        <v>20272</v>
      </c>
      <c r="Y1109" s="1" t="s">
        <v>2259</v>
      </c>
      <c r="Z1109" s="1" t="s">
        <v>97</v>
      </c>
      <c r="AA1109" s="1" t="s">
        <v>20272</v>
      </c>
      <c r="AB1109" s="1" t="s">
        <v>2259</v>
      </c>
      <c r="AC1109" s="1" t="s">
        <v>97</v>
      </c>
      <c r="AD1109" s="1" t="s">
        <v>98</v>
      </c>
      <c r="AE1109" s="1" t="s">
        <v>98</v>
      </c>
      <c r="AF1109" s="1" t="s">
        <v>20273</v>
      </c>
      <c r="AG1109" s="1" t="s">
        <v>17414</v>
      </c>
      <c r="AH1109" s="1" t="s">
        <v>1111</v>
      </c>
      <c r="AI1109" s="1" t="s">
        <v>200</v>
      </c>
      <c r="AJ1109" s="1">
        <v>79.4</v>
      </c>
      <c r="AK1109" s="1"/>
      <c r="AL1109" s="1"/>
      <c r="AM1109" s="1"/>
      <c r="AN1109" s="1"/>
      <c r="AO1109" s="1"/>
      <c r="AP1109" s="1"/>
      <c r="AQ1109" s="1"/>
      <c r="AR1109" s="1"/>
      <c r="AS1109" s="1" t="s">
        <v>14713</v>
      </c>
      <c r="AT1109" s="1" t="s">
        <v>20274</v>
      </c>
      <c r="AU1109" s="1" t="s">
        <v>230</v>
      </c>
      <c r="AV1109" s="1" t="s">
        <v>175</v>
      </c>
      <c r="AW1109" s="1">
        <v>78.34</v>
      </c>
      <c r="AX1109" s="1"/>
      <c r="AY1109" s="1" t="s">
        <v>17105</v>
      </c>
      <c r="AZ1109" s="1" t="s">
        <v>20275</v>
      </c>
      <c r="BA1109" s="1" t="s">
        <v>578</v>
      </c>
      <c r="BB1109" s="1" t="s">
        <v>467</v>
      </c>
      <c r="BC1109" s="1" t="s">
        <v>368</v>
      </c>
      <c r="BD1109" s="1" t="s">
        <v>179</v>
      </c>
      <c r="BE1109" s="1">
        <v>74.14</v>
      </c>
      <c r="BF1109" s="1">
        <v>8.42</v>
      </c>
      <c r="BG1109" s="1"/>
      <c r="BH1109" s="1"/>
      <c r="BI1109" s="1"/>
      <c r="BJ1109" s="1"/>
      <c r="BK1109" s="1"/>
      <c r="BL1109" s="1"/>
      <c r="BM1109" s="1"/>
      <c r="BN1109" s="1"/>
      <c r="BO1109" s="1" t="s">
        <v>20276</v>
      </c>
      <c r="BP1109" s="1" t="s">
        <v>20277</v>
      </c>
      <c r="BQ1109" s="1" t="s">
        <v>4149</v>
      </c>
      <c r="BR1109" s="1"/>
      <c r="BS1109" s="1"/>
      <c r="BT1109" s="1"/>
      <c r="BU1109" s="1" t="str">
        <f>HYPERLINK("https://nconnect.nicmar.ac.in/storage/profile/6a85ed1a7990e.png","Download")</f>
        <v>0</v>
      </c>
      <c r="BV1109" s="3"/>
      <c r="BW1109" s="3"/>
    </row>
    <row r="1110" spans="1:75">
      <c r="A1110" s="1" t="s">
        <v>75</v>
      </c>
      <c r="B1110" s="1" t="s">
        <v>13976</v>
      </c>
      <c r="C1110" s="1" t="s">
        <v>20278</v>
      </c>
      <c r="D1110" s="1" t="s">
        <v>20279</v>
      </c>
      <c r="E1110" s="1" t="s">
        <v>20280</v>
      </c>
      <c r="F1110" s="1" t="s">
        <v>20281</v>
      </c>
      <c r="G1110" s="1" t="s">
        <v>20282</v>
      </c>
      <c r="H1110" s="1" t="s">
        <v>20283</v>
      </c>
      <c r="I1110" s="1" t="s">
        <v>20284</v>
      </c>
      <c r="J1110" s="1">
        <v>9579365803</v>
      </c>
      <c r="K1110" s="1" t="s">
        <v>153</v>
      </c>
      <c r="L1110" s="1" t="s">
        <v>20285</v>
      </c>
      <c r="M1110" s="1" t="s">
        <v>86</v>
      </c>
      <c r="N1110" s="1" t="s">
        <v>20286</v>
      </c>
      <c r="O1110" s="1" t="s">
        <v>20287</v>
      </c>
      <c r="P1110" s="1" t="s">
        <v>122</v>
      </c>
      <c r="Q1110" s="1">
        <v>412703083994</v>
      </c>
      <c r="R1110" s="1" t="s">
        <v>20280</v>
      </c>
      <c r="S1110" s="1">
        <v>7083327998</v>
      </c>
      <c r="T1110" s="1" t="s">
        <v>14821</v>
      </c>
      <c r="U1110" s="1" t="s">
        <v>20288</v>
      </c>
      <c r="V1110" s="1">
        <v>9356056741</v>
      </c>
      <c r="W1110" s="1" t="s">
        <v>15313</v>
      </c>
      <c r="X1110" s="1" t="s">
        <v>20289</v>
      </c>
      <c r="Y1110" s="1" t="s">
        <v>2668</v>
      </c>
      <c r="Z1110" s="1" t="s">
        <v>97</v>
      </c>
      <c r="AA1110" s="1" t="s">
        <v>20289</v>
      </c>
      <c r="AB1110" s="1" t="s">
        <v>2668</v>
      </c>
      <c r="AC1110" s="1" t="s">
        <v>97</v>
      </c>
      <c r="AD1110" s="1" t="s">
        <v>98</v>
      </c>
      <c r="AE1110" s="1" t="s">
        <v>98</v>
      </c>
      <c r="AF1110" s="1" t="s">
        <v>20290</v>
      </c>
      <c r="AG1110" s="1" t="s">
        <v>20291</v>
      </c>
      <c r="AH1110" s="1" t="s">
        <v>170</v>
      </c>
      <c r="AI1110" s="1" t="s">
        <v>106</v>
      </c>
      <c r="AJ1110" s="1">
        <v>92.8</v>
      </c>
      <c r="AK1110" s="1"/>
      <c r="AL1110" s="1"/>
      <c r="AM1110" s="1"/>
      <c r="AN1110" s="1"/>
      <c r="AO1110" s="1"/>
      <c r="AP1110" s="1"/>
      <c r="AQ1110" s="1"/>
      <c r="AR1110" s="1"/>
      <c r="AS1110" s="1" t="s">
        <v>14787</v>
      </c>
      <c r="AT1110" s="1" t="s">
        <v>20292</v>
      </c>
      <c r="AU1110" s="1" t="s">
        <v>1065</v>
      </c>
      <c r="AV1110" s="1" t="s">
        <v>441</v>
      </c>
      <c r="AW1110" s="1">
        <v>86.53</v>
      </c>
      <c r="AX1110" s="1"/>
      <c r="AY1110" s="1" t="s">
        <v>20293</v>
      </c>
      <c r="AZ1110" s="1" t="s">
        <v>20294</v>
      </c>
      <c r="BA1110" s="1" t="s">
        <v>466</v>
      </c>
      <c r="BB1110" s="1" t="s">
        <v>467</v>
      </c>
      <c r="BC1110" s="1" t="s">
        <v>871</v>
      </c>
      <c r="BD1110" s="1" t="s">
        <v>207</v>
      </c>
      <c r="BE1110" s="1">
        <v>79</v>
      </c>
      <c r="BF1110" s="1">
        <v>8.65</v>
      </c>
      <c r="BG1110" s="1"/>
      <c r="BH1110" s="1"/>
      <c r="BI1110" s="1"/>
      <c r="BJ1110" s="1"/>
      <c r="BK1110" s="1"/>
      <c r="BL1110" s="1"/>
      <c r="BM1110" s="1"/>
      <c r="BN1110" s="1"/>
      <c r="BO1110" s="1" t="s">
        <v>20295</v>
      </c>
      <c r="BP1110" s="1"/>
      <c r="BQ1110" s="1"/>
      <c r="BR1110" s="1" t="s">
        <v>20296</v>
      </c>
      <c r="BS1110" s="1">
        <v>26</v>
      </c>
      <c r="BT1110" s="1"/>
      <c r="BU1110" s="1" t="str">
        <f>HYPERLINK("https://nconnect.nicmar.ac.in/storage/profile/6a873f16b81ee.png","Download")</f>
        <v>0</v>
      </c>
      <c r="BV1110" s="3"/>
      <c r="BW1110" s="3"/>
    </row>
    <row r="1111" spans="1:75">
      <c r="A1111" s="1" t="s">
        <v>75</v>
      </c>
      <c r="B1111" s="1" t="s">
        <v>13976</v>
      </c>
      <c r="C1111" s="1" t="s">
        <v>20297</v>
      </c>
      <c r="D1111" s="1" t="s">
        <v>1136</v>
      </c>
      <c r="E1111" s="1" t="s">
        <v>1320</v>
      </c>
      <c r="F1111" s="1" t="s">
        <v>20298</v>
      </c>
      <c r="G1111" s="1" t="s">
        <v>20299</v>
      </c>
      <c r="H1111" s="1" t="s">
        <v>20300</v>
      </c>
      <c r="I1111" s="1" t="s">
        <v>20301</v>
      </c>
      <c r="J1111" s="1">
        <v>8810433500</v>
      </c>
      <c r="K1111" s="1" t="s">
        <v>84</v>
      </c>
      <c r="L1111" s="1" t="s">
        <v>20302</v>
      </c>
      <c r="M1111" s="1" t="s">
        <v>86</v>
      </c>
      <c r="N1111" s="1" t="s">
        <v>20303</v>
      </c>
      <c r="O1111" s="1" t="s">
        <v>20304</v>
      </c>
      <c r="P1111" s="1" t="s">
        <v>16271</v>
      </c>
      <c r="Q1111" s="1">
        <v>747956047436</v>
      </c>
      <c r="R1111" s="1" t="s">
        <v>20305</v>
      </c>
      <c r="S1111" s="1">
        <v>8826137620</v>
      </c>
      <c r="T1111" s="1" t="s">
        <v>4776</v>
      </c>
      <c r="U1111" s="1" t="s">
        <v>20306</v>
      </c>
      <c r="V1111" s="1">
        <v>8527765110</v>
      </c>
      <c r="W1111" s="1" t="s">
        <v>161</v>
      </c>
      <c r="X1111" s="1" t="s">
        <v>20307</v>
      </c>
      <c r="Y1111" s="1" t="s">
        <v>6853</v>
      </c>
      <c r="Z1111" s="1" t="s">
        <v>1739</v>
      </c>
      <c r="AA1111" s="1" t="s">
        <v>20307</v>
      </c>
      <c r="AB1111" s="1" t="s">
        <v>6853</v>
      </c>
      <c r="AC1111" s="1" t="s">
        <v>1739</v>
      </c>
      <c r="AD1111" s="1" t="s">
        <v>98</v>
      </c>
      <c r="AE1111" s="1" t="s">
        <v>98</v>
      </c>
      <c r="AF1111" s="1" t="s">
        <v>20308</v>
      </c>
      <c r="AG1111" s="1" t="s">
        <v>20309</v>
      </c>
      <c r="AH1111" s="1" t="s">
        <v>3421</v>
      </c>
      <c r="AI1111" s="1" t="s">
        <v>135</v>
      </c>
      <c r="AJ1111" s="1">
        <v>91.2</v>
      </c>
      <c r="AK1111" s="1">
        <v>9.6</v>
      </c>
      <c r="AL1111" s="1" t="s">
        <v>20308</v>
      </c>
      <c r="AM1111" s="1" t="s">
        <v>20310</v>
      </c>
      <c r="AN1111" s="1" t="s">
        <v>465</v>
      </c>
      <c r="AO1111" s="1" t="s">
        <v>166</v>
      </c>
      <c r="AP1111" s="1" t="s">
        <v>627</v>
      </c>
      <c r="AQ1111" s="1">
        <v>62.8</v>
      </c>
      <c r="AR1111" s="1"/>
      <c r="AS1111" s="1" t="s">
        <v>20311</v>
      </c>
      <c r="AT1111" s="1" t="s">
        <v>20312</v>
      </c>
      <c r="AU1111" s="1" t="s">
        <v>167</v>
      </c>
      <c r="AV1111" s="1" t="s">
        <v>438</v>
      </c>
      <c r="AW1111" s="1">
        <v>75.79</v>
      </c>
      <c r="AX1111" s="1"/>
      <c r="AY1111" s="1" t="s">
        <v>6855</v>
      </c>
      <c r="AZ1111" s="1" t="s">
        <v>20313</v>
      </c>
      <c r="BA1111" s="1" t="s">
        <v>466</v>
      </c>
      <c r="BB1111" s="1" t="s">
        <v>467</v>
      </c>
      <c r="BC1111" s="1" t="s">
        <v>315</v>
      </c>
      <c r="BD1111" s="1" t="s">
        <v>391</v>
      </c>
      <c r="BE1111" s="1">
        <v>83.0</v>
      </c>
      <c r="BF1111" s="1">
        <v>8.3</v>
      </c>
      <c r="BG1111" s="1"/>
      <c r="BH1111" s="1"/>
      <c r="BI1111" s="1"/>
      <c r="BJ1111" s="1"/>
      <c r="BK1111" s="1"/>
      <c r="BL1111" s="1"/>
      <c r="BM1111" s="1"/>
      <c r="BN1111" s="1"/>
      <c r="BO1111" s="1" t="s">
        <v>20314</v>
      </c>
      <c r="BP1111" s="1" t="s">
        <v>20315</v>
      </c>
      <c r="BQ1111" s="1" t="s">
        <v>345</v>
      </c>
      <c r="BR1111" s="1" t="s">
        <v>20316</v>
      </c>
      <c r="BS1111" s="1">
        <v>6</v>
      </c>
      <c r="BT1111" s="1"/>
      <c r="BU1111" s="1" t="str">
        <f>HYPERLINK("https://nconnect.nicmar.ac.in/storage/profile/6a85f770418fd.png","Download")</f>
        <v>0</v>
      </c>
      <c r="BV1111" s="3"/>
      <c r="BW1111" s="3"/>
    </row>
    <row r="1112" spans="1:75">
      <c r="A1112" s="1" t="s">
        <v>75</v>
      </c>
      <c r="B1112" s="1" t="s">
        <v>13976</v>
      </c>
      <c r="C1112" s="1" t="s">
        <v>20317</v>
      </c>
      <c r="D1112" s="1" t="s">
        <v>20318</v>
      </c>
      <c r="E1112" s="1"/>
      <c r="F1112" s="1" t="s">
        <v>20319</v>
      </c>
      <c r="G1112" s="1" t="s">
        <v>20320</v>
      </c>
      <c r="H1112" s="1" t="s">
        <v>20321</v>
      </c>
      <c r="I1112" s="1" t="s">
        <v>20322</v>
      </c>
      <c r="J1112" s="1">
        <v>8790011990</v>
      </c>
      <c r="K1112" s="1" t="s">
        <v>84</v>
      </c>
      <c r="L1112" s="1" t="s">
        <v>20323</v>
      </c>
      <c r="M1112" s="1" t="s">
        <v>86</v>
      </c>
      <c r="N1112" s="1" t="s">
        <v>20324</v>
      </c>
      <c r="O1112" s="1" t="s">
        <v>20325</v>
      </c>
      <c r="P1112" s="1" t="s">
        <v>122</v>
      </c>
      <c r="Q1112" s="1">
        <v>554230101787</v>
      </c>
      <c r="R1112" s="1" t="s">
        <v>20326</v>
      </c>
      <c r="S1112" s="1">
        <v>9052501575</v>
      </c>
      <c r="T1112" s="1" t="s">
        <v>20327</v>
      </c>
      <c r="U1112" s="1" t="s">
        <v>20328</v>
      </c>
      <c r="V1112" s="1">
        <v>9885641505</v>
      </c>
      <c r="W1112" s="1" t="s">
        <v>161</v>
      </c>
      <c r="X1112" s="1" t="s">
        <v>20329</v>
      </c>
      <c r="Y1112" s="1" t="s">
        <v>1454</v>
      </c>
      <c r="Z1112" s="1" t="s">
        <v>281</v>
      </c>
      <c r="AA1112" s="1" t="s">
        <v>20329</v>
      </c>
      <c r="AB1112" s="1" t="s">
        <v>1454</v>
      </c>
      <c r="AC1112" s="1" t="s">
        <v>281</v>
      </c>
      <c r="AD1112" s="1" t="s">
        <v>98</v>
      </c>
      <c r="AE1112" s="1" t="s">
        <v>98</v>
      </c>
      <c r="AF1112" s="1" t="s">
        <v>20330</v>
      </c>
      <c r="AG1112" s="1" t="s">
        <v>20331</v>
      </c>
      <c r="AH1112" s="1" t="s">
        <v>284</v>
      </c>
      <c r="AI1112" s="1" t="s">
        <v>573</v>
      </c>
      <c r="AJ1112" s="1">
        <v>85</v>
      </c>
      <c r="AK1112" s="1">
        <v>8.5</v>
      </c>
      <c r="AL1112" s="1"/>
      <c r="AM1112" s="1"/>
      <c r="AN1112" s="1"/>
      <c r="AO1112" s="1"/>
      <c r="AP1112" s="1"/>
      <c r="AQ1112" s="1"/>
      <c r="AR1112" s="1"/>
      <c r="AS1112" s="1" t="s">
        <v>103</v>
      </c>
      <c r="AT1112" s="1" t="s">
        <v>20332</v>
      </c>
      <c r="AU1112" s="1" t="s">
        <v>170</v>
      </c>
      <c r="AV1112" s="1" t="s">
        <v>977</v>
      </c>
      <c r="AW1112" s="1">
        <v>86.8</v>
      </c>
      <c r="AX1112" s="1"/>
      <c r="AY1112" s="1" t="s">
        <v>20333</v>
      </c>
      <c r="AZ1112" s="1" t="s">
        <v>20334</v>
      </c>
      <c r="BA1112" s="1" t="s">
        <v>466</v>
      </c>
      <c r="BB1112" s="1" t="s">
        <v>467</v>
      </c>
      <c r="BC1112" s="1" t="s">
        <v>468</v>
      </c>
      <c r="BD1112" s="1" t="s">
        <v>14101</v>
      </c>
      <c r="BE1112" s="1">
        <v>75.4</v>
      </c>
      <c r="BF1112" s="1">
        <v>8.04</v>
      </c>
      <c r="BG1112" s="1"/>
      <c r="BH1112" s="1"/>
      <c r="BI1112" s="1"/>
      <c r="BJ1112" s="1"/>
      <c r="BK1112" s="1"/>
      <c r="BL1112" s="1"/>
      <c r="BM1112" s="1"/>
      <c r="BN1112" s="1"/>
      <c r="BO1112" s="1" t="s">
        <v>20335</v>
      </c>
      <c r="BP1112" s="1" t="s">
        <v>20336</v>
      </c>
      <c r="BQ1112" s="1" t="s">
        <v>8862</v>
      </c>
      <c r="BR1112" s="1" t="s">
        <v>20337</v>
      </c>
      <c r="BS1112" s="1">
        <v>47</v>
      </c>
      <c r="BT1112" s="1"/>
      <c r="BU1112" s="1" t="str">
        <f>HYPERLINK("https://nconnect.nicmar.ac.in/storage/profile/6a85b8ad3a21c.png","Download")</f>
        <v>0</v>
      </c>
      <c r="BV1112" s="3"/>
      <c r="BW1112" s="3"/>
    </row>
    <row r="1113" spans="1:75">
      <c r="A1113" s="1" t="s">
        <v>75</v>
      </c>
      <c r="B1113" s="1" t="s">
        <v>13976</v>
      </c>
      <c r="C1113" s="1" t="s">
        <v>20338</v>
      </c>
      <c r="D1113" s="1" t="s">
        <v>20339</v>
      </c>
      <c r="E1113" s="1" t="s">
        <v>20340</v>
      </c>
      <c r="F1113" s="1" t="s">
        <v>20341</v>
      </c>
      <c r="G1113" s="1" t="s">
        <v>20342</v>
      </c>
      <c r="H1113" s="1" t="s">
        <v>20343</v>
      </c>
      <c r="I1113" s="1" t="s">
        <v>20344</v>
      </c>
      <c r="J1113" s="1">
        <v>8409468982</v>
      </c>
      <c r="K1113" s="1" t="s">
        <v>84</v>
      </c>
      <c r="L1113" s="1" t="s">
        <v>7414</v>
      </c>
      <c r="M1113" s="1" t="s">
        <v>86</v>
      </c>
      <c r="N1113" s="1" t="s">
        <v>20345</v>
      </c>
      <c r="O1113" s="1" t="s">
        <v>20346</v>
      </c>
      <c r="P1113" s="1" t="s">
        <v>89</v>
      </c>
      <c r="Q1113" s="1">
        <v>236986387424</v>
      </c>
      <c r="R1113" s="1" t="s">
        <v>20347</v>
      </c>
      <c r="S1113" s="1">
        <v>8987421365</v>
      </c>
      <c r="T1113" s="1" t="s">
        <v>17767</v>
      </c>
      <c r="U1113" s="1" t="s">
        <v>20348</v>
      </c>
      <c r="V1113" s="1">
        <v>6202219797</v>
      </c>
      <c r="W1113" s="1" t="s">
        <v>14710</v>
      </c>
      <c r="X1113" s="1" t="s">
        <v>20349</v>
      </c>
      <c r="Y1113" s="1" t="s">
        <v>2954</v>
      </c>
      <c r="Z1113" s="1" t="s">
        <v>2955</v>
      </c>
      <c r="AA1113" s="1" t="s">
        <v>20349</v>
      </c>
      <c r="AB1113" s="1" t="s">
        <v>2954</v>
      </c>
      <c r="AC1113" s="1" t="s">
        <v>2955</v>
      </c>
      <c r="AD1113" s="1" t="s">
        <v>98</v>
      </c>
      <c r="AE1113" s="1" t="s">
        <v>98</v>
      </c>
      <c r="AF1113" s="1" t="s">
        <v>17258</v>
      </c>
      <c r="AG1113" s="1" t="s">
        <v>20350</v>
      </c>
      <c r="AH1113" s="1" t="s">
        <v>627</v>
      </c>
      <c r="AI1113" s="1" t="s">
        <v>170</v>
      </c>
      <c r="AJ1113" s="1">
        <v>76.0</v>
      </c>
      <c r="AK1113" s="1">
        <v>8</v>
      </c>
      <c r="AL1113" s="1" t="s">
        <v>20351</v>
      </c>
      <c r="AM1113" s="1" t="s">
        <v>20352</v>
      </c>
      <c r="AN1113" s="1" t="s">
        <v>465</v>
      </c>
      <c r="AO1113" s="1" t="s">
        <v>414</v>
      </c>
      <c r="AP1113" s="1" t="s">
        <v>603</v>
      </c>
      <c r="AQ1113" s="1">
        <v>72.4</v>
      </c>
      <c r="AR1113" s="1">
        <v>7.62</v>
      </c>
      <c r="AS1113" s="1"/>
      <c r="AT1113" s="1"/>
      <c r="AU1113" s="1"/>
      <c r="AV1113" s="1"/>
      <c r="AW1113" s="1"/>
      <c r="AX1113" s="1"/>
      <c r="AY1113" s="1" t="s">
        <v>20353</v>
      </c>
      <c r="AZ1113" s="1" t="s">
        <v>20354</v>
      </c>
      <c r="BA1113" s="1" t="s">
        <v>466</v>
      </c>
      <c r="BB1113" s="1" t="s">
        <v>467</v>
      </c>
      <c r="BC1113" s="1" t="s">
        <v>178</v>
      </c>
      <c r="BD1113" s="1" t="s">
        <v>1242</v>
      </c>
      <c r="BE1113" s="1">
        <v>73.2</v>
      </c>
      <c r="BF1113" s="1">
        <v>7.32</v>
      </c>
      <c r="BG1113" s="1"/>
      <c r="BH1113" s="1"/>
      <c r="BI1113" s="1"/>
      <c r="BJ1113" s="1"/>
      <c r="BK1113" s="1"/>
      <c r="BL1113" s="1"/>
      <c r="BM1113" s="1"/>
      <c r="BN1113" s="1"/>
      <c r="BO1113" s="1" t="s">
        <v>20355</v>
      </c>
      <c r="BP1113" s="1" t="s">
        <v>20356</v>
      </c>
      <c r="BQ1113" s="1" t="s">
        <v>471</v>
      </c>
      <c r="BR1113" s="1" t="s">
        <v>20357</v>
      </c>
      <c r="BS1113" s="1">
        <v>12</v>
      </c>
      <c r="BT1113" s="1"/>
      <c r="BU1113" s="1" t="str">
        <f>HYPERLINK("https://nconnect.nicmar.ac.in/storage/profile/6a860e7bc91f9.png","Download")</f>
        <v>0</v>
      </c>
      <c r="BV1113" s="3"/>
      <c r="BW1113" s="3"/>
    </row>
    <row r="1114" spans="1:75">
      <c r="A1114" s="1" t="s">
        <v>75</v>
      </c>
      <c r="B1114" s="1" t="s">
        <v>13976</v>
      </c>
      <c r="C1114" s="1" t="s">
        <v>20358</v>
      </c>
      <c r="D1114" s="1" t="s">
        <v>14964</v>
      </c>
      <c r="E1114" s="1" t="s">
        <v>20359</v>
      </c>
      <c r="F1114" s="1" t="s">
        <v>20360</v>
      </c>
      <c r="G1114" s="1" t="s">
        <v>20361</v>
      </c>
      <c r="H1114" s="1" t="s">
        <v>20362</v>
      </c>
      <c r="I1114" s="1" t="s">
        <v>20363</v>
      </c>
      <c r="J1114" s="1">
        <v>8425050813</v>
      </c>
      <c r="K1114" s="1" t="s">
        <v>84</v>
      </c>
      <c r="L1114" s="1" t="s">
        <v>7963</v>
      </c>
      <c r="M1114" s="1" t="s">
        <v>86</v>
      </c>
      <c r="N1114" s="1" t="s">
        <v>768</v>
      </c>
      <c r="O1114" s="1" t="s">
        <v>20364</v>
      </c>
      <c r="P1114" s="1" t="s">
        <v>122</v>
      </c>
      <c r="Q1114" s="1">
        <v>875188653160</v>
      </c>
      <c r="R1114" s="1" t="s">
        <v>20365</v>
      </c>
      <c r="S1114" s="1">
        <v>9892761179</v>
      </c>
      <c r="T1114" s="1" t="s">
        <v>3441</v>
      </c>
      <c r="U1114" s="1" t="s">
        <v>20366</v>
      </c>
      <c r="V1114" s="1">
        <v>9821759812</v>
      </c>
      <c r="W1114" s="1" t="s">
        <v>14154</v>
      </c>
      <c r="X1114" s="1" t="s">
        <v>20367</v>
      </c>
      <c r="Y1114" s="1" t="s">
        <v>1882</v>
      </c>
      <c r="Z1114" s="1" t="s">
        <v>97</v>
      </c>
      <c r="AA1114" s="1" t="s">
        <v>20367</v>
      </c>
      <c r="AB1114" s="1" t="s">
        <v>1882</v>
      </c>
      <c r="AC1114" s="1" t="s">
        <v>97</v>
      </c>
      <c r="AD1114" s="1" t="s">
        <v>98</v>
      </c>
      <c r="AE1114" s="1" t="s">
        <v>98</v>
      </c>
      <c r="AF1114" s="1" t="s">
        <v>20368</v>
      </c>
      <c r="AG1114" s="1" t="s">
        <v>20369</v>
      </c>
      <c r="AH1114" s="1" t="s">
        <v>1111</v>
      </c>
      <c r="AI1114" s="1" t="s">
        <v>200</v>
      </c>
      <c r="AJ1114" s="1">
        <v>84.6</v>
      </c>
      <c r="AK1114" s="1"/>
      <c r="AL1114" s="1"/>
      <c r="AM1114" s="1"/>
      <c r="AN1114" s="1"/>
      <c r="AO1114" s="1"/>
      <c r="AP1114" s="1"/>
      <c r="AQ1114" s="1"/>
      <c r="AR1114" s="1"/>
      <c r="AS1114" s="1" t="s">
        <v>14158</v>
      </c>
      <c r="AT1114" s="1" t="s">
        <v>20370</v>
      </c>
      <c r="AU1114" s="1" t="s">
        <v>704</v>
      </c>
      <c r="AV1114" s="1" t="s">
        <v>175</v>
      </c>
      <c r="AW1114" s="1">
        <v>81.72</v>
      </c>
      <c r="AX1114" s="1"/>
      <c r="AY1114" s="1" t="s">
        <v>14380</v>
      </c>
      <c r="AZ1114" s="1" t="s">
        <v>20371</v>
      </c>
      <c r="BA1114" s="1" t="s">
        <v>578</v>
      </c>
      <c r="BB1114" s="1" t="s">
        <v>467</v>
      </c>
      <c r="BC1114" s="1" t="s">
        <v>2304</v>
      </c>
      <c r="BD1114" s="1" t="s">
        <v>179</v>
      </c>
      <c r="BE1114" s="1">
        <v>76.38</v>
      </c>
      <c r="BF1114" s="1">
        <v>8.75</v>
      </c>
      <c r="BG1114" s="1"/>
      <c r="BH1114" s="1"/>
      <c r="BI1114" s="1"/>
      <c r="BJ1114" s="1"/>
      <c r="BK1114" s="1"/>
      <c r="BL1114" s="1"/>
      <c r="BM1114" s="1"/>
      <c r="BN1114" s="1"/>
      <c r="BO1114" s="1" t="s">
        <v>20372</v>
      </c>
      <c r="BP1114" s="1" t="s">
        <v>20373</v>
      </c>
      <c r="BQ1114" s="1" t="s">
        <v>7647</v>
      </c>
      <c r="BR1114" s="1"/>
      <c r="BS1114" s="1"/>
      <c r="BT1114" s="1"/>
      <c r="BU1114" s="1" t="str">
        <f>HYPERLINK("https://nconnect.nicmar.ac.in/storage/profile/6a8710e998498.png","Download")</f>
        <v>0</v>
      </c>
      <c r="BV1114" s="3"/>
      <c r="BW1114" s="3"/>
    </row>
    <row r="1115" spans="1:75">
      <c r="A1115" s="1" t="s">
        <v>75</v>
      </c>
      <c r="B1115" s="1" t="s">
        <v>13976</v>
      </c>
      <c r="C1115" s="1" t="s">
        <v>20374</v>
      </c>
      <c r="D1115" s="1" t="s">
        <v>15288</v>
      </c>
      <c r="E1115" s="1" t="s">
        <v>20375</v>
      </c>
      <c r="F1115" s="1" t="s">
        <v>20376</v>
      </c>
      <c r="G1115" s="1" t="s">
        <v>20377</v>
      </c>
      <c r="H1115" s="1" t="s">
        <v>20378</v>
      </c>
      <c r="I1115" s="1" t="s">
        <v>20378</v>
      </c>
      <c r="J1115" s="1">
        <v>9923176690</v>
      </c>
      <c r="K1115" s="1" t="s">
        <v>84</v>
      </c>
      <c r="L1115" s="1" t="s">
        <v>20379</v>
      </c>
      <c r="M1115" s="1" t="s">
        <v>86</v>
      </c>
      <c r="N1115" s="1" t="s">
        <v>14970</v>
      </c>
      <c r="O1115" s="1" t="s">
        <v>20380</v>
      </c>
      <c r="P1115" s="1" t="s">
        <v>89</v>
      </c>
      <c r="Q1115" s="1">
        <v>569646475095</v>
      </c>
      <c r="R1115" s="1" t="s">
        <v>20375</v>
      </c>
      <c r="S1115" s="1">
        <v>9881599499</v>
      </c>
      <c r="T1115" s="1" t="s">
        <v>20381</v>
      </c>
      <c r="U1115" s="1" t="s">
        <v>20382</v>
      </c>
      <c r="V1115" s="1">
        <v>9011649699</v>
      </c>
      <c r="W1115" s="1" t="s">
        <v>20383</v>
      </c>
      <c r="X1115" s="1" t="s">
        <v>20384</v>
      </c>
      <c r="Y1115" s="1" t="s">
        <v>163</v>
      </c>
      <c r="Z1115" s="1" t="s">
        <v>97</v>
      </c>
      <c r="AA1115" s="1" t="s">
        <v>20384</v>
      </c>
      <c r="AB1115" s="1" t="s">
        <v>163</v>
      </c>
      <c r="AC1115" s="1" t="s">
        <v>97</v>
      </c>
      <c r="AD1115" s="1" t="s">
        <v>98</v>
      </c>
      <c r="AE1115" s="1" t="s">
        <v>98</v>
      </c>
      <c r="AF1115" s="1" t="s">
        <v>20385</v>
      </c>
      <c r="AG1115" s="1" t="s">
        <v>20386</v>
      </c>
      <c r="AH1115" s="1" t="s">
        <v>438</v>
      </c>
      <c r="AI1115" s="1" t="s">
        <v>603</v>
      </c>
      <c r="AJ1115" s="1">
        <v>88</v>
      </c>
      <c r="AK1115" s="1"/>
      <c r="AL1115" s="1" t="s">
        <v>20387</v>
      </c>
      <c r="AM1115" s="1" t="s">
        <v>20386</v>
      </c>
      <c r="AN1115" s="1" t="s">
        <v>575</v>
      </c>
      <c r="AO1115" s="1" t="s">
        <v>847</v>
      </c>
      <c r="AP1115" s="1" t="s">
        <v>1886</v>
      </c>
      <c r="AQ1115" s="1">
        <v>79</v>
      </c>
      <c r="AR1115" s="1"/>
      <c r="AS1115" s="1"/>
      <c r="AT1115" s="1"/>
      <c r="AU1115" s="1"/>
      <c r="AV1115" s="1"/>
      <c r="AW1115" s="1"/>
      <c r="AX1115" s="1"/>
      <c r="AY1115" s="1" t="s">
        <v>13994</v>
      </c>
      <c r="AZ1115" s="1" t="s">
        <v>20388</v>
      </c>
      <c r="BA1115" s="1" t="s">
        <v>466</v>
      </c>
      <c r="BB1115" s="1" t="s">
        <v>467</v>
      </c>
      <c r="BC1115" s="1" t="s">
        <v>110</v>
      </c>
      <c r="BD1115" s="1" t="s">
        <v>14494</v>
      </c>
      <c r="BE1115" s="1">
        <v>60</v>
      </c>
      <c r="BF1115" s="1">
        <v>6.3</v>
      </c>
      <c r="BG1115" s="1"/>
      <c r="BH1115" s="1"/>
      <c r="BI1115" s="1"/>
      <c r="BJ1115" s="1"/>
      <c r="BK1115" s="1"/>
      <c r="BL1115" s="1"/>
      <c r="BM1115" s="1"/>
      <c r="BN1115" s="1"/>
      <c r="BO1115" s="1" t="s">
        <v>11309</v>
      </c>
      <c r="BP1115" s="1" t="s">
        <v>20389</v>
      </c>
      <c r="BQ1115" s="1" t="s">
        <v>2093</v>
      </c>
      <c r="BR1115" s="1"/>
      <c r="BS1115" s="1"/>
      <c r="BT1115" s="1"/>
      <c r="BU1115" s="1" t="str">
        <f>HYPERLINK("https://nconnect.nicmar.ac.in/storage/profile/6a87159719284.png","Download")</f>
        <v>0</v>
      </c>
      <c r="BV1115" s="3"/>
      <c r="BW1115" s="3"/>
    </row>
    <row r="1116" spans="1:75">
      <c r="A1116" s="1" t="s">
        <v>75</v>
      </c>
      <c r="B1116" s="1" t="s">
        <v>13976</v>
      </c>
      <c r="C1116" s="1" t="s">
        <v>20390</v>
      </c>
      <c r="D1116" s="1" t="s">
        <v>20391</v>
      </c>
      <c r="E1116" s="1"/>
      <c r="F1116" s="1" t="s">
        <v>1320</v>
      </c>
      <c r="G1116" s="1" t="s">
        <v>20392</v>
      </c>
      <c r="H1116" s="1" t="s">
        <v>20393</v>
      </c>
      <c r="I1116" s="1" t="s">
        <v>20394</v>
      </c>
      <c r="J1116" s="1">
        <v>7075096959</v>
      </c>
      <c r="K1116" s="1" t="s">
        <v>84</v>
      </c>
      <c r="L1116" s="1" t="s">
        <v>20395</v>
      </c>
      <c r="M1116" s="1" t="s">
        <v>86</v>
      </c>
      <c r="N1116" s="1" t="s">
        <v>17231</v>
      </c>
      <c r="O1116" s="1" t="s">
        <v>20396</v>
      </c>
      <c r="P1116" s="1" t="s">
        <v>16423</v>
      </c>
      <c r="Q1116" s="1">
        <v>205739737036</v>
      </c>
      <c r="R1116" s="1" t="s">
        <v>20397</v>
      </c>
      <c r="S1116" s="1">
        <v>9948511556</v>
      </c>
      <c r="T1116" s="1" t="s">
        <v>20398</v>
      </c>
      <c r="U1116" s="1" t="s">
        <v>20399</v>
      </c>
      <c r="V1116" s="1">
        <v>8985232665</v>
      </c>
      <c r="W1116" s="1" t="s">
        <v>10306</v>
      </c>
      <c r="X1116" s="1" t="s">
        <v>20400</v>
      </c>
      <c r="Y1116" s="1" t="s">
        <v>15794</v>
      </c>
      <c r="Z1116" s="1" t="s">
        <v>281</v>
      </c>
      <c r="AA1116" s="1" t="s">
        <v>20401</v>
      </c>
      <c r="AB1116" s="1" t="s">
        <v>1454</v>
      </c>
      <c r="AC1116" s="1" t="s">
        <v>281</v>
      </c>
      <c r="AD1116" s="1" t="s">
        <v>98</v>
      </c>
      <c r="AE1116" s="1" t="s">
        <v>98</v>
      </c>
      <c r="AF1116" s="1" t="s">
        <v>20402</v>
      </c>
      <c r="AG1116" s="1" t="s">
        <v>20403</v>
      </c>
      <c r="AH1116" s="1" t="s">
        <v>170</v>
      </c>
      <c r="AI1116" s="1" t="s">
        <v>490</v>
      </c>
      <c r="AJ1116" s="1">
        <v>93.0</v>
      </c>
      <c r="AK1116" s="1">
        <v>9.3</v>
      </c>
      <c r="AL1116" s="1" t="s">
        <v>20404</v>
      </c>
      <c r="AM1116" s="1" t="s">
        <v>20405</v>
      </c>
      <c r="AN1116" s="1" t="s">
        <v>465</v>
      </c>
      <c r="AO1116" s="1" t="s">
        <v>106</v>
      </c>
      <c r="AP1116" s="1" t="s">
        <v>977</v>
      </c>
      <c r="AQ1116" s="1">
        <v>88.9</v>
      </c>
      <c r="AR1116" s="1">
        <v>9.17</v>
      </c>
      <c r="AS1116" s="1"/>
      <c r="AT1116" s="1"/>
      <c r="AU1116" s="1"/>
      <c r="AV1116" s="1"/>
      <c r="AW1116" s="1"/>
      <c r="AX1116" s="1"/>
      <c r="AY1116" s="1" t="s">
        <v>20406</v>
      </c>
      <c r="AZ1116" s="1" t="s">
        <v>20407</v>
      </c>
      <c r="BA1116" s="1" t="s">
        <v>466</v>
      </c>
      <c r="BB1116" s="1" t="s">
        <v>467</v>
      </c>
      <c r="BC1116" s="1" t="s">
        <v>1040</v>
      </c>
      <c r="BD1116" s="1" t="s">
        <v>1314</v>
      </c>
      <c r="BE1116" s="1">
        <v>80.6</v>
      </c>
      <c r="BF1116" s="1">
        <v>8.81</v>
      </c>
      <c r="BG1116" s="1"/>
      <c r="BH1116" s="1"/>
      <c r="BI1116" s="1"/>
      <c r="BJ1116" s="1"/>
      <c r="BK1116" s="1"/>
      <c r="BL1116" s="1"/>
      <c r="BM1116" s="1"/>
      <c r="BN1116" s="1"/>
      <c r="BO1116" s="1" t="s">
        <v>20408</v>
      </c>
      <c r="BP1116" s="1" t="s">
        <v>20409</v>
      </c>
      <c r="BQ1116" s="1" t="s">
        <v>1070</v>
      </c>
      <c r="BR1116" s="1" t="s">
        <v>20410</v>
      </c>
      <c r="BS1116" s="1">
        <v>36</v>
      </c>
      <c r="BT1116" s="1"/>
      <c r="BU1116" s="1" t="str">
        <f>HYPERLINK("https://nconnect.nicmar.ac.in/storage/profile/6a87019fcfa53.png","Download")</f>
        <v>0</v>
      </c>
      <c r="BV1116" s="3"/>
      <c r="BW1116" s="3"/>
    </row>
    <row r="1117" spans="1:75">
      <c r="A1117" s="1" t="s">
        <v>75</v>
      </c>
      <c r="B1117" s="1" t="s">
        <v>13976</v>
      </c>
      <c r="C1117" s="1" t="s">
        <v>20411</v>
      </c>
      <c r="D1117" s="1" t="s">
        <v>20412</v>
      </c>
      <c r="E1117" s="1"/>
      <c r="F1117" s="1" t="s">
        <v>16713</v>
      </c>
      <c r="G1117" s="1" t="s">
        <v>20413</v>
      </c>
      <c r="H1117" s="1" t="s">
        <v>20414</v>
      </c>
      <c r="I1117" s="1" t="s">
        <v>20415</v>
      </c>
      <c r="J1117" s="1">
        <v>9133444889</v>
      </c>
      <c r="K1117" s="1" t="s">
        <v>84</v>
      </c>
      <c r="L1117" s="1" t="s">
        <v>20416</v>
      </c>
      <c r="M1117" s="1" t="s">
        <v>86</v>
      </c>
      <c r="N1117" s="1" t="s">
        <v>8486</v>
      </c>
      <c r="O1117" s="1" t="s">
        <v>20417</v>
      </c>
      <c r="P1117" s="1" t="s">
        <v>219</v>
      </c>
      <c r="Q1117" s="1">
        <v>916395635044</v>
      </c>
      <c r="R1117" s="1" t="s">
        <v>20418</v>
      </c>
      <c r="S1117" s="1">
        <v>9182797967</v>
      </c>
      <c r="T1117" s="1" t="s">
        <v>14275</v>
      </c>
      <c r="U1117" s="1" t="s">
        <v>20419</v>
      </c>
      <c r="V1117" s="1">
        <v>7702445555</v>
      </c>
      <c r="W1117" s="1" t="s">
        <v>9679</v>
      </c>
      <c r="X1117" s="1" t="s">
        <v>20420</v>
      </c>
      <c r="Y1117" s="1" t="s">
        <v>20156</v>
      </c>
      <c r="Z1117" s="1" t="s">
        <v>281</v>
      </c>
      <c r="AA1117" s="1" t="s">
        <v>20420</v>
      </c>
      <c r="AB1117" s="1" t="s">
        <v>20156</v>
      </c>
      <c r="AC1117" s="1" t="s">
        <v>281</v>
      </c>
      <c r="AD1117" s="1" t="s">
        <v>98</v>
      </c>
      <c r="AE1117" s="1" t="s">
        <v>98</v>
      </c>
      <c r="AF1117" s="1" t="s">
        <v>20421</v>
      </c>
      <c r="AG1117" s="1" t="s">
        <v>20422</v>
      </c>
      <c r="AH1117" s="1" t="s">
        <v>414</v>
      </c>
      <c r="AI1117" s="1" t="s">
        <v>14083</v>
      </c>
      <c r="AJ1117" s="1">
        <v>92</v>
      </c>
      <c r="AK1117" s="1"/>
      <c r="AL1117" s="1"/>
      <c r="AM1117" s="1"/>
      <c r="AN1117" s="1"/>
      <c r="AO1117" s="1"/>
      <c r="AP1117" s="1"/>
      <c r="AQ1117" s="1"/>
      <c r="AR1117" s="1"/>
      <c r="AS1117" s="1" t="s">
        <v>467</v>
      </c>
      <c r="AT1117" s="1" t="s">
        <v>20423</v>
      </c>
      <c r="AU1117" s="1" t="s">
        <v>233</v>
      </c>
      <c r="AV1117" s="1" t="s">
        <v>579</v>
      </c>
      <c r="AW1117" s="1">
        <v>80</v>
      </c>
      <c r="AX1117" s="1"/>
      <c r="AY1117" s="1" t="s">
        <v>20424</v>
      </c>
      <c r="AZ1117" s="1" t="s">
        <v>20425</v>
      </c>
      <c r="BA1117" s="1" t="s">
        <v>466</v>
      </c>
      <c r="BB1117" s="1" t="s">
        <v>467</v>
      </c>
      <c r="BC1117" s="1" t="s">
        <v>1267</v>
      </c>
      <c r="BD1117" s="1" t="s">
        <v>14514</v>
      </c>
      <c r="BE1117" s="1">
        <v>82</v>
      </c>
      <c r="BF1117" s="1">
        <v>8.64</v>
      </c>
      <c r="BG1117" s="1"/>
      <c r="BH1117" s="1"/>
      <c r="BI1117" s="1"/>
      <c r="BJ1117" s="1"/>
      <c r="BK1117" s="1"/>
      <c r="BL1117" s="1"/>
      <c r="BM1117" s="1"/>
      <c r="BN1117" s="1"/>
      <c r="BO1117" s="1" t="s">
        <v>20426</v>
      </c>
      <c r="BP1117" s="1"/>
      <c r="BQ1117" s="1"/>
      <c r="BR1117" s="1" t="s">
        <v>20427</v>
      </c>
      <c r="BS1117" s="1">
        <v>41</v>
      </c>
      <c r="BT1117" s="1"/>
      <c r="BU1117" s="1" t="str">
        <f>HYPERLINK("https://nconnect.nicmar.ac.in/storage/profile/6a8747bf73d28.png","Download")</f>
        <v>0</v>
      </c>
      <c r="BV1117" s="3"/>
      <c r="BW1117" s="3"/>
    </row>
    <row r="1118" spans="1:75">
      <c r="A1118" s="1" t="s">
        <v>75</v>
      </c>
      <c r="B1118" s="1" t="s">
        <v>13976</v>
      </c>
      <c r="C1118" s="1" t="s">
        <v>20428</v>
      </c>
      <c r="D1118" s="1" t="s">
        <v>20429</v>
      </c>
      <c r="E1118" s="1" t="s">
        <v>17207</v>
      </c>
      <c r="F1118" s="1" t="s">
        <v>14147</v>
      </c>
      <c r="G1118" s="1" t="s">
        <v>20430</v>
      </c>
      <c r="H1118" s="1" t="s">
        <v>20431</v>
      </c>
      <c r="I1118" s="1" t="s">
        <v>20432</v>
      </c>
      <c r="J1118" s="1">
        <v>9370671213</v>
      </c>
      <c r="K1118" s="1" t="s">
        <v>153</v>
      </c>
      <c r="L1118" s="1" t="s">
        <v>16268</v>
      </c>
      <c r="M1118" s="1" t="s">
        <v>86</v>
      </c>
      <c r="N1118" s="1" t="s">
        <v>618</v>
      </c>
      <c r="O1118" s="1" t="s">
        <v>20433</v>
      </c>
      <c r="P1118" s="1" t="s">
        <v>219</v>
      </c>
      <c r="Q1118" s="1">
        <v>861740702815</v>
      </c>
      <c r="R1118" s="1" t="s">
        <v>20434</v>
      </c>
      <c r="S1118" s="1" t="s">
        <v>16692</v>
      </c>
      <c r="T1118" s="1" t="s">
        <v>13411</v>
      </c>
      <c r="U1118" s="1" t="s">
        <v>20435</v>
      </c>
      <c r="V1118" s="1">
        <v>9764901359</v>
      </c>
      <c r="W1118" s="1" t="s">
        <v>14154</v>
      </c>
      <c r="X1118" s="1" t="s">
        <v>20436</v>
      </c>
      <c r="Y1118" s="1" t="s">
        <v>5181</v>
      </c>
      <c r="Z1118" s="1" t="s">
        <v>97</v>
      </c>
      <c r="AA1118" s="1" t="s">
        <v>20437</v>
      </c>
      <c r="AB1118" s="1" t="s">
        <v>196</v>
      </c>
      <c r="AC1118" s="1" t="s">
        <v>97</v>
      </c>
      <c r="AD1118" s="1" t="s">
        <v>98</v>
      </c>
      <c r="AE1118" s="1" t="s">
        <v>98</v>
      </c>
      <c r="AF1118" s="1" t="s">
        <v>20438</v>
      </c>
      <c r="AG1118" s="1" t="s">
        <v>20439</v>
      </c>
      <c r="AH1118" s="1" t="s">
        <v>170</v>
      </c>
      <c r="AI1118" s="1" t="s">
        <v>106</v>
      </c>
      <c r="AJ1118" s="1">
        <v>89.2</v>
      </c>
      <c r="AK1118" s="1">
        <v>0</v>
      </c>
      <c r="AL1118" s="1"/>
      <c r="AM1118" s="1"/>
      <c r="AN1118" s="1"/>
      <c r="AO1118" s="1"/>
      <c r="AP1118" s="1"/>
      <c r="AQ1118" s="1"/>
      <c r="AR1118" s="1"/>
      <c r="AS1118" s="1" t="s">
        <v>467</v>
      </c>
      <c r="AT1118" s="1" t="s">
        <v>20440</v>
      </c>
      <c r="AU1118" s="1" t="s">
        <v>1065</v>
      </c>
      <c r="AV1118" s="1" t="s">
        <v>441</v>
      </c>
      <c r="AW1118" s="1">
        <v>94.74</v>
      </c>
      <c r="AX1118" s="1"/>
      <c r="AY1118" s="1" t="s">
        <v>14160</v>
      </c>
      <c r="AZ1118" s="1" t="s">
        <v>16509</v>
      </c>
      <c r="BA1118" s="1" t="s">
        <v>578</v>
      </c>
      <c r="BB1118" s="1" t="s">
        <v>467</v>
      </c>
      <c r="BC1118" s="1" t="s">
        <v>871</v>
      </c>
      <c r="BD1118" s="1" t="s">
        <v>207</v>
      </c>
      <c r="BE1118" s="1">
        <v>83.84</v>
      </c>
      <c r="BF1118" s="1">
        <v>0</v>
      </c>
      <c r="BG1118" s="1"/>
      <c r="BH1118" s="1"/>
      <c r="BI1118" s="1"/>
      <c r="BJ1118" s="1"/>
      <c r="BK1118" s="1"/>
      <c r="BL1118" s="1"/>
      <c r="BM1118" s="1"/>
      <c r="BN1118" s="1"/>
      <c r="BO1118" s="1" t="s">
        <v>20441</v>
      </c>
      <c r="BP1118" s="1" t="s">
        <v>20442</v>
      </c>
      <c r="BQ1118" s="1" t="s">
        <v>4149</v>
      </c>
      <c r="BR1118" s="1" t="s">
        <v>20443</v>
      </c>
      <c r="BS1118" s="1">
        <v>4</v>
      </c>
      <c r="BT1118" s="1" t="s">
        <v>20444</v>
      </c>
      <c r="BU1118" s="1" t="str">
        <f>HYPERLINK("https://nconnect.nicmar.ac.in/storage/profile/6a85bb559efc0.png","Download")</f>
        <v>0</v>
      </c>
      <c r="BV1118" s="3"/>
      <c r="BW1118" s="3"/>
    </row>
    <row r="1119" spans="1:75">
      <c r="A1119" s="1" t="s">
        <v>75</v>
      </c>
      <c r="B1119" s="1" t="s">
        <v>13976</v>
      </c>
      <c r="C1119" s="1" t="s">
        <v>20445</v>
      </c>
      <c r="D1119" s="1" t="s">
        <v>15429</v>
      </c>
      <c r="E1119" s="1" t="s">
        <v>15323</v>
      </c>
      <c r="F1119" s="1" t="s">
        <v>20446</v>
      </c>
      <c r="G1119" s="1" t="s">
        <v>20447</v>
      </c>
      <c r="H1119" s="1" t="s">
        <v>20448</v>
      </c>
      <c r="I1119" s="1" t="s">
        <v>20449</v>
      </c>
      <c r="J1119" s="1">
        <v>9145252666</v>
      </c>
      <c r="K1119" s="1" t="s">
        <v>84</v>
      </c>
      <c r="L1119" s="1" t="s">
        <v>20450</v>
      </c>
      <c r="M1119" s="1" t="s">
        <v>86</v>
      </c>
      <c r="N1119" s="1" t="s">
        <v>4263</v>
      </c>
      <c r="O1119" s="1" t="s">
        <v>20451</v>
      </c>
      <c r="P1119" s="1" t="s">
        <v>122</v>
      </c>
      <c r="Q1119" s="1">
        <v>364135951083</v>
      </c>
      <c r="R1119" s="1" t="s">
        <v>20452</v>
      </c>
      <c r="S1119" s="1">
        <v>9665960565</v>
      </c>
      <c r="T1119" s="1" t="s">
        <v>20453</v>
      </c>
      <c r="U1119" s="1" t="s">
        <v>20454</v>
      </c>
      <c r="V1119" s="1">
        <v>8408975024</v>
      </c>
      <c r="W1119" s="1" t="s">
        <v>14154</v>
      </c>
      <c r="X1119" s="1" t="s">
        <v>20455</v>
      </c>
      <c r="Y1119" s="1" t="s">
        <v>410</v>
      </c>
      <c r="Z1119" s="1" t="s">
        <v>97</v>
      </c>
      <c r="AA1119" s="1" t="s">
        <v>20455</v>
      </c>
      <c r="AB1119" s="1" t="s">
        <v>410</v>
      </c>
      <c r="AC1119" s="1" t="s">
        <v>97</v>
      </c>
      <c r="AD1119" s="1" t="s">
        <v>98</v>
      </c>
      <c r="AE1119" s="1" t="s">
        <v>98</v>
      </c>
      <c r="AF1119" s="1" t="s">
        <v>20456</v>
      </c>
      <c r="AG1119" s="1" t="s">
        <v>14157</v>
      </c>
      <c r="AH1119" s="1" t="s">
        <v>106</v>
      </c>
      <c r="AI1119" s="1" t="s">
        <v>438</v>
      </c>
      <c r="AJ1119" s="1">
        <v>79.4</v>
      </c>
      <c r="AK1119" s="1"/>
      <c r="AL1119" s="1" t="s">
        <v>20457</v>
      </c>
      <c r="AM1119" s="1" t="s">
        <v>14157</v>
      </c>
      <c r="AN1119" s="1" t="s">
        <v>465</v>
      </c>
      <c r="AO1119" s="1" t="s">
        <v>468</v>
      </c>
      <c r="AP1119" s="1" t="s">
        <v>441</v>
      </c>
      <c r="AQ1119" s="1">
        <v>81</v>
      </c>
      <c r="AR1119" s="1"/>
      <c r="AS1119" s="1"/>
      <c r="AT1119" s="1"/>
      <c r="AU1119" s="1"/>
      <c r="AV1119" s="1"/>
      <c r="AW1119" s="1"/>
      <c r="AX1119" s="1"/>
      <c r="AY1119" s="1" t="s">
        <v>20458</v>
      </c>
      <c r="AZ1119" s="1" t="s">
        <v>20459</v>
      </c>
      <c r="BA1119" s="1" t="s">
        <v>466</v>
      </c>
      <c r="BB1119" s="1" t="s">
        <v>467</v>
      </c>
      <c r="BC1119" s="1" t="s">
        <v>871</v>
      </c>
      <c r="BD1119" s="1" t="s">
        <v>14514</v>
      </c>
      <c r="BE1119" s="1">
        <v>62.8</v>
      </c>
      <c r="BF1119" s="1">
        <v>7.03</v>
      </c>
      <c r="BG1119" s="1"/>
      <c r="BH1119" s="1"/>
      <c r="BI1119" s="1"/>
      <c r="BJ1119" s="1"/>
      <c r="BK1119" s="1"/>
      <c r="BL1119" s="1"/>
      <c r="BM1119" s="1"/>
      <c r="BN1119" s="1"/>
      <c r="BO1119" s="1" t="s">
        <v>20460</v>
      </c>
      <c r="BP1119" s="1"/>
      <c r="BQ1119" s="1"/>
      <c r="BR1119" s="1" t="s">
        <v>20461</v>
      </c>
      <c r="BS1119" s="1">
        <v>15</v>
      </c>
      <c r="BT1119" s="1"/>
      <c r="BU1119" s="1" t="str">
        <f>HYPERLINK("https://nconnect.nicmar.ac.in/storage/profile/6a871585437b2.png","Download")</f>
        <v>0</v>
      </c>
      <c r="BV1119" s="3"/>
      <c r="BW1119" s="3"/>
    </row>
    <row r="1120" spans="1:75">
      <c r="A1120" s="1" t="s">
        <v>75</v>
      </c>
      <c r="B1120" s="1" t="s">
        <v>13976</v>
      </c>
      <c r="C1120" s="1" t="s">
        <v>20462</v>
      </c>
      <c r="D1120" s="1" t="s">
        <v>20463</v>
      </c>
      <c r="E1120" s="1"/>
      <c r="F1120" s="1" t="s">
        <v>20464</v>
      </c>
      <c r="G1120" s="1" t="s">
        <v>20465</v>
      </c>
      <c r="H1120" s="1" t="s">
        <v>20466</v>
      </c>
      <c r="I1120" s="1" t="s">
        <v>20467</v>
      </c>
      <c r="J1120" s="1">
        <v>6265075181</v>
      </c>
      <c r="K1120" s="1" t="s">
        <v>153</v>
      </c>
      <c r="L1120" s="1" t="s">
        <v>4504</v>
      </c>
      <c r="M1120" s="1" t="s">
        <v>86</v>
      </c>
      <c r="N1120" s="1" t="s">
        <v>20468</v>
      </c>
      <c r="O1120" s="1" t="s">
        <v>20469</v>
      </c>
      <c r="P1120" s="1" t="s">
        <v>219</v>
      </c>
      <c r="Q1120" s="1">
        <v>873067192664</v>
      </c>
      <c r="R1120" s="1" t="s">
        <v>20470</v>
      </c>
      <c r="S1120" s="1">
        <v>9002020812</v>
      </c>
      <c r="T1120" s="1" t="s">
        <v>20471</v>
      </c>
      <c r="U1120" s="1" t="s">
        <v>20472</v>
      </c>
      <c r="V1120" s="1">
        <v>8788057922</v>
      </c>
      <c r="W1120" s="1" t="s">
        <v>10306</v>
      </c>
      <c r="X1120" s="1" t="s">
        <v>20473</v>
      </c>
      <c r="Y1120" s="1" t="s">
        <v>410</v>
      </c>
      <c r="Z1120" s="1" t="s">
        <v>97</v>
      </c>
      <c r="AA1120" s="1" t="s">
        <v>20473</v>
      </c>
      <c r="AB1120" s="1" t="s">
        <v>410</v>
      </c>
      <c r="AC1120" s="1" t="s">
        <v>97</v>
      </c>
      <c r="AD1120" s="1" t="s">
        <v>98</v>
      </c>
      <c r="AE1120" s="1" t="s">
        <v>98</v>
      </c>
      <c r="AF1120" s="1" t="s">
        <v>20474</v>
      </c>
      <c r="AG1120" s="1" t="s">
        <v>796</v>
      </c>
      <c r="AH1120" s="1" t="s">
        <v>284</v>
      </c>
      <c r="AI1120" s="1" t="s">
        <v>170</v>
      </c>
      <c r="AJ1120" s="1">
        <v>91.4</v>
      </c>
      <c r="AK1120" s="1">
        <v>10</v>
      </c>
      <c r="AL1120" s="1" t="s">
        <v>20474</v>
      </c>
      <c r="AM1120" s="1" t="s">
        <v>796</v>
      </c>
      <c r="AN1120" s="1" t="s">
        <v>465</v>
      </c>
      <c r="AO1120" s="1" t="s">
        <v>490</v>
      </c>
      <c r="AP1120" s="1" t="s">
        <v>313</v>
      </c>
      <c r="AQ1120" s="1">
        <v>72.4</v>
      </c>
      <c r="AR1120" s="1"/>
      <c r="AS1120" s="1"/>
      <c r="AT1120" s="1"/>
      <c r="AU1120" s="1"/>
      <c r="AV1120" s="1"/>
      <c r="AW1120" s="1"/>
      <c r="AX1120" s="1"/>
      <c r="AY1120" s="1" t="s">
        <v>14884</v>
      </c>
      <c r="AZ1120" s="1" t="s">
        <v>20475</v>
      </c>
      <c r="BA1120" s="1" t="s">
        <v>578</v>
      </c>
      <c r="BB1120" s="1" t="s">
        <v>467</v>
      </c>
      <c r="BC1120" s="1" t="s">
        <v>315</v>
      </c>
      <c r="BD1120" s="1" t="s">
        <v>234</v>
      </c>
      <c r="BE1120" s="1">
        <v>70.65</v>
      </c>
      <c r="BF1120" s="1">
        <v>7.82</v>
      </c>
      <c r="BG1120" s="1"/>
      <c r="BH1120" s="1"/>
      <c r="BI1120" s="1"/>
      <c r="BJ1120" s="1"/>
      <c r="BK1120" s="1"/>
      <c r="BL1120" s="1"/>
      <c r="BM1120" s="1"/>
      <c r="BN1120" s="1"/>
      <c r="BO1120" s="1" t="s">
        <v>20476</v>
      </c>
      <c r="BP1120" s="1" t="s">
        <v>20477</v>
      </c>
      <c r="BQ1120" s="1" t="s">
        <v>2577</v>
      </c>
      <c r="BR1120" s="1" t="s">
        <v>20478</v>
      </c>
      <c r="BS1120" s="1">
        <v>6</v>
      </c>
      <c r="BT1120" s="1" t="s">
        <v>20479</v>
      </c>
      <c r="BU1120" s="1" t="str">
        <f>HYPERLINK("https://nconnect.nicmar.ac.in/storage/profile/6a8737c94ac0f.png","Download")</f>
        <v>0</v>
      </c>
      <c r="BV1120" s="3"/>
      <c r="BW1120" s="3"/>
    </row>
    <row r="1121" spans="1:75">
      <c r="A1121" s="1" t="s">
        <v>75</v>
      </c>
      <c r="B1121" s="1" t="s">
        <v>13976</v>
      </c>
      <c r="C1121" s="1" t="s">
        <v>20480</v>
      </c>
      <c r="D1121" s="1" t="s">
        <v>20481</v>
      </c>
      <c r="E1121" s="1"/>
      <c r="F1121" s="1" t="s">
        <v>15265</v>
      </c>
      <c r="G1121" s="1" t="s">
        <v>20482</v>
      </c>
      <c r="H1121" s="1" t="s">
        <v>20483</v>
      </c>
      <c r="I1121" s="1" t="s">
        <v>20484</v>
      </c>
      <c r="J1121" s="1">
        <v>8144052542</v>
      </c>
      <c r="K1121" s="1" t="s">
        <v>153</v>
      </c>
      <c r="L1121" s="1" t="s">
        <v>20485</v>
      </c>
      <c r="M1121" s="1" t="s">
        <v>86</v>
      </c>
      <c r="N1121" s="1" t="s">
        <v>20486</v>
      </c>
      <c r="O1121" s="1" t="s">
        <v>20487</v>
      </c>
      <c r="P1121" s="1" t="s">
        <v>122</v>
      </c>
      <c r="Q1121" s="1">
        <v>386650699629</v>
      </c>
      <c r="R1121" s="1" t="s">
        <v>20488</v>
      </c>
      <c r="S1121" s="1">
        <v>9438184437</v>
      </c>
      <c r="T1121" s="1" t="s">
        <v>20489</v>
      </c>
      <c r="U1121" s="1" t="s">
        <v>20490</v>
      </c>
      <c r="V1121" s="1">
        <v>9439095477</v>
      </c>
      <c r="W1121" s="1" t="s">
        <v>10306</v>
      </c>
      <c r="X1121" s="1" t="s">
        <v>20491</v>
      </c>
      <c r="Y1121" s="1" t="s">
        <v>864</v>
      </c>
      <c r="Z1121" s="1" t="s">
        <v>865</v>
      </c>
      <c r="AA1121" s="1" t="s">
        <v>20491</v>
      </c>
      <c r="AB1121" s="1" t="s">
        <v>864</v>
      </c>
      <c r="AC1121" s="1" t="s">
        <v>865</v>
      </c>
      <c r="AD1121" s="1" t="s">
        <v>98</v>
      </c>
      <c r="AE1121" s="1" t="s">
        <v>98</v>
      </c>
      <c r="AF1121" s="1" t="s">
        <v>20492</v>
      </c>
      <c r="AG1121" s="1" t="s">
        <v>20493</v>
      </c>
      <c r="AH1121" s="1" t="s">
        <v>286</v>
      </c>
      <c r="AI1121" s="1" t="s">
        <v>438</v>
      </c>
      <c r="AJ1121" s="1">
        <v>86.8</v>
      </c>
      <c r="AK1121" s="1"/>
      <c r="AL1121" s="1" t="s">
        <v>20492</v>
      </c>
      <c r="AM1121" s="1" t="s">
        <v>20493</v>
      </c>
      <c r="AN1121" s="1" t="s">
        <v>575</v>
      </c>
      <c r="AO1121" s="1" t="s">
        <v>315</v>
      </c>
      <c r="AP1121" s="1" t="s">
        <v>549</v>
      </c>
      <c r="AQ1121" s="1">
        <v>74.2</v>
      </c>
      <c r="AR1121" s="1"/>
      <c r="AS1121" s="1"/>
      <c r="AT1121" s="1"/>
      <c r="AU1121" s="1"/>
      <c r="AV1121" s="1"/>
      <c r="AW1121" s="1"/>
      <c r="AX1121" s="1"/>
      <c r="AY1121" s="1" t="s">
        <v>20494</v>
      </c>
      <c r="AZ1121" s="1" t="s">
        <v>20495</v>
      </c>
      <c r="BA1121" s="1" t="s">
        <v>466</v>
      </c>
      <c r="BB1121" s="1" t="s">
        <v>467</v>
      </c>
      <c r="BC1121" s="1" t="s">
        <v>871</v>
      </c>
      <c r="BD1121" s="1" t="s">
        <v>14083</v>
      </c>
      <c r="BE1121" s="1">
        <v>64.1</v>
      </c>
      <c r="BF1121" s="1">
        <v>6.91</v>
      </c>
      <c r="BG1121" s="1"/>
      <c r="BH1121" s="1"/>
      <c r="BI1121" s="1"/>
      <c r="BJ1121" s="1"/>
      <c r="BK1121" s="1"/>
      <c r="BL1121" s="1"/>
      <c r="BM1121" s="1"/>
      <c r="BN1121" s="1"/>
      <c r="BO1121" s="1" t="s">
        <v>20496</v>
      </c>
      <c r="BP1121" s="1" t="s">
        <v>20497</v>
      </c>
      <c r="BQ1121" s="1" t="s">
        <v>2116</v>
      </c>
      <c r="BR1121" s="1"/>
      <c r="BS1121" s="1"/>
      <c r="BT1121" s="1" t="s">
        <v>20498</v>
      </c>
      <c r="BU1121" s="1" t="str">
        <f>HYPERLINK("https://nconnect.nicmar.ac.in/storage/profile/6a85f87848d93.png","Download")</f>
        <v>0</v>
      </c>
      <c r="BV1121" s="3"/>
      <c r="BW1121" s="3"/>
    </row>
    <row r="1122" spans="1:75">
      <c r="A1122" s="1" t="s">
        <v>75</v>
      </c>
      <c r="B1122" s="1" t="s">
        <v>13976</v>
      </c>
      <c r="C1122" s="1" t="s">
        <v>20499</v>
      </c>
      <c r="D1122" s="1" t="s">
        <v>16630</v>
      </c>
      <c r="E1122" s="1" t="s">
        <v>20500</v>
      </c>
      <c r="F1122" s="1" t="s">
        <v>20501</v>
      </c>
      <c r="G1122" s="1" t="s">
        <v>20502</v>
      </c>
      <c r="H1122" s="1" t="s">
        <v>20503</v>
      </c>
      <c r="I1122" s="1" t="s">
        <v>20504</v>
      </c>
      <c r="J1122" s="1">
        <v>9890170214</v>
      </c>
      <c r="K1122" s="1" t="s">
        <v>84</v>
      </c>
      <c r="L1122" s="1" t="s">
        <v>20505</v>
      </c>
      <c r="M1122" s="1" t="s">
        <v>86</v>
      </c>
      <c r="N1122" s="1" t="s">
        <v>20506</v>
      </c>
      <c r="O1122" s="1" t="s">
        <v>20507</v>
      </c>
      <c r="P1122" s="1" t="s">
        <v>219</v>
      </c>
      <c r="Q1122" s="1">
        <v>587471440537</v>
      </c>
      <c r="R1122" s="1" t="s">
        <v>20508</v>
      </c>
      <c r="S1122" s="1">
        <v>9423554009</v>
      </c>
      <c r="T1122" s="1" t="s">
        <v>13987</v>
      </c>
      <c r="U1122" s="1" t="s">
        <v>20509</v>
      </c>
      <c r="V1122" s="1">
        <v>9689515049</v>
      </c>
      <c r="W1122" s="1" t="s">
        <v>10306</v>
      </c>
      <c r="X1122" s="1" t="s">
        <v>20510</v>
      </c>
      <c r="Y1122" s="1" t="s">
        <v>910</v>
      </c>
      <c r="Z1122" s="1" t="s">
        <v>97</v>
      </c>
      <c r="AA1122" s="1" t="s">
        <v>20510</v>
      </c>
      <c r="AB1122" s="1" t="s">
        <v>910</v>
      </c>
      <c r="AC1122" s="1" t="s">
        <v>97</v>
      </c>
      <c r="AD1122" s="1" t="s">
        <v>98</v>
      </c>
      <c r="AE1122" s="1" t="s">
        <v>98</v>
      </c>
      <c r="AF1122" s="1" t="s">
        <v>20511</v>
      </c>
      <c r="AG1122" s="1" t="s">
        <v>16258</v>
      </c>
      <c r="AH1122" s="1" t="s">
        <v>438</v>
      </c>
      <c r="AI1122" s="1" t="s">
        <v>178</v>
      </c>
      <c r="AJ1122" s="1">
        <v>91.66</v>
      </c>
      <c r="AK1122" s="1"/>
      <c r="AL1122" s="1" t="s">
        <v>20512</v>
      </c>
      <c r="AM1122" s="1" t="s">
        <v>14157</v>
      </c>
      <c r="AN1122" s="1" t="s">
        <v>465</v>
      </c>
      <c r="AO1122" s="1" t="s">
        <v>847</v>
      </c>
      <c r="AP1122" s="1" t="s">
        <v>289</v>
      </c>
      <c r="AQ1122" s="1">
        <v>76</v>
      </c>
      <c r="AR1122" s="1"/>
      <c r="AS1122" s="1"/>
      <c r="AT1122" s="1"/>
      <c r="AU1122" s="1"/>
      <c r="AV1122" s="1"/>
      <c r="AW1122" s="1"/>
      <c r="AX1122" s="1"/>
      <c r="AY1122" s="1" t="s">
        <v>14160</v>
      </c>
      <c r="AZ1122" s="1" t="s">
        <v>20513</v>
      </c>
      <c r="BA1122" s="1" t="s">
        <v>578</v>
      </c>
      <c r="BB1122" s="1" t="s">
        <v>467</v>
      </c>
      <c r="BC1122" s="1" t="s">
        <v>1825</v>
      </c>
      <c r="BD1122" s="1" t="s">
        <v>14162</v>
      </c>
      <c r="BE1122" s="1">
        <v>77.78</v>
      </c>
      <c r="BF1122" s="1">
        <v>8.58</v>
      </c>
      <c r="BG1122" s="1"/>
      <c r="BH1122" s="1"/>
      <c r="BI1122" s="1"/>
      <c r="BJ1122" s="1"/>
      <c r="BK1122" s="1"/>
      <c r="BL1122" s="1"/>
      <c r="BM1122" s="1"/>
      <c r="BN1122" s="1"/>
      <c r="BO1122" s="1" t="s">
        <v>15687</v>
      </c>
      <c r="BP1122" s="1"/>
      <c r="BQ1122" s="1"/>
      <c r="BR1122" s="1" t="s">
        <v>20514</v>
      </c>
      <c r="BS1122" s="1">
        <v>4</v>
      </c>
      <c r="BT1122" s="1"/>
      <c r="BU1122" s="1" t="str">
        <f>HYPERLINK("https://nconnect.nicmar.ac.in/storage/profile/6a88652278e60.png","Download")</f>
        <v>0</v>
      </c>
      <c r="BV1122" s="3"/>
      <c r="BW1122" s="3"/>
    </row>
    <row r="1123" spans="1:75">
      <c r="A1123" s="1" t="s">
        <v>75</v>
      </c>
      <c r="B1123" s="1" t="s">
        <v>13976</v>
      </c>
      <c r="C1123" s="1" t="s">
        <v>20515</v>
      </c>
      <c r="D1123" s="1" t="s">
        <v>20516</v>
      </c>
      <c r="E1123" s="1"/>
      <c r="F1123" s="1" t="s">
        <v>20517</v>
      </c>
      <c r="G1123" s="1" t="s">
        <v>20518</v>
      </c>
      <c r="H1123" s="1" t="s">
        <v>20519</v>
      </c>
      <c r="I1123" s="1" t="s">
        <v>20519</v>
      </c>
      <c r="J1123" s="1">
        <v>8008947656</v>
      </c>
      <c r="K1123" s="1" t="s">
        <v>84</v>
      </c>
      <c r="L1123" s="1" t="s">
        <v>19263</v>
      </c>
      <c r="M1123" s="1" t="s">
        <v>86</v>
      </c>
      <c r="N1123" s="1" t="s">
        <v>20520</v>
      </c>
      <c r="O1123" s="1" t="s">
        <v>20521</v>
      </c>
      <c r="P1123" s="1" t="s">
        <v>219</v>
      </c>
      <c r="Q1123" s="1">
        <v>586348921909</v>
      </c>
      <c r="R1123" s="1" t="s">
        <v>20522</v>
      </c>
      <c r="S1123" s="1">
        <v>8143700891</v>
      </c>
      <c r="T1123" s="1" t="s">
        <v>13411</v>
      </c>
      <c r="U1123" s="1" t="s">
        <v>20523</v>
      </c>
      <c r="V1123" s="1">
        <v>8143700891</v>
      </c>
      <c r="W1123" s="1" t="s">
        <v>20524</v>
      </c>
      <c r="X1123" s="1" t="s">
        <v>20525</v>
      </c>
      <c r="Y1123" s="1" t="s">
        <v>3031</v>
      </c>
      <c r="Z1123" s="1" t="s">
        <v>461</v>
      </c>
      <c r="AA1123" s="1" t="s">
        <v>20525</v>
      </c>
      <c r="AB1123" s="1" t="s">
        <v>3031</v>
      </c>
      <c r="AC1123" s="1" t="s">
        <v>461</v>
      </c>
      <c r="AD1123" s="1" t="s">
        <v>98</v>
      </c>
      <c r="AE1123" s="1" t="s">
        <v>98</v>
      </c>
      <c r="AF1123" s="1" t="s">
        <v>20526</v>
      </c>
      <c r="AG1123" s="1" t="s">
        <v>20527</v>
      </c>
      <c r="AH1123" s="1" t="s">
        <v>106</v>
      </c>
      <c r="AI1123" s="1" t="s">
        <v>313</v>
      </c>
      <c r="AJ1123" s="1">
        <v>95</v>
      </c>
      <c r="AK1123" s="1">
        <v>9.5</v>
      </c>
      <c r="AL1123" s="1"/>
      <c r="AM1123" s="1"/>
      <c r="AN1123" s="1"/>
      <c r="AO1123" s="1"/>
      <c r="AP1123" s="1"/>
      <c r="AQ1123" s="1"/>
      <c r="AR1123" s="1"/>
      <c r="AS1123" s="1" t="s">
        <v>467</v>
      </c>
      <c r="AT1123" s="1" t="s">
        <v>20528</v>
      </c>
      <c r="AU1123" s="1" t="s">
        <v>438</v>
      </c>
      <c r="AV1123" s="1" t="s">
        <v>632</v>
      </c>
      <c r="AW1123" s="1">
        <v>89</v>
      </c>
      <c r="AX1123" s="1">
        <v>9.4</v>
      </c>
      <c r="AY1123" s="1" t="s">
        <v>20529</v>
      </c>
      <c r="AZ1123" s="1" t="s">
        <v>20530</v>
      </c>
      <c r="BA1123" s="1" t="s">
        <v>466</v>
      </c>
      <c r="BB1123" s="1" t="s">
        <v>467</v>
      </c>
      <c r="BC1123" s="1" t="s">
        <v>1889</v>
      </c>
      <c r="BD1123" s="1" t="s">
        <v>553</v>
      </c>
      <c r="BE1123" s="1">
        <v>78</v>
      </c>
      <c r="BF1123" s="1">
        <v>8.38</v>
      </c>
      <c r="BG1123" s="1"/>
      <c r="BH1123" s="1"/>
      <c r="BI1123" s="1"/>
      <c r="BJ1123" s="1"/>
      <c r="BK1123" s="1"/>
      <c r="BL1123" s="1"/>
      <c r="BM1123" s="1"/>
      <c r="BN1123" s="1"/>
      <c r="BO1123" s="1" t="s">
        <v>20531</v>
      </c>
      <c r="BP1123" s="1" t="s">
        <v>20532</v>
      </c>
      <c r="BQ1123" s="1" t="s">
        <v>1070</v>
      </c>
      <c r="BR1123" s="1"/>
      <c r="BS1123" s="1"/>
      <c r="BT1123" s="1" t="s">
        <v>20533</v>
      </c>
      <c r="BU1123" s="1" t="str">
        <f>HYPERLINK("https://nconnect.nicmar.ac.in/storage/profile/6a86fc72c6e4f.png","Download")</f>
        <v>0</v>
      </c>
      <c r="BV1123" s="3"/>
      <c r="BW1123" s="3"/>
    </row>
    <row r="1124" spans="1:75">
      <c r="A1124" s="1" t="s">
        <v>75</v>
      </c>
      <c r="B1124" s="1" t="s">
        <v>13976</v>
      </c>
      <c r="C1124" s="1" t="s">
        <v>20534</v>
      </c>
      <c r="D1124" s="1"/>
      <c r="E1124" s="1"/>
      <c r="F1124" s="1"/>
      <c r="G1124" s="1"/>
      <c r="H1124" s="1" t="s">
        <v>20535</v>
      </c>
      <c r="I1124" s="1" t="s">
        <v>20535</v>
      </c>
      <c r="J1124" s="1"/>
      <c r="K1124" s="1"/>
      <c r="L1124" s="1"/>
      <c r="M1124" s="1"/>
      <c r="N1124" s="1"/>
      <c r="O1124" s="1"/>
      <c r="P1124" s="1"/>
      <c r="Q1124" s="1"/>
      <c r="R1124" s="1"/>
      <c r="S1124" s="1"/>
      <c r="T1124" s="1"/>
      <c r="U1124" s="1"/>
      <c r="V1124" s="1"/>
      <c r="W1124" s="1"/>
      <c r="X1124" s="1"/>
      <c r="Y1124" s="1"/>
      <c r="Z1124" s="1"/>
      <c r="AA1124" s="1"/>
      <c r="AB1124" s="1"/>
      <c r="AC1124" s="1"/>
      <c r="AD1124" s="1" t="s">
        <v>98</v>
      </c>
      <c r="AE1124" s="1" t="s">
        <v>98</v>
      </c>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t="s">
        <v>9653</v>
      </c>
      <c r="BV1124" s="3"/>
      <c r="BW1124" s="3"/>
    </row>
    <row r="1125" spans="1:75">
      <c r="A1125" s="1" t="s">
        <v>75</v>
      </c>
      <c r="B1125" s="1" t="s">
        <v>13976</v>
      </c>
      <c r="C1125" s="1" t="s">
        <v>20536</v>
      </c>
      <c r="D1125" s="1" t="s">
        <v>20537</v>
      </c>
      <c r="E1125" s="1" t="s">
        <v>16125</v>
      </c>
      <c r="F1125" s="1" t="s">
        <v>20538</v>
      </c>
      <c r="G1125" s="1" t="s">
        <v>20539</v>
      </c>
      <c r="H1125" s="1" t="s">
        <v>20540</v>
      </c>
      <c r="I1125" s="1" t="s">
        <v>20541</v>
      </c>
      <c r="J1125" s="1">
        <v>8010912087</v>
      </c>
      <c r="K1125" s="1" t="s">
        <v>153</v>
      </c>
      <c r="L1125" s="1" t="s">
        <v>20542</v>
      </c>
      <c r="M1125" s="1" t="s">
        <v>86</v>
      </c>
      <c r="N1125" s="1" t="s">
        <v>4263</v>
      </c>
      <c r="O1125" s="1" t="s">
        <v>20543</v>
      </c>
      <c r="P1125" s="1" t="s">
        <v>122</v>
      </c>
      <c r="Q1125" s="1">
        <v>455522635167</v>
      </c>
      <c r="R1125" s="1" t="s">
        <v>16125</v>
      </c>
      <c r="S1125" s="1">
        <v>7057928092</v>
      </c>
      <c r="T1125" s="1" t="s">
        <v>3441</v>
      </c>
      <c r="U1125" s="1" t="s">
        <v>20544</v>
      </c>
      <c r="V1125" s="1">
        <v>9405263238</v>
      </c>
      <c r="W1125" s="1" t="s">
        <v>3441</v>
      </c>
      <c r="X1125" s="1" t="s">
        <v>20545</v>
      </c>
      <c r="Y1125" s="1" t="s">
        <v>1989</v>
      </c>
      <c r="Z1125" s="1" t="s">
        <v>97</v>
      </c>
      <c r="AA1125" s="1" t="s">
        <v>20546</v>
      </c>
      <c r="AB1125" s="1" t="s">
        <v>196</v>
      </c>
      <c r="AC1125" s="1" t="s">
        <v>97</v>
      </c>
      <c r="AD1125" s="1" t="s">
        <v>98</v>
      </c>
      <c r="AE1125" s="1" t="s">
        <v>98</v>
      </c>
      <c r="AF1125" s="1" t="s">
        <v>20547</v>
      </c>
      <c r="AG1125" s="1" t="s">
        <v>20548</v>
      </c>
      <c r="AH1125" s="1" t="s">
        <v>547</v>
      </c>
      <c r="AI1125" s="1" t="s">
        <v>603</v>
      </c>
      <c r="AJ1125" s="1">
        <v>87</v>
      </c>
      <c r="AK1125" s="1"/>
      <c r="AL1125" s="1" t="s">
        <v>20549</v>
      </c>
      <c r="AM1125" s="1" t="s">
        <v>20550</v>
      </c>
      <c r="AN1125" s="1" t="s">
        <v>465</v>
      </c>
      <c r="AO1125" s="1" t="s">
        <v>890</v>
      </c>
      <c r="AP1125" s="1" t="s">
        <v>1886</v>
      </c>
      <c r="AQ1125" s="1">
        <v>65.83</v>
      </c>
      <c r="AR1125" s="1"/>
      <c r="AS1125" s="1"/>
      <c r="AT1125" s="1"/>
      <c r="AU1125" s="1"/>
      <c r="AV1125" s="1"/>
      <c r="AW1125" s="1"/>
      <c r="AX1125" s="1"/>
      <c r="AY1125" s="1" t="s">
        <v>20551</v>
      </c>
      <c r="AZ1125" s="1" t="s">
        <v>20552</v>
      </c>
      <c r="BA1125" s="1" t="s">
        <v>466</v>
      </c>
      <c r="BB1125" s="1" t="s">
        <v>467</v>
      </c>
      <c r="BC1125" s="1" t="s">
        <v>1889</v>
      </c>
      <c r="BD1125" s="1" t="s">
        <v>14162</v>
      </c>
      <c r="BE1125" s="1">
        <v>64.2</v>
      </c>
      <c r="BF1125" s="1">
        <v>7.16</v>
      </c>
      <c r="BG1125" s="1"/>
      <c r="BH1125" s="1"/>
      <c r="BI1125" s="1"/>
      <c r="BJ1125" s="1"/>
      <c r="BK1125" s="1"/>
      <c r="BL1125" s="1"/>
      <c r="BM1125" s="1"/>
      <c r="BN1125" s="1"/>
      <c r="BO1125" s="1" t="s">
        <v>20553</v>
      </c>
      <c r="BP1125" s="1"/>
      <c r="BQ1125" s="1"/>
      <c r="BR1125" s="1" t="s">
        <v>20554</v>
      </c>
      <c r="BS1125" s="1">
        <v>136</v>
      </c>
      <c r="BT1125" s="1"/>
      <c r="BU1125" s="1" t="str">
        <f>HYPERLINK("https://nconnect.nicmar.ac.in/storage/profile/6a85f78d96aaf.png","Download")</f>
        <v>0</v>
      </c>
      <c r="BV1125" s="3"/>
      <c r="BW1125" s="3"/>
    </row>
    <row r="1126" spans="1:75">
      <c r="A1126" s="1" t="s">
        <v>75</v>
      </c>
      <c r="B1126" s="1" t="s">
        <v>13976</v>
      </c>
      <c r="C1126" s="1" t="s">
        <v>20555</v>
      </c>
      <c r="D1126" s="1" t="s">
        <v>18652</v>
      </c>
      <c r="E1126" s="1"/>
      <c r="F1126" s="1" t="s">
        <v>20556</v>
      </c>
      <c r="G1126" s="1" t="s">
        <v>20557</v>
      </c>
      <c r="H1126" s="1" t="s">
        <v>20558</v>
      </c>
      <c r="I1126" s="1" t="s">
        <v>20558</v>
      </c>
      <c r="J1126" s="1">
        <v>7558971668</v>
      </c>
      <c r="K1126" s="1" t="s">
        <v>84</v>
      </c>
      <c r="L1126" s="1" t="s">
        <v>16446</v>
      </c>
      <c r="M1126" s="1" t="s">
        <v>86</v>
      </c>
      <c r="N1126" s="1" t="s">
        <v>20559</v>
      </c>
      <c r="O1126" s="1" t="s">
        <v>20560</v>
      </c>
      <c r="P1126" s="1" t="s">
        <v>219</v>
      </c>
      <c r="Q1126" s="1">
        <v>884552487778</v>
      </c>
      <c r="R1126" s="1" t="s">
        <v>20561</v>
      </c>
      <c r="S1126" s="1">
        <v>9745404059</v>
      </c>
      <c r="T1126" s="1" t="s">
        <v>3439</v>
      </c>
      <c r="U1126" s="1" t="s">
        <v>20562</v>
      </c>
      <c r="V1126" s="1">
        <v>9539392839</v>
      </c>
      <c r="W1126" s="1" t="s">
        <v>14154</v>
      </c>
      <c r="X1126" s="1" t="s">
        <v>20563</v>
      </c>
      <c r="Y1126" s="1" t="s">
        <v>701</v>
      </c>
      <c r="Z1126" s="1" t="s">
        <v>130</v>
      </c>
      <c r="AA1126" s="1" t="s">
        <v>20563</v>
      </c>
      <c r="AB1126" s="1" t="s">
        <v>701</v>
      </c>
      <c r="AC1126" s="1" t="s">
        <v>130</v>
      </c>
      <c r="AD1126" s="1" t="s">
        <v>98</v>
      </c>
      <c r="AE1126" s="1" t="s">
        <v>98</v>
      </c>
      <c r="AF1126" s="1" t="s">
        <v>20564</v>
      </c>
      <c r="AG1126" s="1" t="s">
        <v>796</v>
      </c>
      <c r="AH1126" s="1" t="s">
        <v>106</v>
      </c>
      <c r="AI1126" s="1" t="s">
        <v>313</v>
      </c>
      <c r="AJ1126" s="1">
        <v>91.4</v>
      </c>
      <c r="AK1126" s="1"/>
      <c r="AL1126" s="1" t="s">
        <v>20564</v>
      </c>
      <c r="AM1126" s="1" t="s">
        <v>796</v>
      </c>
      <c r="AN1126" s="1" t="s">
        <v>465</v>
      </c>
      <c r="AO1126" s="1" t="s">
        <v>468</v>
      </c>
      <c r="AP1126" s="1" t="s">
        <v>845</v>
      </c>
      <c r="AQ1126" s="1">
        <v>86</v>
      </c>
      <c r="AR1126" s="1"/>
      <c r="AS1126" s="1"/>
      <c r="AT1126" s="1"/>
      <c r="AU1126" s="1"/>
      <c r="AV1126" s="1"/>
      <c r="AW1126" s="1"/>
      <c r="AX1126" s="1"/>
      <c r="AY1126" s="1" t="s">
        <v>15573</v>
      </c>
      <c r="AZ1126" s="1" t="s">
        <v>20565</v>
      </c>
      <c r="BA1126" s="1" t="s">
        <v>466</v>
      </c>
      <c r="BB1126" s="1" t="s">
        <v>467</v>
      </c>
      <c r="BC1126" s="1" t="s">
        <v>441</v>
      </c>
      <c r="BD1126" s="1" t="s">
        <v>14903</v>
      </c>
      <c r="BE1126" s="1">
        <v>65.3</v>
      </c>
      <c r="BF1126" s="1">
        <v>6.53</v>
      </c>
      <c r="BG1126" s="1"/>
      <c r="BH1126" s="1"/>
      <c r="BI1126" s="1"/>
      <c r="BJ1126" s="1"/>
      <c r="BK1126" s="1"/>
      <c r="BL1126" s="1"/>
      <c r="BM1126" s="1"/>
      <c r="BN1126" s="1"/>
      <c r="BO1126" s="1" t="s">
        <v>20566</v>
      </c>
      <c r="BP1126" s="1"/>
      <c r="BQ1126" s="1"/>
      <c r="BR1126" s="1"/>
      <c r="BS1126" s="1"/>
      <c r="BT1126" s="1"/>
      <c r="BU1126" s="1" t="str">
        <f>HYPERLINK("https://nconnect.nicmar.ac.in/storage/profile/6a86bf9c5670b.png","Download")</f>
        <v>0</v>
      </c>
      <c r="BV1126" s="3"/>
      <c r="BW1126" s="3"/>
    </row>
    <row r="1127" spans="1:75">
      <c r="A1127" s="1" t="s">
        <v>75</v>
      </c>
      <c r="B1127" s="1" t="s">
        <v>13976</v>
      </c>
      <c r="C1127" s="1" t="s">
        <v>20567</v>
      </c>
      <c r="D1127" s="1" t="s">
        <v>2599</v>
      </c>
      <c r="E1127" s="1" t="s">
        <v>12672</v>
      </c>
      <c r="F1127" s="1" t="s">
        <v>11351</v>
      </c>
      <c r="G1127" s="1" t="s">
        <v>20568</v>
      </c>
      <c r="H1127" s="1" t="s">
        <v>20569</v>
      </c>
      <c r="I1127" s="1" t="s">
        <v>20569</v>
      </c>
      <c r="J1127" s="1">
        <v>7057362980</v>
      </c>
      <c r="K1127" s="1" t="s">
        <v>84</v>
      </c>
      <c r="L1127" s="1" t="s">
        <v>20570</v>
      </c>
      <c r="M1127" s="1" t="s">
        <v>86</v>
      </c>
      <c r="N1127" s="1" t="s">
        <v>903</v>
      </c>
      <c r="O1127" s="1" t="s">
        <v>20571</v>
      </c>
      <c r="P1127" s="1" t="s">
        <v>89</v>
      </c>
      <c r="Q1127" s="1">
        <v>209584094069</v>
      </c>
      <c r="R1127" s="1" t="s">
        <v>20572</v>
      </c>
      <c r="S1127" s="1">
        <v>9423123248</v>
      </c>
      <c r="T1127" s="1" t="s">
        <v>20573</v>
      </c>
      <c r="U1127" s="1" t="s">
        <v>20574</v>
      </c>
      <c r="V1127" s="1">
        <v>9422917396</v>
      </c>
      <c r="W1127" s="1" t="s">
        <v>98</v>
      </c>
      <c r="X1127" s="1" t="s">
        <v>20575</v>
      </c>
      <c r="Y1127" s="1" t="s">
        <v>224</v>
      </c>
      <c r="Z1127" s="1" t="s">
        <v>97</v>
      </c>
      <c r="AA1127" s="1" t="s">
        <v>20575</v>
      </c>
      <c r="AB1127" s="1" t="s">
        <v>224</v>
      </c>
      <c r="AC1127" s="1" t="s">
        <v>97</v>
      </c>
      <c r="AD1127" s="1" t="s">
        <v>98</v>
      </c>
      <c r="AE1127" s="1" t="s">
        <v>98</v>
      </c>
      <c r="AF1127" s="1" t="s">
        <v>20576</v>
      </c>
      <c r="AG1127" s="1" t="s">
        <v>20577</v>
      </c>
      <c r="AH1127" s="1" t="s">
        <v>3421</v>
      </c>
      <c r="AI1127" s="1" t="s">
        <v>178</v>
      </c>
      <c r="AJ1127" s="1">
        <v>72.6</v>
      </c>
      <c r="AK1127" s="1"/>
      <c r="AL1127" s="1"/>
      <c r="AM1127" s="1"/>
      <c r="AN1127" s="1"/>
      <c r="AO1127" s="1"/>
      <c r="AP1127" s="1"/>
      <c r="AQ1127" s="1"/>
      <c r="AR1127" s="1"/>
      <c r="AS1127" s="1" t="s">
        <v>255</v>
      </c>
      <c r="AT1127" s="1" t="s">
        <v>20578</v>
      </c>
      <c r="AU1127" s="1" t="s">
        <v>368</v>
      </c>
      <c r="AV1127" s="1" t="s">
        <v>179</v>
      </c>
      <c r="AW1127" s="1">
        <v>88.21</v>
      </c>
      <c r="AX1127" s="1"/>
      <c r="AY1127" s="1" t="s">
        <v>340</v>
      </c>
      <c r="AZ1127" s="1" t="s">
        <v>20579</v>
      </c>
      <c r="BA1127" s="1" t="s">
        <v>578</v>
      </c>
      <c r="BB1127" s="1" t="s">
        <v>467</v>
      </c>
      <c r="BC1127" s="1" t="s">
        <v>1267</v>
      </c>
      <c r="BD1127" s="1" t="s">
        <v>14514</v>
      </c>
      <c r="BE1127" s="1">
        <v>71.67</v>
      </c>
      <c r="BF1127" s="1">
        <v>8.33</v>
      </c>
      <c r="BG1127" s="1"/>
      <c r="BH1127" s="1"/>
      <c r="BI1127" s="1"/>
      <c r="BJ1127" s="1"/>
      <c r="BK1127" s="1"/>
      <c r="BL1127" s="1"/>
      <c r="BM1127" s="1"/>
      <c r="BN1127" s="1"/>
      <c r="BO1127" s="1" t="s">
        <v>20580</v>
      </c>
      <c r="BP1127" s="1"/>
      <c r="BQ1127" s="1"/>
      <c r="BR1127" s="1" t="s">
        <v>20581</v>
      </c>
      <c r="BS1127" s="1">
        <v>18</v>
      </c>
      <c r="BT1127" s="1" t="s">
        <v>20582</v>
      </c>
      <c r="BU1127" s="1" t="str">
        <f>HYPERLINK("https://nconnect.nicmar.ac.in/storage/profile/6a85c7989ad49.png","Download")</f>
        <v>0</v>
      </c>
      <c r="BV1127" s="3"/>
      <c r="BW1127" s="3"/>
    </row>
    <row r="1128" spans="1:75">
      <c r="A1128" s="1" t="s">
        <v>75</v>
      </c>
      <c r="B1128" s="1" t="s">
        <v>13976</v>
      </c>
      <c r="C1128" s="1" t="s">
        <v>20583</v>
      </c>
      <c r="D1128" s="1" t="s">
        <v>20584</v>
      </c>
      <c r="E1128" s="1"/>
      <c r="F1128" s="1" t="s">
        <v>1361</v>
      </c>
      <c r="G1128" s="1" t="s">
        <v>20585</v>
      </c>
      <c r="H1128" s="1" t="s">
        <v>20586</v>
      </c>
      <c r="I1128" s="1" t="s">
        <v>20586</v>
      </c>
      <c r="J1128" s="1">
        <v>9344023095</v>
      </c>
      <c r="K1128" s="1" t="s">
        <v>153</v>
      </c>
      <c r="L1128" s="1" t="s">
        <v>18452</v>
      </c>
      <c r="M1128" s="1" t="s">
        <v>86</v>
      </c>
      <c r="N1128" s="1" t="s">
        <v>20587</v>
      </c>
      <c r="O1128" s="1" t="s">
        <v>20588</v>
      </c>
      <c r="P1128" s="1" t="s">
        <v>219</v>
      </c>
      <c r="Q1128" s="1" t="s">
        <v>20589</v>
      </c>
      <c r="R1128" s="1" t="s">
        <v>20590</v>
      </c>
      <c r="S1128" s="1">
        <v>9486627604</v>
      </c>
      <c r="T1128" s="1" t="s">
        <v>539</v>
      </c>
      <c r="U1128" s="1" t="s">
        <v>20591</v>
      </c>
      <c r="V1128" s="1">
        <v>9043020254</v>
      </c>
      <c r="W1128" s="1" t="s">
        <v>94</v>
      </c>
      <c r="X1128" s="1" t="s">
        <v>20592</v>
      </c>
      <c r="Y1128" s="1" t="s">
        <v>20593</v>
      </c>
      <c r="Z1128" s="1" t="s">
        <v>570</v>
      </c>
      <c r="AA1128" s="1" t="s">
        <v>20592</v>
      </c>
      <c r="AB1128" s="1" t="s">
        <v>20593</v>
      </c>
      <c r="AC1128" s="1" t="s">
        <v>570</v>
      </c>
      <c r="AD1128" s="1" t="s">
        <v>98</v>
      </c>
      <c r="AE1128" s="1" t="s">
        <v>98</v>
      </c>
      <c r="AF1128" s="1" t="s">
        <v>20594</v>
      </c>
      <c r="AG1128" s="1" t="s">
        <v>20595</v>
      </c>
      <c r="AH1128" s="1" t="s">
        <v>170</v>
      </c>
      <c r="AI1128" s="1" t="s">
        <v>171</v>
      </c>
      <c r="AJ1128" s="1">
        <v>93.2</v>
      </c>
      <c r="AK1128" s="1"/>
      <c r="AL1128" s="1" t="s">
        <v>20594</v>
      </c>
      <c r="AM1128" s="1" t="s">
        <v>20595</v>
      </c>
      <c r="AN1128" s="1" t="s">
        <v>465</v>
      </c>
      <c r="AO1128" s="1" t="s">
        <v>438</v>
      </c>
      <c r="AP1128" s="1" t="s">
        <v>178</v>
      </c>
      <c r="AQ1128" s="1">
        <v>89</v>
      </c>
      <c r="AR1128" s="1"/>
      <c r="AS1128" s="1"/>
      <c r="AT1128" s="1"/>
      <c r="AU1128" s="1"/>
      <c r="AV1128" s="1"/>
      <c r="AW1128" s="1"/>
      <c r="AX1128" s="1"/>
      <c r="AY1128" s="1" t="s">
        <v>576</v>
      </c>
      <c r="AZ1128" s="1" t="s">
        <v>20596</v>
      </c>
      <c r="BA1128" s="1" t="s">
        <v>578</v>
      </c>
      <c r="BB1128" s="1" t="s">
        <v>467</v>
      </c>
      <c r="BC1128" s="1" t="s">
        <v>175</v>
      </c>
      <c r="BD1128" s="1" t="s">
        <v>1242</v>
      </c>
      <c r="BE1128" s="1">
        <v>89.8</v>
      </c>
      <c r="BF1128" s="1">
        <v>8.98</v>
      </c>
      <c r="BG1128" s="1"/>
      <c r="BH1128" s="1"/>
      <c r="BI1128" s="1"/>
      <c r="BJ1128" s="1"/>
      <c r="BK1128" s="1"/>
      <c r="BL1128" s="1"/>
      <c r="BM1128" s="1"/>
      <c r="BN1128" s="1"/>
      <c r="BO1128" s="1" t="s">
        <v>20597</v>
      </c>
      <c r="BP1128" s="1"/>
      <c r="BQ1128" s="1"/>
      <c r="BR1128" s="1" t="s">
        <v>20598</v>
      </c>
      <c r="BS1128" s="1">
        <v>3</v>
      </c>
      <c r="BT1128" s="1"/>
      <c r="BU1128" s="1" t="str">
        <f>HYPERLINK("https://nconnect.nicmar.ac.in/storage/profile/6a85f595a89b1.png","Download")</f>
        <v>0</v>
      </c>
      <c r="BV1128" s="3"/>
      <c r="BW1128" s="3"/>
    </row>
    <row r="1129" spans="1:75">
      <c r="A1129" s="1" t="s">
        <v>75</v>
      </c>
      <c r="B1129" s="1" t="s">
        <v>13976</v>
      </c>
      <c r="C1129" s="1" t="s">
        <v>20599</v>
      </c>
      <c r="D1129" s="1" t="s">
        <v>20600</v>
      </c>
      <c r="E1129" s="1" t="s">
        <v>20601</v>
      </c>
      <c r="F1129" s="1" t="s">
        <v>20602</v>
      </c>
      <c r="G1129" s="1" t="s">
        <v>20603</v>
      </c>
      <c r="H1129" s="1" t="s">
        <v>20604</v>
      </c>
      <c r="I1129" s="1" t="s">
        <v>20604</v>
      </c>
      <c r="J1129" s="1">
        <v>7558096529</v>
      </c>
      <c r="K1129" s="1" t="s">
        <v>84</v>
      </c>
      <c r="L1129" s="1" t="s">
        <v>20605</v>
      </c>
      <c r="M1129" s="1" t="s">
        <v>86</v>
      </c>
      <c r="N1129" s="1" t="s">
        <v>3147</v>
      </c>
      <c r="O1129" s="1" t="s">
        <v>20606</v>
      </c>
      <c r="P1129" s="1" t="s">
        <v>122</v>
      </c>
      <c r="Q1129" s="1">
        <v>916869285623</v>
      </c>
      <c r="R1129" s="1" t="s">
        <v>20607</v>
      </c>
      <c r="S1129" s="1">
        <v>9746590356</v>
      </c>
      <c r="T1129" s="1" t="s">
        <v>18951</v>
      </c>
      <c r="U1129" s="1" t="s">
        <v>20608</v>
      </c>
      <c r="V1129" s="1">
        <v>9895270232</v>
      </c>
      <c r="W1129" s="1" t="s">
        <v>127</v>
      </c>
      <c r="X1129" s="1" t="s">
        <v>20609</v>
      </c>
      <c r="Y1129" s="1" t="s">
        <v>701</v>
      </c>
      <c r="Z1129" s="1" t="s">
        <v>130</v>
      </c>
      <c r="AA1129" s="1" t="s">
        <v>20609</v>
      </c>
      <c r="AB1129" s="1" t="s">
        <v>701</v>
      </c>
      <c r="AC1129" s="1" t="s">
        <v>130</v>
      </c>
      <c r="AD1129" s="1" t="s">
        <v>98</v>
      </c>
      <c r="AE1129" s="1" t="s">
        <v>98</v>
      </c>
      <c r="AF1129" s="1" t="s">
        <v>20610</v>
      </c>
      <c r="AG1129" s="1" t="s">
        <v>20611</v>
      </c>
      <c r="AH1129" s="1" t="s">
        <v>166</v>
      </c>
      <c r="AI1129" s="1" t="s">
        <v>627</v>
      </c>
      <c r="AJ1129" s="1">
        <v>74.1</v>
      </c>
      <c r="AK1129" s="1">
        <v>7.8</v>
      </c>
      <c r="AL1129" s="1" t="s">
        <v>20612</v>
      </c>
      <c r="AM1129" s="1" t="s">
        <v>20613</v>
      </c>
      <c r="AN1129" s="1" t="s">
        <v>575</v>
      </c>
      <c r="AO1129" s="1" t="s">
        <v>167</v>
      </c>
      <c r="AP1129" s="1" t="s">
        <v>171</v>
      </c>
      <c r="AQ1129" s="1">
        <v>74.33</v>
      </c>
      <c r="AR1129" s="1"/>
      <c r="AS1129" s="1"/>
      <c r="AT1129" s="1"/>
      <c r="AU1129" s="1"/>
      <c r="AV1129" s="1"/>
      <c r="AW1129" s="1"/>
      <c r="AX1129" s="1"/>
      <c r="AY1129" s="1" t="s">
        <v>20614</v>
      </c>
      <c r="AZ1129" s="1" t="s">
        <v>20615</v>
      </c>
      <c r="BA1129" s="1" t="s">
        <v>466</v>
      </c>
      <c r="BB1129" s="1" t="s">
        <v>467</v>
      </c>
      <c r="BC1129" s="1" t="s">
        <v>174</v>
      </c>
      <c r="BD1129" s="1" t="s">
        <v>1400</v>
      </c>
      <c r="BE1129" s="1">
        <v>73.1</v>
      </c>
      <c r="BF1129" s="1">
        <v>7.31</v>
      </c>
      <c r="BG1129" s="1"/>
      <c r="BH1129" s="1"/>
      <c r="BI1129" s="1"/>
      <c r="BJ1129" s="1"/>
      <c r="BK1129" s="1"/>
      <c r="BL1129" s="1"/>
      <c r="BM1129" s="1"/>
      <c r="BN1129" s="1"/>
      <c r="BO1129" s="1" t="s">
        <v>20616</v>
      </c>
      <c r="BP1129" s="1" t="s">
        <v>20617</v>
      </c>
      <c r="BQ1129" s="1" t="s">
        <v>4389</v>
      </c>
      <c r="BR1129" s="1" t="s">
        <v>20618</v>
      </c>
      <c r="BS1129" s="1">
        <v>17</v>
      </c>
      <c r="BT1129" s="1" t="s">
        <v>20619</v>
      </c>
      <c r="BU1129" s="1" t="str">
        <f>HYPERLINK("https://nconnect.nicmar.ac.in/storage/profile/6a85ddf864a04.png","Download")</f>
        <v>0</v>
      </c>
      <c r="BV1129" s="3"/>
      <c r="BW1129" s="3"/>
    </row>
    <row r="1130" spans="1:75">
      <c r="A1130" s="1" t="s">
        <v>75</v>
      </c>
      <c r="B1130" s="1" t="s">
        <v>13976</v>
      </c>
      <c r="C1130" s="1" t="s">
        <v>20620</v>
      </c>
      <c r="D1130" s="1" t="s">
        <v>20621</v>
      </c>
      <c r="E1130" s="1" t="s">
        <v>20622</v>
      </c>
      <c r="F1130" s="1" t="s">
        <v>15036</v>
      </c>
      <c r="G1130" s="1" t="s">
        <v>20623</v>
      </c>
      <c r="H1130" s="1" t="s">
        <v>20624</v>
      </c>
      <c r="I1130" s="1" t="s">
        <v>20625</v>
      </c>
      <c r="J1130" s="1">
        <v>8149070633</v>
      </c>
      <c r="K1130" s="1" t="s">
        <v>84</v>
      </c>
      <c r="L1130" s="1" t="s">
        <v>20626</v>
      </c>
      <c r="M1130" s="1" t="s">
        <v>86</v>
      </c>
      <c r="N1130" s="1" t="s">
        <v>768</v>
      </c>
      <c r="O1130" s="1" t="s">
        <v>20627</v>
      </c>
      <c r="P1130" s="1" t="s">
        <v>122</v>
      </c>
      <c r="Q1130" s="1">
        <v>532221788606</v>
      </c>
      <c r="R1130" s="1" t="s">
        <v>20628</v>
      </c>
      <c r="S1130" s="1">
        <v>9421617220</v>
      </c>
      <c r="T1130" s="1" t="s">
        <v>17767</v>
      </c>
      <c r="U1130" s="1" t="s">
        <v>20629</v>
      </c>
      <c r="V1130" s="1">
        <v>9284794380</v>
      </c>
      <c r="W1130" s="1" t="s">
        <v>14154</v>
      </c>
      <c r="X1130" s="1" t="s">
        <v>20630</v>
      </c>
      <c r="Y1130" s="1" t="s">
        <v>224</v>
      </c>
      <c r="Z1130" s="1" t="s">
        <v>97</v>
      </c>
      <c r="AA1130" s="1" t="s">
        <v>20631</v>
      </c>
      <c r="AB1130" s="1" t="s">
        <v>196</v>
      </c>
      <c r="AC1130" s="1" t="s">
        <v>97</v>
      </c>
      <c r="AD1130" s="1" t="s">
        <v>98</v>
      </c>
      <c r="AE1130" s="1" t="s">
        <v>98</v>
      </c>
      <c r="AF1130" s="1" t="s">
        <v>20632</v>
      </c>
      <c r="AG1130" s="1" t="s">
        <v>20633</v>
      </c>
      <c r="AH1130" s="1" t="s">
        <v>106</v>
      </c>
      <c r="AI1130" s="1" t="s">
        <v>414</v>
      </c>
      <c r="AJ1130" s="1">
        <v>60.8</v>
      </c>
      <c r="AK1130" s="1"/>
      <c r="AL1130" s="1" t="s">
        <v>20634</v>
      </c>
      <c r="AM1130" s="1" t="s">
        <v>20635</v>
      </c>
      <c r="AN1130" s="1" t="s">
        <v>465</v>
      </c>
      <c r="AO1130" s="1" t="s">
        <v>315</v>
      </c>
      <c r="AP1130" s="1" t="s">
        <v>1171</v>
      </c>
      <c r="AQ1130" s="1">
        <v>83.17</v>
      </c>
      <c r="AR1130" s="1"/>
      <c r="AS1130" s="1"/>
      <c r="AT1130" s="1"/>
      <c r="AU1130" s="1"/>
      <c r="AV1130" s="1"/>
      <c r="AW1130" s="1"/>
      <c r="AX1130" s="1"/>
      <c r="AY1130" s="1" t="s">
        <v>14160</v>
      </c>
      <c r="AZ1130" s="1" t="s">
        <v>20636</v>
      </c>
      <c r="BA1130" s="1" t="s">
        <v>578</v>
      </c>
      <c r="BB1130" s="1" t="s">
        <v>467</v>
      </c>
      <c r="BC1130" s="1" t="s">
        <v>552</v>
      </c>
      <c r="BD1130" s="1" t="s">
        <v>848</v>
      </c>
      <c r="BE1130" s="1">
        <v>66.8</v>
      </c>
      <c r="BF1130" s="1">
        <v>7.43</v>
      </c>
      <c r="BG1130" s="1"/>
      <c r="BH1130" s="1"/>
      <c r="BI1130" s="1"/>
      <c r="BJ1130" s="1"/>
      <c r="BK1130" s="1"/>
      <c r="BL1130" s="1"/>
      <c r="BM1130" s="1"/>
      <c r="BN1130" s="1"/>
      <c r="BO1130" s="1" t="s">
        <v>15575</v>
      </c>
      <c r="BP1130" s="1"/>
      <c r="BQ1130" s="1"/>
      <c r="BR1130" s="1" t="s">
        <v>20637</v>
      </c>
      <c r="BS1130" s="1">
        <v>4</v>
      </c>
      <c r="BT1130" s="1"/>
      <c r="BU1130" s="1" t="str">
        <f>HYPERLINK("https://nconnect.nicmar.ac.in/storage/profile/6a85d35dea675.png","Download")</f>
        <v>0</v>
      </c>
      <c r="BV1130" s="3"/>
      <c r="BW1130" s="3"/>
    </row>
    <row r="1131" spans="1:75">
      <c r="A1131" s="1" t="s">
        <v>75</v>
      </c>
      <c r="B1131" s="1" t="s">
        <v>13976</v>
      </c>
      <c r="C1131" s="1" t="s">
        <v>20638</v>
      </c>
      <c r="D1131" s="1" t="s">
        <v>20639</v>
      </c>
      <c r="E1131" s="1" t="s">
        <v>20640</v>
      </c>
      <c r="F1131" s="1" t="s">
        <v>14460</v>
      </c>
      <c r="G1131" s="1" t="s">
        <v>20641</v>
      </c>
      <c r="H1131" s="1" t="s">
        <v>20642</v>
      </c>
      <c r="I1131" s="1" t="s">
        <v>20642</v>
      </c>
      <c r="J1131" s="1">
        <v>7357824500</v>
      </c>
      <c r="K1131" s="1" t="s">
        <v>84</v>
      </c>
      <c r="L1131" s="1" t="s">
        <v>20643</v>
      </c>
      <c r="M1131" s="1" t="s">
        <v>86</v>
      </c>
      <c r="N1131" s="1" t="s">
        <v>768</v>
      </c>
      <c r="O1131" s="1" t="s">
        <v>20644</v>
      </c>
      <c r="P1131" s="1" t="s">
        <v>219</v>
      </c>
      <c r="Q1131" s="1">
        <v>910655388115</v>
      </c>
      <c r="R1131" s="1" t="s">
        <v>20645</v>
      </c>
      <c r="S1131" s="1">
        <v>9850048379</v>
      </c>
      <c r="T1131" s="1" t="s">
        <v>20646</v>
      </c>
      <c r="U1131" s="1" t="s">
        <v>20647</v>
      </c>
      <c r="V1131" s="1">
        <v>8380082379</v>
      </c>
      <c r="W1131" s="1" t="s">
        <v>14154</v>
      </c>
      <c r="X1131" s="1" t="s">
        <v>20648</v>
      </c>
      <c r="Y1131" s="1" t="s">
        <v>1033</v>
      </c>
      <c r="Z1131" s="1" t="s">
        <v>97</v>
      </c>
      <c r="AA1131" s="1" t="s">
        <v>20648</v>
      </c>
      <c r="AB1131" s="1" t="s">
        <v>1033</v>
      </c>
      <c r="AC1131" s="1" t="s">
        <v>97</v>
      </c>
      <c r="AD1131" s="1" t="s">
        <v>98</v>
      </c>
      <c r="AE1131" s="1" t="s">
        <v>98</v>
      </c>
      <c r="AF1131" s="1" t="s">
        <v>20649</v>
      </c>
      <c r="AG1131" s="1" t="s">
        <v>20650</v>
      </c>
      <c r="AH1131" s="1" t="s">
        <v>547</v>
      </c>
      <c r="AI1131" s="1" t="s">
        <v>977</v>
      </c>
      <c r="AJ1131" s="1">
        <v>86.16</v>
      </c>
      <c r="AK1131" s="1">
        <v>8.6</v>
      </c>
      <c r="AL1131" s="1" t="s">
        <v>20651</v>
      </c>
      <c r="AM1131" s="1" t="s">
        <v>20652</v>
      </c>
      <c r="AN1131" s="1" t="s">
        <v>465</v>
      </c>
      <c r="AO1131" s="1" t="s">
        <v>847</v>
      </c>
      <c r="AP1131" s="1" t="s">
        <v>632</v>
      </c>
      <c r="AQ1131" s="1">
        <v>77.83</v>
      </c>
      <c r="AR1131" s="1">
        <v>7.7</v>
      </c>
      <c r="AS1131" s="1"/>
      <c r="AT1131" s="1"/>
      <c r="AU1131" s="1"/>
      <c r="AV1131" s="1"/>
      <c r="AW1131" s="1"/>
      <c r="AX1131" s="1"/>
      <c r="AY1131" s="1" t="s">
        <v>14160</v>
      </c>
      <c r="AZ1131" s="1" t="s">
        <v>20653</v>
      </c>
      <c r="BA1131" s="1" t="s">
        <v>466</v>
      </c>
      <c r="BB1131" s="1" t="s">
        <v>467</v>
      </c>
      <c r="BC1131" s="1" t="s">
        <v>1825</v>
      </c>
      <c r="BD1131" s="1" t="s">
        <v>9688</v>
      </c>
      <c r="BE1131" s="1">
        <v>56.9</v>
      </c>
      <c r="BF1131" s="1">
        <v>5.99</v>
      </c>
      <c r="BG1131" s="1"/>
      <c r="BH1131" s="1"/>
      <c r="BI1131" s="1"/>
      <c r="BJ1131" s="1"/>
      <c r="BK1131" s="1"/>
      <c r="BL1131" s="1"/>
      <c r="BM1131" s="1"/>
      <c r="BN1131" s="1"/>
      <c r="BO1131" s="1" t="s">
        <v>98</v>
      </c>
      <c r="BP1131" s="1"/>
      <c r="BQ1131" s="1"/>
      <c r="BR1131" s="1"/>
      <c r="BS1131" s="1"/>
      <c r="BT1131" s="1"/>
      <c r="BU1131" s="1" t="str">
        <f>HYPERLINK("https://nconnect.nicmar.ac.in/storage/profile/6a87039ede947.png","Download")</f>
        <v>0</v>
      </c>
      <c r="BV1131" s="3"/>
      <c r="BW1131" s="3"/>
    </row>
    <row r="1132" spans="1:75">
      <c r="A1132" s="1" t="s">
        <v>75</v>
      </c>
      <c r="B1132" s="1" t="s">
        <v>13976</v>
      </c>
      <c r="C1132" s="1" t="s">
        <v>20654</v>
      </c>
      <c r="D1132" s="1" t="s">
        <v>18800</v>
      </c>
      <c r="E1132" s="1" t="s">
        <v>20655</v>
      </c>
      <c r="F1132" s="1" t="s">
        <v>20656</v>
      </c>
      <c r="G1132" s="1" t="s">
        <v>20657</v>
      </c>
      <c r="H1132" s="1" t="s">
        <v>20658</v>
      </c>
      <c r="I1132" s="1" t="s">
        <v>20658</v>
      </c>
      <c r="J1132" s="1">
        <v>7757935019</v>
      </c>
      <c r="K1132" s="1" t="s">
        <v>84</v>
      </c>
      <c r="L1132" s="1" t="s">
        <v>20659</v>
      </c>
      <c r="M1132" s="1" t="s">
        <v>86</v>
      </c>
      <c r="N1132" s="1" t="s">
        <v>13145</v>
      </c>
      <c r="O1132" s="1" t="s">
        <v>20560</v>
      </c>
      <c r="P1132" s="1" t="s">
        <v>122</v>
      </c>
      <c r="Q1132" s="1">
        <v>401771965481</v>
      </c>
      <c r="R1132" s="1" t="s">
        <v>20660</v>
      </c>
      <c r="S1132" s="1">
        <v>8551036418</v>
      </c>
      <c r="T1132" s="1" t="s">
        <v>20661</v>
      </c>
      <c r="U1132" s="1" t="s">
        <v>15010</v>
      </c>
      <c r="V1132" s="1">
        <v>8180863800</v>
      </c>
      <c r="W1132" s="1" t="s">
        <v>15046</v>
      </c>
      <c r="X1132" s="1" t="s">
        <v>20662</v>
      </c>
      <c r="Y1132" s="1" t="s">
        <v>410</v>
      </c>
      <c r="Z1132" s="1" t="s">
        <v>97</v>
      </c>
      <c r="AA1132" s="1" t="s">
        <v>20662</v>
      </c>
      <c r="AB1132" s="1" t="s">
        <v>410</v>
      </c>
      <c r="AC1132" s="1" t="s">
        <v>97</v>
      </c>
      <c r="AD1132" s="1" t="s">
        <v>98</v>
      </c>
      <c r="AE1132" s="1" t="s">
        <v>98</v>
      </c>
      <c r="AF1132" s="1" t="s">
        <v>20663</v>
      </c>
      <c r="AG1132" s="1" t="s">
        <v>20664</v>
      </c>
      <c r="AH1132" s="1" t="s">
        <v>136</v>
      </c>
      <c r="AI1132" s="1" t="s">
        <v>627</v>
      </c>
      <c r="AJ1132" s="1">
        <v>74.1</v>
      </c>
      <c r="AK1132" s="1">
        <v>7.8</v>
      </c>
      <c r="AL1132" s="1" t="s">
        <v>20665</v>
      </c>
      <c r="AM1132" s="1" t="s">
        <v>20666</v>
      </c>
      <c r="AN1132" s="1" t="s">
        <v>465</v>
      </c>
      <c r="AO1132" s="1" t="s">
        <v>573</v>
      </c>
      <c r="AP1132" s="1" t="s">
        <v>1477</v>
      </c>
      <c r="AQ1132" s="1">
        <v>67.38</v>
      </c>
      <c r="AR1132" s="1"/>
      <c r="AS1132" s="1"/>
      <c r="AT1132" s="1"/>
      <c r="AU1132" s="1"/>
      <c r="AV1132" s="1"/>
      <c r="AW1132" s="1"/>
      <c r="AX1132" s="1"/>
      <c r="AY1132" s="1" t="s">
        <v>17010</v>
      </c>
      <c r="AZ1132" s="1" t="s">
        <v>20667</v>
      </c>
      <c r="BA1132" s="1" t="s">
        <v>578</v>
      </c>
      <c r="BB1132" s="1" t="s">
        <v>467</v>
      </c>
      <c r="BC1132" s="1" t="s">
        <v>174</v>
      </c>
      <c r="BD1132" s="1" t="s">
        <v>632</v>
      </c>
      <c r="BE1132" s="1">
        <v>70.8</v>
      </c>
      <c r="BF1132" s="1">
        <v>7.08</v>
      </c>
      <c r="BG1132" s="1"/>
      <c r="BH1132" s="1"/>
      <c r="BI1132" s="1"/>
      <c r="BJ1132" s="1"/>
      <c r="BK1132" s="1"/>
      <c r="BL1132" s="1"/>
      <c r="BM1132" s="1"/>
      <c r="BN1132" s="1"/>
      <c r="BO1132" s="1" t="s">
        <v>20668</v>
      </c>
      <c r="BP1132" s="1" t="s">
        <v>20669</v>
      </c>
      <c r="BQ1132" s="1" t="s">
        <v>4944</v>
      </c>
      <c r="BR1132" s="1"/>
      <c r="BS1132" s="1"/>
      <c r="BT1132" s="1"/>
      <c r="BU1132" s="1" t="str">
        <f>HYPERLINK("https://nconnect.nicmar.ac.in/storage/profile/6a86fc111ed0f.png","Download")</f>
        <v>0</v>
      </c>
      <c r="BV1132" s="3"/>
      <c r="BW1132" s="3"/>
    </row>
    <row r="1133" spans="1:75">
      <c r="A1133" s="1" t="s">
        <v>75</v>
      </c>
      <c r="B1133" s="1" t="s">
        <v>13976</v>
      </c>
      <c r="C1133" s="1" t="s">
        <v>20670</v>
      </c>
      <c r="D1133" s="1" t="s">
        <v>20671</v>
      </c>
      <c r="E1133" s="1"/>
      <c r="F1133" s="1" t="s">
        <v>20341</v>
      </c>
      <c r="G1133" s="1" t="s">
        <v>20672</v>
      </c>
      <c r="H1133" s="1" t="s">
        <v>20673</v>
      </c>
      <c r="I1133" s="1" t="s">
        <v>20673</v>
      </c>
      <c r="J1133" s="1">
        <v>9527334619</v>
      </c>
      <c r="K1133" s="1" t="s">
        <v>153</v>
      </c>
      <c r="L1133" s="1" t="s">
        <v>20674</v>
      </c>
      <c r="M1133" s="1" t="s">
        <v>86</v>
      </c>
      <c r="N1133" s="1" t="s">
        <v>20675</v>
      </c>
      <c r="O1133" s="1" t="s">
        <v>20676</v>
      </c>
      <c r="P1133" s="1" t="s">
        <v>219</v>
      </c>
      <c r="Q1133" s="1">
        <v>568867205189</v>
      </c>
      <c r="R1133" s="1" t="s">
        <v>20677</v>
      </c>
      <c r="S1133" s="1">
        <v>9372807943</v>
      </c>
      <c r="T1133" s="1" t="s">
        <v>16131</v>
      </c>
      <c r="U1133" s="1" t="s">
        <v>20678</v>
      </c>
      <c r="V1133" s="1">
        <v>9421509681</v>
      </c>
      <c r="W1133" s="1" t="s">
        <v>14234</v>
      </c>
      <c r="X1133" s="1" t="s">
        <v>20679</v>
      </c>
      <c r="Y1133" s="1" t="s">
        <v>1145</v>
      </c>
      <c r="Z1133" s="1" t="s">
        <v>97</v>
      </c>
      <c r="AA1133" s="1" t="s">
        <v>20680</v>
      </c>
      <c r="AB1133" s="1" t="s">
        <v>196</v>
      </c>
      <c r="AC1133" s="1" t="s">
        <v>97</v>
      </c>
      <c r="AD1133" s="1" t="s">
        <v>98</v>
      </c>
      <c r="AE1133" s="1" t="s">
        <v>98</v>
      </c>
      <c r="AF1133" s="1" t="s">
        <v>20681</v>
      </c>
      <c r="AG1133" s="1" t="s">
        <v>20682</v>
      </c>
      <c r="AH1133" s="1" t="s">
        <v>3285</v>
      </c>
      <c r="AI1133" s="1" t="s">
        <v>468</v>
      </c>
      <c r="AJ1133" s="1">
        <v>65.8</v>
      </c>
      <c r="AK1133" s="1">
        <v>6.93</v>
      </c>
      <c r="AL1133" s="1"/>
      <c r="AM1133" s="1"/>
      <c r="AN1133" s="1"/>
      <c r="AO1133" s="1"/>
      <c r="AP1133" s="1"/>
      <c r="AQ1133" s="1"/>
      <c r="AR1133" s="1"/>
      <c r="AS1133" s="1" t="s">
        <v>20683</v>
      </c>
      <c r="AT1133" s="1" t="s">
        <v>20684</v>
      </c>
      <c r="AU1133" s="1" t="s">
        <v>468</v>
      </c>
      <c r="AV1133" s="1" t="s">
        <v>234</v>
      </c>
      <c r="AW1133" s="1">
        <v>89.53</v>
      </c>
      <c r="AX1133" s="1">
        <v>9.42</v>
      </c>
      <c r="AY1133" s="1" t="s">
        <v>14530</v>
      </c>
      <c r="AZ1133" s="1" t="s">
        <v>20685</v>
      </c>
      <c r="BA1133" s="1" t="s">
        <v>578</v>
      </c>
      <c r="BB1133" s="1" t="s">
        <v>467</v>
      </c>
      <c r="BC1133" s="1" t="s">
        <v>391</v>
      </c>
      <c r="BD1133" s="1" t="s">
        <v>14162</v>
      </c>
      <c r="BE1133" s="1">
        <v>83.51</v>
      </c>
      <c r="BF1133" s="1">
        <v>8.79</v>
      </c>
      <c r="BG1133" s="1"/>
      <c r="BH1133" s="1"/>
      <c r="BI1133" s="1"/>
      <c r="BJ1133" s="1"/>
      <c r="BK1133" s="1"/>
      <c r="BL1133" s="1"/>
      <c r="BM1133" s="1"/>
      <c r="BN1133" s="1"/>
      <c r="BO1133" s="1" t="s">
        <v>20686</v>
      </c>
      <c r="BP1133" s="1"/>
      <c r="BQ1133" s="1"/>
      <c r="BR1133" s="1"/>
      <c r="BS1133" s="1"/>
      <c r="BT1133" s="1"/>
      <c r="BU1133" s="1" t="str">
        <f>HYPERLINK("https://nconnect.nicmar.ac.in/storage/profile/6a86f8adc0665.png","Download")</f>
        <v>0</v>
      </c>
      <c r="BV1133" s="3"/>
      <c r="BW1133" s="3"/>
    </row>
    <row r="1134" spans="1:75">
      <c r="A1134" s="1" t="s">
        <v>75</v>
      </c>
      <c r="B1134" s="1" t="s">
        <v>13976</v>
      </c>
      <c r="C1134" s="1" t="s">
        <v>20687</v>
      </c>
      <c r="D1134" s="1" t="s">
        <v>20688</v>
      </c>
      <c r="E1134" s="1" t="s">
        <v>20689</v>
      </c>
      <c r="F1134" s="1" t="s">
        <v>15825</v>
      </c>
      <c r="G1134" s="1" t="s">
        <v>20690</v>
      </c>
      <c r="H1134" s="1" t="s">
        <v>20691</v>
      </c>
      <c r="I1134" s="1" t="s">
        <v>20692</v>
      </c>
      <c r="J1134" s="1">
        <v>9405771890</v>
      </c>
      <c r="K1134" s="1" t="s">
        <v>84</v>
      </c>
      <c r="L1134" s="1" t="s">
        <v>20693</v>
      </c>
      <c r="M1134" s="1" t="s">
        <v>86</v>
      </c>
      <c r="N1134" s="1" t="s">
        <v>20694</v>
      </c>
      <c r="O1134" s="1" t="s">
        <v>19967</v>
      </c>
      <c r="P1134" s="1" t="s">
        <v>122</v>
      </c>
      <c r="Q1134" s="1">
        <v>604358847987</v>
      </c>
      <c r="R1134" s="1" t="s">
        <v>20695</v>
      </c>
      <c r="S1134" s="1">
        <v>7030695551</v>
      </c>
      <c r="T1134" s="1" t="s">
        <v>20696</v>
      </c>
      <c r="U1134" s="1" t="s">
        <v>20697</v>
      </c>
      <c r="V1134" s="1">
        <v>8805989725</v>
      </c>
      <c r="W1134" s="1" t="s">
        <v>14095</v>
      </c>
      <c r="X1134" s="1" t="s">
        <v>20698</v>
      </c>
      <c r="Y1134" s="1" t="s">
        <v>910</v>
      </c>
      <c r="Z1134" s="1" t="s">
        <v>97</v>
      </c>
      <c r="AA1134" s="1" t="s">
        <v>20698</v>
      </c>
      <c r="AB1134" s="1" t="s">
        <v>910</v>
      </c>
      <c r="AC1134" s="1" t="s">
        <v>97</v>
      </c>
      <c r="AD1134" s="1" t="s">
        <v>98</v>
      </c>
      <c r="AE1134" s="1" t="s">
        <v>98</v>
      </c>
      <c r="AF1134" s="1" t="s">
        <v>20699</v>
      </c>
      <c r="AG1134" s="1" t="s">
        <v>1310</v>
      </c>
      <c r="AH1134" s="1" t="s">
        <v>171</v>
      </c>
      <c r="AI1134" s="1" t="s">
        <v>313</v>
      </c>
      <c r="AJ1134" s="1">
        <v>90.6</v>
      </c>
      <c r="AK1134" s="1"/>
      <c r="AL1134" s="1" t="s">
        <v>20700</v>
      </c>
      <c r="AM1134" s="1" t="s">
        <v>16528</v>
      </c>
      <c r="AN1134" s="1" t="s">
        <v>465</v>
      </c>
      <c r="AO1134" s="1" t="s">
        <v>171</v>
      </c>
      <c r="AP1134" s="1" t="s">
        <v>313</v>
      </c>
      <c r="AQ1134" s="1">
        <v>89.17</v>
      </c>
      <c r="AR1134" s="1"/>
      <c r="AS1134" s="1"/>
      <c r="AT1134" s="1"/>
      <c r="AU1134" s="1"/>
      <c r="AV1134" s="1"/>
      <c r="AW1134" s="1"/>
      <c r="AX1134" s="1"/>
      <c r="AY1134" s="1" t="s">
        <v>20701</v>
      </c>
      <c r="AZ1134" s="1" t="s">
        <v>20702</v>
      </c>
      <c r="BA1134" s="1" t="s">
        <v>466</v>
      </c>
      <c r="BB1134" s="1" t="s">
        <v>467</v>
      </c>
      <c r="BC1134" s="1" t="s">
        <v>441</v>
      </c>
      <c r="BD1134" s="1" t="s">
        <v>19064</v>
      </c>
      <c r="BE1134" s="1">
        <v>71.25</v>
      </c>
      <c r="BF1134" s="1">
        <v>2.85</v>
      </c>
      <c r="BG1134" s="1"/>
      <c r="BH1134" s="1"/>
      <c r="BI1134" s="1"/>
      <c r="BJ1134" s="1"/>
      <c r="BK1134" s="1"/>
      <c r="BL1134" s="1"/>
      <c r="BM1134" s="1"/>
      <c r="BN1134" s="1"/>
      <c r="BO1134" s="1" t="s">
        <v>20703</v>
      </c>
      <c r="BP1134" s="1"/>
      <c r="BQ1134" s="1"/>
      <c r="BR1134" s="1" t="s">
        <v>20704</v>
      </c>
      <c r="BS1134" s="1">
        <v>15</v>
      </c>
      <c r="BT1134" s="1"/>
      <c r="BU1134" s="1" t="s">
        <v>9653</v>
      </c>
      <c r="BV1134" s="3"/>
      <c r="BW1134" s="3"/>
    </row>
    <row r="1135" spans="1:75">
      <c r="A1135" s="1" t="s">
        <v>75</v>
      </c>
      <c r="B1135" s="1" t="s">
        <v>13976</v>
      </c>
      <c r="C1135" s="1" t="s">
        <v>20705</v>
      </c>
      <c r="D1135" s="1" t="s">
        <v>14405</v>
      </c>
      <c r="E1135" s="1" t="s">
        <v>20706</v>
      </c>
      <c r="F1135" s="1" t="s">
        <v>14147</v>
      </c>
      <c r="G1135" s="1" t="s">
        <v>20707</v>
      </c>
      <c r="H1135" s="1" t="s">
        <v>20708</v>
      </c>
      <c r="I1135" s="1" t="s">
        <v>20709</v>
      </c>
      <c r="J1135" s="1">
        <v>9067724344</v>
      </c>
      <c r="K1135" s="1" t="s">
        <v>153</v>
      </c>
      <c r="L1135" s="1" t="s">
        <v>8257</v>
      </c>
      <c r="M1135" s="1" t="s">
        <v>86</v>
      </c>
      <c r="N1135" s="1" t="s">
        <v>768</v>
      </c>
      <c r="O1135" s="1" t="s">
        <v>20710</v>
      </c>
      <c r="P1135" s="1" t="s">
        <v>122</v>
      </c>
      <c r="Q1135" s="1">
        <v>917255944787</v>
      </c>
      <c r="R1135" s="1" t="s">
        <v>20706</v>
      </c>
      <c r="S1135" s="1">
        <v>9422345715</v>
      </c>
      <c r="T1135" s="1" t="s">
        <v>14275</v>
      </c>
      <c r="U1135" s="1" t="s">
        <v>20711</v>
      </c>
      <c r="V1135" s="1">
        <v>9421481699</v>
      </c>
      <c r="W1135" s="1" t="s">
        <v>14212</v>
      </c>
      <c r="X1135" s="1" t="s">
        <v>20712</v>
      </c>
      <c r="Y1135" s="1" t="s">
        <v>196</v>
      </c>
      <c r="Z1135" s="1" t="s">
        <v>97</v>
      </c>
      <c r="AA1135" s="1" t="s">
        <v>20712</v>
      </c>
      <c r="AB1135" s="1" t="s">
        <v>196</v>
      </c>
      <c r="AC1135" s="1" t="s">
        <v>97</v>
      </c>
      <c r="AD1135" s="1" t="s">
        <v>98</v>
      </c>
      <c r="AE1135" s="1" t="s">
        <v>98</v>
      </c>
      <c r="AF1135" s="1" t="s">
        <v>20713</v>
      </c>
      <c r="AG1135" s="1" t="s">
        <v>196</v>
      </c>
      <c r="AH1135" s="1" t="s">
        <v>167</v>
      </c>
      <c r="AI1135" s="1" t="s">
        <v>200</v>
      </c>
      <c r="AJ1135" s="1">
        <v>80</v>
      </c>
      <c r="AK1135" s="1">
        <v>9</v>
      </c>
      <c r="AL1135" s="1" t="s">
        <v>20714</v>
      </c>
      <c r="AM1135" s="1" t="s">
        <v>196</v>
      </c>
      <c r="AN1135" s="1" t="s">
        <v>465</v>
      </c>
      <c r="AO1135" s="1" t="s">
        <v>174</v>
      </c>
      <c r="AP1135" s="1" t="s">
        <v>365</v>
      </c>
      <c r="AQ1135" s="1">
        <v>61.23</v>
      </c>
      <c r="AR1135" s="1">
        <v>0</v>
      </c>
      <c r="AS1135" s="1"/>
      <c r="AT1135" s="1"/>
      <c r="AU1135" s="1"/>
      <c r="AV1135" s="1"/>
      <c r="AW1135" s="1"/>
      <c r="AX1135" s="1"/>
      <c r="AY1135" s="1" t="s">
        <v>18165</v>
      </c>
      <c r="AZ1135" s="1" t="s">
        <v>196</v>
      </c>
      <c r="BA1135" s="1" t="s">
        <v>578</v>
      </c>
      <c r="BB1135" s="1" t="s">
        <v>467</v>
      </c>
      <c r="BC1135" s="1" t="s">
        <v>1040</v>
      </c>
      <c r="BD1135" s="1" t="s">
        <v>1089</v>
      </c>
      <c r="BE1135" s="1">
        <v>76.16</v>
      </c>
      <c r="BF1135" s="1">
        <v>8.43</v>
      </c>
      <c r="BG1135" s="1"/>
      <c r="BH1135" s="1"/>
      <c r="BI1135" s="1"/>
      <c r="BJ1135" s="1"/>
      <c r="BK1135" s="1"/>
      <c r="BL1135" s="1"/>
      <c r="BM1135" s="1"/>
      <c r="BN1135" s="1"/>
      <c r="BO1135" s="1" t="s">
        <v>20715</v>
      </c>
      <c r="BP1135" s="1"/>
      <c r="BQ1135" s="1"/>
      <c r="BR1135" s="1" t="s">
        <v>20716</v>
      </c>
      <c r="BS1135" s="1">
        <v>26</v>
      </c>
      <c r="BT1135" s="1"/>
      <c r="BU1135" s="1" t="str">
        <f>HYPERLINK("https://nconnect.nicmar.ac.in/storage/profile/6a873d47d1a74.png","Download")</f>
        <v>0</v>
      </c>
      <c r="BV1135" s="3"/>
      <c r="BW1135" s="3"/>
    </row>
    <row r="1136" spans="1:75">
      <c r="A1136" s="1" t="s">
        <v>75</v>
      </c>
      <c r="B1136" s="1" t="s">
        <v>13976</v>
      </c>
      <c r="C1136" s="1" t="s">
        <v>20717</v>
      </c>
      <c r="D1136" s="1" t="s">
        <v>20718</v>
      </c>
      <c r="E1136" s="1" t="s">
        <v>8904</v>
      </c>
      <c r="F1136" s="1" t="s">
        <v>20719</v>
      </c>
      <c r="G1136" s="1" t="s">
        <v>20720</v>
      </c>
      <c r="H1136" s="1" t="s">
        <v>20721</v>
      </c>
      <c r="I1136" s="1" t="s">
        <v>20721</v>
      </c>
      <c r="J1136" s="1">
        <v>9403096952</v>
      </c>
      <c r="K1136" s="1" t="s">
        <v>153</v>
      </c>
      <c r="L1136" s="1" t="s">
        <v>15143</v>
      </c>
      <c r="M1136" s="1" t="s">
        <v>86</v>
      </c>
      <c r="N1136" s="1" t="s">
        <v>19133</v>
      </c>
      <c r="O1136" s="1" t="s">
        <v>20722</v>
      </c>
      <c r="P1136" s="1" t="s">
        <v>219</v>
      </c>
      <c r="Q1136" s="1">
        <v>827399546821</v>
      </c>
      <c r="R1136" s="1" t="s">
        <v>20723</v>
      </c>
      <c r="S1136" s="1">
        <v>9421721383</v>
      </c>
      <c r="T1136" s="1" t="s">
        <v>2375</v>
      </c>
      <c r="U1136" s="1" t="s">
        <v>20724</v>
      </c>
      <c r="V1136" s="1">
        <v>9423114740</v>
      </c>
      <c r="W1136" s="1" t="s">
        <v>2375</v>
      </c>
      <c r="X1136" s="1" t="s">
        <v>20725</v>
      </c>
      <c r="Y1136" s="1" t="s">
        <v>410</v>
      </c>
      <c r="Z1136" s="1" t="s">
        <v>97</v>
      </c>
      <c r="AA1136" s="1" t="s">
        <v>20725</v>
      </c>
      <c r="AB1136" s="1" t="s">
        <v>410</v>
      </c>
      <c r="AC1136" s="1" t="s">
        <v>97</v>
      </c>
      <c r="AD1136" s="1" t="s">
        <v>98</v>
      </c>
      <c r="AE1136" s="1" t="s">
        <v>98</v>
      </c>
      <c r="AF1136" s="1" t="s">
        <v>6396</v>
      </c>
      <c r="AG1136" s="1" t="s">
        <v>20726</v>
      </c>
      <c r="AH1136" s="1" t="s">
        <v>1477</v>
      </c>
      <c r="AI1136" s="1" t="s">
        <v>414</v>
      </c>
      <c r="AJ1136" s="1">
        <v>89.9</v>
      </c>
      <c r="AK1136" s="1">
        <v>0</v>
      </c>
      <c r="AL1136" s="1" t="s">
        <v>20727</v>
      </c>
      <c r="AM1136" s="1" t="s">
        <v>20728</v>
      </c>
      <c r="AN1136" s="1" t="s">
        <v>465</v>
      </c>
      <c r="AO1136" s="1" t="s">
        <v>603</v>
      </c>
      <c r="AP1136" s="1" t="s">
        <v>1192</v>
      </c>
      <c r="AQ1136" s="1">
        <v>95.33</v>
      </c>
      <c r="AR1136" s="1"/>
      <c r="AS1136" s="1"/>
      <c r="AT1136" s="1"/>
      <c r="AU1136" s="1"/>
      <c r="AV1136" s="1"/>
      <c r="AW1136" s="1"/>
      <c r="AX1136" s="1"/>
      <c r="AY1136" s="1" t="s">
        <v>20729</v>
      </c>
      <c r="AZ1136" s="1" t="s">
        <v>20730</v>
      </c>
      <c r="BA1136" s="1" t="s">
        <v>466</v>
      </c>
      <c r="BB1136" s="1" t="s">
        <v>467</v>
      </c>
      <c r="BC1136" s="1" t="s">
        <v>871</v>
      </c>
      <c r="BD1136" s="1" t="s">
        <v>848</v>
      </c>
      <c r="BE1136" s="1">
        <v>60.2</v>
      </c>
      <c r="BF1136" s="1">
        <v>6.77</v>
      </c>
      <c r="BG1136" s="1"/>
      <c r="BH1136" s="1"/>
      <c r="BI1136" s="1"/>
      <c r="BJ1136" s="1"/>
      <c r="BK1136" s="1"/>
      <c r="BL1136" s="1"/>
      <c r="BM1136" s="1"/>
      <c r="BN1136" s="1"/>
      <c r="BO1136" s="1" t="s">
        <v>20597</v>
      </c>
      <c r="BP1136" s="1" t="s">
        <v>20731</v>
      </c>
      <c r="BQ1136" s="1" t="s">
        <v>1043</v>
      </c>
      <c r="BR1136" s="1" t="s">
        <v>20732</v>
      </c>
      <c r="BS1136" s="1">
        <v>73</v>
      </c>
      <c r="BT1136" s="1"/>
      <c r="BU1136" s="1" t="str">
        <f>HYPERLINK("https://nconnect.nicmar.ac.in/storage/profile/6a872516c2083.png","Download")</f>
        <v>0</v>
      </c>
      <c r="BV1136" s="3"/>
      <c r="BW1136" s="3"/>
    </row>
    <row r="1137" spans="1:75">
      <c r="A1137" s="1" t="s">
        <v>75</v>
      </c>
      <c r="B1137" s="1" t="s">
        <v>13976</v>
      </c>
      <c r="C1137" s="1" t="s">
        <v>20733</v>
      </c>
      <c r="D1137" s="1" t="s">
        <v>15304</v>
      </c>
      <c r="E1137" s="1" t="s">
        <v>20734</v>
      </c>
      <c r="F1137" s="1" t="s">
        <v>16670</v>
      </c>
      <c r="G1137" s="1" t="s">
        <v>20735</v>
      </c>
      <c r="H1137" s="1" t="s">
        <v>20736</v>
      </c>
      <c r="I1137" s="1" t="s">
        <v>20736</v>
      </c>
      <c r="J1137" s="1">
        <v>7030535050</v>
      </c>
      <c r="K1137" s="1" t="s">
        <v>84</v>
      </c>
      <c r="L1137" s="1" t="s">
        <v>20737</v>
      </c>
      <c r="M1137" s="1" t="s">
        <v>86</v>
      </c>
      <c r="N1137" s="1" t="s">
        <v>16090</v>
      </c>
      <c r="O1137" s="1" t="s">
        <v>20738</v>
      </c>
      <c r="P1137" s="1" t="s">
        <v>219</v>
      </c>
      <c r="Q1137" s="1">
        <v>804497778758</v>
      </c>
      <c r="R1137" s="1" t="s">
        <v>20739</v>
      </c>
      <c r="S1137" s="1">
        <v>8806505050</v>
      </c>
      <c r="T1137" s="1" t="s">
        <v>13987</v>
      </c>
      <c r="U1137" s="1" t="s">
        <v>20740</v>
      </c>
      <c r="V1137" s="1">
        <v>9823215050</v>
      </c>
      <c r="W1137" s="1" t="s">
        <v>14710</v>
      </c>
      <c r="X1137" s="1" t="s">
        <v>20741</v>
      </c>
      <c r="Y1137" s="1" t="s">
        <v>5181</v>
      </c>
      <c r="Z1137" s="1" t="s">
        <v>97</v>
      </c>
      <c r="AA1137" s="1" t="s">
        <v>20741</v>
      </c>
      <c r="AB1137" s="1" t="s">
        <v>5181</v>
      </c>
      <c r="AC1137" s="1" t="s">
        <v>97</v>
      </c>
      <c r="AD1137" s="1" t="s">
        <v>98</v>
      </c>
      <c r="AE1137" s="1" t="s">
        <v>98</v>
      </c>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t="str">
        <f>HYPERLINK("https://nconnect.nicmar.ac.in/storage/profile/6a87332bf10c3.png","Download")</f>
        <v>0</v>
      </c>
      <c r="BV1137" s="3"/>
      <c r="BW1137" s="3"/>
    </row>
    <row r="1138" spans="1:75">
      <c r="A1138" s="1" t="s">
        <v>75</v>
      </c>
      <c r="B1138" s="1" t="s">
        <v>13976</v>
      </c>
      <c r="C1138" s="1" t="s">
        <v>20742</v>
      </c>
      <c r="D1138" s="1" t="s">
        <v>20743</v>
      </c>
      <c r="E1138" s="1" t="s">
        <v>17246</v>
      </c>
      <c r="F1138" s="1" t="s">
        <v>20744</v>
      </c>
      <c r="G1138" s="1" t="s">
        <v>20745</v>
      </c>
      <c r="H1138" s="1" t="s">
        <v>20746</v>
      </c>
      <c r="I1138" s="1" t="s">
        <v>20747</v>
      </c>
      <c r="J1138" s="1">
        <v>9632240611</v>
      </c>
      <c r="K1138" s="1" t="s">
        <v>84</v>
      </c>
      <c r="L1138" s="1" t="s">
        <v>20748</v>
      </c>
      <c r="M1138" s="1" t="s">
        <v>86</v>
      </c>
      <c r="N1138" s="1" t="s">
        <v>20749</v>
      </c>
      <c r="O1138" s="1" t="s">
        <v>20750</v>
      </c>
      <c r="P1138" s="1" t="s">
        <v>122</v>
      </c>
      <c r="Q1138" s="1">
        <v>504070725979</v>
      </c>
      <c r="R1138" s="1" t="s">
        <v>20751</v>
      </c>
      <c r="S1138" s="1">
        <v>9844003166</v>
      </c>
      <c r="T1138" s="1" t="s">
        <v>17767</v>
      </c>
      <c r="U1138" s="1" t="s">
        <v>20752</v>
      </c>
      <c r="V1138" s="1">
        <v>9844020095</v>
      </c>
      <c r="W1138" s="1" t="s">
        <v>14032</v>
      </c>
      <c r="X1138" s="1" t="s">
        <v>20753</v>
      </c>
      <c r="Y1138" s="1" t="s">
        <v>3132</v>
      </c>
      <c r="Z1138" s="1" t="s">
        <v>1210</v>
      </c>
      <c r="AA1138" s="1" t="s">
        <v>20754</v>
      </c>
      <c r="AB1138" s="1" t="s">
        <v>3132</v>
      </c>
      <c r="AC1138" s="1" t="s">
        <v>1210</v>
      </c>
      <c r="AD1138" s="1" t="s">
        <v>98</v>
      </c>
      <c r="AE1138" s="1" t="s">
        <v>98</v>
      </c>
      <c r="AF1138" s="1" t="s">
        <v>20755</v>
      </c>
      <c r="AG1138" s="1" t="s">
        <v>9682</v>
      </c>
      <c r="AH1138" s="1" t="s">
        <v>627</v>
      </c>
      <c r="AI1138" s="1" t="s">
        <v>704</v>
      </c>
      <c r="AJ1138" s="1">
        <v>87.55</v>
      </c>
      <c r="AK1138" s="1">
        <v>9.2</v>
      </c>
      <c r="AL1138" s="1" t="s">
        <v>20756</v>
      </c>
      <c r="AM1138" s="1" t="s">
        <v>20757</v>
      </c>
      <c r="AN1138" s="1" t="s">
        <v>575</v>
      </c>
      <c r="AO1138" s="1" t="s">
        <v>106</v>
      </c>
      <c r="AP1138" s="1" t="s">
        <v>414</v>
      </c>
      <c r="AQ1138" s="1">
        <v>71.16</v>
      </c>
      <c r="AR1138" s="1"/>
      <c r="AS1138" s="1"/>
      <c r="AT1138" s="1"/>
      <c r="AU1138" s="1"/>
      <c r="AV1138" s="1"/>
      <c r="AW1138" s="1"/>
      <c r="AX1138" s="1"/>
      <c r="AY1138" s="1" t="s">
        <v>20758</v>
      </c>
      <c r="AZ1138" s="1" t="s">
        <v>20759</v>
      </c>
      <c r="BA1138" s="1" t="s">
        <v>682</v>
      </c>
      <c r="BB1138" s="1" t="s">
        <v>683</v>
      </c>
      <c r="BC1138" s="1" t="s">
        <v>206</v>
      </c>
      <c r="BD1138" s="1" t="s">
        <v>207</v>
      </c>
      <c r="BE1138" s="1">
        <v>74</v>
      </c>
      <c r="BF1138" s="1">
        <v>8.15</v>
      </c>
      <c r="BG1138" s="1"/>
      <c r="BH1138" s="1"/>
      <c r="BI1138" s="1"/>
      <c r="BJ1138" s="1"/>
      <c r="BK1138" s="1"/>
      <c r="BL1138" s="1"/>
      <c r="BM1138" s="1"/>
      <c r="BN1138" s="1"/>
      <c r="BO1138" s="1" t="s">
        <v>20760</v>
      </c>
      <c r="BP1138" s="1" t="s">
        <v>20761</v>
      </c>
      <c r="BQ1138" s="1" t="s">
        <v>582</v>
      </c>
      <c r="BR1138" s="1" t="s">
        <v>20762</v>
      </c>
      <c r="BS1138" s="1">
        <v>24</v>
      </c>
      <c r="BT1138" s="1"/>
      <c r="BU1138" s="1" t="str">
        <f>HYPERLINK("https://nconnect.nicmar.ac.in/storage/profile/6a86d72751a1c.png","Download")</f>
        <v>0</v>
      </c>
      <c r="BV1138" s="3"/>
      <c r="BW1138" s="3"/>
    </row>
    <row r="1139" spans="1:75">
      <c r="A1139" s="1" t="s">
        <v>75</v>
      </c>
      <c r="B1139" s="1" t="s">
        <v>13976</v>
      </c>
      <c r="C1139" s="1" t="s">
        <v>20763</v>
      </c>
      <c r="D1139" s="1" t="s">
        <v>20764</v>
      </c>
      <c r="E1139" s="1"/>
      <c r="F1139" s="1" t="s">
        <v>10399</v>
      </c>
      <c r="G1139" s="1" t="s">
        <v>20765</v>
      </c>
      <c r="H1139" s="1" t="s">
        <v>20766</v>
      </c>
      <c r="I1139" s="1" t="s">
        <v>20767</v>
      </c>
      <c r="J1139" s="1">
        <v>6282617345</v>
      </c>
      <c r="K1139" s="1" t="s">
        <v>84</v>
      </c>
      <c r="L1139" s="1" t="s">
        <v>18803</v>
      </c>
      <c r="M1139" s="1" t="s">
        <v>86</v>
      </c>
      <c r="N1139" s="1" t="s">
        <v>20768</v>
      </c>
      <c r="O1139" s="1" t="s">
        <v>20769</v>
      </c>
      <c r="P1139" s="1" t="s">
        <v>89</v>
      </c>
      <c r="Q1139" s="1">
        <v>773198132813</v>
      </c>
      <c r="R1139" s="1" t="s">
        <v>20770</v>
      </c>
      <c r="S1139" s="1">
        <v>9847535282</v>
      </c>
      <c r="T1139" s="1" t="s">
        <v>13987</v>
      </c>
      <c r="U1139" s="1" t="s">
        <v>20771</v>
      </c>
      <c r="V1139" s="1">
        <v>8606886893</v>
      </c>
      <c r="W1139" s="1" t="s">
        <v>20772</v>
      </c>
      <c r="X1139" s="1" t="s">
        <v>20773</v>
      </c>
      <c r="Y1139" s="1" t="s">
        <v>5313</v>
      </c>
      <c r="Z1139" s="1" t="s">
        <v>130</v>
      </c>
      <c r="AA1139" s="1" t="s">
        <v>20773</v>
      </c>
      <c r="AB1139" s="1" t="s">
        <v>5313</v>
      </c>
      <c r="AC1139" s="1" t="s">
        <v>130</v>
      </c>
      <c r="AD1139" s="1" t="s">
        <v>98</v>
      </c>
      <c r="AE1139" s="1" t="s">
        <v>98</v>
      </c>
      <c r="AF1139" s="1" t="s">
        <v>20774</v>
      </c>
      <c r="AG1139" s="1" t="s">
        <v>20775</v>
      </c>
      <c r="AH1139" s="1" t="s">
        <v>166</v>
      </c>
      <c r="AI1139" s="1" t="s">
        <v>286</v>
      </c>
      <c r="AJ1139" s="1">
        <v>100</v>
      </c>
      <c r="AK1139" s="1"/>
      <c r="AL1139" s="1" t="s">
        <v>20774</v>
      </c>
      <c r="AM1139" s="1" t="s">
        <v>20776</v>
      </c>
      <c r="AN1139" s="1" t="s">
        <v>575</v>
      </c>
      <c r="AO1139" s="1" t="s">
        <v>106</v>
      </c>
      <c r="AP1139" s="1" t="s">
        <v>603</v>
      </c>
      <c r="AQ1139" s="1">
        <v>96.25</v>
      </c>
      <c r="AR1139" s="1"/>
      <c r="AS1139" s="1"/>
      <c r="AT1139" s="1"/>
      <c r="AU1139" s="1"/>
      <c r="AV1139" s="1"/>
      <c r="AW1139" s="1"/>
      <c r="AX1139" s="1"/>
      <c r="AY1139" s="1" t="s">
        <v>15573</v>
      </c>
      <c r="AZ1139" s="1" t="s">
        <v>20777</v>
      </c>
      <c r="BA1139" s="1" t="s">
        <v>466</v>
      </c>
      <c r="BB1139" s="1" t="s">
        <v>467</v>
      </c>
      <c r="BC1139" s="1" t="s">
        <v>468</v>
      </c>
      <c r="BD1139" s="1" t="s">
        <v>207</v>
      </c>
      <c r="BE1139" s="1">
        <v>81.8</v>
      </c>
      <c r="BF1139" s="1">
        <v>8.18</v>
      </c>
      <c r="BG1139" s="1"/>
      <c r="BH1139" s="1"/>
      <c r="BI1139" s="1"/>
      <c r="BJ1139" s="1"/>
      <c r="BK1139" s="1"/>
      <c r="BL1139" s="1"/>
      <c r="BM1139" s="1"/>
      <c r="BN1139" s="1"/>
      <c r="BO1139" s="1" t="s">
        <v>6132</v>
      </c>
      <c r="BP1139" s="1" t="s">
        <v>20778</v>
      </c>
      <c r="BQ1139" s="1" t="s">
        <v>471</v>
      </c>
      <c r="BR1139" s="1" t="s">
        <v>20779</v>
      </c>
      <c r="BS1139" s="1"/>
      <c r="BT1139" s="1" t="s">
        <v>20780</v>
      </c>
      <c r="BU1139" s="1" t="str">
        <f>HYPERLINK("https://nconnect.nicmar.ac.in/storage/profile/6a85fca782a19.png","Download")</f>
        <v>0</v>
      </c>
      <c r="BV1139" s="3"/>
      <c r="BW1139" s="3"/>
    </row>
    <row r="1140" spans="1:75">
      <c r="A1140" s="1" t="s">
        <v>75</v>
      </c>
      <c r="B1140" s="1" t="s">
        <v>13976</v>
      </c>
      <c r="C1140" s="1" t="s">
        <v>20781</v>
      </c>
      <c r="D1140" s="1" t="s">
        <v>1914</v>
      </c>
      <c r="E1140" s="1"/>
      <c r="F1140" s="1" t="s">
        <v>20782</v>
      </c>
      <c r="G1140" s="1" t="s">
        <v>20783</v>
      </c>
      <c r="H1140" s="1" t="s">
        <v>20784</v>
      </c>
      <c r="I1140" s="1" t="s">
        <v>20784</v>
      </c>
      <c r="J1140" s="1">
        <v>7993835078</v>
      </c>
      <c r="K1140" s="1" t="s">
        <v>84</v>
      </c>
      <c r="L1140" s="1" t="s">
        <v>4062</v>
      </c>
      <c r="M1140" s="1" t="s">
        <v>86</v>
      </c>
      <c r="N1140" s="1" t="s">
        <v>17231</v>
      </c>
      <c r="O1140" s="1" t="s">
        <v>20785</v>
      </c>
      <c r="P1140" s="1" t="s">
        <v>122</v>
      </c>
      <c r="Q1140" s="1">
        <v>247972127403</v>
      </c>
      <c r="R1140" s="1" t="s">
        <v>20786</v>
      </c>
      <c r="S1140" s="1">
        <v>9700020279</v>
      </c>
      <c r="T1140" s="1" t="s">
        <v>14800</v>
      </c>
      <c r="U1140" s="1" t="s">
        <v>20787</v>
      </c>
      <c r="V1140" s="1">
        <v>8919538307</v>
      </c>
      <c r="W1140" s="1" t="s">
        <v>10306</v>
      </c>
      <c r="X1140" s="1" t="s">
        <v>20788</v>
      </c>
      <c r="Y1140" s="1" t="s">
        <v>3031</v>
      </c>
      <c r="Z1140" s="1" t="s">
        <v>461</v>
      </c>
      <c r="AA1140" s="1" t="s">
        <v>20789</v>
      </c>
      <c r="AB1140" s="1" t="s">
        <v>3031</v>
      </c>
      <c r="AC1140" s="1" t="s">
        <v>461</v>
      </c>
      <c r="AD1140" s="1" t="s">
        <v>98</v>
      </c>
      <c r="AE1140" s="1" t="s">
        <v>98</v>
      </c>
      <c r="AF1140" s="1" t="s">
        <v>20790</v>
      </c>
      <c r="AG1140" s="1" t="s">
        <v>20791</v>
      </c>
      <c r="AH1140" s="1" t="s">
        <v>170</v>
      </c>
      <c r="AI1140" s="1" t="s">
        <v>286</v>
      </c>
      <c r="AJ1140" s="1">
        <v>88</v>
      </c>
      <c r="AK1140" s="1">
        <v>8.8</v>
      </c>
      <c r="AL1140" s="1" t="s">
        <v>20792</v>
      </c>
      <c r="AM1140" s="1" t="s">
        <v>20793</v>
      </c>
      <c r="AN1140" s="1" t="s">
        <v>465</v>
      </c>
      <c r="AO1140" s="1" t="s">
        <v>106</v>
      </c>
      <c r="AP1140" s="1" t="s">
        <v>603</v>
      </c>
      <c r="AQ1140" s="1">
        <v>96.2</v>
      </c>
      <c r="AR1140" s="1">
        <v>9.62</v>
      </c>
      <c r="AS1140" s="1"/>
      <c r="AT1140" s="1"/>
      <c r="AU1140" s="1"/>
      <c r="AV1140" s="1"/>
      <c r="AW1140" s="1"/>
      <c r="AX1140" s="1"/>
      <c r="AY1140" s="1" t="s">
        <v>20794</v>
      </c>
      <c r="AZ1140" s="1" t="s">
        <v>20795</v>
      </c>
      <c r="BA1140" s="1" t="s">
        <v>682</v>
      </c>
      <c r="BB1140" s="1" t="s">
        <v>7776</v>
      </c>
      <c r="BC1140" s="1" t="s">
        <v>890</v>
      </c>
      <c r="BD1140" s="1" t="s">
        <v>5340</v>
      </c>
      <c r="BE1140" s="1">
        <v>68.4</v>
      </c>
      <c r="BF1140" s="1">
        <v>7.34</v>
      </c>
      <c r="BG1140" s="1"/>
      <c r="BH1140" s="1"/>
      <c r="BI1140" s="1"/>
      <c r="BJ1140" s="1"/>
      <c r="BK1140" s="1"/>
      <c r="BL1140" s="1"/>
      <c r="BM1140" s="1"/>
      <c r="BN1140" s="1"/>
      <c r="BO1140" s="1" t="s">
        <v>20796</v>
      </c>
      <c r="BP1140" s="1" t="s">
        <v>20797</v>
      </c>
      <c r="BQ1140" s="1" t="s">
        <v>2577</v>
      </c>
      <c r="BR1140" s="1" t="s">
        <v>20798</v>
      </c>
      <c r="BS1140" s="1">
        <v>21</v>
      </c>
      <c r="BT1140" s="1"/>
      <c r="BU1140" s="1" t="str">
        <f>HYPERLINK("https://nconnect.nicmar.ac.in/storage/profile/6a87504386838.png","Download")</f>
        <v>0</v>
      </c>
      <c r="BV1140" s="3"/>
      <c r="BW1140" s="3"/>
    </row>
    <row r="1141" spans="1:75">
      <c r="A1141" s="1" t="s">
        <v>75</v>
      </c>
      <c r="B1141" s="1" t="s">
        <v>13976</v>
      </c>
      <c r="C1141" s="1" t="s">
        <v>20799</v>
      </c>
      <c r="D1141" s="1" t="s">
        <v>20800</v>
      </c>
      <c r="E1141" s="1"/>
      <c r="F1141" s="1" t="s">
        <v>14108</v>
      </c>
      <c r="G1141" s="1" t="s">
        <v>20801</v>
      </c>
      <c r="H1141" s="1" t="s">
        <v>20802</v>
      </c>
      <c r="I1141" s="1" t="s">
        <v>20803</v>
      </c>
      <c r="J1141" s="1">
        <v>8917300187</v>
      </c>
      <c r="K1141" s="1" t="s">
        <v>84</v>
      </c>
      <c r="L1141" s="1" t="s">
        <v>20804</v>
      </c>
      <c r="M1141" s="1" t="s">
        <v>86</v>
      </c>
      <c r="N1141" s="1" t="s">
        <v>20805</v>
      </c>
      <c r="O1141" s="1" t="s">
        <v>20806</v>
      </c>
      <c r="P1141" s="1" t="s">
        <v>122</v>
      </c>
      <c r="Q1141" s="1">
        <v>539267210359</v>
      </c>
      <c r="R1141" s="1" t="s">
        <v>20807</v>
      </c>
      <c r="S1141" s="1">
        <v>9099042101</v>
      </c>
      <c r="T1141" s="1" t="s">
        <v>14507</v>
      </c>
      <c r="U1141" s="1" t="s">
        <v>20808</v>
      </c>
      <c r="V1141" s="1">
        <v>8093072298</v>
      </c>
      <c r="W1141" s="1" t="s">
        <v>14154</v>
      </c>
      <c r="X1141" s="1" t="s">
        <v>20809</v>
      </c>
      <c r="Y1141" s="1" t="s">
        <v>20810</v>
      </c>
      <c r="Z1141" s="1" t="s">
        <v>865</v>
      </c>
      <c r="AA1141" s="1" t="s">
        <v>20809</v>
      </c>
      <c r="AB1141" s="1" t="s">
        <v>20810</v>
      </c>
      <c r="AC1141" s="1" t="s">
        <v>865</v>
      </c>
      <c r="AD1141" s="1" t="s">
        <v>98</v>
      </c>
      <c r="AE1141" s="1" t="s">
        <v>98</v>
      </c>
      <c r="AF1141" s="1" t="s">
        <v>20811</v>
      </c>
      <c r="AG1141" s="1" t="s">
        <v>20812</v>
      </c>
      <c r="AH1141" s="1" t="s">
        <v>490</v>
      </c>
      <c r="AI1141" s="1" t="s">
        <v>414</v>
      </c>
      <c r="AJ1141" s="1">
        <v>83.2</v>
      </c>
      <c r="AK1141" s="1"/>
      <c r="AL1141" s="1" t="s">
        <v>20813</v>
      </c>
      <c r="AM1141" s="1" t="s">
        <v>20814</v>
      </c>
      <c r="AN1141" s="1" t="s">
        <v>465</v>
      </c>
      <c r="AO1141" s="1" t="s">
        <v>603</v>
      </c>
      <c r="AP1141" s="1" t="s">
        <v>2304</v>
      </c>
      <c r="AQ1141" s="1">
        <v>82.8</v>
      </c>
      <c r="AR1141" s="1"/>
      <c r="AS1141" s="1"/>
      <c r="AT1141" s="1"/>
      <c r="AU1141" s="1"/>
      <c r="AV1141" s="1"/>
      <c r="AW1141" s="1"/>
      <c r="AX1141" s="1"/>
      <c r="AY1141" s="1" t="s">
        <v>20815</v>
      </c>
      <c r="AZ1141" s="1" t="s">
        <v>16116</v>
      </c>
      <c r="BA1141" s="1" t="s">
        <v>466</v>
      </c>
      <c r="BB1141" s="1" t="s">
        <v>467</v>
      </c>
      <c r="BC1141" s="1" t="s">
        <v>847</v>
      </c>
      <c r="BD1141" s="1" t="s">
        <v>553</v>
      </c>
      <c r="BE1141" s="1">
        <v>71.16</v>
      </c>
      <c r="BF1141" s="1">
        <v>7.49</v>
      </c>
      <c r="BG1141" s="1"/>
      <c r="BH1141" s="1"/>
      <c r="BI1141" s="1"/>
      <c r="BJ1141" s="1"/>
      <c r="BK1141" s="1"/>
      <c r="BL1141" s="1"/>
      <c r="BM1141" s="1"/>
      <c r="BN1141" s="1"/>
      <c r="BO1141" s="1" t="s">
        <v>1315</v>
      </c>
      <c r="BP1141" s="1" t="s">
        <v>20816</v>
      </c>
      <c r="BQ1141" s="1" t="s">
        <v>1070</v>
      </c>
      <c r="BR1141" s="1" t="s">
        <v>20817</v>
      </c>
      <c r="BS1141" s="1">
        <v>4</v>
      </c>
      <c r="BT1141" s="1"/>
      <c r="BU1141" s="1" t="str">
        <f>HYPERLINK("https://nconnect.nicmar.ac.in/storage/profile/6a875902136d3.png","Download")</f>
        <v>0</v>
      </c>
      <c r="BV1141" s="3"/>
      <c r="BW1141" s="3"/>
    </row>
    <row r="1142" spans="1:75">
      <c r="A1142" s="1" t="s">
        <v>75</v>
      </c>
      <c r="B1142" s="1" t="s">
        <v>13976</v>
      </c>
      <c r="C1142" s="1" t="s">
        <v>20818</v>
      </c>
      <c r="D1142" s="1" t="s">
        <v>20819</v>
      </c>
      <c r="E1142" s="1" t="s">
        <v>20820</v>
      </c>
      <c r="F1142" s="1" t="s">
        <v>20821</v>
      </c>
      <c r="G1142" s="1" t="s">
        <v>20822</v>
      </c>
      <c r="H1142" s="1" t="s">
        <v>20823</v>
      </c>
      <c r="I1142" s="1" t="s">
        <v>20823</v>
      </c>
      <c r="J1142" s="1">
        <v>8698019951</v>
      </c>
      <c r="K1142" s="1" t="s">
        <v>153</v>
      </c>
      <c r="L1142" s="1" t="s">
        <v>20824</v>
      </c>
      <c r="M1142" s="1" t="s">
        <v>86</v>
      </c>
      <c r="N1142" s="1" t="s">
        <v>768</v>
      </c>
      <c r="O1142" s="1" t="s">
        <v>20825</v>
      </c>
      <c r="P1142" s="1" t="s">
        <v>356</v>
      </c>
      <c r="Q1142" s="1">
        <v>733439858010</v>
      </c>
      <c r="R1142" s="1" t="s">
        <v>20820</v>
      </c>
      <c r="S1142" s="1">
        <v>9421260060</v>
      </c>
      <c r="T1142" s="1" t="s">
        <v>2177</v>
      </c>
      <c r="U1142" s="1" t="s">
        <v>14645</v>
      </c>
      <c r="V1142" s="1">
        <v>7038030034</v>
      </c>
      <c r="W1142" s="1" t="s">
        <v>19327</v>
      </c>
      <c r="X1142" s="1" t="s">
        <v>20826</v>
      </c>
      <c r="Y1142" s="1" t="s">
        <v>1189</v>
      </c>
      <c r="Z1142" s="1" t="s">
        <v>97</v>
      </c>
      <c r="AA1142" s="1" t="s">
        <v>20826</v>
      </c>
      <c r="AB1142" s="1" t="s">
        <v>1189</v>
      </c>
      <c r="AC1142" s="1" t="s">
        <v>97</v>
      </c>
      <c r="AD1142" s="1" t="s">
        <v>98</v>
      </c>
      <c r="AE1142" s="1" t="s">
        <v>98</v>
      </c>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t="s">
        <v>20827</v>
      </c>
      <c r="BQ1142" s="1" t="s">
        <v>757</v>
      </c>
      <c r="BR1142" s="1"/>
      <c r="BS1142" s="1"/>
      <c r="BT1142" s="1"/>
      <c r="BU1142" s="1" t="str">
        <f>HYPERLINK("https://nconnect.nicmar.ac.in/storage/profile/6a86e7fa5ffdc.png","Download")</f>
        <v>0</v>
      </c>
      <c r="BV1142" s="3"/>
      <c r="BW1142" s="3"/>
    </row>
    <row r="1143" spans="1:75">
      <c r="A1143" s="1" t="s">
        <v>75</v>
      </c>
      <c r="B1143" s="1" t="s">
        <v>13976</v>
      </c>
      <c r="C1143" s="1" t="s">
        <v>20828</v>
      </c>
      <c r="D1143" s="1" t="s">
        <v>15429</v>
      </c>
      <c r="E1143" s="1" t="s">
        <v>20829</v>
      </c>
      <c r="F1143" s="1" t="s">
        <v>20830</v>
      </c>
      <c r="G1143" s="1" t="s">
        <v>20831</v>
      </c>
      <c r="H1143" s="1" t="s">
        <v>20832</v>
      </c>
      <c r="I1143" s="1" t="s">
        <v>20832</v>
      </c>
      <c r="J1143" s="1">
        <v>9307500018</v>
      </c>
      <c r="K1143" s="1" t="s">
        <v>84</v>
      </c>
      <c r="L1143" s="1" t="s">
        <v>20833</v>
      </c>
      <c r="M1143" s="1" t="s">
        <v>86</v>
      </c>
      <c r="N1143" s="1" t="s">
        <v>190</v>
      </c>
      <c r="O1143" s="1" t="s">
        <v>20834</v>
      </c>
      <c r="P1143" s="1" t="s">
        <v>122</v>
      </c>
      <c r="Q1143" s="1">
        <v>898283173033</v>
      </c>
      <c r="R1143" s="1" t="s">
        <v>20829</v>
      </c>
      <c r="S1143" s="1">
        <v>9822052106</v>
      </c>
      <c r="T1143" s="1" t="s">
        <v>14335</v>
      </c>
      <c r="U1143" s="1" t="s">
        <v>20835</v>
      </c>
      <c r="V1143" s="1">
        <v>9881030729</v>
      </c>
      <c r="W1143" s="1" t="s">
        <v>14154</v>
      </c>
      <c r="X1143" s="1" t="s">
        <v>20836</v>
      </c>
      <c r="Y1143" s="1" t="s">
        <v>910</v>
      </c>
      <c r="Z1143" s="1" t="s">
        <v>97</v>
      </c>
      <c r="AA1143" s="1" t="s">
        <v>20836</v>
      </c>
      <c r="AB1143" s="1" t="s">
        <v>910</v>
      </c>
      <c r="AC1143" s="1" t="s">
        <v>97</v>
      </c>
      <c r="AD1143" s="1" t="s">
        <v>98</v>
      </c>
      <c r="AE1143" s="1" t="s">
        <v>98</v>
      </c>
      <c r="AF1143" s="1" t="s">
        <v>20837</v>
      </c>
      <c r="AG1143" s="1" t="s">
        <v>20838</v>
      </c>
      <c r="AH1143" s="1" t="s">
        <v>704</v>
      </c>
      <c r="AI1143" s="1" t="s">
        <v>286</v>
      </c>
      <c r="AJ1143" s="1">
        <v>87.4</v>
      </c>
      <c r="AK1143" s="1"/>
      <c r="AL1143" s="1" t="s">
        <v>20839</v>
      </c>
      <c r="AM1143" s="1" t="s">
        <v>20838</v>
      </c>
      <c r="AN1143" s="1" t="s">
        <v>465</v>
      </c>
      <c r="AO1143" s="1" t="s">
        <v>414</v>
      </c>
      <c r="AP1143" s="1" t="s">
        <v>365</v>
      </c>
      <c r="AQ1143" s="1">
        <v>64.15</v>
      </c>
      <c r="AR1143" s="1"/>
      <c r="AS1143" s="1"/>
      <c r="AT1143" s="1"/>
      <c r="AU1143" s="1"/>
      <c r="AV1143" s="1"/>
      <c r="AW1143" s="1"/>
      <c r="AX1143" s="1"/>
      <c r="AY1143" s="1" t="s">
        <v>14160</v>
      </c>
      <c r="AZ1143" s="1" t="s">
        <v>20840</v>
      </c>
      <c r="BA1143" s="1" t="s">
        <v>578</v>
      </c>
      <c r="BB1143" s="1" t="s">
        <v>467</v>
      </c>
      <c r="BC1143" s="1" t="s">
        <v>977</v>
      </c>
      <c r="BD1143" s="1" t="s">
        <v>1314</v>
      </c>
      <c r="BE1143" s="1">
        <v>69.2</v>
      </c>
      <c r="BF1143" s="1"/>
      <c r="BG1143" s="1"/>
      <c r="BH1143" s="1"/>
      <c r="BI1143" s="1"/>
      <c r="BJ1143" s="1"/>
      <c r="BK1143" s="1"/>
      <c r="BL1143" s="1"/>
      <c r="BM1143" s="1"/>
      <c r="BN1143" s="1"/>
      <c r="BO1143" s="1" t="s">
        <v>20841</v>
      </c>
      <c r="BP1143" s="1"/>
      <c r="BQ1143" s="1"/>
      <c r="BR1143" s="1" t="s">
        <v>20842</v>
      </c>
      <c r="BS1143" s="1">
        <v>27</v>
      </c>
      <c r="BT1143" s="1" t="s">
        <v>20843</v>
      </c>
      <c r="BU1143" s="1" t="str">
        <f>HYPERLINK("https://nconnect.nicmar.ac.in/storage/profile/6a874ab9e48b2.png","Download")</f>
        <v>0</v>
      </c>
      <c r="BV1143" s="3"/>
      <c r="BW1143" s="3"/>
    </row>
    <row r="1144" spans="1:75">
      <c r="A1144" s="1" t="s">
        <v>75</v>
      </c>
      <c r="B1144" s="1" t="s">
        <v>13976</v>
      </c>
      <c r="C1144" s="1" t="s">
        <v>20844</v>
      </c>
      <c r="D1144" s="1" t="s">
        <v>20845</v>
      </c>
      <c r="E1144" s="1"/>
      <c r="F1144" s="1" t="s">
        <v>20846</v>
      </c>
      <c r="G1144" s="1" t="s">
        <v>20847</v>
      </c>
      <c r="H1144" s="1" t="s">
        <v>20848</v>
      </c>
      <c r="I1144" s="1" t="s">
        <v>20848</v>
      </c>
      <c r="J1144" s="1">
        <v>6266440424</v>
      </c>
      <c r="K1144" s="1" t="s">
        <v>84</v>
      </c>
      <c r="L1144" s="1" t="s">
        <v>20849</v>
      </c>
      <c r="M1144" s="1" t="s">
        <v>86</v>
      </c>
      <c r="N1144" s="1" t="s">
        <v>4857</v>
      </c>
      <c r="O1144" s="1" t="s">
        <v>20850</v>
      </c>
      <c r="P1144" s="1" t="s">
        <v>356</v>
      </c>
      <c r="Q1144" s="1">
        <v>874252522661</v>
      </c>
      <c r="R1144" s="1" t="s">
        <v>20851</v>
      </c>
      <c r="S1144" s="1">
        <v>8982461293</v>
      </c>
      <c r="T1144" s="1" t="s">
        <v>13987</v>
      </c>
      <c r="U1144" s="1" t="s">
        <v>20852</v>
      </c>
      <c r="V1144" s="1">
        <v>8982461293</v>
      </c>
      <c r="W1144" s="1" t="s">
        <v>14212</v>
      </c>
      <c r="X1144" s="1" t="s">
        <v>20853</v>
      </c>
      <c r="Y1144" s="1" t="s">
        <v>20854</v>
      </c>
      <c r="Z1144" s="1" t="s">
        <v>3419</v>
      </c>
      <c r="AA1144" s="1" t="s">
        <v>20853</v>
      </c>
      <c r="AB1144" s="1" t="s">
        <v>20854</v>
      </c>
      <c r="AC1144" s="1" t="s">
        <v>3419</v>
      </c>
      <c r="AD1144" s="1" t="s">
        <v>98</v>
      </c>
      <c r="AE1144" s="1" t="s">
        <v>98</v>
      </c>
      <c r="AF1144" s="1" t="s">
        <v>20855</v>
      </c>
      <c r="AG1144" s="1" t="s">
        <v>11430</v>
      </c>
      <c r="AH1144" s="1" t="s">
        <v>174</v>
      </c>
      <c r="AI1144" s="1" t="s">
        <v>313</v>
      </c>
      <c r="AJ1144" s="1">
        <v>84.2</v>
      </c>
      <c r="AK1144" s="1"/>
      <c r="AL1144" s="1" t="s">
        <v>20856</v>
      </c>
      <c r="AM1144" s="1" t="s">
        <v>11430</v>
      </c>
      <c r="AN1144" s="1" t="s">
        <v>465</v>
      </c>
      <c r="AO1144" s="1" t="s">
        <v>178</v>
      </c>
      <c r="AP1144" s="1" t="s">
        <v>9688</v>
      </c>
      <c r="AQ1144" s="1">
        <v>86</v>
      </c>
      <c r="AR1144" s="1"/>
      <c r="AS1144" s="1"/>
      <c r="AT1144" s="1"/>
      <c r="AU1144" s="1"/>
      <c r="AV1144" s="1"/>
      <c r="AW1144" s="1"/>
      <c r="AX1144" s="1"/>
      <c r="AY1144" s="1" t="s">
        <v>2206</v>
      </c>
      <c r="AZ1144" s="1" t="s">
        <v>20857</v>
      </c>
      <c r="BA1144" s="1" t="s">
        <v>466</v>
      </c>
      <c r="BB1144" s="1" t="s">
        <v>467</v>
      </c>
      <c r="BC1144" s="1" t="s">
        <v>441</v>
      </c>
      <c r="BD1144" s="1" t="s">
        <v>1401</v>
      </c>
      <c r="BE1144" s="1">
        <v>64.7</v>
      </c>
      <c r="BF1144" s="1">
        <v>6.47</v>
      </c>
      <c r="BG1144" s="1"/>
      <c r="BH1144" s="1"/>
      <c r="BI1144" s="1"/>
      <c r="BJ1144" s="1"/>
      <c r="BK1144" s="1"/>
      <c r="BL1144" s="1"/>
      <c r="BM1144" s="1"/>
      <c r="BN1144" s="1"/>
      <c r="BO1144" s="1" t="s">
        <v>20858</v>
      </c>
      <c r="BP1144" s="1"/>
      <c r="BQ1144" s="1"/>
      <c r="BR1144" s="1" t="s">
        <v>20859</v>
      </c>
      <c r="BS1144" s="1">
        <v>23</v>
      </c>
      <c r="BT1144" s="1" t="s">
        <v>20860</v>
      </c>
      <c r="BU1144" s="1" t="str">
        <f>HYPERLINK("https://nconnect.nicmar.ac.in/storage/profile/6a87361874f93.png","Download")</f>
        <v>0</v>
      </c>
      <c r="BV1144" s="3"/>
      <c r="BW1144" s="3"/>
    </row>
    <row r="1145" spans="1:75">
      <c r="A1145" s="1" t="s">
        <v>75</v>
      </c>
      <c r="B1145" s="1" t="s">
        <v>13976</v>
      </c>
      <c r="C1145" s="1" t="s">
        <v>20861</v>
      </c>
      <c r="D1145" s="1" t="s">
        <v>20862</v>
      </c>
      <c r="E1145" s="1" t="s">
        <v>20863</v>
      </c>
      <c r="F1145" s="1" t="s">
        <v>20864</v>
      </c>
      <c r="G1145" s="1" t="s">
        <v>20865</v>
      </c>
      <c r="H1145" s="1" t="s">
        <v>20866</v>
      </c>
      <c r="I1145" s="1" t="s">
        <v>20866</v>
      </c>
      <c r="J1145" s="1">
        <v>7774025865</v>
      </c>
      <c r="K1145" s="1" t="s">
        <v>84</v>
      </c>
      <c r="L1145" s="1" t="s">
        <v>15711</v>
      </c>
      <c r="M1145" s="1" t="s">
        <v>86</v>
      </c>
      <c r="N1145" s="1" t="s">
        <v>16090</v>
      </c>
      <c r="O1145" s="1" t="s">
        <v>20867</v>
      </c>
      <c r="P1145" s="1" t="s">
        <v>219</v>
      </c>
      <c r="Q1145" s="1">
        <v>790607344394</v>
      </c>
      <c r="R1145" s="1" t="s">
        <v>20868</v>
      </c>
      <c r="S1145" s="1">
        <v>9766172774</v>
      </c>
      <c r="T1145" s="1" t="s">
        <v>20869</v>
      </c>
      <c r="U1145" s="1" t="s">
        <v>20870</v>
      </c>
      <c r="V1145" s="1">
        <v>8080743264</v>
      </c>
      <c r="W1145" s="1" t="s">
        <v>19327</v>
      </c>
      <c r="X1145" s="1" t="s">
        <v>20871</v>
      </c>
      <c r="Y1145" s="1" t="s">
        <v>410</v>
      </c>
      <c r="Z1145" s="1" t="s">
        <v>97</v>
      </c>
      <c r="AA1145" s="1" t="s">
        <v>20871</v>
      </c>
      <c r="AB1145" s="1" t="s">
        <v>410</v>
      </c>
      <c r="AC1145" s="1" t="s">
        <v>97</v>
      </c>
      <c r="AD1145" s="1" t="s">
        <v>98</v>
      </c>
      <c r="AE1145" s="1" t="s">
        <v>98</v>
      </c>
      <c r="AF1145" s="1" t="s">
        <v>20872</v>
      </c>
      <c r="AG1145" s="1" t="s">
        <v>20873</v>
      </c>
      <c r="AH1145" s="1" t="s">
        <v>174</v>
      </c>
      <c r="AI1145" s="1" t="s">
        <v>414</v>
      </c>
      <c r="AJ1145" s="1">
        <v>72.6</v>
      </c>
      <c r="AK1145" s="1"/>
      <c r="AL1145" s="1" t="s">
        <v>20874</v>
      </c>
      <c r="AM1145" s="1" t="s">
        <v>20875</v>
      </c>
      <c r="AN1145" s="1" t="s">
        <v>575</v>
      </c>
      <c r="AO1145" s="1" t="s">
        <v>1040</v>
      </c>
      <c r="AP1145" s="1" t="s">
        <v>1192</v>
      </c>
      <c r="AQ1145" s="1">
        <v>79.5</v>
      </c>
      <c r="AR1145" s="1"/>
      <c r="AS1145" s="1" t="s">
        <v>20876</v>
      </c>
      <c r="AT1145" s="1" t="s">
        <v>20877</v>
      </c>
      <c r="AU1145" s="1" t="s">
        <v>441</v>
      </c>
      <c r="AV1145" s="1" t="s">
        <v>234</v>
      </c>
      <c r="AW1145" s="1">
        <v>81.21</v>
      </c>
      <c r="AX1145" s="1"/>
      <c r="AY1145" s="1" t="s">
        <v>415</v>
      </c>
      <c r="AZ1145" s="1" t="s">
        <v>20878</v>
      </c>
      <c r="BA1145" s="1" t="s">
        <v>466</v>
      </c>
      <c r="BB1145" s="1" t="s">
        <v>467</v>
      </c>
      <c r="BC1145" s="1" t="s">
        <v>1267</v>
      </c>
      <c r="BD1145" s="1" t="s">
        <v>14514</v>
      </c>
      <c r="BE1145" s="1">
        <v>76.2</v>
      </c>
      <c r="BF1145" s="1">
        <v>8.37</v>
      </c>
      <c r="BG1145" s="1"/>
      <c r="BH1145" s="1"/>
      <c r="BI1145" s="1"/>
      <c r="BJ1145" s="1"/>
      <c r="BK1145" s="1"/>
      <c r="BL1145" s="1"/>
      <c r="BM1145" s="1"/>
      <c r="BN1145" s="1"/>
      <c r="BO1145" s="1" t="s">
        <v>20879</v>
      </c>
      <c r="BP1145" s="1"/>
      <c r="BQ1145" s="1"/>
      <c r="BR1145" s="1" t="s">
        <v>20880</v>
      </c>
      <c r="BS1145" s="1">
        <v>21</v>
      </c>
      <c r="BT1145" s="1"/>
      <c r="BU1145" s="1" t="str">
        <f>HYPERLINK("https://nconnect.nicmar.ac.in/storage/profile/6a872afe33563.png","Download")</f>
        <v>0</v>
      </c>
      <c r="BV1145" s="3"/>
      <c r="BW1145" s="3"/>
    </row>
    <row r="1146" spans="1:75">
      <c r="A1146" s="1" t="s">
        <v>75</v>
      </c>
      <c r="B1146" s="1" t="s">
        <v>13976</v>
      </c>
      <c r="C1146" s="1" t="s">
        <v>20881</v>
      </c>
      <c r="D1146" s="1" t="s">
        <v>20882</v>
      </c>
      <c r="E1146" s="1"/>
      <c r="F1146" s="1" t="s">
        <v>20883</v>
      </c>
      <c r="G1146" s="1" t="s">
        <v>20884</v>
      </c>
      <c r="H1146" s="1" t="s">
        <v>20885</v>
      </c>
      <c r="I1146" s="1" t="s">
        <v>20885</v>
      </c>
      <c r="J1146" s="1">
        <v>7800560326</v>
      </c>
      <c r="K1146" s="1" t="s">
        <v>84</v>
      </c>
      <c r="L1146" s="1" t="s">
        <v>20886</v>
      </c>
      <c r="M1146" s="1" t="s">
        <v>86</v>
      </c>
      <c r="N1146" s="1" t="s">
        <v>20887</v>
      </c>
      <c r="O1146" s="1" t="s">
        <v>20888</v>
      </c>
      <c r="P1146" s="1" t="s">
        <v>219</v>
      </c>
      <c r="Q1146" s="1">
        <v>479947759960</v>
      </c>
      <c r="R1146" s="1" t="s">
        <v>20889</v>
      </c>
      <c r="S1146" s="1">
        <v>9415566366</v>
      </c>
      <c r="T1146" s="1" t="s">
        <v>15965</v>
      </c>
      <c r="U1146" s="1" t="s">
        <v>20890</v>
      </c>
      <c r="V1146" s="1">
        <v>8922025077</v>
      </c>
      <c r="W1146" s="1" t="s">
        <v>14154</v>
      </c>
      <c r="X1146" s="1" t="s">
        <v>20891</v>
      </c>
      <c r="Y1146" s="1" t="s">
        <v>20892</v>
      </c>
      <c r="Z1146" s="1" t="s">
        <v>544</v>
      </c>
      <c r="AA1146" s="1" t="s">
        <v>20891</v>
      </c>
      <c r="AB1146" s="1" t="s">
        <v>20892</v>
      </c>
      <c r="AC1146" s="1" t="s">
        <v>544</v>
      </c>
      <c r="AD1146" s="1" t="s">
        <v>98</v>
      </c>
      <c r="AE1146" s="1" t="s">
        <v>98</v>
      </c>
      <c r="AF1146" s="1" t="s">
        <v>20893</v>
      </c>
      <c r="AG1146" s="1" t="s">
        <v>20894</v>
      </c>
      <c r="AH1146" s="1" t="s">
        <v>3421</v>
      </c>
      <c r="AI1146" s="1" t="s">
        <v>136</v>
      </c>
      <c r="AJ1146" s="1">
        <v>85.5</v>
      </c>
      <c r="AK1146" s="1">
        <v>9</v>
      </c>
      <c r="AL1146" s="1" t="s">
        <v>20893</v>
      </c>
      <c r="AM1146" s="1" t="s">
        <v>20894</v>
      </c>
      <c r="AN1146" s="1" t="s">
        <v>465</v>
      </c>
      <c r="AO1146" s="1" t="s">
        <v>136</v>
      </c>
      <c r="AP1146" s="1" t="s">
        <v>573</v>
      </c>
      <c r="AQ1146" s="1">
        <v>71</v>
      </c>
      <c r="AR1146" s="1"/>
      <c r="AS1146" s="1"/>
      <c r="AT1146" s="1"/>
      <c r="AU1146" s="1"/>
      <c r="AV1146" s="1"/>
      <c r="AW1146" s="1"/>
      <c r="AX1146" s="1"/>
      <c r="AY1146" s="1" t="s">
        <v>20895</v>
      </c>
      <c r="AZ1146" s="1" t="s">
        <v>20896</v>
      </c>
      <c r="BA1146" s="1" t="s">
        <v>466</v>
      </c>
      <c r="BB1146" s="1" t="s">
        <v>467</v>
      </c>
      <c r="BC1146" s="1" t="s">
        <v>1065</v>
      </c>
      <c r="BD1146" s="1" t="s">
        <v>1400</v>
      </c>
      <c r="BE1146" s="1">
        <v>78</v>
      </c>
      <c r="BF1146" s="1">
        <v>7.8</v>
      </c>
      <c r="BG1146" s="1"/>
      <c r="BH1146" s="1"/>
      <c r="BI1146" s="1"/>
      <c r="BJ1146" s="1"/>
      <c r="BK1146" s="1"/>
      <c r="BL1146" s="1"/>
      <c r="BM1146" s="1"/>
      <c r="BN1146" s="1"/>
      <c r="BO1146" s="1" t="s">
        <v>20897</v>
      </c>
      <c r="BP1146" s="1" t="s">
        <v>20898</v>
      </c>
      <c r="BQ1146" s="1" t="s">
        <v>19846</v>
      </c>
      <c r="BR1146" s="1" t="s">
        <v>20899</v>
      </c>
      <c r="BS1146" s="1">
        <v>6</v>
      </c>
      <c r="BT1146" s="1" t="s">
        <v>20900</v>
      </c>
      <c r="BU1146" s="1" t="str">
        <f>HYPERLINK("https://nconnect.nicmar.ac.in/storage/profile/6a85fdd59fd80.png","Download")</f>
        <v>0</v>
      </c>
      <c r="BV1146" s="3"/>
      <c r="BW1146" s="3"/>
    </row>
    <row r="1147" spans="1:75">
      <c r="A1147" s="1" t="s">
        <v>75</v>
      </c>
      <c r="B1147" s="1" t="s">
        <v>13976</v>
      </c>
      <c r="C1147" s="1" t="s">
        <v>20901</v>
      </c>
      <c r="D1147" s="1" t="s">
        <v>20902</v>
      </c>
      <c r="E1147" s="1" t="s">
        <v>20903</v>
      </c>
      <c r="F1147" s="1" t="s">
        <v>20904</v>
      </c>
      <c r="G1147" s="1" t="s">
        <v>20905</v>
      </c>
      <c r="H1147" s="1" t="s">
        <v>20906</v>
      </c>
      <c r="I1147" s="1" t="s">
        <v>20906</v>
      </c>
      <c r="J1147" s="1">
        <v>9482659538</v>
      </c>
      <c r="K1147" s="1" t="s">
        <v>153</v>
      </c>
      <c r="L1147" s="1" t="s">
        <v>20907</v>
      </c>
      <c r="M1147" s="1" t="s">
        <v>86</v>
      </c>
      <c r="N1147" s="1" t="s">
        <v>20908</v>
      </c>
      <c r="O1147" s="1" t="s">
        <v>20909</v>
      </c>
      <c r="P1147" s="1" t="s">
        <v>219</v>
      </c>
      <c r="Q1147" s="1">
        <v>398022486591</v>
      </c>
      <c r="R1147" s="1" t="s">
        <v>20910</v>
      </c>
      <c r="S1147" s="1">
        <v>9448649538</v>
      </c>
      <c r="T1147" s="1" t="s">
        <v>14116</v>
      </c>
      <c r="U1147" s="1" t="s">
        <v>20911</v>
      </c>
      <c r="V1147" s="1">
        <v>7019942432</v>
      </c>
      <c r="W1147" s="1" t="s">
        <v>14116</v>
      </c>
      <c r="X1147" s="1" t="s">
        <v>20912</v>
      </c>
      <c r="Y1147" s="1" t="s">
        <v>9074</v>
      </c>
      <c r="Z1147" s="1" t="s">
        <v>1210</v>
      </c>
      <c r="AA1147" s="1" t="s">
        <v>20912</v>
      </c>
      <c r="AB1147" s="1" t="s">
        <v>9074</v>
      </c>
      <c r="AC1147" s="1" t="s">
        <v>1210</v>
      </c>
      <c r="AD1147" s="1" t="s">
        <v>98</v>
      </c>
      <c r="AE1147" s="1" t="s">
        <v>98</v>
      </c>
      <c r="AF1147" s="1" t="s">
        <v>20913</v>
      </c>
      <c r="AG1147" s="1" t="s">
        <v>20914</v>
      </c>
      <c r="AH1147" s="1" t="s">
        <v>167</v>
      </c>
      <c r="AI1147" s="1" t="s">
        <v>704</v>
      </c>
      <c r="AJ1147" s="1">
        <v>92.16</v>
      </c>
      <c r="AK1147" s="1"/>
      <c r="AL1147" s="1" t="s">
        <v>20915</v>
      </c>
      <c r="AM1147" s="1" t="s">
        <v>20916</v>
      </c>
      <c r="AN1147" s="1" t="s">
        <v>575</v>
      </c>
      <c r="AO1147" s="1" t="s">
        <v>200</v>
      </c>
      <c r="AP1147" s="1" t="s">
        <v>547</v>
      </c>
      <c r="AQ1147" s="1">
        <v>86.33</v>
      </c>
      <c r="AR1147" s="1"/>
      <c r="AS1147" s="1"/>
      <c r="AT1147" s="1"/>
      <c r="AU1147" s="1"/>
      <c r="AV1147" s="1"/>
      <c r="AW1147" s="1"/>
      <c r="AX1147" s="1"/>
      <c r="AY1147" s="1" t="s">
        <v>20917</v>
      </c>
      <c r="AZ1147" s="1" t="s">
        <v>14436</v>
      </c>
      <c r="BA1147" s="1" t="s">
        <v>682</v>
      </c>
      <c r="BB1147" s="1" t="s">
        <v>683</v>
      </c>
      <c r="BC1147" s="1" t="s">
        <v>315</v>
      </c>
      <c r="BD1147" s="1" t="s">
        <v>2383</v>
      </c>
      <c r="BE1147" s="1">
        <v>74.9</v>
      </c>
      <c r="BF1147" s="1">
        <v>8.24</v>
      </c>
      <c r="BG1147" s="1"/>
      <c r="BH1147" s="1"/>
      <c r="BI1147" s="1"/>
      <c r="BJ1147" s="1"/>
      <c r="BK1147" s="1"/>
      <c r="BL1147" s="1"/>
      <c r="BM1147" s="1"/>
      <c r="BN1147" s="1"/>
      <c r="BO1147" s="1" t="s">
        <v>18591</v>
      </c>
      <c r="BP1147" s="1" t="s">
        <v>20918</v>
      </c>
      <c r="BQ1147" s="1" t="s">
        <v>1564</v>
      </c>
      <c r="BR1147" s="1" t="s">
        <v>20919</v>
      </c>
      <c r="BS1147" s="1">
        <v>17</v>
      </c>
      <c r="BT1147" s="1" t="s">
        <v>20920</v>
      </c>
      <c r="BU1147" s="1" t="str">
        <f>HYPERLINK("https://nconnect.nicmar.ac.in/storage/profile/6a871cd0e2a7f.png","Download")</f>
        <v>0</v>
      </c>
      <c r="BV1147" s="3"/>
      <c r="BW1147" s="3"/>
    </row>
    <row r="1148" spans="1:75">
      <c r="A1148" s="1" t="s">
        <v>75</v>
      </c>
      <c r="B1148" s="1" t="s">
        <v>13976</v>
      </c>
      <c r="C1148" s="1" t="s">
        <v>20921</v>
      </c>
      <c r="D1148" s="1" t="s">
        <v>20922</v>
      </c>
      <c r="E1148" s="1" t="s">
        <v>20923</v>
      </c>
      <c r="F1148" s="1" t="s">
        <v>20924</v>
      </c>
      <c r="G1148" s="1" t="s">
        <v>20925</v>
      </c>
      <c r="H1148" s="1" t="s">
        <v>20926</v>
      </c>
      <c r="I1148" s="1" t="s">
        <v>20926</v>
      </c>
      <c r="J1148" s="1">
        <v>6363531988</v>
      </c>
      <c r="K1148" s="1" t="s">
        <v>84</v>
      </c>
      <c r="L1148" s="1" t="s">
        <v>18116</v>
      </c>
      <c r="M1148" s="1" t="s">
        <v>86</v>
      </c>
      <c r="N1148" s="1" t="s">
        <v>20927</v>
      </c>
      <c r="O1148" s="1" t="s">
        <v>20928</v>
      </c>
      <c r="P1148" s="1" t="s">
        <v>89</v>
      </c>
      <c r="Q1148" s="1">
        <v>266167277715</v>
      </c>
      <c r="R1148" s="1" t="s">
        <v>20923</v>
      </c>
      <c r="S1148" s="1">
        <v>9448058009</v>
      </c>
      <c r="T1148" s="1" t="s">
        <v>3641</v>
      </c>
      <c r="U1148" s="1" t="s">
        <v>20929</v>
      </c>
      <c r="V1148" s="1">
        <v>9620410131</v>
      </c>
      <c r="W1148" s="1" t="s">
        <v>307</v>
      </c>
      <c r="X1148" s="1" t="s">
        <v>20930</v>
      </c>
      <c r="Y1148" s="1" t="s">
        <v>6871</v>
      </c>
      <c r="Z1148" s="1" t="s">
        <v>1210</v>
      </c>
      <c r="AA1148" s="1" t="s">
        <v>20930</v>
      </c>
      <c r="AB1148" s="1" t="s">
        <v>6871</v>
      </c>
      <c r="AC1148" s="1" t="s">
        <v>1210</v>
      </c>
      <c r="AD1148" s="1" t="s">
        <v>98</v>
      </c>
      <c r="AE1148" s="1" t="s">
        <v>98</v>
      </c>
      <c r="AF1148" s="1" t="s">
        <v>20931</v>
      </c>
      <c r="AG1148" s="1" t="s">
        <v>20932</v>
      </c>
      <c r="AH1148" s="1" t="s">
        <v>315</v>
      </c>
      <c r="AI1148" s="1" t="s">
        <v>178</v>
      </c>
      <c r="AJ1148" s="1">
        <v>90.88</v>
      </c>
      <c r="AK1148" s="1"/>
      <c r="AL1148" s="1" t="s">
        <v>20933</v>
      </c>
      <c r="AM1148" s="1" t="s">
        <v>20934</v>
      </c>
      <c r="AN1148" s="1" t="s">
        <v>575</v>
      </c>
      <c r="AO1148" s="1" t="s">
        <v>233</v>
      </c>
      <c r="AP1148" s="1" t="s">
        <v>521</v>
      </c>
      <c r="AQ1148" s="1">
        <v>81.67</v>
      </c>
      <c r="AR1148" s="1"/>
      <c r="AS1148" s="1"/>
      <c r="AT1148" s="1"/>
      <c r="AU1148" s="1"/>
      <c r="AV1148" s="1"/>
      <c r="AW1148" s="1"/>
      <c r="AX1148" s="1"/>
      <c r="AY1148" s="1" t="s">
        <v>20935</v>
      </c>
      <c r="AZ1148" s="1" t="s">
        <v>20936</v>
      </c>
      <c r="BA1148" s="1" t="s">
        <v>578</v>
      </c>
      <c r="BB1148" s="1" t="s">
        <v>467</v>
      </c>
      <c r="BC1148" s="1" t="s">
        <v>2765</v>
      </c>
      <c r="BD1148" s="1" t="s">
        <v>9688</v>
      </c>
      <c r="BE1148" s="1">
        <v>81.18</v>
      </c>
      <c r="BF1148" s="1">
        <v>8.09</v>
      </c>
      <c r="BG1148" s="1"/>
      <c r="BH1148" s="1"/>
      <c r="BI1148" s="1"/>
      <c r="BJ1148" s="1"/>
      <c r="BK1148" s="1"/>
      <c r="BL1148" s="1"/>
      <c r="BM1148" s="1"/>
      <c r="BN1148" s="1"/>
      <c r="BO1148" s="1" t="s">
        <v>20937</v>
      </c>
      <c r="BP1148" s="1"/>
      <c r="BQ1148" s="1"/>
      <c r="BR1148" s="1" t="s">
        <v>20938</v>
      </c>
      <c r="BS1148" s="1">
        <v>16</v>
      </c>
      <c r="BT1148" s="1"/>
      <c r="BU1148" s="1" t="str">
        <f>HYPERLINK("https://nconnect.nicmar.ac.in/storage/profile/6a8727fb6e695.png","Download")</f>
        <v>0</v>
      </c>
      <c r="BV1148" s="3"/>
      <c r="BW1148" s="3"/>
    </row>
    <row r="1149" spans="1:75">
      <c r="A1149" s="1" t="s">
        <v>75</v>
      </c>
      <c r="B1149" s="1" t="s">
        <v>13976</v>
      </c>
      <c r="C1149" s="1" t="s">
        <v>20939</v>
      </c>
      <c r="D1149" s="1" t="s">
        <v>20940</v>
      </c>
      <c r="E1149" s="1"/>
      <c r="F1149" s="1" t="s">
        <v>14774</v>
      </c>
      <c r="G1149" s="1" t="s">
        <v>20941</v>
      </c>
      <c r="H1149" s="1" t="s">
        <v>20942</v>
      </c>
      <c r="I1149" s="1" t="s">
        <v>20942</v>
      </c>
      <c r="J1149" s="1">
        <v>8306321580</v>
      </c>
      <c r="K1149" s="1" t="s">
        <v>84</v>
      </c>
      <c r="L1149" s="1" t="s">
        <v>20943</v>
      </c>
      <c r="M1149" s="1" t="s">
        <v>86</v>
      </c>
      <c r="N1149" s="1" t="s">
        <v>20468</v>
      </c>
      <c r="O1149" s="1" t="s">
        <v>20944</v>
      </c>
      <c r="P1149" s="1" t="s">
        <v>122</v>
      </c>
      <c r="Q1149" s="1">
        <v>472744734017</v>
      </c>
      <c r="R1149" s="1" t="s">
        <v>20945</v>
      </c>
      <c r="S1149" s="1">
        <v>7068785297</v>
      </c>
      <c r="T1149" s="1" t="s">
        <v>20946</v>
      </c>
      <c r="U1149" s="1" t="s">
        <v>20947</v>
      </c>
      <c r="V1149" s="1">
        <v>7408401904</v>
      </c>
      <c r="W1149" s="1" t="s">
        <v>14192</v>
      </c>
      <c r="X1149" s="1" t="s">
        <v>20948</v>
      </c>
      <c r="Y1149" s="1" t="s">
        <v>14449</v>
      </c>
      <c r="Z1149" s="1" t="s">
        <v>544</v>
      </c>
      <c r="AA1149" s="1" t="s">
        <v>20948</v>
      </c>
      <c r="AB1149" s="1" t="s">
        <v>14449</v>
      </c>
      <c r="AC1149" s="1" t="s">
        <v>544</v>
      </c>
      <c r="AD1149" s="1" t="s">
        <v>98</v>
      </c>
      <c r="AE1149" s="1" t="s">
        <v>98</v>
      </c>
      <c r="AF1149" s="1" t="s">
        <v>20949</v>
      </c>
      <c r="AG1149" s="1" t="s">
        <v>20950</v>
      </c>
      <c r="AH1149" s="1" t="s">
        <v>1110</v>
      </c>
      <c r="AI1149" s="1" t="s">
        <v>627</v>
      </c>
      <c r="AJ1149" s="1">
        <v>79.8</v>
      </c>
      <c r="AK1149" s="1"/>
      <c r="AL1149" s="1" t="s">
        <v>20949</v>
      </c>
      <c r="AM1149" s="1" t="s">
        <v>20951</v>
      </c>
      <c r="AN1149" s="1" t="s">
        <v>465</v>
      </c>
      <c r="AO1149" s="1" t="s">
        <v>704</v>
      </c>
      <c r="AP1149" s="1" t="s">
        <v>171</v>
      </c>
      <c r="AQ1149" s="1">
        <v>80</v>
      </c>
      <c r="AR1149" s="1"/>
      <c r="AS1149" s="1"/>
      <c r="AT1149" s="1"/>
      <c r="AU1149" s="1"/>
      <c r="AV1149" s="1"/>
      <c r="AW1149" s="1"/>
      <c r="AX1149" s="1"/>
      <c r="AY1149" s="1" t="s">
        <v>15535</v>
      </c>
      <c r="AZ1149" s="1" t="s">
        <v>15759</v>
      </c>
      <c r="BA1149" s="1" t="s">
        <v>466</v>
      </c>
      <c r="BB1149" s="1" t="s">
        <v>467</v>
      </c>
      <c r="BC1149" s="1" t="s">
        <v>315</v>
      </c>
      <c r="BD1149" s="1" t="s">
        <v>179</v>
      </c>
      <c r="BE1149" s="1">
        <v>86.3</v>
      </c>
      <c r="BF1149" s="1">
        <v>8.48</v>
      </c>
      <c r="BG1149" s="1"/>
      <c r="BH1149" s="1"/>
      <c r="BI1149" s="1"/>
      <c r="BJ1149" s="1"/>
      <c r="BK1149" s="1"/>
      <c r="BL1149" s="1"/>
      <c r="BM1149" s="1"/>
      <c r="BN1149" s="1"/>
      <c r="BO1149" s="1" t="s">
        <v>20952</v>
      </c>
      <c r="BP1149" s="1" t="s">
        <v>20953</v>
      </c>
      <c r="BQ1149" s="1" t="s">
        <v>1152</v>
      </c>
      <c r="BR1149" s="1" t="s">
        <v>20954</v>
      </c>
      <c r="BS1149" s="1">
        <v>4</v>
      </c>
      <c r="BT1149" s="1"/>
      <c r="BU1149" s="1" t="str">
        <f>HYPERLINK("https://nconnect.nicmar.ac.in/storage/profile/6a87149f5c82c.png","Download")</f>
        <v>0</v>
      </c>
      <c r="BV1149" s="3"/>
      <c r="BW1149" s="3"/>
    </row>
    <row r="1150" spans="1:75">
      <c r="A1150" s="1" t="s">
        <v>75</v>
      </c>
      <c r="B1150" s="1" t="s">
        <v>13976</v>
      </c>
      <c r="C1150" s="1" t="s">
        <v>20955</v>
      </c>
      <c r="D1150" s="1" t="s">
        <v>20956</v>
      </c>
      <c r="E1150" s="1"/>
      <c r="F1150" s="1" t="s">
        <v>1853</v>
      </c>
      <c r="G1150" s="1" t="s">
        <v>20957</v>
      </c>
      <c r="H1150" s="1" t="s">
        <v>20958</v>
      </c>
      <c r="I1150" s="1" t="s">
        <v>20958</v>
      </c>
      <c r="J1150" s="1">
        <v>9025510525</v>
      </c>
      <c r="K1150" s="1" t="s">
        <v>84</v>
      </c>
      <c r="L1150" s="1" t="s">
        <v>15292</v>
      </c>
      <c r="M1150" s="1" t="s">
        <v>86</v>
      </c>
      <c r="N1150" s="1" t="s">
        <v>20959</v>
      </c>
      <c r="O1150" s="1" t="s">
        <v>20960</v>
      </c>
      <c r="P1150" s="1" t="s">
        <v>219</v>
      </c>
      <c r="Q1150" s="1">
        <v>884474944658</v>
      </c>
      <c r="R1150" s="1" t="s">
        <v>20961</v>
      </c>
      <c r="S1150" s="1">
        <v>9842223677</v>
      </c>
      <c r="T1150" s="1" t="s">
        <v>3439</v>
      </c>
      <c r="U1150" s="1" t="s">
        <v>20962</v>
      </c>
      <c r="V1150" s="1">
        <v>7373606491</v>
      </c>
      <c r="W1150" s="1" t="s">
        <v>10306</v>
      </c>
      <c r="X1150" s="1" t="s">
        <v>20963</v>
      </c>
      <c r="Y1150" s="1" t="s">
        <v>8931</v>
      </c>
      <c r="Z1150" s="1" t="s">
        <v>570</v>
      </c>
      <c r="AA1150" s="1" t="s">
        <v>20963</v>
      </c>
      <c r="AB1150" s="1" t="s">
        <v>8931</v>
      </c>
      <c r="AC1150" s="1" t="s">
        <v>570</v>
      </c>
      <c r="AD1150" s="1" t="s">
        <v>98</v>
      </c>
      <c r="AE1150" s="1" t="s">
        <v>98</v>
      </c>
      <c r="AF1150" s="1" t="s">
        <v>20964</v>
      </c>
      <c r="AG1150" s="1" t="s">
        <v>8637</v>
      </c>
      <c r="AH1150" s="1" t="s">
        <v>203</v>
      </c>
      <c r="AI1150" s="1" t="s">
        <v>603</v>
      </c>
      <c r="AJ1150" s="1">
        <v>79.2</v>
      </c>
      <c r="AK1150" s="1"/>
      <c r="AL1150" s="1" t="s">
        <v>20964</v>
      </c>
      <c r="AM1150" s="1" t="s">
        <v>8637</v>
      </c>
      <c r="AN1150" s="1" t="s">
        <v>465</v>
      </c>
      <c r="AO1150" s="1" t="s">
        <v>2304</v>
      </c>
      <c r="AP1150" s="1" t="s">
        <v>632</v>
      </c>
      <c r="AQ1150" s="1">
        <v>80.83</v>
      </c>
      <c r="AR1150" s="1"/>
      <c r="AS1150" s="1"/>
      <c r="AT1150" s="1"/>
      <c r="AU1150" s="1"/>
      <c r="AV1150" s="1"/>
      <c r="AW1150" s="1"/>
      <c r="AX1150" s="1"/>
      <c r="AY1150" s="1" t="s">
        <v>14303</v>
      </c>
      <c r="AZ1150" s="1" t="s">
        <v>20965</v>
      </c>
      <c r="BA1150" s="1" t="s">
        <v>578</v>
      </c>
      <c r="BB1150" s="1" t="s">
        <v>467</v>
      </c>
      <c r="BC1150" s="1" t="s">
        <v>1802</v>
      </c>
      <c r="BD1150" s="1" t="s">
        <v>9688</v>
      </c>
      <c r="BE1150" s="1">
        <v>78.3</v>
      </c>
      <c r="BF1150" s="1">
        <v>7.83</v>
      </c>
      <c r="BG1150" s="1"/>
      <c r="BH1150" s="1"/>
      <c r="BI1150" s="1"/>
      <c r="BJ1150" s="1"/>
      <c r="BK1150" s="1"/>
      <c r="BL1150" s="1"/>
      <c r="BM1150" s="1"/>
      <c r="BN1150" s="1"/>
      <c r="BO1150" s="1" t="s">
        <v>20966</v>
      </c>
      <c r="BP1150" s="1"/>
      <c r="BQ1150" s="1"/>
      <c r="BR1150" s="1" t="s">
        <v>20967</v>
      </c>
      <c r="BS1150" s="1">
        <v>11</v>
      </c>
      <c r="BT1150" s="1" t="s">
        <v>20968</v>
      </c>
      <c r="BU1150" s="1" t="str">
        <f>HYPERLINK("https://nconnect.nicmar.ac.in/storage/profile/6a85f3b5e9169.png","Download")</f>
        <v>0</v>
      </c>
      <c r="BV1150" s="3"/>
      <c r="BW1150" s="3"/>
    </row>
    <row r="1151" spans="1:75">
      <c r="A1151" s="1" t="s">
        <v>75</v>
      </c>
      <c r="B1151" s="1" t="s">
        <v>13976</v>
      </c>
      <c r="C1151" s="1" t="s">
        <v>20969</v>
      </c>
      <c r="D1151" s="1" t="s">
        <v>20970</v>
      </c>
      <c r="E1151" s="1"/>
      <c r="F1151" s="1" t="s">
        <v>20971</v>
      </c>
      <c r="G1151" s="1" t="s">
        <v>20972</v>
      </c>
      <c r="H1151" s="1" t="s">
        <v>20973</v>
      </c>
      <c r="I1151" s="1" t="s">
        <v>20973</v>
      </c>
      <c r="J1151" s="1">
        <v>9054850138</v>
      </c>
      <c r="K1151" s="1" t="s">
        <v>84</v>
      </c>
      <c r="L1151" s="1" t="s">
        <v>20974</v>
      </c>
      <c r="M1151" s="1" t="s">
        <v>86</v>
      </c>
      <c r="N1151" s="1" t="s">
        <v>4857</v>
      </c>
      <c r="O1151" s="1" t="s">
        <v>20975</v>
      </c>
      <c r="P1151" s="1" t="s">
        <v>122</v>
      </c>
      <c r="Q1151" s="1">
        <v>789445833796</v>
      </c>
      <c r="R1151" s="1" t="s">
        <v>20976</v>
      </c>
      <c r="S1151" s="1">
        <v>7905501711</v>
      </c>
      <c r="T1151" s="1" t="s">
        <v>16759</v>
      </c>
      <c r="U1151" s="1" t="s">
        <v>20977</v>
      </c>
      <c r="V1151" s="1">
        <v>9161515189</v>
      </c>
      <c r="W1151" s="1" t="s">
        <v>10306</v>
      </c>
      <c r="X1151" s="1" t="s">
        <v>20978</v>
      </c>
      <c r="Y1151" s="1" t="s">
        <v>543</v>
      </c>
      <c r="Z1151" s="1" t="s">
        <v>544</v>
      </c>
      <c r="AA1151" s="1" t="s">
        <v>20978</v>
      </c>
      <c r="AB1151" s="1" t="s">
        <v>543</v>
      </c>
      <c r="AC1151" s="1" t="s">
        <v>544</v>
      </c>
      <c r="AD1151" s="1" t="s">
        <v>98</v>
      </c>
      <c r="AE1151" s="1" t="s">
        <v>98</v>
      </c>
      <c r="AF1151" s="1" t="s">
        <v>20979</v>
      </c>
      <c r="AG1151" s="1" t="s">
        <v>20980</v>
      </c>
      <c r="AH1151" s="1" t="s">
        <v>1583</v>
      </c>
      <c r="AI1151" s="1" t="s">
        <v>1262</v>
      </c>
      <c r="AJ1151" s="1">
        <v>83.6</v>
      </c>
      <c r="AK1151" s="1">
        <v>8.8</v>
      </c>
      <c r="AL1151" s="1" t="s">
        <v>20981</v>
      </c>
      <c r="AM1151" s="1" t="s">
        <v>20980</v>
      </c>
      <c r="AN1151" s="1" t="s">
        <v>465</v>
      </c>
      <c r="AO1151" s="1" t="s">
        <v>1110</v>
      </c>
      <c r="AP1151" s="1" t="s">
        <v>627</v>
      </c>
      <c r="AQ1151" s="1">
        <v>77.8</v>
      </c>
      <c r="AR1151" s="1"/>
      <c r="AS1151" s="1"/>
      <c r="AT1151" s="1"/>
      <c r="AU1151" s="1"/>
      <c r="AV1151" s="1"/>
      <c r="AW1151" s="1"/>
      <c r="AX1151" s="1"/>
      <c r="AY1151" s="1" t="s">
        <v>20982</v>
      </c>
      <c r="AZ1151" s="1" t="s">
        <v>16116</v>
      </c>
      <c r="BA1151" s="1" t="s">
        <v>466</v>
      </c>
      <c r="BB1151" s="1" t="s">
        <v>467</v>
      </c>
      <c r="BC1151" s="1" t="s">
        <v>1396</v>
      </c>
      <c r="BD1151" s="1" t="s">
        <v>417</v>
      </c>
      <c r="BE1151" s="1">
        <v>84.8</v>
      </c>
      <c r="BF1151" s="1">
        <v>8.48</v>
      </c>
      <c r="BG1151" s="1"/>
      <c r="BH1151" s="1"/>
      <c r="BI1151" s="1"/>
      <c r="BJ1151" s="1"/>
      <c r="BK1151" s="1"/>
      <c r="BL1151" s="1"/>
      <c r="BM1151" s="1"/>
      <c r="BN1151" s="1"/>
      <c r="BO1151" s="1" t="s">
        <v>849</v>
      </c>
      <c r="BP1151" s="1" t="s">
        <v>20983</v>
      </c>
      <c r="BQ1151" s="1" t="s">
        <v>20984</v>
      </c>
      <c r="BR1151" s="1" t="s">
        <v>20985</v>
      </c>
      <c r="BS1151" s="1">
        <v>4</v>
      </c>
      <c r="BT1151" s="1" t="s">
        <v>849</v>
      </c>
      <c r="BU1151" s="1" t="str">
        <f>HYPERLINK("https://nconnect.nicmar.ac.in/storage/profile/6a8706abd2c0a.png","Download")</f>
        <v>0</v>
      </c>
      <c r="BV1151" s="3"/>
      <c r="BW1151" s="3"/>
    </row>
    <row r="1152" spans="1:75">
      <c r="A1152" s="1" t="s">
        <v>75</v>
      </c>
      <c r="B1152" s="1" t="s">
        <v>13976</v>
      </c>
      <c r="C1152" s="1" t="s">
        <v>20986</v>
      </c>
      <c r="D1152" s="1" t="s">
        <v>20987</v>
      </c>
      <c r="E1152" s="1" t="s">
        <v>20988</v>
      </c>
      <c r="F1152" s="1" t="s">
        <v>3633</v>
      </c>
      <c r="G1152" s="1" t="s">
        <v>20989</v>
      </c>
      <c r="H1152" s="1" t="s">
        <v>20990</v>
      </c>
      <c r="I1152" s="1" t="s">
        <v>20990</v>
      </c>
      <c r="J1152" s="1">
        <v>9028200366</v>
      </c>
      <c r="K1152" s="1" t="s">
        <v>153</v>
      </c>
      <c r="L1152" s="1" t="s">
        <v>6968</v>
      </c>
      <c r="M1152" s="1" t="s">
        <v>86</v>
      </c>
      <c r="N1152" s="1" t="s">
        <v>1877</v>
      </c>
      <c r="O1152" s="1" t="s">
        <v>20991</v>
      </c>
      <c r="P1152" s="1" t="s">
        <v>122</v>
      </c>
      <c r="Q1152" s="1">
        <v>224149571617</v>
      </c>
      <c r="R1152" s="1" t="s">
        <v>20988</v>
      </c>
      <c r="S1152" s="1">
        <v>9822121163</v>
      </c>
      <c r="T1152" s="1" t="s">
        <v>20992</v>
      </c>
      <c r="U1152" s="1" t="s">
        <v>20993</v>
      </c>
      <c r="V1152" s="1">
        <v>8888279944</v>
      </c>
      <c r="W1152" s="1" t="s">
        <v>14154</v>
      </c>
      <c r="X1152" s="1" t="s">
        <v>20994</v>
      </c>
      <c r="Y1152" s="1" t="s">
        <v>3538</v>
      </c>
      <c r="Z1152" s="1" t="s">
        <v>97</v>
      </c>
      <c r="AA1152" s="1" t="s">
        <v>20994</v>
      </c>
      <c r="AB1152" s="1" t="s">
        <v>3538</v>
      </c>
      <c r="AC1152" s="1" t="s">
        <v>97</v>
      </c>
      <c r="AD1152" s="1" t="s">
        <v>98</v>
      </c>
      <c r="AE1152" s="1" t="s">
        <v>98</v>
      </c>
      <c r="AF1152" s="1" t="s">
        <v>20995</v>
      </c>
      <c r="AG1152" s="1" t="s">
        <v>20996</v>
      </c>
      <c r="AH1152" s="1" t="s">
        <v>170</v>
      </c>
      <c r="AI1152" s="1" t="s">
        <v>106</v>
      </c>
      <c r="AJ1152" s="1">
        <v>88.6</v>
      </c>
      <c r="AK1152" s="1"/>
      <c r="AL1152" s="1" t="s">
        <v>20997</v>
      </c>
      <c r="AM1152" s="1" t="s">
        <v>20998</v>
      </c>
      <c r="AN1152" s="1" t="s">
        <v>465</v>
      </c>
      <c r="AO1152" s="1" t="s">
        <v>438</v>
      </c>
      <c r="AP1152" s="1" t="s">
        <v>468</v>
      </c>
      <c r="AQ1152" s="1">
        <v>70.46</v>
      </c>
      <c r="AR1152" s="1"/>
      <c r="AS1152" s="1"/>
      <c r="AT1152" s="1"/>
      <c r="AU1152" s="1"/>
      <c r="AV1152" s="1"/>
      <c r="AW1152" s="1"/>
      <c r="AX1152" s="1"/>
      <c r="AY1152" s="1" t="s">
        <v>16227</v>
      </c>
      <c r="AZ1152" s="1" t="s">
        <v>20999</v>
      </c>
      <c r="BA1152" s="1" t="s">
        <v>682</v>
      </c>
      <c r="BB1152" s="1" t="s">
        <v>683</v>
      </c>
      <c r="BC1152" s="1" t="s">
        <v>368</v>
      </c>
      <c r="BD1152" s="1" t="s">
        <v>553</v>
      </c>
      <c r="BE1152" s="1">
        <v>66.39</v>
      </c>
      <c r="BF1152" s="1">
        <v>7.13</v>
      </c>
      <c r="BG1152" s="1"/>
      <c r="BH1152" s="1"/>
      <c r="BI1152" s="1"/>
      <c r="BJ1152" s="1"/>
      <c r="BK1152" s="1"/>
      <c r="BL1152" s="1"/>
      <c r="BM1152" s="1"/>
      <c r="BN1152" s="1"/>
      <c r="BO1152" s="1" t="s">
        <v>21000</v>
      </c>
      <c r="BP1152" s="1"/>
      <c r="BQ1152" s="1"/>
      <c r="BR1152" s="1" t="s">
        <v>21001</v>
      </c>
      <c r="BS1152" s="1">
        <v>15</v>
      </c>
      <c r="BT1152" s="1" t="s">
        <v>21002</v>
      </c>
      <c r="BU1152" s="1" t="str">
        <f>HYPERLINK("https://nconnect.nicmar.ac.in/storage/profile/6a873e0b9e690.png","Download")</f>
        <v>0</v>
      </c>
      <c r="BV1152" s="3"/>
      <c r="BW1152" s="3"/>
    </row>
    <row r="1153" spans="1:75">
      <c r="A1153" s="1" t="s">
        <v>75</v>
      </c>
      <c r="B1153" s="1" t="s">
        <v>13976</v>
      </c>
      <c r="C1153" s="1" t="s">
        <v>21003</v>
      </c>
      <c r="D1153" s="1" t="s">
        <v>21004</v>
      </c>
      <c r="E1153" s="1" t="s">
        <v>21005</v>
      </c>
      <c r="F1153" s="1" t="s">
        <v>21006</v>
      </c>
      <c r="G1153" s="1" t="s">
        <v>21007</v>
      </c>
      <c r="H1153" s="1" t="s">
        <v>21008</v>
      </c>
      <c r="I1153" s="1" t="s">
        <v>21008</v>
      </c>
      <c r="J1153" s="1">
        <v>9321197980</v>
      </c>
      <c r="K1153" s="1" t="s">
        <v>84</v>
      </c>
      <c r="L1153" s="1" t="s">
        <v>8927</v>
      </c>
      <c r="M1153" s="1" t="s">
        <v>86</v>
      </c>
      <c r="N1153" s="1" t="s">
        <v>21009</v>
      </c>
      <c r="O1153" s="1" t="s">
        <v>21010</v>
      </c>
      <c r="P1153" s="1" t="s">
        <v>89</v>
      </c>
      <c r="Q1153" s="1">
        <v>219733266982</v>
      </c>
      <c r="R1153" s="1" t="s">
        <v>21011</v>
      </c>
      <c r="S1153" s="1">
        <v>9619062010</v>
      </c>
      <c r="T1153" s="1" t="s">
        <v>21012</v>
      </c>
      <c r="U1153" s="1" t="s">
        <v>21013</v>
      </c>
      <c r="V1153" s="1">
        <v>9049717864</v>
      </c>
      <c r="W1153" s="1" t="s">
        <v>14212</v>
      </c>
      <c r="X1153" s="1" t="s">
        <v>21014</v>
      </c>
      <c r="Y1153" s="1" t="s">
        <v>1012</v>
      </c>
      <c r="Z1153" s="1" t="s">
        <v>97</v>
      </c>
      <c r="AA1153" s="1" t="s">
        <v>21014</v>
      </c>
      <c r="AB1153" s="1" t="s">
        <v>1012</v>
      </c>
      <c r="AC1153" s="1" t="s">
        <v>97</v>
      </c>
      <c r="AD1153" s="1" t="s">
        <v>98</v>
      </c>
      <c r="AE1153" s="1" t="s">
        <v>98</v>
      </c>
      <c r="AF1153" s="1" t="s">
        <v>21015</v>
      </c>
      <c r="AG1153" s="1" t="s">
        <v>21016</v>
      </c>
      <c r="AH1153" s="1" t="s">
        <v>438</v>
      </c>
      <c r="AI1153" s="1" t="s">
        <v>417</v>
      </c>
      <c r="AJ1153" s="1">
        <v>82.2</v>
      </c>
      <c r="AK1153" s="1"/>
      <c r="AL1153" s="1"/>
      <c r="AM1153" s="1"/>
      <c r="AN1153" s="1"/>
      <c r="AO1153" s="1"/>
      <c r="AP1153" s="1"/>
      <c r="AQ1153" s="1"/>
      <c r="AR1153" s="1"/>
      <c r="AS1153" s="1" t="s">
        <v>14713</v>
      </c>
      <c r="AT1153" s="1" t="s">
        <v>21017</v>
      </c>
      <c r="AU1153" s="1" t="s">
        <v>468</v>
      </c>
      <c r="AV1153" s="1" t="s">
        <v>955</v>
      </c>
      <c r="AW1153" s="1">
        <v>78.11</v>
      </c>
      <c r="AX1153" s="1"/>
      <c r="AY1153" s="1" t="s">
        <v>14059</v>
      </c>
      <c r="AZ1153" s="1" t="s">
        <v>21018</v>
      </c>
      <c r="BA1153" s="1" t="s">
        <v>578</v>
      </c>
      <c r="BB1153" s="1" t="s">
        <v>467</v>
      </c>
      <c r="BC1153" s="1" t="s">
        <v>391</v>
      </c>
      <c r="BD1153" s="1" t="s">
        <v>9688</v>
      </c>
      <c r="BE1153" s="1">
        <v>67.18</v>
      </c>
      <c r="BF1153" s="1"/>
      <c r="BG1153" s="1"/>
      <c r="BH1153" s="1"/>
      <c r="BI1153" s="1"/>
      <c r="BJ1153" s="1"/>
      <c r="BK1153" s="1"/>
      <c r="BL1153" s="1"/>
      <c r="BM1153" s="1"/>
      <c r="BN1153" s="1"/>
      <c r="BO1153" s="1" t="s">
        <v>21019</v>
      </c>
      <c r="BP1153" s="1"/>
      <c r="BQ1153" s="1"/>
      <c r="BR1153" s="1" t="s">
        <v>21020</v>
      </c>
      <c r="BS1153" s="1">
        <v>7</v>
      </c>
      <c r="BT1153" s="1" t="s">
        <v>21021</v>
      </c>
      <c r="BU1153" s="1" t="str">
        <f>HYPERLINK("https://nconnect.nicmar.ac.in/storage/profile/6a860cdf4a2d1.png","Download")</f>
        <v>0</v>
      </c>
      <c r="BV1153" s="3"/>
      <c r="BW1153" s="3"/>
    </row>
    <row r="1154" spans="1:75">
      <c r="A1154" s="1" t="s">
        <v>75</v>
      </c>
      <c r="B1154" s="1" t="s">
        <v>13976</v>
      </c>
      <c r="C1154" s="1" t="s">
        <v>21022</v>
      </c>
      <c r="D1154" s="1" t="s">
        <v>14087</v>
      </c>
      <c r="E1154" s="1" t="s">
        <v>21023</v>
      </c>
      <c r="F1154" s="1" t="s">
        <v>21024</v>
      </c>
      <c r="G1154" s="1" t="s">
        <v>21025</v>
      </c>
      <c r="H1154" s="1" t="s">
        <v>21026</v>
      </c>
      <c r="I1154" s="1" t="s">
        <v>21026</v>
      </c>
      <c r="J1154" s="1">
        <v>9326698856</v>
      </c>
      <c r="K1154" s="1" t="s">
        <v>153</v>
      </c>
      <c r="L1154" s="1" t="s">
        <v>21027</v>
      </c>
      <c r="M1154" s="1" t="s">
        <v>86</v>
      </c>
      <c r="N1154" s="1" t="s">
        <v>768</v>
      </c>
      <c r="O1154" s="1" t="s">
        <v>21028</v>
      </c>
      <c r="P1154" s="1" t="s">
        <v>219</v>
      </c>
      <c r="Q1154" s="1" t="s">
        <v>21029</v>
      </c>
      <c r="R1154" s="1" t="s">
        <v>21030</v>
      </c>
      <c r="S1154" s="1">
        <v>9422381031</v>
      </c>
      <c r="T1154" s="1" t="s">
        <v>16170</v>
      </c>
      <c r="U1154" s="1" t="s">
        <v>21031</v>
      </c>
      <c r="V1154" s="1">
        <v>9422381031</v>
      </c>
      <c r="W1154" s="1" t="s">
        <v>14154</v>
      </c>
      <c r="X1154" s="1" t="s">
        <v>21032</v>
      </c>
      <c r="Y1154" s="1" t="s">
        <v>6128</v>
      </c>
      <c r="Z1154" s="1" t="s">
        <v>97</v>
      </c>
      <c r="AA1154" s="1" t="s">
        <v>21032</v>
      </c>
      <c r="AB1154" s="1" t="s">
        <v>6128</v>
      </c>
      <c r="AC1154" s="1" t="s">
        <v>97</v>
      </c>
      <c r="AD1154" s="1" t="s">
        <v>98</v>
      </c>
      <c r="AE1154" s="1" t="s">
        <v>98</v>
      </c>
      <c r="AF1154" s="1" t="s">
        <v>21033</v>
      </c>
      <c r="AG1154" s="1" t="s">
        <v>14157</v>
      </c>
      <c r="AH1154" s="1" t="s">
        <v>101</v>
      </c>
      <c r="AI1154" s="1" t="s">
        <v>102</v>
      </c>
      <c r="AJ1154" s="1">
        <v>87.8</v>
      </c>
      <c r="AK1154" s="1"/>
      <c r="AL1154" s="1" t="s">
        <v>21034</v>
      </c>
      <c r="AM1154" s="1" t="s">
        <v>14157</v>
      </c>
      <c r="AN1154" s="1" t="s">
        <v>575</v>
      </c>
      <c r="AO1154" s="1" t="s">
        <v>284</v>
      </c>
      <c r="AP1154" s="1" t="s">
        <v>518</v>
      </c>
      <c r="AQ1154" s="1">
        <v>76.15</v>
      </c>
      <c r="AR1154" s="1"/>
      <c r="AS1154" s="1"/>
      <c r="AT1154" s="1"/>
      <c r="AU1154" s="1"/>
      <c r="AV1154" s="1"/>
      <c r="AW1154" s="1"/>
      <c r="AX1154" s="1"/>
      <c r="AY1154" s="1" t="s">
        <v>14380</v>
      </c>
      <c r="AZ1154" s="1" t="s">
        <v>21035</v>
      </c>
      <c r="BA1154" s="1" t="s">
        <v>682</v>
      </c>
      <c r="BB1154" s="1" t="s">
        <v>683</v>
      </c>
      <c r="BC1154" s="1" t="s">
        <v>230</v>
      </c>
      <c r="BD1154" s="1" t="s">
        <v>289</v>
      </c>
      <c r="BE1154" s="1">
        <v>68.98</v>
      </c>
      <c r="BF1154" s="1">
        <v>7.7</v>
      </c>
      <c r="BG1154" s="1"/>
      <c r="BH1154" s="1"/>
      <c r="BI1154" s="1"/>
      <c r="BJ1154" s="1"/>
      <c r="BK1154" s="1"/>
      <c r="BL1154" s="1"/>
      <c r="BM1154" s="1"/>
      <c r="BN1154" s="1"/>
      <c r="BO1154" s="1" t="s">
        <v>21036</v>
      </c>
      <c r="BP1154" s="1" t="s">
        <v>21037</v>
      </c>
      <c r="BQ1154" s="1" t="s">
        <v>8010</v>
      </c>
      <c r="BR1154" s="1" t="s">
        <v>21038</v>
      </c>
      <c r="BS1154" s="1">
        <v>22</v>
      </c>
      <c r="BT1154" s="1"/>
      <c r="BU1154" s="1" t="str">
        <f>HYPERLINK("https://nconnect.nicmar.ac.in/storage/profile/6a8692e77709a.png","Download")</f>
        <v>0</v>
      </c>
      <c r="BV1154" s="3"/>
      <c r="BW1154" s="3"/>
    </row>
    <row r="1155" spans="1:75">
      <c r="A1155" s="1" t="s">
        <v>75</v>
      </c>
      <c r="B1155" s="1" t="s">
        <v>13976</v>
      </c>
      <c r="C1155" s="1" t="s">
        <v>21039</v>
      </c>
      <c r="D1155" s="1" t="s">
        <v>12736</v>
      </c>
      <c r="E1155" s="1" t="s">
        <v>587</v>
      </c>
      <c r="F1155" s="1" t="s">
        <v>4802</v>
      </c>
      <c r="G1155" s="1" t="s">
        <v>21040</v>
      </c>
      <c r="H1155" s="1" t="s">
        <v>21041</v>
      </c>
      <c r="I1155" s="1" t="s">
        <v>21041</v>
      </c>
      <c r="J1155" s="1">
        <v>6361541252</v>
      </c>
      <c r="K1155" s="1" t="s">
        <v>84</v>
      </c>
      <c r="L1155" s="1" t="s">
        <v>8534</v>
      </c>
      <c r="M1155" s="1" t="s">
        <v>86</v>
      </c>
      <c r="N1155" s="1" t="s">
        <v>13496</v>
      </c>
      <c r="O1155" s="1" t="s">
        <v>21042</v>
      </c>
      <c r="P1155" s="1" t="s">
        <v>89</v>
      </c>
      <c r="Q1155" s="1">
        <v>686016075959</v>
      </c>
      <c r="R1155" s="1" t="s">
        <v>21043</v>
      </c>
      <c r="S1155" s="1">
        <v>9902483905</v>
      </c>
      <c r="T1155" s="1" t="s">
        <v>9909</v>
      </c>
      <c r="U1155" s="1" t="s">
        <v>21044</v>
      </c>
      <c r="V1155" s="1">
        <v>9353595647</v>
      </c>
      <c r="W1155" s="1" t="s">
        <v>278</v>
      </c>
      <c r="X1155" s="1" t="s">
        <v>21045</v>
      </c>
      <c r="Y1155" s="1" t="s">
        <v>21046</v>
      </c>
      <c r="Z1155" s="1" t="s">
        <v>1210</v>
      </c>
      <c r="AA1155" s="1" t="s">
        <v>21047</v>
      </c>
      <c r="AB1155" s="1" t="s">
        <v>1623</v>
      </c>
      <c r="AC1155" s="1" t="s">
        <v>1210</v>
      </c>
      <c r="AD1155" s="1" t="s">
        <v>98</v>
      </c>
      <c r="AE1155" s="1" t="s">
        <v>98</v>
      </c>
      <c r="AF1155" s="1" t="s">
        <v>21048</v>
      </c>
      <c r="AG1155" s="1" t="s">
        <v>21049</v>
      </c>
      <c r="AH1155" s="1" t="s">
        <v>106</v>
      </c>
      <c r="AI1155" s="1" t="s">
        <v>547</v>
      </c>
      <c r="AJ1155" s="1">
        <v>83.04</v>
      </c>
      <c r="AK1155" s="1"/>
      <c r="AL1155" s="1" t="s">
        <v>21050</v>
      </c>
      <c r="AM1155" s="1" t="s">
        <v>21049</v>
      </c>
      <c r="AN1155" s="1" t="s">
        <v>575</v>
      </c>
      <c r="AO1155" s="1" t="s">
        <v>468</v>
      </c>
      <c r="AP1155" s="1" t="s">
        <v>549</v>
      </c>
      <c r="AQ1155" s="1">
        <v>73.8</v>
      </c>
      <c r="AR1155" s="1"/>
      <c r="AS1155" s="1"/>
      <c r="AT1155" s="1"/>
      <c r="AU1155" s="1"/>
      <c r="AV1155" s="1"/>
      <c r="AW1155" s="1"/>
      <c r="AX1155" s="1"/>
      <c r="AY1155" s="1" t="s">
        <v>21051</v>
      </c>
      <c r="AZ1155" s="1" t="s">
        <v>21049</v>
      </c>
      <c r="BA1155" s="1" t="s">
        <v>578</v>
      </c>
      <c r="BB1155" s="1" t="s">
        <v>467</v>
      </c>
      <c r="BC1155" s="1" t="s">
        <v>871</v>
      </c>
      <c r="BD1155" s="1" t="s">
        <v>1401</v>
      </c>
      <c r="BE1155" s="1">
        <v>64.3</v>
      </c>
      <c r="BF1155" s="1">
        <v>7.18</v>
      </c>
      <c r="BG1155" s="1"/>
      <c r="BH1155" s="1"/>
      <c r="BI1155" s="1"/>
      <c r="BJ1155" s="1"/>
      <c r="BK1155" s="1"/>
      <c r="BL1155" s="1"/>
      <c r="BM1155" s="1"/>
      <c r="BN1155" s="1"/>
      <c r="BO1155" s="1" t="s">
        <v>21052</v>
      </c>
      <c r="BP1155" s="1"/>
      <c r="BQ1155" s="1"/>
      <c r="BR1155" s="1" t="s">
        <v>21053</v>
      </c>
      <c r="BS1155" s="1">
        <v>8</v>
      </c>
      <c r="BT1155" s="1"/>
      <c r="BU1155" s="1" t="str">
        <f>HYPERLINK("https://nconnect.nicmar.ac.in/storage/profile/6a85b93d5fb56.png","Download")</f>
        <v>0</v>
      </c>
      <c r="BV1155" s="3"/>
      <c r="BW1155" s="3"/>
    </row>
    <row r="1156" spans="1:75">
      <c r="A1156" s="1" t="s">
        <v>75</v>
      </c>
      <c r="B1156" s="1" t="s">
        <v>13976</v>
      </c>
      <c r="C1156" s="1" t="s">
        <v>21054</v>
      </c>
      <c r="D1156" s="1" t="s">
        <v>21055</v>
      </c>
      <c r="E1156" s="1"/>
      <c r="F1156" s="1" t="s">
        <v>9671</v>
      </c>
      <c r="G1156" s="1" t="s">
        <v>21056</v>
      </c>
      <c r="H1156" s="1" t="s">
        <v>21057</v>
      </c>
      <c r="I1156" s="1" t="s">
        <v>21058</v>
      </c>
      <c r="J1156" s="1">
        <v>8805587323</v>
      </c>
      <c r="K1156" s="1" t="s">
        <v>84</v>
      </c>
      <c r="L1156" s="1" t="s">
        <v>21059</v>
      </c>
      <c r="M1156" s="1" t="s">
        <v>86</v>
      </c>
      <c r="N1156" s="1" t="s">
        <v>6390</v>
      </c>
      <c r="O1156" s="1" t="s">
        <v>21060</v>
      </c>
      <c r="P1156" s="1" t="s">
        <v>122</v>
      </c>
      <c r="Q1156" s="1">
        <v>439456076936</v>
      </c>
      <c r="R1156" s="1" t="s">
        <v>21061</v>
      </c>
      <c r="S1156" s="1">
        <v>9423523387</v>
      </c>
      <c r="T1156" s="1" t="s">
        <v>15058</v>
      </c>
      <c r="U1156" s="1" t="s">
        <v>21062</v>
      </c>
      <c r="V1156" s="1">
        <v>9423523387</v>
      </c>
      <c r="W1156" s="1" t="s">
        <v>10306</v>
      </c>
      <c r="X1156" s="1" t="s">
        <v>21063</v>
      </c>
      <c r="Y1156" s="1" t="s">
        <v>196</v>
      </c>
      <c r="Z1156" s="1" t="s">
        <v>97</v>
      </c>
      <c r="AA1156" s="1" t="s">
        <v>21063</v>
      </c>
      <c r="AB1156" s="1" t="s">
        <v>196</v>
      </c>
      <c r="AC1156" s="1" t="s">
        <v>97</v>
      </c>
      <c r="AD1156" s="1" t="s">
        <v>98</v>
      </c>
      <c r="AE1156" s="1" t="s">
        <v>98</v>
      </c>
      <c r="AF1156" s="1" t="s">
        <v>21064</v>
      </c>
      <c r="AG1156" s="1" t="s">
        <v>21065</v>
      </c>
      <c r="AH1156" s="1" t="s">
        <v>2156</v>
      </c>
      <c r="AI1156" s="1" t="s">
        <v>170</v>
      </c>
      <c r="AJ1156" s="1">
        <v>90</v>
      </c>
      <c r="AK1156" s="1">
        <v>9.8</v>
      </c>
      <c r="AL1156" s="1"/>
      <c r="AM1156" s="1"/>
      <c r="AN1156" s="1"/>
      <c r="AO1156" s="1"/>
      <c r="AP1156" s="1"/>
      <c r="AQ1156" s="1"/>
      <c r="AR1156" s="1"/>
      <c r="AS1156" s="1" t="s">
        <v>14528</v>
      </c>
      <c r="AT1156" s="1" t="s">
        <v>15014</v>
      </c>
      <c r="AU1156" s="1" t="s">
        <v>17163</v>
      </c>
      <c r="AV1156" s="1" t="s">
        <v>552</v>
      </c>
      <c r="AW1156" s="1">
        <v>93.47</v>
      </c>
      <c r="AX1156" s="1"/>
      <c r="AY1156" s="1" t="s">
        <v>21066</v>
      </c>
      <c r="AZ1156" s="1" t="s">
        <v>21067</v>
      </c>
      <c r="BA1156" s="1" t="s">
        <v>578</v>
      </c>
      <c r="BB1156" s="1" t="s">
        <v>467</v>
      </c>
      <c r="BC1156" s="1" t="s">
        <v>1267</v>
      </c>
      <c r="BD1156" s="1" t="s">
        <v>14494</v>
      </c>
      <c r="BE1156" s="1">
        <v>76.88</v>
      </c>
      <c r="BF1156" s="1">
        <v>8.49</v>
      </c>
      <c r="BG1156" s="1"/>
      <c r="BH1156" s="1"/>
      <c r="BI1156" s="1"/>
      <c r="BJ1156" s="1"/>
      <c r="BK1156" s="1"/>
      <c r="BL1156" s="1"/>
      <c r="BM1156" s="1"/>
      <c r="BN1156" s="1"/>
      <c r="BO1156" s="1" t="s">
        <v>21068</v>
      </c>
      <c r="BP1156" s="1" t="s">
        <v>21069</v>
      </c>
      <c r="BQ1156" s="1" t="s">
        <v>780</v>
      </c>
      <c r="BR1156" s="1" t="s">
        <v>21070</v>
      </c>
      <c r="BS1156" s="1">
        <v>47</v>
      </c>
      <c r="BT1156" s="1"/>
      <c r="BU1156" s="1" t="str">
        <f>HYPERLINK("https://nconnect.nicmar.ac.in/storage/profile/6a8735484b307.png","Download")</f>
        <v>0</v>
      </c>
      <c r="BV1156" s="3"/>
      <c r="BW1156" s="3"/>
    </row>
    <row r="1157" spans="1:75">
      <c r="A1157" s="1" t="s">
        <v>75</v>
      </c>
      <c r="B1157" s="1" t="s">
        <v>13976</v>
      </c>
      <c r="C1157" s="1" t="s">
        <v>21071</v>
      </c>
      <c r="D1157" s="1" t="s">
        <v>21072</v>
      </c>
      <c r="E1157" s="1"/>
      <c r="F1157" s="1" t="s">
        <v>1320</v>
      </c>
      <c r="G1157" s="1" t="s">
        <v>21073</v>
      </c>
      <c r="H1157" s="1" t="s">
        <v>21074</v>
      </c>
      <c r="I1157" s="1" t="s">
        <v>21075</v>
      </c>
      <c r="J1157" s="1">
        <v>7370974728</v>
      </c>
      <c r="K1157" s="1" t="s">
        <v>84</v>
      </c>
      <c r="L1157" s="1" t="s">
        <v>21076</v>
      </c>
      <c r="M1157" s="1" t="s">
        <v>86</v>
      </c>
      <c r="N1157" s="1" t="s">
        <v>13274</v>
      </c>
      <c r="O1157" s="1" t="s">
        <v>21077</v>
      </c>
      <c r="P1157" s="1" t="s">
        <v>219</v>
      </c>
      <c r="Q1157" s="1">
        <v>264513301559</v>
      </c>
      <c r="R1157" s="1" t="s">
        <v>21078</v>
      </c>
      <c r="S1157" s="1">
        <v>9086437995</v>
      </c>
      <c r="T1157" s="1" t="s">
        <v>19705</v>
      </c>
      <c r="U1157" s="1" t="s">
        <v>21079</v>
      </c>
      <c r="V1157" s="1">
        <v>9430993258</v>
      </c>
      <c r="W1157" s="1" t="s">
        <v>21080</v>
      </c>
      <c r="X1157" s="1" t="s">
        <v>21081</v>
      </c>
      <c r="Y1157" s="1" t="s">
        <v>21082</v>
      </c>
      <c r="Z1157" s="1" t="s">
        <v>649</v>
      </c>
      <c r="AA1157" s="1" t="s">
        <v>21083</v>
      </c>
      <c r="AB1157" s="1" t="s">
        <v>196</v>
      </c>
      <c r="AC1157" s="1" t="s">
        <v>97</v>
      </c>
      <c r="AD1157" s="1" t="s">
        <v>98</v>
      </c>
      <c r="AE1157" s="1" t="s">
        <v>98</v>
      </c>
      <c r="AF1157" s="1" t="s">
        <v>21084</v>
      </c>
      <c r="AG1157" s="1" t="s">
        <v>21085</v>
      </c>
      <c r="AH1157" s="1" t="s">
        <v>573</v>
      </c>
      <c r="AI1157" s="1" t="s">
        <v>174</v>
      </c>
      <c r="AJ1157" s="1">
        <v>71</v>
      </c>
      <c r="AK1157" s="1"/>
      <c r="AL1157" s="1" t="s">
        <v>21084</v>
      </c>
      <c r="AM1157" s="1" t="s">
        <v>21086</v>
      </c>
      <c r="AN1157" s="1" t="s">
        <v>465</v>
      </c>
      <c r="AO1157" s="1" t="s">
        <v>106</v>
      </c>
      <c r="AP1157" s="1" t="s">
        <v>468</v>
      </c>
      <c r="AQ1157" s="1">
        <v>74</v>
      </c>
      <c r="AR1157" s="1"/>
      <c r="AS1157" s="1"/>
      <c r="AT1157" s="1"/>
      <c r="AU1157" s="1"/>
      <c r="AV1157" s="1"/>
      <c r="AW1157" s="1"/>
      <c r="AX1157" s="1"/>
      <c r="AY1157" s="1" t="s">
        <v>21087</v>
      </c>
      <c r="AZ1157" s="1" t="s">
        <v>21088</v>
      </c>
      <c r="BA1157" s="1" t="s">
        <v>466</v>
      </c>
      <c r="BB1157" s="1" t="s">
        <v>467</v>
      </c>
      <c r="BC1157" s="1" t="s">
        <v>1040</v>
      </c>
      <c r="BD1157" s="1" t="s">
        <v>418</v>
      </c>
      <c r="BE1157" s="1">
        <v>86.6</v>
      </c>
      <c r="BF1157" s="1">
        <v>8.66</v>
      </c>
      <c r="BG1157" s="1"/>
      <c r="BH1157" s="1"/>
      <c r="BI1157" s="1"/>
      <c r="BJ1157" s="1"/>
      <c r="BK1157" s="1"/>
      <c r="BL1157" s="1"/>
      <c r="BM1157" s="1"/>
      <c r="BN1157" s="1"/>
      <c r="BO1157" s="1" t="s">
        <v>21089</v>
      </c>
      <c r="BP1157" s="1" t="s">
        <v>21090</v>
      </c>
      <c r="BQ1157" s="1" t="s">
        <v>292</v>
      </c>
      <c r="BR1157" s="1" t="s">
        <v>21091</v>
      </c>
      <c r="BS1157" s="1">
        <v>30</v>
      </c>
      <c r="BT1157" s="1" t="s">
        <v>21092</v>
      </c>
      <c r="BU1157" s="1" t="str">
        <f>HYPERLINK("https://nconnect.nicmar.ac.in/storage/profile/6a874f7d83c3e.png","Download")</f>
        <v>0</v>
      </c>
      <c r="BV1157" s="3"/>
      <c r="BW1157" s="3"/>
    </row>
    <row r="1158" spans="1:75">
      <c r="A1158" s="1" t="s">
        <v>75</v>
      </c>
      <c r="B1158" s="1" t="s">
        <v>13976</v>
      </c>
      <c r="C1158" s="1" t="s">
        <v>21093</v>
      </c>
      <c r="D1158" s="1" t="s">
        <v>21094</v>
      </c>
      <c r="E1158" s="1"/>
      <c r="F1158" s="1" t="s">
        <v>17473</v>
      </c>
      <c r="G1158" s="1" t="s">
        <v>21095</v>
      </c>
      <c r="H1158" s="1" t="s">
        <v>21096</v>
      </c>
      <c r="I1158" s="1" t="s">
        <v>21096</v>
      </c>
      <c r="J1158" s="1">
        <v>9442503737</v>
      </c>
      <c r="K1158" s="1" t="s">
        <v>84</v>
      </c>
      <c r="L1158" s="1" t="s">
        <v>21097</v>
      </c>
      <c r="M1158" s="1" t="s">
        <v>86</v>
      </c>
      <c r="N1158" s="1" t="s">
        <v>8816</v>
      </c>
      <c r="O1158" s="1" t="s">
        <v>21098</v>
      </c>
      <c r="P1158" s="1" t="s">
        <v>122</v>
      </c>
      <c r="Q1158" s="1">
        <v>347812029286</v>
      </c>
      <c r="R1158" s="1" t="s">
        <v>21099</v>
      </c>
      <c r="S1158" s="1">
        <v>9443337037</v>
      </c>
      <c r="T1158" s="1" t="s">
        <v>21100</v>
      </c>
      <c r="U1158" s="1" t="s">
        <v>21101</v>
      </c>
      <c r="V1158" s="1">
        <v>9443986495</v>
      </c>
      <c r="W1158" s="1" t="s">
        <v>9663</v>
      </c>
      <c r="X1158" s="1" t="s">
        <v>21102</v>
      </c>
      <c r="Y1158" s="1" t="s">
        <v>6938</v>
      </c>
      <c r="Z1158" s="1" t="s">
        <v>570</v>
      </c>
      <c r="AA1158" s="1" t="s">
        <v>21102</v>
      </c>
      <c r="AB1158" s="1" t="s">
        <v>6938</v>
      </c>
      <c r="AC1158" s="1" t="s">
        <v>570</v>
      </c>
      <c r="AD1158" s="1" t="s">
        <v>98</v>
      </c>
      <c r="AE1158" s="1" t="s">
        <v>98</v>
      </c>
      <c r="AF1158" s="1" t="s">
        <v>6939</v>
      </c>
      <c r="AG1158" s="1" t="s">
        <v>312</v>
      </c>
      <c r="AH1158" s="1" t="s">
        <v>315</v>
      </c>
      <c r="AI1158" s="1" t="s">
        <v>468</v>
      </c>
      <c r="AJ1158" s="1">
        <v>79.6</v>
      </c>
      <c r="AK1158" s="1"/>
      <c r="AL1158" s="1" t="s">
        <v>6939</v>
      </c>
      <c r="AM1158" s="1" t="s">
        <v>312</v>
      </c>
      <c r="AN1158" s="1" t="s">
        <v>465</v>
      </c>
      <c r="AO1158" s="1" t="s">
        <v>847</v>
      </c>
      <c r="AP1158" s="1" t="s">
        <v>1400</v>
      </c>
      <c r="AQ1158" s="1">
        <v>79.8</v>
      </c>
      <c r="AR1158" s="1"/>
      <c r="AS1158" s="1"/>
      <c r="AT1158" s="1"/>
      <c r="AU1158" s="1"/>
      <c r="AV1158" s="1"/>
      <c r="AW1158" s="1"/>
      <c r="AX1158" s="1"/>
      <c r="AY1158" s="1" t="s">
        <v>21103</v>
      </c>
      <c r="AZ1158" s="1" t="s">
        <v>21104</v>
      </c>
      <c r="BA1158" s="1" t="s">
        <v>578</v>
      </c>
      <c r="BB1158" s="1" t="s">
        <v>467</v>
      </c>
      <c r="BC1158" s="1" t="s">
        <v>1802</v>
      </c>
      <c r="BD1158" s="1" t="s">
        <v>9688</v>
      </c>
      <c r="BE1158" s="1">
        <v>74.5</v>
      </c>
      <c r="BF1158" s="1">
        <v>7.45</v>
      </c>
      <c r="BG1158" s="1"/>
      <c r="BH1158" s="1"/>
      <c r="BI1158" s="1"/>
      <c r="BJ1158" s="1"/>
      <c r="BK1158" s="1"/>
      <c r="BL1158" s="1"/>
      <c r="BM1158" s="1"/>
      <c r="BN1158" s="1"/>
      <c r="BO1158" s="1" t="s">
        <v>21105</v>
      </c>
      <c r="BP1158" s="1"/>
      <c r="BQ1158" s="1"/>
      <c r="BR1158" s="1" t="s">
        <v>21106</v>
      </c>
      <c r="BS1158" s="1">
        <v>4</v>
      </c>
      <c r="BT1158" s="1"/>
      <c r="BU1158" s="1" t="str">
        <f>HYPERLINK("https://nconnect.nicmar.ac.in/storage/profile/6a87430b16f4d.png","Download")</f>
        <v>0</v>
      </c>
      <c r="BV1158" s="3"/>
      <c r="BW1158" s="3"/>
    </row>
    <row r="1159" spans="1:75">
      <c r="A1159" s="1" t="s">
        <v>75</v>
      </c>
      <c r="B1159" s="1" t="s">
        <v>13976</v>
      </c>
      <c r="C1159" s="1" t="s">
        <v>21107</v>
      </c>
      <c r="D1159" s="1" t="s">
        <v>16214</v>
      </c>
      <c r="E1159" s="1" t="s">
        <v>21108</v>
      </c>
      <c r="F1159" s="1" t="s">
        <v>21109</v>
      </c>
      <c r="G1159" s="1" t="s">
        <v>21110</v>
      </c>
      <c r="H1159" s="1" t="s">
        <v>21111</v>
      </c>
      <c r="I1159" s="1" t="s">
        <v>21111</v>
      </c>
      <c r="J1159" s="1">
        <v>8080467599</v>
      </c>
      <c r="K1159" s="1" t="s">
        <v>1062</v>
      </c>
      <c r="L1159" s="1" t="s">
        <v>21112</v>
      </c>
      <c r="M1159" s="1" t="s">
        <v>155</v>
      </c>
      <c r="N1159" s="1" t="s">
        <v>768</v>
      </c>
      <c r="O1159" s="1" t="s">
        <v>10801</v>
      </c>
      <c r="P1159" s="1" t="s">
        <v>122</v>
      </c>
      <c r="Q1159" s="1">
        <v>344891556666</v>
      </c>
      <c r="R1159" s="1" t="s">
        <v>21113</v>
      </c>
      <c r="S1159" s="1">
        <v>9028990992</v>
      </c>
      <c r="T1159" s="1" t="s">
        <v>13987</v>
      </c>
      <c r="U1159" s="1" t="s">
        <v>21114</v>
      </c>
      <c r="V1159" s="1">
        <v>9049872304</v>
      </c>
      <c r="W1159" s="1" t="s">
        <v>16332</v>
      </c>
      <c r="X1159" s="1" t="s">
        <v>21115</v>
      </c>
      <c r="Y1159" s="1" t="s">
        <v>196</v>
      </c>
      <c r="Z1159" s="1" t="s">
        <v>97</v>
      </c>
      <c r="AA1159" s="1" t="s">
        <v>21115</v>
      </c>
      <c r="AB1159" s="1" t="s">
        <v>196</v>
      </c>
      <c r="AC1159" s="1" t="s">
        <v>97</v>
      </c>
      <c r="AD1159" s="1" t="s">
        <v>98</v>
      </c>
      <c r="AE1159" s="1" t="s">
        <v>98</v>
      </c>
      <c r="AF1159" s="1" t="s">
        <v>21116</v>
      </c>
      <c r="AG1159" s="1" t="s">
        <v>21117</v>
      </c>
      <c r="AH1159" s="1" t="s">
        <v>133</v>
      </c>
      <c r="AI1159" s="1" t="s">
        <v>1457</v>
      </c>
      <c r="AJ1159" s="1">
        <v>66.73</v>
      </c>
      <c r="AK1159" s="1"/>
      <c r="AL1159" s="1"/>
      <c r="AM1159" s="1"/>
      <c r="AN1159" s="1"/>
      <c r="AO1159" s="1"/>
      <c r="AP1159" s="1"/>
      <c r="AQ1159" s="1"/>
      <c r="AR1159" s="1"/>
      <c r="AS1159" s="1" t="s">
        <v>467</v>
      </c>
      <c r="AT1159" s="1" t="s">
        <v>21118</v>
      </c>
      <c r="AU1159" s="1" t="s">
        <v>1583</v>
      </c>
      <c r="AV1159" s="1" t="s">
        <v>627</v>
      </c>
      <c r="AW1159" s="1">
        <v>73.52</v>
      </c>
      <c r="AX1159" s="1"/>
      <c r="AY1159" s="1" t="s">
        <v>14262</v>
      </c>
      <c r="AZ1159" s="1" t="s">
        <v>21119</v>
      </c>
      <c r="BA1159" s="1" t="s">
        <v>578</v>
      </c>
      <c r="BB1159" s="1" t="s">
        <v>467</v>
      </c>
      <c r="BC1159" s="1" t="s">
        <v>14379</v>
      </c>
      <c r="BD1159" s="1" t="s">
        <v>175</v>
      </c>
      <c r="BE1159" s="1">
        <v>76.69</v>
      </c>
      <c r="BF1159" s="1"/>
      <c r="BG1159" s="1"/>
      <c r="BH1159" s="1"/>
      <c r="BI1159" s="1"/>
      <c r="BJ1159" s="1"/>
      <c r="BK1159" s="1"/>
      <c r="BL1159" s="1"/>
      <c r="BM1159" s="1"/>
      <c r="BN1159" s="1"/>
      <c r="BO1159" s="1" t="s">
        <v>17164</v>
      </c>
      <c r="BP1159" s="1" t="s">
        <v>21120</v>
      </c>
      <c r="BQ1159" s="1" t="s">
        <v>21121</v>
      </c>
      <c r="BR1159" s="1"/>
      <c r="BS1159" s="1"/>
      <c r="BT1159" s="1"/>
      <c r="BU1159" s="1" t="str">
        <f>HYPERLINK("https://nconnect.nicmar.ac.in/storage/profile/6a87350e45467.png","Download")</f>
        <v>0</v>
      </c>
      <c r="BV1159" s="3"/>
      <c r="BW1159" s="3"/>
    </row>
    <row r="1160" spans="1:75">
      <c r="A1160" s="1" t="s">
        <v>75</v>
      </c>
      <c r="B1160" s="1" t="s">
        <v>13976</v>
      </c>
      <c r="C1160" s="1" t="s">
        <v>21122</v>
      </c>
      <c r="D1160" s="1" t="s">
        <v>13527</v>
      </c>
      <c r="E1160" s="1" t="s">
        <v>3998</v>
      </c>
      <c r="F1160" s="1" t="s">
        <v>21123</v>
      </c>
      <c r="G1160" s="1" t="s">
        <v>21124</v>
      </c>
      <c r="H1160" s="1" t="s">
        <v>21125</v>
      </c>
      <c r="I1160" s="1" t="s">
        <v>21126</v>
      </c>
      <c r="J1160" s="1">
        <v>8277091156</v>
      </c>
      <c r="K1160" s="1" t="s">
        <v>84</v>
      </c>
      <c r="L1160" s="1" t="s">
        <v>5305</v>
      </c>
      <c r="M1160" s="1" t="s">
        <v>86</v>
      </c>
      <c r="N1160" s="1" t="s">
        <v>16857</v>
      </c>
      <c r="O1160" s="1" t="s">
        <v>21127</v>
      </c>
      <c r="P1160" s="1" t="s">
        <v>89</v>
      </c>
      <c r="Q1160" s="1">
        <v>659724085483</v>
      </c>
      <c r="R1160" s="1" t="s">
        <v>21128</v>
      </c>
      <c r="S1160" s="1">
        <v>9448977389</v>
      </c>
      <c r="T1160" s="1" t="s">
        <v>3439</v>
      </c>
      <c r="U1160" s="1" t="s">
        <v>21129</v>
      </c>
      <c r="V1160" s="1">
        <v>9480124689</v>
      </c>
      <c r="W1160" s="1" t="s">
        <v>14154</v>
      </c>
      <c r="X1160" s="1" t="s">
        <v>21130</v>
      </c>
      <c r="Y1160" s="1" t="s">
        <v>4611</v>
      </c>
      <c r="Z1160" s="1" t="s">
        <v>1210</v>
      </c>
      <c r="AA1160" s="1" t="s">
        <v>21130</v>
      </c>
      <c r="AB1160" s="1" t="s">
        <v>4611</v>
      </c>
      <c r="AC1160" s="1" t="s">
        <v>1210</v>
      </c>
      <c r="AD1160" s="1" t="s">
        <v>98</v>
      </c>
      <c r="AE1160" s="1" t="s">
        <v>98</v>
      </c>
      <c r="AF1160" s="1" t="s">
        <v>21131</v>
      </c>
      <c r="AG1160" s="1" t="s">
        <v>21132</v>
      </c>
      <c r="AH1160" s="1" t="s">
        <v>167</v>
      </c>
      <c r="AI1160" s="1" t="s">
        <v>704</v>
      </c>
      <c r="AJ1160" s="1">
        <v>90.72</v>
      </c>
      <c r="AK1160" s="1"/>
      <c r="AL1160" s="1" t="s">
        <v>21133</v>
      </c>
      <c r="AM1160" s="1" t="s">
        <v>19754</v>
      </c>
      <c r="AN1160" s="1" t="s">
        <v>465</v>
      </c>
      <c r="AO1160" s="1" t="s">
        <v>170</v>
      </c>
      <c r="AP1160" s="1" t="s">
        <v>414</v>
      </c>
      <c r="AQ1160" s="1">
        <v>82</v>
      </c>
      <c r="AR1160" s="1"/>
      <c r="AS1160" s="1"/>
      <c r="AT1160" s="1"/>
      <c r="AU1160" s="1"/>
      <c r="AV1160" s="1"/>
      <c r="AW1160" s="1"/>
      <c r="AX1160" s="1"/>
      <c r="AY1160" s="1" t="s">
        <v>21134</v>
      </c>
      <c r="AZ1160" s="1" t="s">
        <v>21135</v>
      </c>
      <c r="BA1160" s="1" t="s">
        <v>578</v>
      </c>
      <c r="BB1160" s="1" t="s">
        <v>467</v>
      </c>
      <c r="BC1160" s="1" t="s">
        <v>438</v>
      </c>
      <c r="BD1160" s="1" t="s">
        <v>955</v>
      </c>
      <c r="BE1160" s="1">
        <v>78</v>
      </c>
      <c r="BF1160" s="1">
        <v>8.25</v>
      </c>
      <c r="BG1160" s="1"/>
      <c r="BH1160" s="1"/>
      <c r="BI1160" s="1"/>
      <c r="BJ1160" s="1"/>
      <c r="BK1160" s="1"/>
      <c r="BL1160" s="1"/>
      <c r="BM1160" s="1"/>
      <c r="BN1160" s="1"/>
      <c r="BO1160" s="1" t="s">
        <v>21136</v>
      </c>
      <c r="BP1160" s="1" t="s">
        <v>21137</v>
      </c>
      <c r="BQ1160" s="1" t="s">
        <v>345</v>
      </c>
      <c r="BR1160" s="1" t="s">
        <v>21138</v>
      </c>
      <c r="BS1160" s="1">
        <v>17</v>
      </c>
      <c r="BT1160" s="1"/>
      <c r="BU1160" s="1" t="str">
        <f>HYPERLINK("https://nconnect.nicmar.ac.in/storage/profile/6a8706d873759.png","Download")</f>
        <v>0</v>
      </c>
      <c r="BV1160" s="3"/>
      <c r="BW1160" s="3"/>
    </row>
    <row r="1161" spans="1:75">
      <c r="A1161" s="1" t="s">
        <v>75</v>
      </c>
      <c r="B1161" s="1" t="s">
        <v>13976</v>
      </c>
      <c r="C1161" s="1" t="s">
        <v>21139</v>
      </c>
      <c r="D1161" s="1" t="s">
        <v>21140</v>
      </c>
      <c r="E1161" s="1"/>
      <c r="F1161" s="1" t="s">
        <v>21141</v>
      </c>
      <c r="G1161" s="1" t="s">
        <v>21142</v>
      </c>
      <c r="H1161" s="1" t="s">
        <v>21143</v>
      </c>
      <c r="I1161" s="1" t="s">
        <v>21144</v>
      </c>
      <c r="J1161" s="1">
        <v>9571300846</v>
      </c>
      <c r="K1161" s="1" t="s">
        <v>84</v>
      </c>
      <c r="L1161" s="1" t="s">
        <v>21145</v>
      </c>
      <c r="M1161" s="1" t="s">
        <v>155</v>
      </c>
      <c r="N1161" s="1" t="s">
        <v>21146</v>
      </c>
      <c r="O1161" s="1" t="s">
        <v>21147</v>
      </c>
      <c r="P1161" s="1" t="s">
        <v>219</v>
      </c>
      <c r="Q1161" s="1">
        <v>949061172066</v>
      </c>
      <c r="R1161" s="1" t="s">
        <v>21148</v>
      </c>
      <c r="S1161" s="1">
        <v>8502097813</v>
      </c>
      <c r="T1161" s="1" t="s">
        <v>17732</v>
      </c>
      <c r="U1161" s="1" t="s">
        <v>21149</v>
      </c>
      <c r="V1161" s="1">
        <v>9694856757</v>
      </c>
      <c r="W1161" s="1" t="s">
        <v>14154</v>
      </c>
      <c r="X1161" s="1" t="s">
        <v>21150</v>
      </c>
      <c r="Y1161" s="1" t="s">
        <v>21151</v>
      </c>
      <c r="Z1161" s="1" t="s">
        <v>2153</v>
      </c>
      <c r="AA1161" s="1" t="s">
        <v>21150</v>
      </c>
      <c r="AB1161" s="1" t="s">
        <v>21151</v>
      </c>
      <c r="AC1161" s="1" t="s">
        <v>2153</v>
      </c>
      <c r="AD1161" s="1" t="s">
        <v>98</v>
      </c>
      <c r="AE1161" s="1" t="s">
        <v>98</v>
      </c>
      <c r="AF1161" s="1" t="s">
        <v>21152</v>
      </c>
      <c r="AG1161" s="1" t="s">
        <v>9682</v>
      </c>
      <c r="AH1161" s="1" t="s">
        <v>134</v>
      </c>
      <c r="AI1161" s="1" t="s">
        <v>1214</v>
      </c>
      <c r="AJ1161" s="1">
        <v>85.5</v>
      </c>
      <c r="AK1161" s="1"/>
      <c r="AL1161" s="1" t="s">
        <v>21153</v>
      </c>
      <c r="AM1161" s="1" t="s">
        <v>21154</v>
      </c>
      <c r="AN1161" s="1" t="s">
        <v>465</v>
      </c>
      <c r="AO1161" s="1" t="s">
        <v>101</v>
      </c>
      <c r="AP1161" s="1" t="s">
        <v>627</v>
      </c>
      <c r="AQ1161" s="1">
        <v>62.8</v>
      </c>
      <c r="AR1161" s="1"/>
      <c r="AS1161" s="1"/>
      <c r="AT1161" s="1"/>
      <c r="AU1161" s="1"/>
      <c r="AV1161" s="1"/>
      <c r="AW1161" s="1"/>
      <c r="AX1161" s="1"/>
      <c r="AY1161" s="1" t="s">
        <v>21155</v>
      </c>
      <c r="AZ1161" s="1" t="s">
        <v>18268</v>
      </c>
      <c r="BA1161" s="1" t="s">
        <v>578</v>
      </c>
      <c r="BB1161" s="1" t="s">
        <v>467</v>
      </c>
      <c r="BC1161" s="1" t="s">
        <v>139</v>
      </c>
      <c r="BD1161" s="1" t="s">
        <v>417</v>
      </c>
      <c r="BE1161" s="1">
        <v>71.82</v>
      </c>
      <c r="BF1161" s="1"/>
      <c r="BG1161" s="1"/>
      <c r="BH1161" s="1"/>
      <c r="BI1161" s="1"/>
      <c r="BJ1161" s="1"/>
      <c r="BK1161" s="1"/>
      <c r="BL1161" s="1"/>
      <c r="BM1161" s="1"/>
      <c r="BN1161" s="1"/>
      <c r="BO1161" s="1" t="s">
        <v>21156</v>
      </c>
      <c r="BP1161" s="1" t="s">
        <v>21157</v>
      </c>
      <c r="BQ1161" s="1" t="s">
        <v>21158</v>
      </c>
      <c r="BR1161" s="1" t="s">
        <v>21159</v>
      </c>
      <c r="BS1161" s="1">
        <v>6</v>
      </c>
      <c r="BT1161" s="1"/>
      <c r="BU1161" s="1" t="str">
        <f>HYPERLINK("https://nconnect.nicmar.ac.in/storage/profile/6a86fa9478cc3.png","Download")</f>
        <v>0</v>
      </c>
      <c r="BV1161" s="3"/>
      <c r="BW1161" s="3"/>
    </row>
    <row r="1162" spans="1:75">
      <c r="A1162" s="1" t="s">
        <v>75</v>
      </c>
      <c r="B1162" s="1" t="s">
        <v>13976</v>
      </c>
      <c r="C1162" s="1" t="s">
        <v>21160</v>
      </c>
      <c r="D1162" s="1" t="s">
        <v>21161</v>
      </c>
      <c r="E1162" s="1" t="s">
        <v>21162</v>
      </c>
      <c r="F1162" s="1" t="s">
        <v>17492</v>
      </c>
      <c r="G1162" s="1" t="s">
        <v>21163</v>
      </c>
      <c r="H1162" s="1" t="s">
        <v>21164</v>
      </c>
      <c r="I1162" s="1" t="s">
        <v>21165</v>
      </c>
      <c r="J1162" s="1">
        <v>9309057487</v>
      </c>
      <c r="K1162" s="1" t="s">
        <v>84</v>
      </c>
      <c r="L1162" s="1" t="s">
        <v>21166</v>
      </c>
      <c r="M1162" s="1" t="s">
        <v>86</v>
      </c>
      <c r="N1162" s="1" t="s">
        <v>768</v>
      </c>
      <c r="O1162" s="1" t="s">
        <v>21167</v>
      </c>
      <c r="P1162" s="1" t="s">
        <v>219</v>
      </c>
      <c r="Q1162" s="1">
        <v>221924755675</v>
      </c>
      <c r="R1162" s="1" t="s">
        <v>21168</v>
      </c>
      <c r="S1162" s="1">
        <v>9822423962</v>
      </c>
      <c r="T1162" s="1" t="s">
        <v>14800</v>
      </c>
      <c r="U1162" s="1" t="s">
        <v>21169</v>
      </c>
      <c r="V1162" s="1">
        <v>9604083516</v>
      </c>
      <c r="W1162" s="1" t="s">
        <v>10306</v>
      </c>
      <c r="X1162" s="1" t="s">
        <v>21170</v>
      </c>
      <c r="Y1162" s="1" t="s">
        <v>96</v>
      </c>
      <c r="Z1162" s="1" t="s">
        <v>97</v>
      </c>
      <c r="AA1162" s="1" t="s">
        <v>21170</v>
      </c>
      <c r="AB1162" s="1" t="s">
        <v>96</v>
      </c>
      <c r="AC1162" s="1" t="s">
        <v>97</v>
      </c>
      <c r="AD1162" s="1" t="s">
        <v>98</v>
      </c>
      <c r="AE1162" s="1" t="s">
        <v>98</v>
      </c>
      <c r="AF1162" s="1" t="s">
        <v>21171</v>
      </c>
      <c r="AG1162" s="1" t="s">
        <v>13991</v>
      </c>
      <c r="AH1162" s="1" t="s">
        <v>3770</v>
      </c>
      <c r="AI1162" s="1" t="s">
        <v>313</v>
      </c>
      <c r="AJ1162" s="1">
        <v>81.2</v>
      </c>
      <c r="AK1162" s="1"/>
      <c r="AL1162" s="1" t="s">
        <v>21172</v>
      </c>
      <c r="AM1162" s="1" t="s">
        <v>16528</v>
      </c>
      <c r="AN1162" s="1" t="s">
        <v>465</v>
      </c>
      <c r="AO1162" s="1" t="s">
        <v>438</v>
      </c>
      <c r="AP1162" s="1" t="s">
        <v>845</v>
      </c>
      <c r="AQ1162" s="1">
        <v>92.5</v>
      </c>
      <c r="AR1162" s="1"/>
      <c r="AS1162" s="1"/>
      <c r="AT1162" s="1"/>
      <c r="AU1162" s="1"/>
      <c r="AV1162" s="1"/>
      <c r="AW1162" s="1"/>
      <c r="AX1162" s="1"/>
      <c r="AY1162" s="1" t="s">
        <v>21173</v>
      </c>
      <c r="AZ1162" s="1" t="s">
        <v>21174</v>
      </c>
      <c r="BA1162" s="1" t="s">
        <v>466</v>
      </c>
      <c r="BB1162" s="1" t="s">
        <v>467</v>
      </c>
      <c r="BC1162" s="1" t="s">
        <v>140</v>
      </c>
      <c r="BD1162" s="1" t="s">
        <v>848</v>
      </c>
      <c r="BE1162" s="1">
        <v>85</v>
      </c>
      <c r="BF1162" s="1">
        <v>9</v>
      </c>
      <c r="BG1162" s="1"/>
      <c r="BH1162" s="1"/>
      <c r="BI1162" s="1"/>
      <c r="BJ1162" s="1"/>
      <c r="BK1162" s="1"/>
      <c r="BL1162" s="1"/>
      <c r="BM1162" s="1"/>
      <c r="BN1162" s="1"/>
      <c r="BO1162" s="1" t="s">
        <v>369</v>
      </c>
      <c r="BP1162" s="1"/>
      <c r="BQ1162" s="1"/>
      <c r="BR1162" s="1" t="s">
        <v>21175</v>
      </c>
      <c r="BS1162" s="1">
        <v>161</v>
      </c>
      <c r="BT1162" s="1"/>
      <c r="BU1162" s="1" t="str">
        <f>HYPERLINK("https://nconnect.nicmar.ac.in/storage/profile/6a85ec4fbb4e8.png","Download")</f>
        <v>0</v>
      </c>
      <c r="BV1162" s="3"/>
      <c r="BW1162" s="3"/>
    </row>
    <row r="1163" spans="1:75">
      <c r="A1163" s="1" t="s">
        <v>75</v>
      </c>
      <c r="B1163" s="1" t="s">
        <v>13976</v>
      </c>
      <c r="C1163" s="1" t="s">
        <v>21176</v>
      </c>
      <c r="D1163" s="1"/>
      <c r="E1163" s="1"/>
      <c r="F1163" s="1"/>
      <c r="G1163" s="1"/>
      <c r="H1163" s="1" t="s">
        <v>21177</v>
      </c>
      <c r="I1163" s="1" t="s">
        <v>21177</v>
      </c>
      <c r="J1163" s="1"/>
      <c r="K1163" s="1"/>
      <c r="L1163" s="1"/>
      <c r="M1163" s="1"/>
      <c r="N1163" s="1"/>
      <c r="O1163" s="1"/>
      <c r="P1163" s="1"/>
      <c r="Q1163" s="1"/>
      <c r="R1163" s="1"/>
      <c r="S1163" s="1"/>
      <c r="T1163" s="1"/>
      <c r="U1163" s="1"/>
      <c r="V1163" s="1"/>
      <c r="W1163" s="1"/>
      <c r="X1163" s="1"/>
      <c r="Y1163" s="1"/>
      <c r="Z1163" s="1"/>
      <c r="AA1163" s="1"/>
      <c r="AB1163" s="1"/>
      <c r="AC1163" s="1"/>
      <c r="AD1163" s="1" t="s">
        <v>98</v>
      </c>
      <c r="AE1163" s="1" t="s">
        <v>98</v>
      </c>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t="s">
        <v>9653</v>
      </c>
      <c r="BV1163" s="3"/>
      <c r="BW1163" s="3"/>
    </row>
    <row r="1164" spans="1:75">
      <c r="A1164" s="1" t="s">
        <v>75</v>
      </c>
      <c r="B1164" s="1" t="s">
        <v>13976</v>
      </c>
      <c r="C1164" s="1" t="s">
        <v>21178</v>
      </c>
      <c r="D1164" s="1" t="s">
        <v>21179</v>
      </c>
      <c r="E1164" s="1"/>
      <c r="F1164" s="1" t="s">
        <v>3238</v>
      </c>
      <c r="G1164" s="1" t="s">
        <v>21180</v>
      </c>
      <c r="H1164" s="1" t="s">
        <v>21181</v>
      </c>
      <c r="I1164" s="1" t="s">
        <v>21181</v>
      </c>
      <c r="J1164" s="1">
        <v>9363256488</v>
      </c>
      <c r="K1164" s="1" t="s">
        <v>84</v>
      </c>
      <c r="L1164" s="1" t="s">
        <v>6797</v>
      </c>
      <c r="M1164" s="1" t="s">
        <v>86</v>
      </c>
      <c r="N1164" s="1" t="s">
        <v>21182</v>
      </c>
      <c r="O1164" s="1" t="s">
        <v>21183</v>
      </c>
      <c r="P1164" s="1" t="s">
        <v>122</v>
      </c>
      <c r="Q1164" s="1" t="s">
        <v>21184</v>
      </c>
      <c r="R1164" s="1" t="s">
        <v>21185</v>
      </c>
      <c r="S1164" s="1">
        <v>9543737927</v>
      </c>
      <c r="T1164" s="1" t="s">
        <v>21186</v>
      </c>
      <c r="U1164" s="1" t="s">
        <v>21187</v>
      </c>
      <c r="V1164" s="1">
        <v>8778652324</v>
      </c>
      <c r="W1164" s="1" t="s">
        <v>14710</v>
      </c>
      <c r="X1164" s="1" t="s">
        <v>21188</v>
      </c>
      <c r="Y1164" s="1" t="s">
        <v>12630</v>
      </c>
      <c r="Z1164" s="1" t="s">
        <v>570</v>
      </c>
      <c r="AA1164" s="1" t="s">
        <v>21188</v>
      </c>
      <c r="AB1164" s="1" t="s">
        <v>12630</v>
      </c>
      <c r="AC1164" s="1" t="s">
        <v>570</v>
      </c>
      <c r="AD1164" s="1" t="s">
        <v>98</v>
      </c>
      <c r="AE1164" s="1" t="s">
        <v>98</v>
      </c>
      <c r="AF1164" s="1" t="s">
        <v>21189</v>
      </c>
      <c r="AG1164" s="1" t="s">
        <v>21190</v>
      </c>
      <c r="AH1164" s="1" t="s">
        <v>106</v>
      </c>
      <c r="AI1164" s="1" t="s">
        <v>414</v>
      </c>
      <c r="AJ1164" s="1">
        <v>93.4</v>
      </c>
      <c r="AK1164" s="1"/>
      <c r="AL1164" s="1" t="s">
        <v>21189</v>
      </c>
      <c r="AM1164" s="1" t="s">
        <v>21190</v>
      </c>
      <c r="AN1164" s="1" t="s">
        <v>465</v>
      </c>
      <c r="AO1164" s="1" t="s">
        <v>603</v>
      </c>
      <c r="AP1164" s="1" t="s">
        <v>845</v>
      </c>
      <c r="AQ1164" s="1">
        <v>91.95</v>
      </c>
      <c r="AR1164" s="1"/>
      <c r="AS1164" s="1"/>
      <c r="AT1164" s="1"/>
      <c r="AU1164" s="1"/>
      <c r="AV1164" s="1"/>
      <c r="AW1164" s="1"/>
      <c r="AX1164" s="1"/>
      <c r="AY1164" s="1" t="s">
        <v>18023</v>
      </c>
      <c r="AZ1164" s="1" t="s">
        <v>21191</v>
      </c>
      <c r="BA1164" s="1" t="s">
        <v>578</v>
      </c>
      <c r="BB1164" s="1" t="s">
        <v>467</v>
      </c>
      <c r="BC1164" s="1" t="s">
        <v>140</v>
      </c>
      <c r="BD1164" s="1" t="s">
        <v>848</v>
      </c>
      <c r="BE1164" s="1">
        <v>74.9</v>
      </c>
      <c r="BF1164" s="1">
        <v>7.49</v>
      </c>
      <c r="BG1164" s="1"/>
      <c r="BH1164" s="1"/>
      <c r="BI1164" s="1"/>
      <c r="BJ1164" s="1"/>
      <c r="BK1164" s="1"/>
      <c r="BL1164" s="1"/>
      <c r="BM1164" s="1"/>
      <c r="BN1164" s="1"/>
      <c r="BO1164" s="1" t="s">
        <v>21192</v>
      </c>
      <c r="BP1164" s="1"/>
      <c r="BQ1164" s="1"/>
      <c r="BR1164" s="1" t="s">
        <v>21193</v>
      </c>
      <c r="BS1164" s="1">
        <v>4</v>
      </c>
      <c r="BT1164" s="1" t="s">
        <v>21194</v>
      </c>
      <c r="BU1164" s="1" t="str">
        <f>HYPERLINK("https://nconnect.nicmar.ac.in/storage/profile/6a86996ed6d74.png","Download")</f>
        <v>0</v>
      </c>
      <c r="BV1164" s="3"/>
      <c r="BW1164" s="3"/>
    </row>
    <row r="1165" spans="1:75">
      <c r="A1165" s="1" t="s">
        <v>75</v>
      </c>
      <c r="B1165" s="1" t="s">
        <v>13976</v>
      </c>
      <c r="C1165" s="1" t="s">
        <v>21195</v>
      </c>
      <c r="D1165" s="1" t="s">
        <v>21196</v>
      </c>
      <c r="E1165" s="1" t="s">
        <v>21197</v>
      </c>
      <c r="F1165" s="1" t="s">
        <v>21198</v>
      </c>
      <c r="G1165" s="1" t="s">
        <v>21199</v>
      </c>
      <c r="H1165" s="1" t="s">
        <v>21200</v>
      </c>
      <c r="I1165" s="1" t="s">
        <v>21201</v>
      </c>
      <c r="J1165" s="1">
        <v>9168591599</v>
      </c>
      <c r="K1165" s="1" t="s">
        <v>84</v>
      </c>
      <c r="L1165" s="1" t="s">
        <v>21202</v>
      </c>
      <c r="M1165" s="1" t="s">
        <v>86</v>
      </c>
      <c r="N1165" s="1" t="s">
        <v>768</v>
      </c>
      <c r="O1165" s="1" t="s">
        <v>18454</v>
      </c>
      <c r="P1165" s="1" t="s">
        <v>122</v>
      </c>
      <c r="Q1165" s="1">
        <v>840591083080</v>
      </c>
      <c r="R1165" s="1" t="s">
        <v>21203</v>
      </c>
      <c r="S1165" s="1">
        <v>9421146599</v>
      </c>
      <c r="T1165" s="1" t="s">
        <v>15073</v>
      </c>
      <c r="U1165" s="1" t="s">
        <v>21204</v>
      </c>
      <c r="V1165" s="1">
        <v>9552235130</v>
      </c>
      <c r="W1165" s="1" t="s">
        <v>14212</v>
      </c>
      <c r="X1165" s="1" t="s">
        <v>21205</v>
      </c>
      <c r="Y1165" s="1" t="s">
        <v>6128</v>
      </c>
      <c r="Z1165" s="1" t="s">
        <v>97</v>
      </c>
      <c r="AA1165" s="1" t="s">
        <v>21205</v>
      </c>
      <c r="AB1165" s="1" t="s">
        <v>6128</v>
      </c>
      <c r="AC1165" s="1" t="s">
        <v>97</v>
      </c>
      <c r="AD1165" s="1" t="s">
        <v>98</v>
      </c>
      <c r="AE1165" s="1" t="s">
        <v>98</v>
      </c>
      <c r="AF1165" s="1" t="s">
        <v>21206</v>
      </c>
      <c r="AG1165" s="1" t="s">
        <v>21207</v>
      </c>
      <c r="AH1165" s="1" t="s">
        <v>438</v>
      </c>
      <c r="AI1165" s="1" t="s">
        <v>603</v>
      </c>
      <c r="AJ1165" s="1">
        <v>82.2</v>
      </c>
      <c r="AK1165" s="1"/>
      <c r="AL1165" s="1" t="s">
        <v>21208</v>
      </c>
      <c r="AM1165" s="1" t="s">
        <v>21209</v>
      </c>
      <c r="AN1165" s="1" t="s">
        <v>465</v>
      </c>
      <c r="AO1165" s="1" t="s">
        <v>847</v>
      </c>
      <c r="AP1165" s="1" t="s">
        <v>1886</v>
      </c>
      <c r="AQ1165" s="1">
        <v>73.17</v>
      </c>
      <c r="AR1165" s="1"/>
      <c r="AS1165" s="1"/>
      <c r="AT1165" s="1"/>
      <c r="AU1165" s="1"/>
      <c r="AV1165" s="1"/>
      <c r="AW1165" s="1"/>
      <c r="AX1165" s="1"/>
      <c r="AY1165" s="1" t="s">
        <v>21210</v>
      </c>
      <c r="AZ1165" s="1" t="s">
        <v>21211</v>
      </c>
      <c r="BA1165" s="1" t="s">
        <v>466</v>
      </c>
      <c r="BB1165" s="1" t="s">
        <v>467</v>
      </c>
      <c r="BC1165" s="1" t="s">
        <v>1889</v>
      </c>
      <c r="BD1165" s="1" t="s">
        <v>9688</v>
      </c>
      <c r="BE1165" s="1">
        <v>57.5</v>
      </c>
      <c r="BF1165" s="1">
        <v>6.5</v>
      </c>
      <c r="BG1165" s="1"/>
      <c r="BH1165" s="1"/>
      <c r="BI1165" s="1"/>
      <c r="BJ1165" s="1"/>
      <c r="BK1165" s="1"/>
      <c r="BL1165" s="1"/>
      <c r="BM1165" s="1"/>
      <c r="BN1165" s="1"/>
      <c r="BO1165" s="1" t="s">
        <v>16194</v>
      </c>
      <c r="BP1165" s="1"/>
      <c r="BQ1165" s="1"/>
      <c r="BR1165" s="1" t="s">
        <v>21212</v>
      </c>
      <c r="BS1165" s="1">
        <v>15</v>
      </c>
      <c r="BT1165" s="1"/>
      <c r="BU1165" s="1" t="str">
        <f>HYPERLINK("https://nconnect.nicmar.ac.in/storage/profile/6a870f2195f6f.png","Download")</f>
        <v>0</v>
      </c>
      <c r="BV1165" s="3"/>
      <c r="BW1165" s="3"/>
    </row>
    <row r="1166" spans="1:75">
      <c r="A1166" s="1" t="s">
        <v>75</v>
      </c>
      <c r="B1166" s="1" t="s">
        <v>13976</v>
      </c>
      <c r="C1166" s="1" t="s">
        <v>21213</v>
      </c>
      <c r="D1166" s="1" t="s">
        <v>16515</v>
      </c>
      <c r="E1166" s="1" t="s">
        <v>20341</v>
      </c>
      <c r="F1166" s="1" t="s">
        <v>21214</v>
      </c>
      <c r="G1166" s="1" t="s">
        <v>21215</v>
      </c>
      <c r="H1166" s="1" t="s">
        <v>21216</v>
      </c>
      <c r="I1166" s="1" t="s">
        <v>21217</v>
      </c>
      <c r="J1166" s="1">
        <v>7830861726</v>
      </c>
      <c r="K1166" s="1" t="s">
        <v>84</v>
      </c>
      <c r="L1166" s="1" t="s">
        <v>8580</v>
      </c>
      <c r="M1166" s="1" t="s">
        <v>86</v>
      </c>
      <c r="N1166" s="1" t="s">
        <v>4857</v>
      </c>
      <c r="O1166" s="1" t="s">
        <v>21218</v>
      </c>
      <c r="P1166" s="1" t="s">
        <v>219</v>
      </c>
      <c r="Q1166" s="1">
        <v>879096514125</v>
      </c>
      <c r="R1166" s="1" t="s">
        <v>21219</v>
      </c>
      <c r="S1166" s="1">
        <v>9412995626</v>
      </c>
      <c r="T1166" s="1" t="s">
        <v>21220</v>
      </c>
      <c r="U1166" s="1" t="s">
        <v>21221</v>
      </c>
      <c r="V1166" s="1">
        <v>9456579126</v>
      </c>
      <c r="W1166" s="1" t="s">
        <v>14154</v>
      </c>
      <c r="X1166" s="1" t="s">
        <v>21222</v>
      </c>
      <c r="Y1166" s="1" t="s">
        <v>19101</v>
      </c>
      <c r="Z1166" s="1" t="s">
        <v>7930</v>
      </c>
      <c r="AA1166" s="1" t="s">
        <v>21222</v>
      </c>
      <c r="AB1166" s="1" t="s">
        <v>19101</v>
      </c>
      <c r="AC1166" s="1" t="s">
        <v>7930</v>
      </c>
      <c r="AD1166" s="1" t="s">
        <v>98</v>
      </c>
      <c r="AE1166" s="1" t="s">
        <v>98</v>
      </c>
      <c r="AF1166" s="1" t="s">
        <v>21223</v>
      </c>
      <c r="AG1166" s="1" t="s">
        <v>21224</v>
      </c>
      <c r="AH1166" s="1" t="s">
        <v>704</v>
      </c>
      <c r="AI1166" s="1" t="s">
        <v>171</v>
      </c>
      <c r="AJ1166" s="1">
        <v>75.33</v>
      </c>
      <c r="AK1166" s="1"/>
      <c r="AL1166" s="1" t="s">
        <v>21225</v>
      </c>
      <c r="AM1166" s="1" t="s">
        <v>21226</v>
      </c>
      <c r="AN1166" s="1" t="s">
        <v>465</v>
      </c>
      <c r="AO1166" s="1" t="s">
        <v>438</v>
      </c>
      <c r="AP1166" s="1" t="s">
        <v>178</v>
      </c>
      <c r="AQ1166" s="1">
        <v>74</v>
      </c>
      <c r="AR1166" s="1"/>
      <c r="AS1166" s="1"/>
      <c r="AT1166" s="1"/>
      <c r="AU1166" s="1"/>
      <c r="AV1166" s="1"/>
      <c r="AW1166" s="1"/>
      <c r="AX1166" s="1"/>
      <c r="AY1166" s="1" t="s">
        <v>21227</v>
      </c>
      <c r="AZ1166" s="1" t="s">
        <v>21228</v>
      </c>
      <c r="BA1166" s="1" t="s">
        <v>466</v>
      </c>
      <c r="BB1166" s="1" t="s">
        <v>467</v>
      </c>
      <c r="BC1166" s="1" t="s">
        <v>890</v>
      </c>
      <c r="BD1166" s="1" t="s">
        <v>207</v>
      </c>
      <c r="BE1166" s="1">
        <v>68.62</v>
      </c>
      <c r="BF1166" s="1"/>
      <c r="BG1166" s="1"/>
      <c r="BH1166" s="1"/>
      <c r="BI1166" s="1"/>
      <c r="BJ1166" s="1"/>
      <c r="BK1166" s="1"/>
      <c r="BL1166" s="1"/>
      <c r="BM1166" s="1"/>
      <c r="BN1166" s="1"/>
      <c r="BO1166" s="1" t="s">
        <v>369</v>
      </c>
      <c r="BP1166" s="1"/>
      <c r="BQ1166" s="1"/>
      <c r="BR1166" s="1"/>
      <c r="BS1166" s="1"/>
      <c r="BT1166" s="1"/>
      <c r="BU1166" s="1" t="str">
        <f>HYPERLINK("https://nconnect.nicmar.ac.in/storage/profile/6a87428e56fef.png","Download")</f>
        <v>0</v>
      </c>
      <c r="BV1166" s="3"/>
      <c r="BW1166" s="3"/>
    </row>
    <row r="1167" spans="1:75">
      <c r="A1167" s="1" t="s">
        <v>75</v>
      </c>
      <c r="B1167" s="1" t="s">
        <v>13976</v>
      </c>
      <c r="C1167" s="1" t="s">
        <v>21229</v>
      </c>
      <c r="D1167" s="1" t="s">
        <v>21230</v>
      </c>
      <c r="E1167" s="1" t="s">
        <v>14742</v>
      </c>
      <c r="F1167" s="1" t="s">
        <v>21231</v>
      </c>
      <c r="G1167" s="1" t="s">
        <v>21232</v>
      </c>
      <c r="H1167" s="1" t="s">
        <v>21233</v>
      </c>
      <c r="I1167" s="1" t="s">
        <v>21234</v>
      </c>
      <c r="J1167" s="1">
        <v>7058980580</v>
      </c>
      <c r="K1167" s="1" t="s">
        <v>84</v>
      </c>
      <c r="L1167" s="1" t="s">
        <v>21235</v>
      </c>
      <c r="M1167" s="1" t="s">
        <v>86</v>
      </c>
      <c r="N1167" s="1" t="s">
        <v>4263</v>
      </c>
      <c r="O1167" s="1" t="s">
        <v>21236</v>
      </c>
      <c r="P1167" s="1" t="s">
        <v>122</v>
      </c>
      <c r="Q1167" s="1">
        <v>841100123662</v>
      </c>
      <c r="R1167" s="1" t="s">
        <v>21237</v>
      </c>
      <c r="S1167" s="1">
        <v>9665479201</v>
      </c>
      <c r="T1167" s="1" t="s">
        <v>14316</v>
      </c>
      <c r="U1167" s="1" t="s">
        <v>21238</v>
      </c>
      <c r="V1167" s="1">
        <v>8956263926</v>
      </c>
      <c r="W1167" s="1" t="s">
        <v>14212</v>
      </c>
      <c r="X1167" s="1" t="s">
        <v>21239</v>
      </c>
      <c r="Y1167" s="1" t="s">
        <v>1033</v>
      </c>
      <c r="Z1167" s="1" t="s">
        <v>97</v>
      </c>
      <c r="AA1167" s="1" t="s">
        <v>21239</v>
      </c>
      <c r="AB1167" s="1" t="s">
        <v>1033</v>
      </c>
      <c r="AC1167" s="1" t="s">
        <v>97</v>
      </c>
      <c r="AD1167" s="1" t="s">
        <v>98</v>
      </c>
      <c r="AE1167" s="1" t="s">
        <v>98</v>
      </c>
      <c r="AF1167" s="1" t="s">
        <v>21240</v>
      </c>
      <c r="AG1167" s="1" t="s">
        <v>97</v>
      </c>
      <c r="AH1167" s="1" t="s">
        <v>166</v>
      </c>
      <c r="AI1167" s="1" t="s">
        <v>1111</v>
      </c>
      <c r="AJ1167" s="1">
        <v>79.6</v>
      </c>
      <c r="AK1167" s="1"/>
      <c r="AL1167" s="1"/>
      <c r="AM1167" s="1"/>
      <c r="AN1167" s="1"/>
      <c r="AO1167" s="1"/>
      <c r="AP1167" s="1"/>
      <c r="AQ1167" s="1"/>
      <c r="AR1167" s="1"/>
      <c r="AS1167" s="1" t="s">
        <v>14158</v>
      </c>
      <c r="AT1167" s="1" t="s">
        <v>21241</v>
      </c>
      <c r="AU1167" s="1" t="s">
        <v>139</v>
      </c>
      <c r="AV1167" s="1" t="s">
        <v>438</v>
      </c>
      <c r="AW1167" s="1">
        <v>82.36</v>
      </c>
      <c r="AX1167" s="1"/>
      <c r="AY1167" s="1" t="s">
        <v>21242</v>
      </c>
      <c r="AZ1167" s="1" t="s">
        <v>21241</v>
      </c>
      <c r="BA1167" s="1" t="s">
        <v>466</v>
      </c>
      <c r="BB1167" s="1" t="s">
        <v>467</v>
      </c>
      <c r="BC1167" s="1" t="s">
        <v>206</v>
      </c>
      <c r="BD1167" s="1" t="s">
        <v>110</v>
      </c>
      <c r="BE1167" s="1">
        <v>85.6</v>
      </c>
      <c r="BF1167" s="1">
        <v>9.06</v>
      </c>
      <c r="BG1167" s="1"/>
      <c r="BH1167" s="1"/>
      <c r="BI1167" s="1"/>
      <c r="BJ1167" s="1"/>
      <c r="BK1167" s="1"/>
      <c r="BL1167" s="1"/>
      <c r="BM1167" s="1"/>
      <c r="BN1167" s="1"/>
      <c r="BO1167" s="1" t="s">
        <v>21243</v>
      </c>
      <c r="BP1167" s="1" t="s">
        <v>21244</v>
      </c>
      <c r="BQ1167" s="1" t="s">
        <v>1849</v>
      </c>
      <c r="BR1167" s="1"/>
      <c r="BS1167" s="1"/>
      <c r="BT1167" s="1" t="s">
        <v>21245</v>
      </c>
      <c r="BU1167" s="1" t="str">
        <f>HYPERLINK("https://nconnect.nicmar.ac.in/storage/profile/6a87109e66559.png","Download")</f>
        <v>0</v>
      </c>
      <c r="BV1167" s="3"/>
      <c r="BW1167" s="3"/>
    </row>
    <row r="1168" spans="1:75">
      <c r="A1168" s="1" t="s">
        <v>75</v>
      </c>
      <c r="B1168" s="1" t="s">
        <v>13976</v>
      </c>
      <c r="C1168" s="1" t="s">
        <v>21246</v>
      </c>
      <c r="D1168" s="1" t="s">
        <v>21247</v>
      </c>
      <c r="E1168" s="1" t="s">
        <v>21248</v>
      </c>
      <c r="F1168" s="1" t="s">
        <v>21249</v>
      </c>
      <c r="G1168" s="1" t="s">
        <v>21250</v>
      </c>
      <c r="H1168" s="1" t="s">
        <v>21251</v>
      </c>
      <c r="I1168" s="1" t="s">
        <v>21252</v>
      </c>
      <c r="J1168" s="1">
        <v>7276198469</v>
      </c>
      <c r="K1168" s="1" t="s">
        <v>84</v>
      </c>
      <c r="L1168" s="1" t="s">
        <v>21253</v>
      </c>
      <c r="M1168" s="1" t="s">
        <v>86</v>
      </c>
      <c r="N1168" s="1" t="s">
        <v>6390</v>
      </c>
      <c r="O1168" s="1" t="s">
        <v>21254</v>
      </c>
      <c r="P1168" s="1" t="s">
        <v>122</v>
      </c>
      <c r="Q1168" s="1">
        <v>540139506280</v>
      </c>
      <c r="R1168" s="1" t="s">
        <v>21255</v>
      </c>
      <c r="S1168" s="1">
        <v>7666360955</v>
      </c>
      <c r="T1168" s="1" t="s">
        <v>21256</v>
      </c>
      <c r="U1168" s="1" t="s">
        <v>21257</v>
      </c>
      <c r="V1168" s="1">
        <v>8975138280</v>
      </c>
      <c r="W1168" s="1" t="s">
        <v>10306</v>
      </c>
      <c r="X1168" s="1" t="s">
        <v>21258</v>
      </c>
      <c r="Y1168" s="1" t="s">
        <v>410</v>
      </c>
      <c r="Z1168" s="1" t="s">
        <v>97</v>
      </c>
      <c r="AA1168" s="1" t="s">
        <v>21258</v>
      </c>
      <c r="AB1168" s="1" t="s">
        <v>410</v>
      </c>
      <c r="AC1168" s="1" t="s">
        <v>97</v>
      </c>
      <c r="AD1168" s="1" t="s">
        <v>98</v>
      </c>
      <c r="AE1168" s="1" t="s">
        <v>98</v>
      </c>
      <c r="AF1168" s="1" t="s">
        <v>21259</v>
      </c>
      <c r="AG1168" s="1" t="s">
        <v>9682</v>
      </c>
      <c r="AH1168" s="1" t="s">
        <v>490</v>
      </c>
      <c r="AI1168" s="1" t="s">
        <v>414</v>
      </c>
      <c r="AJ1168" s="1">
        <v>70.8</v>
      </c>
      <c r="AK1168" s="1"/>
      <c r="AL1168" s="1" t="s">
        <v>21259</v>
      </c>
      <c r="AM1168" s="1" t="s">
        <v>21260</v>
      </c>
      <c r="AN1168" s="1" t="s">
        <v>465</v>
      </c>
      <c r="AO1168" s="1" t="s">
        <v>977</v>
      </c>
      <c r="AP1168" s="1" t="s">
        <v>549</v>
      </c>
      <c r="AQ1168" s="1">
        <v>77.0</v>
      </c>
      <c r="AR1168" s="1"/>
      <c r="AS1168" s="1"/>
      <c r="AT1168" s="1"/>
      <c r="AU1168" s="1"/>
      <c r="AV1168" s="1"/>
      <c r="AW1168" s="1"/>
      <c r="AX1168" s="1"/>
      <c r="AY1168" s="1" t="s">
        <v>14160</v>
      </c>
      <c r="AZ1168" s="1" t="s">
        <v>21261</v>
      </c>
      <c r="BA1168" s="1" t="s">
        <v>466</v>
      </c>
      <c r="BB1168" s="1" t="s">
        <v>467</v>
      </c>
      <c r="BC1168" s="1" t="s">
        <v>871</v>
      </c>
      <c r="BD1168" s="1" t="s">
        <v>553</v>
      </c>
      <c r="BE1168" s="1">
        <v>63.94</v>
      </c>
      <c r="BF1168" s="1">
        <v>6.73</v>
      </c>
      <c r="BG1168" s="1"/>
      <c r="BH1168" s="1"/>
      <c r="BI1168" s="1"/>
      <c r="BJ1168" s="1"/>
      <c r="BK1168" s="1"/>
      <c r="BL1168" s="1"/>
      <c r="BM1168" s="1"/>
      <c r="BN1168" s="1"/>
      <c r="BO1168" s="1" t="s">
        <v>19462</v>
      </c>
      <c r="BP1168" s="1"/>
      <c r="BQ1168" s="1"/>
      <c r="BR1168" s="1" t="s">
        <v>21262</v>
      </c>
      <c r="BS1168" s="1">
        <v>4</v>
      </c>
      <c r="BT1168" s="1"/>
      <c r="BU1168" s="1" t="str">
        <f>HYPERLINK("https://nconnect.nicmar.ac.in/storage/profile/6a85d6ed5ad87.png","Download")</f>
        <v>0</v>
      </c>
      <c r="BV1168" s="3"/>
      <c r="BW1168" s="3"/>
    </row>
    <row r="1169" spans="1:75">
      <c r="A1169" s="1" t="s">
        <v>75</v>
      </c>
      <c r="B1169" s="1" t="s">
        <v>13976</v>
      </c>
      <c r="C1169" s="1" t="s">
        <v>21263</v>
      </c>
      <c r="D1169" s="1" t="s">
        <v>21264</v>
      </c>
      <c r="E1169" s="1"/>
      <c r="F1169" s="1" t="s">
        <v>587</v>
      </c>
      <c r="G1169" s="1" t="s">
        <v>21265</v>
      </c>
      <c r="H1169" s="1" t="s">
        <v>21266</v>
      </c>
      <c r="I1169" s="1" t="s">
        <v>21266</v>
      </c>
      <c r="J1169" s="1">
        <v>9738619930</v>
      </c>
      <c r="K1169" s="1" t="s">
        <v>84</v>
      </c>
      <c r="L1169" s="1" t="s">
        <v>4243</v>
      </c>
      <c r="M1169" s="1" t="s">
        <v>86</v>
      </c>
      <c r="N1169" s="1" t="s">
        <v>21267</v>
      </c>
      <c r="O1169" s="1" t="s">
        <v>21268</v>
      </c>
      <c r="P1169" s="1" t="s">
        <v>89</v>
      </c>
      <c r="Q1169" s="1">
        <v>698264213303</v>
      </c>
      <c r="R1169" s="1" t="s">
        <v>21269</v>
      </c>
      <c r="S1169" s="1">
        <v>9448603680</v>
      </c>
      <c r="T1169" s="1" t="s">
        <v>21270</v>
      </c>
      <c r="U1169" s="1" t="s">
        <v>21271</v>
      </c>
      <c r="V1169" s="1">
        <v>9778737997</v>
      </c>
      <c r="W1169" s="1" t="s">
        <v>14032</v>
      </c>
      <c r="X1169" s="1" t="s">
        <v>21272</v>
      </c>
      <c r="Y1169" s="1" t="s">
        <v>3132</v>
      </c>
      <c r="Z1169" s="1" t="s">
        <v>1210</v>
      </c>
      <c r="AA1169" s="1" t="s">
        <v>21272</v>
      </c>
      <c r="AB1169" s="1" t="s">
        <v>3132</v>
      </c>
      <c r="AC1169" s="1" t="s">
        <v>1210</v>
      </c>
      <c r="AD1169" s="1" t="s">
        <v>98</v>
      </c>
      <c r="AE1169" s="1" t="s">
        <v>98</v>
      </c>
      <c r="AF1169" s="1" t="s">
        <v>21273</v>
      </c>
      <c r="AG1169" s="1" t="s">
        <v>21274</v>
      </c>
      <c r="AH1169" s="1" t="s">
        <v>547</v>
      </c>
      <c r="AI1169" s="1" t="s">
        <v>178</v>
      </c>
      <c r="AJ1169" s="1">
        <v>84.6</v>
      </c>
      <c r="AK1169" s="1"/>
      <c r="AL1169" s="1" t="s">
        <v>21273</v>
      </c>
      <c r="AM1169" s="1" t="s">
        <v>21274</v>
      </c>
      <c r="AN1169" s="1" t="s">
        <v>465</v>
      </c>
      <c r="AO1169" s="1" t="s">
        <v>2304</v>
      </c>
      <c r="AP1169" s="1" t="s">
        <v>632</v>
      </c>
      <c r="AQ1169" s="1">
        <v>82</v>
      </c>
      <c r="AR1169" s="1"/>
      <c r="AS1169" s="1"/>
      <c r="AT1169" s="1"/>
      <c r="AU1169" s="1"/>
      <c r="AV1169" s="1"/>
      <c r="AW1169" s="1"/>
      <c r="AX1169" s="1"/>
      <c r="AY1169" s="1" t="s">
        <v>4616</v>
      </c>
      <c r="AZ1169" s="1" t="s">
        <v>21275</v>
      </c>
      <c r="BA1169" s="1" t="s">
        <v>578</v>
      </c>
      <c r="BB1169" s="1" t="s">
        <v>467</v>
      </c>
      <c r="BC1169" s="1" t="s">
        <v>2765</v>
      </c>
      <c r="BD1169" s="1" t="s">
        <v>14514</v>
      </c>
      <c r="BE1169" s="1">
        <v>84.4</v>
      </c>
      <c r="BF1169" s="1"/>
      <c r="BG1169" s="1"/>
      <c r="BH1169" s="1"/>
      <c r="BI1169" s="1"/>
      <c r="BJ1169" s="1"/>
      <c r="BK1169" s="1"/>
      <c r="BL1169" s="1"/>
      <c r="BM1169" s="1"/>
      <c r="BN1169" s="1"/>
      <c r="BO1169" s="1" t="s">
        <v>21276</v>
      </c>
      <c r="BP1169" s="1"/>
      <c r="BQ1169" s="1"/>
      <c r="BR1169" s="1" t="s">
        <v>21277</v>
      </c>
      <c r="BS1169" s="1">
        <v>19</v>
      </c>
      <c r="BT1169" s="1"/>
      <c r="BU1169" s="1" t="str">
        <f>HYPERLINK("https://nconnect.nicmar.ac.in/storage/profile/6a84b07f0d731.png","Download")</f>
        <v>0</v>
      </c>
      <c r="BV1169" s="3"/>
      <c r="BW1169" s="3"/>
    </row>
    <row r="1170" spans="1:75">
      <c r="A1170" s="1" t="s">
        <v>75</v>
      </c>
      <c r="B1170" s="1" t="s">
        <v>13976</v>
      </c>
      <c r="C1170" s="1" t="s">
        <v>21278</v>
      </c>
      <c r="D1170" s="1" t="s">
        <v>21279</v>
      </c>
      <c r="E1170" s="1" t="s">
        <v>16930</v>
      </c>
      <c r="F1170" s="1" t="s">
        <v>21280</v>
      </c>
      <c r="G1170" s="1" t="s">
        <v>21281</v>
      </c>
      <c r="H1170" s="1" t="s">
        <v>21282</v>
      </c>
      <c r="I1170" s="1" t="s">
        <v>21282</v>
      </c>
      <c r="J1170" s="1">
        <v>7038498843</v>
      </c>
      <c r="K1170" s="1" t="s">
        <v>153</v>
      </c>
      <c r="L1170" s="1" t="s">
        <v>21283</v>
      </c>
      <c r="M1170" s="1" t="s">
        <v>155</v>
      </c>
      <c r="N1170" s="1" t="s">
        <v>618</v>
      </c>
      <c r="O1170" s="1" t="s">
        <v>21284</v>
      </c>
      <c r="P1170" s="1" t="s">
        <v>89</v>
      </c>
      <c r="Q1170" s="1">
        <v>973526796458</v>
      </c>
      <c r="R1170" s="1" t="s">
        <v>21285</v>
      </c>
      <c r="S1170" s="1">
        <v>9623564125</v>
      </c>
      <c r="T1170" s="1" t="s">
        <v>19544</v>
      </c>
      <c r="U1170" s="1" t="s">
        <v>21286</v>
      </c>
      <c r="V1170" s="1">
        <v>9284843943</v>
      </c>
      <c r="W1170" s="1" t="s">
        <v>14234</v>
      </c>
      <c r="X1170" s="1" t="s">
        <v>21287</v>
      </c>
      <c r="Y1170" s="1" t="s">
        <v>196</v>
      </c>
      <c r="Z1170" s="1" t="s">
        <v>97</v>
      </c>
      <c r="AA1170" s="1" t="s">
        <v>21287</v>
      </c>
      <c r="AB1170" s="1" t="s">
        <v>196</v>
      </c>
      <c r="AC1170" s="1" t="s">
        <v>97</v>
      </c>
      <c r="AD1170" s="1" t="s">
        <v>98</v>
      </c>
      <c r="AE1170" s="1" t="s">
        <v>98</v>
      </c>
      <c r="AF1170" s="1" t="s">
        <v>21288</v>
      </c>
      <c r="AG1170" s="1" t="s">
        <v>21289</v>
      </c>
      <c r="AH1170" s="1" t="s">
        <v>3923</v>
      </c>
      <c r="AI1170" s="1" t="s">
        <v>3965</v>
      </c>
      <c r="AJ1170" s="1">
        <v>73.27</v>
      </c>
      <c r="AK1170" s="1"/>
      <c r="AL1170" s="1" t="s">
        <v>21290</v>
      </c>
      <c r="AM1170" s="1" t="s">
        <v>21289</v>
      </c>
      <c r="AN1170" s="1" t="s">
        <v>575</v>
      </c>
      <c r="AO1170" s="1" t="s">
        <v>254</v>
      </c>
      <c r="AP1170" s="1" t="s">
        <v>101</v>
      </c>
      <c r="AQ1170" s="1">
        <v>60</v>
      </c>
      <c r="AR1170" s="1"/>
      <c r="AS1170" s="1"/>
      <c r="AT1170" s="1"/>
      <c r="AU1170" s="1"/>
      <c r="AV1170" s="1"/>
      <c r="AW1170" s="1"/>
      <c r="AX1170" s="1"/>
      <c r="AY1170" s="1" t="s">
        <v>19550</v>
      </c>
      <c r="AZ1170" s="1" t="s">
        <v>21291</v>
      </c>
      <c r="BA1170" s="1" t="s">
        <v>578</v>
      </c>
      <c r="BB1170" s="1" t="s">
        <v>467</v>
      </c>
      <c r="BC1170" s="1" t="s">
        <v>135</v>
      </c>
      <c r="BD1170" s="1" t="s">
        <v>438</v>
      </c>
      <c r="BE1170" s="1">
        <v>79.2</v>
      </c>
      <c r="BF1170" s="1">
        <v>7.92</v>
      </c>
      <c r="BG1170" s="1"/>
      <c r="BH1170" s="1"/>
      <c r="BI1170" s="1"/>
      <c r="BJ1170" s="1"/>
      <c r="BK1170" s="1"/>
      <c r="BL1170" s="1"/>
      <c r="BM1170" s="1"/>
      <c r="BN1170" s="1"/>
      <c r="BO1170" s="1" t="s">
        <v>21292</v>
      </c>
      <c r="BP1170" s="1" t="s">
        <v>21293</v>
      </c>
      <c r="BQ1170" s="1" t="s">
        <v>471</v>
      </c>
      <c r="BR1170" s="1"/>
      <c r="BS1170" s="1"/>
      <c r="BT1170" s="1" t="s">
        <v>21294</v>
      </c>
      <c r="BU1170" s="1" t="str">
        <f>HYPERLINK("https://nconnect.nicmar.ac.in/storage/profile/6a85a31d3e8ab.png","Download")</f>
        <v>0</v>
      </c>
      <c r="BV1170" s="3"/>
      <c r="BW1170" s="3"/>
    </row>
    <row r="1171" spans="1:75">
      <c r="A1171" s="1" t="s">
        <v>75</v>
      </c>
      <c r="B1171" s="1" t="s">
        <v>13976</v>
      </c>
      <c r="C1171" s="1" t="s">
        <v>21295</v>
      </c>
      <c r="D1171" s="1" t="s">
        <v>21296</v>
      </c>
      <c r="E1171" s="1"/>
      <c r="F1171" s="1" t="s">
        <v>21297</v>
      </c>
      <c r="G1171" s="1" t="s">
        <v>21298</v>
      </c>
      <c r="H1171" s="1" t="s">
        <v>21299</v>
      </c>
      <c r="I1171" s="1" t="s">
        <v>21299</v>
      </c>
      <c r="J1171" s="1">
        <v>7559416377</v>
      </c>
      <c r="K1171" s="1" t="s">
        <v>153</v>
      </c>
      <c r="L1171" s="1" t="s">
        <v>21300</v>
      </c>
      <c r="M1171" s="1" t="s">
        <v>86</v>
      </c>
      <c r="N1171" s="1" t="s">
        <v>21301</v>
      </c>
      <c r="O1171" s="1" t="s">
        <v>21302</v>
      </c>
      <c r="P1171" s="1" t="s">
        <v>219</v>
      </c>
      <c r="Q1171" s="1">
        <v>231668938859</v>
      </c>
      <c r="R1171" s="1" t="s">
        <v>21303</v>
      </c>
      <c r="S1171" s="1">
        <v>9960516377</v>
      </c>
      <c r="T1171" s="1" t="s">
        <v>3439</v>
      </c>
      <c r="U1171" s="1" t="s">
        <v>21304</v>
      </c>
      <c r="V1171" s="1">
        <v>9021816704</v>
      </c>
      <c r="W1171" s="1" t="s">
        <v>14154</v>
      </c>
      <c r="X1171" s="1" t="s">
        <v>21305</v>
      </c>
      <c r="Y1171" s="1" t="s">
        <v>196</v>
      </c>
      <c r="Z1171" s="1" t="s">
        <v>97</v>
      </c>
      <c r="AA1171" s="1" t="s">
        <v>21305</v>
      </c>
      <c r="AB1171" s="1" t="s">
        <v>196</v>
      </c>
      <c r="AC1171" s="1" t="s">
        <v>97</v>
      </c>
      <c r="AD1171" s="1" t="s">
        <v>98</v>
      </c>
      <c r="AE1171" s="1" t="s">
        <v>98</v>
      </c>
      <c r="AF1171" s="1" t="s">
        <v>21306</v>
      </c>
      <c r="AG1171" s="1" t="s">
        <v>21307</v>
      </c>
      <c r="AH1171" s="1" t="s">
        <v>547</v>
      </c>
      <c r="AI1171" s="1" t="s">
        <v>178</v>
      </c>
      <c r="AJ1171" s="1">
        <v>74.8</v>
      </c>
      <c r="AK1171" s="1"/>
      <c r="AL1171" s="1"/>
      <c r="AM1171" s="1"/>
      <c r="AN1171" s="1"/>
      <c r="AO1171" s="1"/>
      <c r="AP1171" s="1"/>
      <c r="AQ1171" s="1"/>
      <c r="AR1171" s="1"/>
      <c r="AS1171" s="1" t="s">
        <v>14158</v>
      </c>
      <c r="AT1171" s="1" t="s">
        <v>21308</v>
      </c>
      <c r="AU1171" s="1" t="s">
        <v>1040</v>
      </c>
      <c r="AV1171" s="1" t="s">
        <v>234</v>
      </c>
      <c r="AW1171" s="1">
        <v>83.16</v>
      </c>
      <c r="AX1171" s="1"/>
      <c r="AY1171" s="1" t="s">
        <v>14160</v>
      </c>
      <c r="AZ1171" s="1" t="s">
        <v>21309</v>
      </c>
      <c r="BA1171" s="1" t="s">
        <v>578</v>
      </c>
      <c r="BB1171" s="1" t="s">
        <v>467</v>
      </c>
      <c r="BC1171" s="1" t="s">
        <v>391</v>
      </c>
      <c r="BD1171" s="1" t="s">
        <v>14162</v>
      </c>
      <c r="BE1171" s="1">
        <v>82.4</v>
      </c>
      <c r="BF1171" s="1">
        <v>8.95</v>
      </c>
      <c r="BG1171" s="1"/>
      <c r="BH1171" s="1"/>
      <c r="BI1171" s="1"/>
      <c r="BJ1171" s="1"/>
      <c r="BK1171" s="1"/>
      <c r="BL1171" s="1"/>
      <c r="BM1171" s="1"/>
      <c r="BN1171" s="1"/>
      <c r="BO1171" s="1" t="s">
        <v>260</v>
      </c>
      <c r="BP1171" s="1"/>
      <c r="BQ1171" s="1"/>
      <c r="BR1171" s="1" t="s">
        <v>21310</v>
      </c>
      <c r="BS1171" s="1">
        <v>4</v>
      </c>
      <c r="BT1171" s="1"/>
      <c r="BU1171" s="1" t="str">
        <f>HYPERLINK("https://nconnect.nicmar.ac.in/storage/profile/6a85dbdec01c7.png","Download")</f>
        <v>0</v>
      </c>
      <c r="BV1171" s="3"/>
      <c r="BW1171" s="3"/>
    </row>
    <row r="1172" spans="1:75">
      <c r="A1172" s="1" t="s">
        <v>75</v>
      </c>
      <c r="B1172" s="1" t="s">
        <v>13976</v>
      </c>
      <c r="C1172" s="1" t="s">
        <v>21311</v>
      </c>
      <c r="D1172" s="1" t="s">
        <v>15348</v>
      </c>
      <c r="E1172" s="1" t="s">
        <v>15601</v>
      </c>
      <c r="F1172" s="1" t="s">
        <v>17962</v>
      </c>
      <c r="G1172" s="1" t="s">
        <v>21312</v>
      </c>
      <c r="H1172" s="1" t="s">
        <v>21313</v>
      </c>
      <c r="I1172" s="1" t="s">
        <v>21313</v>
      </c>
      <c r="J1172" s="1">
        <v>7219359219</v>
      </c>
      <c r="K1172" s="1" t="s">
        <v>84</v>
      </c>
      <c r="L1172" s="1" t="s">
        <v>15435</v>
      </c>
      <c r="M1172" s="1" t="s">
        <v>86</v>
      </c>
      <c r="N1172" s="1" t="s">
        <v>1877</v>
      </c>
      <c r="O1172" s="1" t="s">
        <v>21314</v>
      </c>
      <c r="P1172" s="1" t="s">
        <v>122</v>
      </c>
      <c r="Q1172" s="1">
        <v>294073511319</v>
      </c>
      <c r="R1172" s="1" t="s">
        <v>21315</v>
      </c>
      <c r="S1172" s="1">
        <v>9011570608</v>
      </c>
      <c r="T1172" s="1" t="s">
        <v>21316</v>
      </c>
      <c r="U1172" s="1" t="s">
        <v>21317</v>
      </c>
      <c r="V1172" s="1">
        <v>8799998900</v>
      </c>
      <c r="W1172" s="1" t="s">
        <v>14154</v>
      </c>
      <c r="X1172" s="1" t="s">
        <v>21318</v>
      </c>
      <c r="Y1172" s="1" t="s">
        <v>333</v>
      </c>
      <c r="Z1172" s="1" t="s">
        <v>97</v>
      </c>
      <c r="AA1172" s="1" t="s">
        <v>21319</v>
      </c>
      <c r="AB1172" s="1" t="s">
        <v>196</v>
      </c>
      <c r="AC1172" s="1" t="s">
        <v>97</v>
      </c>
      <c r="AD1172" s="1" t="s">
        <v>98</v>
      </c>
      <c r="AE1172" s="1" t="s">
        <v>98</v>
      </c>
      <c r="AF1172" s="1" t="s">
        <v>21320</v>
      </c>
      <c r="AG1172" s="1" t="s">
        <v>21321</v>
      </c>
      <c r="AH1172" s="1" t="s">
        <v>174</v>
      </c>
      <c r="AI1172" s="1" t="s">
        <v>414</v>
      </c>
      <c r="AJ1172" s="1">
        <v>81.8</v>
      </c>
      <c r="AK1172" s="1"/>
      <c r="AL1172" s="1"/>
      <c r="AM1172" s="1"/>
      <c r="AN1172" s="1"/>
      <c r="AO1172" s="1"/>
      <c r="AP1172" s="1"/>
      <c r="AQ1172" s="1"/>
      <c r="AR1172" s="1"/>
      <c r="AS1172" s="1" t="s">
        <v>21322</v>
      </c>
      <c r="AT1172" s="1" t="s">
        <v>21323</v>
      </c>
      <c r="AU1172" s="1" t="s">
        <v>315</v>
      </c>
      <c r="AV1172" s="1" t="s">
        <v>1400</v>
      </c>
      <c r="AW1172" s="1">
        <v>88.95</v>
      </c>
      <c r="AX1172" s="1"/>
      <c r="AY1172" s="1" t="s">
        <v>14160</v>
      </c>
      <c r="AZ1172" s="1" t="s">
        <v>21324</v>
      </c>
      <c r="BA1172" s="1" t="s">
        <v>466</v>
      </c>
      <c r="BB1172" s="1" t="s">
        <v>467</v>
      </c>
      <c r="BC1172" s="1" t="s">
        <v>1889</v>
      </c>
      <c r="BD1172" s="1" t="s">
        <v>607</v>
      </c>
      <c r="BE1172" s="1">
        <v>82.6</v>
      </c>
      <c r="BF1172" s="1">
        <v>9.01</v>
      </c>
      <c r="BG1172" s="1"/>
      <c r="BH1172" s="1"/>
      <c r="BI1172" s="1"/>
      <c r="BJ1172" s="1"/>
      <c r="BK1172" s="1"/>
      <c r="BL1172" s="1"/>
      <c r="BM1172" s="1"/>
      <c r="BN1172" s="1"/>
      <c r="BO1172" s="1" t="s">
        <v>21325</v>
      </c>
      <c r="BP1172" s="1" t="s">
        <v>21326</v>
      </c>
      <c r="BQ1172" s="1" t="s">
        <v>2245</v>
      </c>
      <c r="BR1172" s="1" t="s">
        <v>21327</v>
      </c>
      <c r="BS1172" s="1">
        <v>5</v>
      </c>
      <c r="BT1172" s="1"/>
      <c r="BU1172" s="1" t="str">
        <f>HYPERLINK("https://nconnect.nicmar.ac.in/storage/profile/6a85c4e974cb0.png","Download")</f>
        <v>0</v>
      </c>
      <c r="BV1172" s="3"/>
      <c r="BW1172" s="3"/>
    </row>
    <row r="1173" spans="1:75">
      <c r="A1173" s="1" t="s">
        <v>75</v>
      </c>
      <c r="B1173" s="1" t="s">
        <v>13976</v>
      </c>
      <c r="C1173" s="1" t="s">
        <v>21328</v>
      </c>
      <c r="D1173" s="1" t="s">
        <v>21329</v>
      </c>
      <c r="E1173" s="1" t="s">
        <v>20622</v>
      </c>
      <c r="F1173" s="1" t="s">
        <v>18390</v>
      </c>
      <c r="G1173" s="1" t="s">
        <v>21330</v>
      </c>
      <c r="H1173" s="1" t="s">
        <v>21331</v>
      </c>
      <c r="I1173" s="1" t="s">
        <v>21332</v>
      </c>
      <c r="J1173" s="1">
        <v>9665389253</v>
      </c>
      <c r="K1173" s="1" t="s">
        <v>84</v>
      </c>
      <c r="L1173" s="1" t="s">
        <v>16000</v>
      </c>
      <c r="M1173" s="1" t="s">
        <v>86</v>
      </c>
      <c r="N1173" s="1" t="s">
        <v>8520</v>
      </c>
      <c r="O1173" s="1" t="s">
        <v>21333</v>
      </c>
      <c r="P1173" s="1" t="s">
        <v>89</v>
      </c>
      <c r="Q1173" s="1">
        <v>324854823934</v>
      </c>
      <c r="R1173" s="1" t="s">
        <v>21334</v>
      </c>
      <c r="S1173" s="1">
        <v>7588187106</v>
      </c>
      <c r="T1173" s="1" t="s">
        <v>15073</v>
      </c>
      <c r="U1173" s="1" t="s">
        <v>21335</v>
      </c>
      <c r="V1173" s="1">
        <v>7218817586</v>
      </c>
      <c r="W1173" s="1" t="s">
        <v>14154</v>
      </c>
      <c r="X1173" s="1" t="s">
        <v>21336</v>
      </c>
      <c r="Y1173" s="1" t="s">
        <v>384</v>
      </c>
      <c r="Z1173" s="1" t="s">
        <v>97</v>
      </c>
      <c r="AA1173" s="1" t="s">
        <v>21337</v>
      </c>
      <c r="AB1173" s="1" t="s">
        <v>196</v>
      </c>
      <c r="AC1173" s="1" t="s">
        <v>97</v>
      </c>
      <c r="AD1173" s="1" t="s">
        <v>98</v>
      </c>
      <c r="AE1173" s="1" t="s">
        <v>98</v>
      </c>
      <c r="AF1173" s="1" t="s">
        <v>21338</v>
      </c>
      <c r="AG1173" s="1" t="s">
        <v>21339</v>
      </c>
      <c r="AH1173" s="1" t="s">
        <v>438</v>
      </c>
      <c r="AI1173" s="1" t="s">
        <v>603</v>
      </c>
      <c r="AJ1173" s="1">
        <v>82.4</v>
      </c>
      <c r="AK1173" s="1"/>
      <c r="AL1173" s="1"/>
      <c r="AM1173" s="1"/>
      <c r="AN1173" s="1"/>
      <c r="AO1173" s="1"/>
      <c r="AP1173" s="1"/>
      <c r="AQ1173" s="1"/>
      <c r="AR1173" s="1"/>
      <c r="AS1173" s="1" t="s">
        <v>21340</v>
      </c>
      <c r="AT1173" s="1" t="s">
        <v>21341</v>
      </c>
      <c r="AU1173" s="1" t="s">
        <v>417</v>
      </c>
      <c r="AV1173" s="1" t="s">
        <v>234</v>
      </c>
      <c r="AW1173" s="1">
        <v>80.47</v>
      </c>
      <c r="AX1173" s="1">
        <v>8.47</v>
      </c>
      <c r="AY1173" s="1" t="s">
        <v>14530</v>
      </c>
      <c r="AZ1173" s="1" t="s">
        <v>19790</v>
      </c>
      <c r="BA1173" s="1" t="s">
        <v>578</v>
      </c>
      <c r="BB1173" s="1" t="s">
        <v>467</v>
      </c>
      <c r="BC1173" s="1" t="s">
        <v>1267</v>
      </c>
      <c r="BD1173" s="1" t="s">
        <v>14162</v>
      </c>
      <c r="BE1173" s="1">
        <v>74.48</v>
      </c>
      <c r="BF1173" s="1">
        <v>8.29</v>
      </c>
      <c r="BG1173" s="1"/>
      <c r="BH1173" s="1"/>
      <c r="BI1173" s="1"/>
      <c r="BJ1173" s="1"/>
      <c r="BK1173" s="1"/>
      <c r="BL1173" s="1"/>
      <c r="BM1173" s="1"/>
      <c r="BN1173" s="1"/>
      <c r="BO1173" s="1" t="s">
        <v>21342</v>
      </c>
      <c r="BP1173" s="1"/>
      <c r="BQ1173" s="1"/>
      <c r="BR1173" s="1" t="s">
        <v>21343</v>
      </c>
      <c r="BS1173" s="1">
        <v>10</v>
      </c>
      <c r="BT1173" s="1"/>
      <c r="BU1173" s="1" t="str">
        <f>HYPERLINK("https://nconnect.nicmar.ac.in/storage/profile/6a85b8aeae2c6.png","Download")</f>
        <v>0</v>
      </c>
      <c r="BV1173" s="3"/>
      <c r="BW1173" s="3"/>
    </row>
    <row r="1174" spans="1:75">
      <c r="A1174" s="1" t="s">
        <v>75</v>
      </c>
      <c r="B1174" s="1" t="s">
        <v>13976</v>
      </c>
      <c r="C1174" s="1" t="s">
        <v>21344</v>
      </c>
      <c r="D1174" s="1" t="s">
        <v>15498</v>
      </c>
      <c r="E1174" s="1"/>
      <c r="F1174" s="1" t="s">
        <v>21345</v>
      </c>
      <c r="G1174" s="1" t="s">
        <v>21346</v>
      </c>
      <c r="H1174" s="1" t="s">
        <v>21347</v>
      </c>
      <c r="I1174" s="1" t="s">
        <v>21348</v>
      </c>
      <c r="J1174" s="1">
        <v>9344813153</v>
      </c>
      <c r="K1174" s="1" t="s">
        <v>84</v>
      </c>
      <c r="L1174" s="1" t="s">
        <v>21349</v>
      </c>
      <c r="M1174" s="1" t="s">
        <v>86</v>
      </c>
      <c r="N1174" s="1" t="s">
        <v>18015</v>
      </c>
      <c r="O1174" s="1" t="s">
        <v>21350</v>
      </c>
      <c r="P1174" s="1" t="s">
        <v>219</v>
      </c>
      <c r="Q1174" s="1">
        <v>879422704752</v>
      </c>
      <c r="R1174" s="1" t="s">
        <v>21351</v>
      </c>
      <c r="S1174" s="1">
        <v>9942920794</v>
      </c>
      <c r="T1174" s="1" t="s">
        <v>14800</v>
      </c>
      <c r="U1174" s="1" t="s">
        <v>21352</v>
      </c>
      <c r="V1174" s="1">
        <v>9790104565</v>
      </c>
      <c r="W1174" s="1" t="s">
        <v>10306</v>
      </c>
      <c r="X1174" s="1" t="s">
        <v>21353</v>
      </c>
      <c r="Y1174" s="1" t="s">
        <v>6938</v>
      </c>
      <c r="Z1174" s="1" t="s">
        <v>570</v>
      </c>
      <c r="AA1174" s="1" t="s">
        <v>21353</v>
      </c>
      <c r="AB1174" s="1" t="s">
        <v>6938</v>
      </c>
      <c r="AC1174" s="1" t="s">
        <v>570</v>
      </c>
      <c r="AD1174" s="1" t="s">
        <v>98</v>
      </c>
      <c r="AE1174" s="1" t="s">
        <v>98</v>
      </c>
      <c r="AF1174" s="1" t="s">
        <v>21354</v>
      </c>
      <c r="AG1174" s="1" t="s">
        <v>9682</v>
      </c>
      <c r="AH1174" s="1" t="s">
        <v>438</v>
      </c>
      <c r="AI1174" s="1" t="s">
        <v>178</v>
      </c>
      <c r="AJ1174" s="1">
        <v>91.0</v>
      </c>
      <c r="AK1174" s="1"/>
      <c r="AL1174" s="1" t="s">
        <v>21354</v>
      </c>
      <c r="AM1174" s="1" t="s">
        <v>9682</v>
      </c>
      <c r="AN1174" s="1" t="s">
        <v>575</v>
      </c>
      <c r="AO1174" s="1" t="s">
        <v>847</v>
      </c>
      <c r="AP1174" s="1" t="s">
        <v>1400</v>
      </c>
      <c r="AQ1174" s="1">
        <v>95.0</v>
      </c>
      <c r="AR1174" s="1"/>
      <c r="AS1174" s="1"/>
      <c r="AT1174" s="1"/>
      <c r="AU1174" s="1"/>
      <c r="AV1174" s="1"/>
      <c r="AW1174" s="1"/>
      <c r="AX1174" s="1"/>
      <c r="AY1174" s="1" t="s">
        <v>14303</v>
      </c>
      <c r="AZ1174" s="1" t="s">
        <v>21355</v>
      </c>
      <c r="BA1174" s="1" t="s">
        <v>578</v>
      </c>
      <c r="BB1174" s="1" t="s">
        <v>467</v>
      </c>
      <c r="BC1174" s="1" t="s">
        <v>1802</v>
      </c>
      <c r="BD1174" s="1" t="s">
        <v>9688</v>
      </c>
      <c r="BE1174" s="1">
        <v>94.6</v>
      </c>
      <c r="BF1174" s="1">
        <v>9.46</v>
      </c>
      <c r="BG1174" s="1"/>
      <c r="BH1174" s="1"/>
      <c r="BI1174" s="1"/>
      <c r="BJ1174" s="1"/>
      <c r="BK1174" s="1"/>
      <c r="BL1174" s="1"/>
      <c r="BM1174" s="1"/>
      <c r="BN1174" s="1"/>
      <c r="BO1174" s="1" t="s">
        <v>21356</v>
      </c>
      <c r="BP1174" s="1"/>
      <c r="BQ1174" s="1"/>
      <c r="BR1174" s="1" t="s">
        <v>21357</v>
      </c>
      <c r="BS1174" s="1">
        <v>17</v>
      </c>
      <c r="BT1174" s="1"/>
      <c r="BU1174" s="1" t="str">
        <f>HYPERLINK("https://nconnect.nicmar.ac.in/storage/profile/6a8716a4b75dc.png","Download")</f>
        <v>0</v>
      </c>
      <c r="BV1174" s="3"/>
      <c r="BW1174" s="3"/>
    </row>
    <row r="1175" spans="1:75">
      <c r="A1175" s="1" t="s">
        <v>75</v>
      </c>
      <c r="B1175" s="1" t="s">
        <v>13976</v>
      </c>
      <c r="C1175" s="1" t="s">
        <v>21358</v>
      </c>
      <c r="D1175" s="1" t="s">
        <v>21359</v>
      </c>
      <c r="E1175" s="1" t="s">
        <v>21360</v>
      </c>
      <c r="F1175" s="1" t="s">
        <v>21361</v>
      </c>
      <c r="G1175" s="1" t="s">
        <v>21362</v>
      </c>
      <c r="H1175" s="1" t="s">
        <v>21363</v>
      </c>
      <c r="I1175" s="1" t="s">
        <v>21363</v>
      </c>
      <c r="J1175" s="1">
        <v>9104080433</v>
      </c>
      <c r="K1175" s="1" t="s">
        <v>84</v>
      </c>
      <c r="L1175" s="1" t="s">
        <v>21364</v>
      </c>
      <c r="M1175" s="1" t="s">
        <v>86</v>
      </c>
      <c r="N1175" s="1" t="s">
        <v>18088</v>
      </c>
      <c r="O1175" s="1" t="s">
        <v>21365</v>
      </c>
      <c r="P1175" s="1" t="s">
        <v>89</v>
      </c>
      <c r="Q1175" s="1">
        <v>241332099923</v>
      </c>
      <c r="R1175" s="1" t="s">
        <v>21366</v>
      </c>
      <c r="S1175" s="1">
        <v>9925408343</v>
      </c>
      <c r="T1175" s="1" t="s">
        <v>3439</v>
      </c>
      <c r="U1175" s="1" t="s">
        <v>21367</v>
      </c>
      <c r="V1175" s="1">
        <v>9725995590</v>
      </c>
      <c r="W1175" s="1" t="s">
        <v>14710</v>
      </c>
      <c r="X1175" s="1" t="s">
        <v>21368</v>
      </c>
      <c r="Y1175" s="1" t="s">
        <v>8166</v>
      </c>
      <c r="Z1175" s="1" t="s">
        <v>676</v>
      </c>
      <c r="AA1175" s="1" t="s">
        <v>21368</v>
      </c>
      <c r="AB1175" s="1" t="s">
        <v>8166</v>
      </c>
      <c r="AC1175" s="1" t="s">
        <v>676</v>
      </c>
      <c r="AD1175" s="1" t="s">
        <v>98</v>
      </c>
      <c r="AE1175" s="1" t="s">
        <v>98</v>
      </c>
      <c r="AF1175" s="1" t="s">
        <v>21369</v>
      </c>
      <c r="AG1175" s="1" t="s">
        <v>8166</v>
      </c>
      <c r="AH1175" s="1" t="s">
        <v>106</v>
      </c>
      <c r="AI1175" s="1" t="s">
        <v>414</v>
      </c>
      <c r="AJ1175" s="1">
        <v>64</v>
      </c>
      <c r="AK1175" s="1"/>
      <c r="AL1175" s="1" t="s">
        <v>21370</v>
      </c>
      <c r="AM1175" s="1" t="s">
        <v>8166</v>
      </c>
      <c r="AN1175" s="1" t="s">
        <v>465</v>
      </c>
      <c r="AO1175" s="1" t="s">
        <v>468</v>
      </c>
      <c r="AP1175" s="1" t="s">
        <v>845</v>
      </c>
      <c r="AQ1175" s="1">
        <v>68.6</v>
      </c>
      <c r="AR1175" s="1"/>
      <c r="AS1175" s="1"/>
      <c r="AT1175" s="1"/>
      <c r="AU1175" s="1"/>
      <c r="AV1175" s="1"/>
      <c r="AW1175" s="1"/>
      <c r="AX1175" s="1"/>
      <c r="AY1175" s="1" t="s">
        <v>21371</v>
      </c>
      <c r="AZ1175" s="1" t="s">
        <v>8166</v>
      </c>
      <c r="BA1175" s="1" t="s">
        <v>466</v>
      </c>
      <c r="BB1175" s="1" t="s">
        <v>19084</v>
      </c>
      <c r="BC1175" s="1" t="s">
        <v>441</v>
      </c>
      <c r="BD1175" s="1" t="s">
        <v>14101</v>
      </c>
      <c r="BE1175" s="1">
        <v>67</v>
      </c>
      <c r="BF1175" s="1">
        <v>2.6</v>
      </c>
      <c r="BG1175" s="1"/>
      <c r="BH1175" s="1"/>
      <c r="BI1175" s="1"/>
      <c r="BJ1175" s="1"/>
      <c r="BK1175" s="1"/>
      <c r="BL1175" s="1"/>
      <c r="BM1175" s="1"/>
      <c r="BN1175" s="1"/>
      <c r="BO1175" s="1" t="s">
        <v>21372</v>
      </c>
      <c r="BP1175" s="1"/>
      <c r="BQ1175" s="1"/>
      <c r="BR1175" s="1" t="s">
        <v>21373</v>
      </c>
      <c r="BS1175" s="1">
        <v>15</v>
      </c>
      <c r="BT1175" s="1" t="s">
        <v>21374</v>
      </c>
      <c r="BU1175" s="1" t="str">
        <f>HYPERLINK("https://nconnect.nicmar.ac.in/storage/profile/6a84814b2354a.png","Download")</f>
        <v>0</v>
      </c>
      <c r="BV1175" s="3"/>
      <c r="BW1175" s="3"/>
    </row>
    <row r="1176" spans="1:75">
      <c r="A1176" s="1" t="s">
        <v>75</v>
      </c>
      <c r="B1176" s="1" t="s">
        <v>13976</v>
      </c>
      <c r="C1176" s="1" t="s">
        <v>21375</v>
      </c>
      <c r="D1176" s="1" t="s">
        <v>21376</v>
      </c>
      <c r="E1176" s="1" t="s">
        <v>21377</v>
      </c>
      <c r="F1176" s="1" t="s">
        <v>17607</v>
      </c>
      <c r="G1176" s="1" t="s">
        <v>21378</v>
      </c>
      <c r="H1176" s="1" t="s">
        <v>21379</v>
      </c>
      <c r="I1176" s="1" t="s">
        <v>21379</v>
      </c>
      <c r="J1176" s="1">
        <v>8424033175</v>
      </c>
      <c r="K1176" s="1" t="s">
        <v>84</v>
      </c>
      <c r="L1176" s="1" t="s">
        <v>21380</v>
      </c>
      <c r="M1176" s="1" t="s">
        <v>86</v>
      </c>
      <c r="N1176" s="1" t="s">
        <v>768</v>
      </c>
      <c r="O1176" s="1" t="s">
        <v>21381</v>
      </c>
      <c r="P1176" s="1" t="s">
        <v>89</v>
      </c>
      <c r="Q1176" s="1">
        <v>554728619559</v>
      </c>
      <c r="R1176" s="1" t="s">
        <v>21382</v>
      </c>
      <c r="S1176" s="1">
        <v>9870033175</v>
      </c>
      <c r="T1176" s="1" t="s">
        <v>14256</v>
      </c>
      <c r="U1176" s="1" t="s">
        <v>21383</v>
      </c>
      <c r="V1176" s="1">
        <v>8369657065</v>
      </c>
      <c r="W1176" s="1" t="s">
        <v>14154</v>
      </c>
      <c r="X1176" s="1" t="s">
        <v>21384</v>
      </c>
      <c r="Y1176" s="1" t="s">
        <v>1882</v>
      </c>
      <c r="Z1176" s="1" t="s">
        <v>97</v>
      </c>
      <c r="AA1176" s="1" t="s">
        <v>21384</v>
      </c>
      <c r="AB1176" s="1" t="s">
        <v>1882</v>
      </c>
      <c r="AC1176" s="1" t="s">
        <v>97</v>
      </c>
      <c r="AD1176" s="1" t="s">
        <v>98</v>
      </c>
      <c r="AE1176" s="1" t="s">
        <v>98</v>
      </c>
      <c r="AF1176" s="1" t="s">
        <v>21385</v>
      </c>
      <c r="AG1176" s="1" t="s">
        <v>21386</v>
      </c>
      <c r="AH1176" s="1" t="s">
        <v>438</v>
      </c>
      <c r="AI1176" s="1" t="s">
        <v>603</v>
      </c>
      <c r="AJ1176" s="1">
        <v>76.2</v>
      </c>
      <c r="AK1176" s="1"/>
      <c r="AL1176" s="1" t="s">
        <v>21387</v>
      </c>
      <c r="AM1176" s="1" t="s">
        <v>21386</v>
      </c>
      <c r="AN1176" s="1" t="s">
        <v>465</v>
      </c>
      <c r="AO1176" s="1" t="s">
        <v>847</v>
      </c>
      <c r="AP1176" s="1" t="s">
        <v>1886</v>
      </c>
      <c r="AQ1176" s="1">
        <v>60.17</v>
      </c>
      <c r="AR1176" s="1"/>
      <c r="AS1176" s="1"/>
      <c r="AT1176" s="1"/>
      <c r="AU1176" s="1"/>
      <c r="AV1176" s="1"/>
      <c r="AW1176" s="1"/>
      <c r="AX1176" s="1"/>
      <c r="AY1176" s="1" t="s">
        <v>21388</v>
      </c>
      <c r="AZ1176" s="1" t="s">
        <v>21389</v>
      </c>
      <c r="BA1176" s="1" t="s">
        <v>578</v>
      </c>
      <c r="BB1176" s="1" t="s">
        <v>467</v>
      </c>
      <c r="BC1176" s="1" t="s">
        <v>179</v>
      </c>
      <c r="BD1176" s="1" t="s">
        <v>9688</v>
      </c>
      <c r="BE1176" s="1">
        <v>68.49</v>
      </c>
      <c r="BF1176" s="1">
        <v>7.75</v>
      </c>
      <c r="BG1176" s="1"/>
      <c r="BH1176" s="1"/>
      <c r="BI1176" s="1"/>
      <c r="BJ1176" s="1"/>
      <c r="BK1176" s="1"/>
      <c r="BL1176" s="1"/>
      <c r="BM1176" s="1"/>
      <c r="BN1176" s="1"/>
      <c r="BO1176" s="1" t="s">
        <v>21390</v>
      </c>
      <c r="BP1176" s="1"/>
      <c r="BQ1176" s="1"/>
      <c r="BR1176" s="1"/>
      <c r="BS1176" s="1"/>
      <c r="BT1176" s="1"/>
      <c r="BU1176" s="1" t="str">
        <f>HYPERLINK("https://nconnect.nicmar.ac.in/storage/profile/6a87377939b48.png","Download")</f>
        <v>0</v>
      </c>
      <c r="BV1176" s="3"/>
      <c r="BW1176" s="3"/>
    </row>
    <row r="1177" spans="1:75">
      <c r="A1177" s="1" t="s">
        <v>75</v>
      </c>
      <c r="B1177" s="1" t="s">
        <v>13976</v>
      </c>
      <c r="C1177" s="1" t="s">
        <v>21391</v>
      </c>
      <c r="D1177" s="1" t="s">
        <v>21392</v>
      </c>
      <c r="E1177" s="1"/>
      <c r="F1177" s="1" t="s">
        <v>4802</v>
      </c>
      <c r="G1177" s="1" t="s">
        <v>21393</v>
      </c>
      <c r="H1177" s="1" t="s">
        <v>21394</v>
      </c>
      <c r="I1177" s="1" t="s">
        <v>21395</v>
      </c>
      <c r="J1177" s="1">
        <v>7013455165</v>
      </c>
      <c r="K1177" s="1" t="s">
        <v>84</v>
      </c>
      <c r="L1177" s="1" t="s">
        <v>21396</v>
      </c>
      <c r="M1177" s="1" t="s">
        <v>86</v>
      </c>
      <c r="N1177" s="1" t="s">
        <v>21397</v>
      </c>
      <c r="O1177" s="1" t="s">
        <v>21398</v>
      </c>
      <c r="P1177" s="1" t="s">
        <v>219</v>
      </c>
      <c r="Q1177" s="1">
        <v>869519474899</v>
      </c>
      <c r="R1177" s="1" t="s">
        <v>21399</v>
      </c>
      <c r="S1177" s="1">
        <v>9701036425</v>
      </c>
      <c r="T1177" s="1" t="s">
        <v>127</v>
      </c>
      <c r="U1177" s="1" t="s">
        <v>21400</v>
      </c>
      <c r="V1177" s="1">
        <v>9440566761</v>
      </c>
      <c r="W1177" s="1" t="s">
        <v>127</v>
      </c>
      <c r="X1177" s="1" t="s">
        <v>21401</v>
      </c>
      <c r="Y1177" s="1" t="s">
        <v>1924</v>
      </c>
      <c r="Z1177" s="1" t="s">
        <v>281</v>
      </c>
      <c r="AA1177" s="1" t="s">
        <v>21402</v>
      </c>
      <c r="AB1177" s="1" t="s">
        <v>1924</v>
      </c>
      <c r="AC1177" s="1" t="s">
        <v>281</v>
      </c>
      <c r="AD1177" s="1" t="s">
        <v>98</v>
      </c>
      <c r="AE1177" s="1" t="s">
        <v>98</v>
      </c>
      <c r="AF1177" s="1" t="s">
        <v>21403</v>
      </c>
      <c r="AG1177" s="1" t="s">
        <v>21404</v>
      </c>
      <c r="AH1177" s="1" t="s">
        <v>133</v>
      </c>
      <c r="AI1177" s="1" t="s">
        <v>286</v>
      </c>
      <c r="AJ1177" s="1">
        <v>95.0</v>
      </c>
      <c r="AK1177" s="1">
        <v>10</v>
      </c>
      <c r="AL1177" s="1" t="s">
        <v>1843</v>
      </c>
      <c r="AM1177" s="1" t="s">
        <v>2494</v>
      </c>
      <c r="AN1177" s="1" t="s">
        <v>465</v>
      </c>
      <c r="AO1177" s="1" t="s">
        <v>106</v>
      </c>
      <c r="AP1177" s="1" t="s">
        <v>603</v>
      </c>
      <c r="AQ1177" s="1">
        <v>95.0</v>
      </c>
      <c r="AR1177" s="1">
        <v>9.94</v>
      </c>
      <c r="AS1177" s="1"/>
      <c r="AT1177" s="1"/>
      <c r="AU1177" s="1"/>
      <c r="AV1177" s="1"/>
      <c r="AW1177" s="1"/>
      <c r="AX1177" s="1"/>
      <c r="AY1177" s="1" t="s">
        <v>576</v>
      </c>
      <c r="AZ1177" s="1" t="s">
        <v>21405</v>
      </c>
      <c r="BA1177" s="1" t="s">
        <v>682</v>
      </c>
      <c r="BB1177" s="1" t="s">
        <v>1561</v>
      </c>
      <c r="BC1177" s="1" t="s">
        <v>175</v>
      </c>
      <c r="BD1177" s="1" t="s">
        <v>607</v>
      </c>
      <c r="BE1177" s="1">
        <v>79.0</v>
      </c>
      <c r="BF1177" s="1">
        <v>7.9</v>
      </c>
      <c r="BG1177" s="1"/>
      <c r="BH1177" s="1"/>
      <c r="BI1177" s="1"/>
      <c r="BJ1177" s="1"/>
      <c r="BK1177" s="1"/>
      <c r="BL1177" s="1"/>
      <c r="BM1177" s="1"/>
      <c r="BN1177" s="1"/>
      <c r="BO1177" s="1" t="s">
        <v>21406</v>
      </c>
      <c r="BP1177" s="1" t="s">
        <v>21407</v>
      </c>
      <c r="BQ1177" s="1" t="s">
        <v>1070</v>
      </c>
      <c r="BR1177" s="1" t="s">
        <v>21408</v>
      </c>
      <c r="BS1177" s="1">
        <v>15</v>
      </c>
      <c r="BT1177" s="1" t="s">
        <v>21409</v>
      </c>
      <c r="BU1177" s="1" t="str">
        <f>HYPERLINK("https://nconnect.nicmar.ac.in/storage/profile/6a857a8dbde11.png","Download")</f>
        <v>0</v>
      </c>
      <c r="BV1177" s="3"/>
      <c r="BW1177" s="3"/>
    </row>
    <row r="1178" spans="1:75">
      <c r="A1178" s="1" t="s">
        <v>75</v>
      </c>
      <c r="B1178" s="1" t="s">
        <v>13976</v>
      </c>
      <c r="C1178" s="1" t="s">
        <v>21410</v>
      </c>
      <c r="D1178" s="1" t="s">
        <v>21411</v>
      </c>
      <c r="E1178" s="1"/>
      <c r="F1178" s="1" t="s">
        <v>21412</v>
      </c>
      <c r="G1178" s="1" t="s">
        <v>21413</v>
      </c>
      <c r="H1178" s="1" t="s">
        <v>21414</v>
      </c>
      <c r="I1178" s="1" t="s">
        <v>21414</v>
      </c>
      <c r="J1178" s="1">
        <v>9048736603</v>
      </c>
      <c r="K1178" s="1" t="s">
        <v>153</v>
      </c>
      <c r="L1178" s="1" t="s">
        <v>17746</v>
      </c>
      <c r="M1178" s="1" t="s">
        <v>86</v>
      </c>
      <c r="N1178" s="1" t="s">
        <v>21415</v>
      </c>
      <c r="O1178" s="1" t="s">
        <v>21416</v>
      </c>
      <c r="P1178" s="1" t="s">
        <v>219</v>
      </c>
      <c r="Q1178" s="1">
        <v>464607471451</v>
      </c>
      <c r="R1178" s="1" t="s">
        <v>21417</v>
      </c>
      <c r="S1178" s="1">
        <v>9961529112</v>
      </c>
      <c r="T1178" s="1" t="s">
        <v>21418</v>
      </c>
      <c r="U1178" s="1" t="s">
        <v>21419</v>
      </c>
      <c r="V1178" s="1">
        <v>9072959259</v>
      </c>
      <c r="W1178" s="1" t="s">
        <v>21420</v>
      </c>
      <c r="X1178" s="1" t="s">
        <v>21421</v>
      </c>
      <c r="Y1178" s="1" t="s">
        <v>7679</v>
      </c>
      <c r="Z1178" s="1" t="s">
        <v>130</v>
      </c>
      <c r="AA1178" s="1" t="s">
        <v>21421</v>
      </c>
      <c r="AB1178" s="1" t="s">
        <v>7679</v>
      </c>
      <c r="AC1178" s="1" t="s">
        <v>130</v>
      </c>
      <c r="AD1178" s="1" t="s">
        <v>98</v>
      </c>
      <c r="AE1178" s="1" t="s">
        <v>98</v>
      </c>
      <c r="AF1178" s="1" t="s">
        <v>21422</v>
      </c>
      <c r="AG1178" s="1" t="s">
        <v>9682</v>
      </c>
      <c r="AH1178" s="1" t="s">
        <v>171</v>
      </c>
      <c r="AI1178" s="1" t="s">
        <v>414</v>
      </c>
      <c r="AJ1178" s="1">
        <v>95.6</v>
      </c>
      <c r="AK1178" s="1"/>
      <c r="AL1178" s="1" t="s">
        <v>21423</v>
      </c>
      <c r="AM1178" s="1" t="s">
        <v>21424</v>
      </c>
      <c r="AN1178" s="1" t="s">
        <v>575</v>
      </c>
      <c r="AO1178" s="1" t="s">
        <v>417</v>
      </c>
      <c r="AP1178" s="1" t="s">
        <v>845</v>
      </c>
      <c r="AQ1178" s="1">
        <v>84.6</v>
      </c>
      <c r="AR1178" s="1"/>
      <c r="AS1178" s="1"/>
      <c r="AT1178" s="1"/>
      <c r="AU1178" s="1"/>
      <c r="AV1178" s="1"/>
      <c r="AW1178" s="1"/>
      <c r="AX1178" s="1"/>
      <c r="AY1178" s="1" t="s">
        <v>21425</v>
      </c>
      <c r="AZ1178" s="1" t="s">
        <v>21426</v>
      </c>
      <c r="BA1178" s="1" t="s">
        <v>466</v>
      </c>
      <c r="BB1178" s="1" t="s">
        <v>467</v>
      </c>
      <c r="BC1178" s="1" t="s">
        <v>1825</v>
      </c>
      <c r="BD1178" s="1" t="s">
        <v>9688</v>
      </c>
      <c r="BE1178" s="1">
        <v>70.2</v>
      </c>
      <c r="BF1178" s="1">
        <v>7.02</v>
      </c>
      <c r="BG1178" s="1"/>
      <c r="BH1178" s="1"/>
      <c r="BI1178" s="1"/>
      <c r="BJ1178" s="1"/>
      <c r="BK1178" s="1"/>
      <c r="BL1178" s="1"/>
      <c r="BM1178" s="1"/>
      <c r="BN1178" s="1"/>
      <c r="BO1178" s="1" t="s">
        <v>369</v>
      </c>
      <c r="BP1178" s="1"/>
      <c r="BQ1178" s="1"/>
      <c r="BR1178" s="1" t="s">
        <v>21427</v>
      </c>
      <c r="BS1178" s="1">
        <v>1</v>
      </c>
      <c r="BT1178" s="1"/>
      <c r="BU1178" s="1" t="str">
        <f>HYPERLINK("https://nconnect.nicmar.ac.in/storage/profile/6a8711c075b8e.png","Download")</f>
        <v>0</v>
      </c>
      <c r="BV1178" s="3"/>
      <c r="BW1178" s="3"/>
    </row>
    <row r="1179" spans="1:75">
      <c r="A1179" s="1" t="s">
        <v>75</v>
      </c>
      <c r="B1179" s="1" t="s">
        <v>13976</v>
      </c>
      <c r="C1179" s="1" t="s">
        <v>21428</v>
      </c>
      <c r="D1179" s="1" t="s">
        <v>21429</v>
      </c>
      <c r="E1179" s="1" t="s">
        <v>14757</v>
      </c>
      <c r="F1179" s="1" t="s">
        <v>21430</v>
      </c>
      <c r="G1179" s="1" t="s">
        <v>21431</v>
      </c>
      <c r="H1179" s="1" t="s">
        <v>21432</v>
      </c>
      <c r="I1179" s="1" t="s">
        <v>21432</v>
      </c>
      <c r="J1179" s="1">
        <v>7249340114</v>
      </c>
      <c r="K1179" s="1" t="s">
        <v>84</v>
      </c>
      <c r="L1179" s="1" t="s">
        <v>21433</v>
      </c>
      <c r="M1179" s="1" t="s">
        <v>86</v>
      </c>
      <c r="N1179" s="1" t="s">
        <v>21434</v>
      </c>
      <c r="O1179" s="1" t="s">
        <v>21435</v>
      </c>
      <c r="P1179" s="1" t="s">
        <v>122</v>
      </c>
      <c r="Q1179" s="1">
        <v>964200360963</v>
      </c>
      <c r="R1179" s="1" t="s">
        <v>21436</v>
      </c>
      <c r="S1179" s="1">
        <v>9421790830</v>
      </c>
      <c r="T1179" s="1" t="s">
        <v>21437</v>
      </c>
      <c r="U1179" s="1" t="s">
        <v>21438</v>
      </c>
      <c r="V1179" s="1">
        <v>9421705962</v>
      </c>
      <c r="W1179" s="1" t="s">
        <v>14154</v>
      </c>
      <c r="X1179" s="1" t="s">
        <v>21439</v>
      </c>
      <c r="Y1179" s="1" t="s">
        <v>224</v>
      </c>
      <c r="Z1179" s="1" t="s">
        <v>97</v>
      </c>
      <c r="AA1179" s="1" t="s">
        <v>21439</v>
      </c>
      <c r="AB1179" s="1" t="s">
        <v>224</v>
      </c>
      <c r="AC1179" s="1" t="s">
        <v>97</v>
      </c>
      <c r="AD1179" s="1" t="s">
        <v>98</v>
      </c>
      <c r="AE1179" s="1" t="s">
        <v>98</v>
      </c>
      <c r="AF1179" s="1" t="s">
        <v>21440</v>
      </c>
      <c r="AG1179" s="1" t="s">
        <v>21441</v>
      </c>
      <c r="AH1179" s="1" t="s">
        <v>106</v>
      </c>
      <c r="AI1179" s="1" t="s">
        <v>414</v>
      </c>
      <c r="AJ1179" s="1">
        <v>73.4</v>
      </c>
      <c r="AK1179" s="1"/>
      <c r="AL1179" s="1" t="s">
        <v>21442</v>
      </c>
      <c r="AM1179" s="1" t="s">
        <v>21441</v>
      </c>
      <c r="AN1179" s="1" t="s">
        <v>465</v>
      </c>
      <c r="AO1179" s="1" t="s">
        <v>315</v>
      </c>
      <c r="AP1179" s="1" t="s">
        <v>549</v>
      </c>
      <c r="AQ1179" s="1">
        <v>82.5</v>
      </c>
      <c r="AR1179" s="1"/>
      <c r="AS1179" s="1"/>
      <c r="AT1179" s="1"/>
      <c r="AU1179" s="1"/>
      <c r="AV1179" s="1"/>
      <c r="AW1179" s="1"/>
      <c r="AX1179" s="1"/>
      <c r="AY1179" s="1" t="s">
        <v>19550</v>
      </c>
      <c r="AZ1179" s="1" t="s">
        <v>21443</v>
      </c>
      <c r="BA1179" s="1" t="s">
        <v>578</v>
      </c>
      <c r="BB1179" s="1" t="s">
        <v>467</v>
      </c>
      <c r="BC1179" s="1" t="s">
        <v>441</v>
      </c>
      <c r="BD1179" s="1" t="s">
        <v>848</v>
      </c>
      <c r="BE1179" s="1">
        <v>64.88</v>
      </c>
      <c r="BF1179" s="1">
        <v>7.38</v>
      </c>
      <c r="BG1179" s="1"/>
      <c r="BH1179" s="1"/>
      <c r="BI1179" s="1"/>
      <c r="BJ1179" s="1"/>
      <c r="BK1179" s="1"/>
      <c r="BL1179" s="1"/>
      <c r="BM1179" s="1"/>
      <c r="BN1179" s="1"/>
      <c r="BO1179" s="1" t="s">
        <v>21444</v>
      </c>
      <c r="BP1179" s="1" t="s">
        <v>21445</v>
      </c>
      <c r="BQ1179" s="1" t="s">
        <v>2093</v>
      </c>
      <c r="BR1179" s="1" t="s">
        <v>21446</v>
      </c>
      <c r="BS1179" s="1">
        <v>3</v>
      </c>
      <c r="BT1179" s="1" t="s">
        <v>21447</v>
      </c>
      <c r="BU1179" s="1" t="str">
        <f>HYPERLINK("https://nconnect.nicmar.ac.in/storage/profile/6a8713e880190.png","Download")</f>
        <v>0</v>
      </c>
      <c r="BV1179" s="3"/>
      <c r="BW1179" s="3"/>
    </row>
    <row r="1180" spans="1:75">
      <c r="A1180" s="1" t="s">
        <v>75</v>
      </c>
      <c r="B1180" s="1" t="s">
        <v>13976</v>
      </c>
      <c r="C1180" s="1" t="s">
        <v>21448</v>
      </c>
      <c r="D1180" s="1" t="s">
        <v>21449</v>
      </c>
      <c r="E1180" s="1" t="s">
        <v>21450</v>
      </c>
      <c r="F1180" s="1" t="s">
        <v>16872</v>
      </c>
      <c r="G1180" s="1" t="s">
        <v>21451</v>
      </c>
      <c r="H1180" s="1" t="s">
        <v>21452</v>
      </c>
      <c r="I1180" s="1" t="s">
        <v>21452</v>
      </c>
      <c r="J1180" s="1">
        <v>7498292135</v>
      </c>
      <c r="K1180" s="1" t="s">
        <v>153</v>
      </c>
      <c r="L1180" s="1" t="s">
        <v>21453</v>
      </c>
      <c r="M1180" s="1" t="s">
        <v>86</v>
      </c>
      <c r="N1180" s="1" t="s">
        <v>618</v>
      </c>
      <c r="O1180" s="1" t="s">
        <v>21454</v>
      </c>
      <c r="P1180" s="1" t="s">
        <v>89</v>
      </c>
      <c r="Q1180" s="1">
        <v>968707444900</v>
      </c>
      <c r="R1180" s="1" t="s">
        <v>21455</v>
      </c>
      <c r="S1180" s="1">
        <v>9284654200</v>
      </c>
      <c r="T1180" s="1" t="s">
        <v>2177</v>
      </c>
      <c r="U1180" s="1" t="s">
        <v>21456</v>
      </c>
      <c r="V1180" s="1">
        <v>9834792073</v>
      </c>
      <c r="W1180" s="1" t="s">
        <v>14154</v>
      </c>
      <c r="X1180" s="1" t="s">
        <v>21457</v>
      </c>
      <c r="Y1180" s="1" t="s">
        <v>1012</v>
      </c>
      <c r="Z1180" s="1" t="s">
        <v>97</v>
      </c>
      <c r="AA1180" s="1" t="s">
        <v>21457</v>
      </c>
      <c r="AB1180" s="1" t="s">
        <v>1012</v>
      </c>
      <c r="AC1180" s="1" t="s">
        <v>97</v>
      </c>
      <c r="AD1180" s="1" t="s">
        <v>98</v>
      </c>
      <c r="AE1180" s="1" t="s">
        <v>98</v>
      </c>
      <c r="AF1180" s="1" t="s">
        <v>21458</v>
      </c>
      <c r="AG1180" s="1" t="s">
        <v>21459</v>
      </c>
      <c r="AH1180" s="1" t="s">
        <v>315</v>
      </c>
      <c r="AI1180" s="1" t="s">
        <v>178</v>
      </c>
      <c r="AJ1180" s="1">
        <v>85.0</v>
      </c>
      <c r="AK1180" s="1"/>
      <c r="AL1180" s="1"/>
      <c r="AM1180" s="1"/>
      <c r="AN1180" s="1"/>
      <c r="AO1180" s="1"/>
      <c r="AP1180" s="1"/>
      <c r="AQ1180" s="1"/>
      <c r="AR1180" s="1"/>
      <c r="AS1180" s="1" t="s">
        <v>14158</v>
      </c>
      <c r="AT1180" s="1" t="s">
        <v>21460</v>
      </c>
      <c r="AU1180" s="1" t="s">
        <v>178</v>
      </c>
      <c r="AV1180" s="1" t="s">
        <v>179</v>
      </c>
      <c r="AW1180" s="1">
        <v>80.11</v>
      </c>
      <c r="AX1180" s="1"/>
      <c r="AY1180" s="1" t="s">
        <v>14380</v>
      </c>
      <c r="AZ1180" s="1" t="s">
        <v>21461</v>
      </c>
      <c r="BA1180" s="1" t="s">
        <v>578</v>
      </c>
      <c r="BB1180" s="1" t="s">
        <v>467</v>
      </c>
      <c r="BC1180" s="1" t="s">
        <v>179</v>
      </c>
      <c r="BD1180" s="1" t="s">
        <v>14162</v>
      </c>
      <c r="BE1180" s="1">
        <v>78.87</v>
      </c>
      <c r="BF1180" s="1">
        <v>8.71</v>
      </c>
      <c r="BG1180" s="1"/>
      <c r="BH1180" s="1"/>
      <c r="BI1180" s="1"/>
      <c r="BJ1180" s="1"/>
      <c r="BK1180" s="1"/>
      <c r="BL1180" s="1"/>
      <c r="BM1180" s="1"/>
      <c r="BN1180" s="1"/>
      <c r="BO1180" s="1" t="s">
        <v>21462</v>
      </c>
      <c r="BP1180" s="1"/>
      <c r="BQ1180" s="1"/>
      <c r="BR1180" s="1" t="s">
        <v>21463</v>
      </c>
      <c r="BS1180" s="1">
        <v>10</v>
      </c>
      <c r="BT1180" s="1"/>
      <c r="BU1180" s="1" t="str">
        <f>HYPERLINK("https://nconnect.nicmar.ac.in/storage/profile/6a86fae752b41.png","Download")</f>
        <v>0</v>
      </c>
      <c r="BV1180" s="3"/>
      <c r="BW1180" s="3"/>
    </row>
    <row r="1181" spans="1:75">
      <c r="A1181" s="1" t="s">
        <v>75</v>
      </c>
      <c r="B1181" s="1" t="s">
        <v>13976</v>
      </c>
      <c r="C1181" s="1" t="s">
        <v>21464</v>
      </c>
      <c r="D1181" s="1" t="s">
        <v>21465</v>
      </c>
      <c r="E1181" s="1"/>
      <c r="F1181" s="1" t="s">
        <v>21466</v>
      </c>
      <c r="G1181" s="1" t="s">
        <v>21467</v>
      </c>
      <c r="H1181" s="1" t="s">
        <v>21468</v>
      </c>
      <c r="I1181" s="1" t="s">
        <v>21468</v>
      </c>
      <c r="J1181" s="1">
        <v>9489687707</v>
      </c>
      <c r="K1181" s="1" t="s">
        <v>84</v>
      </c>
      <c r="L1181" s="1" t="s">
        <v>21469</v>
      </c>
      <c r="M1181" s="1" t="s">
        <v>86</v>
      </c>
      <c r="N1181" s="1" t="s">
        <v>21470</v>
      </c>
      <c r="O1181" s="1" t="s">
        <v>21471</v>
      </c>
      <c r="P1181" s="1" t="s">
        <v>89</v>
      </c>
      <c r="Q1181" s="1">
        <v>357598590507</v>
      </c>
      <c r="R1181" s="1" t="s">
        <v>21472</v>
      </c>
      <c r="S1181" s="1">
        <v>9489709707</v>
      </c>
      <c r="T1181" s="1" t="s">
        <v>15965</v>
      </c>
      <c r="U1181" s="1" t="s">
        <v>18854</v>
      </c>
      <c r="V1181" s="1">
        <v>9486681937</v>
      </c>
      <c r="W1181" s="1" t="s">
        <v>10306</v>
      </c>
      <c r="X1181" s="1" t="s">
        <v>21473</v>
      </c>
      <c r="Y1181" s="1" t="s">
        <v>21474</v>
      </c>
      <c r="Z1181" s="1" t="s">
        <v>570</v>
      </c>
      <c r="AA1181" s="1" t="s">
        <v>21473</v>
      </c>
      <c r="AB1181" s="1" t="s">
        <v>21474</v>
      </c>
      <c r="AC1181" s="1" t="s">
        <v>570</v>
      </c>
      <c r="AD1181" s="1" t="s">
        <v>98</v>
      </c>
      <c r="AE1181" s="1" t="s">
        <v>98</v>
      </c>
      <c r="AF1181" s="1" t="s">
        <v>21475</v>
      </c>
      <c r="AG1181" s="1" t="s">
        <v>21476</v>
      </c>
      <c r="AH1181" s="1" t="s">
        <v>704</v>
      </c>
      <c r="AI1181" s="1" t="s">
        <v>171</v>
      </c>
      <c r="AJ1181" s="1">
        <v>70</v>
      </c>
      <c r="AK1181" s="1"/>
      <c r="AL1181" s="1" t="s">
        <v>21475</v>
      </c>
      <c r="AM1181" s="1" t="s">
        <v>21476</v>
      </c>
      <c r="AN1181" s="1" t="s">
        <v>575</v>
      </c>
      <c r="AO1181" s="1" t="s">
        <v>547</v>
      </c>
      <c r="AP1181" s="1" t="s">
        <v>178</v>
      </c>
      <c r="AQ1181" s="1">
        <v>71.8</v>
      </c>
      <c r="AR1181" s="1"/>
      <c r="AS1181" s="1"/>
      <c r="AT1181" s="1"/>
      <c r="AU1181" s="1"/>
      <c r="AV1181" s="1"/>
      <c r="AW1181" s="1"/>
      <c r="AX1181" s="1"/>
      <c r="AY1181" s="1" t="s">
        <v>14303</v>
      </c>
      <c r="AZ1181" s="1" t="s">
        <v>21477</v>
      </c>
      <c r="BA1181" s="1" t="s">
        <v>578</v>
      </c>
      <c r="BB1181" s="1" t="s">
        <v>467</v>
      </c>
      <c r="BC1181" s="1" t="s">
        <v>175</v>
      </c>
      <c r="BD1181" s="1" t="s">
        <v>207</v>
      </c>
      <c r="BE1181" s="1">
        <v>79.8</v>
      </c>
      <c r="BF1181" s="1">
        <v>7.98</v>
      </c>
      <c r="BG1181" s="1"/>
      <c r="BH1181" s="1"/>
      <c r="BI1181" s="1"/>
      <c r="BJ1181" s="1"/>
      <c r="BK1181" s="1"/>
      <c r="BL1181" s="1"/>
      <c r="BM1181" s="1"/>
      <c r="BN1181" s="1"/>
      <c r="BO1181" s="1" t="s">
        <v>14382</v>
      </c>
      <c r="BP1181" s="1" t="s">
        <v>21478</v>
      </c>
      <c r="BQ1181" s="1" t="s">
        <v>1152</v>
      </c>
      <c r="BR1181" s="1" t="s">
        <v>21479</v>
      </c>
      <c r="BS1181" s="1">
        <v>4</v>
      </c>
      <c r="BT1181" s="1"/>
      <c r="BU1181" s="1" t="str">
        <f>HYPERLINK("https://nconnect.nicmar.ac.in/storage/profile/6a85f01ded3c2.png","Download")</f>
        <v>0</v>
      </c>
      <c r="BV1181" s="3"/>
      <c r="BW1181" s="3"/>
    </row>
    <row r="1182" spans="1:75">
      <c r="A1182" s="1" t="s">
        <v>75</v>
      </c>
      <c r="B1182" s="1" t="s">
        <v>13976</v>
      </c>
      <c r="C1182" s="1" t="s">
        <v>21480</v>
      </c>
      <c r="D1182" s="1" t="s">
        <v>14087</v>
      </c>
      <c r="E1182" s="1" t="s">
        <v>21481</v>
      </c>
      <c r="F1182" s="1" t="s">
        <v>21482</v>
      </c>
      <c r="G1182" s="1" t="s">
        <v>21483</v>
      </c>
      <c r="H1182" s="1" t="s">
        <v>21484</v>
      </c>
      <c r="I1182" s="1" t="s">
        <v>21485</v>
      </c>
      <c r="J1182" s="1">
        <v>9359729576</v>
      </c>
      <c r="K1182" s="1" t="s">
        <v>153</v>
      </c>
      <c r="L1182" s="1" t="s">
        <v>6389</v>
      </c>
      <c r="M1182" s="1" t="s">
        <v>86</v>
      </c>
      <c r="N1182" s="1" t="s">
        <v>768</v>
      </c>
      <c r="O1182" s="1" t="s">
        <v>21486</v>
      </c>
      <c r="P1182" s="1" t="s">
        <v>219</v>
      </c>
      <c r="Q1182" s="1">
        <v>892965449533</v>
      </c>
      <c r="R1182" s="1" t="s">
        <v>21487</v>
      </c>
      <c r="S1182" s="1">
        <v>7887489576</v>
      </c>
      <c r="T1182" s="1" t="s">
        <v>98</v>
      </c>
      <c r="U1182" s="1" t="s">
        <v>21488</v>
      </c>
      <c r="V1182" s="1">
        <v>9022763795</v>
      </c>
      <c r="W1182" s="1" t="s">
        <v>3441</v>
      </c>
      <c r="X1182" s="1" t="s">
        <v>21489</v>
      </c>
      <c r="Y1182" s="1" t="s">
        <v>5030</v>
      </c>
      <c r="Z1182" s="1" t="s">
        <v>97</v>
      </c>
      <c r="AA1182" s="1" t="s">
        <v>21490</v>
      </c>
      <c r="AB1182" s="1" t="s">
        <v>196</v>
      </c>
      <c r="AC1182" s="1" t="s">
        <v>97</v>
      </c>
      <c r="AD1182" s="1" t="s">
        <v>98</v>
      </c>
      <c r="AE1182" s="1" t="s">
        <v>98</v>
      </c>
      <c r="AF1182" s="1" t="s">
        <v>21491</v>
      </c>
      <c r="AG1182" s="1" t="s">
        <v>17701</v>
      </c>
      <c r="AH1182" s="1" t="s">
        <v>106</v>
      </c>
      <c r="AI1182" s="1" t="s">
        <v>414</v>
      </c>
      <c r="AJ1182" s="1">
        <v>80.8</v>
      </c>
      <c r="AK1182" s="1"/>
      <c r="AL1182" s="1"/>
      <c r="AM1182" s="1"/>
      <c r="AN1182" s="1"/>
      <c r="AO1182" s="1"/>
      <c r="AP1182" s="1"/>
      <c r="AQ1182" s="1"/>
      <c r="AR1182" s="1"/>
      <c r="AS1182" s="1" t="s">
        <v>14377</v>
      </c>
      <c r="AT1182" s="1" t="s">
        <v>17701</v>
      </c>
      <c r="AU1182" s="1" t="s">
        <v>206</v>
      </c>
      <c r="AV1182" s="1" t="s">
        <v>1400</v>
      </c>
      <c r="AW1182" s="1">
        <v>83.79</v>
      </c>
      <c r="AX1182" s="1"/>
      <c r="AY1182" s="1" t="s">
        <v>14160</v>
      </c>
      <c r="AZ1182" s="1" t="s">
        <v>18531</v>
      </c>
      <c r="BA1182" s="1" t="s">
        <v>578</v>
      </c>
      <c r="BB1182" s="1" t="s">
        <v>467</v>
      </c>
      <c r="BC1182" s="1" t="s">
        <v>110</v>
      </c>
      <c r="BD1182" s="1" t="s">
        <v>553</v>
      </c>
      <c r="BE1182" s="1">
        <v>68.5</v>
      </c>
      <c r="BF1182" s="1">
        <v>7.56</v>
      </c>
      <c r="BG1182" s="1"/>
      <c r="BH1182" s="1"/>
      <c r="BI1182" s="1"/>
      <c r="BJ1182" s="1"/>
      <c r="BK1182" s="1"/>
      <c r="BL1182" s="1"/>
      <c r="BM1182" s="1"/>
      <c r="BN1182" s="1"/>
      <c r="BO1182" s="1" t="s">
        <v>21492</v>
      </c>
      <c r="BP1182" s="1" t="s">
        <v>21493</v>
      </c>
      <c r="BQ1182" s="1" t="s">
        <v>292</v>
      </c>
      <c r="BR1182" s="1"/>
      <c r="BS1182" s="1"/>
      <c r="BT1182" s="1"/>
      <c r="BU1182" s="1" t="str">
        <f>HYPERLINK("https://nconnect.nicmar.ac.in/storage/profile/6a89d68b62abd.png","Download")</f>
        <v>0</v>
      </c>
      <c r="BV1182" s="3"/>
      <c r="BW1182" s="3"/>
    </row>
    <row r="1183" spans="1:75">
      <c r="A1183" s="1" t="s">
        <v>75</v>
      </c>
      <c r="B1183" s="1" t="s">
        <v>13976</v>
      </c>
      <c r="C1183" s="1" t="s">
        <v>21494</v>
      </c>
      <c r="D1183" s="1" t="s">
        <v>21495</v>
      </c>
      <c r="E1183" s="1"/>
      <c r="F1183" s="1" t="s">
        <v>21496</v>
      </c>
      <c r="G1183" s="1" t="s">
        <v>21497</v>
      </c>
      <c r="H1183" s="1" t="s">
        <v>21498</v>
      </c>
      <c r="I1183" s="1" t="s">
        <v>21499</v>
      </c>
      <c r="J1183" s="1">
        <v>9909227112</v>
      </c>
      <c r="K1183" s="1" t="s">
        <v>84</v>
      </c>
      <c r="L1183" s="1" t="s">
        <v>21500</v>
      </c>
      <c r="M1183" s="1" t="s">
        <v>86</v>
      </c>
      <c r="N1183" s="1" t="s">
        <v>21501</v>
      </c>
      <c r="O1183" s="1" t="s">
        <v>21502</v>
      </c>
      <c r="P1183" s="1" t="s">
        <v>122</v>
      </c>
      <c r="Q1183" s="1">
        <v>922577587568</v>
      </c>
      <c r="R1183" s="1" t="s">
        <v>21503</v>
      </c>
      <c r="S1183" s="1">
        <v>7435926603</v>
      </c>
      <c r="T1183" s="1" t="s">
        <v>21504</v>
      </c>
      <c r="U1183" s="1" t="s">
        <v>21505</v>
      </c>
      <c r="V1183" s="1">
        <v>7435922413</v>
      </c>
      <c r="W1183" s="1" t="s">
        <v>14154</v>
      </c>
      <c r="X1183" s="1" t="s">
        <v>21506</v>
      </c>
      <c r="Y1183" s="1" t="s">
        <v>19040</v>
      </c>
      <c r="Z1183" s="1" t="s">
        <v>19041</v>
      </c>
      <c r="AA1183" s="1" t="s">
        <v>21506</v>
      </c>
      <c r="AB1183" s="1" t="s">
        <v>19040</v>
      </c>
      <c r="AC1183" s="1" t="s">
        <v>19041</v>
      </c>
      <c r="AD1183" s="1" t="s">
        <v>98</v>
      </c>
      <c r="AE1183" s="1" t="s">
        <v>98</v>
      </c>
      <c r="AF1183" s="1" t="s">
        <v>21507</v>
      </c>
      <c r="AG1183" s="1" t="s">
        <v>21508</v>
      </c>
      <c r="AH1183" s="1" t="s">
        <v>106</v>
      </c>
      <c r="AI1183" s="1" t="s">
        <v>313</v>
      </c>
      <c r="AJ1183" s="1">
        <v>81.83</v>
      </c>
      <c r="AK1183" s="1"/>
      <c r="AL1183" s="1" t="s">
        <v>21507</v>
      </c>
      <c r="AM1183" s="1" t="s">
        <v>21508</v>
      </c>
      <c r="AN1183" s="1" t="s">
        <v>465</v>
      </c>
      <c r="AO1183" s="1" t="s">
        <v>468</v>
      </c>
      <c r="AP1183" s="1" t="s">
        <v>845</v>
      </c>
      <c r="AQ1183" s="1">
        <v>83.54</v>
      </c>
      <c r="AR1183" s="1"/>
      <c r="AS1183" s="1"/>
      <c r="AT1183" s="1"/>
      <c r="AU1183" s="1"/>
      <c r="AV1183" s="1"/>
      <c r="AW1183" s="1"/>
      <c r="AX1183" s="1"/>
      <c r="AY1183" s="1" t="s">
        <v>14160</v>
      </c>
      <c r="AZ1183" s="1" t="s">
        <v>21509</v>
      </c>
      <c r="BA1183" s="1" t="s">
        <v>682</v>
      </c>
      <c r="BB1183" s="1" t="s">
        <v>1561</v>
      </c>
      <c r="BC1183" s="1" t="s">
        <v>871</v>
      </c>
      <c r="BD1183" s="1" t="s">
        <v>14162</v>
      </c>
      <c r="BE1183" s="1">
        <v>88.4</v>
      </c>
      <c r="BF1183" s="1">
        <v>9.45</v>
      </c>
      <c r="BG1183" s="1"/>
      <c r="BH1183" s="1"/>
      <c r="BI1183" s="1"/>
      <c r="BJ1183" s="1"/>
      <c r="BK1183" s="1"/>
      <c r="BL1183" s="1"/>
      <c r="BM1183" s="1"/>
      <c r="BN1183" s="1"/>
      <c r="BO1183" s="1" t="s">
        <v>21510</v>
      </c>
      <c r="BP1183" s="1"/>
      <c r="BQ1183" s="1"/>
      <c r="BR1183" s="1" t="s">
        <v>21511</v>
      </c>
      <c r="BS1183" s="1">
        <v>24</v>
      </c>
      <c r="BT1183" s="1" t="s">
        <v>21512</v>
      </c>
      <c r="BU1183" s="1" t="str">
        <f>HYPERLINK("https://nconnect.nicmar.ac.in/storage/profile/6a80a2418913a.png","Download")</f>
        <v>0</v>
      </c>
      <c r="BV1183" s="3"/>
      <c r="BW1183" s="3"/>
    </row>
    <row r="1184" spans="1:75">
      <c r="A1184" s="1" t="s">
        <v>75</v>
      </c>
      <c r="B1184" s="1" t="s">
        <v>13976</v>
      </c>
      <c r="C1184" s="1" t="s">
        <v>21513</v>
      </c>
      <c r="D1184" s="1" t="s">
        <v>21514</v>
      </c>
      <c r="E1184" s="1"/>
      <c r="F1184" s="1" t="s">
        <v>21515</v>
      </c>
      <c r="G1184" s="1" t="s">
        <v>21516</v>
      </c>
      <c r="H1184" s="1" t="s">
        <v>21517</v>
      </c>
      <c r="I1184" s="1" t="s">
        <v>21518</v>
      </c>
      <c r="J1184" s="1">
        <v>9841185567</v>
      </c>
      <c r="K1184" s="1" t="s">
        <v>84</v>
      </c>
      <c r="L1184" s="1" t="s">
        <v>21519</v>
      </c>
      <c r="M1184" s="1" t="s">
        <v>86</v>
      </c>
      <c r="N1184" s="1" t="s">
        <v>21520</v>
      </c>
      <c r="O1184" s="1" t="s">
        <v>21521</v>
      </c>
      <c r="P1184" s="1" t="s">
        <v>219</v>
      </c>
      <c r="Q1184" s="1">
        <v>711140079955</v>
      </c>
      <c r="R1184" s="1" t="s">
        <v>21522</v>
      </c>
      <c r="S1184" s="1">
        <v>9940079812</v>
      </c>
      <c r="T1184" s="1" t="s">
        <v>21523</v>
      </c>
      <c r="U1184" s="1" t="s">
        <v>21524</v>
      </c>
      <c r="V1184" s="1">
        <v>9952432666</v>
      </c>
      <c r="W1184" s="1" t="s">
        <v>14234</v>
      </c>
      <c r="X1184" s="1" t="s">
        <v>21525</v>
      </c>
      <c r="Y1184" s="1" t="s">
        <v>1498</v>
      </c>
      <c r="Z1184" s="1" t="s">
        <v>570</v>
      </c>
      <c r="AA1184" s="1" t="s">
        <v>21525</v>
      </c>
      <c r="AB1184" s="1" t="s">
        <v>1498</v>
      </c>
      <c r="AC1184" s="1" t="s">
        <v>570</v>
      </c>
      <c r="AD1184" s="1" t="s">
        <v>98</v>
      </c>
      <c r="AE1184" s="1" t="s">
        <v>98</v>
      </c>
      <c r="AF1184" s="1" t="s">
        <v>21526</v>
      </c>
      <c r="AG1184" s="1" t="s">
        <v>21527</v>
      </c>
      <c r="AH1184" s="1" t="s">
        <v>490</v>
      </c>
      <c r="AI1184" s="1" t="s">
        <v>414</v>
      </c>
      <c r="AJ1184" s="1">
        <v>83.5</v>
      </c>
      <c r="AK1184" s="1"/>
      <c r="AL1184" s="1" t="s">
        <v>21526</v>
      </c>
      <c r="AM1184" s="1" t="s">
        <v>21527</v>
      </c>
      <c r="AN1184" s="1" t="s">
        <v>465</v>
      </c>
      <c r="AO1184" s="1" t="s">
        <v>977</v>
      </c>
      <c r="AP1184" s="1" t="s">
        <v>1192</v>
      </c>
      <c r="AQ1184" s="1">
        <v>85.4</v>
      </c>
      <c r="AR1184" s="1"/>
      <c r="AS1184" s="1"/>
      <c r="AT1184" s="1"/>
      <c r="AU1184" s="1"/>
      <c r="AV1184" s="1"/>
      <c r="AW1184" s="1"/>
      <c r="AX1184" s="1"/>
      <c r="AY1184" s="1" t="s">
        <v>14303</v>
      </c>
      <c r="AZ1184" s="1" t="s">
        <v>21528</v>
      </c>
      <c r="BA1184" s="1" t="s">
        <v>578</v>
      </c>
      <c r="BB1184" s="1" t="s">
        <v>467</v>
      </c>
      <c r="BC1184" s="1" t="s">
        <v>552</v>
      </c>
      <c r="BD1184" s="1" t="s">
        <v>553</v>
      </c>
      <c r="BE1184" s="1">
        <v>72.4</v>
      </c>
      <c r="BF1184" s="1">
        <v>7.24</v>
      </c>
      <c r="BG1184" s="1"/>
      <c r="BH1184" s="1"/>
      <c r="BI1184" s="1"/>
      <c r="BJ1184" s="1"/>
      <c r="BK1184" s="1"/>
      <c r="BL1184" s="1"/>
      <c r="BM1184" s="1"/>
      <c r="BN1184" s="1"/>
      <c r="BO1184" s="1" t="s">
        <v>21529</v>
      </c>
      <c r="BP1184" s="1" t="s">
        <v>21530</v>
      </c>
      <c r="BQ1184" s="1" t="s">
        <v>1070</v>
      </c>
      <c r="BR1184" s="1" t="s">
        <v>21531</v>
      </c>
      <c r="BS1184" s="1">
        <v>56</v>
      </c>
      <c r="BT1184" s="1"/>
      <c r="BU1184" s="1" t="str">
        <f>HYPERLINK("https://nconnect.nicmar.ac.in/storage/profile/6a870f8aa1ca6.png","Download")</f>
        <v>0</v>
      </c>
      <c r="BV1184" s="3"/>
      <c r="BW1184" s="3"/>
    </row>
    <row r="1185" spans="1:75">
      <c r="A1185" s="1" t="s">
        <v>75</v>
      </c>
      <c r="B1185" s="1" t="s">
        <v>13976</v>
      </c>
      <c r="C1185" s="1" t="s">
        <v>21532</v>
      </c>
      <c r="D1185" s="1" t="s">
        <v>21533</v>
      </c>
      <c r="E1185" s="1" t="s">
        <v>21534</v>
      </c>
      <c r="F1185" s="1" t="s">
        <v>14460</v>
      </c>
      <c r="G1185" s="1" t="s">
        <v>21535</v>
      </c>
      <c r="H1185" s="1" t="s">
        <v>21536</v>
      </c>
      <c r="I1185" s="1" t="s">
        <v>21537</v>
      </c>
      <c r="J1185" s="1">
        <v>9892585856</v>
      </c>
      <c r="K1185" s="1" t="s">
        <v>84</v>
      </c>
      <c r="L1185" s="1" t="s">
        <v>21538</v>
      </c>
      <c r="M1185" s="1" t="s">
        <v>86</v>
      </c>
      <c r="N1185" s="1" t="s">
        <v>768</v>
      </c>
      <c r="O1185" s="1" t="s">
        <v>21539</v>
      </c>
      <c r="P1185" s="1" t="s">
        <v>16423</v>
      </c>
      <c r="Q1185" s="1">
        <v>293347569346</v>
      </c>
      <c r="R1185" s="1" t="s">
        <v>21540</v>
      </c>
      <c r="S1185" s="1">
        <v>9870575756</v>
      </c>
      <c r="T1185" s="1" t="s">
        <v>15073</v>
      </c>
      <c r="U1185" s="1" t="s">
        <v>21541</v>
      </c>
      <c r="V1185" s="1">
        <v>9870338533</v>
      </c>
      <c r="W1185" s="1" t="s">
        <v>14154</v>
      </c>
      <c r="X1185" s="1" t="s">
        <v>21542</v>
      </c>
      <c r="Y1185" s="1" t="s">
        <v>1882</v>
      </c>
      <c r="Z1185" s="1" t="s">
        <v>97</v>
      </c>
      <c r="AA1185" s="1" t="s">
        <v>21542</v>
      </c>
      <c r="AB1185" s="1" t="s">
        <v>1882</v>
      </c>
      <c r="AC1185" s="1" t="s">
        <v>97</v>
      </c>
      <c r="AD1185" s="1" t="s">
        <v>98</v>
      </c>
      <c r="AE1185" s="1" t="s">
        <v>98</v>
      </c>
      <c r="AF1185" s="1" t="s">
        <v>21543</v>
      </c>
      <c r="AG1185" s="1" t="s">
        <v>14238</v>
      </c>
      <c r="AH1185" s="1" t="s">
        <v>166</v>
      </c>
      <c r="AI1185" s="1" t="s">
        <v>1111</v>
      </c>
      <c r="AJ1185" s="1">
        <v>80.8</v>
      </c>
      <c r="AK1185" s="1"/>
      <c r="AL1185" s="1" t="s">
        <v>21544</v>
      </c>
      <c r="AM1185" s="1" t="s">
        <v>14238</v>
      </c>
      <c r="AN1185" s="1" t="s">
        <v>575</v>
      </c>
      <c r="AO1185" s="1" t="s">
        <v>170</v>
      </c>
      <c r="AP1185" s="1" t="s">
        <v>1477</v>
      </c>
      <c r="AQ1185" s="1">
        <v>73.23</v>
      </c>
      <c r="AR1185" s="1"/>
      <c r="AS1185" s="1"/>
      <c r="AT1185" s="1"/>
      <c r="AU1185" s="1"/>
      <c r="AV1185" s="1"/>
      <c r="AW1185" s="1"/>
      <c r="AX1185" s="1"/>
      <c r="AY1185" s="1" t="s">
        <v>14380</v>
      </c>
      <c r="AZ1185" s="1" t="s">
        <v>21545</v>
      </c>
      <c r="BA1185" s="1" t="s">
        <v>578</v>
      </c>
      <c r="BB1185" s="1" t="s">
        <v>467</v>
      </c>
      <c r="BC1185" s="1" t="s">
        <v>174</v>
      </c>
      <c r="BD1185" s="1" t="s">
        <v>632</v>
      </c>
      <c r="BE1185" s="1">
        <v>78.63</v>
      </c>
      <c r="BF1185" s="1">
        <v>8.58</v>
      </c>
      <c r="BG1185" s="1"/>
      <c r="BH1185" s="1"/>
      <c r="BI1185" s="1"/>
      <c r="BJ1185" s="1"/>
      <c r="BK1185" s="1"/>
      <c r="BL1185" s="1"/>
      <c r="BM1185" s="1"/>
      <c r="BN1185" s="1"/>
      <c r="BO1185" s="1" t="s">
        <v>21546</v>
      </c>
      <c r="BP1185" s="1" t="s">
        <v>21547</v>
      </c>
      <c r="BQ1185" s="1" t="s">
        <v>7108</v>
      </c>
      <c r="BR1185" s="1"/>
      <c r="BS1185" s="1"/>
      <c r="BT1185" s="1" t="s">
        <v>21548</v>
      </c>
      <c r="BU1185" s="1" t="str">
        <f>HYPERLINK("https://nconnect.nicmar.ac.in/storage/profile/6a8896c678ca4.png","Download")</f>
        <v>0</v>
      </c>
      <c r="BV1185" s="3"/>
      <c r="BW1185" s="3"/>
    </row>
    <row r="1186" spans="1:75">
      <c r="A1186" s="1" t="s">
        <v>75</v>
      </c>
      <c r="B1186" s="1" t="s">
        <v>13976</v>
      </c>
      <c r="C1186" s="1" t="s">
        <v>21549</v>
      </c>
      <c r="D1186" s="1" t="s">
        <v>17246</v>
      </c>
      <c r="E1186" s="1" t="s">
        <v>21550</v>
      </c>
      <c r="F1186" s="1" t="s">
        <v>21551</v>
      </c>
      <c r="G1186" s="1" t="s">
        <v>21552</v>
      </c>
      <c r="H1186" s="1" t="s">
        <v>21553</v>
      </c>
      <c r="I1186" s="1" t="s">
        <v>21553</v>
      </c>
      <c r="J1186" s="1">
        <v>9033315916</v>
      </c>
      <c r="K1186" s="1" t="s">
        <v>84</v>
      </c>
      <c r="L1186" s="1" t="s">
        <v>5673</v>
      </c>
      <c r="M1186" s="1" t="s">
        <v>86</v>
      </c>
      <c r="N1186" s="1" t="s">
        <v>21554</v>
      </c>
      <c r="O1186" s="1" t="s">
        <v>21555</v>
      </c>
      <c r="P1186" s="1" t="s">
        <v>122</v>
      </c>
      <c r="Q1186" s="1">
        <v>943106708798</v>
      </c>
      <c r="R1186" s="1" t="s">
        <v>21556</v>
      </c>
      <c r="S1186" s="1">
        <v>9428382293</v>
      </c>
      <c r="T1186" s="1" t="s">
        <v>3439</v>
      </c>
      <c r="U1186" s="1" t="s">
        <v>21557</v>
      </c>
      <c r="V1186" s="1">
        <v>8128498401</v>
      </c>
      <c r="W1186" s="1" t="s">
        <v>14154</v>
      </c>
      <c r="X1186" s="1" t="s">
        <v>21558</v>
      </c>
      <c r="Y1186" s="1" t="s">
        <v>21559</v>
      </c>
      <c r="Z1186" s="1" t="s">
        <v>676</v>
      </c>
      <c r="AA1186" s="1" t="s">
        <v>21558</v>
      </c>
      <c r="AB1186" s="1" t="s">
        <v>21559</v>
      </c>
      <c r="AC1186" s="1" t="s">
        <v>676</v>
      </c>
      <c r="AD1186" s="1" t="s">
        <v>98</v>
      </c>
      <c r="AE1186" s="1" t="s">
        <v>98</v>
      </c>
      <c r="AF1186" s="1" t="s">
        <v>21560</v>
      </c>
      <c r="AG1186" s="1" t="s">
        <v>21561</v>
      </c>
      <c r="AH1186" s="1" t="s">
        <v>573</v>
      </c>
      <c r="AI1186" s="1" t="s">
        <v>286</v>
      </c>
      <c r="AJ1186" s="1">
        <v>82.17</v>
      </c>
      <c r="AK1186" s="1"/>
      <c r="AL1186" s="1"/>
      <c r="AM1186" s="1"/>
      <c r="AN1186" s="1"/>
      <c r="AO1186" s="1"/>
      <c r="AP1186" s="1"/>
      <c r="AQ1186" s="1"/>
      <c r="AR1186" s="1"/>
      <c r="AS1186" s="1" t="s">
        <v>14158</v>
      </c>
      <c r="AT1186" s="1" t="s">
        <v>21562</v>
      </c>
      <c r="AU1186" s="1" t="s">
        <v>106</v>
      </c>
      <c r="AV1186" s="1" t="s">
        <v>847</v>
      </c>
      <c r="AW1186" s="1">
        <v>93.1</v>
      </c>
      <c r="AX1186" s="1">
        <v>9.81</v>
      </c>
      <c r="AY1186" s="1" t="s">
        <v>15188</v>
      </c>
      <c r="AZ1186" s="1" t="s">
        <v>21563</v>
      </c>
      <c r="BA1186" s="1" t="s">
        <v>466</v>
      </c>
      <c r="BB1186" s="1" t="s">
        <v>467</v>
      </c>
      <c r="BC1186" s="1" t="s">
        <v>441</v>
      </c>
      <c r="BD1186" s="1" t="s">
        <v>418</v>
      </c>
      <c r="BE1186" s="1">
        <v>72.6</v>
      </c>
      <c r="BF1186" s="1"/>
      <c r="BG1186" s="1"/>
      <c r="BH1186" s="1"/>
      <c r="BI1186" s="1"/>
      <c r="BJ1186" s="1"/>
      <c r="BK1186" s="1"/>
      <c r="BL1186" s="1"/>
      <c r="BM1186" s="1"/>
      <c r="BN1186" s="1"/>
      <c r="BO1186" s="1" t="s">
        <v>21564</v>
      </c>
      <c r="BP1186" s="1" t="s">
        <v>21565</v>
      </c>
      <c r="BQ1186" s="1" t="s">
        <v>780</v>
      </c>
      <c r="BR1186" s="1" t="s">
        <v>21566</v>
      </c>
      <c r="BS1186" s="1">
        <v>6</v>
      </c>
      <c r="BT1186" s="1" t="s">
        <v>21567</v>
      </c>
      <c r="BU1186" s="1" t="str">
        <f>HYPERLINK("https://nconnect.nicmar.ac.in/storage/profile/6a871f48331b1.png","Download")</f>
        <v>0</v>
      </c>
      <c r="BV1186" s="3"/>
      <c r="BW1186" s="3"/>
    </row>
    <row r="1187" spans="1:75">
      <c r="A1187" s="1" t="s">
        <v>75</v>
      </c>
      <c r="B1187" s="1" t="s">
        <v>13976</v>
      </c>
      <c r="C1187" s="1" t="s">
        <v>21568</v>
      </c>
      <c r="D1187" s="1" t="s">
        <v>21569</v>
      </c>
      <c r="E1187" s="1" t="s">
        <v>21570</v>
      </c>
      <c r="F1187" s="1" t="s">
        <v>21571</v>
      </c>
      <c r="G1187" s="1" t="s">
        <v>21572</v>
      </c>
      <c r="H1187" s="1" t="s">
        <v>21573</v>
      </c>
      <c r="I1187" s="1" t="s">
        <v>21573</v>
      </c>
      <c r="J1187" s="1">
        <v>7028944284</v>
      </c>
      <c r="K1187" s="1" t="s">
        <v>84</v>
      </c>
      <c r="L1187" s="1" t="s">
        <v>21574</v>
      </c>
      <c r="M1187" s="1" t="s">
        <v>86</v>
      </c>
      <c r="N1187" s="1" t="s">
        <v>20468</v>
      </c>
      <c r="O1187" s="1" t="s">
        <v>21575</v>
      </c>
      <c r="P1187" s="1" t="s">
        <v>89</v>
      </c>
      <c r="Q1187" s="1">
        <v>293064369674</v>
      </c>
      <c r="R1187" s="1" t="s">
        <v>21576</v>
      </c>
      <c r="S1187" s="1">
        <v>9822701511</v>
      </c>
      <c r="T1187" s="1" t="s">
        <v>14352</v>
      </c>
      <c r="U1187" s="1" t="s">
        <v>21577</v>
      </c>
      <c r="V1187" s="1">
        <v>9270800943</v>
      </c>
      <c r="W1187" s="1" t="s">
        <v>14154</v>
      </c>
      <c r="X1187" s="1" t="s">
        <v>21578</v>
      </c>
      <c r="Y1187" s="1" t="s">
        <v>410</v>
      </c>
      <c r="Z1187" s="1" t="s">
        <v>97</v>
      </c>
      <c r="AA1187" s="1" t="s">
        <v>21578</v>
      </c>
      <c r="AB1187" s="1" t="s">
        <v>410</v>
      </c>
      <c r="AC1187" s="1" t="s">
        <v>97</v>
      </c>
      <c r="AD1187" s="1" t="s">
        <v>98</v>
      </c>
      <c r="AE1187" s="1" t="s">
        <v>98</v>
      </c>
      <c r="AF1187" s="1" t="s">
        <v>21579</v>
      </c>
      <c r="AG1187" s="1" t="s">
        <v>796</v>
      </c>
      <c r="AH1187" s="1" t="s">
        <v>438</v>
      </c>
      <c r="AI1187" s="1" t="s">
        <v>178</v>
      </c>
      <c r="AJ1187" s="1">
        <v>76.6</v>
      </c>
      <c r="AK1187" s="1"/>
      <c r="AL1187" s="1"/>
      <c r="AM1187" s="1"/>
      <c r="AN1187" s="1"/>
      <c r="AO1187" s="1"/>
      <c r="AP1187" s="1"/>
      <c r="AQ1187" s="1"/>
      <c r="AR1187" s="1"/>
      <c r="AS1187" s="1" t="s">
        <v>14713</v>
      </c>
      <c r="AT1187" s="1" t="s">
        <v>21580</v>
      </c>
      <c r="AU1187" s="1" t="s">
        <v>1040</v>
      </c>
      <c r="AV1187" s="1" t="s">
        <v>179</v>
      </c>
      <c r="AW1187" s="1">
        <v>76.15</v>
      </c>
      <c r="AX1187" s="1"/>
      <c r="AY1187" s="1" t="s">
        <v>21581</v>
      </c>
      <c r="AZ1187" s="1" t="s">
        <v>21582</v>
      </c>
      <c r="BA1187" s="1" t="s">
        <v>466</v>
      </c>
      <c r="BB1187" s="1" t="s">
        <v>467</v>
      </c>
      <c r="BC1187" s="1" t="s">
        <v>391</v>
      </c>
      <c r="BD1187" s="1" t="s">
        <v>9688</v>
      </c>
      <c r="BE1187" s="1">
        <v>76.9</v>
      </c>
      <c r="BF1187" s="1">
        <v>8.44</v>
      </c>
      <c r="BG1187" s="1"/>
      <c r="BH1187" s="1"/>
      <c r="BI1187" s="1"/>
      <c r="BJ1187" s="1"/>
      <c r="BK1187" s="1"/>
      <c r="BL1187" s="1"/>
      <c r="BM1187" s="1"/>
      <c r="BN1187" s="1"/>
      <c r="BO1187" s="1" t="s">
        <v>14808</v>
      </c>
      <c r="BP1187" s="1"/>
      <c r="BQ1187" s="1"/>
      <c r="BR1187" s="1" t="s">
        <v>21583</v>
      </c>
      <c r="BS1187" s="1">
        <v>20</v>
      </c>
      <c r="BT1187" s="1" t="s">
        <v>21584</v>
      </c>
      <c r="BU1187" s="1" t="str">
        <f>HYPERLINK("https://nconnect.nicmar.ac.in/storage/profile/6a87048d180e2.png","Download")</f>
        <v>0</v>
      </c>
      <c r="BV1187" s="3"/>
      <c r="BW1187" s="3"/>
    </row>
    <row r="1188" spans="1:75">
      <c r="A1188" s="1" t="s">
        <v>75</v>
      </c>
      <c r="B1188" s="1" t="s">
        <v>13976</v>
      </c>
      <c r="C1188" s="1" t="s">
        <v>21585</v>
      </c>
      <c r="D1188" s="1" t="s">
        <v>18800</v>
      </c>
      <c r="E1188" s="1"/>
      <c r="F1188" s="1" t="s">
        <v>21586</v>
      </c>
      <c r="G1188" s="1" t="s">
        <v>21587</v>
      </c>
      <c r="H1188" s="1" t="s">
        <v>21588</v>
      </c>
      <c r="I1188" s="1" t="s">
        <v>21588</v>
      </c>
      <c r="J1188" s="1">
        <v>7489610149</v>
      </c>
      <c r="K1188" s="1" t="s">
        <v>84</v>
      </c>
      <c r="L1188" s="1" t="s">
        <v>21589</v>
      </c>
      <c r="M1188" s="1" t="s">
        <v>86</v>
      </c>
      <c r="N1188" s="1" t="s">
        <v>8293</v>
      </c>
      <c r="O1188" s="1" t="s">
        <v>21590</v>
      </c>
      <c r="P1188" s="1" t="s">
        <v>122</v>
      </c>
      <c r="Q1188" s="1">
        <v>898830547323</v>
      </c>
      <c r="R1188" s="1" t="s">
        <v>21591</v>
      </c>
      <c r="S1188" s="1">
        <v>9425552211</v>
      </c>
      <c r="T1188" s="1" t="s">
        <v>3439</v>
      </c>
      <c r="U1188" s="1" t="s">
        <v>21592</v>
      </c>
      <c r="V1188" s="1">
        <v>8839038438</v>
      </c>
      <c r="W1188" s="1" t="s">
        <v>14154</v>
      </c>
      <c r="X1188" s="1" t="s">
        <v>21593</v>
      </c>
      <c r="Y1188" s="1" t="s">
        <v>11762</v>
      </c>
      <c r="Z1188" s="1" t="s">
        <v>2933</v>
      </c>
      <c r="AA1188" s="1" t="s">
        <v>21593</v>
      </c>
      <c r="AB1188" s="1" t="s">
        <v>11762</v>
      </c>
      <c r="AC1188" s="1" t="s">
        <v>2933</v>
      </c>
      <c r="AD1188" s="1" t="s">
        <v>98</v>
      </c>
      <c r="AE1188" s="1" t="s">
        <v>98</v>
      </c>
      <c r="AF1188" s="1" t="s">
        <v>21594</v>
      </c>
      <c r="AG1188" s="1" t="s">
        <v>21595</v>
      </c>
      <c r="AH1188" s="1" t="s">
        <v>315</v>
      </c>
      <c r="AI1188" s="1" t="s">
        <v>603</v>
      </c>
      <c r="AJ1188" s="1">
        <v>95</v>
      </c>
      <c r="AK1188" s="1">
        <v>10</v>
      </c>
      <c r="AL1188" s="1" t="s">
        <v>21596</v>
      </c>
      <c r="AM1188" s="1" t="s">
        <v>21597</v>
      </c>
      <c r="AN1188" s="1" t="s">
        <v>465</v>
      </c>
      <c r="AO1188" s="1" t="s">
        <v>1040</v>
      </c>
      <c r="AP1188" s="1" t="s">
        <v>1886</v>
      </c>
      <c r="AQ1188" s="1">
        <v>92</v>
      </c>
      <c r="AR1188" s="1">
        <v>9.8</v>
      </c>
      <c r="AS1188" s="1"/>
      <c r="AT1188" s="1"/>
      <c r="AU1188" s="1"/>
      <c r="AV1188" s="1"/>
      <c r="AW1188" s="1"/>
      <c r="AX1188" s="1"/>
      <c r="AY1188" s="1" t="s">
        <v>21598</v>
      </c>
      <c r="AZ1188" s="1" t="s">
        <v>21599</v>
      </c>
      <c r="BA1188" s="1" t="s">
        <v>578</v>
      </c>
      <c r="BB1188" s="1" t="s">
        <v>467</v>
      </c>
      <c r="BC1188" s="1" t="s">
        <v>1802</v>
      </c>
      <c r="BD1188" s="1" t="s">
        <v>14514</v>
      </c>
      <c r="BE1188" s="1">
        <v>76.5</v>
      </c>
      <c r="BF1188" s="1">
        <v>7.65</v>
      </c>
      <c r="BG1188" s="1"/>
      <c r="BH1188" s="1"/>
      <c r="BI1188" s="1"/>
      <c r="BJ1188" s="1"/>
      <c r="BK1188" s="1"/>
      <c r="BL1188" s="1"/>
      <c r="BM1188" s="1"/>
      <c r="BN1188" s="1"/>
      <c r="BO1188" s="1" t="s">
        <v>14382</v>
      </c>
      <c r="BP1188" s="1"/>
      <c r="BQ1188" s="1"/>
      <c r="BR1188" s="1"/>
      <c r="BS1188" s="1"/>
      <c r="BT1188" s="1"/>
      <c r="BU1188" s="1" t="str">
        <f>HYPERLINK("https://nconnect.nicmar.ac.in/storage/profile/6a871e2b57d14.png","Download")</f>
        <v>0</v>
      </c>
      <c r="BV1188" s="3"/>
      <c r="BW1188" s="3"/>
    </row>
    <row r="1189" spans="1:75">
      <c r="A1189" s="1" t="s">
        <v>75</v>
      </c>
      <c r="B1189" s="1" t="s">
        <v>13976</v>
      </c>
      <c r="C1189" s="1" t="s">
        <v>21600</v>
      </c>
      <c r="D1189" s="1" t="s">
        <v>21601</v>
      </c>
      <c r="E1189" s="1"/>
      <c r="F1189" s="1" t="s">
        <v>14386</v>
      </c>
      <c r="G1189" s="1" t="s">
        <v>21602</v>
      </c>
      <c r="H1189" s="1" t="s">
        <v>21603</v>
      </c>
      <c r="I1189" s="1" t="s">
        <v>21604</v>
      </c>
      <c r="J1189" s="1">
        <v>7902655093</v>
      </c>
      <c r="K1189" s="1" t="s">
        <v>84</v>
      </c>
      <c r="L1189" s="1" t="s">
        <v>21605</v>
      </c>
      <c r="M1189" s="1" t="s">
        <v>86</v>
      </c>
      <c r="N1189" s="1" t="s">
        <v>7058</v>
      </c>
      <c r="O1189" s="1" t="s">
        <v>21606</v>
      </c>
      <c r="P1189" s="1" t="s">
        <v>219</v>
      </c>
      <c r="Q1189" s="1">
        <v>734111159310</v>
      </c>
      <c r="R1189" s="1" t="s">
        <v>21607</v>
      </c>
      <c r="S1189" s="1">
        <v>9961401143</v>
      </c>
      <c r="T1189" s="1" t="s">
        <v>3439</v>
      </c>
      <c r="U1189" s="1" t="s">
        <v>21608</v>
      </c>
      <c r="V1189" s="1">
        <v>9744344270</v>
      </c>
      <c r="W1189" s="1" t="s">
        <v>10306</v>
      </c>
      <c r="X1189" s="1" t="s">
        <v>21609</v>
      </c>
      <c r="Y1189" s="1" t="s">
        <v>599</v>
      </c>
      <c r="Z1189" s="1" t="s">
        <v>130</v>
      </c>
      <c r="AA1189" s="1" t="s">
        <v>21609</v>
      </c>
      <c r="AB1189" s="1" t="s">
        <v>599</v>
      </c>
      <c r="AC1189" s="1" t="s">
        <v>130</v>
      </c>
      <c r="AD1189" s="1" t="s">
        <v>98</v>
      </c>
      <c r="AE1189" s="1" t="s">
        <v>98</v>
      </c>
      <c r="AF1189" s="1" t="s">
        <v>21610</v>
      </c>
      <c r="AG1189" s="1" t="s">
        <v>17123</v>
      </c>
      <c r="AH1189" s="1" t="s">
        <v>106</v>
      </c>
      <c r="AI1189" s="1" t="s">
        <v>313</v>
      </c>
      <c r="AJ1189" s="1">
        <v>94.04</v>
      </c>
      <c r="AK1189" s="1"/>
      <c r="AL1189" s="1" t="s">
        <v>21611</v>
      </c>
      <c r="AM1189" s="1" t="s">
        <v>14399</v>
      </c>
      <c r="AN1189" s="1" t="s">
        <v>575</v>
      </c>
      <c r="AO1189" s="1" t="s">
        <v>315</v>
      </c>
      <c r="AP1189" s="1" t="s">
        <v>549</v>
      </c>
      <c r="AQ1189" s="1">
        <v>91.4</v>
      </c>
      <c r="AR1189" s="1"/>
      <c r="AS1189" s="1"/>
      <c r="AT1189" s="1"/>
      <c r="AU1189" s="1"/>
      <c r="AV1189" s="1"/>
      <c r="AW1189" s="1"/>
      <c r="AX1189" s="1"/>
      <c r="AY1189" s="1" t="s">
        <v>21612</v>
      </c>
      <c r="AZ1189" s="1" t="s">
        <v>21613</v>
      </c>
      <c r="BA1189" s="1" t="s">
        <v>466</v>
      </c>
      <c r="BB1189" s="1" t="s">
        <v>467</v>
      </c>
      <c r="BC1189" s="1" t="s">
        <v>606</v>
      </c>
      <c r="BD1189" s="1" t="s">
        <v>553</v>
      </c>
      <c r="BE1189" s="1">
        <v>68.72</v>
      </c>
      <c r="BF1189" s="1">
        <v>8.35</v>
      </c>
      <c r="BG1189" s="1"/>
      <c r="BH1189" s="1"/>
      <c r="BI1189" s="1"/>
      <c r="BJ1189" s="1"/>
      <c r="BK1189" s="1"/>
      <c r="BL1189" s="1"/>
      <c r="BM1189" s="1"/>
      <c r="BN1189" s="1"/>
      <c r="BO1189" s="1" t="s">
        <v>21614</v>
      </c>
      <c r="BP1189" s="1" t="s">
        <v>21615</v>
      </c>
      <c r="BQ1189" s="1" t="s">
        <v>1070</v>
      </c>
      <c r="BR1189" s="1" t="s">
        <v>21616</v>
      </c>
      <c r="BS1189" s="1">
        <v>14</v>
      </c>
      <c r="BT1189" s="1" t="s">
        <v>21617</v>
      </c>
      <c r="BU1189" s="1" t="str">
        <f>HYPERLINK("https://nconnect.nicmar.ac.in/storage/profile/6a85dc6473fd7.png","Download")</f>
        <v>0</v>
      </c>
      <c r="BV1189" s="3"/>
      <c r="BW1189" s="3"/>
    </row>
    <row r="1190" spans="1:75">
      <c r="A1190" s="1" t="s">
        <v>75</v>
      </c>
      <c r="B1190" s="1" t="s">
        <v>13976</v>
      </c>
      <c r="C1190" s="1" t="s">
        <v>21618</v>
      </c>
      <c r="D1190" s="1" t="s">
        <v>21619</v>
      </c>
      <c r="E1190" s="1" t="s">
        <v>21620</v>
      </c>
      <c r="F1190" s="1" t="s">
        <v>21621</v>
      </c>
      <c r="G1190" s="1" t="s">
        <v>21622</v>
      </c>
      <c r="H1190" s="1" t="s">
        <v>21623</v>
      </c>
      <c r="I1190" s="1" t="s">
        <v>21624</v>
      </c>
      <c r="J1190" s="1">
        <v>8688701221</v>
      </c>
      <c r="K1190" s="1" t="s">
        <v>153</v>
      </c>
      <c r="L1190" s="1" t="s">
        <v>12594</v>
      </c>
      <c r="M1190" s="1" t="s">
        <v>86</v>
      </c>
      <c r="N1190" s="1" t="s">
        <v>19814</v>
      </c>
      <c r="O1190" s="1" t="s">
        <v>21625</v>
      </c>
      <c r="P1190" s="1" t="s">
        <v>122</v>
      </c>
      <c r="Q1190" s="1">
        <v>499217479093</v>
      </c>
      <c r="R1190" s="1" t="s">
        <v>21626</v>
      </c>
      <c r="S1190" s="1">
        <v>6281804722</v>
      </c>
      <c r="T1190" s="1" t="s">
        <v>3441</v>
      </c>
      <c r="U1190" s="1" t="s">
        <v>21627</v>
      </c>
      <c r="V1190" s="1">
        <v>8328541359</v>
      </c>
      <c r="W1190" s="1" t="s">
        <v>14234</v>
      </c>
      <c r="X1190" s="1" t="s">
        <v>21628</v>
      </c>
      <c r="Y1190" s="1" t="s">
        <v>13200</v>
      </c>
      <c r="Z1190" s="1" t="s">
        <v>281</v>
      </c>
      <c r="AA1190" s="1" t="s">
        <v>21628</v>
      </c>
      <c r="AB1190" s="1" t="s">
        <v>13200</v>
      </c>
      <c r="AC1190" s="1" t="s">
        <v>281</v>
      </c>
      <c r="AD1190" s="1" t="s">
        <v>98</v>
      </c>
      <c r="AE1190" s="1" t="s">
        <v>98</v>
      </c>
      <c r="AF1190" s="1" t="s">
        <v>21629</v>
      </c>
      <c r="AG1190" s="1" t="s">
        <v>21630</v>
      </c>
      <c r="AH1190" s="1" t="s">
        <v>388</v>
      </c>
      <c r="AI1190" s="1" t="s">
        <v>490</v>
      </c>
      <c r="AJ1190" s="1">
        <v>97</v>
      </c>
      <c r="AK1190" s="1">
        <v>9.7</v>
      </c>
      <c r="AL1190" s="1"/>
      <c r="AM1190" s="1"/>
      <c r="AN1190" s="1"/>
      <c r="AO1190" s="1"/>
      <c r="AP1190" s="1"/>
      <c r="AQ1190" s="1"/>
      <c r="AR1190" s="1"/>
      <c r="AS1190" s="1" t="s">
        <v>467</v>
      </c>
      <c r="AT1190" s="1" t="s">
        <v>21631</v>
      </c>
      <c r="AU1190" s="1" t="s">
        <v>174</v>
      </c>
      <c r="AV1190" s="1" t="s">
        <v>2304</v>
      </c>
      <c r="AW1190" s="1">
        <v>93.11</v>
      </c>
      <c r="AX1190" s="1"/>
      <c r="AY1190" s="1" t="s">
        <v>9622</v>
      </c>
      <c r="AZ1190" s="1" t="s">
        <v>21632</v>
      </c>
      <c r="BA1190" s="1" t="s">
        <v>466</v>
      </c>
      <c r="BB1190" s="1" t="s">
        <v>467</v>
      </c>
      <c r="BC1190" s="1" t="s">
        <v>549</v>
      </c>
      <c r="BD1190" s="1" t="s">
        <v>1314</v>
      </c>
      <c r="BE1190" s="1">
        <v>78.6</v>
      </c>
      <c r="BF1190" s="1">
        <v>8.36</v>
      </c>
      <c r="BG1190" s="1"/>
      <c r="BH1190" s="1"/>
      <c r="BI1190" s="1"/>
      <c r="BJ1190" s="1"/>
      <c r="BK1190" s="1"/>
      <c r="BL1190" s="1"/>
      <c r="BM1190" s="1"/>
      <c r="BN1190" s="1"/>
      <c r="BO1190" s="1" t="s">
        <v>21633</v>
      </c>
      <c r="BP1190" s="1" t="s">
        <v>21634</v>
      </c>
      <c r="BQ1190" s="1" t="s">
        <v>780</v>
      </c>
      <c r="BR1190" s="1" t="s">
        <v>21635</v>
      </c>
      <c r="BS1190" s="1">
        <v>24</v>
      </c>
      <c r="BT1190" s="1" t="s">
        <v>21636</v>
      </c>
      <c r="BU1190" s="1" t="str">
        <f>HYPERLINK("https://nconnect.nicmar.ac.in/storage/profile/6a8719529a868.png","Download")</f>
        <v>0</v>
      </c>
      <c r="BV1190" s="3"/>
      <c r="BW1190" s="3"/>
    </row>
    <row r="1191" spans="1:75">
      <c r="A1191" s="1" t="s">
        <v>75</v>
      </c>
      <c r="B1191" s="1" t="s">
        <v>13976</v>
      </c>
      <c r="C1191" s="1" t="s">
        <v>21637</v>
      </c>
      <c r="D1191" s="1" t="s">
        <v>17266</v>
      </c>
      <c r="E1191" s="1"/>
      <c r="F1191" s="1" t="s">
        <v>21638</v>
      </c>
      <c r="G1191" s="1" t="s">
        <v>21639</v>
      </c>
      <c r="H1191" s="1" t="s">
        <v>21640</v>
      </c>
      <c r="I1191" s="1" t="s">
        <v>21640</v>
      </c>
      <c r="J1191" s="1">
        <v>7530093662</v>
      </c>
      <c r="K1191" s="1" t="s">
        <v>84</v>
      </c>
      <c r="L1191" s="1" t="s">
        <v>21641</v>
      </c>
      <c r="M1191" s="1" t="s">
        <v>86</v>
      </c>
      <c r="N1191" s="1" t="s">
        <v>21642</v>
      </c>
      <c r="O1191" s="1" t="s">
        <v>21643</v>
      </c>
      <c r="P1191" s="1" t="s">
        <v>219</v>
      </c>
      <c r="Q1191" s="1">
        <v>941562045321</v>
      </c>
      <c r="R1191" s="1" t="s">
        <v>21644</v>
      </c>
      <c r="S1191" s="1">
        <v>9150751462</v>
      </c>
      <c r="T1191" s="1" t="s">
        <v>839</v>
      </c>
      <c r="U1191" s="1" t="s">
        <v>21645</v>
      </c>
      <c r="V1191" s="1">
        <v>8220851462</v>
      </c>
      <c r="W1191" s="1" t="s">
        <v>278</v>
      </c>
      <c r="X1191" s="1" t="s">
        <v>21646</v>
      </c>
      <c r="Y1191" s="1" t="s">
        <v>8931</v>
      </c>
      <c r="Z1191" s="1" t="s">
        <v>570</v>
      </c>
      <c r="AA1191" s="1" t="s">
        <v>21646</v>
      </c>
      <c r="AB1191" s="1" t="s">
        <v>8931</v>
      </c>
      <c r="AC1191" s="1" t="s">
        <v>570</v>
      </c>
      <c r="AD1191" s="1" t="s">
        <v>98</v>
      </c>
      <c r="AE1191" s="1" t="s">
        <v>98</v>
      </c>
      <c r="AF1191" s="1" t="s">
        <v>21647</v>
      </c>
      <c r="AG1191" s="1" t="s">
        <v>9682</v>
      </c>
      <c r="AH1191" s="1" t="s">
        <v>438</v>
      </c>
      <c r="AI1191" s="1" t="s">
        <v>178</v>
      </c>
      <c r="AJ1191" s="1">
        <v>63.6</v>
      </c>
      <c r="AK1191" s="1"/>
      <c r="AL1191" s="1" t="s">
        <v>21647</v>
      </c>
      <c r="AM1191" s="1" t="s">
        <v>9682</v>
      </c>
      <c r="AN1191" s="1" t="s">
        <v>465</v>
      </c>
      <c r="AO1191" s="1" t="s">
        <v>847</v>
      </c>
      <c r="AP1191" s="1" t="s">
        <v>1400</v>
      </c>
      <c r="AQ1191" s="1">
        <v>64.2</v>
      </c>
      <c r="AR1191" s="1"/>
      <c r="AS1191" s="1"/>
      <c r="AT1191" s="1"/>
      <c r="AU1191" s="1"/>
      <c r="AV1191" s="1"/>
      <c r="AW1191" s="1"/>
      <c r="AX1191" s="1"/>
      <c r="AY1191" s="1" t="s">
        <v>14303</v>
      </c>
      <c r="AZ1191" s="1" t="s">
        <v>21648</v>
      </c>
      <c r="BA1191" s="1" t="s">
        <v>578</v>
      </c>
      <c r="BB1191" s="1" t="s">
        <v>467</v>
      </c>
      <c r="BC1191" s="1" t="s">
        <v>1802</v>
      </c>
      <c r="BD1191" s="1" t="s">
        <v>9688</v>
      </c>
      <c r="BE1191" s="1">
        <v>74.2</v>
      </c>
      <c r="BF1191" s="1">
        <v>7.42</v>
      </c>
      <c r="BG1191" s="1"/>
      <c r="BH1191" s="1"/>
      <c r="BI1191" s="1"/>
      <c r="BJ1191" s="1"/>
      <c r="BK1191" s="1"/>
      <c r="BL1191" s="1"/>
      <c r="BM1191" s="1"/>
      <c r="BN1191" s="1"/>
      <c r="BO1191" s="1" t="s">
        <v>21649</v>
      </c>
      <c r="BP1191" s="1"/>
      <c r="BQ1191" s="1"/>
      <c r="BR1191" s="1" t="s">
        <v>21650</v>
      </c>
      <c r="BS1191" s="1">
        <v>21</v>
      </c>
      <c r="BT1191" s="1" t="s">
        <v>21651</v>
      </c>
      <c r="BU1191" s="1" t="str">
        <f>HYPERLINK("https://nconnect.nicmar.ac.in/storage/profile/6a85d3650e5d1.png","Download")</f>
        <v>0</v>
      </c>
      <c r="BV1191" s="3"/>
      <c r="BW1191" s="3"/>
    </row>
    <row r="1192" spans="1:75">
      <c r="A1192" s="1" t="s">
        <v>75</v>
      </c>
      <c r="B1192" s="1" t="s">
        <v>13976</v>
      </c>
      <c r="C1192" s="1" t="s">
        <v>21652</v>
      </c>
      <c r="D1192" s="1" t="s">
        <v>21653</v>
      </c>
      <c r="E1192" s="1"/>
      <c r="F1192" s="1" t="s">
        <v>21654</v>
      </c>
      <c r="G1192" s="1" t="s">
        <v>21655</v>
      </c>
      <c r="H1192" s="1" t="s">
        <v>21656</v>
      </c>
      <c r="I1192" s="1" t="s">
        <v>21656</v>
      </c>
      <c r="J1192" s="1">
        <v>9361093120</v>
      </c>
      <c r="K1192" s="1" t="s">
        <v>84</v>
      </c>
      <c r="L1192" s="1" t="s">
        <v>20416</v>
      </c>
      <c r="M1192" s="1" t="s">
        <v>86</v>
      </c>
      <c r="N1192" s="1" t="s">
        <v>15219</v>
      </c>
      <c r="O1192" s="1" t="s">
        <v>21657</v>
      </c>
      <c r="P1192" s="1" t="s">
        <v>89</v>
      </c>
      <c r="Q1192" s="1">
        <v>810217694945</v>
      </c>
      <c r="R1192" s="1" t="s">
        <v>21658</v>
      </c>
      <c r="S1192" s="1">
        <v>8939664023</v>
      </c>
      <c r="T1192" s="1" t="s">
        <v>15354</v>
      </c>
      <c r="U1192" s="1" t="s">
        <v>21659</v>
      </c>
      <c r="V1192" s="1">
        <v>9150658258</v>
      </c>
      <c r="W1192" s="1" t="s">
        <v>21660</v>
      </c>
      <c r="X1192" s="1" t="s">
        <v>21661</v>
      </c>
      <c r="Y1192" s="1" t="s">
        <v>1498</v>
      </c>
      <c r="Z1192" s="1" t="s">
        <v>570</v>
      </c>
      <c r="AA1192" s="1" t="s">
        <v>21661</v>
      </c>
      <c r="AB1192" s="1" t="s">
        <v>1498</v>
      </c>
      <c r="AC1192" s="1" t="s">
        <v>570</v>
      </c>
      <c r="AD1192" s="1" t="s">
        <v>98</v>
      </c>
      <c r="AE1192" s="1" t="s">
        <v>98</v>
      </c>
      <c r="AF1192" s="1"/>
      <c r="AG1192" s="1"/>
      <c r="AH1192" s="1"/>
      <c r="AI1192" s="1"/>
      <c r="AJ1192" s="1"/>
      <c r="AK1192" s="1"/>
      <c r="AL1192" s="1"/>
      <c r="AM1192" s="1"/>
      <c r="AN1192" s="1"/>
      <c r="AO1192" s="1"/>
      <c r="AP1192" s="1"/>
      <c r="AQ1192" s="1"/>
      <c r="AR1192" s="1"/>
      <c r="AS1192" s="1"/>
      <c r="AT1192" s="1"/>
      <c r="AU1192" s="1"/>
      <c r="AV1192" s="1"/>
      <c r="AW1192" s="1"/>
      <c r="AX1192" s="1"/>
      <c r="AY1192" s="1"/>
      <c r="AZ1192" s="1"/>
      <c r="BA1192" s="1"/>
      <c r="BB1192" s="1"/>
      <c r="BC1192" s="1"/>
      <c r="BD1192" s="1"/>
      <c r="BE1192" s="1"/>
      <c r="BF1192" s="1"/>
      <c r="BG1192" s="1"/>
      <c r="BH1192" s="1"/>
      <c r="BI1192" s="1"/>
      <c r="BJ1192" s="1"/>
      <c r="BK1192" s="1"/>
      <c r="BL1192" s="1"/>
      <c r="BM1192" s="1"/>
      <c r="BN1192" s="1"/>
      <c r="BO1192" s="1"/>
      <c r="BP1192" s="1" t="s">
        <v>21662</v>
      </c>
      <c r="BQ1192" s="1" t="s">
        <v>7917</v>
      </c>
      <c r="BR1192" s="1"/>
      <c r="BS1192" s="1"/>
      <c r="BT1192" s="1"/>
      <c r="BU1192" s="1" t="str">
        <f>HYPERLINK("https://nconnect.nicmar.ac.in/storage/profile/6a8745b3c2b95.png","Download")</f>
        <v>0</v>
      </c>
      <c r="BV1192" s="3"/>
      <c r="BW1192" s="3"/>
    </row>
    <row r="1193" spans="1:75">
      <c r="A1193" s="1" t="s">
        <v>75</v>
      </c>
      <c r="B1193" s="1" t="s">
        <v>13976</v>
      </c>
      <c r="C1193" s="1" t="s">
        <v>21663</v>
      </c>
      <c r="D1193" s="1" t="s">
        <v>21664</v>
      </c>
      <c r="E1193" s="1" t="s">
        <v>21665</v>
      </c>
      <c r="F1193" s="1" t="s">
        <v>21231</v>
      </c>
      <c r="G1193" s="1" t="s">
        <v>21666</v>
      </c>
      <c r="H1193" s="1" t="s">
        <v>21667</v>
      </c>
      <c r="I1193" s="1" t="s">
        <v>21667</v>
      </c>
      <c r="J1193" s="1">
        <v>8080927974</v>
      </c>
      <c r="K1193" s="1" t="s">
        <v>84</v>
      </c>
      <c r="L1193" s="1" t="s">
        <v>21668</v>
      </c>
      <c r="M1193" s="1" t="s">
        <v>86</v>
      </c>
      <c r="N1193" s="1" t="s">
        <v>768</v>
      </c>
      <c r="O1193" s="1" t="s">
        <v>21669</v>
      </c>
      <c r="P1193" s="1" t="s">
        <v>219</v>
      </c>
      <c r="Q1193" s="1">
        <v>606221103735</v>
      </c>
      <c r="R1193" s="1" t="s">
        <v>21670</v>
      </c>
      <c r="S1193" s="1">
        <v>9146843860</v>
      </c>
      <c r="T1193" s="1" t="s">
        <v>3439</v>
      </c>
      <c r="U1193" s="1" t="s">
        <v>21671</v>
      </c>
      <c r="V1193" s="1">
        <v>8767219465</v>
      </c>
      <c r="W1193" s="1" t="s">
        <v>14212</v>
      </c>
      <c r="X1193" s="1" t="s">
        <v>21672</v>
      </c>
      <c r="Y1193" s="1" t="s">
        <v>410</v>
      </c>
      <c r="Z1193" s="1" t="s">
        <v>97</v>
      </c>
      <c r="AA1193" s="1" t="s">
        <v>21673</v>
      </c>
      <c r="AB1193" s="1" t="s">
        <v>410</v>
      </c>
      <c r="AC1193" s="1" t="s">
        <v>97</v>
      </c>
      <c r="AD1193" s="1" t="s">
        <v>98</v>
      </c>
      <c r="AE1193" s="1" t="s">
        <v>98</v>
      </c>
      <c r="AF1193" s="1" t="s">
        <v>21674</v>
      </c>
      <c r="AG1193" s="1" t="s">
        <v>21675</v>
      </c>
      <c r="AH1193" s="1" t="s">
        <v>2156</v>
      </c>
      <c r="AI1193" s="1" t="s">
        <v>170</v>
      </c>
      <c r="AJ1193" s="1">
        <v>66.8</v>
      </c>
      <c r="AK1193" s="1">
        <v>7.4</v>
      </c>
      <c r="AL1193" s="1" t="s">
        <v>21676</v>
      </c>
      <c r="AM1193" s="1" t="s">
        <v>21677</v>
      </c>
      <c r="AN1193" s="1" t="s">
        <v>465</v>
      </c>
      <c r="AO1193" s="1" t="s">
        <v>388</v>
      </c>
      <c r="AP1193" s="1" t="s">
        <v>414</v>
      </c>
      <c r="AQ1193" s="1">
        <v>54.62</v>
      </c>
      <c r="AR1193" s="1"/>
      <c r="AS1193" s="1" t="s">
        <v>21678</v>
      </c>
      <c r="AT1193" s="1" t="s">
        <v>21679</v>
      </c>
      <c r="AU1193" s="1" t="s">
        <v>315</v>
      </c>
      <c r="AV1193" s="1" t="s">
        <v>441</v>
      </c>
      <c r="AW1193" s="1">
        <v>92.21</v>
      </c>
      <c r="AX1193" s="1"/>
      <c r="AY1193" s="1" t="s">
        <v>14160</v>
      </c>
      <c r="AZ1193" s="1" t="s">
        <v>21680</v>
      </c>
      <c r="BA1193" s="1" t="s">
        <v>578</v>
      </c>
      <c r="BB1193" s="1" t="s">
        <v>467</v>
      </c>
      <c r="BC1193" s="1" t="s">
        <v>871</v>
      </c>
      <c r="BD1193" s="1" t="s">
        <v>1089</v>
      </c>
      <c r="BE1193" s="1">
        <v>83.12</v>
      </c>
      <c r="BF1193" s="1">
        <v>9.01</v>
      </c>
      <c r="BG1193" s="1"/>
      <c r="BH1193" s="1"/>
      <c r="BI1193" s="1"/>
      <c r="BJ1193" s="1"/>
      <c r="BK1193" s="1"/>
      <c r="BL1193" s="1"/>
      <c r="BM1193" s="1"/>
      <c r="BN1193" s="1"/>
      <c r="BO1193" s="1" t="s">
        <v>21681</v>
      </c>
      <c r="BP1193" s="1"/>
      <c r="BQ1193" s="1"/>
      <c r="BR1193" s="1"/>
      <c r="BS1193" s="1"/>
      <c r="BT1193" s="1" t="s">
        <v>21682</v>
      </c>
      <c r="BU1193" s="1" t="str">
        <f>HYPERLINK("https://nconnect.nicmar.ac.in/storage/profile/6a85db3b2ac61.png","Download")</f>
        <v>0</v>
      </c>
      <c r="BV1193" s="3"/>
      <c r="BW1193" s="3"/>
    </row>
    <row r="1194" spans="1:75">
      <c r="A1194" s="1" t="s">
        <v>75</v>
      </c>
      <c r="B1194" s="1" t="s">
        <v>13976</v>
      </c>
      <c r="C1194" s="1" t="s">
        <v>21683</v>
      </c>
      <c r="D1194" s="1" t="s">
        <v>21684</v>
      </c>
      <c r="E1194" s="1"/>
      <c r="F1194" s="1" t="s">
        <v>21685</v>
      </c>
      <c r="G1194" s="1" t="s">
        <v>21686</v>
      </c>
      <c r="H1194" s="1" t="s">
        <v>21687</v>
      </c>
      <c r="I1194" s="1" t="s">
        <v>21687</v>
      </c>
      <c r="J1194" s="1">
        <v>8891796095</v>
      </c>
      <c r="K1194" s="1" t="s">
        <v>153</v>
      </c>
      <c r="L1194" s="1" t="s">
        <v>4732</v>
      </c>
      <c r="M1194" s="1" t="s">
        <v>86</v>
      </c>
      <c r="N1194" s="1" t="s">
        <v>7058</v>
      </c>
      <c r="O1194" s="1" t="s">
        <v>21688</v>
      </c>
      <c r="P1194" s="1" t="s">
        <v>122</v>
      </c>
      <c r="Q1194" s="1">
        <v>664195975026</v>
      </c>
      <c r="R1194" s="1" t="s">
        <v>21689</v>
      </c>
      <c r="S1194" s="1">
        <v>9447303177</v>
      </c>
      <c r="T1194" s="1" t="s">
        <v>17120</v>
      </c>
      <c r="U1194" s="1" t="s">
        <v>21690</v>
      </c>
      <c r="V1194" s="1">
        <v>9495709095</v>
      </c>
      <c r="W1194" s="1" t="s">
        <v>21691</v>
      </c>
      <c r="X1194" s="1" t="s">
        <v>21692</v>
      </c>
      <c r="Y1194" s="1" t="s">
        <v>5313</v>
      </c>
      <c r="Z1194" s="1" t="s">
        <v>130</v>
      </c>
      <c r="AA1194" s="1" t="s">
        <v>21692</v>
      </c>
      <c r="AB1194" s="1" t="s">
        <v>5313</v>
      </c>
      <c r="AC1194" s="1" t="s">
        <v>130</v>
      </c>
      <c r="AD1194" s="1" t="s">
        <v>98</v>
      </c>
      <c r="AE1194" s="1" t="s">
        <v>98</v>
      </c>
      <c r="AF1194" s="1" t="s">
        <v>21693</v>
      </c>
      <c r="AG1194" s="1" t="s">
        <v>21694</v>
      </c>
      <c r="AH1194" s="1" t="s">
        <v>170</v>
      </c>
      <c r="AI1194" s="1" t="s">
        <v>174</v>
      </c>
      <c r="AJ1194" s="1">
        <v>90.8</v>
      </c>
      <c r="AK1194" s="1"/>
      <c r="AL1194" s="1" t="s">
        <v>21695</v>
      </c>
      <c r="AM1194" s="1" t="s">
        <v>15208</v>
      </c>
      <c r="AN1194" s="1" t="s">
        <v>575</v>
      </c>
      <c r="AO1194" s="1" t="s">
        <v>438</v>
      </c>
      <c r="AP1194" s="1" t="s">
        <v>178</v>
      </c>
      <c r="AQ1194" s="1">
        <v>98</v>
      </c>
      <c r="AR1194" s="1"/>
      <c r="AS1194" s="1"/>
      <c r="AT1194" s="1"/>
      <c r="AU1194" s="1"/>
      <c r="AV1194" s="1"/>
      <c r="AW1194" s="1"/>
      <c r="AX1194" s="1"/>
      <c r="AY1194" s="1" t="s">
        <v>15573</v>
      </c>
      <c r="AZ1194" s="1" t="s">
        <v>14181</v>
      </c>
      <c r="BA1194" s="1" t="s">
        <v>466</v>
      </c>
      <c r="BB1194" s="1" t="s">
        <v>467</v>
      </c>
      <c r="BC1194" s="1" t="s">
        <v>140</v>
      </c>
      <c r="BD1194" s="1" t="s">
        <v>848</v>
      </c>
      <c r="BE1194" s="1">
        <v>86.9</v>
      </c>
      <c r="BF1194" s="1">
        <v>8.69</v>
      </c>
      <c r="BG1194" s="1"/>
      <c r="BH1194" s="1"/>
      <c r="BI1194" s="1"/>
      <c r="BJ1194" s="1"/>
      <c r="BK1194" s="1"/>
      <c r="BL1194" s="1"/>
      <c r="BM1194" s="1"/>
      <c r="BN1194" s="1"/>
      <c r="BO1194" s="1" t="s">
        <v>21696</v>
      </c>
      <c r="BP1194" s="1"/>
      <c r="BQ1194" s="1"/>
      <c r="BR1194" s="1" t="s">
        <v>21697</v>
      </c>
      <c r="BS1194" s="1">
        <v>3</v>
      </c>
      <c r="BT1194" s="1" t="s">
        <v>21698</v>
      </c>
      <c r="BU1194" s="1" t="str">
        <f>HYPERLINK("https://nconnect.nicmar.ac.in/storage/profile/6a86f7483ae71.png","Download")</f>
        <v>0</v>
      </c>
      <c r="BV1194" s="3"/>
      <c r="BW1194" s="3"/>
    </row>
    <row r="1195" spans="1:75">
      <c r="A1195" s="1" t="s">
        <v>75</v>
      </c>
      <c r="B1195" s="1" t="s">
        <v>13976</v>
      </c>
      <c r="C1195" s="1" t="s">
        <v>21699</v>
      </c>
      <c r="D1195" s="1" t="s">
        <v>21700</v>
      </c>
      <c r="E1195" s="1" t="s">
        <v>21701</v>
      </c>
      <c r="F1195" s="1" t="s">
        <v>4037</v>
      </c>
      <c r="G1195" s="1" t="s">
        <v>21702</v>
      </c>
      <c r="H1195" s="1" t="s">
        <v>21703</v>
      </c>
      <c r="I1195" s="1" t="s">
        <v>21704</v>
      </c>
      <c r="J1195" s="1">
        <v>9989569041</v>
      </c>
      <c r="K1195" s="1" t="s">
        <v>84</v>
      </c>
      <c r="L1195" s="1" t="s">
        <v>5329</v>
      </c>
      <c r="M1195" s="1" t="s">
        <v>86</v>
      </c>
      <c r="N1195" s="1" t="s">
        <v>21705</v>
      </c>
      <c r="O1195" s="1" t="s">
        <v>21706</v>
      </c>
      <c r="P1195" s="1" t="s">
        <v>122</v>
      </c>
      <c r="Q1195" s="1">
        <v>396079993250</v>
      </c>
      <c r="R1195" s="1" t="s">
        <v>21707</v>
      </c>
      <c r="S1195" s="1">
        <v>7981826526</v>
      </c>
      <c r="T1195" s="1" t="s">
        <v>159</v>
      </c>
      <c r="U1195" s="1" t="s">
        <v>21708</v>
      </c>
      <c r="V1195" s="1">
        <v>7981826526</v>
      </c>
      <c r="W1195" s="1" t="s">
        <v>1257</v>
      </c>
      <c r="X1195" s="1" t="s">
        <v>21709</v>
      </c>
      <c r="Y1195" s="1" t="s">
        <v>3031</v>
      </c>
      <c r="Z1195" s="1" t="s">
        <v>461</v>
      </c>
      <c r="AA1195" s="1" t="s">
        <v>21709</v>
      </c>
      <c r="AB1195" s="1" t="s">
        <v>3031</v>
      </c>
      <c r="AC1195" s="1" t="s">
        <v>461</v>
      </c>
      <c r="AD1195" s="1" t="s">
        <v>98</v>
      </c>
      <c r="AE1195" s="1" t="s">
        <v>98</v>
      </c>
      <c r="AF1195" s="1" t="s">
        <v>21710</v>
      </c>
      <c r="AG1195" s="1" t="s">
        <v>21711</v>
      </c>
      <c r="AH1195" s="1" t="s">
        <v>170</v>
      </c>
      <c r="AI1195" s="1" t="s">
        <v>286</v>
      </c>
      <c r="AJ1195" s="1">
        <v>90.2</v>
      </c>
      <c r="AK1195" s="1">
        <v>9.2</v>
      </c>
      <c r="AL1195" s="1" t="s">
        <v>2342</v>
      </c>
      <c r="AM1195" s="1" t="s">
        <v>21712</v>
      </c>
      <c r="AN1195" s="1" t="s">
        <v>465</v>
      </c>
      <c r="AO1195" s="1" t="s">
        <v>438</v>
      </c>
      <c r="AP1195" s="1" t="s">
        <v>603</v>
      </c>
      <c r="AQ1195" s="1">
        <v>91.1</v>
      </c>
      <c r="AR1195" s="1">
        <v>0</v>
      </c>
      <c r="AS1195" s="1"/>
      <c r="AT1195" s="1"/>
      <c r="AU1195" s="1"/>
      <c r="AV1195" s="1"/>
      <c r="AW1195" s="1"/>
      <c r="AX1195" s="1"/>
      <c r="AY1195" s="1" t="s">
        <v>3035</v>
      </c>
      <c r="AZ1195" s="1" t="s">
        <v>21713</v>
      </c>
      <c r="BA1195" s="1" t="s">
        <v>578</v>
      </c>
      <c r="BB1195" s="1" t="s">
        <v>467</v>
      </c>
      <c r="BC1195" s="1" t="s">
        <v>233</v>
      </c>
      <c r="BD1195" s="1" t="s">
        <v>1089</v>
      </c>
      <c r="BE1195" s="1">
        <v>66.57</v>
      </c>
      <c r="BF1195" s="1">
        <v>7.06</v>
      </c>
      <c r="BG1195" s="1"/>
      <c r="BH1195" s="1"/>
      <c r="BI1195" s="1"/>
      <c r="BJ1195" s="1"/>
      <c r="BK1195" s="1"/>
      <c r="BL1195" s="1"/>
      <c r="BM1195" s="1"/>
      <c r="BN1195" s="1"/>
      <c r="BO1195" s="1" t="s">
        <v>21714</v>
      </c>
      <c r="BP1195" s="1" t="s">
        <v>21715</v>
      </c>
      <c r="BQ1195" s="1" t="s">
        <v>1357</v>
      </c>
      <c r="BR1195" s="1"/>
      <c r="BS1195" s="1"/>
      <c r="BT1195" s="1"/>
      <c r="BU1195" s="1" t="str">
        <f>HYPERLINK("https://nconnect.nicmar.ac.in/storage/profile/6a85f5991d0ef.png","Download")</f>
        <v>0</v>
      </c>
      <c r="BV1195" s="3"/>
      <c r="BW1195" s="3"/>
    </row>
    <row r="1196" spans="1:75">
      <c r="A1196" s="1" t="s">
        <v>75</v>
      </c>
      <c r="B1196" s="1" t="s">
        <v>13976</v>
      </c>
      <c r="C1196" s="1" t="s">
        <v>21716</v>
      </c>
      <c r="D1196" s="1" t="s">
        <v>21717</v>
      </c>
      <c r="E1196" s="1"/>
      <c r="F1196" s="1" t="s">
        <v>21718</v>
      </c>
      <c r="G1196" s="1" t="s">
        <v>21719</v>
      </c>
      <c r="H1196" s="1" t="s">
        <v>21720</v>
      </c>
      <c r="I1196" s="1" t="s">
        <v>21721</v>
      </c>
      <c r="J1196" s="1">
        <v>7001032540</v>
      </c>
      <c r="K1196" s="1" t="s">
        <v>84</v>
      </c>
      <c r="L1196" s="1" t="s">
        <v>21722</v>
      </c>
      <c r="M1196" s="1" t="s">
        <v>86</v>
      </c>
      <c r="N1196" s="1" t="s">
        <v>21723</v>
      </c>
      <c r="O1196" s="1" t="s">
        <v>21724</v>
      </c>
      <c r="P1196" s="1" t="s">
        <v>219</v>
      </c>
      <c r="Q1196" s="1">
        <v>825112804072</v>
      </c>
      <c r="R1196" s="1" t="s">
        <v>21725</v>
      </c>
      <c r="S1196" s="1">
        <v>9547607588</v>
      </c>
      <c r="T1196" s="1" t="s">
        <v>14800</v>
      </c>
      <c r="U1196" s="1" t="s">
        <v>21726</v>
      </c>
      <c r="V1196" s="1">
        <v>9434570414</v>
      </c>
      <c r="W1196" s="1" t="s">
        <v>14154</v>
      </c>
      <c r="X1196" s="1" t="s">
        <v>21727</v>
      </c>
      <c r="Y1196" s="1" t="s">
        <v>14936</v>
      </c>
      <c r="Z1196" s="1" t="s">
        <v>1234</v>
      </c>
      <c r="AA1196" s="1" t="s">
        <v>21727</v>
      </c>
      <c r="AB1196" s="1" t="s">
        <v>14936</v>
      </c>
      <c r="AC1196" s="1" t="s">
        <v>1234</v>
      </c>
      <c r="AD1196" s="1" t="s">
        <v>98</v>
      </c>
      <c r="AE1196" s="1" t="s">
        <v>98</v>
      </c>
      <c r="AF1196" s="1" t="s">
        <v>21728</v>
      </c>
      <c r="AG1196" s="1" t="s">
        <v>17359</v>
      </c>
      <c r="AH1196" s="1" t="s">
        <v>1110</v>
      </c>
      <c r="AI1196" s="1" t="s">
        <v>627</v>
      </c>
      <c r="AJ1196" s="1">
        <v>85.71</v>
      </c>
      <c r="AK1196" s="1"/>
      <c r="AL1196" s="1" t="s">
        <v>21728</v>
      </c>
      <c r="AM1196" s="1" t="s">
        <v>21729</v>
      </c>
      <c r="AN1196" s="1" t="s">
        <v>465</v>
      </c>
      <c r="AO1196" s="1" t="s">
        <v>704</v>
      </c>
      <c r="AP1196" s="1" t="s">
        <v>106</v>
      </c>
      <c r="AQ1196" s="1">
        <v>80.2</v>
      </c>
      <c r="AR1196" s="1"/>
      <c r="AS1196" s="1"/>
      <c r="AT1196" s="1"/>
      <c r="AU1196" s="1"/>
      <c r="AV1196" s="1"/>
      <c r="AW1196" s="1"/>
      <c r="AX1196" s="1"/>
      <c r="AY1196" s="1" t="s">
        <v>17363</v>
      </c>
      <c r="AZ1196" s="1" t="s">
        <v>21730</v>
      </c>
      <c r="BA1196" s="1" t="s">
        <v>466</v>
      </c>
      <c r="BB1196" s="1" t="s">
        <v>467</v>
      </c>
      <c r="BC1196" s="1" t="s">
        <v>1065</v>
      </c>
      <c r="BD1196" s="1" t="s">
        <v>1400</v>
      </c>
      <c r="BE1196" s="1">
        <v>78</v>
      </c>
      <c r="BF1196" s="1">
        <v>8.54</v>
      </c>
      <c r="BG1196" s="1"/>
      <c r="BH1196" s="1"/>
      <c r="BI1196" s="1"/>
      <c r="BJ1196" s="1"/>
      <c r="BK1196" s="1"/>
      <c r="BL1196" s="1"/>
      <c r="BM1196" s="1"/>
      <c r="BN1196" s="1"/>
      <c r="BO1196" s="1" t="s">
        <v>21731</v>
      </c>
      <c r="BP1196" s="1"/>
      <c r="BQ1196" s="1"/>
      <c r="BR1196" s="1"/>
      <c r="BS1196" s="1"/>
      <c r="BT1196" s="1"/>
      <c r="BU1196" s="1" t="s">
        <v>9653</v>
      </c>
      <c r="BV1196" s="3"/>
      <c r="BW1196" s="3"/>
    </row>
    <row r="1197" spans="1:75">
      <c r="A1197" s="1" t="s">
        <v>75</v>
      </c>
      <c r="B1197" s="1" t="s">
        <v>13976</v>
      </c>
      <c r="C1197" s="1" t="s">
        <v>21732</v>
      </c>
      <c r="D1197" s="1" t="s">
        <v>21733</v>
      </c>
      <c r="E1197" s="1" t="s">
        <v>14908</v>
      </c>
      <c r="F1197" s="1" t="s">
        <v>21734</v>
      </c>
      <c r="G1197" s="1" t="s">
        <v>21735</v>
      </c>
      <c r="H1197" s="1" t="s">
        <v>21736</v>
      </c>
      <c r="I1197" s="1" t="s">
        <v>21736</v>
      </c>
      <c r="J1197" s="1">
        <v>6303970153</v>
      </c>
      <c r="K1197" s="1" t="s">
        <v>84</v>
      </c>
      <c r="L1197" s="1" t="s">
        <v>4297</v>
      </c>
      <c r="M1197" s="1" t="s">
        <v>86</v>
      </c>
      <c r="N1197" s="1" t="s">
        <v>21737</v>
      </c>
      <c r="O1197" s="1" t="s">
        <v>21738</v>
      </c>
      <c r="P1197" s="1" t="s">
        <v>122</v>
      </c>
      <c r="Q1197" s="1">
        <v>971275837950</v>
      </c>
      <c r="R1197" s="1" t="s">
        <v>21739</v>
      </c>
      <c r="S1197" s="1">
        <v>7995120751</v>
      </c>
      <c r="T1197" s="1" t="s">
        <v>21740</v>
      </c>
      <c r="U1197" s="1" t="s">
        <v>21741</v>
      </c>
      <c r="V1197" s="1">
        <v>9618188940</v>
      </c>
      <c r="W1197" s="1" t="s">
        <v>15046</v>
      </c>
      <c r="X1197" s="1" t="s">
        <v>21742</v>
      </c>
      <c r="Y1197" s="1" t="s">
        <v>15794</v>
      </c>
      <c r="Z1197" s="1" t="s">
        <v>281</v>
      </c>
      <c r="AA1197" s="1" t="s">
        <v>21743</v>
      </c>
      <c r="AB1197" s="1" t="s">
        <v>1454</v>
      </c>
      <c r="AC1197" s="1" t="s">
        <v>281</v>
      </c>
      <c r="AD1197" s="1" t="s">
        <v>98</v>
      </c>
      <c r="AE1197" s="1" t="s">
        <v>98</v>
      </c>
      <c r="AF1197" s="1" t="s">
        <v>21744</v>
      </c>
      <c r="AG1197" s="1" t="s">
        <v>21745</v>
      </c>
      <c r="AH1197" s="1" t="s">
        <v>5442</v>
      </c>
      <c r="AI1197" s="1" t="s">
        <v>490</v>
      </c>
      <c r="AJ1197" s="1">
        <v>92.15</v>
      </c>
      <c r="AK1197" s="1">
        <v>9.7</v>
      </c>
      <c r="AL1197" s="1"/>
      <c r="AM1197" s="1"/>
      <c r="AN1197" s="1"/>
      <c r="AO1197" s="1"/>
      <c r="AP1197" s="1"/>
      <c r="AQ1197" s="1"/>
      <c r="AR1197" s="1"/>
      <c r="AS1197" s="1" t="s">
        <v>439</v>
      </c>
      <c r="AT1197" s="1" t="s">
        <v>21746</v>
      </c>
      <c r="AU1197" s="1" t="s">
        <v>174</v>
      </c>
      <c r="AV1197" s="1" t="s">
        <v>1192</v>
      </c>
      <c r="AW1197" s="1">
        <v>77.38</v>
      </c>
      <c r="AX1197" s="1"/>
      <c r="AY1197" s="1" t="s">
        <v>11536</v>
      </c>
      <c r="AZ1197" s="1" t="s">
        <v>21747</v>
      </c>
      <c r="BA1197" s="1" t="s">
        <v>578</v>
      </c>
      <c r="BB1197" s="1" t="s">
        <v>467</v>
      </c>
      <c r="BC1197" s="1" t="s">
        <v>847</v>
      </c>
      <c r="BD1197" s="1" t="s">
        <v>1314</v>
      </c>
      <c r="BE1197" s="1">
        <v>73.4</v>
      </c>
      <c r="BF1197" s="1">
        <v>7.34</v>
      </c>
      <c r="BG1197" s="1"/>
      <c r="BH1197" s="1"/>
      <c r="BI1197" s="1"/>
      <c r="BJ1197" s="1"/>
      <c r="BK1197" s="1"/>
      <c r="BL1197" s="1"/>
      <c r="BM1197" s="1"/>
      <c r="BN1197" s="1"/>
      <c r="BO1197" s="1" t="s">
        <v>21748</v>
      </c>
      <c r="BP1197" s="1" t="s">
        <v>21749</v>
      </c>
      <c r="BQ1197" s="1" t="s">
        <v>292</v>
      </c>
      <c r="BR1197" s="1"/>
      <c r="BS1197" s="1"/>
      <c r="BT1197" s="1" t="s">
        <v>21750</v>
      </c>
      <c r="BU1197" s="1" t="str">
        <f>HYPERLINK("https://nconnect.nicmar.ac.in/storage/profile/6a870886b115b.png","Download")</f>
        <v>0</v>
      </c>
      <c r="BV1197" s="3"/>
      <c r="BW1197" s="3"/>
    </row>
    <row r="1198" spans="1:75">
      <c r="A1198" s="1" t="s">
        <v>75</v>
      </c>
      <c r="B1198" s="1" t="s">
        <v>13976</v>
      </c>
      <c r="C1198" s="1" t="s">
        <v>21751</v>
      </c>
      <c r="D1198" s="1" t="s">
        <v>21752</v>
      </c>
      <c r="E1198" s="1" t="s">
        <v>21753</v>
      </c>
      <c r="F1198" s="1" t="s">
        <v>21754</v>
      </c>
      <c r="G1198" s="1" t="s">
        <v>21755</v>
      </c>
      <c r="H1198" s="1" t="s">
        <v>21756</v>
      </c>
      <c r="I1198" s="1" t="s">
        <v>21756</v>
      </c>
      <c r="J1198" s="1">
        <v>9912583599</v>
      </c>
      <c r="K1198" s="1" t="s">
        <v>84</v>
      </c>
      <c r="L1198" s="1" t="s">
        <v>21757</v>
      </c>
      <c r="M1198" s="1" t="s">
        <v>86</v>
      </c>
      <c r="N1198" s="1" t="s">
        <v>21758</v>
      </c>
      <c r="O1198" s="1" t="s">
        <v>21759</v>
      </c>
      <c r="P1198" s="1" t="s">
        <v>122</v>
      </c>
      <c r="Q1198" s="1">
        <v>708147656407</v>
      </c>
      <c r="R1198" s="1" t="s">
        <v>21760</v>
      </c>
      <c r="S1198" s="1">
        <v>9703120023</v>
      </c>
      <c r="T1198" s="1" t="s">
        <v>21761</v>
      </c>
      <c r="U1198" s="1" t="s">
        <v>21762</v>
      </c>
      <c r="V1198" s="1">
        <v>9492304369</v>
      </c>
      <c r="W1198" s="1" t="s">
        <v>278</v>
      </c>
      <c r="X1198" s="1" t="s">
        <v>21763</v>
      </c>
      <c r="Y1198" s="1" t="s">
        <v>487</v>
      </c>
      <c r="Z1198" s="1" t="s">
        <v>281</v>
      </c>
      <c r="AA1198" s="1" t="s">
        <v>21763</v>
      </c>
      <c r="AB1198" s="1" t="s">
        <v>487</v>
      </c>
      <c r="AC1198" s="1" t="s">
        <v>281</v>
      </c>
      <c r="AD1198" s="1" t="s">
        <v>98</v>
      </c>
      <c r="AE1198" s="1" t="s">
        <v>98</v>
      </c>
      <c r="AF1198" s="1" t="s">
        <v>21764</v>
      </c>
      <c r="AG1198" s="1" t="s">
        <v>21765</v>
      </c>
      <c r="AH1198" s="1" t="s">
        <v>284</v>
      </c>
      <c r="AI1198" s="1" t="s">
        <v>704</v>
      </c>
      <c r="AJ1198" s="1">
        <v>100</v>
      </c>
      <c r="AK1198" s="1">
        <v>10</v>
      </c>
      <c r="AL1198" s="1" t="s">
        <v>21766</v>
      </c>
      <c r="AM1198" s="1" t="s">
        <v>21767</v>
      </c>
      <c r="AN1198" s="1" t="s">
        <v>465</v>
      </c>
      <c r="AO1198" s="1" t="s">
        <v>170</v>
      </c>
      <c r="AP1198" s="1" t="s">
        <v>547</v>
      </c>
      <c r="AQ1198" s="1">
        <v>95.9</v>
      </c>
      <c r="AR1198" s="1">
        <v>9.88</v>
      </c>
      <c r="AS1198" s="1"/>
      <c r="AT1198" s="1"/>
      <c r="AU1198" s="1"/>
      <c r="AV1198" s="1"/>
      <c r="AW1198" s="1"/>
      <c r="AX1198" s="1"/>
      <c r="AY1198" s="1" t="s">
        <v>2654</v>
      </c>
      <c r="AZ1198" s="1" t="s">
        <v>1421</v>
      </c>
      <c r="BA1198" s="1" t="s">
        <v>466</v>
      </c>
      <c r="BB1198" s="1" t="s">
        <v>467</v>
      </c>
      <c r="BC1198" s="1" t="s">
        <v>438</v>
      </c>
      <c r="BD1198" s="1" t="s">
        <v>955</v>
      </c>
      <c r="BE1198" s="1">
        <v>74.4</v>
      </c>
      <c r="BF1198" s="1">
        <v>8.19</v>
      </c>
      <c r="BG1198" s="1"/>
      <c r="BH1198" s="1"/>
      <c r="BI1198" s="1"/>
      <c r="BJ1198" s="1"/>
      <c r="BK1198" s="1"/>
      <c r="BL1198" s="1"/>
      <c r="BM1198" s="1"/>
      <c r="BN1198" s="1"/>
      <c r="BO1198" s="1" t="s">
        <v>21768</v>
      </c>
      <c r="BP1198" s="1" t="s">
        <v>21769</v>
      </c>
      <c r="BQ1198" s="1" t="s">
        <v>6365</v>
      </c>
      <c r="BR1198" s="1"/>
      <c r="BS1198" s="1"/>
      <c r="BT1198" s="1" t="s">
        <v>1666</v>
      </c>
      <c r="BU1198" s="1" t="str">
        <f>HYPERLINK("https://nconnect.nicmar.ac.in/storage/profile/6a85f3a80a675.png","Download")</f>
        <v>0</v>
      </c>
      <c r="BV1198" s="3"/>
      <c r="BW1198" s="3"/>
    </row>
    <row r="1199" spans="1:75">
      <c r="A1199" s="1" t="s">
        <v>75</v>
      </c>
      <c r="B1199" s="1" t="s">
        <v>13976</v>
      </c>
      <c r="C1199" s="1" t="s">
        <v>21770</v>
      </c>
      <c r="D1199" s="1"/>
      <c r="E1199" s="1"/>
      <c r="F1199" s="1"/>
      <c r="G1199" s="1"/>
      <c r="H1199" s="1" t="s">
        <v>21771</v>
      </c>
      <c r="I1199" s="1" t="s">
        <v>21771</v>
      </c>
      <c r="J1199" s="1"/>
      <c r="K1199" s="1"/>
      <c r="L1199" s="1"/>
      <c r="M1199" s="1"/>
      <c r="N1199" s="1"/>
      <c r="O1199" s="1"/>
      <c r="P1199" s="1"/>
      <c r="Q1199" s="1"/>
      <c r="R1199" s="1"/>
      <c r="S1199" s="1"/>
      <c r="T1199" s="1"/>
      <c r="U1199" s="1"/>
      <c r="V1199" s="1"/>
      <c r="W1199" s="1"/>
      <c r="X1199" s="1"/>
      <c r="Y1199" s="1"/>
      <c r="Z1199" s="1"/>
      <c r="AA1199" s="1"/>
      <c r="AB1199" s="1"/>
      <c r="AC1199" s="1"/>
      <c r="AD1199" s="1" t="s">
        <v>98</v>
      </c>
      <c r="AE1199" s="1" t="s">
        <v>98</v>
      </c>
      <c r="AF1199" s="1"/>
      <c r="AG1199" s="1"/>
      <c r="AH1199" s="1"/>
      <c r="AI1199" s="1"/>
      <c r="AJ1199" s="1"/>
      <c r="AK1199" s="1"/>
      <c r="AL1199" s="1"/>
      <c r="AM1199" s="1"/>
      <c r="AN1199" s="1"/>
      <c r="AO1199" s="1"/>
      <c r="AP1199" s="1"/>
      <c r="AQ1199" s="1"/>
      <c r="AR1199" s="1"/>
      <c r="AS1199" s="1"/>
      <c r="AT1199" s="1"/>
      <c r="AU1199" s="1"/>
      <c r="AV1199" s="1"/>
      <c r="AW1199" s="1"/>
      <c r="AX1199" s="1"/>
      <c r="AY1199" s="1"/>
      <c r="AZ1199" s="1"/>
      <c r="BA1199" s="1"/>
      <c r="BB1199" s="1"/>
      <c r="BC1199" s="1"/>
      <c r="BD1199" s="1"/>
      <c r="BE1199" s="1"/>
      <c r="BF1199" s="1"/>
      <c r="BG1199" s="1"/>
      <c r="BH1199" s="1"/>
      <c r="BI1199" s="1"/>
      <c r="BJ1199" s="1"/>
      <c r="BK1199" s="1"/>
      <c r="BL1199" s="1"/>
      <c r="BM1199" s="1"/>
      <c r="BN1199" s="1"/>
      <c r="BO1199" s="1"/>
      <c r="BP1199" s="1"/>
      <c r="BQ1199" s="1"/>
      <c r="BR1199" s="1" t="s">
        <v>21772</v>
      </c>
      <c r="BS1199" s="1">
        <v>15</v>
      </c>
      <c r="BT1199" s="1"/>
      <c r="BU1199" s="1" t="str">
        <f>HYPERLINK("https://nconnect.nicmar.ac.in/storage/profile/6a85d9da45b24.png","Download")</f>
        <v>0</v>
      </c>
      <c r="BV1199" s="3"/>
      <c r="BW1199" s="3"/>
    </row>
    <row r="1200" spans="1:75">
      <c r="A1200" s="1" t="s">
        <v>75</v>
      </c>
      <c r="B1200" s="1" t="s">
        <v>13976</v>
      </c>
      <c r="C1200" s="1" t="s">
        <v>21773</v>
      </c>
      <c r="D1200" s="1" t="s">
        <v>14645</v>
      </c>
      <c r="E1200" s="1" t="s">
        <v>21774</v>
      </c>
      <c r="F1200" s="1" t="s">
        <v>21775</v>
      </c>
      <c r="G1200" s="1" t="s">
        <v>21776</v>
      </c>
      <c r="H1200" s="1" t="s">
        <v>21777</v>
      </c>
      <c r="I1200" s="1" t="s">
        <v>21777</v>
      </c>
      <c r="J1200" s="1">
        <v>9764337998</v>
      </c>
      <c r="K1200" s="1" t="s">
        <v>153</v>
      </c>
      <c r="L1200" s="1" t="s">
        <v>1985</v>
      </c>
      <c r="M1200" s="1" t="s">
        <v>86</v>
      </c>
      <c r="N1200" s="1" t="s">
        <v>21778</v>
      </c>
      <c r="O1200" s="1" t="s">
        <v>21779</v>
      </c>
      <c r="P1200" s="1" t="s">
        <v>122</v>
      </c>
      <c r="Q1200" s="1">
        <v>569048137403</v>
      </c>
      <c r="R1200" s="1" t="s">
        <v>21774</v>
      </c>
      <c r="S1200" s="1">
        <v>9890499880</v>
      </c>
      <c r="T1200" s="1" t="s">
        <v>18234</v>
      </c>
      <c r="U1200" s="1" t="s">
        <v>21780</v>
      </c>
      <c r="V1200" s="1">
        <v>8180005299</v>
      </c>
      <c r="W1200" s="1" t="s">
        <v>3441</v>
      </c>
      <c r="X1200" s="1" t="s">
        <v>21781</v>
      </c>
      <c r="Y1200" s="1" t="s">
        <v>1989</v>
      </c>
      <c r="Z1200" s="1" t="s">
        <v>97</v>
      </c>
      <c r="AA1200" s="1" t="s">
        <v>21781</v>
      </c>
      <c r="AB1200" s="1" t="s">
        <v>1989</v>
      </c>
      <c r="AC1200" s="1" t="s">
        <v>97</v>
      </c>
      <c r="AD1200" s="1" t="s">
        <v>98</v>
      </c>
      <c r="AE1200" s="1" t="s">
        <v>98</v>
      </c>
      <c r="AF1200" s="1" t="s">
        <v>21782</v>
      </c>
      <c r="AG1200" s="1" t="s">
        <v>21783</v>
      </c>
      <c r="AH1200" s="1" t="s">
        <v>286</v>
      </c>
      <c r="AI1200" s="1" t="s">
        <v>414</v>
      </c>
      <c r="AJ1200" s="1">
        <v>78.4</v>
      </c>
      <c r="AK1200" s="1"/>
      <c r="AL1200" s="1" t="s">
        <v>21784</v>
      </c>
      <c r="AM1200" s="1" t="s">
        <v>21785</v>
      </c>
      <c r="AN1200" s="1" t="s">
        <v>465</v>
      </c>
      <c r="AO1200" s="1" t="s">
        <v>603</v>
      </c>
      <c r="AP1200" s="1" t="s">
        <v>1192</v>
      </c>
      <c r="AQ1200" s="1">
        <v>82.83</v>
      </c>
      <c r="AR1200" s="1"/>
      <c r="AS1200" s="1"/>
      <c r="AT1200" s="1"/>
      <c r="AU1200" s="1"/>
      <c r="AV1200" s="1"/>
      <c r="AW1200" s="1"/>
      <c r="AX1200" s="1"/>
      <c r="AY1200" s="1" t="s">
        <v>21786</v>
      </c>
      <c r="AZ1200" s="1" t="s">
        <v>21787</v>
      </c>
      <c r="BA1200" s="1" t="s">
        <v>682</v>
      </c>
      <c r="BB1200" s="1" t="s">
        <v>683</v>
      </c>
      <c r="BC1200" s="1" t="s">
        <v>847</v>
      </c>
      <c r="BD1200" s="1" t="s">
        <v>14162</v>
      </c>
      <c r="BE1200" s="1">
        <v>68.6</v>
      </c>
      <c r="BF1200" s="1">
        <v>7.61</v>
      </c>
      <c r="BG1200" s="1"/>
      <c r="BH1200" s="1"/>
      <c r="BI1200" s="1"/>
      <c r="BJ1200" s="1"/>
      <c r="BK1200" s="1"/>
      <c r="BL1200" s="1"/>
      <c r="BM1200" s="1"/>
      <c r="BN1200" s="1"/>
      <c r="BO1200" s="1" t="s">
        <v>21788</v>
      </c>
      <c r="BP1200" s="1"/>
      <c r="BQ1200" s="1"/>
      <c r="BR1200" s="1" t="s">
        <v>21789</v>
      </c>
      <c r="BS1200" s="1">
        <v>19</v>
      </c>
      <c r="BT1200" s="1" t="s">
        <v>21790</v>
      </c>
      <c r="BU1200" s="1" t="str">
        <f>HYPERLINK("https://nconnect.nicmar.ac.in/storage/profile/6a8696a4573c8.png","Download")</f>
        <v>0</v>
      </c>
      <c r="BV1200" s="3"/>
      <c r="BW1200" s="3"/>
    </row>
    <row r="1201" spans="1:75">
      <c r="A1201" s="1" t="s">
        <v>75</v>
      </c>
      <c r="B1201" s="1" t="s">
        <v>13976</v>
      </c>
      <c r="C1201" s="1" t="s">
        <v>21791</v>
      </c>
      <c r="D1201" s="1" t="s">
        <v>21792</v>
      </c>
      <c r="E1201" s="1" t="s">
        <v>21793</v>
      </c>
      <c r="F1201" s="1" t="s">
        <v>21794</v>
      </c>
      <c r="G1201" s="1" t="s">
        <v>21795</v>
      </c>
      <c r="H1201" s="1" t="s">
        <v>21796</v>
      </c>
      <c r="I1201" s="1" t="s">
        <v>21797</v>
      </c>
      <c r="J1201" s="1">
        <v>8618800660</v>
      </c>
      <c r="K1201" s="1" t="s">
        <v>153</v>
      </c>
      <c r="L1201" s="1" t="s">
        <v>14272</v>
      </c>
      <c r="M1201" s="1" t="s">
        <v>86</v>
      </c>
      <c r="N1201" s="1" t="s">
        <v>21798</v>
      </c>
      <c r="O1201" s="1" t="s">
        <v>21799</v>
      </c>
      <c r="P1201" s="1" t="s">
        <v>219</v>
      </c>
      <c r="Q1201" s="1">
        <v>761499575439</v>
      </c>
      <c r="R1201" s="1" t="s">
        <v>21800</v>
      </c>
      <c r="S1201" s="1">
        <v>9972570966</v>
      </c>
      <c r="T1201" s="1" t="s">
        <v>15679</v>
      </c>
      <c r="U1201" s="1" t="s">
        <v>21801</v>
      </c>
      <c r="V1201" s="1">
        <v>7676591798</v>
      </c>
      <c r="W1201" s="1" t="s">
        <v>14032</v>
      </c>
      <c r="X1201" s="1" t="s">
        <v>21802</v>
      </c>
      <c r="Y1201" s="1" t="s">
        <v>6871</v>
      </c>
      <c r="Z1201" s="1" t="s">
        <v>1210</v>
      </c>
      <c r="AA1201" s="1" t="s">
        <v>21802</v>
      </c>
      <c r="AB1201" s="1" t="s">
        <v>6871</v>
      </c>
      <c r="AC1201" s="1" t="s">
        <v>1210</v>
      </c>
      <c r="AD1201" s="1" t="s">
        <v>98</v>
      </c>
      <c r="AE1201" s="1" t="s">
        <v>98</v>
      </c>
      <c r="AF1201" s="1" t="s">
        <v>21803</v>
      </c>
      <c r="AG1201" s="1" t="s">
        <v>21804</v>
      </c>
      <c r="AH1201" s="1" t="s">
        <v>106</v>
      </c>
      <c r="AI1201" s="1" t="s">
        <v>547</v>
      </c>
      <c r="AJ1201" s="1">
        <v>70.4</v>
      </c>
      <c r="AK1201" s="1"/>
      <c r="AL1201" s="1" t="s">
        <v>21805</v>
      </c>
      <c r="AM1201" s="1" t="s">
        <v>21806</v>
      </c>
      <c r="AN1201" s="1" t="s">
        <v>575</v>
      </c>
      <c r="AO1201" s="1" t="s">
        <v>438</v>
      </c>
      <c r="AP1201" s="1" t="s">
        <v>549</v>
      </c>
      <c r="AQ1201" s="1">
        <v>65.84</v>
      </c>
      <c r="AR1201" s="1"/>
      <c r="AS1201" s="1"/>
      <c r="AT1201" s="1"/>
      <c r="AU1201" s="1"/>
      <c r="AV1201" s="1"/>
      <c r="AW1201" s="1"/>
      <c r="AX1201" s="1"/>
      <c r="AY1201" s="1" t="s">
        <v>21807</v>
      </c>
      <c r="AZ1201" s="1" t="s">
        <v>21808</v>
      </c>
      <c r="BA1201" s="1" t="s">
        <v>578</v>
      </c>
      <c r="BB1201" s="1" t="s">
        <v>467</v>
      </c>
      <c r="BC1201" s="1" t="s">
        <v>441</v>
      </c>
      <c r="BD1201" s="1" t="s">
        <v>1401</v>
      </c>
      <c r="BE1201" s="1">
        <v>74</v>
      </c>
      <c r="BF1201" s="1">
        <v>7.01</v>
      </c>
      <c r="BG1201" s="1"/>
      <c r="BH1201" s="1"/>
      <c r="BI1201" s="1"/>
      <c r="BJ1201" s="1"/>
      <c r="BK1201" s="1"/>
      <c r="BL1201" s="1"/>
      <c r="BM1201" s="1"/>
      <c r="BN1201" s="1"/>
      <c r="BO1201" s="1" t="s">
        <v>21809</v>
      </c>
      <c r="BP1201" s="1"/>
      <c r="BQ1201" s="1"/>
      <c r="BR1201" s="1"/>
      <c r="BS1201" s="1"/>
      <c r="BT1201" s="1"/>
      <c r="BU1201" s="1" t="str">
        <f>HYPERLINK("https://nconnect.nicmar.ac.in/storage/profile/6a85baf0b0779.png","Download")</f>
        <v>0</v>
      </c>
      <c r="BV1201" s="3"/>
      <c r="BW1201" s="3"/>
    </row>
    <row r="1202" spans="1:75">
      <c r="A1202" s="1" t="s">
        <v>75</v>
      </c>
      <c r="B1202" s="1" t="s">
        <v>13976</v>
      </c>
      <c r="C1202" s="1" t="s">
        <v>21810</v>
      </c>
      <c r="D1202" s="1" t="s">
        <v>21811</v>
      </c>
      <c r="E1202" s="1" t="s">
        <v>21812</v>
      </c>
      <c r="F1202" s="1" t="s">
        <v>21813</v>
      </c>
      <c r="G1202" s="1" t="s">
        <v>21814</v>
      </c>
      <c r="H1202" s="1" t="s">
        <v>21815</v>
      </c>
      <c r="I1202" s="1" t="s">
        <v>21815</v>
      </c>
      <c r="J1202" s="1">
        <v>7517855926</v>
      </c>
      <c r="K1202" s="1" t="s">
        <v>84</v>
      </c>
      <c r="L1202" s="1" t="s">
        <v>21816</v>
      </c>
      <c r="M1202" s="1" t="s">
        <v>86</v>
      </c>
      <c r="N1202" s="1" t="s">
        <v>4263</v>
      </c>
      <c r="O1202" s="1" t="s">
        <v>16183</v>
      </c>
      <c r="P1202" s="1" t="s">
        <v>122</v>
      </c>
      <c r="Q1202" s="1">
        <v>733843788009</v>
      </c>
      <c r="R1202" s="1" t="s">
        <v>21812</v>
      </c>
      <c r="S1202" s="1">
        <v>9822735884</v>
      </c>
      <c r="T1202" s="1" t="s">
        <v>16557</v>
      </c>
      <c r="U1202" s="1" t="s">
        <v>21817</v>
      </c>
      <c r="V1202" s="1">
        <v>7447287877</v>
      </c>
      <c r="W1202" s="1" t="s">
        <v>2177</v>
      </c>
      <c r="X1202" s="1" t="s">
        <v>21818</v>
      </c>
      <c r="Y1202" s="1" t="s">
        <v>410</v>
      </c>
      <c r="Z1202" s="1" t="s">
        <v>97</v>
      </c>
      <c r="AA1202" s="1" t="s">
        <v>21818</v>
      </c>
      <c r="AB1202" s="1" t="s">
        <v>410</v>
      </c>
      <c r="AC1202" s="1" t="s">
        <v>97</v>
      </c>
      <c r="AD1202" s="1" t="s">
        <v>98</v>
      </c>
      <c r="AE1202" s="1" t="s">
        <v>98</v>
      </c>
      <c r="AF1202" s="1" t="s">
        <v>21819</v>
      </c>
      <c r="AG1202" s="1" t="s">
        <v>16528</v>
      </c>
      <c r="AH1202" s="1" t="s">
        <v>3285</v>
      </c>
      <c r="AI1202" s="1" t="s">
        <v>3965</v>
      </c>
      <c r="AJ1202" s="1">
        <v>85.8</v>
      </c>
      <c r="AK1202" s="1"/>
      <c r="AL1202" s="1" t="s">
        <v>21820</v>
      </c>
      <c r="AM1202" s="1" t="s">
        <v>16528</v>
      </c>
      <c r="AN1202" s="1" t="s">
        <v>465</v>
      </c>
      <c r="AO1202" s="1" t="s">
        <v>1213</v>
      </c>
      <c r="AP1202" s="1" t="s">
        <v>3967</v>
      </c>
      <c r="AQ1202" s="1">
        <v>64.92</v>
      </c>
      <c r="AR1202" s="1"/>
      <c r="AS1202" s="1"/>
      <c r="AT1202" s="1"/>
      <c r="AU1202" s="1"/>
      <c r="AV1202" s="1"/>
      <c r="AW1202" s="1"/>
      <c r="AX1202" s="1"/>
      <c r="AY1202" s="1" t="s">
        <v>21821</v>
      </c>
      <c r="AZ1202" s="1" t="s">
        <v>21822</v>
      </c>
      <c r="BA1202" s="1" t="s">
        <v>578</v>
      </c>
      <c r="BB1202" s="1" t="s">
        <v>467</v>
      </c>
      <c r="BC1202" s="1" t="s">
        <v>257</v>
      </c>
      <c r="BD1202" s="1" t="s">
        <v>106</v>
      </c>
      <c r="BE1202" s="1">
        <v>80.8</v>
      </c>
      <c r="BF1202" s="1">
        <v>8.08</v>
      </c>
      <c r="BG1202" s="1" t="s">
        <v>21821</v>
      </c>
      <c r="BH1202" s="1" t="s">
        <v>21823</v>
      </c>
      <c r="BI1202" s="1" t="s">
        <v>21824</v>
      </c>
      <c r="BJ1202" s="1" t="s">
        <v>1062</v>
      </c>
      <c r="BK1202" s="1" t="s">
        <v>110</v>
      </c>
      <c r="BL1202" s="1" t="s">
        <v>207</v>
      </c>
      <c r="BM1202" s="1">
        <v>74.4</v>
      </c>
      <c r="BN1202" s="1">
        <v>7.44</v>
      </c>
      <c r="BO1202" s="1" t="s">
        <v>21825</v>
      </c>
      <c r="BP1202" s="1"/>
      <c r="BQ1202" s="1"/>
      <c r="BR1202" s="1"/>
      <c r="BS1202" s="1"/>
      <c r="BT1202" s="1"/>
      <c r="BU1202" s="1" t="str">
        <f>HYPERLINK("https://nconnect.nicmar.ac.in/storage/profile/6a870b0e122a6.png","Download")</f>
        <v>0</v>
      </c>
      <c r="BV1202" s="3"/>
      <c r="BW1202" s="3"/>
    </row>
    <row r="1203" spans="1:75">
      <c r="A1203" s="1" t="s">
        <v>75</v>
      </c>
      <c r="B1203" s="1" t="s">
        <v>13976</v>
      </c>
      <c r="C1203" s="1" t="s">
        <v>21826</v>
      </c>
      <c r="D1203" s="1" t="s">
        <v>21827</v>
      </c>
      <c r="E1203" s="1" t="s">
        <v>21828</v>
      </c>
      <c r="F1203" s="1" t="s">
        <v>21829</v>
      </c>
      <c r="G1203" s="1" t="s">
        <v>21830</v>
      </c>
      <c r="H1203" s="1" t="s">
        <v>21831</v>
      </c>
      <c r="I1203" s="1" t="s">
        <v>21832</v>
      </c>
      <c r="J1203" s="1">
        <v>9309514458</v>
      </c>
      <c r="K1203" s="1" t="s">
        <v>153</v>
      </c>
      <c r="L1203" s="1" t="s">
        <v>21833</v>
      </c>
      <c r="M1203" s="1" t="s">
        <v>86</v>
      </c>
      <c r="N1203" s="1" t="s">
        <v>21834</v>
      </c>
      <c r="O1203" s="1" t="s">
        <v>21835</v>
      </c>
      <c r="P1203" s="1" t="s">
        <v>122</v>
      </c>
      <c r="Q1203" s="1">
        <v>488278991894</v>
      </c>
      <c r="R1203" s="1" t="s">
        <v>21836</v>
      </c>
      <c r="S1203" s="1">
        <v>8855065892</v>
      </c>
      <c r="T1203" s="1" t="s">
        <v>13987</v>
      </c>
      <c r="U1203" s="1" t="s">
        <v>14726</v>
      </c>
      <c r="V1203" s="1">
        <v>7028598708</v>
      </c>
      <c r="W1203" s="1" t="s">
        <v>14032</v>
      </c>
      <c r="X1203" s="1" t="s">
        <v>21837</v>
      </c>
      <c r="Y1203" s="1" t="s">
        <v>910</v>
      </c>
      <c r="Z1203" s="1" t="s">
        <v>97</v>
      </c>
      <c r="AA1203" s="1" t="s">
        <v>21837</v>
      </c>
      <c r="AB1203" s="1" t="s">
        <v>910</v>
      </c>
      <c r="AC1203" s="1" t="s">
        <v>97</v>
      </c>
      <c r="AD1203" s="1" t="s">
        <v>98</v>
      </c>
      <c r="AE1203" s="1" t="s">
        <v>98</v>
      </c>
      <c r="AF1203" s="1" t="s">
        <v>21838</v>
      </c>
      <c r="AG1203" s="1" t="s">
        <v>21839</v>
      </c>
      <c r="AH1203" s="1" t="s">
        <v>101</v>
      </c>
      <c r="AI1203" s="1" t="s">
        <v>102</v>
      </c>
      <c r="AJ1203" s="1">
        <v>88</v>
      </c>
      <c r="AK1203" s="1">
        <v>8.8</v>
      </c>
      <c r="AL1203" s="1" t="s">
        <v>21840</v>
      </c>
      <c r="AM1203" s="1" t="s">
        <v>21839</v>
      </c>
      <c r="AN1203" s="1" t="s">
        <v>575</v>
      </c>
      <c r="AO1203" s="1" t="s">
        <v>167</v>
      </c>
      <c r="AP1203" s="1" t="s">
        <v>518</v>
      </c>
      <c r="AQ1203" s="1">
        <v>76.77</v>
      </c>
      <c r="AR1203" s="1">
        <v>8.17</v>
      </c>
      <c r="AS1203" s="1"/>
      <c r="AT1203" s="1"/>
      <c r="AU1203" s="1"/>
      <c r="AV1203" s="1"/>
      <c r="AW1203" s="1"/>
      <c r="AX1203" s="1"/>
      <c r="AY1203" s="1" t="s">
        <v>14160</v>
      </c>
      <c r="AZ1203" s="1" t="s">
        <v>21841</v>
      </c>
      <c r="BA1203" s="1" t="s">
        <v>578</v>
      </c>
      <c r="BB1203" s="1" t="s">
        <v>467</v>
      </c>
      <c r="BC1203" s="1" t="s">
        <v>170</v>
      </c>
      <c r="BD1203" s="1" t="s">
        <v>632</v>
      </c>
      <c r="BE1203" s="1">
        <v>76.67</v>
      </c>
      <c r="BF1203" s="1">
        <v>8.07</v>
      </c>
      <c r="BG1203" s="1" t="s">
        <v>14530</v>
      </c>
      <c r="BH1203" s="1" t="s">
        <v>21839</v>
      </c>
      <c r="BI1203" s="1" t="s">
        <v>21842</v>
      </c>
      <c r="BJ1203" s="1" t="s">
        <v>467</v>
      </c>
      <c r="BK1203" s="1" t="s">
        <v>170</v>
      </c>
      <c r="BL1203" s="1" t="s">
        <v>632</v>
      </c>
      <c r="BM1203" s="1">
        <v>76.67</v>
      </c>
      <c r="BN1203" s="1">
        <v>8.07</v>
      </c>
      <c r="BO1203" s="1" t="s">
        <v>21843</v>
      </c>
      <c r="BP1203" s="1"/>
      <c r="BQ1203" s="1"/>
      <c r="BR1203" s="1"/>
      <c r="BS1203" s="1"/>
      <c r="BT1203" s="1"/>
      <c r="BU1203" s="1" t="str">
        <f>HYPERLINK("https://nconnect.nicmar.ac.in/storage/profile/6a868e283581c.png","Download")</f>
        <v>0</v>
      </c>
      <c r="BV1203" s="3"/>
      <c r="BW1203" s="3"/>
    </row>
    <row r="1204" spans="1:75">
      <c r="A1204" s="1" t="s">
        <v>75</v>
      </c>
      <c r="B1204" s="1" t="s">
        <v>13976</v>
      </c>
      <c r="C1204" s="1" t="s">
        <v>21844</v>
      </c>
      <c r="D1204" s="1"/>
      <c r="E1204" s="1"/>
      <c r="F1204" s="1"/>
      <c r="G1204" s="1"/>
      <c r="H1204" s="1" t="s">
        <v>21845</v>
      </c>
      <c r="I1204" s="1" t="s">
        <v>21845</v>
      </c>
      <c r="J1204" s="1"/>
      <c r="K1204" s="1"/>
      <c r="L1204" s="1"/>
      <c r="M1204" s="1"/>
      <c r="N1204" s="1"/>
      <c r="O1204" s="1"/>
      <c r="P1204" s="1"/>
      <c r="Q1204" s="1"/>
      <c r="R1204" s="1"/>
      <c r="S1204" s="1"/>
      <c r="T1204" s="1"/>
      <c r="U1204" s="1"/>
      <c r="V1204" s="1"/>
      <c r="W1204" s="1"/>
      <c r="X1204" s="1"/>
      <c r="Y1204" s="1"/>
      <c r="Z1204" s="1"/>
      <c r="AA1204" s="1"/>
      <c r="AB1204" s="1"/>
      <c r="AC1204" s="1"/>
      <c r="AD1204" s="1" t="s">
        <v>98</v>
      </c>
      <c r="AE1204" s="1" t="s">
        <v>98</v>
      </c>
      <c r="AF1204" s="1"/>
      <c r="AG1204" s="1"/>
      <c r="AH1204" s="1"/>
      <c r="AI1204" s="1"/>
      <c r="AJ1204" s="1"/>
      <c r="AK1204" s="1"/>
      <c r="AL1204" s="1"/>
      <c r="AM1204" s="1"/>
      <c r="AN1204" s="1"/>
      <c r="AO1204" s="1"/>
      <c r="AP1204" s="1"/>
      <c r="AQ1204" s="1"/>
      <c r="AR1204" s="1"/>
      <c r="AS1204" s="1"/>
      <c r="AT1204" s="1"/>
      <c r="AU1204" s="1"/>
      <c r="AV1204" s="1"/>
      <c r="AW1204" s="1"/>
      <c r="AX1204" s="1"/>
      <c r="AY1204" s="1"/>
      <c r="AZ1204" s="1"/>
      <c r="BA1204" s="1"/>
      <c r="BB1204" s="1"/>
      <c r="BC1204" s="1"/>
      <c r="BD1204" s="1"/>
      <c r="BE1204" s="1"/>
      <c r="BF1204" s="1"/>
      <c r="BG1204" s="1"/>
      <c r="BH1204" s="1"/>
      <c r="BI1204" s="1"/>
      <c r="BJ1204" s="1"/>
      <c r="BK1204" s="1"/>
      <c r="BL1204" s="1"/>
      <c r="BM1204" s="1"/>
      <c r="BN1204" s="1"/>
      <c r="BO1204" s="1"/>
      <c r="BP1204" s="1" t="s">
        <v>21846</v>
      </c>
      <c r="BQ1204" s="1" t="s">
        <v>2577</v>
      </c>
      <c r="BR1204" s="1" t="s">
        <v>21847</v>
      </c>
      <c r="BS1204" s="1">
        <v>4</v>
      </c>
      <c r="BT1204" s="1"/>
      <c r="BU1204" s="1" t="str">
        <f>HYPERLINK("https://nconnect.nicmar.ac.in/storage/profile/6a86e6630bf8c.png","Download")</f>
        <v>0</v>
      </c>
      <c r="BV1204" s="3"/>
      <c r="BW1204" s="3"/>
    </row>
    <row r="1205" spans="1:75">
      <c r="A1205" s="1" t="s">
        <v>75</v>
      </c>
      <c r="B1205" s="1" t="s">
        <v>13976</v>
      </c>
      <c r="C1205" s="1" t="s">
        <v>21848</v>
      </c>
      <c r="D1205" s="1"/>
      <c r="E1205" s="1"/>
      <c r="F1205" s="1"/>
      <c r="G1205" s="1"/>
      <c r="H1205" s="1" t="s">
        <v>21849</v>
      </c>
      <c r="I1205" s="1" t="s">
        <v>21849</v>
      </c>
      <c r="J1205" s="1"/>
      <c r="K1205" s="1"/>
      <c r="L1205" s="1"/>
      <c r="M1205" s="1"/>
      <c r="N1205" s="1"/>
      <c r="O1205" s="1"/>
      <c r="P1205" s="1"/>
      <c r="Q1205" s="1"/>
      <c r="R1205" s="1"/>
      <c r="S1205" s="1"/>
      <c r="T1205" s="1"/>
      <c r="U1205" s="1"/>
      <c r="V1205" s="1"/>
      <c r="W1205" s="1"/>
      <c r="X1205" s="1"/>
      <c r="Y1205" s="1"/>
      <c r="Z1205" s="1"/>
      <c r="AA1205" s="1"/>
      <c r="AB1205" s="1"/>
      <c r="AC1205" s="1"/>
      <c r="AD1205" s="1" t="s">
        <v>98</v>
      </c>
      <c r="AE1205" s="1" t="s">
        <v>98</v>
      </c>
      <c r="AF1205" s="1"/>
      <c r="AG1205" s="1"/>
      <c r="AH1205" s="1"/>
      <c r="AI1205" s="1"/>
      <c r="AJ1205" s="1"/>
      <c r="AK1205" s="1"/>
      <c r="AL1205" s="1"/>
      <c r="AM1205" s="1"/>
      <c r="AN1205" s="1"/>
      <c r="AO1205" s="1"/>
      <c r="AP1205" s="1"/>
      <c r="AQ1205" s="1"/>
      <c r="AR1205" s="1"/>
      <c r="AS1205" s="1"/>
      <c r="AT1205" s="1"/>
      <c r="AU1205" s="1"/>
      <c r="AV1205" s="1"/>
      <c r="AW1205" s="1"/>
      <c r="AX1205" s="1"/>
      <c r="AY1205" s="1"/>
      <c r="AZ1205" s="1"/>
      <c r="BA1205" s="1"/>
      <c r="BB1205" s="1"/>
      <c r="BC1205" s="1"/>
      <c r="BD1205" s="1"/>
      <c r="BE1205" s="1"/>
      <c r="BF1205" s="1"/>
      <c r="BG1205" s="1"/>
      <c r="BH1205" s="1"/>
      <c r="BI1205" s="1"/>
      <c r="BJ1205" s="1"/>
      <c r="BK1205" s="1"/>
      <c r="BL1205" s="1"/>
      <c r="BM1205" s="1"/>
      <c r="BN1205" s="1"/>
      <c r="BO1205" s="1"/>
      <c r="BP1205" s="1"/>
      <c r="BQ1205" s="1"/>
      <c r="BR1205" s="1"/>
      <c r="BS1205" s="1"/>
      <c r="BT1205" s="1"/>
      <c r="BU1205" s="1" t="s">
        <v>9653</v>
      </c>
      <c r="BV1205" s="3"/>
      <c r="BW1205" s="3"/>
    </row>
    <row r="1206" spans="1:75">
      <c r="A1206" s="1" t="s">
        <v>75</v>
      </c>
      <c r="B1206" s="1" t="s">
        <v>13976</v>
      </c>
      <c r="C1206" s="1" t="s">
        <v>21850</v>
      </c>
      <c r="D1206" s="1" t="s">
        <v>21851</v>
      </c>
      <c r="E1206" s="1"/>
      <c r="F1206" s="1" t="s">
        <v>21852</v>
      </c>
      <c r="G1206" s="1" t="s">
        <v>21853</v>
      </c>
      <c r="H1206" s="1" t="s">
        <v>21854</v>
      </c>
      <c r="I1206" s="1" t="s">
        <v>21854</v>
      </c>
      <c r="J1206" s="1">
        <v>9676487186</v>
      </c>
      <c r="K1206" s="1" t="s">
        <v>153</v>
      </c>
      <c r="L1206" s="1" t="s">
        <v>20323</v>
      </c>
      <c r="M1206" s="1" t="s">
        <v>86</v>
      </c>
      <c r="N1206" s="1" t="s">
        <v>17535</v>
      </c>
      <c r="O1206" s="1" t="s">
        <v>21855</v>
      </c>
      <c r="P1206" s="1" t="s">
        <v>356</v>
      </c>
      <c r="Q1206" s="1">
        <v>494206756279</v>
      </c>
      <c r="R1206" s="1" t="s">
        <v>21856</v>
      </c>
      <c r="S1206" s="1">
        <v>9052225533</v>
      </c>
      <c r="T1206" s="1" t="s">
        <v>21857</v>
      </c>
      <c r="U1206" s="1" t="s">
        <v>21858</v>
      </c>
      <c r="V1206" s="1">
        <v>9381114693</v>
      </c>
      <c r="W1206" s="1" t="s">
        <v>10306</v>
      </c>
      <c r="X1206" s="1" t="s">
        <v>21859</v>
      </c>
      <c r="Y1206" s="1" t="s">
        <v>1454</v>
      </c>
      <c r="Z1206" s="1" t="s">
        <v>281</v>
      </c>
      <c r="AA1206" s="1" t="s">
        <v>21859</v>
      </c>
      <c r="AB1206" s="1" t="s">
        <v>1454</v>
      </c>
      <c r="AC1206" s="1" t="s">
        <v>281</v>
      </c>
      <c r="AD1206" s="1" t="s">
        <v>98</v>
      </c>
      <c r="AE1206" s="1" t="s">
        <v>98</v>
      </c>
      <c r="AF1206" s="1" t="s">
        <v>21860</v>
      </c>
      <c r="AG1206" s="1" t="s">
        <v>21861</v>
      </c>
      <c r="AH1206" s="1" t="s">
        <v>167</v>
      </c>
      <c r="AI1206" s="1" t="s">
        <v>704</v>
      </c>
      <c r="AJ1206" s="1">
        <v>87.4</v>
      </c>
      <c r="AK1206" s="1">
        <v>9.2</v>
      </c>
      <c r="AL1206" s="1" t="s">
        <v>14014</v>
      </c>
      <c r="AM1206" s="1" t="s">
        <v>21862</v>
      </c>
      <c r="AN1206" s="1" t="s">
        <v>465</v>
      </c>
      <c r="AO1206" s="1" t="s">
        <v>170</v>
      </c>
      <c r="AP1206" s="1" t="s">
        <v>547</v>
      </c>
      <c r="AQ1206" s="1">
        <v>87.5</v>
      </c>
      <c r="AR1206" s="1">
        <v>8.75</v>
      </c>
      <c r="AS1206" s="1"/>
      <c r="AT1206" s="1"/>
      <c r="AU1206" s="1"/>
      <c r="AV1206" s="1"/>
      <c r="AW1206" s="1"/>
      <c r="AX1206" s="1"/>
      <c r="AY1206" s="1" t="s">
        <v>21863</v>
      </c>
      <c r="AZ1206" s="1" t="s">
        <v>21864</v>
      </c>
      <c r="BA1206" s="1" t="s">
        <v>466</v>
      </c>
      <c r="BB1206" s="1" t="s">
        <v>467</v>
      </c>
      <c r="BC1206" s="1" t="s">
        <v>206</v>
      </c>
      <c r="BD1206" s="1" t="s">
        <v>955</v>
      </c>
      <c r="BE1206" s="1">
        <v>75.4</v>
      </c>
      <c r="BF1206" s="1">
        <v>8.29</v>
      </c>
      <c r="BG1206" s="1"/>
      <c r="BH1206" s="1"/>
      <c r="BI1206" s="1"/>
      <c r="BJ1206" s="1"/>
      <c r="BK1206" s="1"/>
      <c r="BL1206" s="1"/>
      <c r="BM1206" s="1"/>
      <c r="BN1206" s="1"/>
      <c r="BO1206" s="1" t="s">
        <v>21865</v>
      </c>
      <c r="BP1206" s="1" t="s">
        <v>21866</v>
      </c>
      <c r="BQ1206" s="1" t="s">
        <v>524</v>
      </c>
      <c r="BR1206" s="1"/>
      <c r="BS1206" s="1"/>
      <c r="BT1206" s="1"/>
      <c r="BU1206" s="1" t="str">
        <f>HYPERLINK("https://nconnect.nicmar.ac.in/storage/profile/6a8050c4f2b47.png","Download")</f>
        <v>0</v>
      </c>
      <c r="BV1206" s="3"/>
      <c r="BW1206" s="3"/>
    </row>
    <row r="1207" spans="1:75">
      <c r="A1207" s="1" t="s">
        <v>75</v>
      </c>
      <c r="B1207" s="1" t="s">
        <v>13976</v>
      </c>
      <c r="C1207" s="1" t="s">
        <v>21867</v>
      </c>
      <c r="D1207" s="1" t="s">
        <v>21868</v>
      </c>
      <c r="E1207" s="1" t="s">
        <v>21869</v>
      </c>
      <c r="F1207" s="1" t="s">
        <v>21870</v>
      </c>
      <c r="G1207" s="1" t="s">
        <v>21871</v>
      </c>
      <c r="H1207" s="1" t="s">
        <v>21872</v>
      </c>
      <c r="I1207" s="1" t="s">
        <v>21872</v>
      </c>
      <c r="J1207" s="1">
        <v>9028925815</v>
      </c>
      <c r="K1207" s="1" t="s">
        <v>84</v>
      </c>
      <c r="L1207" s="1" t="s">
        <v>21873</v>
      </c>
      <c r="M1207" s="1" t="s">
        <v>86</v>
      </c>
      <c r="N1207" s="1" t="s">
        <v>21874</v>
      </c>
      <c r="O1207" s="1" t="s">
        <v>21875</v>
      </c>
      <c r="P1207" s="1" t="s">
        <v>219</v>
      </c>
      <c r="Q1207" s="1">
        <v>408869484109</v>
      </c>
      <c r="R1207" s="1" t="s">
        <v>21876</v>
      </c>
      <c r="S1207" s="1">
        <v>9960412366</v>
      </c>
      <c r="T1207" s="1" t="s">
        <v>21877</v>
      </c>
      <c r="U1207" s="1" t="s">
        <v>21878</v>
      </c>
      <c r="V1207" s="1">
        <v>9766626104</v>
      </c>
      <c r="W1207" s="1" t="s">
        <v>14337</v>
      </c>
      <c r="X1207" s="1" t="s">
        <v>21879</v>
      </c>
      <c r="Y1207" s="1" t="s">
        <v>410</v>
      </c>
      <c r="Z1207" s="1" t="s">
        <v>97</v>
      </c>
      <c r="AA1207" s="1" t="s">
        <v>21879</v>
      </c>
      <c r="AB1207" s="1" t="s">
        <v>410</v>
      </c>
      <c r="AC1207" s="1" t="s">
        <v>97</v>
      </c>
      <c r="AD1207" s="1" t="s">
        <v>98</v>
      </c>
      <c r="AE1207" s="1" t="s">
        <v>98</v>
      </c>
      <c r="AF1207" s="1" t="s">
        <v>21880</v>
      </c>
      <c r="AG1207" s="1" t="s">
        <v>16528</v>
      </c>
      <c r="AH1207" s="1" t="s">
        <v>200</v>
      </c>
      <c r="AI1207" s="1" t="s">
        <v>286</v>
      </c>
      <c r="AJ1207" s="1">
        <v>83.8</v>
      </c>
      <c r="AK1207" s="1"/>
      <c r="AL1207" s="1"/>
      <c r="AM1207" s="1"/>
      <c r="AN1207" s="1"/>
      <c r="AO1207" s="1"/>
      <c r="AP1207" s="1"/>
      <c r="AQ1207" s="1"/>
      <c r="AR1207" s="1"/>
      <c r="AS1207" s="1" t="s">
        <v>14656</v>
      </c>
      <c r="AT1207" s="1" t="s">
        <v>21580</v>
      </c>
      <c r="AU1207" s="1" t="s">
        <v>1065</v>
      </c>
      <c r="AV1207" s="1" t="s">
        <v>441</v>
      </c>
      <c r="AW1207" s="1">
        <v>89.42</v>
      </c>
      <c r="AX1207" s="1"/>
      <c r="AY1207" s="1" t="s">
        <v>21881</v>
      </c>
      <c r="AZ1207" s="1" t="s">
        <v>21882</v>
      </c>
      <c r="BA1207" s="1" t="s">
        <v>466</v>
      </c>
      <c r="BB1207" s="1" t="s">
        <v>467</v>
      </c>
      <c r="BC1207" s="1" t="s">
        <v>441</v>
      </c>
      <c r="BD1207" s="1" t="s">
        <v>1242</v>
      </c>
      <c r="BE1207" s="1">
        <v>84.6</v>
      </c>
      <c r="BF1207" s="1">
        <v>9.21</v>
      </c>
      <c r="BG1207" s="1"/>
      <c r="BH1207" s="1"/>
      <c r="BI1207" s="1"/>
      <c r="BJ1207" s="1"/>
      <c r="BK1207" s="1"/>
      <c r="BL1207" s="1"/>
      <c r="BM1207" s="1"/>
      <c r="BN1207" s="1"/>
      <c r="BO1207" s="1" t="s">
        <v>21883</v>
      </c>
      <c r="BP1207" s="1" t="s">
        <v>21884</v>
      </c>
      <c r="BQ1207" s="1" t="s">
        <v>4149</v>
      </c>
      <c r="BR1207" s="1"/>
      <c r="BS1207" s="1"/>
      <c r="BT1207" s="1"/>
      <c r="BU1207" s="1" t="str">
        <f>HYPERLINK("https://nconnect.nicmar.ac.in/storage/profile/6a86d547b6cc5.png","Download")</f>
        <v>0</v>
      </c>
      <c r="BV1207" s="3"/>
      <c r="BW1207" s="3"/>
    </row>
    <row r="1208" spans="1:75">
      <c r="A1208" s="1" t="s">
        <v>75</v>
      </c>
      <c r="B1208" s="1" t="s">
        <v>13976</v>
      </c>
      <c r="C1208" s="1" t="s">
        <v>21885</v>
      </c>
      <c r="D1208" s="1" t="s">
        <v>19317</v>
      </c>
      <c r="E1208" s="1" t="s">
        <v>21886</v>
      </c>
      <c r="F1208" s="1" t="s">
        <v>21887</v>
      </c>
      <c r="G1208" s="1" t="s">
        <v>21888</v>
      </c>
      <c r="H1208" s="1" t="s">
        <v>21889</v>
      </c>
      <c r="I1208" s="1" t="s">
        <v>21889</v>
      </c>
      <c r="J1208" s="1">
        <v>8547332230</v>
      </c>
      <c r="K1208" s="1" t="s">
        <v>84</v>
      </c>
      <c r="L1208" s="1" t="s">
        <v>21890</v>
      </c>
      <c r="M1208" s="1" t="s">
        <v>86</v>
      </c>
      <c r="N1208" s="1" t="s">
        <v>21891</v>
      </c>
      <c r="O1208" s="1" t="s">
        <v>21892</v>
      </c>
      <c r="P1208" s="1" t="s">
        <v>219</v>
      </c>
      <c r="Q1208" s="1">
        <v>726351502303</v>
      </c>
      <c r="R1208" s="1" t="s">
        <v>21893</v>
      </c>
      <c r="S1208" s="1">
        <v>9447102230</v>
      </c>
      <c r="T1208" s="1" t="s">
        <v>21894</v>
      </c>
      <c r="U1208" s="1" t="s">
        <v>21895</v>
      </c>
      <c r="V1208" s="1">
        <v>9495803948</v>
      </c>
      <c r="W1208" s="1" t="s">
        <v>10306</v>
      </c>
      <c r="X1208" s="1" t="s">
        <v>21896</v>
      </c>
      <c r="Y1208" s="1" t="s">
        <v>3190</v>
      </c>
      <c r="Z1208" s="1" t="s">
        <v>130</v>
      </c>
      <c r="AA1208" s="1" t="s">
        <v>21896</v>
      </c>
      <c r="AB1208" s="1" t="s">
        <v>3190</v>
      </c>
      <c r="AC1208" s="1" t="s">
        <v>130</v>
      </c>
      <c r="AD1208" s="1" t="s">
        <v>98</v>
      </c>
      <c r="AE1208" s="1" t="s">
        <v>98</v>
      </c>
      <c r="AF1208" s="1" t="s">
        <v>19973</v>
      </c>
      <c r="AG1208" s="1" t="s">
        <v>21897</v>
      </c>
      <c r="AH1208" s="1" t="s">
        <v>167</v>
      </c>
      <c r="AI1208" s="1" t="s">
        <v>573</v>
      </c>
      <c r="AJ1208" s="1">
        <v>77.9</v>
      </c>
      <c r="AK1208" s="1">
        <v>8.2</v>
      </c>
      <c r="AL1208" s="1" t="s">
        <v>21898</v>
      </c>
      <c r="AM1208" s="1" t="s">
        <v>21899</v>
      </c>
      <c r="AN1208" s="1" t="s">
        <v>6380</v>
      </c>
      <c r="AO1208" s="1" t="s">
        <v>170</v>
      </c>
      <c r="AP1208" s="1" t="s">
        <v>286</v>
      </c>
      <c r="AQ1208" s="1">
        <v>85.3</v>
      </c>
      <c r="AR1208" s="1"/>
      <c r="AS1208" s="1"/>
      <c r="AT1208" s="1"/>
      <c r="AU1208" s="1"/>
      <c r="AV1208" s="1"/>
      <c r="AW1208" s="1"/>
      <c r="AX1208" s="1"/>
      <c r="AY1208" s="1" t="s">
        <v>21900</v>
      </c>
      <c r="AZ1208" s="1" t="s">
        <v>21901</v>
      </c>
      <c r="BA1208" s="1" t="s">
        <v>682</v>
      </c>
      <c r="BB1208" s="1" t="s">
        <v>683</v>
      </c>
      <c r="BC1208" s="1" t="s">
        <v>106</v>
      </c>
      <c r="BD1208" s="1" t="s">
        <v>1089</v>
      </c>
      <c r="BE1208" s="1">
        <v>66.5</v>
      </c>
      <c r="BF1208" s="1">
        <v>6.7</v>
      </c>
      <c r="BG1208" s="1"/>
      <c r="BH1208" s="1"/>
      <c r="BI1208" s="1"/>
      <c r="BJ1208" s="1"/>
      <c r="BK1208" s="1"/>
      <c r="BL1208" s="1"/>
      <c r="BM1208" s="1"/>
      <c r="BN1208" s="1"/>
      <c r="BO1208" s="1" t="s">
        <v>21902</v>
      </c>
      <c r="BP1208" s="1" t="s">
        <v>21903</v>
      </c>
      <c r="BQ1208" s="1" t="s">
        <v>736</v>
      </c>
      <c r="BR1208" s="1"/>
      <c r="BS1208" s="1"/>
      <c r="BT1208" s="1"/>
      <c r="BU1208" s="1" t="str">
        <f>HYPERLINK("https://nconnect.nicmar.ac.in/storage/profile/6a86cfe18d8ce.png","Download")</f>
        <v>0</v>
      </c>
      <c r="BV1208" s="3"/>
      <c r="BW1208" s="3"/>
    </row>
    <row r="1209" spans="1:75">
      <c r="A1209" s="1" t="s">
        <v>75</v>
      </c>
      <c r="B1209" s="1" t="s">
        <v>13976</v>
      </c>
      <c r="C1209" s="1" t="s">
        <v>21904</v>
      </c>
      <c r="D1209" s="1" t="s">
        <v>21905</v>
      </c>
      <c r="E1209" s="1"/>
      <c r="F1209" s="1" t="s">
        <v>14460</v>
      </c>
      <c r="G1209" s="1" t="s">
        <v>21906</v>
      </c>
      <c r="H1209" s="1" t="s">
        <v>21907</v>
      </c>
      <c r="I1209" s="1" t="s">
        <v>21907</v>
      </c>
      <c r="J1209" s="1">
        <v>7777028471</v>
      </c>
      <c r="K1209" s="1" t="s">
        <v>153</v>
      </c>
      <c r="L1209" s="1" t="s">
        <v>21908</v>
      </c>
      <c r="M1209" s="1" t="s">
        <v>86</v>
      </c>
      <c r="N1209" s="1" t="s">
        <v>21909</v>
      </c>
      <c r="O1209" s="1" t="s">
        <v>21910</v>
      </c>
      <c r="P1209" s="1" t="s">
        <v>356</v>
      </c>
      <c r="Q1209" s="1">
        <v>995862500809</v>
      </c>
      <c r="R1209" s="1" t="s">
        <v>21911</v>
      </c>
      <c r="S1209" s="1">
        <v>9987579470</v>
      </c>
      <c r="T1209" s="1" t="s">
        <v>13987</v>
      </c>
      <c r="U1209" s="1" t="s">
        <v>21912</v>
      </c>
      <c r="V1209" s="1">
        <v>9850173213</v>
      </c>
      <c r="W1209" s="1" t="s">
        <v>14710</v>
      </c>
      <c r="X1209" s="1" t="s">
        <v>21913</v>
      </c>
      <c r="Y1209" s="1" t="s">
        <v>1989</v>
      </c>
      <c r="Z1209" s="1" t="s">
        <v>97</v>
      </c>
      <c r="AA1209" s="1" t="s">
        <v>21913</v>
      </c>
      <c r="AB1209" s="1" t="s">
        <v>1989</v>
      </c>
      <c r="AC1209" s="1" t="s">
        <v>97</v>
      </c>
      <c r="AD1209" s="1" t="s">
        <v>98</v>
      </c>
      <c r="AE1209" s="1" t="s">
        <v>98</v>
      </c>
      <c r="AF1209" s="1" t="s">
        <v>21914</v>
      </c>
      <c r="AG1209" s="1" t="s">
        <v>20081</v>
      </c>
      <c r="AH1209" s="1" t="s">
        <v>170</v>
      </c>
      <c r="AI1209" s="1" t="s">
        <v>438</v>
      </c>
      <c r="AJ1209" s="1">
        <v>80</v>
      </c>
      <c r="AK1209" s="1"/>
      <c r="AL1209" s="1"/>
      <c r="AM1209" s="1"/>
      <c r="AN1209" s="1"/>
      <c r="AO1209" s="1"/>
      <c r="AP1209" s="1"/>
      <c r="AQ1209" s="1"/>
      <c r="AR1209" s="1"/>
      <c r="AS1209" s="1" t="s">
        <v>21915</v>
      </c>
      <c r="AT1209" s="1" t="s">
        <v>21916</v>
      </c>
      <c r="AU1209" s="1" t="s">
        <v>468</v>
      </c>
      <c r="AV1209" s="1" t="s">
        <v>234</v>
      </c>
      <c r="AW1209" s="1">
        <v>83.95</v>
      </c>
      <c r="AX1209" s="1"/>
      <c r="AY1209" s="1" t="s">
        <v>21917</v>
      </c>
      <c r="AZ1209" s="1" t="s">
        <v>21918</v>
      </c>
      <c r="BA1209" s="1" t="s">
        <v>466</v>
      </c>
      <c r="BB1209" s="1" t="s">
        <v>3661</v>
      </c>
      <c r="BC1209" s="1" t="s">
        <v>1267</v>
      </c>
      <c r="BD1209" s="1" t="s">
        <v>14494</v>
      </c>
      <c r="BE1209" s="1">
        <v>77</v>
      </c>
      <c r="BF1209" s="1"/>
      <c r="BG1209" s="1"/>
      <c r="BH1209" s="1"/>
      <c r="BI1209" s="1"/>
      <c r="BJ1209" s="1"/>
      <c r="BK1209" s="1"/>
      <c r="BL1209" s="1"/>
      <c r="BM1209" s="1"/>
      <c r="BN1209" s="1"/>
      <c r="BO1209" s="1" t="s">
        <v>21919</v>
      </c>
      <c r="BP1209" s="1" t="s">
        <v>21920</v>
      </c>
      <c r="BQ1209" s="1" t="s">
        <v>7478</v>
      </c>
      <c r="BR1209" s="1" t="s">
        <v>21921</v>
      </c>
      <c r="BS1209" s="1">
        <v>43</v>
      </c>
      <c r="BT1209" s="1" t="s">
        <v>21922</v>
      </c>
      <c r="BU1209" s="1" t="str">
        <f>HYPERLINK("https://nconnect.nicmar.ac.in/storage/profile/6a873327373ca.png","Download")</f>
        <v>0</v>
      </c>
      <c r="BV1209" s="3"/>
      <c r="BW1209" s="3"/>
    </row>
    <row r="1210" spans="1:75">
      <c r="A1210" s="1" t="s">
        <v>75</v>
      </c>
      <c r="B1210" s="1" t="s">
        <v>13976</v>
      </c>
      <c r="C1210" s="1" t="s">
        <v>21923</v>
      </c>
      <c r="D1210" s="1" t="s">
        <v>21924</v>
      </c>
      <c r="E1210" s="1"/>
      <c r="F1210" s="1" t="s">
        <v>21925</v>
      </c>
      <c r="G1210" s="1" t="s">
        <v>21926</v>
      </c>
      <c r="H1210" s="1" t="s">
        <v>21927</v>
      </c>
      <c r="I1210" s="1" t="s">
        <v>21927</v>
      </c>
      <c r="J1210" s="1">
        <v>7034989327</v>
      </c>
      <c r="K1210" s="1" t="s">
        <v>153</v>
      </c>
      <c r="L1210" s="1" t="s">
        <v>21928</v>
      </c>
      <c r="M1210" s="1" t="s">
        <v>86</v>
      </c>
      <c r="N1210" s="1" t="s">
        <v>21929</v>
      </c>
      <c r="O1210" s="1" t="s">
        <v>20114</v>
      </c>
      <c r="P1210" s="1" t="s">
        <v>356</v>
      </c>
      <c r="Q1210" s="1">
        <v>567238778413</v>
      </c>
      <c r="R1210" s="1" t="s">
        <v>21930</v>
      </c>
      <c r="S1210" s="1">
        <v>9895939893</v>
      </c>
      <c r="T1210" s="1" t="s">
        <v>21931</v>
      </c>
      <c r="U1210" s="1" t="s">
        <v>21932</v>
      </c>
      <c r="V1210" s="1">
        <v>7736629893</v>
      </c>
      <c r="W1210" s="1" t="s">
        <v>14212</v>
      </c>
      <c r="X1210" s="1" t="s">
        <v>21933</v>
      </c>
      <c r="Y1210" s="1" t="s">
        <v>701</v>
      </c>
      <c r="Z1210" s="1" t="s">
        <v>130</v>
      </c>
      <c r="AA1210" s="1" t="s">
        <v>21933</v>
      </c>
      <c r="AB1210" s="1" t="s">
        <v>701</v>
      </c>
      <c r="AC1210" s="1" t="s">
        <v>130</v>
      </c>
      <c r="AD1210" s="1" t="s">
        <v>98</v>
      </c>
      <c r="AE1210" s="1" t="s">
        <v>98</v>
      </c>
      <c r="AF1210" s="1" t="s">
        <v>21934</v>
      </c>
      <c r="AG1210" s="1" t="s">
        <v>21935</v>
      </c>
      <c r="AH1210" s="1" t="s">
        <v>315</v>
      </c>
      <c r="AI1210" s="1" t="s">
        <v>178</v>
      </c>
      <c r="AJ1210" s="1">
        <v>84.4</v>
      </c>
      <c r="AK1210" s="1">
        <v>8.4</v>
      </c>
      <c r="AL1210" s="1" t="s">
        <v>21936</v>
      </c>
      <c r="AM1210" s="1" t="s">
        <v>21937</v>
      </c>
      <c r="AN1210" s="1" t="s">
        <v>575</v>
      </c>
      <c r="AO1210" s="1" t="s">
        <v>1040</v>
      </c>
      <c r="AP1210" s="1" t="s">
        <v>289</v>
      </c>
      <c r="AQ1210" s="1">
        <v>94</v>
      </c>
      <c r="AR1210" s="1">
        <v>9.4</v>
      </c>
      <c r="AS1210" s="1"/>
      <c r="AT1210" s="1"/>
      <c r="AU1210" s="1"/>
      <c r="AV1210" s="1"/>
      <c r="AW1210" s="1"/>
      <c r="AX1210" s="1"/>
      <c r="AY1210" s="1" t="s">
        <v>17065</v>
      </c>
      <c r="AZ1210" s="1" t="s">
        <v>21938</v>
      </c>
      <c r="BA1210" s="1" t="s">
        <v>466</v>
      </c>
      <c r="BB1210" s="1" t="s">
        <v>467</v>
      </c>
      <c r="BC1210" s="1" t="s">
        <v>1825</v>
      </c>
      <c r="BD1210" s="1" t="s">
        <v>14101</v>
      </c>
      <c r="BE1210" s="1">
        <v>84.3</v>
      </c>
      <c r="BF1210" s="1">
        <v>8.43</v>
      </c>
      <c r="BG1210" s="1"/>
      <c r="BH1210" s="1"/>
      <c r="BI1210" s="1"/>
      <c r="BJ1210" s="1"/>
      <c r="BK1210" s="1"/>
      <c r="BL1210" s="1"/>
      <c r="BM1210" s="1"/>
      <c r="BN1210" s="1"/>
      <c r="BO1210" s="1" t="s">
        <v>21825</v>
      </c>
      <c r="BP1210" s="1"/>
      <c r="BQ1210" s="1"/>
      <c r="BR1210" s="1" t="s">
        <v>21939</v>
      </c>
      <c r="BS1210" s="1">
        <v>2</v>
      </c>
      <c r="BT1210" s="1" t="s">
        <v>21940</v>
      </c>
      <c r="BU1210" s="1" t="str">
        <f>HYPERLINK("https://nconnect.nicmar.ac.in/storage/profile/6a85dfa74db28.png","Download")</f>
        <v>0</v>
      </c>
      <c r="BV1210" s="3"/>
      <c r="BW1210" s="3"/>
    </row>
    <row r="1211" spans="1:75">
      <c r="A1211" s="1" t="s">
        <v>75</v>
      </c>
      <c r="B1211" s="1" t="s">
        <v>13976</v>
      </c>
      <c r="C1211" s="1" t="s">
        <v>21941</v>
      </c>
      <c r="D1211" s="1" t="s">
        <v>21942</v>
      </c>
      <c r="E1211" s="1" t="s">
        <v>21943</v>
      </c>
      <c r="F1211" s="1" t="s">
        <v>21944</v>
      </c>
      <c r="G1211" s="1" t="s">
        <v>21945</v>
      </c>
      <c r="H1211" s="1" t="s">
        <v>21946</v>
      </c>
      <c r="I1211" s="1" t="s">
        <v>21947</v>
      </c>
      <c r="J1211" s="1">
        <v>9892144797</v>
      </c>
      <c r="K1211" s="1" t="s">
        <v>84</v>
      </c>
      <c r="L1211" s="1" t="s">
        <v>12643</v>
      </c>
      <c r="M1211" s="1" t="s">
        <v>86</v>
      </c>
      <c r="N1211" s="1" t="s">
        <v>17934</v>
      </c>
      <c r="O1211" s="1" t="s">
        <v>21948</v>
      </c>
      <c r="P1211" s="1" t="s">
        <v>122</v>
      </c>
      <c r="Q1211" s="1">
        <v>488985838474</v>
      </c>
      <c r="R1211" s="1" t="s">
        <v>21943</v>
      </c>
      <c r="S1211" s="1">
        <v>9890155065</v>
      </c>
      <c r="T1211" s="1" t="s">
        <v>6160</v>
      </c>
      <c r="U1211" s="1" t="s">
        <v>21949</v>
      </c>
      <c r="V1211" s="1">
        <v>9892409911</v>
      </c>
      <c r="W1211" s="1" t="s">
        <v>21950</v>
      </c>
      <c r="X1211" s="1" t="s">
        <v>21951</v>
      </c>
      <c r="Y1211" s="1" t="s">
        <v>1189</v>
      </c>
      <c r="Z1211" s="1" t="s">
        <v>97</v>
      </c>
      <c r="AA1211" s="1" t="s">
        <v>21951</v>
      </c>
      <c r="AB1211" s="1" t="s">
        <v>1189</v>
      </c>
      <c r="AC1211" s="1" t="s">
        <v>97</v>
      </c>
      <c r="AD1211" s="1" t="s">
        <v>98</v>
      </c>
      <c r="AE1211" s="1" t="s">
        <v>98</v>
      </c>
      <c r="AF1211" s="1" t="s">
        <v>13610</v>
      </c>
      <c r="AG1211" s="1" t="s">
        <v>1762</v>
      </c>
      <c r="AH1211" s="1" t="s">
        <v>106</v>
      </c>
      <c r="AI1211" s="1" t="s">
        <v>313</v>
      </c>
      <c r="AJ1211" s="1">
        <v>69</v>
      </c>
      <c r="AK1211" s="1"/>
      <c r="AL1211" s="1"/>
      <c r="AM1211" s="1"/>
      <c r="AN1211" s="1"/>
      <c r="AO1211" s="1"/>
      <c r="AP1211" s="1"/>
      <c r="AQ1211" s="1"/>
      <c r="AR1211" s="1"/>
      <c r="AS1211" s="1" t="s">
        <v>439</v>
      </c>
      <c r="AT1211" s="1" t="s">
        <v>21952</v>
      </c>
      <c r="AU1211" s="1" t="s">
        <v>2863</v>
      </c>
      <c r="AV1211" s="1" t="s">
        <v>1400</v>
      </c>
      <c r="AW1211" s="1">
        <v>75</v>
      </c>
      <c r="AX1211" s="1"/>
      <c r="AY1211" s="1" t="s">
        <v>21953</v>
      </c>
      <c r="AZ1211" s="1" t="s">
        <v>21954</v>
      </c>
      <c r="BA1211" s="1" t="s">
        <v>578</v>
      </c>
      <c r="BB1211" s="1" t="s">
        <v>467</v>
      </c>
      <c r="BC1211" s="1" t="s">
        <v>1825</v>
      </c>
      <c r="BD1211" s="1" t="s">
        <v>1401</v>
      </c>
      <c r="BE1211" s="1">
        <v>62.96</v>
      </c>
      <c r="BF1211" s="1"/>
      <c r="BG1211" s="1"/>
      <c r="BH1211" s="1"/>
      <c r="BI1211" s="1"/>
      <c r="BJ1211" s="1"/>
      <c r="BK1211" s="1"/>
      <c r="BL1211" s="1"/>
      <c r="BM1211" s="1"/>
      <c r="BN1211" s="1"/>
      <c r="BO1211" s="1" t="s">
        <v>21955</v>
      </c>
      <c r="BP1211" s="1"/>
      <c r="BQ1211" s="1"/>
      <c r="BR1211" s="1" t="s">
        <v>21956</v>
      </c>
      <c r="BS1211" s="1">
        <v>4</v>
      </c>
      <c r="BT1211" s="1" t="s">
        <v>21957</v>
      </c>
      <c r="BU1211" s="1" t="str">
        <f>HYPERLINK("https://nconnect.nicmar.ac.in/storage/profile/6a88753195cfb.png","Download")</f>
        <v>0</v>
      </c>
      <c r="BV1211" s="3"/>
      <c r="BW1211" s="3"/>
    </row>
    <row r="1212" spans="1:75">
      <c r="A1212" s="1" t="s">
        <v>75</v>
      </c>
      <c r="B1212" s="1" t="s">
        <v>13976</v>
      </c>
      <c r="C1212" s="1" t="s">
        <v>21958</v>
      </c>
      <c r="D1212" s="1" t="s">
        <v>21959</v>
      </c>
      <c r="E1212" s="1"/>
      <c r="F1212" s="1" t="s">
        <v>21960</v>
      </c>
      <c r="G1212" s="1" t="s">
        <v>21961</v>
      </c>
      <c r="H1212" s="1" t="s">
        <v>21962</v>
      </c>
      <c r="I1212" s="1" t="s">
        <v>21963</v>
      </c>
      <c r="J1212" s="1">
        <v>7418582861</v>
      </c>
      <c r="K1212" s="1" t="s">
        <v>153</v>
      </c>
      <c r="L1212" s="1" t="s">
        <v>21964</v>
      </c>
      <c r="M1212" s="1" t="s">
        <v>86</v>
      </c>
      <c r="N1212" s="1" t="s">
        <v>21965</v>
      </c>
      <c r="O1212" s="1" t="s">
        <v>21966</v>
      </c>
      <c r="P1212" s="1" t="s">
        <v>219</v>
      </c>
      <c r="Q1212" s="1">
        <v>383403727864</v>
      </c>
      <c r="R1212" s="1" t="s">
        <v>21967</v>
      </c>
      <c r="S1212" s="1">
        <v>9443282861</v>
      </c>
      <c r="T1212" s="1" t="s">
        <v>839</v>
      </c>
      <c r="U1212" s="1" t="s">
        <v>21968</v>
      </c>
      <c r="V1212" s="1">
        <v>9788270961</v>
      </c>
      <c r="W1212" s="1" t="s">
        <v>16484</v>
      </c>
      <c r="X1212" s="1" t="s">
        <v>21969</v>
      </c>
      <c r="Y1212" s="1" t="s">
        <v>20593</v>
      </c>
      <c r="Z1212" s="1" t="s">
        <v>570</v>
      </c>
      <c r="AA1212" s="1" t="s">
        <v>21969</v>
      </c>
      <c r="AB1212" s="1" t="s">
        <v>20593</v>
      </c>
      <c r="AC1212" s="1" t="s">
        <v>570</v>
      </c>
      <c r="AD1212" s="1" t="s">
        <v>98</v>
      </c>
      <c r="AE1212" s="1" t="s">
        <v>98</v>
      </c>
      <c r="AF1212" s="1" t="s">
        <v>21970</v>
      </c>
      <c r="AG1212" s="1" t="s">
        <v>21971</v>
      </c>
      <c r="AH1212" s="1" t="s">
        <v>438</v>
      </c>
      <c r="AI1212" s="1" t="s">
        <v>603</v>
      </c>
      <c r="AJ1212" s="1">
        <v>91</v>
      </c>
      <c r="AK1212" s="1">
        <v>9.1</v>
      </c>
      <c r="AL1212" s="1" t="s">
        <v>21970</v>
      </c>
      <c r="AM1212" s="1" t="s">
        <v>21971</v>
      </c>
      <c r="AN1212" s="1" t="s">
        <v>575</v>
      </c>
      <c r="AO1212" s="1" t="s">
        <v>441</v>
      </c>
      <c r="AP1212" s="1" t="s">
        <v>632</v>
      </c>
      <c r="AQ1212" s="1">
        <v>76</v>
      </c>
      <c r="AR1212" s="1">
        <v>7.6</v>
      </c>
      <c r="AS1212" s="1"/>
      <c r="AT1212" s="1"/>
      <c r="AU1212" s="1"/>
      <c r="AV1212" s="1"/>
      <c r="AW1212" s="1"/>
      <c r="AX1212" s="1"/>
      <c r="AY1212" s="1" t="s">
        <v>19289</v>
      </c>
      <c r="AZ1212" s="1" t="s">
        <v>21972</v>
      </c>
      <c r="BA1212" s="1" t="s">
        <v>578</v>
      </c>
      <c r="BB1212" s="1" t="s">
        <v>467</v>
      </c>
      <c r="BC1212" s="1" t="s">
        <v>1889</v>
      </c>
      <c r="BD1212" s="1" t="s">
        <v>9688</v>
      </c>
      <c r="BE1212" s="1">
        <v>82</v>
      </c>
      <c r="BF1212" s="1">
        <v>8.27</v>
      </c>
      <c r="BG1212" s="1"/>
      <c r="BH1212" s="1"/>
      <c r="BI1212" s="1"/>
      <c r="BJ1212" s="1"/>
      <c r="BK1212" s="1"/>
      <c r="BL1212" s="1"/>
      <c r="BM1212" s="1"/>
      <c r="BN1212" s="1"/>
      <c r="BO1212" s="1" t="s">
        <v>21973</v>
      </c>
      <c r="BP1212" s="1"/>
      <c r="BQ1212" s="1"/>
      <c r="BR1212" s="1" t="s">
        <v>21974</v>
      </c>
      <c r="BS1212" s="1">
        <v>19</v>
      </c>
      <c r="BT1212" s="1" t="s">
        <v>21975</v>
      </c>
      <c r="BU1212" s="1" t="str">
        <f>HYPERLINK("https://nconnect.nicmar.ac.in/storage/profile/6a873fa9a5e64.png","Download")</f>
        <v>0</v>
      </c>
      <c r="BV1212" s="3"/>
      <c r="BW1212" s="3"/>
    </row>
    <row r="1213" spans="1:75">
      <c r="A1213" s="1" t="s">
        <v>75</v>
      </c>
      <c r="B1213" s="1" t="s">
        <v>13976</v>
      </c>
      <c r="C1213" s="1" t="s">
        <v>21976</v>
      </c>
      <c r="D1213" s="1" t="s">
        <v>21977</v>
      </c>
      <c r="E1213" s="1"/>
      <c r="F1213" s="1" t="s">
        <v>530</v>
      </c>
      <c r="G1213" s="1" t="s">
        <v>21978</v>
      </c>
      <c r="H1213" s="1" t="s">
        <v>21979</v>
      </c>
      <c r="I1213" s="1" t="s">
        <v>21979</v>
      </c>
      <c r="J1213" s="1">
        <v>9555871804</v>
      </c>
      <c r="K1213" s="1" t="s">
        <v>84</v>
      </c>
      <c r="L1213" s="1" t="s">
        <v>21980</v>
      </c>
      <c r="M1213" s="1" t="s">
        <v>86</v>
      </c>
      <c r="N1213" s="1" t="s">
        <v>4857</v>
      </c>
      <c r="O1213" s="1" t="s">
        <v>21981</v>
      </c>
      <c r="P1213" s="1" t="s">
        <v>122</v>
      </c>
      <c r="Q1213" s="1">
        <v>714375073358</v>
      </c>
      <c r="R1213" s="1" t="s">
        <v>21982</v>
      </c>
      <c r="S1213" s="1">
        <v>9889287112</v>
      </c>
      <c r="T1213" s="1" t="s">
        <v>21983</v>
      </c>
      <c r="U1213" s="1" t="s">
        <v>21984</v>
      </c>
      <c r="V1213" s="1">
        <v>8299199316</v>
      </c>
      <c r="W1213" s="1" t="s">
        <v>21985</v>
      </c>
      <c r="X1213" s="1" t="s">
        <v>21986</v>
      </c>
      <c r="Y1213" s="1" t="s">
        <v>21987</v>
      </c>
      <c r="Z1213" s="1" t="s">
        <v>544</v>
      </c>
      <c r="AA1213" s="1" t="s">
        <v>21986</v>
      </c>
      <c r="AB1213" s="1" t="s">
        <v>21987</v>
      </c>
      <c r="AC1213" s="1" t="s">
        <v>544</v>
      </c>
      <c r="AD1213" s="1" t="s">
        <v>98</v>
      </c>
      <c r="AE1213" s="1" t="s">
        <v>98</v>
      </c>
      <c r="AF1213" s="1" t="s">
        <v>21988</v>
      </c>
      <c r="AG1213" s="1" t="s">
        <v>21989</v>
      </c>
      <c r="AH1213" s="1" t="s">
        <v>704</v>
      </c>
      <c r="AI1213" s="1" t="s">
        <v>106</v>
      </c>
      <c r="AJ1213" s="1">
        <v>90</v>
      </c>
      <c r="AK1213" s="1"/>
      <c r="AL1213" s="1" t="s">
        <v>21990</v>
      </c>
      <c r="AM1213" s="1" t="s">
        <v>21991</v>
      </c>
      <c r="AN1213" s="1" t="s">
        <v>465</v>
      </c>
      <c r="AO1213" s="1" t="s">
        <v>547</v>
      </c>
      <c r="AP1213" s="1" t="s">
        <v>603</v>
      </c>
      <c r="AQ1213" s="1">
        <v>78.2</v>
      </c>
      <c r="AR1213" s="1"/>
      <c r="AS1213" s="1"/>
      <c r="AT1213" s="1"/>
      <c r="AU1213" s="1"/>
      <c r="AV1213" s="1"/>
      <c r="AW1213" s="1"/>
      <c r="AX1213" s="1"/>
      <c r="AY1213" s="1" t="s">
        <v>21992</v>
      </c>
      <c r="AZ1213" s="1" t="s">
        <v>21993</v>
      </c>
      <c r="BA1213" s="1" t="s">
        <v>466</v>
      </c>
      <c r="BB1213" s="1" t="s">
        <v>467</v>
      </c>
      <c r="BC1213" s="1" t="s">
        <v>871</v>
      </c>
      <c r="BD1213" s="1" t="s">
        <v>848</v>
      </c>
      <c r="BE1213" s="1">
        <v>70.8</v>
      </c>
      <c r="BF1213" s="1"/>
      <c r="BG1213" s="1"/>
      <c r="BH1213" s="1"/>
      <c r="BI1213" s="1"/>
      <c r="BJ1213" s="1"/>
      <c r="BK1213" s="1"/>
      <c r="BL1213" s="1"/>
      <c r="BM1213" s="1"/>
      <c r="BN1213" s="1"/>
      <c r="BO1213" s="1" t="s">
        <v>260</v>
      </c>
      <c r="BP1213" s="1"/>
      <c r="BQ1213" s="1"/>
      <c r="BR1213" s="1"/>
      <c r="BS1213" s="1"/>
      <c r="BT1213" s="1" t="s">
        <v>21994</v>
      </c>
      <c r="BU1213" s="1" t="str">
        <f>HYPERLINK("https://nconnect.nicmar.ac.in/storage/profile/6a84a677772bd.png","Download")</f>
        <v>0</v>
      </c>
      <c r="BV1213" s="3"/>
      <c r="BW1213" s="3"/>
    </row>
    <row r="1214" spans="1:75">
      <c r="A1214" s="1" t="s">
        <v>75</v>
      </c>
      <c r="B1214" s="1" t="s">
        <v>13976</v>
      </c>
      <c r="C1214" s="1" t="s">
        <v>21995</v>
      </c>
      <c r="D1214" s="1" t="s">
        <v>16630</v>
      </c>
      <c r="E1214" s="1" t="s">
        <v>15607</v>
      </c>
      <c r="F1214" s="1" t="s">
        <v>15825</v>
      </c>
      <c r="G1214" s="1" t="s">
        <v>21996</v>
      </c>
      <c r="H1214" s="1" t="s">
        <v>21997</v>
      </c>
      <c r="I1214" s="1" t="s">
        <v>21998</v>
      </c>
      <c r="J1214" s="1">
        <v>7775005828</v>
      </c>
      <c r="K1214" s="1" t="s">
        <v>84</v>
      </c>
      <c r="L1214" s="1" t="s">
        <v>3878</v>
      </c>
      <c r="M1214" s="1" t="s">
        <v>86</v>
      </c>
      <c r="N1214" s="1" t="s">
        <v>21999</v>
      </c>
      <c r="O1214" s="1" t="s">
        <v>22000</v>
      </c>
      <c r="P1214" s="1" t="s">
        <v>89</v>
      </c>
      <c r="Q1214" s="1">
        <v>978893111602</v>
      </c>
      <c r="R1214" s="1" t="s">
        <v>22001</v>
      </c>
      <c r="S1214" s="1">
        <v>7588058885</v>
      </c>
      <c r="T1214" s="1" t="s">
        <v>13987</v>
      </c>
      <c r="U1214" s="1" t="s">
        <v>22002</v>
      </c>
      <c r="V1214" s="1">
        <v>9404906889</v>
      </c>
      <c r="W1214" s="1" t="s">
        <v>14154</v>
      </c>
      <c r="X1214" s="1" t="s">
        <v>22003</v>
      </c>
      <c r="Y1214" s="1" t="s">
        <v>1033</v>
      </c>
      <c r="Z1214" s="1" t="s">
        <v>97</v>
      </c>
      <c r="AA1214" s="1" t="s">
        <v>22003</v>
      </c>
      <c r="AB1214" s="1" t="s">
        <v>1033</v>
      </c>
      <c r="AC1214" s="1" t="s">
        <v>97</v>
      </c>
      <c r="AD1214" s="1" t="s">
        <v>98</v>
      </c>
      <c r="AE1214" s="1" t="s">
        <v>98</v>
      </c>
      <c r="AF1214" s="1" t="s">
        <v>22004</v>
      </c>
      <c r="AG1214" s="1" t="s">
        <v>16528</v>
      </c>
      <c r="AH1214" s="1" t="s">
        <v>167</v>
      </c>
      <c r="AI1214" s="1" t="s">
        <v>200</v>
      </c>
      <c r="AJ1214" s="1">
        <v>78.4</v>
      </c>
      <c r="AK1214" s="1"/>
      <c r="AL1214" s="1"/>
      <c r="AM1214" s="1"/>
      <c r="AN1214" s="1"/>
      <c r="AO1214" s="1"/>
      <c r="AP1214" s="1"/>
      <c r="AQ1214" s="1"/>
      <c r="AR1214" s="1"/>
      <c r="AS1214" s="1" t="s">
        <v>14158</v>
      </c>
      <c r="AT1214" s="1" t="s">
        <v>22005</v>
      </c>
      <c r="AU1214" s="1" t="s">
        <v>230</v>
      </c>
      <c r="AV1214" s="1" t="s">
        <v>468</v>
      </c>
      <c r="AW1214" s="1">
        <v>81.05</v>
      </c>
      <c r="AX1214" s="1"/>
      <c r="AY1214" s="1" t="s">
        <v>22006</v>
      </c>
      <c r="AZ1214" s="1" t="s">
        <v>22007</v>
      </c>
      <c r="BA1214" s="1" t="s">
        <v>682</v>
      </c>
      <c r="BB1214" s="1" t="s">
        <v>1561</v>
      </c>
      <c r="BC1214" s="1" t="s">
        <v>441</v>
      </c>
      <c r="BD1214" s="1" t="s">
        <v>14083</v>
      </c>
      <c r="BE1214" s="1">
        <v>60.64</v>
      </c>
      <c r="BF1214" s="1"/>
      <c r="BG1214" s="1"/>
      <c r="BH1214" s="1"/>
      <c r="BI1214" s="1"/>
      <c r="BJ1214" s="1"/>
      <c r="BK1214" s="1"/>
      <c r="BL1214" s="1"/>
      <c r="BM1214" s="1"/>
      <c r="BN1214" s="1"/>
      <c r="BO1214" s="1" t="s">
        <v>22008</v>
      </c>
      <c r="BP1214" s="1"/>
      <c r="BQ1214" s="1"/>
      <c r="BR1214" s="1"/>
      <c r="BS1214" s="1"/>
      <c r="BT1214" s="1"/>
      <c r="BU1214" s="1" t="str">
        <f>HYPERLINK("https://nconnect.nicmar.ac.in/storage/profile/6a8848e1a6f24.png","Download")</f>
        <v>0</v>
      </c>
      <c r="BV1214" s="3"/>
      <c r="BW1214" s="3"/>
    </row>
    <row r="1215" spans="1:75">
      <c r="A1215" s="1" t="s">
        <v>75</v>
      </c>
      <c r="B1215" s="1" t="s">
        <v>13976</v>
      </c>
      <c r="C1215" s="1" t="s">
        <v>22009</v>
      </c>
      <c r="D1215" s="1" t="s">
        <v>22010</v>
      </c>
      <c r="E1215" s="1"/>
      <c r="F1215" s="1" t="s">
        <v>22011</v>
      </c>
      <c r="G1215" s="1" t="s">
        <v>22012</v>
      </c>
      <c r="H1215" s="1" t="s">
        <v>22013</v>
      </c>
      <c r="I1215" s="1" t="s">
        <v>22013</v>
      </c>
      <c r="J1215" s="1">
        <v>7736336037</v>
      </c>
      <c r="K1215" s="1" t="s">
        <v>153</v>
      </c>
      <c r="L1215" s="1" t="s">
        <v>22014</v>
      </c>
      <c r="M1215" s="1" t="s">
        <v>86</v>
      </c>
      <c r="N1215" s="1" t="s">
        <v>22015</v>
      </c>
      <c r="O1215" s="1" t="s">
        <v>22016</v>
      </c>
      <c r="P1215" s="1" t="s">
        <v>89</v>
      </c>
      <c r="Q1215" s="1">
        <v>680129449865</v>
      </c>
      <c r="R1215" s="1" t="s">
        <v>22017</v>
      </c>
      <c r="S1215" s="1">
        <v>9567506037</v>
      </c>
      <c r="T1215" s="1" t="s">
        <v>22018</v>
      </c>
      <c r="U1215" s="1" t="s">
        <v>22019</v>
      </c>
      <c r="V1215" s="1">
        <v>9567781038</v>
      </c>
      <c r="W1215" s="1" t="s">
        <v>22020</v>
      </c>
      <c r="X1215" s="1" t="s">
        <v>22021</v>
      </c>
      <c r="Y1215" s="1" t="s">
        <v>3190</v>
      </c>
      <c r="Z1215" s="1" t="s">
        <v>130</v>
      </c>
      <c r="AA1215" s="1" t="s">
        <v>22021</v>
      </c>
      <c r="AB1215" s="1" t="s">
        <v>3190</v>
      </c>
      <c r="AC1215" s="1" t="s">
        <v>130</v>
      </c>
      <c r="AD1215" s="1" t="s">
        <v>98</v>
      </c>
      <c r="AE1215" s="1" t="s">
        <v>98</v>
      </c>
      <c r="AF1215" s="1" t="s">
        <v>22022</v>
      </c>
      <c r="AG1215" s="1" t="s">
        <v>22023</v>
      </c>
      <c r="AH1215" s="1" t="s">
        <v>106</v>
      </c>
      <c r="AI1215" s="1" t="s">
        <v>313</v>
      </c>
      <c r="AJ1215" s="1">
        <v>95</v>
      </c>
      <c r="AK1215" s="1"/>
      <c r="AL1215" s="1" t="s">
        <v>22022</v>
      </c>
      <c r="AM1215" s="1" t="s">
        <v>22024</v>
      </c>
      <c r="AN1215" s="1" t="s">
        <v>575</v>
      </c>
      <c r="AO1215" s="1" t="s">
        <v>178</v>
      </c>
      <c r="AP1215" s="1" t="s">
        <v>549</v>
      </c>
      <c r="AQ1215" s="1">
        <v>97.25</v>
      </c>
      <c r="AR1215" s="1"/>
      <c r="AS1215" s="1"/>
      <c r="AT1215" s="1"/>
      <c r="AU1215" s="1"/>
      <c r="AV1215" s="1"/>
      <c r="AW1215" s="1"/>
      <c r="AX1215" s="1"/>
      <c r="AY1215" s="1" t="s">
        <v>15573</v>
      </c>
      <c r="AZ1215" s="1" t="s">
        <v>22025</v>
      </c>
      <c r="BA1215" s="1" t="s">
        <v>466</v>
      </c>
      <c r="BB1215" s="1" t="s">
        <v>467</v>
      </c>
      <c r="BC1215" s="1" t="s">
        <v>606</v>
      </c>
      <c r="BD1215" s="1" t="s">
        <v>607</v>
      </c>
      <c r="BE1215" s="1">
        <v>73.2</v>
      </c>
      <c r="BF1215" s="1">
        <v>7.32</v>
      </c>
      <c r="BG1215" s="1"/>
      <c r="BH1215" s="1"/>
      <c r="BI1215" s="1"/>
      <c r="BJ1215" s="1"/>
      <c r="BK1215" s="1"/>
      <c r="BL1215" s="1"/>
      <c r="BM1215" s="1"/>
      <c r="BN1215" s="1"/>
      <c r="BO1215" s="1" t="s">
        <v>22026</v>
      </c>
      <c r="BP1215" s="1"/>
      <c r="BQ1215" s="1"/>
      <c r="BR1215" s="1" t="s">
        <v>22027</v>
      </c>
      <c r="BS1215" s="1">
        <v>37</v>
      </c>
      <c r="BT1215" s="1" t="s">
        <v>22028</v>
      </c>
      <c r="BU1215" s="1" t="str">
        <f>HYPERLINK("https://nconnect.nicmar.ac.in/storage/profile/6a868cd8d17dd.png","Download")</f>
        <v>0</v>
      </c>
      <c r="BV1215" s="3"/>
      <c r="BW1215" s="3"/>
    </row>
    <row r="1216" spans="1:75">
      <c r="A1216" s="1" t="s">
        <v>75</v>
      </c>
      <c r="B1216" s="1" t="s">
        <v>13976</v>
      </c>
      <c r="C1216" s="1" t="s">
        <v>22029</v>
      </c>
      <c r="D1216" s="1" t="s">
        <v>22030</v>
      </c>
      <c r="E1216" s="1" t="s">
        <v>22031</v>
      </c>
      <c r="F1216" s="1" t="s">
        <v>22032</v>
      </c>
      <c r="G1216" s="1" t="s">
        <v>22033</v>
      </c>
      <c r="H1216" s="1" t="s">
        <v>22034</v>
      </c>
      <c r="I1216" s="1" t="s">
        <v>22035</v>
      </c>
      <c r="J1216" s="1">
        <v>8080052936</v>
      </c>
      <c r="K1216" s="1" t="s">
        <v>84</v>
      </c>
      <c r="L1216" s="1" t="s">
        <v>22036</v>
      </c>
      <c r="M1216" s="1" t="s">
        <v>86</v>
      </c>
      <c r="N1216" s="1" t="s">
        <v>22037</v>
      </c>
      <c r="O1216" s="1" t="s">
        <v>22038</v>
      </c>
      <c r="P1216" s="1" t="s">
        <v>122</v>
      </c>
      <c r="Q1216" s="1">
        <v>214899409135</v>
      </c>
      <c r="R1216" s="1" t="s">
        <v>22039</v>
      </c>
      <c r="S1216" s="1">
        <v>9422514642</v>
      </c>
      <c r="T1216" s="1" t="s">
        <v>15354</v>
      </c>
      <c r="U1216" s="1" t="s">
        <v>22040</v>
      </c>
      <c r="V1216" s="1">
        <v>9028070666</v>
      </c>
      <c r="W1216" s="1" t="s">
        <v>22041</v>
      </c>
      <c r="X1216" s="1" t="s">
        <v>22042</v>
      </c>
      <c r="Y1216" s="1" t="s">
        <v>196</v>
      </c>
      <c r="Z1216" s="1" t="s">
        <v>97</v>
      </c>
      <c r="AA1216" s="1" t="s">
        <v>22042</v>
      </c>
      <c r="AB1216" s="1" t="s">
        <v>196</v>
      </c>
      <c r="AC1216" s="1" t="s">
        <v>97</v>
      </c>
      <c r="AD1216" s="1" t="s">
        <v>98</v>
      </c>
      <c r="AE1216" s="1" t="s">
        <v>98</v>
      </c>
      <c r="AF1216" s="1" t="s">
        <v>22043</v>
      </c>
      <c r="AG1216" s="1" t="s">
        <v>22044</v>
      </c>
      <c r="AH1216" s="1" t="s">
        <v>106</v>
      </c>
      <c r="AI1216" s="1" t="s">
        <v>313</v>
      </c>
      <c r="AJ1216" s="1">
        <v>86.67</v>
      </c>
      <c r="AK1216" s="1"/>
      <c r="AL1216" s="1"/>
      <c r="AM1216" s="1"/>
      <c r="AN1216" s="1"/>
      <c r="AO1216" s="1"/>
      <c r="AP1216" s="1"/>
      <c r="AQ1216" s="1"/>
      <c r="AR1216" s="1"/>
      <c r="AS1216" s="1" t="s">
        <v>14713</v>
      </c>
      <c r="AT1216" s="1" t="s">
        <v>22045</v>
      </c>
      <c r="AU1216" s="1" t="s">
        <v>206</v>
      </c>
      <c r="AV1216" s="1" t="s">
        <v>1400</v>
      </c>
      <c r="AW1216" s="1">
        <v>87.42</v>
      </c>
      <c r="AX1216" s="1"/>
      <c r="AY1216" s="1" t="s">
        <v>14530</v>
      </c>
      <c r="AZ1216" s="1" t="s">
        <v>22046</v>
      </c>
      <c r="BA1216" s="1" t="s">
        <v>578</v>
      </c>
      <c r="BB1216" s="1" t="s">
        <v>467</v>
      </c>
      <c r="BC1216" s="1" t="s">
        <v>110</v>
      </c>
      <c r="BD1216" s="1" t="s">
        <v>848</v>
      </c>
      <c r="BE1216" s="1">
        <v>68.6</v>
      </c>
      <c r="BF1216" s="1">
        <v>7.61</v>
      </c>
      <c r="BG1216" s="1"/>
      <c r="BH1216" s="1"/>
      <c r="BI1216" s="1"/>
      <c r="BJ1216" s="1"/>
      <c r="BK1216" s="1"/>
      <c r="BL1216" s="1"/>
      <c r="BM1216" s="1"/>
      <c r="BN1216" s="1"/>
      <c r="BO1216" s="1" t="s">
        <v>22047</v>
      </c>
      <c r="BP1216" s="1"/>
      <c r="BQ1216" s="1"/>
      <c r="BR1216" s="1" t="s">
        <v>22048</v>
      </c>
      <c r="BS1216" s="1">
        <v>47</v>
      </c>
      <c r="BT1216" s="1"/>
      <c r="BU1216" s="1" t="str">
        <f>HYPERLINK("https://nconnect.nicmar.ac.in/storage/profile/6a85ee97cae97.png","Download")</f>
        <v>0</v>
      </c>
      <c r="BV1216" s="3"/>
      <c r="BW1216" s="3"/>
    </row>
    <row r="1217" spans="1:75">
      <c r="A1217" s="1" t="s">
        <v>75</v>
      </c>
      <c r="B1217" s="1" t="s">
        <v>13976</v>
      </c>
      <c r="C1217" s="1" t="s">
        <v>22049</v>
      </c>
      <c r="D1217" s="1" t="s">
        <v>22050</v>
      </c>
      <c r="E1217" s="1"/>
      <c r="F1217" s="1" t="s">
        <v>22051</v>
      </c>
      <c r="G1217" s="1" t="s">
        <v>22052</v>
      </c>
      <c r="H1217" s="1" t="s">
        <v>22053</v>
      </c>
      <c r="I1217" s="1" t="s">
        <v>22053</v>
      </c>
      <c r="J1217" s="1">
        <v>9816425822</v>
      </c>
      <c r="K1217" s="1" t="s">
        <v>84</v>
      </c>
      <c r="L1217" s="1" t="s">
        <v>15656</v>
      </c>
      <c r="M1217" s="1" t="s">
        <v>86</v>
      </c>
      <c r="N1217" s="1" t="s">
        <v>15583</v>
      </c>
      <c r="O1217" s="1" t="s">
        <v>22054</v>
      </c>
      <c r="P1217" s="1" t="s">
        <v>219</v>
      </c>
      <c r="Q1217" s="1">
        <v>475419360320</v>
      </c>
      <c r="R1217" s="1" t="s">
        <v>22055</v>
      </c>
      <c r="S1217" s="1">
        <v>9418189187</v>
      </c>
      <c r="T1217" s="1" t="s">
        <v>22056</v>
      </c>
      <c r="U1217" s="1" t="s">
        <v>22057</v>
      </c>
      <c r="V1217" s="1">
        <v>9464117576</v>
      </c>
      <c r="W1217" s="1" t="s">
        <v>22058</v>
      </c>
      <c r="X1217" s="1" t="s">
        <v>22059</v>
      </c>
      <c r="Y1217" s="1" t="s">
        <v>22060</v>
      </c>
      <c r="Z1217" s="1" t="s">
        <v>2608</v>
      </c>
      <c r="AA1217" s="1" t="s">
        <v>22059</v>
      </c>
      <c r="AB1217" s="1" t="s">
        <v>22060</v>
      </c>
      <c r="AC1217" s="1" t="s">
        <v>2608</v>
      </c>
      <c r="AD1217" s="1" t="s">
        <v>98</v>
      </c>
      <c r="AE1217" s="1" t="s">
        <v>98</v>
      </c>
      <c r="AF1217" s="1" t="s">
        <v>22061</v>
      </c>
      <c r="AG1217" s="1" t="s">
        <v>22062</v>
      </c>
      <c r="AH1217" s="1" t="s">
        <v>573</v>
      </c>
      <c r="AI1217" s="1" t="s">
        <v>490</v>
      </c>
      <c r="AJ1217" s="1">
        <v>81.4</v>
      </c>
      <c r="AK1217" s="1"/>
      <c r="AL1217" s="1" t="s">
        <v>22063</v>
      </c>
      <c r="AM1217" s="1" t="s">
        <v>22064</v>
      </c>
      <c r="AN1217" s="1" t="s">
        <v>465</v>
      </c>
      <c r="AO1217" s="1" t="s">
        <v>417</v>
      </c>
      <c r="AP1217" s="1" t="s">
        <v>2304</v>
      </c>
      <c r="AQ1217" s="1">
        <v>91.8</v>
      </c>
      <c r="AR1217" s="1"/>
      <c r="AS1217" s="1"/>
      <c r="AT1217" s="1"/>
      <c r="AU1217" s="1"/>
      <c r="AV1217" s="1"/>
      <c r="AW1217" s="1"/>
      <c r="AX1217" s="1"/>
      <c r="AY1217" s="1" t="s">
        <v>22065</v>
      </c>
      <c r="AZ1217" s="1" t="s">
        <v>22066</v>
      </c>
      <c r="BA1217" s="1" t="s">
        <v>466</v>
      </c>
      <c r="BB1217" s="1" t="s">
        <v>467</v>
      </c>
      <c r="BC1217" s="1" t="s">
        <v>871</v>
      </c>
      <c r="BD1217" s="1" t="s">
        <v>553</v>
      </c>
      <c r="BE1217" s="1">
        <v>64.4</v>
      </c>
      <c r="BF1217" s="1"/>
      <c r="BG1217" s="1"/>
      <c r="BH1217" s="1"/>
      <c r="BI1217" s="1"/>
      <c r="BJ1217" s="1"/>
      <c r="BK1217" s="1"/>
      <c r="BL1217" s="1"/>
      <c r="BM1217" s="1"/>
      <c r="BN1217" s="1"/>
      <c r="BO1217" s="1" t="s">
        <v>22067</v>
      </c>
      <c r="BP1217" s="1"/>
      <c r="BQ1217" s="1"/>
      <c r="BR1217" s="1" t="s">
        <v>22068</v>
      </c>
      <c r="BS1217" s="1">
        <v>36</v>
      </c>
      <c r="BT1217" s="1"/>
      <c r="BU1217" s="1" t="str">
        <f>HYPERLINK("https://nconnect.nicmar.ac.in/storage/profile/6a85f07c8ccbd.png","Download")</f>
        <v>0</v>
      </c>
      <c r="BV1217" s="3"/>
      <c r="BW1217" s="3"/>
    </row>
    <row r="1218" spans="1:75">
      <c r="A1218" s="1" t="s">
        <v>75</v>
      </c>
      <c r="B1218" s="1" t="s">
        <v>13976</v>
      </c>
      <c r="C1218" s="1" t="s">
        <v>22069</v>
      </c>
      <c r="D1218" s="1" t="s">
        <v>22070</v>
      </c>
      <c r="E1218" s="1" t="s">
        <v>22071</v>
      </c>
      <c r="F1218" s="1" t="s">
        <v>22072</v>
      </c>
      <c r="G1218" s="1" t="s">
        <v>22073</v>
      </c>
      <c r="H1218" s="1" t="s">
        <v>22074</v>
      </c>
      <c r="I1218" s="1" t="s">
        <v>22075</v>
      </c>
      <c r="J1218" s="1">
        <v>8249233212</v>
      </c>
      <c r="K1218" s="1" t="s">
        <v>84</v>
      </c>
      <c r="L1218" s="1" t="s">
        <v>20542</v>
      </c>
      <c r="M1218" s="1" t="s">
        <v>86</v>
      </c>
      <c r="N1218" s="1" t="s">
        <v>22076</v>
      </c>
      <c r="O1218" s="1" t="s">
        <v>22077</v>
      </c>
      <c r="P1218" s="1" t="s">
        <v>219</v>
      </c>
      <c r="Q1218" s="1">
        <v>286948280657</v>
      </c>
      <c r="R1218" s="1" t="s">
        <v>22078</v>
      </c>
      <c r="S1218" s="1">
        <v>8093336521</v>
      </c>
      <c r="T1218" s="1" t="s">
        <v>22079</v>
      </c>
      <c r="U1218" s="1" t="s">
        <v>22080</v>
      </c>
      <c r="V1218" s="1">
        <v>8658028021</v>
      </c>
      <c r="W1218" s="1" t="s">
        <v>16484</v>
      </c>
      <c r="X1218" s="1" t="s">
        <v>22081</v>
      </c>
      <c r="Y1218" s="1" t="s">
        <v>4437</v>
      </c>
      <c r="Z1218" s="1" t="s">
        <v>865</v>
      </c>
      <c r="AA1218" s="1" t="s">
        <v>22082</v>
      </c>
      <c r="AB1218" s="1" t="s">
        <v>4437</v>
      </c>
      <c r="AC1218" s="1" t="s">
        <v>865</v>
      </c>
      <c r="AD1218" s="1" t="s">
        <v>98</v>
      </c>
      <c r="AE1218" s="1" t="s">
        <v>98</v>
      </c>
      <c r="AF1218" s="1" t="s">
        <v>22083</v>
      </c>
      <c r="AG1218" s="1" t="s">
        <v>22084</v>
      </c>
      <c r="AH1218" s="1" t="s">
        <v>490</v>
      </c>
      <c r="AI1218" s="1" t="s">
        <v>313</v>
      </c>
      <c r="AJ1218" s="1">
        <v>67</v>
      </c>
      <c r="AK1218" s="1"/>
      <c r="AL1218" s="1"/>
      <c r="AM1218" s="1"/>
      <c r="AN1218" s="1"/>
      <c r="AO1218" s="1"/>
      <c r="AP1218" s="1"/>
      <c r="AQ1218" s="1"/>
      <c r="AR1218" s="1"/>
      <c r="AS1218" s="1" t="s">
        <v>17920</v>
      </c>
      <c r="AT1218" s="1" t="s">
        <v>22085</v>
      </c>
      <c r="AU1218" s="1" t="s">
        <v>206</v>
      </c>
      <c r="AV1218" s="1" t="s">
        <v>179</v>
      </c>
      <c r="AW1218" s="1">
        <v>89.44</v>
      </c>
      <c r="AX1218" s="1"/>
      <c r="AY1218" s="1" t="s">
        <v>22086</v>
      </c>
      <c r="AZ1218" s="1" t="s">
        <v>22087</v>
      </c>
      <c r="BA1218" s="1" t="s">
        <v>466</v>
      </c>
      <c r="BB1218" s="1" t="s">
        <v>467</v>
      </c>
      <c r="BC1218" s="1" t="s">
        <v>1267</v>
      </c>
      <c r="BD1218" s="1" t="s">
        <v>9688</v>
      </c>
      <c r="BE1218" s="1">
        <v>79</v>
      </c>
      <c r="BF1218" s="1">
        <v>8.4</v>
      </c>
      <c r="BG1218" s="1"/>
      <c r="BH1218" s="1"/>
      <c r="BI1218" s="1"/>
      <c r="BJ1218" s="1"/>
      <c r="BK1218" s="1"/>
      <c r="BL1218" s="1"/>
      <c r="BM1218" s="1"/>
      <c r="BN1218" s="1"/>
      <c r="BO1218" s="1" t="s">
        <v>22088</v>
      </c>
      <c r="BP1218" s="1"/>
      <c r="BQ1218" s="1"/>
      <c r="BR1218" s="1" t="s">
        <v>22089</v>
      </c>
      <c r="BS1218" s="1">
        <v>179</v>
      </c>
      <c r="BT1218" s="1" t="s">
        <v>22090</v>
      </c>
      <c r="BU1218" s="1" t="str">
        <f>HYPERLINK("https://nconnect.nicmar.ac.in/storage/profile/6a85de499b35a.png","Download")</f>
        <v>0</v>
      </c>
      <c r="BV1218" s="3"/>
      <c r="BW1218" s="3"/>
    </row>
    <row r="1219" spans="1:75">
      <c r="A1219" s="1" t="s">
        <v>75</v>
      </c>
      <c r="B1219" s="1" t="s">
        <v>13976</v>
      </c>
      <c r="C1219" s="1" t="s">
        <v>22091</v>
      </c>
      <c r="D1219" s="1"/>
      <c r="E1219" s="1"/>
      <c r="F1219" s="1"/>
      <c r="G1219" s="1"/>
      <c r="H1219" s="1" t="s">
        <v>22092</v>
      </c>
      <c r="I1219" s="1" t="s">
        <v>22092</v>
      </c>
      <c r="J1219" s="1"/>
      <c r="K1219" s="1"/>
      <c r="L1219" s="1"/>
      <c r="M1219" s="1"/>
      <c r="N1219" s="1"/>
      <c r="O1219" s="1"/>
      <c r="P1219" s="1"/>
      <c r="Q1219" s="1"/>
      <c r="R1219" s="1"/>
      <c r="S1219" s="1"/>
      <c r="T1219" s="1"/>
      <c r="U1219" s="1"/>
      <c r="V1219" s="1"/>
      <c r="W1219" s="1"/>
      <c r="X1219" s="1"/>
      <c r="Y1219" s="1"/>
      <c r="Z1219" s="1"/>
      <c r="AA1219" s="1"/>
      <c r="AB1219" s="1"/>
      <c r="AC1219" s="1"/>
      <c r="AD1219" s="1" t="s">
        <v>98</v>
      </c>
      <c r="AE1219" s="1" t="s">
        <v>98</v>
      </c>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t="s">
        <v>9653</v>
      </c>
      <c r="BV1219" s="3"/>
      <c r="BW1219" s="3"/>
    </row>
    <row r="1220" spans="1:75">
      <c r="A1220" s="1" t="s">
        <v>75</v>
      </c>
      <c r="B1220" s="1" t="s">
        <v>13976</v>
      </c>
      <c r="C1220" s="1" t="s">
        <v>22093</v>
      </c>
      <c r="D1220" s="1" t="s">
        <v>16310</v>
      </c>
      <c r="E1220" s="1" t="s">
        <v>22094</v>
      </c>
      <c r="F1220" s="1" t="s">
        <v>22095</v>
      </c>
      <c r="G1220" s="1" t="s">
        <v>22096</v>
      </c>
      <c r="H1220" s="1" t="s">
        <v>22097</v>
      </c>
      <c r="I1220" s="1" t="s">
        <v>22097</v>
      </c>
      <c r="J1220" s="1">
        <v>9762790768</v>
      </c>
      <c r="K1220" s="1" t="s">
        <v>84</v>
      </c>
      <c r="L1220" s="1" t="s">
        <v>16636</v>
      </c>
      <c r="M1220" s="1" t="s">
        <v>86</v>
      </c>
      <c r="N1220" s="1" t="s">
        <v>22098</v>
      </c>
      <c r="O1220" s="1" t="s">
        <v>22099</v>
      </c>
      <c r="P1220" s="1" t="s">
        <v>122</v>
      </c>
      <c r="Q1220" s="1">
        <v>572718281455</v>
      </c>
      <c r="R1220" s="1" t="s">
        <v>22094</v>
      </c>
      <c r="S1220" s="1">
        <v>7758846743</v>
      </c>
      <c r="T1220" s="1" t="s">
        <v>14507</v>
      </c>
      <c r="U1220" s="1" t="s">
        <v>22100</v>
      </c>
      <c r="V1220" s="1">
        <v>8857060589</v>
      </c>
      <c r="W1220" s="1" t="s">
        <v>10306</v>
      </c>
      <c r="X1220" s="1" t="s">
        <v>22101</v>
      </c>
      <c r="Y1220" s="1" t="s">
        <v>1012</v>
      </c>
      <c r="Z1220" s="1" t="s">
        <v>97</v>
      </c>
      <c r="AA1220" s="1" t="s">
        <v>22101</v>
      </c>
      <c r="AB1220" s="1" t="s">
        <v>1012</v>
      </c>
      <c r="AC1220" s="1" t="s">
        <v>97</v>
      </c>
      <c r="AD1220" s="1" t="s">
        <v>98</v>
      </c>
      <c r="AE1220" s="1" t="s">
        <v>98</v>
      </c>
      <c r="AF1220" s="1" t="s">
        <v>22102</v>
      </c>
      <c r="AG1220" s="1" t="s">
        <v>11321</v>
      </c>
      <c r="AH1220" s="1" t="s">
        <v>1583</v>
      </c>
      <c r="AI1220" s="1" t="s">
        <v>515</v>
      </c>
      <c r="AJ1220" s="1">
        <v>80.4</v>
      </c>
      <c r="AK1220" s="1"/>
      <c r="AL1220" s="1" t="s">
        <v>22103</v>
      </c>
      <c r="AM1220" s="1" t="s">
        <v>11321</v>
      </c>
      <c r="AN1220" s="1" t="s">
        <v>465</v>
      </c>
      <c r="AO1220" s="1" t="s">
        <v>342</v>
      </c>
      <c r="AP1220" s="1" t="s">
        <v>517</v>
      </c>
      <c r="AQ1220" s="1">
        <v>60.31</v>
      </c>
      <c r="AR1220" s="1"/>
      <c r="AS1220" s="1"/>
      <c r="AT1220" s="1"/>
      <c r="AU1220" s="1"/>
      <c r="AV1220" s="1"/>
      <c r="AW1220" s="1"/>
      <c r="AX1220" s="1"/>
      <c r="AY1220" s="1" t="s">
        <v>14059</v>
      </c>
      <c r="AZ1220" s="1" t="s">
        <v>22104</v>
      </c>
      <c r="BA1220" s="1" t="s">
        <v>578</v>
      </c>
      <c r="BB1220" s="1" t="s">
        <v>467</v>
      </c>
      <c r="BC1220" s="1" t="s">
        <v>1396</v>
      </c>
      <c r="BD1220" s="1" t="s">
        <v>847</v>
      </c>
      <c r="BE1220" s="1">
        <v>60.53</v>
      </c>
      <c r="BF1220" s="1">
        <v>6.75</v>
      </c>
      <c r="BG1220" s="1"/>
      <c r="BH1220" s="1"/>
      <c r="BI1220" s="1"/>
      <c r="BJ1220" s="1"/>
      <c r="BK1220" s="1"/>
      <c r="BL1220" s="1"/>
      <c r="BM1220" s="1"/>
      <c r="BN1220" s="1"/>
      <c r="BO1220" s="1" t="s">
        <v>22105</v>
      </c>
      <c r="BP1220" s="1" t="s">
        <v>22106</v>
      </c>
      <c r="BQ1220" s="1" t="s">
        <v>22107</v>
      </c>
      <c r="BR1220" s="1"/>
      <c r="BS1220" s="1"/>
      <c r="BT1220" s="1" t="s">
        <v>22108</v>
      </c>
      <c r="BU1220" s="1" t="str">
        <f>HYPERLINK("https://nconnect.nicmar.ac.in/storage/profile/6a85f085626f5.png","Download")</f>
        <v>0</v>
      </c>
      <c r="BV1220" s="3"/>
      <c r="BW1220" s="3"/>
    </row>
    <row r="1221" spans="1:75">
      <c r="A1221" s="1" t="s">
        <v>75</v>
      </c>
      <c r="B1221" s="1" t="s">
        <v>13976</v>
      </c>
      <c r="C1221" s="1" t="s">
        <v>22109</v>
      </c>
      <c r="D1221" s="1" t="s">
        <v>22110</v>
      </c>
      <c r="E1221" s="1" t="s">
        <v>22111</v>
      </c>
      <c r="F1221" s="1" t="s">
        <v>17492</v>
      </c>
      <c r="G1221" s="1" t="s">
        <v>22112</v>
      </c>
      <c r="H1221" s="1" t="s">
        <v>22113</v>
      </c>
      <c r="I1221" s="1" t="s">
        <v>22114</v>
      </c>
      <c r="J1221" s="1">
        <v>9322429909</v>
      </c>
      <c r="K1221" s="1" t="s">
        <v>84</v>
      </c>
      <c r="L1221" s="1" t="s">
        <v>22115</v>
      </c>
      <c r="M1221" s="1" t="s">
        <v>86</v>
      </c>
      <c r="N1221" s="1" t="s">
        <v>4263</v>
      </c>
      <c r="O1221" s="1" t="s">
        <v>22116</v>
      </c>
      <c r="P1221" s="1" t="s">
        <v>219</v>
      </c>
      <c r="Q1221" s="1">
        <v>243532036820</v>
      </c>
      <c r="R1221" s="1" t="s">
        <v>22111</v>
      </c>
      <c r="S1221" s="1" t="s">
        <v>16692</v>
      </c>
      <c r="T1221" s="1" t="s">
        <v>13411</v>
      </c>
      <c r="U1221" s="1" t="s">
        <v>22117</v>
      </c>
      <c r="V1221" s="1">
        <v>7620060042</v>
      </c>
      <c r="W1221" s="1" t="s">
        <v>14154</v>
      </c>
      <c r="X1221" s="1" t="s">
        <v>22118</v>
      </c>
      <c r="Y1221" s="1" t="s">
        <v>434</v>
      </c>
      <c r="Z1221" s="1" t="s">
        <v>97</v>
      </c>
      <c r="AA1221" s="1" t="s">
        <v>22118</v>
      </c>
      <c r="AB1221" s="1" t="s">
        <v>434</v>
      </c>
      <c r="AC1221" s="1" t="s">
        <v>97</v>
      </c>
      <c r="AD1221" s="1" t="s">
        <v>98</v>
      </c>
      <c r="AE1221" s="1" t="s">
        <v>98</v>
      </c>
      <c r="AF1221" s="1" t="s">
        <v>22119</v>
      </c>
      <c r="AG1221" s="1" t="s">
        <v>22120</v>
      </c>
      <c r="AH1221" s="1" t="s">
        <v>438</v>
      </c>
      <c r="AI1221" s="1" t="s">
        <v>603</v>
      </c>
      <c r="AJ1221" s="1">
        <v>87.2</v>
      </c>
      <c r="AK1221" s="1"/>
      <c r="AL1221" s="1"/>
      <c r="AM1221" s="1"/>
      <c r="AN1221" s="1"/>
      <c r="AO1221" s="1"/>
      <c r="AP1221" s="1"/>
      <c r="AQ1221" s="1"/>
      <c r="AR1221" s="1"/>
      <c r="AS1221" s="1" t="s">
        <v>467</v>
      </c>
      <c r="AT1221" s="1" t="s">
        <v>15014</v>
      </c>
      <c r="AU1221" s="1" t="s">
        <v>233</v>
      </c>
      <c r="AV1221" s="1" t="s">
        <v>234</v>
      </c>
      <c r="AW1221" s="1">
        <v>81.2</v>
      </c>
      <c r="AX1221" s="1"/>
      <c r="AY1221" s="1" t="s">
        <v>14160</v>
      </c>
      <c r="AZ1221" s="1" t="s">
        <v>22121</v>
      </c>
      <c r="BA1221" s="1" t="s">
        <v>578</v>
      </c>
      <c r="BB1221" s="1" t="s">
        <v>467</v>
      </c>
      <c r="BC1221" s="1" t="s">
        <v>1267</v>
      </c>
      <c r="BD1221" s="1" t="s">
        <v>14162</v>
      </c>
      <c r="BE1221" s="1">
        <v>74.36</v>
      </c>
      <c r="BF1221" s="1">
        <v>8.28</v>
      </c>
      <c r="BG1221" s="1"/>
      <c r="BH1221" s="1"/>
      <c r="BI1221" s="1"/>
      <c r="BJ1221" s="1"/>
      <c r="BK1221" s="1"/>
      <c r="BL1221" s="1"/>
      <c r="BM1221" s="1"/>
      <c r="BN1221" s="1"/>
      <c r="BO1221" s="1" t="s">
        <v>22122</v>
      </c>
      <c r="BP1221" s="1"/>
      <c r="BQ1221" s="1"/>
      <c r="BR1221" s="1"/>
      <c r="BS1221" s="1"/>
      <c r="BT1221" s="1" t="s">
        <v>22123</v>
      </c>
      <c r="BU1221" s="1" t="str">
        <f>HYPERLINK("https://nconnect.nicmar.ac.in/storage/profile/6a8673f4a0b50.png","Download")</f>
        <v>0</v>
      </c>
      <c r="BV1221" s="3"/>
      <c r="BW1221" s="3"/>
    </row>
    <row r="1222" spans="1:75">
      <c r="A1222" s="1" t="s">
        <v>75</v>
      </c>
      <c r="B1222" s="1" t="s">
        <v>13976</v>
      </c>
      <c r="C1222" s="1" t="s">
        <v>22124</v>
      </c>
      <c r="D1222" s="1" t="s">
        <v>8904</v>
      </c>
      <c r="E1222" s="1" t="s">
        <v>5791</v>
      </c>
      <c r="F1222" s="1" t="s">
        <v>22125</v>
      </c>
      <c r="G1222" s="1" t="s">
        <v>22126</v>
      </c>
      <c r="H1222" s="1" t="s">
        <v>22127</v>
      </c>
      <c r="I1222" s="1" t="s">
        <v>22127</v>
      </c>
      <c r="J1222" s="1">
        <v>9552980029</v>
      </c>
      <c r="K1222" s="1" t="s">
        <v>84</v>
      </c>
      <c r="L1222" s="1" t="s">
        <v>1530</v>
      </c>
      <c r="M1222" s="1" t="s">
        <v>86</v>
      </c>
      <c r="N1222" s="1" t="s">
        <v>19264</v>
      </c>
      <c r="O1222" s="1" t="s">
        <v>22128</v>
      </c>
      <c r="P1222" s="1" t="s">
        <v>219</v>
      </c>
      <c r="Q1222" s="1">
        <v>274742267237</v>
      </c>
      <c r="R1222" s="1" t="s">
        <v>5791</v>
      </c>
      <c r="S1222" s="1">
        <v>8408969030</v>
      </c>
      <c r="T1222" s="1" t="s">
        <v>22129</v>
      </c>
      <c r="U1222" s="1" t="s">
        <v>22130</v>
      </c>
      <c r="V1222" s="1">
        <v>9527188462</v>
      </c>
      <c r="W1222" s="1" t="s">
        <v>278</v>
      </c>
      <c r="X1222" s="1" t="s">
        <v>22131</v>
      </c>
      <c r="Y1222" s="1" t="s">
        <v>1779</v>
      </c>
      <c r="Z1222" s="1" t="s">
        <v>97</v>
      </c>
      <c r="AA1222" s="1" t="s">
        <v>22132</v>
      </c>
      <c r="AB1222" s="1" t="s">
        <v>196</v>
      </c>
      <c r="AC1222" s="1" t="s">
        <v>97</v>
      </c>
      <c r="AD1222" s="1" t="s">
        <v>98</v>
      </c>
      <c r="AE1222" s="1" t="s">
        <v>98</v>
      </c>
      <c r="AF1222" s="1" t="s">
        <v>22133</v>
      </c>
      <c r="AG1222" s="1" t="s">
        <v>629</v>
      </c>
      <c r="AH1222" s="1" t="s">
        <v>106</v>
      </c>
      <c r="AI1222" s="1" t="s">
        <v>438</v>
      </c>
      <c r="AJ1222" s="1">
        <v>75.8</v>
      </c>
      <c r="AK1222" s="1"/>
      <c r="AL1222" s="1" t="s">
        <v>22134</v>
      </c>
      <c r="AM1222" s="1" t="s">
        <v>629</v>
      </c>
      <c r="AN1222" s="1" t="s">
        <v>575</v>
      </c>
      <c r="AO1222" s="1" t="s">
        <v>468</v>
      </c>
      <c r="AP1222" s="1" t="s">
        <v>549</v>
      </c>
      <c r="AQ1222" s="1">
        <v>90.83</v>
      </c>
      <c r="AR1222" s="1"/>
      <c r="AS1222" s="1"/>
      <c r="AT1222" s="1"/>
      <c r="AU1222" s="1"/>
      <c r="AV1222" s="1"/>
      <c r="AW1222" s="1"/>
      <c r="AX1222" s="1"/>
      <c r="AY1222" s="1" t="s">
        <v>630</v>
      </c>
      <c r="AZ1222" s="1" t="s">
        <v>22135</v>
      </c>
      <c r="BA1222" s="1" t="s">
        <v>578</v>
      </c>
      <c r="BB1222" s="1" t="s">
        <v>467</v>
      </c>
      <c r="BC1222" s="1" t="s">
        <v>368</v>
      </c>
      <c r="BD1222" s="1" t="s">
        <v>553</v>
      </c>
      <c r="BE1222" s="1">
        <v>61.9</v>
      </c>
      <c r="BF1222" s="1"/>
      <c r="BG1222" s="1"/>
      <c r="BH1222" s="1"/>
      <c r="BI1222" s="1"/>
      <c r="BJ1222" s="1"/>
      <c r="BK1222" s="1"/>
      <c r="BL1222" s="1"/>
      <c r="BM1222" s="1"/>
      <c r="BN1222" s="1"/>
      <c r="BO1222" s="1" t="s">
        <v>22136</v>
      </c>
      <c r="BP1222" s="1"/>
      <c r="BQ1222" s="1"/>
      <c r="BR1222" s="1" t="s">
        <v>22137</v>
      </c>
      <c r="BS1222" s="1">
        <v>11</v>
      </c>
      <c r="BT1222" s="1" t="s">
        <v>22138</v>
      </c>
      <c r="BU1222" s="1" t="str">
        <f>HYPERLINK("https://nconnect.nicmar.ac.in/storage/profile/6a872111164b7.png","Download")</f>
        <v>0</v>
      </c>
      <c r="BV1222" s="3"/>
      <c r="BW1222" s="3"/>
    </row>
    <row r="1223" spans="1:75">
      <c r="A1223" s="1" t="s">
        <v>75</v>
      </c>
      <c r="B1223" s="1" t="s">
        <v>13976</v>
      </c>
      <c r="C1223" s="1" t="s">
        <v>22139</v>
      </c>
      <c r="D1223" s="1" t="s">
        <v>22140</v>
      </c>
      <c r="E1223" s="1" t="s">
        <v>17573</v>
      </c>
      <c r="F1223" s="1" t="s">
        <v>22141</v>
      </c>
      <c r="G1223" s="1" t="s">
        <v>22142</v>
      </c>
      <c r="H1223" s="1" t="s">
        <v>22143</v>
      </c>
      <c r="I1223" s="1" t="s">
        <v>22144</v>
      </c>
      <c r="J1223" s="1">
        <v>9371553000</v>
      </c>
      <c r="K1223" s="1" t="s">
        <v>84</v>
      </c>
      <c r="L1223" s="1" t="s">
        <v>16388</v>
      </c>
      <c r="M1223" s="1" t="s">
        <v>86</v>
      </c>
      <c r="N1223" s="1" t="s">
        <v>768</v>
      </c>
      <c r="O1223" s="1" t="s">
        <v>22145</v>
      </c>
      <c r="P1223" s="1" t="s">
        <v>219</v>
      </c>
      <c r="Q1223" s="1" t="s">
        <v>22146</v>
      </c>
      <c r="R1223" s="1" t="s">
        <v>22147</v>
      </c>
      <c r="S1223" s="1">
        <v>9119553000</v>
      </c>
      <c r="T1223" s="1" t="s">
        <v>3439</v>
      </c>
      <c r="U1223" s="1" t="s">
        <v>22148</v>
      </c>
      <c r="V1223" s="1">
        <v>9422225071</v>
      </c>
      <c r="W1223" s="1" t="s">
        <v>18875</v>
      </c>
      <c r="X1223" s="1" t="s">
        <v>22149</v>
      </c>
      <c r="Y1223" s="1" t="s">
        <v>1779</v>
      </c>
      <c r="Z1223" s="1" t="s">
        <v>97</v>
      </c>
      <c r="AA1223" s="1" t="s">
        <v>22150</v>
      </c>
      <c r="AB1223" s="1" t="s">
        <v>196</v>
      </c>
      <c r="AC1223" s="1" t="s">
        <v>97</v>
      </c>
      <c r="AD1223" s="1" t="s">
        <v>98</v>
      </c>
      <c r="AE1223" s="1" t="s">
        <v>98</v>
      </c>
      <c r="AF1223" s="1" t="s">
        <v>22151</v>
      </c>
      <c r="AG1223" s="1" t="s">
        <v>22152</v>
      </c>
      <c r="AH1223" s="1" t="s">
        <v>438</v>
      </c>
      <c r="AI1223" s="1" t="s">
        <v>603</v>
      </c>
      <c r="AJ1223" s="1">
        <v>77.2</v>
      </c>
      <c r="AK1223" s="1"/>
      <c r="AL1223" s="1" t="s">
        <v>22153</v>
      </c>
      <c r="AM1223" s="1" t="s">
        <v>22154</v>
      </c>
      <c r="AN1223" s="1" t="s">
        <v>465</v>
      </c>
      <c r="AO1223" s="1" t="s">
        <v>847</v>
      </c>
      <c r="AP1223" s="1" t="s">
        <v>1886</v>
      </c>
      <c r="AQ1223" s="1">
        <v>63.0</v>
      </c>
      <c r="AR1223" s="1"/>
      <c r="AS1223" s="1"/>
      <c r="AT1223" s="1"/>
      <c r="AU1223" s="1"/>
      <c r="AV1223" s="1"/>
      <c r="AW1223" s="1"/>
      <c r="AX1223" s="1"/>
      <c r="AY1223" s="1" t="s">
        <v>22155</v>
      </c>
      <c r="AZ1223" s="1" t="s">
        <v>22156</v>
      </c>
      <c r="BA1223" s="1" t="s">
        <v>578</v>
      </c>
      <c r="BB1223" s="1" t="s">
        <v>467</v>
      </c>
      <c r="BC1223" s="1" t="s">
        <v>1889</v>
      </c>
      <c r="BD1223" s="1" t="s">
        <v>14162</v>
      </c>
      <c r="BE1223" s="1">
        <v>65.2</v>
      </c>
      <c r="BF1223" s="1">
        <v>7.34</v>
      </c>
      <c r="BG1223" s="1"/>
      <c r="BH1223" s="1"/>
      <c r="BI1223" s="1"/>
      <c r="BJ1223" s="1"/>
      <c r="BK1223" s="1"/>
      <c r="BL1223" s="1"/>
      <c r="BM1223" s="1"/>
      <c r="BN1223" s="1"/>
      <c r="BO1223" s="1" t="s">
        <v>22157</v>
      </c>
      <c r="BP1223" s="1"/>
      <c r="BQ1223" s="1"/>
      <c r="BR1223" s="1"/>
      <c r="BS1223" s="1"/>
      <c r="BT1223" s="1" t="s">
        <v>22158</v>
      </c>
      <c r="BU1223" s="1" t="str">
        <f>HYPERLINK("https://nconnect.nicmar.ac.in/storage/profile/6a868ec54fabf.png","Download")</f>
        <v>0</v>
      </c>
      <c r="BV1223" s="3"/>
      <c r="BW1223" s="3"/>
    </row>
    <row r="1224" spans="1:75">
      <c r="A1224" s="1" t="s">
        <v>75</v>
      </c>
      <c r="B1224" s="1" t="s">
        <v>13976</v>
      </c>
      <c r="C1224" s="1" t="s">
        <v>22159</v>
      </c>
      <c r="D1224" s="1" t="s">
        <v>6517</v>
      </c>
      <c r="E1224" s="1" t="s">
        <v>14566</v>
      </c>
      <c r="F1224" s="1" t="s">
        <v>22160</v>
      </c>
      <c r="G1224" s="1" t="s">
        <v>22161</v>
      </c>
      <c r="H1224" s="1" t="s">
        <v>22162</v>
      </c>
      <c r="I1224" s="1" t="s">
        <v>22163</v>
      </c>
      <c r="J1224" s="1">
        <v>9975640277</v>
      </c>
      <c r="K1224" s="1" t="s">
        <v>84</v>
      </c>
      <c r="L1224" s="1" t="s">
        <v>22164</v>
      </c>
      <c r="M1224" s="1" t="s">
        <v>86</v>
      </c>
      <c r="N1224" s="1" t="s">
        <v>19986</v>
      </c>
      <c r="O1224" s="1" t="s">
        <v>22165</v>
      </c>
      <c r="P1224" s="1" t="s">
        <v>89</v>
      </c>
      <c r="Q1224" s="1">
        <v>917814028103</v>
      </c>
      <c r="R1224" s="1" t="s">
        <v>22166</v>
      </c>
      <c r="S1224" s="1">
        <v>8698088192</v>
      </c>
      <c r="T1224" s="1" t="s">
        <v>22167</v>
      </c>
      <c r="U1224" s="1" t="s">
        <v>22168</v>
      </c>
      <c r="V1224" s="1">
        <v>9284894926</v>
      </c>
      <c r="W1224" s="1" t="s">
        <v>14154</v>
      </c>
      <c r="X1224" s="1" t="s">
        <v>22169</v>
      </c>
      <c r="Y1224" s="1" t="s">
        <v>1989</v>
      </c>
      <c r="Z1224" s="1" t="s">
        <v>97</v>
      </c>
      <c r="AA1224" s="1" t="s">
        <v>22169</v>
      </c>
      <c r="AB1224" s="1" t="s">
        <v>1989</v>
      </c>
      <c r="AC1224" s="1" t="s">
        <v>97</v>
      </c>
      <c r="AD1224" s="1" t="s">
        <v>98</v>
      </c>
      <c r="AE1224" s="1" t="s">
        <v>98</v>
      </c>
      <c r="AF1224" s="1" t="s">
        <v>22170</v>
      </c>
      <c r="AG1224" s="1" t="s">
        <v>22171</v>
      </c>
      <c r="AH1224" s="1" t="s">
        <v>438</v>
      </c>
      <c r="AI1224" s="1" t="s">
        <v>603</v>
      </c>
      <c r="AJ1224" s="1">
        <v>88.4</v>
      </c>
      <c r="AK1224" s="1"/>
      <c r="AL1224" s="1" t="s">
        <v>22172</v>
      </c>
      <c r="AM1224" s="1" t="s">
        <v>22173</v>
      </c>
      <c r="AN1224" s="1" t="s">
        <v>465</v>
      </c>
      <c r="AO1224" s="1" t="s">
        <v>847</v>
      </c>
      <c r="AP1224" s="1" t="s">
        <v>1886</v>
      </c>
      <c r="AQ1224" s="1">
        <v>60.67</v>
      </c>
      <c r="AR1224" s="1"/>
      <c r="AS1224" s="1"/>
      <c r="AT1224" s="1"/>
      <c r="AU1224" s="1"/>
      <c r="AV1224" s="1"/>
      <c r="AW1224" s="1"/>
      <c r="AX1224" s="1"/>
      <c r="AY1224" s="1" t="s">
        <v>14262</v>
      </c>
      <c r="AZ1224" s="1" t="s">
        <v>22174</v>
      </c>
      <c r="BA1224" s="1" t="s">
        <v>466</v>
      </c>
      <c r="BB1224" s="1" t="s">
        <v>1993</v>
      </c>
      <c r="BC1224" s="1" t="s">
        <v>1889</v>
      </c>
      <c r="BD1224" s="1" t="s">
        <v>14514</v>
      </c>
      <c r="BE1224" s="1">
        <v>65.4</v>
      </c>
      <c r="BF1224" s="1">
        <v>7.04</v>
      </c>
      <c r="BG1224" s="1"/>
      <c r="BH1224" s="1"/>
      <c r="BI1224" s="1"/>
      <c r="BJ1224" s="1"/>
      <c r="BK1224" s="1"/>
      <c r="BL1224" s="1"/>
      <c r="BM1224" s="1"/>
      <c r="BN1224" s="1"/>
      <c r="BO1224" s="1" t="s">
        <v>1315</v>
      </c>
      <c r="BP1224" s="1"/>
      <c r="BQ1224" s="1"/>
      <c r="BR1224" s="1" t="s">
        <v>22175</v>
      </c>
      <c r="BS1224" s="1">
        <v>8</v>
      </c>
      <c r="BT1224" s="1"/>
      <c r="BU1224" s="1" t="str">
        <f>HYPERLINK("https://nconnect.nicmar.ac.in/storage/profile/6a87423daff9b.png","Download")</f>
        <v>0</v>
      </c>
      <c r="BV1224" s="3"/>
      <c r="BW1224" s="3"/>
    </row>
    <row r="1225" spans="1:75">
      <c r="A1225" s="1" t="s">
        <v>75</v>
      </c>
      <c r="B1225" s="1" t="s">
        <v>13976</v>
      </c>
      <c r="C1225" s="1" t="s">
        <v>22176</v>
      </c>
      <c r="D1225" s="1" t="s">
        <v>22177</v>
      </c>
      <c r="E1225" s="1" t="s">
        <v>1612</v>
      </c>
      <c r="F1225" s="1" t="s">
        <v>22178</v>
      </c>
      <c r="G1225" s="1" t="s">
        <v>22179</v>
      </c>
      <c r="H1225" s="1" t="s">
        <v>22180</v>
      </c>
      <c r="I1225" s="1" t="s">
        <v>22180</v>
      </c>
      <c r="J1225" s="1">
        <v>9284554181</v>
      </c>
      <c r="K1225" s="1" t="s">
        <v>84</v>
      </c>
      <c r="L1225" s="1" t="s">
        <v>22181</v>
      </c>
      <c r="M1225" s="1" t="s">
        <v>86</v>
      </c>
      <c r="N1225" s="1" t="s">
        <v>22182</v>
      </c>
      <c r="O1225" s="1" t="s">
        <v>22183</v>
      </c>
      <c r="P1225" s="1" t="s">
        <v>219</v>
      </c>
      <c r="Q1225" s="1">
        <v>565994088013</v>
      </c>
      <c r="R1225" s="1" t="s">
        <v>1612</v>
      </c>
      <c r="S1225" s="1">
        <v>8766809323</v>
      </c>
      <c r="T1225" s="1" t="s">
        <v>5117</v>
      </c>
      <c r="U1225" s="1" t="s">
        <v>7025</v>
      </c>
      <c r="V1225" s="1">
        <v>9158044015</v>
      </c>
      <c r="W1225" s="1" t="s">
        <v>161</v>
      </c>
      <c r="X1225" s="1" t="s">
        <v>22184</v>
      </c>
      <c r="Y1225" s="1" t="s">
        <v>1012</v>
      </c>
      <c r="Z1225" s="1" t="s">
        <v>97</v>
      </c>
      <c r="AA1225" s="1" t="s">
        <v>22184</v>
      </c>
      <c r="AB1225" s="1" t="s">
        <v>1012</v>
      </c>
      <c r="AC1225" s="1" t="s">
        <v>97</v>
      </c>
      <c r="AD1225" s="1" t="s">
        <v>98</v>
      </c>
      <c r="AE1225" s="1" t="s">
        <v>98</v>
      </c>
      <c r="AF1225" s="1" t="s">
        <v>22185</v>
      </c>
      <c r="AG1225" s="1" t="s">
        <v>22186</v>
      </c>
      <c r="AH1225" s="1" t="s">
        <v>284</v>
      </c>
      <c r="AI1225" s="1" t="s">
        <v>200</v>
      </c>
      <c r="AJ1225" s="1">
        <v>63.8</v>
      </c>
      <c r="AK1225" s="1">
        <v>6.6</v>
      </c>
      <c r="AL1225" s="1" t="s">
        <v>22187</v>
      </c>
      <c r="AM1225" s="1" t="s">
        <v>22188</v>
      </c>
      <c r="AN1225" s="1" t="s">
        <v>575</v>
      </c>
      <c r="AO1225" s="1" t="s">
        <v>573</v>
      </c>
      <c r="AP1225" s="1" t="s">
        <v>203</v>
      </c>
      <c r="AQ1225" s="1">
        <v>69.08</v>
      </c>
      <c r="AR1225" s="1">
        <v>7.2</v>
      </c>
      <c r="AS1225" s="1"/>
      <c r="AT1225" s="1"/>
      <c r="AU1225" s="1"/>
      <c r="AV1225" s="1"/>
      <c r="AW1225" s="1"/>
      <c r="AX1225" s="1"/>
      <c r="AY1225" s="1" t="s">
        <v>22189</v>
      </c>
      <c r="AZ1225" s="1" t="s">
        <v>22190</v>
      </c>
      <c r="BA1225" s="1" t="s">
        <v>578</v>
      </c>
      <c r="BB1225" s="1" t="s">
        <v>467</v>
      </c>
      <c r="BC1225" s="1" t="s">
        <v>547</v>
      </c>
      <c r="BD1225" s="1" t="s">
        <v>10037</v>
      </c>
      <c r="BE1225" s="1">
        <v>61.67</v>
      </c>
      <c r="BF1225" s="1">
        <v>7.02</v>
      </c>
      <c r="BG1225" s="1"/>
      <c r="BH1225" s="1"/>
      <c r="BI1225" s="1"/>
      <c r="BJ1225" s="1"/>
      <c r="BK1225" s="1"/>
      <c r="BL1225" s="1"/>
      <c r="BM1225" s="1"/>
      <c r="BN1225" s="1"/>
      <c r="BO1225" s="1" t="s">
        <v>22191</v>
      </c>
      <c r="BP1225" s="1" t="s">
        <v>22192</v>
      </c>
      <c r="BQ1225" s="1" t="s">
        <v>1849</v>
      </c>
      <c r="BR1225" s="1"/>
      <c r="BS1225" s="1"/>
      <c r="BT1225" s="1"/>
      <c r="BU1225" s="1" t="str">
        <f>HYPERLINK("https://nconnect.nicmar.ac.in/storage/profile/6a84a324e93a1.png","Download")</f>
        <v>0</v>
      </c>
      <c r="BV1225" s="3"/>
      <c r="BW1225" s="3"/>
    </row>
    <row r="1226" spans="1:75">
      <c r="A1226" s="1" t="s">
        <v>75</v>
      </c>
      <c r="B1226" s="1" t="s">
        <v>13976</v>
      </c>
      <c r="C1226" s="1" t="s">
        <v>22193</v>
      </c>
      <c r="D1226" s="1" t="s">
        <v>22194</v>
      </c>
      <c r="E1226" s="1"/>
      <c r="F1226" s="1" t="s">
        <v>14908</v>
      </c>
      <c r="G1226" s="1" t="s">
        <v>22195</v>
      </c>
      <c r="H1226" s="1" t="s">
        <v>22196</v>
      </c>
      <c r="I1226" s="1" t="s">
        <v>22196</v>
      </c>
      <c r="J1226" s="1">
        <v>7632923562</v>
      </c>
      <c r="K1226" s="1" t="s">
        <v>84</v>
      </c>
      <c r="L1226" s="1" t="s">
        <v>22197</v>
      </c>
      <c r="M1226" s="1" t="s">
        <v>86</v>
      </c>
      <c r="N1226" s="1" t="s">
        <v>22198</v>
      </c>
      <c r="O1226" s="1" t="s">
        <v>9823</v>
      </c>
      <c r="P1226" s="1" t="s">
        <v>1693</v>
      </c>
      <c r="Q1226" s="1">
        <v>858852539421</v>
      </c>
      <c r="R1226" s="1" t="s">
        <v>22199</v>
      </c>
      <c r="S1226" s="1">
        <v>7004278425</v>
      </c>
      <c r="T1226" s="1" t="s">
        <v>22200</v>
      </c>
      <c r="U1226" s="1" t="s">
        <v>22201</v>
      </c>
      <c r="V1226" s="1">
        <v>7654583261</v>
      </c>
      <c r="W1226" s="1" t="s">
        <v>22202</v>
      </c>
      <c r="X1226" s="1" t="s">
        <v>22203</v>
      </c>
      <c r="Y1226" s="1" t="s">
        <v>648</v>
      </c>
      <c r="Z1226" s="1" t="s">
        <v>649</v>
      </c>
      <c r="AA1226" s="1" t="s">
        <v>22203</v>
      </c>
      <c r="AB1226" s="1" t="s">
        <v>648</v>
      </c>
      <c r="AC1226" s="1" t="s">
        <v>649</v>
      </c>
      <c r="AD1226" s="1" t="s">
        <v>98</v>
      </c>
      <c r="AE1226" s="1" t="s">
        <v>98</v>
      </c>
      <c r="AF1226" s="1" t="s">
        <v>22204</v>
      </c>
      <c r="AG1226" s="1" t="s">
        <v>22205</v>
      </c>
      <c r="AH1226" s="1" t="s">
        <v>136</v>
      </c>
      <c r="AI1226" s="1" t="s">
        <v>627</v>
      </c>
      <c r="AJ1226" s="1">
        <v>95</v>
      </c>
      <c r="AK1226" s="1">
        <v>10</v>
      </c>
      <c r="AL1226" s="1" t="s">
        <v>22206</v>
      </c>
      <c r="AM1226" s="1" t="s">
        <v>22207</v>
      </c>
      <c r="AN1226" s="1" t="s">
        <v>465</v>
      </c>
      <c r="AO1226" s="1" t="s">
        <v>573</v>
      </c>
      <c r="AP1226" s="1" t="s">
        <v>171</v>
      </c>
      <c r="AQ1226" s="1">
        <v>64.8</v>
      </c>
      <c r="AR1226" s="1"/>
      <c r="AS1226" s="1"/>
      <c r="AT1226" s="1"/>
      <c r="AU1226" s="1"/>
      <c r="AV1226" s="1"/>
      <c r="AW1226" s="1"/>
      <c r="AX1226" s="1"/>
      <c r="AY1226" s="1" t="s">
        <v>15972</v>
      </c>
      <c r="AZ1226" s="1" t="s">
        <v>22208</v>
      </c>
      <c r="BA1226" s="1" t="s">
        <v>578</v>
      </c>
      <c r="BB1226" s="1" t="s">
        <v>467</v>
      </c>
      <c r="BC1226" s="1" t="s">
        <v>1065</v>
      </c>
      <c r="BD1226" s="1" t="s">
        <v>1802</v>
      </c>
      <c r="BE1226" s="1">
        <v>6.27</v>
      </c>
      <c r="BF1226" s="1">
        <v>7.02</v>
      </c>
      <c r="BG1226" s="1"/>
      <c r="BH1226" s="1"/>
      <c r="BI1226" s="1"/>
      <c r="BJ1226" s="1"/>
      <c r="BK1226" s="1"/>
      <c r="BL1226" s="1"/>
      <c r="BM1226" s="1"/>
      <c r="BN1226" s="1"/>
      <c r="BO1226" s="1" t="s">
        <v>22209</v>
      </c>
      <c r="BP1226" s="1"/>
      <c r="BQ1226" s="1"/>
      <c r="BR1226" s="1" t="s">
        <v>22210</v>
      </c>
      <c r="BS1226" s="1">
        <v>6</v>
      </c>
      <c r="BT1226" s="1"/>
      <c r="BU1226" s="1" t="str">
        <f>HYPERLINK("https://nconnect.nicmar.ac.in/storage/profile/6a86fcd5ac866.png","Download")</f>
        <v>0</v>
      </c>
      <c r="BV1226" s="3"/>
      <c r="BW1226" s="3"/>
    </row>
    <row r="1227" spans="1:75">
      <c r="A1227" s="1" t="s">
        <v>75</v>
      </c>
      <c r="B1227" s="1" t="s">
        <v>13976</v>
      </c>
      <c r="C1227" s="1" t="s">
        <v>22211</v>
      </c>
      <c r="D1227" s="1" t="s">
        <v>22212</v>
      </c>
      <c r="E1227" s="1"/>
      <c r="F1227" s="1" t="s">
        <v>22213</v>
      </c>
      <c r="G1227" s="1" t="s">
        <v>22214</v>
      </c>
      <c r="H1227" s="1" t="s">
        <v>22215</v>
      </c>
      <c r="I1227" s="1" t="s">
        <v>22215</v>
      </c>
      <c r="J1227" s="1">
        <v>9542584455</v>
      </c>
      <c r="K1227" s="1" t="s">
        <v>84</v>
      </c>
      <c r="L1227" s="1" t="s">
        <v>10605</v>
      </c>
      <c r="M1227" s="1" t="s">
        <v>86</v>
      </c>
      <c r="N1227" s="1" t="s">
        <v>22216</v>
      </c>
      <c r="O1227" s="1" t="s">
        <v>22217</v>
      </c>
      <c r="P1227" s="1" t="s">
        <v>122</v>
      </c>
      <c r="Q1227" s="1" t="s">
        <v>22218</v>
      </c>
      <c r="R1227" s="1" t="s">
        <v>22219</v>
      </c>
      <c r="S1227" s="1">
        <v>9393252526</v>
      </c>
      <c r="T1227" s="1" t="s">
        <v>16658</v>
      </c>
      <c r="U1227" s="1" t="s">
        <v>22220</v>
      </c>
      <c r="V1227" s="1">
        <v>9394507553</v>
      </c>
      <c r="W1227" s="1" t="s">
        <v>14234</v>
      </c>
      <c r="X1227" s="1" t="s">
        <v>22221</v>
      </c>
      <c r="Y1227" s="1" t="s">
        <v>3031</v>
      </c>
      <c r="Z1227" s="1" t="s">
        <v>461</v>
      </c>
      <c r="AA1227" s="1" t="s">
        <v>22221</v>
      </c>
      <c r="AB1227" s="1" t="s">
        <v>3031</v>
      </c>
      <c r="AC1227" s="1" t="s">
        <v>461</v>
      </c>
      <c r="AD1227" s="1" t="s">
        <v>98</v>
      </c>
      <c r="AE1227" s="1" t="s">
        <v>98</v>
      </c>
      <c r="AF1227" s="1" t="s">
        <v>22222</v>
      </c>
      <c r="AG1227" s="1" t="s">
        <v>312</v>
      </c>
      <c r="AH1227" s="1" t="s">
        <v>490</v>
      </c>
      <c r="AI1227" s="1" t="s">
        <v>313</v>
      </c>
      <c r="AJ1227" s="1">
        <v>63.2</v>
      </c>
      <c r="AK1227" s="1"/>
      <c r="AL1227" s="1" t="s">
        <v>22223</v>
      </c>
      <c r="AM1227" s="1" t="s">
        <v>22224</v>
      </c>
      <c r="AN1227" s="1" t="s">
        <v>465</v>
      </c>
      <c r="AO1227" s="1" t="s">
        <v>313</v>
      </c>
      <c r="AP1227" s="1" t="s">
        <v>847</v>
      </c>
      <c r="AQ1227" s="1">
        <v>59.8</v>
      </c>
      <c r="AR1227" s="1"/>
      <c r="AS1227" s="1"/>
      <c r="AT1227" s="1"/>
      <c r="AU1227" s="1"/>
      <c r="AV1227" s="1"/>
      <c r="AW1227" s="1"/>
      <c r="AX1227" s="1"/>
      <c r="AY1227" s="1" t="s">
        <v>18781</v>
      </c>
      <c r="AZ1227" s="1" t="s">
        <v>22225</v>
      </c>
      <c r="BA1227" s="1" t="s">
        <v>682</v>
      </c>
      <c r="BB1227" s="1" t="s">
        <v>683</v>
      </c>
      <c r="BC1227" s="1" t="s">
        <v>441</v>
      </c>
      <c r="BD1227" s="1" t="s">
        <v>14162</v>
      </c>
      <c r="BE1227" s="1">
        <v>72.8</v>
      </c>
      <c r="BF1227" s="1"/>
      <c r="BG1227" s="1"/>
      <c r="BH1227" s="1"/>
      <c r="BI1227" s="1"/>
      <c r="BJ1227" s="1"/>
      <c r="BK1227" s="1"/>
      <c r="BL1227" s="1"/>
      <c r="BM1227" s="1"/>
      <c r="BN1227" s="1"/>
      <c r="BO1227" s="1" t="s">
        <v>22226</v>
      </c>
      <c r="BP1227" s="1"/>
      <c r="BQ1227" s="1"/>
      <c r="BR1227" s="1" t="s">
        <v>22227</v>
      </c>
      <c r="BS1227" s="1">
        <v>20</v>
      </c>
      <c r="BT1227" s="1"/>
      <c r="BU1227" s="1" t="str">
        <f>HYPERLINK("https://nconnect.nicmar.ac.in/storage/profile/6a870b77efc4c.png","Download")</f>
        <v>0</v>
      </c>
      <c r="BV1227" s="3"/>
      <c r="BW1227" s="3"/>
    </row>
    <row r="1228" spans="1:75">
      <c r="A1228" s="1" t="s">
        <v>75</v>
      </c>
      <c r="B1228" s="1" t="s">
        <v>13976</v>
      </c>
      <c r="C1228" s="1" t="s">
        <v>22228</v>
      </c>
      <c r="D1228" s="1" t="s">
        <v>22229</v>
      </c>
      <c r="E1228" s="1" t="s">
        <v>22230</v>
      </c>
      <c r="F1228" s="1" t="s">
        <v>22231</v>
      </c>
      <c r="G1228" s="1" t="s">
        <v>22232</v>
      </c>
      <c r="H1228" s="1" t="s">
        <v>22233</v>
      </c>
      <c r="I1228" s="1" t="s">
        <v>22233</v>
      </c>
      <c r="J1228" s="1">
        <v>9481884357</v>
      </c>
      <c r="K1228" s="1" t="s">
        <v>84</v>
      </c>
      <c r="L1228" s="1" t="s">
        <v>22234</v>
      </c>
      <c r="M1228" s="1" t="s">
        <v>86</v>
      </c>
      <c r="N1228" s="1" t="s">
        <v>22235</v>
      </c>
      <c r="O1228" s="1" t="s">
        <v>22236</v>
      </c>
      <c r="P1228" s="1" t="s">
        <v>219</v>
      </c>
      <c r="Q1228" s="1">
        <v>636397281496</v>
      </c>
      <c r="R1228" s="1" t="s">
        <v>22237</v>
      </c>
      <c r="S1228" s="1">
        <v>9480433357</v>
      </c>
      <c r="T1228" s="1" t="s">
        <v>839</v>
      </c>
      <c r="U1228" s="1" t="s">
        <v>22238</v>
      </c>
      <c r="V1228" s="1">
        <v>9972216039</v>
      </c>
      <c r="W1228" s="1" t="s">
        <v>278</v>
      </c>
      <c r="X1228" s="1" t="s">
        <v>22239</v>
      </c>
      <c r="Y1228" s="1" t="s">
        <v>3132</v>
      </c>
      <c r="Z1228" s="1" t="s">
        <v>1210</v>
      </c>
      <c r="AA1228" s="1" t="s">
        <v>22239</v>
      </c>
      <c r="AB1228" s="1" t="s">
        <v>3132</v>
      </c>
      <c r="AC1228" s="1" t="s">
        <v>1210</v>
      </c>
      <c r="AD1228" s="1" t="s">
        <v>98</v>
      </c>
      <c r="AE1228" s="1" t="s">
        <v>98</v>
      </c>
      <c r="AF1228" s="1" t="s">
        <v>22240</v>
      </c>
      <c r="AG1228" s="1" t="s">
        <v>17143</v>
      </c>
      <c r="AH1228" s="1" t="s">
        <v>3112</v>
      </c>
      <c r="AI1228" s="1" t="s">
        <v>178</v>
      </c>
      <c r="AJ1228" s="1">
        <v>66.56</v>
      </c>
      <c r="AK1228" s="1">
        <v>7.0</v>
      </c>
      <c r="AL1228" s="1" t="s">
        <v>22241</v>
      </c>
      <c r="AM1228" s="1" t="s">
        <v>17143</v>
      </c>
      <c r="AN1228" s="1" t="s">
        <v>575</v>
      </c>
      <c r="AO1228" s="1" t="s">
        <v>468</v>
      </c>
      <c r="AP1228" s="1" t="s">
        <v>110</v>
      </c>
      <c r="AQ1228" s="1">
        <v>59.19</v>
      </c>
      <c r="AR1228" s="1">
        <v>6.23</v>
      </c>
      <c r="AS1228" s="1"/>
      <c r="AT1228" s="1"/>
      <c r="AU1228" s="1"/>
      <c r="AV1228" s="1"/>
      <c r="AW1228" s="1"/>
      <c r="AX1228" s="1"/>
      <c r="AY1228" s="1" t="s">
        <v>1217</v>
      </c>
      <c r="AZ1228" s="1" t="s">
        <v>22242</v>
      </c>
      <c r="BA1228" s="1" t="s">
        <v>578</v>
      </c>
      <c r="BB1228" s="1" t="s">
        <v>467</v>
      </c>
      <c r="BC1228" s="1" t="s">
        <v>2765</v>
      </c>
      <c r="BD1228" s="1" t="s">
        <v>9688</v>
      </c>
      <c r="BE1228" s="1">
        <v>67.1</v>
      </c>
      <c r="BF1228" s="1">
        <v>6.71</v>
      </c>
      <c r="BG1228" s="1"/>
      <c r="BH1228" s="1"/>
      <c r="BI1228" s="1"/>
      <c r="BJ1228" s="1"/>
      <c r="BK1228" s="1"/>
      <c r="BL1228" s="1"/>
      <c r="BM1228" s="1"/>
      <c r="BN1228" s="1"/>
      <c r="BO1228" s="1" t="s">
        <v>22243</v>
      </c>
      <c r="BP1228" s="1"/>
      <c r="BQ1228" s="1"/>
      <c r="BR1228" s="1" t="s">
        <v>22244</v>
      </c>
      <c r="BS1228" s="1">
        <v>14</v>
      </c>
      <c r="BT1228" s="1" t="s">
        <v>22245</v>
      </c>
      <c r="BU1228" s="1" t="str">
        <f>HYPERLINK("https://nconnect.nicmar.ac.in/storage/profile/6a85b789b45b9.png","Download")</f>
        <v>0</v>
      </c>
      <c r="BV1228" s="3"/>
      <c r="BW1228" s="3"/>
    </row>
    <row r="1229" spans="1:75">
      <c r="A1229" s="1" t="s">
        <v>75</v>
      </c>
      <c r="B1229" s="1" t="s">
        <v>13976</v>
      </c>
      <c r="C1229" s="1" t="s">
        <v>22246</v>
      </c>
      <c r="D1229" s="1" t="s">
        <v>14460</v>
      </c>
      <c r="E1229" s="1" t="s">
        <v>18390</v>
      </c>
      <c r="F1229" s="1" t="s">
        <v>14460</v>
      </c>
      <c r="G1229" s="1" t="s">
        <v>22247</v>
      </c>
      <c r="H1229" s="1" t="s">
        <v>22248</v>
      </c>
      <c r="I1229" s="1" t="s">
        <v>22248</v>
      </c>
      <c r="J1229" s="1">
        <v>8830027400</v>
      </c>
      <c r="K1229" s="1" t="s">
        <v>84</v>
      </c>
      <c r="L1229" s="1" t="s">
        <v>22249</v>
      </c>
      <c r="M1229" s="1" t="s">
        <v>86</v>
      </c>
      <c r="N1229" s="1" t="s">
        <v>5472</v>
      </c>
      <c r="O1229" s="1" t="s">
        <v>22250</v>
      </c>
      <c r="P1229" s="1" t="s">
        <v>219</v>
      </c>
      <c r="Q1229" s="1">
        <v>661071049341</v>
      </c>
      <c r="R1229" s="1" t="s">
        <v>22251</v>
      </c>
      <c r="S1229" s="1">
        <v>9764876388</v>
      </c>
      <c r="T1229" s="1" t="s">
        <v>13987</v>
      </c>
      <c r="U1229" s="1" t="s">
        <v>22252</v>
      </c>
      <c r="V1229" s="1">
        <v>9673934481</v>
      </c>
      <c r="W1229" s="1" t="s">
        <v>13987</v>
      </c>
      <c r="X1229" s="1" t="s">
        <v>22253</v>
      </c>
      <c r="Y1229" s="1" t="s">
        <v>309</v>
      </c>
      <c r="Z1229" s="1" t="s">
        <v>97</v>
      </c>
      <c r="AA1229" s="1" t="s">
        <v>22253</v>
      </c>
      <c r="AB1229" s="1" t="s">
        <v>309</v>
      </c>
      <c r="AC1229" s="1" t="s">
        <v>97</v>
      </c>
      <c r="AD1229" s="1" t="s">
        <v>98</v>
      </c>
      <c r="AE1229" s="1" t="s">
        <v>98</v>
      </c>
      <c r="AF1229" s="1" t="s">
        <v>22254</v>
      </c>
      <c r="AG1229" s="1" t="s">
        <v>22255</v>
      </c>
      <c r="AH1229" s="1" t="s">
        <v>1213</v>
      </c>
      <c r="AI1229" s="1" t="s">
        <v>101</v>
      </c>
      <c r="AJ1229" s="1">
        <v>73.4</v>
      </c>
      <c r="AK1229" s="1"/>
      <c r="AL1229" s="1" t="s">
        <v>22256</v>
      </c>
      <c r="AM1229" s="1" t="s">
        <v>22255</v>
      </c>
      <c r="AN1229" s="1" t="s">
        <v>465</v>
      </c>
      <c r="AO1229" s="1" t="s">
        <v>166</v>
      </c>
      <c r="AP1229" s="1" t="s">
        <v>627</v>
      </c>
      <c r="AQ1229" s="1">
        <v>59.08</v>
      </c>
      <c r="AR1229" s="1"/>
      <c r="AS1229" s="1"/>
      <c r="AT1229" s="1"/>
      <c r="AU1229" s="1"/>
      <c r="AV1229" s="1"/>
      <c r="AW1229" s="1"/>
      <c r="AX1229" s="1"/>
      <c r="AY1229" s="1" t="s">
        <v>14160</v>
      </c>
      <c r="AZ1229" s="1" t="s">
        <v>22257</v>
      </c>
      <c r="BA1229" s="1" t="s">
        <v>578</v>
      </c>
      <c r="BB1229" s="1" t="s">
        <v>467</v>
      </c>
      <c r="BC1229" s="1" t="s">
        <v>139</v>
      </c>
      <c r="BD1229" s="1" t="s">
        <v>110</v>
      </c>
      <c r="BE1229" s="1">
        <v>64</v>
      </c>
      <c r="BF1229" s="1">
        <v>7.17</v>
      </c>
      <c r="BG1229" s="1"/>
      <c r="BH1229" s="1"/>
      <c r="BI1229" s="1"/>
      <c r="BJ1229" s="1"/>
      <c r="BK1229" s="1"/>
      <c r="BL1229" s="1"/>
      <c r="BM1229" s="1"/>
      <c r="BN1229" s="1"/>
      <c r="BO1229" s="1" t="s">
        <v>3385</v>
      </c>
      <c r="BP1229" s="1" t="s">
        <v>22258</v>
      </c>
      <c r="BQ1229" s="1" t="s">
        <v>19293</v>
      </c>
      <c r="BR1229" s="1"/>
      <c r="BS1229" s="1"/>
      <c r="BT1229" s="1"/>
      <c r="BU1229" s="1" t="str">
        <f>HYPERLINK("https://nconnect.nicmar.ac.in/storage/profile/6a873fe979648.png","Download")</f>
        <v>0</v>
      </c>
      <c r="BV1229" s="3"/>
      <c r="BW1229" s="3"/>
    </row>
    <row r="1230" spans="1:75">
      <c r="A1230" s="1" t="s">
        <v>75</v>
      </c>
      <c r="B1230" s="1" t="s">
        <v>13976</v>
      </c>
      <c r="C1230" s="1" t="s">
        <v>22259</v>
      </c>
      <c r="D1230" s="1" t="s">
        <v>22260</v>
      </c>
      <c r="E1230" s="1" t="s">
        <v>14066</v>
      </c>
      <c r="F1230" s="1" t="s">
        <v>22261</v>
      </c>
      <c r="G1230" s="1" t="s">
        <v>22262</v>
      </c>
      <c r="H1230" s="1" t="s">
        <v>22263</v>
      </c>
      <c r="I1230" s="1" t="s">
        <v>22263</v>
      </c>
      <c r="J1230" s="1">
        <v>7020275623</v>
      </c>
      <c r="K1230" s="1" t="s">
        <v>84</v>
      </c>
      <c r="L1230" s="1" t="s">
        <v>22264</v>
      </c>
      <c r="M1230" s="1" t="s">
        <v>86</v>
      </c>
      <c r="N1230" s="1" t="s">
        <v>22265</v>
      </c>
      <c r="O1230" s="1" t="s">
        <v>22266</v>
      </c>
      <c r="P1230" s="1" t="s">
        <v>122</v>
      </c>
      <c r="Q1230" s="1">
        <v>233004073528</v>
      </c>
      <c r="R1230" s="1" t="s">
        <v>22267</v>
      </c>
      <c r="S1230" s="1">
        <v>9552597909</v>
      </c>
      <c r="T1230" s="1" t="s">
        <v>16658</v>
      </c>
      <c r="U1230" s="1" t="s">
        <v>22268</v>
      </c>
      <c r="V1230" s="1">
        <v>9822637909</v>
      </c>
      <c r="W1230" s="1" t="s">
        <v>16658</v>
      </c>
      <c r="X1230" s="1" t="s">
        <v>22269</v>
      </c>
      <c r="Y1230" s="1" t="s">
        <v>196</v>
      </c>
      <c r="Z1230" s="1" t="s">
        <v>97</v>
      </c>
      <c r="AA1230" s="1" t="s">
        <v>22269</v>
      </c>
      <c r="AB1230" s="1" t="s">
        <v>196</v>
      </c>
      <c r="AC1230" s="1" t="s">
        <v>97</v>
      </c>
      <c r="AD1230" s="1" t="s">
        <v>98</v>
      </c>
      <c r="AE1230" s="1" t="s">
        <v>98</v>
      </c>
      <c r="AF1230" s="1" t="s">
        <v>22270</v>
      </c>
      <c r="AG1230" s="1" t="s">
        <v>16993</v>
      </c>
      <c r="AH1230" s="1" t="s">
        <v>170</v>
      </c>
      <c r="AI1230" s="1" t="s">
        <v>171</v>
      </c>
      <c r="AJ1230" s="1">
        <v>76.2</v>
      </c>
      <c r="AK1230" s="1"/>
      <c r="AL1230" s="1" t="s">
        <v>22271</v>
      </c>
      <c r="AM1230" s="1" t="s">
        <v>16993</v>
      </c>
      <c r="AN1230" s="1" t="s">
        <v>465</v>
      </c>
      <c r="AO1230" s="1" t="s">
        <v>315</v>
      </c>
      <c r="AP1230" s="1" t="s">
        <v>1040</v>
      </c>
      <c r="AQ1230" s="1">
        <v>59.38</v>
      </c>
      <c r="AR1230" s="1"/>
      <c r="AS1230" s="1"/>
      <c r="AT1230" s="1"/>
      <c r="AU1230" s="1"/>
      <c r="AV1230" s="1"/>
      <c r="AW1230" s="1"/>
      <c r="AX1230" s="1"/>
      <c r="AY1230" s="1" t="s">
        <v>14160</v>
      </c>
      <c r="AZ1230" s="1" t="s">
        <v>22272</v>
      </c>
      <c r="BA1230" s="1" t="s">
        <v>578</v>
      </c>
      <c r="BB1230" s="1" t="s">
        <v>467</v>
      </c>
      <c r="BC1230" s="1" t="s">
        <v>1040</v>
      </c>
      <c r="BD1230" s="1" t="s">
        <v>207</v>
      </c>
      <c r="BE1230" s="1">
        <v>70</v>
      </c>
      <c r="BF1230" s="1">
        <v>7.75</v>
      </c>
      <c r="BG1230" s="1"/>
      <c r="BH1230" s="1"/>
      <c r="BI1230" s="1"/>
      <c r="BJ1230" s="1"/>
      <c r="BK1230" s="1"/>
      <c r="BL1230" s="1"/>
      <c r="BM1230" s="1"/>
      <c r="BN1230" s="1"/>
      <c r="BO1230" s="1" t="s">
        <v>22273</v>
      </c>
      <c r="BP1230" s="1" t="s">
        <v>22274</v>
      </c>
      <c r="BQ1230" s="1" t="s">
        <v>757</v>
      </c>
      <c r="BR1230" s="1" t="s">
        <v>22275</v>
      </c>
      <c r="BS1230" s="1">
        <v>8</v>
      </c>
      <c r="BT1230" s="1" t="s">
        <v>22276</v>
      </c>
      <c r="BU1230" s="1" t="str">
        <f>HYPERLINK("https://nconnect.nicmar.ac.in/storage/profile/6a870b5c76897.png","Download")</f>
        <v>0</v>
      </c>
      <c r="BV1230" s="3"/>
      <c r="BW1230" s="3"/>
    </row>
    <row r="1231" spans="1:75">
      <c r="A1231" s="1" t="s">
        <v>75</v>
      </c>
      <c r="B1231" s="1" t="s">
        <v>13976</v>
      </c>
      <c r="C1231" s="1" t="s">
        <v>22277</v>
      </c>
      <c r="D1231" s="1" t="s">
        <v>22278</v>
      </c>
      <c r="E1231" s="1" t="s">
        <v>22279</v>
      </c>
      <c r="F1231" s="1" t="s">
        <v>22280</v>
      </c>
      <c r="G1231" s="1" t="s">
        <v>22281</v>
      </c>
      <c r="H1231" s="1" t="s">
        <v>22282</v>
      </c>
      <c r="I1231" s="1" t="s">
        <v>22282</v>
      </c>
      <c r="J1231" s="1">
        <v>8080780421</v>
      </c>
      <c r="K1231" s="1" t="s">
        <v>84</v>
      </c>
      <c r="L1231" s="1" t="s">
        <v>7343</v>
      </c>
      <c r="M1231" s="1" t="s">
        <v>86</v>
      </c>
      <c r="N1231" s="1" t="s">
        <v>22283</v>
      </c>
      <c r="O1231" s="1" t="s">
        <v>22284</v>
      </c>
      <c r="P1231" s="1" t="s">
        <v>219</v>
      </c>
      <c r="Q1231" s="1">
        <v>490221983812</v>
      </c>
      <c r="R1231" s="1" t="s">
        <v>22285</v>
      </c>
      <c r="S1231" s="1">
        <v>9890932766</v>
      </c>
      <c r="T1231" s="1" t="s">
        <v>22286</v>
      </c>
      <c r="U1231" s="1" t="s">
        <v>22287</v>
      </c>
      <c r="V1231" s="1">
        <v>7276145200</v>
      </c>
      <c r="W1231" s="1" t="s">
        <v>14154</v>
      </c>
      <c r="X1231" s="1" t="s">
        <v>22288</v>
      </c>
      <c r="Y1231" s="1" t="s">
        <v>163</v>
      </c>
      <c r="Z1231" s="1" t="s">
        <v>97</v>
      </c>
      <c r="AA1231" s="1" t="s">
        <v>22288</v>
      </c>
      <c r="AB1231" s="1" t="s">
        <v>163</v>
      </c>
      <c r="AC1231" s="1" t="s">
        <v>97</v>
      </c>
      <c r="AD1231" s="1" t="s">
        <v>98</v>
      </c>
      <c r="AE1231" s="1" t="s">
        <v>98</v>
      </c>
      <c r="AF1231" s="1" t="s">
        <v>22289</v>
      </c>
      <c r="AG1231" s="1" t="s">
        <v>16008</v>
      </c>
      <c r="AH1231" s="1" t="s">
        <v>1111</v>
      </c>
      <c r="AI1231" s="1" t="s">
        <v>200</v>
      </c>
      <c r="AJ1231" s="1">
        <v>80.6</v>
      </c>
      <c r="AK1231" s="1"/>
      <c r="AL1231" s="1"/>
      <c r="AM1231" s="1"/>
      <c r="AN1231" s="1"/>
      <c r="AO1231" s="1"/>
      <c r="AP1231" s="1"/>
      <c r="AQ1231" s="1"/>
      <c r="AR1231" s="1"/>
      <c r="AS1231" s="1" t="s">
        <v>467</v>
      </c>
      <c r="AT1231" s="1" t="s">
        <v>22290</v>
      </c>
      <c r="AU1231" s="1" t="s">
        <v>170</v>
      </c>
      <c r="AV1231" s="1" t="s">
        <v>468</v>
      </c>
      <c r="AW1231" s="1">
        <v>92.16</v>
      </c>
      <c r="AX1231" s="1"/>
      <c r="AY1231" s="1" t="s">
        <v>22291</v>
      </c>
      <c r="AZ1231" s="1" t="s">
        <v>22292</v>
      </c>
      <c r="BA1231" s="1" t="s">
        <v>466</v>
      </c>
      <c r="BB1231" s="1" t="s">
        <v>467</v>
      </c>
      <c r="BC1231" s="1" t="s">
        <v>178</v>
      </c>
      <c r="BD1231" s="1" t="s">
        <v>179</v>
      </c>
      <c r="BE1231" s="1">
        <v>86.5</v>
      </c>
      <c r="BF1231" s="1">
        <v>9.15</v>
      </c>
      <c r="BG1231" s="1"/>
      <c r="BH1231" s="1"/>
      <c r="BI1231" s="1"/>
      <c r="BJ1231" s="1"/>
      <c r="BK1231" s="1"/>
      <c r="BL1231" s="1"/>
      <c r="BM1231" s="1"/>
      <c r="BN1231" s="1"/>
      <c r="BO1231" s="1" t="s">
        <v>22293</v>
      </c>
      <c r="BP1231" s="1" t="s">
        <v>22294</v>
      </c>
      <c r="BQ1231" s="1" t="s">
        <v>1174</v>
      </c>
      <c r="BR1231" s="1"/>
      <c r="BS1231" s="1"/>
      <c r="BT1231" s="1"/>
      <c r="BU1231" s="1" t="str">
        <f>HYPERLINK("https://nconnect.nicmar.ac.in/storage/profile/6a87479700b9f.png","Download")</f>
        <v>0</v>
      </c>
      <c r="BV1231" s="3"/>
      <c r="BW1231" s="3"/>
    </row>
    <row r="1232" spans="1:75">
      <c r="A1232" s="1" t="s">
        <v>75</v>
      </c>
      <c r="B1232" s="1" t="s">
        <v>13976</v>
      </c>
      <c r="C1232" s="1" t="s">
        <v>22295</v>
      </c>
      <c r="D1232" s="1" t="s">
        <v>14145</v>
      </c>
      <c r="E1232" s="1"/>
      <c r="F1232" s="1" t="s">
        <v>22296</v>
      </c>
      <c r="G1232" s="1" t="s">
        <v>22297</v>
      </c>
      <c r="H1232" s="1" t="s">
        <v>22298</v>
      </c>
      <c r="I1232" s="1" t="s">
        <v>22299</v>
      </c>
      <c r="J1232" s="1">
        <v>9980713505</v>
      </c>
      <c r="K1232" s="1" t="s">
        <v>153</v>
      </c>
      <c r="L1232" s="1" t="s">
        <v>22300</v>
      </c>
      <c r="M1232" s="1" t="s">
        <v>86</v>
      </c>
      <c r="N1232" s="1" t="s">
        <v>22301</v>
      </c>
      <c r="O1232" s="1" t="s">
        <v>22302</v>
      </c>
      <c r="P1232" s="1" t="s">
        <v>219</v>
      </c>
      <c r="Q1232" s="1">
        <v>317878498666</v>
      </c>
      <c r="R1232" s="1" t="s">
        <v>22303</v>
      </c>
      <c r="S1232" s="1">
        <v>9980699001</v>
      </c>
      <c r="T1232" s="1" t="s">
        <v>22304</v>
      </c>
      <c r="U1232" s="1" t="s">
        <v>22305</v>
      </c>
      <c r="V1232" s="1">
        <v>9980799001</v>
      </c>
      <c r="W1232" s="1" t="s">
        <v>9679</v>
      </c>
      <c r="X1232" s="1" t="s">
        <v>22306</v>
      </c>
      <c r="Y1232" s="1" t="s">
        <v>4611</v>
      </c>
      <c r="Z1232" s="1" t="s">
        <v>1210</v>
      </c>
      <c r="AA1232" s="1" t="s">
        <v>22306</v>
      </c>
      <c r="AB1232" s="1" t="s">
        <v>4611</v>
      </c>
      <c r="AC1232" s="1" t="s">
        <v>1210</v>
      </c>
      <c r="AD1232" s="1" t="s">
        <v>98</v>
      </c>
      <c r="AE1232" s="1" t="s">
        <v>98</v>
      </c>
      <c r="AF1232" s="1" t="s">
        <v>22307</v>
      </c>
      <c r="AG1232" s="1" t="s">
        <v>22308</v>
      </c>
      <c r="AH1232" s="1" t="s">
        <v>364</v>
      </c>
      <c r="AI1232" s="1" t="s">
        <v>178</v>
      </c>
      <c r="AJ1232" s="1">
        <v>92.64</v>
      </c>
      <c r="AK1232" s="1"/>
      <c r="AL1232" s="1" t="s">
        <v>22309</v>
      </c>
      <c r="AM1232" s="1" t="s">
        <v>22308</v>
      </c>
      <c r="AN1232" s="1" t="s">
        <v>575</v>
      </c>
      <c r="AO1232" s="1" t="s">
        <v>178</v>
      </c>
      <c r="AP1232" s="1" t="s">
        <v>521</v>
      </c>
      <c r="AQ1232" s="1">
        <v>84.66</v>
      </c>
      <c r="AR1232" s="1"/>
      <c r="AS1232" s="1"/>
      <c r="AT1232" s="1"/>
      <c r="AU1232" s="1"/>
      <c r="AV1232" s="1"/>
      <c r="AW1232" s="1"/>
      <c r="AX1232" s="1"/>
      <c r="AY1232" s="1" t="s">
        <v>15972</v>
      </c>
      <c r="AZ1232" s="1" t="s">
        <v>22310</v>
      </c>
      <c r="BA1232" s="1" t="s">
        <v>578</v>
      </c>
      <c r="BB1232" s="1" t="s">
        <v>467</v>
      </c>
      <c r="BC1232" s="1" t="s">
        <v>2765</v>
      </c>
      <c r="BD1232" s="1" t="s">
        <v>14514</v>
      </c>
      <c r="BE1232" s="1">
        <v>97.5</v>
      </c>
      <c r="BF1232" s="1">
        <v>9.75</v>
      </c>
      <c r="BG1232" s="1"/>
      <c r="BH1232" s="1"/>
      <c r="BI1232" s="1"/>
      <c r="BJ1232" s="1"/>
      <c r="BK1232" s="1"/>
      <c r="BL1232" s="1"/>
      <c r="BM1232" s="1"/>
      <c r="BN1232" s="1"/>
      <c r="BO1232" s="1" t="s">
        <v>22311</v>
      </c>
      <c r="BP1232" s="1"/>
      <c r="BQ1232" s="1"/>
      <c r="BR1232" s="1"/>
      <c r="BS1232" s="1"/>
      <c r="BT1232" s="1" t="s">
        <v>22312</v>
      </c>
      <c r="BU1232" s="1" t="str">
        <f>HYPERLINK("https://nconnect.nicmar.ac.in/storage/profile/6a873b1b535dc.png","Download")</f>
        <v>0</v>
      </c>
      <c r="BV1232" s="3"/>
      <c r="BW1232" s="3"/>
    </row>
    <row r="1233" spans="1:75">
      <c r="A1233" s="1" t="s">
        <v>75</v>
      </c>
      <c r="B1233" s="1" t="s">
        <v>13976</v>
      </c>
      <c r="C1233" s="1" t="s">
        <v>22313</v>
      </c>
      <c r="D1233" s="1" t="s">
        <v>22314</v>
      </c>
      <c r="E1233" s="1"/>
      <c r="F1233" s="1" t="s">
        <v>14406</v>
      </c>
      <c r="G1233" s="1" t="s">
        <v>22315</v>
      </c>
      <c r="H1233" s="1" t="s">
        <v>22316</v>
      </c>
      <c r="I1233" s="1" t="s">
        <v>22316</v>
      </c>
      <c r="J1233" s="1">
        <v>8299431337</v>
      </c>
      <c r="K1233" s="1" t="s">
        <v>84</v>
      </c>
      <c r="L1233" s="1" t="s">
        <v>5757</v>
      </c>
      <c r="M1233" s="1" t="s">
        <v>86</v>
      </c>
      <c r="N1233" s="1" t="s">
        <v>22317</v>
      </c>
      <c r="O1233" s="1" t="s">
        <v>22318</v>
      </c>
      <c r="P1233" s="1" t="s">
        <v>89</v>
      </c>
      <c r="Q1233" s="1" t="s">
        <v>22319</v>
      </c>
      <c r="R1233" s="1" t="s">
        <v>20470</v>
      </c>
      <c r="S1233" s="1">
        <v>9415123143</v>
      </c>
      <c r="T1233" s="1" t="s">
        <v>3439</v>
      </c>
      <c r="U1233" s="1" t="s">
        <v>22320</v>
      </c>
      <c r="V1233" s="1">
        <v>9415710991</v>
      </c>
      <c r="W1233" s="1" t="s">
        <v>14154</v>
      </c>
      <c r="X1233" s="1" t="s">
        <v>22321</v>
      </c>
      <c r="Y1233" s="1" t="s">
        <v>22322</v>
      </c>
      <c r="Z1233" s="1" t="s">
        <v>544</v>
      </c>
      <c r="AA1233" s="1" t="s">
        <v>22323</v>
      </c>
      <c r="AB1233" s="1" t="s">
        <v>196</v>
      </c>
      <c r="AC1233" s="1" t="s">
        <v>97</v>
      </c>
      <c r="AD1233" s="1" t="s">
        <v>98</v>
      </c>
      <c r="AE1233" s="1" t="s">
        <v>98</v>
      </c>
      <c r="AF1233" s="1" t="s">
        <v>22324</v>
      </c>
      <c r="AG1233" s="1" t="s">
        <v>22325</v>
      </c>
      <c r="AH1233" s="1" t="s">
        <v>414</v>
      </c>
      <c r="AI1233" s="1" t="s">
        <v>178</v>
      </c>
      <c r="AJ1233" s="1">
        <v>62</v>
      </c>
      <c r="AK1233" s="1"/>
      <c r="AL1233" s="1" t="s">
        <v>22326</v>
      </c>
      <c r="AM1233" s="1" t="s">
        <v>22327</v>
      </c>
      <c r="AN1233" s="1" t="s">
        <v>465</v>
      </c>
      <c r="AO1233" s="1" t="s">
        <v>2304</v>
      </c>
      <c r="AP1233" s="1" t="s">
        <v>1886</v>
      </c>
      <c r="AQ1233" s="1">
        <v>67.2</v>
      </c>
      <c r="AR1233" s="1"/>
      <c r="AS1233" s="1"/>
      <c r="AT1233" s="1"/>
      <c r="AU1233" s="1"/>
      <c r="AV1233" s="1"/>
      <c r="AW1233" s="1"/>
      <c r="AX1233" s="1"/>
      <c r="AY1233" s="1" t="s">
        <v>22328</v>
      </c>
      <c r="AZ1233" s="1" t="s">
        <v>22329</v>
      </c>
      <c r="BA1233" s="1" t="s">
        <v>466</v>
      </c>
      <c r="BB1233" s="1" t="s">
        <v>467</v>
      </c>
      <c r="BC1233" s="1" t="s">
        <v>1802</v>
      </c>
      <c r="BD1233" s="1" t="s">
        <v>9688</v>
      </c>
      <c r="BE1233" s="1">
        <v>68.5</v>
      </c>
      <c r="BF1233" s="1">
        <v>7.18</v>
      </c>
      <c r="BG1233" s="1"/>
      <c r="BH1233" s="1"/>
      <c r="BI1233" s="1"/>
      <c r="BJ1233" s="1"/>
      <c r="BK1233" s="1"/>
      <c r="BL1233" s="1"/>
      <c r="BM1233" s="1"/>
      <c r="BN1233" s="1"/>
      <c r="BO1233" s="1" t="s">
        <v>22330</v>
      </c>
      <c r="BP1233" s="1"/>
      <c r="BQ1233" s="1"/>
      <c r="BR1233" s="1" t="s">
        <v>22331</v>
      </c>
      <c r="BS1233" s="1">
        <v>3</v>
      </c>
      <c r="BT1233" s="1" t="s">
        <v>22332</v>
      </c>
      <c r="BU1233" s="1" t="str">
        <f>HYPERLINK("https://nconnect.nicmar.ac.in/storage/profile/6a82c3b30ab4a.png","Download")</f>
        <v>0</v>
      </c>
      <c r="BV1233" s="3"/>
      <c r="BW1233" s="3"/>
    </row>
    <row r="1234" spans="1:75">
      <c r="A1234" s="1" t="s">
        <v>75</v>
      </c>
      <c r="B1234" s="1" t="s">
        <v>13976</v>
      </c>
      <c r="C1234" s="1" t="s">
        <v>22333</v>
      </c>
      <c r="D1234" s="1" t="s">
        <v>22334</v>
      </c>
      <c r="E1234" s="1"/>
      <c r="F1234" s="1" t="s">
        <v>22335</v>
      </c>
      <c r="G1234" s="1" t="s">
        <v>22336</v>
      </c>
      <c r="H1234" s="1" t="s">
        <v>22337</v>
      </c>
      <c r="I1234" s="1" t="s">
        <v>22337</v>
      </c>
      <c r="J1234" s="1">
        <v>9130057318</v>
      </c>
      <c r="K1234" s="1" t="s">
        <v>84</v>
      </c>
      <c r="L1234" s="1" t="s">
        <v>22338</v>
      </c>
      <c r="M1234" s="1" t="s">
        <v>86</v>
      </c>
      <c r="N1234" s="1" t="s">
        <v>903</v>
      </c>
      <c r="O1234" s="1" t="s">
        <v>22339</v>
      </c>
      <c r="P1234" s="1" t="s">
        <v>89</v>
      </c>
      <c r="Q1234" s="1">
        <v>357321734987</v>
      </c>
      <c r="R1234" s="1" t="s">
        <v>11111</v>
      </c>
      <c r="S1234" s="1">
        <v>9096863462</v>
      </c>
      <c r="T1234" s="1" t="s">
        <v>22340</v>
      </c>
      <c r="U1234" s="1" t="s">
        <v>6471</v>
      </c>
      <c r="V1234" s="1">
        <v>8421273804</v>
      </c>
      <c r="W1234" s="1" t="s">
        <v>6471</v>
      </c>
      <c r="X1234" s="1" t="s">
        <v>22341</v>
      </c>
      <c r="Y1234" s="1" t="s">
        <v>384</v>
      </c>
      <c r="Z1234" s="1" t="s">
        <v>97</v>
      </c>
      <c r="AA1234" s="1" t="s">
        <v>22341</v>
      </c>
      <c r="AB1234" s="1" t="s">
        <v>384</v>
      </c>
      <c r="AC1234" s="1" t="s">
        <v>97</v>
      </c>
      <c r="AD1234" s="1" t="s">
        <v>98</v>
      </c>
      <c r="AE1234" s="1" t="s">
        <v>98</v>
      </c>
      <c r="AF1234" s="1" t="s">
        <v>22342</v>
      </c>
      <c r="AG1234" s="1" t="s">
        <v>22343</v>
      </c>
      <c r="AH1234" s="1" t="s">
        <v>4228</v>
      </c>
      <c r="AI1234" s="1" t="s">
        <v>627</v>
      </c>
      <c r="AJ1234" s="1">
        <v>64.6</v>
      </c>
      <c r="AK1234" s="1">
        <v>6.8</v>
      </c>
      <c r="AL1234" s="1"/>
      <c r="AM1234" s="1"/>
      <c r="AN1234" s="1"/>
      <c r="AO1234" s="1"/>
      <c r="AP1234" s="1"/>
      <c r="AQ1234" s="1"/>
      <c r="AR1234" s="1"/>
      <c r="AS1234" s="1" t="s">
        <v>103</v>
      </c>
      <c r="AT1234" s="1" t="s">
        <v>22344</v>
      </c>
      <c r="AU1234" s="1" t="s">
        <v>139</v>
      </c>
      <c r="AV1234" s="1" t="s">
        <v>175</v>
      </c>
      <c r="AW1234" s="1">
        <v>77.32</v>
      </c>
      <c r="AX1234" s="1"/>
      <c r="AY1234" s="1" t="s">
        <v>8985</v>
      </c>
      <c r="AZ1234" s="1" t="s">
        <v>22345</v>
      </c>
      <c r="BA1234" s="1" t="s">
        <v>578</v>
      </c>
      <c r="BB1234" s="1" t="s">
        <v>467</v>
      </c>
      <c r="BC1234" s="1" t="s">
        <v>1171</v>
      </c>
      <c r="BD1234" s="1" t="s">
        <v>234</v>
      </c>
      <c r="BE1234" s="1">
        <v>60.3</v>
      </c>
      <c r="BF1234" s="1">
        <v>6.78</v>
      </c>
      <c r="BG1234" s="1"/>
      <c r="BH1234" s="1"/>
      <c r="BI1234" s="1"/>
      <c r="BJ1234" s="1"/>
      <c r="BK1234" s="1"/>
      <c r="BL1234" s="1"/>
      <c r="BM1234" s="1"/>
      <c r="BN1234" s="1"/>
      <c r="BO1234" s="1" t="s">
        <v>22346</v>
      </c>
      <c r="BP1234" s="1" t="s">
        <v>22347</v>
      </c>
      <c r="BQ1234" s="1" t="s">
        <v>2577</v>
      </c>
      <c r="BR1234" s="1" t="s">
        <v>22348</v>
      </c>
      <c r="BS1234" s="1">
        <v>8</v>
      </c>
      <c r="BT1234" s="1"/>
      <c r="BU1234" s="1" t="str">
        <f>HYPERLINK("https://nconnect.nicmar.ac.in/storage/profile/6a85afb5ddfc6.png","Download")</f>
        <v>0</v>
      </c>
      <c r="BV1234" s="3"/>
      <c r="BW1234" s="3"/>
    </row>
    <row r="1235" spans="1:75">
      <c r="A1235" s="1" t="s">
        <v>75</v>
      </c>
      <c r="B1235" s="1" t="s">
        <v>13976</v>
      </c>
      <c r="C1235" s="1" t="s">
        <v>22349</v>
      </c>
      <c r="D1235" s="1" t="s">
        <v>22350</v>
      </c>
      <c r="E1235" s="1" t="s">
        <v>22351</v>
      </c>
      <c r="F1235" s="1" t="s">
        <v>22352</v>
      </c>
      <c r="G1235" s="1" t="s">
        <v>22353</v>
      </c>
      <c r="H1235" s="1" t="s">
        <v>22354</v>
      </c>
      <c r="I1235" s="1" t="s">
        <v>22355</v>
      </c>
      <c r="J1235" s="1">
        <v>9881022587</v>
      </c>
      <c r="K1235" s="1" t="s">
        <v>84</v>
      </c>
      <c r="L1235" s="1" t="s">
        <v>22356</v>
      </c>
      <c r="M1235" s="1" t="s">
        <v>86</v>
      </c>
      <c r="N1235" s="1" t="s">
        <v>14230</v>
      </c>
      <c r="O1235" s="1" t="s">
        <v>22357</v>
      </c>
      <c r="P1235" s="1" t="s">
        <v>89</v>
      </c>
      <c r="Q1235" s="1">
        <v>999830920848</v>
      </c>
      <c r="R1235" s="1" t="s">
        <v>22358</v>
      </c>
      <c r="S1235" s="1">
        <v>8698503108</v>
      </c>
      <c r="T1235" s="1" t="s">
        <v>3439</v>
      </c>
      <c r="U1235" s="1" t="s">
        <v>22359</v>
      </c>
      <c r="V1235" s="1">
        <v>7776903191</v>
      </c>
      <c r="W1235" s="1" t="s">
        <v>14154</v>
      </c>
      <c r="X1235" s="1" t="s">
        <v>22360</v>
      </c>
      <c r="Y1235" s="1" t="s">
        <v>196</v>
      </c>
      <c r="Z1235" s="1" t="s">
        <v>97</v>
      </c>
      <c r="AA1235" s="1" t="s">
        <v>22360</v>
      </c>
      <c r="AB1235" s="1" t="s">
        <v>196</v>
      </c>
      <c r="AC1235" s="1" t="s">
        <v>97</v>
      </c>
      <c r="AD1235" s="1" t="s">
        <v>98</v>
      </c>
      <c r="AE1235" s="1" t="s">
        <v>98</v>
      </c>
      <c r="AF1235" s="1" t="s">
        <v>22361</v>
      </c>
      <c r="AG1235" s="1" t="s">
        <v>22362</v>
      </c>
      <c r="AH1235" s="1" t="s">
        <v>627</v>
      </c>
      <c r="AI1235" s="1" t="s">
        <v>170</v>
      </c>
      <c r="AJ1235" s="1">
        <v>76.0</v>
      </c>
      <c r="AK1235" s="1">
        <v>8</v>
      </c>
      <c r="AL1235" s="1" t="s">
        <v>22363</v>
      </c>
      <c r="AM1235" s="1" t="s">
        <v>22364</v>
      </c>
      <c r="AN1235" s="1" t="s">
        <v>465</v>
      </c>
      <c r="AO1235" s="1" t="s">
        <v>106</v>
      </c>
      <c r="AP1235" s="1" t="s">
        <v>313</v>
      </c>
      <c r="AQ1235" s="1">
        <v>67.85</v>
      </c>
      <c r="AR1235" s="1"/>
      <c r="AS1235" s="1"/>
      <c r="AT1235" s="1"/>
      <c r="AU1235" s="1"/>
      <c r="AV1235" s="1"/>
      <c r="AW1235" s="1"/>
      <c r="AX1235" s="1"/>
      <c r="AY1235" s="1" t="s">
        <v>14530</v>
      </c>
      <c r="AZ1235" s="1" t="s">
        <v>22365</v>
      </c>
      <c r="BA1235" s="1" t="s">
        <v>682</v>
      </c>
      <c r="BB1235" s="1" t="s">
        <v>683</v>
      </c>
      <c r="BC1235" s="1" t="s">
        <v>206</v>
      </c>
      <c r="BD1235" s="1" t="s">
        <v>207</v>
      </c>
      <c r="BE1235" s="1">
        <v>77.71</v>
      </c>
      <c r="BF1235" s="1">
        <v>8.18</v>
      </c>
      <c r="BG1235" s="1"/>
      <c r="BH1235" s="1"/>
      <c r="BI1235" s="1"/>
      <c r="BJ1235" s="1"/>
      <c r="BK1235" s="1"/>
      <c r="BL1235" s="1"/>
      <c r="BM1235" s="1"/>
      <c r="BN1235" s="1"/>
      <c r="BO1235" s="1" t="s">
        <v>22366</v>
      </c>
      <c r="BP1235" s="1" t="s">
        <v>22367</v>
      </c>
      <c r="BQ1235" s="1" t="s">
        <v>1152</v>
      </c>
      <c r="BR1235" s="1" t="s">
        <v>22368</v>
      </c>
      <c r="BS1235" s="1">
        <v>23</v>
      </c>
      <c r="BT1235" s="1"/>
      <c r="BU1235" s="1" t="str">
        <f>HYPERLINK("https://nconnect.nicmar.ac.in/storage/profile/6a85c001269fa.png","Download")</f>
        <v>0</v>
      </c>
      <c r="BV1235" s="3"/>
      <c r="BW1235" s="3"/>
    </row>
    <row r="1236" spans="1:75">
      <c r="A1236" s="1" t="s">
        <v>75</v>
      </c>
      <c r="B1236" s="1" t="s">
        <v>13976</v>
      </c>
      <c r="C1236" s="1" t="s">
        <v>22369</v>
      </c>
      <c r="D1236" s="1"/>
      <c r="E1236" s="1"/>
      <c r="F1236" s="1"/>
      <c r="G1236" s="1"/>
      <c r="H1236" s="1" t="s">
        <v>22370</v>
      </c>
      <c r="I1236" s="1" t="s">
        <v>22370</v>
      </c>
      <c r="J1236" s="1"/>
      <c r="K1236" s="1"/>
      <c r="L1236" s="1"/>
      <c r="M1236" s="1"/>
      <c r="N1236" s="1"/>
      <c r="O1236" s="1"/>
      <c r="P1236" s="1"/>
      <c r="Q1236" s="1"/>
      <c r="R1236" s="1"/>
      <c r="S1236" s="1"/>
      <c r="T1236" s="1"/>
      <c r="U1236" s="1"/>
      <c r="V1236" s="1"/>
      <c r="W1236" s="1"/>
      <c r="X1236" s="1"/>
      <c r="Y1236" s="1"/>
      <c r="Z1236" s="1"/>
      <c r="AA1236" s="1"/>
      <c r="AB1236" s="1"/>
      <c r="AC1236" s="1"/>
      <c r="AD1236" s="1" t="s">
        <v>98</v>
      </c>
      <c r="AE1236" s="1" t="s">
        <v>98</v>
      </c>
      <c r="AF1236" s="1"/>
      <c r="AG1236" s="1"/>
      <c r="AH1236" s="1"/>
      <c r="AI1236" s="1"/>
      <c r="AJ1236" s="1"/>
      <c r="AK1236" s="1"/>
      <c r="AL1236" s="1"/>
      <c r="AM1236" s="1"/>
      <c r="AN1236" s="1"/>
      <c r="AO1236" s="1"/>
      <c r="AP1236" s="1"/>
      <c r="AQ1236" s="1"/>
      <c r="AR1236" s="1"/>
      <c r="AS1236" s="1"/>
      <c r="AT1236" s="1"/>
      <c r="AU1236" s="1"/>
      <c r="AV1236" s="1"/>
      <c r="AW1236" s="1"/>
      <c r="AX1236" s="1"/>
      <c r="AY1236" s="1"/>
      <c r="AZ1236" s="1"/>
      <c r="BA1236" s="1"/>
      <c r="BB1236" s="1"/>
      <c r="BC1236" s="1"/>
      <c r="BD1236" s="1"/>
      <c r="BE1236" s="1"/>
      <c r="BF1236" s="1"/>
      <c r="BG1236" s="1"/>
      <c r="BH1236" s="1"/>
      <c r="BI1236" s="1"/>
      <c r="BJ1236" s="1"/>
      <c r="BK1236" s="1"/>
      <c r="BL1236" s="1"/>
      <c r="BM1236" s="1"/>
      <c r="BN1236" s="1"/>
      <c r="BO1236" s="1"/>
      <c r="BP1236" s="1"/>
      <c r="BQ1236" s="1"/>
      <c r="BR1236" s="1"/>
      <c r="BS1236" s="1"/>
      <c r="BT1236" s="1"/>
      <c r="BU1236" s="1" t="s">
        <v>9653</v>
      </c>
      <c r="BV1236" s="3"/>
      <c r="BW1236" s="3"/>
    </row>
    <row r="1237" spans="1:75">
      <c r="A1237" s="1" t="s">
        <v>75</v>
      </c>
      <c r="B1237" s="1" t="s">
        <v>13976</v>
      </c>
      <c r="C1237" s="1" t="s">
        <v>22371</v>
      </c>
      <c r="D1237" s="1" t="s">
        <v>22372</v>
      </c>
      <c r="E1237" s="1"/>
      <c r="F1237" s="1" t="s">
        <v>22373</v>
      </c>
      <c r="G1237" s="1" t="s">
        <v>22374</v>
      </c>
      <c r="H1237" s="1" t="s">
        <v>22375</v>
      </c>
      <c r="I1237" s="1" t="s">
        <v>22376</v>
      </c>
      <c r="J1237" s="1">
        <v>7817065425</v>
      </c>
      <c r="K1237" s="1" t="s">
        <v>84</v>
      </c>
      <c r="L1237" s="1" t="s">
        <v>22377</v>
      </c>
      <c r="M1237" s="1" t="s">
        <v>86</v>
      </c>
      <c r="N1237" s="1" t="s">
        <v>22378</v>
      </c>
      <c r="O1237" s="1" t="s">
        <v>22379</v>
      </c>
      <c r="P1237" s="1" t="s">
        <v>122</v>
      </c>
      <c r="Q1237" s="1">
        <v>721082998605</v>
      </c>
      <c r="R1237" s="1" t="s">
        <v>22380</v>
      </c>
      <c r="S1237" s="1">
        <v>9927144756</v>
      </c>
      <c r="T1237" s="1" t="s">
        <v>22381</v>
      </c>
      <c r="U1237" s="1" t="s">
        <v>22382</v>
      </c>
      <c r="V1237" s="1">
        <v>8077758137</v>
      </c>
      <c r="W1237" s="1" t="s">
        <v>15046</v>
      </c>
      <c r="X1237" s="1" t="s">
        <v>22383</v>
      </c>
      <c r="Y1237" s="1" t="s">
        <v>17464</v>
      </c>
      <c r="Z1237" s="1" t="s">
        <v>544</v>
      </c>
      <c r="AA1237" s="1" t="s">
        <v>22383</v>
      </c>
      <c r="AB1237" s="1" t="s">
        <v>17464</v>
      </c>
      <c r="AC1237" s="1" t="s">
        <v>544</v>
      </c>
      <c r="AD1237" s="1" t="s">
        <v>98</v>
      </c>
      <c r="AE1237" s="1" t="s">
        <v>98</v>
      </c>
      <c r="AF1237" s="1" t="s">
        <v>22384</v>
      </c>
      <c r="AG1237" s="1" t="s">
        <v>796</v>
      </c>
      <c r="AH1237" s="1" t="s">
        <v>2726</v>
      </c>
      <c r="AI1237" s="1" t="s">
        <v>134</v>
      </c>
      <c r="AJ1237" s="1">
        <v>72.22</v>
      </c>
      <c r="AK1237" s="1">
        <v>7.6</v>
      </c>
      <c r="AL1237" s="1" t="s">
        <v>22385</v>
      </c>
      <c r="AM1237" s="1" t="s">
        <v>796</v>
      </c>
      <c r="AN1237" s="1" t="s">
        <v>2995</v>
      </c>
      <c r="AO1237" s="1" t="s">
        <v>1262</v>
      </c>
      <c r="AP1237" s="1" t="s">
        <v>136</v>
      </c>
      <c r="AQ1237" s="1">
        <v>64.0</v>
      </c>
      <c r="AR1237" s="1">
        <v>6.73</v>
      </c>
      <c r="AS1237" s="1"/>
      <c r="AT1237" s="1"/>
      <c r="AU1237" s="1"/>
      <c r="AV1237" s="1"/>
      <c r="AW1237" s="1"/>
      <c r="AX1237" s="1"/>
      <c r="AY1237" s="1" t="s">
        <v>22386</v>
      </c>
      <c r="AZ1237" s="1" t="s">
        <v>22387</v>
      </c>
      <c r="BA1237" s="1" t="s">
        <v>466</v>
      </c>
      <c r="BB1237" s="1" t="s">
        <v>467</v>
      </c>
      <c r="BC1237" s="1" t="s">
        <v>139</v>
      </c>
      <c r="BD1237" s="1" t="s">
        <v>233</v>
      </c>
      <c r="BE1237" s="1">
        <v>66.22</v>
      </c>
      <c r="BF1237" s="1">
        <v>7.07</v>
      </c>
      <c r="BG1237" s="1"/>
      <c r="BH1237" s="1"/>
      <c r="BI1237" s="1"/>
      <c r="BJ1237" s="1"/>
      <c r="BK1237" s="1"/>
      <c r="BL1237" s="1"/>
      <c r="BM1237" s="1"/>
      <c r="BN1237" s="1"/>
      <c r="BO1237" s="1" t="s">
        <v>22388</v>
      </c>
      <c r="BP1237" s="1" t="s">
        <v>22389</v>
      </c>
      <c r="BQ1237" s="1" t="s">
        <v>2462</v>
      </c>
      <c r="BR1237" s="1" t="s">
        <v>22390</v>
      </c>
      <c r="BS1237" s="1">
        <v>4</v>
      </c>
      <c r="BT1237" s="1" t="s">
        <v>1666</v>
      </c>
      <c r="BU1237" s="1" t="str">
        <f>HYPERLINK("https://nconnect.nicmar.ac.in/storage/profile/6a85ea84656ef.png","Download")</f>
        <v>0</v>
      </c>
      <c r="BV1237" s="3"/>
      <c r="BW1237" s="3"/>
    </row>
    <row r="1238" spans="1:75">
      <c r="A1238" s="1" t="s">
        <v>75</v>
      </c>
      <c r="B1238" s="1" t="s">
        <v>13976</v>
      </c>
      <c r="C1238" s="1" t="s">
        <v>22391</v>
      </c>
      <c r="D1238" s="1" t="s">
        <v>17708</v>
      </c>
      <c r="E1238" s="1" t="s">
        <v>15036</v>
      </c>
      <c r="F1238" s="1" t="s">
        <v>22392</v>
      </c>
      <c r="G1238" s="1" t="s">
        <v>22393</v>
      </c>
      <c r="H1238" s="1" t="s">
        <v>22394</v>
      </c>
      <c r="I1238" s="1" t="s">
        <v>22394</v>
      </c>
      <c r="J1238" s="1">
        <v>8208997241</v>
      </c>
      <c r="K1238" s="1" t="s">
        <v>84</v>
      </c>
      <c r="L1238" s="1" t="s">
        <v>13796</v>
      </c>
      <c r="M1238" s="1" t="s">
        <v>86</v>
      </c>
      <c r="N1238" s="1" t="s">
        <v>22395</v>
      </c>
      <c r="O1238" s="1" t="s">
        <v>22396</v>
      </c>
      <c r="P1238" s="1" t="s">
        <v>356</v>
      </c>
      <c r="Q1238" s="1">
        <v>842992067517</v>
      </c>
      <c r="R1238" s="1" t="s">
        <v>22397</v>
      </c>
      <c r="S1238" s="1">
        <v>9011863222</v>
      </c>
      <c r="T1238" s="1" t="s">
        <v>17120</v>
      </c>
      <c r="U1238" s="1" t="s">
        <v>22398</v>
      </c>
      <c r="V1238" s="1">
        <v>9011863222</v>
      </c>
      <c r="W1238" s="1" t="s">
        <v>14095</v>
      </c>
      <c r="X1238" s="1" t="s">
        <v>22399</v>
      </c>
      <c r="Y1238" s="1" t="s">
        <v>5659</v>
      </c>
      <c r="Z1238" s="1" t="s">
        <v>97</v>
      </c>
      <c r="AA1238" s="1" t="s">
        <v>22400</v>
      </c>
      <c r="AB1238" s="1" t="s">
        <v>196</v>
      </c>
      <c r="AC1238" s="1" t="s">
        <v>97</v>
      </c>
      <c r="AD1238" s="1" t="s">
        <v>98</v>
      </c>
      <c r="AE1238" s="1" t="s">
        <v>98</v>
      </c>
      <c r="AF1238" s="1" t="s">
        <v>22401</v>
      </c>
      <c r="AG1238" s="1" t="s">
        <v>22402</v>
      </c>
      <c r="AH1238" s="1" t="s">
        <v>2321</v>
      </c>
      <c r="AI1238" s="1" t="s">
        <v>170</v>
      </c>
      <c r="AJ1238" s="1">
        <v>80</v>
      </c>
      <c r="AK1238" s="1"/>
      <c r="AL1238" s="1"/>
      <c r="AM1238" s="1"/>
      <c r="AN1238" s="1"/>
      <c r="AO1238" s="1"/>
      <c r="AP1238" s="1"/>
      <c r="AQ1238" s="1"/>
      <c r="AR1238" s="1"/>
      <c r="AS1238" s="1" t="s">
        <v>14158</v>
      </c>
      <c r="AT1238" s="1" t="s">
        <v>22403</v>
      </c>
      <c r="AU1238" s="1" t="s">
        <v>230</v>
      </c>
      <c r="AV1238" s="1" t="s">
        <v>175</v>
      </c>
      <c r="AW1238" s="1">
        <v>89.84</v>
      </c>
      <c r="AX1238" s="1"/>
      <c r="AY1238" s="1" t="s">
        <v>14160</v>
      </c>
      <c r="AZ1238" s="1" t="s">
        <v>22404</v>
      </c>
      <c r="BA1238" s="1" t="s">
        <v>578</v>
      </c>
      <c r="BB1238" s="1" t="s">
        <v>467</v>
      </c>
      <c r="BC1238" s="1" t="s">
        <v>1647</v>
      </c>
      <c r="BD1238" s="1" t="s">
        <v>7385</v>
      </c>
      <c r="BE1238" s="1">
        <v>77.1</v>
      </c>
      <c r="BF1238" s="1">
        <v>8.17</v>
      </c>
      <c r="BG1238" s="1"/>
      <c r="BH1238" s="1"/>
      <c r="BI1238" s="1"/>
      <c r="BJ1238" s="1"/>
      <c r="BK1238" s="1"/>
      <c r="BL1238" s="1"/>
      <c r="BM1238" s="1"/>
      <c r="BN1238" s="1"/>
      <c r="BO1238" s="1" t="s">
        <v>22405</v>
      </c>
      <c r="BP1238" s="1" t="s">
        <v>22406</v>
      </c>
      <c r="BQ1238" s="1" t="s">
        <v>22407</v>
      </c>
      <c r="BR1238" s="1" t="s">
        <v>22408</v>
      </c>
      <c r="BS1238" s="1">
        <v>10</v>
      </c>
      <c r="BT1238" s="1" t="s">
        <v>11309</v>
      </c>
      <c r="BU1238" s="1" t="str">
        <f>HYPERLINK("https://nconnect.nicmar.ac.in/storage/profile/6a85fe2ddbfc9.png","Download")</f>
        <v>0</v>
      </c>
      <c r="BV1238" s="3"/>
      <c r="BW1238" s="3"/>
    </row>
    <row r="1239" spans="1:75">
      <c r="A1239" s="1" t="s">
        <v>75</v>
      </c>
      <c r="B1239" s="1" t="s">
        <v>13976</v>
      </c>
      <c r="C1239" s="1" t="s">
        <v>22409</v>
      </c>
      <c r="D1239" s="1" t="s">
        <v>22410</v>
      </c>
      <c r="E1239" s="1" t="s">
        <v>15995</v>
      </c>
      <c r="F1239" s="1" t="s">
        <v>19794</v>
      </c>
      <c r="G1239" s="1" t="s">
        <v>22411</v>
      </c>
      <c r="H1239" s="1" t="s">
        <v>22412</v>
      </c>
      <c r="I1239" s="1" t="s">
        <v>22412</v>
      </c>
      <c r="J1239" s="1">
        <v>9146330972</v>
      </c>
      <c r="K1239" s="1" t="s">
        <v>84</v>
      </c>
      <c r="L1239" s="1" t="s">
        <v>13546</v>
      </c>
      <c r="M1239" s="1" t="s">
        <v>86</v>
      </c>
      <c r="N1239" s="1" t="s">
        <v>8520</v>
      </c>
      <c r="O1239" s="1" t="s">
        <v>22413</v>
      </c>
      <c r="P1239" s="1" t="s">
        <v>122</v>
      </c>
      <c r="Q1239" s="1">
        <v>920056690590</v>
      </c>
      <c r="R1239" s="1" t="s">
        <v>15995</v>
      </c>
      <c r="S1239" s="1">
        <v>9822369830</v>
      </c>
      <c r="T1239" s="1" t="s">
        <v>22414</v>
      </c>
      <c r="U1239" s="1" t="s">
        <v>22415</v>
      </c>
      <c r="V1239" s="1">
        <v>8888082479</v>
      </c>
      <c r="W1239" s="1" t="s">
        <v>10306</v>
      </c>
      <c r="X1239" s="1" t="s">
        <v>22416</v>
      </c>
      <c r="Y1239" s="1" t="s">
        <v>410</v>
      </c>
      <c r="Z1239" s="1" t="s">
        <v>97</v>
      </c>
      <c r="AA1239" s="1" t="s">
        <v>22416</v>
      </c>
      <c r="AB1239" s="1" t="s">
        <v>410</v>
      </c>
      <c r="AC1239" s="1" t="s">
        <v>97</v>
      </c>
      <c r="AD1239" s="1" t="s">
        <v>98</v>
      </c>
      <c r="AE1239" s="1" t="s">
        <v>98</v>
      </c>
      <c r="AF1239" s="1" t="s">
        <v>22417</v>
      </c>
      <c r="AG1239" s="1" t="s">
        <v>16528</v>
      </c>
      <c r="AH1239" s="1" t="s">
        <v>1213</v>
      </c>
      <c r="AI1239" s="1" t="s">
        <v>101</v>
      </c>
      <c r="AJ1239" s="1">
        <v>81.6</v>
      </c>
      <c r="AK1239" s="1"/>
      <c r="AL1239" s="1" t="s">
        <v>22418</v>
      </c>
      <c r="AM1239" s="1" t="s">
        <v>16528</v>
      </c>
      <c r="AN1239" s="1" t="s">
        <v>575</v>
      </c>
      <c r="AO1239" s="1" t="s">
        <v>135</v>
      </c>
      <c r="AP1239" s="1" t="s">
        <v>627</v>
      </c>
      <c r="AQ1239" s="1">
        <v>56.15</v>
      </c>
      <c r="AR1239" s="1"/>
      <c r="AS1239" s="1" t="s">
        <v>467</v>
      </c>
      <c r="AT1239" s="1" t="s">
        <v>22419</v>
      </c>
      <c r="AU1239" s="1" t="s">
        <v>167</v>
      </c>
      <c r="AV1239" s="1" t="s">
        <v>438</v>
      </c>
      <c r="AW1239" s="1">
        <v>76.55</v>
      </c>
      <c r="AX1239" s="1"/>
      <c r="AY1239" s="1" t="s">
        <v>22420</v>
      </c>
      <c r="AZ1239" s="1" t="s">
        <v>17585</v>
      </c>
      <c r="BA1239" s="1" t="s">
        <v>578</v>
      </c>
      <c r="BB1239" s="1" t="s">
        <v>467</v>
      </c>
      <c r="BC1239" s="1" t="s">
        <v>315</v>
      </c>
      <c r="BD1239" s="1" t="s">
        <v>1400</v>
      </c>
      <c r="BE1239" s="1">
        <v>83.7</v>
      </c>
      <c r="BF1239" s="1">
        <v>9.12</v>
      </c>
      <c r="BG1239" s="1" t="s">
        <v>22420</v>
      </c>
      <c r="BH1239" s="1" t="s">
        <v>21582</v>
      </c>
      <c r="BI1239" s="1" t="s">
        <v>2209</v>
      </c>
      <c r="BJ1239" s="1" t="s">
        <v>18271</v>
      </c>
      <c r="BK1239" s="1" t="s">
        <v>1825</v>
      </c>
      <c r="BL1239" s="1" t="s">
        <v>2383</v>
      </c>
      <c r="BM1239" s="1">
        <v>89.8</v>
      </c>
      <c r="BN1239" s="1">
        <v>9.73</v>
      </c>
      <c r="BO1239" s="1" t="s">
        <v>22421</v>
      </c>
      <c r="BP1239" s="1" t="s">
        <v>22422</v>
      </c>
      <c r="BQ1239" s="1" t="s">
        <v>2093</v>
      </c>
      <c r="BR1239" s="1" t="s">
        <v>22423</v>
      </c>
      <c r="BS1239" s="1">
        <v>36</v>
      </c>
      <c r="BT1239" s="1"/>
      <c r="BU1239" s="1" t="str">
        <f>HYPERLINK("https://nconnect.nicmar.ac.in/storage/profile/6a871eb45caa3.png","Download")</f>
        <v>0</v>
      </c>
      <c r="BV1239" s="3"/>
      <c r="BW1239" s="3"/>
    </row>
    <row r="1240" spans="1:75">
      <c r="A1240" s="1" t="s">
        <v>75</v>
      </c>
      <c r="B1240" s="1" t="s">
        <v>13976</v>
      </c>
      <c r="C1240" s="1" t="s">
        <v>22424</v>
      </c>
      <c r="D1240" s="1" t="s">
        <v>22425</v>
      </c>
      <c r="E1240" s="1"/>
      <c r="F1240" s="1" t="s">
        <v>116</v>
      </c>
      <c r="G1240" s="1" t="s">
        <v>22426</v>
      </c>
      <c r="H1240" s="1" t="s">
        <v>22427</v>
      </c>
      <c r="I1240" s="1" t="s">
        <v>22428</v>
      </c>
      <c r="J1240" s="1">
        <v>9384967112</v>
      </c>
      <c r="K1240" s="1" t="s">
        <v>84</v>
      </c>
      <c r="L1240" s="1" t="s">
        <v>22429</v>
      </c>
      <c r="M1240" s="1" t="s">
        <v>86</v>
      </c>
      <c r="N1240" s="1" t="s">
        <v>5777</v>
      </c>
      <c r="O1240" s="1" t="s">
        <v>22430</v>
      </c>
      <c r="P1240" s="1" t="s">
        <v>219</v>
      </c>
      <c r="Q1240" s="1" t="s">
        <v>22431</v>
      </c>
      <c r="R1240" s="1" t="s">
        <v>22432</v>
      </c>
      <c r="S1240" s="1">
        <v>9865327112</v>
      </c>
      <c r="T1240" s="1" t="s">
        <v>14352</v>
      </c>
      <c r="U1240" s="1" t="s">
        <v>22433</v>
      </c>
      <c r="V1240" s="1">
        <v>9865357122</v>
      </c>
      <c r="W1240" s="1" t="s">
        <v>9679</v>
      </c>
      <c r="X1240" s="1" t="s">
        <v>22434</v>
      </c>
      <c r="Y1240" s="1" t="s">
        <v>6938</v>
      </c>
      <c r="Z1240" s="1" t="s">
        <v>570</v>
      </c>
      <c r="AA1240" s="1" t="s">
        <v>22434</v>
      </c>
      <c r="AB1240" s="1" t="s">
        <v>6938</v>
      </c>
      <c r="AC1240" s="1" t="s">
        <v>570</v>
      </c>
      <c r="AD1240" s="1" t="s">
        <v>98</v>
      </c>
      <c r="AE1240" s="1" t="s">
        <v>98</v>
      </c>
      <c r="AF1240" s="1" t="s">
        <v>22435</v>
      </c>
      <c r="AG1240" s="1" t="s">
        <v>796</v>
      </c>
      <c r="AH1240" s="1" t="s">
        <v>315</v>
      </c>
      <c r="AI1240" s="1" t="s">
        <v>468</v>
      </c>
      <c r="AJ1240" s="1">
        <v>81</v>
      </c>
      <c r="AK1240" s="1"/>
      <c r="AL1240" s="1"/>
      <c r="AM1240" s="1"/>
      <c r="AN1240" s="1"/>
      <c r="AO1240" s="1"/>
      <c r="AP1240" s="1"/>
      <c r="AQ1240" s="1"/>
      <c r="AR1240" s="1"/>
      <c r="AS1240" s="1" t="s">
        <v>467</v>
      </c>
      <c r="AT1240" s="1" t="s">
        <v>22436</v>
      </c>
      <c r="AU1240" s="1" t="s">
        <v>178</v>
      </c>
      <c r="AV1240" s="1" t="s">
        <v>579</v>
      </c>
      <c r="AW1240" s="1">
        <v>95.29</v>
      </c>
      <c r="AX1240" s="1"/>
      <c r="AY1240" s="1" t="s">
        <v>14303</v>
      </c>
      <c r="AZ1240" s="1" t="s">
        <v>22437</v>
      </c>
      <c r="BA1240" s="1" t="s">
        <v>578</v>
      </c>
      <c r="BB1240" s="1" t="s">
        <v>467</v>
      </c>
      <c r="BC1240" s="1" t="s">
        <v>391</v>
      </c>
      <c r="BD1240" s="1" t="s">
        <v>14101</v>
      </c>
      <c r="BE1240" s="1">
        <v>82.6</v>
      </c>
      <c r="BF1240" s="1">
        <v>8.26</v>
      </c>
      <c r="BG1240" s="1"/>
      <c r="BH1240" s="1"/>
      <c r="BI1240" s="1"/>
      <c r="BJ1240" s="1"/>
      <c r="BK1240" s="1"/>
      <c r="BL1240" s="1"/>
      <c r="BM1240" s="1"/>
      <c r="BN1240" s="1"/>
      <c r="BO1240" s="1" t="s">
        <v>22438</v>
      </c>
      <c r="BP1240" s="1"/>
      <c r="BQ1240" s="1"/>
      <c r="BR1240" s="1" t="s">
        <v>22439</v>
      </c>
      <c r="BS1240" s="1">
        <v>75</v>
      </c>
      <c r="BT1240" s="1" t="s">
        <v>22440</v>
      </c>
      <c r="BU1240" s="1" t="str">
        <f>HYPERLINK("https://nconnect.nicmar.ac.in/storage/profile/6a87483c4096f.png","Download")</f>
        <v>0</v>
      </c>
      <c r="BV1240" s="3"/>
      <c r="BW1240" s="3"/>
    </row>
    <row r="1241" spans="1:75">
      <c r="A1241" s="1" t="s">
        <v>75</v>
      </c>
      <c r="B1241" s="1" t="s">
        <v>13976</v>
      </c>
      <c r="C1241" s="1" t="s">
        <v>22441</v>
      </c>
      <c r="D1241" s="1" t="s">
        <v>22442</v>
      </c>
      <c r="E1241" s="1" t="s">
        <v>22443</v>
      </c>
      <c r="F1241" s="1" t="s">
        <v>18560</v>
      </c>
      <c r="G1241" s="1" t="s">
        <v>22444</v>
      </c>
      <c r="H1241" s="1" t="s">
        <v>22445</v>
      </c>
      <c r="I1241" s="1" t="s">
        <v>22445</v>
      </c>
      <c r="J1241" s="1">
        <v>8008150823</v>
      </c>
      <c r="K1241" s="1" t="s">
        <v>84</v>
      </c>
      <c r="L1241" s="1" t="s">
        <v>22446</v>
      </c>
      <c r="M1241" s="1" t="s">
        <v>86</v>
      </c>
      <c r="N1241" s="1" t="s">
        <v>22447</v>
      </c>
      <c r="O1241" s="1" t="s">
        <v>22448</v>
      </c>
      <c r="P1241" s="1" t="s">
        <v>18210</v>
      </c>
      <c r="Q1241" s="1">
        <v>887201781189</v>
      </c>
      <c r="R1241" s="1" t="s">
        <v>22449</v>
      </c>
      <c r="S1241" s="1">
        <v>9885190045</v>
      </c>
      <c r="T1241" s="1" t="s">
        <v>14597</v>
      </c>
      <c r="U1241" s="1" t="s">
        <v>22450</v>
      </c>
      <c r="V1241" s="1">
        <v>7013248211</v>
      </c>
      <c r="W1241" s="1" t="s">
        <v>18072</v>
      </c>
      <c r="X1241" s="1" t="s">
        <v>22451</v>
      </c>
      <c r="Y1241" s="1" t="s">
        <v>3846</v>
      </c>
      <c r="Z1241" s="1" t="s">
        <v>281</v>
      </c>
      <c r="AA1241" s="1" t="s">
        <v>22451</v>
      </c>
      <c r="AB1241" s="1" t="s">
        <v>3846</v>
      </c>
      <c r="AC1241" s="1" t="s">
        <v>281</v>
      </c>
      <c r="AD1241" s="1" t="s">
        <v>98</v>
      </c>
      <c r="AE1241" s="1" t="s">
        <v>98</v>
      </c>
      <c r="AF1241" s="1" t="s">
        <v>22452</v>
      </c>
      <c r="AG1241" s="1" t="s">
        <v>22453</v>
      </c>
      <c r="AH1241" s="1" t="s">
        <v>286</v>
      </c>
      <c r="AI1241" s="1" t="s">
        <v>414</v>
      </c>
      <c r="AJ1241" s="1">
        <v>97</v>
      </c>
      <c r="AK1241" s="1">
        <v>9.7</v>
      </c>
      <c r="AL1241" s="1" t="s">
        <v>22454</v>
      </c>
      <c r="AM1241" s="1" t="s">
        <v>22455</v>
      </c>
      <c r="AN1241" s="1" t="s">
        <v>465</v>
      </c>
      <c r="AO1241" s="1" t="s">
        <v>414</v>
      </c>
      <c r="AP1241" s="1" t="s">
        <v>1192</v>
      </c>
      <c r="AQ1241" s="1">
        <v>83</v>
      </c>
      <c r="AR1241" s="1">
        <v>8.3</v>
      </c>
      <c r="AS1241" s="1"/>
      <c r="AT1241" s="1"/>
      <c r="AU1241" s="1"/>
      <c r="AV1241" s="1"/>
      <c r="AW1241" s="1"/>
      <c r="AX1241" s="1"/>
      <c r="AY1241" s="1" t="s">
        <v>22456</v>
      </c>
      <c r="AZ1241" s="1" t="s">
        <v>22457</v>
      </c>
      <c r="BA1241" s="1" t="s">
        <v>578</v>
      </c>
      <c r="BB1241" s="1" t="s">
        <v>467</v>
      </c>
      <c r="BC1241" s="1" t="s">
        <v>871</v>
      </c>
      <c r="BD1241" s="1" t="s">
        <v>5340</v>
      </c>
      <c r="BE1241" s="1">
        <v>75.9</v>
      </c>
      <c r="BF1241" s="1">
        <v>7.59</v>
      </c>
      <c r="BG1241" s="1"/>
      <c r="BH1241" s="1"/>
      <c r="BI1241" s="1"/>
      <c r="BJ1241" s="1"/>
      <c r="BK1241" s="1"/>
      <c r="BL1241" s="1"/>
      <c r="BM1241" s="1"/>
      <c r="BN1241" s="1"/>
      <c r="BO1241" s="1" t="s">
        <v>22458</v>
      </c>
      <c r="BP1241" s="1"/>
      <c r="BQ1241" s="1"/>
      <c r="BR1241" s="1"/>
      <c r="BS1241" s="1"/>
      <c r="BT1241" s="1" t="s">
        <v>22459</v>
      </c>
      <c r="BU1241" s="1" t="str">
        <f>HYPERLINK("https://nconnect.nicmar.ac.in/storage/profile/6a870a1b24a42.png","Download")</f>
        <v>0</v>
      </c>
      <c r="BV1241" s="3"/>
      <c r="BW1241" s="3"/>
    </row>
    <row r="1242" spans="1:75">
      <c r="A1242" s="1" t="s">
        <v>75</v>
      </c>
      <c r="B1242" s="1" t="s">
        <v>13976</v>
      </c>
      <c r="C1242" s="1" t="s">
        <v>22460</v>
      </c>
      <c r="D1242" s="1" t="s">
        <v>22461</v>
      </c>
      <c r="E1242" s="1"/>
      <c r="F1242" s="1" t="s">
        <v>22462</v>
      </c>
      <c r="G1242" s="1" t="s">
        <v>22463</v>
      </c>
      <c r="H1242" s="1" t="s">
        <v>22464</v>
      </c>
      <c r="I1242" s="1" t="s">
        <v>22464</v>
      </c>
      <c r="J1242" s="1">
        <v>8903683680</v>
      </c>
      <c r="K1242" s="1" t="s">
        <v>84</v>
      </c>
      <c r="L1242" s="1" t="s">
        <v>22465</v>
      </c>
      <c r="M1242" s="1" t="s">
        <v>86</v>
      </c>
      <c r="N1242" s="1" t="s">
        <v>22466</v>
      </c>
      <c r="O1242" s="1" t="s">
        <v>22467</v>
      </c>
      <c r="P1242" s="1" t="s">
        <v>219</v>
      </c>
      <c r="Q1242" s="1">
        <v>218483342513</v>
      </c>
      <c r="R1242" s="1" t="s">
        <v>22468</v>
      </c>
      <c r="S1242" s="1">
        <v>8883456111</v>
      </c>
      <c r="T1242" s="1" t="s">
        <v>22469</v>
      </c>
      <c r="U1242" s="1" t="s">
        <v>22470</v>
      </c>
      <c r="V1242" s="1">
        <v>8903673670</v>
      </c>
      <c r="W1242" s="1" t="s">
        <v>3441</v>
      </c>
      <c r="X1242" s="1" t="s">
        <v>22471</v>
      </c>
      <c r="Y1242" s="1" t="s">
        <v>12377</v>
      </c>
      <c r="Z1242" s="1" t="s">
        <v>570</v>
      </c>
      <c r="AA1242" s="1" t="s">
        <v>22471</v>
      </c>
      <c r="AB1242" s="1" t="s">
        <v>12377</v>
      </c>
      <c r="AC1242" s="1" t="s">
        <v>570</v>
      </c>
      <c r="AD1242" s="1" t="s">
        <v>98</v>
      </c>
      <c r="AE1242" s="1" t="s">
        <v>98</v>
      </c>
      <c r="AF1242" s="1" t="s">
        <v>22472</v>
      </c>
      <c r="AG1242" s="1" t="s">
        <v>22473</v>
      </c>
      <c r="AH1242" s="1" t="s">
        <v>106</v>
      </c>
      <c r="AI1242" s="1" t="s">
        <v>313</v>
      </c>
      <c r="AJ1242" s="1">
        <v>91.4</v>
      </c>
      <c r="AK1242" s="1"/>
      <c r="AL1242" s="1" t="s">
        <v>22474</v>
      </c>
      <c r="AM1242" s="1" t="s">
        <v>22475</v>
      </c>
      <c r="AN1242" s="1" t="s">
        <v>465</v>
      </c>
      <c r="AO1242" s="1" t="s">
        <v>468</v>
      </c>
      <c r="AP1242" s="1" t="s">
        <v>549</v>
      </c>
      <c r="AQ1242" s="1">
        <v>86.6</v>
      </c>
      <c r="AR1242" s="1"/>
      <c r="AS1242" s="1"/>
      <c r="AT1242" s="1"/>
      <c r="AU1242" s="1"/>
      <c r="AV1242" s="1"/>
      <c r="AW1242" s="1"/>
      <c r="AX1242" s="1"/>
      <c r="AY1242" s="1" t="s">
        <v>18023</v>
      </c>
      <c r="AZ1242" s="1" t="s">
        <v>22476</v>
      </c>
      <c r="BA1242" s="1" t="s">
        <v>578</v>
      </c>
      <c r="BB1242" s="1" t="s">
        <v>467</v>
      </c>
      <c r="BC1242" s="1" t="s">
        <v>606</v>
      </c>
      <c r="BD1242" s="1" t="s">
        <v>553</v>
      </c>
      <c r="BE1242" s="1">
        <v>71.82</v>
      </c>
      <c r="BF1242" s="1">
        <v>7.18</v>
      </c>
      <c r="BG1242" s="1"/>
      <c r="BH1242" s="1"/>
      <c r="BI1242" s="1"/>
      <c r="BJ1242" s="1"/>
      <c r="BK1242" s="1"/>
      <c r="BL1242" s="1"/>
      <c r="BM1242" s="1"/>
      <c r="BN1242" s="1"/>
      <c r="BO1242" s="1" t="s">
        <v>22477</v>
      </c>
      <c r="BP1242" s="1" t="s">
        <v>22478</v>
      </c>
      <c r="BQ1242" s="1" t="s">
        <v>1070</v>
      </c>
      <c r="BR1242" s="1" t="s">
        <v>22479</v>
      </c>
      <c r="BS1242" s="1">
        <v>4</v>
      </c>
      <c r="BT1242" s="1" t="s">
        <v>22480</v>
      </c>
      <c r="BU1242" s="1" t="str">
        <f>HYPERLINK("https://nconnect.nicmar.ac.in/storage/profile/6a8682a1032aa.png","Download")</f>
        <v>0</v>
      </c>
      <c r="BV1242" s="3"/>
      <c r="BW1242" s="3"/>
    </row>
    <row r="1243" spans="1:75">
      <c r="A1243" s="1" t="s">
        <v>75</v>
      </c>
      <c r="B1243" s="1" t="s">
        <v>13976</v>
      </c>
      <c r="C1243" s="1" t="s">
        <v>22481</v>
      </c>
      <c r="D1243" s="1" t="s">
        <v>16286</v>
      </c>
      <c r="E1243" s="1" t="s">
        <v>22482</v>
      </c>
      <c r="F1243" s="1" t="s">
        <v>22483</v>
      </c>
      <c r="G1243" s="1" t="s">
        <v>22484</v>
      </c>
      <c r="H1243" s="1" t="s">
        <v>22485</v>
      </c>
      <c r="I1243" s="1" t="s">
        <v>22485</v>
      </c>
      <c r="J1243" s="1">
        <v>7083837420</v>
      </c>
      <c r="K1243" s="1" t="s">
        <v>84</v>
      </c>
      <c r="L1243" s="1" t="s">
        <v>3025</v>
      </c>
      <c r="M1243" s="1" t="s">
        <v>86</v>
      </c>
      <c r="N1243" s="1" t="s">
        <v>6390</v>
      </c>
      <c r="O1243" s="1" t="s">
        <v>22486</v>
      </c>
      <c r="P1243" s="1" t="s">
        <v>89</v>
      </c>
      <c r="Q1243" s="1">
        <v>578080591844</v>
      </c>
      <c r="R1243" s="1" t="s">
        <v>22487</v>
      </c>
      <c r="S1243" s="1">
        <v>9011983156</v>
      </c>
      <c r="T1243" s="1" t="s">
        <v>13987</v>
      </c>
      <c r="U1243" s="1" t="s">
        <v>22488</v>
      </c>
      <c r="V1243" s="1">
        <v>9067978572</v>
      </c>
      <c r="W1243" s="1" t="s">
        <v>14154</v>
      </c>
      <c r="X1243" s="1" t="s">
        <v>22489</v>
      </c>
      <c r="Y1243" s="1" t="s">
        <v>1989</v>
      </c>
      <c r="Z1243" s="1" t="s">
        <v>97</v>
      </c>
      <c r="AA1243" s="1" t="s">
        <v>22489</v>
      </c>
      <c r="AB1243" s="1" t="s">
        <v>1989</v>
      </c>
      <c r="AC1243" s="1" t="s">
        <v>97</v>
      </c>
      <c r="AD1243" s="1" t="s">
        <v>98</v>
      </c>
      <c r="AE1243" s="1" t="s">
        <v>98</v>
      </c>
      <c r="AF1243" s="1" t="s">
        <v>22490</v>
      </c>
      <c r="AG1243" s="1" t="s">
        <v>22491</v>
      </c>
      <c r="AH1243" s="1" t="s">
        <v>170</v>
      </c>
      <c r="AI1243" s="1" t="s">
        <v>286</v>
      </c>
      <c r="AJ1243" s="1">
        <v>79.12</v>
      </c>
      <c r="AK1243" s="1"/>
      <c r="AL1243" s="1" t="s">
        <v>22492</v>
      </c>
      <c r="AM1243" s="1" t="s">
        <v>22491</v>
      </c>
      <c r="AN1243" s="1" t="s">
        <v>465</v>
      </c>
      <c r="AO1243" s="1" t="s">
        <v>414</v>
      </c>
      <c r="AP1243" s="1" t="s">
        <v>365</v>
      </c>
      <c r="AQ1243" s="1">
        <v>70.0</v>
      </c>
      <c r="AR1243" s="1"/>
      <c r="AS1243" s="1"/>
      <c r="AT1243" s="1"/>
      <c r="AU1243" s="1"/>
      <c r="AV1243" s="1"/>
      <c r="AW1243" s="1"/>
      <c r="AX1243" s="1"/>
      <c r="AY1243" s="1" t="s">
        <v>13346</v>
      </c>
      <c r="AZ1243" s="1" t="s">
        <v>22493</v>
      </c>
      <c r="BA1243" s="1" t="s">
        <v>578</v>
      </c>
      <c r="BB1243" s="1" t="s">
        <v>467</v>
      </c>
      <c r="BC1243" s="1" t="s">
        <v>1040</v>
      </c>
      <c r="BD1243" s="1" t="s">
        <v>418</v>
      </c>
      <c r="BE1243" s="1">
        <v>65.1</v>
      </c>
      <c r="BF1243" s="1">
        <v>7.26</v>
      </c>
      <c r="BG1243" s="1"/>
      <c r="BH1243" s="1"/>
      <c r="BI1243" s="1"/>
      <c r="BJ1243" s="1"/>
      <c r="BK1243" s="1"/>
      <c r="BL1243" s="1"/>
      <c r="BM1243" s="1"/>
      <c r="BN1243" s="1"/>
      <c r="BO1243" s="1" t="s">
        <v>22494</v>
      </c>
      <c r="BP1243" s="1" t="s">
        <v>22495</v>
      </c>
      <c r="BQ1243" s="1" t="s">
        <v>471</v>
      </c>
      <c r="BR1243" s="1" t="s">
        <v>22496</v>
      </c>
      <c r="BS1243" s="1">
        <v>3</v>
      </c>
      <c r="BT1243" s="1" t="s">
        <v>22497</v>
      </c>
      <c r="BU1243" s="1" t="str">
        <f>HYPERLINK("https://nconnect.nicmar.ac.in/storage/profile/6a86f58b44ea4.png","Download")</f>
        <v>0</v>
      </c>
      <c r="BV1243" s="3"/>
      <c r="BW1243" s="3"/>
    </row>
    <row r="1244" spans="1:75">
      <c r="A1244" s="1" t="s">
        <v>75</v>
      </c>
      <c r="B1244" s="1" t="s">
        <v>13976</v>
      </c>
      <c r="C1244" s="1" t="s">
        <v>22498</v>
      </c>
      <c r="D1244" s="1" t="s">
        <v>22499</v>
      </c>
      <c r="E1244" s="1"/>
      <c r="F1244" s="1" t="s">
        <v>15195</v>
      </c>
      <c r="G1244" s="1" t="s">
        <v>22500</v>
      </c>
      <c r="H1244" s="1" t="s">
        <v>22501</v>
      </c>
      <c r="I1244" s="1" t="s">
        <v>22501</v>
      </c>
      <c r="J1244" s="1">
        <v>9746950046</v>
      </c>
      <c r="K1244" s="1" t="s">
        <v>84</v>
      </c>
      <c r="L1244" s="1" t="s">
        <v>22502</v>
      </c>
      <c r="M1244" s="1" t="s">
        <v>86</v>
      </c>
      <c r="N1244" s="1" t="s">
        <v>22503</v>
      </c>
      <c r="O1244" s="1" t="s">
        <v>22504</v>
      </c>
      <c r="P1244" s="1" t="s">
        <v>219</v>
      </c>
      <c r="Q1244" s="1">
        <v>992024246183</v>
      </c>
      <c r="R1244" s="1" t="s">
        <v>22505</v>
      </c>
      <c r="S1244" s="1">
        <v>9605911771</v>
      </c>
      <c r="T1244" s="1" t="s">
        <v>22506</v>
      </c>
      <c r="U1244" s="1" t="s">
        <v>22507</v>
      </c>
      <c r="V1244" s="1">
        <v>9744072789</v>
      </c>
      <c r="W1244" s="1" t="s">
        <v>22508</v>
      </c>
      <c r="X1244" s="1" t="s">
        <v>22509</v>
      </c>
      <c r="Y1244" s="1" t="s">
        <v>2526</v>
      </c>
      <c r="Z1244" s="1" t="s">
        <v>130</v>
      </c>
      <c r="AA1244" s="1" t="s">
        <v>22509</v>
      </c>
      <c r="AB1244" s="1" t="s">
        <v>2526</v>
      </c>
      <c r="AC1244" s="1" t="s">
        <v>130</v>
      </c>
      <c r="AD1244" s="1" t="s">
        <v>98</v>
      </c>
      <c r="AE1244" s="1" t="s">
        <v>98</v>
      </c>
      <c r="AF1244" s="1" t="s">
        <v>22510</v>
      </c>
      <c r="AG1244" s="1" t="s">
        <v>22511</v>
      </c>
      <c r="AH1244" s="1" t="s">
        <v>166</v>
      </c>
      <c r="AI1244" s="1" t="s">
        <v>1111</v>
      </c>
      <c r="AJ1244" s="1">
        <v>94.92</v>
      </c>
      <c r="AK1244" s="1"/>
      <c r="AL1244" s="1"/>
      <c r="AM1244" s="1"/>
      <c r="AN1244" s="1"/>
      <c r="AO1244" s="1"/>
      <c r="AP1244" s="1"/>
      <c r="AQ1244" s="1"/>
      <c r="AR1244" s="1"/>
      <c r="AS1244" s="1" t="s">
        <v>103</v>
      </c>
      <c r="AT1244" s="1" t="s">
        <v>22512</v>
      </c>
      <c r="AU1244" s="1" t="s">
        <v>167</v>
      </c>
      <c r="AV1244" s="1" t="s">
        <v>547</v>
      </c>
      <c r="AW1244" s="1">
        <v>79.87</v>
      </c>
      <c r="AX1244" s="1">
        <v>8.41</v>
      </c>
      <c r="AY1244" s="1" t="s">
        <v>137</v>
      </c>
      <c r="AZ1244" s="1" t="s">
        <v>22513</v>
      </c>
      <c r="BA1244" s="1" t="s">
        <v>466</v>
      </c>
      <c r="BB1244" s="1" t="s">
        <v>467</v>
      </c>
      <c r="BC1244" s="1" t="s">
        <v>315</v>
      </c>
      <c r="BD1244" s="1" t="s">
        <v>110</v>
      </c>
      <c r="BE1244" s="1">
        <v>73</v>
      </c>
      <c r="BF1244" s="1">
        <v>7.3</v>
      </c>
      <c r="BG1244" s="1"/>
      <c r="BH1244" s="1"/>
      <c r="BI1244" s="1"/>
      <c r="BJ1244" s="1"/>
      <c r="BK1244" s="1"/>
      <c r="BL1244" s="1"/>
      <c r="BM1244" s="1"/>
      <c r="BN1244" s="1"/>
      <c r="BO1244" s="1" t="s">
        <v>22514</v>
      </c>
      <c r="BP1244" s="1" t="s">
        <v>22515</v>
      </c>
      <c r="BQ1244" s="1" t="s">
        <v>1070</v>
      </c>
      <c r="BR1244" s="1"/>
      <c r="BS1244" s="1"/>
      <c r="BT1244" s="1" t="s">
        <v>22516</v>
      </c>
      <c r="BU1244" s="1" t="str">
        <f>HYPERLINK("https://nconnect.nicmar.ac.in/storage/profile/6a82f34d08e97.png","Download")</f>
        <v>0</v>
      </c>
      <c r="BV1244" s="3"/>
      <c r="BW1244" s="3"/>
    </row>
    <row r="1245" spans="1:75">
      <c r="A1245" s="1" t="s">
        <v>75</v>
      </c>
      <c r="B1245" s="1" t="s">
        <v>13976</v>
      </c>
      <c r="C1245" s="1" t="s">
        <v>22517</v>
      </c>
      <c r="D1245" s="1" t="s">
        <v>11393</v>
      </c>
      <c r="E1245" s="1" t="s">
        <v>15430</v>
      </c>
      <c r="F1245" s="1" t="s">
        <v>22518</v>
      </c>
      <c r="G1245" s="1" t="s">
        <v>22519</v>
      </c>
      <c r="H1245" s="1" t="s">
        <v>22520</v>
      </c>
      <c r="I1245" s="1" t="s">
        <v>22520</v>
      </c>
      <c r="J1245" s="1">
        <v>9049005998</v>
      </c>
      <c r="K1245" s="1" t="s">
        <v>84</v>
      </c>
      <c r="L1245" s="1" t="s">
        <v>22521</v>
      </c>
      <c r="M1245" s="1" t="s">
        <v>86</v>
      </c>
      <c r="N1245" s="1" t="s">
        <v>17192</v>
      </c>
      <c r="O1245" s="1" t="s">
        <v>22522</v>
      </c>
      <c r="P1245" s="1" t="s">
        <v>219</v>
      </c>
      <c r="Q1245" s="1">
        <v>282238839823</v>
      </c>
      <c r="R1245" s="1" t="s">
        <v>22523</v>
      </c>
      <c r="S1245" s="1">
        <v>9423148679</v>
      </c>
      <c r="T1245" s="1" t="s">
        <v>22524</v>
      </c>
      <c r="U1245" s="1" t="s">
        <v>22525</v>
      </c>
      <c r="V1245" s="1">
        <v>9049005999</v>
      </c>
      <c r="W1245" s="1" t="s">
        <v>14154</v>
      </c>
      <c r="X1245" s="1" t="s">
        <v>22526</v>
      </c>
      <c r="Y1245" s="1" t="s">
        <v>96</v>
      </c>
      <c r="Z1245" s="1" t="s">
        <v>97</v>
      </c>
      <c r="AA1245" s="1" t="s">
        <v>22526</v>
      </c>
      <c r="AB1245" s="1" t="s">
        <v>96</v>
      </c>
      <c r="AC1245" s="1" t="s">
        <v>97</v>
      </c>
      <c r="AD1245" s="1" t="s">
        <v>98</v>
      </c>
      <c r="AE1245" s="1" t="s">
        <v>98</v>
      </c>
      <c r="AF1245" s="1" t="s">
        <v>22527</v>
      </c>
      <c r="AG1245" s="1" t="s">
        <v>22528</v>
      </c>
      <c r="AH1245" s="1" t="s">
        <v>284</v>
      </c>
      <c r="AI1245" s="1" t="s">
        <v>573</v>
      </c>
      <c r="AJ1245" s="1">
        <v>91.2</v>
      </c>
      <c r="AK1245" s="1">
        <v>9.6</v>
      </c>
      <c r="AL1245" s="1" t="s">
        <v>22529</v>
      </c>
      <c r="AM1245" s="1" t="s">
        <v>22528</v>
      </c>
      <c r="AN1245" s="1" t="s">
        <v>465</v>
      </c>
      <c r="AO1245" s="1" t="s">
        <v>490</v>
      </c>
      <c r="AP1245" s="1" t="s">
        <v>313</v>
      </c>
      <c r="AQ1245" s="1">
        <v>60.2</v>
      </c>
      <c r="AR1245" s="1"/>
      <c r="AS1245" s="1"/>
      <c r="AT1245" s="1"/>
      <c r="AU1245" s="1"/>
      <c r="AV1245" s="1"/>
      <c r="AW1245" s="1"/>
      <c r="AX1245" s="1"/>
      <c r="AY1245" s="1" t="s">
        <v>14160</v>
      </c>
      <c r="AZ1245" s="1" t="s">
        <v>22530</v>
      </c>
      <c r="BA1245" s="1" t="s">
        <v>578</v>
      </c>
      <c r="BB1245" s="1" t="s">
        <v>467</v>
      </c>
      <c r="BC1245" s="1" t="s">
        <v>206</v>
      </c>
      <c r="BD1245" s="1" t="s">
        <v>14494</v>
      </c>
      <c r="BE1245" s="1">
        <v>75</v>
      </c>
      <c r="BF1245" s="1"/>
      <c r="BG1245" s="1"/>
      <c r="BH1245" s="1"/>
      <c r="BI1245" s="1"/>
      <c r="BJ1245" s="1"/>
      <c r="BK1245" s="1"/>
      <c r="BL1245" s="1"/>
      <c r="BM1245" s="1"/>
      <c r="BN1245" s="1"/>
      <c r="BO1245" s="1" t="s">
        <v>22531</v>
      </c>
      <c r="BP1245" s="1"/>
      <c r="BQ1245" s="1"/>
      <c r="BR1245" s="1"/>
      <c r="BS1245" s="1"/>
      <c r="BT1245" s="1"/>
      <c r="BU1245" s="1" t="str">
        <f>HYPERLINK("https://nconnect.nicmar.ac.in/storage/profile/6a8745a9642ac.png","Download")</f>
        <v>0</v>
      </c>
      <c r="BV1245" s="3"/>
      <c r="BW1245" s="3"/>
    </row>
    <row r="1246" spans="1:75">
      <c r="A1246" s="1" t="s">
        <v>75</v>
      </c>
      <c r="B1246" s="1" t="s">
        <v>13976</v>
      </c>
      <c r="C1246" s="1" t="s">
        <v>22532</v>
      </c>
      <c r="D1246" s="1" t="s">
        <v>5994</v>
      </c>
      <c r="E1246" s="1" t="s">
        <v>22533</v>
      </c>
      <c r="F1246" s="1" t="s">
        <v>22534</v>
      </c>
      <c r="G1246" s="1" t="s">
        <v>22535</v>
      </c>
      <c r="H1246" s="1" t="s">
        <v>22536</v>
      </c>
      <c r="I1246" s="1" t="s">
        <v>22536</v>
      </c>
      <c r="J1246" s="1">
        <v>9879743749</v>
      </c>
      <c r="K1246" s="1" t="s">
        <v>84</v>
      </c>
      <c r="L1246" s="1" t="s">
        <v>22537</v>
      </c>
      <c r="M1246" s="1" t="s">
        <v>86</v>
      </c>
      <c r="N1246" s="1" t="s">
        <v>22538</v>
      </c>
      <c r="O1246" s="1" t="s">
        <v>22539</v>
      </c>
      <c r="P1246" s="1" t="s">
        <v>219</v>
      </c>
      <c r="Q1246" s="1">
        <v>347458936478</v>
      </c>
      <c r="R1246" s="1" t="s">
        <v>22540</v>
      </c>
      <c r="S1246" s="1">
        <v>9879543749</v>
      </c>
      <c r="T1246" s="1" t="s">
        <v>22541</v>
      </c>
      <c r="U1246" s="1" t="s">
        <v>22542</v>
      </c>
      <c r="V1246" s="1">
        <v>8849407403</v>
      </c>
      <c r="W1246" s="1" t="s">
        <v>19285</v>
      </c>
      <c r="X1246" s="1" t="s">
        <v>22543</v>
      </c>
      <c r="Y1246" s="1" t="s">
        <v>5138</v>
      </c>
      <c r="Z1246" s="1" t="s">
        <v>676</v>
      </c>
      <c r="AA1246" s="1" t="s">
        <v>22543</v>
      </c>
      <c r="AB1246" s="1" t="s">
        <v>5138</v>
      </c>
      <c r="AC1246" s="1" t="s">
        <v>676</v>
      </c>
      <c r="AD1246" s="1" t="s">
        <v>98</v>
      </c>
      <c r="AE1246" s="1" t="s">
        <v>98</v>
      </c>
      <c r="AF1246" s="1" t="s">
        <v>22544</v>
      </c>
      <c r="AG1246" s="1" t="s">
        <v>22545</v>
      </c>
      <c r="AH1246" s="1" t="s">
        <v>438</v>
      </c>
      <c r="AI1246" s="1" t="s">
        <v>603</v>
      </c>
      <c r="AJ1246" s="1">
        <v>66.5</v>
      </c>
      <c r="AK1246" s="1"/>
      <c r="AL1246" s="1"/>
      <c r="AM1246" s="1"/>
      <c r="AN1246" s="1"/>
      <c r="AO1246" s="1"/>
      <c r="AP1246" s="1"/>
      <c r="AQ1246" s="1"/>
      <c r="AR1246" s="1"/>
      <c r="AS1246" s="1" t="s">
        <v>17941</v>
      </c>
      <c r="AT1246" s="1" t="s">
        <v>22546</v>
      </c>
      <c r="AU1246" s="1" t="s">
        <v>1040</v>
      </c>
      <c r="AV1246" s="1" t="s">
        <v>955</v>
      </c>
      <c r="AW1246" s="1">
        <v>76.7</v>
      </c>
      <c r="AX1246" s="1">
        <v>8.17</v>
      </c>
      <c r="AY1246" s="1" t="s">
        <v>22547</v>
      </c>
      <c r="AZ1246" s="1" t="s">
        <v>22548</v>
      </c>
      <c r="BA1246" s="1" t="s">
        <v>578</v>
      </c>
      <c r="BB1246" s="1" t="s">
        <v>467</v>
      </c>
      <c r="BC1246" s="1" t="s">
        <v>391</v>
      </c>
      <c r="BD1246" s="1" t="s">
        <v>9688</v>
      </c>
      <c r="BE1246" s="1">
        <v>70.9</v>
      </c>
      <c r="BF1246" s="1">
        <v>7.59</v>
      </c>
      <c r="BG1246" s="1"/>
      <c r="BH1246" s="1"/>
      <c r="BI1246" s="1"/>
      <c r="BJ1246" s="1"/>
      <c r="BK1246" s="1"/>
      <c r="BL1246" s="1"/>
      <c r="BM1246" s="1"/>
      <c r="BN1246" s="1"/>
      <c r="BO1246" s="1" t="s">
        <v>22549</v>
      </c>
      <c r="BP1246" s="1"/>
      <c r="BQ1246" s="1"/>
      <c r="BR1246" s="1" t="s">
        <v>22550</v>
      </c>
      <c r="BS1246" s="1">
        <v>13</v>
      </c>
      <c r="BT1246" s="1"/>
      <c r="BU1246" s="1" t="str">
        <f>HYPERLINK("https://nconnect.nicmar.ac.in/storage/profile/6a854d74b3695.png","Download")</f>
        <v>0</v>
      </c>
      <c r="BV1246" s="3"/>
      <c r="BW1246" s="3"/>
    </row>
    <row r="1247" spans="1:75">
      <c r="A1247" s="1" t="s">
        <v>75</v>
      </c>
      <c r="B1247" s="1" t="s">
        <v>13976</v>
      </c>
      <c r="C1247" s="1" t="s">
        <v>22551</v>
      </c>
      <c r="D1247" s="1" t="s">
        <v>22552</v>
      </c>
      <c r="E1247" s="1" t="s">
        <v>22553</v>
      </c>
      <c r="F1247" s="1" t="s">
        <v>22554</v>
      </c>
      <c r="G1247" s="1" t="s">
        <v>22555</v>
      </c>
      <c r="H1247" s="1" t="s">
        <v>22556</v>
      </c>
      <c r="I1247" s="1" t="s">
        <v>22556</v>
      </c>
      <c r="J1247" s="1">
        <v>9356056741</v>
      </c>
      <c r="K1247" s="1" t="s">
        <v>153</v>
      </c>
      <c r="L1247" s="1" t="s">
        <v>22557</v>
      </c>
      <c r="M1247" s="1" t="s">
        <v>86</v>
      </c>
      <c r="N1247" s="1" t="s">
        <v>4263</v>
      </c>
      <c r="O1247" s="1" t="s">
        <v>22558</v>
      </c>
      <c r="P1247" s="1" t="s">
        <v>89</v>
      </c>
      <c r="Q1247" s="1">
        <v>343492187528</v>
      </c>
      <c r="R1247" s="1" t="s">
        <v>22553</v>
      </c>
      <c r="S1247" s="1">
        <v>9421278081</v>
      </c>
      <c r="T1247" s="1" t="s">
        <v>3441</v>
      </c>
      <c r="U1247" s="1" t="s">
        <v>22559</v>
      </c>
      <c r="V1247" s="1">
        <v>7385188081</v>
      </c>
      <c r="W1247" s="1" t="s">
        <v>10306</v>
      </c>
      <c r="X1247" s="1" t="s">
        <v>22560</v>
      </c>
      <c r="Y1247" s="1" t="s">
        <v>2668</v>
      </c>
      <c r="Z1247" s="1" t="s">
        <v>97</v>
      </c>
      <c r="AA1247" s="1" t="s">
        <v>22561</v>
      </c>
      <c r="AB1247" s="1" t="s">
        <v>2668</v>
      </c>
      <c r="AC1247" s="1" t="s">
        <v>97</v>
      </c>
      <c r="AD1247" s="1" t="s">
        <v>98</v>
      </c>
      <c r="AE1247" s="1" t="s">
        <v>98</v>
      </c>
      <c r="AF1247" s="1" t="s">
        <v>22562</v>
      </c>
      <c r="AG1247" s="1" t="s">
        <v>22563</v>
      </c>
      <c r="AH1247" s="1" t="s">
        <v>170</v>
      </c>
      <c r="AI1247" s="1" t="s">
        <v>106</v>
      </c>
      <c r="AJ1247" s="1">
        <v>81.6</v>
      </c>
      <c r="AK1247" s="1"/>
      <c r="AL1247" s="1"/>
      <c r="AM1247" s="1"/>
      <c r="AN1247" s="1"/>
      <c r="AO1247" s="1"/>
      <c r="AP1247" s="1"/>
      <c r="AQ1247" s="1"/>
      <c r="AR1247" s="1"/>
      <c r="AS1247" s="1" t="s">
        <v>14158</v>
      </c>
      <c r="AT1247" s="1" t="s">
        <v>22564</v>
      </c>
      <c r="AU1247" s="1" t="s">
        <v>1065</v>
      </c>
      <c r="AV1247" s="1" t="s">
        <v>441</v>
      </c>
      <c r="AW1247" s="1">
        <v>85.53</v>
      </c>
      <c r="AX1247" s="1"/>
      <c r="AY1247" s="1" t="s">
        <v>14160</v>
      </c>
      <c r="AZ1247" s="1" t="s">
        <v>22565</v>
      </c>
      <c r="BA1247" s="1" t="s">
        <v>466</v>
      </c>
      <c r="BB1247" s="1" t="s">
        <v>467</v>
      </c>
      <c r="BC1247" s="1" t="s">
        <v>871</v>
      </c>
      <c r="BD1247" s="1" t="s">
        <v>207</v>
      </c>
      <c r="BE1247" s="1">
        <v>81.78</v>
      </c>
      <c r="BF1247" s="1">
        <v>8.94</v>
      </c>
      <c r="BG1247" s="1"/>
      <c r="BH1247" s="1"/>
      <c r="BI1247" s="1"/>
      <c r="BJ1247" s="1"/>
      <c r="BK1247" s="1"/>
      <c r="BL1247" s="1"/>
      <c r="BM1247" s="1"/>
      <c r="BN1247" s="1"/>
      <c r="BO1247" s="1" t="s">
        <v>22566</v>
      </c>
      <c r="BP1247" s="1"/>
      <c r="BQ1247" s="1"/>
      <c r="BR1247" s="1" t="s">
        <v>22567</v>
      </c>
      <c r="BS1247" s="1">
        <v>26</v>
      </c>
      <c r="BT1247" s="1" t="s">
        <v>11309</v>
      </c>
      <c r="BU1247" s="1" t="str">
        <f>HYPERLINK("https://nconnect.nicmar.ac.in/storage/profile/6a8711f873fb8.png","Download")</f>
        <v>0</v>
      </c>
      <c r="BV1247" s="3"/>
      <c r="BW1247" s="3"/>
    </row>
    <row r="1248" spans="1:75">
      <c r="A1248" s="1" t="s">
        <v>75</v>
      </c>
      <c r="B1248" s="1" t="s">
        <v>13976</v>
      </c>
      <c r="C1248" s="1" t="s">
        <v>22568</v>
      </c>
      <c r="D1248" s="1" t="s">
        <v>14202</v>
      </c>
      <c r="E1248" s="1"/>
      <c r="F1248" s="1" t="s">
        <v>1361</v>
      </c>
      <c r="G1248" s="1" t="s">
        <v>22569</v>
      </c>
      <c r="H1248" s="1" t="s">
        <v>22570</v>
      </c>
      <c r="I1248" s="1" t="s">
        <v>22570</v>
      </c>
      <c r="J1248" s="1">
        <v>9686873802</v>
      </c>
      <c r="K1248" s="1" t="s">
        <v>84</v>
      </c>
      <c r="L1248" s="1" t="s">
        <v>22571</v>
      </c>
      <c r="M1248" s="1" t="s">
        <v>86</v>
      </c>
      <c r="N1248" s="1" t="s">
        <v>22572</v>
      </c>
      <c r="O1248" s="1" t="s">
        <v>22573</v>
      </c>
      <c r="P1248" s="1" t="s">
        <v>219</v>
      </c>
      <c r="Q1248" s="1">
        <v>341356564565</v>
      </c>
      <c r="R1248" s="1" t="s">
        <v>22574</v>
      </c>
      <c r="S1248" s="1">
        <v>9845115629</v>
      </c>
      <c r="T1248" s="1" t="s">
        <v>22575</v>
      </c>
      <c r="U1248" s="1" t="s">
        <v>22576</v>
      </c>
      <c r="V1248" s="1">
        <v>8105732500</v>
      </c>
      <c r="W1248" s="1" t="s">
        <v>14337</v>
      </c>
      <c r="X1248" s="1" t="s">
        <v>22577</v>
      </c>
      <c r="Y1248" s="1" t="s">
        <v>3132</v>
      </c>
      <c r="Z1248" s="1" t="s">
        <v>1210</v>
      </c>
      <c r="AA1248" s="1" t="s">
        <v>22577</v>
      </c>
      <c r="AB1248" s="1" t="s">
        <v>3132</v>
      </c>
      <c r="AC1248" s="1" t="s">
        <v>1210</v>
      </c>
      <c r="AD1248" s="1" t="s">
        <v>98</v>
      </c>
      <c r="AE1248" s="1" t="s">
        <v>98</v>
      </c>
      <c r="AF1248" s="1" t="s">
        <v>22578</v>
      </c>
      <c r="AG1248" s="1" t="s">
        <v>22579</v>
      </c>
      <c r="AH1248" s="1" t="s">
        <v>170</v>
      </c>
      <c r="AI1248" s="1" t="s">
        <v>171</v>
      </c>
      <c r="AJ1248" s="1">
        <v>83.67</v>
      </c>
      <c r="AK1248" s="1"/>
      <c r="AL1248" s="1" t="s">
        <v>22580</v>
      </c>
      <c r="AM1248" s="1" t="s">
        <v>22579</v>
      </c>
      <c r="AN1248" s="1" t="s">
        <v>465</v>
      </c>
      <c r="AO1248" s="1" t="s">
        <v>315</v>
      </c>
      <c r="AP1248" s="1" t="s">
        <v>178</v>
      </c>
      <c r="AQ1248" s="1">
        <v>78</v>
      </c>
      <c r="AR1248" s="1"/>
      <c r="AS1248" s="1"/>
      <c r="AT1248" s="1"/>
      <c r="AU1248" s="1"/>
      <c r="AV1248" s="1"/>
      <c r="AW1248" s="1"/>
      <c r="AX1248" s="1"/>
      <c r="AY1248" s="1" t="s">
        <v>22581</v>
      </c>
      <c r="AZ1248" s="1" t="s">
        <v>22579</v>
      </c>
      <c r="BA1248" s="1" t="s">
        <v>578</v>
      </c>
      <c r="BB1248" s="1" t="s">
        <v>467</v>
      </c>
      <c r="BC1248" s="1" t="s">
        <v>233</v>
      </c>
      <c r="BD1248" s="1" t="s">
        <v>2383</v>
      </c>
      <c r="BE1248" s="1">
        <v>66.4</v>
      </c>
      <c r="BF1248" s="1">
        <v>7.4</v>
      </c>
      <c r="BG1248" s="1"/>
      <c r="BH1248" s="1"/>
      <c r="BI1248" s="1"/>
      <c r="BJ1248" s="1"/>
      <c r="BK1248" s="1"/>
      <c r="BL1248" s="1"/>
      <c r="BM1248" s="1"/>
      <c r="BN1248" s="1"/>
      <c r="BO1248" s="1" t="s">
        <v>22582</v>
      </c>
      <c r="BP1248" s="1" t="s">
        <v>22583</v>
      </c>
      <c r="BQ1248" s="1" t="s">
        <v>1152</v>
      </c>
      <c r="BR1248" s="1"/>
      <c r="BS1248" s="1"/>
      <c r="BT1248" s="1"/>
      <c r="BU1248" s="1" t="str">
        <f>HYPERLINK("https://nconnect.nicmar.ac.in/storage/profile/6a86d0bd2bd8f.png","Download")</f>
        <v>0</v>
      </c>
      <c r="BV1248" s="3"/>
      <c r="BW1248" s="3"/>
    </row>
    <row r="1249" spans="1:75">
      <c r="A1249" s="1" t="s">
        <v>75</v>
      </c>
      <c r="B1249" s="1" t="s">
        <v>13976</v>
      </c>
      <c r="C1249" s="1" t="s">
        <v>22584</v>
      </c>
      <c r="D1249" s="1" t="s">
        <v>9649</v>
      </c>
      <c r="E1249" s="1" t="s">
        <v>22585</v>
      </c>
      <c r="F1249" s="1" t="s">
        <v>22586</v>
      </c>
      <c r="G1249" s="1" t="s">
        <v>22587</v>
      </c>
      <c r="H1249" s="1" t="s">
        <v>22588</v>
      </c>
      <c r="I1249" s="1" t="s">
        <v>22588</v>
      </c>
      <c r="J1249" s="1">
        <v>7558780926</v>
      </c>
      <c r="K1249" s="1" t="s">
        <v>84</v>
      </c>
      <c r="L1249" s="1" t="s">
        <v>22589</v>
      </c>
      <c r="M1249" s="1" t="s">
        <v>86</v>
      </c>
      <c r="N1249" s="1" t="s">
        <v>14876</v>
      </c>
      <c r="O1249" s="1" t="s">
        <v>22590</v>
      </c>
      <c r="P1249" s="1" t="s">
        <v>122</v>
      </c>
      <c r="Q1249" s="1">
        <v>988029927308</v>
      </c>
      <c r="R1249" s="1" t="s">
        <v>22591</v>
      </c>
      <c r="S1249" s="1">
        <v>9422780926</v>
      </c>
      <c r="T1249" s="1" t="s">
        <v>22592</v>
      </c>
      <c r="U1249" s="1" t="s">
        <v>22593</v>
      </c>
      <c r="V1249" s="1">
        <v>9922807808</v>
      </c>
      <c r="W1249" s="1" t="s">
        <v>15046</v>
      </c>
      <c r="X1249" s="1" t="s">
        <v>22594</v>
      </c>
      <c r="Y1249" s="1" t="s">
        <v>309</v>
      </c>
      <c r="Z1249" s="1" t="s">
        <v>97</v>
      </c>
      <c r="AA1249" s="1" t="s">
        <v>22594</v>
      </c>
      <c r="AB1249" s="1" t="s">
        <v>309</v>
      </c>
      <c r="AC1249" s="1" t="s">
        <v>97</v>
      </c>
      <c r="AD1249" s="1" t="s">
        <v>98</v>
      </c>
      <c r="AE1249" s="1" t="s">
        <v>98</v>
      </c>
      <c r="AF1249" s="1" t="s">
        <v>22595</v>
      </c>
      <c r="AG1249" s="1" t="s">
        <v>22596</v>
      </c>
      <c r="AH1249" s="1" t="s">
        <v>438</v>
      </c>
      <c r="AI1249" s="1" t="s">
        <v>178</v>
      </c>
      <c r="AJ1249" s="1">
        <v>87</v>
      </c>
      <c r="AK1249" s="1">
        <v>8.7</v>
      </c>
      <c r="AL1249" s="1" t="s">
        <v>22597</v>
      </c>
      <c r="AM1249" s="1" t="s">
        <v>22598</v>
      </c>
      <c r="AN1249" s="1" t="s">
        <v>465</v>
      </c>
      <c r="AO1249" s="1" t="s">
        <v>1192</v>
      </c>
      <c r="AP1249" s="1" t="s">
        <v>1886</v>
      </c>
      <c r="AQ1249" s="1">
        <v>83.17</v>
      </c>
      <c r="AR1249" s="1">
        <v>8.31</v>
      </c>
      <c r="AS1249" s="1"/>
      <c r="AT1249" s="1"/>
      <c r="AU1249" s="1"/>
      <c r="AV1249" s="1"/>
      <c r="AW1249" s="1"/>
      <c r="AX1249" s="1"/>
      <c r="AY1249" s="1" t="s">
        <v>14059</v>
      </c>
      <c r="AZ1249" s="1" t="s">
        <v>22599</v>
      </c>
      <c r="BA1249" s="1" t="s">
        <v>466</v>
      </c>
      <c r="BB1249" s="1" t="s">
        <v>467</v>
      </c>
      <c r="BC1249" s="1" t="s">
        <v>1889</v>
      </c>
      <c r="BD1249" s="1" t="s">
        <v>9688</v>
      </c>
      <c r="BE1249" s="1">
        <v>64.6</v>
      </c>
      <c r="BF1249" s="1">
        <v>7.21</v>
      </c>
      <c r="BG1249" s="1"/>
      <c r="BH1249" s="1"/>
      <c r="BI1249" s="1"/>
      <c r="BJ1249" s="1"/>
      <c r="BK1249" s="1"/>
      <c r="BL1249" s="1"/>
      <c r="BM1249" s="1"/>
      <c r="BN1249" s="1"/>
      <c r="BO1249" s="1" t="s">
        <v>22600</v>
      </c>
      <c r="BP1249" s="1"/>
      <c r="BQ1249" s="1"/>
      <c r="BR1249" s="1" t="s">
        <v>22601</v>
      </c>
      <c r="BS1249" s="1">
        <v>18</v>
      </c>
      <c r="BT1249" s="1"/>
      <c r="BU1249" s="1" t="str">
        <f>HYPERLINK("https://nconnect.nicmar.ac.in/storage/profile/6a86ddcd1fdde.png","Download")</f>
        <v>0</v>
      </c>
      <c r="BV1249" s="3"/>
      <c r="BW1249" s="3"/>
    </row>
    <row r="1250" spans="1:75">
      <c r="A1250" s="1" t="s">
        <v>75</v>
      </c>
      <c r="B1250" s="1" t="s">
        <v>13976</v>
      </c>
      <c r="C1250" s="1" t="s">
        <v>22602</v>
      </c>
      <c r="D1250" s="1" t="s">
        <v>22603</v>
      </c>
      <c r="E1250" s="1" t="s">
        <v>22604</v>
      </c>
      <c r="F1250" s="1" t="s">
        <v>22605</v>
      </c>
      <c r="G1250" s="1" t="s">
        <v>22606</v>
      </c>
      <c r="H1250" s="1" t="s">
        <v>22607</v>
      </c>
      <c r="I1250" s="1" t="s">
        <v>22607</v>
      </c>
      <c r="J1250" s="1">
        <v>9689894772</v>
      </c>
      <c r="K1250" s="1" t="s">
        <v>84</v>
      </c>
      <c r="L1250" s="1" t="s">
        <v>22608</v>
      </c>
      <c r="M1250" s="1" t="s">
        <v>86</v>
      </c>
      <c r="N1250" s="1" t="s">
        <v>22265</v>
      </c>
      <c r="O1250" s="1" t="s">
        <v>22609</v>
      </c>
      <c r="P1250" s="1" t="s">
        <v>219</v>
      </c>
      <c r="Q1250" s="1">
        <v>813355326702</v>
      </c>
      <c r="R1250" s="1" t="s">
        <v>22610</v>
      </c>
      <c r="S1250" s="1">
        <v>9689894777</v>
      </c>
      <c r="T1250" s="1" t="s">
        <v>18234</v>
      </c>
      <c r="U1250" s="1" t="s">
        <v>22611</v>
      </c>
      <c r="V1250" s="1">
        <v>9689894771</v>
      </c>
      <c r="W1250" s="1" t="s">
        <v>10306</v>
      </c>
      <c r="X1250" s="1" t="s">
        <v>22612</v>
      </c>
      <c r="Y1250" s="1" t="s">
        <v>1989</v>
      </c>
      <c r="Z1250" s="1" t="s">
        <v>97</v>
      </c>
      <c r="AA1250" s="1" t="s">
        <v>22612</v>
      </c>
      <c r="AB1250" s="1" t="s">
        <v>1989</v>
      </c>
      <c r="AC1250" s="1" t="s">
        <v>97</v>
      </c>
      <c r="AD1250" s="1" t="s">
        <v>98</v>
      </c>
      <c r="AE1250" s="1" t="s">
        <v>98</v>
      </c>
      <c r="AF1250" s="1" t="s">
        <v>22613</v>
      </c>
      <c r="AG1250" s="1" t="s">
        <v>22614</v>
      </c>
      <c r="AH1250" s="1" t="s">
        <v>547</v>
      </c>
      <c r="AI1250" s="1" t="s">
        <v>178</v>
      </c>
      <c r="AJ1250" s="1">
        <v>83.6</v>
      </c>
      <c r="AK1250" s="1"/>
      <c r="AL1250" s="1" t="s">
        <v>22615</v>
      </c>
      <c r="AM1250" s="1" t="s">
        <v>22616</v>
      </c>
      <c r="AN1250" s="1" t="s">
        <v>465</v>
      </c>
      <c r="AO1250" s="1" t="s">
        <v>2304</v>
      </c>
      <c r="AP1250" s="1" t="s">
        <v>1886</v>
      </c>
      <c r="AQ1250" s="1">
        <v>74</v>
      </c>
      <c r="AR1250" s="1"/>
      <c r="AS1250" s="1"/>
      <c r="AT1250" s="1"/>
      <c r="AU1250" s="1"/>
      <c r="AV1250" s="1"/>
      <c r="AW1250" s="1"/>
      <c r="AX1250" s="1"/>
      <c r="AY1250" s="1" t="s">
        <v>22617</v>
      </c>
      <c r="AZ1250" s="1" t="s">
        <v>22618</v>
      </c>
      <c r="BA1250" s="1" t="s">
        <v>466</v>
      </c>
      <c r="BB1250" s="1" t="s">
        <v>467</v>
      </c>
      <c r="BC1250" s="1" t="s">
        <v>110</v>
      </c>
      <c r="BD1250" s="1" t="s">
        <v>14514</v>
      </c>
      <c r="BE1250" s="1">
        <v>83.4</v>
      </c>
      <c r="BF1250" s="1">
        <v>8.84</v>
      </c>
      <c r="BG1250" s="1"/>
      <c r="BH1250" s="1"/>
      <c r="BI1250" s="1"/>
      <c r="BJ1250" s="1"/>
      <c r="BK1250" s="1"/>
      <c r="BL1250" s="1"/>
      <c r="BM1250" s="1"/>
      <c r="BN1250" s="1"/>
      <c r="BO1250" s="1" t="s">
        <v>22619</v>
      </c>
      <c r="BP1250" s="1"/>
      <c r="BQ1250" s="1"/>
      <c r="BR1250" s="1" t="s">
        <v>22620</v>
      </c>
      <c r="BS1250" s="1">
        <v>28</v>
      </c>
      <c r="BT1250" s="1" t="s">
        <v>22621</v>
      </c>
      <c r="BU1250" s="1" t="str">
        <f>HYPERLINK("https://nconnect.nicmar.ac.in/storage/profile/6a86e5b2dbc36.png","Download")</f>
        <v>0</v>
      </c>
      <c r="BV1250" s="3"/>
      <c r="BW1250" s="3"/>
    </row>
    <row r="1251" spans="1:75">
      <c r="A1251" s="1" t="s">
        <v>75</v>
      </c>
      <c r="B1251" s="1" t="s">
        <v>13976</v>
      </c>
      <c r="C1251" s="1" t="s">
        <v>22622</v>
      </c>
      <c r="D1251" s="1" t="s">
        <v>22623</v>
      </c>
      <c r="E1251" s="1"/>
      <c r="F1251" s="1" t="s">
        <v>14908</v>
      </c>
      <c r="G1251" s="1" t="s">
        <v>22624</v>
      </c>
      <c r="H1251" s="1" t="s">
        <v>22625</v>
      </c>
      <c r="I1251" s="1" t="s">
        <v>22625</v>
      </c>
      <c r="J1251" s="1">
        <v>8279680695</v>
      </c>
      <c r="K1251" s="1" t="s">
        <v>84</v>
      </c>
      <c r="L1251" s="1" t="s">
        <v>11187</v>
      </c>
      <c r="M1251" s="1" t="s">
        <v>86</v>
      </c>
      <c r="N1251" s="1" t="s">
        <v>4857</v>
      </c>
      <c r="O1251" s="1" t="s">
        <v>22626</v>
      </c>
      <c r="P1251" s="1" t="s">
        <v>16271</v>
      </c>
      <c r="Q1251" s="1">
        <v>395185305796</v>
      </c>
      <c r="R1251" s="1" t="s">
        <v>22627</v>
      </c>
      <c r="S1251" s="1">
        <v>8954758979</v>
      </c>
      <c r="T1251" s="1" t="s">
        <v>22628</v>
      </c>
      <c r="U1251" s="1" t="s">
        <v>22629</v>
      </c>
      <c r="V1251" s="1">
        <v>8954758979</v>
      </c>
      <c r="W1251" s="1" t="s">
        <v>9679</v>
      </c>
      <c r="X1251" s="1" t="s">
        <v>22630</v>
      </c>
      <c r="Y1251" s="1" t="s">
        <v>19101</v>
      </c>
      <c r="Z1251" s="1" t="s">
        <v>7930</v>
      </c>
      <c r="AA1251" s="1" t="s">
        <v>22630</v>
      </c>
      <c r="AB1251" s="1" t="s">
        <v>19101</v>
      </c>
      <c r="AC1251" s="1" t="s">
        <v>7930</v>
      </c>
      <c r="AD1251" s="1" t="s">
        <v>98</v>
      </c>
      <c r="AE1251" s="1" t="s">
        <v>98</v>
      </c>
      <c r="AF1251" s="1" t="s">
        <v>22631</v>
      </c>
      <c r="AG1251" s="1" t="s">
        <v>22632</v>
      </c>
      <c r="AH1251" s="1" t="s">
        <v>515</v>
      </c>
      <c r="AI1251" s="1" t="s">
        <v>102</v>
      </c>
      <c r="AJ1251" s="1">
        <v>62.7</v>
      </c>
      <c r="AK1251" s="1">
        <v>6.6</v>
      </c>
      <c r="AL1251" s="1" t="s">
        <v>22633</v>
      </c>
      <c r="AM1251" s="1" t="s">
        <v>22632</v>
      </c>
      <c r="AN1251" s="1" t="s">
        <v>465</v>
      </c>
      <c r="AO1251" s="1" t="s">
        <v>1111</v>
      </c>
      <c r="AP1251" s="1" t="s">
        <v>200</v>
      </c>
      <c r="AQ1251" s="1">
        <v>53.33</v>
      </c>
      <c r="AR1251" s="1"/>
      <c r="AS1251" s="1" t="s">
        <v>14158</v>
      </c>
      <c r="AT1251" s="1" t="s">
        <v>22634</v>
      </c>
      <c r="AU1251" s="1" t="s">
        <v>170</v>
      </c>
      <c r="AV1251" s="1" t="s">
        <v>438</v>
      </c>
      <c r="AW1251" s="1">
        <v>68.2</v>
      </c>
      <c r="AX1251" s="1"/>
      <c r="AY1251" s="1" t="s">
        <v>22635</v>
      </c>
      <c r="AZ1251" s="1" t="s">
        <v>22636</v>
      </c>
      <c r="BA1251" s="1" t="s">
        <v>466</v>
      </c>
      <c r="BB1251" s="1" t="s">
        <v>467</v>
      </c>
      <c r="BC1251" s="1" t="s">
        <v>438</v>
      </c>
      <c r="BD1251" s="1" t="s">
        <v>289</v>
      </c>
      <c r="BE1251" s="1">
        <v>83.33</v>
      </c>
      <c r="BF1251" s="1">
        <v>8.33</v>
      </c>
      <c r="BG1251" s="1"/>
      <c r="BH1251" s="1"/>
      <c r="BI1251" s="1"/>
      <c r="BJ1251" s="1"/>
      <c r="BK1251" s="1"/>
      <c r="BL1251" s="1"/>
      <c r="BM1251" s="1"/>
      <c r="BN1251" s="1"/>
      <c r="BO1251" s="1" t="s">
        <v>22637</v>
      </c>
      <c r="BP1251" s="1" t="s">
        <v>22638</v>
      </c>
      <c r="BQ1251" s="1" t="s">
        <v>2462</v>
      </c>
      <c r="BR1251" s="1" t="s">
        <v>22639</v>
      </c>
      <c r="BS1251" s="1">
        <v>4</v>
      </c>
      <c r="BT1251" s="1" t="s">
        <v>22640</v>
      </c>
      <c r="BU1251" s="1" t="str">
        <f>HYPERLINK("https://nconnect.nicmar.ac.in/storage/profile/6a8685bfc41d9.png","Download")</f>
        <v>0</v>
      </c>
      <c r="BV1251" s="3"/>
      <c r="BW1251" s="3"/>
    </row>
    <row r="1252" spans="1:75">
      <c r="A1252" s="1" t="s">
        <v>75</v>
      </c>
      <c r="B1252" s="1" t="s">
        <v>13976</v>
      </c>
      <c r="C1252" s="1" t="s">
        <v>22641</v>
      </c>
      <c r="D1252" s="1" t="s">
        <v>22642</v>
      </c>
      <c r="E1252" s="1" t="s">
        <v>16930</v>
      </c>
      <c r="F1252" s="1" t="s">
        <v>22643</v>
      </c>
      <c r="G1252" s="1" t="s">
        <v>22644</v>
      </c>
      <c r="H1252" s="1" t="s">
        <v>22645</v>
      </c>
      <c r="I1252" s="1" t="s">
        <v>22645</v>
      </c>
      <c r="J1252" s="1">
        <v>7887745057</v>
      </c>
      <c r="K1252" s="1" t="s">
        <v>84</v>
      </c>
      <c r="L1252" s="1" t="s">
        <v>22646</v>
      </c>
      <c r="M1252" s="1" t="s">
        <v>86</v>
      </c>
      <c r="N1252" s="1" t="s">
        <v>768</v>
      </c>
      <c r="O1252" s="1" t="s">
        <v>22647</v>
      </c>
      <c r="P1252" s="1" t="s">
        <v>1693</v>
      </c>
      <c r="Q1252" s="1">
        <v>263961312571</v>
      </c>
      <c r="R1252" s="1" t="s">
        <v>22648</v>
      </c>
      <c r="S1252" s="1">
        <v>9767114881</v>
      </c>
      <c r="T1252" s="1" t="s">
        <v>13987</v>
      </c>
      <c r="U1252" s="1" t="s">
        <v>22649</v>
      </c>
      <c r="V1252" s="1">
        <v>7057994567</v>
      </c>
      <c r="W1252" s="1" t="s">
        <v>14154</v>
      </c>
      <c r="X1252" s="1" t="s">
        <v>22650</v>
      </c>
      <c r="Y1252" s="1" t="s">
        <v>251</v>
      </c>
      <c r="Z1252" s="1" t="s">
        <v>97</v>
      </c>
      <c r="AA1252" s="1" t="s">
        <v>22651</v>
      </c>
      <c r="AB1252" s="1" t="s">
        <v>196</v>
      </c>
      <c r="AC1252" s="1" t="s">
        <v>97</v>
      </c>
      <c r="AD1252" s="1" t="s">
        <v>98</v>
      </c>
      <c r="AE1252" s="1" t="s">
        <v>98</v>
      </c>
      <c r="AF1252" s="1" t="s">
        <v>22652</v>
      </c>
      <c r="AG1252" s="1" t="s">
        <v>796</v>
      </c>
      <c r="AH1252" s="1" t="s">
        <v>167</v>
      </c>
      <c r="AI1252" s="1" t="s">
        <v>573</v>
      </c>
      <c r="AJ1252" s="1">
        <v>75.2</v>
      </c>
      <c r="AK1252" s="1">
        <v>8.2</v>
      </c>
      <c r="AL1252" s="1" t="s">
        <v>22653</v>
      </c>
      <c r="AM1252" s="1" t="s">
        <v>22654</v>
      </c>
      <c r="AN1252" s="1" t="s">
        <v>465</v>
      </c>
      <c r="AO1252" s="1" t="s">
        <v>438</v>
      </c>
      <c r="AP1252" s="1" t="s">
        <v>417</v>
      </c>
      <c r="AQ1252" s="1">
        <v>84.46</v>
      </c>
      <c r="AR1252" s="1"/>
      <c r="AS1252" s="1"/>
      <c r="AT1252" s="1"/>
      <c r="AU1252" s="1"/>
      <c r="AV1252" s="1"/>
      <c r="AW1252" s="1"/>
      <c r="AX1252" s="1"/>
      <c r="AY1252" s="1" t="s">
        <v>22655</v>
      </c>
      <c r="AZ1252" s="1" t="s">
        <v>22656</v>
      </c>
      <c r="BA1252" s="1" t="s">
        <v>578</v>
      </c>
      <c r="BB1252" s="1" t="s">
        <v>467</v>
      </c>
      <c r="BC1252" s="1" t="s">
        <v>368</v>
      </c>
      <c r="BD1252" s="1" t="s">
        <v>207</v>
      </c>
      <c r="BE1252" s="1">
        <v>78.44</v>
      </c>
      <c r="BF1252" s="1">
        <v>8.62</v>
      </c>
      <c r="BG1252" s="1"/>
      <c r="BH1252" s="1"/>
      <c r="BI1252" s="1"/>
      <c r="BJ1252" s="1"/>
      <c r="BK1252" s="1"/>
      <c r="BL1252" s="1"/>
      <c r="BM1252" s="1"/>
      <c r="BN1252" s="1"/>
      <c r="BO1252" s="1" t="s">
        <v>22657</v>
      </c>
      <c r="BP1252" s="1" t="s">
        <v>22658</v>
      </c>
      <c r="BQ1252" s="1" t="s">
        <v>4149</v>
      </c>
      <c r="BR1252" s="1"/>
      <c r="BS1252" s="1"/>
      <c r="BT1252" s="1"/>
      <c r="BU1252" s="1" t="str">
        <f>HYPERLINK("https://nconnect.nicmar.ac.in/storage/profile/6a87183431153.png","Download")</f>
        <v>0</v>
      </c>
      <c r="BV1252" s="3"/>
      <c r="BW1252" s="3"/>
    </row>
    <row r="1253" spans="1:75">
      <c r="A1253" s="1" t="s">
        <v>75</v>
      </c>
      <c r="B1253" s="1" t="s">
        <v>13976</v>
      </c>
      <c r="C1253" s="1" t="s">
        <v>22659</v>
      </c>
      <c r="D1253" s="1" t="s">
        <v>22660</v>
      </c>
      <c r="E1253" s="1" t="s">
        <v>22661</v>
      </c>
      <c r="F1253" s="1" t="s">
        <v>22662</v>
      </c>
      <c r="G1253" s="1" t="s">
        <v>22663</v>
      </c>
      <c r="H1253" s="1" t="s">
        <v>22664</v>
      </c>
      <c r="I1253" s="1" t="s">
        <v>22664</v>
      </c>
      <c r="J1253" s="1">
        <v>9579918882</v>
      </c>
      <c r="K1253" s="1" t="s">
        <v>84</v>
      </c>
      <c r="L1253" s="1" t="s">
        <v>22665</v>
      </c>
      <c r="M1253" s="1" t="s">
        <v>86</v>
      </c>
      <c r="N1253" s="1" t="s">
        <v>4263</v>
      </c>
      <c r="O1253" s="1" t="s">
        <v>22666</v>
      </c>
      <c r="P1253" s="1" t="s">
        <v>89</v>
      </c>
      <c r="Q1253" s="1">
        <v>440352647976</v>
      </c>
      <c r="R1253" s="1" t="s">
        <v>22667</v>
      </c>
      <c r="S1253" s="1">
        <v>8855922871</v>
      </c>
      <c r="T1253" s="1" t="s">
        <v>22668</v>
      </c>
      <c r="U1253" s="1" t="s">
        <v>22669</v>
      </c>
      <c r="V1253" s="1">
        <v>9511236882</v>
      </c>
      <c r="W1253" s="1" t="s">
        <v>14154</v>
      </c>
      <c r="X1253" s="1" t="s">
        <v>22670</v>
      </c>
      <c r="Y1253" s="1" t="s">
        <v>163</v>
      </c>
      <c r="Z1253" s="1" t="s">
        <v>97</v>
      </c>
      <c r="AA1253" s="1" t="s">
        <v>22670</v>
      </c>
      <c r="AB1253" s="1" t="s">
        <v>163</v>
      </c>
      <c r="AC1253" s="1" t="s">
        <v>97</v>
      </c>
      <c r="AD1253" s="1" t="s">
        <v>98</v>
      </c>
      <c r="AE1253" s="1" t="s">
        <v>98</v>
      </c>
      <c r="AF1253" s="1" t="s">
        <v>22671</v>
      </c>
      <c r="AG1253" s="1" t="s">
        <v>17863</v>
      </c>
      <c r="AH1253" s="1" t="s">
        <v>438</v>
      </c>
      <c r="AI1253" s="1" t="s">
        <v>603</v>
      </c>
      <c r="AJ1253" s="1">
        <v>90</v>
      </c>
      <c r="AK1253" s="1"/>
      <c r="AL1253" s="1" t="s">
        <v>22672</v>
      </c>
      <c r="AM1253" s="1" t="s">
        <v>17863</v>
      </c>
      <c r="AN1253" s="1" t="s">
        <v>465</v>
      </c>
      <c r="AO1253" s="1" t="s">
        <v>847</v>
      </c>
      <c r="AP1253" s="1" t="s">
        <v>1886</v>
      </c>
      <c r="AQ1253" s="1">
        <v>67.5</v>
      </c>
      <c r="AR1253" s="1"/>
      <c r="AS1253" s="1"/>
      <c r="AT1253" s="1"/>
      <c r="AU1253" s="1"/>
      <c r="AV1253" s="1"/>
      <c r="AW1253" s="1"/>
      <c r="AX1253" s="1"/>
      <c r="AY1253" s="1" t="s">
        <v>14752</v>
      </c>
      <c r="AZ1253" s="1" t="s">
        <v>22673</v>
      </c>
      <c r="BA1253" s="1" t="s">
        <v>466</v>
      </c>
      <c r="BB1253" s="1" t="s">
        <v>467</v>
      </c>
      <c r="BC1253" s="1" t="s">
        <v>1802</v>
      </c>
      <c r="BD1253" s="1" t="s">
        <v>14162</v>
      </c>
      <c r="BE1253" s="1">
        <v>67.6</v>
      </c>
      <c r="BF1253" s="1">
        <v>7.26</v>
      </c>
      <c r="BG1253" s="1"/>
      <c r="BH1253" s="1"/>
      <c r="BI1253" s="1"/>
      <c r="BJ1253" s="1"/>
      <c r="BK1253" s="1"/>
      <c r="BL1253" s="1"/>
      <c r="BM1253" s="1"/>
      <c r="BN1253" s="1"/>
      <c r="BO1253" s="1" t="s">
        <v>22674</v>
      </c>
      <c r="BP1253" s="1"/>
      <c r="BQ1253" s="1"/>
      <c r="BR1253" s="1" t="s">
        <v>22675</v>
      </c>
      <c r="BS1253" s="1">
        <v>16</v>
      </c>
      <c r="BT1253" s="1" t="s">
        <v>22676</v>
      </c>
      <c r="BU1253" s="1" t="str">
        <f>HYPERLINK("https://nconnect.nicmar.ac.in/storage/profile/6a85ee3d1e7c9.png","Download")</f>
        <v>0</v>
      </c>
      <c r="BV1253" s="3"/>
      <c r="BW1253" s="3"/>
    </row>
    <row r="1254" spans="1:75">
      <c r="A1254" s="1" t="s">
        <v>75</v>
      </c>
      <c r="B1254" s="1" t="s">
        <v>13976</v>
      </c>
      <c r="C1254" s="1" t="s">
        <v>22677</v>
      </c>
      <c r="D1254" s="1" t="s">
        <v>22678</v>
      </c>
      <c r="E1254" s="1" t="s">
        <v>16287</v>
      </c>
      <c r="F1254" s="1" t="s">
        <v>14590</v>
      </c>
      <c r="G1254" s="1" t="s">
        <v>22679</v>
      </c>
      <c r="H1254" s="1" t="s">
        <v>22680</v>
      </c>
      <c r="I1254" s="1" t="s">
        <v>22680</v>
      </c>
      <c r="J1254" s="1">
        <v>8329811392</v>
      </c>
      <c r="K1254" s="1" t="s">
        <v>153</v>
      </c>
      <c r="L1254" s="1" t="s">
        <v>19854</v>
      </c>
      <c r="M1254" s="1" t="s">
        <v>86</v>
      </c>
      <c r="N1254" s="1" t="s">
        <v>22681</v>
      </c>
      <c r="O1254" s="1" t="s">
        <v>22682</v>
      </c>
      <c r="P1254" s="1" t="s">
        <v>89</v>
      </c>
      <c r="Q1254" s="1">
        <v>350998852819</v>
      </c>
      <c r="R1254" s="1" t="s">
        <v>22683</v>
      </c>
      <c r="S1254" s="1">
        <v>8788706861</v>
      </c>
      <c r="T1254" s="1" t="s">
        <v>22684</v>
      </c>
      <c r="U1254" s="1" t="s">
        <v>22685</v>
      </c>
      <c r="V1254" s="1">
        <v>8830680973</v>
      </c>
      <c r="W1254" s="1" t="s">
        <v>14154</v>
      </c>
      <c r="X1254" s="1" t="s">
        <v>22686</v>
      </c>
      <c r="Y1254" s="1" t="s">
        <v>910</v>
      </c>
      <c r="Z1254" s="1" t="s">
        <v>97</v>
      </c>
      <c r="AA1254" s="1"/>
      <c r="AB1254" s="1" t="s">
        <v>910</v>
      </c>
      <c r="AC1254" s="1" t="s">
        <v>97</v>
      </c>
      <c r="AD1254" s="1" t="s">
        <v>98</v>
      </c>
      <c r="AE1254" s="1" t="s">
        <v>98</v>
      </c>
      <c r="AF1254" s="1" t="s">
        <v>22687</v>
      </c>
      <c r="AG1254" s="1" t="s">
        <v>11481</v>
      </c>
      <c r="AH1254" s="1" t="s">
        <v>490</v>
      </c>
      <c r="AI1254" s="1" t="s">
        <v>313</v>
      </c>
      <c r="AJ1254" s="1">
        <v>83.0</v>
      </c>
      <c r="AK1254" s="1"/>
      <c r="AL1254" s="1" t="s">
        <v>22687</v>
      </c>
      <c r="AM1254" s="1" t="s">
        <v>11481</v>
      </c>
      <c r="AN1254" s="1" t="s">
        <v>465</v>
      </c>
      <c r="AO1254" s="1" t="s">
        <v>977</v>
      </c>
      <c r="AP1254" s="1" t="s">
        <v>549</v>
      </c>
      <c r="AQ1254" s="1">
        <v>77.2</v>
      </c>
      <c r="AR1254" s="1"/>
      <c r="AS1254" s="1"/>
      <c r="AT1254" s="1"/>
      <c r="AU1254" s="1"/>
      <c r="AV1254" s="1"/>
      <c r="AW1254" s="1"/>
      <c r="AX1254" s="1"/>
      <c r="AY1254" s="1" t="s">
        <v>22688</v>
      </c>
      <c r="AZ1254" s="1" t="s">
        <v>22689</v>
      </c>
      <c r="BA1254" s="1" t="s">
        <v>578</v>
      </c>
      <c r="BB1254" s="1" t="s">
        <v>467</v>
      </c>
      <c r="BC1254" s="1" t="s">
        <v>871</v>
      </c>
      <c r="BD1254" s="1" t="s">
        <v>553</v>
      </c>
      <c r="BE1254" s="1">
        <v>60.61</v>
      </c>
      <c r="BF1254" s="1">
        <v>6.81</v>
      </c>
      <c r="BG1254" s="1"/>
      <c r="BH1254" s="1"/>
      <c r="BI1254" s="1"/>
      <c r="BJ1254" s="1"/>
      <c r="BK1254" s="1"/>
      <c r="BL1254" s="1"/>
      <c r="BM1254" s="1"/>
      <c r="BN1254" s="1"/>
      <c r="BO1254" s="1" t="s">
        <v>22690</v>
      </c>
      <c r="BP1254" s="1" t="s">
        <v>22691</v>
      </c>
      <c r="BQ1254" s="1" t="s">
        <v>471</v>
      </c>
      <c r="BR1254" s="1" t="s">
        <v>22692</v>
      </c>
      <c r="BS1254" s="1">
        <v>4</v>
      </c>
      <c r="BT1254" s="1" t="s">
        <v>22693</v>
      </c>
      <c r="BU1254" s="1" t="str">
        <f>HYPERLINK("https://nconnect.nicmar.ac.in/storage/profile/6a87125098278.png","Download")</f>
        <v>0</v>
      </c>
      <c r="BV1254" s="3"/>
      <c r="BW1254" s="3"/>
    </row>
    <row r="1255" spans="1:75">
      <c r="A1255" s="1" t="s">
        <v>75</v>
      </c>
      <c r="B1255" s="1" t="s">
        <v>13976</v>
      </c>
      <c r="C1255" s="1" t="s">
        <v>22694</v>
      </c>
      <c r="D1255" s="1" t="s">
        <v>22695</v>
      </c>
      <c r="E1255" s="1"/>
      <c r="F1255" s="1" t="s">
        <v>22696</v>
      </c>
      <c r="G1255" s="1" t="s">
        <v>22697</v>
      </c>
      <c r="H1255" s="1" t="s">
        <v>22698</v>
      </c>
      <c r="I1255" s="1" t="s">
        <v>22698</v>
      </c>
      <c r="J1255" s="1">
        <v>7735533496</v>
      </c>
      <c r="K1255" s="1" t="s">
        <v>84</v>
      </c>
      <c r="L1255" s="1" t="s">
        <v>22699</v>
      </c>
      <c r="M1255" s="1" t="s">
        <v>86</v>
      </c>
      <c r="N1255" s="1" t="s">
        <v>22700</v>
      </c>
      <c r="O1255" s="1" t="s">
        <v>22701</v>
      </c>
      <c r="P1255" s="1" t="s">
        <v>122</v>
      </c>
      <c r="Q1255" s="1">
        <v>300400027019</v>
      </c>
      <c r="R1255" s="1" t="s">
        <v>22702</v>
      </c>
      <c r="S1255" s="1">
        <v>8114636805</v>
      </c>
      <c r="T1255" s="1" t="s">
        <v>22703</v>
      </c>
      <c r="U1255" s="1" t="s">
        <v>22704</v>
      </c>
      <c r="V1255" s="1">
        <v>7751085027</v>
      </c>
      <c r="W1255" s="1" t="s">
        <v>14212</v>
      </c>
      <c r="X1255" s="1" t="s">
        <v>22705</v>
      </c>
      <c r="Y1255" s="1" t="s">
        <v>16114</v>
      </c>
      <c r="Z1255" s="1" t="s">
        <v>865</v>
      </c>
      <c r="AA1255" s="1" t="s">
        <v>22705</v>
      </c>
      <c r="AB1255" s="1" t="s">
        <v>16114</v>
      </c>
      <c r="AC1255" s="1" t="s">
        <v>865</v>
      </c>
      <c r="AD1255" s="1" t="s">
        <v>98</v>
      </c>
      <c r="AE1255" s="1" t="s">
        <v>98</v>
      </c>
      <c r="AF1255" s="1" t="s">
        <v>22706</v>
      </c>
      <c r="AG1255" s="1" t="s">
        <v>22707</v>
      </c>
      <c r="AH1255" s="1" t="s">
        <v>167</v>
      </c>
      <c r="AI1255" s="1" t="s">
        <v>171</v>
      </c>
      <c r="AJ1255" s="1">
        <v>67.5</v>
      </c>
      <c r="AK1255" s="1"/>
      <c r="AL1255" s="1" t="s">
        <v>22708</v>
      </c>
      <c r="AM1255" s="1" t="s">
        <v>22709</v>
      </c>
      <c r="AN1255" s="1" t="s">
        <v>465</v>
      </c>
      <c r="AO1255" s="1" t="s">
        <v>174</v>
      </c>
      <c r="AP1255" s="1" t="s">
        <v>1040</v>
      </c>
      <c r="AQ1255" s="1">
        <v>66.82</v>
      </c>
      <c r="AR1255" s="1"/>
      <c r="AS1255" s="1"/>
      <c r="AT1255" s="1"/>
      <c r="AU1255" s="1"/>
      <c r="AV1255" s="1"/>
      <c r="AW1255" s="1"/>
      <c r="AX1255" s="1"/>
      <c r="AY1255" s="1" t="s">
        <v>22710</v>
      </c>
      <c r="AZ1255" s="1" t="s">
        <v>22711</v>
      </c>
      <c r="BA1255" s="1" t="s">
        <v>466</v>
      </c>
      <c r="BB1255" s="1" t="s">
        <v>467</v>
      </c>
      <c r="BC1255" s="1" t="s">
        <v>175</v>
      </c>
      <c r="BD1255" s="1" t="s">
        <v>1314</v>
      </c>
      <c r="BE1255" s="1">
        <v>73.3</v>
      </c>
      <c r="BF1255" s="1">
        <v>7.78</v>
      </c>
      <c r="BG1255" s="1"/>
      <c r="BH1255" s="1"/>
      <c r="BI1255" s="1"/>
      <c r="BJ1255" s="1"/>
      <c r="BK1255" s="1"/>
      <c r="BL1255" s="1"/>
      <c r="BM1255" s="1"/>
      <c r="BN1255" s="1"/>
      <c r="BO1255" s="1" t="s">
        <v>22712</v>
      </c>
      <c r="BP1255" s="1" t="s">
        <v>22713</v>
      </c>
      <c r="BQ1255" s="1" t="s">
        <v>292</v>
      </c>
      <c r="BR1255" s="1" t="s">
        <v>22714</v>
      </c>
      <c r="BS1255" s="1">
        <v>4</v>
      </c>
      <c r="BT1255" s="1"/>
      <c r="BU1255" s="1" t="str">
        <f>HYPERLINK("https://nconnect.nicmar.ac.in/storage/profile/6a85ea2b81900.png","Download")</f>
        <v>0</v>
      </c>
      <c r="BV1255" s="3"/>
      <c r="BW1255" s="3"/>
    </row>
    <row r="1256" spans="1:75">
      <c r="A1256" s="1" t="s">
        <v>75</v>
      </c>
      <c r="B1256" s="1" t="s">
        <v>13976</v>
      </c>
      <c r="C1256" s="1" t="s">
        <v>22715</v>
      </c>
      <c r="D1256" s="1" t="s">
        <v>13978</v>
      </c>
      <c r="E1256" s="1" t="s">
        <v>22716</v>
      </c>
      <c r="F1256" s="1" t="s">
        <v>22717</v>
      </c>
      <c r="G1256" s="1" t="s">
        <v>22718</v>
      </c>
      <c r="H1256" s="1" t="s">
        <v>22719</v>
      </c>
      <c r="I1256" s="1" t="s">
        <v>22719</v>
      </c>
      <c r="J1256" s="1">
        <v>7205059179</v>
      </c>
      <c r="K1256" s="1" t="s">
        <v>84</v>
      </c>
      <c r="L1256" s="1" t="s">
        <v>22720</v>
      </c>
      <c r="M1256" s="1" t="s">
        <v>86</v>
      </c>
      <c r="N1256" s="1" t="s">
        <v>16735</v>
      </c>
      <c r="O1256" s="1" t="s">
        <v>22721</v>
      </c>
      <c r="P1256" s="1" t="s">
        <v>89</v>
      </c>
      <c r="Q1256" s="1">
        <v>566190340774</v>
      </c>
      <c r="R1256" s="1" t="s">
        <v>22722</v>
      </c>
      <c r="S1256" s="1">
        <v>9437061214</v>
      </c>
      <c r="T1256" s="1" t="s">
        <v>926</v>
      </c>
      <c r="U1256" s="1" t="s">
        <v>22723</v>
      </c>
      <c r="V1256" s="1">
        <v>9437014168</v>
      </c>
      <c r="W1256" s="1" t="s">
        <v>161</v>
      </c>
      <c r="X1256" s="1" t="s">
        <v>22724</v>
      </c>
      <c r="Y1256" s="1" t="s">
        <v>864</v>
      </c>
      <c r="Z1256" s="1" t="s">
        <v>865</v>
      </c>
      <c r="AA1256" s="1" t="s">
        <v>22724</v>
      </c>
      <c r="AB1256" s="1" t="s">
        <v>864</v>
      </c>
      <c r="AC1256" s="1" t="s">
        <v>865</v>
      </c>
      <c r="AD1256" s="1" t="s">
        <v>98</v>
      </c>
      <c r="AE1256" s="1" t="s">
        <v>98</v>
      </c>
      <c r="AF1256" s="1" t="s">
        <v>22725</v>
      </c>
      <c r="AG1256" s="1" t="s">
        <v>22726</v>
      </c>
      <c r="AH1256" s="1" t="s">
        <v>414</v>
      </c>
      <c r="AI1256" s="1" t="s">
        <v>977</v>
      </c>
      <c r="AJ1256" s="1">
        <v>79.83</v>
      </c>
      <c r="AK1256" s="1"/>
      <c r="AL1256" s="1" t="s">
        <v>22725</v>
      </c>
      <c r="AM1256" s="1" t="s">
        <v>22726</v>
      </c>
      <c r="AN1256" s="1" t="s">
        <v>465</v>
      </c>
      <c r="AO1256" s="1" t="s">
        <v>1192</v>
      </c>
      <c r="AP1256" s="1" t="s">
        <v>521</v>
      </c>
      <c r="AQ1256" s="1">
        <v>88</v>
      </c>
      <c r="AR1256" s="1"/>
      <c r="AS1256" s="1"/>
      <c r="AT1256" s="1"/>
      <c r="AU1256" s="1"/>
      <c r="AV1256" s="1"/>
      <c r="AW1256" s="1"/>
      <c r="AX1256" s="1"/>
      <c r="AY1256" s="1" t="s">
        <v>22727</v>
      </c>
      <c r="AZ1256" s="1" t="s">
        <v>22728</v>
      </c>
      <c r="BA1256" s="1" t="s">
        <v>466</v>
      </c>
      <c r="BB1256" s="1" t="s">
        <v>467</v>
      </c>
      <c r="BC1256" s="1" t="s">
        <v>1802</v>
      </c>
      <c r="BD1256" s="1" t="s">
        <v>22729</v>
      </c>
      <c r="BE1256" s="1">
        <v>74.8</v>
      </c>
      <c r="BF1256" s="1">
        <v>7.48</v>
      </c>
      <c r="BG1256" s="1"/>
      <c r="BH1256" s="1"/>
      <c r="BI1256" s="1"/>
      <c r="BJ1256" s="1"/>
      <c r="BK1256" s="1"/>
      <c r="BL1256" s="1"/>
      <c r="BM1256" s="1"/>
      <c r="BN1256" s="1"/>
      <c r="BO1256" s="1" t="s">
        <v>22730</v>
      </c>
      <c r="BP1256" s="1"/>
      <c r="BQ1256" s="1"/>
      <c r="BR1256" s="1" t="s">
        <v>22731</v>
      </c>
      <c r="BS1256" s="1">
        <v>12</v>
      </c>
      <c r="BT1256" s="1"/>
      <c r="BU1256" s="1" t="str">
        <f>HYPERLINK("https://nconnect.nicmar.ac.in/storage/profile/6a87045756341.png","Download")</f>
        <v>0</v>
      </c>
      <c r="BV1256" s="3"/>
      <c r="BW1256" s="3"/>
    </row>
    <row r="1257" spans="1:75">
      <c r="A1257" s="1" t="s">
        <v>75</v>
      </c>
      <c r="B1257" s="1" t="s">
        <v>13976</v>
      </c>
      <c r="C1257" s="1" t="s">
        <v>22732</v>
      </c>
      <c r="D1257" s="1" t="s">
        <v>22733</v>
      </c>
      <c r="E1257" s="1"/>
      <c r="F1257" s="1" t="s">
        <v>22734</v>
      </c>
      <c r="G1257" s="1" t="s">
        <v>22735</v>
      </c>
      <c r="H1257" s="1" t="s">
        <v>22736</v>
      </c>
      <c r="I1257" s="1" t="s">
        <v>22736</v>
      </c>
      <c r="J1257" s="1">
        <v>7012407901</v>
      </c>
      <c r="K1257" s="1" t="s">
        <v>153</v>
      </c>
      <c r="L1257" s="1" t="s">
        <v>17424</v>
      </c>
      <c r="M1257" s="1" t="s">
        <v>86</v>
      </c>
      <c r="N1257" s="1" t="s">
        <v>22737</v>
      </c>
      <c r="O1257" s="1" t="s">
        <v>22738</v>
      </c>
      <c r="P1257" s="1" t="s">
        <v>219</v>
      </c>
      <c r="Q1257" s="1">
        <v>257483503526</v>
      </c>
      <c r="R1257" s="1" t="s">
        <v>22739</v>
      </c>
      <c r="S1257" s="1">
        <v>9962267185</v>
      </c>
      <c r="T1257" s="1" t="s">
        <v>22740</v>
      </c>
      <c r="U1257" s="1" t="s">
        <v>22741</v>
      </c>
      <c r="V1257" s="1">
        <v>9961477185</v>
      </c>
      <c r="W1257" s="1" t="s">
        <v>14234</v>
      </c>
      <c r="X1257" s="1" t="s">
        <v>22742</v>
      </c>
      <c r="Y1257" s="1" t="s">
        <v>3190</v>
      </c>
      <c r="Z1257" s="1" t="s">
        <v>130</v>
      </c>
      <c r="AA1257" s="1" t="s">
        <v>22742</v>
      </c>
      <c r="AB1257" s="1" t="s">
        <v>3190</v>
      </c>
      <c r="AC1257" s="1" t="s">
        <v>130</v>
      </c>
      <c r="AD1257" s="1" t="s">
        <v>98</v>
      </c>
      <c r="AE1257" s="1" t="s">
        <v>98</v>
      </c>
      <c r="AF1257" s="1" t="s">
        <v>22743</v>
      </c>
      <c r="AG1257" s="1" t="s">
        <v>17598</v>
      </c>
      <c r="AH1257" s="1" t="s">
        <v>547</v>
      </c>
      <c r="AI1257" s="1" t="s">
        <v>417</v>
      </c>
      <c r="AJ1257" s="1">
        <v>84.6</v>
      </c>
      <c r="AK1257" s="1">
        <v>8.46</v>
      </c>
      <c r="AL1257" s="1" t="s">
        <v>22743</v>
      </c>
      <c r="AM1257" s="1" t="s">
        <v>17598</v>
      </c>
      <c r="AN1257" s="1" t="s">
        <v>575</v>
      </c>
      <c r="AO1257" s="1" t="s">
        <v>2304</v>
      </c>
      <c r="AP1257" s="1" t="s">
        <v>632</v>
      </c>
      <c r="AQ1257" s="1">
        <v>88.8</v>
      </c>
      <c r="AR1257" s="1">
        <v>8.88</v>
      </c>
      <c r="AS1257" s="1"/>
      <c r="AT1257" s="1"/>
      <c r="AU1257" s="1"/>
      <c r="AV1257" s="1"/>
      <c r="AW1257" s="1"/>
      <c r="AX1257" s="1"/>
      <c r="AY1257" s="1" t="s">
        <v>137</v>
      </c>
      <c r="AZ1257" s="1" t="s">
        <v>22744</v>
      </c>
      <c r="BA1257" s="1" t="s">
        <v>466</v>
      </c>
      <c r="BB1257" s="1" t="s">
        <v>467</v>
      </c>
      <c r="BC1257" s="1" t="s">
        <v>1825</v>
      </c>
      <c r="BD1257" s="1" t="s">
        <v>9688</v>
      </c>
      <c r="BE1257" s="1">
        <v>83.6</v>
      </c>
      <c r="BF1257" s="1">
        <v>8.36</v>
      </c>
      <c r="BG1257" s="1"/>
      <c r="BH1257" s="1"/>
      <c r="BI1257" s="1"/>
      <c r="BJ1257" s="1"/>
      <c r="BK1257" s="1"/>
      <c r="BL1257" s="1"/>
      <c r="BM1257" s="1"/>
      <c r="BN1257" s="1"/>
      <c r="BO1257" s="1" t="s">
        <v>22745</v>
      </c>
      <c r="BP1257" s="1"/>
      <c r="BQ1257" s="1"/>
      <c r="BR1257" s="1" t="s">
        <v>22746</v>
      </c>
      <c r="BS1257" s="1">
        <v>2</v>
      </c>
      <c r="BT1257" s="1"/>
      <c r="BU1257" s="1" t="str">
        <f>HYPERLINK("https://nconnect.nicmar.ac.in/storage/profile/6a870cad070b8.png","Download")</f>
        <v>0</v>
      </c>
      <c r="BV1257" s="3"/>
      <c r="BW1257" s="3"/>
    </row>
    <row r="1258" spans="1:75">
      <c r="A1258" s="1" t="s">
        <v>75</v>
      </c>
      <c r="B1258" s="1" t="s">
        <v>13976</v>
      </c>
      <c r="C1258" s="1" t="s">
        <v>22747</v>
      </c>
      <c r="D1258" s="1" t="s">
        <v>22748</v>
      </c>
      <c r="E1258" s="1"/>
      <c r="F1258" s="1" t="s">
        <v>22749</v>
      </c>
      <c r="G1258" s="1" t="s">
        <v>22750</v>
      </c>
      <c r="H1258" s="1" t="s">
        <v>22751</v>
      </c>
      <c r="I1258" s="1" t="s">
        <v>22751</v>
      </c>
      <c r="J1258" s="1">
        <v>7892687570</v>
      </c>
      <c r="K1258" s="1" t="s">
        <v>84</v>
      </c>
      <c r="L1258" s="1" t="s">
        <v>22752</v>
      </c>
      <c r="M1258" s="1" t="s">
        <v>86</v>
      </c>
      <c r="N1258" s="1" t="s">
        <v>22753</v>
      </c>
      <c r="O1258" s="1" t="s">
        <v>22754</v>
      </c>
      <c r="P1258" s="1" t="s">
        <v>89</v>
      </c>
      <c r="Q1258" s="1" t="s">
        <v>22755</v>
      </c>
      <c r="R1258" s="1" t="s">
        <v>22756</v>
      </c>
      <c r="S1258" s="1">
        <v>9886733005</v>
      </c>
      <c r="T1258" s="1" t="s">
        <v>22757</v>
      </c>
      <c r="U1258" s="1" t="s">
        <v>22758</v>
      </c>
      <c r="V1258" s="1">
        <v>9886452090</v>
      </c>
      <c r="W1258" s="1" t="s">
        <v>22759</v>
      </c>
      <c r="X1258" s="1" t="s">
        <v>22760</v>
      </c>
      <c r="Y1258" s="1" t="s">
        <v>3132</v>
      </c>
      <c r="Z1258" s="1" t="s">
        <v>1210</v>
      </c>
      <c r="AA1258" s="1" t="s">
        <v>22760</v>
      </c>
      <c r="AB1258" s="1" t="s">
        <v>3132</v>
      </c>
      <c r="AC1258" s="1" t="s">
        <v>1210</v>
      </c>
      <c r="AD1258" s="1" t="s">
        <v>98</v>
      </c>
      <c r="AE1258" s="1" t="s">
        <v>98</v>
      </c>
      <c r="AF1258" s="1"/>
      <c r="AG1258" s="1"/>
      <c r="AH1258" s="1"/>
      <c r="AI1258" s="1"/>
      <c r="AJ1258" s="1"/>
      <c r="AK1258" s="1"/>
      <c r="AL1258" s="1"/>
      <c r="AM1258" s="1"/>
      <c r="AN1258" s="1"/>
      <c r="AO1258" s="1"/>
      <c r="AP1258" s="1"/>
      <c r="AQ1258" s="1"/>
      <c r="AR1258" s="1"/>
      <c r="AS1258" s="1"/>
      <c r="AT1258" s="1"/>
      <c r="AU1258" s="1"/>
      <c r="AV1258" s="1"/>
      <c r="AW1258" s="1"/>
      <c r="AX1258" s="1"/>
      <c r="AY1258" s="1"/>
      <c r="AZ1258" s="1"/>
      <c r="BA1258" s="1"/>
      <c r="BB1258" s="1"/>
      <c r="BC1258" s="1"/>
      <c r="BD1258" s="1"/>
      <c r="BE1258" s="1"/>
      <c r="BF1258" s="1"/>
      <c r="BG1258" s="1"/>
      <c r="BH1258" s="1"/>
      <c r="BI1258" s="1"/>
      <c r="BJ1258" s="1"/>
      <c r="BK1258" s="1"/>
      <c r="BL1258" s="1"/>
      <c r="BM1258" s="1"/>
      <c r="BN1258" s="1"/>
      <c r="BO1258" s="1"/>
      <c r="BP1258" s="1" t="s">
        <v>22761</v>
      </c>
      <c r="BQ1258" s="1" t="s">
        <v>471</v>
      </c>
      <c r="BR1258" s="1"/>
      <c r="BS1258" s="1"/>
      <c r="BT1258" s="1"/>
      <c r="BU1258" s="1" t="str">
        <f>HYPERLINK("https://nconnect.nicmar.ac.in/storage/profile/6a871a75eed7f.png","Download")</f>
        <v>0</v>
      </c>
      <c r="BV1258" s="3"/>
      <c r="BW1258" s="3"/>
    </row>
    <row r="1259" spans="1:75">
      <c r="A1259" s="1" t="s">
        <v>75</v>
      </c>
      <c r="B1259" s="1" t="s">
        <v>13976</v>
      </c>
      <c r="C1259" s="1" t="s">
        <v>22762</v>
      </c>
      <c r="D1259" s="1" t="s">
        <v>22763</v>
      </c>
      <c r="E1259" s="1" t="s">
        <v>22764</v>
      </c>
      <c r="F1259" s="1" t="s">
        <v>14250</v>
      </c>
      <c r="G1259" s="1" t="s">
        <v>22765</v>
      </c>
      <c r="H1259" s="1" t="s">
        <v>22766</v>
      </c>
      <c r="I1259" s="1" t="s">
        <v>22766</v>
      </c>
      <c r="J1259" s="1">
        <v>8605927610</v>
      </c>
      <c r="K1259" s="1" t="s">
        <v>84</v>
      </c>
      <c r="L1259" s="1" t="s">
        <v>22767</v>
      </c>
      <c r="M1259" s="1" t="s">
        <v>86</v>
      </c>
      <c r="N1259" s="1" t="s">
        <v>22768</v>
      </c>
      <c r="O1259" s="1" t="s">
        <v>22769</v>
      </c>
      <c r="P1259" s="1" t="s">
        <v>122</v>
      </c>
      <c r="Q1259" s="1">
        <v>859635841032</v>
      </c>
      <c r="R1259" s="1" t="s">
        <v>22770</v>
      </c>
      <c r="S1259" s="1">
        <v>8767492286</v>
      </c>
      <c r="T1259" s="1" t="s">
        <v>13987</v>
      </c>
      <c r="U1259" s="1" t="s">
        <v>22771</v>
      </c>
      <c r="V1259" s="1">
        <v>7821051939</v>
      </c>
      <c r="W1259" s="1" t="s">
        <v>22772</v>
      </c>
      <c r="X1259" s="1" t="s">
        <v>22773</v>
      </c>
      <c r="Y1259" s="1" t="s">
        <v>251</v>
      </c>
      <c r="Z1259" s="1" t="s">
        <v>97</v>
      </c>
      <c r="AA1259" s="1" t="s">
        <v>22773</v>
      </c>
      <c r="AB1259" s="1" t="s">
        <v>251</v>
      </c>
      <c r="AC1259" s="1" t="s">
        <v>97</v>
      </c>
      <c r="AD1259" s="1" t="s">
        <v>98</v>
      </c>
      <c r="AE1259" s="1" t="s">
        <v>98</v>
      </c>
      <c r="AF1259" s="1" t="s">
        <v>22774</v>
      </c>
      <c r="AG1259" s="1" t="s">
        <v>22775</v>
      </c>
      <c r="AH1259" s="1" t="s">
        <v>166</v>
      </c>
      <c r="AI1259" s="1" t="s">
        <v>1111</v>
      </c>
      <c r="AJ1259" s="1">
        <v>81.6</v>
      </c>
      <c r="AK1259" s="1"/>
      <c r="AL1259" s="1"/>
      <c r="AM1259" s="1"/>
      <c r="AN1259" s="1"/>
      <c r="AO1259" s="1"/>
      <c r="AP1259" s="1"/>
      <c r="AQ1259" s="1"/>
      <c r="AR1259" s="1"/>
      <c r="AS1259" s="1" t="s">
        <v>14377</v>
      </c>
      <c r="AT1259" s="1" t="s">
        <v>14378</v>
      </c>
      <c r="AU1259" s="1" t="s">
        <v>388</v>
      </c>
      <c r="AV1259" s="1" t="s">
        <v>175</v>
      </c>
      <c r="AW1259" s="1">
        <v>88.16</v>
      </c>
      <c r="AX1259" s="1"/>
      <c r="AY1259" s="1" t="s">
        <v>22776</v>
      </c>
      <c r="AZ1259" s="1" t="s">
        <v>22777</v>
      </c>
      <c r="BA1259" s="1" t="s">
        <v>466</v>
      </c>
      <c r="BB1259" s="1" t="s">
        <v>467</v>
      </c>
      <c r="BC1259" s="1" t="s">
        <v>871</v>
      </c>
      <c r="BD1259" s="1" t="s">
        <v>1268</v>
      </c>
      <c r="BE1259" s="1">
        <v>83.34</v>
      </c>
      <c r="BF1259" s="1">
        <v>9.05</v>
      </c>
      <c r="BG1259" s="1"/>
      <c r="BH1259" s="1"/>
      <c r="BI1259" s="1"/>
      <c r="BJ1259" s="1"/>
      <c r="BK1259" s="1"/>
      <c r="BL1259" s="1"/>
      <c r="BM1259" s="1"/>
      <c r="BN1259" s="1"/>
      <c r="BO1259" s="1" t="s">
        <v>22778</v>
      </c>
      <c r="BP1259" s="1"/>
      <c r="BQ1259" s="1"/>
      <c r="BR1259" s="1"/>
      <c r="BS1259" s="1"/>
      <c r="BT1259" s="1"/>
      <c r="BU1259" s="1" t="str">
        <f>HYPERLINK("https://nconnect.nicmar.ac.in/storage/profile/6a86f41682a87.png","Download")</f>
        <v>0</v>
      </c>
      <c r="BV1259" s="3"/>
      <c r="BW1259" s="3"/>
    </row>
    <row r="1260" spans="1:75">
      <c r="A1260" s="1" t="s">
        <v>75</v>
      </c>
      <c r="B1260" s="1" t="s">
        <v>13976</v>
      </c>
      <c r="C1260" s="1" t="s">
        <v>22779</v>
      </c>
      <c r="D1260" s="1" t="s">
        <v>22780</v>
      </c>
      <c r="E1260" s="1" t="s">
        <v>20845</v>
      </c>
      <c r="F1260" s="1" t="s">
        <v>19451</v>
      </c>
      <c r="G1260" s="1" t="s">
        <v>22781</v>
      </c>
      <c r="H1260" s="1" t="s">
        <v>22782</v>
      </c>
      <c r="I1260" s="1" t="s">
        <v>22782</v>
      </c>
      <c r="J1260" s="1">
        <v>8208337939</v>
      </c>
      <c r="K1260" s="1" t="s">
        <v>84</v>
      </c>
      <c r="L1260" s="1" t="s">
        <v>22783</v>
      </c>
      <c r="M1260" s="1" t="s">
        <v>86</v>
      </c>
      <c r="N1260" s="1" t="s">
        <v>18156</v>
      </c>
      <c r="O1260" s="1" t="s">
        <v>22784</v>
      </c>
      <c r="P1260" s="1" t="s">
        <v>219</v>
      </c>
      <c r="Q1260" s="1">
        <v>857000142836</v>
      </c>
      <c r="R1260" s="1" t="s">
        <v>20845</v>
      </c>
      <c r="S1260" s="1">
        <v>9404254415</v>
      </c>
      <c r="T1260" s="1" t="s">
        <v>3439</v>
      </c>
      <c r="U1260" s="1" t="s">
        <v>16214</v>
      </c>
      <c r="V1260" s="1">
        <v>8275667317</v>
      </c>
      <c r="W1260" s="1" t="s">
        <v>14821</v>
      </c>
      <c r="X1260" s="1" t="s">
        <v>22785</v>
      </c>
      <c r="Y1260" s="1" t="s">
        <v>6128</v>
      </c>
      <c r="Z1260" s="1" t="s">
        <v>97</v>
      </c>
      <c r="AA1260" s="1" t="s">
        <v>22785</v>
      </c>
      <c r="AB1260" s="1" t="s">
        <v>6128</v>
      </c>
      <c r="AC1260" s="1" t="s">
        <v>97</v>
      </c>
      <c r="AD1260" s="1" t="s">
        <v>98</v>
      </c>
      <c r="AE1260" s="1" t="s">
        <v>98</v>
      </c>
      <c r="AF1260" s="1" t="s">
        <v>22786</v>
      </c>
      <c r="AG1260" s="1" t="s">
        <v>14977</v>
      </c>
      <c r="AH1260" s="1" t="s">
        <v>438</v>
      </c>
      <c r="AI1260" s="1" t="s">
        <v>603</v>
      </c>
      <c r="AJ1260" s="1">
        <v>92.4</v>
      </c>
      <c r="AK1260" s="1"/>
      <c r="AL1260" s="1" t="s">
        <v>19460</v>
      </c>
      <c r="AM1260" s="1" t="s">
        <v>14977</v>
      </c>
      <c r="AN1260" s="1" t="s">
        <v>465</v>
      </c>
      <c r="AO1260" s="1" t="s">
        <v>847</v>
      </c>
      <c r="AP1260" s="1" t="s">
        <v>1886</v>
      </c>
      <c r="AQ1260" s="1">
        <v>67.0</v>
      </c>
      <c r="AR1260" s="1"/>
      <c r="AS1260" s="1"/>
      <c r="AT1260" s="1"/>
      <c r="AU1260" s="1"/>
      <c r="AV1260" s="1"/>
      <c r="AW1260" s="1"/>
      <c r="AX1260" s="1"/>
      <c r="AY1260" s="1" t="s">
        <v>22787</v>
      </c>
      <c r="AZ1260" s="1" t="s">
        <v>22788</v>
      </c>
      <c r="BA1260" s="1" t="s">
        <v>466</v>
      </c>
      <c r="BB1260" s="1" t="s">
        <v>467</v>
      </c>
      <c r="BC1260" s="1" t="s">
        <v>1889</v>
      </c>
      <c r="BD1260" s="1" t="s">
        <v>9688</v>
      </c>
      <c r="BE1260" s="1">
        <v>79.2</v>
      </c>
      <c r="BF1260" s="1">
        <v>7.92</v>
      </c>
      <c r="BG1260" s="1"/>
      <c r="BH1260" s="1"/>
      <c r="BI1260" s="1"/>
      <c r="BJ1260" s="1"/>
      <c r="BK1260" s="1"/>
      <c r="BL1260" s="1"/>
      <c r="BM1260" s="1"/>
      <c r="BN1260" s="1"/>
      <c r="BO1260" s="1" t="s">
        <v>22789</v>
      </c>
      <c r="BP1260" s="1"/>
      <c r="BQ1260" s="1"/>
      <c r="BR1260" s="1" t="s">
        <v>22790</v>
      </c>
      <c r="BS1260" s="1">
        <v>16</v>
      </c>
      <c r="BT1260" s="1" t="s">
        <v>22791</v>
      </c>
      <c r="BU1260" s="1" t="str">
        <f>HYPERLINK("https://nconnect.nicmar.ac.in/storage/profile/6a85f3247f191.png","Download")</f>
        <v>0</v>
      </c>
      <c r="BV1260" s="3"/>
      <c r="BW1260" s="3"/>
    </row>
    <row r="1261" spans="1:75">
      <c r="A1261" s="1" t="s">
        <v>75</v>
      </c>
      <c r="B1261" s="1" t="s">
        <v>13976</v>
      </c>
      <c r="C1261" s="1" t="s">
        <v>22792</v>
      </c>
      <c r="D1261" s="1" t="s">
        <v>22793</v>
      </c>
      <c r="E1261" s="1" t="s">
        <v>22794</v>
      </c>
      <c r="F1261" s="1" t="s">
        <v>22795</v>
      </c>
      <c r="G1261" s="1" t="s">
        <v>22796</v>
      </c>
      <c r="H1261" s="1" t="s">
        <v>22797</v>
      </c>
      <c r="I1261" s="1" t="s">
        <v>22797</v>
      </c>
      <c r="J1261" s="1">
        <v>7757840699</v>
      </c>
      <c r="K1261" s="1" t="s">
        <v>84</v>
      </c>
      <c r="L1261" s="1" t="s">
        <v>22798</v>
      </c>
      <c r="M1261" s="1" t="s">
        <v>86</v>
      </c>
      <c r="N1261" s="1" t="s">
        <v>768</v>
      </c>
      <c r="O1261" s="1" t="s">
        <v>22799</v>
      </c>
      <c r="P1261" s="1" t="s">
        <v>122</v>
      </c>
      <c r="Q1261" s="1">
        <v>796127976891</v>
      </c>
      <c r="R1261" s="1" t="s">
        <v>22794</v>
      </c>
      <c r="S1261" s="1">
        <v>9823053385</v>
      </c>
      <c r="T1261" s="1" t="s">
        <v>13987</v>
      </c>
      <c r="U1261" s="1" t="s">
        <v>22800</v>
      </c>
      <c r="V1261" s="1">
        <v>8600759807</v>
      </c>
      <c r="W1261" s="1" t="s">
        <v>14154</v>
      </c>
      <c r="X1261" s="1" t="s">
        <v>22801</v>
      </c>
      <c r="Y1261" s="1" t="s">
        <v>410</v>
      </c>
      <c r="Z1261" s="1" t="s">
        <v>97</v>
      </c>
      <c r="AA1261" s="1" t="s">
        <v>22801</v>
      </c>
      <c r="AB1261" s="1" t="s">
        <v>410</v>
      </c>
      <c r="AC1261" s="1" t="s">
        <v>97</v>
      </c>
      <c r="AD1261" s="1" t="s">
        <v>98</v>
      </c>
      <c r="AE1261" s="1" t="s">
        <v>98</v>
      </c>
      <c r="AF1261" s="1" t="s">
        <v>22802</v>
      </c>
      <c r="AG1261" s="1" t="s">
        <v>22803</v>
      </c>
      <c r="AH1261" s="1" t="s">
        <v>1213</v>
      </c>
      <c r="AI1261" s="1" t="s">
        <v>515</v>
      </c>
      <c r="AJ1261" s="1">
        <v>77.2</v>
      </c>
      <c r="AK1261" s="1"/>
      <c r="AL1261" s="1" t="s">
        <v>22804</v>
      </c>
      <c r="AM1261" s="1" t="s">
        <v>22803</v>
      </c>
      <c r="AN1261" s="1" t="s">
        <v>465</v>
      </c>
      <c r="AO1261" s="1" t="s">
        <v>342</v>
      </c>
      <c r="AP1261" s="1" t="s">
        <v>517</v>
      </c>
      <c r="AQ1261" s="1">
        <v>63.54</v>
      </c>
      <c r="AR1261" s="1"/>
      <c r="AS1261" s="1"/>
      <c r="AT1261" s="1"/>
      <c r="AU1261" s="1"/>
      <c r="AV1261" s="1"/>
      <c r="AW1261" s="1"/>
      <c r="AX1261" s="1"/>
      <c r="AY1261" s="1" t="s">
        <v>22805</v>
      </c>
      <c r="AZ1261" s="1" t="s">
        <v>22806</v>
      </c>
      <c r="BA1261" s="1" t="s">
        <v>578</v>
      </c>
      <c r="BB1261" s="1" t="s">
        <v>467</v>
      </c>
      <c r="BC1261" s="1" t="s">
        <v>139</v>
      </c>
      <c r="BD1261" s="1" t="s">
        <v>441</v>
      </c>
      <c r="BE1261" s="1">
        <v>76.98</v>
      </c>
      <c r="BF1261" s="1">
        <v>7.94</v>
      </c>
      <c r="BG1261" s="1"/>
      <c r="BH1261" s="1"/>
      <c r="BI1261" s="1"/>
      <c r="BJ1261" s="1"/>
      <c r="BK1261" s="1"/>
      <c r="BL1261" s="1"/>
      <c r="BM1261" s="1"/>
      <c r="BN1261" s="1"/>
      <c r="BO1261" s="1" t="s">
        <v>22807</v>
      </c>
      <c r="BP1261" s="1"/>
      <c r="BQ1261" s="1"/>
      <c r="BR1261" s="1"/>
      <c r="BS1261" s="1"/>
      <c r="BT1261" s="1" t="s">
        <v>22808</v>
      </c>
      <c r="BU1261" s="1" t="str">
        <f>HYPERLINK("https://nconnect.nicmar.ac.in/storage/profile/6a86647b1386f.png","Download")</f>
        <v>0</v>
      </c>
      <c r="BV1261" s="3"/>
      <c r="BW1261" s="3"/>
    </row>
    <row r="1262" spans="1:75">
      <c r="A1262" s="1" t="s">
        <v>75</v>
      </c>
      <c r="B1262" s="1" t="s">
        <v>13976</v>
      </c>
      <c r="C1262" s="1" t="s">
        <v>22809</v>
      </c>
      <c r="D1262" s="1"/>
      <c r="E1262" s="1"/>
      <c r="F1262" s="1"/>
      <c r="G1262" s="1"/>
      <c r="H1262" s="1" t="s">
        <v>22810</v>
      </c>
      <c r="I1262" s="1" t="s">
        <v>22810</v>
      </c>
      <c r="J1262" s="1"/>
      <c r="K1262" s="1"/>
      <c r="L1262" s="1"/>
      <c r="M1262" s="1"/>
      <c r="N1262" s="1"/>
      <c r="O1262" s="1"/>
      <c r="P1262" s="1"/>
      <c r="Q1262" s="1"/>
      <c r="R1262" s="1"/>
      <c r="S1262" s="1"/>
      <c r="T1262" s="1"/>
      <c r="U1262" s="1"/>
      <c r="V1262" s="1"/>
      <c r="W1262" s="1"/>
      <c r="X1262" s="1"/>
      <c r="Y1262" s="1"/>
      <c r="Z1262" s="1"/>
      <c r="AA1262" s="1"/>
      <c r="AB1262" s="1"/>
      <c r="AC1262" s="1"/>
      <c r="AD1262" s="1" t="s">
        <v>98</v>
      </c>
      <c r="AE1262" s="1" t="s">
        <v>98</v>
      </c>
      <c r="AF1262" s="1"/>
      <c r="AG1262" s="1"/>
      <c r="AH1262" s="1"/>
      <c r="AI1262" s="1"/>
      <c r="AJ1262" s="1"/>
      <c r="AK1262" s="1"/>
      <c r="AL1262" s="1"/>
      <c r="AM1262" s="1"/>
      <c r="AN1262" s="1"/>
      <c r="AO1262" s="1"/>
      <c r="AP1262" s="1"/>
      <c r="AQ1262" s="1"/>
      <c r="AR1262" s="1"/>
      <c r="AS1262" s="1"/>
      <c r="AT1262" s="1"/>
      <c r="AU1262" s="1"/>
      <c r="AV1262" s="1"/>
      <c r="AW1262" s="1"/>
      <c r="AX1262" s="1"/>
      <c r="AY1262" s="1"/>
      <c r="AZ1262" s="1"/>
      <c r="BA1262" s="1"/>
      <c r="BB1262" s="1"/>
      <c r="BC1262" s="1"/>
      <c r="BD1262" s="1"/>
      <c r="BE1262" s="1"/>
      <c r="BF1262" s="1"/>
      <c r="BG1262" s="1"/>
      <c r="BH1262" s="1"/>
      <c r="BI1262" s="1"/>
      <c r="BJ1262" s="1"/>
      <c r="BK1262" s="1"/>
      <c r="BL1262" s="1"/>
      <c r="BM1262" s="1"/>
      <c r="BN1262" s="1"/>
      <c r="BO1262" s="1"/>
      <c r="BP1262" s="1"/>
      <c r="BQ1262" s="1"/>
      <c r="BR1262" s="1"/>
      <c r="BS1262" s="1"/>
      <c r="BT1262" s="1"/>
      <c r="BU1262" s="1" t="s">
        <v>9653</v>
      </c>
      <c r="BV1262" s="3"/>
      <c r="BW1262" s="3"/>
    </row>
    <row r="1263" spans="1:75">
      <c r="A1263" s="1" t="s">
        <v>75</v>
      </c>
      <c r="B1263" s="1" t="s">
        <v>13976</v>
      </c>
      <c r="C1263" s="1" t="s">
        <v>22811</v>
      </c>
      <c r="D1263" s="1" t="s">
        <v>22812</v>
      </c>
      <c r="E1263" s="1" t="s">
        <v>22813</v>
      </c>
      <c r="F1263" s="1" t="s">
        <v>22814</v>
      </c>
      <c r="G1263" s="1" t="s">
        <v>22815</v>
      </c>
      <c r="H1263" s="1" t="s">
        <v>22816</v>
      </c>
      <c r="I1263" s="1" t="s">
        <v>22816</v>
      </c>
      <c r="J1263" s="1">
        <v>8888186164</v>
      </c>
      <c r="K1263" s="1" t="s">
        <v>84</v>
      </c>
      <c r="L1263" s="1" t="s">
        <v>20130</v>
      </c>
      <c r="M1263" s="1" t="s">
        <v>86</v>
      </c>
      <c r="N1263" s="1" t="s">
        <v>22817</v>
      </c>
      <c r="O1263" s="1" t="s">
        <v>22818</v>
      </c>
      <c r="P1263" s="1" t="s">
        <v>122</v>
      </c>
      <c r="Q1263" s="1">
        <v>345656489612</v>
      </c>
      <c r="R1263" s="1" t="s">
        <v>22819</v>
      </c>
      <c r="S1263" s="1">
        <v>9823836164</v>
      </c>
      <c r="T1263" s="1" t="s">
        <v>15222</v>
      </c>
      <c r="U1263" s="1" t="s">
        <v>22820</v>
      </c>
      <c r="V1263" s="1">
        <v>9823263070</v>
      </c>
      <c r="W1263" s="1" t="s">
        <v>14710</v>
      </c>
      <c r="X1263" s="1" t="s">
        <v>22821</v>
      </c>
      <c r="Y1263" s="1" t="s">
        <v>196</v>
      </c>
      <c r="Z1263" s="1" t="s">
        <v>97</v>
      </c>
      <c r="AA1263" s="1" t="s">
        <v>22821</v>
      </c>
      <c r="AB1263" s="1" t="s">
        <v>196</v>
      </c>
      <c r="AC1263" s="1" t="s">
        <v>97</v>
      </c>
      <c r="AD1263" s="1" t="s">
        <v>98</v>
      </c>
      <c r="AE1263" s="1" t="s">
        <v>98</v>
      </c>
      <c r="AF1263" s="1" t="s">
        <v>22822</v>
      </c>
      <c r="AG1263" s="1" t="s">
        <v>22823</v>
      </c>
      <c r="AH1263" s="1" t="s">
        <v>438</v>
      </c>
      <c r="AI1263" s="1" t="s">
        <v>603</v>
      </c>
      <c r="AJ1263" s="1">
        <v>74</v>
      </c>
      <c r="AK1263" s="1"/>
      <c r="AL1263" s="1"/>
      <c r="AM1263" s="1"/>
      <c r="AN1263" s="1"/>
      <c r="AO1263" s="1"/>
      <c r="AP1263" s="1"/>
      <c r="AQ1263" s="1"/>
      <c r="AR1263" s="1"/>
      <c r="AS1263" s="1" t="s">
        <v>22824</v>
      </c>
      <c r="AT1263" s="1" t="s">
        <v>22825</v>
      </c>
      <c r="AU1263" s="1" t="s">
        <v>1192</v>
      </c>
      <c r="AV1263" s="1" t="s">
        <v>234</v>
      </c>
      <c r="AW1263" s="1">
        <v>82.22</v>
      </c>
      <c r="AX1263" s="1"/>
      <c r="AY1263" s="1" t="s">
        <v>14828</v>
      </c>
      <c r="AZ1263" s="1" t="s">
        <v>22826</v>
      </c>
      <c r="BA1263" s="1" t="s">
        <v>578</v>
      </c>
      <c r="BB1263" s="1" t="s">
        <v>467</v>
      </c>
      <c r="BC1263" s="1" t="s">
        <v>207</v>
      </c>
      <c r="BD1263" s="1" t="s">
        <v>14162</v>
      </c>
      <c r="BE1263" s="1">
        <v>72.8</v>
      </c>
      <c r="BF1263" s="1">
        <v>8.03</v>
      </c>
      <c r="BG1263" s="1"/>
      <c r="BH1263" s="1"/>
      <c r="BI1263" s="1"/>
      <c r="BJ1263" s="1"/>
      <c r="BK1263" s="1"/>
      <c r="BL1263" s="1"/>
      <c r="BM1263" s="1"/>
      <c r="BN1263" s="1"/>
      <c r="BO1263" s="1" t="s">
        <v>22827</v>
      </c>
      <c r="BP1263" s="1"/>
      <c r="BQ1263" s="1"/>
      <c r="BR1263" s="1"/>
      <c r="BS1263" s="1"/>
      <c r="BT1263" s="1"/>
      <c r="BU1263" s="1" t="str">
        <f>HYPERLINK("https://nconnect.nicmar.ac.in/storage/profile/6a8bcaf882076.png","Download")</f>
        <v>0</v>
      </c>
      <c r="BV1263" s="3"/>
      <c r="BW1263" s="3"/>
    </row>
    <row r="1264" spans="1:75">
      <c r="A1264" s="1" t="s">
        <v>75</v>
      </c>
      <c r="B1264" s="1" t="s">
        <v>13976</v>
      </c>
      <c r="C1264" s="1" t="s">
        <v>22828</v>
      </c>
      <c r="D1264" s="1" t="s">
        <v>22829</v>
      </c>
      <c r="E1264" s="1"/>
      <c r="F1264" s="1" t="s">
        <v>1295</v>
      </c>
      <c r="G1264" s="1" t="s">
        <v>22830</v>
      </c>
      <c r="H1264" s="1" t="s">
        <v>22831</v>
      </c>
      <c r="I1264" s="1" t="s">
        <v>22831</v>
      </c>
      <c r="J1264" s="1">
        <v>7306930802</v>
      </c>
      <c r="K1264" s="1" t="s">
        <v>84</v>
      </c>
      <c r="L1264" s="1" t="s">
        <v>6353</v>
      </c>
      <c r="M1264" s="1" t="s">
        <v>86</v>
      </c>
      <c r="N1264" s="1" t="s">
        <v>22832</v>
      </c>
      <c r="O1264" s="1" t="s">
        <v>22833</v>
      </c>
      <c r="P1264" s="1" t="s">
        <v>219</v>
      </c>
      <c r="Q1264" s="1">
        <v>299505458537</v>
      </c>
      <c r="R1264" s="1" t="s">
        <v>22834</v>
      </c>
      <c r="S1264" s="1">
        <v>9446616036</v>
      </c>
      <c r="T1264" s="1" t="s">
        <v>10818</v>
      </c>
      <c r="U1264" s="1" t="s">
        <v>22835</v>
      </c>
      <c r="V1264" s="1">
        <v>8547102446</v>
      </c>
      <c r="W1264" s="1" t="s">
        <v>94</v>
      </c>
      <c r="X1264" s="1" t="s">
        <v>22836</v>
      </c>
      <c r="Y1264" s="1" t="s">
        <v>3190</v>
      </c>
      <c r="Z1264" s="1" t="s">
        <v>130</v>
      </c>
      <c r="AA1264" s="1" t="s">
        <v>22837</v>
      </c>
      <c r="AB1264" s="1" t="s">
        <v>3190</v>
      </c>
      <c r="AC1264" s="1" t="s">
        <v>130</v>
      </c>
      <c r="AD1264" s="1" t="s">
        <v>98</v>
      </c>
      <c r="AE1264" s="1" t="s">
        <v>98</v>
      </c>
      <c r="AF1264" s="1" t="s">
        <v>22838</v>
      </c>
      <c r="AG1264" s="1" t="s">
        <v>22839</v>
      </c>
      <c r="AH1264" s="1" t="s">
        <v>166</v>
      </c>
      <c r="AI1264" s="1" t="s">
        <v>170</v>
      </c>
      <c r="AJ1264" s="1">
        <v>93.1</v>
      </c>
      <c r="AK1264" s="1">
        <v>9.8</v>
      </c>
      <c r="AL1264" s="1" t="s">
        <v>22840</v>
      </c>
      <c r="AM1264" s="1" t="s">
        <v>22839</v>
      </c>
      <c r="AN1264" s="1" t="s">
        <v>465</v>
      </c>
      <c r="AO1264" s="1" t="s">
        <v>388</v>
      </c>
      <c r="AP1264" s="1" t="s">
        <v>313</v>
      </c>
      <c r="AQ1264" s="1">
        <v>82</v>
      </c>
      <c r="AR1264" s="1"/>
      <c r="AS1264" s="1"/>
      <c r="AT1264" s="1"/>
      <c r="AU1264" s="1"/>
      <c r="AV1264" s="1"/>
      <c r="AW1264" s="1"/>
      <c r="AX1264" s="1"/>
      <c r="AY1264" s="1" t="s">
        <v>137</v>
      </c>
      <c r="AZ1264" s="1" t="s">
        <v>22841</v>
      </c>
      <c r="BA1264" s="1" t="s">
        <v>466</v>
      </c>
      <c r="BB1264" s="1" t="s">
        <v>467</v>
      </c>
      <c r="BC1264" s="1" t="s">
        <v>315</v>
      </c>
      <c r="BD1264" s="1" t="s">
        <v>391</v>
      </c>
      <c r="BE1264" s="1">
        <v>70.09</v>
      </c>
      <c r="BF1264" s="1">
        <v>7.09</v>
      </c>
      <c r="BG1264" s="1"/>
      <c r="BH1264" s="1"/>
      <c r="BI1264" s="1"/>
      <c r="BJ1264" s="1"/>
      <c r="BK1264" s="1"/>
      <c r="BL1264" s="1"/>
      <c r="BM1264" s="1"/>
      <c r="BN1264" s="1"/>
      <c r="BO1264" s="1" t="s">
        <v>22842</v>
      </c>
      <c r="BP1264" s="1"/>
      <c r="BQ1264" s="1"/>
      <c r="BR1264" s="1" t="s">
        <v>22843</v>
      </c>
      <c r="BS1264" s="1">
        <v>43</v>
      </c>
      <c r="BT1264" s="1"/>
      <c r="BU1264" s="1" t="str">
        <f>HYPERLINK("https://nconnect.nicmar.ac.in/storage/profile/6a87177ce0569.png","Download")</f>
        <v>0</v>
      </c>
      <c r="BV1264" s="3"/>
      <c r="BW1264" s="3"/>
    </row>
    <row r="1265" spans="1:75">
      <c r="A1265" s="1" t="s">
        <v>75</v>
      </c>
      <c r="B1265" s="1" t="s">
        <v>13976</v>
      </c>
      <c r="C1265" s="1" t="s">
        <v>22844</v>
      </c>
      <c r="D1265" s="1" t="s">
        <v>22845</v>
      </c>
      <c r="E1265" s="1"/>
      <c r="F1265" s="1" t="s">
        <v>1964</v>
      </c>
      <c r="G1265" s="1" t="s">
        <v>22846</v>
      </c>
      <c r="H1265" s="1" t="s">
        <v>22847</v>
      </c>
      <c r="I1265" s="1" t="s">
        <v>22847</v>
      </c>
      <c r="J1265" s="1">
        <v>6396734460</v>
      </c>
      <c r="K1265" s="1" t="s">
        <v>84</v>
      </c>
      <c r="L1265" s="1" t="s">
        <v>22848</v>
      </c>
      <c r="M1265" s="1" t="s">
        <v>86</v>
      </c>
      <c r="N1265" s="1" t="s">
        <v>4857</v>
      </c>
      <c r="O1265" s="1" t="s">
        <v>22849</v>
      </c>
      <c r="P1265" s="1" t="s">
        <v>122</v>
      </c>
      <c r="Q1265" s="1">
        <v>375831271098</v>
      </c>
      <c r="R1265" s="1" t="s">
        <v>22850</v>
      </c>
      <c r="S1265" s="1">
        <v>7906374611</v>
      </c>
      <c r="T1265" s="1" t="s">
        <v>22851</v>
      </c>
      <c r="U1265" s="1" t="s">
        <v>22852</v>
      </c>
      <c r="V1265" s="1">
        <v>7011066417</v>
      </c>
      <c r="W1265" s="1" t="s">
        <v>3441</v>
      </c>
      <c r="X1265" s="1" t="s">
        <v>22853</v>
      </c>
      <c r="Y1265" s="1" t="s">
        <v>22854</v>
      </c>
      <c r="Z1265" s="1" t="s">
        <v>1739</v>
      </c>
      <c r="AA1265" s="1" t="s">
        <v>22853</v>
      </c>
      <c r="AB1265" s="1" t="s">
        <v>22854</v>
      </c>
      <c r="AC1265" s="1" t="s">
        <v>1739</v>
      </c>
      <c r="AD1265" s="1" t="s">
        <v>98</v>
      </c>
      <c r="AE1265" s="1" t="s">
        <v>98</v>
      </c>
      <c r="AF1265" s="1" t="s">
        <v>22855</v>
      </c>
      <c r="AG1265" s="1" t="s">
        <v>18301</v>
      </c>
      <c r="AH1265" s="1" t="s">
        <v>1396</v>
      </c>
      <c r="AI1265" s="1" t="s">
        <v>174</v>
      </c>
      <c r="AJ1265" s="1">
        <v>75.4</v>
      </c>
      <c r="AK1265" s="1"/>
      <c r="AL1265" s="1" t="s">
        <v>22855</v>
      </c>
      <c r="AM1265" s="1" t="s">
        <v>18301</v>
      </c>
      <c r="AN1265" s="1" t="s">
        <v>465</v>
      </c>
      <c r="AO1265" s="1" t="s">
        <v>174</v>
      </c>
      <c r="AP1265" s="1" t="s">
        <v>178</v>
      </c>
      <c r="AQ1265" s="1">
        <v>69.6</v>
      </c>
      <c r="AR1265" s="1"/>
      <c r="AS1265" s="1"/>
      <c r="AT1265" s="1"/>
      <c r="AU1265" s="1"/>
      <c r="AV1265" s="1"/>
      <c r="AW1265" s="1"/>
      <c r="AX1265" s="1"/>
      <c r="AY1265" s="1" t="s">
        <v>14806</v>
      </c>
      <c r="AZ1265" s="1" t="s">
        <v>22856</v>
      </c>
      <c r="BA1265" s="1" t="s">
        <v>466</v>
      </c>
      <c r="BB1265" s="1" t="s">
        <v>467</v>
      </c>
      <c r="BC1265" s="1" t="s">
        <v>178</v>
      </c>
      <c r="BD1265" s="1" t="s">
        <v>1089</v>
      </c>
      <c r="BE1265" s="1">
        <v>85.6</v>
      </c>
      <c r="BF1265" s="1">
        <v>8.56</v>
      </c>
      <c r="BG1265" s="1"/>
      <c r="BH1265" s="1"/>
      <c r="BI1265" s="1"/>
      <c r="BJ1265" s="1"/>
      <c r="BK1265" s="1"/>
      <c r="BL1265" s="1"/>
      <c r="BM1265" s="1"/>
      <c r="BN1265" s="1"/>
      <c r="BO1265" s="1" t="s">
        <v>22857</v>
      </c>
      <c r="BP1265" s="1" t="s">
        <v>22858</v>
      </c>
      <c r="BQ1265" s="1" t="s">
        <v>2245</v>
      </c>
      <c r="BR1265" s="1" t="s">
        <v>22859</v>
      </c>
      <c r="BS1265" s="1">
        <v>4</v>
      </c>
      <c r="BT1265" s="1" t="s">
        <v>22860</v>
      </c>
      <c r="BU1265" s="1" t="str">
        <f>HYPERLINK("https://nconnect.nicmar.ac.in/storage/profile/6a8689cf57adc.png","Download")</f>
        <v>0</v>
      </c>
      <c r="BV1265" s="3"/>
      <c r="BW1265" s="3"/>
    </row>
    <row r="1266" spans="1:75">
      <c r="A1266" s="1" t="s">
        <v>75</v>
      </c>
      <c r="B1266" s="1" t="s">
        <v>13976</v>
      </c>
      <c r="C1266" s="1" t="s">
        <v>22861</v>
      </c>
      <c r="D1266" s="1" t="s">
        <v>22862</v>
      </c>
      <c r="E1266" s="1"/>
      <c r="F1266" s="1" t="s">
        <v>22863</v>
      </c>
      <c r="G1266" s="1" t="s">
        <v>22864</v>
      </c>
      <c r="H1266" s="1" t="s">
        <v>22865</v>
      </c>
      <c r="I1266" s="1" t="s">
        <v>22865</v>
      </c>
      <c r="J1266" s="1">
        <v>9349951203</v>
      </c>
      <c r="K1266" s="1" t="s">
        <v>153</v>
      </c>
      <c r="L1266" s="1" t="s">
        <v>22866</v>
      </c>
      <c r="M1266" s="1" t="s">
        <v>86</v>
      </c>
      <c r="N1266" s="1" t="s">
        <v>22867</v>
      </c>
      <c r="O1266" s="1" t="s">
        <v>22868</v>
      </c>
      <c r="P1266" s="1" t="s">
        <v>219</v>
      </c>
      <c r="Q1266" s="1">
        <v>673937036136</v>
      </c>
      <c r="R1266" s="1" t="s">
        <v>22869</v>
      </c>
      <c r="S1266" s="1">
        <v>9387751625</v>
      </c>
      <c r="T1266" s="1" t="s">
        <v>22870</v>
      </c>
      <c r="U1266" s="1" t="s">
        <v>22871</v>
      </c>
      <c r="V1266" s="1">
        <v>8606612425</v>
      </c>
      <c r="W1266" s="1" t="s">
        <v>22872</v>
      </c>
      <c r="X1266" s="1" t="s">
        <v>22873</v>
      </c>
      <c r="Y1266" s="1" t="s">
        <v>3190</v>
      </c>
      <c r="Z1266" s="1" t="s">
        <v>130</v>
      </c>
      <c r="AA1266" s="1" t="s">
        <v>22873</v>
      </c>
      <c r="AB1266" s="1" t="s">
        <v>3190</v>
      </c>
      <c r="AC1266" s="1" t="s">
        <v>130</v>
      </c>
      <c r="AD1266" s="1" t="s">
        <v>98</v>
      </c>
      <c r="AE1266" s="1" t="s">
        <v>98</v>
      </c>
      <c r="AF1266" s="1" t="s">
        <v>22874</v>
      </c>
      <c r="AG1266" s="1" t="s">
        <v>796</v>
      </c>
      <c r="AH1266" s="1" t="s">
        <v>167</v>
      </c>
      <c r="AI1266" s="1" t="s">
        <v>170</v>
      </c>
      <c r="AJ1266" s="1">
        <v>95</v>
      </c>
      <c r="AK1266" s="1">
        <v>10</v>
      </c>
      <c r="AL1266" s="1" t="s">
        <v>22875</v>
      </c>
      <c r="AM1266" s="1" t="s">
        <v>22876</v>
      </c>
      <c r="AN1266" s="1" t="s">
        <v>575</v>
      </c>
      <c r="AO1266" s="1" t="s">
        <v>106</v>
      </c>
      <c r="AP1266" s="1" t="s">
        <v>315</v>
      </c>
      <c r="AQ1266" s="1">
        <v>94</v>
      </c>
      <c r="AR1266" s="1"/>
      <c r="AS1266" s="1"/>
      <c r="AT1266" s="1"/>
      <c r="AU1266" s="1"/>
      <c r="AV1266" s="1"/>
      <c r="AW1266" s="1"/>
      <c r="AX1266" s="1"/>
      <c r="AY1266" s="1" t="s">
        <v>137</v>
      </c>
      <c r="AZ1266" s="1" t="s">
        <v>22877</v>
      </c>
      <c r="BA1266" s="1" t="s">
        <v>466</v>
      </c>
      <c r="BB1266" s="1" t="s">
        <v>467</v>
      </c>
      <c r="BC1266" s="1" t="s">
        <v>206</v>
      </c>
      <c r="BD1266" s="1" t="s">
        <v>234</v>
      </c>
      <c r="BE1266" s="1">
        <v>77.4</v>
      </c>
      <c r="BF1266" s="1">
        <v>7.74</v>
      </c>
      <c r="BG1266" s="1"/>
      <c r="BH1266" s="1"/>
      <c r="BI1266" s="1"/>
      <c r="BJ1266" s="1"/>
      <c r="BK1266" s="1"/>
      <c r="BL1266" s="1"/>
      <c r="BM1266" s="1"/>
      <c r="BN1266" s="1"/>
      <c r="BO1266" s="1" t="s">
        <v>22878</v>
      </c>
      <c r="BP1266" s="1" t="s">
        <v>22879</v>
      </c>
      <c r="BQ1266" s="1" t="s">
        <v>2213</v>
      </c>
      <c r="BR1266" s="1" t="s">
        <v>22880</v>
      </c>
      <c r="BS1266" s="1">
        <v>27</v>
      </c>
      <c r="BT1266" s="1" t="s">
        <v>22881</v>
      </c>
      <c r="BU1266" s="1" t="str">
        <f>HYPERLINK("https://nconnect.nicmar.ac.in/storage/profile/6a86f62c94786.png","Download")</f>
        <v>0</v>
      </c>
      <c r="BV1266" s="3"/>
      <c r="BW1266" s="3"/>
    </row>
    <row r="1267" spans="1:75">
      <c r="A1267" s="1" t="s">
        <v>75</v>
      </c>
      <c r="B1267" s="1" t="s">
        <v>13976</v>
      </c>
      <c r="C1267" s="1" t="s">
        <v>22882</v>
      </c>
      <c r="D1267" s="1" t="s">
        <v>18633</v>
      </c>
      <c r="E1267" s="1" t="s">
        <v>20640</v>
      </c>
      <c r="F1267" s="1" t="s">
        <v>22883</v>
      </c>
      <c r="G1267" s="1" t="s">
        <v>22884</v>
      </c>
      <c r="H1267" s="1" t="s">
        <v>22885</v>
      </c>
      <c r="I1267" s="1" t="s">
        <v>22886</v>
      </c>
      <c r="J1267" s="1">
        <v>9822933599</v>
      </c>
      <c r="K1267" s="1" t="s">
        <v>84</v>
      </c>
      <c r="L1267" s="1" t="s">
        <v>5776</v>
      </c>
      <c r="M1267" s="1" t="s">
        <v>86</v>
      </c>
      <c r="N1267" s="1" t="s">
        <v>6390</v>
      </c>
      <c r="O1267" s="1" t="s">
        <v>22887</v>
      </c>
      <c r="P1267" s="1" t="s">
        <v>122</v>
      </c>
      <c r="Q1267" s="1">
        <v>609562283227</v>
      </c>
      <c r="R1267" s="1" t="s">
        <v>22888</v>
      </c>
      <c r="S1267" s="1">
        <v>8855889910</v>
      </c>
      <c r="T1267" s="1" t="s">
        <v>22889</v>
      </c>
      <c r="U1267" s="1" t="s">
        <v>22890</v>
      </c>
      <c r="V1267" s="1">
        <v>9405956229</v>
      </c>
      <c r="W1267" s="1" t="s">
        <v>14154</v>
      </c>
      <c r="X1267" s="1" t="s">
        <v>22891</v>
      </c>
      <c r="Y1267" s="1" t="s">
        <v>5083</v>
      </c>
      <c r="Z1267" s="1" t="s">
        <v>97</v>
      </c>
      <c r="AA1267" s="1" t="s">
        <v>22891</v>
      </c>
      <c r="AB1267" s="1" t="s">
        <v>5083</v>
      </c>
      <c r="AC1267" s="1" t="s">
        <v>97</v>
      </c>
      <c r="AD1267" s="1" t="s">
        <v>98</v>
      </c>
      <c r="AE1267" s="1" t="s">
        <v>98</v>
      </c>
      <c r="AF1267" s="1" t="s">
        <v>22892</v>
      </c>
      <c r="AG1267" s="1" t="s">
        <v>18372</v>
      </c>
      <c r="AH1267" s="1" t="s">
        <v>286</v>
      </c>
      <c r="AI1267" s="1" t="s">
        <v>603</v>
      </c>
      <c r="AJ1267" s="1">
        <v>78.8</v>
      </c>
      <c r="AK1267" s="1">
        <v>7.99</v>
      </c>
      <c r="AL1267" s="1" t="s">
        <v>22893</v>
      </c>
      <c r="AM1267" s="1" t="s">
        <v>18372</v>
      </c>
      <c r="AN1267" s="1" t="s">
        <v>6380</v>
      </c>
      <c r="AO1267" s="1" t="s">
        <v>603</v>
      </c>
      <c r="AP1267" s="1" t="s">
        <v>1886</v>
      </c>
      <c r="AQ1267" s="1">
        <v>68.33</v>
      </c>
      <c r="AR1267" s="1">
        <v>7.19</v>
      </c>
      <c r="AS1267" s="1"/>
      <c r="AT1267" s="1"/>
      <c r="AU1267" s="1"/>
      <c r="AV1267" s="1"/>
      <c r="AW1267" s="1"/>
      <c r="AX1267" s="1"/>
      <c r="AY1267" s="1" t="s">
        <v>22894</v>
      </c>
      <c r="AZ1267" s="1" t="s">
        <v>22895</v>
      </c>
      <c r="BA1267" s="1" t="s">
        <v>466</v>
      </c>
      <c r="BB1267" s="1" t="s">
        <v>467</v>
      </c>
      <c r="BC1267" s="1" t="s">
        <v>2765</v>
      </c>
      <c r="BD1267" s="1" t="s">
        <v>9688</v>
      </c>
      <c r="BE1267" s="1">
        <v>70.85</v>
      </c>
      <c r="BF1267" s="1">
        <v>7.08</v>
      </c>
      <c r="BG1267" s="1"/>
      <c r="BH1267" s="1"/>
      <c r="BI1267" s="1"/>
      <c r="BJ1267" s="1"/>
      <c r="BK1267" s="1"/>
      <c r="BL1267" s="1"/>
      <c r="BM1267" s="1"/>
      <c r="BN1267" s="1"/>
      <c r="BO1267" s="1" t="s">
        <v>22896</v>
      </c>
      <c r="BP1267" s="1"/>
      <c r="BQ1267" s="1"/>
      <c r="BR1267" s="1"/>
      <c r="BS1267" s="1"/>
      <c r="BT1267" s="1"/>
      <c r="BU1267" s="1" t="str">
        <f>HYPERLINK("https://nconnect.nicmar.ac.in/storage/profile/6a85e5098b220.png","Download")</f>
        <v>0</v>
      </c>
      <c r="BV1267" s="3"/>
      <c r="BW1267" s="3"/>
    </row>
    <row r="1268" spans="1:75">
      <c r="A1268" s="1" t="s">
        <v>75</v>
      </c>
      <c r="B1268" s="1" t="s">
        <v>13976</v>
      </c>
      <c r="C1268" s="1" t="s">
        <v>22897</v>
      </c>
      <c r="D1268" s="1" t="s">
        <v>16019</v>
      </c>
      <c r="E1268" s="1" t="s">
        <v>22898</v>
      </c>
      <c r="F1268" s="1" t="s">
        <v>22899</v>
      </c>
      <c r="G1268" s="1" t="s">
        <v>22900</v>
      </c>
      <c r="H1268" s="1" t="s">
        <v>22901</v>
      </c>
      <c r="I1268" s="1" t="s">
        <v>22901</v>
      </c>
      <c r="J1268" s="1">
        <v>9407975006</v>
      </c>
      <c r="K1268" s="1" t="s">
        <v>84</v>
      </c>
      <c r="L1268" s="1" t="s">
        <v>22902</v>
      </c>
      <c r="M1268" s="1" t="s">
        <v>86</v>
      </c>
      <c r="N1268" s="1" t="s">
        <v>16327</v>
      </c>
      <c r="O1268" s="1" t="s">
        <v>22903</v>
      </c>
      <c r="P1268" s="1" t="s">
        <v>219</v>
      </c>
      <c r="Q1268" s="1">
        <v>676908573747</v>
      </c>
      <c r="R1268" s="1" t="s">
        <v>22904</v>
      </c>
      <c r="S1268" s="1">
        <v>9753277652</v>
      </c>
      <c r="T1268" s="1" t="s">
        <v>22905</v>
      </c>
      <c r="U1268" s="1" t="s">
        <v>22906</v>
      </c>
      <c r="V1268" s="1">
        <v>9981070192</v>
      </c>
      <c r="W1268" s="1" t="s">
        <v>14212</v>
      </c>
      <c r="X1268" s="1" t="s">
        <v>22907</v>
      </c>
      <c r="Y1268" s="1" t="s">
        <v>22908</v>
      </c>
      <c r="Z1268" s="1" t="s">
        <v>2933</v>
      </c>
      <c r="AA1268" s="1" t="s">
        <v>22907</v>
      </c>
      <c r="AB1268" s="1" t="s">
        <v>22908</v>
      </c>
      <c r="AC1268" s="1" t="s">
        <v>2933</v>
      </c>
      <c r="AD1268" s="1" t="s">
        <v>98</v>
      </c>
      <c r="AE1268" s="1" t="s">
        <v>98</v>
      </c>
      <c r="AF1268" s="1" t="s">
        <v>22909</v>
      </c>
      <c r="AG1268" s="1" t="s">
        <v>22910</v>
      </c>
      <c r="AH1268" s="1" t="s">
        <v>3421</v>
      </c>
      <c r="AI1268" s="1" t="s">
        <v>1262</v>
      </c>
      <c r="AJ1268" s="1">
        <v>81.7</v>
      </c>
      <c r="AK1268" s="1">
        <v>8.6</v>
      </c>
      <c r="AL1268" s="1" t="s">
        <v>22911</v>
      </c>
      <c r="AM1268" s="1" t="s">
        <v>22910</v>
      </c>
      <c r="AN1268" s="1" t="s">
        <v>465</v>
      </c>
      <c r="AO1268" s="1" t="s">
        <v>1110</v>
      </c>
      <c r="AP1268" s="1" t="s">
        <v>627</v>
      </c>
      <c r="AQ1268" s="1">
        <v>61.2</v>
      </c>
      <c r="AR1268" s="1"/>
      <c r="AS1268" s="1"/>
      <c r="AT1268" s="1"/>
      <c r="AU1268" s="1"/>
      <c r="AV1268" s="1"/>
      <c r="AW1268" s="1"/>
      <c r="AX1268" s="1"/>
      <c r="AY1268" s="1" t="s">
        <v>22912</v>
      </c>
      <c r="AZ1268" s="1" t="s">
        <v>22913</v>
      </c>
      <c r="BA1268" s="1" t="s">
        <v>466</v>
      </c>
      <c r="BB1268" s="1" t="s">
        <v>467</v>
      </c>
      <c r="BC1268" s="1" t="s">
        <v>167</v>
      </c>
      <c r="BD1268" s="1" t="s">
        <v>468</v>
      </c>
      <c r="BE1268" s="1">
        <v>66.38</v>
      </c>
      <c r="BF1268" s="1"/>
      <c r="BG1268" s="1"/>
      <c r="BH1268" s="1"/>
      <c r="BI1268" s="1"/>
      <c r="BJ1268" s="1"/>
      <c r="BK1268" s="1"/>
      <c r="BL1268" s="1"/>
      <c r="BM1268" s="1"/>
      <c r="BN1268" s="1"/>
      <c r="BO1268" s="1" t="s">
        <v>22914</v>
      </c>
      <c r="BP1268" s="1" t="s">
        <v>22915</v>
      </c>
      <c r="BQ1268" s="1" t="s">
        <v>1976</v>
      </c>
      <c r="BR1268" s="1" t="s">
        <v>22916</v>
      </c>
      <c r="BS1268" s="1">
        <v>8</v>
      </c>
      <c r="BT1268" s="1" t="s">
        <v>22917</v>
      </c>
      <c r="BU1268" s="1" t="str">
        <f>HYPERLINK("https://nconnect.nicmar.ac.in/storage/profile/6a85d78e2e5df.png","Download")</f>
        <v>0</v>
      </c>
      <c r="BV1268" s="3"/>
      <c r="BW1268" s="3"/>
    </row>
    <row r="1269" spans="1:75">
      <c r="A1269" s="1" t="s">
        <v>75</v>
      </c>
      <c r="B1269" s="1" t="s">
        <v>13976</v>
      </c>
      <c r="C1269" s="1" t="s">
        <v>22918</v>
      </c>
      <c r="D1269" s="1" t="s">
        <v>22919</v>
      </c>
      <c r="E1269" s="1"/>
      <c r="F1269" s="1" t="s">
        <v>587</v>
      </c>
      <c r="G1269" s="1" t="s">
        <v>22920</v>
      </c>
      <c r="H1269" s="1" t="s">
        <v>22921</v>
      </c>
      <c r="I1269" s="1" t="s">
        <v>22921</v>
      </c>
      <c r="J1269" s="1">
        <v>8807742972</v>
      </c>
      <c r="K1269" s="1" t="s">
        <v>84</v>
      </c>
      <c r="L1269" s="1" t="s">
        <v>22922</v>
      </c>
      <c r="M1269" s="1" t="s">
        <v>86</v>
      </c>
      <c r="N1269" s="1" t="s">
        <v>12562</v>
      </c>
      <c r="O1269" s="1" t="s">
        <v>22923</v>
      </c>
      <c r="P1269" s="1" t="s">
        <v>219</v>
      </c>
      <c r="Q1269" s="1" t="s">
        <v>22924</v>
      </c>
      <c r="R1269" s="1" t="s">
        <v>22925</v>
      </c>
      <c r="S1269" s="1">
        <v>9442637367</v>
      </c>
      <c r="T1269" s="1" t="s">
        <v>22926</v>
      </c>
      <c r="U1269" s="1" t="s">
        <v>22927</v>
      </c>
      <c r="V1269" s="1">
        <v>8903437367</v>
      </c>
      <c r="W1269" s="1" t="s">
        <v>14212</v>
      </c>
      <c r="X1269" s="1" t="s">
        <v>22928</v>
      </c>
      <c r="Y1269" s="1" t="s">
        <v>21474</v>
      </c>
      <c r="Z1269" s="1" t="s">
        <v>570</v>
      </c>
      <c r="AA1269" s="1" t="s">
        <v>22928</v>
      </c>
      <c r="AB1269" s="1" t="s">
        <v>21474</v>
      </c>
      <c r="AC1269" s="1" t="s">
        <v>570</v>
      </c>
      <c r="AD1269" s="1" t="s">
        <v>98</v>
      </c>
      <c r="AE1269" s="1" t="s">
        <v>98</v>
      </c>
      <c r="AF1269" s="1" t="s">
        <v>22929</v>
      </c>
      <c r="AG1269" s="1" t="s">
        <v>22930</v>
      </c>
      <c r="AH1269" s="1" t="s">
        <v>438</v>
      </c>
      <c r="AI1269" s="1" t="s">
        <v>977</v>
      </c>
      <c r="AJ1269" s="1">
        <v>82.4</v>
      </c>
      <c r="AK1269" s="1"/>
      <c r="AL1269" s="1" t="s">
        <v>22929</v>
      </c>
      <c r="AM1269" s="1" t="s">
        <v>22930</v>
      </c>
      <c r="AN1269" s="1" t="s">
        <v>465</v>
      </c>
      <c r="AO1269" s="1" t="s">
        <v>847</v>
      </c>
      <c r="AP1269" s="1" t="s">
        <v>521</v>
      </c>
      <c r="AQ1269" s="1">
        <v>87.83</v>
      </c>
      <c r="AR1269" s="1"/>
      <c r="AS1269" s="1"/>
      <c r="AT1269" s="1"/>
      <c r="AU1269" s="1"/>
      <c r="AV1269" s="1"/>
      <c r="AW1269" s="1"/>
      <c r="AX1269" s="1"/>
      <c r="AY1269" s="1" t="s">
        <v>14303</v>
      </c>
      <c r="AZ1269" s="1" t="s">
        <v>22931</v>
      </c>
      <c r="BA1269" s="1" t="s">
        <v>578</v>
      </c>
      <c r="BB1269" s="1" t="s">
        <v>467</v>
      </c>
      <c r="BC1269" s="1" t="s">
        <v>110</v>
      </c>
      <c r="BD1269" s="1" t="s">
        <v>14101</v>
      </c>
      <c r="BE1269" s="1">
        <v>76.4</v>
      </c>
      <c r="BF1269" s="1"/>
      <c r="BG1269" s="1"/>
      <c r="BH1269" s="1"/>
      <c r="BI1269" s="1"/>
      <c r="BJ1269" s="1"/>
      <c r="BK1269" s="1"/>
      <c r="BL1269" s="1"/>
      <c r="BM1269" s="1"/>
      <c r="BN1269" s="1"/>
      <c r="BO1269" s="1" t="s">
        <v>22932</v>
      </c>
      <c r="BP1269" s="1"/>
      <c r="BQ1269" s="1"/>
      <c r="BR1269" s="1"/>
      <c r="BS1269" s="1"/>
      <c r="BT1269" s="1"/>
      <c r="BU1269" s="1" t="str">
        <f>HYPERLINK("https://nconnect.nicmar.ac.in/storage/profile/6a8575b49d53c.png","Download")</f>
        <v>0</v>
      </c>
      <c r="BV1269" s="3"/>
      <c r="BW1269" s="3"/>
    </row>
    <row r="1270" spans="1:75">
      <c r="A1270" s="1" t="s">
        <v>75</v>
      </c>
      <c r="B1270" s="1" t="s">
        <v>13976</v>
      </c>
      <c r="C1270" s="1" t="s">
        <v>22933</v>
      </c>
      <c r="D1270" s="1" t="s">
        <v>8119</v>
      </c>
      <c r="E1270" s="1"/>
      <c r="F1270" s="1" t="s">
        <v>22934</v>
      </c>
      <c r="G1270" s="1" t="s">
        <v>22935</v>
      </c>
      <c r="H1270" s="1" t="s">
        <v>22936</v>
      </c>
      <c r="I1270" s="1" t="s">
        <v>22937</v>
      </c>
      <c r="J1270" s="1">
        <v>9381081831</v>
      </c>
      <c r="K1270" s="1" t="s">
        <v>84</v>
      </c>
      <c r="L1270" s="1" t="s">
        <v>22938</v>
      </c>
      <c r="M1270" s="1" t="s">
        <v>86</v>
      </c>
      <c r="N1270" s="1" t="s">
        <v>22939</v>
      </c>
      <c r="O1270" s="1" t="s">
        <v>22940</v>
      </c>
      <c r="P1270" s="1" t="s">
        <v>89</v>
      </c>
      <c r="Q1270" s="1">
        <v>964117089598</v>
      </c>
      <c r="R1270" s="1" t="s">
        <v>22941</v>
      </c>
      <c r="S1270" s="1">
        <v>8309338408</v>
      </c>
      <c r="T1270" s="1" t="s">
        <v>159</v>
      </c>
      <c r="U1270" s="1" t="s">
        <v>1020</v>
      </c>
      <c r="V1270" s="1">
        <v>7995439288</v>
      </c>
      <c r="W1270" s="1" t="s">
        <v>127</v>
      </c>
      <c r="X1270" s="1" t="s">
        <v>22942</v>
      </c>
      <c r="Y1270" s="1" t="s">
        <v>1436</v>
      </c>
      <c r="Z1270" s="1" t="s">
        <v>281</v>
      </c>
      <c r="AA1270" s="1" t="s">
        <v>22942</v>
      </c>
      <c r="AB1270" s="1" t="s">
        <v>1436</v>
      </c>
      <c r="AC1270" s="1" t="s">
        <v>281</v>
      </c>
      <c r="AD1270" s="1" t="s">
        <v>98</v>
      </c>
      <c r="AE1270" s="1" t="s">
        <v>98</v>
      </c>
      <c r="AF1270" s="1" t="s">
        <v>22943</v>
      </c>
      <c r="AG1270" s="1" t="s">
        <v>22944</v>
      </c>
      <c r="AH1270" s="1" t="s">
        <v>1110</v>
      </c>
      <c r="AI1270" s="1" t="s">
        <v>627</v>
      </c>
      <c r="AJ1270" s="1">
        <v>87.4</v>
      </c>
      <c r="AK1270" s="1">
        <v>9.2</v>
      </c>
      <c r="AL1270" s="1" t="s">
        <v>14014</v>
      </c>
      <c r="AM1270" s="1" t="s">
        <v>1454</v>
      </c>
      <c r="AN1270" s="1" t="s">
        <v>465</v>
      </c>
      <c r="AO1270" s="1" t="s">
        <v>167</v>
      </c>
      <c r="AP1270" s="1" t="s">
        <v>490</v>
      </c>
      <c r="AQ1270" s="1">
        <v>95.8</v>
      </c>
      <c r="AR1270" s="1"/>
      <c r="AS1270" s="1"/>
      <c r="AT1270" s="1"/>
      <c r="AU1270" s="1"/>
      <c r="AV1270" s="1"/>
      <c r="AW1270" s="1"/>
      <c r="AX1270" s="1"/>
      <c r="AY1270" s="1" t="s">
        <v>2654</v>
      </c>
      <c r="AZ1270" s="1" t="s">
        <v>22945</v>
      </c>
      <c r="BA1270" s="1" t="s">
        <v>466</v>
      </c>
      <c r="BB1270" s="1" t="s">
        <v>467</v>
      </c>
      <c r="BC1270" s="1" t="s">
        <v>106</v>
      </c>
      <c r="BD1270" s="1" t="s">
        <v>632</v>
      </c>
      <c r="BE1270" s="1">
        <v>74.9</v>
      </c>
      <c r="BF1270" s="1">
        <v>8.24</v>
      </c>
      <c r="BG1270" s="1"/>
      <c r="BH1270" s="1"/>
      <c r="BI1270" s="1"/>
      <c r="BJ1270" s="1"/>
      <c r="BK1270" s="1"/>
      <c r="BL1270" s="1"/>
      <c r="BM1270" s="1"/>
      <c r="BN1270" s="1"/>
      <c r="BO1270" s="1" t="s">
        <v>22946</v>
      </c>
      <c r="BP1270" s="1" t="s">
        <v>22947</v>
      </c>
      <c r="BQ1270" s="1" t="s">
        <v>3404</v>
      </c>
      <c r="BR1270" s="1" t="s">
        <v>22948</v>
      </c>
      <c r="BS1270" s="1">
        <v>2</v>
      </c>
      <c r="BT1270" s="1" t="s">
        <v>22949</v>
      </c>
      <c r="BU1270" s="1" t="str">
        <f>HYPERLINK("https://nconnect.nicmar.ac.in/storage/profile/6a85fd91ac151.png","Download")</f>
        <v>0</v>
      </c>
      <c r="BV1270" s="3"/>
      <c r="BW1270" s="3"/>
    </row>
    <row r="1271" spans="1:75">
      <c r="A1271" s="1" t="s">
        <v>75</v>
      </c>
      <c r="B1271" s="1" t="s">
        <v>13976</v>
      </c>
      <c r="C1271" s="1" t="s">
        <v>22950</v>
      </c>
      <c r="D1271" s="1" t="s">
        <v>22951</v>
      </c>
      <c r="E1271" s="1" t="s">
        <v>15430</v>
      </c>
      <c r="F1271" s="1" t="s">
        <v>22952</v>
      </c>
      <c r="G1271" s="1" t="s">
        <v>22953</v>
      </c>
      <c r="H1271" s="1" t="s">
        <v>22954</v>
      </c>
      <c r="I1271" s="1" t="s">
        <v>22954</v>
      </c>
      <c r="J1271" s="1">
        <v>9130739198</v>
      </c>
      <c r="K1271" s="1" t="s">
        <v>153</v>
      </c>
      <c r="L1271" s="1" t="s">
        <v>22955</v>
      </c>
      <c r="M1271" s="1" t="s">
        <v>86</v>
      </c>
      <c r="N1271" s="1" t="s">
        <v>903</v>
      </c>
      <c r="O1271" s="1" t="s">
        <v>22956</v>
      </c>
      <c r="P1271" s="1" t="s">
        <v>89</v>
      </c>
      <c r="Q1271" s="1">
        <v>855617401699</v>
      </c>
      <c r="R1271" s="1" t="s">
        <v>22957</v>
      </c>
      <c r="S1271" s="1" t="s">
        <v>22958</v>
      </c>
      <c r="T1271" s="1" t="s">
        <v>1964</v>
      </c>
      <c r="U1271" s="1" t="s">
        <v>22959</v>
      </c>
      <c r="V1271" s="1">
        <v>7387880757</v>
      </c>
      <c r="W1271" s="1" t="s">
        <v>21080</v>
      </c>
      <c r="X1271" s="1" t="s">
        <v>22960</v>
      </c>
      <c r="Y1271" s="1" t="s">
        <v>410</v>
      </c>
      <c r="Z1271" s="1" t="s">
        <v>97</v>
      </c>
      <c r="AA1271" s="1" t="s">
        <v>22961</v>
      </c>
      <c r="AB1271" s="1" t="s">
        <v>196</v>
      </c>
      <c r="AC1271" s="1" t="s">
        <v>97</v>
      </c>
      <c r="AD1271" s="1" t="s">
        <v>98</v>
      </c>
      <c r="AE1271" s="1" t="s">
        <v>98</v>
      </c>
      <c r="AF1271" s="1" t="s">
        <v>22962</v>
      </c>
      <c r="AG1271" s="1" t="s">
        <v>17771</v>
      </c>
      <c r="AH1271" s="1" t="s">
        <v>1262</v>
      </c>
      <c r="AI1271" s="1" t="s">
        <v>136</v>
      </c>
      <c r="AJ1271" s="1">
        <v>85.5</v>
      </c>
      <c r="AK1271" s="1"/>
      <c r="AL1271" s="1" t="s">
        <v>22963</v>
      </c>
      <c r="AM1271" s="1" t="s">
        <v>22964</v>
      </c>
      <c r="AN1271" s="1" t="s">
        <v>465</v>
      </c>
      <c r="AO1271" s="1" t="s">
        <v>627</v>
      </c>
      <c r="AP1271" s="1" t="s">
        <v>573</v>
      </c>
      <c r="AQ1271" s="1">
        <v>62.92</v>
      </c>
      <c r="AR1271" s="1"/>
      <c r="AS1271" s="1"/>
      <c r="AT1271" s="1"/>
      <c r="AU1271" s="1"/>
      <c r="AV1271" s="1"/>
      <c r="AW1271" s="1"/>
      <c r="AX1271" s="1"/>
      <c r="AY1271" s="1" t="s">
        <v>22420</v>
      </c>
      <c r="AZ1271" s="1" t="s">
        <v>22965</v>
      </c>
      <c r="BA1271" s="1" t="s">
        <v>578</v>
      </c>
      <c r="BB1271" s="1" t="s">
        <v>467</v>
      </c>
      <c r="BC1271" s="1" t="s">
        <v>230</v>
      </c>
      <c r="BD1271" s="1" t="s">
        <v>441</v>
      </c>
      <c r="BE1271" s="1">
        <v>80.3</v>
      </c>
      <c r="BF1271" s="1"/>
      <c r="BG1271" s="1"/>
      <c r="BH1271" s="1"/>
      <c r="BI1271" s="1"/>
      <c r="BJ1271" s="1"/>
      <c r="BK1271" s="1"/>
      <c r="BL1271" s="1"/>
      <c r="BM1271" s="1"/>
      <c r="BN1271" s="1"/>
      <c r="BO1271" s="1" t="s">
        <v>22966</v>
      </c>
      <c r="BP1271" s="1" t="s">
        <v>22967</v>
      </c>
      <c r="BQ1271" s="1" t="s">
        <v>7478</v>
      </c>
      <c r="BR1271" s="1"/>
      <c r="BS1271" s="1"/>
      <c r="BT1271" s="1" t="s">
        <v>22968</v>
      </c>
      <c r="BU1271" s="1" t="str">
        <f>HYPERLINK("https://nconnect.nicmar.ac.in/storage/profile/6a86f2175bb92.png","Download")</f>
        <v>0</v>
      </c>
      <c r="BV1271" s="3"/>
      <c r="BW1271" s="3"/>
    </row>
    <row r="1272" spans="1:75">
      <c r="A1272" s="1" t="s">
        <v>75</v>
      </c>
      <c r="B1272" s="1" t="s">
        <v>13976</v>
      </c>
      <c r="C1272" s="1" t="s">
        <v>22969</v>
      </c>
      <c r="D1272" s="1" t="s">
        <v>22970</v>
      </c>
      <c r="E1272" s="1"/>
      <c r="F1272" s="1" t="s">
        <v>22971</v>
      </c>
      <c r="G1272" s="1" t="s">
        <v>22972</v>
      </c>
      <c r="H1272" s="1" t="s">
        <v>22973</v>
      </c>
      <c r="I1272" s="1" t="s">
        <v>22973</v>
      </c>
      <c r="J1272" s="1">
        <v>6364355763</v>
      </c>
      <c r="K1272" s="1" t="s">
        <v>84</v>
      </c>
      <c r="L1272" s="1" t="s">
        <v>22974</v>
      </c>
      <c r="M1272" s="1" t="s">
        <v>86</v>
      </c>
      <c r="N1272" s="1" t="s">
        <v>22975</v>
      </c>
      <c r="O1272" s="1" t="s">
        <v>22976</v>
      </c>
      <c r="P1272" s="1" t="s">
        <v>219</v>
      </c>
      <c r="Q1272" s="1">
        <v>299757572135</v>
      </c>
      <c r="R1272" s="1" t="s">
        <v>22977</v>
      </c>
      <c r="S1272" s="1">
        <v>9845785545</v>
      </c>
      <c r="T1272" s="1" t="s">
        <v>5507</v>
      </c>
      <c r="U1272" s="1" t="s">
        <v>22978</v>
      </c>
      <c r="V1272" s="1">
        <v>9845785545</v>
      </c>
      <c r="W1272" s="1" t="s">
        <v>22979</v>
      </c>
      <c r="X1272" s="1" t="s">
        <v>22980</v>
      </c>
      <c r="Y1272" s="1" t="s">
        <v>3132</v>
      </c>
      <c r="Z1272" s="1" t="s">
        <v>1210</v>
      </c>
      <c r="AA1272" s="1" t="s">
        <v>22980</v>
      </c>
      <c r="AB1272" s="1" t="s">
        <v>3132</v>
      </c>
      <c r="AC1272" s="1" t="s">
        <v>1210</v>
      </c>
      <c r="AD1272" s="1" t="s">
        <v>98</v>
      </c>
      <c r="AE1272" s="1" t="s">
        <v>98</v>
      </c>
      <c r="AF1272" s="1" t="s">
        <v>22981</v>
      </c>
      <c r="AG1272" s="1" t="s">
        <v>22982</v>
      </c>
      <c r="AH1272" s="1" t="s">
        <v>167</v>
      </c>
      <c r="AI1272" s="1" t="s">
        <v>573</v>
      </c>
      <c r="AJ1272" s="1">
        <v>81.44</v>
      </c>
      <c r="AK1272" s="1"/>
      <c r="AL1272" s="1" t="s">
        <v>22983</v>
      </c>
      <c r="AM1272" s="1" t="s">
        <v>22984</v>
      </c>
      <c r="AN1272" s="1" t="s">
        <v>465</v>
      </c>
      <c r="AO1272" s="1" t="s">
        <v>170</v>
      </c>
      <c r="AP1272" s="1" t="s">
        <v>547</v>
      </c>
      <c r="AQ1272" s="1">
        <v>77.33</v>
      </c>
      <c r="AR1272" s="1"/>
      <c r="AS1272" s="1"/>
      <c r="AT1272" s="1"/>
      <c r="AU1272" s="1"/>
      <c r="AV1272" s="1"/>
      <c r="AW1272" s="1"/>
      <c r="AX1272" s="1"/>
      <c r="AY1272" s="1" t="s">
        <v>22985</v>
      </c>
      <c r="AZ1272" s="1" t="s">
        <v>22986</v>
      </c>
      <c r="BA1272" s="1" t="s">
        <v>578</v>
      </c>
      <c r="BB1272" s="1" t="s">
        <v>467</v>
      </c>
      <c r="BC1272" s="1" t="s">
        <v>206</v>
      </c>
      <c r="BD1272" s="1" t="s">
        <v>391</v>
      </c>
      <c r="BE1272" s="1">
        <v>71.8</v>
      </c>
      <c r="BF1272" s="1">
        <v>7.93</v>
      </c>
      <c r="BG1272" s="1"/>
      <c r="BH1272" s="1"/>
      <c r="BI1272" s="1"/>
      <c r="BJ1272" s="1"/>
      <c r="BK1272" s="1"/>
      <c r="BL1272" s="1"/>
      <c r="BM1272" s="1"/>
      <c r="BN1272" s="1"/>
      <c r="BO1272" s="1" t="s">
        <v>22987</v>
      </c>
      <c r="BP1272" s="1" t="s">
        <v>22988</v>
      </c>
      <c r="BQ1272" s="1" t="s">
        <v>7647</v>
      </c>
      <c r="BR1272" s="1" t="s">
        <v>22989</v>
      </c>
      <c r="BS1272" s="1">
        <v>8</v>
      </c>
      <c r="BT1272" s="1" t="s">
        <v>22990</v>
      </c>
      <c r="BU1272" s="1" t="str">
        <f>HYPERLINK("https://nconnect.nicmar.ac.in/storage/profile/6a86e50ba8ee6.png","Download")</f>
        <v>0</v>
      </c>
      <c r="BV1272" s="3"/>
      <c r="BW1272" s="3"/>
    </row>
    <row r="1273" spans="1:75">
      <c r="A1273" s="1" t="s">
        <v>75</v>
      </c>
      <c r="B1273" s="1" t="s">
        <v>13976</v>
      </c>
      <c r="C1273" s="1" t="s">
        <v>22991</v>
      </c>
      <c r="D1273" s="1" t="s">
        <v>22992</v>
      </c>
      <c r="E1273" s="1"/>
      <c r="F1273" s="1" t="s">
        <v>22993</v>
      </c>
      <c r="G1273" s="1" t="s">
        <v>22994</v>
      </c>
      <c r="H1273" s="1" t="s">
        <v>22995</v>
      </c>
      <c r="I1273" s="1" t="s">
        <v>22996</v>
      </c>
      <c r="J1273" s="1">
        <v>9014899763</v>
      </c>
      <c r="K1273" s="1" t="s">
        <v>153</v>
      </c>
      <c r="L1273" s="1" t="s">
        <v>22997</v>
      </c>
      <c r="M1273" s="1" t="s">
        <v>86</v>
      </c>
      <c r="N1273" s="1" t="s">
        <v>22998</v>
      </c>
      <c r="O1273" s="1" t="s">
        <v>22999</v>
      </c>
      <c r="P1273" s="1" t="s">
        <v>122</v>
      </c>
      <c r="Q1273" s="1">
        <v>613460842287</v>
      </c>
      <c r="R1273" s="1" t="s">
        <v>23000</v>
      </c>
      <c r="S1273" s="1">
        <v>9849628241</v>
      </c>
      <c r="T1273" s="1" t="s">
        <v>23001</v>
      </c>
      <c r="U1273" s="1" t="s">
        <v>23002</v>
      </c>
      <c r="V1273" s="1">
        <v>8885545012</v>
      </c>
      <c r="W1273" s="1" t="s">
        <v>278</v>
      </c>
      <c r="X1273" s="1" t="s">
        <v>23003</v>
      </c>
      <c r="Y1273" s="1" t="s">
        <v>3031</v>
      </c>
      <c r="Z1273" s="1" t="s">
        <v>461</v>
      </c>
      <c r="AA1273" s="1" t="s">
        <v>23003</v>
      </c>
      <c r="AB1273" s="1" t="s">
        <v>3031</v>
      </c>
      <c r="AC1273" s="1" t="s">
        <v>461</v>
      </c>
      <c r="AD1273" s="1" t="s">
        <v>98</v>
      </c>
      <c r="AE1273" s="1" t="s">
        <v>98</v>
      </c>
      <c r="AF1273" s="1" t="s">
        <v>11983</v>
      </c>
      <c r="AG1273" s="1" t="s">
        <v>23004</v>
      </c>
      <c r="AH1273" s="1" t="s">
        <v>13871</v>
      </c>
      <c r="AI1273" s="1" t="s">
        <v>286</v>
      </c>
      <c r="AJ1273" s="1">
        <v>75</v>
      </c>
      <c r="AK1273" s="1">
        <v>8.2</v>
      </c>
      <c r="AL1273" s="1" t="s">
        <v>18571</v>
      </c>
      <c r="AM1273" s="1" t="s">
        <v>23005</v>
      </c>
      <c r="AN1273" s="1" t="s">
        <v>465</v>
      </c>
      <c r="AO1273" s="1" t="s">
        <v>286</v>
      </c>
      <c r="AP1273" s="1" t="s">
        <v>603</v>
      </c>
      <c r="AQ1273" s="1">
        <v>87.7</v>
      </c>
      <c r="AR1273" s="1">
        <v>9.2</v>
      </c>
      <c r="AS1273" s="1"/>
      <c r="AT1273" s="1"/>
      <c r="AU1273" s="1"/>
      <c r="AV1273" s="1"/>
      <c r="AW1273" s="1"/>
      <c r="AX1273" s="1"/>
      <c r="AY1273" s="1" t="s">
        <v>23006</v>
      </c>
      <c r="AZ1273" s="1" t="s">
        <v>23007</v>
      </c>
      <c r="BA1273" s="1" t="s">
        <v>466</v>
      </c>
      <c r="BB1273" s="1" t="s">
        <v>467</v>
      </c>
      <c r="BC1273" s="1" t="s">
        <v>603</v>
      </c>
      <c r="BD1273" s="1" t="s">
        <v>4093</v>
      </c>
      <c r="BE1273" s="1">
        <v>60.8</v>
      </c>
      <c r="BF1273" s="1">
        <v>6.6</v>
      </c>
      <c r="BG1273" s="1"/>
      <c r="BH1273" s="1"/>
      <c r="BI1273" s="1"/>
      <c r="BJ1273" s="1"/>
      <c r="BK1273" s="1"/>
      <c r="BL1273" s="1"/>
      <c r="BM1273" s="1"/>
      <c r="BN1273" s="1"/>
      <c r="BO1273" s="1" t="s">
        <v>23008</v>
      </c>
      <c r="BP1273" s="1" t="s">
        <v>23009</v>
      </c>
      <c r="BQ1273" s="1" t="s">
        <v>2116</v>
      </c>
      <c r="BR1273" s="1"/>
      <c r="BS1273" s="1"/>
      <c r="BT1273" s="1" t="s">
        <v>23010</v>
      </c>
      <c r="BU1273" s="1" t="str">
        <f>HYPERLINK("https://nconnect.nicmar.ac.in/storage/profile/6a8738e2d7455.png","Download")</f>
        <v>0</v>
      </c>
      <c r="BV1273" s="3"/>
      <c r="BW1273" s="3"/>
    </row>
    <row r="1274" spans="1:75">
      <c r="A1274" s="1" t="s">
        <v>75</v>
      </c>
      <c r="B1274" s="1" t="s">
        <v>13976</v>
      </c>
      <c r="C1274" s="1" t="s">
        <v>23011</v>
      </c>
      <c r="D1274" s="1" t="s">
        <v>23012</v>
      </c>
      <c r="E1274" s="1"/>
      <c r="F1274" s="1" t="s">
        <v>23013</v>
      </c>
      <c r="G1274" s="1" t="s">
        <v>23014</v>
      </c>
      <c r="H1274" s="1" t="s">
        <v>23015</v>
      </c>
      <c r="I1274" s="1" t="s">
        <v>23015</v>
      </c>
      <c r="J1274" s="1">
        <v>8331885612</v>
      </c>
      <c r="K1274" s="1" t="s">
        <v>153</v>
      </c>
      <c r="L1274" s="1" t="s">
        <v>23016</v>
      </c>
      <c r="M1274" s="1" t="s">
        <v>86</v>
      </c>
      <c r="N1274" s="1" t="s">
        <v>23017</v>
      </c>
      <c r="O1274" s="1" t="s">
        <v>23018</v>
      </c>
      <c r="P1274" s="1" t="s">
        <v>89</v>
      </c>
      <c r="Q1274" s="1">
        <v>341749308484</v>
      </c>
      <c r="R1274" s="1" t="s">
        <v>23019</v>
      </c>
      <c r="S1274" s="1">
        <v>9492505612</v>
      </c>
      <c r="T1274" s="1" t="s">
        <v>23020</v>
      </c>
      <c r="U1274" s="1" t="s">
        <v>23021</v>
      </c>
      <c r="V1274" s="1">
        <v>9441239170</v>
      </c>
      <c r="W1274" s="1" t="s">
        <v>23022</v>
      </c>
      <c r="X1274" s="1" t="s">
        <v>23023</v>
      </c>
      <c r="Y1274" s="1" t="s">
        <v>20156</v>
      </c>
      <c r="Z1274" s="1" t="s">
        <v>281</v>
      </c>
      <c r="AA1274" s="1" t="s">
        <v>23024</v>
      </c>
      <c r="AB1274" s="1" t="s">
        <v>20156</v>
      </c>
      <c r="AC1274" s="1" t="s">
        <v>281</v>
      </c>
      <c r="AD1274" s="1" t="s">
        <v>98</v>
      </c>
      <c r="AE1274" s="1" t="s">
        <v>98</v>
      </c>
      <c r="AF1274" s="1" t="s">
        <v>23025</v>
      </c>
      <c r="AG1274" s="1" t="s">
        <v>9682</v>
      </c>
      <c r="AH1274" s="1" t="s">
        <v>3794</v>
      </c>
      <c r="AI1274" s="1" t="s">
        <v>490</v>
      </c>
      <c r="AJ1274" s="1">
        <v>91</v>
      </c>
      <c r="AK1274" s="1">
        <v>9.58</v>
      </c>
      <c r="AL1274" s="1" t="s">
        <v>23026</v>
      </c>
      <c r="AM1274" s="1" t="s">
        <v>23027</v>
      </c>
      <c r="AN1274" s="1" t="s">
        <v>1062</v>
      </c>
      <c r="AO1274" s="1" t="s">
        <v>174</v>
      </c>
      <c r="AP1274" s="1" t="s">
        <v>977</v>
      </c>
      <c r="AQ1274" s="1">
        <v>88</v>
      </c>
      <c r="AR1274" s="1">
        <v>9.28</v>
      </c>
      <c r="AS1274" s="1"/>
      <c r="AT1274" s="1"/>
      <c r="AU1274" s="1"/>
      <c r="AV1274" s="1"/>
      <c r="AW1274" s="1"/>
      <c r="AX1274" s="1"/>
      <c r="AY1274" s="1" t="s">
        <v>7265</v>
      </c>
      <c r="AZ1274" s="1" t="s">
        <v>23028</v>
      </c>
      <c r="BA1274" s="1" t="s">
        <v>466</v>
      </c>
      <c r="BB1274" s="1" t="s">
        <v>467</v>
      </c>
      <c r="BC1274" s="1" t="s">
        <v>890</v>
      </c>
      <c r="BD1274" s="1" t="s">
        <v>418</v>
      </c>
      <c r="BE1274" s="1">
        <v>82.46</v>
      </c>
      <c r="BF1274" s="1">
        <v>8.68</v>
      </c>
      <c r="BG1274" s="1"/>
      <c r="BH1274" s="1"/>
      <c r="BI1274" s="1"/>
      <c r="BJ1274" s="1"/>
      <c r="BK1274" s="1"/>
      <c r="BL1274" s="1"/>
      <c r="BM1274" s="1"/>
      <c r="BN1274" s="1"/>
      <c r="BO1274" s="1" t="s">
        <v>23029</v>
      </c>
      <c r="BP1274" s="1"/>
      <c r="BQ1274" s="1"/>
      <c r="BR1274" s="1" t="s">
        <v>23030</v>
      </c>
      <c r="BS1274" s="1">
        <v>51</v>
      </c>
      <c r="BT1274" s="1" t="s">
        <v>23031</v>
      </c>
      <c r="BU1274" s="1" t="str">
        <f>HYPERLINK("https://nconnect.nicmar.ac.in/storage/profile/6a87047f3c47f.png","Download")</f>
        <v>0</v>
      </c>
      <c r="BV1274" s="3"/>
      <c r="BW1274" s="3"/>
    </row>
    <row r="1275" spans="1:75">
      <c r="A1275" s="1" t="s">
        <v>75</v>
      </c>
      <c r="B1275" s="1" t="s">
        <v>13976</v>
      </c>
      <c r="C1275" s="1" t="s">
        <v>23032</v>
      </c>
      <c r="D1275" s="1" t="s">
        <v>23033</v>
      </c>
      <c r="E1275" s="1" t="s">
        <v>15601</v>
      </c>
      <c r="F1275" s="1" t="s">
        <v>23034</v>
      </c>
      <c r="G1275" s="1" t="s">
        <v>23035</v>
      </c>
      <c r="H1275" s="1" t="s">
        <v>23036</v>
      </c>
      <c r="I1275" s="1" t="s">
        <v>23036</v>
      </c>
      <c r="J1275" s="1">
        <v>7028686364</v>
      </c>
      <c r="K1275" s="1" t="s">
        <v>84</v>
      </c>
      <c r="L1275" s="1" t="s">
        <v>23037</v>
      </c>
      <c r="M1275" s="1" t="s">
        <v>86</v>
      </c>
      <c r="N1275" s="1" t="s">
        <v>23038</v>
      </c>
      <c r="O1275" s="1" t="s">
        <v>23039</v>
      </c>
      <c r="P1275" s="1" t="s">
        <v>219</v>
      </c>
      <c r="Q1275" s="1" t="s">
        <v>23040</v>
      </c>
      <c r="R1275" s="1" t="s">
        <v>15601</v>
      </c>
      <c r="S1275" s="1">
        <v>9960871916</v>
      </c>
      <c r="T1275" s="1" t="s">
        <v>14821</v>
      </c>
      <c r="U1275" s="1" t="s">
        <v>23041</v>
      </c>
      <c r="V1275" s="1">
        <v>8087845098</v>
      </c>
      <c r="W1275" s="1" t="s">
        <v>14234</v>
      </c>
      <c r="X1275" s="1" t="s">
        <v>23042</v>
      </c>
      <c r="Y1275" s="1" t="s">
        <v>3538</v>
      </c>
      <c r="Z1275" s="1" t="s">
        <v>97</v>
      </c>
      <c r="AA1275" s="1" t="s">
        <v>23042</v>
      </c>
      <c r="AB1275" s="1" t="s">
        <v>3538</v>
      </c>
      <c r="AC1275" s="1" t="s">
        <v>97</v>
      </c>
      <c r="AD1275" s="1" t="s">
        <v>98</v>
      </c>
      <c r="AE1275" s="1" t="s">
        <v>98</v>
      </c>
      <c r="AF1275" s="1" t="s">
        <v>23043</v>
      </c>
      <c r="AG1275" s="1" t="s">
        <v>21839</v>
      </c>
      <c r="AH1275" s="1" t="s">
        <v>106</v>
      </c>
      <c r="AI1275" s="1" t="s">
        <v>414</v>
      </c>
      <c r="AJ1275" s="1">
        <v>96</v>
      </c>
      <c r="AK1275" s="1"/>
      <c r="AL1275" s="1" t="s">
        <v>23044</v>
      </c>
      <c r="AM1275" s="1" t="s">
        <v>21839</v>
      </c>
      <c r="AN1275" s="1" t="s">
        <v>465</v>
      </c>
      <c r="AO1275" s="1" t="s">
        <v>468</v>
      </c>
      <c r="AP1275" s="1" t="s">
        <v>845</v>
      </c>
      <c r="AQ1275" s="1">
        <v>91</v>
      </c>
      <c r="AR1275" s="1"/>
      <c r="AS1275" s="1"/>
      <c r="AT1275" s="1"/>
      <c r="AU1275" s="1"/>
      <c r="AV1275" s="1"/>
      <c r="AW1275" s="1"/>
      <c r="AX1275" s="1"/>
      <c r="AY1275" s="1" t="s">
        <v>23045</v>
      </c>
      <c r="AZ1275" s="1" t="s">
        <v>23046</v>
      </c>
      <c r="BA1275" s="1" t="s">
        <v>682</v>
      </c>
      <c r="BB1275" s="1" t="s">
        <v>1561</v>
      </c>
      <c r="BC1275" s="1" t="s">
        <v>871</v>
      </c>
      <c r="BD1275" s="1" t="s">
        <v>14514</v>
      </c>
      <c r="BE1275" s="1">
        <v>90</v>
      </c>
      <c r="BF1275" s="1">
        <v>9</v>
      </c>
      <c r="BG1275" s="1"/>
      <c r="BH1275" s="1"/>
      <c r="BI1275" s="1"/>
      <c r="BJ1275" s="1"/>
      <c r="BK1275" s="1"/>
      <c r="BL1275" s="1"/>
      <c r="BM1275" s="1"/>
      <c r="BN1275" s="1"/>
      <c r="BO1275" s="1" t="s">
        <v>23047</v>
      </c>
      <c r="BP1275" s="1"/>
      <c r="BQ1275" s="1"/>
      <c r="BR1275" s="1" t="s">
        <v>23048</v>
      </c>
      <c r="BS1275" s="1">
        <v>19</v>
      </c>
      <c r="BT1275" s="1" t="s">
        <v>23049</v>
      </c>
      <c r="BU1275" s="1" t="str">
        <f>HYPERLINK("https://nconnect.nicmar.ac.in/storage/profile/6a85a87d2ba6d.png","Download")</f>
        <v>0</v>
      </c>
      <c r="BV1275" s="3"/>
      <c r="BW1275" s="3"/>
    </row>
    <row r="1276" spans="1:75">
      <c r="A1276" s="1" t="s">
        <v>75</v>
      </c>
      <c r="B1276" s="1" t="s">
        <v>13976</v>
      </c>
      <c r="C1276" s="1" t="s">
        <v>23050</v>
      </c>
      <c r="D1276" s="1" t="s">
        <v>23051</v>
      </c>
      <c r="E1276" s="1" t="s">
        <v>18786</v>
      </c>
      <c r="F1276" s="1" t="s">
        <v>17607</v>
      </c>
      <c r="G1276" s="1" t="s">
        <v>23052</v>
      </c>
      <c r="H1276" s="1" t="s">
        <v>23053</v>
      </c>
      <c r="I1276" s="1" t="s">
        <v>23054</v>
      </c>
      <c r="J1276" s="1">
        <v>9757312275</v>
      </c>
      <c r="K1276" s="1" t="s">
        <v>153</v>
      </c>
      <c r="L1276" s="1" t="s">
        <v>13606</v>
      </c>
      <c r="M1276" s="1" t="s">
        <v>86</v>
      </c>
      <c r="N1276" s="1" t="s">
        <v>618</v>
      </c>
      <c r="O1276" s="1" t="s">
        <v>23055</v>
      </c>
      <c r="P1276" s="1" t="s">
        <v>219</v>
      </c>
      <c r="Q1276" s="1">
        <v>271469699057</v>
      </c>
      <c r="R1276" s="1" t="s">
        <v>23056</v>
      </c>
      <c r="S1276" s="1">
        <v>9969017692</v>
      </c>
      <c r="T1276" s="1" t="s">
        <v>23057</v>
      </c>
      <c r="U1276" s="1" t="s">
        <v>23058</v>
      </c>
      <c r="V1276" s="1">
        <v>9869832550</v>
      </c>
      <c r="W1276" s="1" t="s">
        <v>14154</v>
      </c>
      <c r="X1276" s="1" t="s">
        <v>23059</v>
      </c>
      <c r="Y1276" s="1" t="s">
        <v>2259</v>
      </c>
      <c r="Z1276" s="1" t="s">
        <v>97</v>
      </c>
      <c r="AA1276" s="1" t="s">
        <v>23059</v>
      </c>
      <c r="AB1276" s="1" t="s">
        <v>2259</v>
      </c>
      <c r="AC1276" s="1" t="s">
        <v>97</v>
      </c>
      <c r="AD1276" s="1" t="s">
        <v>98</v>
      </c>
      <c r="AE1276" s="1" t="s">
        <v>98</v>
      </c>
      <c r="AF1276" s="1" t="s">
        <v>23060</v>
      </c>
      <c r="AG1276" s="1" t="s">
        <v>23061</v>
      </c>
      <c r="AH1276" s="1" t="s">
        <v>101</v>
      </c>
      <c r="AI1276" s="1" t="s">
        <v>102</v>
      </c>
      <c r="AJ1276" s="1">
        <v>93.2</v>
      </c>
      <c r="AK1276" s="1"/>
      <c r="AL1276" s="1" t="s">
        <v>23062</v>
      </c>
      <c r="AM1276" s="1" t="s">
        <v>23061</v>
      </c>
      <c r="AN1276" s="1" t="s">
        <v>465</v>
      </c>
      <c r="AO1276" s="1" t="s">
        <v>167</v>
      </c>
      <c r="AP1276" s="1" t="s">
        <v>518</v>
      </c>
      <c r="AQ1276" s="1">
        <v>65.08</v>
      </c>
      <c r="AR1276" s="1"/>
      <c r="AS1276" s="1"/>
      <c r="AT1276" s="1"/>
      <c r="AU1276" s="1"/>
      <c r="AV1276" s="1"/>
      <c r="AW1276" s="1"/>
      <c r="AX1276" s="1"/>
      <c r="AY1276" s="1" t="s">
        <v>23063</v>
      </c>
      <c r="AZ1276" s="1" t="s">
        <v>23064</v>
      </c>
      <c r="BA1276" s="1" t="s">
        <v>578</v>
      </c>
      <c r="BB1276" s="1" t="s">
        <v>467</v>
      </c>
      <c r="BC1276" s="1" t="s">
        <v>388</v>
      </c>
      <c r="BD1276" s="1" t="s">
        <v>847</v>
      </c>
      <c r="BE1276" s="1">
        <v>66.57</v>
      </c>
      <c r="BF1276" s="1">
        <v>7.37</v>
      </c>
      <c r="BG1276" s="1"/>
      <c r="BH1276" s="1"/>
      <c r="BI1276" s="1"/>
      <c r="BJ1276" s="1"/>
      <c r="BK1276" s="1"/>
      <c r="BL1276" s="1"/>
      <c r="BM1276" s="1"/>
      <c r="BN1276" s="1"/>
      <c r="BO1276" s="1" t="s">
        <v>15575</v>
      </c>
      <c r="BP1276" s="1" t="s">
        <v>23065</v>
      </c>
      <c r="BQ1276" s="1" t="s">
        <v>7108</v>
      </c>
      <c r="BR1276" s="1"/>
      <c r="BS1276" s="1"/>
      <c r="BT1276" s="1"/>
      <c r="BU1276" s="1" t="str">
        <f>HYPERLINK("https://nconnect.nicmar.ac.in/storage/profile/6a874616036a5.png","Download")</f>
        <v>0</v>
      </c>
      <c r="BV1276" s="3"/>
      <c r="BW1276" s="3"/>
    </row>
    <row r="1277" spans="1:75">
      <c r="A1277" s="1" t="s">
        <v>75</v>
      </c>
      <c r="B1277" s="1" t="s">
        <v>13976</v>
      </c>
      <c r="C1277" s="1" t="s">
        <v>23066</v>
      </c>
      <c r="D1277" s="1" t="s">
        <v>23067</v>
      </c>
      <c r="E1277" s="1" t="s">
        <v>17404</v>
      </c>
      <c r="F1277" s="1" t="s">
        <v>23068</v>
      </c>
      <c r="G1277" s="1" t="s">
        <v>23069</v>
      </c>
      <c r="H1277" s="1" t="s">
        <v>23070</v>
      </c>
      <c r="I1277" s="1" t="s">
        <v>23070</v>
      </c>
      <c r="J1277" s="1">
        <v>7249051865</v>
      </c>
      <c r="K1277" s="1" t="s">
        <v>84</v>
      </c>
      <c r="L1277" s="1" t="s">
        <v>23071</v>
      </c>
      <c r="M1277" s="1" t="s">
        <v>86</v>
      </c>
      <c r="N1277" s="1" t="s">
        <v>19632</v>
      </c>
      <c r="O1277" s="1" t="s">
        <v>23072</v>
      </c>
      <c r="P1277" s="1" t="s">
        <v>219</v>
      </c>
      <c r="Q1277" s="1" t="s">
        <v>23073</v>
      </c>
      <c r="R1277" s="1" t="s">
        <v>23074</v>
      </c>
      <c r="S1277" s="1">
        <v>9822225025</v>
      </c>
      <c r="T1277" s="1" t="s">
        <v>23075</v>
      </c>
      <c r="U1277" s="1" t="s">
        <v>23076</v>
      </c>
      <c r="V1277" s="1">
        <v>9011664494</v>
      </c>
      <c r="W1277" s="1" t="s">
        <v>19327</v>
      </c>
      <c r="X1277" s="1" t="s">
        <v>23077</v>
      </c>
      <c r="Y1277" s="1" t="s">
        <v>196</v>
      </c>
      <c r="Z1277" s="1" t="s">
        <v>97</v>
      </c>
      <c r="AA1277" s="1" t="s">
        <v>23077</v>
      </c>
      <c r="AB1277" s="1" t="s">
        <v>196</v>
      </c>
      <c r="AC1277" s="1" t="s">
        <v>97</v>
      </c>
      <c r="AD1277" s="1" t="s">
        <v>98</v>
      </c>
      <c r="AE1277" s="1" t="s">
        <v>98</v>
      </c>
      <c r="AF1277" s="1" t="s">
        <v>23078</v>
      </c>
      <c r="AG1277" s="1" t="s">
        <v>23079</v>
      </c>
      <c r="AH1277" s="1" t="s">
        <v>170</v>
      </c>
      <c r="AI1277" s="1" t="s">
        <v>286</v>
      </c>
      <c r="AJ1277" s="1">
        <v>80.4</v>
      </c>
      <c r="AK1277" s="1"/>
      <c r="AL1277" s="1" t="s">
        <v>23080</v>
      </c>
      <c r="AM1277" s="1" t="s">
        <v>23079</v>
      </c>
      <c r="AN1277" s="1" t="s">
        <v>465</v>
      </c>
      <c r="AO1277" s="1" t="s">
        <v>106</v>
      </c>
      <c r="AP1277" s="1" t="s">
        <v>365</v>
      </c>
      <c r="AQ1277" s="1">
        <v>63.23</v>
      </c>
      <c r="AR1277" s="1"/>
      <c r="AS1277" s="1"/>
      <c r="AT1277" s="1"/>
      <c r="AU1277" s="1"/>
      <c r="AV1277" s="1"/>
      <c r="AW1277" s="1"/>
      <c r="AX1277" s="1"/>
      <c r="AY1277" s="1" t="s">
        <v>23081</v>
      </c>
      <c r="AZ1277" s="1" t="s">
        <v>23082</v>
      </c>
      <c r="BA1277" s="1" t="s">
        <v>682</v>
      </c>
      <c r="BB1277" s="1" t="s">
        <v>683</v>
      </c>
      <c r="BC1277" s="1" t="s">
        <v>1040</v>
      </c>
      <c r="BD1277" s="1" t="s">
        <v>607</v>
      </c>
      <c r="BE1277" s="1">
        <v>81.08</v>
      </c>
      <c r="BF1277" s="1">
        <v>8.84</v>
      </c>
      <c r="BG1277" s="1"/>
      <c r="BH1277" s="1"/>
      <c r="BI1277" s="1"/>
      <c r="BJ1277" s="1"/>
      <c r="BK1277" s="1"/>
      <c r="BL1277" s="1"/>
      <c r="BM1277" s="1"/>
      <c r="BN1277" s="1"/>
      <c r="BO1277" s="1" t="s">
        <v>23083</v>
      </c>
      <c r="BP1277" s="1" t="s">
        <v>23084</v>
      </c>
      <c r="BQ1277" s="1" t="s">
        <v>1070</v>
      </c>
      <c r="BR1277" s="1" t="s">
        <v>23085</v>
      </c>
      <c r="BS1277" s="1">
        <v>17</v>
      </c>
      <c r="BT1277" s="1" t="s">
        <v>23086</v>
      </c>
      <c r="BU1277" s="1" t="str">
        <f>HYPERLINK("https://nconnect.nicmar.ac.in/storage/profile/6a85ca1e587de.png","Download")</f>
        <v>0</v>
      </c>
      <c r="BV1277" s="3"/>
      <c r="BW1277" s="3"/>
    </row>
    <row r="1278" spans="1:75">
      <c r="A1278" s="1" t="s">
        <v>75</v>
      </c>
      <c r="B1278" s="1" t="s">
        <v>13976</v>
      </c>
      <c r="C1278" s="1" t="s">
        <v>23087</v>
      </c>
      <c r="D1278" s="1" t="s">
        <v>9388</v>
      </c>
      <c r="E1278" s="1" t="s">
        <v>9151</v>
      </c>
      <c r="F1278" s="1" t="s">
        <v>241</v>
      </c>
      <c r="G1278" s="1" t="s">
        <v>23088</v>
      </c>
      <c r="H1278" s="1" t="s">
        <v>23089</v>
      </c>
      <c r="I1278" s="1" t="s">
        <v>23089</v>
      </c>
      <c r="J1278" s="1">
        <v>8329305433</v>
      </c>
      <c r="K1278" s="1" t="s">
        <v>84</v>
      </c>
      <c r="L1278" s="1" t="s">
        <v>14390</v>
      </c>
      <c r="M1278" s="1" t="s">
        <v>86</v>
      </c>
      <c r="N1278" s="1" t="s">
        <v>16813</v>
      </c>
      <c r="O1278" s="1" t="s">
        <v>23090</v>
      </c>
      <c r="P1278" s="1" t="s">
        <v>16271</v>
      </c>
      <c r="Q1278" s="1">
        <v>492620853922</v>
      </c>
      <c r="R1278" s="1" t="s">
        <v>23091</v>
      </c>
      <c r="S1278" s="1">
        <v>9404340912</v>
      </c>
      <c r="T1278" s="1" t="s">
        <v>4776</v>
      </c>
      <c r="U1278" s="1" t="s">
        <v>23092</v>
      </c>
      <c r="V1278" s="1">
        <v>7385602710</v>
      </c>
      <c r="W1278" s="1" t="s">
        <v>278</v>
      </c>
      <c r="X1278" s="1" t="s">
        <v>23093</v>
      </c>
      <c r="Y1278" s="1" t="s">
        <v>7911</v>
      </c>
      <c r="Z1278" s="1" t="s">
        <v>97</v>
      </c>
      <c r="AA1278" s="1" t="s">
        <v>23094</v>
      </c>
      <c r="AB1278" s="1" t="s">
        <v>196</v>
      </c>
      <c r="AC1278" s="1" t="s">
        <v>97</v>
      </c>
      <c r="AD1278" s="1" t="s">
        <v>98</v>
      </c>
      <c r="AE1278" s="1" t="s">
        <v>98</v>
      </c>
      <c r="AF1278" s="1" t="s">
        <v>23095</v>
      </c>
      <c r="AG1278" s="1" t="s">
        <v>23096</v>
      </c>
      <c r="AH1278" s="1" t="s">
        <v>106</v>
      </c>
      <c r="AI1278" s="1" t="s">
        <v>414</v>
      </c>
      <c r="AJ1278" s="1">
        <v>82.8</v>
      </c>
      <c r="AK1278" s="1"/>
      <c r="AL1278" s="1"/>
      <c r="AM1278" s="1"/>
      <c r="AN1278" s="1"/>
      <c r="AO1278" s="1"/>
      <c r="AP1278" s="1"/>
      <c r="AQ1278" s="1"/>
      <c r="AR1278" s="1"/>
      <c r="AS1278" s="1" t="s">
        <v>103</v>
      </c>
      <c r="AT1278" s="1" t="s">
        <v>23097</v>
      </c>
      <c r="AU1278" s="1" t="s">
        <v>438</v>
      </c>
      <c r="AV1278" s="1" t="s">
        <v>1400</v>
      </c>
      <c r="AW1278" s="1">
        <v>87.89</v>
      </c>
      <c r="AX1278" s="1"/>
      <c r="AY1278" s="1" t="s">
        <v>366</v>
      </c>
      <c r="AZ1278" s="1" t="s">
        <v>23098</v>
      </c>
      <c r="BA1278" s="1" t="s">
        <v>466</v>
      </c>
      <c r="BB1278" s="1" t="s">
        <v>467</v>
      </c>
      <c r="BC1278" s="1" t="s">
        <v>1802</v>
      </c>
      <c r="BD1278" s="1" t="s">
        <v>553</v>
      </c>
      <c r="BE1278" s="1">
        <v>80.08</v>
      </c>
      <c r="BF1278" s="1">
        <v>8.43</v>
      </c>
      <c r="BG1278" s="1"/>
      <c r="BH1278" s="1"/>
      <c r="BI1278" s="1"/>
      <c r="BJ1278" s="1"/>
      <c r="BK1278" s="1"/>
      <c r="BL1278" s="1"/>
      <c r="BM1278" s="1"/>
      <c r="BN1278" s="1"/>
      <c r="BO1278" s="1" t="s">
        <v>23099</v>
      </c>
      <c r="BP1278" s="1" t="s">
        <v>23100</v>
      </c>
      <c r="BQ1278" s="1" t="s">
        <v>2245</v>
      </c>
      <c r="BR1278" s="1"/>
      <c r="BS1278" s="1"/>
      <c r="BT1278" s="1"/>
      <c r="BU1278" s="1" t="str">
        <f>HYPERLINK("https://nconnect.nicmar.ac.in/storage/profile/6a85de51a02d4.png","Download")</f>
        <v>0</v>
      </c>
      <c r="BV1278" s="3"/>
      <c r="BW1278" s="3"/>
    </row>
    <row r="1279" spans="1:75">
      <c r="A1279" s="1" t="s">
        <v>75</v>
      </c>
      <c r="B1279" s="1" t="s">
        <v>13976</v>
      </c>
      <c r="C1279" s="1" t="s">
        <v>23101</v>
      </c>
      <c r="D1279" s="1" t="s">
        <v>23102</v>
      </c>
      <c r="E1279" s="1" t="s">
        <v>23103</v>
      </c>
      <c r="F1279" s="1" t="s">
        <v>23104</v>
      </c>
      <c r="G1279" s="1" t="s">
        <v>23105</v>
      </c>
      <c r="H1279" s="1" t="s">
        <v>23106</v>
      </c>
      <c r="I1279" s="1" t="s">
        <v>23106</v>
      </c>
      <c r="J1279" s="1">
        <v>8390869369</v>
      </c>
      <c r="K1279" s="1" t="s">
        <v>84</v>
      </c>
      <c r="L1279" s="1" t="s">
        <v>23107</v>
      </c>
      <c r="M1279" s="1" t="s">
        <v>86</v>
      </c>
      <c r="N1279" s="1" t="s">
        <v>14685</v>
      </c>
      <c r="O1279" s="1" t="s">
        <v>23108</v>
      </c>
      <c r="P1279" s="1" t="s">
        <v>122</v>
      </c>
      <c r="Q1279" s="1">
        <v>384668854607</v>
      </c>
      <c r="R1279" s="1" t="s">
        <v>22661</v>
      </c>
      <c r="S1279" s="1">
        <v>9764110475</v>
      </c>
      <c r="T1279" s="1" t="s">
        <v>13987</v>
      </c>
      <c r="U1279" s="1" t="s">
        <v>16093</v>
      </c>
      <c r="V1279" s="1">
        <v>9766843275</v>
      </c>
      <c r="W1279" s="1" t="s">
        <v>10306</v>
      </c>
      <c r="X1279" s="1" t="s">
        <v>23109</v>
      </c>
      <c r="Y1279" s="1" t="s">
        <v>7241</v>
      </c>
      <c r="Z1279" s="1" t="s">
        <v>97</v>
      </c>
      <c r="AA1279" s="1" t="s">
        <v>23109</v>
      </c>
      <c r="AB1279" s="1" t="s">
        <v>7241</v>
      </c>
      <c r="AC1279" s="1" t="s">
        <v>97</v>
      </c>
      <c r="AD1279" s="1" t="s">
        <v>98</v>
      </c>
      <c r="AE1279" s="1" t="s">
        <v>98</v>
      </c>
      <c r="AF1279" s="1"/>
      <c r="AG1279" s="1"/>
      <c r="AH1279" s="1"/>
      <c r="AI1279" s="1"/>
      <c r="AJ1279" s="1"/>
      <c r="AK1279" s="1"/>
      <c r="AL1279" s="1"/>
      <c r="AM1279" s="1"/>
      <c r="AN1279" s="1"/>
      <c r="AO1279" s="1"/>
      <c r="AP1279" s="1"/>
      <c r="AQ1279" s="1"/>
      <c r="AR1279" s="1"/>
      <c r="AS1279" s="1"/>
      <c r="AT1279" s="1"/>
      <c r="AU1279" s="1"/>
      <c r="AV1279" s="1"/>
      <c r="AW1279" s="1"/>
      <c r="AX1279" s="1"/>
      <c r="AY1279" s="1"/>
      <c r="AZ1279" s="1"/>
      <c r="BA1279" s="1"/>
      <c r="BB1279" s="1"/>
      <c r="BC1279" s="1"/>
      <c r="BD1279" s="1"/>
      <c r="BE1279" s="1"/>
      <c r="BF1279" s="1"/>
      <c r="BG1279" s="1"/>
      <c r="BH1279" s="1"/>
      <c r="BI1279" s="1"/>
      <c r="BJ1279" s="1"/>
      <c r="BK1279" s="1"/>
      <c r="BL1279" s="1"/>
      <c r="BM1279" s="1"/>
      <c r="BN1279" s="1"/>
      <c r="BO1279" s="1"/>
      <c r="BP1279" s="1" t="s">
        <v>23110</v>
      </c>
      <c r="BQ1279" s="1" t="s">
        <v>2245</v>
      </c>
      <c r="BR1279" s="1" t="s">
        <v>23111</v>
      </c>
      <c r="BS1279" s="1">
        <v>26</v>
      </c>
      <c r="BT1279" s="1" t="s">
        <v>23112</v>
      </c>
      <c r="BU1279" s="1" t="str">
        <f>HYPERLINK("https://nconnect.nicmar.ac.in/storage/profile/6a875c916916f.png","Download")</f>
        <v>0</v>
      </c>
      <c r="BV1279" s="3"/>
      <c r="BW1279" s="3"/>
    </row>
    <row r="1280" spans="1:75">
      <c r="A1280" s="1" t="s">
        <v>75</v>
      </c>
      <c r="B1280" s="1" t="s">
        <v>13976</v>
      </c>
      <c r="C1280" s="1" t="s">
        <v>23113</v>
      </c>
      <c r="D1280" s="1" t="s">
        <v>23114</v>
      </c>
      <c r="E1280" s="1"/>
      <c r="F1280" s="1" t="s">
        <v>14774</v>
      </c>
      <c r="G1280" s="1" t="s">
        <v>23115</v>
      </c>
      <c r="H1280" s="1" t="s">
        <v>23116</v>
      </c>
      <c r="I1280" s="1" t="s">
        <v>23116</v>
      </c>
      <c r="J1280" s="1">
        <v>9655851970</v>
      </c>
      <c r="K1280" s="1" t="s">
        <v>84</v>
      </c>
      <c r="L1280" s="1" t="s">
        <v>15638</v>
      </c>
      <c r="M1280" s="1" t="s">
        <v>86</v>
      </c>
      <c r="N1280" s="1" t="s">
        <v>21520</v>
      </c>
      <c r="O1280" s="1" t="s">
        <v>23117</v>
      </c>
      <c r="P1280" s="1" t="s">
        <v>89</v>
      </c>
      <c r="Q1280" s="1">
        <v>251423271899</v>
      </c>
      <c r="R1280" s="1" t="s">
        <v>23118</v>
      </c>
      <c r="S1280" s="1">
        <v>9843231970</v>
      </c>
      <c r="T1280" s="1" t="s">
        <v>23119</v>
      </c>
      <c r="U1280" s="1" t="s">
        <v>23120</v>
      </c>
      <c r="V1280" s="1">
        <v>9843331970</v>
      </c>
      <c r="W1280" s="1" t="s">
        <v>23121</v>
      </c>
      <c r="X1280" s="1" t="s">
        <v>23122</v>
      </c>
      <c r="Y1280" s="1" t="s">
        <v>2131</v>
      </c>
      <c r="Z1280" s="1" t="s">
        <v>570</v>
      </c>
      <c r="AA1280" s="1" t="s">
        <v>23122</v>
      </c>
      <c r="AB1280" s="1" t="s">
        <v>2131</v>
      </c>
      <c r="AC1280" s="1" t="s">
        <v>570</v>
      </c>
      <c r="AD1280" s="1" t="s">
        <v>98</v>
      </c>
      <c r="AE1280" s="1" t="s">
        <v>98</v>
      </c>
      <c r="AF1280" s="1" t="s">
        <v>23123</v>
      </c>
      <c r="AG1280" s="1" t="s">
        <v>23124</v>
      </c>
      <c r="AH1280" s="1" t="s">
        <v>547</v>
      </c>
      <c r="AI1280" s="1" t="s">
        <v>178</v>
      </c>
      <c r="AJ1280" s="1">
        <v>84.8</v>
      </c>
      <c r="AK1280" s="1"/>
      <c r="AL1280" s="1" t="s">
        <v>23123</v>
      </c>
      <c r="AM1280" s="1" t="s">
        <v>23124</v>
      </c>
      <c r="AN1280" s="1" t="s">
        <v>575</v>
      </c>
      <c r="AO1280" s="1" t="s">
        <v>2304</v>
      </c>
      <c r="AP1280" s="1" t="s">
        <v>1400</v>
      </c>
      <c r="AQ1280" s="1">
        <v>78.7</v>
      </c>
      <c r="AR1280" s="1"/>
      <c r="AS1280" s="1"/>
      <c r="AT1280" s="1"/>
      <c r="AU1280" s="1"/>
      <c r="AV1280" s="1"/>
      <c r="AW1280" s="1"/>
      <c r="AX1280" s="1"/>
      <c r="AY1280" s="1" t="s">
        <v>23125</v>
      </c>
      <c r="AZ1280" s="1" t="s">
        <v>23126</v>
      </c>
      <c r="BA1280" s="1" t="s">
        <v>466</v>
      </c>
      <c r="BB1280" s="1" t="s">
        <v>467</v>
      </c>
      <c r="BC1280" s="1" t="s">
        <v>1802</v>
      </c>
      <c r="BD1280" s="1" t="s">
        <v>14162</v>
      </c>
      <c r="BE1280" s="1">
        <v>85.5</v>
      </c>
      <c r="BF1280" s="1"/>
      <c r="BG1280" s="1"/>
      <c r="BH1280" s="1"/>
      <c r="BI1280" s="1"/>
      <c r="BJ1280" s="1"/>
      <c r="BK1280" s="1"/>
      <c r="BL1280" s="1"/>
      <c r="BM1280" s="1"/>
      <c r="BN1280" s="1"/>
      <c r="BO1280" s="1" t="s">
        <v>23127</v>
      </c>
      <c r="BP1280" s="1"/>
      <c r="BQ1280" s="1"/>
      <c r="BR1280" s="1" t="s">
        <v>23128</v>
      </c>
      <c r="BS1280" s="1">
        <v>21</v>
      </c>
      <c r="BT1280" s="1" t="s">
        <v>23129</v>
      </c>
      <c r="BU1280" s="1" t="str">
        <f>HYPERLINK("https://nconnect.nicmar.ac.in/storage/profile/6a858443cd02f.png","Download")</f>
        <v>0</v>
      </c>
      <c r="BV1280" s="3"/>
      <c r="BW1280" s="3"/>
    </row>
    <row r="1281" spans="1:75">
      <c r="A1281" s="1" t="s">
        <v>75</v>
      </c>
      <c r="B1281" s="1" t="s">
        <v>13976</v>
      </c>
      <c r="C1281" s="1" t="s">
        <v>23130</v>
      </c>
      <c r="D1281" s="1" t="s">
        <v>23131</v>
      </c>
      <c r="E1281" s="1"/>
      <c r="F1281" s="1" t="s">
        <v>23132</v>
      </c>
      <c r="G1281" s="1" t="s">
        <v>23133</v>
      </c>
      <c r="H1281" s="1" t="s">
        <v>23134</v>
      </c>
      <c r="I1281" s="1" t="s">
        <v>23134</v>
      </c>
      <c r="J1281" s="1">
        <v>9703609214</v>
      </c>
      <c r="K1281" s="1" t="s">
        <v>153</v>
      </c>
      <c r="L1281" s="1" t="s">
        <v>14797</v>
      </c>
      <c r="M1281" s="1" t="s">
        <v>86</v>
      </c>
      <c r="N1281" s="1" t="s">
        <v>1449</v>
      </c>
      <c r="O1281" s="1" t="s">
        <v>23135</v>
      </c>
      <c r="P1281" s="1" t="s">
        <v>89</v>
      </c>
      <c r="Q1281" s="1">
        <v>258639161128</v>
      </c>
      <c r="R1281" s="1" t="s">
        <v>23136</v>
      </c>
      <c r="S1281" s="1">
        <v>9866830961</v>
      </c>
      <c r="T1281" s="1" t="s">
        <v>14335</v>
      </c>
      <c r="U1281" s="1" t="s">
        <v>23137</v>
      </c>
      <c r="V1281" s="1">
        <v>7842544381</v>
      </c>
      <c r="W1281" s="1" t="s">
        <v>14234</v>
      </c>
      <c r="X1281" s="1" t="s">
        <v>23138</v>
      </c>
      <c r="Y1281" s="1" t="s">
        <v>1454</v>
      </c>
      <c r="Z1281" s="1" t="s">
        <v>281</v>
      </c>
      <c r="AA1281" s="1" t="s">
        <v>23138</v>
      </c>
      <c r="AB1281" s="1" t="s">
        <v>1454</v>
      </c>
      <c r="AC1281" s="1" t="s">
        <v>281</v>
      </c>
      <c r="AD1281" s="1" t="s">
        <v>98</v>
      </c>
      <c r="AE1281" s="1" t="s">
        <v>98</v>
      </c>
      <c r="AF1281" s="1" t="s">
        <v>23139</v>
      </c>
      <c r="AG1281" s="1" t="s">
        <v>23140</v>
      </c>
      <c r="AH1281" s="1" t="s">
        <v>1237</v>
      </c>
      <c r="AI1281" s="1" t="s">
        <v>1111</v>
      </c>
      <c r="AJ1281" s="1">
        <v>88</v>
      </c>
      <c r="AK1281" s="1">
        <v>8.8</v>
      </c>
      <c r="AL1281" s="1" t="s">
        <v>18571</v>
      </c>
      <c r="AM1281" s="1" t="s">
        <v>23141</v>
      </c>
      <c r="AN1281" s="1" t="s">
        <v>465</v>
      </c>
      <c r="AO1281" s="1" t="s">
        <v>167</v>
      </c>
      <c r="AP1281" s="1" t="s">
        <v>490</v>
      </c>
      <c r="AQ1281" s="1">
        <v>87</v>
      </c>
      <c r="AR1281" s="1"/>
      <c r="AS1281" s="1"/>
      <c r="AT1281" s="1"/>
      <c r="AU1281" s="1"/>
      <c r="AV1281" s="1"/>
      <c r="AW1281" s="1"/>
      <c r="AX1281" s="1"/>
      <c r="AY1281" s="1" t="s">
        <v>14282</v>
      </c>
      <c r="AZ1281" s="1" t="s">
        <v>23142</v>
      </c>
      <c r="BA1281" s="1" t="s">
        <v>466</v>
      </c>
      <c r="BB1281" s="1" t="s">
        <v>23143</v>
      </c>
      <c r="BC1281" s="1" t="s">
        <v>174</v>
      </c>
      <c r="BD1281" s="1" t="s">
        <v>632</v>
      </c>
      <c r="BE1281" s="1">
        <v>80</v>
      </c>
      <c r="BF1281" s="1">
        <v>8.03</v>
      </c>
      <c r="BG1281" s="1"/>
      <c r="BH1281" s="1"/>
      <c r="BI1281" s="1"/>
      <c r="BJ1281" s="1"/>
      <c r="BK1281" s="1"/>
      <c r="BL1281" s="1"/>
      <c r="BM1281" s="1"/>
      <c r="BN1281" s="1"/>
      <c r="BO1281" s="1" t="s">
        <v>23144</v>
      </c>
      <c r="BP1281" s="1" t="s">
        <v>23145</v>
      </c>
      <c r="BQ1281" s="1" t="s">
        <v>6365</v>
      </c>
      <c r="BR1281" s="1" t="s">
        <v>23146</v>
      </c>
      <c r="BS1281" s="1">
        <v>2</v>
      </c>
      <c r="BT1281" s="1" t="s">
        <v>23147</v>
      </c>
      <c r="BU1281" s="1" t="str">
        <f>HYPERLINK("https://nconnect.nicmar.ac.in/storage/profile/6a86ec1da211e.png","Download")</f>
        <v>0</v>
      </c>
      <c r="BV1281" s="3"/>
      <c r="BW1281" s="3"/>
    </row>
    <row r="1282" spans="1:75">
      <c r="A1282" s="1" t="s">
        <v>75</v>
      </c>
      <c r="B1282" s="1" t="s">
        <v>13976</v>
      </c>
      <c r="C1282" s="1" t="s">
        <v>23148</v>
      </c>
      <c r="D1282" s="1" t="s">
        <v>23149</v>
      </c>
      <c r="E1282" s="1"/>
      <c r="F1282" s="1" t="s">
        <v>23150</v>
      </c>
      <c r="G1282" s="1" t="s">
        <v>23151</v>
      </c>
      <c r="H1282" s="1" t="s">
        <v>23152</v>
      </c>
      <c r="I1282" s="1" t="s">
        <v>23152</v>
      </c>
      <c r="J1282" s="1">
        <v>7904898498</v>
      </c>
      <c r="K1282" s="1" t="s">
        <v>84</v>
      </c>
      <c r="L1282" s="1" t="s">
        <v>23153</v>
      </c>
      <c r="M1282" s="1" t="s">
        <v>86</v>
      </c>
      <c r="N1282" s="1" t="s">
        <v>21965</v>
      </c>
      <c r="O1282" s="1" t="s">
        <v>23154</v>
      </c>
      <c r="P1282" s="1" t="s">
        <v>356</v>
      </c>
      <c r="Q1282" s="1">
        <v>836497110148</v>
      </c>
      <c r="R1282" s="1" t="s">
        <v>23155</v>
      </c>
      <c r="S1282" s="1">
        <v>9042435455</v>
      </c>
      <c r="T1282" s="1" t="s">
        <v>23156</v>
      </c>
      <c r="U1282" s="1" t="s">
        <v>23157</v>
      </c>
      <c r="V1282" s="1">
        <v>9042435458</v>
      </c>
      <c r="W1282" s="1" t="s">
        <v>307</v>
      </c>
      <c r="X1282" s="1" t="s">
        <v>23158</v>
      </c>
      <c r="Y1282" s="1" t="s">
        <v>14298</v>
      </c>
      <c r="Z1282" s="1" t="s">
        <v>570</v>
      </c>
      <c r="AA1282" s="1" t="s">
        <v>23158</v>
      </c>
      <c r="AB1282" s="1" t="s">
        <v>14298</v>
      </c>
      <c r="AC1282" s="1" t="s">
        <v>570</v>
      </c>
      <c r="AD1282" s="1" t="s">
        <v>98</v>
      </c>
      <c r="AE1282" s="1" t="s">
        <v>98</v>
      </c>
      <c r="AF1282" s="1"/>
      <c r="AG1282" s="1"/>
      <c r="AH1282" s="1"/>
      <c r="AI1282" s="1"/>
      <c r="AJ1282" s="1"/>
      <c r="AK1282" s="1"/>
      <c r="AL1282" s="1"/>
      <c r="AM1282" s="1"/>
      <c r="AN1282" s="1"/>
      <c r="AO1282" s="1"/>
      <c r="AP1282" s="1"/>
      <c r="AQ1282" s="1"/>
      <c r="AR1282" s="1"/>
      <c r="AS1282" s="1"/>
      <c r="AT1282" s="1"/>
      <c r="AU1282" s="1"/>
      <c r="AV1282" s="1"/>
      <c r="AW1282" s="1"/>
      <c r="AX1282" s="1"/>
      <c r="AY1282" s="1"/>
      <c r="AZ1282" s="1"/>
      <c r="BA1282" s="1"/>
      <c r="BB1282" s="1"/>
      <c r="BC1282" s="1"/>
      <c r="BD1282" s="1"/>
      <c r="BE1282" s="1"/>
      <c r="BF1282" s="1"/>
      <c r="BG1282" s="1"/>
      <c r="BH1282" s="1"/>
      <c r="BI1282" s="1"/>
      <c r="BJ1282" s="1"/>
      <c r="BK1282" s="1"/>
      <c r="BL1282" s="1"/>
      <c r="BM1282" s="1"/>
      <c r="BN1282" s="1"/>
      <c r="BO1282" s="1"/>
      <c r="BP1282" s="1" t="s">
        <v>23159</v>
      </c>
      <c r="BQ1282" s="1" t="s">
        <v>1152</v>
      </c>
      <c r="BR1282" s="1"/>
      <c r="BS1282" s="1"/>
      <c r="BT1282" s="1" t="s">
        <v>23160</v>
      </c>
      <c r="BU1282" s="1" t="str">
        <f>HYPERLINK("https://nconnect.nicmar.ac.in/storage/profile/6a873948871f3.png","Download")</f>
        <v>0</v>
      </c>
      <c r="BV1282" s="3"/>
      <c r="BW1282" s="3"/>
    </row>
    <row r="1283" spans="1:75">
      <c r="A1283" s="1" t="s">
        <v>75</v>
      </c>
      <c r="B1283" s="1" t="s">
        <v>13976</v>
      </c>
      <c r="C1283" s="1" t="s">
        <v>23161</v>
      </c>
      <c r="D1283" s="1" t="s">
        <v>23162</v>
      </c>
      <c r="E1283" s="1" t="s">
        <v>23163</v>
      </c>
      <c r="F1283" s="1" t="s">
        <v>18539</v>
      </c>
      <c r="G1283" s="1" t="s">
        <v>23164</v>
      </c>
      <c r="H1283" s="1" t="s">
        <v>23165</v>
      </c>
      <c r="I1283" s="1" t="s">
        <v>23165</v>
      </c>
      <c r="J1283" s="1">
        <v>9000019034</v>
      </c>
      <c r="K1283" s="1" t="s">
        <v>153</v>
      </c>
      <c r="L1283" s="1" t="s">
        <v>23166</v>
      </c>
      <c r="M1283" s="1" t="s">
        <v>86</v>
      </c>
      <c r="N1283" s="1" t="s">
        <v>23167</v>
      </c>
      <c r="O1283" s="1" t="s">
        <v>23168</v>
      </c>
      <c r="P1283" s="1" t="s">
        <v>356</v>
      </c>
      <c r="Q1283" s="1">
        <v>877205958502</v>
      </c>
      <c r="R1283" s="1" t="s">
        <v>23169</v>
      </c>
      <c r="S1283" s="1">
        <v>9611743247</v>
      </c>
      <c r="T1283" s="1" t="s">
        <v>18234</v>
      </c>
      <c r="U1283" s="1" t="s">
        <v>23170</v>
      </c>
      <c r="V1283" s="1">
        <v>9731136574</v>
      </c>
      <c r="W1283" s="1" t="s">
        <v>18072</v>
      </c>
      <c r="X1283" s="1" t="s">
        <v>23171</v>
      </c>
      <c r="Y1283" s="1" t="s">
        <v>196</v>
      </c>
      <c r="Z1283" s="1" t="s">
        <v>97</v>
      </c>
      <c r="AA1283" s="1" t="s">
        <v>23171</v>
      </c>
      <c r="AB1283" s="1" t="s">
        <v>196</v>
      </c>
      <c r="AC1283" s="1" t="s">
        <v>97</v>
      </c>
      <c r="AD1283" s="1" t="s">
        <v>98</v>
      </c>
      <c r="AE1283" s="1" t="s">
        <v>98</v>
      </c>
      <c r="AF1283" s="1" t="s">
        <v>23172</v>
      </c>
      <c r="AG1283" s="1" t="s">
        <v>23173</v>
      </c>
      <c r="AH1283" s="1" t="s">
        <v>200</v>
      </c>
      <c r="AI1283" s="1" t="s">
        <v>490</v>
      </c>
      <c r="AJ1283" s="1">
        <v>95</v>
      </c>
      <c r="AK1283" s="1">
        <v>9.5</v>
      </c>
      <c r="AL1283" s="1" t="s">
        <v>23174</v>
      </c>
      <c r="AM1283" s="1" t="s">
        <v>23175</v>
      </c>
      <c r="AN1283" s="1" t="s">
        <v>465</v>
      </c>
      <c r="AO1283" s="1" t="s">
        <v>171</v>
      </c>
      <c r="AP1283" s="1" t="s">
        <v>468</v>
      </c>
      <c r="AQ1283" s="1">
        <v>72.1</v>
      </c>
      <c r="AR1283" s="1">
        <v>7.21</v>
      </c>
      <c r="AS1283" s="1"/>
      <c r="AT1283" s="1"/>
      <c r="AU1283" s="1"/>
      <c r="AV1283" s="1"/>
      <c r="AW1283" s="1"/>
      <c r="AX1283" s="1"/>
      <c r="AY1283" s="1" t="s">
        <v>23176</v>
      </c>
      <c r="AZ1283" s="1" t="s">
        <v>23175</v>
      </c>
      <c r="BA1283" s="1" t="s">
        <v>682</v>
      </c>
      <c r="BB1283" s="1" t="s">
        <v>1561</v>
      </c>
      <c r="BC1283" s="1" t="s">
        <v>977</v>
      </c>
      <c r="BD1283" s="1" t="s">
        <v>607</v>
      </c>
      <c r="BE1283" s="1">
        <v>75.8</v>
      </c>
      <c r="BF1283" s="1">
        <v>7.58</v>
      </c>
      <c r="BG1283" s="1"/>
      <c r="BH1283" s="1"/>
      <c r="BI1283" s="1"/>
      <c r="BJ1283" s="1"/>
      <c r="BK1283" s="1"/>
      <c r="BL1283" s="1"/>
      <c r="BM1283" s="1"/>
      <c r="BN1283" s="1"/>
      <c r="BO1283" s="1" t="s">
        <v>23177</v>
      </c>
      <c r="BP1283" s="1" t="s">
        <v>23178</v>
      </c>
      <c r="BQ1283" s="1" t="s">
        <v>471</v>
      </c>
      <c r="BR1283" s="1"/>
      <c r="BS1283" s="1"/>
      <c r="BT1283" s="1"/>
      <c r="BU1283" s="1" t="str">
        <f>HYPERLINK("https://nconnect.nicmar.ac.in/storage/profile/6a872671d802b.png","Download")</f>
        <v>0</v>
      </c>
      <c r="BV1283" s="3"/>
      <c r="BW1283" s="3"/>
    </row>
    <row r="1284" spans="1:75">
      <c r="A1284" s="1" t="s">
        <v>75</v>
      </c>
      <c r="B1284" s="1" t="s">
        <v>13976</v>
      </c>
      <c r="C1284" s="1" t="s">
        <v>23179</v>
      </c>
      <c r="D1284" s="1" t="s">
        <v>15540</v>
      </c>
      <c r="E1284" s="1" t="s">
        <v>9655</v>
      </c>
      <c r="F1284" s="1" t="s">
        <v>23180</v>
      </c>
      <c r="G1284" s="1" t="s">
        <v>23181</v>
      </c>
      <c r="H1284" s="1" t="s">
        <v>23182</v>
      </c>
      <c r="I1284" s="1" t="s">
        <v>23182</v>
      </c>
      <c r="J1284" s="1">
        <v>8888864714</v>
      </c>
      <c r="K1284" s="1" t="s">
        <v>84</v>
      </c>
      <c r="L1284" s="1" t="s">
        <v>23183</v>
      </c>
      <c r="M1284" s="1" t="s">
        <v>86</v>
      </c>
      <c r="N1284" s="1" t="s">
        <v>21834</v>
      </c>
      <c r="O1284" s="1" t="s">
        <v>23184</v>
      </c>
      <c r="P1284" s="1" t="s">
        <v>356</v>
      </c>
      <c r="Q1284" s="1">
        <v>758455376867</v>
      </c>
      <c r="R1284" s="1" t="s">
        <v>23185</v>
      </c>
      <c r="S1284" s="1">
        <v>8888864713</v>
      </c>
      <c r="T1284" s="1" t="s">
        <v>23186</v>
      </c>
      <c r="U1284" s="1" t="s">
        <v>19209</v>
      </c>
      <c r="V1284" s="1">
        <v>9373233200</v>
      </c>
      <c r="W1284" s="1" t="s">
        <v>10306</v>
      </c>
      <c r="X1284" s="1" t="s">
        <v>23187</v>
      </c>
      <c r="Y1284" s="1" t="s">
        <v>910</v>
      </c>
      <c r="Z1284" s="1" t="s">
        <v>97</v>
      </c>
      <c r="AA1284" s="1" t="s">
        <v>23187</v>
      </c>
      <c r="AB1284" s="1" t="s">
        <v>910</v>
      </c>
      <c r="AC1284" s="1" t="s">
        <v>97</v>
      </c>
      <c r="AD1284" s="1" t="s">
        <v>98</v>
      </c>
      <c r="AE1284" s="1" t="s">
        <v>98</v>
      </c>
      <c r="AF1284" s="1" t="s">
        <v>23188</v>
      </c>
      <c r="AG1284" s="1" t="s">
        <v>23189</v>
      </c>
      <c r="AH1284" s="1" t="s">
        <v>438</v>
      </c>
      <c r="AI1284" s="1" t="s">
        <v>417</v>
      </c>
      <c r="AJ1284" s="1">
        <v>81.6</v>
      </c>
      <c r="AK1284" s="1"/>
      <c r="AL1284" s="1"/>
      <c r="AM1284" s="1"/>
      <c r="AN1284" s="1"/>
      <c r="AO1284" s="1"/>
      <c r="AP1284" s="1"/>
      <c r="AQ1284" s="1"/>
      <c r="AR1284" s="1"/>
      <c r="AS1284" s="1" t="s">
        <v>14377</v>
      </c>
      <c r="AT1284" s="1" t="s">
        <v>23190</v>
      </c>
      <c r="AU1284" s="1" t="s">
        <v>178</v>
      </c>
      <c r="AV1284" s="1" t="s">
        <v>179</v>
      </c>
      <c r="AW1284" s="1">
        <v>79.26</v>
      </c>
      <c r="AX1284" s="1"/>
      <c r="AY1284" s="1" t="s">
        <v>14160</v>
      </c>
      <c r="AZ1284" s="1" t="s">
        <v>23191</v>
      </c>
      <c r="BA1284" s="1" t="s">
        <v>578</v>
      </c>
      <c r="BB1284" s="1" t="s">
        <v>467</v>
      </c>
      <c r="BC1284" s="1" t="s">
        <v>391</v>
      </c>
      <c r="BD1284" s="1" t="s">
        <v>14162</v>
      </c>
      <c r="BE1284" s="1">
        <v>61.8</v>
      </c>
      <c r="BF1284" s="1">
        <v>6.93</v>
      </c>
      <c r="BG1284" s="1"/>
      <c r="BH1284" s="1"/>
      <c r="BI1284" s="1"/>
      <c r="BJ1284" s="1"/>
      <c r="BK1284" s="1"/>
      <c r="BL1284" s="1"/>
      <c r="BM1284" s="1"/>
      <c r="BN1284" s="1"/>
      <c r="BO1284" s="1" t="s">
        <v>23192</v>
      </c>
      <c r="BP1284" s="1"/>
      <c r="BQ1284" s="1"/>
      <c r="BR1284" s="1" t="s">
        <v>23193</v>
      </c>
      <c r="BS1284" s="1">
        <v>172</v>
      </c>
      <c r="BT1284" s="1"/>
      <c r="BU1284" s="1" t="str">
        <f>HYPERLINK("https://nconnect.nicmar.ac.in/storage/profile/6a85e96a468f0.png","Download")</f>
        <v>0</v>
      </c>
      <c r="BV1284" s="3"/>
      <c r="BW1284" s="3"/>
    </row>
    <row r="1285" spans="1:75">
      <c r="A1285" s="1" t="s">
        <v>75</v>
      </c>
      <c r="B1285" s="1" t="s">
        <v>13976</v>
      </c>
      <c r="C1285" s="1" t="s">
        <v>23194</v>
      </c>
      <c r="D1285" s="1" t="s">
        <v>23195</v>
      </c>
      <c r="E1285" s="1" t="s">
        <v>18466</v>
      </c>
      <c r="F1285" s="1" t="s">
        <v>23196</v>
      </c>
      <c r="G1285" s="1" t="s">
        <v>23197</v>
      </c>
      <c r="H1285" s="1" t="s">
        <v>23198</v>
      </c>
      <c r="I1285" s="1" t="s">
        <v>23198</v>
      </c>
      <c r="J1285" s="1">
        <v>7038554163</v>
      </c>
      <c r="K1285" s="1" t="s">
        <v>153</v>
      </c>
      <c r="L1285" s="1" t="s">
        <v>5369</v>
      </c>
      <c r="M1285" s="1" t="s">
        <v>86</v>
      </c>
      <c r="N1285" s="1" t="s">
        <v>23199</v>
      </c>
      <c r="O1285" s="1" t="s">
        <v>23200</v>
      </c>
      <c r="P1285" s="1" t="s">
        <v>122</v>
      </c>
      <c r="Q1285" s="1">
        <v>736184371153</v>
      </c>
      <c r="R1285" s="1" t="s">
        <v>23201</v>
      </c>
      <c r="S1285" s="1">
        <v>9970369302</v>
      </c>
      <c r="T1285" s="1" t="s">
        <v>3439</v>
      </c>
      <c r="U1285" s="1" t="s">
        <v>23202</v>
      </c>
      <c r="V1285" s="1">
        <v>8605732295</v>
      </c>
      <c r="W1285" s="1" t="s">
        <v>9679</v>
      </c>
      <c r="X1285" s="1" t="s">
        <v>23203</v>
      </c>
      <c r="Y1285" s="1" t="s">
        <v>196</v>
      </c>
      <c r="Z1285" s="1" t="s">
        <v>97</v>
      </c>
      <c r="AA1285" s="1" t="s">
        <v>23203</v>
      </c>
      <c r="AB1285" s="1" t="s">
        <v>196</v>
      </c>
      <c r="AC1285" s="1" t="s">
        <v>97</v>
      </c>
      <c r="AD1285" s="1" t="s">
        <v>98</v>
      </c>
      <c r="AE1285" s="1" t="s">
        <v>98</v>
      </c>
      <c r="AF1285" s="1" t="s">
        <v>23204</v>
      </c>
      <c r="AG1285" s="1" t="s">
        <v>23205</v>
      </c>
      <c r="AH1285" s="1" t="s">
        <v>170</v>
      </c>
      <c r="AI1285" s="1" t="s">
        <v>286</v>
      </c>
      <c r="AJ1285" s="1">
        <v>74</v>
      </c>
      <c r="AK1285" s="1"/>
      <c r="AL1285" s="1"/>
      <c r="AM1285" s="1"/>
      <c r="AN1285" s="1"/>
      <c r="AO1285" s="1"/>
      <c r="AP1285" s="1"/>
      <c r="AQ1285" s="1"/>
      <c r="AR1285" s="1"/>
      <c r="AS1285" s="1" t="s">
        <v>467</v>
      </c>
      <c r="AT1285" s="1" t="s">
        <v>23206</v>
      </c>
      <c r="AU1285" s="1" t="s">
        <v>1065</v>
      </c>
      <c r="AV1285" s="1" t="s">
        <v>549</v>
      </c>
      <c r="AW1285" s="1">
        <v>81</v>
      </c>
      <c r="AX1285" s="1"/>
      <c r="AY1285" s="1" t="s">
        <v>16643</v>
      </c>
      <c r="AZ1285" s="1" t="s">
        <v>6476</v>
      </c>
      <c r="BA1285" s="1" t="s">
        <v>466</v>
      </c>
      <c r="BB1285" s="1" t="s">
        <v>467</v>
      </c>
      <c r="BC1285" s="1" t="s">
        <v>549</v>
      </c>
      <c r="BD1285" s="1" t="s">
        <v>1242</v>
      </c>
      <c r="BE1285" s="1">
        <v>66.7</v>
      </c>
      <c r="BF1285" s="1">
        <v>7.06</v>
      </c>
      <c r="BG1285" s="1"/>
      <c r="BH1285" s="1"/>
      <c r="BI1285" s="1"/>
      <c r="BJ1285" s="1"/>
      <c r="BK1285" s="1"/>
      <c r="BL1285" s="1"/>
      <c r="BM1285" s="1"/>
      <c r="BN1285" s="1"/>
      <c r="BO1285" s="1" t="s">
        <v>23207</v>
      </c>
      <c r="BP1285" s="1" t="s">
        <v>23208</v>
      </c>
      <c r="BQ1285" s="1" t="s">
        <v>1174</v>
      </c>
      <c r="BR1285" s="1"/>
      <c r="BS1285" s="1"/>
      <c r="BT1285" s="1" t="s">
        <v>23209</v>
      </c>
      <c r="BU1285" s="1" t="str">
        <f>HYPERLINK("https://nconnect.nicmar.ac.in/storage/profile/6a87150fcd802.png","Download")</f>
        <v>0</v>
      </c>
      <c r="BV1285" s="3"/>
      <c r="BW1285" s="3"/>
    </row>
    <row r="1286" spans="1:75">
      <c r="A1286" s="1" t="s">
        <v>75</v>
      </c>
      <c r="B1286" s="1" t="s">
        <v>13976</v>
      </c>
      <c r="C1286" s="1" t="s">
        <v>23210</v>
      </c>
      <c r="D1286" s="1" t="s">
        <v>23211</v>
      </c>
      <c r="E1286" s="1" t="s">
        <v>23212</v>
      </c>
      <c r="F1286" s="1" t="s">
        <v>23213</v>
      </c>
      <c r="G1286" s="1" t="s">
        <v>23214</v>
      </c>
      <c r="H1286" s="1" t="s">
        <v>23215</v>
      </c>
      <c r="I1286" s="1" t="s">
        <v>23215</v>
      </c>
      <c r="J1286" s="1">
        <v>9370744175</v>
      </c>
      <c r="K1286" s="1" t="s">
        <v>153</v>
      </c>
      <c r="L1286" s="1" t="s">
        <v>23216</v>
      </c>
      <c r="M1286" s="1" t="s">
        <v>86</v>
      </c>
      <c r="N1286" s="1" t="s">
        <v>23217</v>
      </c>
      <c r="O1286" s="1" t="s">
        <v>23218</v>
      </c>
      <c r="P1286" s="1" t="s">
        <v>356</v>
      </c>
      <c r="Q1286" s="1">
        <v>550000381473</v>
      </c>
      <c r="R1286" s="1" t="s">
        <v>23219</v>
      </c>
      <c r="S1286" s="1">
        <v>9511801345</v>
      </c>
      <c r="T1286" s="1" t="s">
        <v>23220</v>
      </c>
      <c r="U1286" s="1" t="s">
        <v>23221</v>
      </c>
      <c r="V1286" s="1">
        <v>9511919340</v>
      </c>
      <c r="W1286" s="1" t="s">
        <v>14337</v>
      </c>
      <c r="X1286" s="1" t="s">
        <v>23222</v>
      </c>
      <c r="Y1286" s="1" t="s">
        <v>1033</v>
      </c>
      <c r="Z1286" s="1" t="s">
        <v>97</v>
      </c>
      <c r="AA1286" s="1" t="s">
        <v>23222</v>
      </c>
      <c r="AB1286" s="1" t="s">
        <v>1033</v>
      </c>
      <c r="AC1286" s="1" t="s">
        <v>97</v>
      </c>
      <c r="AD1286" s="1" t="s">
        <v>98</v>
      </c>
      <c r="AE1286" s="1" t="s">
        <v>98</v>
      </c>
      <c r="AF1286" s="1" t="s">
        <v>23223</v>
      </c>
      <c r="AG1286" s="1" t="s">
        <v>23224</v>
      </c>
      <c r="AH1286" s="1" t="s">
        <v>166</v>
      </c>
      <c r="AI1286" s="1" t="s">
        <v>1111</v>
      </c>
      <c r="AJ1286" s="1">
        <v>84</v>
      </c>
      <c r="AK1286" s="1"/>
      <c r="AL1286" s="1" t="s">
        <v>23225</v>
      </c>
      <c r="AM1286" s="1" t="s">
        <v>23226</v>
      </c>
      <c r="AN1286" s="1" t="s">
        <v>575</v>
      </c>
      <c r="AO1286" s="1" t="s">
        <v>1396</v>
      </c>
      <c r="AP1286" s="1" t="s">
        <v>490</v>
      </c>
      <c r="AQ1286" s="1">
        <v>64</v>
      </c>
      <c r="AR1286" s="1"/>
      <c r="AS1286" s="1"/>
      <c r="AT1286" s="1"/>
      <c r="AU1286" s="1"/>
      <c r="AV1286" s="1"/>
      <c r="AW1286" s="1"/>
      <c r="AX1286" s="1"/>
      <c r="AY1286" s="1" t="s">
        <v>23227</v>
      </c>
      <c r="AZ1286" s="1" t="s">
        <v>23228</v>
      </c>
      <c r="BA1286" s="1" t="s">
        <v>682</v>
      </c>
      <c r="BB1286" s="1" t="s">
        <v>1479</v>
      </c>
      <c r="BC1286" s="1" t="s">
        <v>1065</v>
      </c>
      <c r="BD1286" s="1" t="s">
        <v>579</v>
      </c>
      <c r="BE1286" s="1">
        <v>70</v>
      </c>
      <c r="BF1286" s="1">
        <v>7.07</v>
      </c>
      <c r="BG1286" s="1"/>
      <c r="BH1286" s="1"/>
      <c r="BI1286" s="1"/>
      <c r="BJ1286" s="1"/>
      <c r="BK1286" s="1"/>
      <c r="BL1286" s="1"/>
      <c r="BM1286" s="1"/>
      <c r="BN1286" s="1"/>
      <c r="BO1286" s="1" t="s">
        <v>23229</v>
      </c>
      <c r="BP1286" s="1" t="s">
        <v>23230</v>
      </c>
      <c r="BQ1286" s="1" t="s">
        <v>2213</v>
      </c>
      <c r="BR1286" s="1" t="s">
        <v>23231</v>
      </c>
      <c r="BS1286" s="1">
        <v>78</v>
      </c>
      <c r="BT1286" s="1" t="s">
        <v>23232</v>
      </c>
      <c r="BU1286" s="1" t="str">
        <f>HYPERLINK("https://nconnect.nicmar.ac.in/storage/profile/6a87360e5b546.png","Download")</f>
        <v>0</v>
      </c>
      <c r="BV1286" s="3"/>
      <c r="BW1286" s="3"/>
    </row>
    <row r="1287" spans="1:75">
      <c r="A1287" s="1" t="s">
        <v>75</v>
      </c>
      <c r="B1287" s="1" t="s">
        <v>13976</v>
      </c>
      <c r="C1287" s="1" t="s">
        <v>23233</v>
      </c>
      <c r="D1287" s="1" t="s">
        <v>21230</v>
      </c>
      <c r="E1287" s="1" t="s">
        <v>15919</v>
      </c>
      <c r="F1287" s="1" t="s">
        <v>23234</v>
      </c>
      <c r="G1287" s="1" t="s">
        <v>23235</v>
      </c>
      <c r="H1287" s="1" t="s">
        <v>23236</v>
      </c>
      <c r="I1287" s="1" t="s">
        <v>23236</v>
      </c>
      <c r="J1287" s="1">
        <v>7447587035</v>
      </c>
      <c r="K1287" s="1" t="s">
        <v>84</v>
      </c>
      <c r="L1287" s="1" t="s">
        <v>23237</v>
      </c>
      <c r="M1287" s="1" t="s">
        <v>86</v>
      </c>
      <c r="N1287" s="1" t="s">
        <v>618</v>
      </c>
      <c r="O1287" s="1" t="s">
        <v>23238</v>
      </c>
      <c r="P1287" s="1" t="s">
        <v>219</v>
      </c>
      <c r="Q1287" s="1">
        <v>420998676685</v>
      </c>
      <c r="R1287" s="1" t="s">
        <v>23239</v>
      </c>
      <c r="S1287" s="1">
        <v>9822792131</v>
      </c>
      <c r="T1287" s="1" t="s">
        <v>14275</v>
      </c>
      <c r="U1287" s="1" t="s">
        <v>23240</v>
      </c>
      <c r="V1287" s="1">
        <v>9922904659</v>
      </c>
      <c r="W1287" s="1" t="s">
        <v>14275</v>
      </c>
      <c r="X1287" s="1" t="s">
        <v>23241</v>
      </c>
      <c r="Y1287" s="1" t="s">
        <v>196</v>
      </c>
      <c r="Z1287" s="1" t="s">
        <v>97</v>
      </c>
      <c r="AA1287" s="1" t="s">
        <v>23241</v>
      </c>
      <c r="AB1287" s="1" t="s">
        <v>196</v>
      </c>
      <c r="AC1287" s="1" t="s">
        <v>97</v>
      </c>
      <c r="AD1287" s="1" t="s">
        <v>98</v>
      </c>
      <c r="AE1287" s="1" t="s">
        <v>98</v>
      </c>
      <c r="AF1287" s="1"/>
      <c r="AG1287" s="1"/>
      <c r="AH1287" s="1"/>
      <c r="AI1287" s="1"/>
      <c r="AJ1287" s="1"/>
      <c r="AK1287" s="1"/>
      <c r="AL1287" s="1"/>
      <c r="AM1287" s="1"/>
      <c r="AN1287" s="1"/>
      <c r="AO1287" s="1"/>
      <c r="AP1287" s="1"/>
      <c r="AQ1287" s="1"/>
      <c r="AR1287" s="1"/>
      <c r="AS1287" s="1"/>
      <c r="AT1287" s="1"/>
      <c r="AU1287" s="1"/>
      <c r="AV1287" s="1"/>
      <c r="AW1287" s="1"/>
      <c r="AX1287" s="1"/>
      <c r="AY1287" s="1"/>
      <c r="AZ1287" s="1"/>
      <c r="BA1287" s="1"/>
      <c r="BB1287" s="1"/>
      <c r="BC1287" s="1"/>
      <c r="BD1287" s="1"/>
      <c r="BE1287" s="1"/>
      <c r="BF1287" s="1"/>
      <c r="BG1287" s="1"/>
      <c r="BH1287" s="1"/>
      <c r="BI1287" s="1"/>
      <c r="BJ1287" s="1"/>
      <c r="BK1287" s="1"/>
      <c r="BL1287" s="1"/>
      <c r="BM1287" s="1"/>
      <c r="BN1287" s="1"/>
      <c r="BO1287" s="1"/>
      <c r="BP1287" s="1"/>
      <c r="BQ1287" s="1"/>
      <c r="BR1287" s="1"/>
      <c r="BS1287" s="1"/>
      <c r="BT1287" s="1"/>
      <c r="BU1287" s="1" t="str">
        <f>HYPERLINK("https://nconnect.nicmar.ac.in/storage/profile/6a85de2f28ca8.png","Download")</f>
        <v>0</v>
      </c>
      <c r="BV1287" s="3"/>
      <c r="BW1287" s="3"/>
    </row>
    <row r="1288" spans="1:75">
      <c r="A1288" s="1" t="s">
        <v>75</v>
      </c>
      <c r="B1288" s="1" t="s">
        <v>13976</v>
      </c>
      <c r="C1288" s="1" t="s">
        <v>23242</v>
      </c>
      <c r="D1288" s="1" t="s">
        <v>116</v>
      </c>
      <c r="E1288" s="1"/>
      <c r="F1288" s="1" t="s">
        <v>23243</v>
      </c>
      <c r="G1288" s="1" t="s">
        <v>23244</v>
      </c>
      <c r="H1288" s="1" t="s">
        <v>23245</v>
      </c>
      <c r="I1288" s="1" t="s">
        <v>23245</v>
      </c>
      <c r="J1288" s="1">
        <v>8105123737</v>
      </c>
      <c r="K1288" s="1" t="s">
        <v>84</v>
      </c>
      <c r="L1288" s="1" t="s">
        <v>10137</v>
      </c>
      <c r="M1288" s="1" t="s">
        <v>86</v>
      </c>
      <c r="N1288" s="1" t="s">
        <v>23246</v>
      </c>
      <c r="O1288" s="1" t="s">
        <v>23247</v>
      </c>
      <c r="P1288" s="1" t="s">
        <v>122</v>
      </c>
      <c r="Q1288" s="1">
        <v>788622033313</v>
      </c>
      <c r="R1288" s="1" t="s">
        <v>23248</v>
      </c>
      <c r="S1288" s="1">
        <v>9880893407</v>
      </c>
      <c r="T1288" s="1" t="s">
        <v>3439</v>
      </c>
      <c r="U1288" s="1" t="s">
        <v>23249</v>
      </c>
      <c r="V1288" s="1">
        <v>9164937836</v>
      </c>
      <c r="W1288" s="1" t="s">
        <v>9679</v>
      </c>
      <c r="X1288" s="1" t="s">
        <v>23250</v>
      </c>
      <c r="Y1288" s="1" t="s">
        <v>3132</v>
      </c>
      <c r="Z1288" s="1" t="s">
        <v>1210</v>
      </c>
      <c r="AA1288" s="1" t="s">
        <v>23250</v>
      </c>
      <c r="AB1288" s="1" t="s">
        <v>3132</v>
      </c>
      <c r="AC1288" s="1" t="s">
        <v>1210</v>
      </c>
      <c r="AD1288" s="1" t="s">
        <v>98</v>
      </c>
      <c r="AE1288" s="1" t="s">
        <v>98</v>
      </c>
      <c r="AF1288" s="1" t="s">
        <v>23251</v>
      </c>
      <c r="AG1288" s="1" t="s">
        <v>17143</v>
      </c>
      <c r="AH1288" s="1" t="s">
        <v>286</v>
      </c>
      <c r="AI1288" s="1" t="s">
        <v>547</v>
      </c>
      <c r="AJ1288" s="1">
        <v>80.64</v>
      </c>
      <c r="AK1288" s="1"/>
      <c r="AL1288" s="1" t="s">
        <v>23252</v>
      </c>
      <c r="AM1288" s="1" t="s">
        <v>17143</v>
      </c>
      <c r="AN1288" s="1" t="s">
        <v>575</v>
      </c>
      <c r="AO1288" s="1" t="s">
        <v>438</v>
      </c>
      <c r="AP1288" s="1" t="s">
        <v>549</v>
      </c>
      <c r="AQ1288" s="1">
        <v>74.33</v>
      </c>
      <c r="AR1288" s="1"/>
      <c r="AS1288" s="1"/>
      <c r="AT1288" s="1"/>
      <c r="AU1288" s="1"/>
      <c r="AV1288" s="1"/>
      <c r="AW1288" s="1"/>
      <c r="AX1288" s="1"/>
      <c r="AY1288" s="1" t="s">
        <v>1845</v>
      </c>
      <c r="AZ1288" s="1" t="s">
        <v>1845</v>
      </c>
      <c r="BA1288" s="1" t="s">
        <v>466</v>
      </c>
      <c r="BB1288" s="1" t="s">
        <v>467</v>
      </c>
      <c r="BC1288" s="1" t="s">
        <v>552</v>
      </c>
      <c r="BD1288" s="1" t="s">
        <v>23253</v>
      </c>
      <c r="BE1288" s="1">
        <v>70.1</v>
      </c>
      <c r="BF1288" s="1">
        <v>7.01</v>
      </c>
      <c r="BG1288" s="1"/>
      <c r="BH1288" s="1"/>
      <c r="BI1288" s="1"/>
      <c r="BJ1288" s="1"/>
      <c r="BK1288" s="1"/>
      <c r="BL1288" s="1"/>
      <c r="BM1288" s="1"/>
      <c r="BN1288" s="1"/>
      <c r="BO1288" s="1" t="s">
        <v>23254</v>
      </c>
      <c r="BP1288" s="1"/>
      <c r="BQ1288" s="1"/>
      <c r="BR1288" s="1"/>
      <c r="BS1288" s="1"/>
      <c r="BT1288" s="1" t="s">
        <v>23255</v>
      </c>
      <c r="BU1288" s="1" t="str">
        <f>HYPERLINK("https://nconnect.nicmar.ac.in/storage/profile/6a831aaba3112.png","Download")</f>
        <v>0</v>
      </c>
      <c r="BV1288" s="3"/>
      <c r="BW1288" s="3"/>
    </row>
    <row r="1289" spans="1:75">
      <c r="A1289" s="1" t="s">
        <v>75</v>
      </c>
      <c r="B1289" s="1" t="s">
        <v>13976</v>
      </c>
      <c r="C1289" s="1" t="s">
        <v>23256</v>
      </c>
      <c r="D1289" s="1" t="s">
        <v>23257</v>
      </c>
      <c r="E1289" s="1"/>
      <c r="F1289" s="1" t="s">
        <v>3998</v>
      </c>
      <c r="G1289" s="1" t="s">
        <v>23258</v>
      </c>
      <c r="H1289" s="1" t="s">
        <v>23259</v>
      </c>
      <c r="I1289" s="1" t="s">
        <v>23259</v>
      </c>
      <c r="J1289" s="1">
        <v>9400605241</v>
      </c>
      <c r="K1289" s="1" t="s">
        <v>153</v>
      </c>
      <c r="L1289" s="1" t="s">
        <v>23260</v>
      </c>
      <c r="M1289" s="1" t="s">
        <v>86</v>
      </c>
      <c r="N1289" s="1" t="s">
        <v>17115</v>
      </c>
      <c r="O1289" s="1" t="s">
        <v>23261</v>
      </c>
      <c r="P1289" s="1" t="s">
        <v>356</v>
      </c>
      <c r="Q1289" s="1">
        <v>227694449403</v>
      </c>
      <c r="R1289" s="1" t="s">
        <v>23262</v>
      </c>
      <c r="S1289" s="1">
        <v>9447244337</v>
      </c>
      <c r="T1289" s="1" t="s">
        <v>15965</v>
      </c>
      <c r="U1289" s="1" t="s">
        <v>23263</v>
      </c>
      <c r="V1289" s="1">
        <v>9497878026</v>
      </c>
      <c r="W1289" s="1" t="s">
        <v>3441</v>
      </c>
      <c r="X1289" s="1" t="s">
        <v>23264</v>
      </c>
      <c r="Y1289" s="1" t="s">
        <v>3190</v>
      </c>
      <c r="Z1289" s="1" t="s">
        <v>130</v>
      </c>
      <c r="AA1289" s="1" t="s">
        <v>23264</v>
      </c>
      <c r="AB1289" s="1" t="s">
        <v>3190</v>
      </c>
      <c r="AC1289" s="1" t="s">
        <v>130</v>
      </c>
      <c r="AD1289" s="1" t="s">
        <v>98</v>
      </c>
      <c r="AE1289" s="1" t="s">
        <v>98</v>
      </c>
      <c r="AF1289" s="1" t="s">
        <v>23265</v>
      </c>
      <c r="AG1289" s="1" t="s">
        <v>23266</v>
      </c>
      <c r="AH1289" s="1" t="s">
        <v>171</v>
      </c>
      <c r="AI1289" s="1" t="s">
        <v>313</v>
      </c>
      <c r="AJ1289" s="1">
        <v>93</v>
      </c>
      <c r="AK1289" s="1"/>
      <c r="AL1289" s="1" t="s">
        <v>23265</v>
      </c>
      <c r="AM1289" s="1" t="s">
        <v>23267</v>
      </c>
      <c r="AN1289" s="1" t="s">
        <v>575</v>
      </c>
      <c r="AO1289" s="1" t="s">
        <v>417</v>
      </c>
      <c r="AP1289" s="1" t="s">
        <v>845</v>
      </c>
      <c r="AQ1289" s="1">
        <v>91</v>
      </c>
      <c r="AR1289" s="1"/>
      <c r="AS1289" s="1"/>
      <c r="AT1289" s="1"/>
      <c r="AU1289" s="1"/>
      <c r="AV1289" s="1"/>
      <c r="AW1289" s="1"/>
      <c r="AX1289" s="1"/>
      <c r="AY1289" s="1" t="s">
        <v>137</v>
      </c>
      <c r="AZ1289" s="1" t="s">
        <v>23268</v>
      </c>
      <c r="BA1289" s="1" t="s">
        <v>466</v>
      </c>
      <c r="BB1289" s="1" t="s">
        <v>467</v>
      </c>
      <c r="BC1289" s="1" t="s">
        <v>1825</v>
      </c>
      <c r="BD1289" s="1" t="s">
        <v>14101</v>
      </c>
      <c r="BE1289" s="1">
        <v>79.9</v>
      </c>
      <c r="BF1289" s="1">
        <v>7.99</v>
      </c>
      <c r="BG1289" s="1"/>
      <c r="BH1289" s="1"/>
      <c r="BI1289" s="1"/>
      <c r="BJ1289" s="1"/>
      <c r="BK1289" s="1"/>
      <c r="BL1289" s="1"/>
      <c r="BM1289" s="1"/>
      <c r="BN1289" s="1"/>
      <c r="BO1289" s="1" t="s">
        <v>23269</v>
      </c>
      <c r="BP1289" s="1"/>
      <c r="BQ1289" s="1"/>
      <c r="BR1289" s="1" t="s">
        <v>23270</v>
      </c>
      <c r="BS1289" s="1">
        <v>1</v>
      </c>
      <c r="BT1289" s="1" t="s">
        <v>23271</v>
      </c>
      <c r="BU1289" s="1" t="str">
        <f>HYPERLINK("https://nconnect.nicmar.ac.in/storage/profile/6a87316b5c8f7.png","Download")</f>
        <v>0</v>
      </c>
      <c r="BV1289" s="3"/>
      <c r="BW1289" s="3"/>
    </row>
    <row r="1290" spans="1:75">
      <c r="A1290" s="1" t="s">
        <v>75</v>
      </c>
      <c r="B1290" s="1" t="s">
        <v>13976</v>
      </c>
      <c r="C1290" s="1" t="s">
        <v>23272</v>
      </c>
      <c r="D1290" s="1" t="s">
        <v>17760</v>
      </c>
      <c r="E1290" s="1"/>
      <c r="F1290" s="1" t="s">
        <v>17724</v>
      </c>
      <c r="G1290" s="1" t="s">
        <v>23273</v>
      </c>
      <c r="H1290" s="1" t="s">
        <v>23274</v>
      </c>
      <c r="I1290" s="1" t="s">
        <v>23274</v>
      </c>
      <c r="J1290" s="1">
        <v>9058023283</v>
      </c>
      <c r="K1290" s="1" t="s">
        <v>84</v>
      </c>
      <c r="L1290" s="1" t="s">
        <v>7499</v>
      </c>
      <c r="M1290" s="1" t="s">
        <v>86</v>
      </c>
      <c r="N1290" s="1" t="s">
        <v>355</v>
      </c>
      <c r="O1290" s="1" t="s">
        <v>23275</v>
      </c>
      <c r="P1290" s="1" t="s">
        <v>89</v>
      </c>
      <c r="Q1290" s="1">
        <v>820729064140</v>
      </c>
      <c r="R1290" s="1" t="s">
        <v>23276</v>
      </c>
      <c r="S1290" s="1">
        <v>8433018506</v>
      </c>
      <c r="T1290" s="1" t="s">
        <v>20946</v>
      </c>
      <c r="U1290" s="1" t="s">
        <v>23277</v>
      </c>
      <c r="V1290" s="1">
        <v>8218681701</v>
      </c>
      <c r="W1290" s="1" t="s">
        <v>3441</v>
      </c>
      <c r="X1290" s="1" t="s">
        <v>23278</v>
      </c>
      <c r="Y1290" s="1" t="s">
        <v>14415</v>
      </c>
      <c r="Z1290" s="1" t="s">
        <v>544</v>
      </c>
      <c r="AA1290" s="1" t="s">
        <v>23278</v>
      </c>
      <c r="AB1290" s="1" t="s">
        <v>14415</v>
      </c>
      <c r="AC1290" s="1" t="s">
        <v>544</v>
      </c>
      <c r="AD1290" s="1" t="s">
        <v>98</v>
      </c>
      <c r="AE1290" s="1" t="s">
        <v>98</v>
      </c>
      <c r="AF1290" s="1" t="s">
        <v>23279</v>
      </c>
      <c r="AG1290" s="1" t="s">
        <v>15703</v>
      </c>
      <c r="AH1290" s="1" t="s">
        <v>490</v>
      </c>
      <c r="AI1290" s="1" t="s">
        <v>313</v>
      </c>
      <c r="AJ1290" s="1">
        <v>92.5</v>
      </c>
      <c r="AK1290" s="1"/>
      <c r="AL1290" s="1" t="s">
        <v>23280</v>
      </c>
      <c r="AM1290" s="1" t="s">
        <v>15703</v>
      </c>
      <c r="AN1290" s="1" t="s">
        <v>465</v>
      </c>
      <c r="AO1290" s="1" t="s">
        <v>417</v>
      </c>
      <c r="AP1290" s="1" t="s">
        <v>549</v>
      </c>
      <c r="AQ1290" s="1">
        <v>85</v>
      </c>
      <c r="AR1290" s="1"/>
      <c r="AS1290" s="1"/>
      <c r="AT1290" s="1"/>
      <c r="AU1290" s="1"/>
      <c r="AV1290" s="1"/>
      <c r="AW1290" s="1"/>
      <c r="AX1290" s="1"/>
      <c r="AY1290" s="1" t="s">
        <v>14921</v>
      </c>
      <c r="AZ1290" s="1" t="s">
        <v>23281</v>
      </c>
      <c r="BA1290" s="1" t="s">
        <v>466</v>
      </c>
      <c r="BB1290" s="1" t="s">
        <v>467</v>
      </c>
      <c r="BC1290" s="1" t="s">
        <v>549</v>
      </c>
      <c r="BD1290" s="1" t="s">
        <v>1401</v>
      </c>
      <c r="BE1290" s="1">
        <v>65</v>
      </c>
      <c r="BF1290" s="1">
        <v>6.56</v>
      </c>
      <c r="BG1290" s="1"/>
      <c r="BH1290" s="1"/>
      <c r="BI1290" s="1"/>
      <c r="BJ1290" s="1"/>
      <c r="BK1290" s="1"/>
      <c r="BL1290" s="1"/>
      <c r="BM1290" s="1"/>
      <c r="BN1290" s="1"/>
      <c r="BO1290" s="1" t="s">
        <v>23282</v>
      </c>
      <c r="BP1290" s="1"/>
      <c r="BQ1290" s="1"/>
      <c r="BR1290" s="1" t="s">
        <v>23283</v>
      </c>
      <c r="BS1290" s="1">
        <v>25</v>
      </c>
      <c r="BT1290" s="1"/>
      <c r="BU1290" s="1" t="str">
        <f>HYPERLINK("https://nconnect.nicmar.ac.in/storage/profile/6a86fb57d7ea1.png","Download")</f>
        <v>0</v>
      </c>
      <c r="BV1290" s="3"/>
      <c r="BW1290" s="3"/>
    </row>
    <row r="1291" spans="1:75">
      <c r="A1291" s="1" t="s">
        <v>75</v>
      </c>
      <c r="B1291" s="1" t="s">
        <v>13976</v>
      </c>
      <c r="C1291" s="1" t="s">
        <v>23284</v>
      </c>
      <c r="D1291" s="1" t="s">
        <v>18465</v>
      </c>
      <c r="E1291" s="1"/>
      <c r="F1291" s="1" t="s">
        <v>10296</v>
      </c>
      <c r="G1291" s="1" t="s">
        <v>23285</v>
      </c>
      <c r="H1291" s="1" t="s">
        <v>23286</v>
      </c>
      <c r="I1291" s="1" t="s">
        <v>23286</v>
      </c>
      <c r="J1291" s="1">
        <v>7685945808</v>
      </c>
      <c r="K1291" s="1" t="s">
        <v>153</v>
      </c>
      <c r="L1291" s="1" t="s">
        <v>23287</v>
      </c>
      <c r="M1291" s="1" t="s">
        <v>86</v>
      </c>
      <c r="N1291" s="1" t="s">
        <v>23288</v>
      </c>
      <c r="O1291" s="1" t="s">
        <v>23289</v>
      </c>
      <c r="P1291" s="1" t="s">
        <v>89</v>
      </c>
      <c r="Q1291" s="1">
        <v>671529327478</v>
      </c>
      <c r="R1291" s="1" t="s">
        <v>23290</v>
      </c>
      <c r="S1291" s="1">
        <v>9830019717</v>
      </c>
      <c r="T1291" s="1" t="s">
        <v>15073</v>
      </c>
      <c r="U1291" s="1" t="s">
        <v>23291</v>
      </c>
      <c r="V1291" s="1">
        <v>9836509887</v>
      </c>
      <c r="W1291" s="1" t="s">
        <v>15073</v>
      </c>
      <c r="X1291" s="1" t="s">
        <v>23292</v>
      </c>
      <c r="Y1291" s="1" t="s">
        <v>1233</v>
      </c>
      <c r="Z1291" s="1" t="s">
        <v>1234</v>
      </c>
      <c r="AA1291" s="1" t="s">
        <v>23293</v>
      </c>
      <c r="AB1291" s="1" t="s">
        <v>196</v>
      </c>
      <c r="AC1291" s="1" t="s">
        <v>97</v>
      </c>
      <c r="AD1291" s="1" t="s">
        <v>98</v>
      </c>
      <c r="AE1291" s="1" t="s">
        <v>98</v>
      </c>
      <c r="AF1291" s="1" t="s">
        <v>23294</v>
      </c>
      <c r="AG1291" s="1" t="s">
        <v>1234</v>
      </c>
      <c r="AH1291" s="1" t="s">
        <v>23295</v>
      </c>
      <c r="AI1291" s="1" t="s">
        <v>573</v>
      </c>
      <c r="AJ1291" s="1">
        <v>84.29</v>
      </c>
      <c r="AK1291" s="1"/>
      <c r="AL1291" s="1" t="s">
        <v>23296</v>
      </c>
      <c r="AM1291" s="1" t="s">
        <v>1234</v>
      </c>
      <c r="AN1291" s="1" t="s">
        <v>465</v>
      </c>
      <c r="AO1291" s="1" t="s">
        <v>704</v>
      </c>
      <c r="AP1291" s="1" t="s">
        <v>313</v>
      </c>
      <c r="AQ1291" s="1">
        <v>74.4</v>
      </c>
      <c r="AR1291" s="1">
        <v>7.2</v>
      </c>
      <c r="AS1291" s="1"/>
      <c r="AT1291" s="1"/>
      <c r="AU1291" s="1"/>
      <c r="AV1291" s="1"/>
      <c r="AW1291" s="1"/>
      <c r="AX1291" s="1"/>
      <c r="AY1291" s="1" t="s">
        <v>23297</v>
      </c>
      <c r="AZ1291" s="1" t="s">
        <v>1234</v>
      </c>
      <c r="BA1291" s="1" t="s">
        <v>682</v>
      </c>
      <c r="BB1291" s="1" t="s">
        <v>1561</v>
      </c>
      <c r="BC1291" s="1" t="s">
        <v>313</v>
      </c>
      <c r="BD1291" s="1" t="s">
        <v>1242</v>
      </c>
      <c r="BE1291" s="1">
        <v>78.3</v>
      </c>
      <c r="BF1291" s="1">
        <v>8.58</v>
      </c>
      <c r="BG1291" s="1"/>
      <c r="BH1291" s="1"/>
      <c r="BI1291" s="1"/>
      <c r="BJ1291" s="1"/>
      <c r="BK1291" s="1"/>
      <c r="BL1291" s="1"/>
      <c r="BM1291" s="1"/>
      <c r="BN1291" s="1"/>
      <c r="BO1291" s="1" t="s">
        <v>23298</v>
      </c>
      <c r="BP1291" s="1" t="s">
        <v>23299</v>
      </c>
      <c r="BQ1291" s="1" t="s">
        <v>1174</v>
      </c>
      <c r="BR1291" s="1" t="s">
        <v>23300</v>
      </c>
      <c r="BS1291" s="1">
        <v>25</v>
      </c>
      <c r="BT1291" s="1" t="s">
        <v>23301</v>
      </c>
      <c r="BU1291" s="1" t="str">
        <f>HYPERLINK("https://nconnect.nicmar.ac.in/storage/profile/6a85e199c6a09.png","Download")</f>
        <v>0</v>
      </c>
      <c r="BV1291" s="3"/>
      <c r="BW1291" s="3"/>
    </row>
    <row r="1292" spans="1:75">
      <c r="A1292" s="1" t="s">
        <v>75</v>
      </c>
      <c r="B1292" s="1" t="s">
        <v>13976</v>
      </c>
      <c r="C1292" s="1" t="s">
        <v>23302</v>
      </c>
      <c r="D1292" s="1" t="s">
        <v>23303</v>
      </c>
      <c r="E1292" s="1" t="s">
        <v>16930</v>
      </c>
      <c r="F1292" s="1" t="s">
        <v>23304</v>
      </c>
      <c r="G1292" s="1" t="s">
        <v>23305</v>
      </c>
      <c r="H1292" s="1" t="s">
        <v>23306</v>
      </c>
      <c r="I1292" s="1" t="s">
        <v>23306</v>
      </c>
      <c r="J1292" s="1">
        <v>7028977330</v>
      </c>
      <c r="K1292" s="1" t="s">
        <v>153</v>
      </c>
      <c r="L1292" s="1" t="s">
        <v>7414</v>
      </c>
      <c r="M1292" s="1" t="s">
        <v>86</v>
      </c>
      <c r="N1292" s="1" t="s">
        <v>23307</v>
      </c>
      <c r="O1292" s="1" t="s">
        <v>23308</v>
      </c>
      <c r="P1292" s="1" t="s">
        <v>219</v>
      </c>
      <c r="Q1292" s="1">
        <v>593363629144</v>
      </c>
      <c r="R1292" s="1" t="s">
        <v>23309</v>
      </c>
      <c r="S1292" s="1">
        <v>9822922090</v>
      </c>
      <c r="T1292" s="1" t="s">
        <v>23310</v>
      </c>
      <c r="U1292" s="1" t="s">
        <v>23311</v>
      </c>
      <c r="V1292" s="1">
        <v>9850038305</v>
      </c>
      <c r="W1292" s="1" t="s">
        <v>23312</v>
      </c>
      <c r="X1292" s="1" t="s">
        <v>23313</v>
      </c>
      <c r="Y1292" s="1" t="s">
        <v>410</v>
      </c>
      <c r="Z1292" s="1" t="s">
        <v>97</v>
      </c>
      <c r="AA1292" s="1" t="s">
        <v>23313</v>
      </c>
      <c r="AB1292" s="1" t="s">
        <v>410</v>
      </c>
      <c r="AC1292" s="1" t="s">
        <v>97</v>
      </c>
      <c r="AD1292" s="1" t="s">
        <v>98</v>
      </c>
      <c r="AE1292" s="1" t="s">
        <v>98</v>
      </c>
      <c r="AF1292" s="1" t="s">
        <v>23314</v>
      </c>
      <c r="AG1292" s="1" t="s">
        <v>18355</v>
      </c>
      <c r="AH1292" s="1" t="s">
        <v>342</v>
      </c>
      <c r="AI1292" s="1" t="s">
        <v>1111</v>
      </c>
      <c r="AJ1292" s="1">
        <v>83.6</v>
      </c>
      <c r="AK1292" s="1"/>
      <c r="AL1292" s="1" t="s">
        <v>23315</v>
      </c>
      <c r="AM1292" s="1" t="s">
        <v>18355</v>
      </c>
      <c r="AN1292" s="1" t="s">
        <v>465</v>
      </c>
      <c r="AO1292" s="1" t="s">
        <v>167</v>
      </c>
      <c r="AP1292" s="1" t="s">
        <v>1477</v>
      </c>
      <c r="AQ1292" s="1">
        <v>68.46</v>
      </c>
      <c r="AR1292" s="1"/>
      <c r="AS1292" s="1"/>
      <c r="AT1292" s="1"/>
      <c r="AU1292" s="1"/>
      <c r="AV1292" s="1"/>
      <c r="AW1292" s="1"/>
      <c r="AX1292" s="1"/>
      <c r="AY1292" s="1" t="s">
        <v>23316</v>
      </c>
      <c r="AZ1292" s="1" t="s">
        <v>23317</v>
      </c>
      <c r="BA1292" s="1" t="s">
        <v>682</v>
      </c>
      <c r="BB1292" s="1" t="s">
        <v>1561</v>
      </c>
      <c r="BC1292" s="1" t="s">
        <v>174</v>
      </c>
      <c r="BD1292" s="1" t="s">
        <v>935</v>
      </c>
      <c r="BE1292" s="1">
        <v>61</v>
      </c>
      <c r="BF1292" s="1">
        <v>6.88</v>
      </c>
      <c r="BG1292" s="1"/>
      <c r="BH1292" s="1"/>
      <c r="BI1292" s="1"/>
      <c r="BJ1292" s="1"/>
      <c r="BK1292" s="1"/>
      <c r="BL1292" s="1"/>
      <c r="BM1292" s="1"/>
      <c r="BN1292" s="1"/>
      <c r="BO1292" s="1" t="s">
        <v>23318</v>
      </c>
      <c r="BP1292" s="1" t="s">
        <v>23319</v>
      </c>
      <c r="BQ1292" s="1" t="s">
        <v>524</v>
      </c>
      <c r="BR1292" s="1" t="s">
        <v>23320</v>
      </c>
      <c r="BS1292" s="1">
        <v>35</v>
      </c>
      <c r="BT1292" s="1" t="s">
        <v>23321</v>
      </c>
      <c r="BU1292" s="1" t="str">
        <f>HYPERLINK("https://nconnect.nicmar.ac.in/storage/profile/6a86ffb21b6fe.png","Download")</f>
        <v>0</v>
      </c>
      <c r="BV1292" s="3"/>
      <c r="BW1292" s="3"/>
    </row>
    <row r="1293" spans="1:75">
      <c r="A1293" s="1" t="s">
        <v>75</v>
      </c>
      <c r="B1293" s="1" t="s">
        <v>13976</v>
      </c>
      <c r="C1293" s="1" t="s">
        <v>23322</v>
      </c>
      <c r="D1293" s="1" t="s">
        <v>23323</v>
      </c>
      <c r="E1293" s="1" t="s">
        <v>23324</v>
      </c>
      <c r="F1293" s="1" t="s">
        <v>23325</v>
      </c>
      <c r="G1293" s="1" t="s">
        <v>23326</v>
      </c>
      <c r="H1293" s="1" t="s">
        <v>23327</v>
      </c>
      <c r="I1293" s="1" t="s">
        <v>23328</v>
      </c>
      <c r="J1293" s="1">
        <v>8921275620</v>
      </c>
      <c r="K1293" s="1" t="s">
        <v>153</v>
      </c>
      <c r="L1293" s="1" t="s">
        <v>10334</v>
      </c>
      <c r="M1293" s="1" t="s">
        <v>86</v>
      </c>
      <c r="N1293" s="1" t="s">
        <v>23329</v>
      </c>
      <c r="O1293" s="1" t="s">
        <v>23330</v>
      </c>
      <c r="P1293" s="1" t="s">
        <v>89</v>
      </c>
      <c r="Q1293" s="1">
        <v>551462242684</v>
      </c>
      <c r="R1293" s="1" t="s">
        <v>23331</v>
      </c>
      <c r="S1293" s="1">
        <v>9895080908</v>
      </c>
      <c r="T1293" s="1" t="s">
        <v>18528</v>
      </c>
      <c r="U1293" s="1" t="s">
        <v>23332</v>
      </c>
      <c r="V1293" s="1">
        <v>9895080942</v>
      </c>
      <c r="W1293" s="1" t="s">
        <v>9679</v>
      </c>
      <c r="X1293" s="1" t="s">
        <v>23333</v>
      </c>
      <c r="Y1293" s="1" t="s">
        <v>129</v>
      </c>
      <c r="Z1293" s="1" t="s">
        <v>130</v>
      </c>
      <c r="AA1293" s="1" t="s">
        <v>23334</v>
      </c>
      <c r="AB1293" s="1" t="s">
        <v>129</v>
      </c>
      <c r="AC1293" s="1" t="s">
        <v>130</v>
      </c>
      <c r="AD1293" s="1" t="s">
        <v>98</v>
      </c>
      <c r="AE1293" s="1" t="s">
        <v>98</v>
      </c>
      <c r="AF1293" s="1" t="s">
        <v>23335</v>
      </c>
      <c r="AG1293" s="1" t="s">
        <v>796</v>
      </c>
      <c r="AH1293" s="1" t="s">
        <v>170</v>
      </c>
      <c r="AI1293" s="1" t="s">
        <v>174</v>
      </c>
      <c r="AJ1293" s="1">
        <v>88.4</v>
      </c>
      <c r="AK1293" s="1"/>
      <c r="AL1293" s="1" t="s">
        <v>23335</v>
      </c>
      <c r="AM1293" s="1" t="s">
        <v>796</v>
      </c>
      <c r="AN1293" s="1" t="s">
        <v>575</v>
      </c>
      <c r="AO1293" s="1" t="s">
        <v>438</v>
      </c>
      <c r="AP1293" s="1" t="s">
        <v>178</v>
      </c>
      <c r="AQ1293" s="1">
        <v>94.6</v>
      </c>
      <c r="AR1293" s="1">
        <v>0</v>
      </c>
      <c r="AS1293" s="1"/>
      <c r="AT1293" s="1"/>
      <c r="AU1293" s="1"/>
      <c r="AV1293" s="1"/>
      <c r="AW1293" s="1"/>
      <c r="AX1293" s="1"/>
      <c r="AY1293" s="1" t="s">
        <v>23336</v>
      </c>
      <c r="AZ1293" s="1" t="s">
        <v>23337</v>
      </c>
      <c r="BA1293" s="1" t="s">
        <v>682</v>
      </c>
      <c r="BB1293" s="1" t="s">
        <v>1561</v>
      </c>
      <c r="BC1293" s="1" t="s">
        <v>140</v>
      </c>
      <c r="BD1293" s="1" t="s">
        <v>14494</v>
      </c>
      <c r="BE1293" s="1">
        <v>76.81</v>
      </c>
      <c r="BF1293" s="1"/>
      <c r="BG1293" s="1"/>
      <c r="BH1293" s="1"/>
      <c r="BI1293" s="1"/>
      <c r="BJ1293" s="1"/>
      <c r="BK1293" s="1"/>
      <c r="BL1293" s="1"/>
      <c r="BM1293" s="1"/>
      <c r="BN1293" s="1"/>
      <c r="BO1293" s="1" t="s">
        <v>23338</v>
      </c>
      <c r="BP1293" s="1"/>
      <c r="BQ1293" s="1"/>
      <c r="BR1293" s="1" t="s">
        <v>23339</v>
      </c>
      <c r="BS1293" s="1">
        <v>20</v>
      </c>
      <c r="BT1293" s="1" t="s">
        <v>23340</v>
      </c>
      <c r="BU1293" s="1" t="str">
        <f>HYPERLINK("https://nconnect.nicmar.ac.in/storage/profile/6a873615009e5.png","Download")</f>
        <v>0</v>
      </c>
      <c r="BV1293" s="3"/>
      <c r="BW1293" s="3"/>
    </row>
    <row r="1294" spans="1:75">
      <c r="A1294" s="1" t="s">
        <v>75</v>
      </c>
      <c r="B1294" s="1" t="s">
        <v>13976</v>
      </c>
      <c r="C1294" s="1" t="s">
        <v>23341</v>
      </c>
      <c r="D1294" s="1" t="s">
        <v>23342</v>
      </c>
      <c r="E1294" s="1" t="s">
        <v>23343</v>
      </c>
      <c r="F1294" s="1" t="s">
        <v>23344</v>
      </c>
      <c r="G1294" s="1" t="s">
        <v>23345</v>
      </c>
      <c r="H1294" s="1" t="s">
        <v>23346</v>
      </c>
      <c r="I1294" s="1" t="s">
        <v>23346</v>
      </c>
      <c r="J1294" s="1">
        <v>7900003757</v>
      </c>
      <c r="K1294" s="1" t="s">
        <v>153</v>
      </c>
      <c r="L1294" s="1" t="s">
        <v>23347</v>
      </c>
      <c r="M1294" s="1" t="s">
        <v>86</v>
      </c>
      <c r="N1294" s="1" t="s">
        <v>23348</v>
      </c>
      <c r="O1294" s="1" t="s">
        <v>23349</v>
      </c>
      <c r="P1294" s="1" t="s">
        <v>122</v>
      </c>
      <c r="Q1294" s="1">
        <v>858454191513</v>
      </c>
      <c r="R1294" s="1" t="s">
        <v>23350</v>
      </c>
      <c r="S1294" s="1">
        <v>9175390999</v>
      </c>
      <c r="T1294" s="1" t="s">
        <v>15812</v>
      </c>
      <c r="U1294" s="1" t="s">
        <v>23351</v>
      </c>
      <c r="V1294" s="1">
        <v>9762485890</v>
      </c>
      <c r="W1294" s="1" t="s">
        <v>23352</v>
      </c>
      <c r="X1294" s="1" t="s">
        <v>23353</v>
      </c>
      <c r="Y1294" s="1" t="s">
        <v>196</v>
      </c>
      <c r="Z1294" s="1" t="s">
        <v>97</v>
      </c>
      <c r="AA1294" s="1" t="s">
        <v>23353</v>
      </c>
      <c r="AB1294" s="1" t="s">
        <v>196</v>
      </c>
      <c r="AC1294" s="1" t="s">
        <v>97</v>
      </c>
      <c r="AD1294" s="1" t="s">
        <v>98</v>
      </c>
      <c r="AE1294" s="1" t="s">
        <v>98</v>
      </c>
      <c r="AF1294" s="1" t="s">
        <v>23354</v>
      </c>
      <c r="AG1294" s="1" t="s">
        <v>23355</v>
      </c>
      <c r="AH1294" s="1" t="s">
        <v>106</v>
      </c>
      <c r="AI1294" s="1" t="s">
        <v>438</v>
      </c>
      <c r="AJ1294" s="1">
        <v>86.0</v>
      </c>
      <c r="AK1294" s="1"/>
      <c r="AL1294" s="1" t="s">
        <v>23356</v>
      </c>
      <c r="AM1294" s="1" t="s">
        <v>23355</v>
      </c>
      <c r="AN1294" s="1" t="s">
        <v>575</v>
      </c>
      <c r="AO1294" s="1" t="s">
        <v>468</v>
      </c>
      <c r="AP1294" s="1" t="s">
        <v>847</v>
      </c>
      <c r="AQ1294" s="1">
        <v>76.17</v>
      </c>
      <c r="AR1294" s="1"/>
      <c r="AS1294" s="1"/>
      <c r="AT1294" s="1"/>
      <c r="AU1294" s="1"/>
      <c r="AV1294" s="1"/>
      <c r="AW1294" s="1"/>
      <c r="AX1294" s="1"/>
      <c r="AY1294" s="1" t="s">
        <v>17619</v>
      </c>
      <c r="AZ1294" s="1" t="s">
        <v>23357</v>
      </c>
      <c r="BA1294" s="1" t="s">
        <v>682</v>
      </c>
      <c r="BB1294" s="1" t="s">
        <v>683</v>
      </c>
      <c r="BC1294" s="1" t="s">
        <v>871</v>
      </c>
      <c r="BD1294" s="1" t="s">
        <v>14162</v>
      </c>
      <c r="BE1294" s="1">
        <v>71.5</v>
      </c>
      <c r="BF1294" s="1">
        <v>7.9</v>
      </c>
      <c r="BG1294" s="1"/>
      <c r="BH1294" s="1"/>
      <c r="BI1294" s="1"/>
      <c r="BJ1294" s="1"/>
      <c r="BK1294" s="1"/>
      <c r="BL1294" s="1"/>
      <c r="BM1294" s="1"/>
      <c r="BN1294" s="1"/>
      <c r="BO1294" s="1" t="s">
        <v>23358</v>
      </c>
      <c r="BP1294" s="1"/>
      <c r="BQ1294" s="1"/>
      <c r="BR1294" s="1" t="s">
        <v>23359</v>
      </c>
      <c r="BS1294" s="1">
        <v>17</v>
      </c>
      <c r="BT1294" s="1"/>
      <c r="BU1294" s="1" t="str">
        <f>HYPERLINK("https://nconnect.nicmar.ac.in/storage/profile/6a8742ade35c6.png","Download")</f>
        <v>0</v>
      </c>
      <c r="BV1294" s="3"/>
      <c r="BW1294" s="3"/>
    </row>
    <row r="1295" spans="1:75">
      <c r="A1295" s="1" t="s">
        <v>75</v>
      </c>
      <c r="B1295" s="1" t="s">
        <v>13976</v>
      </c>
      <c r="C1295" s="1" t="s">
        <v>23360</v>
      </c>
      <c r="D1295" s="1" t="s">
        <v>23361</v>
      </c>
      <c r="E1295" s="1"/>
      <c r="F1295" s="1" t="s">
        <v>23362</v>
      </c>
      <c r="G1295" s="1" t="s">
        <v>23363</v>
      </c>
      <c r="H1295" s="1" t="s">
        <v>23364</v>
      </c>
      <c r="I1295" s="1" t="s">
        <v>23364</v>
      </c>
      <c r="J1295" s="1">
        <v>8957521058</v>
      </c>
      <c r="K1295" s="1" t="s">
        <v>84</v>
      </c>
      <c r="L1295" s="1" t="s">
        <v>6389</v>
      </c>
      <c r="M1295" s="1" t="s">
        <v>86</v>
      </c>
      <c r="N1295" s="1" t="s">
        <v>14332</v>
      </c>
      <c r="O1295" s="1" t="s">
        <v>23365</v>
      </c>
      <c r="P1295" s="1" t="s">
        <v>219</v>
      </c>
      <c r="Q1295" s="1">
        <v>227970233882</v>
      </c>
      <c r="R1295" s="1" t="s">
        <v>23366</v>
      </c>
      <c r="S1295" s="1">
        <v>9415278973</v>
      </c>
      <c r="T1295" s="1" t="s">
        <v>14800</v>
      </c>
      <c r="U1295" s="1" t="s">
        <v>23367</v>
      </c>
      <c r="V1295" s="1">
        <v>7378957047</v>
      </c>
      <c r="W1295" s="1" t="s">
        <v>14710</v>
      </c>
      <c r="X1295" s="1" t="s">
        <v>23368</v>
      </c>
      <c r="Y1295" s="1" t="s">
        <v>14449</v>
      </c>
      <c r="Z1295" s="1" t="s">
        <v>544</v>
      </c>
      <c r="AA1295" s="1" t="s">
        <v>23368</v>
      </c>
      <c r="AB1295" s="1" t="s">
        <v>14449</v>
      </c>
      <c r="AC1295" s="1" t="s">
        <v>544</v>
      </c>
      <c r="AD1295" s="1" t="s">
        <v>98</v>
      </c>
      <c r="AE1295" s="1" t="s">
        <v>98</v>
      </c>
      <c r="AF1295" s="1" t="s">
        <v>23369</v>
      </c>
      <c r="AG1295" s="1" t="s">
        <v>23370</v>
      </c>
      <c r="AH1295" s="1" t="s">
        <v>23371</v>
      </c>
      <c r="AI1295" s="1" t="s">
        <v>178</v>
      </c>
      <c r="AJ1295" s="1">
        <v>90</v>
      </c>
      <c r="AK1295" s="1"/>
      <c r="AL1295" s="1" t="s">
        <v>23369</v>
      </c>
      <c r="AM1295" s="1" t="s">
        <v>23372</v>
      </c>
      <c r="AN1295" s="1" t="s">
        <v>465</v>
      </c>
      <c r="AO1295" s="1" t="s">
        <v>1040</v>
      </c>
      <c r="AP1295" s="1" t="s">
        <v>1400</v>
      </c>
      <c r="AQ1295" s="1">
        <v>90</v>
      </c>
      <c r="AR1295" s="1"/>
      <c r="AS1295" s="1"/>
      <c r="AT1295" s="1"/>
      <c r="AU1295" s="1"/>
      <c r="AV1295" s="1"/>
      <c r="AW1295" s="1"/>
      <c r="AX1295" s="1"/>
      <c r="AY1295" s="1" t="s">
        <v>15759</v>
      </c>
      <c r="AZ1295" s="1" t="s">
        <v>23373</v>
      </c>
      <c r="BA1295" s="1" t="s">
        <v>466</v>
      </c>
      <c r="BB1295" s="1" t="s">
        <v>467</v>
      </c>
      <c r="BC1295" s="1" t="s">
        <v>1802</v>
      </c>
      <c r="BD1295" s="1" t="s">
        <v>14162</v>
      </c>
      <c r="BE1295" s="1">
        <v>90</v>
      </c>
      <c r="BF1295" s="1">
        <v>9.01</v>
      </c>
      <c r="BG1295" s="1"/>
      <c r="BH1295" s="1"/>
      <c r="BI1295" s="1"/>
      <c r="BJ1295" s="1"/>
      <c r="BK1295" s="1"/>
      <c r="BL1295" s="1"/>
      <c r="BM1295" s="1"/>
      <c r="BN1295" s="1"/>
      <c r="BO1295" s="1" t="s">
        <v>23374</v>
      </c>
      <c r="BP1295" s="1"/>
      <c r="BQ1295" s="1"/>
      <c r="BR1295" s="1" t="s">
        <v>23375</v>
      </c>
      <c r="BS1295" s="1">
        <v>17</v>
      </c>
      <c r="BT1295" s="1"/>
      <c r="BU1295" s="1" t="str">
        <f>HYPERLINK("https://nconnect.nicmar.ac.in/storage/profile/6a85bd5d13508.png","Download")</f>
        <v>0</v>
      </c>
      <c r="BV1295" s="3"/>
      <c r="BW1295" s="3"/>
    </row>
    <row r="1296" spans="1:75">
      <c r="A1296" s="1" t="s">
        <v>75</v>
      </c>
      <c r="B1296" s="1" t="s">
        <v>13976</v>
      </c>
      <c r="C1296" s="1" t="s">
        <v>23376</v>
      </c>
      <c r="D1296" s="1" t="s">
        <v>23377</v>
      </c>
      <c r="E1296" s="1"/>
      <c r="F1296" s="1" t="s">
        <v>23378</v>
      </c>
      <c r="G1296" s="1" t="s">
        <v>23379</v>
      </c>
      <c r="H1296" s="1" t="s">
        <v>23380</v>
      </c>
      <c r="I1296" s="1" t="s">
        <v>23381</v>
      </c>
      <c r="J1296" s="1">
        <v>9148123977</v>
      </c>
      <c r="K1296" s="1" t="s">
        <v>84</v>
      </c>
      <c r="L1296" s="1" t="s">
        <v>3637</v>
      </c>
      <c r="M1296" s="1" t="s">
        <v>86</v>
      </c>
      <c r="N1296" s="1" t="s">
        <v>23382</v>
      </c>
      <c r="O1296" s="1" t="s">
        <v>23383</v>
      </c>
      <c r="P1296" s="1" t="s">
        <v>122</v>
      </c>
      <c r="Q1296" s="1">
        <v>975614546821</v>
      </c>
      <c r="R1296" s="1" t="s">
        <v>23384</v>
      </c>
      <c r="S1296" s="1">
        <v>9449595536</v>
      </c>
      <c r="T1296" s="1" t="s">
        <v>23385</v>
      </c>
      <c r="U1296" s="1" t="s">
        <v>23386</v>
      </c>
      <c r="V1296" s="1">
        <v>7760760146</v>
      </c>
      <c r="W1296" s="1" t="s">
        <v>21080</v>
      </c>
      <c r="X1296" s="1" t="s">
        <v>23387</v>
      </c>
      <c r="Y1296" s="1" t="s">
        <v>3132</v>
      </c>
      <c r="Z1296" s="1" t="s">
        <v>1210</v>
      </c>
      <c r="AA1296" s="1" t="s">
        <v>23387</v>
      </c>
      <c r="AB1296" s="1" t="s">
        <v>3132</v>
      </c>
      <c r="AC1296" s="1" t="s">
        <v>1210</v>
      </c>
      <c r="AD1296" s="1" t="s">
        <v>98</v>
      </c>
      <c r="AE1296" s="1" t="s">
        <v>98</v>
      </c>
      <c r="AF1296" s="1" t="s">
        <v>23388</v>
      </c>
      <c r="AG1296" s="1" t="s">
        <v>23389</v>
      </c>
      <c r="AH1296" s="1" t="s">
        <v>167</v>
      </c>
      <c r="AI1296" s="1" t="s">
        <v>170</v>
      </c>
      <c r="AJ1296" s="1">
        <v>77.9</v>
      </c>
      <c r="AK1296" s="1">
        <v>8.2</v>
      </c>
      <c r="AL1296" s="1" t="s">
        <v>23390</v>
      </c>
      <c r="AM1296" s="1" t="s">
        <v>23391</v>
      </c>
      <c r="AN1296" s="1" t="s">
        <v>465</v>
      </c>
      <c r="AO1296" s="1" t="s">
        <v>573</v>
      </c>
      <c r="AP1296" s="1" t="s">
        <v>547</v>
      </c>
      <c r="AQ1296" s="1">
        <v>71.66</v>
      </c>
      <c r="AR1296" s="1"/>
      <c r="AS1296" s="1"/>
      <c r="AT1296" s="1"/>
      <c r="AU1296" s="1"/>
      <c r="AV1296" s="1"/>
      <c r="AW1296" s="1"/>
      <c r="AX1296" s="1"/>
      <c r="AY1296" s="1" t="s">
        <v>1217</v>
      </c>
      <c r="AZ1296" s="1" t="s">
        <v>23392</v>
      </c>
      <c r="BA1296" s="1" t="s">
        <v>682</v>
      </c>
      <c r="BB1296" s="1" t="s">
        <v>1561</v>
      </c>
      <c r="BC1296" s="1" t="s">
        <v>109</v>
      </c>
      <c r="BD1296" s="1" t="s">
        <v>1089</v>
      </c>
      <c r="BE1296" s="1">
        <v>68.4</v>
      </c>
      <c r="BF1296" s="1">
        <v>7.59</v>
      </c>
      <c r="BG1296" s="1"/>
      <c r="BH1296" s="1"/>
      <c r="BI1296" s="1"/>
      <c r="BJ1296" s="1"/>
      <c r="BK1296" s="1"/>
      <c r="BL1296" s="1"/>
      <c r="BM1296" s="1"/>
      <c r="BN1296" s="1"/>
      <c r="BO1296" s="1" t="s">
        <v>23393</v>
      </c>
      <c r="BP1296" s="1"/>
      <c r="BQ1296" s="1"/>
      <c r="BR1296" s="1" t="s">
        <v>23394</v>
      </c>
      <c r="BS1296" s="1">
        <v>15</v>
      </c>
      <c r="BT1296" s="1"/>
      <c r="BU1296" s="1" t="str">
        <f>HYPERLINK("https://nconnect.nicmar.ac.in/storage/profile/6a8702e064c46.png","Download")</f>
        <v>0</v>
      </c>
      <c r="BV1296" s="3"/>
      <c r="BW1296" s="3"/>
    </row>
    <row r="1297" spans="1:75">
      <c r="A1297" s="1" t="s">
        <v>75</v>
      </c>
      <c r="B1297" s="1" t="s">
        <v>13976</v>
      </c>
      <c r="C1297" s="1" t="s">
        <v>23395</v>
      </c>
      <c r="D1297" s="1" t="s">
        <v>21230</v>
      </c>
      <c r="E1297" s="1" t="s">
        <v>23396</v>
      </c>
      <c r="F1297" s="1" t="s">
        <v>23397</v>
      </c>
      <c r="G1297" s="1" t="s">
        <v>23398</v>
      </c>
      <c r="H1297" s="1" t="s">
        <v>23399</v>
      </c>
      <c r="I1297" s="1" t="s">
        <v>23399</v>
      </c>
      <c r="J1297" s="1">
        <v>9146602433</v>
      </c>
      <c r="K1297" s="1" t="s">
        <v>84</v>
      </c>
      <c r="L1297" s="1" t="s">
        <v>23400</v>
      </c>
      <c r="M1297" s="1" t="s">
        <v>86</v>
      </c>
      <c r="N1297" s="1" t="s">
        <v>6390</v>
      </c>
      <c r="O1297" s="1" t="s">
        <v>23401</v>
      </c>
      <c r="P1297" s="1" t="s">
        <v>122</v>
      </c>
      <c r="Q1297" s="1">
        <v>535725572358</v>
      </c>
      <c r="R1297" s="1" t="s">
        <v>23402</v>
      </c>
      <c r="S1297" s="1">
        <v>8788221010</v>
      </c>
      <c r="T1297" s="1" t="s">
        <v>3439</v>
      </c>
      <c r="U1297" s="1" t="s">
        <v>23403</v>
      </c>
      <c r="V1297" s="1">
        <v>8855979348</v>
      </c>
      <c r="W1297" s="1" t="s">
        <v>3441</v>
      </c>
      <c r="X1297" s="1" t="s">
        <v>23404</v>
      </c>
      <c r="Y1297" s="1" t="s">
        <v>910</v>
      </c>
      <c r="Z1297" s="1" t="s">
        <v>97</v>
      </c>
      <c r="AA1297" s="1" t="s">
        <v>23404</v>
      </c>
      <c r="AB1297" s="1" t="s">
        <v>910</v>
      </c>
      <c r="AC1297" s="1" t="s">
        <v>97</v>
      </c>
      <c r="AD1297" s="1" t="s">
        <v>98</v>
      </c>
      <c r="AE1297" s="1" t="s">
        <v>98</v>
      </c>
      <c r="AF1297" s="1" t="s">
        <v>23405</v>
      </c>
      <c r="AG1297" s="1" t="s">
        <v>23406</v>
      </c>
      <c r="AH1297" s="1" t="s">
        <v>704</v>
      </c>
      <c r="AI1297" s="1" t="s">
        <v>286</v>
      </c>
      <c r="AJ1297" s="1">
        <v>86.4</v>
      </c>
      <c r="AK1297" s="1"/>
      <c r="AL1297" s="1" t="s">
        <v>23407</v>
      </c>
      <c r="AM1297" s="1" t="s">
        <v>23408</v>
      </c>
      <c r="AN1297" s="1" t="s">
        <v>465</v>
      </c>
      <c r="AO1297" s="1" t="s">
        <v>547</v>
      </c>
      <c r="AP1297" s="1" t="s">
        <v>603</v>
      </c>
      <c r="AQ1297" s="1">
        <v>82.31</v>
      </c>
      <c r="AR1297" s="1"/>
      <c r="AS1297" s="1"/>
      <c r="AT1297" s="1"/>
      <c r="AU1297" s="1"/>
      <c r="AV1297" s="1"/>
      <c r="AW1297" s="1"/>
      <c r="AX1297" s="1"/>
      <c r="AY1297" s="1" t="s">
        <v>14530</v>
      </c>
      <c r="AZ1297" s="1" t="s">
        <v>23409</v>
      </c>
      <c r="BA1297" s="1" t="s">
        <v>578</v>
      </c>
      <c r="BB1297" s="1" t="s">
        <v>467</v>
      </c>
      <c r="BC1297" s="1" t="s">
        <v>977</v>
      </c>
      <c r="BD1297" s="1" t="s">
        <v>418</v>
      </c>
      <c r="BE1297" s="1">
        <v>8.18</v>
      </c>
      <c r="BF1297" s="1"/>
      <c r="BG1297" s="1"/>
      <c r="BH1297" s="1"/>
      <c r="BI1297" s="1"/>
      <c r="BJ1297" s="1"/>
      <c r="BK1297" s="1"/>
      <c r="BL1297" s="1"/>
      <c r="BM1297" s="1"/>
      <c r="BN1297" s="1"/>
      <c r="BO1297" s="1" t="s">
        <v>23410</v>
      </c>
      <c r="BP1297" s="1" t="s">
        <v>23411</v>
      </c>
      <c r="BQ1297" s="1" t="s">
        <v>4149</v>
      </c>
      <c r="BR1297" s="1"/>
      <c r="BS1297" s="1"/>
      <c r="BT1297" s="1"/>
      <c r="BU1297" s="1" t="str">
        <f>HYPERLINK("https://nconnect.nicmar.ac.in/storage/profile/6a87456a4041f.png","Download")</f>
        <v>0</v>
      </c>
      <c r="BV1297" s="3"/>
      <c r="BW1297" s="3"/>
    </row>
    <row r="1298" spans="1:75">
      <c r="A1298" s="1" t="s">
        <v>75</v>
      </c>
      <c r="B1298" s="1" t="s">
        <v>13976</v>
      </c>
      <c r="C1298" s="1" t="s">
        <v>23412</v>
      </c>
      <c r="D1298" s="1" t="s">
        <v>23413</v>
      </c>
      <c r="E1298" s="1"/>
      <c r="F1298" s="1" t="s">
        <v>23414</v>
      </c>
      <c r="G1298" s="1" t="s">
        <v>23415</v>
      </c>
      <c r="H1298" s="1" t="s">
        <v>23416</v>
      </c>
      <c r="I1298" s="1" t="s">
        <v>23416</v>
      </c>
      <c r="J1298" s="1">
        <v>6350078991</v>
      </c>
      <c r="K1298" s="1" t="s">
        <v>84</v>
      </c>
      <c r="L1298" s="1" t="s">
        <v>2060</v>
      </c>
      <c r="M1298" s="1" t="s">
        <v>86</v>
      </c>
      <c r="N1298" s="1" t="s">
        <v>23417</v>
      </c>
      <c r="O1298" s="1" t="s">
        <v>23418</v>
      </c>
      <c r="P1298" s="1" t="s">
        <v>122</v>
      </c>
      <c r="Q1298" s="1">
        <v>824596841445</v>
      </c>
      <c r="R1298" s="1" t="s">
        <v>23419</v>
      </c>
      <c r="S1298" s="1">
        <v>7727048797</v>
      </c>
      <c r="T1298" s="1" t="s">
        <v>3439</v>
      </c>
      <c r="U1298" s="1" t="s">
        <v>23420</v>
      </c>
      <c r="V1298" s="1">
        <v>8824986814</v>
      </c>
      <c r="W1298" s="1" t="s">
        <v>10306</v>
      </c>
      <c r="X1298" s="1" t="s">
        <v>23421</v>
      </c>
      <c r="Y1298" s="1" t="s">
        <v>8184</v>
      </c>
      <c r="Z1298" s="1" t="s">
        <v>2153</v>
      </c>
      <c r="AA1298" s="1" t="s">
        <v>23421</v>
      </c>
      <c r="AB1298" s="1" t="s">
        <v>8184</v>
      </c>
      <c r="AC1298" s="1" t="s">
        <v>2153</v>
      </c>
      <c r="AD1298" s="1" t="s">
        <v>98</v>
      </c>
      <c r="AE1298" s="1" t="s">
        <v>98</v>
      </c>
      <c r="AF1298" s="1" t="s">
        <v>23422</v>
      </c>
      <c r="AG1298" s="1" t="s">
        <v>23423</v>
      </c>
      <c r="AH1298" s="1" t="s">
        <v>490</v>
      </c>
      <c r="AI1298" s="1" t="s">
        <v>313</v>
      </c>
      <c r="AJ1298" s="1">
        <v>77.6</v>
      </c>
      <c r="AK1298" s="1"/>
      <c r="AL1298" s="1" t="s">
        <v>23422</v>
      </c>
      <c r="AM1298" s="1" t="s">
        <v>23423</v>
      </c>
      <c r="AN1298" s="1" t="s">
        <v>465</v>
      </c>
      <c r="AO1298" s="1" t="s">
        <v>468</v>
      </c>
      <c r="AP1298" s="1" t="s">
        <v>549</v>
      </c>
      <c r="AQ1298" s="1">
        <v>78.6</v>
      </c>
      <c r="AR1298" s="1"/>
      <c r="AS1298" s="1"/>
      <c r="AT1298" s="1"/>
      <c r="AU1298" s="1"/>
      <c r="AV1298" s="1"/>
      <c r="AW1298" s="1"/>
      <c r="AX1298" s="1"/>
      <c r="AY1298" s="1" t="s">
        <v>23424</v>
      </c>
      <c r="AZ1298" s="1" t="s">
        <v>23425</v>
      </c>
      <c r="BA1298" s="1" t="s">
        <v>466</v>
      </c>
      <c r="BB1298" s="1" t="s">
        <v>467</v>
      </c>
      <c r="BC1298" s="1" t="s">
        <v>1802</v>
      </c>
      <c r="BD1298" s="1" t="s">
        <v>9688</v>
      </c>
      <c r="BE1298" s="1">
        <v>72.8</v>
      </c>
      <c r="BF1298" s="1">
        <v>7.28</v>
      </c>
      <c r="BG1298" s="1"/>
      <c r="BH1298" s="1"/>
      <c r="BI1298" s="1"/>
      <c r="BJ1298" s="1"/>
      <c r="BK1298" s="1"/>
      <c r="BL1298" s="1"/>
      <c r="BM1298" s="1"/>
      <c r="BN1298" s="1"/>
      <c r="BO1298" s="1" t="s">
        <v>1666</v>
      </c>
      <c r="BP1298" s="1"/>
      <c r="BQ1298" s="1"/>
      <c r="BR1298" s="1" t="s">
        <v>23426</v>
      </c>
      <c r="BS1298" s="1">
        <v>8</v>
      </c>
      <c r="BT1298" s="1" t="s">
        <v>23427</v>
      </c>
      <c r="BU1298" s="1" t="str">
        <f>HYPERLINK("https://nconnect.nicmar.ac.in/storage/profile/6a872f3b99eb2.png","Download")</f>
        <v>0</v>
      </c>
      <c r="BV1298" s="3"/>
      <c r="BW1298" s="3"/>
    </row>
    <row r="1299" spans="1:75">
      <c r="A1299" s="1" t="s">
        <v>75</v>
      </c>
      <c r="B1299" s="1" t="s">
        <v>13976</v>
      </c>
      <c r="C1299" s="1" t="s">
        <v>23428</v>
      </c>
      <c r="D1299" s="1" t="s">
        <v>23429</v>
      </c>
      <c r="E1299" s="1" t="s">
        <v>23430</v>
      </c>
      <c r="F1299" s="1" t="s">
        <v>23431</v>
      </c>
      <c r="G1299" s="1" t="s">
        <v>23432</v>
      </c>
      <c r="H1299" s="1" t="s">
        <v>23433</v>
      </c>
      <c r="I1299" s="1" t="s">
        <v>23433</v>
      </c>
      <c r="J1299" s="1">
        <v>9156993555</v>
      </c>
      <c r="K1299" s="1" t="s">
        <v>84</v>
      </c>
      <c r="L1299" s="1" t="s">
        <v>23434</v>
      </c>
      <c r="M1299" s="1" t="s">
        <v>86</v>
      </c>
      <c r="N1299" s="1" t="s">
        <v>4263</v>
      </c>
      <c r="O1299" s="1" t="s">
        <v>23435</v>
      </c>
      <c r="P1299" s="1" t="s">
        <v>122</v>
      </c>
      <c r="Q1299" s="1">
        <v>624165897125</v>
      </c>
      <c r="R1299" s="1" t="s">
        <v>23436</v>
      </c>
      <c r="S1299" s="1">
        <v>9850585569</v>
      </c>
      <c r="T1299" s="1" t="s">
        <v>15506</v>
      </c>
      <c r="U1299" s="1" t="s">
        <v>23437</v>
      </c>
      <c r="V1299" s="1">
        <v>9021597070</v>
      </c>
      <c r="W1299" s="1" t="s">
        <v>18875</v>
      </c>
      <c r="X1299" s="1" t="s">
        <v>23438</v>
      </c>
      <c r="Y1299" s="1" t="s">
        <v>163</v>
      </c>
      <c r="Z1299" s="1" t="s">
        <v>97</v>
      </c>
      <c r="AA1299" s="1" t="s">
        <v>23438</v>
      </c>
      <c r="AB1299" s="1" t="s">
        <v>163</v>
      </c>
      <c r="AC1299" s="1" t="s">
        <v>97</v>
      </c>
      <c r="AD1299" s="1" t="s">
        <v>98</v>
      </c>
      <c r="AE1299" s="1" t="s">
        <v>98</v>
      </c>
      <c r="AF1299" s="1" t="s">
        <v>23439</v>
      </c>
      <c r="AG1299" s="1" t="s">
        <v>23440</v>
      </c>
      <c r="AH1299" s="1" t="s">
        <v>101</v>
      </c>
      <c r="AI1299" s="1" t="s">
        <v>102</v>
      </c>
      <c r="AJ1299" s="1">
        <v>84</v>
      </c>
      <c r="AK1299" s="1"/>
      <c r="AL1299" s="1" t="s">
        <v>23441</v>
      </c>
      <c r="AM1299" s="1" t="s">
        <v>23440</v>
      </c>
      <c r="AN1299" s="1" t="s">
        <v>465</v>
      </c>
      <c r="AO1299" s="1" t="s">
        <v>167</v>
      </c>
      <c r="AP1299" s="1" t="s">
        <v>518</v>
      </c>
      <c r="AQ1299" s="1">
        <v>56.62</v>
      </c>
      <c r="AR1299" s="1"/>
      <c r="AS1299" s="1" t="s">
        <v>14158</v>
      </c>
      <c r="AT1299" s="1" t="s">
        <v>23442</v>
      </c>
      <c r="AU1299" s="1" t="s">
        <v>206</v>
      </c>
      <c r="AV1299" s="1" t="s">
        <v>441</v>
      </c>
      <c r="AW1299" s="1">
        <v>87.74</v>
      </c>
      <c r="AX1299" s="1"/>
      <c r="AY1299" s="1" t="s">
        <v>23443</v>
      </c>
      <c r="AZ1299" s="1" t="s">
        <v>23444</v>
      </c>
      <c r="BA1299" s="1" t="s">
        <v>578</v>
      </c>
      <c r="BB1299" s="1" t="s">
        <v>467</v>
      </c>
      <c r="BC1299" s="1" t="s">
        <v>23445</v>
      </c>
      <c r="BD1299" s="1" t="s">
        <v>1089</v>
      </c>
      <c r="BE1299" s="1">
        <v>7.06</v>
      </c>
      <c r="BF1299" s="1"/>
      <c r="BG1299" s="1"/>
      <c r="BH1299" s="1"/>
      <c r="BI1299" s="1"/>
      <c r="BJ1299" s="1"/>
      <c r="BK1299" s="1"/>
      <c r="BL1299" s="1"/>
      <c r="BM1299" s="1"/>
      <c r="BN1299" s="1"/>
      <c r="BO1299" s="1" t="s">
        <v>23446</v>
      </c>
      <c r="BP1299" s="1" t="s">
        <v>23447</v>
      </c>
      <c r="BQ1299" s="1" t="s">
        <v>2326</v>
      </c>
      <c r="BR1299" s="1"/>
      <c r="BS1299" s="1"/>
      <c r="BT1299" s="1"/>
      <c r="BU1299" s="1" t="str">
        <f>HYPERLINK("https://nconnect.nicmar.ac.in/storage/profile/6a8733588d5e5.png","Download")</f>
        <v>0</v>
      </c>
      <c r="BV1299" s="3"/>
      <c r="BW1299" s="3"/>
    </row>
    <row r="1300" spans="1:75">
      <c r="A1300" s="1" t="s">
        <v>75</v>
      </c>
      <c r="B1300" s="1" t="s">
        <v>13976</v>
      </c>
      <c r="C1300" s="1" t="s">
        <v>23448</v>
      </c>
      <c r="D1300" s="1" t="s">
        <v>23449</v>
      </c>
      <c r="E1300" s="1"/>
      <c r="F1300" s="1" t="s">
        <v>23450</v>
      </c>
      <c r="G1300" s="1" t="s">
        <v>23451</v>
      </c>
      <c r="H1300" s="1" t="s">
        <v>23452</v>
      </c>
      <c r="I1300" s="1" t="s">
        <v>23452</v>
      </c>
      <c r="J1300" s="1">
        <v>8473916650</v>
      </c>
      <c r="K1300" s="1" t="s">
        <v>153</v>
      </c>
      <c r="L1300" s="1" t="s">
        <v>6731</v>
      </c>
      <c r="M1300" s="1" t="s">
        <v>86</v>
      </c>
      <c r="N1300" s="1" t="s">
        <v>23453</v>
      </c>
      <c r="O1300" s="1" t="s">
        <v>23454</v>
      </c>
      <c r="P1300" s="1" t="s">
        <v>89</v>
      </c>
      <c r="Q1300" s="1">
        <v>892736710840</v>
      </c>
      <c r="R1300" s="1" t="s">
        <v>23455</v>
      </c>
      <c r="S1300" s="1">
        <v>9435214109</v>
      </c>
      <c r="T1300" s="1" t="s">
        <v>23456</v>
      </c>
      <c r="U1300" s="1" t="s">
        <v>23457</v>
      </c>
      <c r="V1300" s="1">
        <v>6000709425</v>
      </c>
      <c r="W1300" s="1" t="s">
        <v>23458</v>
      </c>
      <c r="X1300" s="1" t="s">
        <v>23459</v>
      </c>
      <c r="Y1300" s="1" t="s">
        <v>23460</v>
      </c>
      <c r="Z1300" s="1" t="s">
        <v>1556</v>
      </c>
      <c r="AA1300" s="1" t="s">
        <v>23459</v>
      </c>
      <c r="AB1300" s="1" t="s">
        <v>23460</v>
      </c>
      <c r="AC1300" s="1" t="s">
        <v>1556</v>
      </c>
      <c r="AD1300" s="1" t="s">
        <v>98</v>
      </c>
      <c r="AE1300" s="1" t="s">
        <v>98</v>
      </c>
      <c r="AF1300" s="1" t="s">
        <v>23461</v>
      </c>
      <c r="AG1300" s="1" t="s">
        <v>23462</v>
      </c>
      <c r="AH1300" s="1" t="s">
        <v>704</v>
      </c>
      <c r="AI1300" s="1" t="s">
        <v>171</v>
      </c>
      <c r="AJ1300" s="1">
        <v>91.6</v>
      </c>
      <c r="AK1300" s="1"/>
      <c r="AL1300" s="1" t="s">
        <v>23461</v>
      </c>
      <c r="AM1300" s="1" t="s">
        <v>23462</v>
      </c>
      <c r="AN1300" s="1" t="s">
        <v>575</v>
      </c>
      <c r="AO1300" s="1" t="s">
        <v>547</v>
      </c>
      <c r="AP1300" s="1" t="s">
        <v>178</v>
      </c>
      <c r="AQ1300" s="1">
        <v>90.5</v>
      </c>
      <c r="AR1300" s="1"/>
      <c r="AS1300" s="1"/>
      <c r="AT1300" s="1"/>
      <c r="AU1300" s="1"/>
      <c r="AV1300" s="1"/>
      <c r="AW1300" s="1"/>
      <c r="AX1300" s="1"/>
      <c r="AY1300" s="1" t="s">
        <v>23463</v>
      </c>
      <c r="AZ1300" s="1" t="s">
        <v>23464</v>
      </c>
      <c r="BA1300" s="1" t="s">
        <v>466</v>
      </c>
      <c r="BB1300" s="1" t="s">
        <v>467</v>
      </c>
      <c r="BC1300" s="1" t="s">
        <v>1647</v>
      </c>
      <c r="BD1300" s="1" t="s">
        <v>1089</v>
      </c>
      <c r="BE1300" s="1">
        <v>83.9</v>
      </c>
      <c r="BF1300" s="1">
        <v>8.39</v>
      </c>
      <c r="BG1300" s="1"/>
      <c r="BH1300" s="1"/>
      <c r="BI1300" s="1"/>
      <c r="BJ1300" s="1"/>
      <c r="BK1300" s="1"/>
      <c r="BL1300" s="1"/>
      <c r="BM1300" s="1"/>
      <c r="BN1300" s="1"/>
      <c r="BO1300" s="1" t="s">
        <v>23465</v>
      </c>
      <c r="BP1300" s="1" t="s">
        <v>23466</v>
      </c>
      <c r="BQ1300" s="1" t="s">
        <v>1152</v>
      </c>
      <c r="BR1300" s="1" t="s">
        <v>23467</v>
      </c>
      <c r="BS1300" s="1">
        <v>12</v>
      </c>
      <c r="BT1300" s="1"/>
      <c r="BU1300" s="1" t="str">
        <f>HYPERLINK("https://nconnect.nicmar.ac.in/storage/profile/6a869884e4e03.png","Download")</f>
        <v>0</v>
      </c>
      <c r="BV1300" s="3"/>
      <c r="BW1300" s="3"/>
    </row>
    <row r="1301" spans="1:75">
      <c r="A1301" s="1" t="s">
        <v>75</v>
      </c>
      <c r="B1301" s="1" t="s">
        <v>13976</v>
      </c>
      <c r="C1301" s="1" t="s">
        <v>23468</v>
      </c>
      <c r="D1301" s="1" t="s">
        <v>23469</v>
      </c>
      <c r="E1301" s="1"/>
      <c r="F1301" s="1" t="s">
        <v>23470</v>
      </c>
      <c r="G1301" s="1" t="s">
        <v>23471</v>
      </c>
      <c r="H1301" s="1" t="s">
        <v>23472</v>
      </c>
      <c r="I1301" s="1" t="s">
        <v>23473</v>
      </c>
      <c r="J1301" s="1">
        <v>9482238263</v>
      </c>
      <c r="K1301" s="1" t="s">
        <v>84</v>
      </c>
      <c r="L1301" s="1" t="s">
        <v>4669</v>
      </c>
      <c r="M1301" s="1" t="s">
        <v>86</v>
      </c>
      <c r="N1301" s="1" t="s">
        <v>23474</v>
      </c>
      <c r="O1301" s="1" t="s">
        <v>23475</v>
      </c>
      <c r="P1301" s="1" t="s">
        <v>219</v>
      </c>
      <c r="Q1301" s="1">
        <v>694478972558</v>
      </c>
      <c r="R1301" s="1" t="s">
        <v>23476</v>
      </c>
      <c r="S1301" s="1">
        <v>9845375518</v>
      </c>
      <c r="T1301" s="1" t="s">
        <v>14352</v>
      </c>
      <c r="U1301" s="1" t="s">
        <v>23477</v>
      </c>
      <c r="V1301" s="1">
        <v>8073696556</v>
      </c>
      <c r="W1301" s="1" t="s">
        <v>10306</v>
      </c>
      <c r="X1301" s="1" t="s">
        <v>23478</v>
      </c>
      <c r="Y1301" s="1" t="s">
        <v>1349</v>
      </c>
      <c r="Z1301" s="1" t="s">
        <v>1210</v>
      </c>
      <c r="AA1301" s="1" t="s">
        <v>23478</v>
      </c>
      <c r="AB1301" s="1" t="s">
        <v>1349</v>
      </c>
      <c r="AC1301" s="1" t="s">
        <v>1210</v>
      </c>
      <c r="AD1301" s="1" t="s">
        <v>98</v>
      </c>
      <c r="AE1301" s="1" t="s">
        <v>98</v>
      </c>
      <c r="AF1301" s="1" t="s">
        <v>23479</v>
      </c>
      <c r="AG1301" s="1" t="s">
        <v>23480</v>
      </c>
      <c r="AH1301" s="1" t="s">
        <v>174</v>
      </c>
      <c r="AI1301" s="1" t="s">
        <v>178</v>
      </c>
      <c r="AJ1301" s="1">
        <v>73.4</v>
      </c>
      <c r="AK1301" s="1"/>
      <c r="AL1301" s="1" t="s">
        <v>23481</v>
      </c>
      <c r="AM1301" s="1" t="s">
        <v>23482</v>
      </c>
      <c r="AN1301" s="1" t="s">
        <v>1062</v>
      </c>
      <c r="AO1301" s="1" t="s">
        <v>1040</v>
      </c>
      <c r="AP1301" s="1" t="s">
        <v>521</v>
      </c>
      <c r="AQ1301" s="1">
        <v>66.5</v>
      </c>
      <c r="AR1301" s="1"/>
      <c r="AS1301" s="1"/>
      <c r="AT1301" s="1"/>
      <c r="AU1301" s="1"/>
      <c r="AV1301" s="1"/>
      <c r="AW1301" s="1"/>
      <c r="AX1301" s="1"/>
      <c r="AY1301" s="1" t="s">
        <v>23483</v>
      </c>
      <c r="AZ1301" s="1" t="s">
        <v>23484</v>
      </c>
      <c r="BA1301" s="1" t="s">
        <v>578</v>
      </c>
      <c r="BB1301" s="1" t="s">
        <v>467</v>
      </c>
      <c r="BC1301" s="1" t="s">
        <v>579</v>
      </c>
      <c r="BD1301" s="1" t="s">
        <v>14514</v>
      </c>
      <c r="BE1301" s="1">
        <v>74.3</v>
      </c>
      <c r="BF1301" s="1">
        <v>7.43</v>
      </c>
      <c r="BG1301" s="1"/>
      <c r="BH1301" s="1"/>
      <c r="BI1301" s="1"/>
      <c r="BJ1301" s="1"/>
      <c r="BK1301" s="1"/>
      <c r="BL1301" s="1"/>
      <c r="BM1301" s="1"/>
      <c r="BN1301" s="1"/>
      <c r="BO1301" s="1" t="s">
        <v>23485</v>
      </c>
      <c r="BP1301" s="1"/>
      <c r="BQ1301" s="1"/>
      <c r="BR1301" s="1" t="s">
        <v>23486</v>
      </c>
      <c r="BS1301" s="1">
        <v>5</v>
      </c>
      <c r="BT1301" s="1" t="s">
        <v>23487</v>
      </c>
      <c r="BU1301" s="1" t="str">
        <f>HYPERLINK("https://nconnect.nicmar.ac.in/storage/profile/6a85b96d405a4.png","Download")</f>
        <v>0</v>
      </c>
      <c r="BV1301" s="3"/>
      <c r="BW1301" s="3"/>
    </row>
    <row r="1302" spans="1:75">
      <c r="A1302" s="1" t="s">
        <v>75</v>
      </c>
      <c r="B1302" s="1" t="s">
        <v>13976</v>
      </c>
      <c r="C1302" s="1" t="s">
        <v>23488</v>
      </c>
      <c r="D1302" s="1" t="s">
        <v>14224</v>
      </c>
      <c r="E1302" s="1" t="s">
        <v>15323</v>
      </c>
      <c r="F1302" s="1" t="s">
        <v>23489</v>
      </c>
      <c r="G1302" s="1" t="s">
        <v>23490</v>
      </c>
      <c r="H1302" s="1" t="s">
        <v>23491</v>
      </c>
      <c r="I1302" s="1" t="s">
        <v>23491</v>
      </c>
      <c r="J1302" s="1">
        <v>9075203819</v>
      </c>
      <c r="K1302" s="1" t="s">
        <v>84</v>
      </c>
      <c r="L1302" s="1" t="s">
        <v>8470</v>
      </c>
      <c r="M1302" s="1" t="s">
        <v>86</v>
      </c>
      <c r="N1302" s="1" t="s">
        <v>23492</v>
      </c>
      <c r="O1302" s="1" t="s">
        <v>23493</v>
      </c>
      <c r="P1302" s="1" t="s">
        <v>122</v>
      </c>
      <c r="Q1302" s="1">
        <v>361352648804</v>
      </c>
      <c r="R1302" s="1" t="s">
        <v>23494</v>
      </c>
      <c r="S1302" s="1">
        <v>9822112325</v>
      </c>
      <c r="T1302" s="1" t="s">
        <v>14800</v>
      </c>
      <c r="U1302" s="1" t="s">
        <v>23495</v>
      </c>
      <c r="V1302" s="1">
        <v>9881331110</v>
      </c>
      <c r="W1302" s="1" t="s">
        <v>14154</v>
      </c>
      <c r="X1302" s="1" t="s">
        <v>23496</v>
      </c>
      <c r="Y1302" s="1" t="s">
        <v>910</v>
      </c>
      <c r="Z1302" s="1" t="s">
        <v>97</v>
      </c>
      <c r="AA1302" s="1" t="s">
        <v>23497</v>
      </c>
      <c r="AB1302" s="1" t="s">
        <v>196</v>
      </c>
      <c r="AC1302" s="1" t="s">
        <v>97</v>
      </c>
      <c r="AD1302" s="1" t="s">
        <v>98</v>
      </c>
      <c r="AE1302" s="1" t="s">
        <v>98</v>
      </c>
      <c r="AF1302" s="1" t="s">
        <v>23498</v>
      </c>
      <c r="AG1302" s="1" t="s">
        <v>23499</v>
      </c>
      <c r="AH1302" s="1" t="s">
        <v>547</v>
      </c>
      <c r="AI1302" s="1" t="s">
        <v>603</v>
      </c>
      <c r="AJ1302" s="1">
        <v>81.8</v>
      </c>
      <c r="AK1302" s="1"/>
      <c r="AL1302" s="1"/>
      <c r="AM1302" s="1"/>
      <c r="AN1302" s="1"/>
      <c r="AO1302" s="1"/>
      <c r="AP1302" s="1"/>
      <c r="AQ1302" s="1"/>
      <c r="AR1302" s="1"/>
      <c r="AS1302" s="1" t="s">
        <v>23500</v>
      </c>
      <c r="AT1302" s="1" t="s">
        <v>23501</v>
      </c>
      <c r="AU1302" s="1" t="s">
        <v>178</v>
      </c>
      <c r="AV1302" s="1" t="s">
        <v>955</v>
      </c>
      <c r="AW1302" s="1">
        <v>83.06</v>
      </c>
      <c r="AX1302" s="1"/>
      <c r="AY1302" s="1" t="s">
        <v>23502</v>
      </c>
      <c r="AZ1302" s="1" t="s">
        <v>23503</v>
      </c>
      <c r="BA1302" s="1" t="s">
        <v>466</v>
      </c>
      <c r="BB1302" s="1" t="s">
        <v>467</v>
      </c>
      <c r="BC1302" s="1" t="s">
        <v>179</v>
      </c>
      <c r="BD1302" s="1" t="s">
        <v>14514</v>
      </c>
      <c r="BE1302" s="1">
        <v>77</v>
      </c>
      <c r="BF1302" s="1">
        <v>3.08</v>
      </c>
      <c r="BG1302" s="1"/>
      <c r="BH1302" s="1"/>
      <c r="BI1302" s="1"/>
      <c r="BJ1302" s="1"/>
      <c r="BK1302" s="1"/>
      <c r="BL1302" s="1"/>
      <c r="BM1302" s="1"/>
      <c r="BN1302" s="1"/>
      <c r="BO1302" s="1" t="s">
        <v>23504</v>
      </c>
      <c r="BP1302" s="1"/>
      <c r="BQ1302" s="1"/>
      <c r="BR1302" s="1" t="s">
        <v>23505</v>
      </c>
      <c r="BS1302" s="1">
        <v>33</v>
      </c>
      <c r="BT1302" s="1"/>
      <c r="BU1302" s="1" t="str">
        <f>HYPERLINK("https://nconnect.nicmar.ac.in/storage/profile/6a86f2031b480.png","Download")</f>
        <v>0</v>
      </c>
      <c r="BV1302" s="3"/>
      <c r="BW1302" s="3"/>
    </row>
    <row r="1303" spans="1:75">
      <c r="A1303" s="1" t="s">
        <v>75</v>
      </c>
      <c r="B1303" s="1" t="s">
        <v>13976</v>
      </c>
      <c r="C1303" s="1" t="s">
        <v>23506</v>
      </c>
      <c r="D1303" s="1" t="s">
        <v>23507</v>
      </c>
      <c r="E1303" s="1" t="s">
        <v>23508</v>
      </c>
      <c r="F1303" s="1" t="s">
        <v>23509</v>
      </c>
      <c r="G1303" s="1" t="s">
        <v>23510</v>
      </c>
      <c r="H1303" s="1" t="s">
        <v>23511</v>
      </c>
      <c r="I1303" s="1" t="s">
        <v>23511</v>
      </c>
      <c r="J1303" s="1">
        <v>9860482852</v>
      </c>
      <c r="K1303" s="1" t="s">
        <v>84</v>
      </c>
      <c r="L1303" s="1" t="s">
        <v>23512</v>
      </c>
      <c r="M1303" s="1" t="s">
        <v>86</v>
      </c>
      <c r="N1303" s="1" t="s">
        <v>23513</v>
      </c>
      <c r="O1303" s="1" t="s">
        <v>23514</v>
      </c>
      <c r="P1303" s="1" t="s">
        <v>356</v>
      </c>
      <c r="Q1303" s="1">
        <v>791366500409</v>
      </c>
      <c r="R1303" s="1" t="s">
        <v>23515</v>
      </c>
      <c r="S1303" s="1">
        <v>9823093930</v>
      </c>
      <c r="T1303" s="1" t="s">
        <v>14352</v>
      </c>
      <c r="U1303" s="1" t="s">
        <v>23516</v>
      </c>
      <c r="V1303" s="1">
        <v>7507506718</v>
      </c>
      <c r="W1303" s="1" t="s">
        <v>23517</v>
      </c>
      <c r="X1303" s="1" t="s">
        <v>23518</v>
      </c>
      <c r="Y1303" s="1" t="s">
        <v>410</v>
      </c>
      <c r="Z1303" s="1" t="s">
        <v>97</v>
      </c>
      <c r="AA1303" s="1" t="s">
        <v>23518</v>
      </c>
      <c r="AB1303" s="1" t="s">
        <v>410</v>
      </c>
      <c r="AC1303" s="1" t="s">
        <v>97</v>
      </c>
      <c r="AD1303" s="1" t="s">
        <v>98</v>
      </c>
      <c r="AE1303" s="1" t="s">
        <v>98</v>
      </c>
      <c r="AF1303" s="1" t="s">
        <v>23519</v>
      </c>
      <c r="AG1303" s="1" t="s">
        <v>23520</v>
      </c>
      <c r="AH1303" s="1" t="s">
        <v>438</v>
      </c>
      <c r="AI1303" s="1" t="s">
        <v>603</v>
      </c>
      <c r="AJ1303" s="1">
        <v>66.4</v>
      </c>
      <c r="AK1303" s="1"/>
      <c r="AL1303" s="1"/>
      <c r="AM1303" s="1"/>
      <c r="AN1303" s="1"/>
      <c r="AO1303" s="1"/>
      <c r="AP1303" s="1"/>
      <c r="AQ1303" s="1"/>
      <c r="AR1303" s="1"/>
      <c r="AS1303" s="1" t="s">
        <v>23500</v>
      </c>
      <c r="AT1303" s="1" t="s">
        <v>23521</v>
      </c>
      <c r="AU1303" s="1" t="s">
        <v>890</v>
      </c>
      <c r="AV1303" s="1" t="s">
        <v>234</v>
      </c>
      <c r="AW1303" s="1">
        <v>83.58</v>
      </c>
      <c r="AX1303" s="1"/>
      <c r="AY1303" s="1" t="s">
        <v>17010</v>
      </c>
      <c r="AZ1303" s="1" t="s">
        <v>23522</v>
      </c>
      <c r="BA1303" s="1" t="s">
        <v>466</v>
      </c>
      <c r="BB1303" s="1" t="s">
        <v>467</v>
      </c>
      <c r="BC1303" s="1" t="s">
        <v>391</v>
      </c>
      <c r="BD1303" s="1" t="s">
        <v>14514</v>
      </c>
      <c r="BE1303" s="1">
        <v>79.6</v>
      </c>
      <c r="BF1303" s="1">
        <v>8.71</v>
      </c>
      <c r="BG1303" s="1"/>
      <c r="BH1303" s="1"/>
      <c r="BI1303" s="1"/>
      <c r="BJ1303" s="1"/>
      <c r="BK1303" s="1"/>
      <c r="BL1303" s="1"/>
      <c r="BM1303" s="1"/>
      <c r="BN1303" s="1"/>
      <c r="BO1303" s="1" t="s">
        <v>23523</v>
      </c>
      <c r="BP1303" s="1"/>
      <c r="BQ1303" s="1"/>
      <c r="BR1303" s="1" t="s">
        <v>23524</v>
      </c>
      <c r="BS1303" s="1">
        <v>22</v>
      </c>
      <c r="BT1303" s="1" t="s">
        <v>23525</v>
      </c>
      <c r="BU1303" s="1" t="str">
        <f>HYPERLINK("https://nconnect.nicmar.ac.in/storage/profile/6a87042c752d8.png","Download")</f>
        <v>0</v>
      </c>
      <c r="BV1303" s="3"/>
      <c r="BW1303" s="3"/>
    </row>
    <row r="1304" spans="1:75">
      <c r="A1304" s="1" t="s">
        <v>75</v>
      </c>
      <c r="B1304" s="1" t="s">
        <v>13976</v>
      </c>
      <c r="C1304" s="1" t="s">
        <v>23526</v>
      </c>
      <c r="D1304" s="1" t="s">
        <v>23527</v>
      </c>
      <c r="E1304" s="1" t="s">
        <v>23528</v>
      </c>
      <c r="F1304" s="1" t="s">
        <v>23529</v>
      </c>
      <c r="G1304" s="1" t="s">
        <v>23530</v>
      </c>
      <c r="H1304" s="1" t="s">
        <v>23531</v>
      </c>
      <c r="I1304" s="1" t="s">
        <v>23531</v>
      </c>
      <c r="J1304" s="1">
        <v>7045533621</v>
      </c>
      <c r="K1304" s="1" t="s">
        <v>84</v>
      </c>
      <c r="L1304" s="1" t="s">
        <v>5114</v>
      </c>
      <c r="M1304" s="1" t="s">
        <v>86</v>
      </c>
      <c r="N1304" s="1" t="s">
        <v>23532</v>
      </c>
      <c r="O1304" s="1" t="s">
        <v>23533</v>
      </c>
      <c r="P1304" s="1" t="s">
        <v>219</v>
      </c>
      <c r="Q1304" s="1">
        <v>479161678466</v>
      </c>
      <c r="R1304" s="1" t="s">
        <v>23534</v>
      </c>
      <c r="S1304" s="1">
        <v>9821973621</v>
      </c>
      <c r="T1304" s="1" t="s">
        <v>23535</v>
      </c>
      <c r="U1304" s="1" t="s">
        <v>23536</v>
      </c>
      <c r="V1304" s="1">
        <v>9920693621</v>
      </c>
      <c r="W1304" s="1" t="s">
        <v>21080</v>
      </c>
      <c r="X1304" s="1" t="s">
        <v>23537</v>
      </c>
      <c r="Y1304" s="1" t="s">
        <v>2259</v>
      </c>
      <c r="Z1304" s="1" t="s">
        <v>97</v>
      </c>
      <c r="AA1304" s="1" t="s">
        <v>23537</v>
      </c>
      <c r="AB1304" s="1" t="s">
        <v>2259</v>
      </c>
      <c r="AC1304" s="1" t="s">
        <v>97</v>
      </c>
      <c r="AD1304" s="1" t="s">
        <v>98</v>
      </c>
      <c r="AE1304" s="1" t="s">
        <v>98</v>
      </c>
      <c r="AF1304" s="1" t="s">
        <v>23538</v>
      </c>
      <c r="AG1304" s="1" t="s">
        <v>23539</v>
      </c>
      <c r="AH1304" s="1" t="s">
        <v>2321</v>
      </c>
      <c r="AI1304" s="1" t="s">
        <v>627</v>
      </c>
      <c r="AJ1304" s="1">
        <v>85.6</v>
      </c>
      <c r="AK1304" s="1"/>
      <c r="AL1304" s="1" t="s">
        <v>23540</v>
      </c>
      <c r="AM1304" s="1" t="s">
        <v>23541</v>
      </c>
      <c r="AN1304" s="1" t="s">
        <v>465</v>
      </c>
      <c r="AO1304" s="1" t="s">
        <v>167</v>
      </c>
      <c r="AP1304" s="1" t="s">
        <v>171</v>
      </c>
      <c r="AQ1304" s="1">
        <v>58.46</v>
      </c>
      <c r="AR1304" s="1"/>
      <c r="AS1304" s="1"/>
      <c r="AT1304" s="1"/>
      <c r="AU1304" s="1"/>
      <c r="AV1304" s="1"/>
      <c r="AW1304" s="1"/>
      <c r="AX1304" s="1"/>
      <c r="AY1304" s="1" t="s">
        <v>23542</v>
      </c>
      <c r="AZ1304" s="1" t="s">
        <v>23543</v>
      </c>
      <c r="BA1304" s="1" t="s">
        <v>578</v>
      </c>
      <c r="BB1304" s="1" t="s">
        <v>467</v>
      </c>
      <c r="BC1304" s="1" t="s">
        <v>1065</v>
      </c>
      <c r="BD1304" s="1" t="s">
        <v>289</v>
      </c>
      <c r="BE1304" s="1">
        <v>73.49</v>
      </c>
      <c r="BF1304" s="1">
        <v>8.31</v>
      </c>
      <c r="BG1304" s="1"/>
      <c r="BH1304" s="1"/>
      <c r="BI1304" s="1"/>
      <c r="BJ1304" s="1"/>
      <c r="BK1304" s="1"/>
      <c r="BL1304" s="1"/>
      <c r="BM1304" s="1"/>
      <c r="BN1304" s="1"/>
      <c r="BO1304" s="1" t="s">
        <v>23544</v>
      </c>
      <c r="BP1304" s="1" t="s">
        <v>23545</v>
      </c>
      <c r="BQ1304" s="1" t="s">
        <v>1482</v>
      </c>
      <c r="BR1304" s="1"/>
      <c r="BS1304" s="1"/>
      <c r="BT1304" s="1"/>
      <c r="BU1304" s="1" t="str">
        <f>HYPERLINK("https://nconnect.nicmar.ac.in/storage/profile/6a85f4af9a267.png","Download")</f>
        <v>0</v>
      </c>
      <c r="BV1304" s="3"/>
      <c r="BW1304" s="3"/>
    </row>
    <row r="1305" spans="1:75">
      <c r="A1305" s="1" t="s">
        <v>75</v>
      </c>
      <c r="B1305" s="1" t="s">
        <v>13976</v>
      </c>
      <c r="C1305" s="1" t="s">
        <v>23546</v>
      </c>
      <c r="D1305" s="1" t="s">
        <v>22780</v>
      </c>
      <c r="E1305" s="1" t="s">
        <v>22661</v>
      </c>
      <c r="F1305" s="1" t="s">
        <v>23547</v>
      </c>
      <c r="G1305" s="1" t="s">
        <v>23548</v>
      </c>
      <c r="H1305" s="1" t="s">
        <v>23549</v>
      </c>
      <c r="I1305" s="1" t="s">
        <v>23550</v>
      </c>
      <c r="J1305" s="1">
        <v>7666223418</v>
      </c>
      <c r="K1305" s="1" t="s">
        <v>84</v>
      </c>
      <c r="L1305" s="1" t="s">
        <v>20570</v>
      </c>
      <c r="M1305" s="1" t="s">
        <v>86</v>
      </c>
      <c r="N1305" s="1" t="s">
        <v>23551</v>
      </c>
      <c r="O1305" s="1" t="s">
        <v>23552</v>
      </c>
      <c r="P1305" s="1" t="s">
        <v>89</v>
      </c>
      <c r="Q1305" s="1">
        <v>851600062556</v>
      </c>
      <c r="R1305" s="1" t="s">
        <v>23553</v>
      </c>
      <c r="S1305" s="1">
        <v>9967377705</v>
      </c>
      <c r="T1305" s="1" t="s">
        <v>23554</v>
      </c>
      <c r="U1305" s="1" t="s">
        <v>23555</v>
      </c>
      <c r="V1305" s="1">
        <v>7977726014</v>
      </c>
      <c r="W1305" s="1" t="s">
        <v>14095</v>
      </c>
      <c r="X1305" s="1" t="s">
        <v>23556</v>
      </c>
      <c r="Y1305" s="1" t="s">
        <v>1189</v>
      </c>
      <c r="Z1305" s="1" t="s">
        <v>97</v>
      </c>
      <c r="AA1305" s="1" t="s">
        <v>23556</v>
      </c>
      <c r="AB1305" s="1" t="s">
        <v>1189</v>
      </c>
      <c r="AC1305" s="1" t="s">
        <v>97</v>
      </c>
      <c r="AD1305" s="1" t="s">
        <v>98</v>
      </c>
      <c r="AE1305" s="1" t="s">
        <v>98</v>
      </c>
      <c r="AF1305" s="1" t="s">
        <v>23557</v>
      </c>
      <c r="AG1305" s="1" t="s">
        <v>18355</v>
      </c>
      <c r="AH1305" s="1" t="s">
        <v>490</v>
      </c>
      <c r="AI1305" s="1" t="s">
        <v>438</v>
      </c>
      <c r="AJ1305" s="1">
        <v>78.6</v>
      </c>
      <c r="AK1305" s="1"/>
      <c r="AL1305" s="1"/>
      <c r="AM1305" s="1"/>
      <c r="AN1305" s="1"/>
      <c r="AO1305" s="1"/>
      <c r="AP1305" s="1"/>
      <c r="AQ1305" s="1"/>
      <c r="AR1305" s="1"/>
      <c r="AS1305" s="1" t="s">
        <v>14713</v>
      </c>
      <c r="AT1305" s="1" t="s">
        <v>23558</v>
      </c>
      <c r="AU1305" s="1" t="s">
        <v>2863</v>
      </c>
      <c r="AV1305" s="1" t="s">
        <v>1400</v>
      </c>
      <c r="AW1305" s="1">
        <v>80.63</v>
      </c>
      <c r="AX1305" s="1"/>
      <c r="AY1305" s="1" t="s">
        <v>18495</v>
      </c>
      <c r="AZ1305" s="1" t="s">
        <v>23559</v>
      </c>
      <c r="BA1305" s="1" t="s">
        <v>578</v>
      </c>
      <c r="BB1305" s="1" t="s">
        <v>467</v>
      </c>
      <c r="BC1305" s="1" t="s">
        <v>1825</v>
      </c>
      <c r="BD1305" s="1" t="s">
        <v>1401</v>
      </c>
      <c r="BE1305" s="1">
        <v>63.36</v>
      </c>
      <c r="BF1305" s="1"/>
      <c r="BG1305" s="1"/>
      <c r="BH1305" s="1"/>
      <c r="BI1305" s="1"/>
      <c r="BJ1305" s="1"/>
      <c r="BK1305" s="1"/>
      <c r="BL1305" s="1"/>
      <c r="BM1305" s="1"/>
      <c r="BN1305" s="1"/>
      <c r="BO1305" s="1" t="s">
        <v>23560</v>
      </c>
      <c r="BP1305" s="1"/>
      <c r="BQ1305" s="1"/>
      <c r="BR1305" s="1" t="s">
        <v>23561</v>
      </c>
      <c r="BS1305" s="1">
        <v>4</v>
      </c>
      <c r="BT1305" s="1" t="s">
        <v>23562</v>
      </c>
      <c r="BU1305" s="1" t="str">
        <f>HYPERLINK("https://nconnect.nicmar.ac.in/storage/profile/6a87400c14c63.png","Download")</f>
        <v>0</v>
      </c>
      <c r="BV1305" s="3"/>
      <c r="BW1305" s="3"/>
    </row>
    <row r="1306" spans="1:75">
      <c r="A1306" s="1" t="s">
        <v>75</v>
      </c>
      <c r="B1306" s="1" t="s">
        <v>13976</v>
      </c>
      <c r="C1306" s="1" t="s">
        <v>23563</v>
      </c>
      <c r="D1306" s="1" t="s">
        <v>1893</v>
      </c>
      <c r="E1306" s="1"/>
      <c r="F1306" s="1" t="s">
        <v>1320</v>
      </c>
      <c r="G1306" s="1" t="s">
        <v>23564</v>
      </c>
      <c r="H1306" s="1" t="s">
        <v>23565</v>
      </c>
      <c r="I1306" s="1" t="s">
        <v>23565</v>
      </c>
      <c r="J1306" s="1">
        <v>7301399035</v>
      </c>
      <c r="K1306" s="1" t="s">
        <v>84</v>
      </c>
      <c r="L1306" s="1" t="s">
        <v>23566</v>
      </c>
      <c r="M1306" s="1" t="s">
        <v>86</v>
      </c>
      <c r="N1306" s="1" t="s">
        <v>87</v>
      </c>
      <c r="O1306" s="1" t="s">
        <v>23567</v>
      </c>
      <c r="P1306" s="1" t="s">
        <v>122</v>
      </c>
      <c r="Q1306" s="1">
        <v>827132897639</v>
      </c>
      <c r="R1306" s="1" t="s">
        <v>23568</v>
      </c>
      <c r="S1306" s="1">
        <v>9835147756</v>
      </c>
      <c r="T1306" s="1" t="s">
        <v>9257</v>
      </c>
      <c r="U1306" s="1" t="s">
        <v>23569</v>
      </c>
      <c r="V1306" s="1">
        <v>9798461701</v>
      </c>
      <c r="W1306" s="1" t="s">
        <v>278</v>
      </c>
      <c r="X1306" s="1" t="s">
        <v>23570</v>
      </c>
      <c r="Y1306" s="1" t="s">
        <v>23571</v>
      </c>
      <c r="Z1306" s="1" t="s">
        <v>649</v>
      </c>
      <c r="AA1306" s="1" t="s">
        <v>23572</v>
      </c>
      <c r="AB1306" s="1" t="s">
        <v>2954</v>
      </c>
      <c r="AC1306" s="1" t="s">
        <v>2955</v>
      </c>
      <c r="AD1306" s="1" t="s">
        <v>98</v>
      </c>
      <c r="AE1306" s="1" t="s">
        <v>98</v>
      </c>
      <c r="AF1306" s="1" t="s">
        <v>23573</v>
      </c>
      <c r="AG1306" s="1" t="s">
        <v>23574</v>
      </c>
      <c r="AH1306" s="1" t="s">
        <v>573</v>
      </c>
      <c r="AI1306" s="1" t="s">
        <v>171</v>
      </c>
      <c r="AJ1306" s="1">
        <v>73.2</v>
      </c>
      <c r="AK1306" s="1">
        <v>7.7</v>
      </c>
      <c r="AL1306" s="1" t="s">
        <v>23575</v>
      </c>
      <c r="AM1306" s="1" t="s">
        <v>23576</v>
      </c>
      <c r="AN1306" s="1" t="s">
        <v>465</v>
      </c>
      <c r="AO1306" s="1" t="s">
        <v>315</v>
      </c>
      <c r="AP1306" s="1" t="s">
        <v>178</v>
      </c>
      <c r="AQ1306" s="1">
        <v>60.6</v>
      </c>
      <c r="AR1306" s="1">
        <v>6.37</v>
      </c>
      <c r="AS1306" s="1"/>
      <c r="AT1306" s="1"/>
      <c r="AU1306" s="1"/>
      <c r="AV1306" s="1"/>
      <c r="AW1306" s="1"/>
      <c r="AX1306" s="1"/>
      <c r="AY1306" s="1" t="s">
        <v>5106</v>
      </c>
      <c r="AZ1306" s="1" t="s">
        <v>23577</v>
      </c>
      <c r="BA1306" s="1" t="s">
        <v>466</v>
      </c>
      <c r="BB1306" s="1" t="s">
        <v>467</v>
      </c>
      <c r="BC1306" s="1" t="s">
        <v>417</v>
      </c>
      <c r="BD1306" s="1" t="s">
        <v>418</v>
      </c>
      <c r="BE1306" s="1">
        <v>75</v>
      </c>
      <c r="BF1306" s="1">
        <v>7.5</v>
      </c>
      <c r="BG1306" s="1"/>
      <c r="BH1306" s="1"/>
      <c r="BI1306" s="1"/>
      <c r="BJ1306" s="1"/>
      <c r="BK1306" s="1"/>
      <c r="BL1306" s="1"/>
      <c r="BM1306" s="1"/>
      <c r="BN1306" s="1"/>
      <c r="BO1306" s="1" t="s">
        <v>23578</v>
      </c>
      <c r="BP1306" s="1" t="s">
        <v>23579</v>
      </c>
      <c r="BQ1306" s="1" t="s">
        <v>471</v>
      </c>
      <c r="BR1306" s="1" t="s">
        <v>23580</v>
      </c>
      <c r="BS1306" s="1">
        <v>8</v>
      </c>
      <c r="BT1306" s="1"/>
      <c r="BU1306" s="1" t="str">
        <f>HYPERLINK("https://nconnect.nicmar.ac.in/storage/profile/6a86f224ae4f3.png","Download")</f>
        <v>0</v>
      </c>
      <c r="BV1306" s="3"/>
      <c r="BW1306" s="3"/>
    </row>
    <row r="1307" spans="1:75">
      <c r="A1307" s="1" t="s">
        <v>75</v>
      </c>
      <c r="B1307" s="1" t="s">
        <v>13976</v>
      </c>
      <c r="C1307" s="1" t="s">
        <v>23581</v>
      </c>
      <c r="D1307" s="1" t="s">
        <v>17090</v>
      </c>
      <c r="E1307" s="1" t="s">
        <v>17090</v>
      </c>
      <c r="F1307" s="1" t="s">
        <v>23582</v>
      </c>
      <c r="G1307" s="1" t="s">
        <v>23583</v>
      </c>
      <c r="H1307" s="1" t="s">
        <v>23584</v>
      </c>
      <c r="I1307" s="1" t="s">
        <v>23584</v>
      </c>
      <c r="J1307" s="1">
        <v>7666821781</v>
      </c>
      <c r="K1307" s="1" t="s">
        <v>84</v>
      </c>
      <c r="L1307" s="1" t="s">
        <v>7549</v>
      </c>
      <c r="M1307" s="1" t="s">
        <v>86</v>
      </c>
      <c r="N1307" s="1" t="s">
        <v>768</v>
      </c>
      <c r="O1307" s="1" t="s">
        <v>23585</v>
      </c>
      <c r="P1307" s="1" t="s">
        <v>356</v>
      </c>
      <c r="Q1307" s="1">
        <v>502700436883</v>
      </c>
      <c r="R1307" s="1" t="s">
        <v>23586</v>
      </c>
      <c r="S1307" s="1">
        <v>9423685488</v>
      </c>
      <c r="T1307" s="1" t="s">
        <v>15926</v>
      </c>
      <c r="U1307" s="1" t="s">
        <v>23587</v>
      </c>
      <c r="V1307" s="1">
        <v>8668215687</v>
      </c>
      <c r="W1307" s="1" t="s">
        <v>14154</v>
      </c>
      <c r="X1307" s="1" t="s">
        <v>23588</v>
      </c>
      <c r="Y1307" s="1" t="s">
        <v>410</v>
      </c>
      <c r="Z1307" s="1" t="s">
        <v>97</v>
      </c>
      <c r="AA1307" s="1" t="s">
        <v>23588</v>
      </c>
      <c r="AB1307" s="1" t="s">
        <v>410</v>
      </c>
      <c r="AC1307" s="1" t="s">
        <v>97</v>
      </c>
      <c r="AD1307" s="1" t="s">
        <v>98</v>
      </c>
      <c r="AE1307" s="1" t="s">
        <v>98</v>
      </c>
      <c r="AF1307" s="1" t="s">
        <v>23589</v>
      </c>
      <c r="AG1307" s="1" t="s">
        <v>23590</v>
      </c>
      <c r="AH1307" s="1" t="s">
        <v>286</v>
      </c>
      <c r="AI1307" s="1" t="s">
        <v>414</v>
      </c>
      <c r="AJ1307" s="1">
        <v>67</v>
      </c>
      <c r="AK1307" s="1"/>
      <c r="AL1307" s="1"/>
      <c r="AM1307" s="1"/>
      <c r="AN1307" s="1"/>
      <c r="AO1307" s="1"/>
      <c r="AP1307" s="1"/>
      <c r="AQ1307" s="1"/>
      <c r="AR1307" s="1"/>
      <c r="AS1307" s="1"/>
      <c r="AT1307" s="1"/>
      <c r="AU1307" s="1"/>
      <c r="AV1307" s="1"/>
      <c r="AW1307" s="1"/>
      <c r="AX1307" s="1"/>
      <c r="AY1307" s="1" t="s">
        <v>14884</v>
      </c>
      <c r="AZ1307" s="1" t="s">
        <v>23591</v>
      </c>
      <c r="BA1307" s="1" t="s">
        <v>466</v>
      </c>
      <c r="BB1307" s="1" t="s">
        <v>467</v>
      </c>
      <c r="BC1307" s="1" t="s">
        <v>871</v>
      </c>
      <c r="BD1307" s="1" t="s">
        <v>553</v>
      </c>
      <c r="BE1307" s="1">
        <v>70.7</v>
      </c>
      <c r="BF1307" s="1">
        <v>7.07</v>
      </c>
      <c r="BG1307" s="1"/>
      <c r="BH1307" s="1"/>
      <c r="BI1307" s="1"/>
      <c r="BJ1307" s="1"/>
      <c r="BK1307" s="1"/>
      <c r="BL1307" s="1"/>
      <c r="BM1307" s="1"/>
      <c r="BN1307" s="1"/>
      <c r="BO1307" s="1" t="s">
        <v>23592</v>
      </c>
      <c r="BP1307" s="1" t="s">
        <v>23593</v>
      </c>
      <c r="BQ1307" s="1" t="s">
        <v>1070</v>
      </c>
      <c r="BR1307" s="1"/>
      <c r="BS1307" s="1"/>
      <c r="BT1307" s="1"/>
      <c r="BU1307" s="1" t="str">
        <f>HYPERLINK("https://nconnect.nicmar.ac.in/storage/profile/6a871740951f9.png","Download")</f>
        <v>0</v>
      </c>
      <c r="BV1307" s="3"/>
      <c r="BW1307" s="3"/>
    </row>
    <row r="1308" spans="1:75">
      <c r="A1308" s="1" t="s">
        <v>75</v>
      </c>
      <c r="B1308" s="1" t="s">
        <v>13976</v>
      </c>
      <c r="C1308" s="1" t="s">
        <v>23594</v>
      </c>
      <c r="D1308" s="1" t="s">
        <v>23595</v>
      </c>
      <c r="E1308" s="1" t="s">
        <v>9660</v>
      </c>
      <c r="F1308" s="1" t="s">
        <v>23596</v>
      </c>
      <c r="G1308" s="1" t="s">
        <v>23597</v>
      </c>
      <c r="H1308" s="1" t="s">
        <v>23598</v>
      </c>
      <c r="I1308" s="1" t="s">
        <v>23598</v>
      </c>
      <c r="J1308" s="1">
        <v>8551077848</v>
      </c>
      <c r="K1308" s="1" t="s">
        <v>84</v>
      </c>
      <c r="L1308" s="1" t="s">
        <v>7039</v>
      </c>
      <c r="M1308" s="1" t="s">
        <v>86</v>
      </c>
      <c r="N1308" s="1" t="s">
        <v>768</v>
      </c>
      <c r="O1308" s="1" t="s">
        <v>23599</v>
      </c>
      <c r="P1308" s="1" t="s">
        <v>89</v>
      </c>
      <c r="Q1308" s="1">
        <v>823651957049</v>
      </c>
      <c r="R1308" s="1" t="s">
        <v>23600</v>
      </c>
      <c r="S1308" s="1">
        <v>8552805528</v>
      </c>
      <c r="T1308" s="1" t="s">
        <v>16151</v>
      </c>
      <c r="U1308" s="1" t="s">
        <v>23601</v>
      </c>
      <c r="V1308" s="1">
        <v>7972983973</v>
      </c>
      <c r="W1308" s="1" t="s">
        <v>14154</v>
      </c>
      <c r="X1308" s="1" t="s">
        <v>23602</v>
      </c>
      <c r="Y1308" s="1" t="s">
        <v>309</v>
      </c>
      <c r="Z1308" s="1" t="s">
        <v>97</v>
      </c>
      <c r="AA1308" s="1" t="s">
        <v>23602</v>
      </c>
      <c r="AB1308" s="1" t="s">
        <v>309</v>
      </c>
      <c r="AC1308" s="1" t="s">
        <v>97</v>
      </c>
      <c r="AD1308" s="1" t="s">
        <v>98</v>
      </c>
      <c r="AE1308" s="1" t="s">
        <v>98</v>
      </c>
      <c r="AF1308" s="1" t="s">
        <v>23603</v>
      </c>
      <c r="AG1308" s="1" t="s">
        <v>16137</v>
      </c>
      <c r="AH1308" s="1" t="s">
        <v>101</v>
      </c>
      <c r="AI1308" s="1" t="s">
        <v>166</v>
      </c>
      <c r="AJ1308" s="1">
        <v>90</v>
      </c>
      <c r="AK1308" s="1"/>
      <c r="AL1308" s="1" t="s">
        <v>23604</v>
      </c>
      <c r="AM1308" s="1" t="s">
        <v>16137</v>
      </c>
      <c r="AN1308" s="1" t="s">
        <v>465</v>
      </c>
      <c r="AO1308" s="1" t="s">
        <v>342</v>
      </c>
      <c r="AP1308" s="1" t="s">
        <v>388</v>
      </c>
      <c r="AQ1308" s="1">
        <v>51.85</v>
      </c>
      <c r="AR1308" s="1"/>
      <c r="AS1308" s="1" t="s">
        <v>23605</v>
      </c>
      <c r="AT1308" s="1" t="s">
        <v>23606</v>
      </c>
      <c r="AU1308" s="1" t="s">
        <v>230</v>
      </c>
      <c r="AV1308" s="1" t="s">
        <v>206</v>
      </c>
      <c r="AW1308" s="1">
        <v>73.09</v>
      </c>
      <c r="AX1308" s="1"/>
      <c r="AY1308" s="1" t="s">
        <v>23607</v>
      </c>
      <c r="AZ1308" s="1" t="s">
        <v>23608</v>
      </c>
      <c r="BA1308" s="1" t="s">
        <v>578</v>
      </c>
      <c r="BB1308" s="1" t="s">
        <v>467</v>
      </c>
      <c r="BC1308" s="1" t="s">
        <v>206</v>
      </c>
      <c r="BD1308" s="1" t="s">
        <v>110</v>
      </c>
      <c r="BE1308" s="1">
        <v>81.08</v>
      </c>
      <c r="BF1308" s="1"/>
      <c r="BG1308" s="1" t="s">
        <v>23607</v>
      </c>
      <c r="BH1308" s="1" t="s">
        <v>23609</v>
      </c>
      <c r="BI1308" s="1" t="s">
        <v>23610</v>
      </c>
      <c r="BJ1308" s="1" t="s">
        <v>23611</v>
      </c>
      <c r="BK1308" s="1" t="s">
        <v>207</v>
      </c>
      <c r="BL1308" s="1" t="s">
        <v>553</v>
      </c>
      <c r="BM1308" s="1">
        <v>78.2</v>
      </c>
      <c r="BN1308" s="1">
        <v>8.57</v>
      </c>
      <c r="BO1308" s="1" t="s">
        <v>23612</v>
      </c>
      <c r="BP1308" s="1"/>
      <c r="BQ1308" s="1"/>
      <c r="BR1308" s="1" t="s">
        <v>23613</v>
      </c>
      <c r="BS1308" s="1">
        <v>8</v>
      </c>
      <c r="BT1308" s="1" t="s">
        <v>23614</v>
      </c>
      <c r="BU1308" s="1" t="str">
        <f>HYPERLINK("https://nconnect.nicmar.ac.in/storage/profile/6a8749e54ea7e.png","Download")</f>
        <v>0</v>
      </c>
      <c r="BV1308" s="3"/>
      <c r="BW1308" s="3"/>
    </row>
    <row r="1309" spans="1:75">
      <c r="A1309" s="1" t="s">
        <v>75</v>
      </c>
      <c r="B1309" s="1" t="s">
        <v>13976</v>
      </c>
      <c r="C1309" s="1" t="s">
        <v>23615</v>
      </c>
      <c r="D1309" s="1" t="s">
        <v>23616</v>
      </c>
      <c r="E1309" s="1" t="s">
        <v>22251</v>
      </c>
      <c r="F1309" s="1" t="s">
        <v>18753</v>
      </c>
      <c r="G1309" s="1" t="s">
        <v>23617</v>
      </c>
      <c r="H1309" s="1" t="s">
        <v>23618</v>
      </c>
      <c r="I1309" s="1" t="s">
        <v>23619</v>
      </c>
      <c r="J1309" s="1">
        <v>9322808421</v>
      </c>
      <c r="K1309" s="1" t="s">
        <v>84</v>
      </c>
      <c r="L1309" s="1" t="s">
        <v>7924</v>
      </c>
      <c r="M1309" s="1" t="s">
        <v>86</v>
      </c>
      <c r="N1309" s="1" t="s">
        <v>23620</v>
      </c>
      <c r="O1309" s="1" t="s">
        <v>23621</v>
      </c>
      <c r="P1309" s="1" t="s">
        <v>219</v>
      </c>
      <c r="Q1309" s="1">
        <v>254951808053</v>
      </c>
      <c r="R1309" s="1" t="s">
        <v>23622</v>
      </c>
      <c r="S1309" s="1">
        <v>9922192950</v>
      </c>
      <c r="T1309" s="1" t="s">
        <v>23623</v>
      </c>
      <c r="U1309" s="1" t="s">
        <v>23624</v>
      </c>
      <c r="V1309" s="1">
        <v>8275288081</v>
      </c>
      <c r="W1309" s="1" t="s">
        <v>14154</v>
      </c>
      <c r="X1309" s="1" t="s">
        <v>23625</v>
      </c>
      <c r="Y1309" s="1" t="s">
        <v>410</v>
      </c>
      <c r="Z1309" s="1" t="s">
        <v>97</v>
      </c>
      <c r="AA1309" s="1" t="s">
        <v>23625</v>
      </c>
      <c r="AB1309" s="1" t="s">
        <v>410</v>
      </c>
      <c r="AC1309" s="1" t="s">
        <v>97</v>
      </c>
      <c r="AD1309" s="1" t="s">
        <v>98</v>
      </c>
      <c r="AE1309" s="1" t="s">
        <v>98</v>
      </c>
      <c r="AF1309" s="1" t="s">
        <v>23626</v>
      </c>
      <c r="AG1309" s="1" t="s">
        <v>9682</v>
      </c>
      <c r="AH1309" s="1" t="s">
        <v>315</v>
      </c>
      <c r="AI1309" s="1" t="s">
        <v>178</v>
      </c>
      <c r="AJ1309" s="1">
        <v>76.2</v>
      </c>
      <c r="AK1309" s="1">
        <v>8.02</v>
      </c>
      <c r="AL1309" s="1"/>
      <c r="AM1309" s="1"/>
      <c r="AN1309" s="1"/>
      <c r="AO1309" s="1"/>
      <c r="AP1309" s="1"/>
      <c r="AQ1309" s="1"/>
      <c r="AR1309" s="1"/>
      <c r="AS1309" s="1" t="s">
        <v>14158</v>
      </c>
      <c r="AT1309" s="1" t="s">
        <v>14241</v>
      </c>
      <c r="AU1309" s="1" t="s">
        <v>1040</v>
      </c>
      <c r="AV1309" s="1" t="s">
        <v>179</v>
      </c>
      <c r="AW1309" s="1">
        <v>79.94</v>
      </c>
      <c r="AX1309" s="1">
        <v>8.41</v>
      </c>
      <c r="AY1309" s="1" t="s">
        <v>19531</v>
      </c>
      <c r="AZ1309" s="1" t="s">
        <v>23627</v>
      </c>
      <c r="BA1309" s="1" t="s">
        <v>466</v>
      </c>
      <c r="BB1309" s="1" t="s">
        <v>467</v>
      </c>
      <c r="BC1309" s="1" t="s">
        <v>1267</v>
      </c>
      <c r="BD1309" s="1" t="s">
        <v>14162</v>
      </c>
      <c r="BE1309" s="1">
        <v>84.5</v>
      </c>
      <c r="BF1309" s="1">
        <v>9.2</v>
      </c>
      <c r="BG1309" s="1"/>
      <c r="BH1309" s="1"/>
      <c r="BI1309" s="1"/>
      <c r="BJ1309" s="1"/>
      <c r="BK1309" s="1"/>
      <c r="BL1309" s="1"/>
      <c r="BM1309" s="1"/>
      <c r="BN1309" s="1"/>
      <c r="BO1309" s="1" t="s">
        <v>23628</v>
      </c>
      <c r="BP1309" s="1"/>
      <c r="BQ1309" s="1"/>
      <c r="BR1309" s="1" t="s">
        <v>23629</v>
      </c>
      <c r="BS1309" s="1">
        <v>30</v>
      </c>
      <c r="BT1309" s="1"/>
      <c r="BU1309" s="1" t="str">
        <f>HYPERLINK("https://nconnect.nicmar.ac.in/storage/profile/6a8497ed5e526.png","Download")</f>
        <v>0</v>
      </c>
      <c r="BV1309" s="3"/>
      <c r="BW1309" s="3"/>
    </row>
    <row r="1310" spans="1:75">
      <c r="A1310" s="1" t="s">
        <v>75</v>
      </c>
      <c r="B1310" s="1" t="s">
        <v>13976</v>
      </c>
      <c r="C1310" s="1" t="s">
        <v>23630</v>
      </c>
      <c r="D1310" s="1" t="s">
        <v>23631</v>
      </c>
      <c r="E1310" s="1" t="s">
        <v>23632</v>
      </c>
      <c r="F1310" s="1" t="s">
        <v>23633</v>
      </c>
      <c r="G1310" s="1" t="s">
        <v>23634</v>
      </c>
      <c r="H1310" s="1" t="s">
        <v>23635</v>
      </c>
      <c r="I1310" s="1" t="s">
        <v>23636</v>
      </c>
      <c r="J1310" s="1">
        <v>7730905079</v>
      </c>
      <c r="K1310" s="1" t="s">
        <v>84</v>
      </c>
      <c r="L1310" s="1" t="s">
        <v>20570</v>
      </c>
      <c r="M1310" s="1" t="s">
        <v>86</v>
      </c>
      <c r="N1310" s="1" t="s">
        <v>23637</v>
      </c>
      <c r="O1310" s="1" t="s">
        <v>157</v>
      </c>
      <c r="P1310" s="1" t="s">
        <v>89</v>
      </c>
      <c r="Q1310" s="1" t="s">
        <v>23638</v>
      </c>
      <c r="R1310" s="1" t="s">
        <v>23639</v>
      </c>
      <c r="S1310" s="1">
        <v>9892539544</v>
      </c>
      <c r="T1310" s="1" t="s">
        <v>23640</v>
      </c>
      <c r="U1310" s="1" t="s">
        <v>23641</v>
      </c>
      <c r="V1310" s="1">
        <v>9821050744</v>
      </c>
      <c r="W1310" s="1" t="s">
        <v>14154</v>
      </c>
      <c r="X1310" s="1" t="s">
        <v>23642</v>
      </c>
      <c r="Y1310" s="1" t="s">
        <v>1882</v>
      </c>
      <c r="Z1310" s="1" t="s">
        <v>97</v>
      </c>
      <c r="AA1310" s="1" t="s">
        <v>23642</v>
      </c>
      <c r="AB1310" s="1" t="s">
        <v>1882</v>
      </c>
      <c r="AC1310" s="1" t="s">
        <v>97</v>
      </c>
      <c r="AD1310" s="1" t="s">
        <v>98</v>
      </c>
      <c r="AE1310" s="1" t="s">
        <v>98</v>
      </c>
      <c r="AF1310" s="1" t="s">
        <v>21543</v>
      </c>
      <c r="AG1310" s="1" t="s">
        <v>23643</v>
      </c>
      <c r="AH1310" s="1" t="s">
        <v>106</v>
      </c>
      <c r="AI1310" s="1" t="s">
        <v>313</v>
      </c>
      <c r="AJ1310" s="1">
        <v>81.8</v>
      </c>
      <c r="AK1310" s="1"/>
      <c r="AL1310" s="1"/>
      <c r="AM1310" s="1"/>
      <c r="AN1310" s="1"/>
      <c r="AO1310" s="1"/>
      <c r="AP1310" s="1"/>
      <c r="AQ1310" s="1"/>
      <c r="AR1310" s="1"/>
      <c r="AS1310" s="1" t="s">
        <v>14158</v>
      </c>
      <c r="AT1310" s="1" t="s">
        <v>17506</v>
      </c>
      <c r="AU1310" s="1" t="s">
        <v>315</v>
      </c>
      <c r="AV1310" s="1" t="s">
        <v>1400</v>
      </c>
      <c r="AW1310" s="1">
        <v>88.95</v>
      </c>
      <c r="AX1310" s="1"/>
      <c r="AY1310" s="1" t="s">
        <v>23644</v>
      </c>
      <c r="AZ1310" s="1" t="s">
        <v>17507</v>
      </c>
      <c r="BA1310" s="1" t="s">
        <v>578</v>
      </c>
      <c r="BB1310" s="1" t="s">
        <v>467</v>
      </c>
      <c r="BC1310" s="1" t="s">
        <v>1802</v>
      </c>
      <c r="BD1310" s="1" t="s">
        <v>1401</v>
      </c>
      <c r="BE1310" s="1">
        <v>76.64</v>
      </c>
      <c r="BF1310" s="1">
        <v>8.46</v>
      </c>
      <c r="BG1310" s="1"/>
      <c r="BH1310" s="1"/>
      <c r="BI1310" s="1"/>
      <c r="BJ1310" s="1"/>
      <c r="BK1310" s="1"/>
      <c r="BL1310" s="1"/>
      <c r="BM1310" s="1"/>
      <c r="BN1310" s="1"/>
      <c r="BO1310" s="1" t="s">
        <v>23645</v>
      </c>
      <c r="BP1310" s="1"/>
      <c r="BQ1310" s="1"/>
      <c r="BR1310" s="1" t="s">
        <v>23646</v>
      </c>
      <c r="BS1310" s="1">
        <v>33</v>
      </c>
      <c r="BT1310" s="1"/>
      <c r="BU1310" s="1" t="str">
        <f>HYPERLINK("https://nconnect.nicmar.ac.in/storage/profile/6a85a6082e367.png","Download")</f>
        <v>0</v>
      </c>
      <c r="BV1310" s="3"/>
      <c r="BW1310" s="3"/>
    </row>
    <row r="1311" spans="1:75">
      <c r="A1311" s="1" t="s">
        <v>75</v>
      </c>
      <c r="B1311" s="1" t="s">
        <v>13976</v>
      </c>
      <c r="C1311" s="1" t="s">
        <v>23647</v>
      </c>
      <c r="D1311" s="1" t="s">
        <v>1135</v>
      </c>
      <c r="E1311" s="1" t="s">
        <v>1320</v>
      </c>
      <c r="F1311" s="1" t="s">
        <v>530</v>
      </c>
      <c r="G1311" s="1" t="s">
        <v>23648</v>
      </c>
      <c r="H1311" s="1" t="s">
        <v>23649</v>
      </c>
      <c r="I1311" s="1" t="s">
        <v>23650</v>
      </c>
      <c r="J1311" s="1">
        <v>7570900000</v>
      </c>
      <c r="K1311" s="1" t="s">
        <v>84</v>
      </c>
      <c r="L1311" s="1" t="s">
        <v>23651</v>
      </c>
      <c r="M1311" s="1" t="s">
        <v>86</v>
      </c>
      <c r="N1311" s="1" t="s">
        <v>20303</v>
      </c>
      <c r="O1311" s="1" t="s">
        <v>23652</v>
      </c>
      <c r="P1311" s="1" t="s">
        <v>122</v>
      </c>
      <c r="Q1311" s="1">
        <v>669372683341</v>
      </c>
      <c r="R1311" s="1" t="s">
        <v>23653</v>
      </c>
      <c r="S1311" s="1">
        <v>9919858585</v>
      </c>
      <c r="T1311" s="1" t="s">
        <v>1552</v>
      </c>
      <c r="U1311" s="1" t="s">
        <v>23654</v>
      </c>
      <c r="V1311" s="1">
        <v>7651872482</v>
      </c>
      <c r="W1311" s="1" t="s">
        <v>541</v>
      </c>
      <c r="X1311" s="1" t="s">
        <v>23655</v>
      </c>
      <c r="Y1311" s="1" t="s">
        <v>21987</v>
      </c>
      <c r="Z1311" s="1" t="s">
        <v>544</v>
      </c>
      <c r="AA1311" s="1" t="s">
        <v>23655</v>
      </c>
      <c r="AB1311" s="1" t="s">
        <v>21987</v>
      </c>
      <c r="AC1311" s="1" t="s">
        <v>544</v>
      </c>
      <c r="AD1311" s="1" t="s">
        <v>98</v>
      </c>
      <c r="AE1311" s="1" t="s">
        <v>98</v>
      </c>
      <c r="AF1311" s="1" t="s">
        <v>23656</v>
      </c>
      <c r="AG1311" s="1" t="s">
        <v>23657</v>
      </c>
      <c r="AH1311" s="1" t="s">
        <v>167</v>
      </c>
      <c r="AI1311" s="1" t="s">
        <v>170</v>
      </c>
      <c r="AJ1311" s="1">
        <v>85.5</v>
      </c>
      <c r="AK1311" s="1">
        <v>9</v>
      </c>
      <c r="AL1311" s="1" t="s">
        <v>23656</v>
      </c>
      <c r="AM1311" s="1" t="s">
        <v>23657</v>
      </c>
      <c r="AN1311" s="1" t="s">
        <v>465</v>
      </c>
      <c r="AO1311" s="1" t="s">
        <v>171</v>
      </c>
      <c r="AP1311" s="1" t="s">
        <v>438</v>
      </c>
      <c r="AQ1311" s="1">
        <v>73.2</v>
      </c>
      <c r="AR1311" s="1">
        <v>7.7</v>
      </c>
      <c r="AS1311" s="1"/>
      <c r="AT1311" s="1"/>
      <c r="AU1311" s="1"/>
      <c r="AV1311" s="1"/>
      <c r="AW1311" s="1"/>
      <c r="AX1311" s="1"/>
      <c r="AY1311" s="1" t="s">
        <v>17045</v>
      </c>
      <c r="AZ1311" s="1" t="s">
        <v>23658</v>
      </c>
      <c r="BA1311" s="1" t="s">
        <v>466</v>
      </c>
      <c r="BB1311" s="1" t="s">
        <v>467</v>
      </c>
      <c r="BC1311" s="1" t="s">
        <v>315</v>
      </c>
      <c r="BD1311" s="1" t="s">
        <v>179</v>
      </c>
      <c r="BE1311" s="1">
        <v>67</v>
      </c>
      <c r="BF1311" s="1">
        <v>6.7</v>
      </c>
      <c r="BG1311" s="1"/>
      <c r="BH1311" s="1"/>
      <c r="BI1311" s="1"/>
      <c r="BJ1311" s="1"/>
      <c r="BK1311" s="1"/>
      <c r="BL1311" s="1"/>
      <c r="BM1311" s="1"/>
      <c r="BN1311" s="1"/>
      <c r="BO1311" s="1" t="s">
        <v>1315</v>
      </c>
      <c r="BP1311" s="1" t="s">
        <v>23659</v>
      </c>
      <c r="BQ1311" s="1" t="s">
        <v>1482</v>
      </c>
      <c r="BR1311" s="1"/>
      <c r="BS1311" s="1"/>
      <c r="BT1311" s="1"/>
      <c r="BU1311" s="1" t="str">
        <f>HYPERLINK("https://nconnect.nicmar.ac.in/storage/profile/6a85a051b80b8.png","Download")</f>
        <v>0</v>
      </c>
      <c r="BV1311" s="3"/>
      <c r="BW1311" s="3"/>
    </row>
    <row r="1312" spans="1:75">
      <c r="A1312" s="1" t="s">
        <v>75</v>
      </c>
      <c r="B1312" s="1" t="s">
        <v>13976</v>
      </c>
      <c r="C1312" s="1" t="s">
        <v>23660</v>
      </c>
      <c r="D1312" s="1" t="s">
        <v>14946</v>
      </c>
      <c r="E1312" s="1" t="s">
        <v>16930</v>
      </c>
      <c r="F1312" s="1" t="s">
        <v>23661</v>
      </c>
      <c r="G1312" s="1" t="s">
        <v>23662</v>
      </c>
      <c r="H1312" s="1" t="s">
        <v>23663</v>
      </c>
      <c r="I1312" s="1" t="s">
        <v>23663</v>
      </c>
      <c r="J1312" s="1">
        <v>7745068429</v>
      </c>
      <c r="K1312" s="1" t="s">
        <v>153</v>
      </c>
      <c r="L1312" s="1" t="s">
        <v>14522</v>
      </c>
      <c r="M1312" s="1" t="s">
        <v>86</v>
      </c>
      <c r="N1312" s="1" t="s">
        <v>23664</v>
      </c>
      <c r="O1312" s="1" t="s">
        <v>23665</v>
      </c>
      <c r="P1312" s="1" t="s">
        <v>219</v>
      </c>
      <c r="Q1312" s="1">
        <v>589773650860</v>
      </c>
      <c r="R1312" s="1" t="s">
        <v>16930</v>
      </c>
      <c r="S1312" s="1">
        <v>8805297032</v>
      </c>
      <c r="T1312" s="1" t="s">
        <v>23666</v>
      </c>
      <c r="U1312" s="1" t="s">
        <v>14044</v>
      </c>
      <c r="V1312" s="1">
        <v>9552720162</v>
      </c>
      <c r="W1312" s="1" t="s">
        <v>15588</v>
      </c>
      <c r="X1312" s="1" t="s">
        <v>23667</v>
      </c>
      <c r="Y1312" s="1" t="s">
        <v>224</v>
      </c>
      <c r="Z1312" s="1" t="s">
        <v>97</v>
      </c>
      <c r="AA1312" s="1" t="s">
        <v>23668</v>
      </c>
      <c r="AB1312" s="1" t="s">
        <v>196</v>
      </c>
      <c r="AC1312" s="1" t="s">
        <v>97</v>
      </c>
      <c r="AD1312" s="1" t="s">
        <v>98</v>
      </c>
      <c r="AE1312" s="1" t="s">
        <v>98</v>
      </c>
      <c r="AF1312" s="1" t="s">
        <v>23669</v>
      </c>
      <c r="AG1312" s="1" t="s">
        <v>23670</v>
      </c>
      <c r="AH1312" s="1" t="s">
        <v>170</v>
      </c>
      <c r="AI1312" s="1" t="s">
        <v>171</v>
      </c>
      <c r="AJ1312" s="1">
        <v>65.2</v>
      </c>
      <c r="AK1312" s="1">
        <v>6.86</v>
      </c>
      <c r="AL1312" s="1" t="s">
        <v>23671</v>
      </c>
      <c r="AM1312" s="1" t="s">
        <v>14977</v>
      </c>
      <c r="AN1312" s="1" t="s">
        <v>465</v>
      </c>
      <c r="AO1312" s="1" t="s">
        <v>468</v>
      </c>
      <c r="AP1312" s="1" t="s">
        <v>847</v>
      </c>
      <c r="AQ1312" s="1">
        <v>81.67</v>
      </c>
      <c r="AR1312" s="1">
        <v>8.6</v>
      </c>
      <c r="AS1312" s="1"/>
      <c r="AT1312" s="1"/>
      <c r="AU1312" s="1"/>
      <c r="AV1312" s="1"/>
      <c r="AW1312" s="1"/>
      <c r="AX1312" s="1"/>
      <c r="AY1312" s="1" t="s">
        <v>14884</v>
      </c>
      <c r="AZ1312" s="1" t="s">
        <v>23672</v>
      </c>
      <c r="BA1312" s="1" t="s">
        <v>682</v>
      </c>
      <c r="BB1312" s="1" t="s">
        <v>683</v>
      </c>
      <c r="BC1312" s="1" t="s">
        <v>871</v>
      </c>
      <c r="BD1312" s="1" t="s">
        <v>14514</v>
      </c>
      <c r="BE1312" s="1">
        <v>75.8</v>
      </c>
      <c r="BF1312" s="1">
        <v>7.58</v>
      </c>
      <c r="BG1312" s="1"/>
      <c r="BH1312" s="1"/>
      <c r="BI1312" s="1"/>
      <c r="BJ1312" s="1"/>
      <c r="BK1312" s="1"/>
      <c r="BL1312" s="1"/>
      <c r="BM1312" s="1"/>
      <c r="BN1312" s="1"/>
      <c r="BO1312" s="1" t="s">
        <v>23673</v>
      </c>
      <c r="BP1312" s="1"/>
      <c r="BQ1312" s="1"/>
      <c r="BR1312" s="1" t="s">
        <v>23674</v>
      </c>
      <c r="BS1312" s="1">
        <v>16</v>
      </c>
      <c r="BT1312" s="1"/>
      <c r="BU1312" s="1" t="str">
        <f>HYPERLINK("https://nconnect.nicmar.ac.in/storage/profile/6a87103ee4808.png","Download")</f>
        <v>0</v>
      </c>
      <c r="BV1312" s="3"/>
      <c r="BW1312" s="3"/>
    </row>
    <row r="1313" spans="1:75">
      <c r="A1313" s="1" t="s">
        <v>75</v>
      </c>
      <c r="B1313" s="1" t="s">
        <v>13976</v>
      </c>
      <c r="C1313" s="1" t="s">
        <v>23675</v>
      </c>
      <c r="D1313" s="1" t="s">
        <v>23676</v>
      </c>
      <c r="E1313" s="1"/>
      <c r="F1313" s="1" t="s">
        <v>23677</v>
      </c>
      <c r="G1313" s="1" t="s">
        <v>23678</v>
      </c>
      <c r="H1313" s="1" t="s">
        <v>23679</v>
      </c>
      <c r="I1313" s="1" t="s">
        <v>23679</v>
      </c>
      <c r="J1313" s="1">
        <v>8249516009</v>
      </c>
      <c r="K1313" s="1" t="s">
        <v>84</v>
      </c>
      <c r="L1313" s="1" t="s">
        <v>23680</v>
      </c>
      <c r="M1313" s="1" t="s">
        <v>86</v>
      </c>
      <c r="N1313" s="1" t="s">
        <v>1573</v>
      </c>
      <c r="O1313" s="1" t="s">
        <v>23681</v>
      </c>
      <c r="P1313" s="1" t="s">
        <v>356</v>
      </c>
      <c r="Q1313" s="1">
        <v>535294406313</v>
      </c>
      <c r="R1313" s="1" t="s">
        <v>23682</v>
      </c>
      <c r="S1313" s="1">
        <v>9937895101</v>
      </c>
      <c r="T1313" s="1" t="s">
        <v>14256</v>
      </c>
      <c r="U1313" s="1" t="s">
        <v>23683</v>
      </c>
      <c r="V1313" s="1">
        <v>9437106892</v>
      </c>
      <c r="W1313" s="1" t="s">
        <v>14154</v>
      </c>
      <c r="X1313" s="1" t="s">
        <v>23684</v>
      </c>
      <c r="Y1313" s="1" t="s">
        <v>864</v>
      </c>
      <c r="Z1313" s="1" t="s">
        <v>865</v>
      </c>
      <c r="AA1313" s="1" t="s">
        <v>23684</v>
      </c>
      <c r="AB1313" s="1" t="s">
        <v>864</v>
      </c>
      <c r="AC1313" s="1" t="s">
        <v>865</v>
      </c>
      <c r="AD1313" s="1" t="s">
        <v>98</v>
      </c>
      <c r="AE1313" s="1" t="s">
        <v>98</v>
      </c>
      <c r="AF1313" s="1" t="s">
        <v>23685</v>
      </c>
      <c r="AG1313" s="1" t="s">
        <v>23686</v>
      </c>
      <c r="AH1313" s="1" t="s">
        <v>414</v>
      </c>
      <c r="AI1313" s="1" t="s">
        <v>603</v>
      </c>
      <c r="AJ1313" s="1">
        <v>89.2</v>
      </c>
      <c r="AK1313" s="1">
        <v>8.9</v>
      </c>
      <c r="AL1313" s="1" t="s">
        <v>23687</v>
      </c>
      <c r="AM1313" s="1" t="s">
        <v>23686</v>
      </c>
      <c r="AN1313" s="1" t="s">
        <v>465</v>
      </c>
      <c r="AO1313" s="1" t="s">
        <v>1192</v>
      </c>
      <c r="AP1313" s="1" t="s">
        <v>521</v>
      </c>
      <c r="AQ1313" s="1">
        <v>70.4</v>
      </c>
      <c r="AR1313" s="1">
        <v>7.04</v>
      </c>
      <c r="AS1313" s="1"/>
      <c r="AT1313" s="1"/>
      <c r="AU1313" s="1"/>
      <c r="AV1313" s="1"/>
      <c r="AW1313" s="1"/>
      <c r="AX1313" s="1"/>
      <c r="AY1313" s="1" t="s">
        <v>17989</v>
      </c>
      <c r="AZ1313" s="1" t="s">
        <v>23688</v>
      </c>
      <c r="BA1313" s="1" t="s">
        <v>466</v>
      </c>
      <c r="BB1313" s="1" t="s">
        <v>467</v>
      </c>
      <c r="BC1313" s="1" t="s">
        <v>1802</v>
      </c>
      <c r="BD1313" s="1" t="s">
        <v>14514</v>
      </c>
      <c r="BE1313" s="1">
        <v>66.1</v>
      </c>
      <c r="BF1313" s="1">
        <v>6.61</v>
      </c>
      <c r="BG1313" s="1"/>
      <c r="BH1313" s="1"/>
      <c r="BI1313" s="1"/>
      <c r="BJ1313" s="1"/>
      <c r="BK1313" s="1"/>
      <c r="BL1313" s="1"/>
      <c r="BM1313" s="1"/>
      <c r="BN1313" s="1"/>
      <c r="BO1313" s="1" t="s">
        <v>23689</v>
      </c>
      <c r="BP1313" s="1"/>
      <c r="BQ1313" s="1"/>
      <c r="BR1313" s="1" t="s">
        <v>23690</v>
      </c>
      <c r="BS1313" s="1">
        <v>8</v>
      </c>
      <c r="BT1313" s="1" t="s">
        <v>23691</v>
      </c>
      <c r="BU1313" s="1" t="str">
        <f>HYPERLINK("https://nconnect.nicmar.ac.in/storage/profile/6a8703a528f5b.png","Download")</f>
        <v>0</v>
      </c>
      <c r="BV1313" s="3"/>
      <c r="BW1313" s="3"/>
    </row>
    <row r="1314" spans="1:75">
      <c r="A1314" s="1" t="s">
        <v>75</v>
      </c>
      <c r="B1314" s="1" t="s">
        <v>13976</v>
      </c>
      <c r="C1314" s="1" t="s">
        <v>23692</v>
      </c>
      <c r="D1314" s="1" t="s">
        <v>23693</v>
      </c>
      <c r="E1314" s="1"/>
      <c r="F1314" s="1" t="s">
        <v>23694</v>
      </c>
      <c r="G1314" s="1" t="s">
        <v>23695</v>
      </c>
      <c r="H1314" s="1" t="s">
        <v>23696</v>
      </c>
      <c r="I1314" s="1" t="s">
        <v>23696</v>
      </c>
      <c r="J1314" s="1">
        <v>9749686247</v>
      </c>
      <c r="K1314" s="1" t="s">
        <v>84</v>
      </c>
      <c r="L1314" s="1" t="s">
        <v>23651</v>
      </c>
      <c r="M1314" s="1" t="s">
        <v>86</v>
      </c>
      <c r="N1314" s="1" t="s">
        <v>13274</v>
      </c>
      <c r="O1314" s="1" t="s">
        <v>23697</v>
      </c>
      <c r="P1314" s="1" t="s">
        <v>89</v>
      </c>
      <c r="Q1314" s="1">
        <v>297052585331</v>
      </c>
      <c r="R1314" s="1" t="s">
        <v>23698</v>
      </c>
      <c r="S1314" s="1">
        <v>7602158773</v>
      </c>
      <c r="T1314" s="1" t="s">
        <v>23699</v>
      </c>
      <c r="U1314" s="1" t="s">
        <v>23700</v>
      </c>
      <c r="V1314" s="1">
        <v>7047762551</v>
      </c>
      <c r="W1314" s="1" t="s">
        <v>23701</v>
      </c>
      <c r="X1314" s="1" t="s">
        <v>23702</v>
      </c>
      <c r="Y1314" s="1" t="s">
        <v>17357</v>
      </c>
      <c r="Z1314" s="1" t="s">
        <v>1234</v>
      </c>
      <c r="AA1314" s="1" t="s">
        <v>23702</v>
      </c>
      <c r="AB1314" s="1" t="s">
        <v>17357</v>
      </c>
      <c r="AC1314" s="1" t="s">
        <v>1234</v>
      </c>
      <c r="AD1314" s="1" t="s">
        <v>98</v>
      </c>
      <c r="AE1314" s="1" t="s">
        <v>98</v>
      </c>
      <c r="AF1314" s="1" t="s">
        <v>23703</v>
      </c>
      <c r="AG1314" s="1" t="s">
        <v>23704</v>
      </c>
      <c r="AH1314" s="1" t="s">
        <v>627</v>
      </c>
      <c r="AI1314" s="1" t="s">
        <v>573</v>
      </c>
      <c r="AJ1314" s="1">
        <v>84.85</v>
      </c>
      <c r="AK1314" s="1"/>
      <c r="AL1314" s="1" t="s">
        <v>23703</v>
      </c>
      <c r="AM1314" s="1" t="s">
        <v>3287</v>
      </c>
      <c r="AN1314" s="1" t="s">
        <v>465</v>
      </c>
      <c r="AO1314" s="1" t="s">
        <v>388</v>
      </c>
      <c r="AP1314" s="1" t="s">
        <v>315</v>
      </c>
      <c r="AQ1314" s="1">
        <v>82.6</v>
      </c>
      <c r="AR1314" s="1"/>
      <c r="AS1314" s="1"/>
      <c r="AT1314" s="1"/>
      <c r="AU1314" s="1"/>
      <c r="AV1314" s="1"/>
      <c r="AW1314" s="1"/>
      <c r="AX1314" s="1"/>
      <c r="AY1314" s="1" t="s">
        <v>23705</v>
      </c>
      <c r="AZ1314" s="1" t="s">
        <v>23706</v>
      </c>
      <c r="BA1314" s="1" t="s">
        <v>466</v>
      </c>
      <c r="BB1314" s="1" t="s">
        <v>467</v>
      </c>
      <c r="BC1314" s="1" t="s">
        <v>315</v>
      </c>
      <c r="BD1314" s="1" t="s">
        <v>179</v>
      </c>
      <c r="BE1314" s="1">
        <v>80.2</v>
      </c>
      <c r="BF1314" s="1">
        <v>8.77</v>
      </c>
      <c r="BG1314" s="1"/>
      <c r="BH1314" s="1"/>
      <c r="BI1314" s="1"/>
      <c r="BJ1314" s="1"/>
      <c r="BK1314" s="1"/>
      <c r="BL1314" s="1"/>
      <c r="BM1314" s="1"/>
      <c r="BN1314" s="1"/>
      <c r="BO1314" s="1" t="s">
        <v>23707</v>
      </c>
      <c r="BP1314" s="1" t="s">
        <v>23708</v>
      </c>
      <c r="BQ1314" s="1" t="s">
        <v>1564</v>
      </c>
      <c r="BR1314" s="1" t="s">
        <v>23709</v>
      </c>
      <c r="BS1314" s="1">
        <v>4</v>
      </c>
      <c r="BT1314" s="1" t="s">
        <v>23710</v>
      </c>
      <c r="BU1314" s="1" t="str">
        <f>HYPERLINK("https://nconnect.nicmar.ac.in/storage/profile/6a871027ae8e3.png","Download")</f>
        <v>0</v>
      </c>
      <c r="BV1314" s="3"/>
      <c r="BW1314" s="3"/>
    </row>
    <row r="1315" spans="1:75">
      <c r="A1315" s="1" t="s">
        <v>75</v>
      </c>
      <c r="B1315" s="1" t="s">
        <v>13976</v>
      </c>
      <c r="C1315" s="1" t="s">
        <v>23711</v>
      </c>
      <c r="D1315" s="1" t="s">
        <v>16441</v>
      </c>
      <c r="E1315" s="1" t="s">
        <v>14757</v>
      </c>
      <c r="F1315" s="1" t="s">
        <v>14460</v>
      </c>
      <c r="G1315" s="1" t="s">
        <v>23712</v>
      </c>
      <c r="H1315" s="1" t="s">
        <v>23713</v>
      </c>
      <c r="I1315" s="1" t="s">
        <v>23713</v>
      </c>
      <c r="J1315" s="1">
        <v>8767400482</v>
      </c>
      <c r="K1315" s="1" t="s">
        <v>153</v>
      </c>
      <c r="L1315" s="1" t="s">
        <v>21605</v>
      </c>
      <c r="M1315" s="1" t="s">
        <v>86</v>
      </c>
      <c r="N1315" s="1" t="s">
        <v>15008</v>
      </c>
      <c r="O1315" s="1" t="s">
        <v>23714</v>
      </c>
      <c r="P1315" s="1" t="s">
        <v>122</v>
      </c>
      <c r="Q1315" s="1">
        <v>534770316316</v>
      </c>
      <c r="R1315" s="1" t="s">
        <v>23715</v>
      </c>
      <c r="S1315" s="1">
        <v>9823111928</v>
      </c>
      <c r="T1315" s="1" t="s">
        <v>17767</v>
      </c>
      <c r="U1315" s="1" t="s">
        <v>23716</v>
      </c>
      <c r="V1315" s="1">
        <v>9423559748</v>
      </c>
      <c r="W1315" s="1" t="s">
        <v>14032</v>
      </c>
      <c r="X1315" s="1" t="s">
        <v>23717</v>
      </c>
      <c r="Y1315" s="1" t="s">
        <v>333</v>
      </c>
      <c r="Z1315" s="1" t="s">
        <v>97</v>
      </c>
      <c r="AA1315" s="1" t="s">
        <v>23717</v>
      </c>
      <c r="AB1315" s="1" t="s">
        <v>333</v>
      </c>
      <c r="AC1315" s="1" t="s">
        <v>97</v>
      </c>
      <c r="AD1315" s="1" t="s">
        <v>98</v>
      </c>
      <c r="AE1315" s="1" t="s">
        <v>98</v>
      </c>
      <c r="AF1315" s="1" t="s">
        <v>23718</v>
      </c>
      <c r="AG1315" s="1" t="s">
        <v>23719</v>
      </c>
      <c r="AH1315" s="1" t="s">
        <v>106</v>
      </c>
      <c r="AI1315" s="1" t="s">
        <v>547</v>
      </c>
      <c r="AJ1315" s="1">
        <v>86.8</v>
      </c>
      <c r="AK1315" s="1"/>
      <c r="AL1315" s="1" t="s">
        <v>23720</v>
      </c>
      <c r="AM1315" s="1" t="s">
        <v>23721</v>
      </c>
      <c r="AN1315" s="1" t="s">
        <v>465</v>
      </c>
      <c r="AO1315" s="1" t="s">
        <v>438</v>
      </c>
      <c r="AP1315" s="1" t="s">
        <v>2304</v>
      </c>
      <c r="AQ1315" s="1">
        <v>92.67</v>
      </c>
      <c r="AR1315" s="1"/>
      <c r="AS1315" s="1"/>
      <c r="AT1315" s="1"/>
      <c r="AU1315" s="1"/>
      <c r="AV1315" s="1"/>
      <c r="AW1315" s="1"/>
      <c r="AX1315" s="1"/>
      <c r="AY1315" s="1" t="s">
        <v>14059</v>
      </c>
      <c r="AZ1315" s="1" t="s">
        <v>23722</v>
      </c>
      <c r="BA1315" s="1" t="s">
        <v>682</v>
      </c>
      <c r="BB1315" s="1" t="s">
        <v>1561</v>
      </c>
      <c r="BC1315" s="1" t="s">
        <v>441</v>
      </c>
      <c r="BD1315" s="1" t="s">
        <v>14101</v>
      </c>
      <c r="BE1315" s="1">
        <v>75.43</v>
      </c>
      <c r="BF1315" s="1">
        <v>7.94</v>
      </c>
      <c r="BG1315" s="1"/>
      <c r="BH1315" s="1"/>
      <c r="BI1315" s="1"/>
      <c r="BJ1315" s="1"/>
      <c r="BK1315" s="1"/>
      <c r="BL1315" s="1"/>
      <c r="BM1315" s="1"/>
      <c r="BN1315" s="1"/>
      <c r="BO1315" s="1" t="s">
        <v>23723</v>
      </c>
      <c r="BP1315" s="1" t="s">
        <v>23724</v>
      </c>
      <c r="BQ1315" s="1" t="s">
        <v>658</v>
      </c>
      <c r="BR1315" s="1" t="s">
        <v>23725</v>
      </c>
      <c r="BS1315" s="1">
        <v>22</v>
      </c>
      <c r="BT1315" s="1"/>
      <c r="BU1315" s="1" t="str">
        <f>HYPERLINK("https://nconnect.nicmar.ac.in/storage/profile/6a86f5a30beac.png","Download")</f>
        <v>0</v>
      </c>
      <c r="BV1315" s="3"/>
      <c r="BW1315" s="3"/>
    </row>
    <row r="1316" spans="1:75">
      <c r="A1316" s="1" t="s">
        <v>75</v>
      </c>
      <c r="B1316" s="1" t="s">
        <v>13976</v>
      </c>
      <c r="C1316" s="1" t="s">
        <v>23726</v>
      </c>
      <c r="D1316" s="1" t="s">
        <v>17512</v>
      </c>
      <c r="E1316" s="1" t="s">
        <v>23727</v>
      </c>
      <c r="F1316" s="1" t="s">
        <v>23728</v>
      </c>
      <c r="G1316" s="1" t="s">
        <v>23729</v>
      </c>
      <c r="H1316" s="1" t="s">
        <v>23730</v>
      </c>
      <c r="I1316" s="1" t="s">
        <v>23731</v>
      </c>
      <c r="J1316" s="1">
        <v>7666825156</v>
      </c>
      <c r="K1316" s="1" t="s">
        <v>84</v>
      </c>
      <c r="L1316" s="1" t="s">
        <v>23732</v>
      </c>
      <c r="M1316" s="1" t="s">
        <v>86</v>
      </c>
      <c r="N1316" s="1" t="s">
        <v>768</v>
      </c>
      <c r="O1316" s="1" t="s">
        <v>23733</v>
      </c>
      <c r="P1316" s="1" t="s">
        <v>122</v>
      </c>
      <c r="Q1316" s="1">
        <v>503347028700</v>
      </c>
      <c r="R1316" s="1" t="s">
        <v>23734</v>
      </c>
      <c r="S1316" s="1">
        <v>9146725138</v>
      </c>
      <c r="T1316" s="1" t="s">
        <v>14275</v>
      </c>
      <c r="U1316" s="1" t="s">
        <v>23735</v>
      </c>
      <c r="V1316" s="1">
        <v>8308578559</v>
      </c>
      <c r="W1316" s="1" t="s">
        <v>14234</v>
      </c>
      <c r="X1316" s="1" t="s">
        <v>23736</v>
      </c>
      <c r="Y1316" s="1" t="s">
        <v>2668</v>
      </c>
      <c r="Z1316" s="1" t="s">
        <v>97</v>
      </c>
      <c r="AA1316" s="1" t="s">
        <v>23736</v>
      </c>
      <c r="AB1316" s="1" t="s">
        <v>2668</v>
      </c>
      <c r="AC1316" s="1" t="s">
        <v>97</v>
      </c>
      <c r="AD1316" s="1" t="s">
        <v>98</v>
      </c>
      <c r="AE1316" s="1" t="s">
        <v>98</v>
      </c>
      <c r="AF1316" s="1"/>
      <c r="AG1316" s="1"/>
      <c r="AH1316" s="1"/>
      <c r="AI1316" s="1"/>
      <c r="AJ1316" s="1"/>
      <c r="AK1316" s="1"/>
      <c r="AL1316" s="1"/>
      <c r="AM1316" s="1"/>
      <c r="AN1316" s="1"/>
      <c r="AO1316" s="1"/>
      <c r="AP1316" s="1"/>
      <c r="AQ1316" s="1"/>
      <c r="AR1316" s="1"/>
      <c r="AS1316" s="1"/>
      <c r="AT1316" s="1"/>
      <c r="AU1316" s="1"/>
      <c r="AV1316" s="1"/>
      <c r="AW1316" s="1"/>
      <c r="AX1316" s="1"/>
      <c r="AY1316" s="1"/>
      <c r="AZ1316" s="1"/>
      <c r="BA1316" s="1"/>
      <c r="BB1316" s="1"/>
      <c r="BC1316" s="1"/>
      <c r="BD1316" s="1"/>
      <c r="BE1316" s="1"/>
      <c r="BF1316" s="1"/>
      <c r="BG1316" s="1"/>
      <c r="BH1316" s="1"/>
      <c r="BI1316" s="1"/>
      <c r="BJ1316" s="1"/>
      <c r="BK1316" s="1"/>
      <c r="BL1316" s="1"/>
      <c r="BM1316" s="1"/>
      <c r="BN1316" s="1"/>
      <c r="BO1316" s="1"/>
      <c r="BP1316" s="1" t="s">
        <v>23737</v>
      </c>
      <c r="BQ1316" s="1" t="s">
        <v>2577</v>
      </c>
      <c r="BR1316" s="1" t="s">
        <v>23738</v>
      </c>
      <c r="BS1316" s="1">
        <v>4</v>
      </c>
      <c r="BT1316" s="1" t="s">
        <v>23739</v>
      </c>
      <c r="BU1316" s="1" t="str">
        <f>HYPERLINK("https://nconnect.nicmar.ac.in/storage/profile/6a8740646187b.png","Download")</f>
        <v>0</v>
      </c>
      <c r="BV1316" s="3"/>
      <c r="BW1316" s="3"/>
    </row>
    <row r="1317" spans="1:75">
      <c r="A1317" s="1" t="s">
        <v>75</v>
      </c>
      <c r="B1317" s="1" t="s">
        <v>13976</v>
      </c>
      <c r="C1317" s="1" t="s">
        <v>23740</v>
      </c>
      <c r="D1317" s="1" t="s">
        <v>23741</v>
      </c>
      <c r="E1317" s="1"/>
      <c r="F1317" s="1" t="s">
        <v>23742</v>
      </c>
      <c r="G1317" s="1" t="s">
        <v>23743</v>
      </c>
      <c r="H1317" s="1" t="s">
        <v>23744</v>
      </c>
      <c r="I1317" s="1" t="s">
        <v>23744</v>
      </c>
      <c r="J1317" s="1">
        <v>9346529189</v>
      </c>
      <c r="K1317" s="1" t="s">
        <v>153</v>
      </c>
      <c r="L1317" s="1" t="s">
        <v>4712</v>
      </c>
      <c r="M1317" s="1" t="s">
        <v>86</v>
      </c>
      <c r="N1317" s="1" t="s">
        <v>23745</v>
      </c>
      <c r="O1317" s="1" t="s">
        <v>23746</v>
      </c>
      <c r="P1317" s="1" t="s">
        <v>122</v>
      </c>
      <c r="Q1317" s="1">
        <v>585523800940</v>
      </c>
      <c r="R1317" s="1" t="s">
        <v>23747</v>
      </c>
      <c r="S1317" s="1">
        <v>9618177211</v>
      </c>
      <c r="T1317" s="1" t="s">
        <v>16092</v>
      </c>
      <c r="U1317" s="1" t="s">
        <v>23748</v>
      </c>
      <c r="V1317" s="1">
        <v>9505576967</v>
      </c>
      <c r="W1317" s="1" t="s">
        <v>15588</v>
      </c>
      <c r="X1317" s="1" t="s">
        <v>23749</v>
      </c>
      <c r="Y1317" s="1" t="s">
        <v>3090</v>
      </c>
      <c r="Z1317" s="1" t="s">
        <v>281</v>
      </c>
      <c r="AA1317" s="1" t="s">
        <v>23750</v>
      </c>
      <c r="AB1317" s="1" t="s">
        <v>3090</v>
      </c>
      <c r="AC1317" s="1" t="s">
        <v>281</v>
      </c>
      <c r="AD1317" s="1" t="s">
        <v>98</v>
      </c>
      <c r="AE1317" s="1" t="s">
        <v>98</v>
      </c>
      <c r="AF1317" s="1" t="s">
        <v>23751</v>
      </c>
      <c r="AG1317" s="1" t="s">
        <v>23752</v>
      </c>
      <c r="AH1317" s="1" t="s">
        <v>106</v>
      </c>
      <c r="AI1317" s="1" t="s">
        <v>414</v>
      </c>
      <c r="AJ1317" s="1">
        <v>95</v>
      </c>
      <c r="AK1317" s="1">
        <v>10</v>
      </c>
      <c r="AL1317" s="1" t="s">
        <v>23753</v>
      </c>
      <c r="AM1317" s="1" t="s">
        <v>23754</v>
      </c>
      <c r="AN1317" s="1" t="s">
        <v>465</v>
      </c>
      <c r="AO1317" s="1" t="s">
        <v>438</v>
      </c>
      <c r="AP1317" s="1" t="s">
        <v>549</v>
      </c>
      <c r="AQ1317" s="1">
        <v>95.4</v>
      </c>
      <c r="AR1317" s="1"/>
      <c r="AS1317" s="1"/>
      <c r="AT1317" s="1"/>
      <c r="AU1317" s="1"/>
      <c r="AV1317" s="1"/>
      <c r="AW1317" s="1"/>
      <c r="AX1317" s="1"/>
      <c r="AY1317" s="1" t="s">
        <v>23755</v>
      </c>
      <c r="AZ1317" s="1" t="s">
        <v>23756</v>
      </c>
      <c r="BA1317" s="1" t="s">
        <v>466</v>
      </c>
      <c r="BB1317" s="1" t="s">
        <v>467</v>
      </c>
      <c r="BC1317" s="1" t="s">
        <v>845</v>
      </c>
      <c r="BD1317" s="1" t="s">
        <v>5340</v>
      </c>
      <c r="BE1317" s="1">
        <v>79.9</v>
      </c>
      <c r="BF1317" s="1">
        <v>7.99</v>
      </c>
      <c r="BG1317" s="1"/>
      <c r="BH1317" s="1"/>
      <c r="BI1317" s="1"/>
      <c r="BJ1317" s="1"/>
      <c r="BK1317" s="1"/>
      <c r="BL1317" s="1"/>
      <c r="BM1317" s="1"/>
      <c r="BN1317" s="1"/>
      <c r="BO1317" s="1" t="s">
        <v>23757</v>
      </c>
      <c r="BP1317" s="1"/>
      <c r="BQ1317" s="1"/>
      <c r="BR1317" s="1"/>
      <c r="BS1317" s="1"/>
      <c r="BT1317" s="1"/>
      <c r="BU1317" s="1" t="str">
        <f>HYPERLINK("https://nconnect.nicmar.ac.in/storage/profile/6a873cf86c9de.png","Download")</f>
        <v>0</v>
      </c>
      <c r="BV1317" s="3"/>
      <c r="BW1317" s="3"/>
    </row>
    <row r="1318" spans="1:75">
      <c r="A1318" s="1" t="s">
        <v>75</v>
      </c>
      <c r="B1318" s="1" t="s">
        <v>13976</v>
      </c>
      <c r="C1318" s="1" t="s">
        <v>23758</v>
      </c>
      <c r="D1318" s="1" t="s">
        <v>18718</v>
      </c>
      <c r="E1318" s="1" t="s">
        <v>23759</v>
      </c>
      <c r="F1318" s="1" t="s">
        <v>3633</v>
      </c>
      <c r="G1318" s="1" t="s">
        <v>23760</v>
      </c>
      <c r="H1318" s="1" t="s">
        <v>23761</v>
      </c>
      <c r="I1318" s="1" t="s">
        <v>23761</v>
      </c>
      <c r="J1318" s="1">
        <v>8237856470</v>
      </c>
      <c r="K1318" s="1" t="s">
        <v>153</v>
      </c>
      <c r="L1318" s="1" t="s">
        <v>23762</v>
      </c>
      <c r="M1318" s="1" t="s">
        <v>86</v>
      </c>
      <c r="N1318" s="1" t="s">
        <v>17857</v>
      </c>
      <c r="O1318" s="1" t="s">
        <v>23763</v>
      </c>
      <c r="P1318" s="1" t="s">
        <v>89</v>
      </c>
      <c r="Q1318" s="1">
        <v>484206325611</v>
      </c>
      <c r="R1318" s="1" t="s">
        <v>23764</v>
      </c>
      <c r="S1318" s="1">
        <v>9021736448</v>
      </c>
      <c r="T1318" s="1" t="s">
        <v>14953</v>
      </c>
      <c r="U1318" s="1" t="s">
        <v>23765</v>
      </c>
      <c r="V1318" s="1">
        <v>9370140225</v>
      </c>
      <c r="W1318" s="1" t="s">
        <v>23766</v>
      </c>
      <c r="X1318" s="1" t="s">
        <v>23767</v>
      </c>
      <c r="Y1318" s="1" t="s">
        <v>96</v>
      </c>
      <c r="Z1318" s="1" t="s">
        <v>97</v>
      </c>
      <c r="AA1318" s="1" t="s">
        <v>23768</v>
      </c>
      <c r="AB1318" s="1" t="s">
        <v>196</v>
      </c>
      <c r="AC1318" s="1" t="s">
        <v>97</v>
      </c>
      <c r="AD1318" s="1" t="s">
        <v>98</v>
      </c>
      <c r="AE1318" s="1" t="s">
        <v>98</v>
      </c>
      <c r="AF1318" s="1"/>
      <c r="AG1318" s="1"/>
      <c r="AH1318" s="1"/>
      <c r="AI1318" s="1"/>
      <c r="AJ1318" s="1"/>
      <c r="AK1318" s="1"/>
      <c r="AL1318" s="1"/>
      <c r="AM1318" s="1"/>
      <c r="AN1318" s="1"/>
      <c r="AO1318" s="1"/>
      <c r="AP1318" s="1"/>
      <c r="AQ1318" s="1"/>
      <c r="AR1318" s="1"/>
      <c r="AS1318" s="1"/>
      <c r="AT1318" s="1"/>
      <c r="AU1318" s="1"/>
      <c r="AV1318" s="1"/>
      <c r="AW1318" s="1"/>
      <c r="AX1318" s="1"/>
      <c r="AY1318" s="1"/>
      <c r="AZ1318" s="1"/>
      <c r="BA1318" s="1"/>
      <c r="BB1318" s="1"/>
      <c r="BC1318" s="1"/>
      <c r="BD1318" s="1"/>
      <c r="BE1318" s="1"/>
      <c r="BF1318" s="1"/>
      <c r="BG1318" s="1"/>
      <c r="BH1318" s="1"/>
      <c r="BI1318" s="1"/>
      <c r="BJ1318" s="1"/>
      <c r="BK1318" s="1"/>
      <c r="BL1318" s="1"/>
      <c r="BM1318" s="1"/>
      <c r="BN1318" s="1"/>
      <c r="BO1318" s="1"/>
      <c r="BP1318" s="1"/>
      <c r="BQ1318" s="1"/>
      <c r="BR1318" s="1" t="s">
        <v>23769</v>
      </c>
      <c r="BS1318" s="1">
        <v>20</v>
      </c>
      <c r="BT1318" s="1" t="s">
        <v>23770</v>
      </c>
      <c r="BU1318" s="1" t="str">
        <f>HYPERLINK("https://nconnect.nicmar.ac.in/storage/profile/6a87364da867b.png","Download")</f>
        <v>0</v>
      </c>
      <c r="BV1318" s="3"/>
      <c r="BW1318" s="3"/>
    </row>
    <row r="1319" spans="1:75">
      <c r="A1319" s="1" t="s">
        <v>75</v>
      </c>
      <c r="B1319" s="1" t="s">
        <v>13976</v>
      </c>
      <c r="C1319" s="1" t="s">
        <v>23771</v>
      </c>
      <c r="D1319" s="1" t="s">
        <v>23772</v>
      </c>
      <c r="E1319" s="1"/>
      <c r="F1319" s="1" t="s">
        <v>14908</v>
      </c>
      <c r="G1319" s="1" t="s">
        <v>23773</v>
      </c>
      <c r="H1319" s="1" t="s">
        <v>23774</v>
      </c>
      <c r="I1319" s="1" t="s">
        <v>23774</v>
      </c>
      <c r="J1319" s="1">
        <v>9618927134</v>
      </c>
      <c r="K1319" s="1" t="s">
        <v>84</v>
      </c>
      <c r="L1319" s="1" t="s">
        <v>23775</v>
      </c>
      <c r="M1319" s="1" t="s">
        <v>86</v>
      </c>
      <c r="N1319" s="1" t="s">
        <v>8486</v>
      </c>
      <c r="O1319" s="1" t="s">
        <v>23776</v>
      </c>
      <c r="P1319" s="1" t="s">
        <v>122</v>
      </c>
      <c r="Q1319" s="1">
        <v>779936628027</v>
      </c>
      <c r="R1319" s="1" t="s">
        <v>23777</v>
      </c>
      <c r="S1319" s="1">
        <v>9849150498</v>
      </c>
      <c r="T1319" s="1" t="s">
        <v>3439</v>
      </c>
      <c r="U1319" s="1" t="s">
        <v>23778</v>
      </c>
      <c r="V1319" s="1">
        <v>8328691899</v>
      </c>
      <c r="W1319" s="1" t="s">
        <v>10306</v>
      </c>
      <c r="X1319" s="1" t="s">
        <v>23779</v>
      </c>
      <c r="Y1319" s="1" t="s">
        <v>13200</v>
      </c>
      <c r="Z1319" s="1" t="s">
        <v>281</v>
      </c>
      <c r="AA1319" s="1" t="s">
        <v>23779</v>
      </c>
      <c r="AB1319" s="1" t="s">
        <v>13200</v>
      </c>
      <c r="AC1319" s="1" t="s">
        <v>281</v>
      </c>
      <c r="AD1319" s="1" t="s">
        <v>98</v>
      </c>
      <c r="AE1319" s="1" t="s">
        <v>98</v>
      </c>
      <c r="AF1319" s="1" t="s">
        <v>23780</v>
      </c>
      <c r="AG1319" s="1" t="s">
        <v>23781</v>
      </c>
      <c r="AH1319" s="1" t="s">
        <v>166</v>
      </c>
      <c r="AI1319" s="1" t="s">
        <v>627</v>
      </c>
      <c r="AJ1319" s="1">
        <v>80</v>
      </c>
      <c r="AK1319" s="1">
        <v>8.0</v>
      </c>
      <c r="AL1319" s="1" t="s">
        <v>14014</v>
      </c>
      <c r="AM1319" s="1" t="s">
        <v>23782</v>
      </c>
      <c r="AN1319" s="1" t="s">
        <v>465</v>
      </c>
      <c r="AO1319" s="1" t="s">
        <v>167</v>
      </c>
      <c r="AP1319" s="1" t="s">
        <v>106</v>
      </c>
      <c r="AQ1319" s="1">
        <v>74.6</v>
      </c>
      <c r="AR1319" s="1"/>
      <c r="AS1319" s="1"/>
      <c r="AT1319" s="1"/>
      <c r="AU1319" s="1"/>
      <c r="AV1319" s="1"/>
      <c r="AW1319" s="1"/>
      <c r="AX1319" s="1"/>
      <c r="AY1319" s="1" t="s">
        <v>23783</v>
      </c>
      <c r="AZ1319" s="1" t="s">
        <v>23784</v>
      </c>
      <c r="BA1319" s="1" t="s">
        <v>466</v>
      </c>
      <c r="BB1319" s="1" t="s">
        <v>467</v>
      </c>
      <c r="BC1319" s="1" t="s">
        <v>315</v>
      </c>
      <c r="BD1319" s="1" t="s">
        <v>234</v>
      </c>
      <c r="BE1319" s="1">
        <v>67.85</v>
      </c>
      <c r="BF1319" s="1"/>
      <c r="BG1319" s="1"/>
      <c r="BH1319" s="1"/>
      <c r="BI1319" s="1"/>
      <c r="BJ1319" s="1"/>
      <c r="BK1319" s="1"/>
      <c r="BL1319" s="1"/>
      <c r="BM1319" s="1"/>
      <c r="BN1319" s="1"/>
      <c r="BO1319" s="1" t="s">
        <v>23785</v>
      </c>
      <c r="BP1319" s="1"/>
      <c r="BQ1319" s="1"/>
      <c r="BR1319" s="1"/>
      <c r="BS1319" s="1"/>
      <c r="BT1319" s="1"/>
      <c r="BU1319" s="1" t="str">
        <f>HYPERLINK("https://nconnect.nicmar.ac.in/storage/profile/6a872ea45aaa2.png","Download")</f>
        <v>0</v>
      </c>
      <c r="BV1319" s="3"/>
      <c r="BW1319" s="3"/>
    </row>
    <row r="1320" spans="1:75">
      <c r="A1320" s="1" t="s">
        <v>75</v>
      </c>
      <c r="B1320" s="1" t="s">
        <v>13976</v>
      </c>
      <c r="C1320" s="1" t="s">
        <v>23786</v>
      </c>
      <c r="D1320" s="1" t="s">
        <v>23787</v>
      </c>
      <c r="E1320" s="1" t="s">
        <v>23788</v>
      </c>
      <c r="F1320" s="1" t="s">
        <v>23789</v>
      </c>
      <c r="G1320" s="1" t="s">
        <v>23790</v>
      </c>
      <c r="H1320" s="1" t="s">
        <v>23791</v>
      </c>
      <c r="I1320" s="1" t="s">
        <v>23791</v>
      </c>
      <c r="J1320" s="1">
        <v>7559271649</v>
      </c>
      <c r="K1320" s="1" t="s">
        <v>153</v>
      </c>
      <c r="L1320" s="1" t="s">
        <v>11422</v>
      </c>
      <c r="M1320" s="1" t="s">
        <v>86</v>
      </c>
      <c r="N1320" s="1" t="s">
        <v>18230</v>
      </c>
      <c r="O1320" s="1" t="s">
        <v>23792</v>
      </c>
      <c r="P1320" s="1" t="s">
        <v>122</v>
      </c>
      <c r="Q1320" s="1">
        <v>668640706095</v>
      </c>
      <c r="R1320" s="1" t="s">
        <v>23788</v>
      </c>
      <c r="S1320" s="1">
        <v>9423460822</v>
      </c>
      <c r="T1320" s="1" t="s">
        <v>14352</v>
      </c>
      <c r="U1320" s="1" t="s">
        <v>23793</v>
      </c>
      <c r="V1320" s="1">
        <v>9421787776</v>
      </c>
      <c r="W1320" s="1" t="s">
        <v>14821</v>
      </c>
      <c r="X1320" s="1" t="s">
        <v>23794</v>
      </c>
      <c r="Y1320" s="1" t="s">
        <v>224</v>
      </c>
      <c r="Z1320" s="1" t="s">
        <v>97</v>
      </c>
      <c r="AA1320" s="1" t="s">
        <v>23795</v>
      </c>
      <c r="AB1320" s="1" t="s">
        <v>196</v>
      </c>
      <c r="AC1320" s="1" t="s">
        <v>97</v>
      </c>
      <c r="AD1320" s="1" t="s">
        <v>98</v>
      </c>
      <c r="AE1320" s="1" t="s">
        <v>98</v>
      </c>
      <c r="AF1320" s="1" t="s">
        <v>23796</v>
      </c>
      <c r="AG1320" s="1" t="s">
        <v>23797</v>
      </c>
      <c r="AH1320" s="1" t="s">
        <v>133</v>
      </c>
      <c r="AI1320" s="1" t="s">
        <v>200</v>
      </c>
      <c r="AJ1320" s="1">
        <v>87</v>
      </c>
      <c r="AK1320" s="1"/>
      <c r="AL1320" s="1"/>
      <c r="AM1320" s="1"/>
      <c r="AN1320" s="1"/>
      <c r="AO1320" s="1"/>
      <c r="AP1320" s="1"/>
      <c r="AQ1320" s="1"/>
      <c r="AR1320" s="1"/>
      <c r="AS1320" s="1" t="s">
        <v>14713</v>
      </c>
      <c r="AT1320" s="1" t="s">
        <v>23798</v>
      </c>
      <c r="AU1320" s="1" t="s">
        <v>170</v>
      </c>
      <c r="AV1320" s="1" t="s">
        <v>175</v>
      </c>
      <c r="AW1320" s="1">
        <v>78.88</v>
      </c>
      <c r="AX1320" s="1"/>
      <c r="AY1320" s="1" t="s">
        <v>23799</v>
      </c>
      <c r="AZ1320" s="1" t="s">
        <v>23800</v>
      </c>
      <c r="BA1320" s="1" t="s">
        <v>578</v>
      </c>
      <c r="BB1320" s="1" t="s">
        <v>467</v>
      </c>
      <c r="BC1320" s="1" t="s">
        <v>178</v>
      </c>
      <c r="BD1320" s="1" t="s">
        <v>179</v>
      </c>
      <c r="BE1320" s="1">
        <v>69.26</v>
      </c>
      <c r="BF1320" s="1">
        <v>7.98</v>
      </c>
      <c r="BG1320" s="1"/>
      <c r="BH1320" s="1"/>
      <c r="BI1320" s="1"/>
      <c r="BJ1320" s="1"/>
      <c r="BK1320" s="1"/>
      <c r="BL1320" s="1"/>
      <c r="BM1320" s="1"/>
      <c r="BN1320" s="1"/>
      <c r="BO1320" s="1" t="s">
        <v>23801</v>
      </c>
      <c r="BP1320" s="1" t="s">
        <v>23802</v>
      </c>
      <c r="BQ1320" s="1" t="s">
        <v>292</v>
      </c>
      <c r="BR1320" s="1" t="s">
        <v>23803</v>
      </c>
      <c r="BS1320" s="1">
        <v>11</v>
      </c>
      <c r="BT1320" s="1" t="s">
        <v>23804</v>
      </c>
      <c r="BU1320" s="1" t="str">
        <f>HYPERLINK("https://nconnect.nicmar.ac.in/storage/profile/6a86fedd31bac.png","Download")</f>
        <v>0</v>
      </c>
      <c r="BV1320" s="3"/>
      <c r="BW1320" s="3"/>
    </row>
    <row r="1321" spans="1:75">
      <c r="A1321" s="1" t="s">
        <v>75</v>
      </c>
      <c r="B1321" s="1" t="s">
        <v>13976</v>
      </c>
      <c r="C1321" s="1" t="s">
        <v>23805</v>
      </c>
      <c r="D1321" s="1" t="s">
        <v>23806</v>
      </c>
      <c r="E1321" s="1" t="s">
        <v>23807</v>
      </c>
      <c r="F1321" s="1" t="s">
        <v>23808</v>
      </c>
      <c r="G1321" s="1" t="s">
        <v>23809</v>
      </c>
      <c r="H1321" s="1" t="s">
        <v>23810</v>
      </c>
      <c r="I1321" s="1" t="s">
        <v>23810</v>
      </c>
      <c r="J1321" s="1">
        <v>9673737803</v>
      </c>
      <c r="K1321" s="1" t="s">
        <v>84</v>
      </c>
      <c r="L1321" s="1" t="s">
        <v>23811</v>
      </c>
      <c r="M1321" s="1" t="s">
        <v>86</v>
      </c>
      <c r="N1321" s="1" t="s">
        <v>768</v>
      </c>
      <c r="O1321" s="1" t="s">
        <v>23812</v>
      </c>
      <c r="P1321" s="1" t="s">
        <v>219</v>
      </c>
      <c r="Q1321" s="1">
        <v>238776775983</v>
      </c>
      <c r="R1321" s="1" t="s">
        <v>23813</v>
      </c>
      <c r="S1321" s="1">
        <v>9970375399</v>
      </c>
      <c r="T1321" s="1" t="s">
        <v>13987</v>
      </c>
      <c r="U1321" s="1" t="s">
        <v>16588</v>
      </c>
      <c r="V1321" s="1">
        <v>9657375399</v>
      </c>
      <c r="W1321" s="1" t="s">
        <v>14154</v>
      </c>
      <c r="X1321" s="1" t="s">
        <v>23814</v>
      </c>
      <c r="Y1321" s="1" t="s">
        <v>1989</v>
      </c>
      <c r="Z1321" s="1" t="s">
        <v>97</v>
      </c>
      <c r="AA1321" s="1" t="s">
        <v>23814</v>
      </c>
      <c r="AB1321" s="1" t="s">
        <v>1989</v>
      </c>
      <c r="AC1321" s="1" t="s">
        <v>97</v>
      </c>
      <c r="AD1321" s="1" t="s">
        <v>98</v>
      </c>
      <c r="AE1321" s="1" t="s">
        <v>98</v>
      </c>
      <c r="AF1321" s="1" t="s">
        <v>23815</v>
      </c>
      <c r="AG1321" s="1" t="s">
        <v>1989</v>
      </c>
      <c r="AH1321" s="1" t="s">
        <v>170</v>
      </c>
      <c r="AI1321" s="1" t="s">
        <v>286</v>
      </c>
      <c r="AJ1321" s="1">
        <v>93.8</v>
      </c>
      <c r="AK1321" s="1">
        <v>9.87</v>
      </c>
      <c r="AL1321" s="1" t="s">
        <v>23816</v>
      </c>
      <c r="AM1321" s="1" t="s">
        <v>1989</v>
      </c>
      <c r="AN1321" s="1" t="s">
        <v>465</v>
      </c>
      <c r="AO1321" s="1" t="s">
        <v>438</v>
      </c>
      <c r="AP1321" s="1" t="s">
        <v>365</v>
      </c>
      <c r="AQ1321" s="1">
        <v>84.15</v>
      </c>
      <c r="AR1321" s="1">
        <v>8.85</v>
      </c>
      <c r="AS1321" s="1"/>
      <c r="AT1321" s="1"/>
      <c r="AU1321" s="1"/>
      <c r="AV1321" s="1"/>
      <c r="AW1321" s="1"/>
      <c r="AX1321" s="1"/>
      <c r="AY1321" s="1" t="s">
        <v>16995</v>
      </c>
      <c r="AZ1321" s="1" t="s">
        <v>23817</v>
      </c>
      <c r="BA1321" s="1" t="s">
        <v>466</v>
      </c>
      <c r="BB1321" s="1" t="s">
        <v>467</v>
      </c>
      <c r="BC1321" s="1" t="s">
        <v>1040</v>
      </c>
      <c r="BD1321" s="1" t="s">
        <v>418</v>
      </c>
      <c r="BE1321" s="1">
        <v>80.65</v>
      </c>
      <c r="BF1321" s="1">
        <v>8.49</v>
      </c>
      <c r="BG1321" s="1"/>
      <c r="BH1321" s="1"/>
      <c r="BI1321" s="1"/>
      <c r="BJ1321" s="1"/>
      <c r="BK1321" s="1"/>
      <c r="BL1321" s="1"/>
      <c r="BM1321" s="1"/>
      <c r="BN1321" s="1"/>
      <c r="BO1321" s="1" t="s">
        <v>23818</v>
      </c>
      <c r="BP1321" s="1" t="s">
        <v>23819</v>
      </c>
      <c r="BQ1321" s="1" t="s">
        <v>582</v>
      </c>
      <c r="BR1321" s="1"/>
      <c r="BS1321" s="1"/>
      <c r="BT1321" s="1"/>
      <c r="BU1321" s="1" t="str">
        <f>HYPERLINK("https://nconnect.nicmar.ac.in/storage/profile/6a8712a0b47d4.png","Download")</f>
        <v>0</v>
      </c>
      <c r="BV1321" s="3"/>
      <c r="BW1321" s="3"/>
    </row>
    <row r="1322" spans="1:75">
      <c r="A1322" s="1" t="s">
        <v>75</v>
      </c>
      <c r="B1322" s="1" t="s">
        <v>13976</v>
      </c>
      <c r="C1322" s="1" t="s">
        <v>23820</v>
      </c>
      <c r="D1322" s="1" t="s">
        <v>23821</v>
      </c>
      <c r="E1322" s="1" t="s">
        <v>18931</v>
      </c>
      <c r="F1322" s="1" t="s">
        <v>23822</v>
      </c>
      <c r="G1322" s="1" t="s">
        <v>23823</v>
      </c>
      <c r="H1322" s="1" t="s">
        <v>23824</v>
      </c>
      <c r="I1322" s="1" t="s">
        <v>23824</v>
      </c>
      <c r="J1322" s="1">
        <v>7620278802</v>
      </c>
      <c r="K1322" s="1" t="s">
        <v>84</v>
      </c>
      <c r="L1322" s="1" t="s">
        <v>23825</v>
      </c>
      <c r="M1322" s="1" t="s">
        <v>86</v>
      </c>
      <c r="N1322" s="1" t="s">
        <v>18156</v>
      </c>
      <c r="O1322" s="1" t="s">
        <v>88</v>
      </c>
      <c r="P1322" s="1" t="s">
        <v>89</v>
      </c>
      <c r="Q1322" s="1">
        <v>293317273290</v>
      </c>
      <c r="R1322" s="1" t="s">
        <v>23826</v>
      </c>
      <c r="S1322" s="1">
        <v>9421609184</v>
      </c>
      <c r="T1322" s="1" t="s">
        <v>23827</v>
      </c>
      <c r="U1322" s="1" t="s">
        <v>23828</v>
      </c>
      <c r="V1322" s="1">
        <v>8999037607</v>
      </c>
      <c r="W1322" s="1" t="s">
        <v>23829</v>
      </c>
      <c r="X1322" s="1" t="s">
        <v>910</v>
      </c>
      <c r="Y1322" s="1" t="s">
        <v>910</v>
      </c>
      <c r="Z1322" s="1" t="s">
        <v>97</v>
      </c>
      <c r="AA1322" s="1" t="s">
        <v>910</v>
      </c>
      <c r="AB1322" s="1" t="s">
        <v>910</v>
      </c>
      <c r="AC1322" s="1" t="s">
        <v>97</v>
      </c>
      <c r="AD1322" s="1" t="s">
        <v>98</v>
      </c>
      <c r="AE1322" s="1" t="s">
        <v>98</v>
      </c>
      <c r="AF1322" s="1" t="s">
        <v>23830</v>
      </c>
      <c r="AG1322" s="1" t="s">
        <v>910</v>
      </c>
      <c r="AH1322" s="1" t="s">
        <v>106</v>
      </c>
      <c r="AI1322" s="1" t="s">
        <v>414</v>
      </c>
      <c r="AJ1322" s="1">
        <v>68.4</v>
      </c>
      <c r="AK1322" s="1"/>
      <c r="AL1322" s="1" t="s">
        <v>23831</v>
      </c>
      <c r="AM1322" s="1" t="s">
        <v>910</v>
      </c>
      <c r="AN1322" s="1" t="s">
        <v>465</v>
      </c>
      <c r="AO1322" s="1" t="s">
        <v>468</v>
      </c>
      <c r="AP1322" s="1" t="s">
        <v>1171</v>
      </c>
      <c r="AQ1322" s="1">
        <v>78.17</v>
      </c>
      <c r="AR1322" s="1"/>
      <c r="AS1322" s="1" t="s">
        <v>23500</v>
      </c>
      <c r="AT1322" s="1" t="s">
        <v>23832</v>
      </c>
      <c r="AU1322" s="1" t="s">
        <v>552</v>
      </c>
      <c r="AV1322" s="1" t="s">
        <v>579</v>
      </c>
      <c r="AW1322" s="1">
        <v>83.68</v>
      </c>
      <c r="AX1322" s="1"/>
      <c r="AY1322" s="1" t="s">
        <v>20293</v>
      </c>
      <c r="AZ1322" s="1" t="s">
        <v>23833</v>
      </c>
      <c r="BA1322" s="1" t="s">
        <v>1062</v>
      </c>
      <c r="BB1322" s="1" t="s">
        <v>8285</v>
      </c>
      <c r="BC1322" s="1" t="s">
        <v>179</v>
      </c>
      <c r="BD1322" s="1" t="s">
        <v>14162</v>
      </c>
      <c r="BE1322" s="1">
        <v>77.8</v>
      </c>
      <c r="BF1322" s="1">
        <v>7.78</v>
      </c>
      <c r="BG1322" s="1"/>
      <c r="BH1322" s="1"/>
      <c r="BI1322" s="1"/>
      <c r="BJ1322" s="1"/>
      <c r="BK1322" s="1"/>
      <c r="BL1322" s="1"/>
      <c r="BM1322" s="1"/>
      <c r="BN1322" s="1"/>
      <c r="BO1322" s="1" t="s">
        <v>23834</v>
      </c>
      <c r="BP1322" s="1"/>
      <c r="BQ1322" s="1"/>
      <c r="BR1322" s="1"/>
      <c r="BS1322" s="1"/>
      <c r="BT1322" s="1"/>
      <c r="BU1322" s="1" t="str">
        <f>HYPERLINK("https://nconnect.nicmar.ac.in/storage/profile/6a86fc252b2b2.png","Download")</f>
        <v>0</v>
      </c>
      <c r="BV1322" s="3"/>
      <c r="BW1322" s="3"/>
    </row>
    <row r="1323" spans="1:75">
      <c r="A1323" s="1" t="s">
        <v>75</v>
      </c>
      <c r="B1323" s="1" t="s">
        <v>13976</v>
      </c>
      <c r="C1323" s="1" t="s">
        <v>23835</v>
      </c>
      <c r="D1323" s="1"/>
      <c r="E1323" s="1"/>
      <c r="F1323" s="1"/>
      <c r="G1323" s="1"/>
      <c r="H1323" s="1" t="s">
        <v>23836</v>
      </c>
      <c r="I1323" s="1" t="s">
        <v>23836</v>
      </c>
      <c r="J1323" s="1"/>
      <c r="K1323" s="1"/>
      <c r="L1323" s="1"/>
      <c r="M1323" s="1"/>
      <c r="N1323" s="1"/>
      <c r="O1323" s="1"/>
      <c r="P1323" s="1"/>
      <c r="Q1323" s="1"/>
      <c r="R1323" s="1"/>
      <c r="S1323" s="1"/>
      <c r="T1323" s="1"/>
      <c r="U1323" s="1"/>
      <c r="V1323" s="1"/>
      <c r="W1323" s="1"/>
      <c r="X1323" s="1"/>
      <c r="Y1323" s="1"/>
      <c r="Z1323" s="1"/>
      <c r="AA1323" s="1"/>
      <c r="AB1323" s="1"/>
      <c r="AC1323" s="1"/>
      <c r="AD1323" s="1" t="s">
        <v>98</v>
      </c>
      <c r="AE1323" s="1" t="s">
        <v>98</v>
      </c>
      <c r="AF1323" s="1"/>
      <c r="AG1323" s="1"/>
      <c r="AH1323" s="1"/>
      <c r="AI1323" s="1"/>
      <c r="AJ1323" s="1"/>
      <c r="AK1323" s="1"/>
      <c r="AL1323" s="1"/>
      <c r="AM1323" s="1"/>
      <c r="AN1323" s="1"/>
      <c r="AO1323" s="1"/>
      <c r="AP1323" s="1"/>
      <c r="AQ1323" s="1"/>
      <c r="AR1323" s="1"/>
      <c r="AS1323" s="1"/>
      <c r="AT1323" s="1"/>
      <c r="AU1323" s="1"/>
      <c r="AV1323" s="1"/>
      <c r="AW1323" s="1"/>
      <c r="AX1323" s="1"/>
      <c r="AY1323" s="1"/>
      <c r="AZ1323" s="1"/>
      <c r="BA1323" s="1"/>
      <c r="BB1323" s="1"/>
      <c r="BC1323" s="1"/>
      <c r="BD1323" s="1"/>
      <c r="BE1323" s="1"/>
      <c r="BF1323" s="1"/>
      <c r="BG1323" s="1"/>
      <c r="BH1323" s="1"/>
      <c r="BI1323" s="1"/>
      <c r="BJ1323" s="1"/>
      <c r="BK1323" s="1"/>
      <c r="BL1323" s="1"/>
      <c r="BM1323" s="1"/>
      <c r="BN1323" s="1"/>
      <c r="BO1323" s="1"/>
      <c r="BP1323" s="1"/>
      <c r="BQ1323" s="1"/>
      <c r="BR1323" s="1"/>
      <c r="BS1323" s="1"/>
      <c r="BT1323" s="1"/>
      <c r="BU1323" s="1" t="s">
        <v>9653</v>
      </c>
      <c r="BV1323" s="3"/>
      <c r="BW1323" s="3"/>
    </row>
    <row r="1324" spans="1:75">
      <c r="A1324" s="1" t="s">
        <v>75</v>
      </c>
      <c r="B1324" s="1" t="s">
        <v>13976</v>
      </c>
      <c r="C1324" s="1" t="s">
        <v>23837</v>
      </c>
      <c r="D1324" s="1" t="s">
        <v>23838</v>
      </c>
      <c r="E1324" s="1" t="s">
        <v>23839</v>
      </c>
      <c r="F1324" s="1" t="s">
        <v>23840</v>
      </c>
      <c r="G1324" s="1" t="s">
        <v>23841</v>
      </c>
      <c r="H1324" s="1" t="s">
        <v>23842</v>
      </c>
      <c r="I1324" s="1" t="s">
        <v>23842</v>
      </c>
      <c r="J1324" s="1">
        <v>7433026441</v>
      </c>
      <c r="K1324" s="1" t="s">
        <v>84</v>
      </c>
      <c r="L1324" s="1" t="s">
        <v>23843</v>
      </c>
      <c r="M1324" s="1" t="s">
        <v>86</v>
      </c>
      <c r="N1324" s="1" t="s">
        <v>23844</v>
      </c>
      <c r="O1324" s="1" t="s">
        <v>23845</v>
      </c>
      <c r="P1324" s="1" t="s">
        <v>219</v>
      </c>
      <c r="Q1324" s="1">
        <v>659440815386</v>
      </c>
      <c r="R1324" s="1" t="s">
        <v>23846</v>
      </c>
      <c r="S1324" s="1">
        <v>9173306441</v>
      </c>
      <c r="T1324" s="1" t="s">
        <v>98</v>
      </c>
      <c r="U1324" s="1" t="s">
        <v>23847</v>
      </c>
      <c r="V1324" s="1">
        <v>9712369486</v>
      </c>
      <c r="W1324" s="1" t="s">
        <v>14212</v>
      </c>
      <c r="X1324" s="1" t="s">
        <v>23848</v>
      </c>
      <c r="Y1324" s="1" t="s">
        <v>675</v>
      </c>
      <c r="Z1324" s="1" t="s">
        <v>676</v>
      </c>
      <c r="AA1324" s="1" t="s">
        <v>23848</v>
      </c>
      <c r="AB1324" s="1" t="s">
        <v>675</v>
      </c>
      <c r="AC1324" s="1" t="s">
        <v>676</v>
      </c>
      <c r="AD1324" s="1" t="s">
        <v>98</v>
      </c>
      <c r="AE1324" s="1" t="s">
        <v>98</v>
      </c>
      <c r="AF1324" s="1" t="s">
        <v>23849</v>
      </c>
      <c r="AG1324" s="1" t="s">
        <v>23850</v>
      </c>
      <c r="AH1324" s="1" t="s">
        <v>167</v>
      </c>
      <c r="AI1324" s="1" t="s">
        <v>170</v>
      </c>
      <c r="AJ1324" s="1">
        <v>85.5</v>
      </c>
      <c r="AK1324" s="1">
        <v>9</v>
      </c>
      <c r="AL1324" s="1" t="s">
        <v>23849</v>
      </c>
      <c r="AM1324" s="1" t="s">
        <v>23850</v>
      </c>
      <c r="AN1324" s="1" t="s">
        <v>465</v>
      </c>
      <c r="AO1324" s="1" t="s">
        <v>106</v>
      </c>
      <c r="AP1324" s="1" t="s">
        <v>313</v>
      </c>
      <c r="AQ1324" s="1">
        <v>82.4</v>
      </c>
      <c r="AR1324" s="1"/>
      <c r="AS1324" s="1"/>
      <c r="AT1324" s="1"/>
      <c r="AU1324" s="1"/>
      <c r="AV1324" s="1"/>
      <c r="AW1324" s="1"/>
      <c r="AX1324" s="1"/>
      <c r="AY1324" s="1" t="s">
        <v>23851</v>
      </c>
      <c r="AZ1324" s="1" t="s">
        <v>23851</v>
      </c>
      <c r="BA1324" s="1" t="s">
        <v>466</v>
      </c>
      <c r="BB1324" s="1" t="s">
        <v>467</v>
      </c>
      <c r="BC1324" s="1" t="s">
        <v>206</v>
      </c>
      <c r="BD1324" s="1" t="s">
        <v>955</v>
      </c>
      <c r="BE1324" s="1">
        <v>73.2</v>
      </c>
      <c r="BF1324" s="1">
        <v>7.32</v>
      </c>
      <c r="BG1324" s="1"/>
      <c r="BH1324" s="1"/>
      <c r="BI1324" s="1"/>
      <c r="BJ1324" s="1"/>
      <c r="BK1324" s="1"/>
      <c r="BL1324" s="1"/>
      <c r="BM1324" s="1"/>
      <c r="BN1324" s="1"/>
      <c r="BO1324" s="1" t="s">
        <v>23852</v>
      </c>
      <c r="BP1324" s="1" t="s">
        <v>23853</v>
      </c>
      <c r="BQ1324" s="1" t="s">
        <v>8862</v>
      </c>
      <c r="BR1324" s="1"/>
      <c r="BS1324" s="1"/>
      <c r="BT1324" s="1"/>
      <c r="BU1324" s="1" t="str">
        <f>HYPERLINK("https://nconnect.nicmar.ac.in/storage/profile/6a880f1c5b856.png","Download")</f>
        <v>0</v>
      </c>
      <c r="BV1324" s="3"/>
      <c r="BW1324" s="3"/>
    </row>
    <row r="1325" spans="1:75">
      <c r="A1325" s="1" t="s">
        <v>75</v>
      </c>
      <c r="B1325" s="1" t="s">
        <v>13976</v>
      </c>
      <c r="C1325" s="1" t="s">
        <v>23854</v>
      </c>
      <c r="D1325" s="1" t="s">
        <v>23855</v>
      </c>
      <c r="E1325" s="1"/>
      <c r="F1325" s="1" t="s">
        <v>116</v>
      </c>
      <c r="G1325" s="1" t="s">
        <v>23856</v>
      </c>
      <c r="H1325" s="1" t="s">
        <v>23857</v>
      </c>
      <c r="I1325" s="1" t="s">
        <v>23857</v>
      </c>
      <c r="J1325" s="1">
        <v>9363638246</v>
      </c>
      <c r="K1325" s="1" t="s">
        <v>84</v>
      </c>
      <c r="L1325" s="1" t="s">
        <v>23858</v>
      </c>
      <c r="M1325" s="1" t="s">
        <v>86</v>
      </c>
      <c r="N1325" s="1" t="s">
        <v>12562</v>
      </c>
      <c r="O1325" s="1" t="s">
        <v>23859</v>
      </c>
      <c r="P1325" s="1" t="s">
        <v>122</v>
      </c>
      <c r="Q1325" s="1">
        <v>673085598708</v>
      </c>
      <c r="R1325" s="1" t="s">
        <v>23860</v>
      </c>
      <c r="S1325" s="1">
        <v>9443608246</v>
      </c>
      <c r="T1325" s="1" t="s">
        <v>3439</v>
      </c>
      <c r="U1325" s="1" t="s">
        <v>23861</v>
      </c>
      <c r="V1325" s="1">
        <v>9363628246</v>
      </c>
      <c r="W1325" s="1" t="s">
        <v>14234</v>
      </c>
      <c r="X1325" s="1" t="s">
        <v>23862</v>
      </c>
      <c r="Y1325" s="1" t="s">
        <v>23863</v>
      </c>
      <c r="Z1325" s="1" t="s">
        <v>570</v>
      </c>
      <c r="AA1325" s="1" t="s">
        <v>23862</v>
      </c>
      <c r="AB1325" s="1" t="s">
        <v>23863</v>
      </c>
      <c r="AC1325" s="1" t="s">
        <v>570</v>
      </c>
      <c r="AD1325" s="1" t="s">
        <v>98</v>
      </c>
      <c r="AE1325" s="1" t="s">
        <v>98</v>
      </c>
      <c r="AF1325" s="1" t="s">
        <v>23864</v>
      </c>
      <c r="AG1325" s="1" t="s">
        <v>23865</v>
      </c>
      <c r="AH1325" s="1" t="s">
        <v>414</v>
      </c>
      <c r="AI1325" s="1" t="s">
        <v>603</v>
      </c>
      <c r="AJ1325" s="1">
        <v>90.6</v>
      </c>
      <c r="AK1325" s="1"/>
      <c r="AL1325" s="1" t="s">
        <v>23866</v>
      </c>
      <c r="AM1325" s="1" t="s">
        <v>23867</v>
      </c>
      <c r="AN1325" s="1" t="s">
        <v>6380</v>
      </c>
      <c r="AO1325" s="1" t="s">
        <v>1192</v>
      </c>
      <c r="AP1325" s="1" t="s">
        <v>632</v>
      </c>
      <c r="AQ1325" s="1">
        <v>87.5</v>
      </c>
      <c r="AR1325" s="1"/>
      <c r="AS1325" s="1"/>
      <c r="AT1325" s="1"/>
      <c r="AU1325" s="1"/>
      <c r="AV1325" s="1"/>
      <c r="AW1325" s="1"/>
      <c r="AX1325" s="1"/>
      <c r="AY1325" s="1" t="s">
        <v>14303</v>
      </c>
      <c r="AZ1325" s="1" t="s">
        <v>23868</v>
      </c>
      <c r="BA1325" s="1" t="s">
        <v>578</v>
      </c>
      <c r="BB1325" s="1" t="s">
        <v>467</v>
      </c>
      <c r="BC1325" s="1" t="s">
        <v>289</v>
      </c>
      <c r="BD1325" s="1" t="s">
        <v>14083</v>
      </c>
      <c r="BE1325" s="1">
        <v>80.6</v>
      </c>
      <c r="BF1325" s="1">
        <v>8.06</v>
      </c>
      <c r="BG1325" s="1"/>
      <c r="BH1325" s="1"/>
      <c r="BI1325" s="1"/>
      <c r="BJ1325" s="1"/>
      <c r="BK1325" s="1"/>
      <c r="BL1325" s="1"/>
      <c r="BM1325" s="1"/>
      <c r="BN1325" s="1"/>
      <c r="BO1325" s="1" t="s">
        <v>23869</v>
      </c>
      <c r="BP1325" s="1"/>
      <c r="BQ1325" s="1"/>
      <c r="BR1325" s="1"/>
      <c r="BS1325" s="1"/>
      <c r="BT1325" s="1"/>
      <c r="BU1325" s="1" t="str">
        <f>HYPERLINK("https://nconnect.nicmar.ac.in/storage/profile/6a832934176cf.png","Download")</f>
        <v>0</v>
      </c>
      <c r="BV1325" s="3"/>
      <c r="BW1325" s="3"/>
    </row>
    <row r="1326" spans="1:75">
      <c r="A1326" s="1" t="s">
        <v>75</v>
      </c>
      <c r="B1326" s="1" t="s">
        <v>13976</v>
      </c>
      <c r="C1326" s="1" t="s">
        <v>23870</v>
      </c>
      <c r="D1326" s="1" t="s">
        <v>23871</v>
      </c>
      <c r="E1326" s="1" t="s">
        <v>23872</v>
      </c>
      <c r="F1326" s="1" t="s">
        <v>23873</v>
      </c>
      <c r="G1326" s="1" t="s">
        <v>23874</v>
      </c>
      <c r="H1326" s="1" t="s">
        <v>23875</v>
      </c>
      <c r="I1326" s="1" t="s">
        <v>23875</v>
      </c>
      <c r="J1326" s="1">
        <v>9404214340</v>
      </c>
      <c r="K1326" s="1" t="s">
        <v>84</v>
      </c>
      <c r="L1326" s="1" t="s">
        <v>18452</v>
      </c>
      <c r="M1326" s="1" t="s">
        <v>86</v>
      </c>
      <c r="N1326" s="1" t="s">
        <v>23876</v>
      </c>
      <c r="O1326" s="1" t="s">
        <v>23877</v>
      </c>
      <c r="P1326" s="1" t="s">
        <v>122</v>
      </c>
      <c r="Q1326" s="1">
        <v>642588906616</v>
      </c>
      <c r="R1326" s="1" t="s">
        <v>23878</v>
      </c>
      <c r="S1326" s="1">
        <v>7972388850</v>
      </c>
      <c r="T1326" s="1" t="s">
        <v>3441</v>
      </c>
      <c r="U1326" s="1" t="s">
        <v>23879</v>
      </c>
      <c r="V1326" s="1">
        <v>8668239754</v>
      </c>
      <c r="W1326" s="1" t="s">
        <v>10306</v>
      </c>
      <c r="X1326" s="1" t="s">
        <v>23880</v>
      </c>
      <c r="Y1326" s="1" t="s">
        <v>96</v>
      </c>
      <c r="Z1326" s="1" t="s">
        <v>97</v>
      </c>
      <c r="AA1326" s="1" t="s">
        <v>23880</v>
      </c>
      <c r="AB1326" s="1" t="s">
        <v>96</v>
      </c>
      <c r="AC1326" s="1" t="s">
        <v>97</v>
      </c>
      <c r="AD1326" s="1" t="s">
        <v>98</v>
      </c>
      <c r="AE1326" s="1" t="s">
        <v>98</v>
      </c>
      <c r="AF1326" s="1" t="s">
        <v>23881</v>
      </c>
      <c r="AG1326" s="1" t="s">
        <v>23882</v>
      </c>
      <c r="AH1326" s="1" t="s">
        <v>106</v>
      </c>
      <c r="AI1326" s="1" t="s">
        <v>414</v>
      </c>
      <c r="AJ1326" s="1">
        <v>86.6</v>
      </c>
      <c r="AK1326" s="1"/>
      <c r="AL1326" s="1" t="s">
        <v>23883</v>
      </c>
      <c r="AM1326" s="1" t="s">
        <v>23882</v>
      </c>
      <c r="AN1326" s="1" t="s">
        <v>575</v>
      </c>
      <c r="AO1326" s="1" t="s">
        <v>468</v>
      </c>
      <c r="AP1326" s="1" t="s">
        <v>441</v>
      </c>
      <c r="AQ1326" s="1">
        <v>95.33</v>
      </c>
      <c r="AR1326" s="1"/>
      <c r="AS1326" s="1"/>
      <c r="AT1326" s="1"/>
      <c r="AU1326" s="1"/>
      <c r="AV1326" s="1"/>
      <c r="AW1326" s="1"/>
      <c r="AX1326" s="1"/>
      <c r="AY1326" s="1" t="s">
        <v>17566</v>
      </c>
      <c r="AZ1326" s="1" t="s">
        <v>23884</v>
      </c>
      <c r="BA1326" s="1" t="s">
        <v>466</v>
      </c>
      <c r="BB1326" s="1" t="s">
        <v>467</v>
      </c>
      <c r="BC1326" s="1" t="s">
        <v>871</v>
      </c>
      <c r="BD1326" s="1" t="s">
        <v>553</v>
      </c>
      <c r="BE1326" s="1">
        <v>78.4</v>
      </c>
      <c r="BF1326" s="1">
        <v>7.84</v>
      </c>
      <c r="BG1326" s="1"/>
      <c r="BH1326" s="1"/>
      <c r="BI1326" s="1"/>
      <c r="BJ1326" s="1"/>
      <c r="BK1326" s="1"/>
      <c r="BL1326" s="1"/>
      <c r="BM1326" s="1"/>
      <c r="BN1326" s="1"/>
      <c r="BO1326" s="1" t="s">
        <v>23885</v>
      </c>
      <c r="BP1326" s="1"/>
      <c r="BQ1326" s="1"/>
      <c r="BR1326" s="1" t="s">
        <v>23886</v>
      </c>
      <c r="BS1326" s="1">
        <v>12</v>
      </c>
      <c r="BT1326" s="1" t="s">
        <v>23887</v>
      </c>
      <c r="BU1326" s="1" t="str">
        <f>HYPERLINK("https://nconnect.nicmar.ac.in/storage/profile/6a85c72425653.png","Download")</f>
        <v>0</v>
      </c>
      <c r="BV1326" s="3"/>
      <c r="BW1326" s="3"/>
    </row>
    <row r="1327" spans="1:75">
      <c r="A1327" s="1" t="s">
        <v>75</v>
      </c>
      <c r="B1327" s="1" t="s">
        <v>13976</v>
      </c>
      <c r="C1327" s="1" t="s">
        <v>23888</v>
      </c>
      <c r="D1327" s="1" t="s">
        <v>23889</v>
      </c>
      <c r="E1327" s="1" t="s">
        <v>23890</v>
      </c>
      <c r="F1327" s="1" t="s">
        <v>14364</v>
      </c>
      <c r="G1327" s="1" t="s">
        <v>23891</v>
      </c>
      <c r="H1327" s="1" t="s">
        <v>23892</v>
      </c>
      <c r="I1327" s="1" t="s">
        <v>23892</v>
      </c>
      <c r="J1327" s="1">
        <v>9373780176</v>
      </c>
      <c r="K1327" s="1" t="s">
        <v>153</v>
      </c>
      <c r="L1327" s="1" t="s">
        <v>22521</v>
      </c>
      <c r="M1327" s="1" t="s">
        <v>86</v>
      </c>
      <c r="N1327" s="1" t="s">
        <v>16327</v>
      </c>
      <c r="O1327" s="1" t="s">
        <v>88</v>
      </c>
      <c r="P1327" s="1" t="s">
        <v>122</v>
      </c>
      <c r="Q1327" s="1">
        <v>856212337511</v>
      </c>
      <c r="R1327" s="1" t="s">
        <v>23893</v>
      </c>
      <c r="S1327" s="1">
        <v>9359121934</v>
      </c>
      <c r="T1327" s="1" t="s">
        <v>13987</v>
      </c>
      <c r="U1327" s="1" t="s">
        <v>23894</v>
      </c>
      <c r="V1327" s="1">
        <v>9421860097</v>
      </c>
      <c r="W1327" s="1" t="s">
        <v>14154</v>
      </c>
      <c r="X1327" s="1" t="s">
        <v>23895</v>
      </c>
      <c r="Y1327" s="1" t="s">
        <v>14745</v>
      </c>
      <c r="Z1327" s="1" t="s">
        <v>97</v>
      </c>
      <c r="AA1327" s="1" t="s">
        <v>23895</v>
      </c>
      <c r="AB1327" s="1" t="s">
        <v>14745</v>
      </c>
      <c r="AC1327" s="1" t="s">
        <v>97</v>
      </c>
      <c r="AD1327" s="1" t="s">
        <v>98</v>
      </c>
      <c r="AE1327" s="1" t="s">
        <v>98</v>
      </c>
      <c r="AF1327" s="1" t="s">
        <v>23896</v>
      </c>
      <c r="AG1327" s="1" t="s">
        <v>23897</v>
      </c>
      <c r="AH1327" s="1" t="s">
        <v>167</v>
      </c>
      <c r="AI1327" s="1" t="s">
        <v>200</v>
      </c>
      <c r="AJ1327" s="1">
        <v>85.0</v>
      </c>
      <c r="AK1327" s="1"/>
      <c r="AL1327" s="1" t="s">
        <v>23898</v>
      </c>
      <c r="AM1327" s="1" t="s">
        <v>23897</v>
      </c>
      <c r="AN1327" s="1" t="s">
        <v>465</v>
      </c>
      <c r="AO1327" s="1" t="s">
        <v>438</v>
      </c>
      <c r="AP1327" s="1" t="s">
        <v>365</v>
      </c>
      <c r="AQ1327" s="1">
        <v>63.54</v>
      </c>
      <c r="AR1327" s="1"/>
      <c r="AS1327" s="1"/>
      <c r="AT1327" s="1"/>
      <c r="AU1327" s="1"/>
      <c r="AV1327" s="1"/>
      <c r="AW1327" s="1"/>
      <c r="AX1327" s="1"/>
      <c r="AY1327" s="1" t="s">
        <v>23899</v>
      </c>
      <c r="AZ1327" s="1" t="s">
        <v>23900</v>
      </c>
      <c r="BA1327" s="1" t="s">
        <v>578</v>
      </c>
      <c r="BB1327" s="1" t="s">
        <v>467</v>
      </c>
      <c r="BC1327" s="1" t="s">
        <v>178</v>
      </c>
      <c r="BD1327" s="1" t="s">
        <v>207</v>
      </c>
      <c r="BE1327" s="1">
        <v>77.58</v>
      </c>
      <c r="BF1327" s="1">
        <v>8.18</v>
      </c>
      <c r="BG1327" s="1"/>
      <c r="BH1327" s="1"/>
      <c r="BI1327" s="1"/>
      <c r="BJ1327" s="1"/>
      <c r="BK1327" s="1"/>
      <c r="BL1327" s="1"/>
      <c r="BM1327" s="1"/>
      <c r="BN1327" s="1"/>
      <c r="BO1327" s="1" t="s">
        <v>23901</v>
      </c>
      <c r="BP1327" s="1" t="s">
        <v>23902</v>
      </c>
      <c r="BQ1327" s="1" t="s">
        <v>6365</v>
      </c>
      <c r="BR1327" s="1" t="s">
        <v>23903</v>
      </c>
      <c r="BS1327" s="1">
        <v>4</v>
      </c>
      <c r="BT1327" s="1" t="s">
        <v>23904</v>
      </c>
      <c r="BU1327" s="1" t="str">
        <f>HYPERLINK("https://nconnect.nicmar.ac.in/storage/profile/6a8598f7e7d4f.png","Download")</f>
        <v>0</v>
      </c>
      <c r="BV1327" s="3"/>
      <c r="BW1327" s="3"/>
    </row>
    <row r="1328" spans="1:75">
      <c r="A1328" s="1" t="s">
        <v>75</v>
      </c>
      <c r="B1328" s="1" t="s">
        <v>13976</v>
      </c>
      <c r="C1328" s="1" t="s">
        <v>23905</v>
      </c>
      <c r="D1328" s="1" t="s">
        <v>23906</v>
      </c>
      <c r="E1328" s="1" t="s">
        <v>23907</v>
      </c>
      <c r="F1328" s="1" t="s">
        <v>23908</v>
      </c>
      <c r="G1328" s="1" t="s">
        <v>23909</v>
      </c>
      <c r="H1328" s="1" t="s">
        <v>23910</v>
      </c>
      <c r="I1328" s="1" t="s">
        <v>23910</v>
      </c>
      <c r="J1328" s="1">
        <v>9130069999</v>
      </c>
      <c r="K1328" s="1" t="s">
        <v>84</v>
      </c>
      <c r="L1328" s="1" t="s">
        <v>14150</v>
      </c>
      <c r="M1328" s="1" t="s">
        <v>86</v>
      </c>
      <c r="N1328" s="1" t="s">
        <v>3568</v>
      </c>
      <c r="O1328" s="1" t="s">
        <v>23911</v>
      </c>
      <c r="P1328" s="1" t="s">
        <v>219</v>
      </c>
      <c r="Q1328" s="1">
        <v>633713092034</v>
      </c>
      <c r="R1328" s="1" t="s">
        <v>23912</v>
      </c>
      <c r="S1328" s="1">
        <v>9766799999</v>
      </c>
      <c r="T1328" s="1" t="s">
        <v>14352</v>
      </c>
      <c r="U1328" s="1" t="s">
        <v>23913</v>
      </c>
      <c r="V1328" s="1">
        <v>7887874999</v>
      </c>
      <c r="W1328" s="1" t="s">
        <v>10306</v>
      </c>
      <c r="X1328" s="1" t="s">
        <v>23914</v>
      </c>
      <c r="Y1328" s="1" t="s">
        <v>1779</v>
      </c>
      <c r="Z1328" s="1" t="s">
        <v>97</v>
      </c>
      <c r="AA1328" s="1" t="s">
        <v>23914</v>
      </c>
      <c r="AB1328" s="1" t="s">
        <v>1779</v>
      </c>
      <c r="AC1328" s="1" t="s">
        <v>97</v>
      </c>
      <c r="AD1328" s="1" t="s">
        <v>98</v>
      </c>
      <c r="AE1328" s="1" t="s">
        <v>98</v>
      </c>
      <c r="AF1328" s="1" t="s">
        <v>20511</v>
      </c>
      <c r="AG1328" s="1" t="s">
        <v>23915</v>
      </c>
      <c r="AH1328" s="1" t="s">
        <v>438</v>
      </c>
      <c r="AI1328" s="1" t="s">
        <v>1040</v>
      </c>
      <c r="AJ1328" s="1">
        <v>83.66</v>
      </c>
      <c r="AK1328" s="1"/>
      <c r="AL1328" s="1" t="s">
        <v>23916</v>
      </c>
      <c r="AM1328" s="1" t="s">
        <v>23917</v>
      </c>
      <c r="AN1328" s="1" t="s">
        <v>465</v>
      </c>
      <c r="AO1328" s="1" t="s">
        <v>1171</v>
      </c>
      <c r="AP1328" s="1" t="s">
        <v>1886</v>
      </c>
      <c r="AQ1328" s="1">
        <v>73.33</v>
      </c>
      <c r="AR1328" s="1"/>
      <c r="AS1328" s="1"/>
      <c r="AT1328" s="1"/>
      <c r="AU1328" s="1"/>
      <c r="AV1328" s="1"/>
      <c r="AW1328" s="1"/>
      <c r="AX1328" s="1"/>
      <c r="AY1328" s="1" t="s">
        <v>14694</v>
      </c>
      <c r="AZ1328" s="1" t="s">
        <v>23918</v>
      </c>
      <c r="BA1328" s="1" t="s">
        <v>466</v>
      </c>
      <c r="BB1328" s="1" t="s">
        <v>467</v>
      </c>
      <c r="BC1328" s="1" t="s">
        <v>1889</v>
      </c>
      <c r="BD1328" s="1" t="s">
        <v>9688</v>
      </c>
      <c r="BE1328" s="1">
        <v>81.99</v>
      </c>
      <c r="BF1328" s="1">
        <v>8.63</v>
      </c>
      <c r="BG1328" s="1"/>
      <c r="BH1328" s="1"/>
      <c r="BI1328" s="1"/>
      <c r="BJ1328" s="1"/>
      <c r="BK1328" s="1"/>
      <c r="BL1328" s="1"/>
      <c r="BM1328" s="1"/>
      <c r="BN1328" s="1"/>
      <c r="BO1328" s="1" t="s">
        <v>23919</v>
      </c>
      <c r="BP1328" s="1"/>
      <c r="BQ1328" s="1"/>
      <c r="BR1328" s="1"/>
      <c r="BS1328" s="1"/>
      <c r="BT1328" s="1"/>
      <c r="BU1328" s="1" t="str">
        <f>HYPERLINK("https://nconnect.nicmar.ac.in/storage/profile/6a85e436d9d3c.png","Download")</f>
        <v>0</v>
      </c>
      <c r="BV1328" s="3"/>
      <c r="BW1328" s="3"/>
    </row>
    <row r="1329" spans="1:75">
      <c r="A1329" s="1" t="s">
        <v>75</v>
      </c>
      <c r="B1329" s="1" t="s">
        <v>13976</v>
      </c>
      <c r="C1329" s="1" t="s">
        <v>23920</v>
      </c>
      <c r="D1329" s="1" t="s">
        <v>23921</v>
      </c>
      <c r="E1329" s="1" t="s">
        <v>23922</v>
      </c>
      <c r="F1329" s="1" t="s">
        <v>23922</v>
      </c>
      <c r="G1329" s="1" t="s">
        <v>23923</v>
      </c>
      <c r="H1329" s="1" t="s">
        <v>23924</v>
      </c>
      <c r="I1329" s="1" t="s">
        <v>23924</v>
      </c>
      <c r="J1329" s="1">
        <v>9970731602</v>
      </c>
      <c r="K1329" s="1" t="s">
        <v>84</v>
      </c>
      <c r="L1329" s="1" t="s">
        <v>9518</v>
      </c>
      <c r="M1329" s="1" t="s">
        <v>86</v>
      </c>
      <c r="N1329" s="1" t="s">
        <v>23925</v>
      </c>
      <c r="O1329" s="1" t="s">
        <v>23926</v>
      </c>
      <c r="P1329" s="1" t="s">
        <v>122</v>
      </c>
      <c r="Q1329" s="1">
        <v>331112739017</v>
      </c>
      <c r="R1329" s="1" t="s">
        <v>23927</v>
      </c>
      <c r="S1329" s="1">
        <v>9518979675</v>
      </c>
      <c r="T1329" s="1" t="s">
        <v>14800</v>
      </c>
      <c r="U1329" s="1" t="s">
        <v>23928</v>
      </c>
      <c r="V1329" s="1">
        <v>9518979675</v>
      </c>
      <c r="W1329" s="1" t="s">
        <v>15148</v>
      </c>
      <c r="X1329" s="1" t="s">
        <v>23929</v>
      </c>
      <c r="Y1329" s="1" t="s">
        <v>384</v>
      </c>
      <c r="Z1329" s="1" t="s">
        <v>97</v>
      </c>
      <c r="AA1329" s="1" t="s">
        <v>23929</v>
      </c>
      <c r="AB1329" s="1" t="s">
        <v>384</v>
      </c>
      <c r="AC1329" s="1" t="s">
        <v>97</v>
      </c>
      <c r="AD1329" s="1" t="s">
        <v>98</v>
      </c>
      <c r="AE1329" s="1" t="s">
        <v>98</v>
      </c>
      <c r="AF1329" s="1"/>
      <c r="AG1329" s="1"/>
      <c r="AH1329" s="1"/>
      <c r="AI1329" s="1"/>
      <c r="AJ1329" s="1"/>
      <c r="AK1329" s="1"/>
      <c r="AL1329" s="1"/>
      <c r="AM1329" s="1"/>
      <c r="AN1329" s="1"/>
      <c r="AO1329" s="1"/>
      <c r="AP1329" s="1"/>
      <c r="AQ1329" s="1"/>
      <c r="AR1329" s="1"/>
      <c r="AS1329" s="1"/>
      <c r="AT1329" s="1"/>
      <c r="AU1329" s="1"/>
      <c r="AV1329" s="1"/>
      <c r="AW1329" s="1"/>
      <c r="AX1329" s="1"/>
      <c r="AY1329" s="1"/>
      <c r="AZ1329" s="1"/>
      <c r="BA1329" s="1"/>
      <c r="BB1329" s="1"/>
      <c r="BC1329" s="1"/>
      <c r="BD1329" s="1"/>
      <c r="BE1329" s="1"/>
      <c r="BF1329" s="1"/>
      <c r="BG1329" s="1"/>
      <c r="BH1329" s="1"/>
      <c r="BI1329" s="1"/>
      <c r="BJ1329" s="1"/>
      <c r="BK1329" s="1"/>
      <c r="BL1329" s="1"/>
      <c r="BM1329" s="1"/>
      <c r="BN1329" s="1"/>
      <c r="BO1329" s="1"/>
      <c r="BP1329" s="1" t="s">
        <v>23930</v>
      </c>
      <c r="BQ1329" s="1" t="s">
        <v>1152</v>
      </c>
      <c r="BR1329" s="1"/>
      <c r="BS1329" s="1"/>
      <c r="BT1329" s="1"/>
      <c r="BU1329" s="1" t="str">
        <f>HYPERLINK("https://nconnect.nicmar.ac.in/storage/profile/6a873238e2227.png","Download")</f>
        <v>0</v>
      </c>
      <c r="BV1329" s="3"/>
      <c r="BW1329" s="3"/>
    </row>
    <row r="1330" spans="1:75">
      <c r="A1330" s="1" t="s">
        <v>75</v>
      </c>
      <c r="B1330" s="1" t="s">
        <v>13976</v>
      </c>
      <c r="C1330" s="1" t="s">
        <v>23931</v>
      </c>
      <c r="D1330" s="1" t="s">
        <v>23932</v>
      </c>
      <c r="E1330" s="1"/>
      <c r="F1330" s="1" t="s">
        <v>17111</v>
      </c>
      <c r="G1330" s="1" t="s">
        <v>23933</v>
      </c>
      <c r="H1330" s="1" t="s">
        <v>23934</v>
      </c>
      <c r="I1330" s="1" t="s">
        <v>23934</v>
      </c>
      <c r="J1330" s="1">
        <v>7736708093</v>
      </c>
      <c r="K1330" s="1" t="s">
        <v>153</v>
      </c>
      <c r="L1330" s="1" t="s">
        <v>8485</v>
      </c>
      <c r="M1330" s="1" t="s">
        <v>86</v>
      </c>
      <c r="N1330" s="1" t="s">
        <v>7058</v>
      </c>
      <c r="O1330" s="1" t="s">
        <v>23935</v>
      </c>
      <c r="P1330" s="1" t="s">
        <v>16423</v>
      </c>
      <c r="Q1330" s="1">
        <v>954748399065</v>
      </c>
      <c r="R1330" s="1" t="s">
        <v>23936</v>
      </c>
      <c r="S1330" s="1">
        <v>9446953315</v>
      </c>
      <c r="T1330" s="1" t="s">
        <v>3439</v>
      </c>
      <c r="U1330" s="1" t="s">
        <v>23937</v>
      </c>
      <c r="V1330" s="1">
        <v>9495509360</v>
      </c>
      <c r="W1330" s="1" t="s">
        <v>22414</v>
      </c>
      <c r="X1330" s="1" t="s">
        <v>23938</v>
      </c>
      <c r="Y1330" s="1" t="s">
        <v>701</v>
      </c>
      <c r="Z1330" s="1" t="s">
        <v>130</v>
      </c>
      <c r="AA1330" s="1" t="s">
        <v>23938</v>
      </c>
      <c r="AB1330" s="1" t="s">
        <v>701</v>
      </c>
      <c r="AC1330" s="1" t="s">
        <v>130</v>
      </c>
      <c r="AD1330" s="1" t="s">
        <v>98</v>
      </c>
      <c r="AE1330" s="1" t="s">
        <v>98</v>
      </c>
      <c r="AF1330" s="1" t="s">
        <v>23939</v>
      </c>
      <c r="AG1330" s="1" t="s">
        <v>23940</v>
      </c>
      <c r="AH1330" s="1" t="s">
        <v>170</v>
      </c>
      <c r="AI1330" s="1" t="s">
        <v>490</v>
      </c>
      <c r="AJ1330" s="1">
        <v>90</v>
      </c>
      <c r="AK1330" s="1">
        <v>9</v>
      </c>
      <c r="AL1330" s="1" t="s">
        <v>23939</v>
      </c>
      <c r="AM1330" s="1" t="s">
        <v>23940</v>
      </c>
      <c r="AN1330" s="1" t="s">
        <v>465</v>
      </c>
      <c r="AO1330" s="1" t="s">
        <v>438</v>
      </c>
      <c r="AP1330" s="1" t="s">
        <v>977</v>
      </c>
      <c r="AQ1330" s="1">
        <v>92</v>
      </c>
      <c r="AR1330" s="1">
        <v>9.2</v>
      </c>
      <c r="AS1330" s="1"/>
      <c r="AT1330" s="1"/>
      <c r="AU1330" s="1"/>
      <c r="AV1330" s="1"/>
      <c r="AW1330" s="1"/>
      <c r="AX1330" s="1"/>
      <c r="AY1330" s="1" t="s">
        <v>23941</v>
      </c>
      <c r="AZ1330" s="1" t="s">
        <v>23942</v>
      </c>
      <c r="BA1330" s="1" t="s">
        <v>466</v>
      </c>
      <c r="BB1330" s="1" t="s">
        <v>467</v>
      </c>
      <c r="BC1330" s="1" t="s">
        <v>468</v>
      </c>
      <c r="BD1330" s="1" t="s">
        <v>1314</v>
      </c>
      <c r="BE1330" s="1">
        <v>92</v>
      </c>
      <c r="BF1330" s="1">
        <v>9.2</v>
      </c>
      <c r="BG1330" s="1"/>
      <c r="BH1330" s="1"/>
      <c r="BI1330" s="1"/>
      <c r="BJ1330" s="1"/>
      <c r="BK1330" s="1"/>
      <c r="BL1330" s="1"/>
      <c r="BM1330" s="1"/>
      <c r="BN1330" s="1"/>
      <c r="BO1330" s="1" t="s">
        <v>23943</v>
      </c>
      <c r="BP1330" s="1" t="s">
        <v>23944</v>
      </c>
      <c r="BQ1330" s="1" t="s">
        <v>1564</v>
      </c>
      <c r="BR1330" s="1" t="s">
        <v>23945</v>
      </c>
      <c r="BS1330" s="1">
        <v>22</v>
      </c>
      <c r="BT1330" s="1" t="s">
        <v>23946</v>
      </c>
      <c r="BU1330" s="1" t="str">
        <f>HYPERLINK("https://nconnect.nicmar.ac.in/storage/profile/6a871a11f1cfe.png","Download")</f>
        <v>0</v>
      </c>
      <c r="BV1330" s="3"/>
      <c r="BW1330" s="3"/>
    </row>
    <row r="1331" spans="1:75">
      <c r="A1331" s="1" t="s">
        <v>75</v>
      </c>
      <c r="B1331" s="1" t="s">
        <v>13976</v>
      </c>
      <c r="C1331" s="1" t="s">
        <v>23947</v>
      </c>
      <c r="D1331" s="1" t="s">
        <v>23948</v>
      </c>
      <c r="E1331" s="1"/>
      <c r="F1331" s="1" t="s">
        <v>17871</v>
      </c>
      <c r="G1331" s="1" t="s">
        <v>23949</v>
      </c>
      <c r="H1331" s="1" t="s">
        <v>23950</v>
      </c>
      <c r="I1331" s="1" t="s">
        <v>23950</v>
      </c>
      <c r="J1331" s="1">
        <v>9037012969</v>
      </c>
      <c r="K1331" s="1" t="s">
        <v>84</v>
      </c>
      <c r="L1331" s="1" t="s">
        <v>23951</v>
      </c>
      <c r="M1331" s="1" t="s">
        <v>86</v>
      </c>
      <c r="N1331" s="1" t="s">
        <v>23952</v>
      </c>
      <c r="O1331" s="1" t="s">
        <v>23953</v>
      </c>
      <c r="P1331" s="1" t="s">
        <v>219</v>
      </c>
      <c r="Q1331" s="1">
        <v>494451996368</v>
      </c>
      <c r="R1331" s="1" t="s">
        <v>23954</v>
      </c>
      <c r="S1331" s="1">
        <v>9633022472</v>
      </c>
      <c r="T1331" s="1" t="s">
        <v>23955</v>
      </c>
      <c r="U1331" s="1" t="s">
        <v>23956</v>
      </c>
      <c r="V1331" s="1">
        <v>9895232472</v>
      </c>
      <c r="W1331" s="1" t="s">
        <v>14234</v>
      </c>
      <c r="X1331" s="1" t="s">
        <v>23957</v>
      </c>
      <c r="Y1331" s="1" t="s">
        <v>1307</v>
      </c>
      <c r="Z1331" s="1" t="s">
        <v>130</v>
      </c>
      <c r="AA1331" s="1" t="s">
        <v>23957</v>
      </c>
      <c r="AB1331" s="1" t="s">
        <v>1307</v>
      </c>
      <c r="AC1331" s="1" t="s">
        <v>130</v>
      </c>
      <c r="AD1331" s="1" t="s">
        <v>98</v>
      </c>
      <c r="AE1331" s="1" t="s">
        <v>98</v>
      </c>
      <c r="AF1331" s="1" t="s">
        <v>23958</v>
      </c>
      <c r="AG1331" s="1" t="s">
        <v>23959</v>
      </c>
      <c r="AH1331" s="1" t="s">
        <v>414</v>
      </c>
      <c r="AI1331" s="1" t="s">
        <v>178</v>
      </c>
      <c r="AJ1331" s="1">
        <v>90</v>
      </c>
      <c r="AK1331" s="1"/>
      <c r="AL1331" s="1" t="s">
        <v>23958</v>
      </c>
      <c r="AM1331" s="1" t="s">
        <v>23959</v>
      </c>
      <c r="AN1331" s="1" t="s">
        <v>465</v>
      </c>
      <c r="AO1331" s="1" t="s">
        <v>1192</v>
      </c>
      <c r="AP1331" s="1" t="s">
        <v>1400</v>
      </c>
      <c r="AQ1331" s="1">
        <v>82.6</v>
      </c>
      <c r="AR1331" s="1"/>
      <c r="AS1331" s="1"/>
      <c r="AT1331" s="1"/>
      <c r="AU1331" s="1"/>
      <c r="AV1331" s="1"/>
      <c r="AW1331" s="1"/>
      <c r="AX1331" s="1"/>
      <c r="AY1331" s="1" t="s">
        <v>550</v>
      </c>
      <c r="AZ1331" s="1" t="s">
        <v>8336</v>
      </c>
      <c r="BA1331" s="1" t="s">
        <v>466</v>
      </c>
      <c r="BB1331" s="1" t="s">
        <v>467</v>
      </c>
      <c r="BC1331" s="1" t="s">
        <v>1802</v>
      </c>
      <c r="BD1331" s="1" t="s">
        <v>14162</v>
      </c>
      <c r="BE1331" s="1">
        <v>86.2</v>
      </c>
      <c r="BF1331" s="1">
        <v>8.62</v>
      </c>
      <c r="BG1331" s="1"/>
      <c r="BH1331" s="1"/>
      <c r="BI1331" s="1"/>
      <c r="BJ1331" s="1"/>
      <c r="BK1331" s="1"/>
      <c r="BL1331" s="1"/>
      <c r="BM1331" s="1"/>
      <c r="BN1331" s="1"/>
      <c r="BO1331" s="1" t="s">
        <v>23960</v>
      </c>
      <c r="BP1331" s="1"/>
      <c r="BQ1331" s="1"/>
      <c r="BR1331" s="1" t="s">
        <v>23961</v>
      </c>
      <c r="BS1331" s="1">
        <v>24</v>
      </c>
      <c r="BT1331" s="1" t="s">
        <v>23962</v>
      </c>
      <c r="BU1331" s="1" t="str">
        <f>HYPERLINK("https://nconnect.nicmar.ac.in/storage/profile/6a84343b5dc5e.png","Download")</f>
        <v>0</v>
      </c>
      <c r="BV1331" s="3"/>
      <c r="BW1331" s="3"/>
    </row>
    <row r="1332" spans="1:75">
      <c r="A1332" s="1" t="s">
        <v>75</v>
      </c>
      <c r="B1332" s="1" t="s">
        <v>13976</v>
      </c>
      <c r="C1332" s="1" t="s">
        <v>23963</v>
      </c>
      <c r="D1332" s="1" t="s">
        <v>23964</v>
      </c>
      <c r="E1332" s="1" t="s">
        <v>14774</v>
      </c>
      <c r="F1332" s="1" t="s">
        <v>23965</v>
      </c>
      <c r="G1332" s="1" t="s">
        <v>23966</v>
      </c>
      <c r="H1332" s="1" t="s">
        <v>23967</v>
      </c>
      <c r="I1332" s="1" t="s">
        <v>23968</v>
      </c>
      <c r="J1332" s="1">
        <v>9148611906</v>
      </c>
      <c r="K1332" s="1" t="s">
        <v>84</v>
      </c>
      <c r="L1332" s="1" t="s">
        <v>8485</v>
      </c>
      <c r="M1332" s="1" t="s">
        <v>86</v>
      </c>
      <c r="N1332" s="1" t="s">
        <v>21798</v>
      </c>
      <c r="O1332" s="1" t="s">
        <v>23969</v>
      </c>
      <c r="P1332" s="1" t="s">
        <v>219</v>
      </c>
      <c r="Q1332" s="1">
        <v>728529462900</v>
      </c>
      <c r="R1332" s="1" t="s">
        <v>23970</v>
      </c>
      <c r="S1332" s="1">
        <v>6360578713</v>
      </c>
      <c r="T1332" s="1" t="s">
        <v>3439</v>
      </c>
      <c r="U1332" s="1" t="s">
        <v>23971</v>
      </c>
      <c r="V1332" s="1">
        <v>7892876828</v>
      </c>
      <c r="W1332" s="1" t="s">
        <v>14032</v>
      </c>
      <c r="X1332" s="1" t="s">
        <v>23972</v>
      </c>
      <c r="Y1332" s="1" t="s">
        <v>18438</v>
      </c>
      <c r="Z1332" s="1" t="s">
        <v>1210</v>
      </c>
      <c r="AA1332" s="1" t="s">
        <v>23972</v>
      </c>
      <c r="AB1332" s="1" t="s">
        <v>18438</v>
      </c>
      <c r="AC1332" s="1" t="s">
        <v>1210</v>
      </c>
      <c r="AD1332" s="1" t="s">
        <v>98</v>
      </c>
      <c r="AE1332" s="1" t="s">
        <v>98</v>
      </c>
      <c r="AF1332" s="1" t="s">
        <v>23973</v>
      </c>
      <c r="AG1332" s="1" t="s">
        <v>23974</v>
      </c>
      <c r="AH1332" s="1" t="s">
        <v>573</v>
      </c>
      <c r="AI1332" s="1" t="s">
        <v>106</v>
      </c>
      <c r="AJ1332" s="1">
        <v>72.6</v>
      </c>
      <c r="AK1332" s="1">
        <v>7.64</v>
      </c>
      <c r="AL1332" s="1" t="s">
        <v>23975</v>
      </c>
      <c r="AM1332" s="1" t="s">
        <v>1210</v>
      </c>
      <c r="AN1332" s="1" t="s">
        <v>465</v>
      </c>
      <c r="AO1332" s="1" t="s">
        <v>106</v>
      </c>
      <c r="AP1332" s="1" t="s">
        <v>178</v>
      </c>
      <c r="AQ1332" s="1">
        <v>88.16</v>
      </c>
      <c r="AR1332" s="1"/>
      <c r="AS1332" s="1"/>
      <c r="AT1332" s="1"/>
      <c r="AU1332" s="1"/>
      <c r="AV1332" s="1"/>
      <c r="AW1332" s="1"/>
      <c r="AX1332" s="1"/>
      <c r="AY1332" s="1" t="s">
        <v>23976</v>
      </c>
      <c r="AZ1332" s="1" t="s">
        <v>23977</v>
      </c>
      <c r="BA1332" s="1" t="s">
        <v>578</v>
      </c>
      <c r="BB1332" s="1" t="s">
        <v>467</v>
      </c>
      <c r="BC1332" s="1" t="s">
        <v>1647</v>
      </c>
      <c r="BD1332" s="1" t="s">
        <v>418</v>
      </c>
      <c r="BE1332" s="1">
        <v>61.5</v>
      </c>
      <c r="BF1332" s="1"/>
      <c r="BG1332" s="1"/>
      <c r="BH1332" s="1"/>
      <c r="BI1332" s="1"/>
      <c r="BJ1332" s="1"/>
      <c r="BK1332" s="1"/>
      <c r="BL1332" s="1"/>
      <c r="BM1332" s="1"/>
      <c r="BN1332" s="1"/>
      <c r="BO1332" s="1" t="s">
        <v>23978</v>
      </c>
      <c r="BP1332" s="1"/>
      <c r="BQ1332" s="1"/>
      <c r="BR1332" s="1"/>
      <c r="BS1332" s="1"/>
      <c r="BT1332" s="1"/>
      <c r="BU1332" s="1" t="str">
        <f>HYPERLINK("https://nconnect.nicmar.ac.in/storage/profile/6a87192e28aaf.png","Download")</f>
        <v>0</v>
      </c>
      <c r="BV1332" s="3"/>
      <c r="BW1332" s="3"/>
    </row>
    <row r="1333" spans="1:75">
      <c r="A1333" s="1" t="s">
        <v>75</v>
      </c>
      <c r="B1333" s="1" t="s">
        <v>13976</v>
      </c>
      <c r="C1333" s="1" t="s">
        <v>23979</v>
      </c>
      <c r="D1333" s="1" t="s">
        <v>23980</v>
      </c>
      <c r="E1333" s="1" t="s">
        <v>15214</v>
      </c>
      <c r="F1333" s="1" t="s">
        <v>23981</v>
      </c>
      <c r="G1333" s="1" t="s">
        <v>23982</v>
      </c>
      <c r="H1333" s="1" t="s">
        <v>23983</v>
      </c>
      <c r="I1333" s="1" t="s">
        <v>23984</v>
      </c>
      <c r="J1333" s="1">
        <v>9076683684</v>
      </c>
      <c r="K1333" s="1" t="s">
        <v>84</v>
      </c>
      <c r="L1333" s="1" t="s">
        <v>23985</v>
      </c>
      <c r="M1333" s="1" t="s">
        <v>86</v>
      </c>
      <c r="N1333" s="1" t="s">
        <v>15583</v>
      </c>
      <c r="O1333" s="1" t="s">
        <v>23986</v>
      </c>
      <c r="P1333" s="1" t="s">
        <v>122</v>
      </c>
      <c r="Q1333" s="1">
        <v>384864337592</v>
      </c>
      <c r="R1333" s="1" t="s">
        <v>23987</v>
      </c>
      <c r="S1333" s="1">
        <v>9415245952</v>
      </c>
      <c r="T1333" s="1" t="s">
        <v>2177</v>
      </c>
      <c r="U1333" s="1" t="s">
        <v>23988</v>
      </c>
      <c r="V1333" s="1">
        <v>7395083684</v>
      </c>
      <c r="W1333" s="1" t="s">
        <v>15588</v>
      </c>
      <c r="X1333" s="1" t="s">
        <v>23989</v>
      </c>
      <c r="Y1333" s="1" t="s">
        <v>1059</v>
      </c>
      <c r="Z1333" s="1" t="s">
        <v>544</v>
      </c>
      <c r="AA1333" s="1" t="s">
        <v>23989</v>
      </c>
      <c r="AB1333" s="1" t="s">
        <v>1059</v>
      </c>
      <c r="AC1333" s="1" t="s">
        <v>544</v>
      </c>
      <c r="AD1333" s="1" t="s">
        <v>98</v>
      </c>
      <c r="AE1333" s="1" t="s">
        <v>98</v>
      </c>
      <c r="AF1333" s="1" t="s">
        <v>23990</v>
      </c>
      <c r="AG1333" s="1" t="s">
        <v>23991</v>
      </c>
      <c r="AH1333" s="1" t="s">
        <v>1262</v>
      </c>
      <c r="AI1333" s="1" t="s">
        <v>136</v>
      </c>
      <c r="AJ1333" s="1">
        <v>68.4</v>
      </c>
      <c r="AK1333" s="1">
        <v>7.2</v>
      </c>
      <c r="AL1333" s="1" t="s">
        <v>23990</v>
      </c>
      <c r="AM1333" s="1" t="s">
        <v>23991</v>
      </c>
      <c r="AN1333" s="1" t="s">
        <v>465</v>
      </c>
      <c r="AO1333" s="1" t="s">
        <v>627</v>
      </c>
      <c r="AP1333" s="1" t="s">
        <v>573</v>
      </c>
      <c r="AQ1333" s="1">
        <v>59.6</v>
      </c>
      <c r="AR1333" s="1">
        <v>6.27</v>
      </c>
      <c r="AS1333" s="1"/>
      <c r="AT1333" s="1"/>
      <c r="AU1333" s="1"/>
      <c r="AV1333" s="1"/>
      <c r="AW1333" s="1"/>
      <c r="AX1333" s="1"/>
      <c r="AY1333" s="1" t="s">
        <v>23992</v>
      </c>
      <c r="AZ1333" s="1" t="s">
        <v>23993</v>
      </c>
      <c r="BA1333" s="1" t="s">
        <v>466</v>
      </c>
      <c r="BB1333" s="1" t="s">
        <v>467</v>
      </c>
      <c r="BC1333" s="1" t="s">
        <v>230</v>
      </c>
      <c r="BD1333" s="1" t="s">
        <v>441</v>
      </c>
      <c r="BE1333" s="1">
        <v>73.5</v>
      </c>
      <c r="BF1333" s="1">
        <v>7.35</v>
      </c>
      <c r="BG1333" s="1"/>
      <c r="BH1333" s="1"/>
      <c r="BI1333" s="1"/>
      <c r="BJ1333" s="1"/>
      <c r="BK1333" s="1"/>
      <c r="BL1333" s="1"/>
      <c r="BM1333" s="1"/>
      <c r="BN1333" s="1"/>
      <c r="BO1333" s="1" t="s">
        <v>849</v>
      </c>
      <c r="BP1333" s="1" t="s">
        <v>23994</v>
      </c>
      <c r="BQ1333" s="1" t="s">
        <v>13562</v>
      </c>
      <c r="BR1333" s="1"/>
      <c r="BS1333" s="1"/>
      <c r="BT1333" s="1"/>
      <c r="BU1333" s="1" t="s">
        <v>9653</v>
      </c>
      <c r="BV1333" s="3"/>
      <c r="BW1333" s="3"/>
    </row>
    <row r="1334" spans="1:75">
      <c r="A1334" s="1" t="s">
        <v>75</v>
      </c>
      <c r="B1334" s="1" t="s">
        <v>13976</v>
      </c>
      <c r="C1334" s="1" t="s">
        <v>23995</v>
      </c>
      <c r="D1334" s="1" t="s">
        <v>23996</v>
      </c>
      <c r="E1334" s="1" t="s">
        <v>15607</v>
      </c>
      <c r="F1334" s="1" t="s">
        <v>21829</v>
      </c>
      <c r="G1334" s="1" t="s">
        <v>23997</v>
      </c>
      <c r="H1334" s="1" t="s">
        <v>23998</v>
      </c>
      <c r="I1334" s="1" t="s">
        <v>23998</v>
      </c>
      <c r="J1334" s="1">
        <v>9604710701</v>
      </c>
      <c r="K1334" s="1" t="s">
        <v>84</v>
      </c>
      <c r="L1334" s="1" t="s">
        <v>23999</v>
      </c>
      <c r="M1334" s="1" t="s">
        <v>86</v>
      </c>
      <c r="N1334" s="1" t="s">
        <v>6390</v>
      </c>
      <c r="O1334" s="1" t="s">
        <v>24000</v>
      </c>
      <c r="P1334" s="1" t="s">
        <v>122</v>
      </c>
      <c r="Q1334" s="1">
        <v>599590773628</v>
      </c>
      <c r="R1334" s="1" t="s">
        <v>24001</v>
      </c>
      <c r="S1334" s="1">
        <v>9850535101</v>
      </c>
      <c r="T1334" s="1" t="s">
        <v>13987</v>
      </c>
      <c r="U1334" s="1" t="s">
        <v>24002</v>
      </c>
      <c r="V1334" s="1">
        <v>9604122701</v>
      </c>
      <c r="W1334" s="1" t="s">
        <v>9679</v>
      </c>
      <c r="X1334" s="1" t="s">
        <v>24003</v>
      </c>
      <c r="Y1334" s="1" t="s">
        <v>196</v>
      </c>
      <c r="Z1334" s="1" t="s">
        <v>97</v>
      </c>
      <c r="AA1334" s="1" t="s">
        <v>24003</v>
      </c>
      <c r="AB1334" s="1" t="s">
        <v>196</v>
      </c>
      <c r="AC1334" s="1" t="s">
        <v>97</v>
      </c>
      <c r="AD1334" s="1" t="s">
        <v>98</v>
      </c>
      <c r="AE1334" s="1" t="s">
        <v>98</v>
      </c>
      <c r="AF1334" s="1" t="s">
        <v>13990</v>
      </c>
      <c r="AG1334" s="1" t="s">
        <v>24004</v>
      </c>
      <c r="AH1334" s="1" t="s">
        <v>627</v>
      </c>
      <c r="AI1334" s="1" t="s">
        <v>573</v>
      </c>
      <c r="AJ1334" s="1">
        <v>80.67</v>
      </c>
      <c r="AK1334" s="1"/>
      <c r="AL1334" s="1"/>
      <c r="AM1334" s="1"/>
      <c r="AN1334" s="1"/>
      <c r="AO1334" s="1"/>
      <c r="AP1334" s="1"/>
      <c r="AQ1334" s="1"/>
      <c r="AR1334" s="1"/>
      <c r="AS1334" s="1" t="s">
        <v>14158</v>
      </c>
      <c r="AT1334" s="1" t="s">
        <v>24005</v>
      </c>
      <c r="AU1334" s="1" t="s">
        <v>230</v>
      </c>
      <c r="AV1334" s="1" t="s">
        <v>175</v>
      </c>
      <c r="AW1334" s="1">
        <v>93.37</v>
      </c>
      <c r="AX1334" s="1"/>
      <c r="AY1334" s="1" t="s">
        <v>14160</v>
      </c>
      <c r="AZ1334" s="1" t="s">
        <v>24006</v>
      </c>
      <c r="BA1334" s="1" t="s">
        <v>578</v>
      </c>
      <c r="BB1334" s="1" t="s">
        <v>467</v>
      </c>
      <c r="BC1334" s="1" t="s">
        <v>368</v>
      </c>
      <c r="BD1334" s="1" t="s">
        <v>179</v>
      </c>
      <c r="BE1334" s="1">
        <v>84.44</v>
      </c>
      <c r="BF1334" s="1">
        <v>9.12</v>
      </c>
      <c r="BG1334" s="1"/>
      <c r="BH1334" s="1"/>
      <c r="BI1334" s="1"/>
      <c r="BJ1334" s="1"/>
      <c r="BK1334" s="1"/>
      <c r="BL1334" s="1"/>
      <c r="BM1334" s="1"/>
      <c r="BN1334" s="1"/>
      <c r="BO1334" s="1" t="s">
        <v>849</v>
      </c>
      <c r="BP1334" s="1" t="s">
        <v>24007</v>
      </c>
      <c r="BQ1334" s="1" t="s">
        <v>524</v>
      </c>
      <c r="BR1334" s="1" t="s">
        <v>24008</v>
      </c>
      <c r="BS1334" s="1">
        <v>3</v>
      </c>
      <c r="BT1334" s="1" t="s">
        <v>24009</v>
      </c>
      <c r="BU1334" s="1" t="str">
        <f>HYPERLINK("https://nconnect.nicmar.ac.in/storage/profile/6a871389a07ec.png","Download")</f>
        <v>0</v>
      </c>
      <c r="BV1334" s="3"/>
      <c r="BW1334" s="3"/>
    </row>
    <row r="1335" spans="1:75">
      <c r="A1335" s="1" t="s">
        <v>75</v>
      </c>
      <c r="B1335" s="1" t="s">
        <v>13976</v>
      </c>
      <c r="C1335" s="1" t="s">
        <v>24010</v>
      </c>
      <c r="D1335" s="1" t="s">
        <v>16310</v>
      </c>
      <c r="E1335" s="1" t="s">
        <v>24011</v>
      </c>
      <c r="F1335" s="1" t="s">
        <v>24012</v>
      </c>
      <c r="G1335" s="1" t="s">
        <v>24013</v>
      </c>
      <c r="H1335" s="1" t="s">
        <v>24014</v>
      </c>
      <c r="I1335" s="1" t="s">
        <v>24014</v>
      </c>
      <c r="J1335" s="1">
        <v>9819491718</v>
      </c>
      <c r="K1335" s="1" t="s">
        <v>84</v>
      </c>
      <c r="L1335" s="1" t="s">
        <v>24015</v>
      </c>
      <c r="M1335" s="1" t="s">
        <v>86</v>
      </c>
      <c r="N1335" s="1" t="s">
        <v>24016</v>
      </c>
      <c r="O1335" s="1" t="s">
        <v>24017</v>
      </c>
      <c r="P1335" s="1" t="s">
        <v>219</v>
      </c>
      <c r="Q1335" s="1">
        <v>646172776702</v>
      </c>
      <c r="R1335" s="1" t="s">
        <v>24018</v>
      </c>
      <c r="S1335" s="1">
        <v>9920565900</v>
      </c>
      <c r="T1335" s="1" t="s">
        <v>15073</v>
      </c>
      <c r="U1335" s="1" t="s">
        <v>24019</v>
      </c>
      <c r="V1335" s="1">
        <v>8879522436</v>
      </c>
      <c r="W1335" s="1" t="s">
        <v>10306</v>
      </c>
      <c r="X1335" s="1" t="s">
        <v>24020</v>
      </c>
      <c r="Y1335" s="1" t="s">
        <v>1012</v>
      </c>
      <c r="Z1335" s="1" t="s">
        <v>97</v>
      </c>
      <c r="AA1335" s="1" t="s">
        <v>24020</v>
      </c>
      <c r="AB1335" s="1" t="s">
        <v>1012</v>
      </c>
      <c r="AC1335" s="1" t="s">
        <v>97</v>
      </c>
      <c r="AD1335" s="1" t="s">
        <v>98</v>
      </c>
      <c r="AE1335" s="1" t="s">
        <v>98</v>
      </c>
      <c r="AF1335" s="1" t="s">
        <v>24021</v>
      </c>
      <c r="AG1335" s="1" t="s">
        <v>97</v>
      </c>
      <c r="AH1335" s="1" t="s">
        <v>106</v>
      </c>
      <c r="AI1335" s="1" t="s">
        <v>414</v>
      </c>
      <c r="AJ1335" s="1">
        <v>73.4</v>
      </c>
      <c r="AK1335" s="1"/>
      <c r="AL1335" s="1" t="s">
        <v>24022</v>
      </c>
      <c r="AM1335" s="1" t="s">
        <v>97</v>
      </c>
      <c r="AN1335" s="1" t="s">
        <v>465</v>
      </c>
      <c r="AO1335" s="1" t="s">
        <v>468</v>
      </c>
      <c r="AP1335" s="1" t="s">
        <v>1192</v>
      </c>
      <c r="AQ1335" s="1">
        <v>91.33</v>
      </c>
      <c r="AR1335" s="1"/>
      <c r="AS1335" s="1"/>
      <c r="AT1335" s="1"/>
      <c r="AU1335" s="1"/>
      <c r="AV1335" s="1"/>
      <c r="AW1335" s="1"/>
      <c r="AX1335" s="1"/>
      <c r="AY1335" s="1" t="s">
        <v>14380</v>
      </c>
      <c r="AZ1335" s="1" t="s">
        <v>24023</v>
      </c>
      <c r="BA1335" s="1" t="s">
        <v>466</v>
      </c>
      <c r="BB1335" s="1" t="s">
        <v>467</v>
      </c>
      <c r="BC1335" s="1" t="s">
        <v>1889</v>
      </c>
      <c r="BD1335" s="1" t="s">
        <v>9688</v>
      </c>
      <c r="BE1335" s="1">
        <v>67.1</v>
      </c>
      <c r="BF1335" s="1">
        <v>7.46</v>
      </c>
      <c r="BG1335" s="1"/>
      <c r="BH1335" s="1"/>
      <c r="BI1335" s="1"/>
      <c r="BJ1335" s="1"/>
      <c r="BK1335" s="1"/>
      <c r="BL1335" s="1"/>
      <c r="BM1335" s="1"/>
      <c r="BN1335" s="1"/>
      <c r="BO1335" s="1" t="s">
        <v>24024</v>
      </c>
      <c r="BP1335" s="1"/>
      <c r="BQ1335" s="1"/>
      <c r="BR1335" s="1" t="s">
        <v>24025</v>
      </c>
      <c r="BS1335" s="1">
        <v>20</v>
      </c>
      <c r="BT1335" s="1" t="s">
        <v>24026</v>
      </c>
      <c r="BU1335" s="1" t="str">
        <f>HYPERLINK("https://nconnect.nicmar.ac.in/storage/profile/6a870ff78d808.png","Download")</f>
        <v>0</v>
      </c>
      <c r="BV1335" s="3"/>
      <c r="BW1335" s="3"/>
    </row>
    <row r="1336" spans="1:75">
      <c r="A1336" s="1" t="s">
        <v>75</v>
      </c>
      <c r="B1336" s="1" t="s">
        <v>13976</v>
      </c>
      <c r="C1336" s="1" t="s">
        <v>24027</v>
      </c>
      <c r="D1336" s="1" t="s">
        <v>17708</v>
      </c>
      <c r="E1336" s="1"/>
      <c r="F1336" s="1" t="s">
        <v>24028</v>
      </c>
      <c r="G1336" s="1" t="s">
        <v>24029</v>
      </c>
      <c r="H1336" s="1" t="s">
        <v>24030</v>
      </c>
      <c r="I1336" s="1" t="s">
        <v>24030</v>
      </c>
      <c r="J1336" s="1">
        <v>6238919791</v>
      </c>
      <c r="K1336" s="1" t="s">
        <v>84</v>
      </c>
      <c r="L1336" s="1" t="s">
        <v>15040</v>
      </c>
      <c r="M1336" s="1" t="s">
        <v>86</v>
      </c>
      <c r="N1336" s="1" t="s">
        <v>5194</v>
      </c>
      <c r="O1336" s="1" t="s">
        <v>24031</v>
      </c>
      <c r="P1336" s="1" t="s">
        <v>89</v>
      </c>
      <c r="Q1336" s="1">
        <v>956594265277</v>
      </c>
      <c r="R1336" s="1" t="s">
        <v>24032</v>
      </c>
      <c r="S1336" s="1">
        <v>9447067464</v>
      </c>
      <c r="T1336" s="1" t="s">
        <v>3439</v>
      </c>
      <c r="U1336" s="1" t="s">
        <v>24033</v>
      </c>
      <c r="V1336" s="1">
        <v>9447067462</v>
      </c>
      <c r="W1336" s="1" t="s">
        <v>15550</v>
      </c>
      <c r="X1336" s="1" t="s">
        <v>24034</v>
      </c>
      <c r="Y1336" s="1" t="s">
        <v>3190</v>
      </c>
      <c r="Z1336" s="1" t="s">
        <v>130</v>
      </c>
      <c r="AA1336" s="1" t="s">
        <v>24034</v>
      </c>
      <c r="AB1336" s="1" t="s">
        <v>3190</v>
      </c>
      <c r="AC1336" s="1" t="s">
        <v>130</v>
      </c>
      <c r="AD1336" s="1" t="s">
        <v>98</v>
      </c>
      <c r="AE1336" s="1" t="s">
        <v>98</v>
      </c>
      <c r="AF1336" s="1" t="s">
        <v>24035</v>
      </c>
      <c r="AG1336" s="1" t="s">
        <v>24036</v>
      </c>
      <c r="AH1336" s="1" t="s">
        <v>627</v>
      </c>
      <c r="AI1336" s="1" t="s">
        <v>573</v>
      </c>
      <c r="AJ1336" s="1">
        <v>92.5</v>
      </c>
      <c r="AK1336" s="1"/>
      <c r="AL1336" s="1" t="s">
        <v>24035</v>
      </c>
      <c r="AM1336" s="1" t="s">
        <v>24037</v>
      </c>
      <c r="AN1336" s="1" t="s">
        <v>575</v>
      </c>
      <c r="AO1336" s="1" t="s">
        <v>171</v>
      </c>
      <c r="AP1336" s="1" t="s">
        <v>313</v>
      </c>
      <c r="AQ1336" s="1">
        <v>83.8</v>
      </c>
      <c r="AR1336" s="1"/>
      <c r="AS1336" s="1"/>
      <c r="AT1336" s="1"/>
      <c r="AU1336" s="1"/>
      <c r="AV1336" s="1"/>
      <c r="AW1336" s="1"/>
      <c r="AX1336" s="1"/>
      <c r="AY1336" s="1" t="s">
        <v>15573</v>
      </c>
      <c r="AZ1336" s="1" t="s">
        <v>24038</v>
      </c>
      <c r="BA1336" s="1" t="s">
        <v>466</v>
      </c>
      <c r="BB1336" s="1" t="s">
        <v>467</v>
      </c>
      <c r="BC1336" s="1" t="s">
        <v>890</v>
      </c>
      <c r="BD1336" s="1" t="s">
        <v>418</v>
      </c>
      <c r="BE1336" s="1">
        <v>76.8</v>
      </c>
      <c r="BF1336" s="1">
        <v>7.68</v>
      </c>
      <c r="BG1336" s="1"/>
      <c r="BH1336" s="1"/>
      <c r="BI1336" s="1"/>
      <c r="BJ1336" s="1"/>
      <c r="BK1336" s="1"/>
      <c r="BL1336" s="1"/>
      <c r="BM1336" s="1"/>
      <c r="BN1336" s="1"/>
      <c r="BO1336" s="1" t="s">
        <v>24039</v>
      </c>
      <c r="BP1336" s="1" t="s">
        <v>24040</v>
      </c>
      <c r="BQ1336" s="1" t="s">
        <v>2326</v>
      </c>
      <c r="BR1336" s="1" t="s">
        <v>24041</v>
      </c>
      <c r="BS1336" s="1">
        <v>78</v>
      </c>
      <c r="BT1336" s="1"/>
      <c r="BU1336" s="1" t="str">
        <f>HYPERLINK("https://nconnect.nicmar.ac.in/storage/profile/6a86fbcf2dec4.png","Download")</f>
        <v>0</v>
      </c>
      <c r="BV1336" s="3"/>
      <c r="BW1336" s="3"/>
    </row>
    <row r="1337" spans="1:75">
      <c r="A1337" s="1" t="s">
        <v>75</v>
      </c>
      <c r="B1337" s="1" t="s">
        <v>13976</v>
      </c>
      <c r="C1337" s="1" t="s">
        <v>24042</v>
      </c>
      <c r="D1337" s="1"/>
      <c r="E1337" s="1"/>
      <c r="F1337" s="1"/>
      <c r="G1337" s="1"/>
      <c r="H1337" s="1" t="s">
        <v>24043</v>
      </c>
      <c r="I1337" s="1" t="s">
        <v>24043</v>
      </c>
      <c r="J1337" s="1"/>
      <c r="K1337" s="1"/>
      <c r="L1337" s="1"/>
      <c r="M1337" s="1"/>
      <c r="N1337" s="1"/>
      <c r="O1337" s="1"/>
      <c r="P1337" s="1"/>
      <c r="Q1337" s="1"/>
      <c r="R1337" s="1"/>
      <c r="S1337" s="1"/>
      <c r="T1337" s="1"/>
      <c r="U1337" s="1"/>
      <c r="V1337" s="1"/>
      <c r="W1337" s="1"/>
      <c r="X1337" s="1"/>
      <c r="Y1337" s="1"/>
      <c r="Z1337" s="1"/>
      <c r="AA1337" s="1"/>
      <c r="AB1337" s="1"/>
      <c r="AC1337" s="1"/>
      <c r="AD1337" s="1" t="s">
        <v>98</v>
      </c>
      <c r="AE1337" s="1" t="s">
        <v>98</v>
      </c>
      <c r="AF1337" s="1"/>
      <c r="AG1337" s="1"/>
      <c r="AH1337" s="1"/>
      <c r="AI1337" s="1"/>
      <c r="AJ1337" s="1"/>
      <c r="AK1337" s="1"/>
      <c r="AL1337" s="1"/>
      <c r="AM1337" s="1"/>
      <c r="AN1337" s="1"/>
      <c r="AO1337" s="1"/>
      <c r="AP1337" s="1"/>
      <c r="AQ1337" s="1"/>
      <c r="AR1337" s="1"/>
      <c r="AS1337" s="1"/>
      <c r="AT1337" s="1"/>
      <c r="AU1337" s="1"/>
      <c r="AV1337" s="1"/>
      <c r="AW1337" s="1"/>
      <c r="AX1337" s="1"/>
      <c r="AY1337" s="1"/>
      <c r="AZ1337" s="1"/>
      <c r="BA1337" s="1"/>
      <c r="BB1337" s="1"/>
      <c r="BC1337" s="1"/>
      <c r="BD1337" s="1"/>
      <c r="BE1337" s="1"/>
      <c r="BF1337" s="1"/>
      <c r="BG1337" s="1"/>
      <c r="BH1337" s="1"/>
      <c r="BI1337" s="1"/>
      <c r="BJ1337" s="1"/>
      <c r="BK1337" s="1"/>
      <c r="BL1337" s="1"/>
      <c r="BM1337" s="1"/>
      <c r="BN1337" s="1"/>
      <c r="BO1337" s="1"/>
      <c r="BP1337" s="1" t="s">
        <v>24044</v>
      </c>
      <c r="BQ1337" s="1" t="s">
        <v>2213</v>
      </c>
      <c r="BR1337" s="1"/>
      <c r="BS1337" s="1"/>
      <c r="BT1337" s="1"/>
      <c r="BU1337" s="1" t="str">
        <f>HYPERLINK("https://nconnect.nicmar.ac.in/storage/profile/6a8c7d9393988.png","Download")</f>
        <v>0</v>
      </c>
      <c r="BV1337" s="3"/>
      <c r="BW1337" s="3"/>
    </row>
    <row r="1338" spans="1:75">
      <c r="A1338" s="1" t="s">
        <v>75</v>
      </c>
      <c r="B1338" s="1" t="s">
        <v>13976</v>
      </c>
      <c r="C1338" s="1" t="s">
        <v>24045</v>
      </c>
      <c r="D1338" s="1" t="s">
        <v>24046</v>
      </c>
      <c r="E1338" s="1"/>
      <c r="F1338" s="1" t="s">
        <v>24047</v>
      </c>
      <c r="G1338" s="1" t="s">
        <v>24048</v>
      </c>
      <c r="H1338" s="1" t="s">
        <v>24049</v>
      </c>
      <c r="I1338" s="1" t="s">
        <v>24049</v>
      </c>
      <c r="J1338" s="1">
        <v>7892087404</v>
      </c>
      <c r="K1338" s="1" t="s">
        <v>153</v>
      </c>
      <c r="L1338" s="1" t="s">
        <v>591</v>
      </c>
      <c r="M1338" s="1" t="s">
        <v>86</v>
      </c>
      <c r="N1338" s="1" t="s">
        <v>24050</v>
      </c>
      <c r="O1338" s="1" t="s">
        <v>24051</v>
      </c>
      <c r="P1338" s="1" t="s">
        <v>356</v>
      </c>
      <c r="Q1338" s="1">
        <v>319501232361</v>
      </c>
      <c r="R1338" s="1" t="s">
        <v>24052</v>
      </c>
      <c r="S1338" s="1">
        <v>9945740241</v>
      </c>
      <c r="T1338" s="1" t="s">
        <v>24053</v>
      </c>
      <c r="U1338" s="1" t="s">
        <v>24054</v>
      </c>
      <c r="V1338" s="1">
        <v>8792571875</v>
      </c>
      <c r="W1338" s="1" t="s">
        <v>24055</v>
      </c>
      <c r="X1338" s="1" t="s">
        <v>24056</v>
      </c>
      <c r="Y1338" s="1" t="s">
        <v>3985</v>
      </c>
      <c r="Z1338" s="1" t="s">
        <v>1210</v>
      </c>
      <c r="AA1338" s="1" t="s">
        <v>24056</v>
      </c>
      <c r="AB1338" s="1" t="s">
        <v>3985</v>
      </c>
      <c r="AC1338" s="1" t="s">
        <v>1210</v>
      </c>
      <c r="AD1338" s="1" t="s">
        <v>98</v>
      </c>
      <c r="AE1338" s="1" t="s">
        <v>98</v>
      </c>
      <c r="AF1338" s="1"/>
      <c r="AG1338" s="1"/>
      <c r="AH1338" s="1"/>
      <c r="AI1338" s="1"/>
      <c r="AJ1338" s="1"/>
      <c r="AK1338" s="1"/>
      <c r="AL1338" s="1"/>
      <c r="AM1338" s="1"/>
      <c r="AN1338" s="1"/>
      <c r="AO1338" s="1"/>
      <c r="AP1338" s="1"/>
      <c r="AQ1338" s="1"/>
      <c r="AR1338" s="1"/>
      <c r="AS1338" s="1"/>
      <c r="AT1338" s="1"/>
      <c r="AU1338" s="1"/>
      <c r="AV1338" s="1"/>
      <c r="AW1338" s="1"/>
      <c r="AX1338" s="1"/>
      <c r="AY1338" s="1"/>
      <c r="AZ1338" s="1"/>
      <c r="BA1338" s="1"/>
      <c r="BB1338" s="1"/>
      <c r="BC1338" s="1"/>
      <c r="BD1338" s="1"/>
      <c r="BE1338" s="1"/>
      <c r="BF1338" s="1"/>
      <c r="BG1338" s="1"/>
      <c r="BH1338" s="1"/>
      <c r="BI1338" s="1"/>
      <c r="BJ1338" s="1"/>
      <c r="BK1338" s="1"/>
      <c r="BL1338" s="1"/>
      <c r="BM1338" s="1"/>
      <c r="BN1338" s="1"/>
      <c r="BO1338" s="1"/>
      <c r="BP1338" s="1" t="s">
        <v>24057</v>
      </c>
      <c r="BQ1338" s="1" t="s">
        <v>471</v>
      </c>
      <c r="BR1338" s="1"/>
      <c r="BS1338" s="1"/>
      <c r="BT1338" s="1"/>
      <c r="BU1338" s="1" t="str">
        <f>HYPERLINK("https://nconnect.nicmar.ac.in/storage/profile/6a871ddb3e85e.png","Download")</f>
        <v>0</v>
      </c>
      <c r="BV1338" s="3"/>
      <c r="BW1338" s="3"/>
    </row>
    <row r="1339" spans="1:75">
      <c r="A1339" s="1" t="s">
        <v>75</v>
      </c>
      <c r="B1339" s="1" t="s">
        <v>13976</v>
      </c>
      <c r="C1339" s="1" t="s">
        <v>24058</v>
      </c>
      <c r="D1339" s="1" t="s">
        <v>1769</v>
      </c>
      <c r="E1339" s="1" t="s">
        <v>2273</v>
      </c>
      <c r="F1339" s="1" t="s">
        <v>24059</v>
      </c>
      <c r="G1339" s="1" t="s">
        <v>24060</v>
      </c>
      <c r="H1339" s="1" t="s">
        <v>24061</v>
      </c>
      <c r="I1339" s="1" t="s">
        <v>24061</v>
      </c>
      <c r="J1339" s="1">
        <v>9552957200</v>
      </c>
      <c r="K1339" s="1" t="s">
        <v>84</v>
      </c>
      <c r="L1339" s="1" t="s">
        <v>22465</v>
      </c>
      <c r="M1339" s="1" t="s">
        <v>86</v>
      </c>
      <c r="N1339" s="1" t="s">
        <v>2298</v>
      </c>
      <c r="O1339" s="1" t="s">
        <v>24062</v>
      </c>
      <c r="P1339" s="1" t="s">
        <v>122</v>
      </c>
      <c r="Q1339" s="1" t="s">
        <v>24063</v>
      </c>
      <c r="R1339" s="1" t="s">
        <v>2273</v>
      </c>
      <c r="S1339" s="1">
        <v>9423621451</v>
      </c>
      <c r="T1339" s="1" t="s">
        <v>23001</v>
      </c>
      <c r="U1339" s="1" t="s">
        <v>6054</v>
      </c>
      <c r="V1339" s="1">
        <v>9423667089</v>
      </c>
      <c r="W1339" s="1" t="s">
        <v>161</v>
      </c>
      <c r="X1339" s="1" t="s">
        <v>24064</v>
      </c>
      <c r="Y1339" s="1" t="s">
        <v>7694</v>
      </c>
      <c r="Z1339" s="1" t="s">
        <v>97</v>
      </c>
      <c r="AA1339" s="1" t="s">
        <v>24064</v>
      </c>
      <c r="AB1339" s="1" t="s">
        <v>7694</v>
      </c>
      <c r="AC1339" s="1" t="s">
        <v>97</v>
      </c>
      <c r="AD1339" s="1" t="s">
        <v>98</v>
      </c>
      <c r="AE1339" s="1" t="s">
        <v>98</v>
      </c>
      <c r="AF1339" s="1" t="s">
        <v>24065</v>
      </c>
      <c r="AG1339" s="1" t="s">
        <v>629</v>
      </c>
      <c r="AH1339" s="1" t="s">
        <v>438</v>
      </c>
      <c r="AI1339" s="1" t="s">
        <v>603</v>
      </c>
      <c r="AJ1339" s="1">
        <v>78.4</v>
      </c>
      <c r="AK1339" s="1"/>
      <c r="AL1339" s="1"/>
      <c r="AM1339" s="1"/>
      <c r="AN1339" s="1"/>
      <c r="AO1339" s="1"/>
      <c r="AP1339" s="1"/>
      <c r="AQ1339" s="1"/>
      <c r="AR1339" s="1"/>
      <c r="AS1339" s="1" t="s">
        <v>17920</v>
      </c>
      <c r="AT1339" s="1" t="s">
        <v>24066</v>
      </c>
      <c r="AU1339" s="1" t="s">
        <v>468</v>
      </c>
      <c r="AV1339" s="1" t="s">
        <v>955</v>
      </c>
      <c r="AW1339" s="1">
        <v>77.58</v>
      </c>
      <c r="AX1339" s="1"/>
      <c r="AY1339" s="1" t="s">
        <v>5425</v>
      </c>
      <c r="AZ1339" s="1" t="s">
        <v>24067</v>
      </c>
      <c r="BA1339" s="1" t="s">
        <v>466</v>
      </c>
      <c r="BB1339" s="1" t="s">
        <v>467</v>
      </c>
      <c r="BC1339" s="1" t="s">
        <v>234</v>
      </c>
      <c r="BD1339" s="1" t="s">
        <v>9688</v>
      </c>
      <c r="BE1339" s="1">
        <v>71.6</v>
      </c>
      <c r="BF1339" s="1">
        <v>7.91</v>
      </c>
      <c r="BG1339" s="1"/>
      <c r="BH1339" s="1"/>
      <c r="BI1339" s="1"/>
      <c r="BJ1339" s="1"/>
      <c r="BK1339" s="1"/>
      <c r="BL1339" s="1"/>
      <c r="BM1339" s="1"/>
      <c r="BN1339" s="1"/>
      <c r="BO1339" s="1" t="s">
        <v>24068</v>
      </c>
      <c r="BP1339" s="1"/>
      <c r="BQ1339" s="1"/>
      <c r="BR1339" s="1" t="s">
        <v>24069</v>
      </c>
      <c r="BS1339" s="1">
        <v>32</v>
      </c>
      <c r="BT1339" s="1" t="s">
        <v>24070</v>
      </c>
      <c r="BU1339" s="1" t="str">
        <f>HYPERLINK("https://nconnect.nicmar.ac.in/storage/profile/6a803d3e60cc0.png","Download")</f>
        <v>0</v>
      </c>
      <c r="BV1339" s="3"/>
      <c r="BW1339" s="3"/>
    </row>
    <row r="1340" spans="1:75">
      <c r="A1340" s="1" t="s">
        <v>75</v>
      </c>
      <c r="B1340" s="1" t="s">
        <v>13976</v>
      </c>
      <c r="C1340" s="1" t="s">
        <v>24071</v>
      </c>
      <c r="D1340" s="1" t="s">
        <v>24072</v>
      </c>
      <c r="E1340" s="1"/>
      <c r="F1340" s="1" t="s">
        <v>17833</v>
      </c>
      <c r="G1340" s="1" t="s">
        <v>24073</v>
      </c>
      <c r="H1340" s="1" t="s">
        <v>24074</v>
      </c>
      <c r="I1340" s="1" t="s">
        <v>24074</v>
      </c>
      <c r="J1340" s="1">
        <v>9392339170</v>
      </c>
      <c r="K1340" s="1" t="s">
        <v>84</v>
      </c>
      <c r="L1340" s="1" t="s">
        <v>24075</v>
      </c>
      <c r="M1340" s="1" t="s">
        <v>86</v>
      </c>
      <c r="N1340" s="1" t="s">
        <v>24076</v>
      </c>
      <c r="O1340" s="1" t="s">
        <v>24077</v>
      </c>
      <c r="P1340" s="1" t="s">
        <v>89</v>
      </c>
      <c r="Q1340" s="1">
        <v>590793527932</v>
      </c>
      <c r="R1340" s="1" t="s">
        <v>24078</v>
      </c>
      <c r="S1340" s="1">
        <v>6304741883</v>
      </c>
      <c r="T1340" s="1" t="s">
        <v>159</v>
      </c>
      <c r="U1340" s="1" t="s">
        <v>24079</v>
      </c>
      <c r="V1340" s="1">
        <v>6304741883</v>
      </c>
      <c r="W1340" s="1" t="s">
        <v>14212</v>
      </c>
      <c r="X1340" s="1" t="s">
        <v>24080</v>
      </c>
      <c r="Y1340" s="1" t="s">
        <v>3090</v>
      </c>
      <c r="Z1340" s="1" t="s">
        <v>281</v>
      </c>
      <c r="AA1340" s="1" t="s">
        <v>24081</v>
      </c>
      <c r="AB1340" s="1" t="s">
        <v>196</v>
      </c>
      <c r="AC1340" s="1" t="s">
        <v>97</v>
      </c>
      <c r="AD1340" s="1" t="s">
        <v>98</v>
      </c>
      <c r="AE1340" s="1" t="s">
        <v>98</v>
      </c>
      <c r="AF1340" s="1" t="s">
        <v>24082</v>
      </c>
      <c r="AG1340" s="1" t="s">
        <v>3090</v>
      </c>
      <c r="AH1340" s="1" t="s">
        <v>170</v>
      </c>
      <c r="AI1340" s="1" t="s">
        <v>490</v>
      </c>
      <c r="AJ1340" s="1">
        <v>100</v>
      </c>
      <c r="AK1340" s="1">
        <v>10.0</v>
      </c>
      <c r="AL1340" s="1"/>
      <c r="AM1340" s="1"/>
      <c r="AN1340" s="1"/>
      <c r="AO1340" s="1"/>
      <c r="AP1340" s="1"/>
      <c r="AQ1340" s="1"/>
      <c r="AR1340" s="1"/>
      <c r="AS1340" s="1" t="s">
        <v>14158</v>
      </c>
      <c r="AT1340" s="1" t="s">
        <v>24083</v>
      </c>
      <c r="AU1340" s="1" t="s">
        <v>106</v>
      </c>
      <c r="AV1340" s="1" t="s">
        <v>2304</v>
      </c>
      <c r="AW1340" s="1">
        <v>92.98</v>
      </c>
      <c r="AX1340" s="1"/>
      <c r="AY1340" s="1" t="s">
        <v>24084</v>
      </c>
      <c r="AZ1340" s="1" t="s">
        <v>24085</v>
      </c>
      <c r="BA1340" s="1" t="s">
        <v>466</v>
      </c>
      <c r="BB1340" s="1" t="s">
        <v>467</v>
      </c>
      <c r="BC1340" s="1" t="s">
        <v>606</v>
      </c>
      <c r="BD1340" s="1" t="s">
        <v>418</v>
      </c>
      <c r="BE1340" s="1">
        <v>80.7</v>
      </c>
      <c r="BF1340" s="1">
        <v>8.82</v>
      </c>
      <c r="BG1340" s="1"/>
      <c r="BH1340" s="1"/>
      <c r="BI1340" s="1"/>
      <c r="BJ1340" s="1"/>
      <c r="BK1340" s="1"/>
      <c r="BL1340" s="1"/>
      <c r="BM1340" s="1"/>
      <c r="BN1340" s="1"/>
      <c r="BO1340" s="1" t="s">
        <v>24086</v>
      </c>
      <c r="BP1340" s="1" t="s">
        <v>24087</v>
      </c>
      <c r="BQ1340" s="1" t="s">
        <v>292</v>
      </c>
      <c r="BR1340" s="1"/>
      <c r="BS1340" s="1"/>
      <c r="BT1340" s="1"/>
      <c r="BU1340" s="1" t="str">
        <f>HYPERLINK("https://nconnect.nicmar.ac.in/storage/profile/6a85e68526457.png","Download")</f>
        <v>0</v>
      </c>
      <c r="BV1340" s="3"/>
      <c r="BW1340" s="3"/>
    </row>
    <row r="1341" spans="1:75">
      <c r="A1341" s="1" t="s">
        <v>75</v>
      </c>
      <c r="B1341" s="1" t="s">
        <v>13976</v>
      </c>
      <c r="C1341" s="1" t="s">
        <v>24088</v>
      </c>
      <c r="D1341" s="1" t="s">
        <v>24089</v>
      </c>
      <c r="E1341" s="1" t="s">
        <v>812</v>
      </c>
      <c r="F1341" s="1" t="s">
        <v>116</v>
      </c>
      <c r="G1341" s="1" t="s">
        <v>24090</v>
      </c>
      <c r="H1341" s="1" t="s">
        <v>24091</v>
      </c>
      <c r="I1341" s="1" t="s">
        <v>24091</v>
      </c>
      <c r="J1341" s="1">
        <v>9980167850</v>
      </c>
      <c r="K1341" s="1" t="s">
        <v>84</v>
      </c>
      <c r="L1341" s="1" t="s">
        <v>8217</v>
      </c>
      <c r="M1341" s="1" t="s">
        <v>86</v>
      </c>
      <c r="N1341" s="1" t="s">
        <v>24092</v>
      </c>
      <c r="O1341" s="1" t="s">
        <v>24093</v>
      </c>
      <c r="P1341" s="1" t="s">
        <v>1693</v>
      </c>
      <c r="Q1341" s="1">
        <v>212667557821</v>
      </c>
      <c r="R1341" s="1" t="s">
        <v>24094</v>
      </c>
      <c r="S1341" s="1">
        <v>9481175850</v>
      </c>
      <c r="T1341" s="1" t="s">
        <v>24095</v>
      </c>
      <c r="U1341" s="1" t="s">
        <v>24096</v>
      </c>
      <c r="V1341" s="1">
        <v>9448717446</v>
      </c>
      <c r="W1341" s="1" t="s">
        <v>94</v>
      </c>
      <c r="X1341" s="1" t="s">
        <v>24097</v>
      </c>
      <c r="Y1341" s="1" t="s">
        <v>21046</v>
      </c>
      <c r="Z1341" s="1" t="s">
        <v>1210</v>
      </c>
      <c r="AA1341" s="1" t="s">
        <v>24097</v>
      </c>
      <c r="AB1341" s="1" t="s">
        <v>21046</v>
      </c>
      <c r="AC1341" s="1" t="s">
        <v>1210</v>
      </c>
      <c r="AD1341" s="1" t="s">
        <v>98</v>
      </c>
      <c r="AE1341" s="1" t="s">
        <v>98</v>
      </c>
      <c r="AF1341" s="1" t="s">
        <v>24098</v>
      </c>
      <c r="AG1341" s="1" t="s">
        <v>727</v>
      </c>
      <c r="AH1341" s="1" t="s">
        <v>1110</v>
      </c>
      <c r="AI1341" s="1" t="s">
        <v>284</v>
      </c>
      <c r="AJ1341" s="1">
        <v>90.88</v>
      </c>
      <c r="AK1341" s="1"/>
      <c r="AL1341" s="1" t="s">
        <v>24099</v>
      </c>
      <c r="AM1341" s="1" t="s">
        <v>1842</v>
      </c>
      <c r="AN1341" s="1" t="s">
        <v>575</v>
      </c>
      <c r="AO1341" s="1" t="s">
        <v>1396</v>
      </c>
      <c r="AP1341" s="1" t="s">
        <v>286</v>
      </c>
      <c r="AQ1341" s="1">
        <v>81.83</v>
      </c>
      <c r="AR1341" s="1"/>
      <c r="AS1341" s="1"/>
      <c r="AT1341" s="1"/>
      <c r="AU1341" s="1"/>
      <c r="AV1341" s="1"/>
      <c r="AW1341" s="1"/>
      <c r="AX1341" s="1"/>
      <c r="AY1341" s="1" t="s">
        <v>24100</v>
      </c>
      <c r="AZ1341" s="1" t="s">
        <v>6458</v>
      </c>
      <c r="BA1341" s="1" t="s">
        <v>578</v>
      </c>
      <c r="BB1341" s="1" t="s">
        <v>467</v>
      </c>
      <c r="BC1341" s="1" t="s">
        <v>206</v>
      </c>
      <c r="BD1341" s="1" t="s">
        <v>955</v>
      </c>
      <c r="BE1341" s="1">
        <v>78.1</v>
      </c>
      <c r="BF1341" s="1">
        <v>8.56</v>
      </c>
      <c r="BG1341" s="1"/>
      <c r="BH1341" s="1"/>
      <c r="BI1341" s="1"/>
      <c r="BJ1341" s="1"/>
      <c r="BK1341" s="1"/>
      <c r="BL1341" s="1"/>
      <c r="BM1341" s="1"/>
      <c r="BN1341" s="1"/>
      <c r="BO1341" s="1" t="s">
        <v>14382</v>
      </c>
      <c r="BP1341" s="1"/>
      <c r="BQ1341" s="1"/>
      <c r="BR1341" s="1" t="s">
        <v>24101</v>
      </c>
      <c r="BS1341" s="1">
        <v>4</v>
      </c>
      <c r="BT1341" s="1"/>
      <c r="BU1341" s="1" t="str">
        <f>HYPERLINK("https://nconnect.nicmar.ac.in/storage/profile/6a870556b6e1d.png","Download")</f>
        <v>0</v>
      </c>
      <c r="BV1341" s="3"/>
      <c r="BW1341" s="3"/>
    </row>
    <row r="1342" spans="1:75">
      <c r="A1342" s="1" t="s">
        <v>75</v>
      </c>
      <c r="B1342" s="1" t="s">
        <v>13976</v>
      </c>
      <c r="C1342" s="1" t="s">
        <v>24102</v>
      </c>
      <c r="D1342" s="1" t="s">
        <v>24103</v>
      </c>
      <c r="E1342" s="1"/>
      <c r="F1342" s="1" t="s">
        <v>587</v>
      </c>
      <c r="G1342" s="1" t="s">
        <v>24104</v>
      </c>
      <c r="H1342" s="1" t="s">
        <v>24105</v>
      </c>
      <c r="I1342" s="1" t="s">
        <v>24106</v>
      </c>
      <c r="J1342" s="1">
        <v>9566437367</v>
      </c>
      <c r="K1342" s="1" t="s">
        <v>84</v>
      </c>
      <c r="L1342" s="1" t="s">
        <v>13703</v>
      </c>
      <c r="M1342" s="1" t="s">
        <v>86</v>
      </c>
      <c r="N1342" s="1" t="s">
        <v>8816</v>
      </c>
      <c r="O1342" s="1" t="s">
        <v>24107</v>
      </c>
      <c r="P1342" s="1" t="s">
        <v>122</v>
      </c>
      <c r="Q1342" s="1">
        <v>776084116253</v>
      </c>
      <c r="R1342" s="1" t="s">
        <v>24108</v>
      </c>
      <c r="S1342" s="1">
        <v>9442637367</v>
      </c>
      <c r="T1342" s="1" t="s">
        <v>24109</v>
      </c>
      <c r="U1342" s="1" t="s">
        <v>22927</v>
      </c>
      <c r="V1342" s="1">
        <v>8903437367</v>
      </c>
      <c r="W1342" s="1" t="s">
        <v>278</v>
      </c>
      <c r="X1342" s="1" t="s">
        <v>24110</v>
      </c>
      <c r="Y1342" s="1" t="s">
        <v>21474</v>
      </c>
      <c r="Z1342" s="1" t="s">
        <v>570</v>
      </c>
      <c r="AA1342" s="1" t="s">
        <v>24110</v>
      </c>
      <c r="AB1342" s="1" t="s">
        <v>21474</v>
      </c>
      <c r="AC1342" s="1" t="s">
        <v>570</v>
      </c>
      <c r="AD1342" s="1" t="s">
        <v>98</v>
      </c>
      <c r="AE1342" s="1" t="s">
        <v>98</v>
      </c>
      <c r="AF1342" s="1" t="s">
        <v>24111</v>
      </c>
      <c r="AG1342" s="1" t="s">
        <v>24112</v>
      </c>
      <c r="AH1342" s="1" t="s">
        <v>170</v>
      </c>
      <c r="AI1342" s="1" t="s">
        <v>171</v>
      </c>
      <c r="AJ1342" s="1">
        <v>96.2</v>
      </c>
      <c r="AK1342" s="1"/>
      <c r="AL1342" s="1" t="s">
        <v>24113</v>
      </c>
      <c r="AM1342" s="1" t="s">
        <v>24112</v>
      </c>
      <c r="AN1342" s="1" t="s">
        <v>575</v>
      </c>
      <c r="AO1342" s="1" t="s">
        <v>438</v>
      </c>
      <c r="AP1342" s="1" t="s">
        <v>178</v>
      </c>
      <c r="AQ1342" s="1">
        <v>86.16</v>
      </c>
      <c r="AR1342" s="1"/>
      <c r="AS1342" s="1"/>
      <c r="AT1342" s="1"/>
      <c r="AU1342" s="1"/>
      <c r="AV1342" s="1"/>
      <c r="AW1342" s="1"/>
      <c r="AX1342" s="1"/>
      <c r="AY1342" s="1" t="s">
        <v>24114</v>
      </c>
      <c r="AZ1342" s="1" t="s">
        <v>24115</v>
      </c>
      <c r="BA1342" s="1" t="s">
        <v>578</v>
      </c>
      <c r="BB1342" s="1" t="s">
        <v>467</v>
      </c>
      <c r="BC1342" s="1" t="s">
        <v>178</v>
      </c>
      <c r="BD1342" s="1" t="s">
        <v>418</v>
      </c>
      <c r="BE1342" s="1">
        <v>88.6</v>
      </c>
      <c r="BF1342" s="1">
        <v>8.86</v>
      </c>
      <c r="BG1342" s="1"/>
      <c r="BH1342" s="1"/>
      <c r="BI1342" s="1"/>
      <c r="BJ1342" s="1"/>
      <c r="BK1342" s="1"/>
      <c r="BL1342" s="1"/>
      <c r="BM1342" s="1"/>
      <c r="BN1342" s="1"/>
      <c r="BO1342" s="1" t="s">
        <v>24116</v>
      </c>
      <c r="BP1342" s="1"/>
      <c r="BQ1342" s="1"/>
      <c r="BR1342" s="1"/>
      <c r="BS1342" s="1"/>
      <c r="BT1342" s="1"/>
      <c r="BU1342" s="1" t="str">
        <f>HYPERLINK("https://nconnect.nicmar.ac.in/storage/profile/6a8740d2df8af.png","Download")</f>
        <v>0</v>
      </c>
      <c r="BV1342" s="3"/>
      <c r="BW1342" s="3"/>
    </row>
    <row r="1343" spans="1:75">
      <c r="A1343" s="1" t="s">
        <v>75</v>
      </c>
      <c r="B1343" s="1" t="s">
        <v>13976</v>
      </c>
      <c r="C1343" s="1" t="s">
        <v>24117</v>
      </c>
      <c r="D1343" s="1" t="s">
        <v>24118</v>
      </c>
      <c r="E1343" s="1"/>
      <c r="F1343" s="1" t="s">
        <v>20298</v>
      </c>
      <c r="G1343" s="1" t="s">
        <v>24119</v>
      </c>
      <c r="H1343" s="1" t="s">
        <v>24120</v>
      </c>
      <c r="I1343" s="1" t="s">
        <v>24121</v>
      </c>
      <c r="J1343" s="1">
        <v>6205648716</v>
      </c>
      <c r="K1343" s="1" t="s">
        <v>84</v>
      </c>
      <c r="L1343" s="1" t="s">
        <v>24122</v>
      </c>
      <c r="M1343" s="1" t="s">
        <v>86</v>
      </c>
      <c r="N1343" s="1" t="s">
        <v>13274</v>
      </c>
      <c r="O1343" s="1" t="s">
        <v>24123</v>
      </c>
      <c r="P1343" s="1" t="s">
        <v>89</v>
      </c>
      <c r="Q1343" s="1">
        <v>204323309255</v>
      </c>
      <c r="R1343" s="1" t="s">
        <v>24124</v>
      </c>
      <c r="S1343" s="1">
        <v>9717214154</v>
      </c>
      <c r="T1343" s="1" t="s">
        <v>24125</v>
      </c>
      <c r="U1343" s="1" t="s">
        <v>24126</v>
      </c>
      <c r="V1343" s="1">
        <v>7067580924</v>
      </c>
      <c r="W1343" s="1" t="s">
        <v>278</v>
      </c>
      <c r="X1343" s="1" t="s">
        <v>24127</v>
      </c>
      <c r="Y1343" s="1" t="s">
        <v>17752</v>
      </c>
      <c r="Z1343" s="1" t="s">
        <v>649</v>
      </c>
      <c r="AA1343" s="1" t="s">
        <v>24127</v>
      </c>
      <c r="AB1343" s="1" t="s">
        <v>17752</v>
      </c>
      <c r="AC1343" s="1" t="s">
        <v>649</v>
      </c>
      <c r="AD1343" s="1" t="s">
        <v>98</v>
      </c>
      <c r="AE1343" s="1" t="s">
        <v>98</v>
      </c>
      <c r="AF1343" s="1" t="s">
        <v>24128</v>
      </c>
      <c r="AG1343" s="1" t="s">
        <v>24129</v>
      </c>
      <c r="AH1343" s="1" t="s">
        <v>414</v>
      </c>
      <c r="AI1343" s="1" t="s">
        <v>977</v>
      </c>
      <c r="AJ1343" s="1">
        <v>69.67</v>
      </c>
      <c r="AK1343" s="1">
        <v>6.97</v>
      </c>
      <c r="AL1343" s="1"/>
      <c r="AM1343" s="1"/>
      <c r="AN1343" s="1"/>
      <c r="AO1343" s="1"/>
      <c r="AP1343" s="1"/>
      <c r="AQ1343" s="1"/>
      <c r="AR1343" s="1"/>
      <c r="AS1343" s="1" t="s">
        <v>24130</v>
      </c>
      <c r="AT1343" s="1" t="s">
        <v>24131</v>
      </c>
      <c r="AU1343" s="1" t="s">
        <v>468</v>
      </c>
      <c r="AV1343" s="1" t="s">
        <v>234</v>
      </c>
      <c r="AW1343" s="1">
        <v>70.1</v>
      </c>
      <c r="AX1343" s="1">
        <v>7.01</v>
      </c>
      <c r="AY1343" s="1" t="s">
        <v>24132</v>
      </c>
      <c r="AZ1343" s="1" t="s">
        <v>24133</v>
      </c>
      <c r="BA1343" s="1" t="s">
        <v>466</v>
      </c>
      <c r="BB1343" s="1" t="s">
        <v>467</v>
      </c>
      <c r="BC1343" s="1" t="s">
        <v>179</v>
      </c>
      <c r="BD1343" s="1" t="s">
        <v>14162</v>
      </c>
      <c r="BE1343" s="1">
        <v>70</v>
      </c>
      <c r="BF1343" s="1">
        <v>7.0</v>
      </c>
      <c r="BG1343" s="1"/>
      <c r="BH1343" s="1"/>
      <c r="BI1343" s="1"/>
      <c r="BJ1343" s="1"/>
      <c r="BK1343" s="1"/>
      <c r="BL1343" s="1"/>
      <c r="BM1343" s="1"/>
      <c r="BN1343" s="1"/>
      <c r="BO1343" s="1" t="s">
        <v>24134</v>
      </c>
      <c r="BP1343" s="1"/>
      <c r="BQ1343" s="1"/>
      <c r="BR1343" s="1"/>
      <c r="BS1343" s="1"/>
      <c r="BT1343" s="1" t="s">
        <v>24135</v>
      </c>
      <c r="BU1343" s="1" t="str">
        <f>HYPERLINK("https://nconnect.nicmar.ac.in/storage/profile/6a86014235e25.png","Download")</f>
        <v>0</v>
      </c>
      <c r="BV1343" s="3"/>
      <c r="BW1343" s="3"/>
    </row>
    <row r="1344" spans="1:75">
      <c r="A1344" s="1" t="s">
        <v>75</v>
      </c>
      <c r="B1344" s="1" t="s">
        <v>13976</v>
      </c>
      <c r="C1344" s="1" t="s">
        <v>24136</v>
      </c>
      <c r="D1344" s="1" t="s">
        <v>20126</v>
      </c>
      <c r="E1344" s="1" t="s">
        <v>20640</v>
      </c>
      <c r="F1344" s="1" t="s">
        <v>24137</v>
      </c>
      <c r="G1344" s="1" t="s">
        <v>24138</v>
      </c>
      <c r="H1344" s="1" t="s">
        <v>24139</v>
      </c>
      <c r="I1344" s="1" t="s">
        <v>24139</v>
      </c>
      <c r="J1344" s="1">
        <v>8956933381</v>
      </c>
      <c r="K1344" s="1" t="s">
        <v>84</v>
      </c>
      <c r="L1344" s="1" t="s">
        <v>24140</v>
      </c>
      <c r="M1344" s="1" t="s">
        <v>86</v>
      </c>
      <c r="N1344" s="1" t="s">
        <v>768</v>
      </c>
      <c r="O1344" s="1" t="s">
        <v>24141</v>
      </c>
      <c r="P1344" s="1" t="s">
        <v>122</v>
      </c>
      <c r="Q1344" s="1">
        <v>637709566398</v>
      </c>
      <c r="R1344" s="1" t="s">
        <v>24142</v>
      </c>
      <c r="S1344" s="1">
        <v>8983230365</v>
      </c>
      <c r="T1344" s="1" t="s">
        <v>19544</v>
      </c>
      <c r="U1344" s="1" t="s">
        <v>24143</v>
      </c>
      <c r="V1344" s="1">
        <v>9403272385</v>
      </c>
      <c r="W1344" s="1" t="s">
        <v>14154</v>
      </c>
      <c r="X1344" s="1" t="s">
        <v>24144</v>
      </c>
      <c r="Y1344" s="1" t="s">
        <v>410</v>
      </c>
      <c r="Z1344" s="1" t="s">
        <v>97</v>
      </c>
      <c r="AA1344" s="1" t="s">
        <v>24144</v>
      </c>
      <c r="AB1344" s="1" t="s">
        <v>410</v>
      </c>
      <c r="AC1344" s="1" t="s">
        <v>97</v>
      </c>
      <c r="AD1344" s="1" t="s">
        <v>98</v>
      </c>
      <c r="AE1344" s="1" t="s">
        <v>98</v>
      </c>
      <c r="AF1344" s="1" t="s">
        <v>24145</v>
      </c>
      <c r="AG1344" s="1" t="s">
        <v>24146</v>
      </c>
      <c r="AH1344" s="1" t="s">
        <v>438</v>
      </c>
      <c r="AI1344" s="1" t="s">
        <v>603</v>
      </c>
      <c r="AJ1344" s="1">
        <v>85.4</v>
      </c>
      <c r="AK1344" s="1"/>
      <c r="AL1344" s="1" t="s">
        <v>24147</v>
      </c>
      <c r="AM1344" s="1" t="s">
        <v>24146</v>
      </c>
      <c r="AN1344" s="1" t="s">
        <v>465</v>
      </c>
      <c r="AO1344" s="1" t="s">
        <v>847</v>
      </c>
      <c r="AP1344" s="1" t="s">
        <v>1886</v>
      </c>
      <c r="AQ1344" s="1">
        <v>66.33</v>
      </c>
      <c r="AR1344" s="1"/>
      <c r="AS1344" s="1"/>
      <c r="AT1344" s="1"/>
      <c r="AU1344" s="1"/>
      <c r="AV1344" s="1"/>
      <c r="AW1344" s="1"/>
      <c r="AX1344" s="1"/>
      <c r="AY1344" s="1" t="s">
        <v>14884</v>
      </c>
      <c r="AZ1344" s="1" t="s">
        <v>24148</v>
      </c>
      <c r="BA1344" s="1" t="s">
        <v>466</v>
      </c>
      <c r="BB1344" s="1" t="s">
        <v>467</v>
      </c>
      <c r="BC1344" s="1" t="s">
        <v>1889</v>
      </c>
      <c r="BD1344" s="1" t="s">
        <v>9688</v>
      </c>
      <c r="BE1344" s="1">
        <v>63.9</v>
      </c>
      <c r="BF1344" s="1"/>
      <c r="BG1344" s="1"/>
      <c r="BH1344" s="1"/>
      <c r="BI1344" s="1"/>
      <c r="BJ1344" s="1"/>
      <c r="BK1344" s="1"/>
      <c r="BL1344" s="1"/>
      <c r="BM1344" s="1"/>
      <c r="BN1344" s="1"/>
      <c r="BO1344" s="1" t="s">
        <v>1890</v>
      </c>
      <c r="BP1344" s="1"/>
      <c r="BQ1344" s="1"/>
      <c r="BR1344" s="1"/>
      <c r="BS1344" s="1"/>
      <c r="BT1344" s="1"/>
      <c r="BU1344" s="1" t="str">
        <f>HYPERLINK("https://nconnect.nicmar.ac.in/storage/profile/6a86ef03ed2e5.png","Download")</f>
        <v>0</v>
      </c>
      <c r="BV1344" s="3"/>
      <c r="BW1344" s="3"/>
    </row>
    <row r="1345" spans="1:75">
      <c r="A1345" s="1" t="s">
        <v>75</v>
      </c>
      <c r="B1345" s="1" t="s">
        <v>13976</v>
      </c>
      <c r="C1345" s="1" t="s">
        <v>24149</v>
      </c>
      <c r="D1345" s="1" t="s">
        <v>2829</v>
      </c>
      <c r="E1345" s="1" t="s">
        <v>2233</v>
      </c>
      <c r="F1345" s="1" t="s">
        <v>8361</v>
      </c>
      <c r="G1345" s="1" t="s">
        <v>24150</v>
      </c>
      <c r="H1345" s="1" t="s">
        <v>24151</v>
      </c>
      <c r="I1345" s="1" t="s">
        <v>24151</v>
      </c>
      <c r="J1345" s="1">
        <v>9270322565</v>
      </c>
      <c r="K1345" s="1" t="s">
        <v>84</v>
      </c>
      <c r="L1345" s="1" t="s">
        <v>18637</v>
      </c>
      <c r="M1345" s="1" t="s">
        <v>86</v>
      </c>
      <c r="N1345" s="1" t="s">
        <v>4263</v>
      </c>
      <c r="O1345" s="1" t="s">
        <v>24152</v>
      </c>
      <c r="P1345" s="1" t="s">
        <v>1693</v>
      </c>
      <c r="Q1345" s="1">
        <v>358237622783</v>
      </c>
      <c r="R1345" s="1" t="s">
        <v>24153</v>
      </c>
      <c r="S1345" s="1">
        <v>9765612355</v>
      </c>
      <c r="T1345" s="1" t="s">
        <v>13987</v>
      </c>
      <c r="U1345" s="1" t="s">
        <v>24154</v>
      </c>
      <c r="V1345" s="1">
        <v>8669872397</v>
      </c>
      <c r="W1345" s="1" t="s">
        <v>14095</v>
      </c>
      <c r="X1345" s="1" t="s">
        <v>24155</v>
      </c>
      <c r="Y1345" s="1" t="s">
        <v>196</v>
      </c>
      <c r="Z1345" s="1" t="s">
        <v>97</v>
      </c>
      <c r="AA1345" s="1" t="s">
        <v>24155</v>
      </c>
      <c r="AB1345" s="1" t="s">
        <v>196</v>
      </c>
      <c r="AC1345" s="1" t="s">
        <v>97</v>
      </c>
      <c r="AD1345" s="1" t="s">
        <v>98</v>
      </c>
      <c r="AE1345" s="1" t="s">
        <v>98</v>
      </c>
      <c r="AF1345" s="1" t="s">
        <v>24156</v>
      </c>
      <c r="AG1345" s="1" t="s">
        <v>24157</v>
      </c>
      <c r="AH1345" s="1" t="s">
        <v>1111</v>
      </c>
      <c r="AI1345" s="1" t="s">
        <v>178</v>
      </c>
      <c r="AJ1345" s="1">
        <v>83</v>
      </c>
      <c r="AK1345" s="1">
        <v>8.7</v>
      </c>
      <c r="AL1345" s="1" t="s">
        <v>24158</v>
      </c>
      <c r="AM1345" s="1" t="s">
        <v>24159</v>
      </c>
      <c r="AN1345" s="1" t="s">
        <v>465</v>
      </c>
      <c r="AO1345" s="1" t="s">
        <v>1647</v>
      </c>
      <c r="AP1345" s="1" t="s">
        <v>1886</v>
      </c>
      <c r="AQ1345" s="1">
        <v>72</v>
      </c>
      <c r="AR1345" s="1"/>
      <c r="AS1345" s="1"/>
      <c r="AT1345" s="1"/>
      <c r="AU1345" s="1"/>
      <c r="AV1345" s="1"/>
      <c r="AW1345" s="1"/>
      <c r="AX1345" s="1"/>
      <c r="AY1345" s="1" t="s">
        <v>366</v>
      </c>
      <c r="AZ1345" s="1" t="s">
        <v>24160</v>
      </c>
      <c r="BA1345" s="1" t="s">
        <v>578</v>
      </c>
      <c r="BB1345" s="1" t="s">
        <v>467</v>
      </c>
      <c r="BC1345" s="1" t="s">
        <v>1889</v>
      </c>
      <c r="BD1345" s="1" t="s">
        <v>14162</v>
      </c>
      <c r="BE1345" s="1">
        <v>64.9</v>
      </c>
      <c r="BF1345" s="1">
        <v>7.24</v>
      </c>
      <c r="BG1345" s="1"/>
      <c r="BH1345" s="1"/>
      <c r="BI1345" s="1"/>
      <c r="BJ1345" s="1"/>
      <c r="BK1345" s="1"/>
      <c r="BL1345" s="1"/>
      <c r="BM1345" s="1"/>
      <c r="BN1345" s="1"/>
      <c r="BO1345" s="1" t="s">
        <v>24161</v>
      </c>
      <c r="BP1345" s="1"/>
      <c r="BQ1345" s="1"/>
      <c r="BR1345" s="1"/>
      <c r="BS1345" s="1"/>
      <c r="BT1345" s="1"/>
      <c r="BU1345" s="1" t="str">
        <f>HYPERLINK("https://nconnect.nicmar.ac.in/storage/profile/6a873b0019134.png","Download")</f>
        <v>0</v>
      </c>
      <c r="BV1345" s="3"/>
      <c r="BW1345" s="3"/>
    </row>
    <row r="1346" spans="1:75">
      <c r="A1346" s="1" t="s">
        <v>75</v>
      </c>
      <c r="B1346" s="1" t="s">
        <v>13976</v>
      </c>
      <c r="C1346" s="1" t="s">
        <v>24162</v>
      </c>
      <c r="D1346" s="1" t="s">
        <v>13757</v>
      </c>
      <c r="E1346" s="1"/>
      <c r="F1346" s="1" t="s">
        <v>5772</v>
      </c>
      <c r="G1346" s="1" t="s">
        <v>24163</v>
      </c>
      <c r="H1346" s="1" t="s">
        <v>24164</v>
      </c>
      <c r="I1346" s="1" t="s">
        <v>24164</v>
      </c>
      <c r="J1346" s="1">
        <v>9361147618</v>
      </c>
      <c r="K1346" s="1" t="s">
        <v>84</v>
      </c>
      <c r="L1346" s="1" t="s">
        <v>24165</v>
      </c>
      <c r="M1346" s="1" t="s">
        <v>86</v>
      </c>
      <c r="N1346" s="1" t="s">
        <v>12562</v>
      </c>
      <c r="O1346" s="1" t="s">
        <v>24166</v>
      </c>
      <c r="P1346" s="1" t="s">
        <v>219</v>
      </c>
      <c r="Q1346" s="1">
        <v>750928746216</v>
      </c>
      <c r="R1346" s="1" t="s">
        <v>24167</v>
      </c>
      <c r="S1346" s="1">
        <v>9443363669</v>
      </c>
      <c r="T1346" s="1" t="s">
        <v>14134</v>
      </c>
      <c r="U1346" s="1" t="s">
        <v>24168</v>
      </c>
      <c r="V1346" s="1">
        <v>9443363718</v>
      </c>
      <c r="W1346" s="1" t="s">
        <v>3441</v>
      </c>
      <c r="X1346" s="1" t="s">
        <v>24169</v>
      </c>
      <c r="Y1346" s="1" t="s">
        <v>6938</v>
      </c>
      <c r="Z1346" s="1" t="s">
        <v>570</v>
      </c>
      <c r="AA1346" s="1" t="s">
        <v>24169</v>
      </c>
      <c r="AB1346" s="1" t="s">
        <v>6938</v>
      </c>
      <c r="AC1346" s="1" t="s">
        <v>570</v>
      </c>
      <c r="AD1346" s="1" t="s">
        <v>98</v>
      </c>
      <c r="AE1346" s="1" t="s">
        <v>98</v>
      </c>
      <c r="AF1346" s="1" t="s">
        <v>24170</v>
      </c>
      <c r="AG1346" s="1" t="s">
        <v>24171</v>
      </c>
      <c r="AH1346" s="1" t="s">
        <v>414</v>
      </c>
      <c r="AI1346" s="1" t="s">
        <v>603</v>
      </c>
      <c r="AJ1346" s="1">
        <v>88.2</v>
      </c>
      <c r="AK1346" s="1">
        <v>8.82</v>
      </c>
      <c r="AL1346" s="1" t="s">
        <v>24170</v>
      </c>
      <c r="AM1346" s="1" t="s">
        <v>24171</v>
      </c>
      <c r="AN1346" s="1" t="s">
        <v>465</v>
      </c>
      <c r="AO1346" s="1" t="s">
        <v>845</v>
      </c>
      <c r="AP1346" s="1" t="s">
        <v>632</v>
      </c>
      <c r="AQ1346" s="1">
        <v>72.83</v>
      </c>
      <c r="AR1346" s="1">
        <v>7.28</v>
      </c>
      <c r="AS1346" s="1"/>
      <c r="AT1346" s="1"/>
      <c r="AU1346" s="1"/>
      <c r="AV1346" s="1"/>
      <c r="AW1346" s="1"/>
      <c r="AX1346" s="1"/>
      <c r="AY1346" s="1" t="s">
        <v>18058</v>
      </c>
      <c r="AZ1346" s="1" t="s">
        <v>24172</v>
      </c>
      <c r="BA1346" s="1" t="s">
        <v>466</v>
      </c>
      <c r="BB1346" s="1" t="s">
        <v>467</v>
      </c>
      <c r="BC1346" s="1" t="s">
        <v>632</v>
      </c>
      <c r="BD1346" s="1" t="s">
        <v>9688</v>
      </c>
      <c r="BE1346" s="1">
        <v>63.5</v>
      </c>
      <c r="BF1346" s="1">
        <v>6.35</v>
      </c>
      <c r="BG1346" s="1"/>
      <c r="BH1346" s="1"/>
      <c r="BI1346" s="1"/>
      <c r="BJ1346" s="1"/>
      <c r="BK1346" s="1"/>
      <c r="BL1346" s="1"/>
      <c r="BM1346" s="1"/>
      <c r="BN1346" s="1"/>
      <c r="BO1346" s="1" t="s">
        <v>6132</v>
      </c>
      <c r="BP1346" s="1"/>
      <c r="BQ1346" s="1"/>
      <c r="BR1346" s="1" t="s">
        <v>24173</v>
      </c>
      <c r="BS1346" s="1">
        <v>1</v>
      </c>
      <c r="BT1346" s="1" t="s">
        <v>24174</v>
      </c>
      <c r="BU1346" s="1" t="str">
        <f>HYPERLINK("https://nconnect.nicmar.ac.in/storage/profile/6a85ef3294cae.png","Download")</f>
        <v>0</v>
      </c>
      <c r="BV1346" s="3"/>
      <c r="BW1346" s="3"/>
    </row>
    <row r="1347" spans="1:75">
      <c r="A1347" s="1" t="s">
        <v>75</v>
      </c>
      <c r="B1347" s="1" t="s">
        <v>13976</v>
      </c>
      <c r="C1347" s="1" t="s">
        <v>24175</v>
      </c>
      <c r="D1347" s="1" t="s">
        <v>16930</v>
      </c>
      <c r="E1347" s="1"/>
      <c r="F1347" s="1" t="s">
        <v>24176</v>
      </c>
      <c r="G1347" s="1" t="s">
        <v>24177</v>
      </c>
      <c r="H1347" s="1" t="s">
        <v>24178</v>
      </c>
      <c r="I1347" s="1" t="s">
        <v>24178</v>
      </c>
      <c r="J1347" s="1">
        <v>9059327365</v>
      </c>
      <c r="K1347" s="1" t="s">
        <v>84</v>
      </c>
      <c r="L1347" s="1" t="s">
        <v>8534</v>
      </c>
      <c r="M1347" s="1" t="s">
        <v>86</v>
      </c>
      <c r="N1347" s="1" t="s">
        <v>24179</v>
      </c>
      <c r="O1347" s="1" t="s">
        <v>24180</v>
      </c>
      <c r="P1347" s="1" t="s">
        <v>219</v>
      </c>
      <c r="Q1347" s="1">
        <v>675561496291</v>
      </c>
      <c r="R1347" s="1" t="s">
        <v>24181</v>
      </c>
      <c r="S1347" s="1">
        <v>9963334211</v>
      </c>
      <c r="T1347" s="1" t="s">
        <v>13987</v>
      </c>
      <c r="U1347" s="1" t="s">
        <v>24182</v>
      </c>
      <c r="V1347" s="1">
        <v>8897670528</v>
      </c>
      <c r="W1347" s="1" t="s">
        <v>14154</v>
      </c>
      <c r="X1347" s="1" t="s">
        <v>24183</v>
      </c>
      <c r="Y1347" s="1" t="s">
        <v>9001</v>
      </c>
      <c r="Z1347" s="1" t="s">
        <v>461</v>
      </c>
      <c r="AA1347" s="1" t="s">
        <v>24183</v>
      </c>
      <c r="AB1347" s="1" t="s">
        <v>9001</v>
      </c>
      <c r="AC1347" s="1" t="s">
        <v>461</v>
      </c>
      <c r="AD1347" s="1" t="s">
        <v>98</v>
      </c>
      <c r="AE1347" s="1" t="s">
        <v>98</v>
      </c>
      <c r="AF1347" s="1" t="s">
        <v>24184</v>
      </c>
      <c r="AG1347" s="1" t="s">
        <v>24185</v>
      </c>
      <c r="AH1347" s="1" t="s">
        <v>547</v>
      </c>
      <c r="AI1347" s="1" t="s">
        <v>313</v>
      </c>
      <c r="AJ1347" s="1">
        <v>84.5</v>
      </c>
      <c r="AK1347" s="1">
        <v>9.0</v>
      </c>
      <c r="AL1347" s="1"/>
      <c r="AM1347" s="1"/>
      <c r="AN1347" s="1"/>
      <c r="AO1347" s="1"/>
      <c r="AP1347" s="1"/>
      <c r="AQ1347" s="1"/>
      <c r="AR1347" s="1"/>
      <c r="AS1347" s="1" t="s">
        <v>24186</v>
      </c>
      <c r="AT1347" s="1" t="s">
        <v>24187</v>
      </c>
      <c r="AU1347" s="1" t="s">
        <v>438</v>
      </c>
      <c r="AV1347" s="1" t="s">
        <v>632</v>
      </c>
      <c r="AW1347" s="1">
        <v>88.6</v>
      </c>
      <c r="AX1347" s="1">
        <v>9.36</v>
      </c>
      <c r="AY1347" s="1" t="s">
        <v>24188</v>
      </c>
      <c r="AZ1347" s="1" t="s">
        <v>24189</v>
      </c>
      <c r="BA1347" s="1" t="s">
        <v>466</v>
      </c>
      <c r="BB1347" s="1" t="s">
        <v>467</v>
      </c>
      <c r="BC1347" s="1" t="s">
        <v>110</v>
      </c>
      <c r="BD1347" s="1" t="s">
        <v>553</v>
      </c>
      <c r="BE1347" s="1">
        <v>84.1</v>
      </c>
      <c r="BF1347" s="1">
        <v>8.91</v>
      </c>
      <c r="BG1347" s="1"/>
      <c r="BH1347" s="1"/>
      <c r="BI1347" s="1"/>
      <c r="BJ1347" s="1"/>
      <c r="BK1347" s="1"/>
      <c r="BL1347" s="1"/>
      <c r="BM1347" s="1"/>
      <c r="BN1347" s="1"/>
      <c r="BO1347" s="1" t="s">
        <v>24190</v>
      </c>
      <c r="BP1347" s="1" t="s">
        <v>24191</v>
      </c>
      <c r="BQ1347" s="1" t="s">
        <v>471</v>
      </c>
      <c r="BR1347" s="1" t="s">
        <v>24192</v>
      </c>
      <c r="BS1347" s="1">
        <v>4</v>
      </c>
      <c r="BT1347" s="1"/>
      <c r="BU1347" s="1" t="str">
        <f>HYPERLINK("https://nconnect.nicmar.ac.in/storage/profile/6a87290497824.png","Download")</f>
        <v>0</v>
      </c>
      <c r="BV1347" s="3"/>
      <c r="BW1347" s="3"/>
    </row>
    <row r="1348" spans="1:75">
      <c r="A1348" s="1" t="s">
        <v>75</v>
      </c>
      <c r="B1348" s="1" t="s">
        <v>13976</v>
      </c>
      <c r="C1348" s="1" t="s">
        <v>24193</v>
      </c>
      <c r="D1348" s="1" t="s">
        <v>24194</v>
      </c>
      <c r="E1348" s="1"/>
      <c r="F1348" s="1" t="s">
        <v>24195</v>
      </c>
      <c r="G1348" s="1" t="s">
        <v>24196</v>
      </c>
      <c r="H1348" s="1" t="s">
        <v>24197</v>
      </c>
      <c r="I1348" s="1" t="s">
        <v>24197</v>
      </c>
      <c r="J1348" s="1">
        <v>9952705380</v>
      </c>
      <c r="K1348" s="1" t="s">
        <v>84</v>
      </c>
      <c r="L1348" s="1" t="s">
        <v>24198</v>
      </c>
      <c r="M1348" s="1" t="s">
        <v>86</v>
      </c>
      <c r="N1348" s="1" t="s">
        <v>19280</v>
      </c>
      <c r="O1348" s="1" t="s">
        <v>24199</v>
      </c>
      <c r="P1348" s="1" t="s">
        <v>122</v>
      </c>
      <c r="Q1348" s="1">
        <v>510342966178</v>
      </c>
      <c r="R1348" s="1" t="s">
        <v>24200</v>
      </c>
      <c r="S1348" s="1">
        <v>9843161180</v>
      </c>
      <c r="T1348" s="1" t="s">
        <v>1413</v>
      </c>
      <c r="U1348" s="1" t="s">
        <v>24201</v>
      </c>
      <c r="V1348" s="1">
        <v>9698874589</v>
      </c>
      <c r="W1348" s="1" t="s">
        <v>94</v>
      </c>
      <c r="X1348" s="1" t="s">
        <v>24202</v>
      </c>
      <c r="Y1348" s="1" t="s">
        <v>8931</v>
      </c>
      <c r="Z1348" s="1" t="s">
        <v>570</v>
      </c>
      <c r="AA1348" s="1" t="s">
        <v>24202</v>
      </c>
      <c r="AB1348" s="1" t="s">
        <v>8931</v>
      </c>
      <c r="AC1348" s="1" t="s">
        <v>570</v>
      </c>
      <c r="AD1348" s="1" t="s">
        <v>98</v>
      </c>
      <c r="AE1348" s="1" t="s">
        <v>98</v>
      </c>
      <c r="AF1348" s="1" t="s">
        <v>24203</v>
      </c>
      <c r="AG1348" s="1" t="s">
        <v>24204</v>
      </c>
      <c r="AH1348" s="1" t="s">
        <v>167</v>
      </c>
      <c r="AI1348" s="1" t="s">
        <v>200</v>
      </c>
      <c r="AJ1348" s="1">
        <v>96.2</v>
      </c>
      <c r="AK1348" s="1"/>
      <c r="AL1348" s="1" t="s">
        <v>24205</v>
      </c>
      <c r="AM1348" s="1" t="s">
        <v>24204</v>
      </c>
      <c r="AN1348" s="1" t="s">
        <v>575</v>
      </c>
      <c r="AO1348" s="1" t="s">
        <v>106</v>
      </c>
      <c r="AP1348" s="1" t="s">
        <v>414</v>
      </c>
      <c r="AQ1348" s="1">
        <v>83.8</v>
      </c>
      <c r="AR1348" s="1"/>
      <c r="AS1348" s="1"/>
      <c r="AT1348" s="1"/>
      <c r="AU1348" s="1"/>
      <c r="AV1348" s="1"/>
      <c r="AW1348" s="1"/>
      <c r="AX1348" s="1"/>
      <c r="AY1348" s="1" t="s">
        <v>576</v>
      </c>
      <c r="AZ1348" s="1" t="s">
        <v>24206</v>
      </c>
      <c r="BA1348" s="1" t="s">
        <v>578</v>
      </c>
      <c r="BB1348" s="1" t="s">
        <v>467</v>
      </c>
      <c r="BC1348" s="1" t="s">
        <v>1040</v>
      </c>
      <c r="BD1348" s="1" t="s">
        <v>418</v>
      </c>
      <c r="BE1348" s="1">
        <v>84.2</v>
      </c>
      <c r="BF1348" s="1">
        <v>8.42</v>
      </c>
      <c r="BG1348" s="1"/>
      <c r="BH1348" s="1"/>
      <c r="BI1348" s="1"/>
      <c r="BJ1348" s="1"/>
      <c r="BK1348" s="1"/>
      <c r="BL1348" s="1"/>
      <c r="BM1348" s="1"/>
      <c r="BN1348" s="1"/>
      <c r="BO1348" s="1" t="s">
        <v>24207</v>
      </c>
      <c r="BP1348" s="1" t="s">
        <v>24208</v>
      </c>
      <c r="BQ1348" s="1" t="s">
        <v>658</v>
      </c>
      <c r="BR1348" s="1"/>
      <c r="BS1348" s="1"/>
      <c r="BT1348" s="1"/>
      <c r="BU1348" s="1" t="str">
        <f>HYPERLINK("https://nconnect.nicmar.ac.in/storage/profile/6a871bbcd5f75.png","Download")</f>
        <v>0</v>
      </c>
      <c r="BV1348" s="3"/>
      <c r="BW1348" s="3"/>
    </row>
    <row r="1349" spans="1:75">
      <c r="A1349" s="1" t="s">
        <v>75</v>
      </c>
      <c r="B1349" s="1" t="s">
        <v>13976</v>
      </c>
      <c r="C1349" s="1" t="s">
        <v>24209</v>
      </c>
      <c r="D1349" s="1" t="s">
        <v>17760</v>
      </c>
      <c r="E1349" s="1"/>
      <c r="F1349" s="1" t="s">
        <v>16713</v>
      </c>
      <c r="G1349" s="1" t="s">
        <v>24210</v>
      </c>
      <c r="H1349" s="1" t="s">
        <v>24211</v>
      </c>
      <c r="I1349" s="1" t="s">
        <v>24211</v>
      </c>
      <c r="J1349" s="1">
        <v>9296153119</v>
      </c>
      <c r="K1349" s="1" t="s">
        <v>84</v>
      </c>
      <c r="L1349" s="1" t="s">
        <v>2968</v>
      </c>
      <c r="M1349" s="1" t="s">
        <v>86</v>
      </c>
      <c r="N1349" s="1" t="s">
        <v>20887</v>
      </c>
      <c r="O1349" s="1" t="s">
        <v>24212</v>
      </c>
      <c r="P1349" s="1" t="s">
        <v>122</v>
      </c>
      <c r="Q1349" s="1">
        <v>779698772018</v>
      </c>
      <c r="R1349" s="1" t="s">
        <v>24213</v>
      </c>
      <c r="S1349" s="1">
        <v>9939186211</v>
      </c>
      <c r="T1349" s="1" t="s">
        <v>14116</v>
      </c>
      <c r="U1349" s="1" t="s">
        <v>24214</v>
      </c>
      <c r="V1349" s="1">
        <v>7061500964</v>
      </c>
      <c r="W1349" s="1" t="s">
        <v>14154</v>
      </c>
      <c r="X1349" s="1" t="s">
        <v>24215</v>
      </c>
      <c r="Y1349" s="1" t="s">
        <v>24216</v>
      </c>
      <c r="Z1349" s="1" t="s">
        <v>2955</v>
      </c>
      <c r="AA1349" s="1" t="s">
        <v>24217</v>
      </c>
      <c r="AB1349" s="1" t="s">
        <v>196</v>
      </c>
      <c r="AC1349" s="1" t="s">
        <v>97</v>
      </c>
      <c r="AD1349" s="1" t="s">
        <v>98</v>
      </c>
      <c r="AE1349" s="1" t="s">
        <v>98</v>
      </c>
      <c r="AF1349" s="1" t="s">
        <v>24210</v>
      </c>
      <c r="AG1349" s="1" t="s">
        <v>24218</v>
      </c>
      <c r="AH1349" s="1" t="s">
        <v>1213</v>
      </c>
      <c r="AI1349" s="1" t="s">
        <v>1262</v>
      </c>
      <c r="AJ1349" s="1">
        <v>93.1</v>
      </c>
      <c r="AK1349" s="1">
        <v>9.8</v>
      </c>
      <c r="AL1349" s="1" t="s">
        <v>24210</v>
      </c>
      <c r="AM1349" s="1" t="s">
        <v>24219</v>
      </c>
      <c r="AN1349" s="1" t="s">
        <v>465</v>
      </c>
      <c r="AO1349" s="1" t="s">
        <v>101</v>
      </c>
      <c r="AP1349" s="1" t="s">
        <v>627</v>
      </c>
      <c r="AQ1349" s="1">
        <v>92.0</v>
      </c>
      <c r="AR1349" s="1"/>
      <c r="AS1349" s="1"/>
      <c r="AT1349" s="1"/>
      <c r="AU1349" s="1"/>
      <c r="AV1349" s="1"/>
      <c r="AW1349" s="1"/>
      <c r="AX1349" s="1"/>
      <c r="AY1349" s="1" t="s">
        <v>14436</v>
      </c>
      <c r="AZ1349" s="1" t="s">
        <v>24220</v>
      </c>
      <c r="BA1349" s="1" t="s">
        <v>578</v>
      </c>
      <c r="BB1349" s="1" t="s">
        <v>467</v>
      </c>
      <c r="BC1349" s="1" t="s">
        <v>167</v>
      </c>
      <c r="BD1349" s="1" t="s">
        <v>890</v>
      </c>
      <c r="BE1349" s="1">
        <v>77.5</v>
      </c>
      <c r="BF1349" s="1">
        <v>8.5</v>
      </c>
      <c r="BG1349" s="1"/>
      <c r="BH1349" s="1"/>
      <c r="BI1349" s="1"/>
      <c r="BJ1349" s="1"/>
      <c r="BK1349" s="1"/>
      <c r="BL1349" s="1"/>
      <c r="BM1349" s="1"/>
      <c r="BN1349" s="1"/>
      <c r="BO1349" s="1" t="s">
        <v>369</v>
      </c>
      <c r="BP1349" s="1"/>
      <c r="BQ1349" s="1"/>
      <c r="BR1349" s="1"/>
      <c r="BS1349" s="1"/>
      <c r="BT1349" s="1" t="s">
        <v>24221</v>
      </c>
      <c r="BU1349" s="1" t="str">
        <f>HYPERLINK("https://nconnect.nicmar.ac.in/storage/profile/6a8748e232fda.png","Download")</f>
        <v>0</v>
      </c>
      <c r="BV1349" s="3"/>
      <c r="BW1349" s="3"/>
    </row>
    <row r="1350" spans="1:75">
      <c r="A1350" s="1" t="s">
        <v>75</v>
      </c>
      <c r="B1350" s="1" t="s">
        <v>13976</v>
      </c>
      <c r="C1350" s="1" t="s">
        <v>24222</v>
      </c>
      <c r="D1350" s="1" t="s">
        <v>22716</v>
      </c>
      <c r="E1350" s="1" t="s">
        <v>24223</v>
      </c>
      <c r="F1350" s="1" t="s">
        <v>15726</v>
      </c>
      <c r="G1350" s="1" t="s">
        <v>24224</v>
      </c>
      <c r="H1350" s="1" t="s">
        <v>24225</v>
      </c>
      <c r="I1350" s="1" t="s">
        <v>24225</v>
      </c>
      <c r="J1350" s="1">
        <v>9348538118</v>
      </c>
      <c r="K1350" s="1" t="s">
        <v>84</v>
      </c>
      <c r="L1350" s="1" t="s">
        <v>20285</v>
      </c>
      <c r="M1350" s="1" t="s">
        <v>86</v>
      </c>
      <c r="N1350" s="1" t="s">
        <v>24226</v>
      </c>
      <c r="O1350" s="1" t="s">
        <v>24227</v>
      </c>
      <c r="P1350" s="1" t="s">
        <v>219</v>
      </c>
      <c r="Q1350" s="1">
        <v>672420623560</v>
      </c>
      <c r="R1350" s="1" t="s">
        <v>24228</v>
      </c>
      <c r="S1350" s="1">
        <v>9437168018</v>
      </c>
      <c r="T1350" s="1" t="s">
        <v>24229</v>
      </c>
      <c r="U1350" s="1" t="s">
        <v>24230</v>
      </c>
      <c r="V1350" s="1">
        <v>8249530486</v>
      </c>
      <c r="W1350" s="1" t="s">
        <v>14154</v>
      </c>
      <c r="X1350" s="1" t="s">
        <v>24231</v>
      </c>
      <c r="Y1350" s="1" t="s">
        <v>20810</v>
      </c>
      <c r="Z1350" s="1" t="s">
        <v>865</v>
      </c>
      <c r="AA1350" s="1" t="s">
        <v>24231</v>
      </c>
      <c r="AB1350" s="1" t="s">
        <v>20810</v>
      </c>
      <c r="AC1350" s="1" t="s">
        <v>865</v>
      </c>
      <c r="AD1350" s="1" t="s">
        <v>98</v>
      </c>
      <c r="AE1350" s="1" t="s">
        <v>98</v>
      </c>
      <c r="AF1350" s="1" t="s">
        <v>24232</v>
      </c>
      <c r="AG1350" s="1" t="s">
        <v>24233</v>
      </c>
      <c r="AH1350" s="1" t="s">
        <v>573</v>
      </c>
      <c r="AI1350" s="1" t="s">
        <v>286</v>
      </c>
      <c r="AJ1350" s="1">
        <v>87.2</v>
      </c>
      <c r="AK1350" s="1"/>
      <c r="AL1350" s="1" t="s">
        <v>24232</v>
      </c>
      <c r="AM1350" s="1" t="s">
        <v>24233</v>
      </c>
      <c r="AN1350" s="1" t="s">
        <v>575</v>
      </c>
      <c r="AO1350" s="1" t="s">
        <v>106</v>
      </c>
      <c r="AP1350" s="1" t="s">
        <v>603</v>
      </c>
      <c r="AQ1350" s="1">
        <v>81.6</v>
      </c>
      <c r="AR1350" s="1"/>
      <c r="AS1350" s="1"/>
      <c r="AT1350" s="1"/>
      <c r="AU1350" s="1"/>
      <c r="AV1350" s="1"/>
      <c r="AW1350" s="1"/>
      <c r="AX1350" s="1"/>
      <c r="AY1350" s="1" t="s">
        <v>4441</v>
      </c>
      <c r="AZ1350" s="1" t="s">
        <v>24234</v>
      </c>
      <c r="BA1350" s="1" t="s">
        <v>466</v>
      </c>
      <c r="BB1350" s="1" t="s">
        <v>467</v>
      </c>
      <c r="BC1350" s="1" t="s">
        <v>468</v>
      </c>
      <c r="BD1350" s="1" t="s">
        <v>5340</v>
      </c>
      <c r="BE1350" s="1">
        <v>61.1</v>
      </c>
      <c r="BF1350" s="1"/>
      <c r="BG1350" s="1"/>
      <c r="BH1350" s="1"/>
      <c r="BI1350" s="1"/>
      <c r="BJ1350" s="1"/>
      <c r="BK1350" s="1"/>
      <c r="BL1350" s="1"/>
      <c r="BM1350" s="1"/>
      <c r="BN1350" s="1"/>
      <c r="BO1350" s="1" t="s">
        <v>24235</v>
      </c>
      <c r="BP1350" s="1"/>
      <c r="BQ1350" s="1"/>
      <c r="BR1350" s="1"/>
      <c r="BS1350" s="1"/>
      <c r="BT1350" s="1"/>
      <c r="BU1350" s="1" t="str">
        <f>HYPERLINK("https://nconnect.nicmar.ac.in/storage/profile/6a8714bc0b084.png","Download")</f>
        <v>0</v>
      </c>
      <c r="BV1350" s="3"/>
      <c r="BW1350" s="3"/>
    </row>
    <row r="1351" spans="1:75">
      <c r="A1351" s="1" t="s">
        <v>75</v>
      </c>
      <c r="B1351" s="1" t="s">
        <v>13976</v>
      </c>
      <c r="C1351" s="1" t="s">
        <v>24236</v>
      </c>
      <c r="D1351" s="1" t="s">
        <v>24237</v>
      </c>
      <c r="E1351" s="1" t="s">
        <v>24238</v>
      </c>
      <c r="F1351" s="1" t="s">
        <v>14460</v>
      </c>
      <c r="G1351" s="1" t="s">
        <v>24239</v>
      </c>
      <c r="H1351" s="1" t="s">
        <v>24240</v>
      </c>
      <c r="I1351" s="1" t="s">
        <v>24240</v>
      </c>
      <c r="J1351" s="1">
        <v>8277070326</v>
      </c>
      <c r="K1351" s="1" t="s">
        <v>153</v>
      </c>
      <c r="L1351" s="1" t="s">
        <v>11790</v>
      </c>
      <c r="M1351" s="1" t="s">
        <v>86</v>
      </c>
      <c r="N1351" s="1" t="s">
        <v>4412</v>
      </c>
      <c r="O1351" s="1" t="s">
        <v>24241</v>
      </c>
      <c r="P1351" s="1" t="s">
        <v>219</v>
      </c>
      <c r="Q1351" s="1">
        <v>443136167014</v>
      </c>
      <c r="R1351" s="1" t="s">
        <v>24242</v>
      </c>
      <c r="S1351" s="1">
        <v>9449809549</v>
      </c>
      <c r="T1351" s="1" t="s">
        <v>24243</v>
      </c>
      <c r="U1351" s="1" t="s">
        <v>24244</v>
      </c>
      <c r="V1351" s="1">
        <v>9449809549</v>
      </c>
      <c r="W1351" s="1" t="s">
        <v>24245</v>
      </c>
      <c r="X1351" s="1" t="s">
        <v>24246</v>
      </c>
      <c r="Y1351" s="1" t="s">
        <v>3011</v>
      </c>
      <c r="Z1351" s="1" t="s">
        <v>1210</v>
      </c>
      <c r="AA1351" s="1" t="s">
        <v>24247</v>
      </c>
      <c r="AB1351" s="1" t="s">
        <v>3011</v>
      </c>
      <c r="AC1351" s="1" t="s">
        <v>1210</v>
      </c>
      <c r="AD1351" s="1" t="s">
        <v>98</v>
      </c>
      <c r="AE1351" s="1" t="s">
        <v>98</v>
      </c>
      <c r="AF1351" s="1" t="s">
        <v>24248</v>
      </c>
      <c r="AG1351" s="1" t="s">
        <v>24249</v>
      </c>
      <c r="AH1351" s="1" t="s">
        <v>284</v>
      </c>
      <c r="AI1351" s="1" t="s">
        <v>704</v>
      </c>
      <c r="AJ1351" s="1">
        <v>88.64</v>
      </c>
      <c r="AK1351" s="1"/>
      <c r="AL1351" s="1" t="s">
        <v>24250</v>
      </c>
      <c r="AM1351" s="1" t="s">
        <v>24251</v>
      </c>
      <c r="AN1351" s="1" t="s">
        <v>575</v>
      </c>
      <c r="AO1351" s="1" t="s">
        <v>286</v>
      </c>
      <c r="AP1351" s="1" t="s">
        <v>414</v>
      </c>
      <c r="AQ1351" s="1">
        <v>85.33</v>
      </c>
      <c r="AR1351" s="1"/>
      <c r="AS1351" s="1"/>
      <c r="AT1351" s="1"/>
      <c r="AU1351" s="1"/>
      <c r="AV1351" s="1"/>
      <c r="AW1351" s="1"/>
      <c r="AX1351" s="1"/>
      <c r="AY1351" s="1" t="s">
        <v>15972</v>
      </c>
      <c r="AZ1351" s="1" t="s">
        <v>24252</v>
      </c>
      <c r="BA1351" s="1" t="s">
        <v>682</v>
      </c>
      <c r="BB1351" s="1" t="s">
        <v>1561</v>
      </c>
      <c r="BC1351" s="1" t="s">
        <v>315</v>
      </c>
      <c r="BD1351" s="1" t="s">
        <v>1089</v>
      </c>
      <c r="BE1351" s="1">
        <v>68.6</v>
      </c>
      <c r="BF1351" s="1">
        <v>7.61</v>
      </c>
      <c r="BG1351" s="1"/>
      <c r="BH1351" s="1"/>
      <c r="BI1351" s="1"/>
      <c r="BJ1351" s="1"/>
      <c r="BK1351" s="1"/>
      <c r="BL1351" s="1"/>
      <c r="BM1351" s="1"/>
      <c r="BN1351" s="1"/>
      <c r="BO1351" s="1" t="s">
        <v>24253</v>
      </c>
      <c r="BP1351" s="1" t="s">
        <v>24254</v>
      </c>
      <c r="BQ1351" s="1" t="s">
        <v>292</v>
      </c>
      <c r="BR1351" s="1" t="s">
        <v>24255</v>
      </c>
      <c r="BS1351" s="1">
        <v>25</v>
      </c>
      <c r="BT1351" s="1" t="s">
        <v>24256</v>
      </c>
      <c r="BU1351" s="1" t="str">
        <f>HYPERLINK("https://nconnect.nicmar.ac.in/storage/profile/6a8721dca067b.png","Download")</f>
        <v>0</v>
      </c>
      <c r="BV1351" s="3"/>
      <c r="BW1351" s="3"/>
    </row>
    <row r="1352" spans="1:75">
      <c r="A1352" s="1" t="s">
        <v>75</v>
      </c>
      <c r="B1352" s="1" t="s">
        <v>13976</v>
      </c>
      <c r="C1352" s="1" t="s">
        <v>24257</v>
      </c>
      <c r="D1352" s="1" t="s">
        <v>16397</v>
      </c>
      <c r="E1352" s="1" t="s">
        <v>14908</v>
      </c>
      <c r="F1352" s="1" t="s">
        <v>24258</v>
      </c>
      <c r="G1352" s="1" t="s">
        <v>24259</v>
      </c>
      <c r="H1352" s="1" t="s">
        <v>24260</v>
      </c>
      <c r="I1352" s="1" t="s">
        <v>24261</v>
      </c>
      <c r="J1352" s="1">
        <v>9981968569</v>
      </c>
      <c r="K1352" s="1" t="s">
        <v>84</v>
      </c>
      <c r="L1352" s="1" t="s">
        <v>24262</v>
      </c>
      <c r="M1352" s="1" t="s">
        <v>155</v>
      </c>
      <c r="N1352" s="1" t="s">
        <v>8293</v>
      </c>
      <c r="O1352" s="1" t="s">
        <v>24263</v>
      </c>
      <c r="P1352" s="1" t="s">
        <v>219</v>
      </c>
      <c r="Q1352" s="1">
        <v>465184498456</v>
      </c>
      <c r="R1352" s="1" t="s">
        <v>24264</v>
      </c>
      <c r="S1352" s="1">
        <v>7771902239</v>
      </c>
      <c r="T1352" s="1" t="s">
        <v>24265</v>
      </c>
      <c r="U1352" s="1" t="s">
        <v>24266</v>
      </c>
      <c r="V1352" s="1">
        <v>8085997401</v>
      </c>
      <c r="W1352" s="1" t="s">
        <v>15148</v>
      </c>
      <c r="X1352" s="1" t="s">
        <v>24267</v>
      </c>
      <c r="Y1352" s="1" t="s">
        <v>24268</v>
      </c>
      <c r="Z1352" s="1" t="s">
        <v>3419</v>
      </c>
      <c r="AA1352" s="1" t="s">
        <v>24267</v>
      </c>
      <c r="AB1352" s="1" t="s">
        <v>24268</v>
      </c>
      <c r="AC1352" s="1" t="s">
        <v>3419</v>
      </c>
      <c r="AD1352" s="1" t="s">
        <v>98</v>
      </c>
      <c r="AE1352" s="1" t="s">
        <v>98</v>
      </c>
      <c r="AF1352" s="1" t="s">
        <v>24259</v>
      </c>
      <c r="AG1352" s="1" t="s">
        <v>24269</v>
      </c>
      <c r="AH1352" s="1" t="s">
        <v>13871</v>
      </c>
      <c r="AI1352" s="1" t="s">
        <v>2156</v>
      </c>
      <c r="AJ1352" s="1">
        <v>70.2</v>
      </c>
      <c r="AK1352" s="1" t="s">
        <v>24270</v>
      </c>
      <c r="AL1352" s="1" t="s">
        <v>24259</v>
      </c>
      <c r="AM1352" s="1" t="s">
        <v>24269</v>
      </c>
      <c r="AN1352" s="1" t="s">
        <v>465</v>
      </c>
      <c r="AO1352" s="1" t="s">
        <v>798</v>
      </c>
      <c r="AP1352" s="1" t="s">
        <v>1393</v>
      </c>
      <c r="AQ1352" s="1">
        <v>77.2</v>
      </c>
      <c r="AR1352" s="1">
        <v>7.72</v>
      </c>
      <c r="AS1352" s="1"/>
      <c r="AT1352" s="1"/>
      <c r="AU1352" s="1"/>
      <c r="AV1352" s="1"/>
      <c r="AW1352" s="1"/>
      <c r="AX1352" s="1"/>
      <c r="AY1352" s="1" t="s">
        <v>24271</v>
      </c>
      <c r="AZ1352" s="1" t="s">
        <v>24272</v>
      </c>
      <c r="BA1352" s="1" t="s">
        <v>578</v>
      </c>
      <c r="BB1352" s="1" t="s">
        <v>467</v>
      </c>
      <c r="BC1352" s="1" t="s">
        <v>24273</v>
      </c>
      <c r="BD1352" s="1" t="s">
        <v>101</v>
      </c>
      <c r="BE1352" s="1">
        <v>62.69</v>
      </c>
      <c r="BF1352" s="1">
        <v>6.27</v>
      </c>
      <c r="BG1352" s="1"/>
      <c r="BH1352" s="1"/>
      <c r="BI1352" s="1"/>
      <c r="BJ1352" s="1"/>
      <c r="BK1352" s="1"/>
      <c r="BL1352" s="1"/>
      <c r="BM1352" s="1"/>
      <c r="BN1352" s="1"/>
      <c r="BO1352" s="1" t="s">
        <v>24274</v>
      </c>
      <c r="BP1352" s="1" t="s">
        <v>24275</v>
      </c>
      <c r="BQ1352" s="1" t="s">
        <v>24276</v>
      </c>
      <c r="BR1352" s="1" t="s">
        <v>24277</v>
      </c>
      <c r="BS1352" s="1">
        <v>3</v>
      </c>
      <c r="BT1352" s="1" t="s">
        <v>24278</v>
      </c>
      <c r="BU1352" s="1" t="str">
        <f>HYPERLINK("https://nconnect.nicmar.ac.in/storage/profile/6a8720ce0419e.png","Download")</f>
        <v>0</v>
      </c>
      <c r="BV1352" s="3"/>
      <c r="BW1352" s="3"/>
    </row>
    <row r="1353" spans="1:75">
      <c r="A1353" s="1" t="s">
        <v>75</v>
      </c>
      <c r="B1353" s="1" t="s">
        <v>13976</v>
      </c>
      <c r="C1353" s="1" t="s">
        <v>24279</v>
      </c>
      <c r="D1353" s="1" t="s">
        <v>24280</v>
      </c>
      <c r="E1353" s="1" t="s">
        <v>149</v>
      </c>
      <c r="F1353" s="1" t="s">
        <v>1179</v>
      </c>
      <c r="G1353" s="1" t="s">
        <v>24281</v>
      </c>
      <c r="H1353" s="1" t="s">
        <v>24282</v>
      </c>
      <c r="I1353" s="1" t="s">
        <v>24282</v>
      </c>
      <c r="J1353" s="1">
        <v>9607180465</v>
      </c>
      <c r="K1353" s="1" t="s">
        <v>153</v>
      </c>
      <c r="L1353" s="1" t="s">
        <v>24283</v>
      </c>
      <c r="M1353" s="1" t="s">
        <v>86</v>
      </c>
      <c r="N1353" s="1" t="s">
        <v>24284</v>
      </c>
      <c r="O1353" s="1" t="s">
        <v>24285</v>
      </c>
      <c r="P1353" s="1" t="s">
        <v>122</v>
      </c>
      <c r="Q1353" s="1">
        <v>968184836516</v>
      </c>
      <c r="R1353" s="1" t="s">
        <v>17194</v>
      </c>
      <c r="S1353" s="1">
        <v>9422286480</v>
      </c>
      <c r="T1353" s="1" t="s">
        <v>14800</v>
      </c>
      <c r="U1353" s="1" t="s">
        <v>24286</v>
      </c>
      <c r="V1353" s="1">
        <v>7588319867</v>
      </c>
      <c r="W1353" s="1" t="s">
        <v>14154</v>
      </c>
      <c r="X1353" s="1" t="s">
        <v>24287</v>
      </c>
      <c r="Y1353" s="1" t="s">
        <v>5659</v>
      </c>
      <c r="Z1353" s="1" t="s">
        <v>97</v>
      </c>
      <c r="AA1353" s="1" t="s">
        <v>24287</v>
      </c>
      <c r="AB1353" s="1" t="s">
        <v>5659</v>
      </c>
      <c r="AC1353" s="1" t="s">
        <v>97</v>
      </c>
      <c r="AD1353" s="1" t="s">
        <v>98</v>
      </c>
      <c r="AE1353" s="1" t="s">
        <v>98</v>
      </c>
      <c r="AF1353" s="1" t="s">
        <v>24288</v>
      </c>
      <c r="AG1353" s="1" t="s">
        <v>24289</v>
      </c>
      <c r="AH1353" s="1" t="s">
        <v>170</v>
      </c>
      <c r="AI1353" s="1" t="s">
        <v>286</v>
      </c>
      <c r="AJ1353" s="1">
        <v>77.8</v>
      </c>
      <c r="AK1353" s="1"/>
      <c r="AL1353" s="1" t="s">
        <v>24290</v>
      </c>
      <c r="AM1353" s="1" t="s">
        <v>24291</v>
      </c>
      <c r="AN1353" s="1" t="s">
        <v>575</v>
      </c>
      <c r="AO1353" s="1" t="s">
        <v>468</v>
      </c>
      <c r="AP1353" s="1" t="s">
        <v>1192</v>
      </c>
      <c r="AQ1353" s="1">
        <v>66.62</v>
      </c>
      <c r="AR1353" s="1"/>
      <c r="AS1353" s="1"/>
      <c r="AT1353" s="1"/>
      <c r="AU1353" s="1"/>
      <c r="AV1353" s="1"/>
      <c r="AW1353" s="1"/>
      <c r="AX1353" s="1"/>
      <c r="AY1353" s="1" t="s">
        <v>24292</v>
      </c>
      <c r="AZ1353" s="1" t="s">
        <v>24293</v>
      </c>
      <c r="BA1353" s="1" t="s">
        <v>682</v>
      </c>
      <c r="BB1353" s="1" t="s">
        <v>1561</v>
      </c>
      <c r="BC1353" s="1" t="s">
        <v>847</v>
      </c>
      <c r="BD1353" s="1" t="s">
        <v>8670</v>
      </c>
      <c r="BE1353" s="1">
        <v>7.06</v>
      </c>
      <c r="BF1353" s="1"/>
      <c r="BG1353" s="1"/>
      <c r="BH1353" s="1"/>
      <c r="BI1353" s="1"/>
      <c r="BJ1353" s="1"/>
      <c r="BK1353" s="1"/>
      <c r="BL1353" s="1"/>
      <c r="BM1353" s="1"/>
      <c r="BN1353" s="1"/>
      <c r="BO1353" s="1" t="s">
        <v>24294</v>
      </c>
      <c r="BP1353" s="1" t="s">
        <v>24295</v>
      </c>
      <c r="BQ1353" s="1" t="s">
        <v>2577</v>
      </c>
      <c r="BR1353" s="1" t="s">
        <v>24296</v>
      </c>
      <c r="BS1353" s="1">
        <v>21</v>
      </c>
      <c r="BT1353" s="1" t="s">
        <v>24297</v>
      </c>
      <c r="BU1353" s="1" t="str">
        <f>HYPERLINK("https://nconnect.nicmar.ac.in/storage/profile/6a872efb08d54.png","Download")</f>
        <v>0</v>
      </c>
      <c r="BV1353" s="3"/>
      <c r="BW1353" s="3"/>
    </row>
    <row r="1354" spans="1:75">
      <c r="A1354" s="1" t="s">
        <v>75</v>
      </c>
      <c r="B1354" s="1" t="s">
        <v>13976</v>
      </c>
      <c r="C1354" s="1" t="s">
        <v>24298</v>
      </c>
      <c r="D1354" s="1" t="s">
        <v>24299</v>
      </c>
      <c r="E1354" s="1" t="s">
        <v>24300</v>
      </c>
      <c r="F1354" s="1" t="s">
        <v>15430</v>
      </c>
      <c r="G1354" s="1" t="s">
        <v>24301</v>
      </c>
      <c r="H1354" s="1" t="s">
        <v>24302</v>
      </c>
      <c r="I1354" s="1" t="s">
        <v>24302</v>
      </c>
      <c r="J1354" s="1">
        <v>9579079897</v>
      </c>
      <c r="K1354" s="1" t="s">
        <v>153</v>
      </c>
      <c r="L1354" s="1" t="s">
        <v>24303</v>
      </c>
      <c r="M1354" s="1" t="s">
        <v>86</v>
      </c>
      <c r="N1354" s="1" t="s">
        <v>1595</v>
      </c>
      <c r="O1354" s="1" t="s">
        <v>24304</v>
      </c>
      <c r="P1354" s="1" t="s">
        <v>122</v>
      </c>
      <c r="Q1354" s="1">
        <v>814316501587</v>
      </c>
      <c r="R1354" s="1" t="s">
        <v>24305</v>
      </c>
      <c r="S1354" s="1">
        <v>9764500732</v>
      </c>
      <c r="T1354" s="1" t="s">
        <v>24306</v>
      </c>
      <c r="U1354" s="1" t="s">
        <v>24307</v>
      </c>
      <c r="V1354" s="1">
        <v>9763095767</v>
      </c>
      <c r="W1354" s="1" t="s">
        <v>14154</v>
      </c>
      <c r="X1354" s="1" t="s">
        <v>24308</v>
      </c>
      <c r="Y1354" s="1" t="s">
        <v>224</v>
      </c>
      <c r="Z1354" s="1" t="s">
        <v>97</v>
      </c>
      <c r="AA1354" s="1" t="s">
        <v>24309</v>
      </c>
      <c r="AB1354" s="1" t="s">
        <v>196</v>
      </c>
      <c r="AC1354" s="1" t="s">
        <v>97</v>
      </c>
      <c r="AD1354" s="1" t="s">
        <v>98</v>
      </c>
      <c r="AE1354" s="1" t="s">
        <v>98</v>
      </c>
      <c r="AF1354" s="1"/>
      <c r="AG1354" s="1"/>
      <c r="AH1354" s="1"/>
      <c r="AI1354" s="1"/>
      <c r="AJ1354" s="1"/>
      <c r="AK1354" s="1"/>
      <c r="AL1354" s="1"/>
      <c r="AM1354" s="1"/>
      <c r="AN1354" s="1"/>
      <c r="AO1354" s="1"/>
      <c r="AP1354" s="1"/>
      <c r="AQ1354" s="1"/>
      <c r="AR1354" s="1"/>
      <c r="AS1354" s="1"/>
      <c r="AT1354" s="1"/>
      <c r="AU1354" s="1"/>
      <c r="AV1354" s="1"/>
      <c r="AW1354" s="1"/>
      <c r="AX1354" s="1"/>
      <c r="AY1354" s="1"/>
      <c r="AZ1354" s="1"/>
      <c r="BA1354" s="1"/>
      <c r="BB1354" s="1"/>
      <c r="BC1354" s="1"/>
      <c r="BD1354" s="1"/>
      <c r="BE1354" s="1"/>
      <c r="BF1354" s="1"/>
      <c r="BG1354" s="1"/>
      <c r="BH1354" s="1"/>
      <c r="BI1354" s="1"/>
      <c r="BJ1354" s="1"/>
      <c r="BK1354" s="1"/>
      <c r="BL1354" s="1"/>
      <c r="BM1354" s="1"/>
      <c r="BN1354" s="1"/>
      <c r="BO1354" s="1"/>
      <c r="BP1354" s="1" t="s">
        <v>24310</v>
      </c>
      <c r="BQ1354" s="1" t="s">
        <v>2116</v>
      </c>
      <c r="BR1354" s="1"/>
      <c r="BS1354" s="1"/>
      <c r="BT1354" s="1"/>
      <c r="BU1354" s="1" t="str">
        <f>HYPERLINK("https://nconnect.nicmar.ac.in/storage/profile/6a86ee3673302.png","Download")</f>
        <v>0</v>
      </c>
      <c r="BV1354" s="3"/>
      <c r="BW1354" s="3"/>
    </row>
    <row r="1355" spans="1:75">
      <c r="A1355" s="1" t="s">
        <v>75</v>
      </c>
      <c r="B1355" s="1" t="s">
        <v>13976</v>
      </c>
      <c r="C1355" s="1" t="s">
        <v>24311</v>
      </c>
      <c r="D1355" s="1" t="s">
        <v>14317</v>
      </c>
      <c r="E1355" s="1" t="s">
        <v>24312</v>
      </c>
      <c r="F1355" s="1" t="s">
        <v>22352</v>
      </c>
      <c r="G1355" s="1" t="s">
        <v>24313</v>
      </c>
      <c r="H1355" s="1" t="s">
        <v>24314</v>
      </c>
      <c r="I1355" s="1" t="s">
        <v>24314</v>
      </c>
      <c r="J1355" s="1">
        <v>8381090330</v>
      </c>
      <c r="K1355" s="1" t="s">
        <v>153</v>
      </c>
      <c r="L1355" s="1" t="s">
        <v>24315</v>
      </c>
      <c r="M1355" s="1" t="s">
        <v>86</v>
      </c>
      <c r="N1355" s="1" t="s">
        <v>16090</v>
      </c>
      <c r="O1355" s="1" t="s">
        <v>24316</v>
      </c>
      <c r="P1355" s="1" t="s">
        <v>356</v>
      </c>
      <c r="Q1355" s="1">
        <v>544071590610</v>
      </c>
      <c r="R1355" s="1" t="s">
        <v>24312</v>
      </c>
      <c r="S1355" s="1">
        <v>9284527224</v>
      </c>
      <c r="T1355" s="1" t="s">
        <v>3439</v>
      </c>
      <c r="U1355" s="1" t="s">
        <v>22415</v>
      </c>
      <c r="V1355" s="1">
        <v>9860665871</v>
      </c>
      <c r="W1355" s="1" t="s">
        <v>3441</v>
      </c>
      <c r="X1355" s="1" t="s">
        <v>24317</v>
      </c>
      <c r="Y1355" s="1" t="s">
        <v>196</v>
      </c>
      <c r="Z1355" s="1" t="s">
        <v>97</v>
      </c>
      <c r="AA1355" s="1" t="s">
        <v>24317</v>
      </c>
      <c r="AB1355" s="1" t="s">
        <v>196</v>
      </c>
      <c r="AC1355" s="1" t="s">
        <v>97</v>
      </c>
      <c r="AD1355" s="1" t="s">
        <v>98</v>
      </c>
      <c r="AE1355" s="1" t="s">
        <v>98</v>
      </c>
      <c r="AF1355" s="1" t="s">
        <v>24318</v>
      </c>
      <c r="AG1355" s="1" t="s">
        <v>13345</v>
      </c>
      <c r="AH1355" s="1" t="s">
        <v>1213</v>
      </c>
      <c r="AI1355" s="1" t="s">
        <v>1214</v>
      </c>
      <c r="AJ1355" s="1">
        <v>81</v>
      </c>
      <c r="AK1355" s="1"/>
      <c r="AL1355" s="1" t="s">
        <v>24319</v>
      </c>
      <c r="AM1355" s="1" t="s">
        <v>13345</v>
      </c>
      <c r="AN1355" s="1" t="s">
        <v>575</v>
      </c>
      <c r="AO1355" s="1" t="s">
        <v>101</v>
      </c>
      <c r="AP1355" s="1" t="s">
        <v>284</v>
      </c>
      <c r="AQ1355" s="1">
        <v>69</v>
      </c>
      <c r="AR1355" s="1"/>
      <c r="AS1355" s="1"/>
      <c r="AT1355" s="1"/>
      <c r="AU1355" s="1"/>
      <c r="AV1355" s="1"/>
      <c r="AW1355" s="1"/>
      <c r="AX1355" s="1"/>
      <c r="AY1355" s="1" t="s">
        <v>366</v>
      </c>
      <c r="AZ1355" s="1" t="s">
        <v>24320</v>
      </c>
      <c r="BA1355" s="1" t="s">
        <v>682</v>
      </c>
      <c r="BB1355" s="1" t="s">
        <v>1561</v>
      </c>
      <c r="BC1355" s="1" t="s">
        <v>139</v>
      </c>
      <c r="BD1355" s="1" t="s">
        <v>552</v>
      </c>
      <c r="BE1355" s="1">
        <v>75.65</v>
      </c>
      <c r="BF1355" s="1"/>
      <c r="BG1355" s="1"/>
      <c r="BH1355" s="1"/>
      <c r="BI1355" s="1"/>
      <c r="BJ1355" s="1"/>
      <c r="BK1355" s="1"/>
      <c r="BL1355" s="1"/>
      <c r="BM1355" s="1"/>
      <c r="BN1355" s="1"/>
      <c r="BO1355" s="1" t="s">
        <v>24321</v>
      </c>
      <c r="BP1355" s="1" t="s">
        <v>24322</v>
      </c>
      <c r="BQ1355" s="1" t="s">
        <v>4389</v>
      </c>
      <c r="BR1355" s="1"/>
      <c r="BS1355" s="1"/>
      <c r="BT1355" s="1"/>
      <c r="BU1355" s="1" t="str">
        <f>HYPERLINK("https://nconnect.nicmar.ac.in/storage/profile/6a86f0f0e2843.png","Download")</f>
        <v>0</v>
      </c>
      <c r="BV1355" s="3"/>
      <c r="BW1355" s="3"/>
    </row>
    <row r="1356" spans="1:75">
      <c r="A1356" s="1" t="s">
        <v>75</v>
      </c>
      <c r="B1356" s="1" t="s">
        <v>13976</v>
      </c>
      <c r="C1356" s="1" t="s">
        <v>24323</v>
      </c>
      <c r="D1356" s="1" t="s">
        <v>24324</v>
      </c>
      <c r="E1356" s="1"/>
      <c r="F1356" s="1" t="s">
        <v>24325</v>
      </c>
      <c r="G1356" s="1" t="s">
        <v>24326</v>
      </c>
      <c r="H1356" s="1" t="s">
        <v>24327</v>
      </c>
      <c r="I1356" s="1" t="s">
        <v>24327</v>
      </c>
      <c r="J1356" s="1">
        <v>9581440761</v>
      </c>
      <c r="K1356" s="1" t="s">
        <v>84</v>
      </c>
      <c r="L1356" s="1" t="s">
        <v>24328</v>
      </c>
      <c r="M1356" s="1" t="s">
        <v>86</v>
      </c>
      <c r="N1356" s="1" t="s">
        <v>17231</v>
      </c>
      <c r="O1356" s="1" t="s">
        <v>24329</v>
      </c>
      <c r="P1356" s="1" t="s">
        <v>219</v>
      </c>
      <c r="Q1356" s="1">
        <v>789572940843</v>
      </c>
      <c r="R1356" s="1" t="s">
        <v>24330</v>
      </c>
      <c r="S1356" s="1">
        <v>8106888149</v>
      </c>
      <c r="T1356" s="1" t="s">
        <v>13411</v>
      </c>
      <c r="U1356" s="1" t="s">
        <v>24331</v>
      </c>
      <c r="V1356" s="1">
        <v>8106888149</v>
      </c>
      <c r="W1356" s="1" t="s">
        <v>14154</v>
      </c>
      <c r="X1356" s="1" t="s">
        <v>24332</v>
      </c>
      <c r="Y1356" s="1" t="s">
        <v>15794</v>
      </c>
      <c r="Z1356" s="1" t="s">
        <v>281</v>
      </c>
      <c r="AA1356" s="1" t="s">
        <v>24332</v>
      </c>
      <c r="AB1356" s="1" t="s">
        <v>15794</v>
      </c>
      <c r="AC1356" s="1" t="s">
        <v>281</v>
      </c>
      <c r="AD1356" s="1" t="s">
        <v>98</v>
      </c>
      <c r="AE1356" s="1" t="s">
        <v>98</v>
      </c>
      <c r="AF1356" s="1" t="s">
        <v>24333</v>
      </c>
      <c r="AG1356" s="1" t="s">
        <v>24334</v>
      </c>
      <c r="AH1356" s="1" t="s">
        <v>106</v>
      </c>
      <c r="AI1356" s="1" t="s">
        <v>547</v>
      </c>
      <c r="AJ1356" s="1">
        <v>97</v>
      </c>
      <c r="AK1356" s="1">
        <v>9.7</v>
      </c>
      <c r="AL1356" s="1" t="s">
        <v>24335</v>
      </c>
      <c r="AM1356" s="1" t="s">
        <v>24336</v>
      </c>
      <c r="AN1356" s="1" t="s">
        <v>465</v>
      </c>
      <c r="AO1356" s="1" t="s">
        <v>438</v>
      </c>
      <c r="AP1356" s="1" t="s">
        <v>2304</v>
      </c>
      <c r="AQ1356" s="1">
        <v>86.2</v>
      </c>
      <c r="AR1356" s="1">
        <v>8.62</v>
      </c>
      <c r="AS1356" s="1"/>
      <c r="AT1356" s="1"/>
      <c r="AU1356" s="1"/>
      <c r="AV1356" s="1"/>
      <c r="AW1356" s="1"/>
      <c r="AX1356" s="1"/>
      <c r="AY1356" s="1" t="s">
        <v>14282</v>
      </c>
      <c r="AZ1356" s="1" t="s">
        <v>24337</v>
      </c>
      <c r="BA1356" s="1" t="s">
        <v>466</v>
      </c>
      <c r="BB1356" s="1" t="s">
        <v>467</v>
      </c>
      <c r="BC1356" s="1" t="s">
        <v>4722</v>
      </c>
      <c r="BD1356" s="1" t="s">
        <v>553</v>
      </c>
      <c r="BE1356" s="1">
        <v>71.7</v>
      </c>
      <c r="BF1356" s="1">
        <v>7.17</v>
      </c>
      <c r="BG1356" s="1"/>
      <c r="BH1356" s="1"/>
      <c r="BI1356" s="1"/>
      <c r="BJ1356" s="1"/>
      <c r="BK1356" s="1"/>
      <c r="BL1356" s="1"/>
      <c r="BM1356" s="1"/>
      <c r="BN1356" s="1"/>
      <c r="BO1356" s="1" t="s">
        <v>24338</v>
      </c>
      <c r="BP1356" s="1"/>
      <c r="BQ1356" s="1"/>
      <c r="BR1356" s="1" t="s">
        <v>24339</v>
      </c>
      <c r="BS1356" s="1">
        <v>4</v>
      </c>
      <c r="BT1356" s="1" t="s">
        <v>24340</v>
      </c>
      <c r="BU1356" s="1" t="str">
        <f>HYPERLINK("https://nconnect.nicmar.ac.in/storage/profile/6a85f3e729757.png","Download")</f>
        <v>0</v>
      </c>
      <c r="BV1356" s="3"/>
      <c r="BW1356" s="3"/>
    </row>
    <row r="1357" spans="1:75">
      <c r="A1357" s="1" t="s">
        <v>75</v>
      </c>
      <c r="B1357" s="1" t="s">
        <v>13976</v>
      </c>
      <c r="C1357" s="1" t="s">
        <v>24341</v>
      </c>
      <c r="D1357" s="1" t="s">
        <v>24342</v>
      </c>
      <c r="E1357" s="1" t="s">
        <v>21197</v>
      </c>
      <c r="F1357" s="1" t="s">
        <v>14460</v>
      </c>
      <c r="G1357" s="1" t="s">
        <v>24343</v>
      </c>
      <c r="H1357" s="1" t="s">
        <v>24344</v>
      </c>
      <c r="I1357" s="1" t="s">
        <v>24344</v>
      </c>
      <c r="J1357" s="1">
        <v>8483926493</v>
      </c>
      <c r="K1357" s="1" t="s">
        <v>84</v>
      </c>
      <c r="L1357" s="1" t="s">
        <v>24345</v>
      </c>
      <c r="M1357" s="1" t="s">
        <v>86</v>
      </c>
      <c r="N1357" s="1" t="s">
        <v>14970</v>
      </c>
      <c r="O1357" s="1" t="s">
        <v>24346</v>
      </c>
      <c r="P1357" s="1" t="s">
        <v>122</v>
      </c>
      <c r="Q1357" s="1">
        <v>525679382617</v>
      </c>
      <c r="R1357" s="1" t="s">
        <v>21197</v>
      </c>
      <c r="S1357" s="1">
        <v>9552495555</v>
      </c>
      <c r="T1357" s="1" t="s">
        <v>24347</v>
      </c>
      <c r="U1357" s="1" t="s">
        <v>24348</v>
      </c>
      <c r="V1357" s="1">
        <v>9970290096</v>
      </c>
      <c r="W1357" s="1" t="s">
        <v>24347</v>
      </c>
      <c r="X1357" s="1" t="s">
        <v>24349</v>
      </c>
      <c r="Y1357" s="1" t="s">
        <v>1033</v>
      </c>
      <c r="Z1357" s="1" t="s">
        <v>97</v>
      </c>
      <c r="AA1357" s="1" t="s">
        <v>24349</v>
      </c>
      <c r="AB1357" s="1" t="s">
        <v>1033</v>
      </c>
      <c r="AC1357" s="1" t="s">
        <v>97</v>
      </c>
      <c r="AD1357" s="1" t="s">
        <v>98</v>
      </c>
      <c r="AE1357" s="1" t="s">
        <v>98</v>
      </c>
      <c r="AF1357" s="1" t="s">
        <v>24350</v>
      </c>
      <c r="AG1357" s="1" t="s">
        <v>1033</v>
      </c>
      <c r="AH1357" s="1" t="s">
        <v>438</v>
      </c>
      <c r="AI1357" s="1" t="s">
        <v>417</v>
      </c>
      <c r="AJ1357" s="1">
        <v>79</v>
      </c>
      <c r="AK1357" s="1"/>
      <c r="AL1357" s="1" t="s">
        <v>24351</v>
      </c>
      <c r="AM1357" s="1" t="s">
        <v>1033</v>
      </c>
      <c r="AN1357" s="1" t="s">
        <v>465</v>
      </c>
      <c r="AO1357" s="1" t="s">
        <v>845</v>
      </c>
      <c r="AP1357" s="1" t="s">
        <v>1886</v>
      </c>
      <c r="AQ1357" s="1">
        <v>54.5</v>
      </c>
      <c r="AR1357" s="1"/>
      <c r="AS1357" s="1"/>
      <c r="AT1357" s="1"/>
      <c r="AU1357" s="1"/>
      <c r="AV1357" s="1"/>
      <c r="AW1357" s="1"/>
      <c r="AX1357" s="1"/>
      <c r="AY1357" s="1" t="s">
        <v>16227</v>
      </c>
      <c r="AZ1357" s="1" t="s">
        <v>24352</v>
      </c>
      <c r="BA1357" s="1" t="s">
        <v>466</v>
      </c>
      <c r="BB1357" s="1" t="s">
        <v>467</v>
      </c>
      <c r="BC1357" s="1" t="s">
        <v>1889</v>
      </c>
      <c r="BD1357" s="1" t="s">
        <v>9688</v>
      </c>
      <c r="BE1357" s="1">
        <v>53.6</v>
      </c>
      <c r="BF1357" s="1">
        <v>6.11</v>
      </c>
      <c r="BG1357" s="1"/>
      <c r="BH1357" s="1"/>
      <c r="BI1357" s="1"/>
      <c r="BJ1357" s="1"/>
      <c r="BK1357" s="1"/>
      <c r="BL1357" s="1"/>
      <c r="BM1357" s="1"/>
      <c r="BN1357" s="1"/>
      <c r="BO1357" s="1" t="s">
        <v>24353</v>
      </c>
      <c r="BP1357" s="1"/>
      <c r="BQ1357" s="1"/>
      <c r="BR1357" s="1"/>
      <c r="BS1357" s="1"/>
      <c r="BT1357" s="1"/>
      <c r="BU1357" s="1" t="str">
        <f>HYPERLINK("https://nconnect.nicmar.ac.in/storage/profile/6a85e41d92993.png","Download")</f>
        <v>0</v>
      </c>
      <c r="BV1357" s="3"/>
      <c r="BW1357" s="3"/>
    </row>
    <row r="1358" spans="1:75">
      <c r="A1358" s="1" t="s">
        <v>75</v>
      </c>
      <c r="B1358" s="1" t="s">
        <v>13976</v>
      </c>
      <c r="C1358" s="1" t="s">
        <v>24354</v>
      </c>
      <c r="D1358" s="1" t="s">
        <v>17245</v>
      </c>
      <c r="E1358" s="1"/>
      <c r="F1358" s="1" t="s">
        <v>1964</v>
      </c>
      <c r="G1358" s="1" t="s">
        <v>24355</v>
      </c>
      <c r="H1358" s="1" t="s">
        <v>24356</v>
      </c>
      <c r="I1358" s="1" t="s">
        <v>24357</v>
      </c>
      <c r="J1358" s="1">
        <v>9686856686</v>
      </c>
      <c r="K1358" s="1" t="s">
        <v>84</v>
      </c>
      <c r="L1358" s="1" t="s">
        <v>4806</v>
      </c>
      <c r="M1358" s="1" t="s">
        <v>86</v>
      </c>
      <c r="N1358" s="1" t="s">
        <v>24358</v>
      </c>
      <c r="O1358" s="1" t="s">
        <v>24359</v>
      </c>
      <c r="P1358" s="1" t="s">
        <v>89</v>
      </c>
      <c r="Q1358" s="1">
        <v>278574419847</v>
      </c>
      <c r="R1358" s="1" t="s">
        <v>21793</v>
      </c>
      <c r="S1358" s="1">
        <v>9341723578</v>
      </c>
      <c r="T1358" s="1" t="s">
        <v>24360</v>
      </c>
      <c r="U1358" s="1" t="s">
        <v>24361</v>
      </c>
      <c r="V1358" s="1">
        <v>9480046599</v>
      </c>
      <c r="W1358" s="1" t="s">
        <v>14154</v>
      </c>
      <c r="X1358" s="1" t="s">
        <v>24362</v>
      </c>
      <c r="Y1358" s="1" t="s">
        <v>6414</v>
      </c>
      <c r="Z1358" s="1" t="s">
        <v>1210</v>
      </c>
      <c r="AA1358" s="1" t="s">
        <v>24363</v>
      </c>
      <c r="AB1358" s="1" t="s">
        <v>6414</v>
      </c>
      <c r="AC1358" s="1" t="s">
        <v>1210</v>
      </c>
      <c r="AD1358" s="1" t="s">
        <v>98</v>
      </c>
      <c r="AE1358" s="1" t="s">
        <v>98</v>
      </c>
      <c r="AF1358" s="1" t="s">
        <v>24364</v>
      </c>
      <c r="AG1358" s="1" t="s">
        <v>24365</v>
      </c>
      <c r="AH1358" s="1" t="s">
        <v>170</v>
      </c>
      <c r="AI1358" s="1" t="s">
        <v>286</v>
      </c>
      <c r="AJ1358" s="1">
        <v>90.24</v>
      </c>
      <c r="AK1358" s="1"/>
      <c r="AL1358" s="1" t="s">
        <v>24366</v>
      </c>
      <c r="AM1358" s="1" t="s">
        <v>24367</v>
      </c>
      <c r="AN1358" s="1" t="s">
        <v>575</v>
      </c>
      <c r="AO1358" s="1" t="s">
        <v>438</v>
      </c>
      <c r="AP1358" s="1" t="s">
        <v>977</v>
      </c>
      <c r="AQ1358" s="1">
        <v>75.5</v>
      </c>
      <c r="AR1358" s="1"/>
      <c r="AS1358" s="1"/>
      <c r="AT1358" s="1"/>
      <c r="AU1358" s="1"/>
      <c r="AV1358" s="1"/>
      <c r="AW1358" s="1"/>
      <c r="AX1358" s="1"/>
      <c r="AY1358" s="1" t="s">
        <v>24368</v>
      </c>
      <c r="AZ1358" s="1" t="s">
        <v>24369</v>
      </c>
      <c r="BA1358" s="1" t="s">
        <v>466</v>
      </c>
      <c r="BB1358" s="1" t="s">
        <v>467</v>
      </c>
      <c r="BC1358" s="1" t="s">
        <v>368</v>
      </c>
      <c r="BD1358" s="1" t="s">
        <v>1089</v>
      </c>
      <c r="BE1358" s="1">
        <v>72.6</v>
      </c>
      <c r="BF1358" s="1">
        <v>8.01</v>
      </c>
      <c r="BG1358" s="1"/>
      <c r="BH1358" s="1"/>
      <c r="BI1358" s="1"/>
      <c r="BJ1358" s="1"/>
      <c r="BK1358" s="1"/>
      <c r="BL1358" s="1"/>
      <c r="BM1358" s="1"/>
      <c r="BN1358" s="1"/>
      <c r="BO1358" s="1" t="s">
        <v>24370</v>
      </c>
      <c r="BP1358" s="1" t="s">
        <v>24371</v>
      </c>
      <c r="BQ1358" s="1" t="s">
        <v>1152</v>
      </c>
      <c r="BR1358" s="1" t="s">
        <v>24372</v>
      </c>
      <c r="BS1358" s="1">
        <v>4</v>
      </c>
      <c r="BT1358" s="1"/>
      <c r="BU1358" s="1" t="str">
        <f>HYPERLINK("https://nconnect.nicmar.ac.in/storage/profile/6a85dcf5bab79.png","Download")</f>
        <v>0</v>
      </c>
      <c r="BV1358" s="3"/>
      <c r="BW1358" s="3"/>
    </row>
    <row r="1359" spans="1:75">
      <c r="A1359" s="1" t="s">
        <v>75</v>
      </c>
      <c r="B1359" s="1" t="s">
        <v>13976</v>
      </c>
      <c r="C1359" s="1" t="s">
        <v>24373</v>
      </c>
      <c r="D1359" s="1" t="s">
        <v>24374</v>
      </c>
      <c r="E1359" s="1" t="s">
        <v>1893</v>
      </c>
      <c r="F1359" s="1" t="s">
        <v>24375</v>
      </c>
      <c r="G1359" s="1" t="s">
        <v>24376</v>
      </c>
      <c r="H1359" s="1" t="s">
        <v>24377</v>
      </c>
      <c r="I1359" s="1" t="s">
        <v>24378</v>
      </c>
      <c r="J1359" s="1">
        <v>8530269080</v>
      </c>
      <c r="K1359" s="1" t="s">
        <v>84</v>
      </c>
      <c r="L1359" s="1" t="s">
        <v>24379</v>
      </c>
      <c r="M1359" s="1" t="s">
        <v>86</v>
      </c>
      <c r="N1359" s="1" t="s">
        <v>903</v>
      </c>
      <c r="O1359" s="1" t="s">
        <v>24380</v>
      </c>
      <c r="P1359" s="1" t="s">
        <v>122</v>
      </c>
      <c r="Q1359" s="1">
        <v>701832700126</v>
      </c>
      <c r="R1359" s="1" t="s">
        <v>24381</v>
      </c>
      <c r="S1359" s="1">
        <v>9405989222</v>
      </c>
      <c r="T1359" s="1" t="s">
        <v>159</v>
      </c>
      <c r="U1359" s="1" t="s">
        <v>24382</v>
      </c>
      <c r="V1359" s="1">
        <v>9405348077</v>
      </c>
      <c r="W1359" s="1" t="s">
        <v>161</v>
      </c>
      <c r="X1359" s="1" t="s">
        <v>24383</v>
      </c>
      <c r="Y1359" s="1" t="s">
        <v>224</v>
      </c>
      <c r="Z1359" s="1" t="s">
        <v>97</v>
      </c>
      <c r="AA1359" s="1" t="s">
        <v>24383</v>
      </c>
      <c r="AB1359" s="1" t="s">
        <v>224</v>
      </c>
      <c r="AC1359" s="1" t="s">
        <v>97</v>
      </c>
      <c r="AD1359" s="1" t="s">
        <v>98</v>
      </c>
      <c r="AE1359" s="1" t="s">
        <v>98</v>
      </c>
      <c r="AF1359" s="1"/>
      <c r="AG1359" s="1"/>
      <c r="AH1359" s="1"/>
      <c r="AI1359" s="1"/>
      <c r="AJ1359" s="1"/>
      <c r="AK1359" s="1"/>
      <c r="AL1359" s="1"/>
      <c r="AM1359" s="1"/>
      <c r="AN1359" s="1"/>
      <c r="AO1359" s="1"/>
      <c r="AP1359" s="1"/>
      <c r="AQ1359" s="1"/>
      <c r="AR1359" s="1"/>
      <c r="AS1359" s="1"/>
      <c r="AT1359" s="1"/>
      <c r="AU1359" s="1"/>
      <c r="AV1359" s="1"/>
      <c r="AW1359" s="1"/>
      <c r="AX1359" s="1"/>
      <c r="AY1359" s="1"/>
      <c r="AZ1359" s="1"/>
      <c r="BA1359" s="1"/>
      <c r="BB1359" s="1"/>
      <c r="BC1359" s="1"/>
      <c r="BD1359" s="1"/>
      <c r="BE1359" s="1"/>
      <c r="BF1359" s="1"/>
      <c r="BG1359" s="1"/>
      <c r="BH1359" s="1"/>
      <c r="BI1359" s="1"/>
      <c r="BJ1359" s="1"/>
      <c r="BK1359" s="1"/>
      <c r="BL1359" s="1"/>
      <c r="BM1359" s="1"/>
      <c r="BN1359" s="1"/>
      <c r="BO1359" s="1"/>
      <c r="BP1359" s="1" t="s">
        <v>24384</v>
      </c>
      <c r="BQ1359" s="1" t="s">
        <v>1174</v>
      </c>
      <c r="BR1359" s="1"/>
      <c r="BS1359" s="1"/>
      <c r="BT1359" s="1"/>
      <c r="BU1359" s="1" t="str">
        <f>HYPERLINK("https://nconnect.nicmar.ac.in/storage/profile/6a87403408ee0.png","Download")</f>
        <v>0</v>
      </c>
      <c r="BV1359" s="3"/>
      <c r="BW1359" s="3"/>
    </row>
    <row r="1360" spans="1:75">
      <c r="A1360" s="1" t="s">
        <v>75</v>
      </c>
      <c r="B1360" s="1" t="s">
        <v>13976</v>
      </c>
      <c r="C1360" s="1" t="s">
        <v>24385</v>
      </c>
      <c r="D1360" s="1" t="s">
        <v>18465</v>
      </c>
      <c r="E1360" s="1" t="s">
        <v>20640</v>
      </c>
      <c r="F1360" s="1" t="s">
        <v>24386</v>
      </c>
      <c r="G1360" s="1" t="s">
        <v>24387</v>
      </c>
      <c r="H1360" s="1" t="s">
        <v>24388</v>
      </c>
      <c r="I1360" s="1" t="s">
        <v>24388</v>
      </c>
      <c r="J1360" s="1">
        <v>7719090012</v>
      </c>
      <c r="K1360" s="1" t="s">
        <v>153</v>
      </c>
      <c r="L1360" s="1" t="s">
        <v>1812</v>
      </c>
      <c r="M1360" s="1" t="s">
        <v>86</v>
      </c>
      <c r="N1360" s="1" t="s">
        <v>6390</v>
      </c>
      <c r="O1360" s="1" t="s">
        <v>24389</v>
      </c>
      <c r="P1360" s="1" t="s">
        <v>89</v>
      </c>
      <c r="Q1360" s="1">
        <v>310303503630</v>
      </c>
      <c r="R1360" s="1" t="s">
        <v>24390</v>
      </c>
      <c r="S1360" s="1">
        <v>7768012302</v>
      </c>
      <c r="T1360" s="1" t="s">
        <v>18351</v>
      </c>
      <c r="U1360" s="1" t="s">
        <v>24391</v>
      </c>
      <c r="V1360" s="1">
        <v>8308054586</v>
      </c>
      <c r="W1360" s="1" t="s">
        <v>14212</v>
      </c>
      <c r="X1360" s="1" t="s">
        <v>24392</v>
      </c>
      <c r="Y1360" s="1" t="s">
        <v>410</v>
      </c>
      <c r="Z1360" s="1" t="s">
        <v>97</v>
      </c>
      <c r="AA1360" s="1" t="s">
        <v>24393</v>
      </c>
      <c r="AB1360" s="1" t="s">
        <v>410</v>
      </c>
      <c r="AC1360" s="1" t="s">
        <v>97</v>
      </c>
      <c r="AD1360" s="1" t="s">
        <v>98</v>
      </c>
      <c r="AE1360" s="1" t="s">
        <v>98</v>
      </c>
      <c r="AF1360" s="1" t="s">
        <v>24394</v>
      </c>
      <c r="AG1360" s="1" t="s">
        <v>24395</v>
      </c>
      <c r="AH1360" s="1" t="s">
        <v>490</v>
      </c>
      <c r="AI1360" s="1" t="s">
        <v>313</v>
      </c>
      <c r="AJ1360" s="1">
        <v>83</v>
      </c>
      <c r="AK1360" s="1"/>
      <c r="AL1360" s="1" t="s">
        <v>24396</v>
      </c>
      <c r="AM1360" s="1" t="s">
        <v>24395</v>
      </c>
      <c r="AN1360" s="1" t="s">
        <v>465</v>
      </c>
      <c r="AO1360" s="1" t="s">
        <v>977</v>
      </c>
      <c r="AP1360" s="1" t="s">
        <v>549</v>
      </c>
      <c r="AQ1360" s="1">
        <v>77.6</v>
      </c>
      <c r="AR1360" s="1"/>
      <c r="AS1360" s="1"/>
      <c r="AT1360" s="1"/>
      <c r="AU1360" s="1"/>
      <c r="AV1360" s="1"/>
      <c r="AW1360" s="1"/>
      <c r="AX1360" s="1"/>
      <c r="AY1360" s="1" t="s">
        <v>14884</v>
      </c>
      <c r="AZ1360" s="1" t="s">
        <v>24397</v>
      </c>
      <c r="BA1360" s="1" t="s">
        <v>466</v>
      </c>
      <c r="BB1360" s="1" t="s">
        <v>467</v>
      </c>
      <c r="BC1360" s="1" t="s">
        <v>871</v>
      </c>
      <c r="BD1360" s="1" t="s">
        <v>848</v>
      </c>
      <c r="BE1360" s="1">
        <v>69.5</v>
      </c>
      <c r="BF1360" s="1">
        <v>6.95</v>
      </c>
      <c r="BG1360" s="1"/>
      <c r="BH1360" s="1"/>
      <c r="BI1360" s="1"/>
      <c r="BJ1360" s="1"/>
      <c r="BK1360" s="1"/>
      <c r="BL1360" s="1"/>
      <c r="BM1360" s="1"/>
      <c r="BN1360" s="1"/>
      <c r="BO1360" s="1" t="s">
        <v>24398</v>
      </c>
      <c r="BP1360" s="1"/>
      <c r="BQ1360" s="1"/>
      <c r="BR1360" s="1"/>
      <c r="BS1360" s="1"/>
      <c r="BT1360" s="1" t="s">
        <v>24398</v>
      </c>
      <c r="BU1360" s="1" t="str">
        <f>HYPERLINK("https://nconnect.nicmar.ac.in/storage/profile/6a8767ebe9d14.png","Download")</f>
        <v>0</v>
      </c>
      <c r="BV1360" s="3"/>
      <c r="BW1360" s="3"/>
    </row>
    <row r="1361" spans="1:75">
      <c r="A1361" s="1" t="s">
        <v>75</v>
      </c>
      <c r="B1361" s="1" t="s">
        <v>13976</v>
      </c>
      <c r="C1361" s="1" t="s">
        <v>24399</v>
      </c>
      <c r="D1361" s="1" t="s">
        <v>24400</v>
      </c>
      <c r="E1361" s="1" t="s">
        <v>24401</v>
      </c>
      <c r="F1361" s="1" t="s">
        <v>24402</v>
      </c>
      <c r="G1361" s="1" t="s">
        <v>24403</v>
      </c>
      <c r="H1361" s="1" t="s">
        <v>24404</v>
      </c>
      <c r="I1361" s="1" t="s">
        <v>24404</v>
      </c>
      <c r="J1361" s="1">
        <v>9495076149</v>
      </c>
      <c r="K1361" s="1" t="s">
        <v>84</v>
      </c>
      <c r="L1361" s="1" t="s">
        <v>24405</v>
      </c>
      <c r="M1361" s="1" t="s">
        <v>86</v>
      </c>
      <c r="N1361" s="1" t="s">
        <v>24406</v>
      </c>
      <c r="O1361" s="1" t="s">
        <v>24407</v>
      </c>
      <c r="P1361" s="1" t="s">
        <v>219</v>
      </c>
      <c r="Q1361" s="1">
        <v>961714543350</v>
      </c>
      <c r="R1361" s="1" t="s">
        <v>24408</v>
      </c>
      <c r="S1361" s="1">
        <v>9447015249</v>
      </c>
      <c r="T1361" s="1" t="s">
        <v>14134</v>
      </c>
      <c r="U1361" s="1" t="s">
        <v>24409</v>
      </c>
      <c r="V1361" s="1">
        <v>9495915249</v>
      </c>
      <c r="W1361" s="1" t="s">
        <v>14234</v>
      </c>
      <c r="X1361" s="1" t="s">
        <v>24410</v>
      </c>
      <c r="Y1361" s="1" t="s">
        <v>129</v>
      </c>
      <c r="Z1361" s="1" t="s">
        <v>130</v>
      </c>
      <c r="AA1361" s="1" t="s">
        <v>24410</v>
      </c>
      <c r="AB1361" s="1" t="s">
        <v>129</v>
      </c>
      <c r="AC1361" s="1" t="s">
        <v>130</v>
      </c>
      <c r="AD1361" s="1" t="s">
        <v>98</v>
      </c>
      <c r="AE1361" s="1" t="s">
        <v>98</v>
      </c>
      <c r="AF1361" s="1" t="s">
        <v>24411</v>
      </c>
      <c r="AG1361" s="1" t="s">
        <v>24412</v>
      </c>
      <c r="AH1361" s="1" t="s">
        <v>315</v>
      </c>
      <c r="AI1361" s="1" t="s">
        <v>178</v>
      </c>
      <c r="AJ1361" s="1">
        <v>89.8</v>
      </c>
      <c r="AK1361" s="1"/>
      <c r="AL1361" s="1" t="s">
        <v>24413</v>
      </c>
      <c r="AM1361" s="1" t="s">
        <v>24414</v>
      </c>
      <c r="AN1361" s="1" t="s">
        <v>575</v>
      </c>
      <c r="AO1361" s="1" t="s">
        <v>178</v>
      </c>
      <c r="AP1361" s="1" t="s">
        <v>1886</v>
      </c>
      <c r="AQ1361" s="1">
        <v>94.44</v>
      </c>
      <c r="AR1361" s="1"/>
      <c r="AS1361" s="1"/>
      <c r="AT1361" s="1"/>
      <c r="AU1361" s="1"/>
      <c r="AV1361" s="1"/>
      <c r="AW1361" s="1"/>
      <c r="AX1361" s="1"/>
      <c r="AY1361" s="1" t="s">
        <v>1663</v>
      </c>
      <c r="AZ1361" s="1" t="s">
        <v>24415</v>
      </c>
      <c r="BA1361" s="1" t="s">
        <v>466</v>
      </c>
      <c r="BB1361" s="1" t="s">
        <v>467</v>
      </c>
      <c r="BC1361" s="1" t="s">
        <v>1802</v>
      </c>
      <c r="BD1361" s="1" t="s">
        <v>14514</v>
      </c>
      <c r="BE1361" s="1">
        <v>62.3</v>
      </c>
      <c r="BF1361" s="1">
        <v>6.23</v>
      </c>
      <c r="BG1361" s="1"/>
      <c r="BH1361" s="1"/>
      <c r="BI1361" s="1"/>
      <c r="BJ1361" s="1"/>
      <c r="BK1361" s="1"/>
      <c r="BL1361" s="1"/>
      <c r="BM1361" s="1"/>
      <c r="BN1361" s="1"/>
      <c r="BO1361" s="1" t="s">
        <v>24416</v>
      </c>
      <c r="BP1361" s="1"/>
      <c r="BQ1361" s="1"/>
      <c r="BR1361" s="1"/>
      <c r="BS1361" s="1"/>
      <c r="BT1361" s="1"/>
      <c r="BU1361" s="1" t="str">
        <f>HYPERLINK("https://nconnect.nicmar.ac.in/storage/profile/6a89ca082977b.png","Download")</f>
        <v>0</v>
      </c>
      <c r="BV1361" s="3"/>
      <c r="BW1361" s="3"/>
    </row>
    <row r="1362" spans="1:75">
      <c r="A1362" s="1" t="s">
        <v>75</v>
      </c>
      <c r="B1362" s="1" t="s">
        <v>13976</v>
      </c>
      <c r="C1362" s="1" t="s">
        <v>24417</v>
      </c>
      <c r="D1362" s="1" t="s">
        <v>24418</v>
      </c>
      <c r="E1362" s="1" t="s">
        <v>24419</v>
      </c>
      <c r="F1362" s="1" t="s">
        <v>24420</v>
      </c>
      <c r="G1362" s="1" t="s">
        <v>24421</v>
      </c>
      <c r="H1362" s="1" t="s">
        <v>24422</v>
      </c>
      <c r="I1362" s="1" t="s">
        <v>24422</v>
      </c>
      <c r="J1362" s="1">
        <v>9322302397</v>
      </c>
      <c r="K1362" s="1" t="s">
        <v>84</v>
      </c>
      <c r="L1362" s="1" t="s">
        <v>24423</v>
      </c>
      <c r="M1362" s="1" t="s">
        <v>86</v>
      </c>
      <c r="N1362" s="1" t="s">
        <v>24424</v>
      </c>
      <c r="O1362" s="1" t="s">
        <v>24425</v>
      </c>
      <c r="P1362" s="1" t="s">
        <v>356</v>
      </c>
      <c r="Q1362" s="1">
        <v>705053457585</v>
      </c>
      <c r="R1362" s="1" t="s">
        <v>24426</v>
      </c>
      <c r="S1362" s="1">
        <v>9422457597</v>
      </c>
      <c r="T1362" s="1" t="s">
        <v>14800</v>
      </c>
      <c r="U1362" s="1" t="s">
        <v>24427</v>
      </c>
      <c r="V1362" s="1">
        <v>8275208197</v>
      </c>
      <c r="W1362" s="1" t="s">
        <v>15148</v>
      </c>
      <c r="X1362" s="1" t="s">
        <v>24428</v>
      </c>
      <c r="Y1362" s="1" t="s">
        <v>163</v>
      </c>
      <c r="Z1362" s="1" t="s">
        <v>97</v>
      </c>
      <c r="AA1362" s="1" t="s">
        <v>24428</v>
      </c>
      <c r="AB1362" s="1" t="s">
        <v>163</v>
      </c>
      <c r="AC1362" s="1" t="s">
        <v>97</v>
      </c>
      <c r="AD1362" s="1" t="s">
        <v>98</v>
      </c>
      <c r="AE1362" s="1" t="s">
        <v>98</v>
      </c>
      <c r="AF1362" s="1" t="s">
        <v>24429</v>
      </c>
      <c r="AG1362" s="1" t="s">
        <v>24430</v>
      </c>
      <c r="AH1362" s="1" t="s">
        <v>438</v>
      </c>
      <c r="AI1362" s="1" t="s">
        <v>603</v>
      </c>
      <c r="AJ1362" s="1">
        <v>85.8</v>
      </c>
      <c r="AK1362" s="1"/>
      <c r="AL1362" s="1"/>
      <c r="AM1362" s="1"/>
      <c r="AN1362" s="1"/>
      <c r="AO1362" s="1"/>
      <c r="AP1362" s="1"/>
      <c r="AQ1362" s="1"/>
      <c r="AR1362" s="1"/>
      <c r="AS1362" s="1" t="s">
        <v>14158</v>
      </c>
      <c r="AT1362" s="1" t="s">
        <v>24431</v>
      </c>
      <c r="AU1362" s="1" t="s">
        <v>178</v>
      </c>
      <c r="AV1362" s="1" t="s">
        <v>234</v>
      </c>
      <c r="AW1362" s="1">
        <v>73.68</v>
      </c>
      <c r="AX1362" s="1"/>
      <c r="AY1362" s="1" t="s">
        <v>24432</v>
      </c>
      <c r="AZ1362" s="1" t="s">
        <v>24433</v>
      </c>
      <c r="BA1362" s="1" t="s">
        <v>578</v>
      </c>
      <c r="BB1362" s="1" t="s">
        <v>467</v>
      </c>
      <c r="BC1362" s="1" t="s">
        <v>234</v>
      </c>
      <c r="BD1362" s="1" t="s">
        <v>14514</v>
      </c>
      <c r="BE1362" s="1">
        <v>66.3</v>
      </c>
      <c r="BF1362" s="1">
        <v>7.38</v>
      </c>
      <c r="BG1362" s="1"/>
      <c r="BH1362" s="1"/>
      <c r="BI1362" s="1"/>
      <c r="BJ1362" s="1"/>
      <c r="BK1362" s="1"/>
      <c r="BL1362" s="1"/>
      <c r="BM1362" s="1"/>
      <c r="BN1362" s="1"/>
      <c r="BO1362" s="1" t="s">
        <v>24434</v>
      </c>
      <c r="BP1362" s="1"/>
      <c r="BQ1362" s="1"/>
      <c r="BR1362" s="1"/>
      <c r="BS1362" s="1"/>
      <c r="BT1362" s="1"/>
      <c r="BU1362" s="1" t="str">
        <f>HYPERLINK("https://nconnect.nicmar.ac.in/storage/profile/6a86eeb76100e.png","Download")</f>
        <v>0</v>
      </c>
      <c r="BV1362" s="3"/>
      <c r="BW1362" s="3"/>
    </row>
    <row r="1363" spans="1:75">
      <c r="A1363" s="1" t="s">
        <v>75</v>
      </c>
      <c r="B1363" s="1" t="s">
        <v>13976</v>
      </c>
      <c r="C1363" s="1" t="s">
        <v>24435</v>
      </c>
      <c r="D1363" s="1" t="s">
        <v>8360</v>
      </c>
      <c r="E1363" s="1" t="s">
        <v>24436</v>
      </c>
      <c r="F1363" s="1" t="s">
        <v>24437</v>
      </c>
      <c r="G1363" s="1" t="s">
        <v>24438</v>
      </c>
      <c r="H1363" s="1" t="s">
        <v>24439</v>
      </c>
      <c r="I1363" s="1" t="s">
        <v>24439</v>
      </c>
      <c r="J1363" s="1">
        <v>9730790112</v>
      </c>
      <c r="K1363" s="1" t="s">
        <v>84</v>
      </c>
      <c r="L1363" s="1" t="s">
        <v>2664</v>
      </c>
      <c r="M1363" s="1" t="s">
        <v>86</v>
      </c>
      <c r="N1363" s="1" t="s">
        <v>19595</v>
      </c>
      <c r="O1363" s="1" t="s">
        <v>24440</v>
      </c>
      <c r="P1363" s="1" t="s">
        <v>356</v>
      </c>
      <c r="Q1363" s="1">
        <v>793393887470</v>
      </c>
      <c r="R1363" s="1" t="s">
        <v>24441</v>
      </c>
      <c r="S1363" s="1">
        <v>7756919301</v>
      </c>
      <c r="T1363" s="1" t="s">
        <v>839</v>
      </c>
      <c r="U1363" s="1" t="s">
        <v>24442</v>
      </c>
      <c r="V1363" s="1">
        <v>7028446969</v>
      </c>
      <c r="W1363" s="1" t="s">
        <v>278</v>
      </c>
      <c r="X1363" s="1" t="s">
        <v>24443</v>
      </c>
      <c r="Y1363" s="1" t="s">
        <v>5030</v>
      </c>
      <c r="Z1363" s="1" t="s">
        <v>97</v>
      </c>
      <c r="AA1363" s="1" t="s">
        <v>24443</v>
      </c>
      <c r="AB1363" s="1" t="s">
        <v>5030</v>
      </c>
      <c r="AC1363" s="1" t="s">
        <v>97</v>
      </c>
      <c r="AD1363" s="1" t="s">
        <v>98</v>
      </c>
      <c r="AE1363" s="1" t="s">
        <v>98</v>
      </c>
      <c r="AF1363" s="1" t="s">
        <v>24444</v>
      </c>
      <c r="AG1363" s="1" t="s">
        <v>24445</v>
      </c>
      <c r="AH1363" s="1" t="s">
        <v>106</v>
      </c>
      <c r="AI1363" s="1" t="s">
        <v>313</v>
      </c>
      <c r="AJ1363" s="1">
        <v>79.8</v>
      </c>
      <c r="AK1363" s="1"/>
      <c r="AL1363" s="1" t="s">
        <v>24446</v>
      </c>
      <c r="AM1363" s="1" t="s">
        <v>24445</v>
      </c>
      <c r="AN1363" s="1" t="s">
        <v>465</v>
      </c>
      <c r="AO1363" s="1" t="s">
        <v>468</v>
      </c>
      <c r="AP1363" s="1" t="s">
        <v>441</v>
      </c>
      <c r="AQ1363" s="1">
        <v>89.93</v>
      </c>
      <c r="AR1363" s="1"/>
      <c r="AS1363" s="1"/>
      <c r="AT1363" s="1"/>
      <c r="AU1363" s="1"/>
      <c r="AV1363" s="1"/>
      <c r="AW1363" s="1"/>
      <c r="AX1363" s="1"/>
      <c r="AY1363" s="1" t="s">
        <v>204</v>
      </c>
      <c r="AZ1363" s="1" t="s">
        <v>24447</v>
      </c>
      <c r="BA1363" s="1" t="s">
        <v>466</v>
      </c>
      <c r="BB1363" s="1" t="s">
        <v>467</v>
      </c>
      <c r="BC1363" s="1" t="s">
        <v>871</v>
      </c>
      <c r="BD1363" s="1" t="s">
        <v>9688</v>
      </c>
      <c r="BE1363" s="1">
        <v>66.03</v>
      </c>
      <c r="BF1363" s="1">
        <v>6.95</v>
      </c>
      <c r="BG1363" s="1"/>
      <c r="BH1363" s="1"/>
      <c r="BI1363" s="1"/>
      <c r="BJ1363" s="1"/>
      <c r="BK1363" s="1"/>
      <c r="BL1363" s="1"/>
      <c r="BM1363" s="1"/>
      <c r="BN1363" s="1"/>
      <c r="BO1363" s="1" t="s">
        <v>24416</v>
      </c>
      <c r="BP1363" s="1"/>
      <c r="BQ1363" s="1"/>
      <c r="BR1363" s="1"/>
      <c r="BS1363" s="1"/>
      <c r="BT1363" s="1"/>
      <c r="BU1363" s="1" t="str">
        <f>HYPERLINK("https://nconnect.nicmar.ac.in/storage/profile/6a86e43bd24a8.png","Download")</f>
        <v>0</v>
      </c>
      <c r="BV1363" s="3"/>
      <c r="BW1363" s="3"/>
    </row>
    <row r="1364" spans="1:75">
      <c r="A1364" s="1" t="s">
        <v>75</v>
      </c>
      <c r="B1364" s="1" t="s">
        <v>13976</v>
      </c>
      <c r="C1364" s="1" t="s">
        <v>24448</v>
      </c>
      <c r="D1364" s="1" t="s">
        <v>24449</v>
      </c>
      <c r="E1364" s="1" t="s">
        <v>3512</v>
      </c>
      <c r="F1364" s="1" t="s">
        <v>24450</v>
      </c>
      <c r="G1364" s="1" t="s">
        <v>24451</v>
      </c>
      <c r="H1364" s="1" t="s">
        <v>24452</v>
      </c>
      <c r="I1364" s="1" t="s">
        <v>24452</v>
      </c>
      <c r="J1364" s="1">
        <v>8125963241</v>
      </c>
      <c r="K1364" s="1" t="s">
        <v>84</v>
      </c>
      <c r="L1364" s="1" t="s">
        <v>24453</v>
      </c>
      <c r="M1364" s="1" t="s">
        <v>86</v>
      </c>
      <c r="N1364" s="1" t="s">
        <v>24454</v>
      </c>
      <c r="O1364" s="1" t="s">
        <v>24455</v>
      </c>
      <c r="P1364" s="1" t="s">
        <v>219</v>
      </c>
      <c r="Q1364" s="1">
        <v>537145801442</v>
      </c>
      <c r="R1364" s="1" t="s">
        <v>24456</v>
      </c>
      <c r="S1364" s="1">
        <v>9392490337</v>
      </c>
      <c r="T1364" s="1" t="s">
        <v>11408</v>
      </c>
      <c r="U1364" s="1" t="s">
        <v>24457</v>
      </c>
      <c r="V1364" s="1">
        <v>9948447796</v>
      </c>
      <c r="W1364" s="1" t="s">
        <v>19285</v>
      </c>
      <c r="X1364" s="1" t="s">
        <v>24458</v>
      </c>
      <c r="Y1364" s="1" t="s">
        <v>3031</v>
      </c>
      <c r="Z1364" s="1" t="s">
        <v>461</v>
      </c>
      <c r="AA1364" s="1" t="s">
        <v>24459</v>
      </c>
      <c r="AB1364" s="1" t="s">
        <v>3031</v>
      </c>
      <c r="AC1364" s="1" t="s">
        <v>461</v>
      </c>
      <c r="AD1364" s="1" t="s">
        <v>98</v>
      </c>
      <c r="AE1364" s="1" t="s">
        <v>98</v>
      </c>
      <c r="AF1364" s="1"/>
      <c r="AG1364" s="1"/>
      <c r="AH1364" s="1"/>
      <c r="AI1364" s="1"/>
      <c r="AJ1364" s="1"/>
      <c r="AK1364" s="1"/>
      <c r="AL1364" s="1"/>
      <c r="AM1364" s="1"/>
      <c r="AN1364" s="1"/>
      <c r="AO1364" s="1"/>
      <c r="AP1364" s="1"/>
      <c r="AQ1364" s="1"/>
      <c r="AR1364" s="1"/>
      <c r="AS1364" s="1"/>
      <c r="AT1364" s="1"/>
      <c r="AU1364" s="1"/>
      <c r="AV1364" s="1"/>
      <c r="AW1364" s="1"/>
      <c r="AX1364" s="1"/>
      <c r="AY1364" s="1"/>
      <c r="AZ1364" s="1"/>
      <c r="BA1364" s="1"/>
      <c r="BB1364" s="1"/>
      <c r="BC1364" s="1"/>
      <c r="BD1364" s="1"/>
      <c r="BE1364" s="1"/>
      <c r="BF1364" s="1"/>
      <c r="BG1364" s="1"/>
      <c r="BH1364" s="1"/>
      <c r="BI1364" s="1"/>
      <c r="BJ1364" s="1"/>
      <c r="BK1364" s="1"/>
      <c r="BL1364" s="1"/>
      <c r="BM1364" s="1"/>
      <c r="BN1364" s="1"/>
      <c r="BO1364" s="1"/>
      <c r="BP1364" s="1"/>
      <c r="BQ1364" s="1"/>
      <c r="BR1364" s="1"/>
      <c r="BS1364" s="1"/>
      <c r="BT1364" s="1"/>
      <c r="BU1364" s="1" t="str">
        <f>HYPERLINK("https://nconnect.nicmar.ac.in/storage/profile/6a86f2691cd56.png","Download")</f>
        <v>0</v>
      </c>
      <c r="BV1364" s="3"/>
      <c r="BW1364" s="3"/>
    </row>
    <row r="1365" spans="1:75">
      <c r="A1365" s="1" t="s">
        <v>75</v>
      </c>
      <c r="B1365" s="1" t="s">
        <v>13976</v>
      </c>
      <c r="C1365" s="1" t="s">
        <v>24460</v>
      </c>
      <c r="D1365" s="1" t="s">
        <v>22415</v>
      </c>
      <c r="E1365" s="1"/>
      <c r="F1365" s="1" t="s">
        <v>24461</v>
      </c>
      <c r="G1365" s="1" t="s">
        <v>24462</v>
      </c>
      <c r="H1365" s="1" t="s">
        <v>24463</v>
      </c>
      <c r="I1365" s="1" t="s">
        <v>24463</v>
      </c>
      <c r="J1365" s="1">
        <v>8108158885</v>
      </c>
      <c r="K1365" s="1" t="s">
        <v>153</v>
      </c>
      <c r="L1365" s="1" t="s">
        <v>24464</v>
      </c>
      <c r="M1365" s="1" t="s">
        <v>86</v>
      </c>
      <c r="N1365" s="1" t="s">
        <v>24465</v>
      </c>
      <c r="O1365" s="1" t="s">
        <v>24466</v>
      </c>
      <c r="P1365" s="1" t="s">
        <v>89</v>
      </c>
      <c r="Q1365" s="1">
        <v>707178288258</v>
      </c>
      <c r="R1365" s="1" t="s">
        <v>24467</v>
      </c>
      <c r="S1365" s="1">
        <v>9702858885</v>
      </c>
      <c r="T1365" s="1" t="s">
        <v>17732</v>
      </c>
      <c r="U1365" s="1" t="s">
        <v>24468</v>
      </c>
      <c r="V1365" s="1">
        <v>8454858885</v>
      </c>
      <c r="W1365" s="1" t="s">
        <v>18875</v>
      </c>
      <c r="X1365" s="1" t="s">
        <v>24469</v>
      </c>
      <c r="Y1365" s="1" t="s">
        <v>1882</v>
      </c>
      <c r="Z1365" s="1" t="s">
        <v>97</v>
      </c>
      <c r="AA1365" s="1" t="s">
        <v>24469</v>
      </c>
      <c r="AB1365" s="1" t="s">
        <v>1882</v>
      </c>
      <c r="AC1365" s="1" t="s">
        <v>97</v>
      </c>
      <c r="AD1365" s="1" t="s">
        <v>98</v>
      </c>
      <c r="AE1365" s="1" t="s">
        <v>98</v>
      </c>
      <c r="AF1365" s="1" t="s">
        <v>24470</v>
      </c>
      <c r="AG1365" s="1" t="s">
        <v>15511</v>
      </c>
      <c r="AH1365" s="1" t="s">
        <v>313</v>
      </c>
      <c r="AI1365" s="1" t="s">
        <v>603</v>
      </c>
      <c r="AJ1365" s="1">
        <v>72</v>
      </c>
      <c r="AK1365" s="1"/>
      <c r="AL1365" s="1"/>
      <c r="AM1365" s="1"/>
      <c r="AN1365" s="1"/>
      <c r="AO1365" s="1"/>
      <c r="AP1365" s="1"/>
      <c r="AQ1365" s="1"/>
      <c r="AR1365" s="1"/>
      <c r="AS1365" s="1" t="s">
        <v>14713</v>
      </c>
      <c r="AT1365" s="1" t="s">
        <v>24471</v>
      </c>
      <c r="AU1365" s="1" t="s">
        <v>890</v>
      </c>
      <c r="AV1365" s="1" t="s">
        <v>955</v>
      </c>
      <c r="AW1365" s="1">
        <v>60</v>
      </c>
      <c r="AX1365" s="1"/>
      <c r="AY1365" s="1" t="s">
        <v>14530</v>
      </c>
      <c r="AZ1365" s="1" t="s">
        <v>24472</v>
      </c>
      <c r="BA1365" s="1" t="s">
        <v>466</v>
      </c>
      <c r="BB1365" s="1" t="s">
        <v>467</v>
      </c>
      <c r="BC1365" s="1" t="s">
        <v>1267</v>
      </c>
      <c r="BD1365" s="1" t="s">
        <v>9688</v>
      </c>
      <c r="BE1365" s="1">
        <v>72</v>
      </c>
      <c r="BF1365" s="1"/>
      <c r="BG1365" s="1"/>
      <c r="BH1365" s="1"/>
      <c r="BI1365" s="1"/>
      <c r="BJ1365" s="1"/>
      <c r="BK1365" s="1"/>
      <c r="BL1365" s="1"/>
      <c r="BM1365" s="1"/>
      <c r="BN1365" s="1"/>
      <c r="BO1365" s="1" t="s">
        <v>24473</v>
      </c>
      <c r="BP1365" s="1"/>
      <c r="BQ1365" s="1"/>
      <c r="BR1365" s="1" t="s">
        <v>24474</v>
      </c>
      <c r="BS1365" s="1">
        <v>30</v>
      </c>
      <c r="BT1365" s="1"/>
      <c r="BU1365" s="1" t="s">
        <v>9653</v>
      </c>
      <c r="BV1365" s="3"/>
      <c r="BW1365" s="3"/>
    </row>
    <row r="1366" spans="1:75">
      <c r="A1366" s="1" t="s">
        <v>75</v>
      </c>
      <c r="B1366" s="1" t="s">
        <v>13976</v>
      </c>
      <c r="C1366" s="1" t="s">
        <v>24475</v>
      </c>
      <c r="D1366" s="1" t="s">
        <v>24476</v>
      </c>
      <c r="E1366" s="1"/>
      <c r="F1366" s="1" t="s">
        <v>1964</v>
      </c>
      <c r="G1366" s="1" t="s">
        <v>24477</v>
      </c>
      <c r="H1366" s="1" t="s">
        <v>24478</v>
      </c>
      <c r="I1366" s="1" t="s">
        <v>24478</v>
      </c>
      <c r="J1366" s="1">
        <v>8813020140</v>
      </c>
      <c r="K1366" s="1" t="s">
        <v>84</v>
      </c>
      <c r="L1366" s="1" t="s">
        <v>24479</v>
      </c>
      <c r="M1366" s="1" t="s">
        <v>155</v>
      </c>
      <c r="N1366" s="1" t="s">
        <v>14332</v>
      </c>
      <c r="O1366" s="1" t="s">
        <v>24480</v>
      </c>
      <c r="P1366" s="1" t="s">
        <v>18210</v>
      </c>
      <c r="Q1366" s="1">
        <v>427294901785</v>
      </c>
      <c r="R1366" s="1" t="s">
        <v>24481</v>
      </c>
      <c r="S1366" s="1">
        <v>7700090995</v>
      </c>
      <c r="T1366" s="1" t="s">
        <v>13987</v>
      </c>
      <c r="U1366" s="1" t="s">
        <v>24482</v>
      </c>
      <c r="V1366" s="1">
        <v>7988331094</v>
      </c>
      <c r="W1366" s="1" t="s">
        <v>14710</v>
      </c>
      <c r="X1366" s="1" t="s">
        <v>24483</v>
      </c>
      <c r="Y1366" s="1" t="s">
        <v>24484</v>
      </c>
      <c r="Z1366" s="1" t="s">
        <v>1700</v>
      </c>
      <c r="AA1366" s="1" t="s">
        <v>24483</v>
      </c>
      <c r="AB1366" s="1" t="s">
        <v>24484</v>
      </c>
      <c r="AC1366" s="1" t="s">
        <v>1700</v>
      </c>
      <c r="AD1366" s="1" t="s">
        <v>98</v>
      </c>
      <c r="AE1366" s="1" t="s">
        <v>98</v>
      </c>
      <c r="AF1366" s="1" t="s">
        <v>24485</v>
      </c>
      <c r="AG1366" s="1" t="s">
        <v>24486</v>
      </c>
      <c r="AH1366" s="1" t="s">
        <v>3923</v>
      </c>
      <c r="AI1366" s="1" t="s">
        <v>2726</v>
      </c>
      <c r="AJ1366" s="1">
        <v>90.6</v>
      </c>
      <c r="AK1366" s="1"/>
      <c r="AL1366" s="1" t="s">
        <v>24487</v>
      </c>
      <c r="AM1366" s="1" t="s">
        <v>24488</v>
      </c>
      <c r="AN1366" s="1" t="s">
        <v>575</v>
      </c>
      <c r="AO1366" s="1" t="s">
        <v>3421</v>
      </c>
      <c r="AP1366" s="1" t="s">
        <v>101</v>
      </c>
      <c r="AQ1366" s="1">
        <v>78.6</v>
      </c>
      <c r="AR1366" s="1"/>
      <c r="AS1366" s="1" t="s">
        <v>24489</v>
      </c>
      <c r="AT1366" s="1" t="s">
        <v>24490</v>
      </c>
      <c r="AU1366" s="1" t="s">
        <v>135</v>
      </c>
      <c r="AV1366" s="1" t="s">
        <v>1396</v>
      </c>
      <c r="AW1366" s="1">
        <v>80.2</v>
      </c>
      <c r="AX1366" s="1"/>
      <c r="AY1366" s="1" t="s">
        <v>24491</v>
      </c>
      <c r="AZ1366" s="1" t="s">
        <v>24492</v>
      </c>
      <c r="BA1366" s="1" t="s">
        <v>466</v>
      </c>
      <c r="BB1366" s="1" t="s">
        <v>467</v>
      </c>
      <c r="BC1366" s="1" t="s">
        <v>139</v>
      </c>
      <c r="BD1366" s="1" t="s">
        <v>315</v>
      </c>
      <c r="BE1366" s="1">
        <v>74.9</v>
      </c>
      <c r="BF1366" s="1"/>
      <c r="BG1366" s="1"/>
      <c r="BH1366" s="1"/>
      <c r="BI1366" s="1"/>
      <c r="BJ1366" s="1"/>
      <c r="BK1366" s="1"/>
      <c r="BL1366" s="1"/>
      <c r="BM1366" s="1"/>
      <c r="BN1366" s="1"/>
      <c r="BO1366" s="1" t="s">
        <v>24493</v>
      </c>
      <c r="BP1366" s="1" t="s">
        <v>24494</v>
      </c>
      <c r="BQ1366" s="1" t="s">
        <v>8010</v>
      </c>
      <c r="BR1366" s="1"/>
      <c r="BS1366" s="1"/>
      <c r="BT1366" s="1"/>
      <c r="BU1366" s="1" t="str">
        <f>HYPERLINK("https://nconnect.nicmar.ac.in/storage/profile/6a86dd8c2e347.png","Download")</f>
        <v>0</v>
      </c>
      <c r="BV1366" s="3"/>
      <c r="BW1366" s="3"/>
    </row>
    <row r="1367" spans="1:75">
      <c r="A1367" s="1" t="s">
        <v>75</v>
      </c>
      <c r="B1367" s="1" t="s">
        <v>13976</v>
      </c>
      <c r="C1367" s="1" t="s">
        <v>24495</v>
      </c>
      <c r="D1367" s="1"/>
      <c r="E1367" s="1"/>
      <c r="F1367" s="1"/>
      <c r="G1367" s="1"/>
      <c r="H1367" s="1" t="s">
        <v>24496</v>
      </c>
      <c r="I1367" s="1" t="s">
        <v>24496</v>
      </c>
      <c r="J1367" s="1"/>
      <c r="K1367" s="1"/>
      <c r="L1367" s="1"/>
      <c r="M1367" s="1"/>
      <c r="N1367" s="1"/>
      <c r="O1367" s="1"/>
      <c r="P1367" s="1"/>
      <c r="Q1367" s="1"/>
      <c r="R1367" s="1"/>
      <c r="S1367" s="1"/>
      <c r="T1367" s="1"/>
      <c r="U1367" s="1"/>
      <c r="V1367" s="1"/>
      <c r="W1367" s="1"/>
      <c r="X1367" s="1"/>
      <c r="Y1367" s="1"/>
      <c r="Z1367" s="1"/>
      <c r="AA1367" s="1"/>
      <c r="AB1367" s="1"/>
      <c r="AC1367" s="1"/>
      <c r="AD1367" s="1" t="s">
        <v>98</v>
      </c>
      <c r="AE1367" s="1" t="s">
        <v>98</v>
      </c>
      <c r="AF1367" s="1" t="s">
        <v>24497</v>
      </c>
      <c r="AG1367" s="1" t="s">
        <v>1779</v>
      </c>
      <c r="AH1367" s="1" t="s">
        <v>170</v>
      </c>
      <c r="AI1367" s="1" t="s">
        <v>286</v>
      </c>
      <c r="AJ1367" s="1">
        <v>77</v>
      </c>
      <c r="AK1367" s="1">
        <v>8.1</v>
      </c>
      <c r="AL1367" s="1"/>
      <c r="AM1367" s="1"/>
      <c r="AN1367" s="1"/>
      <c r="AO1367" s="1"/>
      <c r="AP1367" s="1"/>
      <c r="AQ1367" s="1"/>
      <c r="AR1367" s="1"/>
      <c r="AS1367" s="1" t="s">
        <v>16780</v>
      </c>
      <c r="AT1367" s="1" t="s">
        <v>24498</v>
      </c>
      <c r="AU1367" s="1" t="s">
        <v>174</v>
      </c>
      <c r="AV1367" s="1" t="s">
        <v>1192</v>
      </c>
      <c r="AW1367" s="1">
        <v>78</v>
      </c>
      <c r="AX1367" s="1">
        <v>8.21</v>
      </c>
      <c r="AY1367" s="1" t="s">
        <v>24499</v>
      </c>
      <c r="AZ1367" s="1" t="s">
        <v>24500</v>
      </c>
      <c r="BA1367" s="1" t="s">
        <v>682</v>
      </c>
      <c r="BB1367" s="1" t="s">
        <v>1561</v>
      </c>
      <c r="BC1367" s="1" t="s">
        <v>549</v>
      </c>
      <c r="BD1367" s="1" t="s">
        <v>14083</v>
      </c>
      <c r="BE1367" s="1">
        <v>66.5</v>
      </c>
      <c r="BF1367" s="1">
        <v>7.15</v>
      </c>
      <c r="BG1367" s="1"/>
      <c r="BH1367" s="1"/>
      <c r="BI1367" s="1"/>
      <c r="BJ1367" s="1"/>
      <c r="BK1367" s="1"/>
      <c r="BL1367" s="1"/>
      <c r="BM1367" s="1"/>
      <c r="BN1367" s="1"/>
      <c r="BO1367" s="1" t="s">
        <v>24501</v>
      </c>
      <c r="BP1367" s="1"/>
      <c r="BQ1367" s="1"/>
      <c r="BR1367" s="1"/>
      <c r="BS1367" s="1"/>
      <c r="BT1367" s="1"/>
      <c r="BU1367" s="1" t="str">
        <f>HYPERLINK("https://nconnect.nicmar.ac.in/storage/profile/6a86b6e50afb6.png","Download")</f>
        <v>0</v>
      </c>
      <c r="BV1367" s="3"/>
      <c r="BW1367" s="3"/>
    </row>
    <row r="1368" spans="1:75">
      <c r="A1368" s="1" t="s">
        <v>75</v>
      </c>
      <c r="B1368" s="1" t="s">
        <v>13976</v>
      </c>
      <c r="C1368" s="1" t="s">
        <v>24502</v>
      </c>
      <c r="D1368" s="1" t="s">
        <v>24503</v>
      </c>
      <c r="E1368" s="1" t="s">
        <v>24504</v>
      </c>
      <c r="F1368" s="1" t="s">
        <v>24505</v>
      </c>
      <c r="G1368" s="1" t="s">
        <v>24506</v>
      </c>
      <c r="H1368" s="1" t="s">
        <v>24507</v>
      </c>
      <c r="I1368" s="1" t="s">
        <v>24507</v>
      </c>
      <c r="J1368" s="1">
        <v>7249016743</v>
      </c>
      <c r="K1368" s="1" t="s">
        <v>153</v>
      </c>
      <c r="L1368" s="1" t="s">
        <v>24508</v>
      </c>
      <c r="M1368" s="1" t="s">
        <v>86</v>
      </c>
      <c r="N1368" s="1" t="s">
        <v>24509</v>
      </c>
      <c r="O1368" s="1" t="s">
        <v>24510</v>
      </c>
      <c r="P1368" s="1" t="s">
        <v>122</v>
      </c>
      <c r="Q1368" s="1">
        <v>588608742621</v>
      </c>
      <c r="R1368" s="1" t="s">
        <v>24511</v>
      </c>
      <c r="S1368" s="1">
        <v>8600923435</v>
      </c>
      <c r="T1368" s="1" t="s">
        <v>24512</v>
      </c>
      <c r="U1368" s="1" t="s">
        <v>24513</v>
      </c>
      <c r="V1368" s="1">
        <v>9623756401</v>
      </c>
      <c r="W1368" s="1" t="s">
        <v>24514</v>
      </c>
      <c r="X1368" s="1" t="s">
        <v>24515</v>
      </c>
      <c r="Y1368" s="1" t="s">
        <v>1989</v>
      </c>
      <c r="Z1368" s="1" t="s">
        <v>97</v>
      </c>
      <c r="AA1368" s="1" t="s">
        <v>24515</v>
      </c>
      <c r="AB1368" s="1" t="s">
        <v>1989</v>
      </c>
      <c r="AC1368" s="1" t="s">
        <v>97</v>
      </c>
      <c r="AD1368" s="1" t="s">
        <v>98</v>
      </c>
      <c r="AE1368" s="1" t="s">
        <v>98</v>
      </c>
      <c r="AF1368" s="1" t="s">
        <v>24516</v>
      </c>
      <c r="AG1368" s="1" t="s">
        <v>24517</v>
      </c>
      <c r="AH1368" s="1" t="s">
        <v>166</v>
      </c>
      <c r="AI1368" s="1" t="s">
        <v>1111</v>
      </c>
      <c r="AJ1368" s="1">
        <v>84.4</v>
      </c>
      <c r="AK1368" s="1"/>
      <c r="AL1368" s="1"/>
      <c r="AM1368" s="1"/>
      <c r="AN1368" s="1"/>
      <c r="AO1368" s="1"/>
      <c r="AP1368" s="1"/>
      <c r="AQ1368" s="1"/>
      <c r="AR1368" s="1"/>
      <c r="AS1368" s="1" t="s">
        <v>24518</v>
      </c>
      <c r="AT1368" s="1" t="s">
        <v>24518</v>
      </c>
      <c r="AU1368" s="1" t="s">
        <v>167</v>
      </c>
      <c r="AV1368" s="1" t="s">
        <v>438</v>
      </c>
      <c r="AW1368" s="1">
        <v>75</v>
      </c>
      <c r="AX1368" s="1"/>
      <c r="AY1368" s="1" t="s">
        <v>24519</v>
      </c>
      <c r="AZ1368" s="1" t="s">
        <v>24519</v>
      </c>
      <c r="BA1368" s="1" t="s">
        <v>682</v>
      </c>
      <c r="BB1368" s="1" t="s">
        <v>683</v>
      </c>
      <c r="BC1368" s="1" t="s">
        <v>438</v>
      </c>
      <c r="BD1368" s="1" t="s">
        <v>418</v>
      </c>
      <c r="BE1368" s="1">
        <v>63.48</v>
      </c>
      <c r="BF1368" s="1"/>
      <c r="BG1368" s="1"/>
      <c r="BH1368" s="1"/>
      <c r="BI1368" s="1"/>
      <c r="BJ1368" s="1"/>
      <c r="BK1368" s="1"/>
      <c r="BL1368" s="1"/>
      <c r="BM1368" s="1"/>
      <c r="BN1368" s="1"/>
      <c r="BO1368" s="1" t="s">
        <v>24520</v>
      </c>
      <c r="BP1368" s="1" t="s">
        <v>24521</v>
      </c>
      <c r="BQ1368" s="1" t="s">
        <v>1043</v>
      </c>
      <c r="BR1368" s="1" t="s">
        <v>24522</v>
      </c>
      <c r="BS1368" s="1">
        <v>13</v>
      </c>
      <c r="BT1368" s="1" t="s">
        <v>24523</v>
      </c>
      <c r="BU1368" s="1" t="str">
        <f>HYPERLINK("https://nconnect.nicmar.ac.in/storage/profile/6a8727b1eb645.png","Download")</f>
        <v>0</v>
      </c>
      <c r="BV1368" s="3"/>
      <c r="BW1368" s="3"/>
    </row>
    <row r="1369" spans="1:75">
      <c r="A1369" s="1" t="s">
        <v>75</v>
      </c>
      <c r="B1369" s="1" t="s">
        <v>13976</v>
      </c>
      <c r="C1369" s="1" t="s">
        <v>24524</v>
      </c>
      <c r="D1369" s="1" t="s">
        <v>19127</v>
      </c>
      <c r="E1369" s="1" t="s">
        <v>24525</v>
      </c>
      <c r="F1369" s="1" t="s">
        <v>24526</v>
      </c>
      <c r="G1369" s="1" t="s">
        <v>24527</v>
      </c>
      <c r="H1369" s="1" t="s">
        <v>24528</v>
      </c>
      <c r="I1369" s="1" t="s">
        <v>24528</v>
      </c>
      <c r="J1369" s="1">
        <v>9175354698</v>
      </c>
      <c r="K1369" s="1" t="s">
        <v>84</v>
      </c>
      <c r="L1369" s="1" t="s">
        <v>14206</v>
      </c>
      <c r="M1369" s="1" t="s">
        <v>86</v>
      </c>
      <c r="N1369" s="1" t="s">
        <v>6390</v>
      </c>
      <c r="O1369" s="1" t="s">
        <v>24529</v>
      </c>
      <c r="P1369" s="1" t="s">
        <v>122</v>
      </c>
      <c r="Q1369" s="1">
        <v>853929267754</v>
      </c>
      <c r="R1369" s="1" t="s">
        <v>24530</v>
      </c>
      <c r="S1369" s="1">
        <v>8888846210</v>
      </c>
      <c r="T1369" s="1" t="s">
        <v>24306</v>
      </c>
      <c r="U1369" s="1" t="s">
        <v>24531</v>
      </c>
      <c r="V1369" s="1">
        <v>9665592071</v>
      </c>
      <c r="W1369" s="1" t="s">
        <v>14710</v>
      </c>
      <c r="X1369" s="1" t="s">
        <v>24532</v>
      </c>
      <c r="Y1369" s="1" t="s">
        <v>196</v>
      </c>
      <c r="Z1369" s="1" t="s">
        <v>97</v>
      </c>
      <c r="AA1369" s="1" t="s">
        <v>24532</v>
      </c>
      <c r="AB1369" s="1" t="s">
        <v>196</v>
      </c>
      <c r="AC1369" s="1" t="s">
        <v>97</v>
      </c>
      <c r="AD1369" s="1" t="s">
        <v>98</v>
      </c>
      <c r="AE1369" s="1" t="s">
        <v>98</v>
      </c>
      <c r="AF1369" s="1" t="s">
        <v>24533</v>
      </c>
      <c r="AG1369" s="1" t="s">
        <v>24534</v>
      </c>
      <c r="AH1369" s="1" t="s">
        <v>200</v>
      </c>
      <c r="AI1369" s="1" t="s">
        <v>286</v>
      </c>
      <c r="AJ1369" s="1">
        <v>92</v>
      </c>
      <c r="AK1369" s="1"/>
      <c r="AL1369" s="1"/>
      <c r="AM1369" s="1"/>
      <c r="AN1369" s="1"/>
      <c r="AO1369" s="1"/>
      <c r="AP1369" s="1"/>
      <c r="AQ1369" s="1"/>
      <c r="AR1369" s="1"/>
      <c r="AS1369" s="1" t="s">
        <v>14528</v>
      </c>
      <c r="AT1369" s="1" t="s">
        <v>24535</v>
      </c>
      <c r="AU1369" s="1" t="s">
        <v>106</v>
      </c>
      <c r="AV1369" s="1" t="s">
        <v>552</v>
      </c>
      <c r="AW1369" s="1">
        <v>75.07</v>
      </c>
      <c r="AX1369" s="1"/>
      <c r="AY1369" s="1" t="s">
        <v>14530</v>
      </c>
      <c r="AZ1369" s="1" t="s">
        <v>24536</v>
      </c>
      <c r="BA1369" s="1" t="s">
        <v>578</v>
      </c>
      <c r="BB1369" s="1" t="s">
        <v>467</v>
      </c>
      <c r="BC1369" s="1" t="s">
        <v>140</v>
      </c>
      <c r="BD1369" s="1" t="s">
        <v>207</v>
      </c>
      <c r="BE1369" s="1">
        <v>63.8</v>
      </c>
      <c r="BF1369" s="1">
        <v>7.13</v>
      </c>
      <c r="BG1369" s="1"/>
      <c r="BH1369" s="1"/>
      <c r="BI1369" s="1"/>
      <c r="BJ1369" s="1"/>
      <c r="BK1369" s="1"/>
      <c r="BL1369" s="1"/>
      <c r="BM1369" s="1"/>
      <c r="BN1369" s="1"/>
      <c r="BO1369" s="1" t="s">
        <v>24537</v>
      </c>
      <c r="BP1369" s="1" t="s">
        <v>24538</v>
      </c>
      <c r="BQ1369" s="1" t="s">
        <v>292</v>
      </c>
      <c r="BR1369" s="1" t="s">
        <v>24539</v>
      </c>
      <c r="BS1369" s="1">
        <v>2</v>
      </c>
      <c r="BT1369" s="1"/>
      <c r="BU1369" s="1" t="str">
        <f>HYPERLINK("https://nconnect.nicmar.ac.in/storage/profile/6a85dc2e5e789.png","Download")</f>
        <v>0</v>
      </c>
      <c r="BV1369" s="3"/>
      <c r="BW1369" s="3"/>
    </row>
    <row r="1370" spans="1:75">
      <c r="A1370" s="1" t="s">
        <v>75</v>
      </c>
      <c r="B1370" s="1" t="s">
        <v>13976</v>
      </c>
      <c r="C1370" s="1" t="s">
        <v>24540</v>
      </c>
      <c r="D1370" s="1" t="s">
        <v>24541</v>
      </c>
      <c r="E1370" s="1" t="s">
        <v>7146</v>
      </c>
      <c r="F1370" s="1" t="s">
        <v>24542</v>
      </c>
      <c r="G1370" s="1" t="s">
        <v>24543</v>
      </c>
      <c r="H1370" s="1" t="s">
        <v>24544</v>
      </c>
      <c r="I1370" s="1" t="s">
        <v>24544</v>
      </c>
      <c r="J1370" s="1">
        <v>9623460900</v>
      </c>
      <c r="K1370" s="1" t="s">
        <v>153</v>
      </c>
      <c r="L1370" s="1" t="s">
        <v>24545</v>
      </c>
      <c r="M1370" s="1" t="s">
        <v>86</v>
      </c>
      <c r="N1370" s="1" t="s">
        <v>14253</v>
      </c>
      <c r="O1370" s="1" t="s">
        <v>24546</v>
      </c>
      <c r="P1370" s="1" t="s">
        <v>219</v>
      </c>
      <c r="Q1370" s="1">
        <v>900235823457</v>
      </c>
      <c r="R1370" s="1" t="s">
        <v>16713</v>
      </c>
      <c r="S1370" s="1">
        <v>9637015566</v>
      </c>
      <c r="T1370" s="1" t="s">
        <v>15073</v>
      </c>
      <c r="U1370" s="1" t="s">
        <v>24547</v>
      </c>
      <c r="V1370" s="1">
        <v>9665120290</v>
      </c>
      <c r="W1370" s="1" t="s">
        <v>15073</v>
      </c>
      <c r="X1370" s="1" t="s">
        <v>24548</v>
      </c>
      <c r="Y1370" s="1" t="s">
        <v>910</v>
      </c>
      <c r="Z1370" s="1" t="s">
        <v>97</v>
      </c>
      <c r="AA1370" s="1" t="s">
        <v>24548</v>
      </c>
      <c r="AB1370" s="1" t="s">
        <v>910</v>
      </c>
      <c r="AC1370" s="1" t="s">
        <v>97</v>
      </c>
      <c r="AD1370" s="1" t="s">
        <v>98</v>
      </c>
      <c r="AE1370" s="1" t="s">
        <v>98</v>
      </c>
      <c r="AF1370" s="1" t="s">
        <v>24549</v>
      </c>
      <c r="AG1370" s="1" t="s">
        <v>24550</v>
      </c>
      <c r="AH1370" s="1" t="s">
        <v>106</v>
      </c>
      <c r="AI1370" s="1" t="s">
        <v>438</v>
      </c>
      <c r="AJ1370" s="1">
        <v>88.2</v>
      </c>
      <c r="AK1370" s="1"/>
      <c r="AL1370" s="1" t="s">
        <v>24551</v>
      </c>
      <c r="AM1370" s="1" t="s">
        <v>24550</v>
      </c>
      <c r="AN1370" s="1" t="s">
        <v>465</v>
      </c>
      <c r="AO1370" s="1" t="s">
        <v>178</v>
      </c>
      <c r="AP1370" s="1" t="s">
        <v>847</v>
      </c>
      <c r="AQ1370" s="1">
        <v>86</v>
      </c>
      <c r="AR1370" s="1"/>
      <c r="AS1370" s="1"/>
      <c r="AT1370" s="1"/>
      <c r="AU1370" s="1"/>
      <c r="AV1370" s="1"/>
      <c r="AW1370" s="1"/>
      <c r="AX1370" s="1"/>
      <c r="AY1370" s="1" t="s">
        <v>14380</v>
      </c>
      <c r="AZ1370" s="1" t="s">
        <v>18479</v>
      </c>
      <c r="BA1370" s="1" t="s">
        <v>682</v>
      </c>
      <c r="BB1370" s="1" t="s">
        <v>683</v>
      </c>
      <c r="BC1370" s="1" t="s">
        <v>871</v>
      </c>
      <c r="BD1370" s="1" t="s">
        <v>9688</v>
      </c>
      <c r="BE1370" s="1">
        <v>75.53</v>
      </c>
      <c r="BF1370" s="1">
        <v>7.95</v>
      </c>
      <c r="BG1370" s="1"/>
      <c r="BH1370" s="1"/>
      <c r="BI1370" s="1"/>
      <c r="BJ1370" s="1"/>
      <c r="BK1370" s="1"/>
      <c r="BL1370" s="1"/>
      <c r="BM1370" s="1"/>
      <c r="BN1370" s="1"/>
      <c r="BO1370" s="1" t="s">
        <v>24552</v>
      </c>
      <c r="BP1370" s="1"/>
      <c r="BQ1370" s="1"/>
      <c r="BR1370" s="1" t="s">
        <v>24553</v>
      </c>
      <c r="BS1370" s="1">
        <v>17</v>
      </c>
      <c r="BT1370" s="1"/>
      <c r="BU1370" s="1" t="str">
        <f>HYPERLINK("https://nconnect.nicmar.ac.in/storage/profile/6a872758c510e.png","Download")</f>
        <v>0</v>
      </c>
      <c r="BV1370" s="3"/>
      <c r="BW1370" s="3"/>
    </row>
    <row r="1371" spans="1:75">
      <c r="A1371" s="1" t="s">
        <v>75</v>
      </c>
      <c r="B1371" s="1" t="s">
        <v>13976</v>
      </c>
      <c r="C1371" s="1" t="s">
        <v>24554</v>
      </c>
      <c r="D1371" s="1" t="s">
        <v>24555</v>
      </c>
      <c r="E1371" s="1" t="s">
        <v>11393</v>
      </c>
      <c r="F1371" s="1" t="s">
        <v>14460</v>
      </c>
      <c r="G1371" s="1" t="s">
        <v>24556</v>
      </c>
      <c r="H1371" s="1" t="s">
        <v>24557</v>
      </c>
      <c r="I1371" s="1" t="s">
        <v>24557</v>
      </c>
      <c r="J1371" s="1">
        <v>8433585590</v>
      </c>
      <c r="K1371" s="1" t="s">
        <v>84</v>
      </c>
      <c r="L1371" s="1" t="s">
        <v>24558</v>
      </c>
      <c r="M1371" s="1" t="s">
        <v>86</v>
      </c>
      <c r="N1371" s="1" t="s">
        <v>10675</v>
      </c>
      <c r="O1371" s="1" t="s">
        <v>24559</v>
      </c>
      <c r="P1371" s="1" t="s">
        <v>122</v>
      </c>
      <c r="Q1371" s="1">
        <v>826391437683</v>
      </c>
      <c r="R1371" s="1" t="s">
        <v>24560</v>
      </c>
      <c r="S1371" s="1">
        <v>9820048895</v>
      </c>
      <c r="T1371" s="1" t="s">
        <v>15073</v>
      </c>
      <c r="U1371" s="1" t="s">
        <v>24561</v>
      </c>
      <c r="V1371" s="1">
        <v>9969203227</v>
      </c>
      <c r="W1371" s="1" t="s">
        <v>14032</v>
      </c>
      <c r="X1371" s="1" t="s">
        <v>24562</v>
      </c>
      <c r="Y1371" s="1" t="s">
        <v>2259</v>
      </c>
      <c r="Z1371" s="1" t="s">
        <v>97</v>
      </c>
      <c r="AA1371" s="1" t="s">
        <v>24562</v>
      </c>
      <c r="AB1371" s="1" t="s">
        <v>2259</v>
      </c>
      <c r="AC1371" s="1" t="s">
        <v>97</v>
      </c>
      <c r="AD1371" s="1" t="s">
        <v>98</v>
      </c>
      <c r="AE1371" s="1" t="s">
        <v>98</v>
      </c>
      <c r="AF1371" s="1" t="s">
        <v>24563</v>
      </c>
      <c r="AG1371" s="1" t="s">
        <v>23061</v>
      </c>
      <c r="AH1371" s="1" t="s">
        <v>166</v>
      </c>
      <c r="AI1371" s="1" t="s">
        <v>167</v>
      </c>
      <c r="AJ1371" s="1">
        <v>80.0</v>
      </c>
      <c r="AK1371" s="1"/>
      <c r="AL1371" s="1" t="s">
        <v>24564</v>
      </c>
      <c r="AM1371" s="1" t="s">
        <v>24565</v>
      </c>
      <c r="AN1371" s="1" t="s">
        <v>465</v>
      </c>
      <c r="AO1371" s="1" t="s">
        <v>170</v>
      </c>
      <c r="AP1371" s="1" t="s">
        <v>106</v>
      </c>
      <c r="AQ1371" s="1">
        <v>63.2</v>
      </c>
      <c r="AR1371" s="1"/>
      <c r="AS1371" s="1"/>
      <c r="AT1371" s="1"/>
      <c r="AU1371" s="1"/>
      <c r="AV1371" s="1"/>
      <c r="AW1371" s="1"/>
      <c r="AX1371" s="1"/>
      <c r="AY1371" s="1" t="s">
        <v>14530</v>
      </c>
      <c r="AZ1371" s="1" t="s">
        <v>24566</v>
      </c>
      <c r="BA1371" s="1" t="s">
        <v>578</v>
      </c>
      <c r="BB1371" s="1" t="s">
        <v>467</v>
      </c>
      <c r="BC1371" s="1" t="s">
        <v>106</v>
      </c>
      <c r="BD1371" s="1" t="s">
        <v>289</v>
      </c>
      <c r="BE1371" s="1">
        <v>73</v>
      </c>
      <c r="BF1371" s="1"/>
      <c r="BG1371" s="1"/>
      <c r="BH1371" s="1"/>
      <c r="BI1371" s="1"/>
      <c r="BJ1371" s="1"/>
      <c r="BK1371" s="1"/>
      <c r="BL1371" s="1"/>
      <c r="BM1371" s="1"/>
      <c r="BN1371" s="1"/>
      <c r="BO1371" s="1" t="s">
        <v>24567</v>
      </c>
      <c r="BP1371" s="1" t="s">
        <v>24568</v>
      </c>
      <c r="BQ1371" s="1" t="s">
        <v>6365</v>
      </c>
      <c r="BR1371" s="1" t="s">
        <v>24569</v>
      </c>
      <c r="BS1371" s="1">
        <v>26</v>
      </c>
      <c r="BT1371" s="1" t="s">
        <v>24570</v>
      </c>
      <c r="BU1371" s="1" t="str">
        <f>HYPERLINK("https://nconnect.nicmar.ac.in/storage/profile/6a8727d8910de.png","Download")</f>
        <v>0</v>
      </c>
      <c r="BV1371" s="3"/>
      <c r="BW1371" s="3"/>
    </row>
    <row r="1372" spans="1:75">
      <c r="A1372" s="1" t="s">
        <v>75</v>
      </c>
      <c r="B1372" s="1" t="s">
        <v>13976</v>
      </c>
      <c r="C1372" s="1" t="s">
        <v>24571</v>
      </c>
      <c r="D1372" s="1" t="s">
        <v>24572</v>
      </c>
      <c r="E1372" s="1"/>
      <c r="F1372" s="1" t="s">
        <v>24573</v>
      </c>
      <c r="G1372" s="1" t="s">
        <v>24574</v>
      </c>
      <c r="H1372" s="1" t="s">
        <v>24575</v>
      </c>
      <c r="I1372" s="1" t="s">
        <v>24575</v>
      </c>
      <c r="J1372" s="1">
        <v>9487888994</v>
      </c>
      <c r="K1372" s="1" t="s">
        <v>84</v>
      </c>
      <c r="L1372" s="1" t="s">
        <v>24576</v>
      </c>
      <c r="M1372" s="1" t="s">
        <v>86</v>
      </c>
      <c r="N1372" s="1" t="s">
        <v>2002</v>
      </c>
      <c r="O1372" s="1" t="s">
        <v>24577</v>
      </c>
      <c r="P1372" s="1" t="s">
        <v>1693</v>
      </c>
      <c r="Q1372" s="1">
        <v>541183570646</v>
      </c>
      <c r="R1372" s="1" t="s">
        <v>24578</v>
      </c>
      <c r="S1372" s="1">
        <v>9487882820</v>
      </c>
      <c r="T1372" s="1" t="s">
        <v>24579</v>
      </c>
      <c r="U1372" s="1" t="s">
        <v>24580</v>
      </c>
      <c r="V1372" s="1">
        <v>9894776760</v>
      </c>
      <c r="W1372" s="1" t="s">
        <v>24581</v>
      </c>
      <c r="X1372" s="1" t="s">
        <v>24582</v>
      </c>
      <c r="Y1372" s="1" t="s">
        <v>2131</v>
      </c>
      <c r="Z1372" s="1" t="s">
        <v>570</v>
      </c>
      <c r="AA1372" s="1" t="s">
        <v>24582</v>
      </c>
      <c r="AB1372" s="1" t="s">
        <v>2131</v>
      </c>
      <c r="AC1372" s="1" t="s">
        <v>570</v>
      </c>
      <c r="AD1372" s="1" t="s">
        <v>98</v>
      </c>
      <c r="AE1372" s="1" t="s">
        <v>98</v>
      </c>
      <c r="AF1372" s="1" t="s">
        <v>24583</v>
      </c>
      <c r="AG1372" s="1" t="s">
        <v>9682</v>
      </c>
      <c r="AH1372" s="1" t="s">
        <v>1213</v>
      </c>
      <c r="AI1372" s="1" t="s">
        <v>1262</v>
      </c>
      <c r="AJ1372" s="1">
        <v>90.25</v>
      </c>
      <c r="AK1372" s="1">
        <v>9.5</v>
      </c>
      <c r="AL1372" s="1" t="s">
        <v>24584</v>
      </c>
      <c r="AM1372" s="1" t="s">
        <v>24585</v>
      </c>
      <c r="AN1372" s="1" t="s">
        <v>465</v>
      </c>
      <c r="AO1372" s="1" t="s">
        <v>166</v>
      </c>
      <c r="AP1372" s="1" t="s">
        <v>627</v>
      </c>
      <c r="AQ1372" s="1">
        <v>95</v>
      </c>
      <c r="AR1372" s="1"/>
      <c r="AS1372" s="1"/>
      <c r="AT1372" s="1"/>
      <c r="AU1372" s="1"/>
      <c r="AV1372" s="1"/>
      <c r="AW1372" s="1"/>
      <c r="AX1372" s="1"/>
      <c r="AY1372" s="1" t="s">
        <v>550</v>
      </c>
      <c r="AZ1372" s="1" t="s">
        <v>550</v>
      </c>
      <c r="BA1372" s="1" t="s">
        <v>466</v>
      </c>
      <c r="BB1372" s="1" t="s">
        <v>467</v>
      </c>
      <c r="BC1372" s="1" t="s">
        <v>167</v>
      </c>
      <c r="BD1372" s="1" t="s">
        <v>468</v>
      </c>
      <c r="BE1372" s="1">
        <v>84.7</v>
      </c>
      <c r="BF1372" s="1">
        <v>8.47</v>
      </c>
      <c r="BG1372" s="1"/>
      <c r="BH1372" s="1"/>
      <c r="BI1372" s="1"/>
      <c r="BJ1372" s="1"/>
      <c r="BK1372" s="1"/>
      <c r="BL1372" s="1"/>
      <c r="BM1372" s="1"/>
      <c r="BN1372" s="1"/>
      <c r="BO1372" s="1" t="s">
        <v>849</v>
      </c>
      <c r="BP1372" s="1" t="s">
        <v>24586</v>
      </c>
      <c r="BQ1372" s="1" t="s">
        <v>7647</v>
      </c>
      <c r="BR1372" s="1"/>
      <c r="BS1372" s="1"/>
      <c r="BT1372" s="1"/>
      <c r="BU1372" s="1" t="str">
        <f>HYPERLINK("https://nconnect.nicmar.ac.in/storage/profile/6a8492cf80cd3.png","Download")</f>
        <v>0</v>
      </c>
      <c r="BV1372" s="3"/>
      <c r="BW1372" s="3"/>
    </row>
    <row r="1373" spans="1:75">
      <c r="A1373" s="1" t="s">
        <v>75</v>
      </c>
      <c r="B1373" s="1" t="s">
        <v>13976</v>
      </c>
      <c r="C1373" s="1" t="s">
        <v>24587</v>
      </c>
      <c r="D1373" s="1" t="s">
        <v>24588</v>
      </c>
      <c r="E1373" s="1"/>
      <c r="F1373" s="1" t="s">
        <v>24589</v>
      </c>
      <c r="G1373" s="1" t="s">
        <v>24590</v>
      </c>
      <c r="H1373" s="1" t="s">
        <v>24591</v>
      </c>
      <c r="I1373" s="1" t="s">
        <v>24591</v>
      </c>
      <c r="J1373" s="1">
        <v>8307724903</v>
      </c>
      <c r="K1373" s="1" t="s">
        <v>84</v>
      </c>
      <c r="L1373" s="1" t="s">
        <v>24592</v>
      </c>
      <c r="M1373" s="1" t="s">
        <v>86</v>
      </c>
      <c r="N1373" s="1" t="s">
        <v>8293</v>
      </c>
      <c r="O1373" s="1" t="s">
        <v>24593</v>
      </c>
      <c r="P1373" s="1" t="s">
        <v>122</v>
      </c>
      <c r="Q1373" s="1">
        <v>379842278114</v>
      </c>
      <c r="R1373" s="1" t="s">
        <v>24594</v>
      </c>
      <c r="S1373" s="1">
        <v>8950197715</v>
      </c>
      <c r="T1373" s="1" t="s">
        <v>24595</v>
      </c>
      <c r="U1373" s="1" t="s">
        <v>24596</v>
      </c>
      <c r="V1373" s="1">
        <v>7015295478</v>
      </c>
      <c r="W1373" s="1" t="s">
        <v>14710</v>
      </c>
      <c r="X1373" s="1" t="s">
        <v>24597</v>
      </c>
      <c r="Y1373" s="1" t="s">
        <v>24598</v>
      </c>
      <c r="Z1373" s="1" t="s">
        <v>1700</v>
      </c>
      <c r="AA1373" s="1" t="s">
        <v>24597</v>
      </c>
      <c r="AB1373" s="1" t="s">
        <v>24598</v>
      </c>
      <c r="AC1373" s="1" t="s">
        <v>1700</v>
      </c>
      <c r="AD1373" s="1" t="s">
        <v>98</v>
      </c>
      <c r="AE1373" s="1" t="s">
        <v>98</v>
      </c>
      <c r="AF1373" s="1" t="s">
        <v>24599</v>
      </c>
      <c r="AG1373" s="1" t="s">
        <v>796</v>
      </c>
      <c r="AH1373" s="1" t="s">
        <v>704</v>
      </c>
      <c r="AI1373" s="1" t="s">
        <v>286</v>
      </c>
      <c r="AJ1373" s="1">
        <v>72.2</v>
      </c>
      <c r="AK1373" s="1"/>
      <c r="AL1373" s="1" t="s">
        <v>24600</v>
      </c>
      <c r="AM1373" s="1" t="s">
        <v>15152</v>
      </c>
      <c r="AN1373" s="1" t="s">
        <v>465</v>
      </c>
      <c r="AO1373" s="1" t="s">
        <v>547</v>
      </c>
      <c r="AP1373" s="1" t="s">
        <v>603</v>
      </c>
      <c r="AQ1373" s="1">
        <v>82.2</v>
      </c>
      <c r="AR1373" s="1"/>
      <c r="AS1373" s="1"/>
      <c r="AT1373" s="1"/>
      <c r="AU1373" s="1"/>
      <c r="AV1373" s="1"/>
      <c r="AW1373" s="1"/>
      <c r="AX1373" s="1"/>
      <c r="AY1373" s="1" t="s">
        <v>24601</v>
      </c>
      <c r="AZ1373" s="1" t="s">
        <v>24601</v>
      </c>
      <c r="BA1373" s="1" t="s">
        <v>466</v>
      </c>
      <c r="BB1373" s="1" t="s">
        <v>467</v>
      </c>
      <c r="BC1373" s="1" t="s">
        <v>178</v>
      </c>
      <c r="BD1373" s="1" t="s">
        <v>207</v>
      </c>
      <c r="BE1373" s="1">
        <v>64.6</v>
      </c>
      <c r="BF1373" s="1">
        <v>6.8</v>
      </c>
      <c r="BG1373" s="1"/>
      <c r="BH1373" s="1"/>
      <c r="BI1373" s="1"/>
      <c r="BJ1373" s="1"/>
      <c r="BK1373" s="1"/>
      <c r="BL1373" s="1"/>
      <c r="BM1373" s="1"/>
      <c r="BN1373" s="1"/>
      <c r="BO1373" s="1" t="s">
        <v>24602</v>
      </c>
      <c r="BP1373" s="1" t="s">
        <v>24603</v>
      </c>
      <c r="BQ1373" s="1" t="s">
        <v>4149</v>
      </c>
      <c r="BR1373" s="1" t="s">
        <v>24604</v>
      </c>
      <c r="BS1373" s="1">
        <v>22</v>
      </c>
      <c r="BT1373" s="1"/>
      <c r="BU1373" s="1" t="str">
        <f>HYPERLINK("https://nconnect.nicmar.ac.in/storage/profile/6a85aa8192613.png","Download")</f>
        <v>0</v>
      </c>
      <c r="BV1373" s="3"/>
      <c r="BW1373" s="3"/>
    </row>
    <row r="1374" spans="1:75">
      <c r="A1374" s="1" t="s">
        <v>75</v>
      </c>
      <c r="B1374" s="1" t="s">
        <v>13976</v>
      </c>
      <c r="C1374" s="1" t="s">
        <v>24605</v>
      </c>
      <c r="D1374" s="1" t="s">
        <v>22415</v>
      </c>
      <c r="E1374" s="1" t="s">
        <v>24238</v>
      </c>
      <c r="F1374" s="1" t="s">
        <v>15304</v>
      </c>
      <c r="G1374" s="1" t="s">
        <v>24606</v>
      </c>
      <c r="H1374" s="1" t="s">
        <v>24607</v>
      </c>
      <c r="I1374" s="1" t="s">
        <v>24607</v>
      </c>
      <c r="J1374" s="1">
        <v>7021559881</v>
      </c>
      <c r="K1374" s="1" t="s">
        <v>153</v>
      </c>
      <c r="L1374" s="1" t="s">
        <v>24608</v>
      </c>
      <c r="M1374" s="1" t="s">
        <v>86</v>
      </c>
      <c r="N1374" s="1" t="s">
        <v>24609</v>
      </c>
      <c r="O1374" s="1" t="s">
        <v>24610</v>
      </c>
      <c r="P1374" s="1" t="s">
        <v>219</v>
      </c>
      <c r="Q1374" s="1">
        <v>561708099331</v>
      </c>
      <c r="R1374" s="1" t="s">
        <v>24611</v>
      </c>
      <c r="S1374" s="1">
        <v>9307993119</v>
      </c>
      <c r="T1374" s="1" t="s">
        <v>3441</v>
      </c>
      <c r="U1374" s="1" t="s">
        <v>24612</v>
      </c>
      <c r="V1374" s="1">
        <v>7666975286</v>
      </c>
      <c r="W1374" s="1" t="s">
        <v>19327</v>
      </c>
      <c r="X1374" s="1" t="s">
        <v>24613</v>
      </c>
      <c r="Y1374" s="1" t="s">
        <v>163</v>
      </c>
      <c r="Z1374" s="1" t="s">
        <v>97</v>
      </c>
      <c r="AA1374" s="1" t="s">
        <v>24614</v>
      </c>
      <c r="AB1374" s="1" t="s">
        <v>196</v>
      </c>
      <c r="AC1374" s="1" t="s">
        <v>97</v>
      </c>
      <c r="AD1374" s="1" t="s">
        <v>98</v>
      </c>
      <c r="AE1374" s="1" t="s">
        <v>98</v>
      </c>
      <c r="AF1374" s="1" t="s">
        <v>24615</v>
      </c>
      <c r="AG1374" s="1" t="s">
        <v>24616</v>
      </c>
      <c r="AH1374" s="1" t="s">
        <v>101</v>
      </c>
      <c r="AI1374" s="1" t="s">
        <v>166</v>
      </c>
      <c r="AJ1374" s="1">
        <v>84.8</v>
      </c>
      <c r="AK1374" s="1"/>
      <c r="AL1374" s="1"/>
      <c r="AM1374" s="1"/>
      <c r="AN1374" s="1"/>
      <c r="AO1374" s="1"/>
      <c r="AP1374" s="1"/>
      <c r="AQ1374" s="1"/>
      <c r="AR1374" s="1"/>
      <c r="AS1374" s="1" t="s">
        <v>24617</v>
      </c>
      <c r="AT1374" s="1" t="s">
        <v>24618</v>
      </c>
      <c r="AU1374" s="1" t="s">
        <v>166</v>
      </c>
      <c r="AV1374" s="1" t="s">
        <v>106</v>
      </c>
      <c r="AW1374" s="1">
        <v>80.3</v>
      </c>
      <c r="AX1374" s="1"/>
      <c r="AY1374" s="1" t="s">
        <v>14160</v>
      </c>
      <c r="AZ1374" s="1" t="s">
        <v>24619</v>
      </c>
      <c r="BA1374" s="1" t="s">
        <v>578</v>
      </c>
      <c r="BB1374" s="1" t="s">
        <v>467</v>
      </c>
      <c r="BC1374" s="1" t="s">
        <v>1065</v>
      </c>
      <c r="BD1374" s="1" t="s">
        <v>549</v>
      </c>
      <c r="BE1374" s="1">
        <v>79.11</v>
      </c>
      <c r="BF1374" s="1">
        <v>8.99</v>
      </c>
      <c r="BG1374" s="1"/>
      <c r="BH1374" s="1"/>
      <c r="BI1374" s="1"/>
      <c r="BJ1374" s="1"/>
      <c r="BK1374" s="1"/>
      <c r="BL1374" s="1"/>
      <c r="BM1374" s="1"/>
      <c r="BN1374" s="1"/>
      <c r="BO1374" s="1" t="s">
        <v>24620</v>
      </c>
      <c r="BP1374" s="1"/>
      <c r="BQ1374" s="1"/>
      <c r="BR1374" s="1" t="s">
        <v>24621</v>
      </c>
      <c r="BS1374" s="1">
        <v>24</v>
      </c>
      <c r="BT1374" s="1"/>
      <c r="BU1374" s="1" t="str">
        <f>HYPERLINK("https://nconnect.nicmar.ac.in/storage/profile/6a8747a4b859b.png","Download")</f>
        <v>0</v>
      </c>
      <c r="BV1374" s="3"/>
      <c r="BW1374" s="3"/>
    </row>
    <row r="1375" spans="1:75">
      <c r="A1375" s="1" t="s">
        <v>75</v>
      </c>
      <c r="B1375" s="1" t="s">
        <v>13976</v>
      </c>
      <c r="C1375" s="1" t="s">
        <v>24622</v>
      </c>
      <c r="D1375" s="1" t="s">
        <v>14308</v>
      </c>
      <c r="E1375" s="1" t="s">
        <v>14066</v>
      </c>
      <c r="F1375" s="1" t="s">
        <v>14364</v>
      </c>
      <c r="G1375" s="1" t="s">
        <v>24623</v>
      </c>
      <c r="H1375" s="1" t="s">
        <v>24624</v>
      </c>
      <c r="I1375" s="1" t="s">
        <v>24625</v>
      </c>
      <c r="J1375" s="1">
        <v>9356557944</v>
      </c>
      <c r="K1375" s="1" t="s">
        <v>84</v>
      </c>
      <c r="L1375" s="1" t="s">
        <v>24626</v>
      </c>
      <c r="M1375" s="1" t="s">
        <v>86</v>
      </c>
      <c r="N1375" s="1" t="s">
        <v>17803</v>
      </c>
      <c r="O1375" s="1" t="s">
        <v>24627</v>
      </c>
      <c r="P1375" s="1" t="s">
        <v>219</v>
      </c>
      <c r="Q1375" s="1">
        <v>225660409907</v>
      </c>
      <c r="R1375" s="1" t="s">
        <v>14066</v>
      </c>
      <c r="S1375" s="1">
        <v>8999249457</v>
      </c>
      <c r="T1375" s="1" t="s">
        <v>16204</v>
      </c>
      <c r="U1375" s="1" t="s">
        <v>24628</v>
      </c>
      <c r="V1375" s="1">
        <v>9699494090</v>
      </c>
      <c r="W1375" s="1" t="s">
        <v>16204</v>
      </c>
      <c r="X1375" s="1" t="s">
        <v>24629</v>
      </c>
      <c r="Y1375" s="1" t="s">
        <v>910</v>
      </c>
      <c r="Z1375" s="1" t="s">
        <v>97</v>
      </c>
      <c r="AA1375" s="1" t="s">
        <v>24629</v>
      </c>
      <c r="AB1375" s="1" t="s">
        <v>910</v>
      </c>
      <c r="AC1375" s="1" t="s">
        <v>97</v>
      </c>
      <c r="AD1375" s="1" t="s">
        <v>98</v>
      </c>
      <c r="AE1375" s="1" t="s">
        <v>98</v>
      </c>
      <c r="AF1375" s="1" t="s">
        <v>24630</v>
      </c>
      <c r="AG1375" s="1" t="s">
        <v>24631</v>
      </c>
      <c r="AH1375" s="1" t="s">
        <v>573</v>
      </c>
      <c r="AI1375" s="1" t="s">
        <v>171</v>
      </c>
      <c r="AJ1375" s="1">
        <v>81.66</v>
      </c>
      <c r="AK1375" s="1">
        <v>8.6</v>
      </c>
      <c r="AL1375" s="1" t="s">
        <v>24632</v>
      </c>
      <c r="AM1375" s="1" t="s">
        <v>24633</v>
      </c>
      <c r="AN1375" s="1" t="s">
        <v>465</v>
      </c>
      <c r="AO1375" s="1" t="s">
        <v>203</v>
      </c>
      <c r="AP1375" s="1" t="s">
        <v>365</v>
      </c>
      <c r="AQ1375" s="1">
        <v>68.15</v>
      </c>
      <c r="AR1375" s="1">
        <v>7.1</v>
      </c>
      <c r="AS1375" s="1"/>
      <c r="AT1375" s="1"/>
      <c r="AU1375" s="1"/>
      <c r="AV1375" s="1"/>
      <c r="AW1375" s="1"/>
      <c r="AX1375" s="1"/>
      <c r="AY1375" s="1" t="s">
        <v>24634</v>
      </c>
      <c r="AZ1375" s="1" t="s">
        <v>24635</v>
      </c>
      <c r="BA1375" s="1" t="s">
        <v>682</v>
      </c>
      <c r="BB1375" s="1" t="s">
        <v>1561</v>
      </c>
      <c r="BC1375" s="1" t="s">
        <v>1647</v>
      </c>
      <c r="BD1375" s="1" t="s">
        <v>848</v>
      </c>
      <c r="BE1375" s="1">
        <v>82.46</v>
      </c>
      <c r="BF1375" s="1">
        <v>8.68</v>
      </c>
      <c r="BG1375" s="1"/>
      <c r="BH1375" s="1"/>
      <c r="BI1375" s="1"/>
      <c r="BJ1375" s="1"/>
      <c r="BK1375" s="1"/>
      <c r="BL1375" s="1"/>
      <c r="BM1375" s="1"/>
      <c r="BN1375" s="1"/>
      <c r="BO1375" s="1" t="s">
        <v>24636</v>
      </c>
      <c r="BP1375" s="1" t="s">
        <v>24637</v>
      </c>
      <c r="BQ1375" s="1" t="s">
        <v>9405</v>
      </c>
      <c r="BR1375" s="1" t="s">
        <v>24638</v>
      </c>
      <c r="BS1375" s="1">
        <v>29</v>
      </c>
      <c r="BT1375" s="1" t="s">
        <v>24639</v>
      </c>
      <c r="BU1375" s="1" t="str">
        <f>HYPERLINK("https://nconnect.nicmar.ac.in/storage/profile/6a86f14b8477c.png","Download")</f>
        <v>0</v>
      </c>
      <c r="BV1375" s="3"/>
      <c r="BW1375" s="3"/>
    </row>
    <row r="1376" spans="1:75">
      <c r="A1376" s="1" t="s">
        <v>75</v>
      </c>
      <c r="B1376" s="1" t="s">
        <v>13976</v>
      </c>
      <c r="C1376" s="1" t="s">
        <v>24640</v>
      </c>
      <c r="D1376" s="1" t="s">
        <v>24641</v>
      </c>
      <c r="E1376" s="1" t="s">
        <v>24642</v>
      </c>
      <c r="F1376" s="1" t="s">
        <v>14928</v>
      </c>
      <c r="G1376" s="1" t="s">
        <v>24643</v>
      </c>
      <c r="H1376" s="1" t="s">
        <v>24644</v>
      </c>
      <c r="I1376" s="1" t="s">
        <v>24645</v>
      </c>
      <c r="J1376" s="1">
        <v>9370495621</v>
      </c>
      <c r="K1376" s="1" t="s">
        <v>153</v>
      </c>
      <c r="L1376" s="1" t="s">
        <v>24646</v>
      </c>
      <c r="M1376" s="1" t="s">
        <v>86</v>
      </c>
      <c r="N1376" s="1" t="s">
        <v>5398</v>
      </c>
      <c r="O1376" s="1" t="s">
        <v>24647</v>
      </c>
      <c r="P1376" s="1" t="s">
        <v>219</v>
      </c>
      <c r="Q1376" s="1">
        <v>959144050322</v>
      </c>
      <c r="R1376" s="1" t="s">
        <v>14774</v>
      </c>
      <c r="S1376" s="1">
        <v>9049153025</v>
      </c>
      <c r="T1376" s="1" t="s">
        <v>3439</v>
      </c>
      <c r="U1376" s="1" t="s">
        <v>22800</v>
      </c>
      <c r="V1376" s="1">
        <v>8788746547</v>
      </c>
      <c r="W1376" s="1" t="s">
        <v>14154</v>
      </c>
      <c r="X1376" s="1" t="s">
        <v>24648</v>
      </c>
      <c r="Y1376" s="1" t="s">
        <v>410</v>
      </c>
      <c r="Z1376" s="1" t="s">
        <v>97</v>
      </c>
      <c r="AA1376" s="1" t="s">
        <v>24649</v>
      </c>
      <c r="AB1376" s="1" t="s">
        <v>196</v>
      </c>
      <c r="AC1376" s="1" t="s">
        <v>97</v>
      </c>
      <c r="AD1376" s="1" t="s">
        <v>98</v>
      </c>
      <c r="AE1376" s="1" t="s">
        <v>98</v>
      </c>
      <c r="AF1376" s="1" t="s">
        <v>24650</v>
      </c>
      <c r="AG1376" s="1" t="s">
        <v>24651</v>
      </c>
      <c r="AH1376" s="1" t="s">
        <v>166</v>
      </c>
      <c r="AI1376" s="1" t="s">
        <v>167</v>
      </c>
      <c r="AJ1376" s="1">
        <v>95.0</v>
      </c>
      <c r="AK1376" s="1">
        <v>10</v>
      </c>
      <c r="AL1376" s="1" t="s">
        <v>24652</v>
      </c>
      <c r="AM1376" s="1" t="s">
        <v>24653</v>
      </c>
      <c r="AN1376" s="1" t="s">
        <v>465</v>
      </c>
      <c r="AO1376" s="1" t="s">
        <v>388</v>
      </c>
      <c r="AP1376" s="1" t="s">
        <v>106</v>
      </c>
      <c r="AQ1376" s="1">
        <v>75.08</v>
      </c>
      <c r="AR1376" s="1"/>
      <c r="AS1376" s="1"/>
      <c r="AT1376" s="1"/>
      <c r="AU1376" s="1"/>
      <c r="AV1376" s="1"/>
      <c r="AW1376" s="1"/>
      <c r="AX1376" s="1"/>
      <c r="AY1376" s="1" t="s">
        <v>24654</v>
      </c>
      <c r="AZ1376" s="1" t="s">
        <v>23591</v>
      </c>
      <c r="BA1376" s="1" t="s">
        <v>578</v>
      </c>
      <c r="BB1376" s="1" t="s">
        <v>467</v>
      </c>
      <c r="BC1376" s="1" t="s">
        <v>1065</v>
      </c>
      <c r="BD1376" s="1" t="s">
        <v>289</v>
      </c>
      <c r="BE1376" s="1">
        <v>80.6</v>
      </c>
      <c r="BF1376" s="1">
        <v>8.06</v>
      </c>
      <c r="BG1376" s="1"/>
      <c r="BH1376" s="1"/>
      <c r="BI1376" s="1"/>
      <c r="BJ1376" s="1"/>
      <c r="BK1376" s="1"/>
      <c r="BL1376" s="1"/>
      <c r="BM1376" s="1"/>
      <c r="BN1376" s="1"/>
      <c r="BO1376" s="1" t="s">
        <v>24655</v>
      </c>
      <c r="BP1376" s="1" t="s">
        <v>24656</v>
      </c>
      <c r="BQ1376" s="1" t="s">
        <v>736</v>
      </c>
      <c r="BR1376" s="1" t="s">
        <v>24657</v>
      </c>
      <c r="BS1376" s="1">
        <v>14</v>
      </c>
      <c r="BT1376" s="1"/>
      <c r="BU1376" s="1" t="str">
        <f>HYPERLINK("https://nconnect.nicmar.ac.in/storage/profile/6a870d8e43fc1.png","Download")</f>
        <v>0</v>
      </c>
      <c r="BV1376" s="3"/>
      <c r="BW1376" s="3"/>
    </row>
    <row r="1377" spans="1:75">
      <c r="A1377" s="1" t="s">
        <v>75</v>
      </c>
      <c r="B1377" s="1" t="s">
        <v>13976</v>
      </c>
      <c r="C1377" s="1" t="s">
        <v>24658</v>
      </c>
      <c r="D1377" s="1" t="s">
        <v>24659</v>
      </c>
      <c r="E1377" s="1" t="s">
        <v>24660</v>
      </c>
      <c r="F1377" s="1" t="s">
        <v>24661</v>
      </c>
      <c r="G1377" s="1" t="s">
        <v>24662</v>
      </c>
      <c r="H1377" s="1" t="s">
        <v>24663</v>
      </c>
      <c r="I1377" s="1" t="s">
        <v>24664</v>
      </c>
      <c r="J1377" s="1">
        <v>8999321616</v>
      </c>
      <c r="K1377" s="1" t="s">
        <v>84</v>
      </c>
      <c r="L1377" s="1" t="s">
        <v>24665</v>
      </c>
      <c r="M1377" s="1" t="s">
        <v>86</v>
      </c>
      <c r="N1377" s="1" t="s">
        <v>7152</v>
      </c>
      <c r="O1377" s="1" t="s">
        <v>24666</v>
      </c>
      <c r="P1377" s="1" t="s">
        <v>219</v>
      </c>
      <c r="Q1377" s="1">
        <v>854767672850</v>
      </c>
      <c r="R1377" s="1" t="s">
        <v>24660</v>
      </c>
      <c r="S1377" s="1">
        <v>9822100766</v>
      </c>
      <c r="T1377" s="1" t="s">
        <v>15026</v>
      </c>
      <c r="U1377" s="1" t="s">
        <v>21817</v>
      </c>
      <c r="V1377" s="1">
        <v>9881293084</v>
      </c>
      <c r="W1377" s="1" t="s">
        <v>14212</v>
      </c>
      <c r="X1377" s="1" t="s">
        <v>24667</v>
      </c>
      <c r="Y1377" s="1" t="s">
        <v>5030</v>
      </c>
      <c r="Z1377" s="1" t="s">
        <v>97</v>
      </c>
      <c r="AA1377" s="1" t="s">
        <v>24667</v>
      </c>
      <c r="AB1377" s="1" t="s">
        <v>5030</v>
      </c>
      <c r="AC1377" s="1" t="s">
        <v>97</v>
      </c>
      <c r="AD1377" s="1" t="s">
        <v>98</v>
      </c>
      <c r="AE1377" s="1" t="s">
        <v>98</v>
      </c>
      <c r="AF1377" s="1" t="s">
        <v>24668</v>
      </c>
      <c r="AG1377" s="1" t="s">
        <v>24669</v>
      </c>
      <c r="AH1377" s="1" t="s">
        <v>171</v>
      </c>
      <c r="AI1377" s="1" t="s">
        <v>313</v>
      </c>
      <c r="AJ1377" s="1">
        <v>62</v>
      </c>
      <c r="AK1377" s="1"/>
      <c r="AL1377" s="1" t="s">
        <v>24670</v>
      </c>
      <c r="AM1377" s="1" t="s">
        <v>24671</v>
      </c>
      <c r="AN1377" s="1" t="s">
        <v>465</v>
      </c>
      <c r="AO1377" s="1" t="s">
        <v>977</v>
      </c>
      <c r="AP1377" s="1" t="s">
        <v>2304</v>
      </c>
      <c r="AQ1377" s="1">
        <v>82.33</v>
      </c>
      <c r="AR1377" s="1"/>
      <c r="AS1377" s="1"/>
      <c r="AT1377" s="1"/>
      <c r="AU1377" s="1"/>
      <c r="AV1377" s="1"/>
      <c r="AW1377" s="1"/>
      <c r="AX1377" s="1"/>
      <c r="AY1377" s="1" t="s">
        <v>24672</v>
      </c>
      <c r="AZ1377" s="1" t="s">
        <v>196</v>
      </c>
      <c r="BA1377" s="1" t="s">
        <v>682</v>
      </c>
      <c r="BB1377" s="1" t="s">
        <v>683</v>
      </c>
      <c r="BC1377" s="1" t="s">
        <v>847</v>
      </c>
      <c r="BD1377" s="1" t="s">
        <v>14162</v>
      </c>
      <c r="BE1377" s="1">
        <v>68</v>
      </c>
      <c r="BF1377" s="1">
        <v>7.55</v>
      </c>
      <c r="BG1377" s="1"/>
      <c r="BH1377" s="1"/>
      <c r="BI1377" s="1"/>
      <c r="BJ1377" s="1"/>
      <c r="BK1377" s="1"/>
      <c r="BL1377" s="1"/>
      <c r="BM1377" s="1"/>
      <c r="BN1377" s="1"/>
      <c r="BO1377" s="1" t="s">
        <v>24673</v>
      </c>
      <c r="BP1377" s="1"/>
      <c r="BQ1377" s="1"/>
      <c r="BR1377" s="1" t="s">
        <v>24674</v>
      </c>
      <c r="BS1377" s="1">
        <v>26</v>
      </c>
      <c r="BT1377" s="1"/>
      <c r="BU1377" s="1" t="str">
        <f>HYPERLINK("https://nconnect.nicmar.ac.in/storage/profile/6a86dad308de5.png","Download")</f>
        <v>0</v>
      </c>
      <c r="BV1377" s="3"/>
      <c r="BW1377" s="3"/>
    </row>
    <row r="1378" spans="1:75">
      <c r="A1378" s="1" t="s">
        <v>75</v>
      </c>
      <c r="B1378" s="1" t="s">
        <v>13976</v>
      </c>
      <c r="C1378" s="1" t="s">
        <v>24675</v>
      </c>
      <c r="D1378" s="1" t="s">
        <v>24676</v>
      </c>
      <c r="E1378" s="1" t="s">
        <v>23212</v>
      </c>
      <c r="F1378" s="1" t="s">
        <v>24677</v>
      </c>
      <c r="G1378" s="1" t="s">
        <v>24678</v>
      </c>
      <c r="H1378" s="1" t="s">
        <v>24679</v>
      </c>
      <c r="I1378" s="1" t="s">
        <v>24680</v>
      </c>
      <c r="J1378" s="1">
        <v>7020119757</v>
      </c>
      <c r="K1378" s="1" t="s">
        <v>153</v>
      </c>
      <c r="L1378" s="1" t="s">
        <v>24681</v>
      </c>
      <c r="M1378" s="1" t="s">
        <v>86</v>
      </c>
      <c r="N1378" s="1" t="s">
        <v>18471</v>
      </c>
      <c r="O1378" s="1" t="s">
        <v>24682</v>
      </c>
      <c r="P1378" s="1" t="s">
        <v>122</v>
      </c>
      <c r="Q1378" s="1">
        <v>7020119757</v>
      </c>
      <c r="R1378" s="1" t="s">
        <v>24683</v>
      </c>
      <c r="S1378" s="1">
        <v>8888706800</v>
      </c>
      <c r="T1378" s="1" t="s">
        <v>14256</v>
      </c>
      <c r="U1378" s="1" t="s">
        <v>24684</v>
      </c>
      <c r="V1378" s="1">
        <v>9421389855</v>
      </c>
      <c r="W1378" s="1" t="s">
        <v>14154</v>
      </c>
      <c r="X1378" s="1" t="s">
        <v>24685</v>
      </c>
      <c r="Y1378" s="1" t="s">
        <v>14745</v>
      </c>
      <c r="Z1378" s="1" t="s">
        <v>97</v>
      </c>
      <c r="AA1378" s="1" t="s">
        <v>24685</v>
      </c>
      <c r="AB1378" s="1" t="s">
        <v>14745</v>
      </c>
      <c r="AC1378" s="1" t="s">
        <v>97</v>
      </c>
      <c r="AD1378" s="1" t="s">
        <v>98</v>
      </c>
      <c r="AE1378" s="1" t="s">
        <v>98</v>
      </c>
      <c r="AF1378" s="1" t="s">
        <v>24686</v>
      </c>
      <c r="AG1378" s="1" t="s">
        <v>24687</v>
      </c>
      <c r="AH1378" s="1" t="s">
        <v>167</v>
      </c>
      <c r="AI1378" s="1" t="s">
        <v>170</v>
      </c>
      <c r="AJ1378" s="1">
        <v>76.8</v>
      </c>
      <c r="AK1378" s="1"/>
      <c r="AL1378" s="1" t="s">
        <v>24688</v>
      </c>
      <c r="AM1378" s="1" t="s">
        <v>24687</v>
      </c>
      <c r="AN1378" s="1" t="s">
        <v>575</v>
      </c>
      <c r="AO1378" s="1" t="s">
        <v>106</v>
      </c>
      <c r="AP1378" s="1" t="s">
        <v>438</v>
      </c>
      <c r="AQ1378" s="1">
        <v>76.62</v>
      </c>
      <c r="AR1378" s="1"/>
      <c r="AS1378" s="1"/>
      <c r="AT1378" s="1"/>
      <c r="AU1378" s="1"/>
      <c r="AV1378" s="1"/>
      <c r="AW1378" s="1"/>
      <c r="AX1378" s="1"/>
      <c r="AY1378" s="1" t="s">
        <v>14160</v>
      </c>
      <c r="AZ1378" s="1" t="s">
        <v>24689</v>
      </c>
      <c r="BA1378" s="1" t="s">
        <v>5749</v>
      </c>
      <c r="BB1378" s="1" t="s">
        <v>24690</v>
      </c>
      <c r="BC1378" s="1" t="s">
        <v>315</v>
      </c>
      <c r="BD1378" s="1" t="s">
        <v>955</v>
      </c>
      <c r="BE1378" s="1">
        <v>67.62</v>
      </c>
      <c r="BF1378" s="1">
        <v>7.08</v>
      </c>
      <c r="BG1378" s="1"/>
      <c r="BH1378" s="1"/>
      <c r="BI1378" s="1"/>
      <c r="BJ1378" s="1"/>
      <c r="BK1378" s="1"/>
      <c r="BL1378" s="1"/>
      <c r="BM1378" s="1"/>
      <c r="BN1378" s="1"/>
      <c r="BO1378" s="1" t="s">
        <v>24691</v>
      </c>
      <c r="BP1378" s="1"/>
      <c r="BQ1378" s="1"/>
      <c r="BR1378" s="1" t="s">
        <v>24692</v>
      </c>
      <c r="BS1378" s="1">
        <v>52</v>
      </c>
      <c r="BT1378" s="1"/>
      <c r="BU1378" s="1" t="str">
        <f>HYPERLINK("https://nconnect.nicmar.ac.in/storage/profile/6a86f0576ff33.png","Download")</f>
        <v>0</v>
      </c>
      <c r="BV1378" s="3"/>
      <c r="BW1378" s="3"/>
    </row>
    <row r="1379" spans="1:75">
      <c r="A1379" s="1" t="s">
        <v>75</v>
      </c>
      <c r="B1379" s="1" t="s">
        <v>13976</v>
      </c>
      <c r="C1379" s="1" t="s">
        <v>24693</v>
      </c>
      <c r="D1379" s="1" t="s">
        <v>24694</v>
      </c>
      <c r="E1379" s="1" t="s">
        <v>18800</v>
      </c>
      <c r="F1379" s="1" t="s">
        <v>19202</v>
      </c>
      <c r="G1379" s="1" t="s">
        <v>24695</v>
      </c>
      <c r="H1379" s="1" t="s">
        <v>24696</v>
      </c>
      <c r="I1379" s="1" t="s">
        <v>24696</v>
      </c>
      <c r="J1379" s="1">
        <v>7219804918</v>
      </c>
      <c r="K1379" s="1" t="s">
        <v>84</v>
      </c>
      <c r="L1379" s="1" t="s">
        <v>24697</v>
      </c>
      <c r="M1379" s="1" t="s">
        <v>86</v>
      </c>
      <c r="N1379" s="1" t="s">
        <v>24698</v>
      </c>
      <c r="O1379" s="1" t="s">
        <v>24699</v>
      </c>
      <c r="P1379" s="1" t="s">
        <v>122</v>
      </c>
      <c r="Q1379" s="1">
        <v>402574244913</v>
      </c>
      <c r="R1379" s="1" t="s">
        <v>24700</v>
      </c>
      <c r="S1379" s="1">
        <v>9420381920</v>
      </c>
      <c r="T1379" s="1" t="s">
        <v>13987</v>
      </c>
      <c r="U1379" s="1" t="s">
        <v>24701</v>
      </c>
      <c r="V1379" s="1">
        <v>8788989171</v>
      </c>
      <c r="W1379" s="1" t="s">
        <v>14234</v>
      </c>
      <c r="X1379" s="1" t="s">
        <v>24702</v>
      </c>
      <c r="Y1379" s="1" t="s">
        <v>309</v>
      </c>
      <c r="Z1379" s="1" t="s">
        <v>97</v>
      </c>
      <c r="AA1379" s="1" t="s">
        <v>24703</v>
      </c>
      <c r="AB1379" s="1" t="s">
        <v>196</v>
      </c>
      <c r="AC1379" s="1" t="s">
        <v>97</v>
      </c>
      <c r="AD1379" s="1" t="s">
        <v>98</v>
      </c>
      <c r="AE1379" s="1" t="s">
        <v>98</v>
      </c>
      <c r="AF1379" s="1" t="s">
        <v>24704</v>
      </c>
      <c r="AG1379" s="1" t="s">
        <v>24705</v>
      </c>
      <c r="AH1379" s="1" t="s">
        <v>517</v>
      </c>
      <c r="AI1379" s="1" t="s">
        <v>200</v>
      </c>
      <c r="AJ1379" s="1">
        <v>85.4</v>
      </c>
      <c r="AK1379" s="1"/>
      <c r="AL1379" s="1"/>
      <c r="AM1379" s="1"/>
      <c r="AN1379" s="1"/>
      <c r="AO1379" s="1"/>
      <c r="AP1379" s="1"/>
      <c r="AQ1379" s="1"/>
      <c r="AR1379" s="1"/>
      <c r="AS1379" s="1" t="s">
        <v>14787</v>
      </c>
      <c r="AT1379" s="1" t="s">
        <v>24706</v>
      </c>
      <c r="AU1379" s="1" t="s">
        <v>230</v>
      </c>
      <c r="AV1379" s="1" t="s">
        <v>175</v>
      </c>
      <c r="AW1379" s="1">
        <v>92.32</v>
      </c>
      <c r="AX1379" s="1"/>
      <c r="AY1379" s="1" t="s">
        <v>14530</v>
      </c>
      <c r="AZ1379" s="1" t="s">
        <v>24707</v>
      </c>
      <c r="BA1379" s="1" t="s">
        <v>578</v>
      </c>
      <c r="BB1379" s="1" t="s">
        <v>467</v>
      </c>
      <c r="BC1379" s="1" t="s">
        <v>175</v>
      </c>
      <c r="BD1379" s="1" t="s">
        <v>179</v>
      </c>
      <c r="BE1379" s="1">
        <v>77.43</v>
      </c>
      <c r="BF1379" s="1">
        <v>8.7</v>
      </c>
      <c r="BG1379" s="1" t="s">
        <v>14530</v>
      </c>
      <c r="BH1379" s="1" t="s">
        <v>24708</v>
      </c>
      <c r="BI1379" s="1" t="s">
        <v>24709</v>
      </c>
      <c r="BJ1379" s="1" t="s">
        <v>1585</v>
      </c>
      <c r="BK1379" s="1" t="s">
        <v>391</v>
      </c>
      <c r="BL1379" s="1" t="s">
        <v>14162</v>
      </c>
      <c r="BM1379" s="1">
        <v>62.21</v>
      </c>
      <c r="BN1379" s="1">
        <v>6.99</v>
      </c>
      <c r="BO1379" s="1" t="s">
        <v>24710</v>
      </c>
      <c r="BP1379" s="1"/>
      <c r="BQ1379" s="1"/>
      <c r="BR1379" s="1" t="s">
        <v>24711</v>
      </c>
      <c r="BS1379" s="1">
        <v>10</v>
      </c>
      <c r="BT1379" s="1"/>
      <c r="BU1379" s="1" t="str">
        <f>HYPERLINK("https://nconnect.nicmar.ac.in/storage/profile/6a8727f519630.png","Download")</f>
        <v>0</v>
      </c>
      <c r="BV1379" s="3"/>
      <c r="BW1379" s="3"/>
    </row>
    <row r="1380" spans="1:75">
      <c r="A1380" s="1" t="s">
        <v>75</v>
      </c>
      <c r="B1380" s="1" t="s">
        <v>13976</v>
      </c>
      <c r="C1380" s="1" t="s">
        <v>24712</v>
      </c>
      <c r="D1380" s="1" t="s">
        <v>15939</v>
      </c>
      <c r="E1380" s="1" t="s">
        <v>24713</v>
      </c>
      <c r="F1380" s="1" t="s">
        <v>24714</v>
      </c>
      <c r="G1380" s="1" t="s">
        <v>24715</v>
      </c>
      <c r="H1380" s="1" t="s">
        <v>24716</v>
      </c>
      <c r="I1380" s="1" t="s">
        <v>24716</v>
      </c>
      <c r="J1380" s="1">
        <v>9322370568</v>
      </c>
      <c r="K1380" s="1" t="s">
        <v>153</v>
      </c>
      <c r="L1380" s="1" t="s">
        <v>20416</v>
      </c>
      <c r="M1380" s="1" t="s">
        <v>86</v>
      </c>
      <c r="N1380" s="1" t="s">
        <v>5472</v>
      </c>
      <c r="O1380" s="1" t="s">
        <v>24717</v>
      </c>
      <c r="P1380" s="1" t="s">
        <v>122</v>
      </c>
      <c r="Q1380" s="1">
        <v>204564202485</v>
      </c>
      <c r="R1380" s="1" t="s">
        <v>24718</v>
      </c>
      <c r="S1380" s="1">
        <v>9822963129</v>
      </c>
      <c r="T1380" s="1" t="s">
        <v>13987</v>
      </c>
      <c r="U1380" s="1" t="s">
        <v>24719</v>
      </c>
      <c r="V1380" s="1">
        <v>9373322854</v>
      </c>
      <c r="W1380" s="1" t="s">
        <v>14154</v>
      </c>
      <c r="X1380" s="1" t="s">
        <v>24720</v>
      </c>
      <c r="Y1380" s="1" t="s">
        <v>5181</v>
      </c>
      <c r="Z1380" s="1" t="s">
        <v>97</v>
      </c>
      <c r="AA1380" s="1" t="s">
        <v>24721</v>
      </c>
      <c r="AB1380" s="1" t="s">
        <v>196</v>
      </c>
      <c r="AC1380" s="1" t="s">
        <v>97</v>
      </c>
      <c r="AD1380" s="1" t="s">
        <v>98</v>
      </c>
      <c r="AE1380" s="1" t="s">
        <v>98</v>
      </c>
      <c r="AF1380" s="1" t="s">
        <v>24722</v>
      </c>
      <c r="AG1380" s="1" t="s">
        <v>24723</v>
      </c>
      <c r="AH1380" s="1" t="s">
        <v>4593</v>
      </c>
      <c r="AI1380" s="1" t="s">
        <v>468</v>
      </c>
      <c r="AJ1380" s="1">
        <v>89</v>
      </c>
      <c r="AK1380" s="1">
        <v>9.4</v>
      </c>
      <c r="AL1380" s="1" t="s">
        <v>24724</v>
      </c>
      <c r="AM1380" s="1" t="s">
        <v>24725</v>
      </c>
      <c r="AN1380" s="1" t="s">
        <v>465</v>
      </c>
      <c r="AO1380" s="1" t="s">
        <v>468</v>
      </c>
      <c r="AP1380" s="1" t="s">
        <v>289</v>
      </c>
      <c r="AQ1380" s="1">
        <v>58.83</v>
      </c>
      <c r="AR1380" s="1">
        <v>6.19</v>
      </c>
      <c r="AS1380" s="1"/>
      <c r="AT1380" s="1"/>
      <c r="AU1380" s="1"/>
      <c r="AV1380" s="1"/>
      <c r="AW1380" s="1"/>
      <c r="AX1380" s="1"/>
      <c r="AY1380" s="1" t="s">
        <v>24726</v>
      </c>
      <c r="AZ1380" s="1" t="s">
        <v>24727</v>
      </c>
      <c r="BA1380" s="1" t="s">
        <v>466</v>
      </c>
      <c r="BB1380" s="1" t="s">
        <v>467</v>
      </c>
      <c r="BC1380" s="1" t="s">
        <v>289</v>
      </c>
      <c r="BD1380" s="1" t="s">
        <v>14514</v>
      </c>
      <c r="BE1380" s="1">
        <v>69.07</v>
      </c>
      <c r="BF1380" s="1">
        <v>7.27</v>
      </c>
      <c r="BG1380" s="1"/>
      <c r="BH1380" s="1"/>
      <c r="BI1380" s="1"/>
      <c r="BJ1380" s="1"/>
      <c r="BK1380" s="1"/>
      <c r="BL1380" s="1"/>
      <c r="BM1380" s="1"/>
      <c r="BN1380" s="1"/>
      <c r="BO1380" s="1" t="s">
        <v>24728</v>
      </c>
      <c r="BP1380" s="1"/>
      <c r="BQ1380" s="1"/>
      <c r="BR1380" s="1" t="s">
        <v>24729</v>
      </c>
      <c r="BS1380" s="1">
        <v>26</v>
      </c>
      <c r="BT1380" s="1"/>
      <c r="BU1380" s="1" t="str">
        <f>HYPERLINK("https://nconnect.nicmar.ac.in/storage/profile/6a872747dde2d.png","Download")</f>
        <v>0</v>
      </c>
      <c r="BV1380" s="3"/>
      <c r="BW1380" s="3"/>
    </row>
    <row r="1381" spans="1:75">
      <c r="A1381" s="1" t="s">
        <v>75</v>
      </c>
      <c r="B1381" s="1" t="s">
        <v>13976</v>
      </c>
      <c r="C1381" s="1" t="s">
        <v>24730</v>
      </c>
      <c r="D1381" s="1" t="s">
        <v>24731</v>
      </c>
      <c r="E1381" s="1"/>
      <c r="F1381" s="1" t="s">
        <v>24732</v>
      </c>
      <c r="G1381" s="1" t="s">
        <v>24733</v>
      </c>
      <c r="H1381" s="1" t="s">
        <v>24734</v>
      </c>
      <c r="I1381" s="1" t="s">
        <v>24734</v>
      </c>
      <c r="J1381" s="1">
        <v>8639238489</v>
      </c>
      <c r="K1381" s="1" t="s">
        <v>84</v>
      </c>
      <c r="L1381" s="1" t="s">
        <v>15893</v>
      </c>
      <c r="M1381" s="1" t="s">
        <v>86</v>
      </c>
      <c r="N1381" s="1" t="s">
        <v>24735</v>
      </c>
      <c r="O1381" s="1" t="s">
        <v>24736</v>
      </c>
      <c r="P1381" s="1" t="s">
        <v>219</v>
      </c>
      <c r="Q1381" s="1">
        <v>934024361807</v>
      </c>
      <c r="R1381" s="1" t="s">
        <v>24737</v>
      </c>
      <c r="S1381" s="1">
        <v>9949918139</v>
      </c>
      <c r="T1381" s="1" t="s">
        <v>15506</v>
      </c>
      <c r="U1381" s="1" t="s">
        <v>24738</v>
      </c>
      <c r="V1381" s="1">
        <v>9553513535</v>
      </c>
      <c r="W1381" s="1" t="s">
        <v>9679</v>
      </c>
      <c r="X1381" s="1" t="s">
        <v>24739</v>
      </c>
      <c r="Y1381" s="1" t="s">
        <v>3031</v>
      </c>
      <c r="Z1381" s="1" t="s">
        <v>461</v>
      </c>
      <c r="AA1381" s="1" t="s">
        <v>24739</v>
      </c>
      <c r="AB1381" s="1" t="s">
        <v>3031</v>
      </c>
      <c r="AC1381" s="1" t="s">
        <v>461</v>
      </c>
      <c r="AD1381" s="1" t="s">
        <v>98</v>
      </c>
      <c r="AE1381" s="1" t="s">
        <v>98</v>
      </c>
      <c r="AF1381" s="1" t="s">
        <v>24740</v>
      </c>
      <c r="AG1381" s="1" t="s">
        <v>24741</v>
      </c>
      <c r="AH1381" s="1" t="s">
        <v>106</v>
      </c>
      <c r="AI1381" s="1" t="s">
        <v>313</v>
      </c>
      <c r="AJ1381" s="1">
        <v>64.6</v>
      </c>
      <c r="AK1381" s="1">
        <v>6.8</v>
      </c>
      <c r="AL1381" s="1" t="s">
        <v>24742</v>
      </c>
      <c r="AM1381" s="1" t="s">
        <v>24741</v>
      </c>
      <c r="AN1381" s="1" t="s">
        <v>465</v>
      </c>
      <c r="AO1381" s="1" t="s">
        <v>468</v>
      </c>
      <c r="AP1381" s="1" t="s">
        <v>549</v>
      </c>
      <c r="AQ1381" s="1">
        <v>64.6</v>
      </c>
      <c r="AR1381" s="1">
        <v>6.8</v>
      </c>
      <c r="AS1381" s="1"/>
      <c r="AT1381" s="1"/>
      <c r="AU1381" s="1"/>
      <c r="AV1381" s="1"/>
      <c r="AW1381" s="1"/>
      <c r="AX1381" s="1"/>
      <c r="AY1381" s="1" t="s">
        <v>24743</v>
      </c>
      <c r="AZ1381" s="1" t="s">
        <v>24744</v>
      </c>
      <c r="BA1381" s="1" t="s">
        <v>466</v>
      </c>
      <c r="BB1381" s="1" t="s">
        <v>467</v>
      </c>
      <c r="BC1381" s="1" t="s">
        <v>632</v>
      </c>
      <c r="BD1381" s="1" t="s">
        <v>14083</v>
      </c>
      <c r="BE1381" s="1">
        <v>72.7</v>
      </c>
      <c r="BF1381" s="1">
        <v>7.77</v>
      </c>
      <c r="BG1381" s="1"/>
      <c r="BH1381" s="1"/>
      <c r="BI1381" s="1"/>
      <c r="BJ1381" s="1"/>
      <c r="BK1381" s="1"/>
      <c r="BL1381" s="1"/>
      <c r="BM1381" s="1"/>
      <c r="BN1381" s="1"/>
      <c r="BO1381" s="1" t="s">
        <v>11108</v>
      </c>
      <c r="BP1381" s="1"/>
      <c r="BQ1381" s="1"/>
      <c r="BR1381" s="1"/>
      <c r="BS1381" s="1"/>
      <c r="BT1381" s="1"/>
      <c r="BU1381" s="1" t="str">
        <f>HYPERLINK("https://nconnect.nicmar.ac.in/storage/profile/6a86e52c7bda1.png","Download")</f>
        <v>0</v>
      </c>
      <c r="BV1381" s="3"/>
      <c r="BW1381" s="3"/>
    </row>
    <row r="1382" spans="1:75">
      <c r="A1382" s="1" t="s">
        <v>75</v>
      </c>
      <c r="B1382" s="1" t="s">
        <v>13976</v>
      </c>
      <c r="C1382" s="1" t="s">
        <v>24745</v>
      </c>
      <c r="D1382" s="1"/>
      <c r="E1382" s="1"/>
      <c r="F1382" s="1"/>
      <c r="G1382" s="1"/>
      <c r="H1382" s="1" t="s">
        <v>24746</v>
      </c>
      <c r="I1382" s="1" t="s">
        <v>24746</v>
      </c>
      <c r="J1382" s="1"/>
      <c r="K1382" s="1"/>
      <c r="L1382" s="1"/>
      <c r="M1382" s="1"/>
      <c r="N1382" s="1"/>
      <c r="O1382" s="1"/>
      <c r="P1382" s="1"/>
      <c r="Q1382" s="1"/>
      <c r="R1382" s="1"/>
      <c r="S1382" s="1"/>
      <c r="T1382" s="1"/>
      <c r="U1382" s="1"/>
      <c r="V1382" s="1"/>
      <c r="W1382" s="1"/>
      <c r="X1382" s="1"/>
      <c r="Y1382" s="1"/>
      <c r="Z1382" s="1"/>
      <c r="AA1382" s="1"/>
      <c r="AB1382" s="1"/>
      <c r="AC1382" s="1"/>
      <c r="AD1382" s="1" t="s">
        <v>98</v>
      </c>
      <c r="AE1382" s="1" t="s">
        <v>98</v>
      </c>
      <c r="AF1382" s="1"/>
      <c r="AG1382" s="1"/>
      <c r="AH1382" s="1"/>
      <c r="AI1382" s="1"/>
      <c r="AJ1382" s="1"/>
      <c r="AK1382" s="1"/>
      <c r="AL1382" s="1"/>
      <c r="AM1382" s="1"/>
      <c r="AN1382" s="1"/>
      <c r="AO1382" s="1"/>
      <c r="AP1382" s="1"/>
      <c r="AQ1382" s="1"/>
      <c r="AR1382" s="1"/>
      <c r="AS1382" s="1"/>
      <c r="AT1382" s="1"/>
      <c r="AU1382" s="1"/>
      <c r="AV1382" s="1"/>
      <c r="AW1382" s="1"/>
      <c r="AX1382" s="1"/>
      <c r="AY1382" s="1"/>
      <c r="AZ1382" s="1"/>
      <c r="BA1382" s="1"/>
      <c r="BB1382" s="1"/>
      <c r="BC1382" s="1"/>
      <c r="BD1382" s="1"/>
      <c r="BE1382" s="1"/>
      <c r="BF1382" s="1"/>
      <c r="BG1382" s="1"/>
      <c r="BH1382" s="1"/>
      <c r="BI1382" s="1"/>
      <c r="BJ1382" s="1"/>
      <c r="BK1382" s="1"/>
      <c r="BL1382" s="1"/>
      <c r="BM1382" s="1"/>
      <c r="BN1382" s="1"/>
      <c r="BO1382" s="1"/>
      <c r="BP1382" s="1"/>
      <c r="BQ1382" s="1"/>
      <c r="BR1382" s="1"/>
      <c r="BS1382" s="1"/>
      <c r="BT1382" s="1"/>
      <c r="BU1382" s="1" t="s">
        <v>9653</v>
      </c>
      <c r="BV1382" s="3"/>
      <c r="BW1382" s="3"/>
    </row>
    <row r="1383" spans="1:75">
      <c r="A1383" s="1" t="s">
        <v>75</v>
      </c>
      <c r="B1383" s="1" t="s">
        <v>13976</v>
      </c>
      <c r="C1383" s="1" t="s">
        <v>24747</v>
      </c>
      <c r="D1383" s="1"/>
      <c r="E1383" s="1"/>
      <c r="F1383" s="1"/>
      <c r="G1383" s="1"/>
      <c r="H1383" s="1" t="s">
        <v>24748</v>
      </c>
      <c r="I1383" s="1" t="s">
        <v>24748</v>
      </c>
      <c r="J1383" s="1"/>
      <c r="K1383" s="1"/>
      <c r="L1383" s="1"/>
      <c r="M1383" s="1"/>
      <c r="N1383" s="1"/>
      <c r="O1383" s="1"/>
      <c r="P1383" s="1"/>
      <c r="Q1383" s="1"/>
      <c r="R1383" s="1"/>
      <c r="S1383" s="1"/>
      <c r="T1383" s="1"/>
      <c r="U1383" s="1"/>
      <c r="V1383" s="1"/>
      <c r="W1383" s="1"/>
      <c r="X1383" s="1"/>
      <c r="Y1383" s="1"/>
      <c r="Z1383" s="1"/>
      <c r="AA1383" s="1"/>
      <c r="AB1383" s="1"/>
      <c r="AC1383" s="1"/>
      <c r="AD1383" s="1" t="s">
        <v>98</v>
      </c>
      <c r="AE1383" s="1" t="s">
        <v>98</v>
      </c>
      <c r="AF1383" s="1"/>
      <c r="AG1383" s="1"/>
      <c r="AH1383" s="1"/>
      <c r="AI1383" s="1"/>
      <c r="AJ1383" s="1"/>
      <c r="AK1383" s="1"/>
      <c r="AL1383" s="1"/>
      <c r="AM1383" s="1"/>
      <c r="AN1383" s="1"/>
      <c r="AO1383" s="1"/>
      <c r="AP1383" s="1"/>
      <c r="AQ1383" s="1"/>
      <c r="AR1383" s="1"/>
      <c r="AS1383" s="1"/>
      <c r="AT1383" s="1"/>
      <c r="AU1383" s="1"/>
      <c r="AV1383" s="1"/>
      <c r="AW1383" s="1"/>
      <c r="AX1383" s="1"/>
      <c r="AY1383" s="1"/>
      <c r="AZ1383" s="1"/>
      <c r="BA1383" s="1"/>
      <c r="BB1383" s="1"/>
      <c r="BC1383" s="1"/>
      <c r="BD1383" s="1"/>
      <c r="BE1383" s="1"/>
      <c r="BF1383" s="1"/>
      <c r="BG1383" s="1"/>
      <c r="BH1383" s="1"/>
      <c r="BI1383" s="1"/>
      <c r="BJ1383" s="1"/>
      <c r="BK1383" s="1"/>
      <c r="BL1383" s="1"/>
      <c r="BM1383" s="1"/>
      <c r="BN1383" s="1"/>
      <c r="BO1383" s="1"/>
      <c r="BP1383" s="1"/>
      <c r="BQ1383" s="1"/>
      <c r="BR1383" s="1"/>
      <c r="BS1383" s="1"/>
      <c r="BT1383" s="1"/>
      <c r="BU1383" s="1" t="s">
        <v>9653</v>
      </c>
      <c r="BV1383" s="3"/>
      <c r="BW1383" s="3"/>
    </row>
    <row r="1384" spans="1:75">
      <c r="A1384" s="1" t="s">
        <v>75</v>
      </c>
      <c r="B1384" s="1" t="s">
        <v>13976</v>
      </c>
      <c r="C1384" s="1" t="s">
        <v>24749</v>
      </c>
      <c r="D1384" s="1"/>
      <c r="E1384" s="1"/>
      <c r="F1384" s="1"/>
      <c r="G1384" s="1"/>
      <c r="H1384" s="1" t="s">
        <v>24750</v>
      </c>
      <c r="I1384" s="1" t="s">
        <v>24750</v>
      </c>
      <c r="J1384" s="1"/>
      <c r="K1384" s="1"/>
      <c r="L1384" s="1"/>
      <c r="M1384" s="1"/>
      <c r="N1384" s="1"/>
      <c r="O1384" s="1"/>
      <c r="P1384" s="1"/>
      <c r="Q1384" s="1"/>
      <c r="R1384" s="1"/>
      <c r="S1384" s="1"/>
      <c r="T1384" s="1"/>
      <c r="U1384" s="1"/>
      <c r="V1384" s="1"/>
      <c r="W1384" s="1"/>
      <c r="X1384" s="1"/>
      <c r="Y1384" s="1"/>
      <c r="Z1384" s="1"/>
      <c r="AA1384" s="1"/>
      <c r="AB1384" s="1"/>
      <c r="AC1384" s="1"/>
      <c r="AD1384" s="1" t="s">
        <v>98</v>
      </c>
      <c r="AE1384" s="1" t="s">
        <v>98</v>
      </c>
      <c r="AF1384" s="1"/>
      <c r="AG1384" s="1"/>
      <c r="AH1384" s="1"/>
      <c r="AI1384" s="1"/>
      <c r="AJ1384" s="1"/>
      <c r="AK1384" s="1"/>
      <c r="AL1384" s="1"/>
      <c r="AM1384" s="1"/>
      <c r="AN1384" s="1"/>
      <c r="AO1384" s="1"/>
      <c r="AP1384" s="1"/>
      <c r="AQ1384" s="1"/>
      <c r="AR1384" s="1"/>
      <c r="AS1384" s="1"/>
      <c r="AT1384" s="1"/>
      <c r="AU1384" s="1"/>
      <c r="AV1384" s="1"/>
      <c r="AW1384" s="1"/>
      <c r="AX1384" s="1"/>
      <c r="AY1384" s="1"/>
      <c r="AZ1384" s="1"/>
      <c r="BA1384" s="1"/>
      <c r="BB1384" s="1"/>
      <c r="BC1384" s="1"/>
      <c r="BD1384" s="1"/>
      <c r="BE1384" s="1"/>
      <c r="BF1384" s="1"/>
      <c r="BG1384" s="1"/>
      <c r="BH1384" s="1"/>
      <c r="BI1384" s="1"/>
      <c r="BJ1384" s="1"/>
      <c r="BK1384" s="1"/>
      <c r="BL1384" s="1"/>
      <c r="BM1384" s="1"/>
      <c r="BN1384" s="1"/>
      <c r="BO1384" s="1"/>
      <c r="BP1384" s="1"/>
      <c r="BQ1384" s="1"/>
      <c r="BR1384" s="1"/>
      <c r="BS1384" s="1"/>
      <c r="BT1384" s="1"/>
      <c r="BU1384" s="1" t="s">
        <v>9653</v>
      </c>
      <c r="BV1384" s="3"/>
      <c r="BW1384" s="3"/>
    </row>
    <row r="1385" spans="1:75">
      <c r="A1385" s="1" t="s">
        <v>75</v>
      </c>
      <c r="B1385" s="1" t="s">
        <v>13976</v>
      </c>
      <c r="C1385" s="1" t="s">
        <v>24751</v>
      </c>
      <c r="D1385" s="1" t="s">
        <v>23469</v>
      </c>
      <c r="E1385" s="1" t="s">
        <v>20829</v>
      </c>
      <c r="F1385" s="1" t="s">
        <v>15304</v>
      </c>
      <c r="G1385" s="1" t="s">
        <v>24752</v>
      </c>
      <c r="H1385" s="1" t="s">
        <v>24753</v>
      </c>
      <c r="I1385" s="1" t="s">
        <v>24753</v>
      </c>
      <c r="J1385" s="1">
        <v>7875495959</v>
      </c>
      <c r="K1385" s="1" t="s">
        <v>84</v>
      </c>
      <c r="L1385" s="1" t="s">
        <v>24754</v>
      </c>
      <c r="M1385" s="1" t="s">
        <v>86</v>
      </c>
      <c r="N1385" s="1" t="s">
        <v>23620</v>
      </c>
      <c r="O1385" s="1" t="s">
        <v>24755</v>
      </c>
      <c r="P1385" s="1" t="s">
        <v>219</v>
      </c>
      <c r="Q1385" s="1">
        <v>735660874717</v>
      </c>
      <c r="R1385" s="1" t="s">
        <v>20829</v>
      </c>
      <c r="S1385" s="1">
        <v>9881971112</v>
      </c>
      <c r="T1385" s="1" t="s">
        <v>13987</v>
      </c>
      <c r="U1385" s="1" t="s">
        <v>14726</v>
      </c>
      <c r="V1385" s="1">
        <v>9881861112</v>
      </c>
      <c r="W1385" s="1" t="s">
        <v>14212</v>
      </c>
      <c r="X1385" s="1" t="s">
        <v>24756</v>
      </c>
      <c r="Y1385" s="1" t="s">
        <v>196</v>
      </c>
      <c r="Z1385" s="1" t="s">
        <v>97</v>
      </c>
      <c r="AA1385" s="1" t="s">
        <v>24756</v>
      </c>
      <c r="AB1385" s="1" t="s">
        <v>196</v>
      </c>
      <c r="AC1385" s="1" t="s">
        <v>97</v>
      </c>
      <c r="AD1385" s="1" t="s">
        <v>98</v>
      </c>
      <c r="AE1385" s="1" t="s">
        <v>98</v>
      </c>
      <c r="AF1385" s="1" t="s">
        <v>24757</v>
      </c>
      <c r="AG1385" s="1" t="s">
        <v>16993</v>
      </c>
      <c r="AH1385" s="1" t="s">
        <v>174</v>
      </c>
      <c r="AI1385" s="1" t="s">
        <v>414</v>
      </c>
      <c r="AJ1385" s="1">
        <v>82</v>
      </c>
      <c r="AK1385" s="1"/>
      <c r="AL1385" s="1"/>
      <c r="AM1385" s="1"/>
      <c r="AN1385" s="1"/>
      <c r="AO1385" s="1"/>
      <c r="AP1385" s="1"/>
      <c r="AQ1385" s="1"/>
      <c r="AR1385" s="1"/>
      <c r="AS1385" s="1" t="s">
        <v>14158</v>
      </c>
      <c r="AT1385" s="1" t="s">
        <v>24758</v>
      </c>
      <c r="AU1385" s="1" t="s">
        <v>206</v>
      </c>
      <c r="AV1385" s="1" t="s">
        <v>110</v>
      </c>
      <c r="AW1385" s="1">
        <v>85.4</v>
      </c>
      <c r="AX1385" s="1"/>
      <c r="AY1385" s="1" t="s">
        <v>14160</v>
      </c>
      <c r="AZ1385" s="1" t="s">
        <v>18165</v>
      </c>
      <c r="BA1385" s="1" t="s">
        <v>578</v>
      </c>
      <c r="BB1385" s="1" t="s">
        <v>467</v>
      </c>
      <c r="BC1385" s="1" t="s">
        <v>1825</v>
      </c>
      <c r="BD1385" s="1" t="s">
        <v>848</v>
      </c>
      <c r="BE1385" s="1">
        <v>66.4</v>
      </c>
      <c r="BF1385" s="1">
        <v>7.39</v>
      </c>
      <c r="BG1385" s="1"/>
      <c r="BH1385" s="1"/>
      <c r="BI1385" s="1"/>
      <c r="BJ1385" s="1"/>
      <c r="BK1385" s="1"/>
      <c r="BL1385" s="1"/>
      <c r="BM1385" s="1"/>
      <c r="BN1385" s="1"/>
      <c r="BO1385" s="1" t="s">
        <v>24759</v>
      </c>
      <c r="BP1385" s="1"/>
      <c r="BQ1385" s="1"/>
      <c r="BR1385" s="1" t="s">
        <v>24760</v>
      </c>
      <c r="BS1385" s="1">
        <v>4</v>
      </c>
      <c r="BT1385" s="1"/>
      <c r="BU1385" s="1" t="str">
        <f>HYPERLINK("https://nconnect.nicmar.ac.in/storage/profile/6a85f9a0635c7.png","Download")</f>
        <v>0</v>
      </c>
      <c r="BV1385" s="3"/>
      <c r="BW1385" s="3"/>
    </row>
    <row r="1386" spans="1:75">
      <c r="A1386" s="1" t="s">
        <v>75</v>
      </c>
      <c r="B1386" s="1" t="s">
        <v>13976</v>
      </c>
      <c r="C1386" s="1" t="s">
        <v>24761</v>
      </c>
      <c r="D1386" s="1" t="s">
        <v>19537</v>
      </c>
      <c r="E1386" s="1" t="s">
        <v>24762</v>
      </c>
      <c r="F1386" s="1" t="s">
        <v>24763</v>
      </c>
      <c r="G1386" s="1" t="s">
        <v>24764</v>
      </c>
      <c r="H1386" s="1" t="s">
        <v>24765</v>
      </c>
      <c r="I1386" s="1" t="s">
        <v>24765</v>
      </c>
      <c r="J1386" s="1">
        <v>7620979861</v>
      </c>
      <c r="K1386" s="1" t="s">
        <v>84</v>
      </c>
      <c r="L1386" s="1" t="s">
        <v>24766</v>
      </c>
      <c r="M1386" s="1" t="s">
        <v>86</v>
      </c>
      <c r="N1386" s="1" t="s">
        <v>5472</v>
      </c>
      <c r="O1386" s="1" t="s">
        <v>24767</v>
      </c>
      <c r="P1386" s="1" t="s">
        <v>219</v>
      </c>
      <c r="Q1386" s="1">
        <v>415938809022</v>
      </c>
      <c r="R1386" s="1" t="s">
        <v>16631</v>
      </c>
      <c r="S1386" s="1">
        <v>8668740185</v>
      </c>
      <c r="T1386" s="1" t="s">
        <v>13987</v>
      </c>
      <c r="U1386" s="1" t="s">
        <v>20835</v>
      </c>
      <c r="V1386" s="1">
        <v>8888893121</v>
      </c>
      <c r="W1386" s="1" t="s">
        <v>15313</v>
      </c>
      <c r="X1386" s="1" t="s">
        <v>24768</v>
      </c>
      <c r="Y1386" s="1" t="s">
        <v>196</v>
      </c>
      <c r="Z1386" s="1" t="s">
        <v>97</v>
      </c>
      <c r="AA1386" s="1" t="s">
        <v>24768</v>
      </c>
      <c r="AB1386" s="1" t="s">
        <v>196</v>
      </c>
      <c r="AC1386" s="1" t="s">
        <v>97</v>
      </c>
      <c r="AD1386" s="1" t="s">
        <v>98</v>
      </c>
      <c r="AE1386" s="1" t="s">
        <v>98</v>
      </c>
      <c r="AF1386" s="1"/>
      <c r="AG1386" s="1"/>
      <c r="AH1386" s="1"/>
      <c r="AI1386" s="1"/>
      <c r="AJ1386" s="1"/>
      <c r="AK1386" s="1"/>
      <c r="AL1386" s="1"/>
      <c r="AM1386" s="1"/>
      <c r="AN1386" s="1"/>
      <c r="AO1386" s="1"/>
      <c r="AP1386" s="1"/>
      <c r="AQ1386" s="1"/>
      <c r="AR1386" s="1"/>
      <c r="AS1386" s="1"/>
      <c r="AT1386" s="1"/>
      <c r="AU1386" s="1"/>
      <c r="AV1386" s="1"/>
      <c r="AW1386" s="1"/>
      <c r="AX1386" s="1"/>
      <c r="AY1386" s="1"/>
      <c r="AZ1386" s="1"/>
      <c r="BA1386" s="1"/>
      <c r="BB1386" s="1"/>
      <c r="BC1386" s="1"/>
      <c r="BD1386" s="1"/>
      <c r="BE1386" s="1"/>
      <c r="BF1386" s="1"/>
      <c r="BG1386" s="1"/>
      <c r="BH1386" s="1"/>
      <c r="BI1386" s="1"/>
      <c r="BJ1386" s="1"/>
      <c r="BK1386" s="1"/>
      <c r="BL1386" s="1"/>
      <c r="BM1386" s="1"/>
      <c r="BN1386" s="1"/>
      <c r="BO1386" s="1"/>
      <c r="BP1386" s="1"/>
      <c r="BQ1386" s="1"/>
      <c r="BR1386" s="1"/>
      <c r="BS1386" s="1"/>
      <c r="BT1386" s="1"/>
      <c r="BU1386" s="1" t="str">
        <f>HYPERLINK("https://nconnect.nicmar.ac.in/storage/profile/6a873a3046e5f.png","Download")</f>
        <v>0</v>
      </c>
      <c r="BV1386" s="3"/>
      <c r="BW1386" s="3"/>
    </row>
    <row r="1387" spans="1:75">
      <c r="A1387" s="1" t="s">
        <v>75</v>
      </c>
      <c r="B1387" s="1" t="s">
        <v>13976</v>
      </c>
      <c r="C1387" s="1" t="s">
        <v>24769</v>
      </c>
      <c r="D1387" s="1" t="s">
        <v>23397</v>
      </c>
      <c r="E1387" s="1" t="s">
        <v>24770</v>
      </c>
      <c r="F1387" s="1" t="s">
        <v>16144</v>
      </c>
      <c r="G1387" s="1" t="s">
        <v>24771</v>
      </c>
      <c r="H1387" s="1" t="s">
        <v>24772</v>
      </c>
      <c r="I1387" s="1" t="s">
        <v>24772</v>
      </c>
      <c r="J1387" s="1">
        <v>8793747432</v>
      </c>
      <c r="K1387" s="1" t="s">
        <v>84</v>
      </c>
      <c r="L1387" s="1" t="s">
        <v>24773</v>
      </c>
      <c r="M1387" s="1" t="s">
        <v>86</v>
      </c>
      <c r="N1387" s="1" t="s">
        <v>768</v>
      </c>
      <c r="O1387" s="1" t="s">
        <v>24774</v>
      </c>
      <c r="P1387" s="1" t="s">
        <v>122</v>
      </c>
      <c r="Q1387" s="1">
        <v>640887840532</v>
      </c>
      <c r="R1387" s="1" t="s">
        <v>24775</v>
      </c>
      <c r="S1387" s="1">
        <v>9890885755</v>
      </c>
      <c r="T1387" s="1" t="s">
        <v>13987</v>
      </c>
      <c r="U1387" s="1" t="s">
        <v>24776</v>
      </c>
      <c r="V1387" s="1">
        <v>7841978055</v>
      </c>
      <c r="W1387" s="1" t="s">
        <v>15866</v>
      </c>
      <c r="X1387" s="1" t="s">
        <v>24777</v>
      </c>
      <c r="Y1387" s="1" t="s">
        <v>1779</v>
      </c>
      <c r="Z1387" s="1" t="s">
        <v>97</v>
      </c>
      <c r="AA1387" s="1" t="s">
        <v>24777</v>
      </c>
      <c r="AB1387" s="1" t="s">
        <v>1779</v>
      </c>
      <c r="AC1387" s="1" t="s">
        <v>97</v>
      </c>
      <c r="AD1387" s="1" t="s">
        <v>98</v>
      </c>
      <c r="AE1387" s="1" t="s">
        <v>98</v>
      </c>
      <c r="AF1387" s="1" t="s">
        <v>24778</v>
      </c>
      <c r="AG1387" s="1" t="s">
        <v>24779</v>
      </c>
      <c r="AH1387" s="1" t="s">
        <v>438</v>
      </c>
      <c r="AI1387" s="1" t="s">
        <v>603</v>
      </c>
      <c r="AJ1387" s="1">
        <v>75.6</v>
      </c>
      <c r="AK1387" s="1"/>
      <c r="AL1387" s="1" t="s">
        <v>24778</v>
      </c>
      <c r="AM1387" s="1" t="s">
        <v>24780</v>
      </c>
      <c r="AN1387" s="1" t="s">
        <v>575</v>
      </c>
      <c r="AO1387" s="1" t="s">
        <v>847</v>
      </c>
      <c r="AP1387" s="1" t="s">
        <v>1886</v>
      </c>
      <c r="AQ1387" s="1">
        <v>62.5</v>
      </c>
      <c r="AR1387" s="1"/>
      <c r="AS1387" s="1"/>
      <c r="AT1387" s="1"/>
      <c r="AU1387" s="1"/>
      <c r="AV1387" s="1"/>
      <c r="AW1387" s="1"/>
      <c r="AX1387" s="1"/>
      <c r="AY1387" s="1" t="s">
        <v>14160</v>
      </c>
      <c r="AZ1387" s="1" t="s">
        <v>24781</v>
      </c>
      <c r="BA1387" s="1" t="s">
        <v>578</v>
      </c>
      <c r="BB1387" s="1" t="s">
        <v>467</v>
      </c>
      <c r="BC1387" s="1" t="s">
        <v>1825</v>
      </c>
      <c r="BD1387" s="1" t="s">
        <v>14514</v>
      </c>
      <c r="BE1387" s="1">
        <v>64.8</v>
      </c>
      <c r="BF1387" s="1">
        <v>7.23</v>
      </c>
      <c r="BG1387" s="1"/>
      <c r="BH1387" s="1"/>
      <c r="BI1387" s="1"/>
      <c r="BJ1387" s="1"/>
      <c r="BK1387" s="1"/>
      <c r="BL1387" s="1"/>
      <c r="BM1387" s="1"/>
      <c r="BN1387" s="1"/>
      <c r="BO1387" s="1" t="s">
        <v>24782</v>
      </c>
      <c r="BP1387" s="1"/>
      <c r="BQ1387" s="1"/>
      <c r="BR1387" s="1" t="s">
        <v>24783</v>
      </c>
      <c r="BS1387" s="1">
        <v>4</v>
      </c>
      <c r="BT1387" s="1"/>
      <c r="BU1387" s="1" t="str">
        <f>HYPERLINK("https://nconnect.nicmar.ac.in/storage/profile/6a871ec348392.png","Download")</f>
        <v>0</v>
      </c>
      <c r="BV1387" s="3"/>
      <c r="BW1387" s="3"/>
    </row>
    <row r="1388" spans="1:75">
      <c r="A1388" s="1" t="s">
        <v>75</v>
      </c>
      <c r="B1388" s="1" t="s">
        <v>13976</v>
      </c>
      <c r="C1388" s="1" t="s">
        <v>24784</v>
      </c>
      <c r="D1388" s="1" t="s">
        <v>24785</v>
      </c>
      <c r="E1388" s="1"/>
      <c r="F1388" s="1" t="s">
        <v>18848</v>
      </c>
      <c r="G1388" s="1" t="s">
        <v>24786</v>
      </c>
      <c r="H1388" s="1" t="s">
        <v>24787</v>
      </c>
      <c r="I1388" s="1" t="s">
        <v>24787</v>
      </c>
      <c r="J1388" s="1">
        <v>8082730903</v>
      </c>
      <c r="K1388" s="1" t="s">
        <v>84</v>
      </c>
      <c r="L1388" s="1" t="s">
        <v>24788</v>
      </c>
      <c r="M1388" s="1" t="s">
        <v>86</v>
      </c>
      <c r="N1388" s="1" t="s">
        <v>8293</v>
      </c>
      <c r="O1388" s="1" t="s">
        <v>24789</v>
      </c>
      <c r="P1388" s="1" t="s">
        <v>122</v>
      </c>
      <c r="Q1388" s="1">
        <v>460361997867</v>
      </c>
      <c r="R1388" s="1" t="s">
        <v>24790</v>
      </c>
      <c r="S1388" s="1">
        <v>9797535251</v>
      </c>
      <c r="T1388" s="1" t="s">
        <v>2177</v>
      </c>
      <c r="U1388" s="1" t="s">
        <v>24791</v>
      </c>
      <c r="V1388" s="1">
        <v>9419133363</v>
      </c>
      <c r="W1388" s="1" t="s">
        <v>10306</v>
      </c>
      <c r="X1388" s="1" t="s">
        <v>24792</v>
      </c>
      <c r="Y1388" s="1" t="s">
        <v>8895</v>
      </c>
      <c r="Z1388" s="1" t="s">
        <v>8896</v>
      </c>
      <c r="AA1388" s="1" t="s">
        <v>24792</v>
      </c>
      <c r="AB1388" s="1" t="s">
        <v>8895</v>
      </c>
      <c r="AC1388" s="1" t="s">
        <v>8896</v>
      </c>
      <c r="AD1388" s="1" t="s">
        <v>98</v>
      </c>
      <c r="AE1388" s="1" t="s">
        <v>98</v>
      </c>
      <c r="AF1388" s="1" t="s">
        <v>24793</v>
      </c>
      <c r="AG1388" s="1" t="s">
        <v>24794</v>
      </c>
      <c r="AH1388" s="1" t="s">
        <v>136</v>
      </c>
      <c r="AI1388" s="1" t="s">
        <v>627</v>
      </c>
      <c r="AJ1388" s="1">
        <v>77.9</v>
      </c>
      <c r="AK1388" s="1">
        <v>8.2</v>
      </c>
      <c r="AL1388" s="1" t="s">
        <v>24793</v>
      </c>
      <c r="AM1388" s="1" t="s">
        <v>24794</v>
      </c>
      <c r="AN1388" s="1" t="s">
        <v>465</v>
      </c>
      <c r="AO1388" s="1" t="s">
        <v>573</v>
      </c>
      <c r="AP1388" s="1" t="s">
        <v>171</v>
      </c>
      <c r="AQ1388" s="1">
        <v>64.4</v>
      </c>
      <c r="AR1388" s="1">
        <v>6.7</v>
      </c>
      <c r="AS1388" s="1"/>
      <c r="AT1388" s="1"/>
      <c r="AU1388" s="1"/>
      <c r="AV1388" s="1"/>
      <c r="AW1388" s="1"/>
      <c r="AX1388" s="1"/>
      <c r="AY1388" s="1" t="s">
        <v>24795</v>
      </c>
      <c r="AZ1388" s="1" t="s">
        <v>24795</v>
      </c>
      <c r="BA1388" s="1" t="s">
        <v>466</v>
      </c>
      <c r="BB1388" s="1" t="s">
        <v>467</v>
      </c>
      <c r="BC1388" s="1" t="s">
        <v>174</v>
      </c>
      <c r="BD1388" s="1" t="s">
        <v>1802</v>
      </c>
      <c r="BE1388" s="1">
        <v>66</v>
      </c>
      <c r="BF1388" s="1">
        <v>6.6</v>
      </c>
      <c r="BG1388" s="1"/>
      <c r="BH1388" s="1"/>
      <c r="BI1388" s="1"/>
      <c r="BJ1388" s="1"/>
      <c r="BK1388" s="1"/>
      <c r="BL1388" s="1"/>
      <c r="BM1388" s="1"/>
      <c r="BN1388" s="1"/>
      <c r="BO1388" s="1" t="s">
        <v>24796</v>
      </c>
      <c r="BP1388" s="1" t="s">
        <v>24797</v>
      </c>
      <c r="BQ1388" s="1" t="s">
        <v>8862</v>
      </c>
      <c r="BR1388" s="1" t="s">
        <v>24798</v>
      </c>
      <c r="BS1388" s="1">
        <v>26</v>
      </c>
      <c r="BT1388" s="1"/>
      <c r="BU1388" s="1" t="str">
        <f>HYPERLINK("https://nconnect.nicmar.ac.in/storage/profile/6a87141f47fba.png","Download")</f>
        <v>0</v>
      </c>
      <c r="BV1388" s="3"/>
      <c r="BW1388" s="3"/>
    </row>
    <row r="1389" spans="1:75">
      <c r="A1389" s="1" t="s">
        <v>75</v>
      </c>
      <c r="B1389" s="1" t="s">
        <v>13976</v>
      </c>
      <c r="C1389" s="1" t="s">
        <v>24799</v>
      </c>
      <c r="D1389" s="1" t="s">
        <v>14308</v>
      </c>
      <c r="E1389" s="1" t="s">
        <v>16872</v>
      </c>
      <c r="F1389" s="1" t="s">
        <v>24800</v>
      </c>
      <c r="G1389" s="1" t="s">
        <v>24801</v>
      </c>
      <c r="H1389" s="1" t="s">
        <v>24802</v>
      </c>
      <c r="I1389" s="1" t="s">
        <v>24802</v>
      </c>
      <c r="J1389" s="1">
        <v>7498883126</v>
      </c>
      <c r="K1389" s="1" t="s">
        <v>84</v>
      </c>
      <c r="L1389" s="1" t="s">
        <v>8470</v>
      </c>
      <c r="M1389" s="1" t="s">
        <v>86</v>
      </c>
      <c r="N1389" s="1" t="s">
        <v>24803</v>
      </c>
      <c r="O1389" s="1" t="s">
        <v>24804</v>
      </c>
      <c r="P1389" s="1" t="s">
        <v>89</v>
      </c>
      <c r="Q1389" s="1">
        <v>476770741754</v>
      </c>
      <c r="R1389" s="1" t="s">
        <v>24805</v>
      </c>
      <c r="S1389" s="1">
        <v>9822031772</v>
      </c>
      <c r="T1389" s="1" t="s">
        <v>16658</v>
      </c>
      <c r="U1389" s="1" t="s">
        <v>24806</v>
      </c>
      <c r="V1389" s="1">
        <v>9922676772</v>
      </c>
      <c r="W1389" s="1" t="s">
        <v>24807</v>
      </c>
      <c r="X1389" s="1" t="s">
        <v>24808</v>
      </c>
      <c r="Y1389" s="1" t="s">
        <v>196</v>
      </c>
      <c r="Z1389" s="1" t="s">
        <v>97</v>
      </c>
      <c r="AA1389" s="1" t="s">
        <v>24808</v>
      </c>
      <c r="AB1389" s="1" t="s">
        <v>196</v>
      </c>
      <c r="AC1389" s="1" t="s">
        <v>97</v>
      </c>
      <c r="AD1389" s="1" t="s">
        <v>98</v>
      </c>
      <c r="AE1389" s="1" t="s">
        <v>98</v>
      </c>
      <c r="AF1389" s="1" t="s">
        <v>24809</v>
      </c>
      <c r="AG1389" s="1" t="s">
        <v>24810</v>
      </c>
      <c r="AH1389" s="1" t="s">
        <v>106</v>
      </c>
      <c r="AI1389" s="1" t="s">
        <v>414</v>
      </c>
      <c r="AJ1389" s="1">
        <v>77.2</v>
      </c>
      <c r="AK1389" s="1">
        <v>8.13</v>
      </c>
      <c r="AL1389" s="1" t="s">
        <v>24811</v>
      </c>
      <c r="AM1389" s="1" t="s">
        <v>24812</v>
      </c>
      <c r="AN1389" s="1" t="s">
        <v>465</v>
      </c>
      <c r="AO1389" s="1" t="s">
        <v>468</v>
      </c>
      <c r="AP1389" s="1" t="s">
        <v>847</v>
      </c>
      <c r="AQ1389" s="1">
        <v>85.33</v>
      </c>
      <c r="AR1389" s="1">
        <v>8.98</v>
      </c>
      <c r="AS1389" s="1"/>
      <c r="AT1389" s="1"/>
      <c r="AU1389" s="1"/>
      <c r="AV1389" s="1"/>
      <c r="AW1389" s="1"/>
      <c r="AX1389" s="1"/>
      <c r="AY1389" s="1" t="s">
        <v>24813</v>
      </c>
      <c r="AZ1389" s="1" t="s">
        <v>24814</v>
      </c>
      <c r="BA1389" s="1" t="s">
        <v>682</v>
      </c>
      <c r="BB1389" s="1" t="s">
        <v>683</v>
      </c>
      <c r="BC1389" s="1" t="s">
        <v>871</v>
      </c>
      <c r="BD1389" s="1" t="s">
        <v>14514</v>
      </c>
      <c r="BE1389" s="1">
        <v>62.8</v>
      </c>
      <c r="BF1389" s="1">
        <v>6.61</v>
      </c>
      <c r="BG1389" s="1"/>
      <c r="BH1389" s="1"/>
      <c r="BI1389" s="1"/>
      <c r="BJ1389" s="1"/>
      <c r="BK1389" s="1"/>
      <c r="BL1389" s="1"/>
      <c r="BM1389" s="1"/>
      <c r="BN1389" s="1"/>
      <c r="BO1389" s="1" t="s">
        <v>24815</v>
      </c>
      <c r="BP1389" s="1"/>
      <c r="BQ1389" s="1"/>
      <c r="BR1389" s="1" t="s">
        <v>24816</v>
      </c>
      <c r="BS1389" s="1">
        <v>30</v>
      </c>
      <c r="BT1389" s="1"/>
      <c r="BU1389" s="1" t="str">
        <f>HYPERLINK("https://nconnect.nicmar.ac.in/storage/profile/6a860309dff60.png","Download")</f>
        <v>0</v>
      </c>
      <c r="BV1389" s="3"/>
      <c r="BW1389" s="3"/>
    </row>
    <row r="1390" spans="1:75">
      <c r="A1390" s="1" t="s">
        <v>75</v>
      </c>
      <c r="B1390" s="1" t="s">
        <v>13976</v>
      </c>
      <c r="C1390" s="1" t="s">
        <v>24817</v>
      </c>
      <c r="D1390" s="1" t="s">
        <v>14087</v>
      </c>
      <c r="E1390" s="1" t="s">
        <v>24818</v>
      </c>
      <c r="F1390" s="1" t="s">
        <v>14147</v>
      </c>
      <c r="G1390" s="1" t="s">
        <v>24819</v>
      </c>
      <c r="H1390" s="1" t="s">
        <v>24820</v>
      </c>
      <c r="I1390" s="1" t="s">
        <v>24820</v>
      </c>
      <c r="J1390" s="1">
        <v>9420889984</v>
      </c>
      <c r="K1390" s="1" t="s">
        <v>153</v>
      </c>
      <c r="L1390" s="1" t="s">
        <v>19952</v>
      </c>
      <c r="M1390" s="1" t="s">
        <v>86</v>
      </c>
      <c r="N1390" s="1" t="s">
        <v>4263</v>
      </c>
      <c r="O1390" s="1" t="s">
        <v>24821</v>
      </c>
      <c r="P1390" s="1" t="s">
        <v>122</v>
      </c>
      <c r="Q1390" s="1">
        <v>294072837703</v>
      </c>
      <c r="R1390" s="1" t="s">
        <v>24818</v>
      </c>
      <c r="S1390" s="1">
        <v>7743889988</v>
      </c>
      <c r="T1390" s="1" t="s">
        <v>15506</v>
      </c>
      <c r="U1390" s="1" t="s">
        <v>24822</v>
      </c>
      <c r="V1390" s="1">
        <v>9860554266</v>
      </c>
      <c r="W1390" s="1" t="s">
        <v>3441</v>
      </c>
      <c r="X1390" s="1" t="s">
        <v>24823</v>
      </c>
      <c r="Y1390" s="1" t="s">
        <v>910</v>
      </c>
      <c r="Z1390" s="1" t="s">
        <v>97</v>
      </c>
      <c r="AA1390" s="1" t="s">
        <v>24823</v>
      </c>
      <c r="AB1390" s="1" t="s">
        <v>910</v>
      </c>
      <c r="AC1390" s="1" t="s">
        <v>97</v>
      </c>
      <c r="AD1390" s="1" t="s">
        <v>98</v>
      </c>
      <c r="AE1390" s="1" t="s">
        <v>98</v>
      </c>
      <c r="AF1390" s="1" t="s">
        <v>24824</v>
      </c>
      <c r="AG1390" s="1" t="s">
        <v>24825</v>
      </c>
      <c r="AH1390" s="1" t="s">
        <v>106</v>
      </c>
      <c r="AI1390" s="1" t="s">
        <v>414</v>
      </c>
      <c r="AJ1390" s="1">
        <v>84.6</v>
      </c>
      <c r="AK1390" s="1">
        <v>9.5</v>
      </c>
      <c r="AL1390" s="1" t="s">
        <v>24826</v>
      </c>
      <c r="AM1390" s="1" t="s">
        <v>24825</v>
      </c>
      <c r="AN1390" s="1" t="s">
        <v>465</v>
      </c>
      <c r="AO1390" s="1" t="s">
        <v>468</v>
      </c>
      <c r="AP1390" s="1" t="s">
        <v>1192</v>
      </c>
      <c r="AQ1390" s="1">
        <v>83.67</v>
      </c>
      <c r="AR1390" s="1">
        <v>9.4</v>
      </c>
      <c r="AS1390" s="1"/>
      <c r="AT1390" s="1"/>
      <c r="AU1390" s="1"/>
      <c r="AV1390" s="1"/>
      <c r="AW1390" s="1"/>
      <c r="AX1390" s="1"/>
      <c r="AY1390" s="1" t="s">
        <v>24827</v>
      </c>
      <c r="AZ1390" s="1" t="s">
        <v>24828</v>
      </c>
      <c r="BA1390" s="1" t="s">
        <v>682</v>
      </c>
      <c r="BB1390" s="1" t="s">
        <v>683</v>
      </c>
      <c r="BC1390" s="1" t="s">
        <v>847</v>
      </c>
      <c r="BD1390" s="1" t="s">
        <v>14083</v>
      </c>
      <c r="BE1390" s="1">
        <v>64.52</v>
      </c>
      <c r="BF1390" s="1">
        <v>7.25</v>
      </c>
      <c r="BG1390" s="1"/>
      <c r="BH1390" s="1"/>
      <c r="BI1390" s="1"/>
      <c r="BJ1390" s="1"/>
      <c r="BK1390" s="1"/>
      <c r="BL1390" s="1"/>
      <c r="BM1390" s="1"/>
      <c r="BN1390" s="1"/>
      <c r="BO1390" s="1" t="s">
        <v>24829</v>
      </c>
      <c r="BP1390" s="1"/>
      <c r="BQ1390" s="1"/>
      <c r="BR1390" s="1" t="s">
        <v>24830</v>
      </c>
      <c r="BS1390" s="1">
        <v>23</v>
      </c>
      <c r="BT1390" s="1"/>
      <c r="BU1390" s="1" t="str">
        <f>HYPERLINK("https://nconnect.nicmar.ac.in/storage/profile/6a872f006978d.png","Download")</f>
        <v>0</v>
      </c>
      <c r="BV1390" s="3"/>
      <c r="BW1390" s="3"/>
    </row>
    <row r="1391" spans="1:75">
      <c r="A1391" s="1" t="s">
        <v>75</v>
      </c>
      <c r="B1391" s="1" t="s">
        <v>13976</v>
      </c>
      <c r="C1391" s="1" t="s">
        <v>24831</v>
      </c>
      <c r="D1391" s="1" t="s">
        <v>24832</v>
      </c>
      <c r="E1391" s="1" t="s">
        <v>19868</v>
      </c>
      <c r="F1391" s="1" t="s">
        <v>24833</v>
      </c>
      <c r="G1391" s="1" t="s">
        <v>24834</v>
      </c>
      <c r="H1391" s="1" t="s">
        <v>24835</v>
      </c>
      <c r="I1391" s="1" t="s">
        <v>24836</v>
      </c>
      <c r="J1391" s="1">
        <v>7666515477</v>
      </c>
      <c r="K1391" s="1" t="s">
        <v>84</v>
      </c>
      <c r="L1391" s="1" t="s">
        <v>24837</v>
      </c>
      <c r="M1391" s="1" t="s">
        <v>86</v>
      </c>
      <c r="N1391" s="1" t="s">
        <v>4263</v>
      </c>
      <c r="O1391" s="1" t="s">
        <v>24838</v>
      </c>
      <c r="P1391" s="1" t="s">
        <v>356</v>
      </c>
      <c r="Q1391" s="1">
        <v>707529323346</v>
      </c>
      <c r="R1391" s="1" t="s">
        <v>24839</v>
      </c>
      <c r="S1391" s="1">
        <v>9881047330</v>
      </c>
      <c r="T1391" s="1" t="s">
        <v>13987</v>
      </c>
      <c r="U1391" s="1" t="s">
        <v>24840</v>
      </c>
      <c r="V1391" s="1">
        <v>7972778779</v>
      </c>
      <c r="W1391" s="1" t="s">
        <v>14154</v>
      </c>
      <c r="X1391" s="1" t="s">
        <v>24841</v>
      </c>
      <c r="Y1391" s="1" t="s">
        <v>333</v>
      </c>
      <c r="Z1391" s="1" t="s">
        <v>97</v>
      </c>
      <c r="AA1391" s="1" t="s">
        <v>24841</v>
      </c>
      <c r="AB1391" s="1" t="s">
        <v>333</v>
      </c>
      <c r="AC1391" s="1" t="s">
        <v>97</v>
      </c>
      <c r="AD1391" s="1" t="s">
        <v>98</v>
      </c>
      <c r="AE1391" s="1" t="s">
        <v>98</v>
      </c>
      <c r="AF1391" s="1" t="s">
        <v>24842</v>
      </c>
      <c r="AG1391" s="1" t="s">
        <v>24843</v>
      </c>
      <c r="AH1391" s="1" t="s">
        <v>106</v>
      </c>
      <c r="AI1391" s="1" t="s">
        <v>438</v>
      </c>
      <c r="AJ1391" s="1">
        <v>83.2</v>
      </c>
      <c r="AK1391" s="1"/>
      <c r="AL1391" s="1"/>
      <c r="AM1391" s="1"/>
      <c r="AN1391" s="1"/>
      <c r="AO1391" s="1"/>
      <c r="AP1391" s="1"/>
      <c r="AQ1391" s="1"/>
      <c r="AR1391" s="1"/>
      <c r="AS1391" s="1" t="s">
        <v>14158</v>
      </c>
      <c r="AT1391" s="1" t="s">
        <v>16009</v>
      </c>
      <c r="AU1391" s="1" t="s">
        <v>206</v>
      </c>
      <c r="AV1391" s="1" t="s">
        <v>1400</v>
      </c>
      <c r="AW1391" s="1">
        <v>82.45</v>
      </c>
      <c r="AX1391" s="1"/>
      <c r="AY1391" s="1" t="s">
        <v>14160</v>
      </c>
      <c r="AZ1391" s="1" t="s">
        <v>24844</v>
      </c>
      <c r="BA1391" s="1" t="s">
        <v>578</v>
      </c>
      <c r="BB1391" s="1" t="s">
        <v>467</v>
      </c>
      <c r="BC1391" s="1" t="s">
        <v>1889</v>
      </c>
      <c r="BD1391" s="1" t="s">
        <v>848</v>
      </c>
      <c r="BE1391" s="1">
        <v>69.6</v>
      </c>
      <c r="BF1391" s="1">
        <v>6.96</v>
      </c>
      <c r="BG1391" s="1"/>
      <c r="BH1391" s="1"/>
      <c r="BI1391" s="1"/>
      <c r="BJ1391" s="1"/>
      <c r="BK1391" s="1"/>
      <c r="BL1391" s="1"/>
      <c r="BM1391" s="1"/>
      <c r="BN1391" s="1"/>
      <c r="BO1391" s="1" t="s">
        <v>24845</v>
      </c>
      <c r="BP1391" s="1"/>
      <c r="BQ1391" s="1"/>
      <c r="BR1391" s="1"/>
      <c r="BS1391" s="1"/>
      <c r="BT1391" s="1"/>
      <c r="BU1391" s="1" t="str">
        <f>HYPERLINK("https://nconnect.nicmar.ac.in/storage/profile/6a87314b95a6c.png","Download")</f>
        <v>0</v>
      </c>
      <c r="BV1391" s="3"/>
      <c r="BW1391" s="3"/>
    </row>
    <row r="1392" spans="1:75">
      <c r="A1392" s="1" t="s">
        <v>75</v>
      </c>
      <c r="B1392" s="1" t="s">
        <v>13976</v>
      </c>
      <c r="C1392" s="1" t="s">
        <v>24846</v>
      </c>
      <c r="D1392" s="1" t="s">
        <v>21247</v>
      </c>
      <c r="E1392" s="1" t="s">
        <v>24847</v>
      </c>
      <c r="F1392" s="1" t="s">
        <v>24848</v>
      </c>
      <c r="G1392" s="1" t="s">
        <v>24849</v>
      </c>
      <c r="H1392" s="1" t="s">
        <v>24850</v>
      </c>
      <c r="I1392" s="1" t="s">
        <v>24850</v>
      </c>
      <c r="J1392" s="1">
        <v>9370780331</v>
      </c>
      <c r="K1392" s="1" t="s">
        <v>84</v>
      </c>
      <c r="L1392" s="1" t="s">
        <v>10966</v>
      </c>
      <c r="M1392" s="1" t="s">
        <v>86</v>
      </c>
      <c r="N1392" s="1" t="s">
        <v>24851</v>
      </c>
      <c r="O1392" s="1" t="s">
        <v>24852</v>
      </c>
      <c r="P1392" s="1" t="s">
        <v>89</v>
      </c>
      <c r="Q1392" s="1">
        <v>955854387053</v>
      </c>
      <c r="R1392" s="1" t="s">
        <v>24853</v>
      </c>
      <c r="S1392" s="1">
        <v>7588175800</v>
      </c>
      <c r="T1392" s="1" t="s">
        <v>17120</v>
      </c>
      <c r="U1392" s="1" t="s">
        <v>17580</v>
      </c>
      <c r="V1392" s="1">
        <v>7517025022</v>
      </c>
      <c r="W1392" s="1" t="s">
        <v>14154</v>
      </c>
      <c r="X1392" s="1" t="s">
        <v>24854</v>
      </c>
      <c r="Y1392" s="1" t="s">
        <v>196</v>
      </c>
      <c r="Z1392" s="1" t="s">
        <v>97</v>
      </c>
      <c r="AA1392" s="1" t="s">
        <v>24854</v>
      </c>
      <c r="AB1392" s="1" t="s">
        <v>196</v>
      </c>
      <c r="AC1392" s="1" t="s">
        <v>97</v>
      </c>
      <c r="AD1392" s="1" t="s">
        <v>98</v>
      </c>
      <c r="AE1392" s="1" t="s">
        <v>98</v>
      </c>
      <c r="AF1392" s="1" t="s">
        <v>24855</v>
      </c>
      <c r="AG1392" s="1" t="s">
        <v>24856</v>
      </c>
      <c r="AH1392" s="1" t="s">
        <v>170</v>
      </c>
      <c r="AI1392" s="1" t="s">
        <v>106</v>
      </c>
      <c r="AJ1392" s="1">
        <v>89.8</v>
      </c>
      <c r="AK1392" s="1"/>
      <c r="AL1392" s="1" t="s">
        <v>24857</v>
      </c>
      <c r="AM1392" s="1" t="s">
        <v>24858</v>
      </c>
      <c r="AN1392" s="1" t="s">
        <v>575</v>
      </c>
      <c r="AO1392" s="1" t="s">
        <v>438</v>
      </c>
      <c r="AP1392" s="1" t="s">
        <v>603</v>
      </c>
      <c r="AQ1392" s="1">
        <v>66</v>
      </c>
      <c r="AR1392" s="1"/>
      <c r="AS1392" s="1"/>
      <c r="AT1392" s="1"/>
      <c r="AU1392" s="1"/>
      <c r="AV1392" s="1"/>
      <c r="AW1392" s="1"/>
      <c r="AX1392" s="1"/>
      <c r="AY1392" s="1" t="s">
        <v>24859</v>
      </c>
      <c r="AZ1392" s="1" t="s">
        <v>24860</v>
      </c>
      <c r="BA1392" s="1" t="s">
        <v>578</v>
      </c>
      <c r="BB1392" s="1" t="s">
        <v>467</v>
      </c>
      <c r="BC1392" s="1" t="s">
        <v>441</v>
      </c>
      <c r="BD1392" s="1" t="s">
        <v>207</v>
      </c>
      <c r="BE1392" s="1">
        <v>65.01</v>
      </c>
      <c r="BF1392" s="1">
        <v>7.27</v>
      </c>
      <c r="BG1392" s="1"/>
      <c r="BH1392" s="1"/>
      <c r="BI1392" s="1"/>
      <c r="BJ1392" s="1"/>
      <c r="BK1392" s="1"/>
      <c r="BL1392" s="1"/>
      <c r="BM1392" s="1"/>
      <c r="BN1392" s="1"/>
      <c r="BO1392" s="1" t="s">
        <v>24861</v>
      </c>
      <c r="BP1392" s="1" t="s">
        <v>24862</v>
      </c>
      <c r="BQ1392" s="1" t="s">
        <v>471</v>
      </c>
      <c r="BR1392" s="1" t="s">
        <v>24863</v>
      </c>
      <c r="BS1392" s="1">
        <v>4</v>
      </c>
      <c r="BT1392" s="1"/>
      <c r="BU1392" s="1" t="str">
        <f>HYPERLINK("https://nconnect.nicmar.ac.in/storage/profile/6a86dd833397b.png","Download")</f>
        <v>0</v>
      </c>
      <c r="BV1392" s="3"/>
      <c r="BW1392" s="3"/>
    </row>
    <row r="1393" spans="1:75">
      <c r="A1393" s="1" t="s">
        <v>75</v>
      </c>
      <c r="B1393" s="1" t="s">
        <v>13976</v>
      </c>
      <c r="C1393" s="1" t="s">
        <v>24864</v>
      </c>
      <c r="D1393" s="1" t="s">
        <v>761</v>
      </c>
      <c r="E1393" s="1" t="s">
        <v>397</v>
      </c>
      <c r="F1393" s="1" t="s">
        <v>1179</v>
      </c>
      <c r="G1393" s="1" t="s">
        <v>24865</v>
      </c>
      <c r="H1393" s="1" t="s">
        <v>24866</v>
      </c>
      <c r="I1393" s="1" t="s">
        <v>24866</v>
      </c>
      <c r="J1393" s="1">
        <v>7020204166</v>
      </c>
      <c r="K1393" s="1" t="s">
        <v>84</v>
      </c>
      <c r="L1393" s="1" t="s">
        <v>21908</v>
      </c>
      <c r="M1393" s="1" t="s">
        <v>86</v>
      </c>
      <c r="N1393" s="1" t="s">
        <v>768</v>
      </c>
      <c r="O1393" s="1" t="s">
        <v>22413</v>
      </c>
      <c r="P1393" s="1" t="s">
        <v>219</v>
      </c>
      <c r="Q1393" s="1">
        <v>705246559635</v>
      </c>
      <c r="R1393" s="1" t="s">
        <v>15607</v>
      </c>
      <c r="S1393" s="1">
        <v>9561776666</v>
      </c>
      <c r="T1393" s="1" t="s">
        <v>13987</v>
      </c>
      <c r="U1393" s="1" t="s">
        <v>24867</v>
      </c>
      <c r="V1393" s="1">
        <v>9921416775</v>
      </c>
      <c r="W1393" s="1" t="s">
        <v>14154</v>
      </c>
      <c r="X1393" s="1" t="s">
        <v>24868</v>
      </c>
      <c r="Y1393" s="1" t="s">
        <v>163</v>
      </c>
      <c r="Z1393" s="1" t="s">
        <v>97</v>
      </c>
      <c r="AA1393" s="1" t="s">
        <v>24868</v>
      </c>
      <c r="AB1393" s="1" t="s">
        <v>163</v>
      </c>
      <c r="AC1393" s="1" t="s">
        <v>97</v>
      </c>
      <c r="AD1393" s="1" t="s">
        <v>98</v>
      </c>
      <c r="AE1393" s="1" t="s">
        <v>98</v>
      </c>
      <c r="AF1393" s="1" t="s">
        <v>24869</v>
      </c>
      <c r="AG1393" s="1" t="s">
        <v>24870</v>
      </c>
      <c r="AH1393" s="1" t="s">
        <v>106</v>
      </c>
      <c r="AI1393" s="1" t="s">
        <v>438</v>
      </c>
      <c r="AJ1393" s="1">
        <v>75.8</v>
      </c>
      <c r="AK1393" s="1"/>
      <c r="AL1393" s="1" t="s">
        <v>17565</v>
      </c>
      <c r="AM1393" s="1" t="s">
        <v>24870</v>
      </c>
      <c r="AN1393" s="1" t="s">
        <v>465</v>
      </c>
      <c r="AO1393" s="1" t="s">
        <v>468</v>
      </c>
      <c r="AP1393" s="1" t="s">
        <v>847</v>
      </c>
      <c r="AQ1393" s="1">
        <v>92.33</v>
      </c>
      <c r="AR1393" s="1"/>
      <c r="AS1393" s="1"/>
      <c r="AT1393" s="1"/>
      <c r="AU1393" s="1"/>
      <c r="AV1393" s="1"/>
      <c r="AW1393" s="1"/>
      <c r="AX1393" s="1"/>
      <c r="AY1393" s="1" t="s">
        <v>24871</v>
      </c>
      <c r="AZ1393" s="1" t="s">
        <v>24872</v>
      </c>
      <c r="BA1393" s="1" t="s">
        <v>578</v>
      </c>
      <c r="BB1393" s="1" t="s">
        <v>467</v>
      </c>
      <c r="BC1393" s="1" t="s">
        <v>847</v>
      </c>
      <c r="BD1393" s="1" t="s">
        <v>848</v>
      </c>
      <c r="BE1393" s="1">
        <v>62.9</v>
      </c>
      <c r="BF1393" s="1">
        <v>6.69</v>
      </c>
      <c r="BG1393" s="1"/>
      <c r="BH1393" s="1"/>
      <c r="BI1393" s="1"/>
      <c r="BJ1393" s="1"/>
      <c r="BK1393" s="1"/>
      <c r="BL1393" s="1"/>
      <c r="BM1393" s="1"/>
      <c r="BN1393" s="1"/>
      <c r="BO1393" s="1" t="s">
        <v>24873</v>
      </c>
      <c r="BP1393" s="1"/>
      <c r="BQ1393" s="1"/>
      <c r="BR1393" s="1"/>
      <c r="BS1393" s="1"/>
      <c r="BT1393" s="1"/>
      <c r="BU1393" s="1" t="str">
        <f>HYPERLINK("https://nconnect.nicmar.ac.in/storage/profile/6a873d6856269.png","Download")</f>
        <v>0</v>
      </c>
      <c r="BV1393" s="3"/>
      <c r="BW1393" s="3"/>
    </row>
    <row r="1394" spans="1:75">
      <c r="A1394" s="1" t="s">
        <v>75</v>
      </c>
      <c r="B1394" s="1" t="s">
        <v>13976</v>
      </c>
      <c r="C1394" s="1" t="s">
        <v>24874</v>
      </c>
      <c r="D1394" s="1" t="s">
        <v>16630</v>
      </c>
      <c r="E1394" s="1"/>
      <c r="F1394" s="1" t="s">
        <v>17607</v>
      </c>
      <c r="G1394" s="1" t="s">
        <v>24875</v>
      </c>
      <c r="H1394" s="1" t="s">
        <v>24876</v>
      </c>
      <c r="I1394" s="1" t="s">
        <v>24876</v>
      </c>
      <c r="J1394" s="1">
        <v>7049595308</v>
      </c>
      <c r="K1394" s="1" t="s">
        <v>84</v>
      </c>
      <c r="L1394" s="1" t="s">
        <v>24877</v>
      </c>
      <c r="M1394" s="1" t="s">
        <v>86</v>
      </c>
      <c r="N1394" s="1" t="s">
        <v>24878</v>
      </c>
      <c r="O1394" s="1" t="s">
        <v>18565</v>
      </c>
      <c r="P1394" s="1" t="s">
        <v>89</v>
      </c>
      <c r="Q1394" s="1">
        <v>672866794046</v>
      </c>
      <c r="R1394" s="1" t="s">
        <v>24879</v>
      </c>
      <c r="S1394" s="1">
        <v>8305307101</v>
      </c>
      <c r="T1394" s="1" t="s">
        <v>16092</v>
      </c>
      <c r="U1394" s="1" t="s">
        <v>24880</v>
      </c>
      <c r="V1394" s="1">
        <v>8305307101</v>
      </c>
      <c r="W1394" s="1" t="s">
        <v>14234</v>
      </c>
      <c r="X1394" s="1" t="s">
        <v>24881</v>
      </c>
      <c r="Y1394" s="1" t="s">
        <v>24882</v>
      </c>
      <c r="Z1394" s="1" t="s">
        <v>3419</v>
      </c>
      <c r="AA1394" s="1" t="s">
        <v>24881</v>
      </c>
      <c r="AB1394" s="1" t="s">
        <v>24882</v>
      </c>
      <c r="AC1394" s="1" t="s">
        <v>3419</v>
      </c>
      <c r="AD1394" s="1" t="s">
        <v>98</v>
      </c>
      <c r="AE1394" s="1" t="s">
        <v>98</v>
      </c>
      <c r="AF1394" s="1" t="s">
        <v>24883</v>
      </c>
      <c r="AG1394" s="1" t="s">
        <v>24884</v>
      </c>
      <c r="AH1394" s="1" t="s">
        <v>166</v>
      </c>
      <c r="AI1394" s="1" t="s">
        <v>1111</v>
      </c>
      <c r="AJ1394" s="1">
        <v>60.83</v>
      </c>
      <c r="AK1394" s="1"/>
      <c r="AL1394" s="1"/>
      <c r="AM1394" s="1"/>
      <c r="AN1394" s="1"/>
      <c r="AO1394" s="1"/>
      <c r="AP1394" s="1"/>
      <c r="AQ1394" s="1"/>
      <c r="AR1394" s="1"/>
      <c r="AS1394" s="1" t="s">
        <v>14158</v>
      </c>
      <c r="AT1394" s="1" t="s">
        <v>24885</v>
      </c>
      <c r="AU1394" s="1" t="s">
        <v>139</v>
      </c>
      <c r="AV1394" s="1" t="s">
        <v>603</v>
      </c>
      <c r="AW1394" s="1">
        <v>63</v>
      </c>
      <c r="AX1394" s="1"/>
      <c r="AY1394" s="1" t="s">
        <v>24886</v>
      </c>
      <c r="AZ1394" s="1" t="s">
        <v>24887</v>
      </c>
      <c r="BA1394" s="1" t="s">
        <v>466</v>
      </c>
      <c r="BB1394" s="1" t="s">
        <v>467</v>
      </c>
      <c r="BC1394" s="1" t="s">
        <v>1040</v>
      </c>
      <c r="BD1394" s="1" t="s">
        <v>955</v>
      </c>
      <c r="BE1394" s="1">
        <v>74</v>
      </c>
      <c r="BF1394" s="1">
        <v>7.4</v>
      </c>
      <c r="BG1394" s="1"/>
      <c r="BH1394" s="1"/>
      <c r="BI1394" s="1"/>
      <c r="BJ1394" s="1"/>
      <c r="BK1394" s="1"/>
      <c r="BL1394" s="1"/>
      <c r="BM1394" s="1"/>
      <c r="BN1394" s="1"/>
      <c r="BO1394" s="1" t="s">
        <v>24888</v>
      </c>
      <c r="BP1394" s="1" t="s">
        <v>24889</v>
      </c>
      <c r="BQ1394" s="1" t="s">
        <v>6365</v>
      </c>
      <c r="BR1394" s="1"/>
      <c r="BS1394" s="1"/>
      <c r="BT1394" s="1"/>
      <c r="BU1394" s="1" t="s">
        <v>9653</v>
      </c>
      <c r="BV1394" s="3"/>
      <c r="BW1394" s="3"/>
    </row>
    <row r="1395" spans="1:75">
      <c r="A1395" s="1" t="s">
        <v>75</v>
      </c>
      <c r="B1395" s="1" t="s">
        <v>13976</v>
      </c>
      <c r="C1395" s="1" t="s">
        <v>24890</v>
      </c>
      <c r="D1395" s="1" t="s">
        <v>9649</v>
      </c>
      <c r="E1395" s="1" t="s">
        <v>24891</v>
      </c>
      <c r="F1395" s="1" t="s">
        <v>19794</v>
      </c>
      <c r="G1395" s="1" t="s">
        <v>24892</v>
      </c>
      <c r="H1395" s="1" t="s">
        <v>24893</v>
      </c>
      <c r="I1395" s="1" t="s">
        <v>24893</v>
      </c>
      <c r="J1395" s="1">
        <v>8669086144</v>
      </c>
      <c r="K1395" s="1" t="s">
        <v>84</v>
      </c>
      <c r="L1395" s="1" t="s">
        <v>22938</v>
      </c>
      <c r="M1395" s="1" t="s">
        <v>86</v>
      </c>
      <c r="N1395" s="1" t="s">
        <v>24894</v>
      </c>
      <c r="O1395" s="1" t="s">
        <v>24895</v>
      </c>
      <c r="P1395" s="1" t="s">
        <v>18210</v>
      </c>
      <c r="Q1395" s="1">
        <v>208258953365</v>
      </c>
      <c r="R1395" s="1" t="s">
        <v>24891</v>
      </c>
      <c r="S1395" s="1">
        <v>9665770350</v>
      </c>
      <c r="T1395" s="1" t="s">
        <v>3441</v>
      </c>
      <c r="U1395" s="1" t="s">
        <v>24896</v>
      </c>
      <c r="V1395" s="1">
        <v>8180068704</v>
      </c>
      <c r="W1395" s="1" t="s">
        <v>3441</v>
      </c>
      <c r="X1395" s="1" t="s">
        <v>24897</v>
      </c>
      <c r="Y1395" s="1" t="s">
        <v>5181</v>
      </c>
      <c r="Z1395" s="1" t="s">
        <v>97</v>
      </c>
      <c r="AA1395" s="1" t="s">
        <v>24897</v>
      </c>
      <c r="AB1395" s="1" t="s">
        <v>5181</v>
      </c>
      <c r="AC1395" s="1" t="s">
        <v>97</v>
      </c>
      <c r="AD1395" s="1" t="s">
        <v>98</v>
      </c>
      <c r="AE1395" s="1" t="s">
        <v>98</v>
      </c>
      <c r="AF1395" s="1" t="s">
        <v>24898</v>
      </c>
      <c r="AG1395" s="1" t="s">
        <v>796</v>
      </c>
      <c r="AH1395" s="1" t="s">
        <v>627</v>
      </c>
      <c r="AI1395" s="1" t="s">
        <v>573</v>
      </c>
      <c r="AJ1395" s="1">
        <v>87.4</v>
      </c>
      <c r="AK1395" s="1">
        <v>9.2</v>
      </c>
      <c r="AL1395" s="1" t="s">
        <v>24899</v>
      </c>
      <c r="AM1395" s="1" t="s">
        <v>2670</v>
      </c>
      <c r="AN1395" s="1" t="s">
        <v>465</v>
      </c>
      <c r="AO1395" s="1" t="s">
        <v>286</v>
      </c>
      <c r="AP1395" s="1" t="s">
        <v>414</v>
      </c>
      <c r="AQ1395" s="1">
        <v>65.54</v>
      </c>
      <c r="AR1395" s="1"/>
      <c r="AS1395" s="1"/>
      <c r="AT1395" s="1"/>
      <c r="AU1395" s="1"/>
      <c r="AV1395" s="1"/>
      <c r="AW1395" s="1"/>
      <c r="AX1395" s="1"/>
      <c r="AY1395" s="1" t="s">
        <v>366</v>
      </c>
      <c r="AZ1395" s="1" t="s">
        <v>24900</v>
      </c>
      <c r="BA1395" s="1" t="s">
        <v>682</v>
      </c>
      <c r="BB1395" s="1" t="s">
        <v>1561</v>
      </c>
      <c r="BC1395" s="1" t="s">
        <v>315</v>
      </c>
      <c r="BD1395" s="1" t="s">
        <v>207</v>
      </c>
      <c r="BE1395" s="1">
        <v>60.8</v>
      </c>
      <c r="BF1395" s="1">
        <v>6.83</v>
      </c>
      <c r="BG1395" s="1"/>
      <c r="BH1395" s="1"/>
      <c r="BI1395" s="1"/>
      <c r="BJ1395" s="1"/>
      <c r="BK1395" s="1"/>
      <c r="BL1395" s="1"/>
      <c r="BM1395" s="1"/>
      <c r="BN1395" s="1"/>
      <c r="BO1395" s="1" t="s">
        <v>24901</v>
      </c>
      <c r="BP1395" s="1" t="s">
        <v>24902</v>
      </c>
      <c r="BQ1395" s="1" t="s">
        <v>7647</v>
      </c>
      <c r="BR1395" s="1"/>
      <c r="BS1395" s="1"/>
      <c r="BT1395" s="1"/>
      <c r="BU1395" s="1" t="str">
        <f>HYPERLINK("https://nconnect.nicmar.ac.in/storage/profile/6a872f4d33cb9.png","Download")</f>
        <v>0</v>
      </c>
      <c r="BV1395" s="3"/>
      <c r="BW1395" s="3"/>
    </row>
    <row r="1396" spans="1:75">
      <c r="A1396" s="1" t="s">
        <v>75</v>
      </c>
      <c r="B1396" s="1" t="s">
        <v>13976</v>
      </c>
      <c r="C1396" s="1" t="s">
        <v>24903</v>
      </c>
      <c r="D1396" s="1" t="s">
        <v>22763</v>
      </c>
      <c r="E1396" s="1" t="s">
        <v>24904</v>
      </c>
      <c r="F1396" s="1" t="s">
        <v>23529</v>
      </c>
      <c r="G1396" s="1" t="s">
        <v>24905</v>
      </c>
      <c r="H1396" s="1" t="s">
        <v>24906</v>
      </c>
      <c r="I1396" s="1" t="s">
        <v>24906</v>
      </c>
      <c r="J1396" s="1">
        <v>7208275079</v>
      </c>
      <c r="K1396" s="1" t="s">
        <v>84</v>
      </c>
      <c r="L1396" s="1" t="s">
        <v>24907</v>
      </c>
      <c r="M1396" s="1" t="s">
        <v>86</v>
      </c>
      <c r="N1396" s="1" t="s">
        <v>6390</v>
      </c>
      <c r="O1396" s="1" t="s">
        <v>24908</v>
      </c>
      <c r="P1396" s="1" t="s">
        <v>122</v>
      </c>
      <c r="Q1396" s="1">
        <v>622600126339</v>
      </c>
      <c r="R1396" s="1" t="s">
        <v>24909</v>
      </c>
      <c r="S1396" s="1">
        <v>9167242958</v>
      </c>
      <c r="T1396" s="1" t="s">
        <v>14507</v>
      </c>
      <c r="U1396" s="1" t="s">
        <v>24910</v>
      </c>
      <c r="V1396" s="1">
        <v>9167641759</v>
      </c>
      <c r="W1396" s="1" t="s">
        <v>14154</v>
      </c>
      <c r="X1396" s="1" t="s">
        <v>24911</v>
      </c>
      <c r="Y1396" s="1" t="s">
        <v>1882</v>
      </c>
      <c r="Z1396" s="1" t="s">
        <v>97</v>
      </c>
      <c r="AA1396" s="1" t="s">
        <v>24911</v>
      </c>
      <c r="AB1396" s="1" t="s">
        <v>1882</v>
      </c>
      <c r="AC1396" s="1" t="s">
        <v>97</v>
      </c>
      <c r="AD1396" s="1" t="s">
        <v>98</v>
      </c>
      <c r="AE1396" s="1" t="s">
        <v>98</v>
      </c>
      <c r="AF1396" s="1"/>
      <c r="AG1396" s="1"/>
      <c r="AH1396" s="1"/>
      <c r="AI1396" s="1"/>
      <c r="AJ1396" s="1"/>
      <c r="AK1396" s="1"/>
      <c r="AL1396" s="1"/>
      <c r="AM1396" s="1"/>
      <c r="AN1396" s="1"/>
      <c r="AO1396" s="1"/>
      <c r="AP1396" s="1"/>
      <c r="AQ1396" s="1"/>
      <c r="AR1396" s="1"/>
      <c r="AS1396" s="1"/>
      <c r="AT1396" s="1"/>
      <c r="AU1396" s="1"/>
      <c r="AV1396" s="1"/>
      <c r="AW1396" s="1"/>
      <c r="AX1396" s="1"/>
      <c r="AY1396" s="1"/>
      <c r="AZ1396" s="1"/>
      <c r="BA1396" s="1"/>
      <c r="BB1396" s="1"/>
      <c r="BC1396" s="1"/>
      <c r="BD1396" s="1"/>
      <c r="BE1396" s="1"/>
      <c r="BF1396" s="1"/>
      <c r="BG1396" s="1"/>
      <c r="BH1396" s="1"/>
      <c r="BI1396" s="1"/>
      <c r="BJ1396" s="1"/>
      <c r="BK1396" s="1"/>
      <c r="BL1396" s="1"/>
      <c r="BM1396" s="1"/>
      <c r="BN1396" s="1"/>
      <c r="BO1396" s="1"/>
      <c r="BP1396" s="1" t="s">
        <v>24912</v>
      </c>
      <c r="BQ1396" s="1" t="s">
        <v>736</v>
      </c>
      <c r="BR1396" s="1"/>
      <c r="BS1396" s="1"/>
      <c r="BT1396" s="1"/>
      <c r="BU1396" s="1" t="str">
        <f>HYPERLINK("https://nconnect.nicmar.ac.in/storage/profile/6a872c0b65c79.png","Download")</f>
        <v>0</v>
      </c>
      <c r="BV1396" s="3"/>
      <c r="BW1396" s="3"/>
    </row>
    <row r="1397" spans="1:75">
      <c r="A1397" s="1" t="s">
        <v>75</v>
      </c>
      <c r="B1397" s="1" t="s">
        <v>13976</v>
      </c>
      <c r="C1397" s="1" t="s">
        <v>24913</v>
      </c>
      <c r="D1397" s="1" t="s">
        <v>18735</v>
      </c>
      <c r="E1397" s="1"/>
      <c r="F1397" s="1" t="s">
        <v>24914</v>
      </c>
      <c r="G1397" s="1" t="s">
        <v>24915</v>
      </c>
      <c r="H1397" s="1" t="s">
        <v>24916</v>
      </c>
      <c r="I1397" s="1" t="s">
        <v>24916</v>
      </c>
      <c r="J1397" s="1">
        <v>7645070022</v>
      </c>
      <c r="K1397" s="1" t="s">
        <v>84</v>
      </c>
      <c r="L1397" s="1" t="s">
        <v>24917</v>
      </c>
      <c r="M1397" s="1" t="s">
        <v>86</v>
      </c>
      <c r="N1397" s="1" t="s">
        <v>24918</v>
      </c>
      <c r="O1397" s="1" t="s">
        <v>24919</v>
      </c>
      <c r="P1397" s="1" t="s">
        <v>122</v>
      </c>
      <c r="Q1397" s="1">
        <v>961825749524</v>
      </c>
      <c r="R1397" s="1" t="s">
        <v>24920</v>
      </c>
      <c r="S1397" s="1">
        <v>8877459492</v>
      </c>
      <c r="T1397" s="1" t="s">
        <v>159</v>
      </c>
      <c r="U1397" s="1" t="s">
        <v>24921</v>
      </c>
      <c r="V1397" s="1">
        <v>8877459492</v>
      </c>
      <c r="W1397" s="1" t="s">
        <v>278</v>
      </c>
      <c r="X1397" s="1" t="s">
        <v>24922</v>
      </c>
      <c r="Y1397" s="1" t="s">
        <v>2200</v>
      </c>
      <c r="Z1397" s="1" t="s">
        <v>649</v>
      </c>
      <c r="AA1397" s="1" t="s">
        <v>24922</v>
      </c>
      <c r="AB1397" s="1" t="s">
        <v>2200</v>
      </c>
      <c r="AC1397" s="1" t="s">
        <v>649</v>
      </c>
      <c r="AD1397" s="1" t="s">
        <v>98</v>
      </c>
      <c r="AE1397" s="1" t="s">
        <v>98</v>
      </c>
      <c r="AF1397" s="1" t="s">
        <v>24923</v>
      </c>
      <c r="AG1397" s="1" t="s">
        <v>24924</v>
      </c>
      <c r="AH1397" s="1" t="s">
        <v>490</v>
      </c>
      <c r="AI1397" s="1" t="s">
        <v>313</v>
      </c>
      <c r="AJ1397" s="1">
        <v>85</v>
      </c>
      <c r="AK1397" s="1">
        <v>8.92</v>
      </c>
      <c r="AL1397" s="1" t="s">
        <v>24925</v>
      </c>
      <c r="AM1397" s="1" t="s">
        <v>24926</v>
      </c>
      <c r="AN1397" s="1" t="s">
        <v>465</v>
      </c>
      <c r="AO1397" s="1" t="s">
        <v>468</v>
      </c>
      <c r="AP1397" s="1" t="s">
        <v>606</v>
      </c>
      <c r="AQ1397" s="1">
        <v>78</v>
      </c>
      <c r="AR1397" s="1">
        <v>8.35</v>
      </c>
      <c r="AS1397" s="1"/>
      <c r="AT1397" s="1"/>
      <c r="AU1397" s="1"/>
      <c r="AV1397" s="1"/>
      <c r="AW1397" s="1"/>
      <c r="AX1397" s="1"/>
      <c r="AY1397" s="1" t="s">
        <v>24927</v>
      </c>
      <c r="AZ1397" s="1" t="s">
        <v>24928</v>
      </c>
      <c r="BA1397" s="1" t="s">
        <v>466</v>
      </c>
      <c r="BB1397" s="1" t="s">
        <v>467</v>
      </c>
      <c r="BC1397" s="1" t="s">
        <v>140</v>
      </c>
      <c r="BD1397" s="1" t="s">
        <v>1401</v>
      </c>
      <c r="BE1397" s="1">
        <v>60</v>
      </c>
      <c r="BF1397" s="1">
        <v>6.5</v>
      </c>
      <c r="BG1397" s="1"/>
      <c r="BH1397" s="1"/>
      <c r="BI1397" s="1"/>
      <c r="BJ1397" s="1"/>
      <c r="BK1397" s="1"/>
      <c r="BL1397" s="1"/>
      <c r="BM1397" s="1"/>
      <c r="BN1397" s="1"/>
      <c r="BO1397" s="1" t="s">
        <v>24929</v>
      </c>
      <c r="BP1397" s="1"/>
      <c r="BQ1397" s="1"/>
      <c r="BR1397" s="1"/>
      <c r="BS1397" s="1"/>
      <c r="BT1397" s="1"/>
      <c r="BU1397" s="1" t="str">
        <f>HYPERLINK("https://nconnect.nicmar.ac.in/storage/profile/6a86b2ec17d5e.png","Download")</f>
        <v>0</v>
      </c>
      <c r="BV1397" s="3"/>
      <c r="BW1397" s="3"/>
    </row>
    <row r="1398" spans="1:75">
      <c r="A1398" s="1" t="s">
        <v>75</v>
      </c>
      <c r="B1398" s="1" t="s">
        <v>13976</v>
      </c>
      <c r="C1398" s="1" t="s">
        <v>24930</v>
      </c>
      <c r="D1398" s="1" t="s">
        <v>24300</v>
      </c>
      <c r="E1398" s="1"/>
      <c r="F1398" s="1" t="s">
        <v>24931</v>
      </c>
      <c r="G1398" s="1" t="s">
        <v>24932</v>
      </c>
      <c r="H1398" s="1" t="s">
        <v>24933</v>
      </c>
      <c r="I1398" s="1" t="s">
        <v>24934</v>
      </c>
      <c r="J1398" s="1">
        <v>9654608187</v>
      </c>
      <c r="K1398" s="1" t="s">
        <v>153</v>
      </c>
      <c r="L1398" s="1" t="s">
        <v>24935</v>
      </c>
      <c r="M1398" s="1" t="s">
        <v>86</v>
      </c>
      <c r="N1398" s="1" t="s">
        <v>4278</v>
      </c>
      <c r="O1398" s="1" t="s">
        <v>24936</v>
      </c>
      <c r="P1398" s="1" t="s">
        <v>122</v>
      </c>
      <c r="Q1398" s="1">
        <v>374335080654</v>
      </c>
      <c r="R1398" s="1" t="s">
        <v>24937</v>
      </c>
      <c r="S1398" s="1">
        <v>7011719967</v>
      </c>
      <c r="T1398" s="1" t="s">
        <v>15926</v>
      </c>
      <c r="U1398" s="1" t="s">
        <v>24938</v>
      </c>
      <c r="V1398" s="1">
        <v>9910940457</v>
      </c>
      <c r="W1398" s="1" t="s">
        <v>10306</v>
      </c>
      <c r="X1398" s="1" t="s">
        <v>24939</v>
      </c>
      <c r="Y1398" s="1" t="s">
        <v>6853</v>
      </c>
      <c r="Z1398" s="1" t="s">
        <v>1739</v>
      </c>
      <c r="AA1398" s="1" t="s">
        <v>24939</v>
      </c>
      <c r="AB1398" s="1" t="s">
        <v>6853</v>
      </c>
      <c r="AC1398" s="1" t="s">
        <v>1739</v>
      </c>
      <c r="AD1398" s="1" t="s">
        <v>98</v>
      </c>
      <c r="AE1398" s="1" t="s">
        <v>98</v>
      </c>
      <c r="AF1398" s="1" t="s">
        <v>24940</v>
      </c>
      <c r="AG1398" s="1" t="s">
        <v>15511</v>
      </c>
      <c r="AH1398" s="1" t="s">
        <v>1110</v>
      </c>
      <c r="AI1398" s="1" t="s">
        <v>627</v>
      </c>
      <c r="AJ1398" s="1">
        <v>85.5</v>
      </c>
      <c r="AK1398" s="1">
        <v>9</v>
      </c>
      <c r="AL1398" s="1" t="s">
        <v>24940</v>
      </c>
      <c r="AM1398" s="1" t="s">
        <v>15511</v>
      </c>
      <c r="AN1398" s="1" t="s">
        <v>465</v>
      </c>
      <c r="AO1398" s="1" t="s">
        <v>704</v>
      </c>
      <c r="AP1398" s="1" t="s">
        <v>171</v>
      </c>
      <c r="AQ1398" s="1">
        <v>82</v>
      </c>
      <c r="AR1398" s="1"/>
      <c r="AS1398" s="1"/>
      <c r="AT1398" s="1"/>
      <c r="AU1398" s="1"/>
      <c r="AV1398" s="1"/>
      <c r="AW1398" s="1"/>
      <c r="AX1398" s="1"/>
      <c r="AY1398" s="1" t="s">
        <v>14806</v>
      </c>
      <c r="AZ1398" s="1" t="s">
        <v>24941</v>
      </c>
      <c r="BA1398" s="1" t="s">
        <v>682</v>
      </c>
      <c r="BB1398" s="1" t="s">
        <v>683</v>
      </c>
      <c r="BC1398" s="1" t="s">
        <v>206</v>
      </c>
      <c r="BD1398" s="1" t="s">
        <v>207</v>
      </c>
      <c r="BE1398" s="1">
        <v>84.6</v>
      </c>
      <c r="BF1398" s="1">
        <v>8.46</v>
      </c>
      <c r="BG1398" s="1" t="s">
        <v>24942</v>
      </c>
      <c r="BH1398" s="1" t="s">
        <v>24943</v>
      </c>
      <c r="BI1398" s="1" t="s">
        <v>24944</v>
      </c>
      <c r="BJ1398" s="1" t="s">
        <v>24945</v>
      </c>
      <c r="BK1398" s="1" t="s">
        <v>1089</v>
      </c>
      <c r="BL1398" s="1" t="s">
        <v>9688</v>
      </c>
      <c r="BM1398" s="1">
        <v>80</v>
      </c>
      <c r="BN1398" s="1">
        <v>8.0</v>
      </c>
      <c r="BO1398" s="1" t="s">
        <v>24946</v>
      </c>
      <c r="BP1398" s="1"/>
      <c r="BQ1398" s="1"/>
      <c r="BR1398" s="1" t="s">
        <v>24947</v>
      </c>
      <c r="BS1398" s="1">
        <v>25</v>
      </c>
      <c r="BT1398" s="1" t="s">
        <v>24948</v>
      </c>
      <c r="BU1398" s="1" t="str">
        <f>HYPERLINK("https://nconnect.nicmar.ac.in/storage/profile/6a85e7a46f127.png","Download")</f>
        <v>0</v>
      </c>
      <c r="BV1398" s="3"/>
      <c r="BW1398" s="3"/>
    </row>
    <row r="1399" spans="1:75">
      <c r="A1399" s="1" t="s">
        <v>75</v>
      </c>
      <c r="B1399" s="1" t="s">
        <v>13976</v>
      </c>
      <c r="C1399" s="1" t="s">
        <v>24949</v>
      </c>
      <c r="D1399" s="1" t="s">
        <v>24950</v>
      </c>
      <c r="E1399" s="1" t="s">
        <v>14774</v>
      </c>
      <c r="F1399" s="1" t="s">
        <v>24951</v>
      </c>
      <c r="G1399" s="1" t="s">
        <v>24952</v>
      </c>
      <c r="H1399" s="1" t="s">
        <v>24953</v>
      </c>
      <c r="I1399" s="1" t="s">
        <v>24953</v>
      </c>
      <c r="J1399" s="1">
        <v>9819513374</v>
      </c>
      <c r="K1399" s="1" t="s">
        <v>84</v>
      </c>
      <c r="L1399" s="1" t="s">
        <v>16446</v>
      </c>
      <c r="M1399" s="1" t="s">
        <v>86</v>
      </c>
      <c r="N1399" s="1" t="s">
        <v>768</v>
      </c>
      <c r="O1399" s="1" t="s">
        <v>24954</v>
      </c>
      <c r="P1399" s="1" t="s">
        <v>356</v>
      </c>
      <c r="Q1399" s="1">
        <v>913573459215</v>
      </c>
      <c r="R1399" s="1" t="s">
        <v>24955</v>
      </c>
      <c r="S1399" s="1">
        <v>8104589074</v>
      </c>
      <c r="T1399" s="1" t="s">
        <v>24956</v>
      </c>
      <c r="U1399" s="1" t="s">
        <v>24957</v>
      </c>
      <c r="V1399" s="1">
        <v>9136346574</v>
      </c>
      <c r="W1399" s="1" t="s">
        <v>9679</v>
      </c>
      <c r="X1399" s="1" t="s">
        <v>24958</v>
      </c>
      <c r="Y1399" s="1" t="s">
        <v>1882</v>
      </c>
      <c r="Z1399" s="1" t="s">
        <v>97</v>
      </c>
      <c r="AA1399" s="1" t="s">
        <v>24958</v>
      </c>
      <c r="AB1399" s="1" t="s">
        <v>1882</v>
      </c>
      <c r="AC1399" s="1" t="s">
        <v>97</v>
      </c>
      <c r="AD1399" s="1" t="s">
        <v>98</v>
      </c>
      <c r="AE1399" s="1" t="s">
        <v>98</v>
      </c>
      <c r="AF1399" s="1"/>
      <c r="AG1399" s="1"/>
      <c r="AH1399" s="1"/>
      <c r="AI1399" s="1"/>
      <c r="AJ1399" s="1"/>
      <c r="AK1399" s="1"/>
      <c r="AL1399" s="1"/>
      <c r="AM1399" s="1"/>
      <c r="AN1399" s="1"/>
      <c r="AO1399" s="1"/>
      <c r="AP1399" s="1"/>
      <c r="AQ1399" s="1"/>
      <c r="AR1399" s="1"/>
      <c r="AS1399" s="1"/>
      <c r="AT1399" s="1"/>
      <c r="AU1399" s="1"/>
      <c r="AV1399" s="1"/>
      <c r="AW1399" s="1"/>
      <c r="AX1399" s="1"/>
      <c r="AY1399" s="1"/>
      <c r="AZ1399" s="1"/>
      <c r="BA1399" s="1"/>
      <c r="BB1399" s="1"/>
      <c r="BC1399" s="1"/>
      <c r="BD1399" s="1"/>
      <c r="BE1399" s="1"/>
      <c r="BF1399" s="1"/>
      <c r="BG1399" s="1"/>
      <c r="BH1399" s="1"/>
      <c r="BI1399" s="1"/>
      <c r="BJ1399" s="1"/>
      <c r="BK1399" s="1"/>
      <c r="BL1399" s="1"/>
      <c r="BM1399" s="1"/>
      <c r="BN1399" s="1"/>
      <c r="BO1399" s="1"/>
      <c r="BP1399" s="1"/>
      <c r="BQ1399" s="1"/>
      <c r="BR1399" s="1"/>
      <c r="BS1399" s="1"/>
      <c r="BT1399" s="1"/>
      <c r="BU1399" s="1" t="s">
        <v>9653</v>
      </c>
      <c r="BV1399" s="3"/>
      <c r="BW1399" s="3"/>
    </row>
    <row r="1400" spans="1:75">
      <c r="A1400" s="1" t="s">
        <v>75</v>
      </c>
      <c r="B1400" s="1" t="s">
        <v>13976</v>
      </c>
      <c r="C1400" s="1" t="s">
        <v>24959</v>
      </c>
      <c r="D1400" s="1" t="s">
        <v>22780</v>
      </c>
      <c r="E1400" s="1" t="s">
        <v>20829</v>
      </c>
      <c r="F1400" s="1" t="s">
        <v>24960</v>
      </c>
      <c r="G1400" s="1" t="s">
        <v>24961</v>
      </c>
      <c r="H1400" s="1" t="s">
        <v>24962</v>
      </c>
      <c r="I1400" s="1" t="s">
        <v>24962</v>
      </c>
      <c r="J1400" s="1">
        <v>9156066886</v>
      </c>
      <c r="K1400" s="1" t="s">
        <v>84</v>
      </c>
      <c r="L1400" s="1" t="s">
        <v>24963</v>
      </c>
      <c r="M1400" s="1" t="s">
        <v>86</v>
      </c>
      <c r="N1400" s="1" t="s">
        <v>7152</v>
      </c>
      <c r="O1400" s="1" t="s">
        <v>4179</v>
      </c>
      <c r="P1400" s="1" t="s">
        <v>89</v>
      </c>
      <c r="Q1400" s="1">
        <v>777115583683</v>
      </c>
      <c r="R1400" s="1" t="s">
        <v>24964</v>
      </c>
      <c r="S1400" s="1">
        <v>8600069944</v>
      </c>
      <c r="T1400" s="1" t="s">
        <v>16693</v>
      </c>
      <c r="U1400" s="1" t="s">
        <v>24965</v>
      </c>
      <c r="V1400" s="1">
        <v>9881795859</v>
      </c>
      <c r="W1400" s="1" t="s">
        <v>3441</v>
      </c>
      <c r="X1400" s="1" t="s">
        <v>24966</v>
      </c>
      <c r="Y1400" s="1" t="s">
        <v>196</v>
      </c>
      <c r="Z1400" s="1" t="s">
        <v>97</v>
      </c>
      <c r="AA1400" s="1" t="s">
        <v>24967</v>
      </c>
      <c r="AB1400" s="1" t="s">
        <v>196</v>
      </c>
      <c r="AC1400" s="1" t="s">
        <v>97</v>
      </c>
      <c r="AD1400" s="1" t="s">
        <v>98</v>
      </c>
      <c r="AE1400" s="1" t="s">
        <v>98</v>
      </c>
      <c r="AF1400" s="1" t="s">
        <v>24968</v>
      </c>
      <c r="AG1400" s="1" t="s">
        <v>97</v>
      </c>
      <c r="AH1400" s="1" t="s">
        <v>438</v>
      </c>
      <c r="AI1400" s="1" t="s">
        <v>603</v>
      </c>
      <c r="AJ1400" s="1">
        <v>79.8</v>
      </c>
      <c r="AK1400" s="1"/>
      <c r="AL1400" s="1"/>
      <c r="AM1400" s="1"/>
      <c r="AN1400" s="1"/>
      <c r="AO1400" s="1"/>
      <c r="AP1400" s="1"/>
      <c r="AQ1400" s="1"/>
      <c r="AR1400" s="1"/>
      <c r="AS1400" s="1" t="s">
        <v>467</v>
      </c>
      <c r="AT1400" s="1" t="s">
        <v>24969</v>
      </c>
      <c r="AU1400" s="1" t="s">
        <v>552</v>
      </c>
      <c r="AV1400" s="1" t="s">
        <v>179</v>
      </c>
      <c r="AW1400" s="1">
        <v>71.41</v>
      </c>
      <c r="AX1400" s="1"/>
      <c r="AY1400" s="1" t="s">
        <v>467</v>
      </c>
      <c r="AZ1400" s="1" t="s">
        <v>24970</v>
      </c>
      <c r="BA1400" s="1" t="s">
        <v>578</v>
      </c>
      <c r="BB1400" s="1" t="s">
        <v>467</v>
      </c>
      <c r="BC1400" s="1" t="s">
        <v>1267</v>
      </c>
      <c r="BD1400" s="1" t="s">
        <v>14514</v>
      </c>
      <c r="BE1400" s="1">
        <v>69.25</v>
      </c>
      <c r="BF1400" s="1">
        <v>7.29</v>
      </c>
      <c r="BG1400" s="1"/>
      <c r="BH1400" s="1"/>
      <c r="BI1400" s="1"/>
      <c r="BJ1400" s="1"/>
      <c r="BK1400" s="1"/>
      <c r="BL1400" s="1"/>
      <c r="BM1400" s="1"/>
      <c r="BN1400" s="1"/>
      <c r="BO1400" s="1" t="s">
        <v>24971</v>
      </c>
      <c r="BP1400" s="1"/>
      <c r="BQ1400" s="1"/>
      <c r="BR1400" s="1" t="s">
        <v>24972</v>
      </c>
      <c r="BS1400" s="1">
        <v>4</v>
      </c>
      <c r="BT1400" s="1"/>
      <c r="BU1400" s="1" t="str">
        <f>HYPERLINK("https://nconnect.nicmar.ac.in/storage/profile/6a86e5d213151.png","Download")</f>
        <v>0</v>
      </c>
      <c r="BV1400" s="3"/>
      <c r="BW1400" s="3"/>
    </row>
    <row r="1401" spans="1:75">
      <c r="A1401" s="1" t="s">
        <v>75</v>
      </c>
      <c r="B1401" s="1" t="s">
        <v>13976</v>
      </c>
      <c r="C1401" s="1" t="s">
        <v>24973</v>
      </c>
      <c r="D1401" s="1" t="s">
        <v>14308</v>
      </c>
      <c r="E1401" s="1" t="s">
        <v>19868</v>
      </c>
      <c r="F1401" s="1" t="s">
        <v>24974</v>
      </c>
      <c r="G1401" s="1" t="s">
        <v>24975</v>
      </c>
      <c r="H1401" s="1" t="s">
        <v>24976</v>
      </c>
      <c r="I1401" s="1" t="s">
        <v>24976</v>
      </c>
      <c r="J1401" s="1">
        <v>9370079049</v>
      </c>
      <c r="K1401" s="1" t="s">
        <v>84</v>
      </c>
      <c r="L1401" s="1" t="s">
        <v>24977</v>
      </c>
      <c r="M1401" s="1" t="s">
        <v>86</v>
      </c>
      <c r="N1401" s="1" t="s">
        <v>24978</v>
      </c>
      <c r="O1401" s="1" t="s">
        <v>24979</v>
      </c>
      <c r="P1401" s="1" t="s">
        <v>16423</v>
      </c>
      <c r="Q1401" s="1">
        <v>675891615180</v>
      </c>
      <c r="R1401" s="1" t="s">
        <v>24980</v>
      </c>
      <c r="S1401" s="1">
        <v>9423345588</v>
      </c>
      <c r="T1401" s="1" t="s">
        <v>24981</v>
      </c>
      <c r="U1401" s="1" t="s">
        <v>24982</v>
      </c>
      <c r="V1401" s="1">
        <v>9011059111</v>
      </c>
      <c r="W1401" s="1" t="s">
        <v>14234</v>
      </c>
      <c r="X1401" s="1" t="s">
        <v>24983</v>
      </c>
      <c r="Y1401" s="1" t="s">
        <v>1145</v>
      </c>
      <c r="Z1401" s="1" t="s">
        <v>97</v>
      </c>
      <c r="AA1401" s="1" t="s">
        <v>24984</v>
      </c>
      <c r="AB1401" s="1" t="s">
        <v>196</v>
      </c>
      <c r="AC1401" s="1" t="s">
        <v>97</v>
      </c>
      <c r="AD1401" s="1" t="s">
        <v>98</v>
      </c>
      <c r="AE1401" s="1" t="s">
        <v>98</v>
      </c>
      <c r="AF1401" s="1" t="s">
        <v>24985</v>
      </c>
      <c r="AG1401" s="1" t="s">
        <v>24986</v>
      </c>
      <c r="AH1401" s="1" t="s">
        <v>438</v>
      </c>
      <c r="AI1401" s="1" t="s">
        <v>178</v>
      </c>
      <c r="AJ1401" s="1">
        <v>69.2</v>
      </c>
      <c r="AK1401" s="1">
        <v>6.6</v>
      </c>
      <c r="AL1401" s="1"/>
      <c r="AM1401" s="1"/>
      <c r="AN1401" s="1"/>
      <c r="AO1401" s="1"/>
      <c r="AP1401" s="1"/>
      <c r="AQ1401" s="1"/>
      <c r="AR1401" s="1"/>
      <c r="AS1401" s="1" t="s">
        <v>14787</v>
      </c>
      <c r="AT1401" s="1" t="s">
        <v>24987</v>
      </c>
      <c r="AU1401" s="1" t="s">
        <v>1400</v>
      </c>
      <c r="AV1401" s="1" t="s">
        <v>391</v>
      </c>
      <c r="AW1401" s="1">
        <v>85.89</v>
      </c>
      <c r="AX1401" s="1">
        <v>9.04</v>
      </c>
      <c r="AY1401" s="1" t="s">
        <v>24988</v>
      </c>
      <c r="AZ1401" s="1" t="s">
        <v>24989</v>
      </c>
      <c r="BA1401" s="1" t="s">
        <v>578</v>
      </c>
      <c r="BB1401" s="1" t="s">
        <v>467</v>
      </c>
      <c r="BC1401" s="1" t="s">
        <v>848</v>
      </c>
      <c r="BD1401" s="1" t="s">
        <v>14162</v>
      </c>
      <c r="BE1401" s="1">
        <v>71.8</v>
      </c>
      <c r="BF1401" s="1">
        <v>7.93</v>
      </c>
      <c r="BG1401" s="1"/>
      <c r="BH1401" s="1"/>
      <c r="BI1401" s="1"/>
      <c r="BJ1401" s="1"/>
      <c r="BK1401" s="1"/>
      <c r="BL1401" s="1"/>
      <c r="BM1401" s="1"/>
      <c r="BN1401" s="1"/>
      <c r="BO1401" s="1" t="s">
        <v>24990</v>
      </c>
      <c r="BP1401" s="1"/>
      <c r="BQ1401" s="1"/>
      <c r="BR1401" s="1"/>
      <c r="BS1401" s="1"/>
      <c r="BT1401" s="1"/>
      <c r="BU1401" s="1" t="str">
        <f>HYPERLINK("https://nconnect.nicmar.ac.in/storage/profile/6a86b62b805cb.png","Download")</f>
        <v>0</v>
      </c>
      <c r="BV1401" s="3"/>
      <c r="BW1401" s="3"/>
    </row>
    <row r="1402" spans="1:75">
      <c r="A1402" s="1" t="s">
        <v>75</v>
      </c>
      <c r="B1402" s="1" t="s">
        <v>13976</v>
      </c>
      <c r="C1402" s="1" t="s">
        <v>24991</v>
      </c>
      <c r="D1402" s="1" t="s">
        <v>11469</v>
      </c>
      <c r="E1402" s="1"/>
      <c r="F1402" s="1" t="s">
        <v>24992</v>
      </c>
      <c r="G1402" s="1" t="s">
        <v>24993</v>
      </c>
      <c r="H1402" s="1" t="s">
        <v>24994</v>
      </c>
      <c r="I1402" s="1" t="s">
        <v>24995</v>
      </c>
      <c r="J1402" s="1">
        <v>7018243461</v>
      </c>
      <c r="K1402" s="1" t="s">
        <v>84</v>
      </c>
      <c r="L1402" s="1" t="s">
        <v>24996</v>
      </c>
      <c r="M1402" s="1" t="s">
        <v>86</v>
      </c>
      <c r="N1402" s="1" t="s">
        <v>24997</v>
      </c>
      <c r="O1402" s="1" t="s">
        <v>24998</v>
      </c>
      <c r="P1402" s="1" t="s">
        <v>122</v>
      </c>
      <c r="Q1402" s="1">
        <v>764498668507</v>
      </c>
      <c r="R1402" s="1" t="s">
        <v>24999</v>
      </c>
      <c r="S1402" s="1">
        <v>7018391156</v>
      </c>
      <c r="T1402" s="1" t="s">
        <v>25000</v>
      </c>
      <c r="U1402" s="1" t="s">
        <v>25001</v>
      </c>
      <c r="V1402" s="1">
        <v>9459278265</v>
      </c>
      <c r="W1402" s="1" t="s">
        <v>25000</v>
      </c>
      <c r="X1402" s="1" t="s">
        <v>25002</v>
      </c>
      <c r="Y1402" s="1" t="s">
        <v>25003</v>
      </c>
      <c r="Z1402" s="1" t="s">
        <v>2608</v>
      </c>
      <c r="AA1402" s="1" t="s">
        <v>25002</v>
      </c>
      <c r="AB1402" s="1" t="s">
        <v>25003</v>
      </c>
      <c r="AC1402" s="1" t="s">
        <v>2608</v>
      </c>
      <c r="AD1402" s="1" t="s">
        <v>98</v>
      </c>
      <c r="AE1402" s="1" t="s">
        <v>98</v>
      </c>
      <c r="AF1402" s="1" t="s">
        <v>25004</v>
      </c>
      <c r="AG1402" s="1" t="s">
        <v>15152</v>
      </c>
      <c r="AH1402" s="1" t="s">
        <v>1971</v>
      </c>
      <c r="AI1402" s="1" t="s">
        <v>342</v>
      </c>
      <c r="AJ1402" s="1">
        <v>72.2</v>
      </c>
      <c r="AK1402" s="1">
        <v>7.6</v>
      </c>
      <c r="AL1402" s="1"/>
      <c r="AM1402" s="1"/>
      <c r="AN1402" s="1"/>
      <c r="AO1402" s="1"/>
      <c r="AP1402" s="1"/>
      <c r="AQ1402" s="1"/>
      <c r="AR1402" s="1"/>
      <c r="AS1402" s="1" t="s">
        <v>14656</v>
      </c>
      <c r="AT1402" s="1" t="s">
        <v>25005</v>
      </c>
      <c r="AU1402" s="1" t="s">
        <v>342</v>
      </c>
      <c r="AV1402" s="1" t="s">
        <v>174</v>
      </c>
      <c r="AW1402" s="1">
        <v>65.19</v>
      </c>
      <c r="AX1402" s="1"/>
      <c r="AY1402" s="1" t="s">
        <v>25006</v>
      </c>
      <c r="AZ1402" s="1" t="s">
        <v>25006</v>
      </c>
      <c r="BA1402" s="1" t="s">
        <v>466</v>
      </c>
      <c r="BB1402" s="1" t="s">
        <v>467</v>
      </c>
      <c r="BC1402" s="1" t="s">
        <v>106</v>
      </c>
      <c r="BD1402" s="1" t="s">
        <v>847</v>
      </c>
      <c r="BE1402" s="1">
        <v>68.02</v>
      </c>
      <c r="BF1402" s="1">
        <v>7.16</v>
      </c>
      <c r="BG1402" s="1"/>
      <c r="BH1402" s="1"/>
      <c r="BI1402" s="1"/>
      <c r="BJ1402" s="1"/>
      <c r="BK1402" s="1"/>
      <c r="BL1402" s="1"/>
      <c r="BM1402" s="1"/>
      <c r="BN1402" s="1"/>
      <c r="BO1402" s="1" t="s">
        <v>25007</v>
      </c>
      <c r="BP1402" s="1" t="s">
        <v>25008</v>
      </c>
      <c r="BQ1402" s="1" t="s">
        <v>2462</v>
      </c>
      <c r="BR1402" s="1" t="s">
        <v>25009</v>
      </c>
      <c r="BS1402" s="1">
        <v>5</v>
      </c>
      <c r="BT1402" s="1"/>
      <c r="BU1402" s="1" t="str">
        <f>HYPERLINK("https://nconnect.nicmar.ac.in/storage/profile/6a85d59893304.png","Download")</f>
        <v>0</v>
      </c>
      <c r="BV1402" s="3"/>
      <c r="BW1402" s="3"/>
    </row>
    <row r="1403" spans="1:75">
      <c r="A1403" s="1" t="s">
        <v>75</v>
      </c>
      <c r="B1403" s="1" t="s">
        <v>13976</v>
      </c>
      <c r="C1403" s="1" t="s">
        <v>25010</v>
      </c>
      <c r="D1403" s="1" t="s">
        <v>17696</v>
      </c>
      <c r="E1403" s="1" t="s">
        <v>25011</v>
      </c>
      <c r="F1403" s="1" t="s">
        <v>25012</v>
      </c>
      <c r="G1403" s="1" t="s">
        <v>25013</v>
      </c>
      <c r="H1403" s="1" t="s">
        <v>25014</v>
      </c>
      <c r="I1403" s="1" t="s">
        <v>25014</v>
      </c>
      <c r="J1403" s="1">
        <v>9763422156</v>
      </c>
      <c r="K1403" s="1" t="s">
        <v>84</v>
      </c>
      <c r="L1403" s="1" t="s">
        <v>6407</v>
      </c>
      <c r="M1403" s="1" t="s">
        <v>86</v>
      </c>
      <c r="N1403" s="1" t="s">
        <v>17803</v>
      </c>
      <c r="O1403" s="1" t="s">
        <v>25015</v>
      </c>
      <c r="P1403" s="1" t="s">
        <v>122</v>
      </c>
      <c r="Q1403" s="1">
        <v>606792581194</v>
      </c>
      <c r="R1403" s="1" t="s">
        <v>25011</v>
      </c>
      <c r="S1403" s="1">
        <v>9271512003</v>
      </c>
      <c r="T1403" s="1" t="s">
        <v>18351</v>
      </c>
      <c r="U1403" s="1" t="s">
        <v>14524</v>
      </c>
      <c r="V1403" s="1">
        <v>9325034465</v>
      </c>
      <c r="W1403" s="1" t="s">
        <v>10306</v>
      </c>
      <c r="X1403" s="1" t="s">
        <v>25016</v>
      </c>
      <c r="Y1403" s="1" t="s">
        <v>96</v>
      </c>
      <c r="Z1403" s="1" t="s">
        <v>97</v>
      </c>
      <c r="AA1403" s="1" t="s">
        <v>25016</v>
      </c>
      <c r="AB1403" s="1" t="s">
        <v>96</v>
      </c>
      <c r="AC1403" s="1" t="s">
        <v>97</v>
      </c>
      <c r="AD1403" s="1" t="s">
        <v>98</v>
      </c>
      <c r="AE1403" s="1" t="s">
        <v>98</v>
      </c>
      <c r="AF1403" s="1" t="s">
        <v>25017</v>
      </c>
      <c r="AG1403" s="1" t="s">
        <v>97</v>
      </c>
      <c r="AH1403" s="1" t="s">
        <v>166</v>
      </c>
      <c r="AI1403" s="1" t="s">
        <v>167</v>
      </c>
      <c r="AJ1403" s="1">
        <v>89.8</v>
      </c>
      <c r="AK1403" s="1"/>
      <c r="AL1403" s="1" t="s">
        <v>25018</v>
      </c>
      <c r="AM1403" s="1" t="s">
        <v>97</v>
      </c>
      <c r="AN1403" s="1" t="s">
        <v>465</v>
      </c>
      <c r="AO1403" s="1" t="s">
        <v>170</v>
      </c>
      <c r="AP1403" s="1" t="s">
        <v>106</v>
      </c>
      <c r="AQ1403" s="1">
        <v>72.62</v>
      </c>
      <c r="AR1403" s="1"/>
      <c r="AS1403" s="1"/>
      <c r="AT1403" s="1"/>
      <c r="AU1403" s="1"/>
      <c r="AV1403" s="1"/>
      <c r="AW1403" s="1"/>
      <c r="AX1403" s="1"/>
      <c r="AY1403" s="1" t="s">
        <v>14160</v>
      </c>
      <c r="AZ1403" s="1" t="s">
        <v>25019</v>
      </c>
      <c r="BA1403" s="1" t="s">
        <v>578</v>
      </c>
      <c r="BB1403" s="1" t="s">
        <v>467</v>
      </c>
      <c r="BC1403" s="1" t="s">
        <v>1065</v>
      </c>
      <c r="BD1403" s="1" t="s">
        <v>110</v>
      </c>
      <c r="BE1403" s="1">
        <v>68.72</v>
      </c>
      <c r="BF1403" s="1">
        <v>7.81</v>
      </c>
      <c r="BG1403" s="1"/>
      <c r="BH1403" s="1"/>
      <c r="BI1403" s="1"/>
      <c r="BJ1403" s="1"/>
      <c r="BK1403" s="1"/>
      <c r="BL1403" s="1"/>
      <c r="BM1403" s="1"/>
      <c r="BN1403" s="1"/>
      <c r="BO1403" s="1" t="s">
        <v>5787</v>
      </c>
      <c r="BP1403" s="1"/>
      <c r="BQ1403" s="1"/>
      <c r="BR1403" s="1"/>
      <c r="BS1403" s="1"/>
      <c r="BT1403" s="1"/>
      <c r="BU1403" s="1" t="str">
        <f>HYPERLINK("https://nconnect.nicmar.ac.in/storage/profile/6a8732ec48e04.png","Download")</f>
        <v>0</v>
      </c>
      <c r="BV1403" s="3"/>
      <c r="BW1403" s="3"/>
    </row>
    <row r="1404" spans="1:75">
      <c r="A1404" s="1" t="s">
        <v>75</v>
      </c>
      <c r="B1404" s="1" t="s">
        <v>13976</v>
      </c>
      <c r="C1404" s="1" t="s">
        <v>25020</v>
      </c>
      <c r="D1404" s="1" t="s">
        <v>18832</v>
      </c>
      <c r="E1404" s="1" t="s">
        <v>25021</v>
      </c>
      <c r="F1404" s="1" t="s">
        <v>25022</v>
      </c>
      <c r="G1404" s="1" t="s">
        <v>25023</v>
      </c>
      <c r="H1404" s="1" t="s">
        <v>25024</v>
      </c>
      <c r="I1404" s="1" t="s">
        <v>25024</v>
      </c>
      <c r="J1404" s="1">
        <v>7385435808</v>
      </c>
      <c r="K1404" s="1" t="s">
        <v>84</v>
      </c>
      <c r="L1404" s="1" t="s">
        <v>22608</v>
      </c>
      <c r="M1404" s="1" t="s">
        <v>86</v>
      </c>
      <c r="N1404" s="1" t="s">
        <v>25025</v>
      </c>
      <c r="O1404" s="1" t="s">
        <v>25026</v>
      </c>
      <c r="P1404" s="1" t="s">
        <v>219</v>
      </c>
      <c r="Q1404" s="1">
        <v>636172929619</v>
      </c>
      <c r="R1404" s="1" t="s">
        <v>25027</v>
      </c>
      <c r="S1404" s="1">
        <v>9403035880</v>
      </c>
      <c r="T1404" s="1" t="s">
        <v>25028</v>
      </c>
      <c r="U1404" s="1" t="s">
        <v>25029</v>
      </c>
      <c r="V1404" s="1">
        <v>9403035880</v>
      </c>
      <c r="W1404" s="1" t="s">
        <v>15046</v>
      </c>
      <c r="X1404" s="1" t="s">
        <v>25030</v>
      </c>
      <c r="Y1404" s="1" t="s">
        <v>9788</v>
      </c>
      <c r="Z1404" s="1" t="s">
        <v>97</v>
      </c>
      <c r="AA1404" s="1" t="s">
        <v>25030</v>
      </c>
      <c r="AB1404" s="1" t="s">
        <v>9788</v>
      </c>
      <c r="AC1404" s="1" t="s">
        <v>97</v>
      </c>
      <c r="AD1404" s="1" t="s">
        <v>98</v>
      </c>
      <c r="AE1404" s="1" t="s">
        <v>98</v>
      </c>
      <c r="AF1404" s="1" t="s">
        <v>25031</v>
      </c>
      <c r="AG1404" s="1" t="s">
        <v>25032</v>
      </c>
      <c r="AH1404" s="1" t="s">
        <v>315</v>
      </c>
      <c r="AI1404" s="1" t="s">
        <v>603</v>
      </c>
      <c r="AJ1404" s="1">
        <v>90.4</v>
      </c>
      <c r="AK1404" s="1"/>
      <c r="AL1404" s="1"/>
      <c r="AM1404" s="1"/>
      <c r="AN1404" s="1"/>
      <c r="AO1404" s="1"/>
      <c r="AP1404" s="1"/>
      <c r="AQ1404" s="1"/>
      <c r="AR1404" s="1"/>
      <c r="AS1404" s="1" t="s">
        <v>25033</v>
      </c>
      <c r="AT1404" s="1" t="s">
        <v>25034</v>
      </c>
      <c r="AU1404" s="1" t="s">
        <v>1040</v>
      </c>
      <c r="AV1404" s="1" t="s">
        <v>234</v>
      </c>
      <c r="AW1404" s="1">
        <v>85.11</v>
      </c>
      <c r="AX1404" s="1"/>
      <c r="AY1404" s="1" t="s">
        <v>25035</v>
      </c>
      <c r="AZ1404" s="1" t="s">
        <v>25036</v>
      </c>
      <c r="BA1404" s="1" t="s">
        <v>578</v>
      </c>
      <c r="BB1404" s="1" t="s">
        <v>467</v>
      </c>
      <c r="BC1404" s="1" t="s">
        <v>391</v>
      </c>
      <c r="BD1404" s="1" t="s">
        <v>14162</v>
      </c>
      <c r="BE1404" s="1">
        <v>78</v>
      </c>
      <c r="BF1404" s="1">
        <v>8.34</v>
      </c>
      <c r="BG1404" s="1"/>
      <c r="BH1404" s="1"/>
      <c r="BI1404" s="1"/>
      <c r="BJ1404" s="1"/>
      <c r="BK1404" s="1"/>
      <c r="BL1404" s="1"/>
      <c r="BM1404" s="1"/>
      <c r="BN1404" s="1"/>
      <c r="BO1404" s="1" t="s">
        <v>25037</v>
      </c>
      <c r="BP1404" s="1"/>
      <c r="BQ1404" s="1"/>
      <c r="BR1404" s="1" t="s">
        <v>25038</v>
      </c>
      <c r="BS1404" s="1">
        <v>4</v>
      </c>
      <c r="BT1404" s="1"/>
      <c r="BU1404" s="1" t="str">
        <f>HYPERLINK("https://nconnect.nicmar.ac.in/storage/profile/6a8342637a8f1.png","Download")</f>
        <v>0</v>
      </c>
      <c r="BV1404" s="3"/>
      <c r="BW1404" s="3"/>
    </row>
    <row r="1405" spans="1:75">
      <c r="A1405" s="1" t="s">
        <v>75</v>
      </c>
      <c r="B1405" s="1" t="s">
        <v>13976</v>
      </c>
      <c r="C1405" s="1" t="s">
        <v>25039</v>
      </c>
      <c r="D1405" s="1" t="s">
        <v>25040</v>
      </c>
      <c r="E1405" s="1"/>
      <c r="F1405" s="1" t="s">
        <v>25041</v>
      </c>
      <c r="G1405" s="1" t="s">
        <v>25042</v>
      </c>
      <c r="H1405" s="1" t="s">
        <v>25043</v>
      </c>
      <c r="I1405" s="1" t="s">
        <v>25043</v>
      </c>
      <c r="J1405" s="1">
        <v>7093028232</v>
      </c>
      <c r="K1405" s="1" t="s">
        <v>153</v>
      </c>
      <c r="L1405" s="1" t="s">
        <v>25044</v>
      </c>
      <c r="M1405" s="1" t="s">
        <v>86</v>
      </c>
      <c r="N1405" s="1" t="s">
        <v>25045</v>
      </c>
      <c r="O1405" s="1" t="s">
        <v>25046</v>
      </c>
      <c r="P1405" s="1" t="s">
        <v>89</v>
      </c>
      <c r="Q1405" s="1">
        <v>563312783261</v>
      </c>
      <c r="R1405" s="1" t="s">
        <v>25047</v>
      </c>
      <c r="S1405" s="1">
        <v>8142868254</v>
      </c>
      <c r="T1405" s="1" t="s">
        <v>13987</v>
      </c>
      <c r="U1405" s="1" t="s">
        <v>25048</v>
      </c>
      <c r="V1405" s="1">
        <v>9885190258</v>
      </c>
      <c r="W1405" s="1" t="s">
        <v>24055</v>
      </c>
      <c r="X1405" s="1" t="s">
        <v>25049</v>
      </c>
      <c r="Y1405" s="1" t="s">
        <v>10786</v>
      </c>
      <c r="Z1405" s="1" t="s">
        <v>461</v>
      </c>
      <c r="AA1405" s="1" t="s">
        <v>25049</v>
      </c>
      <c r="AB1405" s="1" t="s">
        <v>10786</v>
      </c>
      <c r="AC1405" s="1" t="s">
        <v>461</v>
      </c>
      <c r="AD1405" s="1" t="s">
        <v>98</v>
      </c>
      <c r="AE1405" s="1" t="s">
        <v>98</v>
      </c>
      <c r="AF1405" s="1" t="s">
        <v>25050</v>
      </c>
      <c r="AG1405" s="1" t="s">
        <v>25051</v>
      </c>
      <c r="AH1405" s="1" t="s">
        <v>1110</v>
      </c>
      <c r="AI1405" s="1" t="s">
        <v>627</v>
      </c>
      <c r="AJ1405" s="1">
        <v>85.5</v>
      </c>
      <c r="AK1405" s="1">
        <v>9</v>
      </c>
      <c r="AL1405" s="1"/>
      <c r="AM1405" s="1"/>
      <c r="AN1405" s="1"/>
      <c r="AO1405" s="1"/>
      <c r="AP1405" s="1"/>
      <c r="AQ1405" s="1"/>
      <c r="AR1405" s="1"/>
      <c r="AS1405" s="1" t="s">
        <v>14377</v>
      </c>
      <c r="AT1405" s="1" t="s">
        <v>25052</v>
      </c>
      <c r="AU1405" s="1" t="s">
        <v>167</v>
      </c>
      <c r="AV1405" s="1" t="s">
        <v>547</v>
      </c>
      <c r="AW1405" s="1">
        <v>81.8</v>
      </c>
      <c r="AX1405" s="1"/>
      <c r="AY1405" s="1" t="s">
        <v>25053</v>
      </c>
      <c r="AZ1405" s="1" t="s">
        <v>25054</v>
      </c>
      <c r="BA1405" s="1" t="s">
        <v>466</v>
      </c>
      <c r="BB1405" s="1" t="s">
        <v>467</v>
      </c>
      <c r="BC1405" s="1" t="s">
        <v>977</v>
      </c>
      <c r="BD1405" s="1" t="s">
        <v>579</v>
      </c>
      <c r="BE1405" s="1">
        <v>78.6</v>
      </c>
      <c r="BF1405" s="1">
        <v>8.36</v>
      </c>
      <c r="BG1405" s="1"/>
      <c r="BH1405" s="1"/>
      <c r="BI1405" s="1"/>
      <c r="BJ1405" s="1"/>
      <c r="BK1405" s="1"/>
      <c r="BL1405" s="1"/>
      <c r="BM1405" s="1"/>
      <c r="BN1405" s="1"/>
      <c r="BO1405" s="1" t="s">
        <v>25055</v>
      </c>
      <c r="BP1405" s="1" t="s">
        <v>25056</v>
      </c>
      <c r="BQ1405" s="1" t="s">
        <v>8862</v>
      </c>
      <c r="BR1405" s="1" t="s">
        <v>25057</v>
      </c>
      <c r="BS1405" s="1">
        <v>21</v>
      </c>
      <c r="BT1405" s="1" t="s">
        <v>25058</v>
      </c>
      <c r="BU1405" s="1" t="str">
        <f>HYPERLINK("https://nconnect.nicmar.ac.in/storage/profile/6a872d46e04ed.png","Download")</f>
        <v>0</v>
      </c>
      <c r="BV1405" s="3"/>
      <c r="BW1405" s="3"/>
    </row>
    <row r="1406" spans="1:75">
      <c r="A1406" s="1" t="s">
        <v>75</v>
      </c>
      <c r="B1406" s="1" t="s">
        <v>13976</v>
      </c>
      <c r="C1406" s="1" t="s">
        <v>25059</v>
      </c>
      <c r="D1406" s="1" t="s">
        <v>21792</v>
      </c>
      <c r="E1406" s="1" t="s">
        <v>17833</v>
      </c>
      <c r="F1406" s="1" t="s">
        <v>25060</v>
      </c>
      <c r="G1406" s="1" t="s">
        <v>25061</v>
      </c>
      <c r="H1406" s="1" t="s">
        <v>25062</v>
      </c>
      <c r="I1406" s="1" t="s">
        <v>25062</v>
      </c>
      <c r="J1406" s="1">
        <v>7666308149</v>
      </c>
      <c r="K1406" s="1" t="s">
        <v>153</v>
      </c>
      <c r="L1406" s="1" t="s">
        <v>24075</v>
      </c>
      <c r="M1406" s="1" t="s">
        <v>86</v>
      </c>
      <c r="N1406" s="1" t="s">
        <v>22768</v>
      </c>
      <c r="O1406" s="1" t="s">
        <v>25063</v>
      </c>
      <c r="P1406" s="1" t="s">
        <v>219</v>
      </c>
      <c r="Q1406" s="1">
        <v>419594569117</v>
      </c>
      <c r="R1406" s="1" t="s">
        <v>25064</v>
      </c>
      <c r="S1406" s="1">
        <v>9579361152</v>
      </c>
      <c r="T1406" s="1" t="s">
        <v>25065</v>
      </c>
      <c r="U1406" s="1" t="s">
        <v>25066</v>
      </c>
      <c r="V1406" s="1">
        <v>7057312200</v>
      </c>
      <c r="W1406" s="1" t="s">
        <v>9679</v>
      </c>
      <c r="X1406" s="1" t="s">
        <v>25067</v>
      </c>
      <c r="Y1406" s="1" t="s">
        <v>196</v>
      </c>
      <c r="Z1406" s="1" t="s">
        <v>97</v>
      </c>
      <c r="AA1406" s="1" t="s">
        <v>25067</v>
      </c>
      <c r="AB1406" s="1" t="s">
        <v>196</v>
      </c>
      <c r="AC1406" s="1" t="s">
        <v>97</v>
      </c>
      <c r="AD1406" s="1" t="s">
        <v>98</v>
      </c>
      <c r="AE1406" s="1" t="s">
        <v>98</v>
      </c>
      <c r="AF1406" s="1" t="s">
        <v>25068</v>
      </c>
      <c r="AG1406" s="1" t="s">
        <v>24146</v>
      </c>
      <c r="AH1406" s="1" t="s">
        <v>106</v>
      </c>
      <c r="AI1406" s="1" t="s">
        <v>414</v>
      </c>
      <c r="AJ1406" s="1">
        <v>68.2</v>
      </c>
      <c r="AK1406" s="1"/>
      <c r="AL1406" s="1" t="s">
        <v>25069</v>
      </c>
      <c r="AM1406" s="1" t="s">
        <v>24146</v>
      </c>
      <c r="AN1406" s="1" t="s">
        <v>465</v>
      </c>
      <c r="AO1406" s="1" t="s">
        <v>468</v>
      </c>
      <c r="AP1406" s="1" t="s">
        <v>845</v>
      </c>
      <c r="AQ1406" s="1">
        <v>87.17</v>
      </c>
      <c r="AR1406" s="1"/>
      <c r="AS1406" s="1"/>
      <c r="AT1406" s="1"/>
      <c r="AU1406" s="1"/>
      <c r="AV1406" s="1"/>
      <c r="AW1406" s="1"/>
      <c r="AX1406" s="1"/>
      <c r="AY1406" s="1" t="s">
        <v>25070</v>
      </c>
      <c r="AZ1406" s="1" t="s">
        <v>25071</v>
      </c>
      <c r="BA1406" s="1" t="s">
        <v>578</v>
      </c>
      <c r="BB1406" s="1" t="s">
        <v>467</v>
      </c>
      <c r="BC1406" s="1" t="s">
        <v>140</v>
      </c>
      <c r="BD1406" s="1" t="s">
        <v>553</v>
      </c>
      <c r="BE1406" s="1">
        <v>64.1</v>
      </c>
      <c r="BF1406" s="1">
        <v>7.16</v>
      </c>
      <c r="BG1406" s="1"/>
      <c r="BH1406" s="1"/>
      <c r="BI1406" s="1"/>
      <c r="BJ1406" s="1"/>
      <c r="BK1406" s="1"/>
      <c r="BL1406" s="1"/>
      <c r="BM1406" s="1"/>
      <c r="BN1406" s="1"/>
      <c r="BO1406" s="1" t="s">
        <v>849</v>
      </c>
      <c r="BP1406" s="1" t="s">
        <v>25072</v>
      </c>
      <c r="BQ1406" s="1" t="s">
        <v>1070</v>
      </c>
      <c r="BR1406" s="1"/>
      <c r="BS1406" s="1"/>
      <c r="BT1406" s="1"/>
      <c r="BU1406" s="1" t="str">
        <f>HYPERLINK("https://nconnect.nicmar.ac.in/storage/profile/6a85e1b92b82e.png","Download")</f>
        <v>0</v>
      </c>
      <c r="BV1406" s="3"/>
      <c r="BW1406" s="3"/>
    </row>
    <row r="1407" spans="1:75">
      <c r="A1407" s="1" t="s">
        <v>75</v>
      </c>
      <c r="B1407" s="1" t="s">
        <v>13976</v>
      </c>
      <c r="C1407" s="1" t="s">
        <v>25073</v>
      </c>
      <c r="D1407" s="1" t="s">
        <v>25074</v>
      </c>
      <c r="E1407" s="1" t="s">
        <v>25075</v>
      </c>
      <c r="F1407" s="1" t="s">
        <v>25076</v>
      </c>
      <c r="G1407" s="1" t="s">
        <v>25077</v>
      </c>
      <c r="H1407" s="1" t="s">
        <v>25078</v>
      </c>
      <c r="I1407" s="1" t="s">
        <v>25078</v>
      </c>
      <c r="J1407" s="1">
        <v>9404851129</v>
      </c>
      <c r="K1407" s="1" t="s">
        <v>84</v>
      </c>
      <c r="L1407" s="1" t="s">
        <v>10203</v>
      </c>
      <c r="M1407" s="1" t="s">
        <v>86</v>
      </c>
      <c r="N1407" s="1" t="s">
        <v>24997</v>
      </c>
      <c r="O1407" s="1" t="s">
        <v>25079</v>
      </c>
      <c r="P1407" s="1" t="s">
        <v>219</v>
      </c>
      <c r="Q1407" s="1">
        <v>955827822141</v>
      </c>
      <c r="R1407" s="1" t="s">
        <v>25080</v>
      </c>
      <c r="S1407" s="1">
        <v>9421040317</v>
      </c>
      <c r="T1407" s="1" t="s">
        <v>25081</v>
      </c>
      <c r="U1407" s="1" t="s">
        <v>25082</v>
      </c>
      <c r="V1407" s="1">
        <v>9421915235</v>
      </c>
      <c r="W1407" s="1" t="s">
        <v>14710</v>
      </c>
      <c r="X1407" s="1" t="s">
        <v>25083</v>
      </c>
      <c r="Y1407" s="1" t="s">
        <v>163</v>
      </c>
      <c r="Z1407" s="1" t="s">
        <v>97</v>
      </c>
      <c r="AA1407" s="1" t="s">
        <v>25084</v>
      </c>
      <c r="AB1407" s="1" t="s">
        <v>163</v>
      </c>
      <c r="AC1407" s="1" t="s">
        <v>97</v>
      </c>
      <c r="AD1407" s="1" t="s">
        <v>98</v>
      </c>
      <c r="AE1407" s="1" t="s">
        <v>98</v>
      </c>
      <c r="AF1407" s="1" t="s">
        <v>25085</v>
      </c>
      <c r="AG1407" s="1" t="s">
        <v>25086</v>
      </c>
      <c r="AH1407" s="1" t="s">
        <v>438</v>
      </c>
      <c r="AI1407" s="1" t="s">
        <v>603</v>
      </c>
      <c r="AJ1407" s="1">
        <v>83.4</v>
      </c>
      <c r="AK1407" s="1"/>
      <c r="AL1407" s="1" t="s">
        <v>25087</v>
      </c>
      <c r="AM1407" s="1" t="s">
        <v>25086</v>
      </c>
      <c r="AN1407" s="1" t="s">
        <v>575</v>
      </c>
      <c r="AO1407" s="1" t="s">
        <v>110</v>
      </c>
      <c r="AP1407" s="1" t="s">
        <v>7385</v>
      </c>
      <c r="AQ1407" s="1">
        <v>60</v>
      </c>
      <c r="AR1407" s="1"/>
      <c r="AS1407" s="1"/>
      <c r="AT1407" s="1"/>
      <c r="AU1407" s="1"/>
      <c r="AV1407" s="1"/>
      <c r="AW1407" s="1"/>
      <c r="AX1407" s="1"/>
      <c r="AY1407" s="1" t="s">
        <v>25088</v>
      </c>
      <c r="AZ1407" s="1" t="s">
        <v>25089</v>
      </c>
      <c r="BA1407" s="1" t="s">
        <v>466</v>
      </c>
      <c r="BB1407" s="1" t="s">
        <v>467</v>
      </c>
      <c r="BC1407" s="1" t="s">
        <v>289</v>
      </c>
      <c r="BD1407" s="1" t="s">
        <v>9688</v>
      </c>
      <c r="BE1407" s="1">
        <v>65.93</v>
      </c>
      <c r="BF1407" s="1"/>
      <c r="BG1407" s="1"/>
      <c r="BH1407" s="1"/>
      <c r="BI1407" s="1"/>
      <c r="BJ1407" s="1"/>
      <c r="BK1407" s="1"/>
      <c r="BL1407" s="1"/>
      <c r="BM1407" s="1"/>
      <c r="BN1407" s="1"/>
      <c r="BO1407" s="1" t="s">
        <v>25090</v>
      </c>
      <c r="BP1407" s="1" t="s">
        <v>25091</v>
      </c>
      <c r="BQ1407" s="1" t="s">
        <v>2116</v>
      </c>
      <c r="BR1407" s="1"/>
      <c r="BS1407" s="1"/>
      <c r="BT1407" s="1"/>
      <c r="BU1407" s="1" t="str">
        <f>HYPERLINK("https://nconnect.nicmar.ac.in/storage/profile/6a872e20eb281.png","Download")</f>
        <v>0</v>
      </c>
      <c r="BV1407" s="3"/>
      <c r="BW1407" s="3"/>
    </row>
    <row r="1408" spans="1:75">
      <c r="A1408" s="1" t="s">
        <v>75</v>
      </c>
      <c r="B1408" s="1" t="s">
        <v>13976</v>
      </c>
      <c r="C1408" s="1" t="s">
        <v>25092</v>
      </c>
      <c r="D1408" s="1"/>
      <c r="E1408" s="1"/>
      <c r="F1408" s="1"/>
      <c r="G1408" s="1"/>
      <c r="H1408" s="1" t="s">
        <v>25093</v>
      </c>
      <c r="I1408" s="1" t="s">
        <v>25093</v>
      </c>
      <c r="J1408" s="1"/>
      <c r="K1408" s="1"/>
      <c r="L1408" s="1"/>
      <c r="M1408" s="1"/>
      <c r="N1408" s="1"/>
      <c r="O1408" s="1"/>
      <c r="P1408" s="1"/>
      <c r="Q1408" s="1"/>
      <c r="R1408" s="1"/>
      <c r="S1408" s="1"/>
      <c r="T1408" s="1"/>
      <c r="U1408" s="1"/>
      <c r="V1408" s="1"/>
      <c r="W1408" s="1"/>
      <c r="X1408" s="1"/>
      <c r="Y1408" s="1"/>
      <c r="Z1408" s="1"/>
      <c r="AA1408" s="1"/>
      <c r="AB1408" s="1"/>
      <c r="AC1408" s="1"/>
      <c r="AD1408" s="1" t="s">
        <v>98</v>
      </c>
      <c r="AE1408" s="1" t="s">
        <v>98</v>
      </c>
      <c r="AF1408" s="1"/>
      <c r="AG1408" s="1"/>
      <c r="AH1408" s="1"/>
      <c r="AI1408" s="1"/>
      <c r="AJ1408" s="1"/>
      <c r="AK1408" s="1"/>
      <c r="AL1408" s="1"/>
      <c r="AM1408" s="1"/>
      <c r="AN1408" s="1"/>
      <c r="AO1408" s="1"/>
      <c r="AP1408" s="1"/>
      <c r="AQ1408" s="1"/>
      <c r="AR1408" s="1"/>
      <c r="AS1408" s="1"/>
      <c r="AT1408" s="1"/>
      <c r="AU1408" s="1"/>
      <c r="AV1408" s="1"/>
      <c r="AW1408" s="1"/>
      <c r="AX1408" s="1"/>
      <c r="AY1408" s="1"/>
      <c r="AZ1408" s="1"/>
      <c r="BA1408" s="1"/>
      <c r="BB1408" s="1"/>
      <c r="BC1408" s="1"/>
      <c r="BD1408" s="1"/>
      <c r="BE1408" s="1"/>
      <c r="BF1408" s="1"/>
      <c r="BG1408" s="1"/>
      <c r="BH1408" s="1"/>
      <c r="BI1408" s="1"/>
      <c r="BJ1408" s="1"/>
      <c r="BK1408" s="1"/>
      <c r="BL1408" s="1"/>
      <c r="BM1408" s="1"/>
      <c r="BN1408" s="1"/>
      <c r="BO1408" s="1"/>
      <c r="BP1408" s="1"/>
      <c r="BQ1408" s="1"/>
      <c r="BR1408" s="1"/>
      <c r="BS1408" s="1"/>
      <c r="BT1408" s="1"/>
      <c r="BU1408" s="1" t="s">
        <v>9653</v>
      </c>
      <c r="BV1408" s="3"/>
      <c r="BW1408" s="3"/>
    </row>
    <row r="1409" spans="1:75">
      <c r="A1409" s="1" t="s">
        <v>75</v>
      </c>
      <c r="B1409" s="1" t="s">
        <v>13976</v>
      </c>
      <c r="C1409" s="1" t="s">
        <v>25094</v>
      </c>
      <c r="D1409" s="1"/>
      <c r="E1409" s="1"/>
      <c r="F1409" s="1"/>
      <c r="G1409" s="1"/>
      <c r="H1409" s="1" t="s">
        <v>25095</v>
      </c>
      <c r="I1409" s="1" t="s">
        <v>25095</v>
      </c>
      <c r="J1409" s="1"/>
      <c r="K1409" s="1"/>
      <c r="L1409" s="1"/>
      <c r="M1409" s="1"/>
      <c r="N1409" s="1"/>
      <c r="O1409" s="1"/>
      <c r="P1409" s="1"/>
      <c r="Q1409" s="1"/>
      <c r="R1409" s="1"/>
      <c r="S1409" s="1"/>
      <c r="T1409" s="1"/>
      <c r="U1409" s="1"/>
      <c r="V1409" s="1"/>
      <c r="W1409" s="1"/>
      <c r="X1409" s="1"/>
      <c r="Y1409" s="1"/>
      <c r="Z1409" s="1"/>
      <c r="AA1409" s="1"/>
      <c r="AB1409" s="1"/>
      <c r="AC1409" s="1"/>
      <c r="AD1409" s="1" t="s">
        <v>98</v>
      </c>
      <c r="AE1409" s="1" t="s">
        <v>98</v>
      </c>
      <c r="AF1409" s="1"/>
      <c r="AG1409" s="1"/>
      <c r="AH1409" s="1"/>
      <c r="AI1409" s="1"/>
      <c r="AJ1409" s="1"/>
      <c r="AK1409" s="1"/>
      <c r="AL1409" s="1"/>
      <c r="AM1409" s="1"/>
      <c r="AN1409" s="1"/>
      <c r="AO1409" s="1"/>
      <c r="AP1409" s="1"/>
      <c r="AQ1409" s="1"/>
      <c r="AR1409" s="1"/>
      <c r="AS1409" s="1"/>
      <c r="AT1409" s="1"/>
      <c r="AU1409" s="1"/>
      <c r="AV1409" s="1"/>
      <c r="AW1409" s="1"/>
      <c r="AX1409" s="1"/>
      <c r="AY1409" s="1"/>
      <c r="AZ1409" s="1"/>
      <c r="BA1409" s="1"/>
      <c r="BB1409" s="1"/>
      <c r="BC1409" s="1"/>
      <c r="BD1409" s="1"/>
      <c r="BE1409" s="1"/>
      <c r="BF1409" s="1"/>
      <c r="BG1409" s="1"/>
      <c r="BH1409" s="1"/>
      <c r="BI1409" s="1"/>
      <c r="BJ1409" s="1"/>
      <c r="BK1409" s="1"/>
      <c r="BL1409" s="1"/>
      <c r="BM1409" s="1"/>
      <c r="BN1409" s="1"/>
      <c r="BO1409" s="1"/>
      <c r="BP1409" s="1"/>
      <c r="BQ1409" s="1"/>
      <c r="BR1409" s="1"/>
      <c r="BS1409" s="1"/>
      <c r="BT1409" s="1"/>
      <c r="BU1409" s="1" t="s">
        <v>9653</v>
      </c>
      <c r="BV1409" s="3"/>
      <c r="BW1409" s="3"/>
    </row>
    <row r="1410" spans="1:75">
      <c r="A1410" s="1" t="s">
        <v>75</v>
      </c>
      <c r="B1410" s="1" t="s">
        <v>13976</v>
      </c>
      <c r="C1410" s="1" t="s">
        <v>25096</v>
      </c>
      <c r="D1410" s="1" t="s">
        <v>25097</v>
      </c>
      <c r="E1410" s="1" t="s">
        <v>25098</v>
      </c>
      <c r="F1410" s="1" t="s">
        <v>25099</v>
      </c>
      <c r="G1410" s="1" t="s">
        <v>25100</v>
      </c>
      <c r="H1410" s="1" t="s">
        <v>25101</v>
      </c>
      <c r="I1410" s="1" t="s">
        <v>25102</v>
      </c>
      <c r="J1410" s="1">
        <v>9049484545</v>
      </c>
      <c r="K1410" s="1" t="s">
        <v>84</v>
      </c>
      <c r="L1410" s="1" t="s">
        <v>5616</v>
      </c>
      <c r="M1410" s="1" t="s">
        <v>86</v>
      </c>
      <c r="N1410" s="1" t="s">
        <v>25103</v>
      </c>
      <c r="O1410" s="1" t="s">
        <v>25104</v>
      </c>
      <c r="P1410" s="1" t="s">
        <v>122</v>
      </c>
      <c r="Q1410" s="1">
        <v>291913502927</v>
      </c>
      <c r="R1410" s="1" t="s">
        <v>25098</v>
      </c>
      <c r="S1410" s="1">
        <v>8390455511</v>
      </c>
      <c r="T1410" s="1" t="s">
        <v>14800</v>
      </c>
      <c r="U1410" s="1" t="s">
        <v>15698</v>
      </c>
      <c r="V1410" s="1">
        <v>9923940770</v>
      </c>
      <c r="W1410" s="1" t="s">
        <v>10306</v>
      </c>
      <c r="X1410" s="1" t="s">
        <v>25105</v>
      </c>
      <c r="Y1410" s="1" t="s">
        <v>19040</v>
      </c>
      <c r="Z1410" s="1" t="s">
        <v>19041</v>
      </c>
      <c r="AA1410" s="1" t="s">
        <v>25105</v>
      </c>
      <c r="AB1410" s="1" t="s">
        <v>19040</v>
      </c>
      <c r="AC1410" s="1" t="s">
        <v>19041</v>
      </c>
      <c r="AD1410" s="1" t="s">
        <v>98</v>
      </c>
      <c r="AE1410" s="1" t="s">
        <v>98</v>
      </c>
      <c r="AF1410" s="1" t="s">
        <v>25106</v>
      </c>
      <c r="AG1410" s="1" t="s">
        <v>25107</v>
      </c>
      <c r="AH1410" s="1" t="s">
        <v>286</v>
      </c>
      <c r="AI1410" s="1" t="s">
        <v>414</v>
      </c>
      <c r="AJ1410" s="1">
        <v>69.4</v>
      </c>
      <c r="AK1410" s="1"/>
      <c r="AL1410" s="1" t="s">
        <v>25108</v>
      </c>
      <c r="AM1410" s="1" t="s">
        <v>25109</v>
      </c>
      <c r="AN1410" s="1" t="s">
        <v>465</v>
      </c>
      <c r="AO1410" s="1" t="s">
        <v>977</v>
      </c>
      <c r="AP1410" s="1" t="s">
        <v>847</v>
      </c>
      <c r="AQ1410" s="1">
        <v>75.33</v>
      </c>
      <c r="AR1410" s="1"/>
      <c r="AS1410" s="1"/>
      <c r="AT1410" s="1"/>
      <c r="AU1410" s="1"/>
      <c r="AV1410" s="1"/>
      <c r="AW1410" s="1"/>
      <c r="AX1410" s="1"/>
      <c r="AY1410" s="1" t="s">
        <v>25110</v>
      </c>
      <c r="AZ1410" s="1" t="s">
        <v>25111</v>
      </c>
      <c r="BA1410" s="1" t="s">
        <v>466</v>
      </c>
      <c r="BB1410" s="1" t="s">
        <v>467</v>
      </c>
      <c r="BC1410" s="1" t="s">
        <v>552</v>
      </c>
      <c r="BD1410" s="1" t="s">
        <v>553</v>
      </c>
      <c r="BE1410" s="1">
        <v>69.0</v>
      </c>
      <c r="BF1410" s="1">
        <v>6.9</v>
      </c>
      <c r="BG1410" s="1"/>
      <c r="BH1410" s="1"/>
      <c r="BI1410" s="1"/>
      <c r="BJ1410" s="1"/>
      <c r="BK1410" s="1"/>
      <c r="BL1410" s="1"/>
      <c r="BM1410" s="1"/>
      <c r="BN1410" s="1"/>
      <c r="BO1410" s="1" t="s">
        <v>25112</v>
      </c>
      <c r="BP1410" s="1"/>
      <c r="BQ1410" s="1"/>
      <c r="BR1410" s="1" t="s">
        <v>25113</v>
      </c>
      <c r="BS1410" s="1">
        <v>45</v>
      </c>
      <c r="BT1410" s="1" t="s">
        <v>25114</v>
      </c>
      <c r="BU1410" s="1" t="str">
        <f>HYPERLINK("https://nconnect.nicmar.ac.in/storage/profile/6a8607258b42f.png","Download")</f>
        <v>0</v>
      </c>
      <c r="BV1410" s="3"/>
      <c r="BW1410" s="3"/>
    </row>
    <row r="1411" spans="1:75">
      <c r="A1411" s="1" t="s">
        <v>75</v>
      </c>
      <c r="B1411" s="1" t="s">
        <v>13976</v>
      </c>
      <c r="C1411" s="1" t="s">
        <v>25115</v>
      </c>
      <c r="D1411" s="1" t="s">
        <v>25116</v>
      </c>
      <c r="E1411" s="1" t="s">
        <v>9670</v>
      </c>
      <c r="F1411" s="1" t="s">
        <v>25117</v>
      </c>
      <c r="G1411" s="1" t="s">
        <v>25118</v>
      </c>
      <c r="H1411" s="1" t="s">
        <v>25119</v>
      </c>
      <c r="I1411" s="1" t="s">
        <v>25120</v>
      </c>
      <c r="J1411" s="1">
        <v>9834618593</v>
      </c>
      <c r="K1411" s="1" t="s">
        <v>84</v>
      </c>
      <c r="L1411" s="1" t="s">
        <v>25121</v>
      </c>
      <c r="M1411" s="1" t="s">
        <v>86</v>
      </c>
      <c r="N1411" s="1" t="s">
        <v>25122</v>
      </c>
      <c r="O1411" s="1" t="s">
        <v>25123</v>
      </c>
      <c r="P1411" s="1" t="s">
        <v>219</v>
      </c>
      <c r="Q1411" s="1">
        <v>303288873757</v>
      </c>
      <c r="R1411" s="1" t="s">
        <v>25117</v>
      </c>
      <c r="S1411" s="1">
        <v>9850508323</v>
      </c>
      <c r="T1411" s="1" t="s">
        <v>3441</v>
      </c>
      <c r="U1411" s="1" t="s">
        <v>25124</v>
      </c>
      <c r="V1411" s="1">
        <v>9850291223</v>
      </c>
      <c r="W1411" s="1" t="s">
        <v>14154</v>
      </c>
      <c r="X1411" s="1" t="s">
        <v>25125</v>
      </c>
      <c r="Y1411" s="1" t="s">
        <v>163</v>
      </c>
      <c r="Z1411" s="1" t="s">
        <v>97</v>
      </c>
      <c r="AA1411" s="1" t="s">
        <v>25125</v>
      </c>
      <c r="AB1411" s="1" t="s">
        <v>163</v>
      </c>
      <c r="AC1411" s="1" t="s">
        <v>97</v>
      </c>
      <c r="AD1411" s="1" t="s">
        <v>98</v>
      </c>
      <c r="AE1411" s="1" t="s">
        <v>98</v>
      </c>
      <c r="AF1411" s="1" t="s">
        <v>25126</v>
      </c>
      <c r="AG1411" s="1" t="s">
        <v>25127</v>
      </c>
      <c r="AH1411" s="1" t="s">
        <v>1396</v>
      </c>
      <c r="AI1411" s="1" t="s">
        <v>200</v>
      </c>
      <c r="AJ1411" s="1">
        <v>70.0</v>
      </c>
      <c r="AK1411" s="1"/>
      <c r="AL1411" s="1"/>
      <c r="AM1411" s="1"/>
      <c r="AN1411" s="1"/>
      <c r="AO1411" s="1"/>
      <c r="AP1411" s="1"/>
      <c r="AQ1411" s="1"/>
      <c r="AR1411" s="1"/>
      <c r="AS1411" s="1" t="s">
        <v>15317</v>
      </c>
      <c r="AT1411" s="1" t="s">
        <v>25128</v>
      </c>
      <c r="AU1411" s="1" t="s">
        <v>206</v>
      </c>
      <c r="AV1411" s="1" t="s">
        <v>1040</v>
      </c>
      <c r="AW1411" s="1">
        <v>82.89</v>
      </c>
      <c r="AX1411" s="1"/>
      <c r="AY1411" s="1" t="s">
        <v>25129</v>
      </c>
      <c r="AZ1411" s="1" t="s">
        <v>25130</v>
      </c>
      <c r="BA1411" s="1" t="s">
        <v>466</v>
      </c>
      <c r="BB1411" s="1" t="s">
        <v>467</v>
      </c>
      <c r="BC1411" s="1" t="s">
        <v>1400</v>
      </c>
      <c r="BD1411" s="1" t="s">
        <v>179</v>
      </c>
      <c r="BE1411" s="1">
        <v>71.2</v>
      </c>
      <c r="BF1411" s="1">
        <v>7.63</v>
      </c>
      <c r="BG1411" s="1"/>
      <c r="BH1411" s="1"/>
      <c r="BI1411" s="1"/>
      <c r="BJ1411" s="1"/>
      <c r="BK1411" s="1"/>
      <c r="BL1411" s="1"/>
      <c r="BM1411" s="1"/>
      <c r="BN1411" s="1"/>
      <c r="BO1411" s="1" t="s">
        <v>25131</v>
      </c>
      <c r="BP1411" s="1" t="s">
        <v>25132</v>
      </c>
      <c r="BQ1411" s="1" t="s">
        <v>524</v>
      </c>
      <c r="BR1411" s="1"/>
      <c r="BS1411" s="1"/>
      <c r="BT1411" s="1"/>
      <c r="BU1411" s="1" t="str">
        <f>HYPERLINK("https://nconnect.nicmar.ac.in/storage/profile/6a86878cf12b7.png","Download")</f>
        <v>0</v>
      </c>
      <c r="BV1411" s="3"/>
      <c r="BW1411" s="3"/>
    </row>
    <row r="1412" spans="1:75">
      <c r="A1412" s="1" t="s">
        <v>75</v>
      </c>
      <c r="B1412" s="1" t="s">
        <v>13976</v>
      </c>
      <c r="C1412" s="1" t="s">
        <v>25133</v>
      </c>
      <c r="D1412" s="1" t="s">
        <v>24401</v>
      </c>
      <c r="E1412" s="1" t="s">
        <v>25134</v>
      </c>
      <c r="F1412" s="1" t="s">
        <v>19031</v>
      </c>
      <c r="G1412" s="1" t="s">
        <v>25135</v>
      </c>
      <c r="H1412" s="1" t="s">
        <v>25136</v>
      </c>
      <c r="I1412" s="1" t="s">
        <v>25137</v>
      </c>
      <c r="J1412" s="1">
        <v>9819400005</v>
      </c>
      <c r="K1412" s="1" t="s">
        <v>84</v>
      </c>
      <c r="L1412" s="1" t="s">
        <v>25138</v>
      </c>
      <c r="M1412" s="1" t="s">
        <v>86</v>
      </c>
      <c r="N1412" s="1" t="s">
        <v>25139</v>
      </c>
      <c r="O1412" s="1" t="s">
        <v>25140</v>
      </c>
      <c r="P1412" s="1" t="s">
        <v>219</v>
      </c>
      <c r="Q1412" s="1">
        <v>524057382361</v>
      </c>
      <c r="R1412" s="1" t="s">
        <v>25141</v>
      </c>
      <c r="S1412" s="1">
        <v>9004499999</v>
      </c>
      <c r="T1412" s="1" t="s">
        <v>14800</v>
      </c>
      <c r="U1412" s="1" t="s">
        <v>25142</v>
      </c>
      <c r="V1412" s="1">
        <v>9004010101</v>
      </c>
      <c r="W1412" s="1" t="s">
        <v>14154</v>
      </c>
      <c r="X1412" s="1" t="s">
        <v>25143</v>
      </c>
      <c r="Y1412" s="1" t="s">
        <v>1882</v>
      </c>
      <c r="Z1412" s="1" t="s">
        <v>97</v>
      </c>
      <c r="AA1412" s="1" t="s">
        <v>25143</v>
      </c>
      <c r="AB1412" s="1" t="s">
        <v>1882</v>
      </c>
      <c r="AC1412" s="1" t="s">
        <v>97</v>
      </c>
      <c r="AD1412" s="1" t="s">
        <v>98</v>
      </c>
      <c r="AE1412" s="1" t="s">
        <v>98</v>
      </c>
      <c r="AF1412" s="1" t="s">
        <v>25144</v>
      </c>
      <c r="AG1412" s="1" t="s">
        <v>1310</v>
      </c>
      <c r="AH1412" s="1" t="s">
        <v>414</v>
      </c>
      <c r="AI1412" s="1" t="s">
        <v>603</v>
      </c>
      <c r="AJ1412" s="1">
        <v>91.8</v>
      </c>
      <c r="AK1412" s="1"/>
      <c r="AL1412" s="1"/>
      <c r="AM1412" s="1"/>
      <c r="AN1412" s="1"/>
      <c r="AO1412" s="1"/>
      <c r="AP1412" s="1"/>
      <c r="AQ1412" s="1"/>
      <c r="AR1412" s="1"/>
      <c r="AS1412" s="1" t="s">
        <v>14158</v>
      </c>
      <c r="AT1412" s="1" t="s">
        <v>25145</v>
      </c>
      <c r="AU1412" s="1" t="s">
        <v>233</v>
      </c>
      <c r="AV1412" s="1" t="s">
        <v>955</v>
      </c>
      <c r="AW1412" s="1">
        <v>77.79</v>
      </c>
      <c r="AX1412" s="1"/>
      <c r="AY1412" s="1" t="s">
        <v>14059</v>
      </c>
      <c r="AZ1412" s="1" t="s">
        <v>25146</v>
      </c>
      <c r="BA1412" s="1" t="s">
        <v>578</v>
      </c>
      <c r="BB1412" s="1" t="s">
        <v>467</v>
      </c>
      <c r="BC1412" s="1" t="s">
        <v>1267</v>
      </c>
      <c r="BD1412" s="1" t="s">
        <v>14514</v>
      </c>
      <c r="BE1412" s="1">
        <v>62.63</v>
      </c>
      <c r="BF1412" s="1"/>
      <c r="BG1412" s="1"/>
      <c r="BH1412" s="1"/>
      <c r="BI1412" s="1"/>
      <c r="BJ1412" s="1"/>
      <c r="BK1412" s="1"/>
      <c r="BL1412" s="1"/>
      <c r="BM1412" s="1"/>
      <c r="BN1412" s="1"/>
      <c r="BO1412" s="1" t="s">
        <v>25147</v>
      </c>
      <c r="BP1412" s="1"/>
      <c r="BQ1412" s="1"/>
      <c r="BR1412" s="1" t="s">
        <v>25148</v>
      </c>
      <c r="BS1412" s="1">
        <v>15</v>
      </c>
      <c r="BT1412" s="1" t="s">
        <v>25149</v>
      </c>
      <c r="BU1412" s="1" t="str">
        <f>HYPERLINK("https://nconnect.nicmar.ac.in/storage/profile/6a86df70911e6.png","Download")</f>
        <v>0</v>
      </c>
      <c r="BV1412" s="3"/>
      <c r="BW1412" s="3"/>
    </row>
    <row r="1413" spans="1:75">
      <c r="A1413" s="1" t="s">
        <v>75</v>
      </c>
      <c r="B1413" s="1" t="s">
        <v>13976</v>
      </c>
      <c r="C1413" s="1" t="s">
        <v>25150</v>
      </c>
      <c r="D1413" s="1" t="s">
        <v>25151</v>
      </c>
      <c r="E1413" s="1" t="s">
        <v>25152</v>
      </c>
      <c r="F1413" s="1" t="s">
        <v>4037</v>
      </c>
      <c r="G1413" s="1" t="s">
        <v>25153</v>
      </c>
      <c r="H1413" s="1" t="s">
        <v>25154</v>
      </c>
      <c r="I1413" s="1" t="s">
        <v>25154</v>
      </c>
      <c r="J1413" s="1">
        <v>8779363432</v>
      </c>
      <c r="K1413" s="1" t="s">
        <v>84</v>
      </c>
      <c r="L1413" s="1" t="s">
        <v>21097</v>
      </c>
      <c r="M1413" s="1" t="s">
        <v>86</v>
      </c>
      <c r="N1413" s="1" t="s">
        <v>25155</v>
      </c>
      <c r="O1413" s="1" t="s">
        <v>25156</v>
      </c>
      <c r="P1413" s="1" t="s">
        <v>89</v>
      </c>
      <c r="Q1413" s="1">
        <v>746917312238</v>
      </c>
      <c r="R1413" s="1" t="s">
        <v>25157</v>
      </c>
      <c r="S1413" s="1">
        <v>9146061736</v>
      </c>
      <c r="T1413" s="1" t="s">
        <v>3439</v>
      </c>
      <c r="U1413" s="1" t="s">
        <v>25158</v>
      </c>
      <c r="V1413" s="1">
        <v>8976148507</v>
      </c>
      <c r="W1413" s="1" t="s">
        <v>14154</v>
      </c>
      <c r="X1413" s="1" t="s">
        <v>25159</v>
      </c>
      <c r="Y1413" s="1" t="s">
        <v>1189</v>
      </c>
      <c r="Z1413" s="1" t="s">
        <v>97</v>
      </c>
      <c r="AA1413" s="1" t="s">
        <v>25159</v>
      </c>
      <c r="AB1413" s="1" t="s">
        <v>1189</v>
      </c>
      <c r="AC1413" s="1" t="s">
        <v>97</v>
      </c>
      <c r="AD1413" s="1" t="s">
        <v>98</v>
      </c>
      <c r="AE1413" s="1" t="s">
        <v>98</v>
      </c>
      <c r="AF1413" s="1" t="s">
        <v>25160</v>
      </c>
      <c r="AG1413" s="1" t="s">
        <v>97</v>
      </c>
      <c r="AH1413" s="1" t="s">
        <v>547</v>
      </c>
      <c r="AI1413" s="1" t="s">
        <v>178</v>
      </c>
      <c r="AJ1413" s="1">
        <v>88.33</v>
      </c>
      <c r="AK1413" s="1"/>
      <c r="AL1413" s="1" t="s">
        <v>25160</v>
      </c>
      <c r="AM1413" s="1" t="s">
        <v>97</v>
      </c>
      <c r="AN1413" s="1" t="s">
        <v>465</v>
      </c>
      <c r="AO1413" s="1" t="s">
        <v>847</v>
      </c>
      <c r="AP1413" s="1" t="s">
        <v>1400</v>
      </c>
      <c r="AQ1413" s="1">
        <v>84.6</v>
      </c>
      <c r="AR1413" s="1"/>
      <c r="AS1413" s="1"/>
      <c r="AT1413" s="1"/>
      <c r="AU1413" s="1"/>
      <c r="AV1413" s="1"/>
      <c r="AW1413" s="1"/>
      <c r="AX1413" s="1"/>
      <c r="AY1413" s="1" t="s">
        <v>16381</v>
      </c>
      <c r="AZ1413" s="1" t="s">
        <v>570</v>
      </c>
      <c r="BA1413" s="1" t="s">
        <v>466</v>
      </c>
      <c r="BB1413" s="1" t="s">
        <v>467</v>
      </c>
      <c r="BC1413" s="1" t="s">
        <v>1802</v>
      </c>
      <c r="BD1413" s="1" t="s">
        <v>9688</v>
      </c>
      <c r="BE1413" s="1">
        <v>87.9</v>
      </c>
      <c r="BF1413" s="1">
        <v>8.79</v>
      </c>
      <c r="BG1413" s="1"/>
      <c r="BH1413" s="1"/>
      <c r="BI1413" s="1"/>
      <c r="BJ1413" s="1"/>
      <c r="BK1413" s="1"/>
      <c r="BL1413" s="1"/>
      <c r="BM1413" s="1"/>
      <c r="BN1413" s="1"/>
      <c r="BO1413" s="1" t="s">
        <v>25161</v>
      </c>
      <c r="BP1413" s="1"/>
      <c r="BQ1413" s="1"/>
      <c r="BR1413" s="1"/>
      <c r="BS1413" s="1"/>
      <c r="BT1413" s="1"/>
      <c r="BU1413" s="1" t="str">
        <f>HYPERLINK("https://nconnect.nicmar.ac.in/storage/profile/6a85fffb795f2.png","Download")</f>
        <v>0</v>
      </c>
      <c r="BV1413" s="3"/>
      <c r="BW1413" s="3"/>
    </row>
    <row r="1414" spans="1:75">
      <c r="A1414" s="1" t="s">
        <v>75</v>
      </c>
      <c r="B1414" s="1" t="s">
        <v>13976</v>
      </c>
      <c r="C1414" s="1" t="s">
        <v>25162</v>
      </c>
      <c r="D1414" s="1" t="s">
        <v>15498</v>
      </c>
      <c r="E1414" s="1" t="s">
        <v>14268</v>
      </c>
      <c r="F1414" s="1" t="s">
        <v>25163</v>
      </c>
      <c r="G1414" s="1" t="s">
        <v>25164</v>
      </c>
      <c r="H1414" s="1" t="s">
        <v>25165</v>
      </c>
      <c r="I1414" s="1" t="s">
        <v>25165</v>
      </c>
      <c r="J1414" s="1">
        <v>8983496089</v>
      </c>
      <c r="K1414" s="1" t="s">
        <v>84</v>
      </c>
      <c r="L1414" s="1" t="s">
        <v>25166</v>
      </c>
      <c r="M1414" s="1" t="s">
        <v>86</v>
      </c>
      <c r="N1414" s="1" t="s">
        <v>6390</v>
      </c>
      <c r="O1414" s="1" t="s">
        <v>2175</v>
      </c>
      <c r="P1414" s="1" t="s">
        <v>89</v>
      </c>
      <c r="Q1414" s="1">
        <v>508513501992</v>
      </c>
      <c r="R1414" s="1" t="s">
        <v>25167</v>
      </c>
      <c r="S1414" s="1">
        <v>9773852677</v>
      </c>
      <c r="T1414" s="1" t="s">
        <v>25168</v>
      </c>
      <c r="U1414" s="1" t="s">
        <v>25169</v>
      </c>
      <c r="V1414" s="1">
        <v>9892757427</v>
      </c>
      <c r="W1414" s="1" t="s">
        <v>14212</v>
      </c>
      <c r="X1414" s="1" t="s">
        <v>25170</v>
      </c>
      <c r="Y1414" s="1" t="s">
        <v>4302</v>
      </c>
      <c r="Z1414" s="1" t="s">
        <v>97</v>
      </c>
      <c r="AA1414" s="1" t="s">
        <v>25170</v>
      </c>
      <c r="AB1414" s="1" t="s">
        <v>4302</v>
      </c>
      <c r="AC1414" s="1" t="s">
        <v>97</v>
      </c>
      <c r="AD1414" s="1" t="s">
        <v>98</v>
      </c>
      <c r="AE1414" s="1" t="s">
        <v>98</v>
      </c>
      <c r="AF1414" s="1"/>
      <c r="AG1414" s="1"/>
      <c r="AH1414" s="1"/>
      <c r="AI1414" s="1"/>
      <c r="AJ1414" s="1"/>
      <c r="AK1414" s="1"/>
      <c r="AL1414" s="1"/>
      <c r="AM1414" s="1"/>
      <c r="AN1414" s="1"/>
      <c r="AO1414" s="1"/>
      <c r="AP1414" s="1"/>
      <c r="AQ1414" s="1"/>
      <c r="AR1414" s="1"/>
      <c r="AS1414" s="1"/>
      <c r="AT1414" s="1"/>
      <c r="AU1414" s="1"/>
      <c r="AV1414" s="1"/>
      <c r="AW1414" s="1"/>
      <c r="AX1414" s="1"/>
      <c r="AY1414" s="1"/>
      <c r="AZ1414" s="1"/>
      <c r="BA1414" s="1"/>
      <c r="BB1414" s="1"/>
      <c r="BC1414" s="1"/>
      <c r="BD1414" s="1"/>
      <c r="BE1414" s="1"/>
      <c r="BF1414" s="1"/>
      <c r="BG1414" s="1"/>
      <c r="BH1414" s="1"/>
      <c r="BI1414" s="1"/>
      <c r="BJ1414" s="1"/>
      <c r="BK1414" s="1"/>
      <c r="BL1414" s="1"/>
      <c r="BM1414" s="1"/>
      <c r="BN1414" s="1"/>
      <c r="BO1414" s="1"/>
      <c r="BP1414" s="1"/>
      <c r="BQ1414" s="1"/>
      <c r="BR1414" s="1"/>
      <c r="BS1414" s="1"/>
      <c r="BT1414" s="1"/>
      <c r="BU1414" s="1" t="str">
        <f>HYPERLINK("https://nconnect.nicmar.ac.in/storage/profile/6a873da95f6c5.png","Download")</f>
        <v>0</v>
      </c>
      <c r="BV1414" s="3"/>
      <c r="BW1414" s="3"/>
    </row>
    <row r="1415" spans="1:75">
      <c r="A1415" s="1" t="s">
        <v>75</v>
      </c>
      <c r="B1415" s="1" t="s">
        <v>13976</v>
      </c>
      <c r="C1415" s="1" t="s">
        <v>25171</v>
      </c>
      <c r="D1415" s="1" t="s">
        <v>25172</v>
      </c>
      <c r="E1415" s="1" t="s">
        <v>25173</v>
      </c>
      <c r="F1415" s="1" t="s">
        <v>20988</v>
      </c>
      <c r="G1415" s="1" t="s">
        <v>25174</v>
      </c>
      <c r="H1415" s="1" t="s">
        <v>25175</v>
      </c>
      <c r="I1415" s="1" t="s">
        <v>25176</v>
      </c>
      <c r="J1415" s="1">
        <v>9322435749</v>
      </c>
      <c r="K1415" s="1" t="s">
        <v>84</v>
      </c>
      <c r="L1415" s="1" t="s">
        <v>13829</v>
      </c>
      <c r="M1415" s="1" t="s">
        <v>86</v>
      </c>
      <c r="N1415" s="1" t="s">
        <v>8520</v>
      </c>
      <c r="O1415" s="1" t="s">
        <v>88</v>
      </c>
      <c r="P1415" s="1" t="s">
        <v>122</v>
      </c>
      <c r="Q1415" s="1">
        <v>732527246147</v>
      </c>
      <c r="R1415" s="1" t="s">
        <v>20988</v>
      </c>
      <c r="S1415" s="1">
        <v>9423067391</v>
      </c>
      <c r="T1415" s="1" t="s">
        <v>3439</v>
      </c>
      <c r="U1415" s="1" t="s">
        <v>25177</v>
      </c>
      <c r="V1415" s="1">
        <v>7276726679</v>
      </c>
      <c r="W1415" s="1" t="s">
        <v>14154</v>
      </c>
      <c r="X1415" s="1" t="s">
        <v>25178</v>
      </c>
      <c r="Y1415" s="1" t="s">
        <v>163</v>
      </c>
      <c r="Z1415" s="1" t="s">
        <v>97</v>
      </c>
      <c r="AA1415" s="1" t="s">
        <v>25178</v>
      </c>
      <c r="AB1415" s="1" t="s">
        <v>163</v>
      </c>
      <c r="AC1415" s="1" t="s">
        <v>97</v>
      </c>
      <c r="AD1415" s="1" t="s">
        <v>98</v>
      </c>
      <c r="AE1415" s="1" t="s">
        <v>98</v>
      </c>
      <c r="AF1415" s="1" t="s">
        <v>25179</v>
      </c>
      <c r="AG1415" s="1" t="s">
        <v>14157</v>
      </c>
      <c r="AH1415" s="1" t="s">
        <v>315</v>
      </c>
      <c r="AI1415" s="1" t="s">
        <v>603</v>
      </c>
      <c r="AJ1415" s="1">
        <v>77.0</v>
      </c>
      <c r="AK1415" s="1">
        <v>0</v>
      </c>
      <c r="AL1415" s="1"/>
      <c r="AM1415" s="1"/>
      <c r="AN1415" s="1"/>
      <c r="AO1415" s="1"/>
      <c r="AP1415" s="1"/>
      <c r="AQ1415" s="1"/>
      <c r="AR1415" s="1"/>
      <c r="AS1415" s="1" t="s">
        <v>14377</v>
      </c>
      <c r="AT1415" s="1" t="s">
        <v>25180</v>
      </c>
      <c r="AU1415" s="1" t="s">
        <v>110</v>
      </c>
      <c r="AV1415" s="1" t="s">
        <v>234</v>
      </c>
      <c r="AW1415" s="1">
        <v>75.0</v>
      </c>
      <c r="AX1415" s="1"/>
      <c r="AY1415" s="1" t="s">
        <v>25181</v>
      </c>
      <c r="AZ1415" s="1" t="s">
        <v>25182</v>
      </c>
      <c r="BA1415" s="1" t="s">
        <v>466</v>
      </c>
      <c r="BB1415" s="1" t="s">
        <v>467</v>
      </c>
      <c r="BC1415" s="1" t="s">
        <v>5340</v>
      </c>
      <c r="BD1415" s="1" t="s">
        <v>14494</v>
      </c>
      <c r="BE1415" s="1">
        <v>64.47</v>
      </c>
      <c r="BF1415" s="1">
        <v>6.95</v>
      </c>
      <c r="BG1415" s="1"/>
      <c r="BH1415" s="1"/>
      <c r="BI1415" s="1"/>
      <c r="BJ1415" s="1"/>
      <c r="BK1415" s="1"/>
      <c r="BL1415" s="1"/>
      <c r="BM1415" s="1"/>
      <c r="BN1415" s="1"/>
      <c r="BO1415" s="1" t="s">
        <v>14382</v>
      </c>
      <c r="BP1415" s="1"/>
      <c r="BQ1415" s="1"/>
      <c r="BR1415" s="1"/>
      <c r="BS1415" s="1"/>
      <c r="BT1415" s="1"/>
      <c r="BU1415" s="1" t="str">
        <f>HYPERLINK("https://nconnect.nicmar.ac.in/storage/profile/6a867062dc845.png","Download")</f>
        <v>0</v>
      </c>
      <c r="BV1415" s="3"/>
      <c r="BW1415" s="3"/>
    </row>
    <row r="1416" spans="1:75">
      <c r="A1416" s="1" t="s">
        <v>75</v>
      </c>
      <c r="B1416" s="1" t="s">
        <v>13976</v>
      </c>
      <c r="C1416" s="1" t="s">
        <v>25183</v>
      </c>
      <c r="D1416" s="1" t="s">
        <v>1669</v>
      </c>
      <c r="E1416" s="1" t="s">
        <v>5482</v>
      </c>
      <c r="F1416" s="1" t="s">
        <v>25184</v>
      </c>
      <c r="G1416" s="1" t="s">
        <v>25185</v>
      </c>
      <c r="H1416" s="1" t="s">
        <v>25186</v>
      </c>
      <c r="I1416" s="1" t="s">
        <v>25186</v>
      </c>
      <c r="J1416" s="1">
        <v>8904285835</v>
      </c>
      <c r="K1416" s="1" t="s">
        <v>84</v>
      </c>
      <c r="L1416" s="1" t="s">
        <v>25187</v>
      </c>
      <c r="M1416" s="1" t="s">
        <v>86</v>
      </c>
      <c r="N1416" s="1" t="s">
        <v>25188</v>
      </c>
      <c r="O1416" s="1" t="s">
        <v>25189</v>
      </c>
      <c r="P1416" s="1" t="s">
        <v>89</v>
      </c>
      <c r="Q1416" s="1">
        <v>583409611793</v>
      </c>
      <c r="R1416" s="1" t="s">
        <v>25190</v>
      </c>
      <c r="S1416" s="1">
        <v>9845069950</v>
      </c>
      <c r="T1416" s="1" t="s">
        <v>5967</v>
      </c>
      <c r="U1416" s="1" t="s">
        <v>25191</v>
      </c>
      <c r="V1416" s="1">
        <v>9901414166</v>
      </c>
      <c r="W1416" s="1" t="s">
        <v>541</v>
      </c>
      <c r="X1416" s="1" t="s">
        <v>25192</v>
      </c>
      <c r="Y1416" s="1" t="s">
        <v>3132</v>
      </c>
      <c r="Z1416" s="1" t="s">
        <v>1210</v>
      </c>
      <c r="AA1416" s="1" t="s">
        <v>25192</v>
      </c>
      <c r="AB1416" s="1" t="s">
        <v>3132</v>
      </c>
      <c r="AC1416" s="1" t="s">
        <v>1210</v>
      </c>
      <c r="AD1416" s="1" t="s">
        <v>98</v>
      </c>
      <c r="AE1416" s="1" t="s">
        <v>98</v>
      </c>
      <c r="AF1416" s="1" t="s">
        <v>25193</v>
      </c>
      <c r="AG1416" s="1" t="s">
        <v>25194</v>
      </c>
      <c r="AH1416" s="1" t="s">
        <v>136</v>
      </c>
      <c r="AI1416" s="1" t="s">
        <v>284</v>
      </c>
      <c r="AJ1416" s="1">
        <v>89.75</v>
      </c>
      <c r="AK1416" s="1"/>
      <c r="AL1416" s="1" t="s">
        <v>25195</v>
      </c>
      <c r="AM1416" s="1" t="s">
        <v>3732</v>
      </c>
      <c r="AN1416" s="1" t="s">
        <v>465</v>
      </c>
      <c r="AO1416" s="1" t="s">
        <v>1396</v>
      </c>
      <c r="AP1416" s="1" t="s">
        <v>286</v>
      </c>
      <c r="AQ1416" s="1">
        <v>73.83</v>
      </c>
      <c r="AR1416" s="1"/>
      <c r="AS1416" s="1"/>
      <c r="AT1416" s="1"/>
      <c r="AU1416" s="1"/>
      <c r="AV1416" s="1"/>
      <c r="AW1416" s="1"/>
      <c r="AX1416" s="1"/>
      <c r="AY1416" s="1" t="s">
        <v>1217</v>
      </c>
      <c r="AZ1416" s="1" t="s">
        <v>25196</v>
      </c>
      <c r="BA1416" s="1" t="s">
        <v>578</v>
      </c>
      <c r="BB1416" s="1" t="s">
        <v>467</v>
      </c>
      <c r="BC1416" s="1" t="s">
        <v>1065</v>
      </c>
      <c r="BD1416" s="1" t="s">
        <v>1400</v>
      </c>
      <c r="BE1416" s="1">
        <v>67.5</v>
      </c>
      <c r="BF1416" s="1">
        <v>7.45</v>
      </c>
      <c r="BG1416" s="1"/>
      <c r="BH1416" s="1"/>
      <c r="BI1416" s="1"/>
      <c r="BJ1416" s="1"/>
      <c r="BK1416" s="1"/>
      <c r="BL1416" s="1"/>
      <c r="BM1416" s="1"/>
      <c r="BN1416" s="1"/>
      <c r="BO1416" s="1" t="s">
        <v>25197</v>
      </c>
      <c r="BP1416" s="1" t="s">
        <v>25198</v>
      </c>
      <c r="BQ1416" s="1" t="s">
        <v>2462</v>
      </c>
      <c r="BR1416" s="1"/>
      <c r="BS1416" s="1"/>
      <c r="BT1416" s="1"/>
      <c r="BU1416" s="1" t="str">
        <f>HYPERLINK("https://nconnect.nicmar.ac.in/storage/profile/6a8709b80e5cb.png","Download")</f>
        <v>0</v>
      </c>
      <c r="BV1416" s="3"/>
      <c r="BW1416" s="3"/>
    </row>
    <row r="1417" spans="1:75">
      <c r="A1417" s="1" t="s">
        <v>75</v>
      </c>
      <c r="B1417" s="1" t="s">
        <v>13976</v>
      </c>
      <c r="C1417" s="1" t="s">
        <v>25199</v>
      </c>
      <c r="D1417" s="1"/>
      <c r="E1417" s="1"/>
      <c r="F1417" s="1"/>
      <c r="G1417" s="1"/>
      <c r="H1417" s="1" t="s">
        <v>25200</v>
      </c>
      <c r="I1417" s="1" t="s">
        <v>25200</v>
      </c>
      <c r="J1417" s="1"/>
      <c r="K1417" s="1"/>
      <c r="L1417" s="1"/>
      <c r="M1417" s="1"/>
      <c r="N1417" s="1"/>
      <c r="O1417" s="1"/>
      <c r="P1417" s="1"/>
      <c r="Q1417" s="1"/>
      <c r="R1417" s="1"/>
      <c r="S1417" s="1"/>
      <c r="T1417" s="1"/>
      <c r="U1417" s="1"/>
      <c r="V1417" s="1"/>
      <c r="W1417" s="1"/>
      <c r="X1417" s="1"/>
      <c r="Y1417" s="1"/>
      <c r="Z1417" s="1"/>
      <c r="AA1417" s="1"/>
      <c r="AB1417" s="1"/>
      <c r="AC1417" s="1"/>
      <c r="AD1417" s="1" t="s">
        <v>98</v>
      </c>
      <c r="AE1417" s="1" t="s">
        <v>98</v>
      </c>
      <c r="AF1417" s="1"/>
      <c r="AG1417" s="1"/>
      <c r="AH1417" s="1"/>
      <c r="AI1417" s="1"/>
      <c r="AJ1417" s="1"/>
      <c r="AK1417" s="1"/>
      <c r="AL1417" s="1"/>
      <c r="AM1417" s="1"/>
      <c r="AN1417" s="1"/>
      <c r="AO1417" s="1"/>
      <c r="AP1417" s="1"/>
      <c r="AQ1417" s="1"/>
      <c r="AR1417" s="1"/>
      <c r="AS1417" s="1"/>
      <c r="AT1417" s="1"/>
      <c r="AU1417" s="1"/>
      <c r="AV1417" s="1"/>
      <c r="AW1417" s="1"/>
      <c r="AX1417" s="1"/>
      <c r="AY1417" s="1"/>
      <c r="AZ1417" s="1"/>
      <c r="BA1417" s="1"/>
      <c r="BB1417" s="1"/>
      <c r="BC1417" s="1"/>
      <c r="BD1417" s="1"/>
      <c r="BE1417" s="1"/>
      <c r="BF1417" s="1"/>
      <c r="BG1417" s="1"/>
      <c r="BH1417" s="1"/>
      <c r="BI1417" s="1"/>
      <c r="BJ1417" s="1"/>
      <c r="BK1417" s="1"/>
      <c r="BL1417" s="1"/>
      <c r="BM1417" s="1"/>
      <c r="BN1417" s="1"/>
      <c r="BO1417" s="1"/>
      <c r="BP1417" s="1"/>
      <c r="BQ1417" s="1"/>
      <c r="BR1417" s="1"/>
      <c r="BS1417" s="1"/>
      <c r="BT1417" s="1"/>
      <c r="BU1417" s="1" t="s">
        <v>9653</v>
      </c>
      <c r="BV1417" s="3"/>
      <c r="BW1417" s="3"/>
    </row>
    <row r="1418" spans="1:75">
      <c r="A1418" s="1" t="s">
        <v>75</v>
      </c>
      <c r="B1418" s="1" t="s">
        <v>13976</v>
      </c>
      <c r="C1418" s="1" t="s">
        <v>25201</v>
      </c>
      <c r="D1418" s="1" t="s">
        <v>25202</v>
      </c>
      <c r="E1418" s="1" t="s">
        <v>18390</v>
      </c>
      <c r="F1418" s="1" t="s">
        <v>25203</v>
      </c>
      <c r="G1418" s="1" t="s">
        <v>25204</v>
      </c>
      <c r="H1418" s="1" t="s">
        <v>25205</v>
      </c>
      <c r="I1418" s="1" t="s">
        <v>25206</v>
      </c>
      <c r="J1418" s="1">
        <v>8551921332</v>
      </c>
      <c r="K1418" s="1" t="s">
        <v>84</v>
      </c>
      <c r="L1418" s="1" t="s">
        <v>5213</v>
      </c>
      <c r="M1418" s="1" t="s">
        <v>86</v>
      </c>
      <c r="N1418" s="1" t="s">
        <v>23620</v>
      </c>
      <c r="O1418" s="1" t="s">
        <v>25207</v>
      </c>
      <c r="P1418" s="1" t="s">
        <v>122</v>
      </c>
      <c r="Q1418" s="1">
        <v>772462807692</v>
      </c>
      <c r="R1418" s="1" t="s">
        <v>25208</v>
      </c>
      <c r="S1418" s="1">
        <v>9890763921</v>
      </c>
      <c r="T1418" s="1" t="s">
        <v>25209</v>
      </c>
      <c r="U1418" s="1" t="s">
        <v>25210</v>
      </c>
      <c r="V1418" s="1">
        <v>9960864211</v>
      </c>
      <c r="W1418" s="1" t="s">
        <v>14154</v>
      </c>
      <c r="X1418" s="1" t="s">
        <v>25211</v>
      </c>
      <c r="Y1418" s="1" t="s">
        <v>384</v>
      </c>
      <c r="Z1418" s="1" t="s">
        <v>97</v>
      </c>
      <c r="AA1418" s="1" t="s">
        <v>25211</v>
      </c>
      <c r="AB1418" s="1" t="s">
        <v>384</v>
      </c>
      <c r="AC1418" s="1" t="s">
        <v>97</v>
      </c>
      <c r="AD1418" s="1" t="s">
        <v>98</v>
      </c>
      <c r="AE1418" s="1" t="s">
        <v>98</v>
      </c>
      <c r="AF1418" s="1" t="s">
        <v>25212</v>
      </c>
      <c r="AG1418" s="1" t="s">
        <v>25213</v>
      </c>
      <c r="AH1418" s="1" t="s">
        <v>3112</v>
      </c>
      <c r="AI1418" s="1" t="s">
        <v>200</v>
      </c>
      <c r="AJ1418" s="1">
        <v>77.8</v>
      </c>
      <c r="AK1418" s="1"/>
      <c r="AL1418" s="1" t="s">
        <v>25214</v>
      </c>
      <c r="AM1418" s="1" t="s">
        <v>25215</v>
      </c>
      <c r="AN1418" s="1" t="s">
        <v>575</v>
      </c>
      <c r="AO1418" s="1" t="s">
        <v>106</v>
      </c>
      <c r="AP1418" s="1" t="s">
        <v>603</v>
      </c>
      <c r="AQ1418" s="1">
        <v>70.15</v>
      </c>
      <c r="AR1418" s="1"/>
      <c r="AS1418" s="1"/>
      <c r="AT1418" s="1"/>
      <c r="AU1418" s="1"/>
      <c r="AV1418" s="1"/>
      <c r="AW1418" s="1"/>
      <c r="AX1418" s="1"/>
      <c r="AY1418" s="1" t="s">
        <v>19550</v>
      </c>
      <c r="AZ1418" s="1" t="s">
        <v>25216</v>
      </c>
      <c r="BA1418" s="1" t="s">
        <v>682</v>
      </c>
      <c r="BB1418" s="1" t="s">
        <v>1561</v>
      </c>
      <c r="BC1418" s="1" t="s">
        <v>178</v>
      </c>
      <c r="BD1418" s="1" t="s">
        <v>848</v>
      </c>
      <c r="BE1418" s="1">
        <v>86.83</v>
      </c>
      <c r="BF1418" s="1">
        <v>9.14</v>
      </c>
      <c r="BG1418" s="1"/>
      <c r="BH1418" s="1"/>
      <c r="BI1418" s="1"/>
      <c r="BJ1418" s="1"/>
      <c r="BK1418" s="1"/>
      <c r="BL1418" s="1"/>
      <c r="BM1418" s="1"/>
      <c r="BN1418" s="1"/>
      <c r="BO1418" s="1" t="s">
        <v>25217</v>
      </c>
      <c r="BP1418" s="1" t="s">
        <v>25218</v>
      </c>
      <c r="BQ1418" s="1" t="s">
        <v>1070</v>
      </c>
      <c r="BR1418" s="1"/>
      <c r="BS1418" s="1"/>
      <c r="BT1418" s="1" t="s">
        <v>25219</v>
      </c>
      <c r="BU1418" s="1" t="str">
        <f>HYPERLINK("https://nconnect.nicmar.ac.in/storage/profile/6a8734ad1e05e.png","Download")</f>
        <v>0</v>
      </c>
      <c r="BV1418" s="3"/>
      <c r="BW1418" s="3"/>
    </row>
    <row r="1419" spans="1:75">
      <c r="A1419" s="1" t="s">
        <v>75</v>
      </c>
      <c r="B1419" s="1" t="s">
        <v>13976</v>
      </c>
      <c r="C1419" s="1" t="s">
        <v>25220</v>
      </c>
      <c r="D1419" s="1" t="s">
        <v>25221</v>
      </c>
      <c r="E1419" s="1" t="s">
        <v>25222</v>
      </c>
      <c r="F1419" s="1" t="s">
        <v>25223</v>
      </c>
      <c r="G1419" s="1" t="s">
        <v>25224</v>
      </c>
      <c r="H1419" s="1" t="s">
        <v>25225</v>
      </c>
      <c r="I1419" s="1" t="s">
        <v>25225</v>
      </c>
      <c r="J1419" s="1">
        <v>9747317292</v>
      </c>
      <c r="K1419" s="1" t="s">
        <v>153</v>
      </c>
      <c r="L1419" s="1" t="s">
        <v>19665</v>
      </c>
      <c r="M1419" s="1" t="s">
        <v>86</v>
      </c>
      <c r="N1419" s="1" t="s">
        <v>25226</v>
      </c>
      <c r="O1419" s="1" t="s">
        <v>19967</v>
      </c>
      <c r="P1419" s="1" t="s">
        <v>219</v>
      </c>
      <c r="Q1419" s="1">
        <v>251807597841</v>
      </c>
      <c r="R1419" s="1" t="s">
        <v>25227</v>
      </c>
      <c r="S1419" s="1">
        <v>6235317292</v>
      </c>
      <c r="T1419" s="1" t="s">
        <v>15965</v>
      </c>
      <c r="U1419" s="1" t="s">
        <v>25228</v>
      </c>
      <c r="V1419" s="1">
        <v>6235317292</v>
      </c>
      <c r="W1419" s="1" t="s">
        <v>16062</v>
      </c>
      <c r="X1419" s="1" t="s">
        <v>25229</v>
      </c>
      <c r="Y1419" s="1" t="s">
        <v>2526</v>
      </c>
      <c r="Z1419" s="1" t="s">
        <v>130</v>
      </c>
      <c r="AA1419" s="1" t="s">
        <v>25230</v>
      </c>
      <c r="AB1419" s="1" t="s">
        <v>2526</v>
      </c>
      <c r="AC1419" s="1" t="s">
        <v>130</v>
      </c>
      <c r="AD1419" s="1" t="s">
        <v>98</v>
      </c>
      <c r="AE1419" s="1" t="s">
        <v>98</v>
      </c>
      <c r="AF1419" s="1" t="s">
        <v>25231</v>
      </c>
      <c r="AG1419" s="1" t="s">
        <v>25232</v>
      </c>
      <c r="AH1419" s="1" t="s">
        <v>573</v>
      </c>
      <c r="AI1419" s="1" t="s">
        <v>171</v>
      </c>
      <c r="AJ1419" s="1">
        <v>86</v>
      </c>
      <c r="AK1419" s="1"/>
      <c r="AL1419" s="1" t="s">
        <v>25231</v>
      </c>
      <c r="AM1419" s="1" t="s">
        <v>25232</v>
      </c>
      <c r="AN1419" s="1" t="s">
        <v>575</v>
      </c>
      <c r="AO1419" s="1" t="s">
        <v>315</v>
      </c>
      <c r="AP1419" s="1" t="s">
        <v>178</v>
      </c>
      <c r="AQ1419" s="1">
        <v>93.6</v>
      </c>
      <c r="AR1419" s="1"/>
      <c r="AS1419" s="1"/>
      <c r="AT1419" s="1"/>
      <c r="AU1419" s="1"/>
      <c r="AV1419" s="1"/>
      <c r="AW1419" s="1"/>
      <c r="AX1419" s="1"/>
      <c r="AY1419" s="1" t="s">
        <v>25233</v>
      </c>
      <c r="AZ1419" s="1" t="s">
        <v>25234</v>
      </c>
      <c r="BA1419" s="1" t="s">
        <v>682</v>
      </c>
      <c r="BB1419" s="1" t="s">
        <v>683</v>
      </c>
      <c r="BC1419" s="1" t="s">
        <v>13749</v>
      </c>
      <c r="BD1419" s="1" t="s">
        <v>178</v>
      </c>
      <c r="BE1419" s="1">
        <v>50</v>
      </c>
      <c r="BF1419" s="1">
        <v>7.07</v>
      </c>
      <c r="BG1419" s="1"/>
      <c r="BH1419" s="1"/>
      <c r="BI1419" s="1"/>
      <c r="BJ1419" s="1"/>
      <c r="BK1419" s="1"/>
      <c r="BL1419" s="1"/>
      <c r="BM1419" s="1"/>
      <c r="BN1419" s="1"/>
      <c r="BO1419" s="1" t="s">
        <v>25235</v>
      </c>
      <c r="BP1419" s="1"/>
      <c r="BQ1419" s="1"/>
      <c r="BR1419" s="1"/>
      <c r="BS1419" s="1"/>
      <c r="BT1419" s="1"/>
      <c r="BU1419" s="1" t="str">
        <f>HYPERLINK("https://nconnect.nicmar.ac.in/storage/profile/6a86dc6a42dc2.png","Download")</f>
        <v>0</v>
      </c>
      <c r="BV1419" s="3"/>
      <c r="BW1419" s="3"/>
    </row>
    <row r="1420" spans="1:75">
      <c r="A1420" s="1" t="s">
        <v>75</v>
      </c>
      <c r="B1420" s="1" t="s">
        <v>25236</v>
      </c>
      <c r="C1420" s="1" t="s">
        <v>25237</v>
      </c>
      <c r="D1420" s="1" t="s">
        <v>25238</v>
      </c>
      <c r="E1420" s="1"/>
      <c r="F1420" s="1" t="s">
        <v>25239</v>
      </c>
      <c r="G1420" s="1" t="s">
        <v>25240</v>
      </c>
      <c r="H1420" s="1" t="s">
        <v>25241</v>
      </c>
      <c r="I1420" s="1" t="s">
        <v>25242</v>
      </c>
      <c r="J1420" s="1">
        <v>9497390350</v>
      </c>
      <c r="K1420" s="1" t="s">
        <v>84</v>
      </c>
      <c r="L1420" s="1" t="s">
        <v>25243</v>
      </c>
      <c r="M1420" s="1" t="s">
        <v>86</v>
      </c>
      <c r="N1420" s="1" t="s">
        <v>25244</v>
      </c>
      <c r="O1420" s="1" t="s">
        <v>25245</v>
      </c>
      <c r="P1420" s="1" t="s">
        <v>455</v>
      </c>
      <c r="Q1420" s="1" t="s">
        <v>25246</v>
      </c>
      <c r="R1420" s="1" t="s">
        <v>25247</v>
      </c>
      <c r="S1420" s="1">
        <v>9447838350</v>
      </c>
      <c r="T1420" s="1" t="s">
        <v>6019</v>
      </c>
      <c r="U1420" s="1" t="s">
        <v>25248</v>
      </c>
      <c r="V1420" s="1">
        <v>9544047410</v>
      </c>
      <c r="W1420" s="1" t="s">
        <v>2375</v>
      </c>
      <c r="X1420" s="1" t="s">
        <v>25249</v>
      </c>
      <c r="Y1420" s="1" t="s">
        <v>4916</v>
      </c>
      <c r="Z1420" s="1" t="s">
        <v>130</v>
      </c>
      <c r="AA1420" s="1" t="s">
        <v>25249</v>
      </c>
      <c r="AB1420" s="1" t="s">
        <v>4916</v>
      </c>
      <c r="AC1420" s="1" t="s">
        <v>130</v>
      </c>
      <c r="AD1420" s="1" t="s">
        <v>98</v>
      </c>
      <c r="AE1420" s="1" t="s">
        <v>98</v>
      </c>
      <c r="AF1420" s="1" t="s">
        <v>25250</v>
      </c>
      <c r="AG1420" s="1" t="s">
        <v>312</v>
      </c>
      <c r="AH1420" s="1" t="s">
        <v>3285</v>
      </c>
      <c r="AI1420" s="1" t="s">
        <v>3965</v>
      </c>
      <c r="AJ1420" s="1">
        <v>77.9</v>
      </c>
      <c r="AK1420" s="1">
        <v>8.2</v>
      </c>
      <c r="AL1420" s="1" t="s">
        <v>25250</v>
      </c>
      <c r="AM1420" s="1" t="s">
        <v>312</v>
      </c>
      <c r="AN1420" s="1"/>
      <c r="AO1420" s="1" t="s">
        <v>101</v>
      </c>
      <c r="AP1420" s="1" t="s">
        <v>102</v>
      </c>
      <c r="AQ1420" s="1">
        <v>72</v>
      </c>
      <c r="AR1420" s="1"/>
      <c r="AS1420" s="1"/>
      <c r="AT1420" s="1"/>
      <c r="AU1420" s="1"/>
      <c r="AV1420" s="1"/>
      <c r="AW1420" s="1"/>
      <c r="AX1420" s="1"/>
      <c r="AY1420" s="1" t="s">
        <v>137</v>
      </c>
      <c r="AZ1420" s="1" t="s">
        <v>7681</v>
      </c>
      <c r="BA1420" s="1"/>
      <c r="BB1420" s="1"/>
      <c r="BC1420" s="1" t="s">
        <v>166</v>
      </c>
      <c r="BD1420" s="1" t="s">
        <v>233</v>
      </c>
      <c r="BE1420" s="1">
        <v>63.9</v>
      </c>
      <c r="BF1420" s="1">
        <v>6.39</v>
      </c>
      <c r="BG1420" s="1"/>
      <c r="BH1420" s="1"/>
      <c r="BI1420" s="1"/>
      <c r="BJ1420" s="1"/>
      <c r="BK1420" s="1"/>
      <c r="BL1420" s="1"/>
      <c r="BM1420" s="1"/>
      <c r="BN1420" s="1"/>
      <c r="BO1420" s="1" t="s">
        <v>25251</v>
      </c>
      <c r="BP1420" s="1" t="s">
        <v>25252</v>
      </c>
      <c r="BQ1420" s="1" t="s">
        <v>1357</v>
      </c>
      <c r="BR1420" s="1" t="s">
        <v>25253</v>
      </c>
      <c r="BS1420" s="1">
        <v>68</v>
      </c>
      <c r="BT1420" s="1"/>
      <c r="BU1420" s="1" t="str">
        <f>HYPERLINK("https://nconnect.nicmar.ac.in/storage/profile/ProfilePhoto_p2270001_681243.jpg","Download")</f>
        <v>0</v>
      </c>
      <c r="BV1420" s="3"/>
      <c r="BW1420" s="3"/>
    </row>
    <row r="1421" spans="1:75">
      <c r="A1421" s="1" t="s">
        <v>75</v>
      </c>
      <c r="B1421" s="1" t="s">
        <v>25236</v>
      </c>
      <c r="C1421" s="1" t="s">
        <v>25254</v>
      </c>
      <c r="D1421" s="1" t="s">
        <v>8156</v>
      </c>
      <c r="E1421" s="1" t="s">
        <v>1361</v>
      </c>
      <c r="F1421" s="1" t="s">
        <v>4019</v>
      </c>
      <c r="G1421" s="1" t="s">
        <v>25255</v>
      </c>
      <c r="H1421" s="1" t="s">
        <v>25256</v>
      </c>
      <c r="I1421" s="1" t="s">
        <v>25257</v>
      </c>
      <c r="J1421" s="1">
        <v>7575056718</v>
      </c>
      <c r="K1421" s="1" t="s">
        <v>84</v>
      </c>
      <c r="L1421" s="1" t="s">
        <v>25258</v>
      </c>
      <c r="M1421" s="1" t="s">
        <v>86</v>
      </c>
      <c r="N1421" s="1" t="s">
        <v>7185</v>
      </c>
      <c r="O1421" s="1"/>
      <c r="P1421" s="1" t="s">
        <v>481</v>
      </c>
      <c r="Q1421" s="1" t="s">
        <v>25259</v>
      </c>
      <c r="R1421" s="1" t="s">
        <v>25260</v>
      </c>
      <c r="S1421" s="1">
        <v>7575066718</v>
      </c>
      <c r="T1421" s="1" t="s">
        <v>25261</v>
      </c>
      <c r="U1421" s="1" t="s">
        <v>25262</v>
      </c>
      <c r="V1421" s="1">
        <v>9727646981</v>
      </c>
      <c r="W1421" s="1" t="s">
        <v>278</v>
      </c>
      <c r="X1421" s="1" t="s">
        <v>25263</v>
      </c>
      <c r="Y1421" s="1" t="s">
        <v>5138</v>
      </c>
      <c r="Z1421" s="1" t="s">
        <v>676</v>
      </c>
      <c r="AA1421" s="1" t="s">
        <v>25263</v>
      </c>
      <c r="AB1421" s="1" t="s">
        <v>5138</v>
      </c>
      <c r="AC1421" s="1" t="s">
        <v>676</v>
      </c>
      <c r="AD1421" s="1" t="s">
        <v>98</v>
      </c>
      <c r="AE1421" s="1" t="s">
        <v>98</v>
      </c>
      <c r="AF1421" s="1" t="s">
        <v>25264</v>
      </c>
      <c r="AG1421" s="1" t="s">
        <v>25265</v>
      </c>
      <c r="AH1421" s="1" t="s">
        <v>102</v>
      </c>
      <c r="AI1421" s="1" t="s">
        <v>1111</v>
      </c>
      <c r="AJ1421" s="1">
        <v>93</v>
      </c>
      <c r="AK1421" s="1">
        <v>0</v>
      </c>
      <c r="AL1421" s="1" t="s">
        <v>25264</v>
      </c>
      <c r="AM1421" s="1" t="s">
        <v>25265</v>
      </c>
      <c r="AN1421" s="1"/>
      <c r="AO1421" s="1" t="s">
        <v>170</v>
      </c>
      <c r="AP1421" s="1" t="s">
        <v>171</v>
      </c>
      <c r="AQ1421" s="1">
        <v>74</v>
      </c>
      <c r="AR1421" s="1">
        <v>0</v>
      </c>
      <c r="AS1421" s="1"/>
      <c r="AT1421" s="1"/>
      <c r="AU1421" s="1"/>
      <c r="AV1421" s="1"/>
      <c r="AW1421" s="1"/>
      <c r="AX1421" s="1"/>
      <c r="AY1421" s="1" t="s">
        <v>25266</v>
      </c>
      <c r="AZ1421" s="1" t="s">
        <v>25267</v>
      </c>
      <c r="BA1421" s="1"/>
      <c r="BB1421" s="1"/>
      <c r="BC1421" s="1" t="s">
        <v>17163</v>
      </c>
      <c r="BD1421" s="1" t="s">
        <v>632</v>
      </c>
      <c r="BE1421" s="1">
        <v>89.9</v>
      </c>
      <c r="BF1421" s="1">
        <v>9.49</v>
      </c>
      <c r="BG1421" s="1"/>
      <c r="BH1421" s="1"/>
      <c r="BI1421" s="1"/>
      <c r="BJ1421" s="1"/>
      <c r="BK1421" s="1"/>
      <c r="BL1421" s="1"/>
      <c r="BM1421" s="1"/>
      <c r="BN1421" s="1"/>
      <c r="BO1421" s="1" t="s">
        <v>369</v>
      </c>
      <c r="BP1421" s="1"/>
      <c r="BQ1421" s="1"/>
      <c r="BR1421" s="1" t="s">
        <v>25268</v>
      </c>
      <c r="BS1421" s="1">
        <v>27</v>
      </c>
      <c r="BT1421" s="1"/>
      <c r="BU1421" s="1" t="str">
        <f>HYPERLINK("https://nconnect.nicmar.ac.in/storage/profile/ProfilePhoto_p2270002_632895.jpg","Download")</f>
        <v>0</v>
      </c>
      <c r="BV1421" s="3"/>
      <c r="BW1421" s="3"/>
    </row>
    <row r="1422" spans="1:75">
      <c r="A1422" s="1" t="s">
        <v>75</v>
      </c>
      <c r="B1422" s="1" t="s">
        <v>25236</v>
      </c>
      <c r="C1422" s="1" t="s">
        <v>25269</v>
      </c>
      <c r="D1422" s="1" t="s">
        <v>25270</v>
      </c>
      <c r="E1422" s="1" t="s">
        <v>4625</v>
      </c>
      <c r="F1422" s="1" t="s">
        <v>3271</v>
      </c>
      <c r="G1422" s="1" t="s">
        <v>25271</v>
      </c>
      <c r="H1422" s="1" t="s">
        <v>25272</v>
      </c>
      <c r="I1422" s="1" t="s">
        <v>25273</v>
      </c>
      <c r="J1422" s="1">
        <v>8378907447</v>
      </c>
      <c r="K1422" s="1" t="s">
        <v>84</v>
      </c>
      <c r="L1422" s="1" t="s">
        <v>25274</v>
      </c>
      <c r="M1422" s="1" t="s">
        <v>86</v>
      </c>
      <c r="N1422" s="1" t="s">
        <v>25275</v>
      </c>
      <c r="O1422" s="1"/>
      <c r="P1422" s="1" t="s">
        <v>455</v>
      </c>
      <c r="Q1422" s="1" t="s">
        <v>25276</v>
      </c>
      <c r="R1422" s="1" t="s">
        <v>25277</v>
      </c>
      <c r="S1422" s="1">
        <v>9422191771</v>
      </c>
      <c r="T1422" s="1" t="s">
        <v>839</v>
      </c>
      <c r="U1422" s="1" t="s">
        <v>25278</v>
      </c>
      <c r="V1422" s="1">
        <v>9922542432</v>
      </c>
      <c r="W1422" s="1" t="s">
        <v>161</v>
      </c>
      <c r="X1422" s="1" t="s">
        <v>25279</v>
      </c>
      <c r="Y1422" s="1" t="s">
        <v>624</v>
      </c>
      <c r="Z1422" s="1" t="s">
        <v>97</v>
      </c>
      <c r="AA1422" s="1" t="s">
        <v>25279</v>
      </c>
      <c r="AB1422" s="1" t="s">
        <v>624</v>
      </c>
      <c r="AC1422" s="1" t="s">
        <v>97</v>
      </c>
      <c r="AD1422" s="1" t="s">
        <v>98</v>
      </c>
      <c r="AE1422" s="1" t="s">
        <v>98</v>
      </c>
      <c r="AF1422" s="1" t="s">
        <v>25280</v>
      </c>
      <c r="AG1422" s="1" t="s">
        <v>25281</v>
      </c>
      <c r="AH1422" s="1" t="s">
        <v>1262</v>
      </c>
      <c r="AI1422" s="1" t="s">
        <v>136</v>
      </c>
      <c r="AJ1422" s="1">
        <v>72.2</v>
      </c>
      <c r="AK1422" s="1">
        <v>7.6</v>
      </c>
      <c r="AL1422" s="1" t="s">
        <v>5459</v>
      </c>
      <c r="AM1422" s="1" t="s">
        <v>25281</v>
      </c>
      <c r="AN1422" s="1"/>
      <c r="AO1422" s="1" t="s">
        <v>627</v>
      </c>
      <c r="AP1422" s="1" t="s">
        <v>573</v>
      </c>
      <c r="AQ1422" s="1">
        <v>58.31</v>
      </c>
      <c r="AR1422" s="1">
        <v>0</v>
      </c>
      <c r="AS1422" s="1"/>
      <c r="AT1422" s="1"/>
      <c r="AU1422" s="1"/>
      <c r="AV1422" s="1"/>
      <c r="AW1422" s="1"/>
      <c r="AX1422" s="1"/>
      <c r="AY1422" s="1" t="s">
        <v>366</v>
      </c>
      <c r="AZ1422" s="1" t="s">
        <v>25282</v>
      </c>
      <c r="BA1422" s="1"/>
      <c r="BB1422" s="1"/>
      <c r="BC1422" s="1" t="s">
        <v>230</v>
      </c>
      <c r="BD1422" s="1" t="s">
        <v>549</v>
      </c>
      <c r="BE1422" s="1">
        <v>62.75</v>
      </c>
      <c r="BF1422" s="1">
        <v>7.3</v>
      </c>
      <c r="BG1422" s="1"/>
      <c r="BH1422" s="1"/>
      <c r="BI1422" s="1"/>
      <c r="BJ1422" s="1"/>
      <c r="BK1422" s="1"/>
      <c r="BL1422" s="1"/>
      <c r="BM1422" s="1"/>
      <c r="BN1422" s="1"/>
      <c r="BO1422" s="1" t="s">
        <v>1826</v>
      </c>
      <c r="BP1422" s="1"/>
      <c r="BQ1422" s="1"/>
      <c r="BR1422" s="1" t="s">
        <v>25283</v>
      </c>
      <c r="BS1422" s="1">
        <v>30</v>
      </c>
      <c r="BT1422" s="1"/>
      <c r="BU1422" s="1" t="str">
        <f>HYPERLINK("https://nconnect.nicmar.ac.in/storage/profile/ProfilePhoto_p2270003_897561.jpg","Download")</f>
        <v>0</v>
      </c>
      <c r="BV1422" s="3"/>
      <c r="BW1422" s="3"/>
    </row>
    <row r="1423" spans="1:75">
      <c r="A1423" s="1" t="s">
        <v>75</v>
      </c>
      <c r="B1423" s="1" t="s">
        <v>25236</v>
      </c>
      <c r="C1423" s="1" t="s">
        <v>25284</v>
      </c>
      <c r="D1423" s="1" t="s">
        <v>25285</v>
      </c>
      <c r="E1423" s="1" t="s">
        <v>25286</v>
      </c>
      <c r="F1423" s="1" t="s">
        <v>25287</v>
      </c>
      <c r="G1423" s="1" t="s">
        <v>25288</v>
      </c>
      <c r="H1423" s="1" t="s">
        <v>25289</v>
      </c>
      <c r="I1423" s="1" t="s">
        <v>25290</v>
      </c>
      <c r="J1423" s="1">
        <v>7259923950</v>
      </c>
      <c r="K1423" s="1" t="s">
        <v>84</v>
      </c>
      <c r="L1423" s="1" t="s">
        <v>25291</v>
      </c>
      <c r="M1423" s="1" t="s">
        <v>86</v>
      </c>
      <c r="N1423" s="1" t="s">
        <v>25292</v>
      </c>
      <c r="O1423" s="1" t="s">
        <v>25293</v>
      </c>
      <c r="P1423" s="1" t="s">
        <v>1028</v>
      </c>
      <c r="Q1423" s="1" t="s">
        <v>25294</v>
      </c>
      <c r="R1423" s="1" t="s">
        <v>25295</v>
      </c>
      <c r="S1423" s="1">
        <v>8088125330</v>
      </c>
      <c r="T1423" s="1" t="s">
        <v>25296</v>
      </c>
      <c r="U1423" s="1" t="s">
        <v>25297</v>
      </c>
      <c r="V1423" s="1">
        <v>9880988724</v>
      </c>
      <c r="W1423" s="1" t="s">
        <v>94</v>
      </c>
      <c r="X1423" s="1" t="s">
        <v>25298</v>
      </c>
      <c r="Y1423" s="1" t="s">
        <v>15530</v>
      </c>
      <c r="Z1423" s="1" t="s">
        <v>1210</v>
      </c>
      <c r="AA1423" s="1" t="s">
        <v>25298</v>
      </c>
      <c r="AB1423" s="1" t="s">
        <v>15530</v>
      </c>
      <c r="AC1423" s="1" t="s">
        <v>1210</v>
      </c>
      <c r="AD1423" s="1" t="s">
        <v>98</v>
      </c>
      <c r="AE1423" s="1" t="s">
        <v>98</v>
      </c>
      <c r="AF1423" s="1" t="s">
        <v>25299</v>
      </c>
      <c r="AG1423" s="1" t="s">
        <v>25300</v>
      </c>
      <c r="AH1423" s="1" t="s">
        <v>1213</v>
      </c>
      <c r="AI1423" s="1" t="s">
        <v>1214</v>
      </c>
      <c r="AJ1423" s="1">
        <v>94</v>
      </c>
      <c r="AK1423" s="1"/>
      <c r="AL1423" s="1" t="s">
        <v>4491</v>
      </c>
      <c r="AM1423" s="1" t="s">
        <v>25301</v>
      </c>
      <c r="AN1423" s="1"/>
      <c r="AO1423" s="1" t="s">
        <v>136</v>
      </c>
      <c r="AP1423" s="1" t="s">
        <v>627</v>
      </c>
      <c r="AQ1423" s="1">
        <v>90</v>
      </c>
      <c r="AR1423" s="1"/>
      <c r="AS1423" s="1"/>
      <c r="AT1423" s="1"/>
      <c r="AU1423" s="1"/>
      <c r="AV1423" s="1"/>
      <c r="AW1423" s="1"/>
      <c r="AX1423" s="1"/>
      <c r="AY1423" s="1" t="s">
        <v>25302</v>
      </c>
      <c r="AZ1423" s="1" t="s">
        <v>25303</v>
      </c>
      <c r="BA1423" s="1"/>
      <c r="BB1423" s="1"/>
      <c r="BC1423" s="1" t="s">
        <v>139</v>
      </c>
      <c r="BD1423" s="1" t="s">
        <v>441</v>
      </c>
      <c r="BE1423" s="1">
        <v>72</v>
      </c>
      <c r="BF1423" s="1"/>
      <c r="BG1423" s="1"/>
      <c r="BH1423" s="1"/>
      <c r="BI1423" s="1"/>
      <c r="BJ1423" s="1"/>
      <c r="BK1423" s="1"/>
      <c r="BL1423" s="1"/>
      <c r="BM1423" s="1"/>
      <c r="BN1423" s="1"/>
      <c r="BO1423" s="1" t="s">
        <v>1114</v>
      </c>
      <c r="BP1423" s="1"/>
      <c r="BQ1423" s="1"/>
      <c r="BR1423" s="1" t="s">
        <v>25304</v>
      </c>
      <c r="BS1423" s="1">
        <v>24</v>
      </c>
      <c r="BT1423" s="1"/>
      <c r="BU1423" s="1" t="str">
        <f>HYPERLINK("https://nconnect.nicmar.ac.in/storage/profile/ProfilePhoto_p2270004_931657.jpg","Download")</f>
        <v>0</v>
      </c>
      <c r="BV1423" s="3"/>
      <c r="BW1423" s="3"/>
    </row>
    <row r="1424" spans="1:75">
      <c r="A1424" s="1" t="s">
        <v>75</v>
      </c>
      <c r="B1424" s="1" t="s">
        <v>25236</v>
      </c>
      <c r="C1424" s="1" t="s">
        <v>25305</v>
      </c>
      <c r="D1424" s="1" t="s">
        <v>25306</v>
      </c>
      <c r="E1424" s="1" t="s">
        <v>762</v>
      </c>
      <c r="F1424" s="1" t="s">
        <v>1872</v>
      </c>
      <c r="G1424" s="1" t="s">
        <v>25307</v>
      </c>
      <c r="H1424" s="1" t="s">
        <v>25308</v>
      </c>
      <c r="I1424" s="1" t="s">
        <v>25309</v>
      </c>
      <c r="J1424" s="1">
        <v>9987979067</v>
      </c>
      <c r="K1424" s="1" t="s">
        <v>153</v>
      </c>
      <c r="L1424" s="1" t="s">
        <v>25310</v>
      </c>
      <c r="M1424" s="1" t="s">
        <v>86</v>
      </c>
      <c r="N1424" s="1" t="s">
        <v>25311</v>
      </c>
      <c r="O1424" s="1" t="s">
        <v>25312</v>
      </c>
      <c r="P1424" s="1" t="s">
        <v>507</v>
      </c>
      <c r="Q1424" s="1" t="s">
        <v>25313</v>
      </c>
      <c r="R1424" s="1" t="s">
        <v>25314</v>
      </c>
      <c r="S1424" s="1">
        <v>9920576956</v>
      </c>
      <c r="T1424" s="1" t="s">
        <v>25315</v>
      </c>
      <c r="U1424" s="1" t="s">
        <v>25316</v>
      </c>
      <c r="V1424" s="1">
        <v>9920576668</v>
      </c>
      <c r="W1424" s="1" t="s">
        <v>94</v>
      </c>
      <c r="X1424" s="1" t="s">
        <v>25317</v>
      </c>
      <c r="Y1424" s="1" t="s">
        <v>2259</v>
      </c>
      <c r="Z1424" s="1" t="s">
        <v>97</v>
      </c>
      <c r="AA1424" s="1" t="s">
        <v>25317</v>
      </c>
      <c r="AB1424" s="1" t="s">
        <v>2259</v>
      </c>
      <c r="AC1424" s="1" t="s">
        <v>97</v>
      </c>
      <c r="AD1424" s="1" t="s">
        <v>98</v>
      </c>
      <c r="AE1424" s="1" t="s">
        <v>98</v>
      </c>
      <c r="AF1424" s="1" t="s">
        <v>25318</v>
      </c>
      <c r="AG1424" s="1" t="s">
        <v>25319</v>
      </c>
      <c r="AH1424" s="1" t="s">
        <v>3285</v>
      </c>
      <c r="AI1424" s="1" t="s">
        <v>133</v>
      </c>
      <c r="AJ1424" s="1">
        <v>70.2</v>
      </c>
      <c r="AK1424" s="1"/>
      <c r="AL1424" s="1"/>
      <c r="AM1424" s="1"/>
      <c r="AN1424" s="1"/>
      <c r="AO1424" s="1"/>
      <c r="AP1424" s="1"/>
      <c r="AQ1424" s="1"/>
      <c r="AR1424" s="1"/>
      <c r="AS1424" s="1" t="s">
        <v>103</v>
      </c>
      <c r="AT1424" s="1" t="s">
        <v>25320</v>
      </c>
      <c r="AU1424" s="1" t="s">
        <v>25321</v>
      </c>
      <c r="AV1424" s="1" t="s">
        <v>166</v>
      </c>
      <c r="AW1424" s="1">
        <v>68.24</v>
      </c>
      <c r="AX1424" s="1"/>
      <c r="AY1424" s="1" t="s">
        <v>680</v>
      </c>
      <c r="AZ1424" s="1" t="s">
        <v>25322</v>
      </c>
      <c r="BA1424" s="1"/>
      <c r="BB1424" s="1"/>
      <c r="BC1424" s="1" t="s">
        <v>105</v>
      </c>
      <c r="BD1424" s="1" t="s">
        <v>13133</v>
      </c>
      <c r="BE1424" s="1">
        <v>55.16</v>
      </c>
      <c r="BF1424" s="1">
        <v>6.08</v>
      </c>
      <c r="BG1424" s="1"/>
      <c r="BH1424" s="1"/>
      <c r="BI1424" s="1"/>
      <c r="BJ1424" s="1"/>
      <c r="BK1424" s="1"/>
      <c r="BL1424" s="1"/>
      <c r="BM1424" s="1"/>
      <c r="BN1424" s="1"/>
      <c r="BO1424" s="1" t="s">
        <v>25323</v>
      </c>
      <c r="BP1424" s="1" t="s">
        <v>25324</v>
      </c>
      <c r="BQ1424" s="1" t="s">
        <v>6365</v>
      </c>
      <c r="BR1424" s="1" t="s">
        <v>25325</v>
      </c>
      <c r="BS1424" s="1">
        <v>10</v>
      </c>
      <c r="BT1424" s="1"/>
      <c r="BU1424" s="1" t="str">
        <f>HYPERLINK("https://nconnect.nicmar.ac.in/storage/profile/ProfilePhoto_p2270005_523864.jpg","Download")</f>
        <v>0</v>
      </c>
      <c r="BV1424" s="3"/>
      <c r="BW1424" s="3"/>
    </row>
    <row r="1425" spans="1:75">
      <c r="A1425" s="1" t="s">
        <v>75</v>
      </c>
      <c r="B1425" s="1" t="s">
        <v>25236</v>
      </c>
      <c r="C1425" s="1" t="s">
        <v>25326</v>
      </c>
      <c r="D1425" s="1" t="s">
        <v>25327</v>
      </c>
      <c r="E1425" s="1" t="s">
        <v>25328</v>
      </c>
      <c r="F1425" s="1" t="s">
        <v>1981</v>
      </c>
      <c r="G1425" s="1" t="s">
        <v>25329</v>
      </c>
      <c r="H1425" s="1" t="s">
        <v>25330</v>
      </c>
      <c r="I1425" s="1" t="s">
        <v>25331</v>
      </c>
      <c r="J1425" s="1">
        <v>9967657428</v>
      </c>
      <c r="K1425" s="1" t="s">
        <v>84</v>
      </c>
      <c r="L1425" s="1" t="s">
        <v>25332</v>
      </c>
      <c r="M1425" s="1" t="s">
        <v>86</v>
      </c>
      <c r="N1425" s="1" t="s">
        <v>25333</v>
      </c>
      <c r="O1425" s="1"/>
      <c r="P1425" s="1" t="s">
        <v>481</v>
      </c>
      <c r="Q1425" s="1" t="s">
        <v>25334</v>
      </c>
      <c r="R1425" s="1" t="s">
        <v>25335</v>
      </c>
      <c r="S1425" s="1">
        <v>9967447546</v>
      </c>
      <c r="T1425" s="1" t="s">
        <v>645</v>
      </c>
      <c r="U1425" s="1" t="s">
        <v>25336</v>
      </c>
      <c r="V1425" s="1">
        <v>9892063321</v>
      </c>
      <c r="W1425" s="1" t="s">
        <v>278</v>
      </c>
      <c r="X1425" s="1" t="s">
        <v>25337</v>
      </c>
      <c r="Y1425" s="1" t="s">
        <v>1012</v>
      </c>
      <c r="Z1425" s="1" t="s">
        <v>97</v>
      </c>
      <c r="AA1425" s="1" t="s">
        <v>25337</v>
      </c>
      <c r="AB1425" s="1" t="s">
        <v>1012</v>
      </c>
      <c r="AC1425" s="1" t="s">
        <v>97</v>
      </c>
      <c r="AD1425" s="1" t="s">
        <v>98</v>
      </c>
      <c r="AE1425" s="1" t="s">
        <v>98</v>
      </c>
      <c r="AF1425" s="1" t="s">
        <v>4636</v>
      </c>
      <c r="AG1425" s="1" t="s">
        <v>25338</v>
      </c>
      <c r="AH1425" s="1" t="s">
        <v>166</v>
      </c>
      <c r="AI1425" s="1" t="s">
        <v>167</v>
      </c>
      <c r="AJ1425" s="1">
        <v>72.2</v>
      </c>
      <c r="AK1425" s="1"/>
      <c r="AL1425" s="1" t="s">
        <v>12892</v>
      </c>
      <c r="AM1425" s="1" t="s">
        <v>25338</v>
      </c>
      <c r="AN1425" s="1"/>
      <c r="AO1425" s="1" t="s">
        <v>388</v>
      </c>
      <c r="AP1425" s="1" t="s">
        <v>106</v>
      </c>
      <c r="AQ1425" s="1">
        <v>73.23</v>
      </c>
      <c r="AR1425" s="1"/>
      <c r="AS1425" s="1"/>
      <c r="AT1425" s="1"/>
      <c r="AU1425" s="1"/>
      <c r="AV1425" s="1"/>
      <c r="AW1425" s="1"/>
      <c r="AX1425" s="1"/>
      <c r="AY1425" s="1" t="s">
        <v>680</v>
      </c>
      <c r="AZ1425" s="1" t="s">
        <v>25339</v>
      </c>
      <c r="BA1425" s="1"/>
      <c r="BB1425" s="1"/>
      <c r="BC1425" s="1" t="s">
        <v>1065</v>
      </c>
      <c r="BD1425" s="1" t="s">
        <v>1400</v>
      </c>
      <c r="BE1425" s="1">
        <v>74.23</v>
      </c>
      <c r="BF1425" s="1">
        <v>8.41</v>
      </c>
      <c r="BG1425" s="1"/>
      <c r="BH1425" s="1"/>
      <c r="BI1425" s="1"/>
      <c r="BJ1425" s="1"/>
      <c r="BK1425" s="1"/>
      <c r="BL1425" s="1"/>
      <c r="BM1425" s="1"/>
      <c r="BN1425" s="1"/>
      <c r="BO1425" s="1" t="s">
        <v>25340</v>
      </c>
      <c r="BP1425" s="1"/>
      <c r="BQ1425" s="1"/>
      <c r="BR1425" s="1" t="s">
        <v>25341</v>
      </c>
      <c r="BS1425" s="1">
        <v>18</v>
      </c>
      <c r="BT1425" s="1"/>
      <c r="BU1425" s="1" t="str">
        <f>HYPERLINK("https://nconnect.nicmar.ac.in/storage/profile/ProfilePhoto_p2270006_615942.jpg","Download")</f>
        <v>0</v>
      </c>
      <c r="BV1425" s="3"/>
      <c r="BW1425" s="3"/>
    </row>
    <row r="1426" spans="1:75">
      <c r="A1426" s="1" t="s">
        <v>75</v>
      </c>
      <c r="B1426" s="1" t="s">
        <v>25236</v>
      </c>
      <c r="C1426" s="1" t="s">
        <v>25342</v>
      </c>
      <c r="D1426" s="1" t="s">
        <v>6636</v>
      </c>
      <c r="E1426" s="1" t="s">
        <v>25343</v>
      </c>
      <c r="F1426" s="1" t="s">
        <v>25344</v>
      </c>
      <c r="G1426" s="1" t="s">
        <v>25345</v>
      </c>
      <c r="H1426" s="1" t="s">
        <v>25346</v>
      </c>
      <c r="I1426" s="1" t="s">
        <v>25347</v>
      </c>
      <c r="J1426" s="1">
        <v>8238151780</v>
      </c>
      <c r="K1426" s="1" t="s">
        <v>84</v>
      </c>
      <c r="L1426" s="1" t="s">
        <v>25348</v>
      </c>
      <c r="M1426" s="1" t="s">
        <v>86</v>
      </c>
      <c r="N1426" s="1" t="s">
        <v>6354</v>
      </c>
      <c r="O1426" s="1" t="s">
        <v>25349</v>
      </c>
      <c r="P1426" s="1" t="s">
        <v>507</v>
      </c>
      <c r="Q1426" s="1" t="s">
        <v>25350</v>
      </c>
      <c r="R1426" s="1" t="s">
        <v>25344</v>
      </c>
      <c r="S1426" s="1">
        <v>9227171513</v>
      </c>
      <c r="T1426" s="1" t="s">
        <v>839</v>
      </c>
      <c r="U1426" s="1" t="s">
        <v>25351</v>
      </c>
      <c r="V1426" s="1">
        <v>9228171513</v>
      </c>
      <c r="W1426" s="1" t="s">
        <v>839</v>
      </c>
      <c r="X1426" s="1" t="s">
        <v>25352</v>
      </c>
      <c r="Y1426" s="1" t="s">
        <v>8166</v>
      </c>
      <c r="Z1426" s="1" t="s">
        <v>676</v>
      </c>
      <c r="AA1426" s="1" t="s">
        <v>25352</v>
      </c>
      <c r="AB1426" s="1" t="s">
        <v>8166</v>
      </c>
      <c r="AC1426" s="1" t="s">
        <v>676</v>
      </c>
      <c r="AD1426" s="1" t="s">
        <v>98</v>
      </c>
      <c r="AE1426" s="1" t="s">
        <v>98</v>
      </c>
      <c r="AF1426" s="1" t="s">
        <v>25353</v>
      </c>
      <c r="AG1426" s="1" t="s">
        <v>25354</v>
      </c>
      <c r="AH1426" s="1" t="s">
        <v>166</v>
      </c>
      <c r="AI1426" s="1" t="s">
        <v>627</v>
      </c>
      <c r="AJ1426" s="1">
        <v>58.5</v>
      </c>
      <c r="AK1426" s="1">
        <v>0</v>
      </c>
      <c r="AL1426" s="1"/>
      <c r="AM1426" s="1"/>
      <c r="AN1426" s="1"/>
      <c r="AO1426" s="1"/>
      <c r="AP1426" s="1"/>
      <c r="AQ1426" s="1"/>
      <c r="AR1426" s="1"/>
      <c r="AS1426" s="1" t="s">
        <v>103</v>
      </c>
      <c r="AT1426" s="1" t="s">
        <v>25355</v>
      </c>
      <c r="AU1426" s="1" t="s">
        <v>139</v>
      </c>
      <c r="AV1426" s="1" t="s">
        <v>313</v>
      </c>
      <c r="AW1426" s="1">
        <v>74.4</v>
      </c>
      <c r="AX1426" s="1">
        <v>7.94</v>
      </c>
      <c r="AY1426" s="1" t="s">
        <v>25356</v>
      </c>
      <c r="AZ1426" s="1" t="s">
        <v>25357</v>
      </c>
      <c r="BA1426" s="1"/>
      <c r="BB1426" s="1"/>
      <c r="BC1426" s="1" t="s">
        <v>206</v>
      </c>
      <c r="BD1426" s="1" t="s">
        <v>632</v>
      </c>
      <c r="BE1426" s="1">
        <v>75.1</v>
      </c>
      <c r="BF1426" s="1">
        <v>8.01</v>
      </c>
      <c r="BG1426" s="1"/>
      <c r="BH1426" s="1"/>
      <c r="BI1426" s="1"/>
      <c r="BJ1426" s="1"/>
      <c r="BK1426" s="1"/>
      <c r="BL1426" s="1"/>
      <c r="BM1426" s="1"/>
      <c r="BN1426" s="1"/>
      <c r="BO1426" s="1" t="s">
        <v>25358</v>
      </c>
      <c r="BP1426" s="1"/>
      <c r="BQ1426" s="1"/>
      <c r="BR1426" s="1" t="s">
        <v>25359</v>
      </c>
      <c r="BS1426" s="1">
        <v>33</v>
      </c>
      <c r="BT1426" s="1"/>
      <c r="BU1426" s="1" t="str">
        <f>HYPERLINK("https://nconnect.nicmar.ac.in/storage/profile/ProfilePhoto_p2270009_239158.jpg","Download")</f>
        <v>0</v>
      </c>
      <c r="BV1426" s="3"/>
      <c r="BW1426" s="3"/>
    </row>
    <row r="1427" spans="1:75">
      <c r="A1427" s="1" t="s">
        <v>75</v>
      </c>
      <c r="B1427" s="1" t="s">
        <v>25236</v>
      </c>
      <c r="C1427" s="1" t="s">
        <v>25360</v>
      </c>
      <c r="D1427" s="1" t="s">
        <v>25361</v>
      </c>
      <c r="E1427" s="1" t="s">
        <v>25362</v>
      </c>
      <c r="F1427" s="1" t="s">
        <v>25287</v>
      </c>
      <c r="G1427" s="1" t="s">
        <v>25363</v>
      </c>
      <c r="H1427" s="1" t="s">
        <v>25364</v>
      </c>
      <c r="I1427" s="1" t="s">
        <v>25365</v>
      </c>
      <c r="J1427" s="1">
        <v>9448353055</v>
      </c>
      <c r="K1427" s="1" t="s">
        <v>84</v>
      </c>
      <c r="L1427" s="1" t="s">
        <v>25291</v>
      </c>
      <c r="M1427" s="1" t="s">
        <v>86</v>
      </c>
      <c r="N1427" s="1" t="s">
        <v>25366</v>
      </c>
      <c r="O1427" s="1"/>
      <c r="P1427" s="1" t="s">
        <v>1028</v>
      </c>
      <c r="Q1427" s="1" t="s">
        <v>25367</v>
      </c>
      <c r="R1427" s="1" t="s">
        <v>25295</v>
      </c>
      <c r="S1427" s="1">
        <v>9483757724</v>
      </c>
      <c r="T1427" s="1" t="s">
        <v>25296</v>
      </c>
      <c r="U1427" s="1" t="s">
        <v>25297</v>
      </c>
      <c r="V1427" s="1">
        <v>9880988724</v>
      </c>
      <c r="W1427" s="1" t="s">
        <v>94</v>
      </c>
      <c r="X1427" s="1" t="s">
        <v>25368</v>
      </c>
      <c r="Y1427" s="1" t="s">
        <v>15530</v>
      </c>
      <c r="Z1427" s="1" t="s">
        <v>1210</v>
      </c>
      <c r="AA1427" s="1" t="s">
        <v>25368</v>
      </c>
      <c r="AB1427" s="1" t="s">
        <v>15530</v>
      </c>
      <c r="AC1427" s="1" t="s">
        <v>1210</v>
      </c>
      <c r="AD1427" s="1" t="s">
        <v>98</v>
      </c>
      <c r="AE1427" s="1" t="s">
        <v>98</v>
      </c>
      <c r="AF1427" s="1" t="s">
        <v>25369</v>
      </c>
      <c r="AG1427" s="1" t="s">
        <v>727</v>
      </c>
      <c r="AH1427" s="1" t="s">
        <v>1213</v>
      </c>
      <c r="AI1427" s="1" t="s">
        <v>1262</v>
      </c>
      <c r="AJ1427" s="1">
        <v>92.16</v>
      </c>
      <c r="AK1427" s="1">
        <v>0</v>
      </c>
      <c r="AL1427" s="1" t="s">
        <v>25370</v>
      </c>
      <c r="AM1427" s="1" t="s">
        <v>727</v>
      </c>
      <c r="AN1427" s="1"/>
      <c r="AO1427" s="1" t="s">
        <v>166</v>
      </c>
      <c r="AP1427" s="1" t="s">
        <v>627</v>
      </c>
      <c r="AQ1427" s="1">
        <v>84.16</v>
      </c>
      <c r="AR1427" s="1">
        <v>0</v>
      </c>
      <c r="AS1427" s="1"/>
      <c r="AT1427" s="1"/>
      <c r="AU1427" s="1"/>
      <c r="AV1427" s="1"/>
      <c r="AW1427" s="1"/>
      <c r="AX1427" s="1"/>
      <c r="AY1427" s="1" t="s">
        <v>6669</v>
      </c>
      <c r="AZ1427" s="1" t="s">
        <v>25371</v>
      </c>
      <c r="BA1427" s="1"/>
      <c r="BB1427" s="1"/>
      <c r="BC1427" s="1" t="s">
        <v>139</v>
      </c>
      <c r="BD1427" s="1" t="s">
        <v>549</v>
      </c>
      <c r="BE1427" s="1">
        <v>63.8</v>
      </c>
      <c r="BF1427" s="1">
        <v>7.13</v>
      </c>
      <c r="BG1427" s="1"/>
      <c r="BH1427" s="1"/>
      <c r="BI1427" s="1"/>
      <c r="BJ1427" s="1"/>
      <c r="BK1427" s="1"/>
      <c r="BL1427" s="1"/>
      <c r="BM1427" s="1"/>
      <c r="BN1427" s="1"/>
      <c r="BO1427" s="1" t="s">
        <v>25372</v>
      </c>
      <c r="BP1427" s="1"/>
      <c r="BQ1427" s="1"/>
      <c r="BR1427" s="1" t="s">
        <v>25373</v>
      </c>
      <c r="BS1427" s="1">
        <v>24</v>
      </c>
      <c r="BT1427" s="1"/>
      <c r="BU1427" s="1" t="str">
        <f>HYPERLINK("https://nconnect.nicmar.ac.in/storage/profile/ProfilePhoto_p2270010_726149.jpg","Download")</f>
        <v>0</v>
      </c>
      <c r="BV1427" s="3"/>
      <c r="BW1427" s="3"/>
    </row>
    <row r="1428" spans="1:75">
      <c r="A1428" s="1" t="s">
        <v>75</v>
      </c>
      <c r="B1428" s="1" t="s">
        <v>25236</v>
      </c>
      <c r="C1428" s="1" t="s">
        <v>25374</v>
      </c>
      <c r="D1428" s="1" t="s">
        <v>25375</v>
      </c>
      <c r="E1428" s="1" t="s">
        <v>1320</v>
      </c>
      <c r="F1428" s="1" t="s">
        <v>6443</v>
      </c>
      <c r="G1428" s="1" t="s">
        <v>25376</v>
      </c>
      <c r="H1428" s="1" t="s">
        <v>25377</v>
      </c>
      <c r="I1428" s="1" t="s">
        <v>25378</v>
      </c>
      <c r="J1428" s="1">
        <v>8075607311</v>
      </c>
      <c r="K1428" s="1" t="s">
        <v>84</v>
      </c>
      <c r="L1428" s="1" t="s">
        <v>25379</v>
      </c>
      <c r="M1428" s="1" t="s">
        <v>86</v>
      </c>
      <c r="N1428" s="1" t="s">
        <v>2521</v>
      </c>
      <c r="O1428" s="1" t="s">
        <v>25380</v>
      </c>
      <c r="P1428" s="1" t="s">
        <v>455</v>
      </c>
      <c r="Q1428" s="1" t="s">
        <v>25381</v>
      </c>
      <c r="R1428" s="1" t="s">
        <v>25382</v>
      </c>
      <c r="S1428" s="1">
        <v>9446125771</v>
      </c>
      <c r="T1428" s="1" t="s">
        <v>25383</v>
      </c>
      <c r="U1428" s="1" t="s">
        <v>25384</v>
      </c>
      <c r="V1428" s="1">
        <v>8301939063</v>
      </c>
      <c r="W1428" s="1" t="s">
        <v>541</v>
      </c>
      <c r="X1428" s="1" t="s">
        <v>25385</v>
      </c>
      <c r="Y1428" s="1" t="s">
        <v>1283</v>
      </c>
      <c r="Z1428" s="1" t="s">
        <v>130</v>
      </c>
      <c r="AA1428" s="1" t="s">
        <v>25385</v>
      </c>
      <c r="AB1428" s="1" t="s">
        <v>1283</v>
      </c>
      <c r="AC1428" s="1" t="s">
        <v>130</v>
      </c>
      <c r="AD1428" s="1" t="s">
        <v>98</v>
      </c>
      <c r="AE1428" s="1" t="s">
        <v>98</v>
      </c>
      <c r="AF1428" s="1" t="s">
        <v>25386</v>
      </c>
      <c r="AG1428" s="1" t="s">
        <v>25387</v>
      </c>
      <c r="AH1428" s="1" t="s">
        <v>3285</v>
      </c>
      <c r="AI1428" s="1" t="s">
        <v>3965</v>
      </c>
      <c r="AJ1428" s="1">
        <v>86</v>
      </c>
      <c r="AK1428" s="1"/>
      <c r="AL1428" s="1" t="s">
        <v>25388</v>
      </c>
      <c r="AM1428" s="1" t="s">
        <v>25387</v>
      </c>
      <c r="AN1428" s="1"/>
      <c r="AO1428" s="1" t="s">
        <v>25321</v>
      </c>
      <c r="AP1428" s="1" t="s">
        <v>515</v>
      </c>
      <c r="AQ1428" s="1">
        <v>95</v>
      </c>
      <c r="AR1428" s="1"/>
      <c r="AS1428" s="1"/>
      <c r="AT1428" s="1"/>
      <c r="AU1428" s="1"/>
      <c r="AV1428" s="1"/>
      <c r="AW1428" s="1"/>
      <c r="AX1428" s="1"/>
      <c r="AY1428" s="1" t="s">
        <v>137</v>
      </c>
      <c r="AZ1428" s="1" t="s">
        <v>25389</v>
      </c>
      <c r="BA1428" s="1"/>
      <c r="BB1428" s="1"/>
      <c r="BC1428" s="1" t="s">
        <v>105</v>
      </c>
      <c r="BD1428" s="1" t="s">
        <v>315</v>
      </c>
      <c r="BE1428" s="1">
        <v>76.7</v>
      </c>
      <c r="BF1428" s="1">
        <v>7.67</v>
      </c>
      <c r="BG1428" s="1"/>
      <c r="BH1428" s="1"/>
      <c r="BI1428" s="1"/>
      <c r="BJ1428" s="1"/>
      <c r="BK1428" s="1"/>
      <c r="BL1428" s="1"/>
      <c r="BM1428" s="1"/>
      <c r="BN1428" s="1"/>
      <c r="BO1428" s="1" t="s">
        <v>25390</v>
      </c>
      <c r="BP1428" s="1" t="s">
        <v>25391</v>
      </c>
      <c r="BQ1428" s="1" t="s">
        <v>582</v>
      </c>
      <c r="BR1428" s="1" t="s">
        <v>25392</v>
      </c>
      <c r="BS1428" s="1">
        <v>8</v>
      </c>
      <c r="BT1428" s="1"/>
      <c r="BU1428" s="1" t="str">
        <f>HYPERLINK("https://nconnect.nicmar.ac.in/storage/profile/ProfilePhoto_p2270011_279853.jpg","Download")</f>
        <v>0</v>
      </c>
      <c r="BV1428" s="3"/>
      <c r="BW1428" s="3"/>
    </row>
    <row r="1429" spans="1:75">
      <c r="A1429" s="1" t="s">
        <v>75</v>
      </c>
      <c r="B1429" s="1" t="s">
        <v>25236</v>
      </c>
      <c r="C1429" s="1" t="s">
        <v>25393</v>
      </c>
      <c r="D1429" s="1" t="s">
        <v>2428</v>
      </c>
      <c r="E1429" s="1"/>
      <c r="F1429" s="1" t="s">
        <v>7760</v>
      </c>
      <c r="G1429" s="1" t="s">
        <v>25394</v>
      </c>
      <c r="H1429" s="1" t="s">
        <v>25395</v>
      </c>
      <c r="I1429" s="1" t="s">
        <v>25396</v>
      </c>
      <c r="J1429" s="1">
        <v>8248467087</v>
      </c>
      <c r="K1429" s="1" t="s">
        <v>84</v>
      </c>
      <c r="L1429" s="1" t="s">
        <v>25397</v>
      </c>
      <c r="M1429" s="1" t="s">
        <v>86</v>
      </c>
      <c r="N1429" s="1" t="s">
        <v>25398</v>
      </c>
      <c r="O1429" s="1" t="s">
        <v>25399</v>
      </c>
      <c r="P1429" s="1" t="s">
        <v>455</v>
      </c>
      <c r="Q1429" s="1" t="s">
        <v>25400</v>
      </c>
      <c r="R1429" s="1" t="s">
        <v>25401</v>
      </c>
      <c r="S1429" s="1">
        <v>8248467087</v>
      </c>
      <c r="T1429" s="1" t="s">
        <v>25402</v>
      </c>
      <c r="U1429" s="1" t="s">
        <v>25403</v>
      </c>
      <c r="V1429" s="1">
        <v>9003153580</v>
      </c>
      <c r="W1429" s="1" t="s">
        <v>541</v>
      </c>
      <c r="X1429" s="1" t="s">
        <v>25404</v>
      </c>
      <c r="Y1429" s="1" t="s">
        <v>1498</v>
      </c>
      <c r="Z1429" s="1" t="s">
        <v>570</v>
      </c>
      <c r="AA1429" s="1" t="s">
        <v>25404</v>
      </c>
      <c r="AB1429" s="1" t="s">
        <v>1498</v>
      </c>
      <c r="AC1429" s="1" t="s">
        <v>570</v>
      </c>
      <c r="AD1429" s="1" t="s">
        <v>98</v>
      </c>
      <c r="AE1429" s="1" t="s">
        <v>98</v>
      </c>
      <c r="AF1429" s="1" t="s">
        <v>25405</v>
      </c>
      <c r="AG1429" s="1" t="s">
        <v>25406</v>
      </c>
      <c r="AH1429" s="1" t="s">
        <v>3285</v>
      </c>
      <c r="AI1429" s="1" t="s">
        <v>3770</v>
      </c>
      <c r="AJ1429" s="1">
        <v>90</v>
      </c>
      <c r="AK1429" s="1">
        <v>9</v>
      </c>
      <c r="AL1429" s="1" t="s">
        <v>25405</v>
      </c>
      <c r="AM1429" s="1" t="s">
        <v>25406</v>
      </c>
      <c r="AN1429" s="1"/>
      <c r="AO1429" s="1" t="s">
        <v>1213</v>
      </c>
      <c r="AP1429" s="1" t="s">
        <v>1214</v>
      </c>
      <c r="AQ1429" s="1">
        <v>95.58</v>
      </c>
      <c r="AR1429" s="1">
        <v>9.56</v>
      </c>
      <c r="AS1429" s="1"/>
      <c r="AT1429" s="1"/>
      <c r="AU1429" s="1"/>
      <c r="AV1429" s="1"/>
      <c r="AW1429" s="1"/>
      <c r="AX1429" s="1"/>
      <c r="AY1429" s="1" t="s">
        <v>21103</v>
      </c>
      <c r="AZ1429" s="1" t="s">
        <v>25407</v>
      </c>
      <c r="BA1429" s="1"/>
      <c r="BB1429" s="1"/>
      <c r="BC1429" s="1" t="s">
        <v>135</v>
      </c>
      <c r="BD1429" s="1" t="s">
        <v>490</v>
      </c>
      <c r="BE1429" s="1">
        <v>75.2</v>
      </c>
      <c r="BF1429" s="1">
        <v>7.52</v>
      </c>
      <c r="BG1429" s="1"/>
      <c r="BH1429" s="1"/>
      <c r="BI1429" s="1"/>
      <c r="BJ1429" s="1"/>
      <c r="BK1429" s="1"/>
      <c r="BL1429" s="1"/>
      <c r="BM1429" s="1"/>
      <c r="BN1429" s="1"/>
      <c r="BO1429" s="1" t="s">
        <v>25408</v>
      </c>
      <c r="BP1429" s="1" t="s">
        <v>25409</v>
      </c>
      <c r="BQ1429" s="1" t="s">
        <v>12940</v>
      </c>
      <c r="BR1429" s="1" t="s">
        <v>25410</v>
      </c>
      <c r="BS1429" s="1">
        <v>271</v>
      </c>
      <c r="BT1429" s="1"/>
      <c r="BU1429" s="1" t="str">
        <f>HYPERLINK("https://nconnect.nicmar.ac.in/storage/profile/ProfilePhoto_p2270012_367425.jpg","Download")</f>
        <v>0</v>
      </c>
      <c r="BV1429" s="3"/>
      <c r="BW1429" s="3"/>
    </row>
    <row r="1430" spans="1:75">
      <c r="A1430" s="1" t="s">
        <v>75</v>
      </c>
      <c r="B1430" s="1" t="s">
        <v>25236</v>
      </c>
      <c r="C1430" s="1" t="s">
        <v>25411</v>
      </c>
      <c r="D1430" s="1" t="s">
        <v>25412</v>
      </c>
      <c r="E1430" s="1" t="s">
        <v>4018</v>
      </c>
      <c r="F1430" s="1" t="s">
        <v>25413</v>
      </c>
      <c r="G1430" s="1" t="s">
        <v>25414</v>
      </c>
      <c r="H1430" s="1" t="s">
        <v>25415</v>
      </c>
      <c r="I1430" s="1" t="s">
        <v>25416</v>
      </c>
      <c r="J1430" s="1">
        <v>8850151725</v>
      </c>
      <c r="K1430" s="1" t="s">
        <v>84</v>
      </c>
      <c r="L1430" s="1" t="s">
        <v>25417</v>
      </c>
      <c r="M1430" s="1" t="s">
        <v>86</v>
      </c>
      <c r="N1430" s="1" t="s">
        <v>12510</v>
      </c>
      <c r="O1430" s="1"/>
      <c r="P1430" s="1" t="s">
        <v>481</v>
      </c>
      <c r="Q1430" s="1" t="s">
        <v>25418</v>
      </c>
      <c r="R1430" s="1" t="s">
        <v>25419</v>
      </c>
      <c r="S1430" s="1">
        <v>9820157496</v>
      </c>
      <c r="T1430" s="1" t="s">
        <v>839</v>
      </c>
      <c r="U1430" s="1" t="s">
        <v>25420</v>
      </c>
      <c r="V1430" s="1">
        <v>9892214110</v>
      </c>
      <c r="W1430" s="1" t="s">
        <v>161</v>
      </c>
      <c r="X1430" s="1" t="s">
        <v>25421</v>
      </c>
      <c r="Y1430" s="1" t="s">
        <v>1882</v>
      </c>
      <c r="Z1430" s="1" t="s">
        <v>97</v>
      </c>
      <c r="AA1430" s="1" t="s">
        <v>25421</v>
      </c>
      <c r="AB1430" s="1" t="s">
        <v>1882</v>
      </c>
      <c r="AC1430" s="1" t="s">
        <v>97</v>
      </c>
      <c r="AD1430" s="1" t="s">
        <v>98</v>
      </c>
      <c r="AE1430" s="1" t="s">
        <v>98</v>
      </c>
      <c r="AF1430" s="1" t="s">
        <v>25422</v>
      </c>
      <c r="AG1430" s="1" t="s">
        <v>25423</v>
      </c>
      <c r="AH1430" s="1" t="s">
        <v>515</v>
      </c>
      <c r="AI1430" s="1" t="s">
        <v>102</v>
      </c>
      <c r="AJ1430" s="1">
        <v>92.4</v>
      </c>
      <c r="AK1430" s="1">
        <v>0</v>
      </c>
      <c r="AL1430" s="1"/>
      <c r="AM1430" s="1"/>
      <c r="AN1430" s="1"/>
      <c r="AO1430" s="1"/>
      <c r="AP1430" s="1"/>
      <c r="AQ1430" s="1"/>
      <c r="AR1430" s="1"/>
      <c r="AS1430" s="1" t="s">
        <v>439</v>
      </c>
      <c r="AT1430" s="1" t="s">
        <v>25424</v>
      </c>
      <c r="AU1430" s="1" t="s">
        <v>342</v>
      </c>
      <c r="AV1430" s="1" t="s">
        <v>171</v>
      </c>
      <c r="AW1430" s="1">
        <v>65.68</v>
      </c>
      <c r="AX1430" s="1">
        <v>2.83</v>
      </c>
      <c r="AY1430" s="1" t="s">
        <v>25425</v>
      </c>
      <c r="AZ1430" s="1" t="s">
        <v>25424</v>
      </c>
      <c r="BA1430" s="1"/>
      <c r="BB1430" s="1"/>
      <c r="BC1430" s="1" t="s">
        <v>171</v>
      </c>
      <c r="BD1430" s="1" t="s">
        <v>845</v>
      </c>
      <c r="BE1430" s="1">
        <v>84.72</v>
      </c>
      <c r="BF1430" s="1">
        <v>3.77</v>
      </c>
      <c r="BG1430" s="1"/>
      <c r="BH1430" s="1"/>
      <c r="BI1430" s="1"/>
      <c r="BJ1430" s="1"/>
      <c r="BK1430" s="1"/>
      <c r="BL1430" s="1"/>
      <c r="BM1430" s="1"/>
      <c r="BN1430" s="1"/>
      <c r="BO1430" s="1" t="s">
        <v>25426</v>
      </c>
      <c r="BP1430" s="1" t="s">
        <v>25427</v>
      </c>
      <c r="BQ1430" s="1" t="s">
        <v>1174</v>
      </c>
      <c r="BR1430" s="1" t="s">
        <v>25428</v>
      </c>
      <c r="BS1430" s="1">
        <v>44</v>
      </c>
      <c r="BT1430" s="1"/>
      <c r="BU1430" s="1" t="str">
        <f>HYPERLINK("https://nconnect.nicmar.ac.in/storage/profile/ProfilePhoto_p2270013_589134.jpg","Download")</f>
        <v>0</v>
      </c>
      <c r="BV1430" s="3"/>
      <c r="BW1430" s="3"/>
    </row>
    <row r="1431" spans="1:75">
      <c r="A1431" s="1" t="s">
        <v>75</v>
      </c>
      <c r="B1431" s="1" t="s">
        <v>25236</v>
      </c>
      <c r="C1431" s="1" t="s">
        <v>25429</v>
      </c>
      <c r="D1431" s="1" t="s">
        <v>2405</v>
      </c>
      <c r="E1431" s="1"/>
      <c r="F1431" s="1" t="s">
        <v>25430</v>
      </c>
      <c r="G1431" s="1" t="s">
        <v>25431</v>
      </c>
      <c r="H1431" s="1" t="s">
        <v>25432</v>
      </c>
      <c r="I1431" s="1" t="s">
        <v>25433</v>
      </c>
      <c r="J1431" s="1">
        <v>9911863656</v>
      </c>
      <c r="K1431" s="1" t="s">
        <v>84</v>
      </c>
      <c r="L1431" s="1" t="s">
        <v>25434</v>
      </c>
      <c r="M1431" s="1" t="s">
        <v>86</v>
      </c>
      <c r="N1431" s="1" t="s">
        <v>4278</v>
      </c>
      <c r="O1431" s="1" t="s">
        <v>25435</v>
      </c>
      <c r="P1431" s="1" t="s">
        <v>670</v>
      </c>
      <c r="Q1431" s="1" t="s">
        <v>25436</v>
      </c>
      <c r="R1431" s="1" t="s">
        <v>25382</v>
      </c>
      <c r="S1431" s="1">
        <v>9971688080</v>
      </c>
      <c r="T1431" s="1" t="s">
        <v>25437</v>
      </c>
      <c r="U1431" s="1" t="s">
        <v>25438</v>
      </c>
      <c r="V1431" s="1">
        <v>9560089689</v>
      </c>
      <c r="W1431" s="1" t="s">
        <v>541</v>
      </c>
      <c r="X1431" s="1" t="s">
        <v>25439</v>
      </c>
      <c r="Y1431" s="1" t="s">
        <v>25440</v>
      </c>
      <c r="Z1431" s="1" t="s">
        <v>1739</v>
      </c>
      <c r="AA1431" s="1" t="s">
        <v>25439</v>
      </c>
      <c r="AB1431" s="1" t="s">
        <v>25440</v>
      </c>
      <c r="AC1431" s="1" t="s">
        <v>1739</v>
      </c>
      <c r="AD1431" s="1" t="s">
        <v>98</v>
      </c>
      <c r="AE1431" s="1" t="s">
        <v>98</v>
      </c>
      <c r="AF1431" s="1" t="s">
        <v>25441</v>
      </c>
      <c r="AG1431" s="1" t="s">
        <v>25442</v>
      </c>
      <c r="AH1431" s="1" t="s">
        <v>1214</v>
      </c>
      <c r="AI1431" s="1" t="s">
        <v>102</v>
      </c>
      <c r="AJ1431" s="1">
        <v>72.2</v>
      </c>
      <c r="AK1431" s="1"/>
      <c r="AL1431" s="1" t="s">
        <v>25441</v>
      </c>
      <c r="AM1431" s="1" t="s">
        <v>25442</v>
      </c>
      <c r="AN1431" s="1"/>
      <c r="AO1431" s="1" t="s">
        <v>704</v>
      </c>
      <c r="AP1431" s="1" t="s">
        <v>286</v>
      </c>
      <c r="AQ1431" s="1">
        <v>59.4</v>
      </c>
      <c r="AR1431" s="1"/>
      <c r="AS1431" s="1"/>
      <c r="AT1431" s="1"/>
      <c r="AU1431" s="1"/>
      <c r="AV1431" s="1"/>
      <c r="AW1431" s="1"/>
      <c r="AX1431" s="1"/>
      <c r="AY1431" s="1" t="s">
        <v>25443</v>
      </c>
      <c r="AZ1431" s="1" t="s">
        <v>25444</v>
      </c>
      <c r="BA1431" s="1"/>
      <c r="BB1431" s="1"/>
      <c r="BC1431" s="1" t="s">
        <v>174</v>
      </c>
      <c r="BD1431" s="1" t="s">
        <v>1400</v>
      </c>
      <c r="BE1431" s="1">
        <v>73.2</v>
      </c>
      <c r="BF1431" s="1"/>
      <c r="BG1431" s="1"/>
      <c r="BH1431" s="1"/>
      <c r="BI1431" s="1"/>
      <c r="BJ1431" s="1"/>
      <c r="BK1431" s="1"/>
      <c r="BL1431" s="1"/>
      <c r="BM1431" s="1"/>
      <c r="BN1431" s="1"/>
      <c r="BO1431" s="1" t="s">
        <v>25445</v>
      </c>
      <c r="BP1431" s="1"/>
      <c r="BQ1431" s="1"/>
      <c r="BR1431" s="1" t="s">
        <v>25446</v>
      </c>
      <c r="BS1431" s="1">
        <v>50</v>
      </c>
      <c r="BT1431" s="1"/>
      <c r="BU1431" s="1" t="str">
        <f>HYPERLINK("https://nconnect.nicmar.ac.in/storage/profile/ProfilePhoto_p2270014_489735.jpg","Download")</f>
        <v>0</v>
      </c>
      <c r="BV1431" s="3"/>
      <c r="BW1431" s="3"/>
    </row>
    <row r="1432" spans="1:75">
      <c r="A1432" s="1" t="s">
        <v>75</v>
      </c>
      <c r="B1432" s="1" t="s">
        <v>25236</v>
      </c>
      <c r="C1432" s="1" t="s">
        <v>25447</v>
      </c>
      <c r="D1432" s="1" t="s">
        <v>2233</v>
      </c>
      <c r="E1432" s="1" t="s">
        <v>25448</v>
      </c>
      <c r="F1432" s="1" t="s">
        <v>1179</v>
      </c>
      <c r="G1432" s="1" t="s">
        <v>25449</v>
      </c>
      <c r="H1432" s="1" t="s">
        <v>25450</v>
      </c>
      <c r="I1432" s="1" t="s">
        <v>25451</v>
      </c>
      <c r="J1432" s="1">
        <v>8197646321</v>
      </c>
      <c r="K1432" s="1" t="s">
        <v>84</v>
      </c>
      <c r="L1432" s="1" t="s">
        <v>25452</v>
      </c>
      <c r="M1432" s="1" t="s">
        <v>86</v>
      </c>
      <c r="N1432" s="1" t="s">
        <v>25453</v>
      </c>
      <c r="O1432" s="1" t="s">
        <v>25454</v>
      </c>
      <c r="P1432" s="1" t="s">
        <v>507</v>
      </c>
      <c r="Q1432" s="1" t="s">
        <v>25455</v>
      </c>
      <c r="R1432" s="1" t="s">
        <v>25448</v>
      </c>
      <c r="S1432" s="1">
        <v>9449812125</v>
      </c>
      <c r="T1432" s="1" t="s">
        <v>159</v>
      </c>
      <c r="U1432" s="1" t="s">
        <v>25456</v>
      </c>
      <c r="V1432" s="1">
        <v>9449826125</v>
      </c>
      <c r="W1432" s="1" t="s">
        <v>278</v>
      </c>
      <c r="X1432" s="1" t="s">
        <v>25457</v>
      </c>
      <c r="Y1432" s="1" t="s">
        <v>3729</v>
      </c>
      <c r="Z1432" s="1" t="s">
        <v>1210</v>
      </c>
      <c r="AA1432" s="1" t="s">
        <v>25458</v>
      </c>
      <c r="AB1432" s="1" t="s">
        <v>3729</v>
      </c>
      <c r="AC1432" s="1" t="s">
        <v>1210</v>
      </c>
      <c r="AD1432" s="1" t="s">
        <v>98</v>
      </c>
      <c r="AE1432" s="1" t="s">
        <v>98</v>
      </c>
      <c r="AF1432" s="1" t="s">
        <v>25459</v>
      </c>
      <c r="AG1432" s="1" t="s">
        <v>25460</v>
      </c>
      <c r="AH1432" s="1" t="s">
        <v>101</v>
      </c>
      <c r="AI1432" s="1" t="s">
        <v>136</v>
      </c>
      <c r="AJ1432" s="1">
        <v>77.66</v>
      </c>
      <c r="AK1432" s="1"/>
      <c r="AL1432" s="1" t="s">
        <v>25461</v>
      </c>
      <c r="AM1432" s="1" t="s">
        <v>25460</v>
      </c>
      <c r="AN1432" s="1"/>
      <c r="AO1432" s="1" t="s">
        <v>167</v>
      </c>
      <c r="AP1432" s="1" t="s">
        <v>573</v>
      </c>
      <c r="AQ1432" s="1">
        <v>80.16</v>
      </c>
      <c r="AR1432" s="1"/>
      <c r="AS1432" s="1"/>
      <c r="AT1432" s="1"/>
      <c r="AU1432" s="1"/>
      <c r="AV1432" s="1"/>
      <c r="AW1432" s="1"/>
      <c r="AX1432" s="1"/>
      <c r="AY1432" s="1" t="s">
        <v>731</v>
      </c>
      <c r="AZ1432" s="1" t="s">
        <v>25462</v>
      </c>
      <c r="BA1432" s="1"/>
      <c r="BB1432" s="1"/>
      <c r="BC1432" s="1" t="s">
        <v>230</v>
      </c>
      <c r="BD1432" s="1" t="s">
        <v>441</v>
      </c>
      <c r="BE1432" s="1">
        <v>64</v>
      </c>
      <c r="BF1432" s="1">
        <v>7.15</v>
      </c>
      <c r="BG1432" s="1"/>
      <c r="BH1432" s="1"/>
      <c r="BI1432" s="1"/>
      <c r="BJ1432" s="1"/>
      <c r="BK1432" s="1"/>
      <c r="BL1432" s="1"/>
      <c r="BM1432" s="1"/>
      <c r="BN1432" s="1"/>
      <c r="BO1432" s="1" t="s">
        <v>25463</v>
      </c>
      <c r="BP1432" s="1"/>
      <c r="BQ1432" s="1"/>
      <c r="BR1432" s="1" t="s">
        <v>25464</v>
      </c>
      <c r="BS1432" s="1">
        <v>15</v>
      </c>
      <c r="BT1432" s="1"/>
      <c r="BU1432" s="1" t="str">
        <f>HYPERLINK("https://nconnect.nicmar.ac.in/storage/profile/ProfilePhoto_p2270015_543612.jpg","Download")</f>
        <v>0</v>
      </c>
      <c r="BV1432" s="3"/>
      <c r="BW1432" s="3"/>
    </row>
    <row r="1433" spans="1:75">
      <c r="A1433" s="1" t="s">
        <v>75</v>
      </c>
      <c r="B1433" s="1" t="s">
        <v>25236</v>
      </c>
      <c r="C1433" s="1" t="s">
        <v>25465</v>
      </c>
      <c r="D1433" s="1" t="s">
        <v>25466</v>
      </c>
      <c r="E1433" s="1"/>
      <c r="F1433" s="1" t="s">
        <v>2963</v>
      </c>
      <c r="G1433" s="1" t="s">
        <v>25467</v>
      </c>
      <c r="H1433" s="1" t="s">
        <v>25468</v>
      </c>
      <c r="I1433" s="1" t="s">
        <v>25469</v>
      </c>
      <c r="J1433" s="1">
        <v>9705198810</v>
      </c>
      <c r="K1433" s="1" t="s">
        <v>84</v>
      </c>
      <c r="L1433" s="1" t="s">
        <v>25470</v>
      </c>
      <c r="M1433" s="1" t="s">
        <v>86</v>
      </c>
      <c r="N1433" s="1" t="s">
        <v>4278</v>
      </c>
      <c r="O1433" s="1" t="s">
        <v>25471</v>
      </c>
      <c r="P1433" s="1" t="s">
        <v>507</v>
      </c>
      <c r="Q1433" s="1" t="s">
        <v>25472</v>
      </c>
      <c r="R1433" s="1" t="s">
        <v>25473</v>
      </c>
      <c r="S1433" s="1">
        <v>9848035841</v>
      </c>
      <c r="T1433" s="1" t="s">
        <v>839</v>
      </c>
      <c r="U1433" s="1" t="s">
        <v>25474</v>
      </c>
      <c r="V1433" s="1">
        <v>9666635841</v>
      </c>
      <c r="W1433" s="1" t="s">
        <v>94</v>
      </c>
      <c r="X1433" s="1" t="s">
        <v>25475</v>
      </c>
      <c r="Y1433" s="1" t="s">
        <v>3031</v>
      </c>
      <c r="Z1433" s="1" t="s">
        <v>461</v>
      </c>
      <c r="AA1433" s="1" t="s">
        <v>25475</v>
      </c>
      <c r="AB1433" s="1" t="s">
        <v>3031</v>
      </c>
      <c r="AC1433" s="1" t="s">
        <v>461</v>
      </c>
      <c r="AD1433" s="1" t="s">
        <v>98</v>
      </c>
      <c r="AE1433" s="1" t="s">
        <v>98</v>
      </c>
      <c r="AF1433" s="1" t="s">
        <v>25476</v>
      </c>
      <c r="AG1433" s="1" t="s">
        <v>25477</v>
      </c>
      <c r="AH1433" s="1" t="s">
        <v>515</v>
      </c>
      <c r="AI1433" s="1" t="s">
        <v>136</v>
      </c>
      <c r="AJ1433" s="1">
        <v>62.7</v>
      </c>
      <c r="AK1433" s="1">
        <v>6.6</v>
      </c>
      <c r="AL1433" s="1" t="s">
        <v>25478</v>
      </c>
      <c r="AM1433" s="1" t="s">
        <v>25477</v>
      </c>
      <c r="AN1433" s="1"/>
      <c r="AO1433" s="1" t="s">
        <v>342</v>
      </c>
      <c r="AP1433" s="1" t="s">
        <v>704</v>
      </c>
      <c r="AQ1433" s="1">
        <v>83.2</v>
      </c>
      <c r="AR1433" s="1">
        <v>0</v>
      </c>
      <c r="AS1433" s="1"/>
      <c r="AT1433" s="1"/>
      <c r="AU1433" s="1"/>
      <c r="AV1433" s="1"/>
      <c r="AW1433" s="1"/>
      <c r="AX1433" s="1"/>
      <c r="AY1433" s="1" t="s">
        <v>25479</v>
      </c>
      <c r="AZ1433" s="1" t="s">
        <v>25480</v>
      </c>
      <c r="BA1433" s="1"/>
      <c r="BB1433" s="1"/>
      <c r="BC1433" s="1" t="s">
        <v>5535</v>
      </c>
      <c r="BD1433" s="1" t="s">
        <v>549</v>
      </c>
      <c r="BE1433" s="1">
        <v>62.66</v>
      </c>
      <c r="BF1433" s="1">
        <v>6.69</v>
      </c>
      <c r="BG1433" s="1"/>
      <c r="BH1433" s="1"/>
      <c r="BI1433" s="1"/>
      <c r="BJ1433" s="1"/>
      <c r="BK1433" s="1"/>
      <c r="BL1433" s="1"/>
      <c r="BM1433" s="1"/>
      <c r="BN1433" s="1"/>
      <c r="BO1433" s="1" t="s">
        <v>369</v>
      </c>
      <c r="BP1433" s="1"/>
      <c r="BQ1433" s="1"/>
      <c r="BR1433" s="1" t="s">
        <v>25481</v>
      </c>
      <c r="BS1433" s="1">
        <v>7</v>
      </c>
      <c r="BT1433" s="1"/>
      <c r="BU1433" s="1" t="str">
        <f>HYPERLINK("https://nconnect.nicmar.ac.in/storage/profile/ProfilePhoto_p2270016_745369.jpg","Download")</f>
        <v>0</v>
      </c>
      <c r="BV1433" s="3"/>
      <c r="BW1433" s="3"/>
    </row>
    <row r="1434" spans="1:75">
      <c r="A1434" s="1" t="s">
        <v>75</v>
      </c>
      <c r="B1434" s="1" t="s">
        <v>25236</v>
      </c>
      <c r="C1434" s="1" t="s">
        <v>25482</v>
      </c>
      <c r="D1434" s="1" t="s">
        <v>12804</v>
      </c>
      <c r="E1434" s="1" t="s">
        <v>2405</v>
      </c>
      <c r="F1434" s="1" t="s">
        <v>17338</v>
      </c>
      <c r="G1434" s="1" t="s">
        <v>25483</v>
      </c>
      <c r="H1434" s="1" t="s">
        <v>25484</v>
      </c>
      <c r="I1434" s="1" t="s">
        <v>25485</v>
      </c>
      <c r="J1434" s="1">
        <v>9767014212</v>
      </c>
      <c r="K1434" s="1" t="s">
        <v>84</v>
      </c>
      <c r="L1434" s="1" t="s">
        <v>25486</v>
      </c>
      <c r="M1434" s="1" t="s">
        <v>86</v>
      </c>
      <c r="N1434" s="1" t="s">
        <v>1470</v>
      </c>
      <c r="O1434" s="1" t="s">
        <v>25487</v>
      </c>
      <c r="P1434" s="1" t="s">
        <v>481</v>
      </c>
      <c r="Q1434" s="1" t="s">
        <v>25488</v>
      </c>
      <c r="R1434" s="1" t="s">
        <v>25489</v>
      </c>
      <c r="S1434" s="1">
        <v>8806449396</v>
      </c>
      <c r="T1434" s="1" t="s">
        <v>25490</v>
      </c>
      <c r="U1434" s="1" t="s">
        <v>25491</v>
      </c>
      <c r="V1434" s="1">
        <v>8999481987</v>
      </c>
      <c r="W1434" s="1" t="s">
        <v>541</v>
      </c>
      <c r="X1434" s="1" t="s">
        <v>25492</v>
      </c>
      <c r="Y1434" s="1" t="s">
        <v>96</v>
      </c>
      <c r="Z1434" s="1" t="s">
        <v>97</v>
      </c>
      <c r="AA1434" s="1" t="s">
        <v>25493</v>
      </c>
      <c r="AB1434" s="1" t="s">
        <v>196</v>
      </c>
      <c r="AC1434" s="1" t="s">
        <v>97</v>
      </c>
      <c r="AD1434" s="1" t="s">
        <v>98</v>
      </c>
      <c r="AE1434" s="1" t="s">
        <v>98</v>
      </c>
      <c r="AF1434" s="1" t="s">
        <v>25494</v>
      </c>
      <c r="AG1434" s="1" t="s">
        <v>25495</v>
      </c>
      <c r="AH1434" s="1" t="s">
        <v>166</v>
      </c>
      <c r="AI1434" s="1" t="s">
        <v>167</v>
      </c>
      <c r="AJ1434" s="1">
        <v>83.6</v>
      </c>
      <c r="AK1434" s="1">
        <v>8.8</v>
      </c>
      <c r="AL1434" s="1" t="s">
        <v>25496</v>
      </c>
      <c r="AM1434" s="1" t="s">
        <v>25495</v>
      </c>
      <c r="AN1434" s="1"/>
      <c r="AO1434" s="1" t="s">
        <v>170</v>
      </c>
      <c r="AP1434" s="1" t="s">
        <v>106</v>
      </c>
      <c r="AQ1434" s="1">
        <v>69.85</v>
      </c>
      <c r="AR1434" s="1">
        <v>0</v>
      </c>
      <c r="AS1434" s="1"/>
      <c r="AT1434" s="1"/>
      <c r="AU1434" s="1"/>
      <c r="AV1434" s="1"/>
      <c r="AW1434" s="1"/>
      <c r="AX1434" s="1"/>
      <c r="AY1434" s="1" t="s">
        <v>25497</v>
      </c>
      <c r="AZ1434" s="1" t="s">
        <v>25498</v>
      </c>
      <c r="BA1434" s="1"/>
      <c r="BB1434" s="1"/>
      <c r="BC1434" s="1" t="s">
        <v>106</v>
      </c>
      <c r="BD1434" s="1" t="s">
        <v>289</v>
      </c>
      <c r="BE1434" s="1">
        <v>78.3</v>
      </c>
      <c r="BF1434" s="1">
        <v>8.33</v>
      </c>
      <c r="BG1434" s="1"/>
      <c r="BH1434" s="1"/>
      <c r="BI1434" s="1"/>
      <c r="BJ1434" s="1"/>
      <c r="BK1434" s="1"/>
      <c r="BL1434" s="1"/>
      <c r="BM1434" s="1"/>
      <c r="BN1434" s="1"/>
      <c r="BO1434" s="1" t="s">
        <v>25499</v>
      </c>
      <c r="BP1434" s="1"/>
      <c r="BQ1434" s="1"/>
      <c r="BR1434" s="1" t="s">
        <v>25500</v>
      </c>
      <c r="BS1434" s="1">
        <v>22</v>
      </c>
      <c r="BT1434" s="1"/>
      <c r="BU1434" s="1" t="str">
        <f>HYPERLINK("https://nconnect.nicmar.ac.in/storage/profile/ProfilePhoto_p2270017_741932.jpg","Download")</f>
        <v>0</v>
      </c>
      <c r="BV1434" s="3"/>
      <c r="BW1434" s="3"/>
    </row>
    <row r="1435" spans="1:75">
      <c r="A1435" s="1" t="s">
        <v>75</v>
      </c>
      <c r="B1435" s="1" t="s">
        <v>25236</v>
      </c>
      <c r="C1435" s="1" t="s">
        <v>25501</v>
      </c>
      <c r="D1435" s="1" t="s">
        <v>1319</v>
      </c>
      <c r="E1435" s="1" t="s">
        <v>25502</v>
      </c>
      <c r="F1435" s="1" t="s">
        <v>9739</v>
      </c>
      <c r="G1435" s="1" t="s">
        <v>25503</v>
      </c>
      <c r="H1435" s="1" t="s">
        <v>25504</v>
      </c>
      <c r="I1435" s="1" t="s">
        <v>25505</v>
      </c>
      <c r="J1435" s="1">
        <v>7040226577</v>
      </c>
      <c r="K1435" s="1" t="s">
        <v>84</v>
      </c>
      <c r="L1435" s="1" t="s">
        <v>25506</v>
      </c>
      <c r="M1435" s="1" t="s">
        <v>86</v>
      </c>
      <c r="N1435" s="1" t="s">
        <v>7467</v>
      </c>
      <c r="O1435" s="1" t="s">
        <v>25507</v>
      </c>
      <c r="P1435" s="1" t="s">
        <v>1028</v>
      </c>
      <c r="Q1435" s="1" t="s">
        <v>25508</v>
      </c>
      <c r="R1435" s="1" t="s">
        <v>25509</v>
      </c>
      <c r="S1435" s="1">
        <v>8698962359</v>
      </c>
      <c r="T1435" s="1" t="s">
        <v>382</v>
      </c>
      <c r="U1435" s="1" t="s">
        <v>25510</v>
      </c>
      <c r="V1435" s="1">
        <v>9373387287</v>
      </c>
      <c r="W1435" s="1" t="s">
        <v>278</v>
      </c>
      <c r="X1435" s="1" t="s">
        <v>25511</v>
      </c>
      <c r="Y1435" s="1" t="s">
        <v>196</v>
      </c>
      <c r="Z1435" s="1" t="s">
        <v>97</v>
      </c>
      <c r="AA1435" s="1" t="s">
        <v>25511</v>
      </c>
      <c r="AB1435" s="1" t="s">
        <v>196</v>
      </c>
      <c r="AC1435" s="1" t="s">
        <v>97</v>
      </c>
      <c r="AD1435" s="1" t="s">
        <v>98</v>
      </c>
      <c r="AE1435" s="1" t="s">
        <v>98</v>
      </c>
      <c r="AF1435" s="1" t="s">
        <v>25512</v>
      </c>
      <c r="AG1435" s="1" t="s">
        <v>25513</v>
      </c>
      <c r="AH1435" s="1" t="s">
        <v>3421</v>
      </c>
      <c r="AI1435" s="1" t="s">
        <v>1262</v>
      </c>
      <c r="AJ1435" s="1">
        <v>70.6</v>
      </c>
      <c r="AK1435" s="1">
        <v>7.6</v>
      </c>
      <c r="AL1435" s="1"/>
      <c r="AM1435" s="1"/>
      <c r="AN1435" s="1"/>
      <c r="AO1435" s="1"/>
      <c r="AP1435" s="1"/>
      <c r="AQ1435" s="1"/>
      <c r="AR1435" s="1"/>
      <c r="AS1435" s="1" t="s">
        <v>103</v>
      </c>
      <c r="AT1435" s="1" t="s">
        <v>25514</v>
      </c>
      <c r="AU1435" s="1" t="s">
        <v>101</v>
      </c>
      <c r="AV1435" s="1" t="s">
        <v>170</v>
      </c>
      <c r="AW1435" s="1">
        <v>77.76</v>
      </c>
      <c r="AX1435" s="1"/>
      <c r="AY1435" s="1" t="s">
        <v>366</v>
      </c>
      <c r="AZ1435" s="1" t="s">
        <v>25515</v>
      </c>
      <c r="BA1435" s="1"/>
      <c r="BB1435" s="1"/>
      <c r="BC1435" s="1" t="s">
        <v>388</v>
      </c>
      <c r="BD1435" s="1" t="s">
        <v>175</v>
      </c>
      <c r="BE1435" s="1">
        <v>63.6</v>
      </c>
      <c r="BF1435" s="1">
        <v>7.11</v>
      </c>
      <c r="BG1435" s="1"/>
      <c r="BH1435" s="1"/>
      <c r="BI1435" s="1"/>
      <c r="BJ1435" s="1"/>
      <c r="BK1435" s="1"/>
      <c r="BL1435" s="1"/>
      <c r="BM1435" s="1"/>
      <c r="BN1435" s="1"/>
      <c r="BO1435" s="1" t="s">
        <v>25516</v>
      </c>
      <c r="BP1435" s="1" t="s">
        <v>25517</v>
      </c>
      <c r="BQ1435" s="1" t="s">
        <v>2213</v>
      </c>
      <c r="BR1435" s="1" t="s">
        <v>25518</v>
      </c>
      <c r="BS1435" s="1">
        <v>26</v>
      </c>
      <c r="BT1435" s="1"/>
      <c r="BU1435" s="1" t="str">
        <f>HYPERLINK("https://nconnect.nicmar.ac.in/storage/profile/ProfilePhoto_p2270018_276543.jpg","Download")</f>
        <v>0</v>
      </c>
      <c r="BV1435" s="3"/>
      <c r="BW1435" s="3"/>
    </row>
    <row r="1436" spans="1:75">
      <c r="A1436" s="1" t="s">
        <v>75</v>
      </c>
      <c r="B1436" s="1" t="s">
        <v>25236</v>
      </c>
      <c r="C1436" s="1" t="s">
        <v>25519</v>
      </c>
      <c r="D1436" s="1" t="s">
        <v>25520</v>
      </c>
      <c r="E1436" s="1" t="s">
        <v>25521</v>
      </c>
      <c r="F1436" s="1" t="s">
        <v>25522</v>
      </c>
      <c r="G1436" s="1" t="s">
        <v>25523</v>
      </c>
      <c r="H1436" s="1" t="s">
        <v>25524</v>
      </c>
      <c r="I1436" s="1" t="s">
        <v>25525</v>
      </c>
      <c r="J1436" s="1">
        <v>9121739182</v>
      </c>
      <c r="K1436" s="1" t="s">
        <v>84</v>
      </c>
      <c r="L1436" s="1" t="s">
        <v>25526</v>
      </c>
      <c r="M1436" s="1" t="s">
        <v>86</v>
      </c>
      <c r="N1436" s="1" t="s">
        <v>25527</v>
      </c>
      <c r="O1436" s="1" t="s">
        <v>25528</v>
      </c>
      <c r="P1436" s="1" t="s">
        <v>455</v>
      </c>
      <c r="Q1436" s="1" t="s">
        <v>25529</v>
      </c>
      <c r="R1436" s="1" t="s">
        <v>25530</v>
      </c>
      <c r="S1436" s="1">
        <v>9014357575</v>
      </c>
      <c r="T1436" s="1" t="s">
        <v>92</v>
      </c>
      <c r="U1436" s="1" t="s">
        <v>25531</v>
      </c>
      <c r="V1436" s="1">
        <v>9392444325</v>
      </c>
      <c r="W1436" s="1" t="s">
        <v>127</v>
      </c>
      <c r="X1436" s="1" t="s">
        <v>25532</v>
      </c>
      <c r="Y1436" s="1" t="s">
        <v>25533</v>
      </c>
      <c r="Z1436" s="1" t="s">
        <v>281</v>
      </c>
      <c r="AA1436" s="1" t="s">
        <v>25532</v>
      </c>
      <c r="AB1436" s="1" t="s">
        <v>25533</v>
      </c>
      <c r="AC1436" s="1" t="s">
        <v>281</v>
      </c>
      <c r="AD1436" s="1" t="s">
        <v>98</v>
      </c>
      <c r="AE1436" s="1" t="s">
        <v>98</v>
      </c>
      <c r="AF1436" s="1" t="s">
        <v>25534</v>
      </c>
      <c r="AG1436" s="1" t="s">
        <v>25535</v>
      </c>
      <c r="AH1436" s="1" t="s">
        <v>101</v>
      </c>
      <c r="AI1436" s="1" t="s">
        <v>1110</v>
      </c>
      <c r="AJ1436" s="1">
        <v>71.33</v>
      </c>
      <c r="AK1436" s="1">
        <v>0</v>
      </c>
      <c r="AL1436" s="1" t="s">
        <v>25536</v>
      </c>
      <c r="AM1436" s="1" t="s">
        <v>25535</v>
      </c>
      <c r="AN1436" s="1"/>
      <c r="AO1436" s="1" t="s">
        <v>167</v>
      </c>
      <c r="AP1436" s="1" t="s">
        <v>704</v>
      </c>
      <c r="AQ1436" s="1">
        <v>73.66</v>
      </c>
      <c r="AR1436" s="1">
        <v>0</v>
      </c>
      <c r="AS1436" s="1"/>
      <c r="AT1436" s="1"/>
      <c r="AU1436" s="1"/>
      <c r="AV1436" s="1"/>
      <c r="AW1436" s="1"/>
      <c r="AX1436" s="1"/>
      <c r="AY1436" s="1" t="s">
        <v>7595</v>
      </c>
      <c r="AZ1436" s="1" t="s">
        <v>25537</v>
      </c>
      <c r="BA1436" s="1"/>
      <c r="BB1436" s="1"/>
      <c r="BC1436" s="1" t="s">
        <v>230</v>
      </c>
      <c r="BD1436" s="1" t="s">
        <v>441</v>
      </c>
      <c r="BE1436" s="1">
        <v>72.9</v>
      </c>
      <c r="BF1436" s="1">
        <v>7.29</v>
      </c>
      <c r="BG1436" s="1"/>
      <c r="BH1436" s="1"/>
      <c r="BI1436" s="1"/>
      <c r="BJ1436" s="1"/>
      <c r="BK1436" s="1"/>
      <c r="BL1436" s="1"/>
      <c r="BM1436" s="1"/>
      <c r="BN1436" s="1"/>
      <c r="BO1436" s="1" t="s">
        <v>25538</v>
      </c>
      <c r="BP1436" s="1"/>
      <c r="BQ1436" s="1"/>
      <c r="BR1436" s="1" t="s">
        <v>25539</v>
      </c>
      <c r="BS1436" s="1">
        <v>7</v>
      </c>
      <c r="BT1436" s="1"/>
      <c r="BU1436" s="1" t="str">
        <f>HYPERLINK("https://nconnect.nicmar.ac.in/storage/profile/ProfilePhoto_p2270019_385679.jpg","Download")</f>
        <v>0</v>
      </c>
      <c r="BV1436" s="3"/>
      <c r="BW1436" s="3"/>
    </row>
    <row r="1437" spans="1:75">
      <c r="A1437" s="1" t="s">
        <v>75</v>
      </c>
      <c r="B1437" s="1" t="s">
        <v>25236</v>
      </c>
      <c r="C1437" s="1" t="s">
        <v>25540</v>
      </c>
      <c r="D1437" s="1" t="s">
        <v>25541</v>
      </c>
      <c r="E1437" s="1"/>
      <c r="F1437" s="1" t="s">
        <v>24258</v>
      </c>
      <c r="G1437" s="1" t="s">
        <v>25542</v>
      </c>
      <c r="H1437" s="1" t="s">
        <v>25543</v>
      </c>
      <c r="I1437" s="1" t="s">
        <v>25544</v>
      </c>
      <c r="J1437" s="1">
        <v>7978569401</v>
      </c>
      <c r="K1437" s="1" t="s">
        <v>84</v>
      </c>
      <c r="L1437" s="1" t="s">
        <v>25545</v>
      </c>
      <c r="M1437" s="1" t="s">
        <v>86</v>
      </c>
      <c r="N1437" s="1" t="s">
        <v>25546</v>
      </c>
      <c r="O1437" s="1" t="s">
        <v>25547</v>
      </c>
      <c r="P1437" s="1" t="s">
        <v>507</v>
      </c>
      <c r="Q1437" s="1" t="s">
        <v>25548</v>
      </c>
      <c r="R1437" s="1" t="s">
        <v>25549</v>
      </c>
      <c r="S1437" s="1">
        <v>9777532955</v>
      </c>
      <c r="T1437" s="1" t="s">
        <v>926</v>
      </c>
      <c r="U1437" s="1" t="s">
        <v>25550</v>
      </c>
      <c r="V1437" s="1">
        <v>7764046830</v>
      </c>
      <c r="W1437" s="1" t="s">
        <v>94</v>
      </c>
      <c r="X1437" s="1" t="s">
        <v>25551</v>
      </c>
      <c r="Y1437" s="1" t="s">
        <v>25552</v>
      </c>
      <c r="Z1437" s="1" t="s">
        <v>649</v>
      </c>
      <c r="AA1437" s="1" t="s">
        <v>25551</v>
      </c>
      <c r="AB1437" s="1" t="s">
        <v>25552</v>
      </c>
      <c r="AC1437" s="1" t="s">
        <v>649</v>
      </c>
      <c r="AD1437" s="1" t="s">
        <v>98</v>
      </c>
      <c r="AE1437" s="1" t="s">
        <v>98</v>
      </c>
      <c r="AF1437" s="1" t="s">
        <v>25553</v>
      </c>
      <c r="AG1437" s="1" t="s">
        <v>25554</v>
      </c>
      <c r="AH1437" s="1" t="s">
        <v>337</v>
      </c>
      <c r="AI1437" s="1" t="s">
        <v>134</v>
      </c>
      <c r="AJ1437" s="1">
        <v>72.2</v>
      </c>
      <c r="AK1437" s="1">
        <v>7.6</v>
      </c>
      <c r="AL1437" s="1" t="s">
        <v>25555</v>
      </c>
      <c r="AM1437" s="1" t="s">
        <v>2205</v>
      </c>
      <c r="AN1437" s="1"/>
      <c r="AO1437" s="1" t="s">
        <v>1213</v>
      </c>
      <c r="AP1437" s="1" t="s">
        <v>136</v>
      </c>
      <c r="AQ1437" s="1">
        <v>68.4</v>
      </c>
      <c r="AR1437" s="1"/>
      <c r="AS1437" s="1"/>
      <c r="AT1437" s="1"/>
      <c r="AU1437" s="1"/>
      <c r="AV1437" s="1"/>
      <c r="AW1437" s="1"/>
      <c r="AX1437" s="1"/>
      <c r="AY1437" s="1" t="s">
        <v>1264</v>
      </c>
      <c r="AZ1437" s="1" t="s">
        <v>25556</v>
      </c>
      <c r="BA1437" s="1"/>
      <c r="BB1437" s="1"/>
      <c r="BC1437" s="1" t="s">
        <v>342</v>
      </c>
      <c r="BD1437" s="1" t="s">
        <v>315</v>
      </c>
      <c r="BE1437" s="1">
        <v>70</v>
      </c>
      <c r="BF1437" s="1">
        <v>7.5</v>
      </c>
      <c r="BG1437" s="1"/>
      <c r="BH1437" s="1"/>
      <c r="BI1437" s="1"/>
      <c r="BJ1437" s="1"/>
      <c r="BK1437" s="1"/>
      <c r="BL1437" s="1"/>
      <c r="BM1437" s="1"/>
      <c r="BN1437" s="1"/>
      <c r="BO1437" s="1" t="s">
        <v>25557</v>
      </c>
      <c r="BP1437" s="1" t="s">
        <v>25558</v>
      </c>
      <c r="BQ1437" s="1" t="s">
        <v>345</v>
      </c>
      <c r="BR1437" s="1" t="s">
        <v>25559</v>
      </c>
      <c r="BS1437" s="1">
        <v>37</v>
      </c>
      <c r="BT1437" s="1"/>
      <c r="BU1437" s="1" t="str">
        <f>HYPERLINK("https://nconnect.nicmar.ac.in/storage/profile/ProfilePhoto_p2270020_493817.jpg","Download")</f>
        <v>0</v>
      </c>
      <c r="BV1437" s="3"/>
      <c r="BW1437" s="3"/>
    </row>
    <row r="1438" spans="1:75">
      <c r="A1438" s="1" t="s">
        <v>75</v>
      </c>
      <c r="B1438" s="1" t="s">
        <v>25236</v>
      </c>
      <c r="C1438" s="1" t="s">
        <v>25560</v>
      </c>
      <c r="D1438" s="1" t="s">
        <v>25561</v>
      </c>
      <c r="E1438" s="1" t="s">
        <v>25562</v>
      </c>
      <c r="F1438" s="1" t="s">
        <v>25563</v>
      </c>
      <c r="G1438" s="1" t="s">
        <v>25564</v>
      </c>
      <c r="H1438" s="1" t="s">
        <v>25565</v>
      </c>
      <c r="I1438" s="1" t="s">
        <v>25566</v>
      </c>
      <c r="J1438" s="1">
        <v>9626468178</v>
      </c>
      <c r="K1438" s="1" t="s">
        <v>84</v>
      </c>
      <c r="L1438" s="1" t="s">
        <v>25567</v>
      </c>
      <c r="M1438" s="1" t="s">
        <v>86</v>
      </c>
      <c r="N1438" s="1" t="s">
        <v>25568</v>
      </c>
      <c r="O1438" s="1" t="s">
        <v>25569</v>
      </c>
      <c r="P1438" s="1" t="s">
        <v>507</v>
      </c>
      <c r="Q1438" s="1" t="s">
        <v>25570</v>
      </c>
      <c r="R1438" s="1" t="s">
        <v>25571</v>
      </c>
      <c r="S1438" s="1">
        <v>9487727665</v>
      </c>
      <c r="T1438" s="1" t="s">
        <v>25572</v>
      </c>
      <c r="U1438" s="1" t="s">
        <v>25573</v>
      </c>
      <c r="V1438" s="1">
        <v>6380713393</v>
      </c>
      <c r="W1438" s="1" t="s">
        <v>278</v>
      </c>
      <c r="X1438" s="1" t="s">
        <v>25574</v>
      </c>
      <c r="Y1438" s="1" t="s">
        <v>2131</v>
      </c>
      <c r="Z1438" s="1" t="s">
        <v>570</v>
      </c>
      <c r="AA1438" s="1" t="s">
        <v>25575</v>
      </c>
      <c r="AB1438" s="1" t="s">
        <v>196</v>
      </c>
      <c r="AC1438" s="1" t="s">
        <v>97</v>
      </c>
      <c r="AD1438" s="1" t="s">
        <v>98</v>
      </c>
      <c r="AE1438" s="1" t="s">
        <v>98</v>
      </c>
      <c r="AF1438" s="1" t="s">
        <v>25576</v>
      </c>
      <c r="AG1438" s="1" t="s">
        <v>11517</v>
      </c>
      <c r="AH1438" s="1" t="s">
        <v>133</v>
      </c>
      <c r="AI1438" s="1" t="s">
        <v>134</v>
      </c>
      <c r="AJ1438" s="1">
        <v>96.6</v>
      </c>
      <c r="AK1438" s="1"/>
      <c r="AL1438" s="1" t="s">
        <v>25576</v>
      </c>
      <c r="AM1438" s="1" t="s">
        <v>11517</v>
      </c>
      <c r="AN1438" s="1"/>
      <c r="AO1438" s="1" t="s">
        <v>101</v>
      </c>
      <c r="AP1438" s="1" t="s">
        <v>136</v>
      </c>
      <c r="AQ1438" s="1">
        <v>88.91</v>
      </c>
      <c r="AR1438" s="1"/>
      <c r="AS1438" s="1"/>
      <c r="AT1438" s="1"/>
      <c r="AU1438" s="1"/>
      <c r="AV1438" s="1"/>
      <c r="AW1438" s="1"/>
      <c r="AX1438" s="1"/>
      <c r="AY1438" s="1" t="s">
        <v>25577</v>
      </c>
      <c r="AZ1438" s="1" t="s">
        <v>2135</v>
      </c>
      <c r="BA1438" s="1"/>
      <c r="BB1438" s="1"/>
      <c r="BC1438" s="1" t="s">
        <v>166</v>
      </c>
      <c r="BD1438" s="1" t="s">
        <v>313</v>
      </c>
      <c r="BE1438" s="1">
        <v>81.9</v>
      </c>
      <c r="BF1438" s="1">
        <v>8.19</v>
      </c>
      <c r="BG1438" s="1"/>
      <c r="BH1438" s="1"/>
      <c r="BI1438" s="1"/>
      <c r="BJ1438" s="1"/>
      <c r="BK1438" s="1"/>
      <c r="BL1438" s="1"/>
      <c r="BM1438" s="1"/>
      <c r="BN1438" s="1"/>
      <c r="BO1438" s="1" t="s">
        <v>25578</v>
      </c>
      <c r="BP1438" s="1" t="s">
        <v>25579</v>
      </c>
      <c r="BQ1438" s="1" t="s">
        <v>345</v>
      </c>
      <c r="BR1438" s="1" t="s">
        <v>25580</v>
      </c>
      <c r="BS1438" s="1">
        <v>8</v>
      </c>
      <c r="BT1438" s="1"/>
      <c r="BU1438" s="1" t="str">
        <f>HYPERLINK("https://nconnect.nicmar.ac.in/storage/profile/ProfilePhoto_p2270021_765283.jpg","Download")</f>
        <v>0</v>
      </c>
      <c r="BV1438" s="3"/>
      <c r="BW1438" s="3"/>
    </row>
    <row r="1439" spans="1:75">
      <c r="A1439" s="1" t="s">
        <v>75</v>
      </c>
      <c r="B1439" s="1" t="s">
        <v>25236</v>
      </c>
      <c r="C1439" s="1" t="s">
        <v>25581</v>
      </c>
      <c r="D1439" s="1" t="s">
        <v>25582</v>
      </c>
      <c r="E1439" s="1" t="s">
        <v>25583</v>
      </c>
      <c r="F1439" s="1" t="s">
        <v>25584</v>
      </c>
      <c r="G1439" s="1" t="s">
        <v>25585</v>
      </c>
      <c r="H1439" s="1" t="s">
        <v>25586</v>
      </c>
      <c r="I1439" s="1" t="s">
        <v>25587</v>
      </c>
      <c r="J1439" s="1">
        <v>7620900982</v>
      </c>
      <c r="K1439" s="1" t="s">
        <v>84</v>
      </c>
      <c r="L1439" s="1" t="s">
        <v>8403</v>
      </c>
      <c r="M1439" s="1" t="s">
        <v>86</v>
      </c>
      <c r="N1439" s="1" t="s">
        <v>4199</v>
      </c>
      <c r="O1439" s="1" t="s">
        <v>25588</v>
      </c>
      <c r="P1439" s="1" t="s">
        <v>670</v>
      </c>
      <c r="Q1439" s="1" t="s">
        <v>25589</v>
      </c>
      <c r="R1439" s="1" t="s">
        <v>25590</v>
      </c>
      <c r="S1439" s="1">
        <v>9881469684</v>
      </c>
      <c r="T1439" s="1" t="s">
        <v>4776</v>
      </c>
      <c r="U1439" s="1" t="s">
        <v>25591</v>
      </c>
      <c r="V1439" s="1">
        <v>9049992819</v>
      </c>
      <c r="W1439" s="1" t="s">
        <v>4776</v>
      </c>
      <c r="X1439" s="1" t="s">
        <v>25592</v>
      </c>
      <c r="Y1439" s="1" t="s">
        <v>196</v>
      </c>
      <c r="Z1439" s="1" t="s">
        <v>97</v>
      </c>
      <c r="AA1439" s="1" t="s">
        <v>25592</v>
      </c>
      <c r="AB1439" s="1" t="s">
        <v>196</v>
      </c>
      <c r="AC1439" s="1" t="s">
        <v>97</v>
      </c>
      <c r="AD1439" s="1" t="s">
        <v>98</v>
      </c>
      <c r="AE1439" s="1" t="s">
        <v>98</v>
      </c>
      <c r="AF1439" s="1" t="s">
        <v>8474</v>
      </c>
      <c r="AG1439" s="1" t="s">
        <v>775</v>
      </c>
      <c r="AH1439" s="1" t="s">
        <v>166</v>
      </c>
      <c r="AI1439" s="1" t="s">
        <v>1396</v>
      </c>
      <c r="AJ1439" s="1">
        <v>72.2</v>
      </c>
      <c r="AK1439" s="1">
        <v>0</v>
      </c>
      <c r="AL1439" s="1" t="s">
        <v>25593</v>
      </c>
      <c r="AM1439" s="1" t="s">
        <v>165</v>
      </c>
      <c r="AN1439" s="1"/>
      <c r="AO1439" s="1" t="s">
        <v>167</v>
      </c>
      <c r="AP1439" s="1" t="s">
        <v>106</v>
      </c>
      <c r="AQ1439" s="1">
        <v>65.08</v>
      </c>
      <c r="AR1439" s="1">
        <v>0</v>
      </c>
      <c r="AS1439" s="1"/>
      <c r="AT1439" s="1"/>
      <c r="AU1439" s="1"/>
      <c r="AV1439" s="1"/>
      <c r="AW1439" s="1"/>
      <c r="AX1439" s="1"/>
      <c r="AY1439" s="1" t="s">
        <v>25594</v>
      </c>
      <c r="AZ1439" s="1" t="s">
        <v>25595</v>
      </c>
      <c r="BA1439" s="1"/>
      <c r="BB1439" s="1"/>
      <c r="BC1439" s="1" t="s">
        <v>106</v>
      </c>
      <c r="BD1439" s="1" t="s">
        <v>289</v>
      </c>
      <c r="BE1439" s="1">
        <v>76.2</v>
      </c>
      <c r="BF1439" s="1"/>
      <c r="BG1439" s="1"/>
      <c r="BH1439" s="1"/>
      <c r="BI1439" s="1"/>
      <c r="BJ1439" s="1"/>
      <c r="BK1439" s="1"/>
      <c r="BL1439" s="1"/>
      <c r="BM1439" s="1"/>
      <c r="BN1439" s="1"/>
      <c r="BO1439" s="1" t="s">
        <v>25596</v>
      </c>
      <c r="BP1439" s="1"/>
      <c r="BQ1439" s="1"/>
      <c r="BR1439" s="1" t="s">
        <v>25597</v>
      </c>
      <c r="BS1439" s="1">
        <v>37</v>
      </c>
      <c r="BT1439" s="1"/>
      <c r="BU1439" s="1" t="str">
        <f>HYPERLINK("https://nconnect.nicmar.ac.in/storage/profile/ProfilePhoto_p2270022_724369.jpg","Download")</f>
        <v>0</v>
      </c>
      <c r="BV1439" s="3"/>
      <c r="BW1439" s="3"/>
    </row>
    <row r="1440" spans="1:75">
      <c r="A1440" s="1" t="s">
        <v>75</v>
      </c>
      <c r="B1440" s="1" t="s">
        <v>25236</v>
      </c>
      <c r="C1440" s="1" t="s">
        <v>25598</v>
      </c>
      <c r="D1440" s="1" t="s">
        <v>25599</v>
      </c>
      <c r="E1440" s="1"/>
      <c r="F1440" s="1" t="s">
        <v>25600</v>
      </c>
      <c r="G1440" s="1" t="s">
        <v>25601</v>
      </c>
      <c r="H1440" s="1" t="s">
        <v>25602</v>
      </c>
      <c r="I1440" s="1" t="s">
        <v>25603</v>
      </c>
      <c r="J1440" s="1">
        <v>8447858578</v>
      </c>
      <c r="K1440" s="1" t="s">
        <v>84</v>
      </c>
      <c r="L1440" s="1" t="s">
        <v>25604</v>
      </c>
      <c r="M1440" s="1" t="s">
        <v>86</v>
      </c>
      <c r="N1440" s="1" t="s">
        <v>25605</v>
      </c>
      <c r="O1440" s="1"/>
      <c r="P1440" s="1" t="s">
        <v>455</v>
      </c>
      <c r="Q1440" s="1" t="s">
        <v>25606</v>
      </c>
      <c r="R1440" s="1" t="s">
        <v>25607</v>
      </c>
      <c r="S1440" s="1">
        <v>8826300066</v>
      </c>
      <c r="T1440" s="1" t="s">
        <v>1620</v>
      </c>
      <c r="U1440" s="1" t="s">
        <v>25608</v>
      </c>
      <c r="V1440" s="1">
        <v>9910457668</v>
      </c>
      <c r="W1440" s="1" t="s">
        <v>161</v>
      </c>
      <c r="X1440" s="1" t="s">
        <v>25609</v>
      </c>
      <c r="Y1440" s="1" t="s">
        <v>9226</v>
      </c>
      <c r="Z1440" s="1" t="s">
        <v>1739</v>
      </c>
      <c r="AA1440" s="1" t="s">
        <v>25609</v>
      </c>
      <c r="AB1440" s="1" t="s">
        <v>9226</v>
      </c>
      <c r="AC1440" s="1" t="s">
        <v>1739</v>
      </c>
      <c r="AD1440" s="1" t="s">
        <v>98</v>
      </c>
      <c r="AE1440" s="1" t="s">
        <v>98</v>
      </c>
      <c r="AF1440" s="1" t="s">
        <v>25610</v>
      </c>
      <c r="AG1440" s="1" t="s">
        <v>25611</v>
      </c>
      <c r="AH1440" s="1" t="s">
        <v>1214</v>
      </c>
      <c r="AI1440" s="1" t="s">
        <v>136</v>
      </c>
      <c r="AJ1440" s="1">
        <v>72.2</v>
      </c>
      <c r="AK1440" s="1">
        <v>7.6</v>
      </c>
      <c r="AL1440" s="1" t="s">
        <v>25610</v>
      </c>
      <c r="AM1440" s="1" t="s">
        <v>25611</v>
      </c>
      <c r="AN1440" s="1"/>
      <c r="AO1440" s="1" t="s">
        <v>1111</v>
      </c>
      <c r="AP1440" s="1" t="s">
        <v>573</v>
      </c>
      <c r="AQ1440" s="1">
        <v>63.2</v>
      </c>
      <c r="AR1440" s="1"/>
      <c r="AS1440" s="1"/>
      <c r="AT1440" s="1"/>
      <c r="AU1440" s="1"/>
      <c r="AV1440" s="1"/>
      <c r="AW1440" s="1"/>
      <c r="AX1440" s="1"/>
      <c r="AY1440" s="1" t="s">
        <v>25612</v>
      </c>
      <c r="AZ1440" s="1" t="s">
        <v>25613</v>
      </c>
      <c r="BA1440" s="1"/>
      <c r="BB1440" s="1"/>
      <c r="BC1440" s="1" t="s">
        <v>230</v>
      </c>
      <c r="BD1440" s="1" t="s">
        <v>847</v>
      </c>
      <c r="BE1440" s="1">
        <v>73.4</v>
      </c>
      <c r="BF1440" s="1">
        <v>7.34</v>
      </c>
      <c r="BG1440" s="1"/>
      <c r="BH1440" s="1"/>
      <c r="BI1440" s="1"/>
      <c r="BJ1440" s="1"/>
      <c r="BK1440" s="1"/>
      <c r="BL1440" s="1"/>
      <c r="BM1440" s="1"/>
      <c r="BN1440" s="1"/>
      <c r="BO1440" s="1" t="s">
        <v>8688</v>
      </c>
      <c r="BP1440" s="1" t="s">
        <v>25614</v>
      </c>
      <c r="BQ1440" s="1" t="s">
        <v>1174</v>
      </c>
      <c r="BR1440" s="1" t="s">
        <v>25615</v>
      </c>
      <c r="BS1440" s="1">
        <v>19</v>
      </c>
      <c r="BT1440" s="1"/>
      <c r="BU1440" s="1" t="str">
        <f>HYPERLINK("https://nconnect.nicmar.ac.in/storage/profile/ProfilePhoto_p2270023_162785.jpg","Download")</f>
        <v>0</v>
      </c>
      <c r="BV1440" s="3"/>
      <c r="BW1440" s="3"/>
    </row>
    <row r="1441" spans="1:75">
      <c r="A1441" s="1" t="s">
        <v>75</v>
      </c>
      <c r="B1441" s="1" t="s">
        <v>25236</v>
      </c>
      <c r="C1441" s="1" t="s">
        <v>25616</v>
      </c>
      <c r="D1441" s="1" t="s">
        <v>12383</v>
      </c>
      <c r="E1441" s="1"/>
      <c r="F1441" s="1" t="s">
        <v>1997</v>
      </c>
      <c r="G1441" s="1" t="s">
        <v>25617</v>
      </c>
      <c r="H1441" s="1" t="s">
        <v>25618</v>
      </c>
      <c r="I1441" s="1" t="s">
        <v>25619</v>
      </c>
      <c r="J1441" s="1">
        <v>8217280821</v>
      </c>
      <c r="K1441" s="1" t="s">
        <v>84</v>
      </c>
      <c r="L1441" s="1" t="s">
        <v>25620</v>
      </c>
      <c r="M1441" s="1" t="s">
        <v>86</v>
      </c>
      <c r="N1441" s="1" t="s">
        <v>25621</v>
      </c>
      <c r="O1441" s="1"/>
      <c r="P1441" s="1" t="s">
        <v>455</v>
      </c>
      <c r="Q1441" s="1" t="s">
        <v>25622</v>
      </c>
      <c r="R1441" s="1" t="s">
        <v>25623</v>
      </c>
      <c r="S1441" s="1">
        <v>9880045770</v>
      </c>
      <c r="T1441" s="1" t="s">
        <v>25624</v>
      </c>
      <c r="U1441" s="1" t="s">
        <v>25625</v>
      </c>
      <c r="V1441" s="1">
        <v>8217281479</v>
      </c>
      <c r="W1441" s="1" t="s">
        <v>541</v>
      </c>
      <c r="X1441" s="1" t="s">
        <v>25626</v>
      </c>
      <c r="Y1441" s="1" t="s">
        <v>3132</v>
      </c>
      <c r="Z1441" s="1" t="s">
        <v>1210</v>
      </c>
      <c r="AA1441" s="1" t="s">
        <v>25626</v>
      </c>
      <c r="AB1441" s="1" t="s">
        <v>3132</v>
      </c>
      <c r="AC1441" s="1" t="s">
        <v>1210</v>
      </c>
      <c r="AD1441" s="1" t="s">
        <v>98</v>
      </c>
      <c r="AE1441" s="1" t="s">
        <v>98</v>
      </c>
      <c r="AF1441" s="1" t="s">
        <v>25627</v>
      </c>
      <c r="AG1441" s="1" t="s">
        <v>727</v>
      </c>
      <c r="AH1441" s="1" t="s">
        <v>101</v>
      </c>
      <c r="AI1441" s="1" t="s">
        <v>1110</v>
      </c>
      <c r="AJ1441" s="1">
        <v>86.24</v>
      </c>
      <c r="AK1441" s="1"/>
      <c r="AL1441" s="1" t="s">
        <v>25628</v>
      </c>
      <c r="AM1441" s="1" t="s">
        <v>727</v>
      </c>
      <c r="AN1441" s="1"/>
      <c r="AO1441" s="1" t="s">
        <v>167</v>
      </c>
      <c r="AP1441" s="1" t="s">
        <v>200</v>
      </c>
      <c r="AQ1441" s="1">
        <v>66.83</v>
      </c>
      <c r="AR1441" s="1"/>
      <c r="AS1441" s="1"/>
      <c r="AT1441" s="1"/>
      <c r="AU1441" s="1"/>
      <c r="AV1441" s="1"/>
      <c r="AW1441" s="1"/>
      <c r="AX1441" s="1"/>
      <c r="AY1441" s="1" t="s">
        <v>1217</v>
      </c>
      <c r="AZ1441" s="1" t="s">
        <v>25629</v>
      </c>
      <c r="BA1441" s="1"/>
      <c r="BB1441" s="1"/>
      <c r="BC1441" s="1" t="s">
        <v>230</v>
      </c>
      <c r="BD1441" s="1" t="s">
        <v>441</v>
      </c>
      <c r="BE1441" s="1">
        <v>78.1</v>
      </c>
      <c r="BF1441" s="1"/>
      <c r="BG1441" s="1"/>
      <c r="BH1441" s="1"/>
      <c r="BI1441" s="1"/>
      <c r="BJ1441" s="1"/>
      <c r="BK1441" s="1"/>
      <c r="BL1441" s="1"/>
      <c r="BM1441" s="1"/>
      <c r="BN1441" s="1"/>
      <c r="BO1441" s="1" t="s">
        <v>25630</v>
      </c>
      <c r="BP1441" s="1"/>
      <c r="BQ1441" s="1"/>
      <c r="BR1441" s="1" t="s">
        <v>25631</v>
      </c>
      <c r="BS1441" s="1">
        <v>11</v>
      </c>
      <c r="BT1441" s="1"/>
      <c r="BU1441" s="1" t="str">
        <f>HYPERLINK("https://nconnect.nicmar.ac.in/storage/profile/ProfilePhoto_p2270024_361258.jpg","Download")</f>
        <v>0</v>
      </c>
      <c r="BV1441" s="3"/>
      <c r="BW1441" s="3"/>
    </row>
    <row r="1442" spans="1:75">
      <c r="A1442" s="1" t="s">
        <v>75</v>
      </c>
      <c r="B1442" s="1" t="s">
        <v>25236</v>
      </c>
      <c r="C1442" s="1" t="s">
        <v>25632</v>
      </c>
      <c r="D1442" s="1" t="s">
        <v>3684</v>
      </c>
      <c r="E1442" s="1" t="s">
        <v>6880</v>
      </c>
      <c r="F1442" s="1" t="s">
        <v>25633</v>
      </c>
      <c r="G1442" s="1" t="s">
        <v>25634</v>
      </c>
      <c r="H1442" s="1" t="s">
        <v>25635</v>
      </c>
      <c r="I1442" s="1" t="s">
        <v>25636</v>
      </c>
      <c r="J1442" s="1">
        <v>9373188755</v>
      </c>
      <c r="K1442" s="1" t="s">
        <v>84</v>
      </c>
      <c r="L1442" s="1" t="s">
        <v>25637</v>
      </c>
      <c r="M1442" s="1" t="s">
        <v>86</v>
      </c>
      <c r="N1442" s="1" t="s">
        <v>618</v>
      </c>
      <c r="O1442" s="1" t="s">
        <v>25638</v>
      </c>
      <c r="P1442" s="1" t="s">
        <v>1028</v>
      </c>
      <c r="Q1442" s="1" t="s">
        <v>25639</v>
      </c>
      <c r="R1442" s="1" t="s">
        <v>25640</v>
      </c>
      <c r="S1442" s="1">
        <v>9096449589</v>
      </c>
      <c r="T1442" s="1" t="s">
        <v>839</v>
      </c>
      <c r="U1442" s="1" t="s">
        <v>25641</v>
      </c>
      <c r="V1442" s="1">
        <v>8275593246</v>
      </c>
      <c r="W1442" s="1" t="s">
        <v>278</v>
      </c>
      <c r="X1442" s="1" t="s">
        <v>25642</v>
      </c>
      <c r="Y1442" s="1" t="s">
        <v>196</v>
      </c>
      <c r="Z1442" s="1" t="s">
        <v>97</v>
      </c>
      <c r="AA1442" s="1" t="s">
        <v>25642</v>
      </c>
      <c r="AB1442" s="1" t="s">
        <v>196</v>
      </c>
      <c r="AC1442" s="1" t="s">
        <v>97</v>
      </c>
      <c r="AD1442" s="1" t="s">
        <v>98</v>
      </c>
      <c r="AE1442" s="1" t="s">
        <v>98</v>
      </c>
      <c r="AF1442" s="1" t="s">
        <v>25643</v>
      </c>
      <c r="AG1442" s="1" t="s">
        <v>165</v>
      </c>
      <c r="AH1442" s="1" t="s">
        <v>101</v>
      </c>
      <c r="AI1442" s="1" t="s">
        <v>102</v>
      </c>
      <c r="AJ1442" s="1">
        <v>61</v>
      </c>
      <c r="AK1442" s="1"/>
      <c r="AL1442" s="1"/>
      <c r="AM1442" s="1"/>
      <c r="AN1442" s="1"/>
      <c r="AO1442" s="1"/>
      <c r="AP1442" s="1"/>
      <c r="AQ1442" s="1"/>
      <c r="AR1442" s="1"/>
      <c r="AS1442" s="1" t="s">
        <v>103</v>
      </c>
      <c r="AT1442" s="1" t="s">
        <v>25644</v>
      </c>
      <c r="AU1442" s="1" t="s">
        <v>105</v>
      </c>
      <c r="AV1442" s="1" t="s">
        <v>106</v>
      </c>
      <c r="AW1442" s="1">
        <v>66.36</v>
      </c>
      <c r="AX1442" s="1"/>
      <c r="AY1442" s="1" t="s">
        <v>25645</v>
      </c>
      <c r="AZ1442" s="1" t="s">
        <v>25646</v>
      </c>
      <c r="BA1442" s="1"/>
      <c r="BB1442" s="1"/>
      <c r="BC1442" s="1" t="s">
        <v>25647</v>
      </c>
      <c r="BD1442" s="1" t="s">
        <v>441</v>
      </c>
      <c r="BE1442" s="1">
        <v>84.2</v>
      </c>
      <c r="BF1442" s="1">
        <v>8.92</v>
      </c>
      <c r="BG1442" s="1"/>
      <c r="BH1442" s="1"/>
      <c r="BI1442" s="1"/>
      <c r="BJ1442" s="1"/>
      <c r="BK1442" s="1"/>
      <c r="BL1442" s="1"/>
      <c r="BM1442" s="1"/>
      <c r="BN1442" s="1"/>
      <c r="BO1442" s="1" t="s">
        <v>25648</v>
      </c>
      <c r="BP1442" s="1"/>
      <c r="BQ1442" s="1"/>
      <c r="BR1442" s="1" t="s">
        <v>25649</v>
      </c>
      <c r="BS1442" s="1">
        <v>7</v>
      </c>
      <c r="BT1442" s="1"/>
      <c r="BU1442" s="1" t="str">
        <f>HYPERLINK("https://nconnect.nicmar.ac.in/storage/profile/ProfilePhoto_p2270025_372418.jpg","Download")</f>
        <v>0</v>
      </c>
      <c r="BV1442" s="3"/>
      <c r="BW1442" s="3"/>
    </row>
    <row r="1443" spans="1:75">
      <c r="A1443" s="1" t="s">
        <v>75</v>
      </c>
      <c r="B1443" s="1" t="s">
        <v>25236</v>
      </c>
      <c r="C1443" s="1" t="s">
        <v>25650</v>
      </c>
      <c r="D1443" s="1" t="s">
        <v>9691</v>
      </c>
      <c r="E1443" s="1" t="s">
        <v>7461</v>
      </c>
      <c r="F1443" s="1" t="s">
        <v>17338</v>
      </c>
      <c r="G1443" s="1" t="s">
        <v>25651</v>
      </c>
      <c r="H1443" s="1" t="s">
        <v>25652</v>
      </c>
      <c r="I1443" s="1" t="s">
        <v>25653</v>
      </c>
      <c r="J1443" s="1">
        <v>8407997920</v>
      </c>
      <c r="K1443" s="1" t="s">
        <v>84</v>
      </c>
      <c r="L1443" s="1" t="s">
        <v>12151</v>
      </c>
      <c r="M1443" s="1" t="s">
        <v>86</v>
      </c>
      <c r="N1443" s="1" t="s">
        <v>618</v>
      </c>
      <c r="O1443" s="1" t="s">
        <v>25654</v>
      </c>
      <c r="P1443" s="1" t="s">
        <v>455</v>
      </c>
      <c r="Q1443" s="1" t="s">
        <v>25655</v>
      </c>
      <c r="R1443" s="1" t="s">
        <v>25656</v>
      </c>
      <c r="S1443" s="1">
        <v>9822440768</v>
      </c>
      <c r="T1443" s="1" t="s">
        <v>25657</v>
      </c>
      <c r="U1443" s="1" t="s">
        <v>25658</v>
      </c>
      <c r="V1443" s="1">
        <v>8308800706</v>
      </c>
      <c r="W1443" s="1" t="s">
        <v>161</v>
      </c>
      <c r="X1443" s="1" t="s">
        <v>25659</v>
      </c>
      <c r="Y1443" s="1" t="s">
        <v>196</v>
      </c>
      <c r="Z1443" s="1" t="s">
        <v>97</v>
      </c>
      <c r="AA1443" s="1" t="s">
        <v>25659</v>
      </c>
      <c r="AB1443" s="1" t="s">
        <v>196</v>
      </c>
      <c r="AC1443" s="1" t="s">
        <v>97</v>
      </c>
      <c r="AD1443" s="1" t="s">
        <v>98</v>
      </c>
      <c r="AE1443" s="1" t="s">
        <v>98</v>
      </c>
      <c r="AF1443" s="1" t="s">
        <v>25660</v>
      </c>
      <c r="AG1443" s="1" t="s">
        <v>25661</v>
      </c>
      <c r="AH1443" s="1" t="s">
        <v>3285</v>
      </c>
      <c r="AI1443" s="1" t="s">
        <v>1111</v>
      </c>
      <c r="AJ1443" s="1">
        <v>79.6</v>
      </c>
      <c r="AK1443" s="1">
        <v>0</v>
      </c>
      <c r="AL1443" s="1"/>
      <c r="AM1443" s="1"/>
      <c r="AN1443" s="1"/>
      <c r="AO1443" s="1"/>
      <c r="AP1443" s="1"/>
      <c r="AQ1443" s="1"/>
      <c r="AR1443" s="1"/>
      <c r="AS1443" s="1" t="s">
        <v>103</v>
      </c>
      <c r="AT1443" s="1" t="s">
        <v>25662</v>
      </c>
      <c r="AU1443" s="1" t="s">
        <v>139</v>
      </c>
      <c r="AV1443" s="1" t="s">
        <v>438</v>
      </c>
      <c r="AW1443" s="1">
        <v>73.03</v>
      </c>
      <c r="AX1443" s="1">
        <v>7.7</v>
      </c>
      <c r="AY1443" s="1" t="s">
        <v>366</v>
      </c>
      <c r="AZ1443" s="1" t="s">
        <v>25663</v>
      </c>
      <c r="BA1443" s="1"/>
      <c r="BB1443" s="1"/>
      <c r="BC1443" s="1" t="s">
        <v>206</v>
      </c>
      <c r="BD1443" s="1" t="s">
        <v>110</v>
      </c>
      <c r="BE1443" s="1">
        <v>78.95</v>
      </c>
      <c r="BF1443" s="1">
        <v>8.31</v>
      </c>
      <c r="BG1443" s="1"/>
      <c r="BH1443" s="1"/>
      <c r="BI1443" s="1"/>
      <c r="BJ1443" s="1"/>
      <c r="BK1443" s="1"/>
      <c r="BL1443" s="1"/>
      <c r="BM1443" s="1"/>
      <c r="BN1443" s="1"/>
      <c r="BO1443" s="1" t="s">
        <v>25664</v>
      </c>
      <c r="BP1443" s="1"/>
      <c r="BQ1443" s="1"/>
      <c r="BR1443" s="1" t="s">
        <v>25665</v>
      </c>
      <c r="BS1443" s="1">
        <v>7</v>
      </c>
      <c r="BT1443" s="1"/>
      <c r="BU1443" s="1" t="str">
        <f>HYPERLINK("https://nconnect.nicmar.ac.in/storage/profile/ProfilePhoto_p2270026_829547.jpg","Download")</f>
        <v>0</v>
      </c>
      <c r="BV1443" s="3"/>
      <c r="BW1443" s="3"/>
    </row>
    <row r="1444" spans="1:75">
      <c r="A1444" s="1" t="s">
        <v>75</v>
      </c>
      <c r="B1444" s="1" t="s">
        <v>25236</v>
      </c>
      <c r="C1444" s="1" t="s">
        <v>25666</v>
      </c>
      <c r="D1444" s="1" t="s">
        <v>25667</v>
      </c>
      <c r="E1444" s="1"/>
      <c r="F1444" s="1" t="s">
        <v>25668</v>
      </c>
      <c r="G1444" s="1" t="s">
        <v>25669</v>
      </c>
      <c r="H1444" s="1" t="s">
        <v>25670</v>
      </c>
      <c r="I1444" s="1" t="s">
        <v>25671</v>
      </c>
      <c r="J1444" s="1">
        <v>8885591479</v>
      </c>
      <c r="K1444" s="1" t="s">
        <v>84</v>
      </c>
      <c r="L1444" s="1" t="s">
        <v>8563</v>
      </c>
      <c r="M1444" s="1" t="s">
        <v>86</v>
      </c>
      <c r="N1444" s="1" t="s">
        <v>454</v>
      </c>
      <c r="O1444" s="1" t="s">
        <v>25672</v>
      </c>
      <c r="P1444" s="1" t="s">
        <v>455</v>
      </c>
      <c r="Q1444" s="1" t="s">
        <v>25673</v>
      </c>
      <c r="R1444" s="1" t="s">
        <v>25674</v>
      </c>
      <c r="S1444" s="1">
        <v>9989499749</v>
      </c>
      <c r="T1444" s="1" t="s">
        <v>6160</v>
      </c>
      <c r="U1444" s="1" t="s">
        <v>25675</v>
      </c>
      <c r="V1444" s="1">
        <v>8885591479</v>
      </c>
      <c r="W1444" s="1" t="s">
        <v>94</v>
      </c>
      <c r="X1444" s="1" t="s">
        <v>25676</v>
      </c>
      <c r="Y1444" s="1" t="s">
        <v>3031</v>
      </c>
      <c r="Z1444" s="1" t="s">
        <v>461</v>
      </c>
      <c r="AA1444" s="1" t="s">
        <v>25676</v>
      </c>
      <c r="AB1444" s="1" t="s">
        <v>3031</v>
      </c>
      <c r="AC1444" s="1" t="s">
        <v>461</v>
      </c>
      <c r="AD1444" s="1" t="s">
        <v>98</v>
      </c>
      <c r="AE1444" s="1" t="s">
        <v>98</v>
      </c>
      <c r="AF1444" s="1" t="s">
        <v>25476</v>
      </c>
      <c r="AG1444" s="1" t="s">
        <v>25677</v>
      </c>
      <c r="AH1444" s="1" t="s">
        <v>13747</v>
      </c>
      <c r="AI1444" s="1" t="s">
        <v>13748</v>
      </c>
      <c r="AJ1444" s="1">
        <v>83.6</v>
      </c>
      <c r="AK1444" s="1">
        <v>8.8</v>
      </c>
      <c r="AL1444" s="1" t="s">
        <v>25678</v>
      </c>
      <c r="AM1444" s="1" t="s">
        <v>25677</v>
      </c>
      <c r="AN1444" s="1"/>
      <c r="AO1444" s="1" t="s">
        <v>2112</v>
      </c>
      <c r="AP1444" s="1" t="s">
        <v>25647</v>
      </c>
      <c r="AQ1444" s="1">
        <v>89.3</v>
      </c>
      <c r="AR1444" s="1"/>
      <c r="AS1444" s="1"/>
      <c r="AT1444" s="1"/>
      <c r="AU1444" s="1"/>
      <c r="AV1444" s="1"/>
      <c r="AW1444" s="1"/>
      <c r="AX1444" s="1"/>
      <c r="AY1444" s="1" t="s">
        <v>3035</v>
      </c>
      <c r="AZ1444" s="1" t="s">
        <v>25679</v>
      </c>
      <c r="BA1444" s="1"/>
      <c r="BB1444" s="1"/>
      <c r="BC1444" s="1" t="s">
        <v>1065</v>
      </c>
      <c r="BD1444" s="1" t="s">
        <v>289</v>
      </c>
      <c r="BE1444" s="1">
        <v>68.77</v>
      </c>
      <c r="BF1444" s="1">
        <v>6.8</v>
      </c>
      <c r="BG1444" s="1"/>
      <c r="BH1444" s="1"/>
      <c r="BI1444" s="1"/>
      <c r="BJ1444" s="1"/>
      <c r="BK1444" s="1"/>
      <c r="BL1444" s="1"/>
      <c r="BM1444" s="1"/>
      <c r="BN1444" s="1"/>
      <c r="BO1444" s="1" t="s">
        <v>25680</v>
      </c>
      <c r="BP1444" s="1"/>
      <c r="BQ1444" s="1"/>
      <c r="BR1444" s="1" t="s">
        <v>25681</v>
      </c>
      <c r="BS1444" s="1">
        <v>19</v>
      </c>
      <c r="BT1444" s="1"/>
      <c r="BU1444" s="1" t="str">
        <f>HYPERLINK("https://nconnect.nicmar.ac.in/storage/profile/ProfilePhoto_p2270027_248179.jpg","Download")</f>
        <v>0</v>
      </c>
      <c r="BV1444" s="3"/>
      <c r="BW1444" s="3"/>
    </row>
    <row r="1445" spans="1:75">
      <c r="A1445" s="1" t="s">
        <v>75</v>
      </c>
      <c r="B1445" s="1" t="s">
        <v>25236</v>
      </c>
      <c r="C1445" s="1" t="s">
        <v>25682</v>
      </c>
      <c r="D1445" s="1" t="s">
        <v>10634</v>
      </c>
      <c r="E1445" s="1" t="s">
        <v>25683</v>
      </c>
      <c r="F1445" s="1" t="s">
        <v>24324</v>
      </c>
      <c r="G1445" s="1" t="s">
        <v>25684</v>
      </c>
      <c r="H1445" s="1" t="s">
        <v>25685</v>
      </c>
      <c r="I1445" s="1" t="s">
        <v>25686</v>
      </c>
      <c r="J1445" s="1">
        <v>7028651847</v>
      </c>
      <c r="K1445" s="1" t="s">
        <v>84</v>
      </c>
      <c r="L1445" s="1" t="s">
        <v>16107</v>
      </c>
      <c r="M1445" s="1" t="s">
        <v>86</v>
      </c>
      <c r="N1445" s="1" t="s">
        <v>25687</v>
      </c>
      <c r="O1445" s="1"/>
      <c r="P1445" s="1"/>
      <c r="Q1445" s="1" t="s">
        <v>25688</v>
      </c>
      <c r="R1445" s="1" t="s">
        <v>25689</v>
      </c>
      <c r="S1445" s="1">
        <v>9561328942</v>
      </c>
      <c r="T1445" s="1" t="s">
        <v>11390</v>
      </c>
      <c r="U1445" s="1" t="s">
        <v>25690</v>
      </c>
      <c r="V1445" s="1">
        <v>9908491837</v>
      </c>
      <c r="W1445" s="1" t="s">
        <v>161</v>
      </c>
      <c r="X1445" s="1" t="s">
        <v>25691</v>
      </c>
      <c r="Y1445" s="1" t="s">
        <v>410</v>
      </c>
      <c r="Z1445" s="1" t="s">
        <v>97</v>
      </c>
      <c r="AA1445" s="1" t="s">
        <v>25691</v>
      </c>
      <c r="AB1445" s="1" t="s">
        <v>410</v>
      </c>
      <c r="AC1445" s="1" t="s">
        <v>97</v>
      </c>
      <c r="AD1445" s="1" t="s">
        <v>98</v>
      </c>
      <c r="AE1445" s="1" t="s">
        <v>98</v>
      </c>
      <c r="AF1445" s="1" t="s">
        <v>25692</v>
      </c>
      <c r="AG1445" s="1" t="s">
        <v>25693</v>
      </c>
      <c r="AH1445" s="1" t="s">
        <v>136</v>
      </c>
      <c r="AI1445" s="1" t="s">
        <v>627</v>
      </c>
      <c r="AJ1445" s="1">
        <v>91.2</v>
      </c>
      <c r="AK1445" s="1">
        <v>9.6</v>
      </c>
      <c r="AL1445" s="1" t="s">
        <v>25694</v>
      </c>
      <c r="AM1445" s="1" t="s">
        <v>25693</v>
      </c>
      <c r="AN1445" s="1"/>
      <c r="AO1445" s="1" t="s">
        <v>1396</v>
      </c>
      <c r="AP1445" s="1" t="s">
        <v>490</v>
      </c>
      <c r="AQ1445" s="1">
        <v>88.6</v>
      </c>
      <c r="AR1445" s="1">
        <v>0</v>
      </c>
      <c r="AS1445" s="1"/>
      <c r="AT1445" s="1"/>
      <c r="AU1445" s="1"/>
      <c r="AV1445" s="1"/>
      <c r="AW1445" s="1"/>
      <c r="AX1445" s="1"/>
      <c r="AY1445" s="1" t="s">
        <v>4780</v>
      </c>
      <c r="AZ1445" s="1" t="s">
        <v>25695</v>
      </c>
      <c r="BA1445" s="1"/>
      <c r="BB1445" s="1"/>
      <c r="BC1445" s="1" t="s">
        <v>1065</v>
      </c>
      <c r="BD1445" s="1" t="s">
        <v>632</v>
      </c>
      <c r="BE1445" s="1">
        <v>71.7</v>
      </c>
      <c r="BF1445" s="1">
        <v>7.17</v>
      </c>
      <c r="BG1445" s="1"/>
      <c r="BH1445" s="1"/>
      <c r="BI1445" s="1"/>
      <c r="BJ1445" s="1"/>
      <c r="BK1445" s="1"/>
      <c r="BL1445" s="1"/>
      <c r="BM1445" s="1"/>
      <c r="BN1445" s="1"/>
      <c r="BO1445" s="1" t="s">
        <v>25696</v>
      </c>
      <c r="BP1445" s="1"/>
      <c r="BQ1445" s="1"/>
      <c r="BR1445" s="1" t="s">
        <v>25697</v>
      </c>
      <c r="BS1445" s="1">
        <v>32</v>
      </c>
      <c r="BT1445" s="1"/>
      <c r="BU1445" s="1" t="str">
        <f>HYPERLINK("https://nconnect.nicmar.ac.in/storage/profile/ProfilePhoto_p2270028_536782.jpg","Download")</f>
        <v>0</v>
      </c>
      <c r="BV1445" s="3"/>
      <c r="BW1445" s="3"/>
    </row>
    <row r="1446" spans="1:75">
      <c r="A1446" s="1" t="s">
        <v>75</v>
      </c>
      <c r="B1446" s="1" t="s">
        <v>25236</v>
      </c>
      <c r="C1446" s="1" t="s">
        <v>25698</v>
      </c>
      <c r="D1446" s="1" t="s">
        <v>14185</v>
      </c>
      <c r="E1446" s="1"/>
      <c r="F1446" s="1" t="s">
        <v>961</v>
      </c>
      <c r="G1446" s="1" t="s">
        <v>25699</v>
      </c>
      <c r="H1446" s="1" t="s">
        <v>25700</v>
      </c>
      <c r="I1446" s="1" t="s">
        <v>25701</v>
      </c>
      <c r="J1446" s="1">
        <v>9907254349</v>
      </c>
      <c r="K1446" s="1" t="s">
        <v>153</v>
      </c>
      <c r="L1446" s="1" t="s">
        <v>25702</v>
      </c>
      <c r="M1446" s="1" t="s">
        <v>86</v>
      </c>
      <c r="N1446" s="1" t="s">
        <v>22198</v>
      </c>
      <c r="O1446" s="1" t="s">
        <v>25703</v>
      </c>
      <c r="P1446" s="1" t="s">
        <v>455</v>
      </c>
      <c r="Q1446" s="1" t="s">
        <v>25704</v>
      </c>
      <c r="R1446" s="1" t="s">
        <v>25705</v>
      </c>
      <c r="S1446" s="1">
        <v>9826716003</v>
      </c>
      <c r="T1446" s="1" t="s">
        <v>3788</v>
      </c>
      <c r="U1446" s="1" t="s">
        <v>25706</v>
      </c>
      <c r="V1446" s="1">
        <v>7999720113</v>
      </c>
      <c r="W1446" s="1" t="s">
        <v>278</v>
      </c>
      <c r="X1446" s="1" t="s">
        <v>25707</v>
      </c>
      <c r="Y1446" s="1" t="s">
        <v>2932</v>
      </c>
      <c r="Z1446" s="1" t="s">
        <v>2933</v>
      </c>
      <c r="AA1446" s="1" t="s">
        <v>25707</v>
      </c>
      <c r="AB1446" s="1" t="s">
        <v>2932</v>
      </c>
      <c r="AC1446" s="1" t="s">
        <v>2933</v>
      </c>
      <c r="AD1446" s="1" t="s">
        <v>98</v>
      </c>
      <c r="AE1446" s="1" t="s">
        <v>98</v>
      </c>
      <c r="AF1446" s="1" t="s">
        <v>25708</v>
      </c>
      <c r="AG1446" s="1" t="s">
        <v>25709</v>
      </c>
      <c r="AH1446" s="1" t="s">
        <v>254</v>
      </c>
      <c r="AI1446" s="1" t="s">
        <v>3421</v>
      </c>
      <c r="AJ1446" s="1">
        <v>63.83</v>
      </c>
      <c r="AK1446" s="1">
        <v>6.5</v>
      </c>
      <c r="AL1446" s="1" t="s">
        <v>25708</v>
      </c>
      <c r="AM1446" s="1" t="s">
        <v>25709</v>
      </c>
      <c r="AN1446" s="1"/>
      <c r="AO1446" s="1" t="s">
        <v>135</v>
      </c>
      <c r="AP1446" s="1" t="s">
        <v>1110</v>
      </c>
      <c r="AQ1446" s="1">
        <v>73.2</v>
      </c>
      <c r="AR1446" s="1">
        <v>7.7</v>
      </c>
      <c r="AS1446" s="1"/>
      <c r="AT1446" s="1"/>
      <c r="AU1446" s="1"/>
      <c r="AV1446" s="1"/>
      <c r="AW1446" s="1"/>
      <c r="AX1446" s="1"/>
      <c r="AY1446" s="1" t="s">
        <v>25710</v>
      </c>
      <c r="AZ1446" s="1" t="s">
        <v>25709</v>
      </c>
      <c r="BA1446" s="1"/>
      <c r="BB1446" s="1"/>
      <c r="BC1446" s="1" t="s">
        <v>342</v>
      </c>
      <c r="BD1446" s="1" t="s">
        <v>547</v>
      </c>
      <c r="BE1446" s="1">
        <v>73.85</v>
      </c>
      <c r="BF1446" s="1">
        <v>7.7</v>
      </c>
      <c r="BG1446" s="1"/>
      <c r="BH1446" s="1"/>
      <c r="BI1446" s="1"/>
      <c r="BJ1446" s="1"/>
      <c r="BK1446" s="1"/>
      <c r="BL1446" s="1"/>
      <c r="BM1446" s="1"/>
      <c r="BN1446" s="1"/>
      <c r="BO1446" s="1" t="s">
        <v>25711</v>
      </c>
      <c r="BP1446" s="1"/>
      <c r="BQ1446" s="1"/>
      <c r="BR1446" s="1" t="s">
        <v>25712</v>
      </c>
      <c r="BS1446" s="1">
        <v>11</v>
      </c>
      <c r="BT1446" s="1"/>
      <c r="BU1446" s="1" t="str">
        <f>HYPERLINK("https://nconnect.nicmar.ac.in/storage/profile/ProfilePhoto_p2270029_862145.jpg","Download")</f>
        <v>0</v>
      </c>
      <c r="BV1446" s="3"/>
      <c r="BW1446" s="3"/>
    </row>
    <row r="1447" spans="1:75">
      <c r="A1447" s="1" t="s">
        <v>75</v>
      </c>
      <c r="B1447" s="1" t="s">
        <v>25236</v>
      </c>
      <c r="C1447" s="1" t="s">
        <v>25713</v>
      </c>
      <c r="D1447" s="1" t="s">
        <v>25714</v>
      </c>
      <c r="E1447" s="1"/>
      <c r="F1447" s="1" t="s">
        <v>25715</v>
      </c>
      <c r="G1447" s="1" t="s">
        <v>25716</v>
      </c>
      <c r="H1447" s="1" t="s">
        <v>25717</v>
      </c>
      <c r="I1447" s="1" t="s">
        <v>25718</v>
      </c>
      <c r="J1447" s="1">
        <v>9494076622</v>
      </c>
      <c r="K1447" s="1" t="s">
        <v>84</v>
      </c>
      <c r="L1447" s="1" t="s">
        <v>3435</v>
      </c>
      <c r="M1447" s="1" t="s">
        <v>86</v>
      </c>
      <c r="N1447" s="1" t="s">
        <v>22216</v>
      </c>
      <c r="O1447" s="1" t="s">
        <v>25719</v>
      </c>
      <c r="P1447" s="1" t="s">
        <v>1028</v>
      </c>
      <c r="Q1447" s="1" t="s">
        <v>25720</v>
      </c>
      <c r="R1447" s="1" t="s">
        <v>25721</v>
      </c>
      <c r="S1447" s="1">
        <v>9849029359</v>
      </c>
      <c r="T1447" s="1" t="s">
        <v>839</v>
      </c>
      <c r="U1447" s="1" t="s">
        <v>25722</v>
      </c>
      <c r="V1447" s="1">
        <v>9959212390</v>
      </c>
      <c r="W1447" s="1" t="s">
        <v>541</v>
      </c>
      <c r="X1447" s="1" t="s">
        <v>25723</v>
      </c>
      <c r="Y1447" s="1" t="s">
        <v>1454</v>
      </c>
      <c r="Z1447" s="1" t="s">
        <v>281</v>
      </c>
      <c r="AA1447" s="1" t="s">
        <v>25723</v>
      </c>
      <c r="AB1447" s="1" t="s">
        <v>1454</v>
      </c>
      <c r="AC1447" s="1" t="s">
        <v>281</v>
      </c>
      <c r="AD1447" s="1" t="s">
        <v>98</v>
      </c>
      <c r="AE1447" s="1" t="s">
        <v>98</v>
      </c>
      <c r="AF1447" s="1" t="s">
        <v>25724</v>
      </c>
      <c r="AG1447" s="1" t="s">
        <v>25725</v>
      </c>
      <c r="AH1447" s="1" t="s">
        <v>166</v>
      </c>
      <c r="AI1447" s="1" t="s">
        <v>627</v>
      </c>
      <c r="AJ1447" s="1">
        <v>69.6</v>
      </c>
      <c r="AK1447" s="1"/>
      <c r="AL1447" s="1" t="s">
        <v>25726</v>
      </c>
      <c r="AM1447" s="1" t="s">
        <v>25727</v>
      </c>
      <c r="AN1447" s="1"/>
      <c r="AO1447" s="1" t="s">
        <v>167</v>
      </c>
      <c r="AP1447" s="1" t="s">
        <v>490</v>
      </c>
      <c r="AQ1447" s="1">
        <v>86.2</v>
      </c>
      <c r="AR1447" s="1"/>
      <c r="AS1447" s="1"/>
      <c r="AT1447" s="1"/>
      <c r="AU1447" s="1"/>
      <c r="AV1447" s="1"/>
      <c r="AW1447" s="1"/>
      <c r="AX1447" s="1"/>
      <c r="AY1447" s="1" t="s">
        <v>25728</v>
      </c>
      <c r="AZ1447" s="1" t="s">
        <v>25729</v>
      </c>
      <c r="BA1447" s="1"/>
      <c r="BB1447" s="1"/>
      <c r="BC1447" s="1" t="s">
        <v>174</v>
      </c>
      <c r="BD1447" s="1" t="s">
        <v>521</v>
      </c>
      <c r="BE1447" s="1">
        <v>81.2</v>
      </c>
      <c r="BF1447" s="1">
        <v>8.55</v>
      </c>
      <c r="BG1447" s="1"/>
      <c r="BH1447" s="1"/>
      <c r="BI1447" s="1"/>
      <c r="BJ1447" s="1"/>
      <c r="BK1447" s="1"/>
      <c r="BL1447" s="1"/>
      <c r="BM1447" s="1"/>
      <c r="BN1447" s="1"/>
      <c r="BO1447" s="1" t="s">
        <v>25730</v>
      </c>
      <c r="BP1447" s="1"/>
      <c r="BQ1447" s="1"/>
      <c r="BR1447" s="1" t="s">
        <v>25731</v>
      </c>
      <c r="BS1447" s="1">
        <v>11</v>
      </c>
      <c r="BT1447" s="1"/>
      <c r="BU1447" s="1" t="str">
        <f>HYPERLINK("https://nconnect.nicmar.ac.in/storage/profile/ProfilePhoto_p2270030_864371.jpg","Download")</f>
        <v>0</v>
      </c>
      <c r="BV1447" s="3"/>
      <c r="BW1447" s="3"/>
    </row>
    <row r="1448" spans="1:75">
      <c r="A1448" s="1" t="s">
        <v>75</v>
      </c>
      <c r="B1448" s="1" t="s">
        <v>25236</v>
      </c>
      <c r="C1448" s="1" t="s">
        <v>25732</v>
      </c>
      <c r="D1448" s="1" t="s">
        <v>5466</v>
      </c>
      <c r="E1448" s="1"/>
      <c r="F1448" s="1" t="s">
        <v>25733</v>
      </c>
      <c r="G1448" s="1" t="s">
        <v>25734</v>
      </c>
      <c r="H1448" s="1" t="s">
        <v>25735</v>
      </c>
      <c r="I1448" s="1" t="s">
        <v>25736</v>
      </c>
      <c r="J1448" s="1">
        <v>8961521085</v>
      </c>
      <c r="K1448" s="1" t="s">
        <v>84</v>
      </c>
      <c r="L1448" s="1" t="s">
        <v>25737</v>
      </c>
      <c r="M1448" s="1" t="s">
        <v>86</v>
      </c>
      <c r="N1448" s="1" t="s">
        <v>4753</v>
      </c>
      <c r="O1448" s="1"/>
      <c r="P1448" s="1" t="s">
        <v>481</v>
      </c>
      <c r="Q1448" s="1" t="s">
        <v>25738</v>
      </c>
      <c r="R1448" s="1" t="s">
        <v>25739</v>
      </c>
      <c r="S1448" s="1">
        <v>9007182244</v>
      </c>
      <c r="T1448" s="1" t="s">
        <v>839</v>
      </c>
      <c r="U1448" s="1" t="s">
        <v>25740</v>
      </c>
      <c r="V1448" s="1">
        <v>8016090948</v>
      </c>
      <c r="W1448" s="1" t="s">
        <v>161</v>
      </c>
      <c r="X1448" s="1" t="s">
        <v>25741</v>
      </c>
      <c r="Y1448" s="1" t="s">
        <v>10874</v>
      </c>
      <c r="Z1448" s="1" t="s">
        <v>1234</v>
      </c>
      <c r="AA1448" s="1" t="s">
        <v>25741</v>
      </c>
      <c r="AB1448" s="1" t="s">
        <v>10874</v>
      </c>
      <c r="AC1448" s="1" t="s">
        <v>1234</v>
      </c>
      <c r="AD1448" s="1" t="s">
        <v>98</v>
      </c>
      <c r="AE1448" s="1" t="s">
        <v>98</v>
      </c>
      <c r="AF1448" s="1" t="s">
        <v>25742</v>
      </c>
      <c r="AG1448" s="1" t="s">
        <v>25743</v>
      </c>
      <c r="AH1448" s="1" t="s">
        <v>136</v>
      </c>
      <c r="AI1448" s="1" t="s">
        <v>627</v>
      </c>
      <c r="AJ1448" s="1">
        <v>79</v>
      </c>
      <c r="AK1448" s="1"/>
      <c r="AL1448" s="1" t="s">
        <v>25744</v>
      </c>
      <c r="AM1448" s="1" t="s">
        <v>25743</v>
      </c>
      <c r="AN1448" s="1"/>
      <c r="AO1448" s="1" t="s">
        <v>573</v>
      </c>
      <c r="AP1448" s="1" t="s">
        <v>171</v>
      </c>
      <c r="AQ1448" s="1">
        <v>64</v>
      </c>
      <c r="AR1448" s="1"/>
      <c r="AS1448" s="1"/>
      <c r="AT1448" s="1"/>
      <c r="AU1448" s="1"/>
      <c r="AV1448" s="1"/>
      <c r="AW1448" s="1"/>
      <c r="AX1448" s="1"/>
      <c r="AY1448" s="1" t="s">
        <v>25745</v>
      </c>
      <c r="AZ1448" s="1" t="s">
        <v>25746</v>
      </c>
      <c r="BA1448" s="1"/>
      <c r="BB1448" s="1"/>
      <c r="BC1448" s="1" t="s">
        <v>174</v>
      </c>
      <c r="BD1448" s="1" t="s">
        <v>1400</v>
      </c>
      <c r="BE1448" s="1">
        <v>83</v>
      </c>
      <c r="BF1448" s="1">
        <v>9.07</v>
      </c>
      <c r="BG1448" s="1"/>
      <c r="BH1448" s="1"/>
      <c r="BI1448" s="1"/>
      <c r="BJ1448" s="1"/>
      <c r="BK1448" s="1"/>
      <c r="BL1448" s="1"/>
      <c r="BM1448" s="1"/>
      <c r="BN1448" s="1"/>
      <c r="BO1448" s="1" t="s">
        <v>1114</v>
      </c>
      <c r="BP1448" s="1"/>
      <c r="BQ1448" s="1"/>
      <c r="BR1448" s="1" t="s">
        <v>25747</v>
      </c>
      <c r="BS1448" s="1">
        <v>10</v>
      </c>
      <c r="BT1448" s="1"/>
      <c r="BU1448" s="1" t="str">
        <f>HYPERLINK("https://nconnect.nicmar.ac.in/storage/profile/ProfilePhoto_p2270031_326187.jpg","Download")</f>
        <v>0</v>
      </c>
      <c r="BV1448" s="3"/>
      <c r="BW1448" s="3"/>
    </row>
    <row r="1449" spans="1:75">
      <c r="A1449" s="1" t="s">
        <v>75</v>
      </c>
      <c r="B1449" s="1" t="s">
        <v>25236</v>
      </c>
      <c r="C1449" s="1" t="s">
        <v>25748</v>
      </c>
      <c r="D1449" s="1" t="s">
        <v>11255</v>
      </c>
      <c r="E1449" s="1" t="s">
        <v>5753</v>
      </c>
      <c r="F1449" s="1" t="s">
        <v>25749</v>
      </c>
      <c r="G1449" s="1" t="s">
        <v>25750</v>
      </c>
      <c r="H1449" s="1" t="s">
        <v>25751</v>
      </c>
      <c r="I1449" s="1" t="s">
        <v>25752</v>
      </c>
      <c r="J1449" s="1">
        <v>9527713043</v>
      </c>
      <c r="K1449" s="1" t="s">
        <v>84</v>
      </c>
      <c r="L1449" s="1" t="s">
        <v>7636</v>
      </c>
      <c r="M1449" s="1" t="s">
        <v>86</v>
      </c>
      <c r="N1449" s="1" t="s">
        <v>618</v>
      </c>
      <c r="O1449" s="1" t="s">
        <v>25753</v>
      </c>
      <c r="P1449" s="1" t="s">
        <v>507</v>
      </c>
      <c r="Q1449" s="1" t="s">
        <v>25754</v>
      </c>
      <c r="R1449" s="1" t="s">
        <v>5753</v>
      </c>
      <c r="S1449" s="1">
        <v>9890177374</v>
      </c>
      <c r="T1449" s="1" t="s">
        <v>839</v>
      </c>
      <c r="U1449" s="1" t="s">
        <v>25755</v>
      </c>
      <c r="V1449" s="1">
        <v>9890068076</v>
      </c>
      <c r="W1449" s="1" t="s">
        <v>839</v>
      </c>
      <c r="X1449" s="1" t="s">
        <v>25756</v>
      </c>
      <c r="Y1449" s="1" t="s">
        <v>1779</v>
      </c>
      <c r="Z1449" s="1" t="s">
        <v>97</v>
      </c>
      <c r="AA1449" s="1" t="s">
        <v>25757</v>
      </c>
      <c r="AB1449" s="1" t="s">
        <v>196</v>
      </c>
      <c r="AC1449" s="1" t="s">
        <v>97</v>
      </c>
      <c r="AD1449" s="1" t="s">
        <v>98</v>
      </c>
      <c r="AE1449" s="1" t="s">
        <v>98</v>
      </c>
      <c r="AF1449" s="1" t="s">
        <v>25758</v>
      </c>
      <c r="AG1449" s="1" t="s">
        <v>199</v>
      </c>
      <c r="AH1449" s="1" t="s">
        <v>1213</v>
      </c>
      <c r="AI1449" s="1" t="s">
        <v>515</v>
      </c>
      <c r="AJ1449" s="1">
        <v>58.6</v>
      </c>
      <c r="AK1449" s="1"/>
      <c r="AL1449" s="1"/>
      <c r="AM1449" s="1"/>
      <c r="AN1449" s="1"/>
      <c r="AO1449" s="1"/>
      <c r="AP1449" s="1"/>
      <c r="AQ1449" s="1"/>
      <c r="AR1449" s="1"/>
      <c r="AS1449" s="1" t="s">
        <v>439</v>
      </c>
      <c r="AT1449" s="1" t="s">
        <v>25759</v>
      </c>
      <c r="AU1449" s="1" t="s">
        <v>1214</v>
      </c>
      <c r="AV1449" s="1" t="s">
        <v>171</v>
      </c>
      <c r="AW1449" s="1">
        <v>75.33</v>
      </c>
      <c r="AX1449" s="1"/>
      <c r="AY1449" s="1" t="s">
        <v>366</v>
      </c>
      <c r="AZ1449" s="1" t="s">
        <v>25760</v>
      </c>
      <c r="BA1449" s="1"/>
      <c r="BB1449" s="1"/>
      <c r="BC1449" s="1" t="s">
        <v>106</v>
      </c>
      <c r="BD1449" s="1" t="s">
        <v>845</v>
      </c>
      <c r="BE1449" s="1">
        <v>71.6</v>
      </c>
      <c r="BF1449" s="1">
        <v>7.91</v>
      </c>
      <c r="BG1449" s="1"/>
      <c r="BH1449" s="1"/>
      <c r="BI1449" s="1"/>
      <c r="BJ1449" s="1"/>
      <c r="BK1449" s="1"/>
      <c r="BL1449" s="1"/>
      <c r="BM1449" s="1"/>
      <c r="BN1449" s="1"/>
      <c r="BO1449" s="1" t="s">
        <v>25761</v>
      </c>
      <c r="BP1449" s="1"/>
      <c r="BQ1449" s="1"/>
      <c r="BR1449" s="1" t="s">
        <v>25762</v>
      </c>
      <c r="BS1449" s="1">
        <v>42</v>
      </c>
      <c r="BT1449" s="1"/>
      <c r="BU1449" s="1" t="str">
        <f>HYPERLINK("https://nconnect.nicmar.ac.in/storage/profile/ProfilePhoto_p2270032_174356.jpg","Download")</f>
        <v>0</v>
      </c>
      <c r="BV1449" s="3"/>
      <c r="BW1449" s="3"/>
    </row>
    <row r="1450" spans="1:75">
      <c r="A1450" s="1" t="s">
        <v>75</v>
      </c>
      <c r="B1450" s="1" t="s">
        <v>25236</v>
      </c>
      <c r="C1450" s="1" t="s">
        <v>25763</v>
      </c>
      <c r="D1450" s="1" t="s">
        <v>25764</v>
      </c>
      <c r="E1450" s="1"/>
      <c r="F1450" s="1" t="s">
        <v>25765</v>
      </c>
      <c r="G1450" s="1" t="s">
        <v>25766</v>
      </c>
      <c r="H1450" s="1" t="s">
        <v>25767</v>
      </c>
      <c r="I1450" s="1" t="s">
        <v>25768</v>
      </c>
      <c r="J1450" s="1">
        <v>9113089875</v>
      </c>
      <c r="K1450" s="1" t="s">
        <v>84</v>
      </c>
      <c r="L1450" s="1" t="s">
        <v>25769</v>
      </c>
      <c r="M1450" s="1" t="s">
        <v>86</v>
      </c>
      <c r="N1450" s="1" t="s">
        <v>25770</v>
      </c>
      <c r="O1450" s="1" t="s">
        <v>25771</v>
      </c>
      <c r="P1450" s="1" t="s">
        <v>455</v>
      </c>
      <c r="Q1450" s="1" t="s">
        <v>25772</v>
      </c>
      <c r="R1450" s="1" t="s">
        <v>25773</v>
      </c>
      <c r="S1450" s="1">
        <v>7411631649</v>
      </c>
      <c r="T1450" s="1" t="s">
        <v>839</v>
      </c>
      <c r="U1450" s="1" t="s">
        <v>25774</v>
      </c>
      <c r="V1450" s="1">
        <v>9663307954</v>
      </c>
      <c r="W1450" s="1" t="s">
        <v>278</v>
      </c>
      <c r="X1450" s="1" t="s">
        <v>25775</v>
      </c>
      <c r="Y1450" s="1" t="s">
        <v>4590</v>
      </c>
      <c r="Z1450" s="1" t="s">
        <v>1210</v>
      </c>
      <c r="AA1450" s="1" t="s">
        <v>25775</v>
      </c>
      <c r="AB1450" s="1" t="s">
        <v>4590</v>
      </c>
      <c r="AC1450" s="1" t="s">
        <v>1210</v>
      </c>
      <c r="AD1450" s="1" t="s">
        <v>98</v>
      </c>
      <c r="AE1450" s="1" t="s">
        <v>98</v>
      </c>
      <c r="AF1450" s="1" t="s">
        <v>25776</v>
      </c>
      <c r="AG1450" s="1" t="s">
        <v>25777</v>
      </c>
      <c r="AH1450" s="1" t="s">
        <v>1214</v>
      </c>
      <c r="AI1450" s="1" t="s">
        <v>1110</v>
      </c>
      <c r="AJ1450" s="1">
        <v>79.52</v>
      </c>
      <c r="AK1450" s="1"/>
      <c r="AL1450" s="1" t="s">
        <v>25778</v>
      </c>
      <c r="AM1450" s="1" t="s">
        <v>25779</v>
      </c>
      <c r="AN1450" s="1"/>
      <c r="AO1450" s="1" t="s">
        <v>1111</v>
      </c>
      <c r="AP1450" s="1" t="s">
        <v>200</v>
      </c>
      <c r="AQ1450" s="1">
        <v>78</v>
      </c>
      <c r="AR1450" s="1"/>
      <c r="AS1450" s="1"/>
      <c r="AT1450" s="1"/>
      <c r="AU1450" s="1"/>
      <c r="AV1450" s="1"/>
      <c r="AW1450" s="1"/>
      <c r="AX1450" s="1"/>
      <c r="AY1450" s="1" t="s">
        <v>1217</v>
      </c>
      <c r="AZ1450" s="1" t="s">
        <v>25780</v>
      </c>
      <c r="BA1450" s="1"/>
      <c r="BB1450" s="1"/>
      <c r="BC1450" s="1" t="s">
        <v>230</v>
      </c>
      <c r="BD1450" s="1" t="s">
        <v>441</v>
      </c>
      <c r="BE1450" s="1">
        <v>69.6</v>
      </c>
      <c r="BF1450" s="1">
        <v>7.71</v>
      </c>
      <c r="BG1450" s="1"/>
      <c r="BH1450" s="1"/>
      <c r="BI1450" s="1"/>
      <c r="BJ1450" s="1"/>
      <c r="BK1450" s="1"/>
      <c r="BL1450" s="1"/>
      <c r="BM1450" s="1"/>
      <c r="BN1450" s="1"/>
      <c r="BO1450" s="1" t="s">
        <v>25516</v>
      </c>
      <c r="BP1450" s="1"/>
      <c r="BQ1450" s="1"/>
      <c r="BR1450" s="1" t="s">
        <v>25781</v>
      </c>
      <c r="BS1450" s="1">
        <v>11</v>
      </c>
      <c r="BT1450" s="1"/>
      <c r="BU1450" s="1" t="str">
        <f>HYPERLINK("https://nconnect.nicmar.ac.in/storage/profile/ProfilePhoto_p2270033_563842.jpg","Download")</f>
        <v>0</v>
      </c>
      <c r="BV1450" s="3"/>
      <c r="BW1450" s="3"/>
    </row>
    <row r="1451" spans="1:75">
      <c r="A1451" s="1" t="s">
        <v>75</v>
      </c>
      <c r="B1451" s="1" t="s">
        <v>25236</v>
      </c>
      <c r="C1451" s="1" t="s">
        <v>25782</v>
      </c>
      <c r="D1451" s="1" t="s">
        <v>25783</v>
      </c>
      <c r="E1451" s="1" t="s">
        <v>1320</v>
      </c>
      <c r="F1451" s="1" t="s">
        <v>25784</v>
      </c>
      <c r="G1451" s="1" t="s">
        <v>25785</v>
      </c>
      <c r="H1451" s="1" t="s">
        <v>25786</v>
      </c>
      <c r="I1451" s="1" t="s">
        <v>25787</v>
      </c>
      <c r="J1451" s="1">
        <v>9668252723</v>
      </c>
      <c r="K1451" s="1" t="s">
        <v>84</v>
      </c>
      <c r="L1451" s="1" t="s">
        <v>2452</v>
      </c>
      <c r="M1451" s="1" t="s">
        <v>86</v>
      </c>
      <c r="N1451" s="1" t="s">
        <v>1573</v>
      </c>
      <c r="O1451" s="1" t="s">
        <v>25788</v>
      </c>
      <c r="P1451" s="1" t="s">
        <v>455</v>
      </c>
      <c r="Q1451" s="1" t="s">
        <v>25789</v>
      </c>
      <c r="R1451" s="1" t="s">
        <v>25790</v>
      </c>
      <c r="S1451" s="1">
        <v>9178465256</v>
      </c>
      <c r="T1451" s="1" t="s">
        <v>92</v>
      </c>
      <c r="U1451" s="1" t="s">
        <v>25791</v>
      </c>
      <c r="V1451" s="1">
        <v>9937040167</v>
      </c>
      <c r="W1451" s="1" t="s">
        <v>94</v>
      </c>
      <c r="X1451" s="1" t="s">
        <v>25792</v>
      </c>
      <c r="Y1451" s="1" t="s">
        <v>864</v>
      </c>
      <c r="Z1451" s="1" t="s">
        <v>865</v>
      </c>
      <c r="AA1451" s="1" t="s">
        <v>25792</v>
      </c>
      <c r="AB1451" s="1" t="s">
        <v>864</v>
      </c>
      <c r="AC1451" s="1" t="s">
        <v>865</v>
      </c>
      <c r="AD1451" s="1" t="s">
        <v>98</v>
      </c>
      <c r="AE1451" s="1" t="s">
        <v>98</v>
      </c>
      <c r="AF1451" s="1" t="s">
        <v>25793</v>
      </c>
      <c r="AG1451" s="1" t="s">
        <v>25794</v>
      </c>
      <c r="AH1451" s="1" t="s">
        <v>19995</v>
      </c>
      <c r="AI1451" s="1" t="s">
        <v>627</v>
      </c>
      <c r="AJ1451" s="1">
        <v>91.2</v>
      </c>
      <c r="AK1451" s="1">
        <v>9.6</v>
      </c>
      <c r="AL1451" s="1" t="s">
        <v>25795</v>
      </c>
      <c r="AM1451" s="1" t="s">
        <v>25794</v>
      </c>
      <c r="AN1451" s="1"/>
      <c r="AO1451" s="1" t="s">
        <v>284</v>
      </c>
      <c r="AP1451" s="1" t="s">
        <v>171</v>
      </c>
      <c r="AQ1451" s="1">
        <v>87.2</v>
      </c>
      <c r="AR1451" s="1">
        <v>0</v>
      </c>
      <c r="AS1451" s="1"/>
      <c r="AT1451" s="1"/>
      <c r="AU1451" s="1"/>
      <c r="AV1451" s="1"/>
      <c r="AW1451" s="1"/>
      <c r="AX1451" s="1"/>
      <c r="AY1451" s="1" t="s">
        <v>25796</v>
      </c>
      <c r="AZ1451" s="1" t="s">
        <v>25797</v>
      </c>
      <c r="BA1451" s="1"/>
      <c r="BB1451" s="1"/>
      <c r="BC1451" s="1" t="s">
        <v>1065</v>
      </c>
      <c r="BD1451" s="1" t="s">
        <v>632</v>
      </c>
      <c r="BE1451" s="1">
        <v>73.1</v>
      </c>
      <c r="BF1451" s="1">
        <v>7.81</v>
      </c>
      <c r="BG1451" s="1"/>
      <c r="BH1451" s="1"/>
      <c r="BI1451" s="1"/>
      <c r="BJ1451" s="1"/>
      <c r="BK1451" s="1"/>
      <c r="BL1451" s="1"/>
      <c r="BM1451" s="1"/>
      <c r="BN1451" s="1"/>
      <c r="BO1451" s="1" t="s">
        <v>25798</v>
      </c>
      <c r="BP1451" s="1"/>
      <c r="BQ1451" s="1"/>
      <c r="BR1451" s="1" t="s">
        <v>25799</v>
      </c>
      <c r="BS1451" s="1">
        <v>11</v>
      </c>
      <c r="BT1451" s="1"/>
      <c r="BU1451" s="1" t="str">
        <f>HYPERLINK("https://nconnect.nicmar.ac.in/storage/profile/ProfilePhoto_p2270034_764253.jpg","Download")</f>
        <v>0</v>
      </c>
      <c r="BV1451" s="3"/>
      <c r="BW1451" s="3"/>
    </row>
    <row r="1452" spans="1:75">
      <c r="A1452" s="1" t="s">
        <v>75</v>
      </c>
      <c r="B1452" s="1" t="s">
        <v>25236</v>
      </c>
      <c r="C1452" s="1" t="s">
        <v>25800</v>
      </c>
      <c r="D1452" s="1" t="s">
        <v>12315</v>
      </c>
      <c r="E1452" s="1" t="s">
        <v>4076</v>
      </c>
      <c r="F1452" s="1" t="s">
        <v>25801</v>
      </c>
      <c r="G1452" s="1" t="s">
        <v>25802</v>
      </c>
      <c r="H1452" s="1" t="s">
        <v>25803</v>
      </c>
      <c r="I1452" s="1" t="s">
        <v>25804</v>
      </c>
      <c r="J1452" s="1">
        <v>7057684454</v>
      </c>
      <c r="K1452" s="1" t="s">
        <v>84</v>
      </c>
      <c r="L1452" s="1" t="s">
        <v>25805</v>
      </c>
      <c r="M1452" s="1" t="s">
        <v>86</v>
      </c>
      <c r="N1452" s="1" t="s">
        <v>618</v>
      </c>
      <c r="O1452" s="1" t="s">
        <v>25806</v>
      </c>
      <c r="P1452" s="1" t="s">
        <v>507</v>
      </c>
      <c r="Q1452" s="1" t="s">
        <v>25807</v>
      </c>
      <c r="R1452" s="1" t="s">
        <v>25808</v>
      </c>
      <c r="S1452" s="1">
        <v>9604122454</v>
      </c>
      <c r="T1452" s="1" t="s">
        <v>4776</v>
      </c>
      <c r="U1452" s="1" t="s">
        <v>25809</v>
      </c>
      <c r="V1452" s="1">
        <v>8007170037</v>
      </c>
      <c r="W1452" s="1" t="s">
        <v>1104</v>
      </c>
      <c r="X1452" s="1" t="s">
        <v>25810</v>
      </c>
      <c r="Y1452" s="1" t="s">
        <v>434</v>
      </c>
      <c r="Z1452" s="1" t="s">
        <v>97</v>
      </c>
      <c r="AA1452" s="1" t="s">
        <v>25811</v>
      </c>
      <c r="AB1452" s="1" t="s">
        <v>196</v>
      </c>
      <c r="AC1452" s="1" t="s">
        <v>97</v>
      </c>
      <c r="AD1452" s="1" t="s">
        <v>98</v>
      </c>
      <c r="AE1452" s="1" t="s">
        <v>98</v>
      </c>
      <c r="AF1452" s="1" t="s">
        <v>25812</v>
      </c>
      <c r="AG1452" s="1" t="s">
        <v>25813</v>
      </c>
      <c r="AH1452" s="1" t="s">
        <v>1213</v>
      </c>
      <c r="AI1452" s="1" t="s">
        <v>101</v>
      </c>
      <c r="AJ1452" s="1">
        <v>91.8</v>
      </c>
      <c r="AK1452" s="1"/>
      <c r="AL1452" s="1" t="s">
        <v>25814</v>
      </c>
      <c r="AM1452" s="1" t="s">
        <v>25813</v>
      </c>
      <c r="AN1452" s="1"/>
      <c r="AO1452" s="1" t="s">
        <v>342</v>
      </c>
      <c r="AP1452" s="1" t="s">
        <v>627</v>
      </c>
      <c r="AQ1452" s="1">
        <v>74.46</v>
      </c>
      <c r="AR1452" s="1"/>
      <c r="AS1452" s="1"/>
      <c r="AT1452" s="1"/>
      <c r="AU1452" s="1"/>
      <c r="AV1452" s="1"/>
      <c r="AW1452" s="1"/>
      <c r="AX1452" s="1"/>
      <c r="AY1452" s="1" t="s">
        <v>366</v>
      </c>
      <c r="AZ1452" s="1" t="s">
        <v>6148</v>
      </c>
      <c r="BA1452" s="1"/>
      <c r="BB1452" s="1"/>
      <c r="BC1452" s="1" t="s">
        <v>139</v>
      </c>
      <c r="BD1452" s="1" t="s">
        <v>233</v>
      </c>
      <c r="BE1452" s="1">
        <v>69.6</v>
      </c>
      <c r="BF1452" s="1">
        <v>7.71</v>
      </c>
      <c r="BG1452" s="1"/>
      <c r="BH1452" s="1"/>
      <c r="BI1452" s="1"/>
      <c r="BJ1452" s="1"/>
      <c r="BK1452" s="1"/>
      <c r="BL1452" s="1"/>
      <c r="BM1452" s="1"/>
      <c r="BN1452" s="1"/>
      <c r="BO1452" s="1" t="s">
        <v>25815</v>
      </c>
      <c r="BP1452" s="1"/>
      <c r="BQ1452" s="1"/>
      <c r="BR1452" s="1" t="s">
        <v>25816</v>
      </c>
      <c r="BS1452" s="1">
        <v>49</v>
      </c>
      <c r="BT1452" s="1"/>
      <c r="BU1452" s="1" t="str">
        <f>HYPERLINK("https://nconnect.nicmar.ac.in/storage/profile/ProfilePhoto_p2270036_978451.jpg","Download")</f>
        <v>0</v>
      </c>
      <c r="BV1452" s="3"/>
      <c r="BW1452" s="3"/>
    </row>
    <row r="1453" spans="1:75">
      <c r="A1453" s="1" t="s">
        <v>75</v>
      </c>
      <c r="B1453" s="1" t="s">
        <v>25236</v>
      </c>
      <c r="C1453" s="1" t="s">
        <v>25817</v>
      </c>
      <c r="D1453" s="1" t="s">
        <v>25818</v>
      </c>
      <c r="E1453" s="1"/>
      <c r="F1453" s="1" t="s">
        <v>1853</v>
      </c>
      <c r="G1453" s="1" t="s">
        <v>25819</v>
      </c>
      <c r="H1453" s="1" t="s">
        <v>25820</v>
      </c>
      <c r="I1453" s="1" t="s">
        <v>25821</v>
      </c>
      <c r="J1453" s="1">
        <v>6379434184</v>
      </c>
      <c r="K1453" s="1" t="s">
        <v>84</v>
      </c>
      <c r="L1453" s="1" t="s">
        <v>25822</v>
      </c>
      <c r="M1453" s="1" t="s">
        <v>86</v>
      </c>
      <c r="N1453" s="1" t="s">
        <v>25823</v>
      </c>
      <c r="O1453" s="1" t="s">
        <v>25824</v>
      </c>
      <c r="P1453" s="1" t="s">
        <v>455</v>
      </c>
      <c r="Q1453" s="1" t="s">
        <v>25825</v>
      </c>
      <c r="R1453" s="1" t="s">
        <v>25826</v>
      </c>
      <c r="S1453" s="1">
        <v>9442281758</v>
      </c>
      <c r="T1453" s="1" t="s">
        <v>25827</v>
      </c>
      <c r="U1453" s="1" t="s">
        <v>25828</v>
      </c>
      <c r="V1453" s="1">
        <v>9080349459</v>
      </c>
      <c r="W1453" s="1" t="s">
        <v>541</v>
      </c>
      <c r="X1453" s="1" t="s">
        <v>25829</v>
      </c>
      <c r="Y1453" s="1" t="s">
        <v>20593</v>
      </c>
      <c r="Z1453" s="1" t="s">
        <v>570</v>
      </c>
      <c r="AA1453" s="1" t="s">
        <v>25829</v>
      </c>
      <c r="AB1453" s="1" t="s">
        <v>20593</v>
      </c>
      <c r="AC1453" s="1" t="s">
        <v>570</v>
      </c>
      <c r="AD1453" s="1" t="s">
        <v>98</v>
      </c>
      <c r="AE1453" s="1" t="s">
        <v>98</v>
      </c>
      <c r="AF1453" s="1" t="s">
        <v>25830</v>
      </c>
      <c r="AG1453" s="1" t="s">
        <v>572</v>
      </c>
      <c r="AH1453" s="1" t="s">
        <v>101</v>
      </c>
      <c r="AI1453" s="1" t="s">
        <v>102</v>
      </c>
      <c r="AJ1453" s="1">
        <v>86.4</v>
      </c>
      <c r="AK1453" s="1">
        <v>8.6</v>
      </c>
      <c r="AL1453" s="1" t="s">
        <v>25830</v>
      </c>
      <c r="AM1453" s="1" t="s">
        <v>572</v>
      </c>
      <c r="AN1453" s="1"/>
      <c r="AO1453" s="1" t="s">
        <v>166</v>
      </c>
      <c r="AP1453" s="1" t="s">
        <v>200</v>
      </c>
      <c r="AQ1453" s="1">
        <v>72.3</v>
      </c>
      <c r="AR1453" s="1">
        <v>7.2</v>
      </c>
      <c r="AS1453" s="1"/>
      <c r="AT1453" s="1"/>
      <c r="AU1453" s="1"/>
      <c r="AV1453" s="1"/>
      <c r="AW1453" s="1"/>
      <c r="AX1453" s="1"/>
      <c r="AY1453" s="1" t="s">
        <v>25831</v>
      </c>
      <c r="AZ1453" s="1" t="s">
        <v>25832</v>
      </c>
      <c r="BA1453" s="1"/>
      <c r="BB1453" s="1"/>
      <c r="BC1453" s="1" t="s">
        <v>230</v>
      </c>
      <c r="BD1453" s="1" t="s">
        <v>845</v>
      </c>
      <c r="BE1453" s="1">
        <v>81</v>
      </c>
      <c r="BF1453" s="1">
        <v>8.1</v>
      </c>
      <c r="BG1453" s="1"/>
      <c r="BH1453" s="1"/>
      <c r="BI1453" s="1"/>
      <c r="BJ1453" s="1"/>
      <c r="BK1453" s="1"/>
      <c r="BL1453" s="1"/>
      <c r="BM1453" s="1"/>
      <c r="BN1453" s="1"/>
      <c r="BO1453" s="1" t="s">
        <v>25833</v>
      </c>
      <c r="BP1453" s="1"/>
      <c r="BQ1453" s="1"/>
      <c r="BR1453" s="1" t="s">
        <v>25834</v>
      </c>
      <c r="BS1453" s="1">
        <v>7</v>
      </c>
      <c r="BT1453" s="1"/>
      <c r="BU1453" s="1" t="str">
        <f>HYPERLINK("https://nconnect.nicmar.ac.in/storage/profile/ProfilePhoto_p2270038_328591.jpg","Download")</f>
        <v>0</v>
      </c>
      <c r="BV1453" s="3"/>
      <c r="BW1453" s="3"/>
    </row>
    <row r="1454" spans="1:75">
      <c r="A1454" s="1" t="s">
        <v>75</v>
      </c>
      <c r="B1454" s="1" t="s">
        <v>25236</v>
      </c>
      <c r="C1454" s="1" t="s">
        <v>25835</v>
      </c>
      <c r="D1454" s="1" t="s">
        <v>1337</v>
      </c>
      <c r="E1454" s="1"/>
      <c r="F1454" s="1" t="s">
        <v>530</v>
      </c>
      <c r="G1454" s="1" t="s">
        <v>13052</v>
      </c>
      <c r="H1454" s="1" t="s">
        <v>25836</v>
      </c>
      <c r="I1454" s="1" t="s">
        <v>25837</v>
      </c>
      <c r="J1454" s="1">
        <v>7458022897</v>
      </c>
      <c r="K1454" s="1" t="s">
        <v>84</v>
      </c>
      <c r="L1454" s="1" t="s">
        <v>25838</v>
      </c>
      <c r="M1454" s="1" t="s">
        <v>86</v>
      </c>
      <c r="N1454" s="1" t="s">
        <v>4278</v>
      </c>
      <c r="O1454" s="1" t="s">
        <v>25839</v>
      </c>
      <c r="P1454" s="1" t="s">
        <v>455</v>
      </c>
      <c r="Q1454" s="1" t="s">
        <v>25840</v>
      </c>
      <c r="R1454" s="1" t="s">
        <v>25841</v>
      </c>
      <c r="S1454" s="1">
        <v>9839855756</v>
      </c>
      <c r="T1454" s="1" t="s">
        <v>92</v>
      </c>
      <c r="U1454" s="1" t="s">
        <v>25842</v>
      </c>
      <c r="V1454" s="1">
        <v>9919779394</v>
      </c>
      <c r="W1454" s="1" t="s">
        <v>278</v>
      </c>
      <c r="X1454" s="1" t="s">
        <v>25843</v>
      </c>
      <c r="Y1454" s="1" t="s">
        <v>1059</v>
      </c>
      <c r="Z1454" s="1" t="s">
        <v>544</v>
      </c>
      <c r="AA1454" s="1" t="s">
        <v>25843</v>
      </c>
      <c r="AB1454" s="1" t="s">
        <v>1059</v>
      </c>
      <c r="AC1454" s="1" t="s">
        <v>544</v>
      </c>
      <c r="AD1454" s="1" t="s">
        <v>98</v>
      </c>
      <c r="AE1454" s="1" t="s">
        <v>98</v>
      </c>
      <c r="AF1454" s="1" t="s">
        <v>25844</v>
      </c>
      <c r="AG1454" s="1" t="s">
        <v>25845</v>
      </c>
      <c r="AH1454" s="1" t="s">
        <v>1110</v>
      </c>
      <c r="AI1454" s="1" t="s">
        <v>284</v>
      </c>
      <c r="AJ1454" s="1">
        <v>72.2</v>
      </c>
      <c r="AK1454" s="1">
        <v>7.6</v>
      </c>
      <c r="AL1454" s="1" t="s">
        <v>25846</v>
      </c>
      <c r="AM1454" s="1" t="s">
        <v>25845</v>
      </c>
      <c r="AN1454" s="1"/>
      <c r="AO1454" s="1" t="s">
        <v>284</v>
      </c>
      <c r="AP1454" s="1" t="s">
        <v>490</v>
      </c>
      <c r="AQ1454" s="1">
        <v>64.8</v>
      </c>
      <c r="AR1454" s="1">
        <v>6.8</v>
      </c>
      <c r="AS1454" s="1"/>
      <c r="AT1454" s="1"/>
      <c r="AU1454" s="1"/>
      <c r="AV1454" s="1"/>
      <c r="AW1454" s="1"/>
      <c r="AX1454" s="1"/>
      <c r="AY1454" s="1" t="s">
        <v>14921</v>
      </c>
      <c r="AZ1454" s="1" t="s">
        <v>25847</v>
      </c>
      <c r="BA1454" s="1"/>
      <c r="BB1454" s="1"/>
      <c r="BC1454" s="1" t="s">
        <v>1065</v>
      </c>
      <c r="BD1454" s="1" t="s">
        <v>110</v>
      </c>
      <c r="BE1454" s="1">
        <v>70.2</v>
      </c>
      <c r="BF1454" s="1">
        <v>7.02</v>
      </c>
      <c r="BG1454" s="1"/>
      <c r="BH1454" s="1"/>
      <c r="BI1454" s="1"/>
      <c r="BJ1454" s="1"/>
      <c r="BK1454" s="1"/>
      <c r="BL1454" s="1"/>
      <c r="BM1454" s="1"/>
      <c r="BN1454" s="1"/>
      <c r="BO1454" s="1" t="s">
        <v>25848</v>
      </c>
      <c r="BP1454" s="1"/>
      <c r="BQ1454" s="1"/>
      <c r="BR1454" s="1" t="s">
        <v>25849</v>
      </c>
      <c r="BS1454" s="1">
        <v>13</v>
      </c>
      <c r="BT1454" s="1"/>
      <c r="BU1454" s="1" t="str">
        <f>HYPERLINK("https://nconnect.nicmar.ac.in/storage/profile/ProfilePhoto_p2270039_235486.jpg","Download")</f>
        <v>0</v>
      </c>
      <c r="BV1454" s="3"/>
      <c r="BW1454" s="3"/>
    </row>
    <row r="1455" spans="1:75">
      <c r="A1455" s="1" t="s">
        <v>75</v>
      </c>
      <c r="B1455" s="1" t="s">
        <v>25236</v>
      </c>
      <c r="C1455" s="1" t="s">
        <v>25850</v>
      </c>
      <c r="D1455" s="1" t="s">
        <v>25851</v>
      </c>
      <c r="E1455" s="1"/>
      <c r="F1455" s="1" t="s">
        <v>530</v>
      </c>
      <c r="G1455" s="1" t="s">
        <v>25852</v>
      </c>
      <c r="H1455" s="1" t="s">
        <v>25853</v>
      </c>
      <c r="I1455" s="1" t="s">
        <v>25854</v>
      </c>
      <c r="J1455" s="1">
        <v>8426076878</v>
      </c>
      <c r="K1455" s="1" t="s">
        <v>84</v>
      </c>
      <c r="L1455" s="1" t="s">
        <v>25855</v>
      </c>
      <c r="M1455" s="1" t="s">
        <v>86</v>
      </c>
      <c r="N1455" s="1" t="s">
        <v>25605</v>
      </c>
      <c r="O1455" s="1"/>
      <c r="P1455" s="1" t="s">
        <v>481</v>
      </c>
      <c r="Q1455" s="1" t="s">
        <v>25856</v>
      </c>
      <c r="R1455" s="1" t="s">
        <v>25857</v>
      </c>
      <c r="S1455" s="1">
        <v>9415046380</v>
      </c>
      <c r="T1455" s="1" t="s">
        <v>926</v>
      </c>
      <c r="U1455" s="1" t="s">
        <v>25858</v>
      </c>
      <c r="V1455" s="1">
        <v>9451779557</v>
      </c>
      <c r="W1455" s="1" t="s">
        <v>161</v>
      </c>
      <c r="X1455" s="1" t="s">
        <v>25859</v>
      </c>
      <c r="Y1455" s="1" t="s">
        <v>25860</v>
      </c>
      <c r="Z1455" s="1" t="s">
        <v>544</v>
      </c>
      <c r="AA1455" s="1" t="s">
        <v>25859</v>
      </c>
      <c r="AB1455" s="1" t="s">
        <v>25860</v>
      </c>
      <c r="AC1455" s="1" t="s">
        <v>544</v>
      </c>
      <c r="AD1455" s="1" t="s">
        <v>98</v>
      </c>
      <c r="AE1455" s="1" t="s">
        <v>98</v>
      </c>
      <c r="AF1455" s="1" t="s">
        <v>25861</v>
      </c>
      <c r="AG1455" s="1" t="s">
        <v>25862</v>
      </c>
      <c r="AH1455" s="1" t="s">
        <v>1214</v>
      </c>
      <c r="AI1455" s="1" t="s">
        <v>136</v>
      </c>
      <c r="AJ1455" s="1">
        <v>83.6</v>
      </c>
      <c r="AK1455" s="1">
        <v>8.8</v>
      </c>
      <c r="AL1455" s="1" t="s">
        <v>25863</v>
      </c>
      <c r="AM1455" s="1" t="s">
        <v>25862</v>
      </c>
      <c r="AN1455" s="1"/>
      <c r="AO1455" s="1" t="s">
        <v>284</v>
      </c>
      <c r="AP1455" s="1" t="s">
        <v>573</v>
      </c>
      <c r="AQ1455" s="1">
        <v>68</v>
      </c>
      <c r="AR1455" s="1">
        <v>0</v>
      </c>
      <c r="AS1455" s="1"/>
      <c r="AT1455" s="1"/>
      <c r="AU1455" s="1"/>
      <c r="AV1455" s="1"/>
      <c r="AW1455" s="1"/>
      <c r="AX1455" s="1"/>
      <c r="AY1455" s="1" t="s">
        <v>25864</v>
      </c>
      <c r="AZ1455" s="1" t="s">
        <v>25613</v>
      </c>
      <c r="BA1455" s="1"/>
      <c r="BB1455" s="1"/>
      <c r="BC1455" s="1" t="s">
        <v>230</v>
      </c>
      <c r="BD1455" s="1" t="s">
        <v>847</v>
      </c>
      <c r="BE1455" s="1">
        <v>92.3</v>
      </c>
      <c r="BF1455" s="1">
        <v>9.23</v>
      </c>
      <c r="BG1455" s="1"/>
      <c r="BH1455" s="1"/>
      <c r="BI1455" s="1"/>
      <c r="BJ1455" s="1"/>
      <c r="BK1455" s="1"/>
      <c r="BL1455" s="1"/>
      <c r="BM1455" s="1"/>
      <c r="BN1455" s="1"/>
      <c r="BO1455" s="1" t="s">
        <v>8688</v>
      </c>
      <c r="BP1455" s="1" t="s">
        <v>25865</v>
      </c>
      <c r="BQ1455" s="1" t="s">
        <v>1174</v>
      </c>
      <c r="BR1455" s="1" t="s">
        <v>25866</v>
      </c>
      <c r="BS1455" s="1">
        <v>13</v>
      </c>
      <c r="BT1455" s="1"/>
      <c r="BU1455" s="1" t="str">
        <f>HYPERLINK("https://nconnect.nicmar.ac.in/storage/profile/ProfilePhoto_p2270040_642918.jpg","Download")</f>
        <v>0</v>
      </c>
      <c r="BV1455" s="3"/>
      <c r="BW1455" s="3"/>
    </row>
    <row r="1456" spans="1:75">
      <c r="A1456" s="1" t="s">
        <v>75</v>
      </c>
      <c r="B1456" s="1" t="s">
        <v>25236</v>
      </c>
      <c r="C1456" s="1" t="s">
        <v>25867</v>
      </c>
      <c r="D1456" s="1" t="s">
        <v>25868</v>
      </c>
      <c r="E1456" s="1"/>
      <c r="F1456" s="1" t="s">
        <v>25869</v>
      </c>
      <c r="G1456" s="1" t="s">
        <v>25870</v>
      </c>
      <c r="H1456" s="1" t="s">
        <v>25871</v>
      </c>
      <c r="I1456" s="1" t="s">
        <v>25872</v>
      </c>
      <c r="J1456" s="1">
        <v>7896679598</v>
      </c>
      <c r="K1456" s="1" t="s">
        <v>153</v>
      </c>
      <c r="L1456" s="1" t="s">
        <v>25873</v>
      </c>
      <c r="M1456" s="1" t="s">
        <v>86</v>
      </c>
      <c r="N1456" s="1" t="s">
        <v>25874</v>
      </c>
      <c r="O1456" s="1" t="s">
        <v>25875</v>
      </c>
      <c r="P1456" s="1" t="s">
        <v>455</v>
      </c>
      <c r="Q1456" s="1" t="s">
        <v>25876</v>
      </c>
      <c r="R1456" s="1" t="s">
        <v>25877</v>
      </c>
      <c r="S1456" s="1">
        <v>9435542845</v>
      </c>
      <c r="T1456" s="1" t="s">
        <v>1816</v>
      </c>
      <c r="U1456" s="1" t="s">
        <v>25878</v>
      </c>
      <c r="V1456" s="1">
        <v>9864045637</v>
      </c>
      <c r="W1456" s="1" t="s">
        <v>25879</v>
      </c>
      <c r="X1456" s="1" t="s">
        <v>25880</v>
      </c>
      <c r="Y1456" s="1" t="s">
        <v>1555</v>
      </c>
      <c r="Z1456" s="1" t="s">
        <v>1556</v>
      </c>
      <c r="AA1456" s="1" t="s">
        <v>25880</v>
      </c>
      <c r="AB1456" s="1" t="s">
        <v>1555</v>
      </c>
      <c r="AC1456" s="1" t="s">
        <v>1556</v>
      </c>
      <c r="AD1456" s="1" t="s">
        <v>98</v>
      </c>
      <c r="AE1456" s="1" t="s">
        <v>98</v>
      </c>
      <c r="AF1456" s="1" t="s">
        <v>25881</v>
      </c>
      <c r="AG1456" s="1" t="s">
        <v>25882</v>
      </c>
      <c r="AH1456" s="1" t="s">
        <v>1237</v>
      </c>
      <c r="AI1456" s="1" t="s">
        <v>627</v>
      </c>
      <c r="AJ1456" s="1">
        <v>72.2</v>
      </c>
      <c r="AK1456" s="1">
        <v>7.6</v>
      </c>
      <c r="AL1456" s="1" t="s">
        <v>25883</v>
      </c>
      <c r="AM1456" s="1" t="s">
        <v>25882</v>
      </c>
      <c r="AN1456" s="1"/>
      <c r="AO1456" s="1" t="s">
        <v>5442</v>
      </c>
      <c r="AP1456" s="1" t="s">
        <v>106</v>
      </c>
      <c r="AQ1456" s="1">
        <v>61.2</v>
      </c>
      <c r="AR1456" s="1">
        <v>6.1</v>
      </c>
      <c r="AS1456" s="1"/>
      <c r="AT1456" s="1"/>
      <c r="AU1456" s="1"/>
      <c r="AV1456" s="1"/>
      <c r="AW1456" s="1"/>
      <c r="AX1456" s="1"/>
      <c r="AY1456" s="1" t="s">
        <v>4962</v>
      </c>
      <c r="AZ1456" s="1" t="s">
        <v>25884</v>
      </c>
      <c r="BA1456" s="1"/>
      <c r="BB1456" s="1"/>
      <c r="BC1456" s="1" t="s">
        <v>106</v>
      </c>
      <c r="BD1456" s="1" t="s">
        <v>1802</v>
      </c>
      <c r="BE1456" s="1">
        <v>75.05</v>
      </c>
      <c r="BF1456" s="1">
        <v>7.9</v>
      </c>
      <c r="BG1456" s="1"/>
      <c r="BH1456" s="1"/>
      <c r="BI1456" s="1"/>
      <c r="BJ1456" s="1"/>
      <c r="BK1456" s="1"/>
      <c r="BL1456" s="1"/>
      <c r="BM1456" s="1"/>
      <c r="BN1456" s="1"/>
      <c r="BO1456" s="1" t="s">
        <v>25885</v>
      </c>
      <c r="BP1456" s="1"/>
      <c r="BQ1456" s="1"/>
      <c r="BR1456" s="1" t="s">
        <v>25886</v>
      </c>
      <c r="BS1456" s="1">
        <v>20</v>
      </c>
      <c r="BT1456" s="1"/>
      <c r="BU1456" s="1" t="str">
        <f>HYPERLINK("https://nconnect.nicmar.ac.in/storage/profile/ProfilePhoto_p2270041_826549.jpg","Download")</f>
        <v>0</v>
      </c>
      <c r="BV1456" s="3"/>
      <c r="BW1456" s="3"/>
    </row>
    <row r="1457" spans="1:75">
      <c r="A1457" s="1" t="s">
        <v>75</v>
      </c>
      <c r="B1457" s="1" t="s">
        <v>25236</v>
      </c>
      <c r="C1457" s="1" t="s">
        <v>25887</v>
      </c>
      <c r="D1457" s="1" t="s">
        <v>3817</v>
      </c>
      <c r="E1457" s="1" t="s">
        <v>8499</v>
      </c>
      <c r="F1457" s="1" t="s">
        <v>25888</v>
      </c>
      <c r="G1457" s="1" t="s">
        <v>25889</v>
      </c>
      <c r="H1457" s="1" t="s">
        <v>25890</v>
      </c>
      <c r="I1457" s="1" t="s">
        <v>25891</v>
      </c>
      <c r="J1457" s="1">
        <v>8169472954</v>
      </c>
      <c r="K1457" s="1" t="s">
        <v>84</v>
      </c>
      <c r="L1457" s="1" t="s">
        <v>25892</v>
      </c>
      <c r="M1457" s="1" t="s">
        <v>86</v>
      </c>
      <c r="N1457" s="1" t="s">
        <v>4278</v>
      </c>
      <c r="O1457" s="1" t="s">
        <v>25893</v>
      </c>
      <c r="P1457" s="1" t="s">
        <v>2062</v>
      </c>
      <c r="Q1457" s="1" t="s">
        <v>25894</v>
      </c>
      <c r="R1457" s="1" t="s">
        <v>25895</v>
      </c>
      <c r="S1457" s="1">
        <v>9821562867</v>
      </c>
      <c r="T1457" s="1" t="s">
        <v>25896</v>
      </c>
      <c r="U1457" s="1" t="s">
        <v>25897</v>
      </c>
      <c r="V1457" s="1">
        <v>9821562867</v>
      </c>
      <c r="W1457" s="1" t="s">
        <v>161</v>
      </c>
      <c r="X1457" s="1" t="s">
        <v>25898</v>
      </c>
      <c r="Y1457" s="1" t="s">
        <v>2259</v>
      </c>
      <c r="Z1457" s="1" t="s">
        <v>97</v>
      </c>
      <c r="AA1457" s="1" t="s">
        <v>25899</v>
      </c>
      <c r="AB1457" s="1" t="s">
        <v>2259</v>
      </c>
      <c r="AC1457" s="1" t="s">
        <v>97</v>
      </c>
      <c r="AD1457" s="1" t="s">
        <v>98</v>
      </c>
      <c r="AE1457" s="1" t="s">
        <v>98</v>
      </c>
      <c r="AF1457" s="1" t="s">
        <v>25900</v>
      </c>
      <c r="AG1457" s="1" t="s">
        <v>25901</v>
      </c>
      <c r="AH1457" s="1" t="s">
        <v>1110</v>
      </c>
      <c r="AI1457" s="1" t="s">
        <v>1111</v>
      </c>
      <c r="AJ1457" s="1">
        <v>70.8</v>
      </c>
      <c r="AK1457" s="1">
        <v>0</v>
      </c>
      <c r="AL1457" s="1"/>
      <c r="AM1457" s="1"/>
      <c r="AN1457" s="1"/>
      <c r="AO1457" s="1"/>
      <c r="AP1457" s="1"/>
      <c r="AQ1457" s="1"/>
      <c r="AR1457" s="1"/>
      <c r="AS1457" s="1" t="s">
        <v>103</v>
      </c>
      <c r="AT1457" s="1" t="s">
        <v>25902</v>
      </c>
      <c r="AU1457" s="1" t="s">
        <v>139</v>
      </c>
      <c r="AV1457" s="1" t="s">
        <v>313</v>
      </c>
      <c r="AW1457" s="1">
        <v>80.73</v>
      </c>
      <c r="AX1457" s="1">
        <v>0</v>
      </c>
      <c r="AY1457" s="1" t="s">
        <v>258</v>
      </c>
      <c r="AZ1457" s="1" t="s">
        <v>25903</v>
      </c>
      <c r="BA1457" s="1"/>
      <c r="BB1457" s="1"/>
      <c r="BC1457" s="1" t="s">
        <v>109</v>
      </c>
      <c r="BD1457" s="1" t="s">
        <v>632</v>
      </c>
      <c r="BE1457" s="1">
        <v>78.52</v>
      </c>
      <c r="BF1457" s="1">
        <v>8.99</v>
      </c>
      <c r="BG1457" s="1"/>
      <c r="BH1457" s="1"/>
      <c r="BI1457" s="1"/>
      <c r="BJ1457" s="1"/>
      <c r="BK1457" s="1"/>
      <c r="BL1457" s="1"/>
      <c r="BM1457" s="1"/>
      <c r="BN1457" s="1"/>
      <c r="BO1457" s="1" t="s">
        <v>1114</v>
      </c>
      <c r="BP1457" s="1"/>
      <c r="BQ1457" s="1"/>
      <c r="BR1457" s="1" t="s">
        <v>25904</v>
      </c>
      <c r="BS1457" s="1">
        <v>40</v>
      </c>
      <c r="BT1457" s="1"/>
      <c r="BU1457" s="1" t="str">
        <f>HYPERLINK("https://nconnect.nicmar.ac.in/storage/profile/ProfilePhoto_p2270042_984137.jpg","Download")</f>
        <v>0</v>
      </c>
      <c r="BV1457" s="3"/>
      <c r="BW1457" s="3"/>
    </row>
    <row r="1458" spans="1:75">
      <c r="A1458" s="1" t="s">
        <v>75</v>
      </c>
      <c r="B1458" s="1" t="s">
        <v>25236</v>
      </c>
      <c r="C1458" s="1" t="s">
        <v>25905</v>
      </c>
      <c r="D1458" s="1" t="s">
        <v>25906</v>
      </c>
      <c r="E1458" s="1"/>
      <c r="F1458" s="1" t="s">
        <v>25907</v>
      </c>
      <c r="G1458" s="1" t="s">
        <v>25908</v>
      </c>
      <c r="H1458" s="1" t="s">
        <v>25909</v>
      </c>
      <c r="I1458" s="1" t="s">
        <v>25910</v>
      </c>
      <c r="J1458" s="1">
        <v>8052495800</v>
      </c>
      <c r="K1458" s="1" t="s">
        <v>84</v>
      </c>
      <c r="L1458" s="1" t="s">
        <v>25911</v>
      </c>
      <c r="M1458" s="1" t="s">
        <v>86</v>
      </c>
      <c r="N1458" s="1" t="s">
        <v>4278</v>
      </c>
      <c r="O1458" s="1" t="s">
        <v>25912</v>
      </c>
      <c r="P1458" s="1" t="s">
        <v>455</v>
      </c>
      <c r="Q1458" s="1" t="s">
        <v>25913</v>
      </c>
      <c r="R1458" s="1" t="s">
        <v>25914</v>
      </c>
      <c r="S1458" s="1">
        <v>7070193192</v>
      </c>
      <c r="T1458" s="1" t="s">
        <v>2375</v>
      </c>
      <c r="U1458" s="1" t="s">
        <v>25915</v>
      </c>
      <c r="V1458" s="1">
        <v>9415967758</v>
      </c>
      <c r="W1458" s="1" t="s">
        <v>94</v>
      </c>
      <c r="X1458" s="1" t="s">
        <v>25916</v>
      </c>
      <c r="Y1458" s="1" t="s">
        <v>1059</v>
      </c>
      <c r="Z1458" s="1" t="s">
        <v>544</v>
      </c>
      <c r="AA1458" s="1" t="s">
        <v>25917</v>
      </c>
      <c r="AB1458" s="1" t="s">
        <v>1107</v>
      </c>
      <c r="AC1458" s="1" t="s">
        <v>544</v>
      </c>
      <c r="AD1458" s="1" t="s">
        <v>98</v>
      </c>
      <c r="AE1458" s="1" t="s">
        <v>98</v>
      </c>
      <c r="AF1458" s="1" t="s">
        <v>25918</v>
      </c>
      <c r="AG1458" s="1" t="s">
        <v>25919</v>
      </c>
      <c r="AH1458" s="1" t="s">
        <v>1262</v>
      </c>
      <c r="AI1458" s="1" t="s">
        <v>136</v>
      </c>
      <c r="AJ1458" s="1">
        <v>95</v>
      </c>
      <c r="AK1458" s="1">
        <v>10</v>
      </c>
      <c r="AL1458" s="1" t="s">
        <v>25918</v>
      </c>
      <c r="AM1458" s="1" t="s">
        <v>25919</v>
      </c>
      <c r="AN1458" s="1"/>
      <c r="AO1458" s="1" t="s">
        <v>627</v>
      </c>
      <c r="AP1458" s="1" t="s">
        <v>573</v>
      </c>
      <c r="AQ1458" s="1">
        <v>86.8</v>
      </c>
      <c r="AR1458" s="1">
        <v>8.68</v>
      </c>
      <c r="AS1458" s="1"/>
      <c r="AT1458" s="1"/>
      <c r="AU1458" s="1"/>
      <c r="AV1458" s="1"/>
      <c r="AW1458" s="1"/>
      <c r="AX1458" s="1"/>
      <c r="AY1458" s="1" t="s">
        <v>6995</v>
      </c>
      <c r="AZ1458" s="1" t="s">
        <v>25920</v>
      </c>
      <c r="BA1458" s="1"/>
      <c r="BB1458" s="1"/>
      <c r="BC1458" s="1" t="s">
        <v>388</v>
      </c>
      <c r="BD1458" s="1" t="s">
        <v>441</v>
      </c>
      <c r="BE1458" s="1">
        <v>89.4</v>
      </c>
      <c r="BF1458" s="1">
        <v>8.94</v>
      </c>
      <c r="BG1458" s="1"/>
      <c r="BH1458" s="1"/>
      <c r="BI1458" s="1"/>
      <c r="BJ1458" s="1"/>
      <c r="BK1458" s="1"/>
      <c r="BL1458" s="1"/>
      <c r="BM1458" s="1"/>
      <c r="BN1458" s="1"/>
      <c r="BO1458" s="1" t="s">
        <v>25921</v>
      </c>
      <c r="BP1458" s="1"/>
      <c r="BQ1458" s="1"/>
      <c r="BR1458" s="1" t="s">
        <v>25922</v>
      </c>
      <c r="BS1458" s="1">
        <v>14</v>
      </c>
      <c r="BT1458" s="1"/>
      <c r="BU1458" s="1" t="str">
        <f>HYPERLINK("https://nconnect.nicmar.ac.in/storage/profile/ProfilePhoto_p2270043_851692.jpg","Download")</f>
        <v>0</v>
      </c>
      <c r="BV1458" s="3"/>
      <c r="BW1458" s="3"/>
    </row>
    <row r="1459" spans="1:75">
      <c r="A1459" s="1" t="s">
        <v>75</v>
      </c>
      <c r="B1459" s="1" t="s">
        <v>25236</v>
      </c>
      <c r="C1459" s="1" t="s">
        <v>25923</v>
      </c>
      <c r="D1459" s="1" t="s">
        <v>25924</v>
      </c>
      <c r="E1459" s="1" t="s">
        <v>25925</v>
      </c>
      <c r="F1459" s="1" t="s">
        <v>25926</v>
      </c>
      <c r="G1459" s="1" t="s">
        <v>25927</v>
      </c>
      <c r="H1459" s="1" t="s">
        <v>25928</v>
      </c>
      <c r="I1459" s="1" t="s">
        <v>25929</v>
      </c>
      <c r="J1459" s="1">
        <v>7028156697</v>
      </c>
      <c r="K1459" s="1" t="s">
        <v>84</v>
      </c>
      <c r="L1459" s="1" t="s">
        <v>25930</v>
      </c>
      <c r="M1459" s="1" t="s">
        <v>86</v>
      </c>
      <c r="N1459" s="1" t="s">
        <v>903</v>
      </c>
      <c r="O1459" s="1"/>
      <c r="P1459" s="1" t="s">
        <v>455</v>
      </c>
      <c r="Q1459" s="1" t="s">
        <v>25931</v>
      </c>
      <c r="R1459" s="1" t="s">
        <v>25932</v>
      </c>
      <c r="S1459" s="1">
        <v>7709954049</v>
      </c>
      <c r="T1459" s="1" t="s">
        <v>4654</v>
      </c>
      <c r="U1459" s="1" t="s">
        <v>25933</v>
      </c>
      <c r="V1459" s="1">
        <v>8421309586</v>
      </c>
      <c r="W1459" s="1" t="s">
        <v>278</v>
      </c>
      <c r="X1459" s="1" t="s">
        <v>25934</v>
      </c>
      <c r="Y1459" s="1" t="s">
        <v>7241</v>
      </c>
      <c r="Z1459" s="1" t="s">
        <v>97</v>
      </c>
      <c r="AA1459" s="1" t="s">
        <v>25934</v>
      </c>
      <c r="AB1459" s="1" t="s">
        <v>7241</v>
      </c>
      <c r="AC1459" s="1" t="s">
        <v>97</v>
      </c>
      <c r="AD1459" s="1" t="s">
        <v>98</v>
      </c>
      <c r="AE1459" s="1" t="s">
        <v>98</v>
      </c>
      <c r="AF1459" s="1" t="s">
        <v>25935</v>
      </c>
      <c r="AG1459" s="1" t="s">
        <v>1721</v>
      </c>
      <c r="AH1459" s="1" t="s">
        <v>101</v>
      </c>
      <c r="AI1459" s="1" t="s">
        <v>136</v>
      </c>
      <c r="AJ1459" s="1">
        <v>77.6</v>
      </c>
      <c r="AK1459" s="1">
        <v>8.4</v>
      </c>
      <c r="AL1459" s="1" t="s">
        <v>25936</v>
      </c>
      <c r="AM1459" s="1" t="s">
        <v>1721</v>
      </c>
      <c r="AN1459" s="1"/>
      <c r="AO1459" s="1" t="s">
        <v>167</v>
      </c>
      <c r="AP1459" s="1" t="s">
        <v>573</v>
      </c>
      <c r="AQ1459" s="1">
        <v>78.31</v>
      </c>
      <c r="AR1459" s="1"/>
      <c r="AS1459" s="1"/>
      <c r="AT1459" s="1"/>
      <c r="AU1459" s="1"/>
      <c r="AV1459" s="1"/>
      <c r="AW1459" s="1"/>
      <c r="AX1459" s="1"/>
      <c r="AY1459" s="1" t="s">
        <v>415</v>
      </c>
      <c r="AZ1459" s="1" t="s">
        <v>25937</v>
      </c>
      <c r="BA1459" s="1"/>
      <c r="BB1459" s="1"/>
      <c r="BC1459" s="1" t="s">
        <v>230</v>
      </c>
      <c r="BD1459" s="1" t="s">
        <v>441</v>
      </c>
      <c r="BE1459" s="1">
        <v>74.7</v>
      </c>
      <c r="BF1459" s="1">
        <v>8.22</v>
      </c>
      <c r="BG1459" s="1"/>
      <c r="BH1459" s="1"/>
      <c r="BI1459" s="1"/>
      <c r="BJ1459" s="1"/>
      <c r="BK1459" s="1"/>
      <c r="BL1459" s="1"/>
      <c r="BM1459" s="1"/>
      <c r="BN1459" s="1"/>
      <c r="BO1459" s="1" t="s">
        <v>25938</v>
      </c>
      <c r="BP1459" s="1"/>
      <c r="BQ1459" s="1"/>
      <c r="BR1459" s="1" t="s">
        <v>25939</v>
      </c>
      <c r="BS1459" s="1">
        <v>33</v>
      </c>
      <c r="BT1459" s="1"/>
      <c r="BU1459" s="1" t="str">
        <f>HYPERLINK("https://nconnect.nicmar.ac.in/storage/profile/ProfilePhoto_p2270044_937264.jpg","Download")</f>
        <v>0</v>
      </c>
      <c r="BV1459" s="3"/>
      <c r="BW1459" s="3"/>
    </row>
    <row r="1460" spans="1:75">
      <c r="A1460" s="1" t="s">
        <v>75</v>
      </c>
      <c r="B1460" s="1" t="s">
        <v>25236</v>
      </c>
      <c r="C1460" s="1" t="s">
        <v>25940</v>
      </c>
      <c r="D1460" s="1" t="s">
        <v>3511</v>
      </c>
      <c r="E1460" s="1"/>
      <c r="F1460" s="1" t="s">
        <v>25941</v>
      </c>
      <c r="G1460" s="1" t="s">
        <v>25942</v>
      </c>
      <c r="H1460" s="1" t="s">
        <v>25943</v>
      </c>
      <c r="I1460" s="1" t="s">
        <v>25944</v>
      </c>
      <c r="J1460" s="1">
        <v>6383309807</v>
      </c>
      <c r="K1460" s="1" t="s">
        <v>84</v>
      </c>
      <c r="L1460" s="1" t="s">
        <v>25945</v>
      </c>
      <c r="M1460" s="1" t="s">
        <v>86</v>
      </c>
      <c r="N1460" s="1" t="s">
        <v>25946</v>
      </c>
      <c r="O1460" s="1" t="s">
        <v>25947</v>
      </c>
      <c r="P1460" s="1" t="s">
        <v>507</v>
      </c>
      <c r="Q1460" s="1" t="s">
        <v>25948</v>
      </c>
      <c r="R1460" s="1" t="s">
        <v>25949</v>
      </c>
      <c r="S1460" s="1">
        <v>9943308356</v>
      </c>
      <c r="T1460" s="1" t="s">
        <v>6713</v>
      </c>
      <c r="U1460" s="1" t="s">
        <v>25950</v>
      </c>
      <c r="V1460" s="1">
        <v>7806989749</v>
      </c>
      <c r="W1460" s="1" t="s">
        <v>541</v>
      </c>
      <c r="X1460" s="1" t="s">
        <v>25951</v>
      </c>
      <c r="Y1460" s="1" t="s">
        <v>18215</v>
      </c>
      <c r="Z1460" s="1" t="s">
        <v>570</v>
      </c>
      <c r="AA1460" s="1" t="s">
        <v>25951</v>
      </c>
      <c r="AB1460" s="1" t="s">
        <v>18215</v>
      </c>
      <c r="AC1460" s="1" t="s">
        <v>570</v>
      </c>
      <c r="AD1460" s="1" t="s">
        <v>98</v>
      </c>
      <c r="AE1460" s="1" t="s">
        <v>98</v>
      </c>
      <c r="AF1460" s="1" t="s">
        <v>25952</v>
      </c>
      <c r="AG1460" s="1" t="s">
        <v>25953</v>
      </c>
      <c r="AH1460" s="1" t="s">
        <v>1213</v>
      </c>
      <c r="AI1460" s="1" t="s">
        <v>1262</v>
      </c>
      <c r="AJ1460" s="1">
        <v>93.8</v>
      </c>
      <c r="AK1460" s="1"/>
      <c r="AL1460" s="1" t="s">
        <v>25952</v>
      </c>
      <c r="AM1460" s="1" t="s">
        <v>25953</v>
      </c>
      <c r="AN1460" s="1"/>
      <c r="AO1460" s="1" t="s">
        <v>166</v>
      </c>
      <c r="AP1460" s="1" t="s">
        <v>627</v>
      </c>
      <c r="AQ1460" s="1">
        <v>79.67</v>
      </c>
      <c r="AR1460" s="1"/>
      <c r="AS1460" s="1"/>
      <c r="AT1460" s="1"/>
      <c r="AU1460" s="1"/>
      <c r="AV1460" s="1"/>
      <c r="AW1460" s="1"/>
      <c r="AX1460" s="1"/>
      <c r="AY1460" s="1" t="s">
        <v>576</v>
      </c>
      <c r="AZ1460" s="1" t="s">
        <v>25954</v>
      </c>
      <c r="BA1460" s="1"/>
      <c r="BB1460" s="1"/>
      <c r="BC1460" s="1" t="s">
        <v>139</v>
      </c>
      <c r="BD1460" s="1" t="s">
        <v>977</v>
      </c>
      <c r="BE1460" s="1">
        <v>82.5</v>
      </c>
      <c r="BF1460" s="1">
        <v>8.25</v>
      </c>
      <c r="BG1460" s="1"/>
      <c r="BH1460" s="1"/>
      <c r="BI1460" s="1"/>
      <c r="BJ1460" s="1"/>
      <c r="BK1460" s="1"/>
      <c r="BL1460" s="1"/>
      <c r="BM1460" s="1"/>
      <c r="BN1460" s="1"/>
      <c r="BO1460" s="1" t="s">
        <v>1114</v>
      </c>
      <c r="BP1460" s="1"/>
      <c r="BQ1460" s="1"/>
      <c r="BR1460" s="1" t="s">
        <v>25955</v>
      </c>
      <c r="BS1460" s="1">
        <v>20</v>
      </c>
      <c r="BT1460" s="1"/>
      <c r="BU1460" s="1" t="str">
        <f>HYPERLINK("https://nconnect.nicmar.ac.in/storage/profile/ProfilePhoto_p2270045_964258.jpg","Download")</f>
        <v>0</v>
      </c>
      <c r="BV1460" s="3"/>
      <c r="BW1460" s="3"/>
    </row>
    <row r="1461" spans="1:75">
      <c r="A1461" s="1" t="s">
        <v>75</v>
      </c>
      <c r="B1461" s="1" t="s">
        <v>25236</v>
      </c>
      <c r="C1461" s="1" t="s">
        <v>25956</v>
      </c>
      <c r="D1461" s="1" t="s">
        <v>663</v>
      </c>
      <c r="E1461" s="1"/>
      <c r="F1461" s="1" t="s">
        <v>7272</v>
      </c>
      <c r="G1461" s="1" t="s">
        <v>25957</v>
      </c>
      <c r="H1461" s="1" t="s">
        <v>25958</v>
      </c>
      <c r="I1461" s="1" t="s">
        <v>25959</v>
      </c>
      <c r="J1461" s="1">
        <v>9847849569</v>
      </c>
      <c r="K1461" s="1" t="s">
        <v>84</v>
      </c>
      <c r="L1461" s="1" t="s">
        <v>25960</v>
      </c>
      <c r="M1461" s="1" t="s">
        <v>86</v>
      </c>
      <c r="N1461" s="1" t="s">
        <v>25961</v>
      </c>
      <c r="O1461" s="1"/>
      <c r="P1461" s="1" t="s">
        <v>455</v>
      </c>
      <c r="Q1461" s="1" t="s">
        <v>25962</v>
      </c>
      <c r="R1461" s="1" t="s">
        <v>25963</v>
      </c>
      <c r="S1461" s="1">
        <v>9447545239</v>
      </c>
      <c r="T1461" s="1" t="s">
        <v>276</v>
      </c>
      <c r="U1461" s="1" t="s">
        <v>25964</v>
      </c>
      <c r="V1461" s="1">
        <v>9446891728</v>
      </c>
      <c r="W1461" s="1" t="s">
        <v>908</v>
      </c>
      <c r="X1461" s="1" t="s">
        <v>25965</v>
      </c>
      <c r="Y1461" s="1" t="s">
        <v>19584</v>
      </c>
      <c r="Z1461" s="1" t="s">
        <v>130</v>
      </c>
      <c r="AA1461" s="1" t="s">
        <v>25965</v>
      </c>
      <c r="AB1461" s="1" t="s">
        <v>19584</v>
      </c>
      <c r="AC1461" s="1" t="s">
        <v>130</v>
      </c>
      <c r="AD1461" s="1" t="s">
        <v>98</v>
      </c>
      <c r="AE1461" s="1" t="s">
        <v>98</v>
      </c>
      <c r="AF1461" s="1" t="s">
        <v>25966</v>
      </c>
      <c r="AG1461" s="1" t="s">
        <v>25967</v>
      </c>
      <c r="AH1461" s="1" t="s">
        <v>1213</v>
      </c>
      <c r="AI1461" s="1" t="s">
        <v>1262</v>
      </c>
      <c r="AJ1461" s="1">
        <v>95</v>
      </c>
      <c r="AK1461" s="1">
        <v>10</v>
      </c>
      <c r="AL1461" s="1" t="s">
        <v>25966</v>
      </c>
      <c r="AM1461" s="1" t="s">
        <v>25967</v>
      </c>
      <c r="AN1461" s="1"/>
      <c r="AO1461" s="1" t="s">
        <v>166</v>
      </c>
      <c r="AP1461" s="1" t="s">
        <v>627</v>
      </c>
      <c r="AQ1461" s="1">
        <v>76</v>
      </c>
      <c r="AR1461" s="1"/>
      <c r="AS1461" s="1"/>
      <c r="AT1461" s="1"/>
      <c r="AU1461" s="1"/>
      <c r="AV1461" s="1"/>
      <c r="AW1461" s="1"/>
      <c r="AX1461" s="1"/>
      <c r="AY1461" s="1" t="s">
        <v>25968</v>
      </c>
      <c r="AZ1461" s="1" t="s">
        <v>25969</v>
      </c>
      <c r="BA1461" s="1"/>
      <c r="BB1461" s="1"/>
      <c r="BC1461" s="1" t="s">
        <v>388</v>
      </c>
      <c r="BD1461" s="1" t="s">
        <v>552</v>
      </c>
      <c r="BE1461" s="1">
        <v>84.6</v>
      </c>
      <c r="BF1461" s="1">
        <v>8.46</v>
      </c>
      <c r="BG1461" s="1"/>
      <c r="BH1461" s="1"/>
      <c r="BI1461" s="1"/>
      <c r="BJ1461" s="1"/>
      <c r="BK1461" s="1"/>
      <c r="BL1461" s="1"/>
      <c r="BM1461" s="1"/>
      <c r="BN1461" s="1"/>
      <c r="BO1461" s="1" t="s">
        <v>1826</v>
      </c>
      <c r="BP1461" s="1"/>
      <c r="BQ1461" s="1"/>
      <c r="BR1461" s="1" t="s">
        <v>25970</v>
      </c>
      <c r="BS1461" s="1">
        <v>11</v>
      </c>
      <c r="BT1461" s="1"/>
      <c r="BU1461" s="1" t="str">
        <f>HYPERLINK("https://nconnect.nicmar.ac.in/storage/profile/ProfilePhoto_p2270046_794286.jpg","Download")</f>
        <v>0</v>
      </c>
      <c r="BV1461" s="3"/>
      <c r="BW1461" s="3"/>
    </row>
    <row r="1462" spans="1:75">
      <c r="A1462" s="1" t="s">
        <v>75</v>
      </c>
      <c r="B1462" s="1" t="s">
        <v>25236</v>
      </c>
      <c r="C1462" s="1" t="s">
        <v>25971</v>
      </c>
      <c r="D1462" s="1" t="s">
        <v>25972</v>
      </c>
      <c r="E1462" s="1" t="s">
        <v>2500</v>
      </c>
      <c r="F1462" s="1" t="s">
        <v>25973</v>
      </c>
      <c r="G1462" s="1" t="s">
        <v>25974</v>
      </c>
      <c r="H1462" s="1" t="s">
        <v>25975</v>
      </c>
      <c r="I1462" s="1" t="s">
        <v>25976</v>
      </c>
      <c r="J1462" s="1">
        <v>7400405931</v>
      </c>
      <c r="K1462" s="1" t="s">
        <v>84</v>
      </c>
      <c r="L1462" s="1" t="s">
        <v>25977</v>
      </c>
      <c r="M1462" s="1" t="s">
        <v>86</v>
      </c>
      <c r="N1462" s="1" t="s">
        <v>1163</v>
      </c>
      <c r="O1462" s="1"/>
      <c r="P1462" s="1" t="s">
        <v>481</v>
      </c>
      <c r="Q1462" s="1" t="s">
        <v>25978</v>
      </c>
      <c r="R1462" s="1" t="s">
        <v>25979</v>
      </c>
      <c r="S1462" s="1">
        <v>9136941275</v>
      </c>
      <c r="T1462" s="1" t="s">
        <v>926</v>
      </c>
      <c r="U1462" s="1" t="s">
        <v>25980</v>
      </c>
      <c r="V1462" s="1">
        <v>8828365931</v>
      </c>
      <c r="W1462" s="1" t="s">
        <v>1620</v>
      </c>
      <c r="X1462" s="1" t="s">
        <v>25981</v>
      </c>
      <c r="Y1462" s="1" t="s">
        <v>1012</v>
      </c>
      <c r="Z1462" s="1" t="s">
        <v>97</v>
      </c>
      <c r="AA1462" s="1" t="s">
        <v>25981</v>
      </c>
      <c r="AB1462" s="1" t="s">
        <v>1012</v>
      </c>
      <c r="AC1462" s="1" t="s">
        <v>97</v>
      </c>
      <c r="AD1462" s="1" t="s">
        <v>98</v>
      </c>
      <c r="AE1462" s="1" t="s">
        <v>98</v>
      </c>
      <c r="AF1462" s="1" t="s">
        <v>25982</v>
      </c>
      <c r="AG1462" s="1" t="s">
        <v>25983</v>
      </c>
      <c r="AH1462" s="1" t="s">
        <v>101</v>
      </c>
      <c r="AI1462" s="1" t="s">
        <v>136</v>
      </c>
      <c r="AJ1462" s="1">
        <v>75.5</v>
      </c>
      <c r="AK1462" s="1">
        <v>0</v>
      </c>
      <c r="AL1462" s="1" t="s">
        <v>25984</v>
      </c>
      <c r="AM1462" s="1" t="s">
        <v>25983</v>
      </c>
      <c r="AN1462" s="1"/>
      <c r="AO1462" s="1" t="s">
        <v>14379</v>
      </c>
      <c r="AP1462" s="1" t="s">
        <v>518</v>
      </c>
      <c r="AQ1462" s="1">
        <v>61.23</v>
      </c>
      <c r="AR1462" s="1">
        <v>0</v>
      </c>
      <c r="AS1462" s="1"/>
      <c r="AT1462" s="1"/>
      <c r="AU1462" s="1"/>
      <c r="AV1462" s="1"/>
      <c r="AW1462" s="1"/>
      <c r="AX1462" s="1"/>
      <c r="AY1462" s="1" t="s">
        <v>997</v>
      </c>
      <c r="AZ1462" s="1" t="s">
        <v>11287</v>
      </c>
      <c r="BA1462" s="1"/>
      <c r="BB1462" s="1"/>
      <c r="BC1462" s="1" t="s">
        <v>230</v>
      </c>
      <c r="BD1462" s="1" t="s">
        <v>1400</v>
      </c>
      <c r="BE1462" s="1">
        <v>76.3</v>
      </c>
      <c r="BF1462" s="1">
        <v>8.38</v>
      </c>
      <c r="BG1462" s="1"/>
      <c r="BH1462" s="1"/>
      <c r="BI1462" s="1"/>
      <c r="BJ1462" s="1"/>
      <c r="BK1462" s="1"/>
      <c r="BL1462" s="1"/>
      <c r="BM1462" s="1"/>
      <c r="BN1462" s="1"/>
      <c r="BO1462" s="1" t="s">
        <v>25985</v>
      </c>
      <c r="BP1462" s="1"/>
      <c r="BQ1462" s="1"/>
      <c r="BR1462" s="1" t="s">
        <v>25986</v>
      </c>
      <c r="BS1462" s="1">
        <v>21</v>
      </c>
      <c r="BT1462" s="1"/>
      <c r="BU1462" s="1" t="str">
        <f>HYPERLINK("https://nconnect.nicmar.ac.in/storage/profile/ProfilePhoto_p2270047_724681.jpg","Download")</f>
        <v>0</v>
      </c>
      <c r="BV1462" s="3"/>
      <c r="BW1462" s="3"/>
    </row>
    <row r="1463" spans="1:75">
      <c r="A1463" s="1" t="s">
        <v>75</v>
      </c>
      <c r="B1463" s="1" t="s">
        <v>25236</v>
      </c>
      <c r="C1463" s="1" t="s">
        <v>25987</v>
      </c>
      <c r="D1463" s="1" t="s">
        <v>1136</v>
      </c>
      <c r="E1463" s="1"/>
      <c r="F1463" s="1" t="s">
        <v>25988</v>
      </c>
      <c r="G1463" s="1" t="s">
        <v>25989</v>
      </c>
      <c r="H1463" s="1" t="s">
        <v>25990</v>
      </c>
      <c r="I1463" s="1" t="s">
        <v>25991</v>
      </c>
      <c r="J1463" s="1">
        <v>9068382999</v>
      </c>
      <c r="K1463" s="1" t="s">
        <v>84</v>
      </c>
      <c r="L1463" s="1" t="s">
        <v>25992</v>
      </c>
      <c r="M1463" s="1" t="s">
        <v>155</v>
      </c>
      <c r="N1463" s="1" t="s">
        <v>25993</v>
      </c>
      <c r="O1463" s="1"/>
      <c r="P1463" s="1" t="s">
        <v>507</v>
      </c>
      <c r="Q1463" s="1" t="s">
        <v>25994</v>
      </c>
      <c r="R1463" s="1" t="s">
        <v>25995</v>
      </c>
      <c r="S1463" s="1">
        <v>9999868395</v>
      </c>
      <c r="T1463" s="1" t="s">
        <v>25996</v>
      </c>
      <c r="U1463" s="1" t="s">
        <v>25997</v>
      </c>
      <c r="V1463" s="1">
        <v>9760526855</v>
      </c>
      <c r="W1463" s="1" t="s">
        <v>9451</v>
      </c>
      <c r="X1463" s="1" t="s">
        <v>25998</v>
      </c>
      <c r="Y1463" s="1" t="s">
        <v>794</v>
      </c>
      <c r="Z1463" s="1" t="s">
        <v>544</v>
      </c>
      <c r="AA1463" s="1" t="s">
        <v>25999</v>
      </c>
      <c r="AB1463" s="1" t="s">
        <v>196</v>
      </c>
      <c r="AC1463" s="1" t="s">
        <v>97</v>
      </c>
      <c r="AD1463" s="1" t="s">
        <v>98</v>
      </c>
      <c r="AE1463" s="1" t="s">
        <v>98</v>
      </c>
      <c r="AF1463" s="1" t="s">
        <v>26000</v>
      </c>
      <c r="AG1463" s="1" t="s">
        <v>26001</v>
      </c>
      <c r="AH1463" s="1" t="s">
        <v>798</v>
      </c>
      <c r="AI1463" s="1" t="s">
        <v>799</v>
      </c>
      <c r="AJ1463" s="1">
        <v>76</v>
      </c>
      <c r="AK1463" s="1">
        <v>8</v>
      </c>
      <c r="AL1463" s="1"/>
      <c r="AM1463" s="1"/>
      <c r="AN1463" s="1"/>
      <c r="AO1463" s="1"/>
      <c r="AP1463" s="1"/>
      <c r="AQ1463" s="1"/>
      <c r="AR1463" s="1"/>
      <c r="AS1463" s="1" t="s">
        <v>103</v>
      </c>
      <c r="AT1463" s="1" t="s">
        <v>26002</v>
      </c>
      <c r="AU1463" s="1" t="s">
        <v>339</v>
      </c>
      <c r="AV1463" s="1" t="s">
        <v>101</v>
      </c>
      <c r="AW1463" s="1">
        <v>77.85</v>
      </c>
      <c r="AX1463" s="1"/>
      <c r="AY1463" s="1" t="s">
        <v>26003</v>
      </c>
      <c r="AZ1463" s="1" t="s">
        <v>26003</v>
      </c>
      <c r="BA1463" s="1"/>
      <c r="BB1463" s="1"/>
      <c r="BC1463" s="1" t="s">
        <v>257</v>
      </c>
      <c r="BD1463" s="1" t="s">
        <v>230</v>
      </c>
      <c r="BE1463" s="1">
        <v>63.46</v>
      </c>
      <c r="BF1463" s="1">
        <v>6.68</v>
      </c>
      <c r="BG1463" s="1"/>
      <c r="BH1463" s="1"/>
      <c r="BI1463" s="1"/>
      <c r="BJ1463" s="1"/>
      <c r="BK1463" s="1"/>
      <c r="BL1463" s="1"/>
      <c r="BM1463" s="1"/>
      <c r="BN1463" s="1"/>
      <c r="BO1463" s="1" t="s">
        <v>26004</v>
      </c>
      <c r="BP1463" s="1" t="s">
        <v>26005</v>
      </c>
      <c r="BQ1463" s="1" t="s">
        <v>20984</v>
      </c>
      <c r="BR1463" s="1" t="s">
        <v>26006</v>
      </c>
      <c r="BS1463" s="1">
        <v>17</v>
      </c>
      <c r="BT1463" s="1"/>
      <c r="BU1463" s="1" t="str">
        <f>HYPERLINK("https://nconnect.nicmar.ac.in/storage/profile/ProfilePhoto_p2270048_321768.jpg","Download")</f>
        <v>0</v>
      </c>
      <c r="BV1463" s="3"/>
      <c r="BW1463" s="3"/>
    </row>
    <row r="1464" spans="1:75">
      <c r="A1464" s="1" t="s">
        <v>75</v>
      </c>
      <c r="B1464" s="1" t="s">
        <v>25236</v>
      </c>
      <c r="C1464" s="1" t="s">
        <v>26007</v>
      </c>
      <c r="D1464" s="1" t="s">
        <v>5430</v>
      </c>
      <c r="E1464" s="1" t="s">
        <v>26008</v>
      </c>
      <c r="F1464" s="1" t="s">
        <v>26009</v>
      </c>
      <c r="G1464" s="1" t="s">
        <v>26010</v>
      </c>
      <c r="H1464" s="1" t="s">
        <v>26011</v>
      </c>
      <c r="I1464" s="1" t="s">
        <v>26012</v>
      </c>
      <c r="J1464" s="1">
        <v>9895574459</v>
      </c>
      <c r="K1464" s="1" t="s">
        <v>84</v>
      </c>
      <c r="L1464" s="1" t="s">
        <v>26013</v>
      </c>
      <c r="M1464" s="1" t="s">
        <v>86</v>
      </c>
      <c r="N1464" s="1" t="s">
        <v>12775</v>
      </c>
      <c r="O1464" s="1" t="s">
        <v>26014</v>
      </c>
      <c r="P1464" s="1" t="s">
        <v>455</v>
      </c>
      <c r="Q1464" s="1" t="s">
        <v>26015</v>
      </c>
      <c r="R1464" s="1" t="s">
        <v>26016</v>
      </c>
      <c r="S1464" s="1">
        <v>9447430062</v>
      </c>
      <c r="T1464" s="1" t="s">
        <v>596</v>
      </c>
      <c r="U1464" s="1" t="s">
        <v>26017</v>
      </c>
      <c r="V1464" s="1">
        <v>8590050244</v>
      </c>
      <c r="W1464" s="1" t="s">
        <v>541</v>
      </c>
      <c r="X1464" s="1" t="s">
        <v>26018</v>
      </c>
      <c r="Y1464" s="1" t="s">
        <v>4916</v>
      </c>
      <c r="Z1464" s="1" t="s">
        <v>130</v>
      </c>
      <c r="AA1464" s="1" t="s">
        <v>26018</v>
      </c>
      <c r="AB1464" s="1" t="s">
        <v>4916</v>
      </c>
      <c r="AC1464" s="1" t="s">
        <v>130</v>
      </c>
      <c r="AD1464" s="1" t="s">
        <v>98</v>
      </c>
      <c r="AE1464" s="1" t="s">
        <v>98</v>
      </c>
      <c r="AF1464" s="1" t="s">
        <v>26019</v>
      </c>
      <c r="AG1464" s="1" t="s">
        <v>5972</v>
      </c>
      <c r="AH1464" s="1" t="s">
        <v>133</v>
      </c>
      <c r="AI1464" s="1" t="s">
        <v>1457</v>
      </c>
      <c r="AJ1464" s="1">
        <v>96.57</v>
      </c>
      <c r="AK1464" s="1"/>
      <c r="AL1464" s="1" t="s">
        <v>26019</v>
      </c>
      <c r="AM1464" s="1" t="s">
        <v>5972</v>
      </c>
      <c r="AN1464" s="1"/>
      <c r="AO1464" s="1" t="s">
        <v>804</v>
      </c>
      <c r="AP1464" s="1" t="s">
        <v>102</v>
      </c>
      <c r="AQ1464" s="1">
        <v>86</v>
      </c>
      <c r="AR1464" s="1"/>
      <c r="AS1464" s="1"/>
      <c r="AT1464" s="1"/>
      <c r="AU1464" s="1"/>
      <c r="AV1464" s="1"/>
      <c r="AW1464" s="1"/>
      <c r="AX1464" s="1"/>
      <c r="AY1464" s="1" t="s">
        <v>137</v>
      </c>
      <c r="AZ1464" s="1" t="s">
        <v>26020</v>
      </c>
      <c r="BA1464" s="1"/>
      <c r="BB1464" s="1"/>
      <c r="BC1464" s="1" t="s">
        <v>105</v>
      </c>
      <c r="BD1464" s="1" t="s">
        <v>315</v>
      </c>
      <c r="BE1464" s="1">
        <v>76.1</v>
      </c>
      <c r="BF1464" s="1">
        <v>7.61</v>
      </c>
      <c r="BG1464" s="1"/>
      <c r="BH1464" s="1"/>
      <c r="BI1464" s="1"/>
      <c r="BJ1464" s="1"/>
      <c r="BK1464" s="1"/>
      <c r="BL1464" s="1"/>
      <c r="BM1464" s="1"/>
      <c r="BN1464" s="1"/>
      <c r="BO1464" s="1" t="s">
        <v>25815</v>
      </c>
      <c r="BP1464" s="1" t="s">
        <v>26021</v>
      </c>
      <c r="BQ1464" s="1" t="s">
        <v>1849</v>
      </c>
      <c r="BR1464" s="1" t="s">
        <v>26022</v>
      </c>
      <c r="BS1464" s="1">
        <v>8</v>
      </c>
      <c r="BT1464" s="1"/>
      <c r="BU1464" s="1" t="str">
        <f>HYPERLINK("https://nconnect.nicmar.ac.in/storage/profile/ProfilePhoto_p2270049_876931.jpg","Download")</f>
        <v>0</v>
      </c>
      <c r="BV1464" s="3"/>
      <c r="BW1464" s="3"/>
    </row>
    <row r="1465" spans="1:75">
      <c r="A1465" s="1" t="s">
        <v>75</v>
      </c>
      <c r="B1465" s="1" t="s">
        <v>25236</v>
      </c>
      <c r="C1465" s="1" t="s">
        <v>26023</v>
      </c>
      <c r="D1465" s="1" t="s">
        <v>1021</v>
      </c>
      <c r="E1465" s="1" t="s">
        <v>26024</v>
      </c>
      <c r="F1465" s="1" t="s">
        <v>26025</v>
      </c>
      <c r="G1465" s="1" t="s">
        <v>26026</v>
      </c>
      <c r="H1465" s="1" t="s">
        <v>26027</v>
      </c>
      <c r="I1465" s="1" t="s">
        <v>26028</v>
      </c>
      <c r="J1465" s="1">
        <v>9526076613</v>
      </c>
      <c r="K1465" s="1" t="s">
        <v>84</v>
      </c>
      <c r="L1465" s="1" t="s">
        <v>26029</v>
      </c>
      <c r="M1465" s="1" t="s">
        <v>86</v>
      </c>
      <c r="N1465" s="1" t="s">
        <v>2393</v>
      </c>
      <c r="O1465" s="1"/>
      <c r="P1465" s="1" t="s">
        <v>455</v>
      </c>
      <c r="Q1465" s="1" t="s">
        <v>26030</v>
      </c>
      <c r="R1465" s="1" t="s">
        <v>26031</v>
      </c>
      <c r="S1465" s="1">
        <v>9446585347</v>
      </c>
      <c r="T1465" s="1" t="s">
        <v>839</v>
      </c>
      <c r="U1465" s="1" t="s">
        <v>26032</v>
      </c>
      <c r="V1465" s="1">
        <v>9656438656</v>
      </c>
      <c r="W1465" s="1" t="s">
        <v>839</v>
      </c>
      <c r="X1465" s="1" t="s">
        <v>26033</v>
      </c>
      <c r="Y1465" s="1" t="s">
        <v>3190</v>
      </c>
      <c r="Z1465" s="1" t="s">
        <v>130</v>
      </c>
      <c r="AA1465" s="1" t="s">
        <v>26033</v>
      </c>
      <c r="AB1465" s="1" t="s">
        <v>3190</v>
      </c>
      <c r="AC1465" s="1" t="s">
        <v>130</v>
      </c>
      <c r="AD1465" s="1" t="s">
        <v>98</v>
      </c>
      <c r="AE1465" s="1" t="s">
        <v>98</v>
      </c>
      <c r="AF1465" s="1" t="s">
        <v>26034</v>
      </c>
      <c r="AG1465" s="1" t="s">
        <v>3155</v>
      </c>
      <c r="AH1465" s="1" t="s">
        <v>133</v>
      </c>
      <c r="AI1465" s="1" t="s">
        <v>134</v>
      </c>
      <c r="AJ1465" s="1">
        <v>93.1</v>
      </c>
      <c r="AK1465" s="1">
        <v>9.8</v>
      </c>
      <c r="AL1465" s="1" t="s">
        <v>26035</v>
      </c>
      <c r="AM1465" s="1" t="s">
        <v>3155</v>
      </c>
      <c r="AN1465" s="1"/>
      <c r="AO1465" s="1" t="s">
        <v>101</v>
      </c>
      <c r="AP1465" s="1" t="s">
        <v>136</v>
      </c>
      <c r="AQ1465" s="1">
        <v>84</v>
      </c>
      <c r="AR1465" s="1">
        <v>8.4</v>
      </c>
      <c r="AS1465" s="1"/>
      <c r="AT1465" s="1"/>
      <c r="AU1465" s="1"/>
      <c r="AV1465" s="1"/>
      <c r="AW1465" s="1"/>
      <c r="AX1465" s="1"/>
      <c r="AY1465" s="1" t="s">
        <v>137</v>
      </c>
      <c r="AZ1465" s="1" t="s">
        <v>26036</v>
      </c>
      <c r="BA1465" s="1"/>
      <c r="BB1465" s="1"/>
      <c r="BC1465" s="1" t="s">
        <v>284</v>
      </c>
      <c r="BD1465" s="1" t="s">
        <v>417</v>
      </c>
      <c r="BE1465" s="1">
        <v>71.75</v>
      </c>
      <c r="BF1465" s="1">
        <v>7.55</v>
      </c>
      <c r="BG1465" s="1"/>
      <c r="BH1465" s="1"/>
      <c r="BI1465" s="1"/>
      <c r="BJ1465" s="1"/>
      <c r="BK1465" s="1"/>
      <c r="BL1465" s="1"/>
      <c r="BM1465" s="1"/>
      <c r="BN1465" s="1"/>
      <c r="BO1465" s="1" t="s">
        <v>26037</v>
      </c>
      <c r="BP1465" s="1" t="s">
        <v>26038</v>
      </c>
      <c r="BQ1465" s="1" t="s">
        <v>1849</v>
      </c>
      <c r="BR1465" s="1" t="s">
        <v>26039</v>
      </c>
      <c r="BS1465" s="1">
        <v>4</v>
      </c>
      <c r="BT1465" s="1"/>
      <c r="BU1465" s="1" t="str">
        <f>HYPERLINK("https://nconnect.nicmar.ac.in/storage/profile/ProfilePhoto_p2270050_856413.jpg","Download")</f>
        <v>0</v>
      </c>
      <c r="BV1465" s="3"/>
      <c r="BW1465" s="3"/>
    </row>
    <row r="1466" spans="1:75">
      <c r="A1466" s="1" t="s">
        <v>75</v>
      </c>
      <c r="B1466" s="1" t="s">
        <v>25236</v>
      </c>
      <c r="C1466" s="1" t="s">
        <v>26040</v>
      </c>
      <c r="D1466" s="1" t="s">
        <v>853</v>
      </c>
      <c r="E1466" s="1"/>
      <c r="F1466" s="1" t="s">
        <v>3910</v>
      </c>
      <c r="G1466" s="1" t="s">
        <v>26041</v>
      </c>
      <c r="H1466" s="1" t="s">
        <v>26042</v>
      </c>
      <c r="I1466" s="1" t="s">
        <v>26043</v>
      </c>
      <c r="J1466" s="1">
        <v>8917436450</v>
      </c>
      <c r="K1466" s="1" t="s">
        <v>153</v>
      </c>
      <c r="L1466" s="1" t="s">
        <v>26044</v>
      </c>
      <c r="M1466" s="1" t="s">
        <v>86</v>
      </c>
      <c r="N1466" s="1" t="s">
        <v>26045</v>
      </c>
      <c r="O1466" s="1" t="s">
        <v>26046</v>
      </c>
      <c r="P1466" s="1" t="s">
        <v>507</v>
      </c>
      <c r="Q1466" s="1" t="s">
        <v>26047</v>
      </c>
      <c r="R1466" s="1" t="s">
        <v>26048</v>
      </c>
      <c r="S1466" s="1">
        <v>9337573187</v>
      </c>
      <c r="T1466" s="1" t="s">
        <v>98</v>
      </c>
      <c r="U1466" s="1" t="s">
        <v>26049</v>
      </c>
      <c r="V1466" s="1">
        <v>9337573187</v>
      </c>
      <c r="W1466" s="1" t="s">
        <v>539</v>
      </c>
      <c r="X1466" s="1" t="s">
        <v>26050</v>
      </c>
      <c r="Y1466" s="1" t="s">
        <v>864</v>
      </c>
      <c r="Z1466" s="1" t="s">
        <v>865</v>
      </c>
      <c r="AA1466" s="1" t="s">
        <v>26050</v>
      </c>
      <c r="AB1466" s="1" t="s">
        <v>864</v>
      </c>
      <c r="AC1466" s="1" t="s">
        <v>865</v>
      </c>
      <c r="AD1466" s="1" t="s">
        <v>98</v>
      </c>
      <c r="AE1466" s="1" t="s">
        <v>98</v>
      </c>
      <c r="AF1466" s="1" t="s">
        <v>26051</v>
      </c>
      <c r="AG1466" s="1" t="s">
        <v>26052</v>
      </c>
      <c r="AH1466" s="1" t="s">
        <v>3421</v>
      </c>
      <c r="AI1466" s="1" t="s">
        <v>1262</v>
      </c>
      <c r="AJ1466" s="1">
        <v>93.1</v>
      </c>
      <c r="AK1466" s="1">
        <v>9.8</v>
      </c>
      <c r="AL1466" s="1" t="s">
        <v>26051</v>
      </c>
      <c r="AM1466" s="1" t="s">
        <v>26052</v>
      </c>
      <c r="AN1466" s="1"/>
      <c r="AO1466" s="1" t="s">
        <v>135</v>
      </c>
      <c r="AP1466" s="1" t="s">
        <v>627</v>
      </c>
      <c r="AQ1466" s="1">
        <v>94.6</v>
      </c>
      <c r="AR1466" s="1">
        <v>0</v>
      </c>
      <c r="AS1466" s="1"/>
      <c r="AT1466" s="1"/>
      <c r="AU1466" s="1"/>
      <c r="AV1466" s="1"/>
      <c r="AW1466" s="1"/>
      <c r="AX1466" s="1"/>
      <c r="AY1466" s="1" t="s">
        <v>26053</v>
      </c>
      <c r="AZ1466" s="1" t="s">
        <v>26054</v>
      </c>
      <c r="BA1466" s="1"/>
      <c r="BB1466" s="1"/>
      <c r="BC1466" s="1" t="s">
        <v>139</v>
      </c>
      <c r="BD1466" s="1" t="s">
        <v>1040</v>
      </c>
      <c r="BE1466" s="1">
        <v>82.6</v>
      </c>
      <c r="BF1466" s="1">
        <v>8.76</v>
      </c>
      <c r="BG1466" s="1"/>
      <c r="BH1466" s="1"/>
      <c r="BI1466" s="1"/>
      <c r="BJ1466" s="1"/>
      <c r="BK1466" s="1"/>
      <c r="BL1466" s="1"/>
      <c r="BM1466" s="1"/>
      <c r="BN1466" s="1"/>
      <c r="BO1466" s="1" t="s">
        <v>26055</v>
      </c>
      <c r="BP1466" s="1" t="s">
        <v>26056</v>
      </c>
      <c r="BQ1466" s="1" t="s">
        <v>292</v>
      </c>
      <c r="BR1466" s="1" t="s">
        <v>26057</v>
      </c>
      <c r="BS1466" s="1">
        <v>17</v>
      </c>
      <c r="BT1466" s="1"/>
      <c r="BU1466" s="1" t="str">
        <f>HYPERLINK("https://nconnect.nicmar.ac.in/storage/profile/ProfilePhoto_p2270051_946257.jpg","Download")</f>
        <v>0</v>
      </c>
      <c r="BV1466" s="3"/>
      <c r="BW1466" s="3"/>
    </row>
    <row r="1467" spans="1:75">
      <c r="A1467" s="1" t="s">
        <v>75</v>
      </c>
      <c r="B1467" s="1" t="s">
        <v>25236</v>
      </c>
      <c r="C1467" s="1" t="s">
        <v>26058</v>
      </c>
      <c r="D1467" s="1" t="s">
        <v>26059</v>
      </c>
      <c r="E1467" s="1" t="s">
        <v>26060</v>
      </c>
      <c r="F1467" s="1" t="s">
        <v>26061</v>
      </c>
      <c r="G1467" s="1" t="s">
        <v>26062</v>
      </c>
      <c r="H1467" s="1" t="s">
        <v>26063</v>
      </c>
      <c r="I1467" s="1" t="s">
        <v>26064</v>
      </c>
      <c r="J1467" s="1">
        <v>8698216853</v>
      </c>
      <c r="K1467" s="1" t="s">
        <v>84</v>
      </c>
      <c r="L1467" s="1" t="s">
        <v>26065</v>
      </c>
      <c r="M1467" s="1" t="s">
        <v>86</v>
      </c>
      <c r="N1467" s="1" t="s">
        <v>26066</v>
      </c>
      <c r="O1467" s="1" t="s">
        <v>26067</v>
      </c>
      <c r="P1467" s="1" t="s">
        <v>507</v>
      </c>
      <c r="Q1467" s="1" t="s">
        <v>26068</v>
      </c>
      <c r="R1467" s="1" t="s">
        <v>26061</v>
      </c>
      <c r="S1467" s="1">
        <v>9168744422</v>
      </c>
      <c r="T1467" s="1" t="s">
        <v>26069</v>
      </c>
      <c r="U1467" s="1" t="s">
        <v>26070</v>
      </c>
      <c r="V1467" s="1">
        <v>8554936659</v>
      </c>
      <c r="W1467" s="1" t="s">
        <v>161</v>
      </c>
      <c r="X1467" s="1" t="s">
        <v>26071</v>
      </c>
      <c r="Y1467" s="1" t="s">
        <v>2259</v>
      </c>
      <c r="Z1467" s="1" t="s">
        <v>97</v>
      </c>
      <c r="AA1467" s="1" t="s">
        <v>26071</v>
      </c>
      <c r="AB1467" s="1" t="s">
        <v>2259</v>
      </c>
      <c r="AC1467" s="1" t="s">
        <v>97</v>
      </c>
      <c r="AD1467" s="1" t="s">
        <v>98</v>
      </c>
      <c r="AE1467" s="1" t="s">
        <v>98</v>
      </c>
      <c r="AF1467" s="1" t="s">
        <v>26072</v>
      </c>
      <c r="AG1467" s="1" t="s">
        <v>629</v>
      </c>
      <c r="AH1467" s="1" t="s">
        <v>1213</v>
      </c>
      <c r="AI1467" s="1" t="s">
        <v>284</v>
      </c>
      <c r="AJ1467" s="1">
        <v>82.6</v>
      </c>
      <c r="AK1467" s="1"/>
      <c r="AL1467" s="1" t="s">
        <v>26073</v>
      </c>
      <c r="AM1467" s="1" t="s">
        <v>629</v>
      </c>
      <c r="AN1467" s="1"/>
      <c r="AO1467" s="1" t="s">
        <v>1396</v>
      </c>
      <c r="AP1467" s="1" t="s">
        <v>106</v>
      </c>
      <c r="AQ1467" s="1">
        <v>75.23</v>
      </c>
      <c r="AR1467" s="1"/>
      <c r="AS1467" s="1"/>
      <c r="AT1467" s="1"/>
      <c r="AU1467" s="1"/>
      <c r="AV1467" s="1"/>
      <c r="AW1467" s="1"/>
      <c r="AX1467" s="1"/>
      <c r="AY1467" s="1" t="s">
        <v>680</v>
      </c>
      <c r="AZ1467" s="1" t="s">
        <v>1973</v>
      </c>
      <c r="BA1467" s="1"/>
      <c r="BB1467" s="1"/>
      <c r="BC1467" s="1" t="s">
        <v>174</v>
      </c>
      <c r="BD1467" s="1" t="s">
        <v>1802</v>
      </c>
      <c r="BE1467" s="1">
        <v>75.74</v>
      </c>
      <c r="BF1467" s="1">
        <v>8.53</v>
      </c>
      <c r="BG1467" s="1"/>
      <c r="BH1467" s="1"/>
      <c r="BI1467" s="1"/>
      <c r="BJ1467" s="1"/>
      <c r="BK1467" s="1"/>
      <c r="BL1467" s="1"/>
      <c r="BM1467" s="1"/>
      <c r="BN1467" s="1"/>
      <c r="BO1467" s="1" t="s">
        <v>26074</v>
      </c>
      <c r="BP1467" s="1"/>
      <c r="BQ1467" s="1"/>
      <c r="BR1467" s="1" t="s">
        <v>26075</v>
      </c>
      <c r="BS1467" s="1">
        <v>32</v>
      </c>
      <c r="BT1467" s="1"/>
      <c r="BU1467" s="1" t="str">
        <f>HYPERLINK("https://nconnect.nicmar.ac.in/storage/profile/ProfilePhoto_p2270052_698157.jpg","Download")</f>
        <v>0</v>
      </c>
      <c r="BV1467" s="3"/>
      <c r="BW1467" s="3"/>
    </row>
    <row r="1468" spans="1:75">
      <c r="A1468" s="1" t="s">
        <v>75</v>
      </c>
      <c r="B1468" s="1" t="s">
        <v>25236</v>
      </c>
      <c r="C1468" s="1" t="s">
        <v>26076</v>
      </c>
      <c r="D1468" s="1" t="s">
        <v>2309</v>
      </c>
      <c r="E1468" s="1" t="s">
        <v>26077</v>
      </c>
      <c r="F1468" s="1" t="s">
        <v>6636</v>
      </c>
      <c r="G1468" s="1" t="s">
        <v>26078</v>
      </c>
      <c r="H1468" s="1" t="s">
        <v>26079</v>
      </c>
      <c r="I1468" s="1" t="s">
        <v>26080</v>
      </c>
      <c r="J1468" s="1">
        <v>7038521861</v>
      </c>
      <c r="K1468" s="1" t="s">
        <v>84</v>
      </c>
      <c r="L1468" s="1" t="s">
        <v>26081</v>
      </c>
      <c r="M1468" s="1" t="s">
        <v>86</v>
      </c>
      <c r="N1468" s="1" t="s">
        <v>1163</v>
      </c>
      <c r="O1468" s="1" t="s">
        <v>26082</v>
      </c>
      <c r="P1468" s="1" t="s">
        <v>1028</v>
      </c>
      <c r="Q1468" s="1" t="s">
        <v>26083</v>
      </c>
      <c r="R1468" s="1" t="s">
        <v>26084</v>
      </c>
      <c r="S1468" s="1">
        <v>9921721501</v>
      </c>
      <c r="T1468" s="1" t="s">
        <v>4654</v>
      </c>
      <c r="U1468" s="1" t="s">
        <v>26085</v>
      </c>
      <c r="V1468" s="1">
        <v>7798614606</v>
      </c>
      <c r="W1468" s="1" t="s">
        <v>94</v>
      </c>
      <c r="X1468" s="1" t="s">
        <v>26086</v>
      </c>
      <c r="Y1468" s="1" t="s">
        <v>5181</v>
      </c>
      <c r="Z1468" s="1" t="s">
        <v>97</v>
      </c>
      <c r="AA1468" s="1" t="s">
        <v>26086</v>
      </c>
      <c r="AB1468" s="1" t="s">
        <v>5181</v>
      </c>
      <c r="AC1468" s="1" t="s">
        <v>97</v>
      </c>
      <c r="AD1468" s="1" t="s">
        <v>98</v>
      </c>
      <c r="AE1468" s="1" t="s">
        <v>98</v>
      </c>
      <c r="AF1468" s="1" t="s">
        <v>26087</v>
      </c>
      <c r="AG1468" s="1" t="s">
        <v>26088</v>
      </c>
      <c r="AH1468" s="1" t="s">
        <v>101</v>
      </c>
      <c r="AI1468" s="1" t="s">
        <v>102</v>
      </c>
      <c r="AJ1468" s="1">
        <v>88.4</v>
      </c>
      <c r="AK1468" s="1"/>
      <c r="AL1468" s="1" t="s">
        <v>26089</v>
      </c>
      <c r="AM1468" s="1" t="s">
        <v>26088</v>
      </c>
      <c r="AN1468" s="1"/>
      <c r="AO1468" s="1" t="s">
        <v>1396</v>
      </c>
      <c r="AP1468" s="1" t="s">
        <v>704</v>
      </c>
      <c r="AQ1468" s="1">
        <v>70.77</v>
      </c>
      <c r="AR1468" s="1"/>
      <c r="AS1468" s="1"/>
      <c r="AT1468" s="1"/>
      <c r="AU1468" s="1"/>
      <c r="AV1468" s="1"/>
      <c r="AW1468" s="1"/>
      <c r="AX1468" s="1"/>
      <c r="AY1468" s="1" t="s">
        <v>26090</v>
      </c>
      <c r="AZ1468" s="1" t="s">
        <v>5804</v>
      </c>
      <c r="BA1468" s="1"/>
      <c r="BB1468" s="1"/>
      <c r="BC1468" s="1" t="s">
        <v>230</v>
      </c>
      <c r="BD1468" s="1" t="s">
        <v>2304</v>
      </c>
      <c r="BE1468" s="1">
        <v>80.3</v>
      </c>
      <c r="BF1468" s="1">
        <v>8.53</v>
      </c>
      <c r="BG1468" s="1"/>
      <c r="BH1468" s="1"/>
      <c r="BI1468" s="1"/>
      <c r="BJ1468" s="1"/>
      <c r="BK1468" s="1"/>
      <c r="BL1468" s="1"/>
      <c r="BM1468" s="1"/>
      <c r="BN1468" s="1"/>
      <c r="BO1468" s="1" t="s">
        <v>26091</v>
      </c>
      <c r="BP1468" s="1"/>
      <c r="BQ1468" s="1"/>
      <c r="BR1468" s="1" t="s">
        <v>26092</v>
      </c>
      <c r="BS1468" s="1">
        <v>35</v>
      </c>
      <c r="BT1468" s="1"/>
      <c r="BU1468" s="1" t="str">
        <f>HYPERLINK("https://nconnect.nicmar.ac.in/storage/profile/ProfilePhoto_p2270053_824631.jpg","Download")</f>
        <v>0</v>
      </c>
      <c r="BV1468" s="3"/>
      <c r="BW1468" s="3"/>
    </row>
    <row r="1469" spans="1:75">
      <c r="A1469" s="1" t="s">
        <v>75</v>
      </c>
      <c r="B1469" s="1" t="s">
        <v>25236</v>
      </c>
      <c r="C1469" s="1" t="s">
        <v>26093</v>
      </c>
      <c r="D1469" s="1" t="s">
        <v>10043</v>
      </c>
      <c r="E1469" s="1" t="s">
        <v>26094</v>
      </c>
      <c r="F1469" s="1" t="s">
        <v>26095</v>
      </c>
      <c r="G1469" s="1" t="s">
        <v>26096</v>
      </c>
      <c r="H1469" s="1" t="s">
        <v>26097</v>
      </c>
      <c r="I1469" s="1" t="s">
        <v>26098</v>
      </c>
      <c r="J1469" s="1">
        <v>8862084619</v>
      </c>
      <c r="K1469" s="1" t="s">
        <v>84</v>
      </c>
      <c r="L1469" s="1" t="s">
        <v>26099</v>
      </c>
      <c r="M1469" s="1" t="s">
        <v>86</v>
      </c>
      <c r="N1469" s="1" t="s">
        <v>618</v>
      </c>
      <c r="O1469" s="1" t="s">
        <v>26100</v>
      </c>
      <c r="P1469" s="1" t="s">
        <v>455</v>
      </c>
      <c r="Q1469" s="1" t="s">
        <v>26101</v>
      </c>
      <c r="R1469" s="1" t="s">
        <v>26102</v>
      </c>
      <c r="S1469" s="1">
        <v>9881373596</v>
      </c>
      <c r="T1469" s="1" t="s">
        <v>4654</v>
      </c>
      <c r="U1469" s="1" t="s">
        <v>26103</v>
      </c>
      <c r="V1469" s="1">
        <v>9822432897</v>
      </c>
      <c r="W1469" s="1" t="s">
        <v>94</v>
      </c>
      <c r="X1469" s="1" t="s">
        <v>26104</v>
      </c>
      <c r="Y1469" s="1" t="s">
        <v>5181</v>
      </c>
      <c r="Z1469" s="1" t="s">
        <v>97</v>
      </c>
      <c r="AA1469" s="1" t="s">
        <v>26104</v>
      </c>
      <c r="AB1469" s="1" t="s">
        <v>5181</v>
      </c>
      <c r="AC1469" s="1" t="s">
        <v>97</v>
      </c>
      <c r="AD1469" s="1" t="s">
        <v>98</v>
      </c>
      <c r="AE1469" s="1" t="s">
        <v>98</v>
      </c>
      <c r="AF1469" s="1" t="s">
        <v>26105</v>
      </c>
      <c r="AG1469" s="1" t="s">
        <v>26088</v>
      </c>
      <c r="AH1469" s="1" t="s">
        <v>1213</v>
      </c>
      <c r="AI1469" s="1" t="s">
        <v>515</v>
      </c>
      <c r="AJ1469" s="1">
        <v>67.8</v>
      </c>
      <c r="AK1469" s="1"/>
      <c r="AL1469" s="1" t="s">
        <v>26089</v>
      </c>
      <c r="AM1469" s="1" t="s">
        <v>26088</v>
      </c>
      <c r="AN1469" s="1"/>
      <c r="AO1469" s="1" t="s">
        <v>342</v>
      </c>
      <c r="AP1469" s="1" t="s">
        <v>517</v>
      </c>
      <c r="AQ1469" s="1">
        <v>56.15</v>
      </c>
      <c r="AR1469" s="1"/>
      <c r="AS1469" s="1"/>
      <c r="AT1469" s="1"/>
      <c r="AU1469" s="1"/>
      <c r="AV1469" s="1"/>
      <c r="AW1469" s="1"/>
      <c r="AX1469" s="1"/>
      <c r="AY1469" s="1" t="s">
        <v>26090</v>
      </c>
      <c r="AZ1469" s="1" t="s">
        <v>5804</v>
      </c>
      <c r="BA1469" s="1"/>
      <c r="BB1469" s="1"/>
      <c r="BC1469" s="1" t="s">
        <v>230</v>
      </c>
      <c r="BD1469" s="1" t="s">
        <v>2304</v>
      </c>
      <c r="BE1469" s="1">
        <v>72.9</v>
      </c>
      <c r="BF1469" s="1">
        <v>7.79</v>
      </c>
      <c r="BG1469" s="1"/>
      <c r="BH1469" s="1"/>
      <c r="BI1469" s="1"/>
      <c r="BJ1469" s="1"/>
      <c r="BK1469" s="1"/>
      <c r="BL1469" s="1"/>
      <c r="BM1469" s="1"/>
      <c r="BN1469" s="1"/>
      <c r="BO1469" s="1" t="s">
        <v>26091</v>
      </c>
      <c r="BP1469" s="1"/>
      <c r="BQ1469" s="1"/>
      <c r="BR1469" s="1" t="s">
        <v>26106</v>
      </c>
      <c r="BS1469" s="1">
        <v>34</v>
      </c>
      <c r="BT1469" s="1"/>
      <c r="BU1469" s="1" t="str">
        <f>HYPERLINK("https://nconnect.nicmar.ac.in/storage/profile/ProfilePhoto_p2270054_395672.jpg","Download")</f>
        <v>0</v>
      </c>
      <c r="BV1469" s="3"/>
      <c r="BW1469" s="3"/>
    </row>
    <row r="1470" spans="1:75">
      <c r="A1470" s="1" t="s">
        <v>75</v>
      </c>
      <c r="B1470" s="1" t="s">
        <v>25236</v>
      </c>
      <c r="C1470" s="1" t="s">
        <v>26107</v>
      </c>
      <c r="D1470" s="1" t="s">
        <v>26108</v>
      </c>
      <c r="E1470" s="1" t="s">
        <v>6862</v>
      </c>
      <c r="F1470" s="1" t="s">
        <v>1872</v>
      </c>
      <c r="G1470" s="1" t="s">
        <v>26109</v>
      </c>
      <c r="H1470" s="1" t="s">
        <v>26110</v>
      </c>
      <c r="I1470" s="1" t="s">
        <v>26111</v>
      </c>
      <c r="J1470" s="1">
        <v>9082267149</v>
      </c>
      <c r="K1470" s="1" t="s">
        <v>153</v>
      </c>
      <c r="L1470" s="1" t="s">
        <v>26112</v>
      </c>
      <c r="M1470" s="1" t="s">
        <v>86</v>
      </c>
      <c r="N1470" s="1" t="s">
        <v>1470</v>
      </c>
      <c r="O1470" s="1" t="s">
        <v>26113</v>
      </c>
      <c r="P1470" s="1" t="s">
        <v>455</v>
      </c>
      <c r="Q1470" s="1" t="s">
        <v>26114</v>
      </c>
      <c r="R1470" s="1" t="s">
        <v>26115</v>
      </c>
      <c r="S1470" s="1">
        <v>9029344555</v>
      </c>
      <c r="T1470" s="1" t="s">
        <v>4486</v>
      </c>
      <c r="U1470" s="1" t="s">
        <v>26116</v>
      </c>
      <c r="V1470" s="1">
        <v>9221020056</v>
      </c>
      <c r="W1470" s="1" t="s">
        <v>161</v>
      </c>
      <c r="X1470" s="1" t="s">
        <v>26117</v>
      </c>
      <c r="Y1470" s="1" t="s">
        <v>1189</v>
      </c>
      <c r="Z1470" s="1" t="s">
        <v>97</v>
      </c>
      <c r="AA1470" s="1" t="s">
        <v>26117</v>
      </c>
      <c r="AB1470" s="1" t="s">
        <v>1189</v>
      </c>
      <c r="AC1470" s="1" t="s">
        <v>97</v>
      </c>
      <c r="AD1470" s="1" t="s">
        <v>98</v>
      </c>
      <c r="AE1470" s="1" t="s">
        <v>98</v>
      </c>
      <c r="AF1470" s="1" t="s">
        <v>26118</v>
      </c>
      <c r="AG1470" s="1" t="s">
        <v>26119</v>
      </c>
      <c r="AH1470" s="1" t="s">
        <v>101</v>
      </c>
      <c r="AI1470" s="1" t="s">
        <v>166</v>
      </c>
      <c r="AJ1470" s="1">
        <v>87.4</v>
      </c>
      <c r="AK1470" s="1">
        <v>0</v>
      </c>
      <c r="AL1470" s="1" t="s">
        <v>26120</v>
      </c>
      <c r="AM1470" s="1" t="s">
        <v>26119</v>
      </c>
      <c r="AN1470" s="1"/>
      <c r="AO1470" s="1" t="s">
        <v>105</v>
      </c>
      <c r="AP1470" s="1" t="s">
        <v>170</v>
      </c>
      <c r="AQ1470" s="1">
        <v>66.62</v>
      </c>
      <c r="AR1470" s="1">
        <v>0</v>
      </c>
      <c r="AS1470" s="1"/>
      <c r="AT1470" s="1"/>
      <c r="AU1470" s="1"/>
      <c r="AV1470" s="1"/>
      <c r="AW1470" s="1"/>
      <c r="AX1470" s="1"/>
      <c r="AY1470" s="1" t="s">
        <v>680</v>
      </c>
      <c r="AZ1470" s="1" t="s">
        <v>26121</v>
      </c>
      <c r="BA1470" s="1"/>
      <c r="BB1470" s="1"/>
      <c r="BC1470" s="1" t="s">
        <v>230</v>
      </c>
      <c r="BD1470" s="1" t="s">
        <v>847</v>
      </c>
      <c r="BE1470" s="1">
        <v>73</v>
      </c>
      <c r="BF1470" s="1">
        <v>7.94</v>
      </c>
      <c r="BG1470" s="1"/>
      <c r="BH1470" s="1"/>
      <c r="BI1470" s="1"/>
      <c r="BJ1470" s="1"/>
      <c r="BK1470" s="1"/>
      <c r="BL1470" s="1"/>
      <c r="BM1470" s="1"/>
      <c r="BN1470" s="1"/>
      <c r="BO1470" s="1" t="s">
        <v>26122</v>
      </c>
      <c r="BP1470" s="1" t="s">
        <v>26123</v>
      </c>
      <c r="BQ1470" s="1" t="s">
        <v>1043</v>
      </c>
      <c r="BR1470" s="1" t="s">
        <v>26124</v>
      </c>
      <c r="BS1470" s="1">
        <v>12</v>
      </c>
      <c r="BT1470" s="1"/>
      <c r="BU1470" s="1" t="str">
        <f>HYPERLINK("https://nconnect.nicmar.ac.in/storage/profile/ProfilePhoto_p2270055_594863.jpg","Download")</f>
        <v>0</v>
      </c>
      <c r="BV1470" s="3"/>
      <c r="BW1470" s="3"/>
    </row>
    <row r="1471" spans="1:75">
      <c r="A1471" s="1" t="s">
        <v>75</v>
      </c>
      <c r="B1471" s="1" t="s">
        <v>25236</v>
      </c>
      <c r="C1471" s="1" t="s">
        <v>26125</v>
      </c>
      <c r="D1471" s="1" t="s">
        <v>26126</v>
      </c>
      <c r="E1471" s="1" t="s">
        <v>3431</v>
      </c>
      <c r="F1471" s="1" t="s">
        <v>26127</v>
      </c>
      <c r="G1471" s="1" t="s">
        <v>26128</v>
      </c>
      <c r="H1471" s="1" t="s">
        <v>26129</v>
      </c>
      <c r="I1471" s="1" t="s">
        <v>26130</v>
      </c>
      <c r="J1471" s="1">
        <v>9998343479</v>
      </c>
      <c r="K1471" s="1" t="s">
        <v>153</v>
      </c>
      <c r="L1471" s="1" t="s">
        <v>26131</v>
      </c>
      <c r="M1471" s="1" t="s">
        <v>86</v>
      </c>
      <c r="N1471" s="1" t="s">
        <v>7185</v>
      </c>
      <c r="O1471" s="1"/>
      <c r="P1471" s="1" t="s">
        <v>507</v>
      </c>
      <c r="Q1471" s="1" t="s">
        <v>26132</v>
      </c>
      <c r="R1471" s="1" t="s">
        <v>26133</v>
      </c>
      <c r="S1471" s="1">
        <v>9904529959</v>
      </c>
      <c r="T1471" s="1" t="s">
        <v>9943</v>
      </c>
      <c r="U1471" s="1" t="s">
        <v>26134</v>
      </c>
      <c r="V1471" s="1">
        <v>9265734852</v>
      </c>
      <c r="W1471" s="1" t="s">
        <v>26135</v>
      </c>
      <c r="X1471" s="1" t="s">
        <v>26136</v>
      </c>
      <c r="Y1471" s="1" t="s">
        <v>5138</v>
      </c>
      <c r="Z1471" s="1" t="s">
        <v>676</v>
      </c>
      <c r="AA1471" s="1" t="s">
        <v>26136</v>
      </c>
      <c r="AB1471" s="1" t="s">
        <v>5138</v>
      </c>
      <c r="AC1471" s="1" t="s">
        <v>676</v>
      </c>
      <c r="AD1471" s="1" t="s">
        <v>98</v>
      </c>
      <c r="AE1471" s="1" t="s">
        <v>98</v>
      </c>
      <c r="AF1471" s="1" t="s">
        <v>26137</v>
      </c>
      <c r="AG1471" s="1" t="s">
        <v>8746</v>
      </c>
      <c r="AH1471" s="1" t="s">
        <v>2726</v>
      </c>
      <c r="AI1471" s="1" t="s">
        <v>1457</v>
      </c>
      <c r="AJ1471" s="1">
        <v>86.67</v>
      </c>
      <c r="AK1471" s="1"/>
      <c r="AL1471" s="1" t="s">
        <v>26137</v>
      </c>
      <c r="AM1471" s="1" t="s">
        <v>8746</v>
      </c>
      <c r="AN1471" s="1"/>
      <c r="AO1471" s="1" t="s">
        <v>134</v>
      </c>
      <c r="AP1471" s="1" t="s">
        <v>515</v>
      </c>
      <c r="AQ1471" s="1">
        <v>79.23</v>
      </c>
      <c r="AR1471" s="1"/>
      <c r="AS1471" s="1"/>
      <c r="AT1471" s="1"/>
      <c r="AU1471" s="1"/>
      <c r="AV1471" s="1"/>
      <c r="AW1471" s="1"/>
      <c r="AX1471" s="1"/>
      <c r="AY1471" s="1" t="s">
        <v>26138</v>
      </c>
      <c r="AZ1471" s="1" t="s">
        <v>26139</v>
      </c>
      <c r="BA1471" s="1"/>
      <c r="BB1471" s="1"/>
      <c r="BC1471" s="1" t="s">
        <v>342</v>
      </c>
      <c r="BD1471" s="1" t="s">
        <v>313</v>
      </c>
      <c r="BE1471" s="1">
        <v>78.5</v>
      </c>
      <c r="BF1471" s="1">
        <v>8.35</v>
      </c>
      <c r="BG1471" s="1"/>
      <c r="BH1471" s="1"/>
      <c r="BI1471" s="1"/>
      <c r="BJ1471" s="1"/>
      <c r="BK1471" s="1"/>
      <c r="BL1471" s="1"/>
      <c r="BM1471" s="1"/>
      <c r="BN1471" s="1"/>
      <c r="BO1471" s="1" t="s">
        <v>26140</v>
      </c>
      <c r="BP1471" s="1" t="s">
        <v>26141</v>
      </c>
      <c r="BQ1471" s="1" t="s">
        <v>4552</v>
      </c>
      <c r="BR1471" s="1" t="s">
        <v>26142</v>
      </c>
      <c r="BS1471" s="1">
        <v>24</v>
      </c>
      <c r="BT1471" s="1"/>
      <c r="BU1471" s="1" t="str">
        <f>HYPERLINK("https://nconnect.nicmar.ac.in/storage/profile/ProfilePhoto_p2270056_413586.jpg","Download")</f>
        <v>0</v>
      </c>
      <c r="BV1471" s="3"/>
      <c r="BW1471" s="3"/>
    </row>
    <row r="1472" spans="1:75">
      <c r="A1472" s="1" t="s">
        <v>75</v>
      </c>
      <c r="B1472" s="1" t="s">
        <v>25236</v>
      </c>
      <c r="C1472" s="1" t="s">
        <v>26143</v>
      </c>
      <c r="D1472" s="1" t="s">
        <v>14720</v>
      </c>
      <c r="E1472" s="1" t="s">
        <v>26144</v>
      </c>
      <c r="F1472" s="1" t="s">
        <v>21329</v>
      </c>
      <c r="G1472" s="1" t="s">
        <v>26145</v>
      </c>
      <c r="H1472" s="1" t="s">
        <v>26146</v>
      </c>
      <c r="I1472" s="1" t="s">
        <v>26147</v>
      </c>
      <c r="J1472" s="1">
        <v>9987823883</v>
      </c>
      <c r="K1472" s="1" t="s">
        <v>84</v>
      </c>
      <c r="L1472" s="1" t="s">
        <v>26148</v>
      </c>
      <c r="M1472" s="1" t="s">
        <v>86</v>
      </c>
      <c r="N1472" s="1" t="s">
        <v>618</v>
      </c>
      <c r="O1472" s="1" t="s">
        <v>26149</v>
      </c>
      <c r="P1472" s="1" t="s">
        <v>455</v>
      </c>
      <c r="Q1472" s="1" t="s">
        <v>26150</v>
      </c>
      <c r="R1472" s="1" t="s">
        <v>26151</v>
      </c>
      <c r="S1472" s="1">
        <v>9223534792</v>
      </c>
      <c r="T1472" s="1" t="s">
        <v>2128</v>
      </c>
      <c r="U1472" s="1" t="s">
        <v>26152</v>
      </c>
      <c r="V1472" s="1">
        <v>9223569080</v>
      </c>
      <c r="W1472" s="1" t="s">
        <v>541</v>
      </c>
      <c r="X1472" s="1" t="s">
        <v>26153</v>
      </c>
      <c r="Y1472" s="1" t="s">
        <v>1012</v>
      </c>
      <c r="Z1472" s="1" t="s">
        <v>97</v>
      </c>
      <c r="AA1472" s="1" t="s">
        <v>26153</v>
      </c>
      <c r="AB1472" s="1" t="s">
        <v>1012</v>
      </c>
      <c r="AC1472" s="1" t="s">
        <v>97</v>
      </c>
      <c r="AD1472" s="1" t="s">
        <v>98</v>
      </c>
      <c r="AE1472" s="1" t="s">
        <v>98</v>
      </c>
      <c r="AF1472" s="1" t="s">
        <v>26154</v>
      </c>
      <c r="AG1472" s="1" t="s">
        <v>26155</v>
      </c>
      <c r="AH1472" s="1" t="s">
        <v>101</v>
      </c>
      <c r="AI1472" s="1" t="s">
        <v>166</v>
      </c>
      <c r="AJ1472" s="1">
        <v>90.2</v>
      </c>
      <c r="AK1472" s="1"/>
      <c r="AL1472" s="1" t="s">
        <v>26156</v>
      </c>
      <c r="AM1472" s="1" t="s">
        <v>26155</v>
      </c>
      <c r="AN1472" s="1"/>
      <c r="AO1472" s="1" t="s">
        <v>167</v>
      </c>
      <c r="AP1472" s="1" t="s">
        <v>170</v>
      </c>
      <c r="AQ1472" s="1">
        <v>69.23</v>
      </c>
      <c r="AR1472" s="1"/>
      <c r="AS1472" s="1"/>
      <c r="AT1472" s="1"/>
      <c r="AU1472" s="1"/>
      <c r="AV1472" s="1"/>
      <c r="AW1472" s="1"/>
      <c r="AX1472" s="1"/>
      <c r="AY1472" s="1" t="s">
        <v>258</v>
      </c>
      <c r="AZ1472" s="1" t="s">
        <v>26157</v>
      </c>
      <c r="BA1472" s="1"/>
      <c r="BB1472" s="1"/>
      <c r="BC1472" s="1" t="s">
        <v>230</v>
      </c>
      <c r="BD1472" s="1" t="s">
        <v>549</v>
      </c>
      <c r="BE1472" s="1">
        <v>71.14</v>
      </c>
      <c r="BF1472" s="1">
        <v>7.98</v>
      </c>
      <c r="BG1472" s="1"/>
      <c r="BH1472" s="1"/>
      <c r="BI1472" s="1"/>
      <c r="BJ1472" s="1"/>
      <c r="BK1472" s="1"/>
      <c r="BL1472" s="1"/>
      <c r="BM1472" s="1"/>
      <c r="BN1472" s="1"/>
      <c r="BO1472" s="1" t="s">
        <v>26158</v>
      </c>
      <c r="BP1472" s="1"/>
      <c r="BQ1472" s="1"/>
      <c r="BR1472" s="1" t="s">
        <v>26159</v>
      </c>
      <c r="BS1472" s="1">
        <v>32</v>
      </c>
      <c r="BT1472" s="1"/>
      <c r="BU1472" s="1" t="str">
        <f>HYPERLINK("https://nconnect.nicmar.ac.in/storage/profile/ProfilePhoto_p2270057_154689.jpg","Download")</f>
        <v>0</v>
      </c>
      <c r="BV1472" s="3"/>
      <c r="BW1472" s="3"/>
    </row>
    <row r="1473" spans="1:75">
      <c r="A1473" s="1" t="s">
        <v>75</v>
      </c>
      <c r="B1473" s="1" t="s">
        <v>25236</v>
      </c>
      <c r="C1473" s="1" t="s">
        <v>26160</v>
      </c>
      <c r="D1473" s="1" t="s">
        <v>26161</v>
      </c>
      <c r="E1473" s="1" t="s">
        <v>4331</v>
      </c>
      <c r="F1473" s="1" t="s">
        <v>26162</v>
      </c>
      <c r="G1473" s="1" t="s">
        <v>26163</v>
      </c>
      <c r="H1473" s="1" t="s">
        <v>26164</v>
      </c>
      <c r="I1473" s="1" t="s">
        <v>26165</v>
      </c>
      <c r="J1473" s="1">
        <v>9145608848</v>
      </c>
      <c r="K1473" s="1" t="s">
        <v>84</v>
      </c>
      <c r="L1473" s="1" t="s">
        <v>26166</v>
      </c>
      <c r="M1473" s="1" t="s">
        <v>86</v>
      </c>
      <c r="N1473" s="1" t="s">
        <v>618</v>
      </c>
      <c r="O1473" s="1" t="s">
        <v>26167</v>
      </c>
      <c r="P1473" s="1" t="s">
        <v>507</v>
      </c>
      <c r="Q1473" s="1" t="s">
        <v>26168</v>
      </c>
      <c r="R1473" s="1" t="s">
        <v>26169</v>
      </c>
      <c r="S1473" s="1">
        <v>9822561256</v>
      </c>
      <c r="T1473" s="1" t="s">
        <v>26170</v>
      </c>
      <c r="U1473" s="1" t="s">
        <v>26171</v>
      </c>
      <c r="V1473" s="1">
        <v>9822174281</v>
      </c>
      <c r="W1473" s="1" t="s">
        <v>127</v>
      </c>
      <c r="X1473" s="1" t="s">
        <v>26172</v>
      </c>
      <c r="Y1473" s="1" t="s">
        <v>410</v>
      </c>
      <c r="Z1473" s="1" t="s">
        <v>97</v>
      </c>
      <c r="AA1473" s="1" t="s">
        <v>26172</v>
      </c>
      <c r="AB1473" s="1" t="s">
        <v>410</v>
      </c>
      <c r="AC1473" s="1" t="s">
        <v>97</v>
      </c>
      <c r="AD1473" s="1" t="s">
        <v>98</v>
      </c>
      <c r="AE1473" s="1" t="s">
        <v>98</v>
      </c>
      <c r="AF1473" s="1" t="s">
        <v>26173</v>
      </c>
      <c r="AG1473" s="1" t="s">
        <v>775</v>
      </c>
      <c r="AH1473" s="1" t="s">
        <v>135</v>
      </c>
      <c r="AI1473" s="1" t="s">
        <v>136</v>
      </c>
      <c r="AJ1473" s="1">
        <v>74.1</v>
      </c>
      <c r="AK1473" s="1">
        <v>7.8</v>
      </c>
      <c r="AL1473" s="1" t="s">
        <v>26174</v>
      </c>
      <c r="AM1473" s="1" t="s">
        <v>775</v>
      </c>
      <c r="AN1473" s="1"/>
      <c r="AO1473" s="1" t="s">
        <v>1396</v>
      </c>
      <c r="AP1473" s="1" t="s">
        <v>518</v>
      </c>
      <c r="AQ1473" s="1">
        <v>66.92</v>
      </c>
      <c r="AR1473" s="1">
        <v>0</v>
      </c>
      <c r="AS1473" s="1"/>
      <c r="AT1473" s="1"/>
      <c r="AU1473" s="1"/>
      <c r="AV1473" s="1"/>
      <c r="AW1473" s="1"/>
      <c r="AX1473" s="1"/>
      <c r="AY1473" s="1" t="s">
        <v>4780</v>
      </c>
      <c r="AZ1473" s="1" t="s">
        <v>26175</v>
      </c>
      <c r="BA1473" s="1"/>
      <c r="BB1473" s="1"/>
      <c r="BC1473" s="1" t="s">
        <v>388</v>
      </c>
      <c r="BD1473" s="1" t="s">
        <v>441</v>
      </c>
      <c r="BE1473" s="1">
        <v>80.1</v>
      </c>
      <c r="BF1473" s="1">
        <v>0</v>
      </c>
      <c r="BG1473" s="1"/>
      <c r="BH1473" s="1"/>
      <c r="BI1473" s="1"/>
      <c r="BJ1473" s="1"/>
      <c r="BK1473" s="1"/>
      <c r="BL1473" s="1"/>
      <c r="BM1473" s="1"/>
      <c r="BN1473" s="1"/>
      <c r="BO1473" s="1" t="s">
        <v>369</v>
      </c>
      <c r="BP1473" s="1"/>
      <c r="BQ1473" s="1"/>
      <c r="BR1473" s="1" t="s">
        <v>26176</v>
      </c>
      <c r="BS1473" s="1">
        <v>20</v>
      </c>
      <c r="BT1473" s="1"/>
      <c r="BU1473" s="1" t="str">
        <f>HYPERLINK("https://nconnect.nicmar.ac.in/storage/profile/ProfilePhoto_p2270058_621759.jpg","Download")</f>
        <v>0</v>
      </c>
      <c r="BV1473" s="3"/>
      <c r="BW1473" s="3"/>
    </row>
    <row r="1474" spans="1:75">
      <c r="A1474" s="1" t="s">
        <v>75</v>
      </c>
      <c r="B1474" s="1" t="s">
        <v>25236</v>
      </c>
      <c r="C1474" s="1" t="s">
        <v>26177</v>
      </c>
      <c r="D1474" s="1" t="s">
        <v>26178</v>
      </c>
      <c r="E1474" s="1" t="s">
        <v>26179</v>
      </c>
      <c r="F1474" s="1" t="s">
        <v>26180</v>
      </c>
      <c r="G1474" s="1" t="s">
        <v>26181</v>
      </c>
      <c r="H1474" s="1" t="s">
        <v>26182</v>
      </c>
      <c r="I1474" s="1" t="s">
        <v>26183</v>
      </c>
      <c r="J1474" s="1">
        <v>7993584704</v>
      </c>
      <c r="K1474" s="1" t="s">
        <v>84</v>
      </c>
      <c r="L1474" s="1" t="s">
        <v>26184</v>
      </c>
      <c r="M1474" s="1" t="s">
        <v>86</v>
      </c>
      <c r="N1474" s="1" t="s">
        <v>22216</v>
      </c>
      <c r="O1474" s="1" t="s">
        <v>26185</v>
      </c>
      <c r="P1474" s="1" t="s">
        <v>455</v>
      </c>
      <c r="Q1474" s="1" t="s">
        <v>26186</v>
      </c>
      <c r="R1474" s="1" t="s">
        <v>26187</v>
      </c>
      <c r="S1474" s="1">
        <v>9951250838</v>
      </c>
      <c r="T1474" s="1" t="s">
        <v>839</v>
      </c>
      <c r="U1474" s="1" t="s">
        <v>26188</v>
      </c>
      <c r="V1474" s="1">
        <v>9951250838</v>
      </c>
      <c r="W1474" s="1" t="s">
        <v>127</v>
      </c>
      <c r="X1474" s="1" t="s">
        <v>26189</v>
      </c>
      <c r="Y1474" s="1" t="s">
        <v>12907</v>
      </c>
      <c r="Z1474" s="1" t="s">
        <v>281</v>
      </c>
      <c r="AA1474" s="1" t="s">
        <v>26189</v>
      </c>
      <c r="AB1474" s="1" t="s">
        <v>12907</v>
      </c>
      <c r="AC1474" s="1" t="s">
        <v>281</v>
      </c>
      <c r="AD1474" s="1" t="s">
        <v>98</v>
      </c>
      <c r="AE1474" s="1" t="s">
        <v>98</v>
      </c>
      <c r="AF1474" s="1" t="s">
        <v>26190</v>
      </c>
      <c r="AG1474" s="1" t="s">
        <v>26191</v>
      </c>
      <c r="AH1474" s="1" t="s">
        <v>1213</v>
      </c>
      <c r="AI1474" s="1" t="s">
        <v>1262</v>
      </c>
      <c r="AJ1474" s="1">
        <v>76</v>
      </c>
      <c r="AK1474" s="1">
        <v>8</v>
      </c>
      <c r="AL1474" s="1" t="s">
        <v>1843</v>
      </c>
      <c r="AM1474" s="1" t="s">
        <v>26191</v>
      </c>
      <c r="AN1474" s="1"/>
      <c r="AO1474" s="1" t="s">
        <v>101</v>
      </c>
      <c r="AP1474" s="1" t="s">
        <v>284</v>
      </c>
      <c r="AQ1474" s="1">
        <v>83.8</v>
      </c>
      <c r="AR1474" s="1">
        <v>0</v>
      </c>
      <c r="AS1474" s="1"/>
      <c r="AT1474" s="1"/>
      <c r="AU1474" s="1"/>
      <c r="AV1474" s="1"/>
      <c r="AW1474" s="1"/>
      <c r="AX1474" s="1"/>
      <c r="AY1474" s="1" t="s">
        <v>3094</v>
      </c>
      <c r="AZ1474" s="1" t="s">
        <v>18827</v>
      </c>
      <c r="BA1474" s="1"/>
      <c r="BB1474" s="1"/>
      <c r="BC1474" s="1" t="s">
        <v>139</v>
      </c>
      <c r="BD1474" s="1" t="s">
        <v>1647</v>
      </c>
      <c r="BE1474" s="1">
        <v>58.32</v>
      </c>
      <c r="BF1474" s="1">
        <v>6.32</v>
      </c>
      <c r="BG1474" s="1"/>
      <c r="BH1474" s="1"/>
      <c r="BI1474" s="1"/>
      <c r="BJ1474" s="1"/>
      <c r="BK1474" s="1"/>
      <c r="BL1474" s="1"/>
      <c r="BM1474" s="1"/>
      <c r="BN1474" s="1"/>
      <c r="BO1474" s="1" t="s">
        <v>369</v>
      </c>
      <c r="BP1474" s="1" t="s">
        <v>26192</v>
      </c>
      <c r="BQ1474" s="1" t="s">
        <v>4149</v>
      </c>
      <c r="BR1474" s="1" t="s">
        <v>26193</v>
      </c>
      <c r="BS1474" s="1">
        <v>16</v>
      </c>
      <c r="BT1474" s="1"/>
      <c r="BU1474" s="1" t="str">
        <f>HYPERLINK("https://nconnect.nicmar.ac.in/storage/profile/ProfilePhoto_p2270059_314857.jpg","Download")</f>
        <v>0</v>
      </c>
      <c r="BV1474" s="3"/>
      <c r="BW1474" s="3"/>
    </row>
    <row r="1475" spans="1:75">
      <c r="A1475" s="1" t="s">
        <v>75</v>
      </c>
      <c r="B1475" s="1" t="s">
        <v>25236</v>
      </c>
      <c r="C1475" s="1" t="s">
        <v>26194</v>
      </c>
      <c r="D1475" s="1" t="s">
        <v>26195</v>
      </c>
      <c r="E1475" s="1"/>
      <c r="F1475" s="1" t="s">
        <v>6982</v>
      </c>
      <c r="G1475" s="1" t="s">
        <v>26196</v>
      </c>
      <c r="H1475" s="1" t="s">
        <v>26197</v>
      </c>
      <c r="I1475" s="1" t="s">
        <v>26198</v>
      </c>
      <c r="J1475" s="1">
        <v>9840420141</v>
      </c>
      <c r="K1475" s="1" t="s">
        <v>84</v>
      </c>
      <c r="L1475" s="1" t="s">
        <v>26199</v>
      </c>
      <c r="M1475" s="1" t="s">
        <v>86</v>
      </c>
      <c r="N1475" s="1" t="s">
        <v>1492</v>
      </c>
      <c r="O1475" s="1"/>
      <c r="P1475" s="1" t="s">
        <v>507</v>
      </c>
      <c r="Q1475" s="1" t="s">
        <v>26200</v>
      </c>
      <c r="R1475" s="1" t="s">
        <v>26201</v>
      </c>
      <c r="S1475" s="1">
        <v>7418908125</v>
      </c>
      <c r="T1475" s="1" t="s">
        <v>26202</v>
      </c>
      <c r="U1475" s="1" t="s">
        <v>26203</v>
      </c>
      <c r="V1475" s="1">
        <v>9789663415</v>
      </c>
      <c r="W1475" s="1" t="s">
        <v>278</v>
      </c>
      <c r="X1475" s="1" t="s">
        <v>26204</v>
      </c>
      <c r="Y1475" s="1" t="s">
        <v>1498</v>
      </c>
      <c r="Z1475" s="1" t="s">
        <v>570</v>
      </c>
      <c r="AA1475" s="1" t="s">
        <v>26204</v>
      </c>
      <c r="AB1475" s="1" t="s">
        <v>1498</v>
      </c>
      <c r="AC1475" s="1" t="s">
        <v>570</v>
      </c>
      <c r="AD1475" s="1" t="s">
        <v>98</v>
      </c>
      <c r="AE1475" s="1" t="s">
        <v>98</v>
      </c>
      <c r="AF1475" s="1" t="s">
        <v>26205</v>
      </c>
      <c r="AG1475" s="1" t="s">
        <v>26206</v>
      </c>
      <c r="AH1475" s="1" t="s">
        <v>10573</v>
      </c>
      <c r="AI1475" s="1" t="s">
        <v>336</v>
      </c>
      <c r="AJ1475" s="1">
        <v>81.7</v>
      </c>
      <c r="AK1475" s="1">
        <v>8.6</v>
      </c>
      <c r="AL1475" s="1" t="s">
        <v>26207</v>
      </c>
      <c r="AM1475" s="1" t="s">
        <v>26206</v>
      </c>
      <c r="AN1475" s="1"/>
      <c r="AO1475" s="1" t="s">
        <v>3285</v>
      </c>
      <c r="AP1475" s="1" t="s">
        <v>2726</v>
      </c>
      <c r="AQ1475" s="1">
        <v>89.58</v>
      </c>
      <c r="AR1475" s="1"/>
      <c r="AS1475" s="1"/>
      <c r="AT1475" s="1"/>
      <c r="AU1475" s="1"/>
      <c r="AV1475" s="1"/>
      <c r="AW1475" s="1"/>
      <c r="AX1475" s="1"/>
      <c r="AY1475" s="1" t="s">
        <v>26208</v>
      </c>
      <c r="AZ1475" s="1" t="s">
        <v>26209</v>
      </c>
      <c r="BA1475" s="1"/>
      <c r="BB1475" s="1"/>
      <c r="BC1475" s="1" t="s">
        <v>1802</v>
      </c>
      <c r="BD1475" s="1" t="s">
        <v>18921</v>
      </c>
      <c r="BE1475" s="1">
        <v>73.5</v>
      </c>
      <c r="BF1475" s="1">
        <v>7.35</v>
      </c>
      <c r="BG1475" s="1"/>
      <c r="BH1475" s="1"/>
      <c r="BI1475" s="1"/>
      <c r="BJ1475" s="1"/>
      <c r="BK1475" s="1"/>
      <c r="BL1475" s="1"/>
      <c r="BM1475" s="1"/>
      <c r="BN1475" s="1"/>
      <c r="BO1475" s="1" t="s">
        <v>26210</v>
      </c>
      <c r="BP1475" s="1" t="s">
        <v>26211</v>
      </c>
      <c r="BQ1475" s="1" t="s">
        <v>3971</v>
      </c>
      <c r="BR1475" s="1" t="s">
        <v>26212</v>
      </c>
      <c r="BS1475" s="1">
        <v>32</v>
      </c>
      <c r="BT1475" s="1"/>
      <c r="BU1475" s="1" t="str">
        <f>HYPERLINK("https://nconnect.nicmar.ac.in/storage/profile/ProfilePhoto_p2270060_739546.jpg","Download")</f>
        <v>0</v>
      </c>
      <c r="BV1475" s="3"/>
      <c r="BW1475" s="3"/>
    </row>
    <row r="1476" spans="1:75">
      <c r="A1476" s="1" t="s">
        <v>75</v>
      </c>
      <c r="B1476" s="1" t="s">
        <v>25236</v>
      </c>
      <c r="C1476" s="1" t="s">
        <v>26213</v>
      </c>
      <c r="D1476" s="1" t="s">
        <v>8398</v>
      </c>
      <c r="E1476" s="1" t="s">
        <v>26214</v>
      </c>
      <c r="F1476" s="1" t="s">
        <v>11991</v>
      </c>
      <c r="G1476" s="1" t="s">
        <v>26215</v>
      </c>
      <c r="H1476" s="1" t="s">
        <v>26216</v>
      </c>
      <c r="I1476" s="1" t="s">
        <v>26217</v>
      </c>
      <c r="J1476" s="1">
        <v>8879351226</v>
      </c>
      <c r="K1476" s="1" t="s">
        <v>84</v>
      </c>
      <c r="L1476" s="1" t="s">
        <v>2755</v>
      </c>
      <c r="M1476" s="1" t="s">
        <v>86</v>
      </c>
      <c r="N1476" s="1" t="s">
        <v>4972</v>
      </c>
      <c r="O1476" s="1" t="s">
        <v>26218</v>
      </c>
      <c r="P1476" s="1" t="s">
        <v>507</v>
      </c>
      <c r="Q1476" s="1" t="s">
        <v>26219</v>
      </c>
      <c r="R1476" s="1" t="s">
        <v>26220</v>
      </c>
      <c r="S1476" s="1">
        <v>9833945169</v>
      </c>
      <c r="T1476" s="1" t="s">
        <v>645</v>
      </c>
      <c r="U1476" s="1" t="s">
        <v>26221</v>
      </c>
      <c r="V1476" s="1">
        <v>9082559404</v>
      </c>
      <c r="W1476" s="1" t="s">
        <v>94</v>
      </c>
      <c r="X1476" s="1" t="s">
        <v>26222</v>
      </c>
      <c r="Y1476" s="1" t="s">
        <v>1012</v>
      </c>
      <c r="Z1476" s="1" t="s">
        <v>97</v>
      </c>
      <c r="AA1476" s="1" t="s">
        <v>26222</v>
      </c>
      <c r="AB1476" s="1" t="s">
        <v>1012</v>
      </c>
      <c r="AC1476" s="1" t="s">
        <v>97</v>
      </c>
      <c r="AD1476" s="1" t="s">
        <v>98</v>
      </c>
      <c r="AE1476" s="1" t="s">
        <v>98</v>
      </c>
      <c r="AF1476" s="1" t="s">
        <v>12533</v>
      </c>
      <c r="AG1476" s="1" t="s">
        <v>1968</v>
      </c>
      <c r="AH1476" s="1" t="s">
        <v>342</v>
      </c>
      <c r="AI1476" s="1" t="s">
        <v>1111</v>
      </c>
      <c r="AJ1476" s="1">
        <v>75.6</v>
      </c>
      <c r="AK1476" s="1">
        <v>0</v>
      </c>
      <c r="AL1476" s="1"/>
      <c r="AM1476" s="1"/>
      <c r="AN1476" s="1"/>
      <c r="AO1476" s="1"/>
      <c r="AP1476" s="1"/>
      <c r="AQ1476" s="1"/>
      <c r="AR1476" s="1"/>
      <c r="AS1476" s="1" t="s">
        <v>103</v>
      </c>
      <c r="AT1476" s="1" t="s">
        <v>26223</v>
      </c>
      <c r="AU1476" s="1" t="s">
        <v>139</v>
      </c>
      <c r="AV1476" s="1" t="s">
        <v>438</v>
      </c>
      <c r="AW1476" s="1">
        <v>72.48</v>
      </c>
      <c r="AX1476" s="1">
        <v>0</v>
      </c>
      <c r="AY1476" s="1" t="s">
        <v>258</v>
      </c>
      <c r="AZ1476" s="1" t="s">
        <v>12212</v>
      </c>
      <c r="BA1476" s="1"/>
      <c r="BB1476" s="1"/>
      <c r="BC1476" s="1" t="s">
        <v>109</v>
      </c>
      <c r="BD1476" s="1" t="s">
        <v>110</v>
      </c>
      <c r="BE1476" s="1">
        <v>69.66</v>
      </c>
      <c r="BF1476" s="1">
        <v>7.17</v>
      </c>
      <c r="BG1476" s="1"/>
      <c r="BH1476" s="1"/>
      <c r="BI1476" s="1"/>
      <c r="BJ1476" s="1"/>
      <c r="BK1476" s="1"/>
      <c r="BL1476" s="1"/>
      <c r="BM1476" s="1"/>
      <c r="BN1476" s="1"/>
      <c r="BO1476" s="1" t="s">
        <v>1114</v>
      </c>
      <c r="BP1476" s="1"/>
      <c r="BQ1476" s="1"/>
      <c r="BR1476" s="1" t="s">
        <v>26224</v>
      </c>
      <c r="BS1476" s="1">
        <v>84</v>
      </c>
      <c r="BT1476" s="1"/>
      <c r="BU1476" s="1" t="str">
        <f>HYPERLINK("https://nconnect.nicmar.ac.in/storage/profile/ProfilePhoto_p2270061_937214.jpg","Download")</f>
        <v>0</v>
      </c>
      <c r="BV1476" s="3"/>
      <c r="BW1476" s="3"/>
    </row>
    <row r="1477" spans="1:75">
      <c r="A1477" s="1" t="s">
        <v>75</v>
      </c>
      <c r="B1477" s="1" t="s">
        <v>25236</v>
      </c>
      <c r="C1477" s="1" t="s">
        <v>26225</v>
      </c>
      <c r="D1477" s="1" t="s">
        <v>26226</v>
      </c>
      <c r="E1477" s="1" t="s">
        <v>26227</v>
      </c>
      <c r="F1477" s="1" t="s">
        <v>2538</v>
      </c>
      <c r="G1477" s="1" t="s">
        <v>26228</v>
      </c>
      <c r="H1477" s="1" t="s">
        <v>26229</v>
      </c>
      <c r="I1477" s="1" t="s">
        <v>26230</v>
      </c>
      <c r="J1477" s="1">
        <v>8309488635</v>
      </c>
      <c r="K1477" s="1" t="s">
        <v>84</v>
      </c>
      <c r="L1477" s="1" t="s">
        <v>26231</v>
      </c>
      <c r="M1477" s="1" t="s">
        <v>86</v>
      </c>
      <c r="N1477" s="1" t="s">
        <v>26232</v>
      </c>
      <c r="O1477" s="1" t="s">
        <v>26233</v>
      </c>
      <c r="P1477" s="1" t="s">
        <v>481</v>
      </c>
      <c r="Q1477" s="1" t="s">
        <v>26234</v>
      </c>
      <c r="R1477" s="1" t="s">
        <v>26235</v>
      </c>
      <c r="S1477" s="1">
        <v>9848374260</v>
      </c>
      <c r="T1477" s="1" t="s">
        <v>26236</v>
      </c>
      <c r="U1477" s="1" t="s">
        <v>26237</v>
      </c>
      <c r="V1477" s="1">
        <v>9493324732</v>
      </c>
      <c r="W1477" s="1" t="s">
        <v>541</v>
      </c>
      <c r="X1477" s="1" t="s">
        <v>26238</v>
      </c>
      <c r="Y1477" s="1" t="s">
        <v>725</v>
      </c>
      <c r="Z1477" s="1" t="s">
        <v>281</v>
      </c>
      <c r="AA1477" s="1" t="s">
        <v>26238</v>
      </c>
      <c r="AB1477" s="1" t="s">
        <v>725</v>
      </c>
      <c r="AC1477" s="1" t="s">
        <v>281</v>
      </c>
      <c r="AD1477" s="1" t="s">
        <v>98</v>
      </c>
      <c r="AE1477" s="1" t="s">
        <v>98</v>
      </c>
      <c r="AF1477" s="1" t="s">
        <v>26239</v>
      </c>
      <c r="AG1477" s="1" t="s">
        <v>26240</v>
      </c>
      <c r="AH1477" s="1" t="s">
        <v>342</v>
      </c>
      <c r="AI1477" s="1" t="s">
        <v>284</v>
      </c>
      <c r="AJ1477" s="1">
        <v>92.91</v>
      </c>
      <c r="AK1477" s="1">
        <v>9.7</v>
      </c>
      <c r="AL1477" s="1" t="s">
        <v>26241</v>
      </c>
      <c r="AM1477" s="1" t="s">
        <v>26240</v>
      </c>
      <c r="AN1477" s="1"/>
      <c r="AO1477" s="1" t="s">
        <v>167</v>
      </c>
      <c r="AP1477" s="1" t="s">
        <v>171</v>
      </c>
      <c r="AQ1477" s="1">
        <v>93.7</v>
      </c>
      <c r="AR1477" s="1">
        <v>0</v>
      </c>
      <c r="AS1477" s="1"/>
      <c r="AT1477" s="1"/>
      <c r="AU1477" s="1"/>
      <c r="AV1477" s="1"/>
      <c r="AW1477" s="1"/>
      <c r="AX1477" s="1"/>
      <c r="AY1477" s="1" t="s">
        <v>26242</v>
      </c>
      <c r="AZ1477" s="1" t="s">
        <v>26243</v>
      </c>
      <c r="BA1477" s="1"/>
      <c r="BB1477" s="1"/>
      <c r="BC1477" s="1" t="s">
        <v>1065</v>
      </c>
      <c r="BD1477" s="1" t="s">
        <v>1400</v>
      </c>
      <c r="BE1477" s="1">
        <v>78.6</v>
      </c>
      <c r="BF1477" s="1">
        <v>8.36</v>
      </c>
      <c r="BG1477" s="1"/>
      <c r="BH1477" s="1"/>
      <c r="BI1477" s="1"/>
      <c r="BJ1477" s="1"/>
      <c r="BK1477" s="1"/>
      <c r="BL1477" s="1"/>
      <c r="BM1477" s="1"/>
      <c r="BN1477" s="1"/>
      <c r="BO1477" s="1" t="s">
        <v>26244</v>
      </c>
      <c r="BP1477" s="1"/>
      <c r="BQ1477" s="1"/>
      <c r="BR1477" s="1" t="s">
        <v>26245</v>
      </c>
      <c r="BS1477" s="1">
        <v>20</v>
      </c>
      <c r="BT1477" s="1"/>
      <c r="BU1477" s="1" t="str">
        <f>HYPERLINK("https://nconnect.nicmar.ac.in/storage/profile/ProfilePhoto_p2270062_731468.jpg","Download")</f>
        <v>0</v>
      </c>
      <c r="BV1477" s="3"/>
      <c r="BW1477" s="3"/>
    </row>
    <row r="1478" spans="1:75">
      <c r="A1478" s="1" t="s">
        <v>75</v>
      </c>
      <c r="B1478" s="1" t="s">
        <v>25236</v>
      </c>
      <c r="C1478" s="1" t="s">
        <v>26246</v>
      </c>
      <c r="D1478" s="1" t="s">
        <v>26247</v>
      </c>
      <c r="E1478" s="1" t="s">
        <v>3493</v>
      </c>
      <c r="F1478" s="1" t="s">
        <v>6525</v>
      </c>
      <c r="G1478" s="1" t="s">
        <v>26248</v>
      </c>
      <c r="H1478" s="1" t="s">
        <v>26249</v>
      </c>
      <c r="I1478" s="1" t="s">
        <v>26250</v>
      </c>
      <c r="J1478" s="1">
        <v>9158427380</v>
      </c>
      <c r="K1478" s="1" t="s">
        <v>84</v>
      </c>
      <c r="L1478" s="1" t="s">
        <v>25855</v>
      </c>
      <c r="M1478" s="1" t="s">
        <v>86</v>
      </c>
      <c r="N1478" s="1" t="s">
        <v>618</v>
      </c>
      <c r="O1478" s="1" t="s">
        <v>26251</v>
      </c>
      <c r="P1478" s="1" t="s">
        <v>455</v>
      </c>
      <c r="Q1478" s="1" t="s">
        <v>26252</v>
      </c>
      <c r="R1478" s="1" t="s">
        <v>6525</v>
      </c>
      <c r="S1478" s="1">
        <v>9421361524</v>
      </c>
      <c r="T1478" s="1" t="s">
        <v>125</v>
      </c>
      <c r="U1478" s="1" t="s">
        <v>26253</v>
      </c>
      <c r="V1478" s="1">
        <v>9421361524</v>
      </c>
      <c r="W1478" s="1" t="s">
        <v>94</v>
      </c>
      <c r="X1478" s="1" t="s">
        <v>26254</v>
      </c>
      <c r="Y1478" s="1" t="s">
        <v>434</v>
      </c>
      <c r="Z1478" s="1" t="s">
        <v>97</v>
      </c>
      <c r="AA1478" s="1" t="s">
        <v>26254</v>
      </c>
      <c r="AB1478" s="1" t="s">
        <v>434</v>
      </c>
      <c r="AC1478" s="1" t="s">
        <v>97</v>
      </c>
      <c r="AD1478" s="1" t="s">
        <v>98</v>
      </c>
      <c r="AE1478" s="1" t="s">
        <v>98</v>
      </c>
      <c r="AF1478" s="1" t="s">
        <v>26255</v>
      </c>
      <c r="AG1478" s="1" t="s">
        <v>26256</v>
      </c>
      <c r="AH1478" s="1" t="s">
        <v>166</v>
      </c>
      <c r="AI1478" s="1" t="s">
        <v>1111</v>
      </c>
      <c r="AJ1478" s="1">
        <v>91.8</v>
      </c>
      <c r="AK1478" s="1"/>
      <c r="AL1478" s="1" t="s">
        <v>26257</v>
      </c>
      <c r="AM1478" s="1" t="s">
        <v>26256</v>
      </c>
      <c r="AN1478" s="1"/>
      <c r="AO1478" s="1" t="s">
        <v>170</v>
      </c>
      <c r="AP1478" s="1" t="s">
        <v>1477</v>
      </c>
      <c r="AQ1478" s="1">
        <v>70.92</v>
      </c>
      <c r="AR1478" s="1"/>
      <c r="AS1478" s="1"/>
      <c r="AT1478" s="1"/>
      <c r="AU1478" s="1"/>
      <c r="AV1478" s="1"/>
      <c r="AW1478" s="1"/>
      <c r="AX1478" s="1"/>
      <c r="AY1478" s="1" t="s">
        <v>4548</v>
      </c>
      <c r="AZ1478" s="1" t="s">
        <v>26258</v>
      </c>
      <c r="BA1478" s="1"/>
      <c r="BB1478" s="1"/>
      <c r="BC1478" s="1" t="s">
        <v>1065</v>
      </c>
      <c r="BD1478" s="1" t="s">
        <v>110</v>
      </c>
      <c r="BE1478" s="1">
        <v>76.61</v>
      </c>
      <c r="BF1478" s="1">
        <v>8.97</v>
      </c>
      <c r="BG1478" s="1"/>
      <c r="BH1478" s="1"/>
      <c r="BI1478" s="1"/>
      <c r="BJ1478" s="1"/>
      <c r="BK1478" s="1"/>
      <c r="BL1478" s="1"/>
      <c r="BM1478" s="1"/>
      <c r="BN1478" s="1"/>
      <c r="BO1478" s="1" t="s">
        <v>26259</v>
      </c>
      <c r="BP1478" s="1"/>
      <c r="BQ1478" s="1"/>
      <c r="BR1478" s="1" t="s">
        <v>26260</v>
      </c>
      <c r="BS1478" s="1">
        <v>18</v>
      </c>
      <c r="BT1478" s="1"/>
      <c r="BU1478" s="1" t="str">
        <f>HYPERLINK("https://nconnect.nicmar.ac.in/storage/profile/ProfilePhoto_p2270063_439825.jpg","Download")</f>
        <v>0</v>
      </c>
      <c r="BV1478" s="3"/>
      <c r="BW1478" s="3"/>
    </row>
    <row r="1479" spans="1:75">
      <c r="A1479" s="1" t="s">
        <v>75</v>
      </c>
      <c r="B1479" s="1" t="s">
        <v>25236</v>
      </c>
      <c r="C1479" s="1" t="s">
        <v>26261</v>
      </c>
      <c r="D1479" s="1" t="s">
        <v>26262</v>
      </c>
      <c r="E1479" s="1" t="s">
        <v>3684</v>
      </c>
      <c r="F1479" s="1" t="s">
        <v>4707</v>
      </c>
      <c r="G1479" s="1" t="s">
        <v>26263</v>
      </c>
      <c r="H1479" s="1" t="s">
        <v>26264</v>
      </c>
      <c r="I1479" s="1" t="s">
        <v>26265</v>
      </c>
      <c r="J1479" s="1">
        <v>8692955888</v>
      </c>
      <c r="K1479" s="1" t="s">
        <v>84</v>
      </c>
      <c r="L1479" s="1" t="s">
        <v>26266</v>
      </c>
      <c r="M1479" s="1" t="s">
        <v>86</v>
      </c>
      <c r="N1479" s="1" t="s">
        <v>618</v>
      </c>
      <c r="O1479" s="1"/>
      <c r="P1479" s="1" t="s">
        <v>2062</v>
      </c>
      <c r="Q1479" s="1" t="s">
        <v>26267</v>
      </c>
      <c r="R1479" s="1" t="s">
        <v>26268</v>
      </c>
      <c r="S1479" s="1">
        <v>7977107948</v>
      </c>
      <c r="T1479" s="1" t="s">
        <v>539</v>
      </c>
      <c r="U1479" s="1" t="s">
        <v>26269</v>
      </c>
      <c r="V1479" s="1">
        <v>9594904513</v>
      </c>
      <c r="W1479" s="1" t="s">
        <v>94</v>
      </c>
      <c r="X1479" s="1" t="s">
        <v>26270</v>
      </c>
      <c r="Y1479" s="1" t="s">
        <v>1012</v>
      </c>
      <c r="Z1479" s="1" t="s">
        <v>97</v>
      </c>
      <c r="AA1479" s="1" t="s">
        <v>26270</v>
      </c>
      <c r="AB1479" s="1" t="s">
        <v>1012</v>
      </c>
      <c r="AC1479" s="1" t="s">
        <v>97</v>
      </c>
      <c r="AD1479" s="1" t="s">
        <v>98</v>
      </c>
      <c r="AE1479" s="1" t="s">
        <v>98</v>
      </c>
      <c r="AF1479" s="1" t="s">
        <v>26271</v>
      </c>
      <c r="AG1479" s="1" t="s">
        <v>26272</v>
      </c>
      <c r="AH1479" s="1" t="s">
        <v>1213</v>
      </c>
      <c r="AI1479" s="1" t="s">
        <v>101</v>
      </c>
      <c r="AJ1479" s="1">
        <v>75.2</v>
      </c>
      <c r="AK1479" s="1">
        <v>0</v>
      </c>
      <c r="AL1479" s="1" t="s">
        <v>26273</v>
      </c>
      <c r="AM1479" s="1" t="s">
        <v>26272</v>
      </c>
      <c r="AN1479" s="1"/>
      <c r="AO1479" s="1" t="s">
        <v>342</v>
      </c>
      <c r="AP1479" s="1" t="s">
        <v>627</v>
      </c>
      <c r="AQ1479" s="1">
        <v>58.31</v>
      </c>
      <c r="AR1479" s="1">
        <v>0</v>
      </c>
      <c r="AS1479" s="1"/>
      <c r="AT1479" s="1"/>
      <c r="AU1479" s="1"/>
      <c r="AV1479" s="1"/>
      <c r="AW1479" s="1"/>
      <c r="AX1479" s="1"/>
      <c r="AY1479" s="1" t="s">
        <v>258</v>
      </c>
      <c r="AZ1479" s="1" t="s">
        <v>26274</v>
      </c>
      <c r="BA1479" s="1"/>
      <c r="BB1479" s="1"/>
      <c r="BC1479" s="1" t="s">
        <v>1396</v>
      </c>
      <c r="BD1479" s="1" t="s">
        <v>175</v>
      </c>
      <c r="BE1479" s="1">
        <v>57.08</v>
      </c>
      <c r="BF1479" s="1">
        <v>6.35</v>
      </c>
      <c r="BG1479" s="1"/>
      <c r="BH1479" s="1"/>
      <c r="BI1479" s="1"/>
      <c r="BJ1479" s="1"/>
      <c r="BK1479" s="1"/>
      <c r="BL1479" s="1"/>
      <c r="BM1479" s="1"/>
      <c r="BN1479" s="1"/>
      <c r="BO1479" s="1" t="s">
        <v>25516</v>
      </c>
      <c r="BP1479" s="1"/>
      <c r="BQ1479" s="1"/>
      <c r="BR1479" s="1" t="s">
        <v>26275</v>
      </c>
      <c r="BS1479" s="1">
        <v>61</v>
      </c>
      <c r="BT1479" s="1"/>
      <c r="BU1479" s="1" t="str">
        <f>HYPERLINK("https://nconnect.nicmar.ac.in/storage/profile/ProfilePhoto_p2270064_958236.jpg","Download")</f>
        <v>0</v>
      </c>
      <c r="BV1479" s="3"/>
      <c r="BW1479" s="3"/>
    </row>
    <row r="1480" spans="1:75">
      <c r="A1480" s="1" t="s">
        <v>75</v>
      </c>
      <c r="B1480" s="1" t="s">
        <v>25236</v>
      </c>
      <c r="C1480" s="1" t="s">
        <v>26276</v>
      </c>
      <c r="D1480" s="1" t="s">
        <v>3493</v>
      </c>
      <c r="E1480" s="1" t="s">
        <v>349</v>
      </c>
      <c r="F1480" s="1" t="s">
        <v>26277</v>
      </c>
      <c r="G1480" s="1" t="s">
        <v>26278</v>
      </c>
      <c r="H1480" s="1" t="s">
        <v>26279</v>
      </c>
      <c r="I1480" s="1" t="s">
        <v>26280</v>
      </c>
      <c r="J1480" s="1">
        <v>9920218191</v>
      </c>
      <c r="K1480" s="1" t="s">
        <v>84</v>
      </c>
      <c r="L1480" s="1" t="s">
        <v>26281</v>
      </c>
      <c r="M1480" s="1" t="s">
        <v>86</v>
      </c>
      <c r="N1480" s="1" t="s">
        <v>618</v>
      </c>
      <c r="O1480" s="1" t="s">
        <v>26282</v>
      </c>
      <c r="P1480" s="1" t="s">
        <v>481</v>
      </c>
      <c r="Q1480" s="1" t="s">
        <v>26283</v>
      </c>
      <c r="R1480" s="1" t="s">
        <v>26284</v>
      </c>
      <c r="S1480" s="1">
        <v>9867474477</v>
      </c>
      <c r="T1480" s="1" t="s">
        <v>645</v>
      </c>
      <c r="U1480" s="1" t="s">
        <v>26285</v>
      </c>
      <c r="V1480" s="1">
        <v>9967432223</v>
      </c>
      <c r="W1480" s="1" t="s">
        <v>161</v>
      </c>
      <c r="X1480" s="1" t="s">
        <v>26286</v>
      </c>
      <c r="Y1480" s="1" t="s">
        <v>2259</v>
      </c>
      <c r="Z1480" s="1" t="s">
        <v>97</v>
      </c>
      <c r="AA1480" s="1" t="s">
        <v>26286</v>
      </c>
      <c r="AB1480" s="1" t="s">
        <v>2259</v>
      </c>
      <c r="AC1480" s="1" t="s">
        <v>97</v>
      </c>
      <c r="AD1480" s="1" t="s">
        <v>98</v>
      </c>
      <c r="AE1480" s="1" t="s">
        <v>98</v>
      </c>
      <c r="AF1480" s="1" t="s">
        <v>26287</v>
      </c>
      <c r="AG1480" s="1" t="s">
        <v>1968</v>
      </c>
      <c r="AH1480" s="1" t="s">
        <v>101</v>
      </c>
      <c r="AI1480" s="1" t="s">
        <v>102</v>
      </c>
      <c r="AJ1480" s="1">
        <v>82.8</v>
      </c>
      <c r="AK1480" s="1"/>
      <c r="AL1480" s="1" t="s">
        <v>26288</v>
      </c>
      <c r="AM1480" s="1" t="s">
        <v>1968</v>
      </c>
      <c r="AN1480" s="1"/>
      <c r="AO1480" s="1" t="s">
        <v>167</v>
      </c>
      <c r="AP1480" s="1" t="s">
        <v>518</v>
      </c>
      <c r="AQ1480" s="1">
        <v>51.07</v>
      </c>
      <c r="AR1480" s="1"/>
      <c r="AS1480" s="1" t="s">
        <v>103</v>
      </c>
      <c r="AT1480" s="1" t="s">
        <v>26289</v>
      </c>
      <c r="AU1480" s="1" t="s">
        <v>170</v>
      </c>
      <c r="AV1480" s="1" t="s">
        <v>313</v>
      </c>
      <c r="AW1480" s="1">
        <v>77.08</v>
      </c>
      <c r="AX1480" s="1"/>
      <c r="AY1480" s="1" t="s">
        <v>680</v>
      </c>
      <c r="AZ1480" s="1" t="s">
        <v>4031</v>
      </c>
      <c r="BA1480" s="1"/>
      <c r="BB1480" s="1"/>
      <c r="BC1480" s="1" t="s">
        <v>206</v>
      </c>
      <c r="BD1480" s="1" t="s">
        <v>632</v>
      </c>
      <c r="BE1480" s="1">
        <v>73.46</v>
      </c>
      <c r="BF1480" s="1">
        <v>8.27</v>
      </c>
      <c r="BG1480" s="1"/>
      <c r="BH1480" s="1"/>
      <c r="BI1480" s="1"/>
      <c r="BJ1480" s="1"/>
      <c r="BK1480" s="1"/>
      <c r="BL1480" s="1"/>
      <c r="BM1480" s="1"/>
      <c r="BN1480" s="1"/>
      <c r="BO1480" s="1" t="s">
        <v>26290</v>
      </c>
      <c r="BP1480" s="1"/>
      <c r="BQ1480" s="1"/>
      <c r="BR1480" s="1" t="s">
        <v>26291</v>
      </c>
      <c r="BS1480" s="1">
        <v>11</v>
      </c>
      <c r="BT1480" s="1"/>
      <c r="BU1480" s="1" t="str">
        <f>HYPERLINK("https://nconnect.nicmar.ac.in/storage/profile/ProfilePhoto_p2270065_971256.jpg","Download")</f>
        <v>0</v>
      </c>
      <c r="BV1480" s="3"/>
      <c r="BW1480" s="3"/>
    </row>
    <row r="1481" spans="1:75">
      <c r="A1481" s="1" t="s">
        <v>75</v>
      </c>
      <c r="B1481" s="1" t="s">
        <v>25236</v>
      </c>
      <c r="C1481" s="1" t="s">
        <v>26292</v>
      </c>
      <c r="D1481" s="1" t="s">
        <v>9082</v>
      </c>
      <c r="E1481" s="1" t="s">
        <v>10634</v>
      </c>
      <c r="F1481" s="1" t="s">
        <v>213</v>
      </c>
      <c r="G1481" s="1" t="s">
        <v>26293</v>
      </c>
      <c r="H1481" s="1" t="s">
        <v>26294</v>
      </c>
      <c r="I1481" s="1" t="s">
        <v>26295</v>
      </c>
      <c r="J1481" s="1">
        <v>7757011182</v>
      </c>
      <c r="K1481" s="1" t="s">
        <v>84</v>
      </c>
      <c r="L1481" s="1" t="s">
        <v>26296</v>
      </c>
      <c r="M1481" s="1" t="s">
        <v>86</v>
      </c>
      <c r="N1481" s="1" t="s">
        <v>618</v>
      </c>
      <c r="O1481" s="1" t="s">
        <v>26297</v>
      </c>
      <c r="P1481" s="1" t="s">
        <v>507</v>
      </c>
      <c r="Q1481" s="1" t="s">
        <v>26298</v>
      </c>
      <c r="R1481" s="1" t="s">
        <v>213</v>
      </c>
      <c r="S1481" s="1">
        <v>9422212304</v>
      </c>
      <c r="T1481" s="1" t="s">
        <v>125</v>
      </c>
      <c r="U1481" s="1" t="s">
        <v>26299</v>
      </c>
      <c r="V1481" s="1">
        <v>9422228814</v>
      </c>
      <c r="W1481" s="1" t="s">
        <v>26300</v>
      </c>
      <c r="X1481" s="1" t="s">
        <v>26301</v>
      </c>
      <c r="Y1481" s="1" t="s">
        <v>96</v>
      </c>
      <c r="Z1481" s="1" t="s">
        <v>97</v>
      </c>
      <c r="AA1481" s="1" t="s">
        <v>26302</v>
      </c>
      <c r="AB1481" s="1" t="s">
        <v>196</v>
      </c>
      <c r="AC1481" s="1" t="s">
        <v>97</v>
      </c>
      <c r="AD1481" s="1" t="s">
        <v>98</v>
      </c>
      <c r="AE1481" s="1" t="s">
        <v>98</v>
      </c>
      <c r="AF1481" s="1" t="s">
        <v>9322</v>
      </c>
      <c r="AG1481" s="1" t="s">
        <v>26303</v>
      </c>
      <c r="AH1481" s="1" t="s">
        <v>101</v>
      </c>
      <c r="AI1481" s="1" t="s">
        <v>166</v>
      </c>
      <c r="AJ1481" s="1">
        <v>94.6</v>
      </c>
      <c r="AK1481" s="1"/>
      <c r="AL1481" s="1" t="s">
        <v>26304</v>
      </c>
      <c r="AM1481" s="1" t="s">
        <v>26303</v>
      </c>
      <c r="AN1481" s="1"/>
      <c r="AO1481" s="1" t="s">
        <v>167</v>
      </c>
      <c r="AP1481" s="1" t="s">
        <v>170</v>
      </c>
      <c r="AQ1481" s="1">
        <v>67.23</v>
      </c>
      <c r="AR1481" s="1"/>
      <c r="AS1481" s="1"/>
      <c r="AT1481" s="1"/>
      <c r="AU1481" s="1"/>
      <c r="AV1481" s="1"/>
      <c r="AW1481" s="1"/>
      <c r="AX1481" s="1"/>
      <c r="AY1481" s="1" t="s">
        <v>7557</v>
      </c>
      <c r="AZ1481" s="1" t="s">
        <v>26305</v>
      </c>
      <c r="BA1481" s="1"/>
      <c r="BB1481" s="1"/>
      <c r="BC1481" s="1" t="s">
        <v>170</v>
      </c>
      <c r="BD1481" s="1" t="s">
        <v>847</v>
      </c>
      <c r="BE1481" s="1">
        <v>80.4</v>
      </c>
      <c r="BF1481" s="1">
        <v>8.79</v>
      </c>
      <c r="BG1481" s="1"/>
      <c r="BH1481" s="1"/>
      <c r="BI1481" s="1"/>
      <c r="BJ1481" s="1"/>
      <c r="BK1481" s="1"/>
      <c r="BL1481" s="1"/>
      <c r="BM1481" s="1"/>
      <c r="BN1481" s="1"/>
      <c r="BO1481" s="1" t="s">
        <v>26306</v>
      </c>
      <c r="BP1481" s="1"/>
      <c r="BQ1481" s="1"/>
      <c r="BR1481" s="1" t="s">
        <v>26307</v>
      </c>
      <c r="BS1481" s="1">
        <v>16</v>
      </c>
      <c r="BT1481" s="1"/>
      <c r="BU1481" s="1" t="str">
        <f>HYPERLINK("https://nconnect.nicmar.ac.in/storage/profile/ProfilePhoto_p2270066_769543.jpg","Download")</f>
        <v>0</v>
      </c>
      <c r="BV1481" s="3"/>
      <c r="BW1481" s="3"/>
    </row>
    <row r="1482" spans="1:75">
      <c r="A1482" s="1" t="s">
        <v>75</v>
      </c>
      <c r="B1482" s="1" t="s">
        <v>25236</v>
      </c>
      <c r="C1482" s="1" t="s">
        <v>26308</v>
      </c>
      <c r="D1482" s="1" t="s">
        <v>26309</v>
      </c>
      <c r="E1482" s="1"/>
      <c r="F1482" s="1" t="s">
        <v>2772</v>
      </c>
      <c r="G1482" s="1" t="s">
        <v>26310</v>
      </c>
      <c r="H1482" s="1" t="s">
        <v>26311</v>
      </c>
      <c r="I1482" s="1" t="s">
        <v>26312</v>
      </c>
      <c r="J1482" s="1">
        <v>9980761655</v>
      </c>
      <c r="K1482" s="1" t="s">
        <v>84</v>
      </c>
      <c r="L1482" s="1" t="s">
        <v>26313</v>
      </c>
      <c r="M1482" s="1" t="s">
        <v>86</v>
      </c>
      <c r="N1482" s="1" t="s">
        <v>1203</v>
      </c>
      <c r="O1482" s="1"/>
      <c r="P1482" s="1" t="s">
        <v>455</v>
      </c>
      <c r="Q1482" s="1" t="s">
        <v>26314</v>
      </c>
      <c r="R1482" s="1" t="s">
        <v>26315</v>
      </c>
      <c r="S1482" s="1">
        <v>9916822636</v>
      </c>
      <c r="T1482" s="1" t="s">
        <v>26316</v>
      </c>
      <c r="U1482" s="1" t="s">
        <v>26317</v>
      </c>
      <c r="V1482" s="1">
        <v>9945614116</v>
      </c>
      <c r="W1482" s="1" t="s">
        <v>541</v>
      </c>
      <c r="X1482" s="1" t="s">
        <v>26318</v>
      </c>
      <c r="Y1482" s="1" t="s">
        <v>1209</v>
      </c>
      <c r="Z1482" s="1" t="s">
        <v>1210</v>
      </c>
      <c r="AA1482" s="1" t="s">
        <v>26318</v>
      </c>
      <c r="AB1482" s="1" t="s">
        <v>1209</v>
      </c>
      <c r="AC1482" s="1" t="s">
        <v>1210</v>
      </c>
      <c r="AD1482" s="1" t="s">
        <v>98</v>
      </c>
      <c r="AE1482" s="1" t="s">
        <v>98</v>
      </c>
      <c r="AF1482" s="1" t="s">
        <v>26319</v>
      </c>
      <c r="AG1482" s="1" t="s">
        <v>26320</v>
      </c>
      <c r="AH1482" s="1" t="s">
        <v>1213</v>
      </c>
      <c r="AI1482" s="1" t="s">
        <v>1214</v>
      </c>
      <c r="AJ1482" s="1">
        <v>83.6</v>
      </c>
      <c r="AK1482" s="1">
        <v>8.8</v>
      </c>
      <c r="AL1482" s="1" t="s">
        <v>26321</v>
      </c>
      <c r="AM1482" s="1" t="s">
        <v>26320</v>
      </c>
      <c r="AN1482" s="1"/>
      <c r="AO1482" s="1" t="s">
        <v>136</v>
      </c>
      <c r="AP1482" s="1" t="s">
        <v>284</v>
      </c>
      <c r="AQ1482" s="1">
        <v>76.83</v>
      </c>
      <c r="AR1482" s="1">
        <v>0</v>
      </c>
      <c r="AS1482" s="1"/>
      <c r="AT1482" s="1"/>
      <c r="AU1482" s="1"/>
      <c r="AV1482" s="1"/>
      <c r="AW1482" s="1"/>
      <c r="AX1482" s="1"/>
      <c r="AY1482" s="1" t="s">
        <v>25302</v>
      </c>
      <c r="AZ1482" s="1" t="s">
        <v>26322</v>
      </c>
      <c r="BA1482" s="1"/>
      <c r="BB1482" s="1"/>
      <c r="BC1482" s="1" t="s">
        <v>1396</v>
      </c>
      <c r="BD1482" s="1" t="s">
        <v>890</v>
      </c>
      <c r="BE1482" s="1">
        <v>67.5</v>
      </c>
      <c r="BF1482" s="1">
        <v>7.45</v>
      </c>
      <c r="BG1482" s="1"/>
      <c r="BH1482" s="1"/>
      <c r="BI1482" s="1"/>
      <c r="BJ1482" s="1"/>
      <c r="BK1482" s="1"/>
      <c r="BL1482" s="1"/>
      <c r="BM1482" s="1"/>
      <c r="BN1482" s="1"/>
      <c r="BO1482" s="1" t="s">
        <v>1114</v>
      </c>
      <c r="BP1482" s="1" t="s">
        <v>26323</v>
      </c>
      <c r="BQ1482" s="1" t="s">
        <v>1152</v>
      </c>
      <c r="BR1482" s="1" t="s">
        <v>26324</v>
      </c>
      <c r="BS1482" s="1">
        <v>-87</v>
      </c>
      <c r="BT1482" s="1"/>
      <c r="BU1482" s="1" t="str">
        <f>HYPERLINK("https://nconnect.nicmar.ac.in/storage/profile/ProfilePhoto_p2270067_859634.jpg","Download")</f>
        <v>0</v>
      </c>
      <c r="BV1482" s="3"/>
      <c r="BW1482" s="3"/>
    </row>
    <row r="1483" spans="1:75">
      <c r="A1483" s="1" t="s">
        <v>75</v>
      </c>
      <c r="B1483" s="1" t="s">
        <v>25236</v>
      </c>
      <c r="C1483" s="1" t="s">
        <v>26325</v>
      </c>
      <c r="D1483" s="1" t="s">
        <v>3493</v>
      </c>
      <c r="E1483" s="1" t="s">
        <v>26326</v>
      </c>
      <c r="F1483" s="1" t="s">
        <v>7180</v>
      </c>
      <c r="G1483" s="1" t="s">
        <v>26327</v>
      </c>
      <c r="H1483" s="1" t="s">
        <v>26328</v>
      </c>
      <c r="I1483" s="1" t="s">
        <v>26329</v>
      </c>
      <c r="J1483" s="1">
        <v>8550912626</v>
      </c>
      <c r="K1483" s="1" t="s">
        <v>84</v>
      </c>
      <c r="L1483" s="1" t="s">
        <v>26330</v>
      </c>
      <c r="M1483" s="1" t="s">
        <v>86</v>
      </c>
      <c r="N1483" s="1" t="s">
        <v>1027</v>
      </c>
      <c r="O1483" s="1" t="s">
        <v>26331</v>
      </c>
      <c r="P1483" s="1" t="s">
        <v>507</v>
      </c>
      <c r="Q1483" s="1" t="s">
        <v>26332</v>
      </c>
      <c r="R1483" s="1" t="s">
        <v>26333</v>
      </c>
      <c r="S1483" s="1">
        <v>9225751711</v>
      </c>
      <c r="T1483" s="1" t="s">
        <v>839</v>
      </c>
      <c r="U1483" s="1" t="s">
        <v>26334</v>
      </c>
      <c r="V1483" s="1">
        <v>8788805109</v>
      </c>
      <c r="W1483" s="1" t="s">
        <v>161</v>
      </c>
      <c r="X1483" s="1" t="s">
        <v>26335</v>
      </c>
      <c r="Y1483" s="1" t="s">
        <v>5030</v>
      </c>
      <c r="Z1483" s="1" t="s">
        <v>97</v>
      </c>
      <c r="AA1483" s="1" t="s">
        <v>26335</v>
      </c>
      <c r="AB1483" s="1" t="s">
        <v>5030</v>
      </c>
      <c r="AC1483" s="1" t="s">
        <v>97</v>
      </c>
      <c r="AD1483" s="1" t="s">
        <v>98</v>
      </c>
      <c r="AE1483" s="1" t="s">
        <v>98</v>
      </c>
      <c r="AF1483" s="1" t="s">
        <v>26336</v>
      </c>
      <c r="AG1483" s="1" t="s">
        <v>26337</v>
      </c>
      <c r="AH1483" s="1" t="s">
        <v>1457</v>
      </c>
      <c r="AI1483" s="1" t="s">
        <v>515</v>
      </c>
      <c r="AJ1483" s="1">
        <v>79</v>
      </c>
      <c r="AK1483" s="1">
        <v>0</v>
      </c>
      <c r="AL1483" s="1"/>
      <c r="AM1483" s="1"/>
      <c r="AN1483" s="1"/>
      <c r="AO1483" s="1"/>
      <c r="AP1483" s="1"/>
      <c r="AQ1483" s="1"/>
      <c r="AR1483" s="1"/>
      <c r="AS1483" s="1" t="s">
        <v>103</v>
      </c>
      <c r="AT1483" s="1" t="s">
        <v>26338</v>
      </c>
      <c r="AU1483" s="1" t="s">
        <v>167</v>
      </c>
      <c r="AV1483" s="1" t="s">
        <v>170</v>
      </c>
      <c r="AW1483" s="1">
        <v>84.06</v>
      </c>
      <c r="AX1483" s="1">
        <v>0</v>
      </c>
      <c r="AY1483" s="1" t="s">
        <v>26339</v>
      </c>
      <c r="AZ1483" s="1" t="s">
        <v>26340</v>
      </c>
      <c r="BA1483" s="1"/>
      <c r="BB1483" s="1"/>
      <c r="BC1483" s="1" t="s">
        <v>230</v>
      </c>
      <c r="BD1483" s="1" t="s">
        <v>175</v>
      </c>
      <c r="BE1483" s="1">
        <v>78.8</v>
      </c>
      <c r="BF1483" s="1">
        <v>8.63</v>
      </c>
      <c r="BG1483" s="1"/>
      <c r="BH1483" s="1"/>
      <c r="BI1483" s="1"/>
      <c r="BJ1483" s="1"/>
      <c r="BK1483" s="1"/>
      <c r="BL1483" s="1"/>
      <c r="BM1483" s="1"/>
      <c r="BN1483" s="1"/>
      <c r="BO1483" s="1" t="s">
        <v>26341</v>
      </c>
      <c r="BP1483" s="1" t="s">
        <v>26342</v>
      </c>
      <c r="BQ1483" s="1" t="s">
        <v>9405</v>
      </c>
      <c r="BR1483" s="1" t="s">
        <v>26343</v>
      </c>
      <c r="BS1483" s="1">
        <v>36</v>
      </c>
      <c r="BT1483" s="1"/>
      <c r="BU1483" s="1" t="str">
        <f>HYPERLINK("https://nconnect.nicmar.ac.in/storage/profile/ProfilePhoto_p2270068_312984.jpg","Download")</f>
        <v>0</v>
      </c>
      <c r="BV1483" s="3"/>
      <c r="BW1483" s="3"/>
    </row>
    <row r="1484" spans="1:75">
      <c r="A1484" s="1" t="s">
        <v>75</v>
      </c>
      <c r="B1484" s="1" t="s">
        <v>25236</v>
      </c>
      <c r="C1484" s="1" t="s">
        <v>26344</v>
      </c>
      <c r="D1484" s="1" t="s">
        <v>1294</v>
      </c>
      <c r="E1484" s="1"/>
      <c r="F1484" s="1" t="s">
        <v>26345</v>
      </c>
      <c r="G1484" s="1" t="s">
        <v>26346</v>
      </c>
      <c r="H1484" s="1" t="s">
        <v>26347</v>
      </c>
      <c r="I1484" s="1" t="s">
        <v>26348</v>
      </c>
      <c r="J1484" s="1">
        <v>8489694502</v>
      </c>
      <c r="K1484" s="1" t="s">
        <v>84</v>
      </c>
      <c r="L1484" s="1" t="s">
        <v>26349</v>
      </c>
      <c r="M1484" s="1" t="s">
        <v>86</v>
      </c>
      <c r="N1484" s="1" t="s">
        <v>26350</v>
      </c>
      <c r="O1484" s="1" t="s">
        <v>26351</v>
      </c>
      <c r="P1484" s="1" t="s">
        <v>455</v>
      </c>
      <c r="Q1484" s="1" t="s">
        <v>26352</v>
      </c>
      <c r="R1484" s="1" t="s">
        <v>26353</v>
      </c>
      <c r="S1484" s="1">
        <v>8903435043</v>
      </c>
      <c r="T1484" s="1" t="s">
        <v>26354</v>
      </c>
      <c r="U1484" s="1" t="s">
        <v>26355</v>
      </c>
      <c r="V1484" s="1">
        <v>8489535043</v>
      </c>
      <c r="W1484" s="1" t="s">
        <v>26356</v>
      </c>
      <c r="X1484" s="1" t="s">
        <v>26357</v>
      </c>
      <c r="Y1484" s="1" t="s">
        <v>1307</v>
      </c>
      <c r="Z1484" s="1" t="s">
        <v>130</v>
      </c>
      <c r="AA1484" s="1" t="s">
        <v>26358</v>
      </c>
      <c r="AB1484" s="1" t="s">
        <v>1307</v>
      </c>
      <c r="AC1484" s="1" t="s">
        <v>130</v>
      </c>
      <c r="AD1484" s="1" t="s">
        <v>98</v>
      </c>
      <c r="AE1484" s="1" t="s">
        <v>98</v>
      </c>
      <c r="AF1484" s="1" t="s">
        <v>26359</v>
      </c>
      <c r="AG1484" s="1" t="s">
        <v>796</v>
      </c>
      <c r="AH1484" s="1" t="s">
        <v>133</v>
      </c>
      <c r="AI1484" s="1" t="s">
        <v>1457</v>
      </c>
      <c r="AJ1484" s="1">
        <v>74.1</v>
      </c>
      <c r="AK1484" s="1">
        <v>7.8</v>
      </c>
      <c r="AL1484" s="1" t="s">
        <v>26359</v>
      </c>
      <c r="AM1484" s="1" t="s">
        <v>796</v>
      </c>
      <c r="AN1484" s="1"/>
      <c r="AO1484" s="1" t="s">
        <v>101</v>
      </c>
      <c r="AP1484" s="1" t="s">
        <v>1110</v>
      </c>
      <c r="AQ1484" s="1">
        <v>73.2</v>
      </c>
      <c r="AR1484" s="1"/>
      <c r="AS1484" s="1"/>
      <c r="AT1484" s="1"/>
      <c r="AU1484" s="1"/>
      <c r="AV1484" s="1"/>
      <c r="AW1484" s="1"/>
      <c r="AX1484" s="1"/>
      <c r="AY1484" s="1" t="s">
        <v>576</v>
      </c>
      <c r="AZ1484" s="1" t="s">
        <v>26360</v>
      </c>
      <c r="BA1484" s="1"/>
      <c r="BB1484" s="1"/>
      <c r="BC1484" s="1" t="s">
        <v>105</v>
      </c>
      <c r="BD1484" s="1" t="s">
        <v>438</v>
      </c>
      <c r="BE1484" s="1">
        <v>76.4</v>
      </c>
      <c r="BF1484" s="1">
        <v>7.64</v>
      </c>
      <c r="BG1484" s="1"/>
      <c r="BH1484" s="1"/>
      <c r="BI1484" s="1"/>
      <c r="BJ1484" s="1"/>
      <c r="BK1484" s="1"/>
      <c r="BL1484" s="1"/>
      <c r="BM1484" s="1"/>
      <c r="BN1484" s="1"/>
      <c r="BO1484" s="1" t="s">
        <v>26361</v>
      </c>
      <c r="BP1484" s="1" t="s">
        <v>26362</v>
      </c>
      <c r="BQ1484" s="1" t="s">
        <v>1849</v>
      </c>
      <c r="BR1484" s="1" t="s">
        <v>26363</v>
      </c>
      <c r="BS1484" s="1">
        <v>7</v>
      </c>
      <c r="BT1484" s="1"/>
      <c r="BU1484" s="1" t="str">
        <f>HYPERLINK("https://nconnect.nicmar.ac.in/storage/profile/ProfilePhoto_p2270070_679234.jpg","Download")</f>
        <v>0</v>
      </c>
      <c r="BV1484" s="3"/>
      <c r="BW1484" s="3"/>
    </row>
    <row r="1485" spans="1:75">
      <c r="A1485" s="1" t="s">
        <v>75</v>
      </c>
      <c r="B1485" s="1" t="s">
        <v>25236</v>
      </c>
      <c r="C1485" s="1" t="s">
        <v>26364</v>
      </c>
      <c r="D1485" s="1" t="s">
        <v>26365</v>
      </c>
      <c r="E1485" s="1"/>
      <c r="F1485" s="1" t="s">
        <v>2141</v>
      </c>
      <c r="G1485" s="1" t="s">
        <v>26366</v>
      </c>
      <c r="H1485" s="1" t="s">
        <v>26367</v>
      </c>
      <c r="I1485" s="1" t="s">
        <v>26368</v>
      </c>
      <c r="J1485" s="1">
        <v>6000533455</v>
      </c>
      <c r="K1485" s="1" t="s">
        <v>153</v>
      </c>
      <c r="L1485" s="1" t="s">
        <v>7996</v>
      </c>
      <c r="M1485" s="1" t="s">
        <v>86</v>
      </c>
      <c r="N1485" s="1" t="s">
        <v>26369</v>
      </c>
      <c r="O1485" s="1"/>
      <c r="P1485" s="1" t="s">
        <v>507</v>
      </c>
      <c r="Q1485" s="1" t="s">
        <v>26370</v>
      </c>
      <c r="R1485" s="1" t="s">
        <v>26371</v>
      </c>
      <c r="S1485" s="1">
        <v>9435339686</v>
      </c>
      <c r="T1485" s="1" t="s">
        <v>26372</v>
      </c>
      <c r="U1485" s="1" t="s">
        <v>26373</v>
      </c>
      <c r="V1485" s="1">
        <v>9613853886</v>
      </c>
      <c r="W1485" s="1" t="s">
        <v>278</v>
      </c>
      <c r="X1485" s="1" t="s">
        <v>26374</v>
      </c>
      <c r="Y1485" s="1" t="s">
        <v>1555</v>
      </c>
      <c r="Z1485" s="1" t="s">
        <v>1556</v>
      </c>
      <c r="AA1485" s="1" t="s">
        <v>26374</v>
      </c>
      <c r="AB1485" s="1" t="s">
        <v>1555</v>
      </c>
      <c r="AC1485" s="1" t="s">
        <v>1556</v>
      </c>
      <c r="AD1485" s="1" t="s">
        <v>98</v>
      </c>
      <c r="AE1485" s="1" t="s">
        <v>98</v>
      </c>
      <c r="AF1485" s="1" t="s">
        <v>26375</v>
      </c>
      <c r="AG1485" s="1" t="s">
        <v>775</v>
      </c>
      <c r="AH1485" s="1" t="s">
        <v>1110</v>
      </c>
      <c r="AI1485" s="1" t="s">
        <v>1111</v>
      </c>
      <c r="AJ1485" s="1">
        <v>87.4</v>
      </c>
      <c r="AK1485" s="1"/>
      <c r="AL1485" s="1" t="s">
        <v>26375</v>
      </c>
      <c r="AM1485" s="1" t="s">
        <v>775</v>
      </c>
      <c r="AN1485" s="1"/>
      <c r="AO1485" s="1" t="s">
        <v>704</v>
      </c>
      <c r="AP1485" s="1" t="s">
        <v>286</v>
      </c>
      <c r="AQ1485" s="1">
        <v>70.6</v>
      </c>
      <c r="AR1485" s="1"/>
      <c r="AS1485" s="1"/>
      <c r="AT1485" s="1"/>
      <c r="AU1485" s="1"/>
      <c r="AV1485" s="1"/>
      <c r="AW1485" s="1"/>
      <c r="AX1485" s="1"/>
      <c r="AY1485" s="1" t="s">
        <v>9026</v>
      </c>
      <c r="AZ1485" s="1" t="s">
        <v>6113</v>
      </c>
      <c r="BA1485" s="1"/>
      <c r="BB1485" s="1"/>
      <c r="BC1485" s="1" t="s">
        <v>174</v>
      </c>
      <c r="BD1485" s="1" t="s">
        <v>632</v>
      </c>
      <c r="BE1485" s="1">
        <v>86.7</v>
      </c>
      <c r="BF1485" s="1"/>
      <c r="BG1485" s="1"/>
      <c r="BH1485" s="1"/>
      <c r="BI1485" s="1"/>
      <c r="BJ1485" s="1"/>
      <c r="BK1485" s="1"/>
      <c r="BL1485" s="1"/>
      <c r="BM1485" s="1"/>
      <c r="BN1485" s="1"/>
      <c r="BO1485" s="1" t="s">
        <v>1114</v>
      </c>
      <c r="BP1485" s="1"/>
      <c r="BQ1485" s="1"/>
      <c r="BR1485" s="1" t="s">
        <v>26376</v>
      </c>
      <c r="BS1485" s="1">
        <v>12</v>
      </c>
      <c r="BT1485" s="1"/>
      <c r="BU1485" s="1" t="str">
        <f>HYPERLINK("https://nconnect.nicmar.ac.in/storage/profile/ProfilePhoto_p2270071_185462.jpg","Download")</f>
        <v>0</v>
      </c>
      <c r="BV1485" s="3"/>
      <c r="BW1485" s="3"/>
    </row>
    <row r="1486" spans="1:75">
      <c r="A1486" s="1" t="s">
        <v>75</v>
      </c>
      <c r="B1486" s="1" t="s">
        <v>25236</v>
      </c>
      <c r="C1486" s="1" t="s">
        <v>26377</v>
      </c>
      <c r="D1486" s="1" t="s">
        <v>26378</v>
      </c>
      <c r="E1486" s="1" t="s">
        <v>26379</v>
      </c>
      <c r="F1486" s="1" t="s">
        <v>26380</v>
      </c>
      <c r="G1486" s="1" t="s">
        <v>26381</v>
      </c>
      <c r="H1486" s="1" t="s">
        <v>26382</v>
      </c>
      <c r="I1486" s="1" t="s">
        <v>26383</v>
      </c>
      <c r="J1486" s="1">
        <v>9766850511</v>
      </c>
      <c r="K1486" s="1" t="s">
        <v>153</v>
      </c>
      <c r="L1486" s="1" t="s">
        <v>26384</v>
      </c>
      <c r="M1486" s="1" t="s">
        <v>86</v>
      </c>
      <c r="N1486" s="1" t="s">
        <v>768</v>
      </c>
      <c r="O1486" s="1" t="s">
        <v>26385</v>
      </c>
      <c r="P1486" s="1" t="s">
        <v>481</v>
      </c>
      <c r="Q1486" s="1" t="s">
        <v>26386</v>
      </c>
      <c r="R1486" s="1" t="s">
        <v>26387</v>
      </c>
      <c r="S1486" s="1">
        <v>8007135474</v>
      </c>
      <c r="T1486" s="1" t="s">
        <v>26388</v>
      </c>
      <c r="U1486" s="1" t="s">
        <v>26389</v>
      </c>
      <c r="V1486" s="1">
        <v>7028299029</v>
      </c>
      <c r="W1486" s="1" t="s">
        <v>161</v>
      </c>
      <c r="X1486" s="1" t="s">
        <v>26390</v>
      </c>
      <c r="Y1486" s="1" t="s">
        <v>410</v>
      </c>
      <c r="Z1486" s="1" t="s">
        <v>97</v>
      </c>
      <c r="AA1486" s="1" t="s">
        <v>26390</v>
      </c>
      <c r="AB1486" s="1" t="s">
        <v>410</v>
      </c>
      <c r="AC1486" s="1" t="s">
        <v>97</v>
      </c>
      <c r="AD1486" s="1" t="s">
        <v>98</v>
      </c>
      <c r="AE1486" s="1" t="s">
        <v>98</v>
      </c>
      <c r="AF1486" s="1" t="s">
        <v>26391</v>
      </c>
      <c r="AG1486" s="1" t="s">
        <v>1601</v>
      </c>
      <c r="AH1486" s="1" t="s">
        <v>101</v>
      </c>
      <c r="AI1486" s="1" t="s">
        <v>102</v>
      </c>
      <c r="AJ1486" s="1">
        <v>89.2</v>
      </c>
      <c r="AK1486" s="1"/>
      <c r="AL1486" s="1" t="s">
        <v>26392</v>
      </c>
      <c r="AM1486" s="1" t="s">
        <v>1601</v>
      </c>
      <c r="AN1486" s="1"/>
      <c r="AO1486" s="1" t="s">
        <v>342</v>
      </c>
      <c r="AP1486" s="1" t="s">
        <v>170</v>
      </c>
      <c r="AQ1486" s="1">
        <v>63.69</v>
      </c>
      <c r="AR1486" s="1"/>
      <c r="AS1486" s="1"/>
      <c r="AT1486" s="1"/>
      <c r="AU1486" s="1"/>
      <c r="AV1486" s="1"/>
      <c r="AW1486" s="1"/>
      <c r="AX1486" s="1"/>
      <c r="AY1486" s="1" t="s">
        <v>415</v>
      </c>
      <c r="AZ1486" s="1" t="s">
        <v>26393</v>
      </c>
      <c r="BA1486" s="1"/>
      <c r="BB1486" s="1"/>
      <c r="BC1486" s="1" t="s">
        <v>230</v>
      </c>
      <c r="BD1486" s="1" t="s">
        <v>847</v>
      </c>
      <c r="BE1486" s="1">
        <v>60.1</v>
      </c>
      <c r="BF1486" s="1">
        <v>6.76</v>
      </c>
      <c r="BG1486" s="1"/>
      <c r="BH1486" s="1"/>
      <c r="BI1486" s="1"/>
      <c r="BJ1486" s="1"/>
      <c r="BK1486" s="1"/>
      <c r="BL1486" s="1"/>
      <c r="BM1486" s="1"/>
      <c r="BN1486" s="1"/>
      <c r="BO1486" s="1" t="s">
        <v>3308</v>
      </c>
      <c r="BP1486" s="1"/>
      <c r="BQ1486" s="1"/>
      <c r="BR1486" s="1" t="s">
        <v>26394</v>
      </c>
      <c r="BS1486" s="1">
        <v>8</v>
      </c>
      <c r="BT1486" s="1"/>
      <c r="BU1486" s="1" t="str">
        <f>HYPERLINK("https://nconnect.nicmar.ac.in/storage/profile/ProfilePhoto_p2270072_926478.jpg","Download")</f>
        <v>0</v>
      </c>
      <c r="BV1486" s="3"/>
      <c r="BW1486" s="3"/>
    </row>
    <row r="1487" spans="1:75">
      <c r="A1487" s="1" t="s">
        <v>75</v>
      </c>
      <c r="B1487" s="1" t="s">
        <v>25236</v>
      </c>
      <c r="C1487" s="1" t="s">
        <v>26395</v>
      </c>
      <c r="D1487" s="1" t="s">
        <v>26396</v>
      </c>
      <c r="E1487" s="1" t="s">
        <v>1487</v>
      </c>
      <c r="F1487" s="1" t="s">
        <v>3998</v>
      </c>
      <c r="G1487" s="1" t="s">
        <v>26397</v>
      </c>
      <c r="H1487" s="1" t="s">
        <v>26398</v>
      </c>
      <c r="I1487" s="1" t="s">
        <v>26399</v>
      </c>
      <c r="J1487" s="1">
        <v>8497032751</v>
      </c>
      <c r="K1487" s="1" t="s">
        <v>84</v>
      </c>
      <c r="L1487" s="1" t="s">
        <v>26400</v>
      </c>
      <c r="M1487" s="1" t="s">
        <v>86</v>
      </c>
      <c r="N1487" s="1" t="s">
        <v>11117</v>
      </c>
      <c r="O1487" s="1" t="s">
        <v>26401</v>
      </c>
      <c r="P1487" s="1" t="s">
        <v>455</v>
      </c>
      <c r="Q1487" s="1" t="s">
        <v>26402</v>
      </c>
      <c r="R1487" s="1" t="s">
        <v>26403</v>
      </c>
      <c r="S1487" s="1">
        <v>9448233449</v>
      </c>
      <c r="T1487" s="1" t="s">
        <v>26404</v>
      </c>
      <c r="U1487" s="1" t="s">
        <v>26405</v>
      </c>
      <c r="V1487" s="1">
        <v>6362481517</v>
      </c>
      <c r="W1487" s="1" t="s">
        <v>26406</v>
      </c>
      <c r="X1487" s="1" t="s">
        <v>26407</v>
      </c>
      <c r="Y1487" s="1" t="s">
        <v>4418</v>
      </c>
      <c r="Z1487" s="1" t="s">
        <v>1210</v>
      </c>
      <c r="AA1487" s="1" t="s">
        <v>26407</v>
      </c>
      <c r="AB1487" s="1" t="s">
        <v>4418</v>
      </c>
      <c r="AC1487" s="1" t="s">
        <v>1210</v>
      </c>
      <c r="AD1487" s="1" t="s">
        <v>98</v>
      </c>
      <c r="AE1487" s="1" t="s">
        <v>98</v>
      </c>
      <c r="AF1487" s="1" t="s">
        <v>26408</v>
      </c>
      <c r="AG1487" s="1" t="s">
        <v>26409</v>
      </c>
      <c r="AH1487" s="1" t="s">
        <v>3285</v>
      </c>
      <c r="AI1487" s="1" t="s">
        <v>2726</v>
      </c>
      <c r="AJ1487" s="1">
        <v>85.92</v>
      </c>
      <c r="AK1487" s="1">
        <v>8.59</v>
      </c>
      <c r="AL1487" s="1" t="s">
        <v>26410</v>
      </c>
      <c r="AM1487" s="1" t="s">
        <v>1216</v>
      </c>
      <c r="AN1487" s="1"/>
      <c r="AO1487" s="1" t="s">
        <v>1213</v>
      </c>
      <c r="AP1487" s="1" t="s">
        <v>1262</v>
      </c>
      <c r="AQ1487" s="1">
        <v>78.33</v>
      </c>
      <c r="AR1487" s="1">
        <v>7.83</v>
      </c>
      <c r="AS1487" s="1"/>
      <c r="AT1487" s="1"/>
      <c r="AU1487" s="1"/>
      <c r="AV1487" s="1"/>
      <c r="AW1487" s="1"/>
      <c r="AX1487" s="1"/>
      <c r="AY1487" s="1" t="s">
        <v>26411</v>
      </c>
      <c r="AZ1487" s="1" t="s">
        <v>26412</v>
      </c>
      <c r="BA1487" s="1"/>
      <c r="BB1487" s="1"/>
      <c r="BC1487" s="1" t="s">
        <v>257</v>
      </c>
      <c r="BD1487" s="1" t="s">
        <v>174</v>
      </c>
      <c r="BE1487" s="1">
        <v>72.1</v>
      </c>
      <c r="BF1487" s="1">
        <v>7.21</v>
      </c>
      <c r="BG1487" s="1"/>
      <c r="BH1487" s="1"/>
      <c r="BI1487" s="1"/>
      <c r="BJ1487" s="1"/>
      <c r="BK1487" s="1"/>
      <c r="BL1487" s="1"/>
      <c r="BM1487" s="1"/>
      <c r="BN1487" s="1"/>
      <c r="BO1487" s="1" t="s">
        <v>26413</v>
      </c>
      <c r="BP1487" s="1" t="s">
        <v>26414</v>
      </c>
      <c r="BQ1487" s="1" t="s">
        <v>4552</v>
      </c>
      <c r="BR1487" s="1" t="s">
        <v>26415</v>
      </c>
      <c r="BS1487" s="1">
        <v>7</v>
      </c>
      <c r="BT1487" s="1"/>
      <c r="BU1487" s="1" t="str">
        <f>HYPERLINK("https://nconnect.nicmar.ac.in/storage/profile/ProfilePhoto_p2270073_867293.jpg","Download")</f>
        <v>0</v>
      </c>
      <c r="BV1487" s="3"/>
      <c r="BW1487" s="3"/>
    </row>
    <row r="1488" spans="1:75">
      <c r="A1488" s="1" t="s">
        <v>75</v>
      </c>
      <c r="B1488" s="1" t="s">
        <v>25236</v>
      </c>
      <c r="C1488" s="1" t="s">
        <v>26416</v>
      </c>
      <c r="D1488" s="1" t="s">
        <v>960</v>
      </c>
      <c r="E1488" s="1"/>
      <c r="F1488" s="1" t="s">
        <v>10043</v>
      </c>
      <c r="G1488" s="1" t="s">
        <v>26417</v>
      </c>
      <c r="H1488" s="1" t="s">
        <v>26418</v>
      </c>
      <c r="I1488" s="1" t="s">
        <v>26419</v>
      </c>
      <c r="J1488" s="1">
        <v>7077100769</v>
      </c>
      <c r="K1488" s="1" t="s">
        <v>84</v>
      </c>
      <c r="L1488" s="1" t="s">
        <v>26420</v>
      </c>
      <c r="M1488" s="1" t="s">
        <v>86</v>
      </c>
      <c r="N1488" s="1" t="s">
        <v>1163</v>
      </c>
      <c r="O1488" s="1" t="s">
        <v>26421</v>
      </c>
      <c r="P1488" s="1" t="s">
        <v>455</v>
      </c>
      <c r="Q1488" s="1" t="s">
        <v>26422</v>
      </c>
      <c r="R1488" s="1" t="s">
        <v>26423</v>
      </c>
      <c r="S1488" s="1">
        <v>9473400402</v>
      </c>
      <c r="T1488" s="1" t="s">
        <v>26424</v>
      </c>
      <c r="U1488" s="1" t="s">
        <v>26425</v>
      </c>
      <c r="V1488" s="1">
        <v>9123232404</v>
      </c>
      <c r="W1488" s="1" t="s">
        <v>1678</v>
      </c>
      <c r="X1488" s="1" t="s">
        <v>26426</v>
      </c>
      <c r="Y1488" s="1" t="s">
        <v>26427</v>
      </c>
      <c r="Z1488" s="1" t="s">
        <v>649</v>
      </c>
      <c r="AA1488" s="1" t="s">
        <v>26426</v>
      </c>
      <c r="AB1488" s="1" t="s">
        <v>26427</v>
      </c>
      <c r="AC1488" s="1" t="s">
        <v>649</v>
      </c>
      <c r="AD1488" s="1" t="s">
        <v>98</v>
      </c>
      <c r="AE1488" s="1" t="s">
        <v>98</v>
      </c>
      <c r="AF1488" s="1" t="s">
        <v>26428</v>
      </c>
      <c r="AG1488" s="1" t="s">
        <v>26429</v>
      </c>
      <c r="AH1488" s="1" t="s">
        <v>4593</v>
      </c>
      <c r="AI1488" s="1" t="s">
        <v>801</v>
      </c>
      <c r="AJ1488" s="1">
        <v>81.7</v>
      </c>
      <c r="AK1488" s="1">
        <v>8.6</v>
      </c>
      <c r="AL1488" s="1" t="s">
        <v>26430</v>
      </c>
      <c r="AM1488" s="1" t="s">
        <v>26431</v>
      </c>
      <c r="AN1488" s="1"/>
      <c r="AO1488" s="1" t="s">
        <v>3285</v>
      </c>
      <c r="AP1488" s="1" t="s">
        <v>1214</v>
      </c>
      <c r="AQ1488" s="1">
        <v>67.67</v>
      </c>
      <c r="AR1488" s="1"/>
      <c r="AS1488" s="1"/>
      <c r="AT1488" s="1"/>
      <c r="AU1488" s="1"/>
      <c r="AV1488" s="1"/>
      <c r="AW1488" s="1"/>
      <c r="AX1488" s="1"/>
      <c r="AY1488" s="1" t="s">
        <v>4962</v>
      </c>
      <c r="AZ1488" s="1" t="s">
        <v>5106</v>
      </c>
      <c r="BA1488" s="1"/>
      <c r="BB1488" s="1"/>
      <c r="BC1488" s="1" t="s">
        <v>135</v>
      </c>
      <c r="BD1488" s="1" t="s">
        <v>490</v>
      </c>
      <c r="BE1488" s="1">
        <v>73.4</v>
      </c>
      <c r="BF1488" s="1">
        <v>7.34</v>
      </c>
      <c r="BG1488" s="1"/>
      <c r="BH1488" s="1"/>
      <c r="BI1488" s="1"/>
      <c r="BJ1488" s="1"/>
      <c r="BK1488" s="1"/>
      <c r="BL1488" s="1"/>
      <c r="BM1488" s="1"/>
      <c r="BN1488" s="1"/>
      <c r="BO1488" s="1" t="s">
        <v>25516</v>
      </c>
      <c r="BP1488" s="1" t="s">
        <v>26432</v>
      </c>
      <c r="BQ1488" s="1" t="s">
        <v>4552</v>
      </c>
      <c r="BR1488" s="1" t="s">
        <v>26433</v>
      </c>
      <c r="BS1488" s="1">
        <v>11</v>
      </c>
      <c r="BT1488" s="1"/>
      <c r="BU1488" s="1" t="str">
        <f>HYPERLINK("https://nconnect.nicmar.ac.in/storage/profile/ProfilePhoto_p2270074_493581.jpg","Download")</f>
        <v>0</v>
      </c>
      <c r="BV1488" s="3"/>
      <c r="BW1488" s="3"/>
    </row>
    <row r="1489" spans="1:75">
      <c r="A1489" s="1" t="s">
        <v>75</v>
      </c>
      <c r="B1489" s="1" t="s">
        <v>25236</v>
      </c>
      <c r="C1489" s="1" t="s">
        <v>26434</v>
      </c>
      <c r="D1489" s="1" t="s">
        <v>6560</v>
      </c>
      <c r="E1489" s="1"/>
      <c r="F1489" s="1" t="s">
        <v>26435</v>
      </c>
      <c r="G1489" s="1" t="s">
        <v>26436</v>
      </c>
      <c r="H1489" s="1" t="s">
        <v>26437</v>
      </c>
      <c r="I1489" s="1" t="s">
        <v>26438</v>
      </c>
      <c r="J1489" s="1">
        <v>9726113986</v>
      </c>
      <c r="K1489" s="1" t="s">
        <v>84</v>
      </c>
      <c r="L1489" s="1" t="s">
        <v>26439</v>
      </c>
      <c r="M1489" s="1" t="s">
        <v>86</v>
      </c>
      <c r="N1489" s="1" t="s">
        <v>7185</v>
      </c>
      <c r="O1489" s="1" t="s">
        <v>26440</v>
      </c>
      <c r="P1489" s="1" t="s">
        <v>481</v>
      </c>
      <c r="Q1489" s="1" t="s">
        <v>26441</v>
      </c>
      <c r="R1489" s="1" t="s">
        <v>26442</v>
      </c>
      <c r="S1489" s="1">
        <v>9825993388</v>
      </c>
      <c r="T1489" s="1" t="s">
        <v>26443</v>
      </c>
      <c r="U1489" s="1" t="s">
        <v>26444</v>
      </c>
      <c r="V1489" s="1">
        <v>9913553380</v>
      </c>
      <c r="W1489" s="1" t="s">
        <v>161</v>
      </c>
      <c r="X1489" s="1" t="s">
        <v>26445</v>
      </c>
      <c r="Y1489" s="1" t="s">
        <v>14319</v>
      </c>
      <c r="Z1489" s="1" t="s">
        <v>676</v>
      </c>
      <c r="AA1489" s="1" t="s">
        <v>26446</v>
      </c>
      <c r="AB1489" s="1" t="s">
        <v>13481</v>
      </c>
      <c r="AC1489" s="1" t="s">
        <v>676</v>
      </c>
      <c r="AD1489" s="1" t="s">
        <v>98</v>
      </c>
      <c r="AE1489" s="1" t="s">
        <v>98</v>
      </c>
      <c r="AF1489" s="1" t="s">
        <v>26447</v>
      </c>
      <c r="AG1489" s="1" t="s">
        <v>26448</v>
      </c>
      <c r="AH1489" s="1" t="s">
        <v>166</v>
      </c>
      <c r="AI1489" s="1" t="s">
        <v>1111</v>
      </c>
      <c r="AJ1489" s="1">
        <v>81.7</v>
      </c>
      <c r="AK1489" s="1">
        <v>8.6</v>
      </c>
      <c r="AL1489" s="1" t="s">
        <v>26449</v>
      </c>
      <c r="AM1489" s="1" t="s">
        <v>26450</v>
      </c>
      <c r="AN1489" s="1"/>
      <c r="AO1489" s="1" t="s">
        <v>170</v>
      </c>
      <c r="AP1489" s="1" t="s">
        <v>286</v>
      </c>
      <c r="AQ1489" s="1">
        <v>68.92</v>
      </c>
      <c r="AR1489" s="1">
        <v>0</v>
      </c>
      <c r="AS1489" s="1"/>
      <c r="AT1489" s="1"/>
      <c r="AU1489" s="1"/>
      <c r="AV1489" s="1"/>
      <c r="AW1489" s="1"/>
      <c r="AX1489" s="1"/>
      <c r="AY1489" s="1" t="s">
        <v>26451</v>
      </c>
      <c r="AZ1489" s="1" t="s">
        <v>26452</v>
      </c>
      <c r="BA1489" s="1"/>
      <c r="BB1489" s="1"/>
      <c r="BC1489" s="1" t="s">
        <v>106</v>
      </c>
      <c r="BD1489" s="1" t="s">
        <v>632</v>
      </c>
      <c r="BE1489" s="1">
        <v>84.8</v>
      </c>
      <c r="BF1489" s="1">
        <v>8.98</v>
      </c>
      <c r="BG1489" s="1"/>
      <c r="BH1489" s="1"/>
      <c r="BI1489" s="1"/>
      <c r="BJ1489" s="1"/>
      <c r="BK1489" s="1"/>
      <c r="BL1489" s="1"/>
      <c r="BM1489" s="1"/>
      <c r="BN1489" s="1"/>
      <c r="BO1489" s="1" t="s">
        <v>26453</v>
      </c>
      <c r="BP1489" s="1"/>
      <c r="BQ1489" s="1"/>
      <c r="BR1489" s="1" t="s">
        <v>26454</v>
      </c>
      <c r="BS1489" s="1">
        <v>18</v>
      </c>
      <c r="BT1489" s="1"/>
      <c r="BU1489" s="1" t="str">
        <f>HYPERLINK("https://nconnect.nicmar.ac.in/storage/profile/ProfilePhoto_p2270075_576924.jpg","Download")</f>
        <v>0</v>
      </c>
      <c r="BV1489" s="3"/>
      <c r="BW1489" s="3"/>
    </row>
    <row r="1490" spans="1:75">
      <c r="A1490" s="1" t="s">
        <v>75</v>
      </c>
      <c r="B1490" s="1" t="s">
        <v>25236</v>
      </c>
      <c r="C1490" s="1" t="s">
        <v>26455</v>
      </c>
      <c r="D1490" s="1" t="s">
        <v>22552</v>
      </c>
      <c r="E1490" s="1" t="s">
        <v>15067</v>
      </c>
      <c r="F1490" s="1" t="s">
        <v>16699</v>
      </c>
      <c r="G1490" s="1" t="s">
        <v>26456</v>
      </c>
      <c r="H1490" s="1" t="s">
        <v>26457</v>
      </c>
      <c r="I1490" s="1" t="s">
        <v>26458</v>
      </c>
      <c r="J1490" s="1">
        <v>9820871402</v>
      </c>
      <c r="K1490" s="1" t="s">
        <v>153</v>
      </c>
      <c r="L1490" s="1" t="s">
        <v>4377</v>
      </c>
      <c r="M1490" s="1" t="s">
        <v>86</v>
      </c>
      <c r="N1490" s="1" t="s">
        <v>618</v>
      </c>
      <c r="O1490" s="1" t="s">
        <v>26459</v>
      </c>
      <c r="P1490" s="1" t="s">
        <v>507</v>
      </c>
      <c r="Q1490" s="1" t="s">
        <v>26460</v>
      </c>
      <c r="R1490" s="1" t="s">
        <v>26461</v>
      </c>
      <c r="S1490" s="1">
        <v>9869261512</v>
      </c>
      <c r="T1490" s="1" t="s">
        <v>221</v>
      </c>
      <c r="U1490" s="1" t="s">
        <v>26462</v>
      </c>
      <c r="V1490" s="1">
        <v>9969232516</v>
      </c>
      <c r="W1490" s="1" t="s">
        <v>221</v>
      </c>
      <c r="X1490" s="1" t="s">
        <v>26463</v>
      </c>
      <c r="Y1490" s="1" t="s">
        <v>1882</v>
      </c>
      <c r="Z1490" s="1" t="s">
        <v>97</v>
      </c>
      <c r="AA1490" s="1" t="s">
        <v>26463</v>
      </c>
      <c r="AB1490" s="1" t="s">
        <v>1882</v>
      </c>
      <c r="AC1490" s="1" t="s">
        <v>97</v>
      </c>
      <c r="AD1490" s="1" t="s">
        <v>98</v>
      </c>
      <c r="AE1490" s="1" t="s">
        <v>98</v>
      </c>
      <c r="AF1490" s="1" t="s">
        <v>26464</v>
      </c>
      <c r="AG1490" s="1" t="s">
        <v>2438</v>
      </c>
      <c r="AH1490" s="1" t="s">
        <v>1213</v>
      </c>
      <c r="AI1490" s="1" t="s">
        <v>101</v>
      </c>
      <c r="AJ1490" s="1">
        <v>90.6</v>
      </c>
      <c r="AK1490" s="1"/>
      <c r="AL1490" s="1" t="s">
        <v>26465</v>
      </c>
      <c r="AM1490" s="1" t="s">
        <v>2438</v>
      </c>
      <c r="AN1490" s="1"/>
      <c r="AO1490" s="1" t="s">
        <v>166</v>
      </c>
      <c r="AP1490" s="1" t="s">
        <v>167</v>
      </c>
      <c r="AQ1490" s="1">
        <v>78.62</v>
      </c>
      <c r="AR1490" s="1"/>
      <c r="AS1490" s="1"/>
      <c r="AT1490" s="1"/>
      <c r="AU1490" s="1"/>
      <c r="AV1490" s="1"/>
      <c r="AW1490" s="1"/>
      <c r="AX1490" s="1"/>
      <c r="AY1490" s="1" t="s">
        <v>680</v>
      </c>
      <c r="AZ1490" s="1" t="s">
        <v>26466</v>
      </c>
      <c r="BA1490" s="1"/>
      <c r="BB1490" s="1"/>
      <c r="BC1490" s="1" t="s">
        <v>139</v>
      </c>
      <c r="BD1490" s="1" t="s">
        <v>845</v>
      </c>
      <c r="BE1490" s="1">
        <v>76.3</v>
      </c>
      <c r="BF1490" s="1">
        <v>8.69</v>
      </c>
      <c r="BG1490" s="1"/>
      <c r="BH1490" s="1"/>
      <c r="BI1490" s="1"/>
      <c r="BJ1490" s="1"/>
      <c r="BK1490" s="1"/>
      <c r="BL1490" s="1"/>
      <c r="BM1490" s="1"/>
      <c r="BN1490" s="1"/>
      <c r="BO1490" s="1" t="s">
        <v>26467</v>
      </c>
      <c r="BP1490" s="1" t="s">
        <v>26468</v>
      </c>
      <c r="BQ1490" s="1" t="s">
        <v>9405</v>
      </c>
      <c r="BR1490" s="1" t="s">
        <v>26469</v>
      </c>
      <c r="BS1490" s="1">
        <v>24</v>
      </c>
      <c r="BT1490" s="1"/>
      <c r="BU1490" s="1" t="str">
        <f>HYPERLINK("https://nconnect.nicmar.ac.in/storage/profile/ProfilePhoto_p2270076_527349.jpg","Download")</f>
        <v>0</v>
      </c>
      <c r="BV1490" s="3"/>
      <c r="BW1490" s="3"/>
    </row>
    <row r="1491" spans="1:75">
      <c r="A1491" s="1" t="s">
        <v>75</v>
      </c>
      <c r="B1491" s="1" t="s">
        <v>25236</v>
      </c>
      <c r="C1491" s="1" t="s">
        <v>26470</v>
      </c>
      <c r="D1491" s="1" t="s">
        <v>26471</v>
      </c>
      <c r="E1491" s="1"/>
      <c r="F1491" s="1" t="s">
        <v>26472</v>
      </c>
      <c r="G1491" s="1" t="s">
        <v>26473</v>
      </c>
      <c r="H1491" s="1" t="s">
        <v>26474</v>
      </c>
      <c r="I1491" s="1" t="s">
        <v>26475</v>
      </c>
      <c r="J1491" s="1">
        <v>9632075552</v>
      </c>
      <c r="K1491" s="1" t="s">
        <v>84</v>
      </c>
      <c r="L1491" s="1" t="s">
        <v>26476</v>
      </c>
      <c r="M1491" s="1" t="s">
        <v>86</v>
      </c>
      <c r="N1491" s="1" t="s">
        <v>3980</v>
      </c>
      <c r="O1491" s="1"/>
      <c r="P1491" s="1" t="s">
        <v>507</v>
      </c>
      <c r="Q1491" s="1" t="s">
        <v>26477</v>
      </c>
      <c r="R1491" s="1" t="s">
        <v>26478</v>
      </c>
      <c r="S1491" s="1">
        <v>9902616373</v>
      </c>
      <c r="T1491" s="1" t="s">
        <v>26479</v>
      </c>
      <c r="U1491" s="1" t="s">
        <v>26480</v>
      </c>
      <c r="V1491" s="1">
        <v>8197190263</v>
      </c>
      <c r="W1491" s="1" t="s">
        <v>541</v>
      </c>
      <c r="X1491" s="1" t="s">
        <v>26481</v>
      </c>
      <c r="Y1491" s="1" t="s">
        <v>15488</v>
      </c>
      <c r="Z1491" s="1" t="s">
        <v>1210</v>
      </c>
      <c r="AA1491" s="1" t="s">
        <v>26481</v>
      </c>
      <c r="AB1491" s="1" t="s">
        <v>15488</v>
      </c>
      <c r="AC1491" s="1" t="s">
        <v>1210</v>
      </c>
      <c r="AD1491" s="1" t="s">
        <v>98</v>
      </c>
      <c r="AE1491" s="1" t="s">
        <v>98</v>
      </c>
      <c r="AF1491" s="1" t="s">
        <v>26482</v>
      </c>
      <c r="AG1491" s="1" t="s">
        <v>26483</v>
      </c>
      <c r="AH1491" s="1" t="s">
        <v>133</v>
      </c>
      <c r="AI1491" s="1" t="s">
        <v>3421</v>
      </c>
      <c r="AJ1491" s="1">
        <v>82.4</v>
      </c>
      <c r="AK1491" s="1">
        <v>8.24</v>
      </c>
      <c r="AL1491" s="1" t="s">
        <v>26484</v>
      </c>
      <c r="AM1491" s="1" t="s">
        <v>12550</v>
      </c>
      <c r="AN1491" s="1"/>
      <c r="AO1491" s="1" t="s">
        <v>804</v>
      </c>
      <c r="AP1491" s="1" t="s">
        <v>102</v>
      </c>
      <c r="AQ1491" s="1">
        <v>80.66</v>
      </c>
      <c r="AR1491" s="1">
        <v>8.06</v>
      </c>
      <c r="AS1491" s="1"/>
      <c r="AT1491" s="1"/>
      <c r="AU1491" s="1"/>
      <c r="AV1491" s="1"/>
      <c r="AW1491" s="1"/>
      <c r="AX1491" s="1"/>
      <c r="AY1491" s="1" t="s">
        <v>1217</v>
      </c>
      <c r="AZ1491" s="1" t="s">
        <v>26485</v>
      </c>
      <c r="BA1491" s="1"/>
      <c r="BB1491" s="1"/>
      <c r="BC1491" s="1" t="s">
        <v>105</v>
      </c>
      <c r="BD1491" s="1" t="s">
        <v>315</v>
      </c>
      <c r="BE1491" s="1">
        <v>67.2</v>
      </c>
      <c r="BF1491" s="1">
        <v>6.72</v>
      </c>
      <c r="BG1491" s="1"/>
      <c r="BH1491" s="1"/>
      <c r="BI1491" s="1"/>
      <c r="BJ1491" s="1"/>
      <c r="BK1491" s="1"/>
      <c r="BL1491" s="1"/>
      <c r="BM1491" s="1"/>
      <c r="BN1491" s="1"/>
      <c r="BO1491" s="1" t="s">
        <v>26486</v>
      </c>
      <c r="BP1491" s="1" t="s">
        <v>26487</v>
      </c>
      <c r="BQ1491" s="1" t="s">
        <v>143</v>
      </c>
      <c r="BR1491" s="1" t="s">
        <v>26488</v>
      </c>
      <c r="BS1491" s="1">
        <v>12</v>
      </c>
      <c r="BT1491" s="1"/>
      <c r="BU1491" s="1" t="str">
        <f>HYPERLINK("https://nconnect.nicmar.ac.in/storage/profile/ProfilePhoto_p2270077_619732.jpg","Download")</f>
        <v>0</v>
      </c>
      <c r="BV1491" s="3"/>
      <c r="BW1491" s="3"/>
    </row>
    <row r="1492" spans="1:75">
      <c r="A1492" s="1" t="s">
        <v>75</v>
      </c>
      <c r="B1492" s="1" t="s">
        <v>25236</v>
      </c>
      <c r="C1492" s="1" t="s">
        <v>26489</v>
      </c>
      <c r="D1492" s="1" t="s">
        <v>26490</v>
      </c>
      <c r="E1492" s="1" t="s">
        <v>2098</v>
      </c>
      <c r="F1492" s="1" t="s">
        <v>1179</v>
      </c>
      <c r="G1492" s="1" t="s">
        <v>26491</v>
      </c>
      <c r="H1492" s="1" t="s">
        <v>26492</v>
      </c>
      <c r="I1492" s="1" t="s">
        <v>26493</v>
      </c>
      <c r="J1492" s="1">
        <v>8379096777</v>
      </c>
      <c r="K1492" s="1" t="s">
        <v>84</v>
      </c>
      <c r="L1492" s="1" t="s">
        <v>26494</v>
      </c>
      <c r="M1492" s="1" t="s">
        <v>86</v>
      </c>
      <c r="N1492" s="1" t="s">
        <v>3691</v>
      </c>
      <c r="O1492" s="1" t="s">
        <v>26495</v>
      </c>
      <c r="P1492" s="1"/>
      <c r="Q1492" s="1" t="s">
        <v>26496</v>
      </c>
      <c r="R1492" s="1" t="s">
        <v>26497</v>
      </c>
      <c r="S1492" s="1">
        <v>9822262122</v>
      </c>
      <c r="T1492" s="1" t="s">
        <v>13258</v>
      </c>
      <c r="U1492" s="1" t="s">
        <v>26498</v>
      </c>
      <c r="V1492" s="1">
        <v>7721996777</v>
      </c>
      <c r="W1492" s="1" t="s">
        <v>161</v>
      </c>
      <c r="X1492" s="1" t="s">
        <v>26499</v>
      </c>
      <c r="Y1492" s="1" t="s">
        <v>1989</v>
      </c>
      <c r="Z1492" s="1" t="s">
        <v>97</v>
      </c>
      <c r="AA1492" s="1" t="s">
        <v>26499</v>
      </c>
      <c r="AB1492" s="1" t="s">
        <v>1989</v>
      </c>
      <c r="AC1492" s="1" t="s">
        <v>97</v>
      </c>
      <c r="AD1492" s="1" t="s">
        <v>98</v>
      </c>
      <c r="AE1492" s="1" t="s">
        <v>98</v>
      </c>
      <c r="AF1492" s="1" t="s">
        <v>26500</v>
      </c>
      <c r="AG1492" s="1" t="s">
        <v>3658</v>
      </c>
      <c r="AH1492" s="1" t="s">
        <v>3794</v>
      </c>
      <c r="AI1492" s="1" t="s">
        <v>102</v>
      </c>
      <c r="AJ1492" s="1">
        <v>71.2</v>
      </c>
      <c r="AK1492" s="1"/>
      <c r="AL1492" s="1"/>
      <c r="AM1492" s="1"/>
      <c r="AN1492" s="1"/>
      <c r="AO1492" s="1"/>
      <c r="AP1492" s="1"/>
      <c r="AQ1492" s="1"/>
      <c r="AR1492" s="1"/>
      <c r="AS1492" s="1" t="s">
        <v>439</v>
      </c>
      <c r="AT1492" s="1" t="s">
        <v>11233</v>
      </c>
      <c r="AU1492" s="1" t="s">
        <v>342</v>
      </c>
      <c r="AV1492" s="1" t="s">
        <v>171</v>
      </c>
      <c r="AW1492" s="1">
        <v>68.24</v>
      </c>
      <c r="AX1492" s="1"/>
      <c r="AY1492" s="1" t="s">
        <v>1038</v>
      </c>
      <c r="AZ1492" s="1" t="s">
        <v>26501</v>
      </c>
      <c r="BA1492" s="1"/>
      <c r="BB1492" s="1"/>
      <c r="BC1492" s="1" t="s">
        <v>174</v>
      </c>
      <c r="BD1492" s="1" t="s">
        <v>521</v>
      </c>
      <c r="BE1492" s="1">
        <v>76.28</v>
      </c>
      <c r="BF1492" s="1">
        <v>8.03</v>
      </c>
      <c r="BG1492" s="1"/>
      <c r="BH1492" s="1"/>
      <c r="BI1492" s="1"/>
      <c r="BJ1492" s="1"/>
      <c r="BK1492" s="1"/>
      <c r="BL1492" s="1"/>
      <c r="BM1492" s="1"/>
      <c r="BN1492" s="1"/>
      <c r="BO1492" s="1" t="s">
        <v>26502</v>
      </c>
      <c r="BP1492" s="1"/>
      <c r="BQ1492" s="1"/>
      <c r="BR1492" s="1" t="s">
        <v>26503</v>
      </c>
      <c r="BS1492" s="1">
        <v>19</v>
      </c>
      <c r="BT1492" s="1"/>
      <c r="BU1492" s="1" t="str">
        <f>HYPERLINK("https://nconnect.nicmar.ac.in/storage/profile/ProfilePhoto_p2270078_968573.jpg","Download")</f>
        <v>0</v>
      </c>
      <c r="BV1492" s="3"/>
      <c r="BW1492" s="3"/>
    </row>
    <row r="1493" spans="1:75">
      <c r="A1493" s="1" t="s">
        <v>75</v>
      </c>
      <c r="B1493" s="1" t="s">
        <v>25236</v>
      </c>
      <c r="C1493" s="1" t="s">
        <v>26504</v>
      </c>
      <c r="D1493" s="1" t="s">
        <v>24541</v>
      </c>
      <c r="E1493" s="1" t="s">
        <v>26505</v>
      </c>
      <c r="F1493" s="1" t="s">
        <v>26506</v>
      </c>
      <c r="G1493" s="1" t="s">
        <v>26507</v>
      </c>
      <c r="H1493" s="1" t="s">
        <v>26508</v>
      </c>
      <c r="I1493" s="1" t="s">
        <v>26509</v>
      </c>
      <c r="J1493" s="1">
        <v>9158198934</v>
      </c>
      <c r="K1493" s="1" t="s">
        <v>153</v>
      </c>
      <c r="L1493" s="1" t="s">
        <v>26510</v>
      </c>
      <c r="M1493" s="1" t="s">
        <v>86</v>
      </c>
      <c r="N1493" s="1" t="s">
        <v>26511</v>
      </c>
      <c r="O1493" s="1" t="s">
        <v>26512</v>
      </c>
      <c r="P1493" s="1" t="s">
        <v>455</v>
      </c>
      <c r="Q1493" s="1" t="s">
        <v>26513</v>
      </c>
      <c r="R1493" s="1" t="s">
        <v>26514</v>
      </c>
      <c r="S1493" s="1">
        <v>9822486801</v>
      </c>
      <c r="T1493" s="1" t="s">
        <v>926</v>
      </c>
      <c r="U1493" s="1" t="s">
        <v>26515</v>
      </c>
      <c r="V1493" s="1">
        <v>9765847747</v>
      </c>
      <c r="W1493" s="1" t="s">
        <v>94</v>
      </c>
      <c r="X1493" s="1" t="s">
        <v>26516</v>
      </c>
      <c r="Y1493" s="1" t="s">
        <v>6548</v>
      </c>
      <c r="Z1493" s="1" t="s">
        <v>6549</v>
      </c>
      <c r="AA1493" s="1" t="s">
        <v>26517</v>
      </c>
      <c r="AB1493" s="1" t="s">
        <v>196</v>
      </c>
      <c r="AC1493" s="1" t="s">
        <v>97</v>
      </c>
      <c r="AD1493" s="1" t="s">
        <v>98</v>
      </c>
      <c r="AE1493" s="1" t="s">
        <v>98</v>
      </c>
      <c r="AF1493" s="1" t="s">
        <v>26518</v>
      </c>
      <c r="AG1493" s="1" t="s">
        <v>312</v>
      </c>
      <c r="AH1493" s="1" t="s">
        <v>3770</v>
      </c>
      <c r="AI1493" s="1" t="s">
        <v>134</v>
      </c>
      <c r="AJ1493" s="1">
        <v>95</v>
      </c>
      <c r="AK1493" s="1">
        <v>10</v>
      </c>
      <c r="AL1493" s="1" t="s">
        <v>26519</v>
      </c>
      <c r="AM1493" s="1" t="s">
        <v>26520</v>
      </c>
      <c r="AN1493" s="1"/>
      <c r="AO1493" s="1" t="s">
        <v>101</v>
      </c>
      <c r="AP1493" s="1" t="s">
        <v>136</v>
      </c>
      <c r="AQ1493" s="1">
        <v>73.8</v>
      </c>
      <c r="AR1493" s="1">
        <v>0</v>
      </c>
      <c r="AS1493" s="1"/>
      <c r="AT1493" s="1"/>
      <c r="AU1493" s="1"/>
      <c r="AV1493" s="1"/>
      <c r="AW1493" s="1"/>
      <c r="AX1493" s="1"/>
      <c r="AY1493" s="1" t="s">
        <v>11306</v>
      </c>
      <c r="AZ1493" s="1" t="s">
        <v>26521</v>
      </c>
      <c r="BA1493" s="1"/>
      <c r="BB1493" s="1"/>
      <c r="BC1493" s="1" t="s">
        <v>342</v>
      </c>
      <c r="BD1493" s="1" t="s">
        <v>549</v>
      </c>
      <c r="BE1493" s="1">
        <v>66.4</v>
      </c>
      <c r="BF1493" s="1">
        <v>6.64</v>
      </c>
      <c r="BG1493" s="1"/>
      <c r="BH1493" s="1"/>
      <c r="BI1493" s="1"/>
      <c r="BJ1493" s="1"/>
      <c r="BK1493" s="1"/>
      <c r="BL1493" s="1"/>
      <c r="BM1493" s="1"/>
      <c r="BN1493" s="1"/>
      <c r="BO1493" s="1" t="s">
        <v>26522</v>
      </c>
      <c r="BP1493" s="1" t="s">
        <v>26523</v>
      </c>
      <c r="BQ1493" s="1" t="s">
        <v>9405</v>
      </c>
      <c r="BR1493" s="1" t="s">
        <v>26524</v>
      </c>
      <c r="BS1493" s="1">
        <v>48</v>
      </c>
      <c r="BT1493" s="1"/>
      <c r="BU1493" s="1" t="str">
        <f>HYPERLINK("https://nconnect.nicmar.ac.in/storage/profile/ProfilePhoto_p2270079_439172.jpg","Download")</f>
        <v>0</v>
      </c>
      <c r="BV1493" s="3"/>
      <c r="BW1493" s="3"/>
    </row>
    <row r="1494" spans="1:75">
      <c r="A1494" s="1" t="s">
        <v>75</v>
      </c>
      <c r="B1494" s="1" t="s">
        <v>25236</v>
      </c>
      <c r="C1494" s="1" t="s">
        <v>26525</v>
      </c>
      <c r="D1494" s="1" t="s">
        <v>2829</v>
      </c>
      <c r="E1494" s="1" t="s">
        <v>26526</v>
      </c>
      <c r="F1494" s="1" t="s">
        <v>26527</v>
      </c>
      <c r="G1494" s="1" t="s">
        <v>26528</v>
      </c>
      <c r="H1494" s="1" t="s">
        <v>26529</v>
      </c>
      <c r="I1494" s="1" t="s">
        <v>26530</v>
      </c>
      <c r="J1494" s="1">
        <v>7847976450</v>
      </c>
      <c r="K1494" s="1" t="s">
        <v>84</v>
      </c>
      <c r="L1494" s="1" t="s">
        <v>26531</v>
      </c>
      <c r="M1494" s="1" t="s">
        <v>86</v>
      </c>
      <c r="N1494" s="1" t="s">
        <v>26532</v>
      </c>
      <c r="O1494" s="1" t="s">
        <v>26533</v>
      </c>
      <c r="P1494" s="1" t="s">
        <v>507</v>
      </c>
      <c r="Q1494" s="1" t="s">
        <v>26534</v>
      </c>
      <c r="R1494" s="1" t="s">
        <v>26526</v>
      </c>
      <c r="S1494" s="1">
        <v>7204151243</v>
      </c>
      <c r="T1494" s="1" t="s">
        <v>3788</v>
      </c>
      <c r="U1494" s="1" t="s">
        <v>26535</v>
      </c>
      <c r="V1494" s="1">
        <v>9480750600</v>
      </c>
      <c r="W1494" s="1" t="s">
        <v>127</v>
      </c>
      <c r="X1494" s="1" t="s">
        <v>26536</v>
      </c>
      <c r="Y1494" s="1" t="s">
        <v>1623</v>
      </c>
      <c r="Z1494" s="1" t="s">
        <v>1210</v>
      </c>
      <c r="AA1494" s="1" t="s">
        <v>26536</v>
      </c>
      <c r="AB1494" s="1" t="s">
        <v>1623</v>
      </c>
      <c r="AC1494" s="1" t="s">
        <v>1210</v>
      </c>
      <c r="AD1494" s="1" t="s">
        <v>98</v>
      </c>
      <c r="AE1494" s="1" t="s">
        <v>98</v>
      </c>
      <c r="AF1494" s="1" t="s">
        <v>26537</v>
      </c>
      <c r="AG1494" s="1" t="s">
        <v>26538</v>
      </c>
      <c r="AH1494" s="1" t="s">
        <v>133</v>
      </c>
      <c r="AI1494" s="1" t="s">
        <v>3421</v>
      </c>
      <c r="AJ1494" s="1">
        <v>67.04</v>
      </c>
      <c r="AK1494" s="1"/>
      <c r="AL1494" s="1" t="s">
        <v>26539</v>
      </c>
      <c r="AM1494" s="1" t="s">
        <v>26538</v>
      </c>
      <c r="AN1494" s="1"/>
      <c r="AO1494" s="1" t="s">
        <v>101</v>
      </c>
      <c r="AP1494" s="1" t="s">
        <v>102</v>
      </c>
      <c r="AQ1494" s="1">
        <v>70.33</v>
      </c>
      <c r="AR1494" s="1"/>
      <c r="AS1494" s="1"/>
      <c r="AT1494" s="1"/>
      <c r="AU1494" s="1"/>
      <c r="AV1494" s="1"/>
      <c r="AW1494" s="1"/>
      <c r="AX1494" s="1"/>
      <c r="AY1494" s="1" t="s">
        <v>26540</v>
      </c>
      <c r="AZ1494" s="1" t="s">
        <v>26541</v>
      </c>
      <c r="BA1494" s="1"/>
      <c r="BB1494" s="1"/>
      <c r="BC1494" s="1" t="s">
        <v>166</v>
      </c>
      <c r="BD1494" s="1" t="s">
        <v>547</v>
      </c>
      <c r="BE1494" s="1">
        <v>56</v>
      </c>
      <c r="BF1494" s="1">
        <v>6.35</v>
      </c>
      <c r="BG1494" s="1"/>
      <c r="BH1494" s="1"/>
      <c r="BI1494" s="1"/>
      <c r="BJ1494" s="1"/>
      <c r="BK1494" s="1"/>
      <c r="BL1494" s="1"/>
      <c r="BM1494" s="1"/>
      <c r="BN1494" s="1"/>
      <c r="BO1494" s="1" t="s">
        <v>26542</v>
      </c>
      <c r="BP1494" s="1" t="s">
        <v>26543</v>
      </c>
      <c r="BQ1494" s="1" t="s">
        <v>9111</v>
      </c>
      <c r="BR1494" s="1" t="s">
        <v>26544</v>
      </c>
      <c r="BS1494" s="1">
        <v>7</v>
      </c>
      <c r="BT1494" s="1"/>
      <c r="BU1494" s="1" t="str">
        <f>HYPERLINK("https://nconnect.nicmar.ac.in/storage/profile/ProfilePhoto_p2270080_965431.jpg","Download")</f>
        <v>0</v>
      </c>
      <c r="BV1494" s="3"/>
      <c r="BW1494" s="3"/>
    </row>
    <row r="1495" spans="1:75">
      <c r="A1495" s="1" t="s">
        <v>75</v>
      </c>
      <c r="B1495" s="1" t="s">
        <v>25236</v>
      </c>
      <c r="C1495" s="1" t="s">
        <v>26545</v>
      </c>
      <c r="D1495" s="1" t="s">
        <v>12637</v>
      </c>
      <c r="E1495" s="1"/>
      <c r="F1495" s="1" t="s">
        <v>26546</v>
      </c>
      <c r="G1495" s="1" t="s">
        <v>26547</v>
      </c>
      <c r="H1495" s="1" t="s">
        <v>26548</v>
      </c>
      <c r="I1495" s="1" t="s">
        <v>26549</v>
      </c>
      <c r="J1495" s="1">
        <v>9986290009</v>
      </c>
      <c r="K1495" s="1" t="s">
        <v>84</v>
      </c>
      <c r="L1495" s="1" t="s">
        <v>26550</v>
      </c>
      <c r="M1495" s="1" t="s">
        <v>86</v>
      </c>
      <c r="N1495" s="1" t="s">
        <v>3980</v>
      </c>
      <c r="O1495" s="1" t="s">
        <v>26551</v>
      </c>
      <c r="P1495" s="1" t="s">
        <v>455</v>
      </c>
      <c r="Q1495" s="1" t="s">
        <v>26552</v>
      </c>
      <c r="R1495" s="1" t="s">
        <v>26553</v>
      </c>
      <c r="S1495" s="1">
        <v>9742996776</v>
      </c>
      <c r="T1495" s="1" t="s">
        <v>18690</v>
      </c>
      <c r="U1495" s="1" t="s">
        <v>26554</v>
      </c>
      <c r="V1495" s="1">
        <v>9900251572</v>
      </c>
      <c r="W1495" s="1" t="s">
        <v>1678</v>
      </c>
      <c r="X1495" s="1" t="s">
        <v>26555</v>
      </c>
      <c r="Y1495" s="1" t="s">
        <v>4418</v>
      </c>
      <c r="Z1495" s="1" t="s">
        <v>1210</v>
      </c>
      <c r="AA1495" s="1" t="s">
        <v>26555</v>
      </c>
      <c r="AB1495" s="1" t="s">
        <v>4418</v>
      </c>
      <c r="AC1495" s="1" t="s">
        <v>1210</v>
      </c>
      <c r="AD1495" s="1" t="s">
        <v>98</v>
      </c>
      <c r="AE1495" s="1" t="s">
        <v>98</v>
      </c>
      <c r="AF1495" s="1" t="s">
        <v>26556</v>
      </c>
      <c r="AG1495" s="1" t="s">
        <v>26557</v>
      </c>
      <c r="AH1495" s="1" t="s">
        <v>1213</v>
      </c>
      <c r="AI1495" s="1" t="s">
        <v>135</v>
      </c>
      <c r="AJ1495" s="1">
        <v>75.33</v>
      </c>
      <c r="AK1495" s="1">
        <v>0</v>
      </c>
      <c r="AL1495" s="1" t="s">
        <v>26558</v>
      </c>
      <c r="AM1495" s="1" t="s">
        <v>26559</v>
      </c>
      <c r="AN1495" s="1"/>
      <c r="AO1495" s="1" t="s">
        <v>166</v>
      </c>
      <c r="AP1495" s="1" t="s">
        <v>1111</v>
      </c>
      <c r="AQ1495" s="1">
        <v>71.5</v>
      </c>
      <c r="AR1495" s="1">
        <v>0</v>
      </c>
      <c r="AS1495" s="1"/>
      <c r="AT1495" s="1"/>
      <c r="AU1495" s="1"/>
      <c r="AV1495" s="1"/>
      <c r="AW1495" s="1"/>
      <c r="AX1495" s="1"/>
      <c r="AY1495" s="1" t="s">
        <v>1217</v>
      </c>
      <c r="AZ1495" s="1" t="s">
        <v>26560</v>
      </c>
      <c r="BA1495" s="1"/>
      <c r="BB1495" s="1"/>
      <c r="BC1495" s="1" t="s">
        <v>139</v>
      </c>
      <c r="BD1495" s="1" t="s">
        <v>871</v>
      </c>
      <c r="BE1495" s="1">
        <v>52.6</v>
      </c>
      <c r="BF1495" s="1">
        <v>6.01</v>
      </c>
      <c r="BG1495" s="1"/>
      <c r="BH1495" s="1"/>
      <c r="BI1495" s="1"/>
      <c r="BJ1495" s="1"/>
      <c r="BK1495" s="1"/>
      <c r="BL1495" s="1"/>
      <c r="BM1495" s="1"/>
      <c r="BN1495" s="1"/>
      <c r="BO1495" s="1" t="s">
        <v>26561</v>
      </c>
      <c r="BP1495" s="1"/>
      <c r="BQ1495" s="1"/>
      <c r="BR1495" s="1" t="s">
        <v>26562</v>
      </c>
      <c r="BS1495" s="1">
        <v>7</v>
      </c>
      <c r="BT1495" s="1"/>
      <c r="BU1495" s="1" t="str">
        <f>HYPERLINK("https://nconnect.nicmar.ac.in/storage/profile/ProfilePhoto_p2270081_615284.jpg","Download")</f>
        <v>0</v>
      </c>
      <c r="BV1495" s="3"/>
      <c r="BW1495" s="3"/>
    </row>
    <row r="1496" spans="1:75">
      <c r="A1496" s="1" t="s">
        <v>75</v>
      </c>
      <c r="B1496" s="1" t="s">
        <v>25236</v>
      </c>
      <c r="C1496" s="1" t="s">
        <v>26563</v>
      </c>
      <c r="D1496" s="1" t="s">
        <v>1096</v>
      </c>
      <c r="E1496" s="1"/>
      <c r="F1496" s="1" t="s">
        <v>26564</v>
      </c>
      <c r="G1496" s="1" t="s">
        <v>26565</v>
      </c>
      <c r="H1496" s="1" t="s">
        <v>26566</v>
      </c>
      <c r="I1496" s="1" t="s">
        <v>26567</v>
      </c>
      <c r="J1496" s="1">
        <v>8073434793</v>
      </c>
      <c r="K1496" s="1" t="s">
        <v>84</v>
      </c>
      <c r="L1496" s="1" t="s">
        <v>26568</v>
      </c>
      <c r="M1496" s="1" t="s">
        <v>86</v>
      </c>
      <c r="N1496" s="1" t="s">
        <v>1203</v>
      </c>
      <c r="O1496" s="1" t="s">
        <v>26569</v>
      </c>
      <c r="P1496" s="1" t="s">
        <v>455</v>
      </c>
      <c r="Q1496" s="1" t="s">
        <v>26570</v>
      </c>
      <c r="R1496" s="1" t="s">
        <v>26571</v>
      </c>
      <c r="S1496" s="1">
        <v>9448268143</v>
      </c>
      <c r="T1496" s="1" t="s">
        <v>26572</v>
      </c>
      <c r="U1496" s="1" t="s">
        <v>26573</v>
      </c>
      <c r="V1496" s="1">
        <v>9900794776</v>
      </c>
      <c r="W1496" s="1" t="s">
        <v>541</v>
      </c>
      <c r="X1496" s="1" t="s">
        <v>26574</v>
      </c>
      <c r="Y1496" s="1" t="s">
        <v>26575</v>
      </c>
      <c r="Z1496" s="1" t="s">
        <v>1210</v>
      </c>
      <c r="AA1496" s="1" t="s">
        <v>26574</v>
      </c>
      <c r="AB1496" s="1" t="s">
        <v>26575</v>
      </c>
      <c r="AC1496" s="1" t="s">
        <v>1210</v>
      </c>
      <c r="AD1496" s="1" t="s">
        <v>98</v>
      </c>
      <c r="AE1496" s="1" t="s">
        <v>98</v>
      </c>
      <c r="AF1496" s="1" t="s">
        <v>26576</v>
      </c>
      <c r="AG1496" s="1" t="s">
        <v>727</v>
      </c>
      <c r="AH1496" s="1" t="s">
        <v>134</v>
      </c>
      <c r="AI1496" s="1" t="s">
        <v>1262</v>
      </c>
      <c r="AJ1496" s="1">
        <v>79.52</v>
      </c>
      <c r="AK1496" s="1">
        <v>7.95</v>
      </c>
      <c r="AL1496" s="1" t="s">
        <v>26577</v>
      </c>
      <c r="AM1496" s="1" t="s">
        <v>12550</v>
      </c>
      <c r="AN1496" s="1"/>
      <c r="AO1496" s="1" t="s">
        <v>105</v>
      </c>
      <c r="AP1496" s="1" t="s">
        <v>627</v>
      </c>
      <c r="AQ1496" s="1">
        <v>86.66</v>
      </c>
      <c r="AR1496" s="1">
        <v>8.66</v>
      </c>
      <c r="AS1496" s="1"/>
      <c r="AT1496" s="1"/>
      <c r="AU1496" s="1"/>
      <c r="AV1496" s="1"/>
      <c r="AW1496" s="1"/>
      <c r="AX1496" s="1"/>
      <c r="AY1496" s="1" t="s">
        <v>1217</v>
      </c>
      <c r="AZ1496" s="1" t="s">
        <v>26578</v>
      </c>
      <c r="BA1496" s="1"/>
      <c r="BB1496" s="1"/>
      <c r="BC1496" s="1" t="s">
        <v>139</v>
      </c>
      <c r="BD1496" s="1" t="s">
        <v>178</v>
      </c>
      <c r="BE1496" s="1">
        <v>79.3</v>
      </c>
      <c r="BF1496" s="1">
        <v>8.68</v>
      </c>
      <c r="BG1496" s="1"/>
      <c r="BH1496" s="1"/>
      <c r="BI1496" s="1"/>
      <c r="BJ1496" s="1"/>
      <c r="BK1496" s="1"/>
      <c r="BL1496" s="1"/>
      <c r="BM1496" s="1"/>
      <c r="BN1496" s="1"/>
      <c r="BO1496" s="1" t="s">
        <v>26579</v>
      </c>
      <c r="BP1496" s="1" t="s">
        <v>26580</v>
      </c>
      <c r="BQ1496" s="1" t="s">
        <v>4149</v>
      </c>
      <c r="BR1496" s="1" t="s">
        <v>26581</v>
      </c>
      <c r="BS1496" s="1">
        <v>7</v>
      </c>
      <c r="BT1496" s="1"/>
      <c r="BU1496" s="1" t="str">
        <f>HYPERLINK("https://nconnect.nicmar.ac.in/storage/profile/ProfilePhoto_p2270082_453178.jpg","Download")</f>
        <v>0</v>
      </c>
      <c r="BV1496" s="3"/>
      <c r="BW1496" s="3"/>
    </row>
    <row r="1497" spans="1:75">
      <c r="A1497" s="1" t="s">
        <v>75</v>
      </c>
      <c r="B1497" s="1" t="s">
        <v>25236</v>
      </c>
      <c r="C1497" s="1" t="s">
        <v>26582</v>
      </c>
      <c r="D1497" s="1" t="s">
        <v>26583</v>
      </c>
      <c r="E1497" s="1"/>
      <c r="F1497" s="1" t="s">
        <v>1997</v>
      </c>
      <c r="G1497" s="1" t="s">
        <v>26584</v>
      </c>
      <c r="H1497" s="1" t="s">
        <v>26585</v>
      </c>
      <c r="I1497" s="1" t="s">
        <v>26586</v>
      </c>
      <c r="J1497" s="1">
        <v>8903061426</v>
      </c>
      <c r="K1497" s="1" t="s">
        <v>84</v>
      </c>
      <c r="L1497" s="1" t="s">
        <v>26587</v>
      </c>
      <c r="M1497" s="1" t="s">
        <v>86</v>
      </c>
      <c r="N1497" s="1" t="s">
        <v>18015</v>
      </c>
      <c r="O1497" s="1" t="s">
        <v>26588</v>
      </c>
      <c r="P1497" s="1" t="s">
        <v>507</v>
      </c>
      <c r="Q1497" s="1" t="s">
        <v>26589</v>
      </c>
      <c r="R1497" s="1" t="s">
        <v>26590</v>
      </c>
      <c r="S1497" s="1">
        <v>9094747427</v>
      </c>
      <c r="T1497" s="1" t="s">
        <v>839</v>
      </c>
      <c r="U1497" s="1" t="s">
        <v>26591</v>
      </c>
      <c r="V1497" s="1">
        <v>7200947426</v>
      </c>
      <c r="W1497" s="1" t="s">
        <v>94</v>
      </c>
      <c r="X1497" s="1" t="s">
        <v>26592</v>
      </c>
      <c r="Y1497" s="1" t="s">
        <v>1498</v>
      </c>
      <c r="Z1497" s="1" t="s">
        <v>570</v>
      </c>
      <c r="AA1497" s="1" t="s">
        <v>26593</v>
      </c>
      <c r="AB1497" s="1" t="s">
        <v>196</v>
      </c>
      <c r="AC1497" s="1" t="s">
        <v>97</v>
      </c>
      <c r="AD1497" s="1" t="s">
        <v>98</v>
      </c>
      <c r="AE1497" s="1" t="s">
        <v>98</v>
      </c>
      <c r="AF1497" s="1" t="s">
        <v>26594</v>
      </c>
      <c r="AG1497" s="1" t="s">
        <v>26595</v>
      </c>
      <c r="AH1497" s="1" t="s">
        <v>254</v>
      </c>
      <c r="AI1497" s="1" t="s">
        <v>1457</v>
      </c>
      <c r="AJ1497" s="1">
        <v>95.2</v>
      </c>
      <c r="AK1497" s="1"/>
      <c r="AL1497" s="1" t="s">
        <v>26594</v>
      </c>
      <c r="AM1497" s="1" t="s">
        <v>26595</v>
      </c>
      <c r="AN1497" s="1"/>
      <c r="AO1497" s="1" t="s">
        <v>135</v>
      </c>
      <c r="AP1497" s="1" t="s">
        <v>102</v>
      </c>
      <c r="AQ1497" s="1">
        <v>92.83</v>
      </c>
      <c r="AR1497" s="1"/>
      <c r="AS1497" s="1"/>
      <c r="AT1497" s="1"/>
      <c r="AU1497" s="1"/>
      <c r="AV1497" s="1"/>
      <c r="AW1497" s="1"/>
      <c r="AX1497" s="1"/>
      <c r="AY1497" s="1" t="s">
        <v>576</v>
      </c>
      <c r="AZ1497" s="1" t="s">
        <v>26596</v>
      </c>
      <c r="BA1497" s="1"/>
      <c r="BB1497" s="1"/>
      <c r="BC1497" s="1" t="s">
        <v>105</v>
      </c>
      <c r="BD1497" s="1" t="s">
        <v>547</v>
      </c>
      <c r="BE1497" s="1">
        <v>92.9</v>
      </c>
      <c r="BF1497" s="1">
        <v>9.29</v>
      </c>
      <c r="BG1497" s="1"/>
      <c r="BH1497" s="1"/>
      <c r="BI1497" s="1"/>
      <c r="BJ1497" s="1"/>
      <c r="BK1497" s="1"/>
      <c r="BL1497" s="1"/>
      <c r="BM1497" s="1"/>
      <c r="BN1497" s="1"/>
      <c r="BO1497" s="1" t="s">
        <v>26597</v>
      </c>
      <c r="BP1497" s="1" t="s">
        <v>26598</v>
      </c>
      <c r="BQ1497" s="1" t="s">
        <v>4552</v>
      </c>
      <c r="BR1497" s="1" t="s">
        <v>26599</v>
      </c>
      <c r="BS1497" s="1">
        <v>9</v>
      </c>
      <c r="BT1497" s="1"/>
      <c r="BU1497" s="1" t="str">
        <f>HYPERLINK("https://nconnect.nicmar.ac.in/storage/profile/ProfilePhoto_p2270083_514382.jpg","Download")</f>
        <v>0</v>
      </c>
      <c r="BV1497" s="3"/>
      <c r="BW1497" s="3"/>
    </row>
    <row r="1498" spans="1:75">
      <c r="A1498" s="1" t="s">
        <v>75</v>
      </c>
      <c r="B1498" s="1" t="s">
        <v>25236</v>
      </c>
      <c r="C1498" s="1" t="s">
        <v>26600</v>
      </c>
      <c r="D1498" s="1" t="s">
        <v>5752</v>
      </c>
      <c r="E1498" s="1" t="s">
        <v>500</v>
      </c>
      <c r="F1498" s="1" t="s">
        <v>26601</v>
      </c>
      <c r="G1498" s="1" t="s">
        <v>26602</v>
      </c>
      <c r="H1498" s="1" t="s">
        <v>26603</v>
      </c>
      <c r="I1498" s="1" t="s">
        <v>26604</v>
      </c>
      <c r="J1498" s="1">
        <v>8104247490</v>
      </c>
      <c r="K1498" s="1" t="s">
        <v>84</v>
      </c>
      <c r="L1498" s="1" t="s">
        <v>26605</v>
      </c>
      <c r="M1498" s="1" t="s">
        <v>86</v>
      </c>
      <c r="N1498" s="1" t="s">
        <v>8520</v>
      </c>
      <c r="O1498" s="1" t="s">
        <v>26606</v>
      </c>
      <c r="P1498" s="1" t="s">
        <v>455</v>
      </c>
      <c r="Q1498" s="1" t="s">
        <v>26607</v>
      </c>
      <c r="R1498" s="1" t="s">
        <v>26608</v>
      </c>
      <c r="S1498" s="1">
        <v>9820565338</v>
      </c>
      <c r="T1498" s="1" t="s">
        <v>4486</v>
      </c>
      <c r="U1498" s="1" t="s">
        <v>26609</v>
      </c>
      <c r="V1498" s="1">
        <v>9819865337</v>
      </c>
      <c r="W1498" s="1" t="s">
        <v>26610</v>
      </c>
      <c r="X1498" s="1" t="s">
        <v>26611</v>
      </c>
      <c r="Y1498" s="1" t="s">
        <v>1012</v>
      </c>
      <c r="Z1498" s="1" t="s">
        <v>97</v>
      </c>
      <c r="AA1498" s="1" t="s">
        <v>26611</v>
      </c>
      <c r="AB1498" s="1" t="s">
        <v>1012</v>
      </c>
      <c r="AC1498" s="1" t="s">
        <v>97</v>
      </c>
      <c r="AD1498" s="1" t="s">
        <v>98</v>
      </c>
      <c r="AE1498" s="1" t="s">
        <v>98</v>
      </c>
      <c r="AF1498" s="1" t="s">
        <v>26612</v>
      </c>
      <c r="AG1498" s="1" t="s">
        <v>996</v>
      </c>
      <c r="AH1498" s="1" t="s">
        <v>166</v>
      </c>
      <c r="AI1498" s="1" t="s">
        <v>1111</v>
      </c>
      <c r="AJ1498" s="1">
        <v>89.2</v>
      </c>
      <c r="AK1498" s="1">
        <v>0</v>
      </c>
      <c r="AL1498" s="1" t="s">
        <v>26613</v>
      </c>
      <c r="AM1498" s="1" t="s">
        <v>996</v>
      </c>
      <c r="AN1498" s="1"/>
      <c r="AO1498" s="1" t="s">
        <v>167</v>
      </c>
      <c r="AP1498" s="1" t="s">
        <v>170</v>
      </c>
      <c r="AQ1498" s="1">
        <v>76.92</v>
      </c>
      <c r="AR1498" s="1">
        <v>0</v>
      </c>
      <c r="AS1498" s="1"/>
      <c r="AT1498" s="1"/>
      <c r="AU1498" s="1"/>
      <c r="AV1498" s="1"/>
      <c r="AW1498" s="1"/>
      <c r="AX1498" s="1"/>
      <c r="AY1498" s="1" t="s">
        <v>258</v>
      </c>
      <c r="AZ1498" s="1" t="s">
        <v>26614</v>
      </c>
      <c r="BA1498" s="1"/>
      <c r="BB1498" s="1"/>
      <c r="BC1498" s="1" t="s">
        <v>106</v>
      </c>
      <c r="BD1498" s="1" t="s">
        <v>632</v>
      </c>
      <c r="BE1498" s="1">
        <v>75.95</v>
      </c>
      <c r="BF1498" s="1">
        <v>8.55</v>
      </c>
      <c r="BG1498" s="1"/>
      <c r="BH1498" s="1"/>
      <c r="BI1498" s="1"/>
      <c r="BJ1498" s="1"/>
      <c r="BK1498" s="1"/>
      <c r="BL1498" s="1"/>
      <c r="BM1498" s="1"/>
      <c r="BN1498" s="1"/>
      <c r="BO1498" s="1" t="s">
        <v>26615</v>
      </c>
      <c r="BP1498" s="1"/>
      <c r="BQ1498" s="1"/>
      <c r="BR1498" s="1" t="s">
        <v>26616</v>
      </c>
      <c r="BS1498" s="1">
        <v>7</v>
      </c>
      <c r="BT1498" s="1"/>
      <c r="BU1498" s="1" t="str">
        <f>HYPERLINK("https://nconnect.nicmar.ac.in/storage/profile/ProfilePhoto_p2270084_732459.jpg","Download")</f>
        <v>0</v>
      </c>
      <c r="BV1498" s="3"/>
      <c r="BW1498" s="3"/>
    </row>
    <row r="1499" spans="1:75">
      <c r="A1499" s="1" t="s">
        <v>75</v>
      </c>
      <c r="B1499" s="1" t="s">
        <v>25236</v>
      </c>
      <c r="C1499" s="1" t="s">
        <v>26617</v>
      </c>
      <c r="D1499" s="1" t="s">
        <v>2829</v>
      </c>
      <c r="E1499" s="1" t="s">
        <v>5753</v>
      </c>
      <c r="F1499" s="1" t="s">
        <v>26618</v>
      </c>
      <c r="G1499" s="1" t="s">
        <v>26619</v>
      </c>
      <c r="H1499" s="1" t="s">
        <v>26620</v>
      </c>
      <c r="I1499" s="1" t="s">
        <v>26621</v>
      </c>
      <c r="J1499" s="1">
        <v>9769314814</v>
      </c>
      <c r="K1499" s="1" t="s">
        <v>84</v>
      </c>
      <c r="L1499" s="1" t="s">
        <v>8419</v>
      </c>
      <c r="M1499" s="1" t="s">
        <v>86</v>
      </c>
      <c r="N1499" s="1" t="s">
        <v>618</v>
      </c>
      <c r="O1499" s="1" t="s">
        <v>26622</v>
      </c>
      <c r="P1499" s="1" t="s">
        <v>455</v>
      </c>
      <c r="Q1499" s="1" t="s">
        <v>26623</v>
      </c>
      <c r="R1499" s="1" t="s">
        <v>5753</v>
      </c>
      <c r="S1499" s="1">
        <v>9004401667</v>
      </c>
      <c r="T1499" s="1" t="s">
        <v>926</v>
      </c>
      <c r="U1499" s="1" t="s">
        <v>7927</v>
      </c>
      <c r="V1499" s="1">
        <v>9869015906</v>
      </c>
      <c r="W1499" s="1" t="s">
        <v>94</v>
      </c>
      <c r="X1499" s="1" t="s">
        <v>26624</v>
      </c>
      <c r="Y1499" s="1" t="s">
        <v>2259</v>
      </c>
      <c r="Z1499" s="1" t="s">
        <v>97</v>
      </c>
      <c r="AA1499" s="1" t="s">
        <v>26625</v>
      </c>
      <c r="AB1499" s="1" t="s">
        <v>196</v>
      </c>
      <c r="AC1499" s="1" t="s">
        <v>97</v>
      </c>
      <c r="AD1499" s="1" t="s">
        <v>98</v>
      </c>
      <c r="AE1499" s="1" t="s">
        <v>98</v>
      </c>
      <c r="AF1499" s="1" t="s">
        <v>26626</v>
      </c>
      <c r="AG1499" s="1" t="s">
        <v>26627</v>
      </c>
      <c r="AH1499" s="1" t="s">
        <v>166</v>
      </c>
      <c r="AI1499" s="1" t="s">
        <v>167</v>
      </c>
      <c r="AJ1499" s="1">
        <v>92.8</v>
      </c>
      <c r="AK1499" s="1"/>
      <c r="AL1499" s="1" t="s">
        <v>26628</v>
      </c>
      <c r="AM1499" s="1" t="s">
        <v>26627</v>
      </c>
      <c r="AN1499" s="1"/>
      <c r="AO1499" s="1" t="s">
        <v>388</v>
      </c>
      <c r="AP1499" s="1" t="s">
        <v>171</v>
      </c>
      <c r="AQ1499" s="1">
        <v>78.46</v>
      </c>
      <c r="AR1499" s="1"/>
      <c r="AS1499" s="1"/>
      <c r="AT1499" s="1"/>
      <c r="AU1499" s="1"/>
      <c r="AV1499" s="1"/>
      <c r="AW1499" s="1"/>
      <c r="AX1499" s="1"/>
      <c r="AY1499" s="1" t="s">
        <v>258</v>
      </c>
      <c r="AZ1499" s="1" t="s">
        <v>3660</v>
      </c>
      <c r="BA1499" s="1"/>
      <c r="BB1499" s="1"/>
      <c r="BC1499" s="1" t="s">
        <v>1065</v>
      </c>
      <c r="BD1499" s="1" t="s">
        <v>289</v>
      </c>
      <c r="BE1499" s="1">
        <v>78.52</v>
      </c>
      <c r="BF1499" s="1">
        <v>8.83</v>
      </c>
      <c r="BG1499" s="1"/>
      <c r="BH1499" s="1"/>
      <c r="BI1499" s="1"/>
      <c r="BJ1499" s="1"/>
      <c r="BK1499" s="1"/>
      <c r="BL1499" s="1"/>
      <c r="BM1499" s="1"/>
      <c r="BN1499" s="1"/>
      <c r="BO1499" s="1" t="s">
        <v>1114</v>
      </c>
      <c r="BP1499" s="1"/>
      <c r="BQ1499" s="1"/>
      <c r="BR1499" s="1" t="s">
        <v>26629</v>
      </c>
      <c r="BS1499" s="1">
        <v>64</v>
      </c>
      <c r="BT1499" s="1"/>
      <c r="BU1499" s="1" t="str">
        <f>HYPERLINK("https://nconnect.nicmar.ac.in/storage/profile/ProfilePhoto_p2270085_561372.jpg","Download")</f>
        <v>0</v>
      </c>
      <c r="BV1499" s="3"/>
      <c r="BW1499" s="3"/>
    </row>
    <row r="1500" spans="1:75">
      <c r="A1500" s="1" t="s">
        <v>75</v>
      </c>
      <c r="B1500" s="1" t="s">
        <v>25236</v>
      </c>
      <c r="C1500" s="1" t="s">
        <v>26630</v>
      </c>
      <c r="D1500" s="1" t="s">
        <v>116</v>
      </c>
      <c r="E1500" s="1"/>
      <c r="F1500" s="1" t="s">
        <v>26631</v>
      </c>
      <c r="G1500" s="1" t="s">
        <v>26632</v>
      </c>
      <c r="H1500" s="1" t="s">
        <v>26633</v>
      </c>
      <c r="I1500" s="1" t="s">
        <v>26634</v>
      </c>
      <c r="J1500" s="1">
        <v>8056624619</v>
      </c>
      <c r="K1500" s="1" t="s">
        <v>84</v>
      </c>
      <c r="L1500" s="1" t="s">
        <v>25620</v>
      </c>
      <c r="M1500" s="1" t="s">
        <v>86</v>
      </c>
      <c r="N1500" s="1" t="s">
        <v>564</v>
      </c>
      <c r="O1500" s="1" t="s">
        <v>26635</v>
      </c>
      <c r="P1500" s="1" t="s">
        <v>455</v>
      </c>
      <c r="Q1500" s="1" t="s">
        <v>26636</v>
      </c>
      <c r="R1500" s="1" t="s">
        <v>26637</v>
      </c>
      <c r="S1500" s="1">
        <v>9842249078</v>
      </c>
      <c r="T1500" s="1" t="s">
        <v>839</v>
      </c>
      <c r="U1500" s="1" t="s">
        <v>26638</v>
      </c>
      <c r="V1500" s="1">
        <v>9842849078</v>
      </c>
      <c r="W1500" s="1" t="s">
        <v>541</v>
      </c>
      <c r="X1500" s="1" t="s">
        <v>26639</v>
      </c>
      <c r="Y1500" s="1" t="s">
        <v>2131</v>
      </c>
      <c r="Z1500" s="1" t="s">
        <v>570</v>
      </c>
      <c r="AA1500" s="1" t="s">
        <v>26639</v>
      </c>
      <c r="AB1500" s="1" t="s">
        <v>2131</v>
      </c>
      <c r="AC1500" s="1" t="s">
        <v>570</v>
      </c>
      <c r="AD1500" s="1" t="s">
        <v>98</v>
      </c>
      <c r="AE1500" s="1" t="s">
        <v>98</v>
      </c>
      <c r="AF1500" s="1" t="s">
        <v>26640</v>
      </c>
      <c r="AG1500" s="1" t="s">
        <v>26641</v>
      </c>
      <c r="AH1500" s="1" t="s">
        <v>101</v>
      </c>
      <c r="AI1500" s="1" t="s">
        <v>1110</v>
      </c>
      <c r="AJ1500" s="1">
        <v>91.2</v>
      </c>
      <c r="AK1500" s="1">
        <v>9.6</v>
      </c>
      <c r="AL1500" s="1" t="s">
        <v>26640</v>
      </c>
      <c r="AM1500" s="1" t="s">
        <v>26641</v>
      </c>
      <c r="AN1500" s="1"/>
      <c r="AO1500" s="1" t="s">
        <v>167</v>
      </c>
      <c r="AP1500" s="1" t="s">
        <v>704</v>
      </c>
      <c r="AQ1500" s="1">
        <v>88.8</v>
      </c>
      <c r="AR1500" s="1"/>
      <c r="AS1500" s="1"/>
      <c r="AT1500" s="1"/>
      <c r="AU1500" s="1"/>
      <c r="AV1500" s="1"/>
      <c r="AW1500" s="1"/>
      <c r="AX1500" s="1"/>
      <c r="AY1500" s="1" t="s">
        <v>576</v>
      </c>
      <c r="AZ1500" s="1" t="s">
        <v>26642</v>
      </c>
      <c r="BA1500" s="1"/>
      <c r="BB1500" s="1"/>
      <c r="BC1500" s="1" t="s">
        <v>230</v>
      </c>
      <c r="BD1500" s="1" t="s">
        <v>549</v>
      </c>
      <c r="BE1500" s="1">
        <v>87.1</v>
      </c>
      <c r="BF1500" s="1">
        <v>8.71</v>
      </c>
      <c r="BG1500" s="1"/>
      <c r="BH1500" s="1"/>
      <c r="BI1500" s="1"/>
      <c r="BJ1500" s="1"/>
      <c r="BK1500" s="1"/>
      <c r="BL1500" s="1"/>
      <c r="BM1500" s="1"/>
      <c r="BN1500" s="1"/>
      <c r="BO1500" s="1" t="s">
        <v>1114</v>
      </c>
      <c r="BP1500" s="1" t="s">
        <v>26643</v>
      </c>
      <c r="BQ1500" s="1" t="s">
        <v>1043</v>
      </c>
      <c r="BR1500" s="1" t="s">
        <v>26644</v>
      </c>
      <c r="BS1500" s="1">
        <v>20</v>
      </c>
      <c r="BT1500" s="1"/>
      <c r="BU1500" s="1" t="str">
        <f>HYPERLINK("https://nconnect.nicmar.ac.in/storage/profile/ProfilePhoto_p2270086_145369.jpg","Download")</f>
        <v>0</v>
      </c>
      <c r="BV1500" s="3"/>
      <c r="BW1500" s="3"/>
    </row>
    <row r="1501" spans="1:75">
      <c r="A1501" s="1" t="s">
        <v>75</v>
      </c>
      <c r="B1501" s="1" t="s">
        <v>25236</v>
      </c>
      <c r="C1501" s="1" t="s">
        <v>26645</v>
      </c>
      <c r="D1501" s="1" t="s">
        <v>26646</v>
      </c>
      <c r="E1501" s="1" t="s">
        <v>9631</v>
      </c>
      <c r="F1501" s="1" t="s">
        <v>26647</v>
      </c>
      <c r="G1501" s="1" t="s">
        <v>26648</v>
      </c>
      <c r="H1501" s="1" t="s">
        <v>26649</v>
      </c>
      <c r="I1501" s="1" t="s">
        <v>26650</v>
      </c>
      <c r="J1501" s="1">
        <v>7997137799</v>
      </c>
      <c r="K1501" s="1" t="s">
        <v>84</v>
      </c>
      <c r="L1501" s="1" t="s">
        <v>26651</v>
      </c>
      <c r="M1501" s="1" t="s">
        <v>86</v>
      </c>
      <c r="N1501" s="1" t="s">
        <v>17231</v>
      </c>
      <c r="O1501" s="1" t="s">
        <v>26652</v>
      </c>
      <c r="P1501" s="1" t="s">
        <v>455</v>
      </c>
      <c r="Q1501" s="1" t="s">
        <v>26653</v>
      </c>
      <c r="R1501" s="1" t="s">
        <v>26654</v>
      </c>
      <c r="S1501" s="1">
        <v>9866965559</v>
      </c>
      <c r="T1501" s="1" t="s">
        <v>596</v>
      </c>
      <c r="U1501" s="1" t="s">
        <v>26655</v>
      </c>
      <c r="V1501" s="1">
        <v>8885537788</v>
      </c>
      <c r="W1501" s="1" t="s">
        <v>278</v>
      </c>
      <c r="X1501" s="1" t="s">
        <v>26656</v>
      </c>
      <c r="Y1501" s="1" t="s">
        <v>1454</v>
      </c>
      <c r="Z1501" s="1" t="s">
        <v>281</v>
      </c>
      <c r="AA1501" s="1" t="s">
        <v>26656</v>
      </c>
      <c r="AB1501" s="1" t="s">
        <v>1454</v>
      </c>
      <c r="AC1501" s="1" t="s">
        <v>281</v>
      </c>
      <c r="AD1501" s="1" t="s">
        <v>98</v>
      </c>
      <c r="AE1501" s="1" t="s">
        <v>98</v>
      </c>
      <c r="AF1501" s="1" t="s">
        <v>26657</v>
      </c>
      <c r="AG1501" s="1" t="s">
        <v>26658</v>
      </c>
      <c r="AH1501" s="1" t="s">
        <v>1110</v>
      </c>
      <c r="AI1501" s="1" t="s">
        <v>627</v>
      </c>
      <c r="AJ1501" s="1">
        <v>82</v>
      </c>
      <c r="AK1501" s="1">
        <v>8.2</v>
      </c>
      <c r="AL1501" s="1" t="s">
        <v>1843</v>
      </c>
      <c r="AM1501" s="1" t="s">
        <v>1420</v>
      </c>
      <c r="AN1501" s="1"/>
      <c r="AO1501" s="1" t="s">
        <v>167</v>
      </c>
      <c r="AP1501" s="1" t="s">
        <v>106</v>
      </c>
      <c r="AQ1501" s="1">
        <v>80.4</v>
      </c>
      <c r="AR1501" s="1"/>
      <c r="AS1501" s="1"/>
      <c r="AT1501" s="1"/>
      <c r="AU1501" s="1"/>
      <c r="AV1501" s="1"/>
      <c r="AW1501" s="1"/>
      <c r="AX1501" s="1"/>
      <c r="AY1501" s="1" t="s">
        <v>2654</v>
      </c>
      <c r="AZ1501" s="1" t="s">
        <v>26659</v>
      </c>
      <c r="BA1501" s="1"/>
      <c r="BB1501" s="1"/>
      <c r="BC1501" s="1" t="s">
        <v>174</v>
      </c>
      <c r="BD1501" s="1" t="s">
        <v>289</v>
      </c>
      <c r="BE1501" s="1">
        <v>59.56</v>
      </c>
      <c r="BF1501" s="1">
        <v>6.7</v>
      </c>
      <c r="BG1501" s="1"/>
      <c r="BH1501" s="1"/>
      <c r="BI1501" s="1"/>
      <c r="BJ1501" s="1"/>
      <c r="BK1501" s="1"/>
      <c r="BL1501" s="1"/>
      <c r="BM1501" s="1"/>
      <c r="BN1501" s="1"/>
      <c r="BO1501" s="1" t="s">
        <v>26660</v>
      </c>
      <c r="BP1501" s="1"/>
      <c r="BQ1501" s="1"/>
      <c r="BR1501" s="1" t="s">
        <v>26661</v>
      </c>
      <c r="BS1501" s="1">
        <v>7</v>
      </c>
      <c r="BT1501" s="1"/>
      <c r="BU1501" s="1" t="str">
        <f>HYPERLINK("https://nconnect.nicmar.ac.in/storage/profile/ProfilePhoto_p2270250_286943.jpg","Download")</f>
        <v>0</v>
      </c>
      <c r="BV1501" s="3"/>
      <c r="BW1501" s="3"/>
    </row>
    <row r="1502" spans="1:75">
      <c r="A1502" s="1" t="s">
        <v>26662</v>
      </c>
      <c r="B1502" s="1" t="s">
        <v>76</v>
      </c>
      <c r="C1502" s="1" t="s">
        <v>26663</v>
      </c>
      <c r="D1502" s="1" t="s">
        <v>2829</v>
      </c>
      <c r="E1502" s="1" t="s">
        <v>2233</v>
      </c>
      <c r="F1502" s="1" t="s">
        <v>26664</v>
      </c>
      <c r="G1502" s="1" t="s">
        <v>26665</v>
      </c>
      <c r="H1502" s="1" t="s">
        <v>26666</v>
      </c>
      <c r="I1502" s="1" t="s">
        <v>26666</v>
      </c>
      <c r="J1502" s="1">
        <v>9607410688</v>
      </c>
      <c r="K1502" s="1" t="s">
        <v>84</v>
      </c>
      <c r="L1502" s="1" t="s">
        <v>26667</v>
      </c>
      <c r="M1502" s="1" t="s">
        <v>86</v>
      </c>
      <c r="N1502" s="1" t="s">
        <v>26668</v>
      </c>
      <c r="O1502" s="1" t="s">
        <v>157</v>
      </c>
      <c r="P1502" s="1" t="s">
        <v>219</v>
      </c>
      <c r="Q1502" s="1" t="s">
        <v>26669</v>
      </c>
      <c r="R1502" s="1" t="s">
        <v>26670</v>
      </c>
      <c r="S1502" s="1">
        <v>9405867527</v>
      </c>
      <c r="T1502" s="1" t="s">
        <v>382</v>
      </c>
      <c r="U1502" s="1" t="s">
        <v>8594</v>
      </c>
      <c r="V1502" s="1">
        <v>7038241116</v>
      </c>
      <c r="W1502" s="1" t="s">
        <v>161</v>
      </c>
      <c r="X1502" s="1" t="s">
        <v>26671</v>
      </c>
      <c r="Y1502" s="1" t="s">
        <v>196</v>
      </c>
      <c r="Z1502" s="1" t="s">
        <v>97</v>
      </c>
      <c r="AA1502" s="1" t="s">
        <v>26671</v>
      </c>
      <c r="AB1502" s="1" t="s">
        <v>196</v>
      </c>
      <c r="AC1502" s="1" t="s">
        <v>97</v>
      </c>
      <c r="AD1502" s="1" t="s">
        <v>98</v>
      </c>
      <c r="AE1502" s="1" t="s">
        <v>98</v>
      </c>
      <c r="AF1502" s="1" t="s">
        <v>26672</v>
      </c>
      <c r="AG1502" s="1" t="s">
        <v>629</v>
      </c>
      <c r="AH1502" s="1" t="s">
        <v>166</v>
      </c>
      <c r="AI1502" s="1" t="s">
        <v>1111</v>
      </c>
      <c r="AJ1502" s="1">
        <v>62.8</v>
      </c>
      <c r="AK1502" s="1"/>
      <c r="AL1502" s="1" t="s">
        <v>26672</v>
      </c>
      <c r="AM1502" s="1" t="s">
        <v>629</v>
      </c>
      <c r="AN1502" s="1"/>
      <c r="AO1502" s="1" t="s">
        <v>170</v>
      </c>
      <c r="AP1502" s="1" t="s">
        <v>1477</v>
      </c>
      <c r="AQ1502" s="1">
        <v>57.23</v>
      </c>
      <c r="AR1502" s="1"/>
      <c r="AS1502" s="1"/>
      <c r="AT1502" s="1"/>
      <c r="AU1502" s="1"/>
      <c r="AV1502" s="1"/>
      <c r="AW1502" s="1"/>
      <c r="AX1502" s="1"/>
      <c r="AY1502" s="1" t="s">
        <v>366</v>
      </c>
      <c r="AZ1502" s="1" t="s">
        <v>26673</v>
      </c>
      <c r="BA1502" s="1"/>
      <c r="BB1502" s="1"/>
      <c r="BC1502" s="1" t="s">
        <v>106</v>
      </c>
      <c r="BD1502" s="1" t="s">
        <v>179</v>
      </c>
      <c r="BE1502" s="1">
        <v>65.8</v>
      </c>
      <c r="BF1502" s="1">
        <v>7.33</v>
      </c>
      <c r="BG1502" s="1"/>
      <c r="BH1502" s="1"/>
      <c r="BI1502" s="1"/>
      <c r="BJ1502" s="1"/>
      <c r="BK1502" s="1"/>
      <c r="BL1502" s="1"/>
      <c r="BM1502" s="1"/>
      <c r="BN1502" s="1"/>
      <c r="BO1502" s="1" t="s">
        <v>26674</v>
      </c>
      <c r="BP1502" s="1"/>
      <c r="BQ1502" s="1"/>
      <c r="BR1502" s="1" t="s">
        <v>26675</v>
      </c>
      <c r="BS1502" s="1">
        <v>29</v>
      </c>
      <c r="BT1502" s="1" t="s">
        <v>26676</v>
      </c>
      <c r="BU1502" s="1" t="str">
        <f>HYPERLINK("https://nconnect.nicmar.ac.in/storage/profile/6a1eab79188f8.png","Download")</f>
        <v>0</v>
      </c>
      <c r="BV1502" s="3"/>
      <c r="BW1502" s="3"/>
    </row>
    <row r="1503" spans="1:75">
      <c r="A1503" s="1" t="s">
        <v>26662</v>
      </c>
      <c r="B1503" s="1" t="s">
        <v>76</v>
      </c>
      <c r="C1503" s="1" t="s">
        <v>26677</v>
      </c>
      <c r="D1503" s="1" t="s">
        <v>26678</v>
      </c>
      <c r="E1503" s="1" t="s">
        <v>3872</v>
      </c>
      <c r="F1503" s="1" t="s">
        <v>10368</v>
      </c>
      <c r="G1503" s="1" t="s">
        <v>26679</v>
      </c>
      <c r="H1503" s="1" t="s">
        <v>26680</v>
      </c>
      <c r="I1503" s="1" t="s">
        <v>26680</v>
      </c>
      <c r="J1503" s="1">
        <v>9284429255</v>
      </c>
      <c r="K1503" s="1" t="s">
        <v>153</v>
      </c>
      <c r="L1503" s="1" t="s">
        <v>26681</v>
      </c>
      <c r="M1503" s="1" t="s">
        <v>86</v>
      </c>
      <c r="N1503" s="1" t="s">
        <v>4263</v>
      </c>
      <c r="O1503" s="1" t="s">
        <v>88</v>
      </c>
      <c r="P1503" s="1" t="s">
        <v>219</v>
      </c>
      <c r="Q1503" s="1" t="s">
        <v>26682</v>
      </c>
      <c r="R1503" s="1" t="s">
        <v>26683</v>
      </c>
      <c r="S1503" s="1">
        <v>9552573223</v>
      </c>
      <c r="T1503" s="1" t="s">
        <v>4776</v>
      </c>
      <c r="U1503" s="1" t="s">
        <v>26684</v>
      </c>
      <c r="V1503" s="1">
        <v>9284980617</v>
      </c>
      <c r="W1503" s="1" t="s">
        <v>161</v>
      </c>
      <c r="X1503" s="1" t="s">
        <v>26685</v>
      </c>
      <c r="Y1503" s="1" t="s">
        <v>196</v>
      </c>
      <c r="Z1503" s="1" t="s">
        <v>97</v>
      </c>
      <c r="AA1503" s="1" t="s">
        <v>26685</v>
      </c>
      <c r="AB1503" s="1" t="s">
        <v>196</v>
      </c>
      <c r="AC1503" s="1" t="s">
        <v>97</v>
      </c>
      <c r="AD1503" s="1" t="s">
        <v>98</v>
      </c>
      <c r="AE1503" s="1" t="s">
        <v>98</v>
      </c>
      <c r="AF1503" s="1" t="s">
        <v>26686</v>
      </c>
      <c r="AG1503" s="1" t="s">
        <v>1968</v>
      </c>
      <c r="AH1503" s="1" t="s">
        <v>1214</v>
      </c>
      <c r="AI1503" s="1" t="s">
        <v>166</v>
      </c>
      <c r="AJ1503" s="1">
        <v>89.2</v>
      </c>
      <c r="AK1503" s="1">
        <v>9.38</v>
      </c>
      <c r="AL1503" s="1" t="s">
        <v>26687</v>
      </c>
      <c r="AM1503" s="1" t="s">
        <v>1968</v>
      </c>
      <c r="AN1503" s="1"/>
      <c r="AO1503" s="1" t="s">
        <v>284</v>
      </c>
      <c r="AP1503" s="1" t="s">
        <v>573</v>
      </c>
      <c r="AQ1503" s="1">
        <v>78.46</v>
      </c>
      <c r="AR1503" s="1">
        <v>8.25</v>
      </c>
      <c r="AS1503" s="1"/>
      <c r="AT1503" s="1"/>
      <c r="AU1503" s="1"/>
      <c r="AV1503" s="1"/>
      <c r="AW1503" s="1"/>
      <c r="AX1503" s="1"/>
      <c r="AY1503" s="1" t="s">
        <v>26688</v>
      </c>
      <c r="AZ1503" s="1" t="s">
        <v>366</v>
      </c>
      <c r="BA1503" s="1"/>
      <c r="BB1503" s="1"/>
      <c r="BC1503" s="1" t="s">
        <v>230</v>
      </c>
      <c r="BD1503" s="1" t="s">
        <v>1400</v>
      </c>
      <c r="BE1503" s="1">
        <v>80.36</v>
      </c>
      <c r="BF1503" s="1">
        <v>8.78</v>
      </c>
      <c r="BG1503" s="1"/>
      <c r="BH1503" s="1"/>
      <c r="BI1503" s="1"/>
      <c r="BJ1503" s="1"/>
      <c r="BK1503" s="1"/>
      <c r="BL1503" s="1"/>
      <c r="BM1503" s="1"/>
      <c r="BN1503" s="1"/>
      <c r="BO1503" s="1" t="s">
        <v>26689</v>
      </c>
      <c r="BP1503" s="1" t="s">
        <v>26690</v>
      </c>
      <c r="BQ1503" s="1" t="s">
        <v>658</v>
      </c>
      <c r="BR1503" s="1" t="s">
        <v>26691</v>
      </c>
      <c r="BS1503" s="1">
        <v>58</v>
      </c>
      <c r="BT1503" s="1" t="s">
        <v>26692</v>
      </c>
      <c r="BU1503" s="1" t="str">
        <f>HYPERLINK("https://nconnect.nicmar.ac.in/storage/profile/6a1eba10eb6f1.png","Download")</f>
        <v>0</v>
      </c>
      <c r="BV1503" s="3"/>
      <c r="BW1503" s="3"/>
    </row>
    <row r="1504" spans="1:75">
      <c r="A1504" s="1" t="s">
        <v>26662</v>
      </c>
      <c r="B1504" s="1" t="s">
        <v>76</v>
      </c>
      <c r="C1504" s="1" t="s">
        <v>26693</v>
      </c>
      <c r="D1504" s="1" t="s">
        <v>26694</v>
      </c>
      <c r="E1504" s="1"/>
      <c r="F1504" s="1" t="s">
        <v>26695</v>
      </c>
      <c r="G1504" s="1" t="s">
        <v>26696</v>
      </c>
      <c r="H1504" s="1" t="s">
        <v>26697</v>
      </c>
      <c r="I1504" s="1" t="s">
        <v>26697</v>
      </c>
      <c r="J1504" s="1">
        <v>9689474909</v>
      </c>
      <c r="K1504" s="1" t="s">
        <v>84</v>
      </c>
      <c r="L1504" s="1" t="s">
        <v>26698</v>
      </c>
      <c r="M1504" s="1" t="s">
        <v>86</v>
      </c>
      <c r="N1504" s="1" t="s">
        <v>4857</v>
      </c>
      <c r="O1504" s="1" t="s">
        <v>88</v>
      </c>
      <c r="P1504" s="1" t="s">
        <v>219</v>
      </c>
      <c r="Q1504" s="1" t="s">
        <v>26699</v>
      </c>
      <c r="R1504" s="1" t="s">
        <v>26700</v>
      </c>
      <c r="S1504" s="1">
        <v>8796137585</v>
      </c>
      <c r="T1504" s="1" t="s">
        <v>839</v>
      </c>
      <c r="U1504" s="1" t="s">
        <v>26701</v>
      </c>
      <c r="V1504" s="1">
        <v>7350585979</v>
      </c>
      <c r="W1504" s="1" t="s">
        <v>161</v>
      </c>
      <c r="X1504" s="1" t="s">
        <v>26702</v>
      </c>
      <c r="Y1504" s="1" t="s">
        <v>11302</v>
      </c>
      <c r="Z1504" s="1" t="s">
        <v>6549</v>
      </c>
      <c r="AA1504" s="1" t="s">
        <v>26702</v>
      </c>
      <c r="AB1504" s="1" t="s">
        <v>11302</v>
      </c>
      <c r="AC1504" s="1" t="s">
        <v>6549</v>
      </c>
      <c r="AD1504" s="1" t="s">
        <v>98</v>
      </c>
      <c r="AE1504" s="1" t="s">
        <v>98</v>
      </c>
      <c r="AF1504" s="1" t="s">
        <v>1624</v>
      </c>
      <c r="AG1504" s="1" t="s">
        <v>26703</v>
      </c>
      <c r="AH1504" s="1" t="s">
        <v>1110</v>
      </c>
      <c r="AI1504" s="1" t="s">
        <v>1111</v>
      </c>
      <c r="AJ1504" s="1">
        <v>68.4</v>
      </c>
      <c r="AK1504" s="1">
        <v>7.2</v>
      </c>
      <c r="AL1504" s="1" t="s">
        <v>98</v>
      </c>
      <c r="AM1504" s="1" t="s">
        <v>26703</v>
      </c>
      <c r="AN1504" s="1"/>
      <c r="AO1504" s="1" t="s">
        <v>315</v>
      </c>
      <c r="AP1504" s="1" t="s">
        <v>1192</v>
      </c>
      <c r="AQ1504" s="1">
        <v>53.2</v>
      </c>
      <c r="AR1504" s="1"/>
      <c r="AS1504" s="1"/>
      <c r="AT1504" s="1"/>
      <c r="AU1504" s="1"/>
      <c r="AV1504" s="1"/>
      <c r="AW1504" s="1"/>
      <c r="AX1504" s="1"/>
      <c r="AY1504" s="1" t="s">
        <v>26704</v>
      </c>
      <c r="AZ1504" s="1" t="s">
        <v>26703</v>
      </c>
      <c r="BA1504" s="1"/>
      <c r="BB1504" s="1"/>
      <c r="BC1504" s="1" t="s">
        <v>549</v>
      </c>
      <c r="BD1504" s="1" t="s">
        <v>4093</v>
      </c>
      <c r="BE1504" s="1">
        <v>55</v>
      </c>
      <c r="BF1504" s="1">
        <v>6.25</v>
      </c>
      <c r="BG1504" s="1"/>
      <c r="BH1504" s="1"/>
      <c r="BI1504" s="1"/>
      <c r="BJ1504" s="1"/>
      <c r="BK1504" s="1"/>
      <c r="BL1504" s="1"/>
      <c r="BM1504" s="1"/>
      <c r="BN1504" s="1"/>
      <c r="BO1504" s="1" t="s">
        <v>26705</v>
      </c>
      <c r="BP1504" s="1"/>
      <c r="BQ1504" s="1"/>
      <c r="BR1504" s="1" t="s">
        <v>26706</v>
      </c>
      <c r="BS1504" s="1">
        <v>23</v>
      </c>
      <c r="BT1504" s="1" t="s">
        <v>26707</v>
      </c>
      <c r="BU1504" s="1" t="str">
        <f>HYPERLINK("https://nconnect.nicmar.ac.in/storage/profile/6a1fa4f8604ae.png","Download")</f>
        <v>0</v>
      </c>
      <c r="BV1504" s="3"/>
      <c r="BW1504" s="3"/>
    </row>
    <row r="1505" spans="1:75">
      <c r="A1505" s="1" t="s">
        <v>26662</v>
      </c>
      <c r="B1505" s="1" t="s">
        <v>76</v>
      </c>
      <c r="C1505" s="1" t="s">
        <v>26708</v>
      </c>
      <c r="D1505" s="1" t="s">
        <v>10163</v>
      </c>
      <c r="E1505" s="1" t="s">
        <v>3042</v>
      </c>
      <c r="F1505" s="1" t="s">
        <v>26709</v>
      </c>
      <c r="G1505" s="1" t="s">
        <v>26710</v>
      </c>
      <c r="H1505" s="1" t="s">
        <v>26711</v>
      </c>
      <c r="I1505" s="1" t="s">
        <v>26711</v>
      </c>
      <c r="J1505" s="1">
        <v>9373849785</v>
      </c>
      <c r="K1505" s="1" t="s">
        <v>153</v>
      </c>
      <c r="L1505" s="1" t="s">
        <v>26712</v>
      </c>
      <c r="M1505" s="1" t="s">
        <v>86</v>
      </c>
      <c r="N1505" s="1" t="s">
        <v>4857</v>
      </c>
      <c r="O1505" s="1" t="s">
        <v>88</v>
      </c>
      <c r="P1505" s="1" t="s">
        <v>122</v>
      </c>
      <c r="Q1505" s="1" t="s">
        <v>26713</v>
      </c>
      <c r="R1505" s="1" t="s">
        <v>26714</v>
      </c>
      <c r="S1505" s="1">
        <v>9822870841</v>
      </c>
      <c r="T1505" s="1" t="s">
        <v>2950</v>
      </c>
      <c r="U1505" s="1" t="s">
        <v>26715</v>
      </c>
      <c r="V1505" s="1">
        <v>9921868579</v>
      </c>
      <c r="W1505" s="1" t="s">
        <v>161</v>
      </c>
      <c r="X1505" s="1" t="s">
        <v>26716</v>
      </c>
      <c r="Y1505" s="1" t="s">
        <v>1779</v>
      </c>
      <c r="Z1505" s="1" t="s">
        <v>97</v>
      </c>
      <c r="AA1505" s="1" t="s">
        <v>26716</v>
      </c>
      <c r="AB1505" s="1" t="s">
        <v>1779</v>
      </c>
      <c r="AC1505" s="1" t="s">
        <v>97</v>
      </c>
      <c r="AD1505" s="1" t="s">
        <v>98</v>
      </c>
      <c r="AE1505" s="1" t="s">
        <v>98</v>
      </c>
      <c r="AF1505" s="1" t="s">
        <v>26717</v>
      </c>
      <c r="AG1505" s="1" t="s">
        <v>12649</v>
      </c>
      <c r="AH1505" s="1" t="s">
        <v>101</v>
      </c>
      <c r="AI1505" s="1" t="s">
        <v>166</v>
      </c>
      <c r="AJ1505" s="1">
        <v>77.2</v>
      </c>
      <c r="AK1505" s="1"/>
      <c r="AL1505" s="1" t="s">
        <v>26718</v>
      </c>
      <c r="AM1505" s="1" t="s">
        <v>1968</v>
      </c>
      <c r="AN1505" s="1"/>
      <c r="AO1505" s="1" t="s">
        <v>627</v>
      </c>
      <c r="AP1505" s="1" t="s">
        <v>573</v>
      </c>
      <c r="AQ1505" s="1">
        <v>59.38</v>
      </c>
      <c r="AR1505" s="1"/>
      <c r="AS1505" s="1"/>
      <c r="AT1505" s="1"/>
      <c r="AU1505" s="1"/>
      <c r="AV1505" s="1"/>
      <c r="AW1505" s="1"/>
      <c r="AX1505" s="1"/>
      <c r="AY1505" s="1" t="s">
        <v>366</v>
      </c>
      <c r="AZ1505" s="1" t="s">
        <v>26719</v>
      </c>
      <c r="BA1505" s="1"/>
      <c r="BB1505" s="1"/>
      <c r="BC1505" s="1" t="s">
        <v>315</v>
      </c>
      <c r="BD1505" s="1" t="s">
        <v>207</v>
      </c>
      <c r="BE1505" s="1">
        <v>63.1</v>
      </c>
      <c r="BF1505" s="1">
        <v>7.06</v>
      </c>
      <c r="BG1505" s="1"/>
      <c r="BH1505" s="1"/>
      <c r="BI1505" s="1"/>
      <c r="BJ1505" s="1"/>
      <c r="BK1505" s="1"/>
      <c r="BL1505" s="1"/>
      <c r="BM1505" s="1"/>
      <c r="BN1505" s="1"/>
      <c r="BO1505" s="1" t="s">
        <v>26720</v>
      </c>
      <c r="BP1505" s="1"/>
      <c r="BQ1505" s="1"/>
      <c r="BR1505" s="1" t="s">
        <v>26721</v>
      </c>
      <c r="BS1505" s="1">
        <v>26</v>
      </c>
      <c r="BT1505" s="1" t="s">
        <v>26722</v>
      </c>
      <c r="BU1505" s="1" t="str">
        <f>HYPERLINK("https://nconnect.nicmar.ac.in/storage/profile/6a1fadfe61e9d.png","Download")</f>
        <v>0</v>
      </c>
      <c r="BV1505" s="3"/>
      <c r="BW1505" s="3"/>
    </row>
    <row r="1506" spans="1:75">
      <c r="A1506" s="1" t="s">
        <v>26662</v>
      </c>
      <c r="B1506" s="1" t="s">
        <v>76</v>
      </c>
      <c r="C1506" s="1" t="s">
        <v>26723</v>
      </c>
      <c r="D1506" s="1" t="s">
        <v>761</v>
      </c>
      <c r="E1506" s="1" t="s">
        <v>213</v>
      </c>
      <c r="F1506" s="1" t="s">
        <v>26724</v>
      </c>
      <c r="G1506" s="1" t="s">
        <v>26725</v>
      </c>
      <c r="H1506" s="1" t="s">
        <v>26726</v>
      </c>
      <c r="I1506" s="1" t="s">
        <v>26726</v>
      </c>
      <c r="J1506" s="1">
        <v>9146501657</v>
      </c>
      <c r="K1506" s="1" t="s">
        <v>84</v>
      </c>
      <c r="L1506" s="1" t="s">
        <v>11387</v>
      </c>
      <c r="M1506" s="1" t="s">
        <v>86</v>
      </c>
      <c r="N1506" s="1" t="s">
        <v>8293</v>
      </c>
      <c r="O1506" s="1" t="s">
        <v>88</v>
      </c>
      <c r="P1506" s="1" t="s">
        <v>219</v>
      </c>
      <c r="Q1506" s="1" t="s">
        <v>26727</v>
      </c>
      <c r="R1506" s="1" t="s">
        <v>26728</v>
      </c>
      <c r="S1506" s="1">
        <v>9422804268</v>
      </c>
      <c r="T1506" s="1" t="s">
        <v>839</v>
      </c>
      <c r="U1506" s="1" t="s">
        <v>26729</v>
      </c>
      <c r="V1506" s="1">
        <v>9422230451</v>
      </c>
      <c r="W1506" s="1" t="s">
        <v>94</v>
      </c>
      <c r="X1506" s="1" t="s">
        <v>26730</v>
      </c>
      <c r="Y1506" s="1" t="s">
        <v>410</v>
      </c>
      <c r="Z1506" s="1" t="s">
        <v>97</v>
      </c>
      <c r="AA1506" s="1" t="s">
        <v>26730</v>
      </c>
      <c r="AB1506" s="1" t="s">
        <v>410</v>
      </c>
      <c r="AC1506" s="1" t="s">
        <v>97</v>
      </c>
      <c r="AD1506" s="1" t="s">
        <v>98</v>
      </c>
      <c r="AE1506" s="1" t="s">
        <v>98</v>
      </c>
      <c r="AF1506" s="1" t="s">
        <v>26731</v>
      </c>
      <c r="AG1506" s="1" t="s">
        <v>996</v>
      </c>
      <c r="AH1506" s="1" t="s">
        <v>627</v>
      </c>
      <c r="AI1506" s="1" t="s">
        <v>200</v>
      </c>
      <c r="AJ1506" s="1">
        <v>88.2</v>
      </c>
      <c r="AK1506" s="1"/>
      <c r="AL1506" s="1"/>
      <c r="AM1506" s="1"/>
      <c r="AN1506" s="1"/>
      <c r="AO1506" s="1"/>
      <c r="AP1506" s="1"/>
      <c r="AQ1506" s="1"/>
      <c r="AR1506" s="1"/>
      <c r="AS1506" s="1" t="s">
        <v>26732</v>
      </c>
      <c r="AT1506" s="1" t="s">
        <v>26733</v>
      </c>
      <c r="AU1506" s="1" t="s">
        <v>230</v>
      </c>
      <c r="AV1506" s="1" t="s">
        <v>175</v>
      </c>
      <c r="AW1506" s="1">
        <v>77.85</v>
      </c>
      <c r="AX1506" s="1"/>
      <c r="AY1506" s="1" t="s">
        <v>6024</v>
      </c>
      <c r="AZ1506" s="1" t="s">
        <v>8804</v>
      </c>
      <c r="BA1506" s="1"/>
      <c r="BB1506" s="1"/>
      <c r="BC1506" s="1" t="s">
        <v>368</v>
      </c>
      <c r="BD1506" s="1" t="s">
        <v>935</v>
      </c>
      <c r="BE1506" s="1">
        <v>57.2</v>
      </c>
      <c r="BF1506" s="1">
        <v>6.47</v>
      </c>
      <c r="BG1506" s="1"/>
      <c r="BH1506" s="1"/>
      <c r="BI1506" s="1"/>
      <c r="BJ1506" s="1"/>
      <c r="BK1506" s="1"/>
      <c r="BL1506" s="1"/>
      <c r="BM1506" s="1"/>
      <c r="BN1506" s="1"/>
      <c r="BO1506" s="1" t="s">
        <v>26734</v>
      </c>
      <c r="BP1506" s="1"/>
      <c r="BQ1506" s="1"/>
      <c r="BR1506" s="1" t="s">
        <v>26735</v>
      </c>
      <c r="BS1506" s="1">
        <v>21</v>
      </c>
      <c r="BT1506" s="1"/>
      <c r="BU1506" s="1" t="str">
        <f>HYPERLINK("https://nconnect.nicmar.ac.in/storage/profile/6a1fc411369af.png","Download")</f>
        <v>0</v>
      </c>
      <c r="BV1506" s="3"/>
      <c r="BW1506" s="3"/>
    </row>
    <row r="1507" spans="1:75">
      <c r="A1507" s="1" t="s">
        <v>26662</v>
      </c>
      <c r="B1507" s="1" t="s">
        <v>446</v>
      </c>
      <c r="C1507" s="1" t="s">
        <v>26736</v>
      </c>
      <c r="D1507" s="1" t="s">
        <v>26737</v>
      </c>
      <c r="E1507" s="1"/>
      <c r="F1507" s="1" t="s">
        <v>26738</v>
      </c>
      <c r="G1507" s="1" t="s">
        <v>26739</v>
      </c>
      <c r="H1507" s="1" t="s">
        <v>26740</v>
      </c>
      <c r="I1507" s="1" t="s">
        <v>26741</v>
      </c>
      <c r="J1507" s="1">
        <v>7889141835</v>
      </c>
      <c r="K1507" s="1" t="s">
        <v>153</v>
      </c>
      <c r="L1507" s="1" t="s">
        <v>26742</v>
      </c>
      <c r="M1507" s="1" t="s">
        <v>86</v>
      </c>
      <c r="N1507" s="1" t="s">
        <v>1385</v>
      </c>
      <c r="O1507" s="1" t="s">
        <v>26743</v>
      </c>
      <c r="P1507" s="1" t="s">
        <v>507</v>
      </c>
      <c r="Q1507" s="1" t="s">
        <v>26744</v>
      </c>
      <c r="R1507" s="1" t="s">
        <v>26745</v>
      </c>
      <c r="S1507" s="1">
        <v>9878534679</v>
      </c>
      <c r="T1507" s="1" t="s">
        <v>15111</v>
      </c>
      <c r="U1507" s="1" t="s">
        <v>26746</v>
      </c>
      <c r="V1507" s="1">
        <v>9078488685</v>
      </c>
      <c r="W1507" s="1" t="s">
        <v>161</v>
      </c>
      <c r="X1507" s="1" t="s">
        <v>26747</v>
      </c>
      <c r="Y1507" s="1" t="s">
        <v>4124</v>
      </c>
      <c r="Z1507" s="1" t="s">
        <v>865</v>
      </c>
      <c r="AA1507" s="1" t="s">
        <v>26748</v>
      </c>
      <c r="AB1507" s="1" t="s">
        <v>26749</v>
      </c>
      <c r="AC1507" s="1" t="s">
        <v>972</v>
      </c>
      <c r="AD1507" s="1" t="s">
        <v>98</v>
      </c>
      <c r="AE1507" s="1" t="s">
        <v>98</v>
      </c>
      <c r="AF1507" s="1" t="s">
        <v>26750</v>
      </c>
      <c r="AG1507" s="1" t="s">
        <v>26751</v>
      </c>
      <c r="AH1507" s="1" t="s">
        <v>1214</v>
      </c>
      <c r="AI1507" s="1" t="s">
        <v>136</v>
      </c>
      <c r="AJ1507" s="1">
        <v>85.5</v>
      </c>
      <c r="AK1507" s="1">
        <v>9</v>
      </c>
      <c r="AL1507" s="1" t="s">
        <v>26752</v>
      </c>
      <c r="AM1507" s="1" t="s">
        <v>26753</v>
      </c>
      <c r="AN1507" s="1"/>
      <c r="AO1507" s="1" t="s">
        <v>284</v>
      </c>
      <c r="AP1507" s="1" t="s">
        <v>573</v>
      </c>
      <c r="AQ1507" s="1">
        <v>77.6</v>
      </c>
      <c r="AR1507" s="1"/>
      <c r="AS1507" s="1"/>
      <c r="AT1507" s="1"/>
      <c r="AU1507" s="1"/>
      <c r="AV1507" s="1"/>
      <c r="AW1507" s="1"/>
      <c r="AX1507" s="1"/>
      <c r="AY1507" s="1" t="s">
        <v>26754</v>
      </c>
      <c r="AZ1507" s="1" t="s">
        <v>26755</v>
      </c>
      <c r="BA1507" s="1"/>
      <c r="BB1507" s="1"/>
      <c r="BC1507" s="1" t="s">
        <v>388</v>
      </c>
      <c r="BD1507" s="1" t="s">
        <v>1400</v>
      </c>
      <c r="BE1507" s="1">
        <v>80.2</v>
      </c>
      <c r="BF1507" s="1">
        <v>8.02</v>
      </c>
      <c r="BG1507" s="1"/>
      <c r="BH1507" s="1"/>
      <c r="BI1507" s="1"/>
      <c r="BJ1507" s="1"/>
      <c r="BK1507" s="1"/>
      <c r="BL1507" s="1"/>
      <c r="BM1507" s="1"/>
      <c r="BN1507" s="1"/>
      <c r="BO1507" s="1" t="s">
        <v>26756</v>
      </c>
      <c r="BP1507" s="1"/>
      <c r="BQ1507" s="1"/>
      <c r="BR1507" s="1" t="s">
        <v>26757</v>
      </c>
      <c r="BS1507" s="1">
        <v>48</v>
      </c>
      <c r="BT1507" s="1" t="s">
        <v>26758</v>
      </c>
      <c r="BU1507" s="1" t="str">
        <f>HYPERLINK("https://nconnect.nicmar.ac.in/storage/profile/ProfilePhoto_P24702124_129675.jpg","Download")</f>
        <v>0</v>
      </c>
      <c r="BV1507" s="3"/>
      <c r="BW1507" s="3"/>
    </row>
    <row r="1508" spans="1:75">
      <c r="A1508" s="1" t="s">
        <v>26662</v>
      </c>
      <c r="B1508" s="1" t="s">
        <v>446</v>
      </c>
      <c r="C1508" s="1" t="s">
        <v>26759</v>
      </c>
      <c r="D1508" s="1" t="s">
        <v>26760</v>
      </c>
      <c r="E1508" s="1" t="s">
        <v>2435</v>
      </c>
      <c r="F1508" s="1" t="s">
        <v>26761</v>
      </c>
      <c r="G1508" s="1" t="s">
        <v>26762</v>
      </c>
      <c r="H1508" s="1" t="s">
        <v>26763</v>
      </c>
      <c r="I1508" s="1" t="s">
        <v>26764</v>
      </c>
      <c r="J1508" s="1">
        <v>8917573341</v>
      </c>
      <c r="K1508" s="1" t="s">
        <v>84</v>
      </c>
      <c r="L1508" s="1" t="s">
        <v>26765</v>
      </c>
      <c r="M1508" s="1" t="s">
        <v>86</v>
      </c>
      <c r="N1508" s="1" t="s">
        <v>881</v>
      </c>
      <c r="O1508" s="1"/>
      <c r="P1508" s="1" t="s">
        <v>455</v>
      </c>
      <c r="Q1508" s="1" t="s">
        <v>26766</v>
      </c>
      <c r="R1508" s="1" t="s">
        <v>26767</v>
      </c>
      <c r="S1508" s="1">
        <v>9937562879</v>
      </c>
      <c r="T1508" s="1" t="s">
        <v>8459</v>
      </c>
      <c r="U1508" s="1" t="s">
        <v>26768</v>
      </c>
      <c r="V1508" s="1">
        <v>9853842707</v>
      </c>
      <c r="W1508" s="1" t="s">
        <v>541</v>
      </c>
      <c r="X1508" s="1" t="s">
        <v>26769</v>
      </c>
      <c r="Y1508" s="1" t="s">
        <v>1259</v>
      </c>
      <c r="Z1508" s="1" t="s">
        <v>865</v>
      </c>
      <c r="AA1508" s="1" t="s">
        <v>26769</v>
      </c>
      <c r="AB1508" s="1" t="s">
        <v>1259</v>
      </c>
      <c r="AC1508" s="1" t="s">
        <v>865</v>
      </c>
      <c r="AD1508" s="1">
        <v>9.82</v>
      </c>
      <c r="AE1508" s="1" t="s">
        <v>98</v>
      </c>
      <c r="AF1508" s="1" t="s">
        <v>26770</v>
      </c>
      <c r="AG1508" s="1" t="s">
        <v>2181</v>
      </c>
      <c r="AH1508" s="1" t="s">
        <v>1262</v>
      </c>
      <c r="AI1508" s="1" t="s">
        <v>136</v>
      </c>
      <c r="AJ1508" s="1">
        <v>69</v>
      </c>
      <c r="AK1508" s="1"/>
      <c r="AL1508" s="1" t="s">
        <v>26771</v>
      </c>
      <c r="AM1508" s="1" t="s">
        <v>775</v>
      </c>
      <c r="AN1508" s="1" t="s">
        <v>465</v>
      </c>
      <c r="AO1508" s="1" t="s">
        <v>627</v>
      </c>
      <c r="AP1508" s="1" t="s">
        <v>573</v>
      </c>
      <c r="AQ1508" s="1">
        <v>61</v>
      </c>
      <c r="AR1508" s="1"/>
      <c r="AS1508" s="1"/>
      <c r="AT1508" s="1"/>
      <c r="AU1508" s="1"/>
      <c r="AV1508" s="1"/>
      <c r="AW1508" s="1"/>
      <c r="AX1508" s="1"/>
      <c r="AY1508" s="1" t="s">
        <v>5106</v>
      </c>
      <c r="AZ1508" s="1" t="s">
        <v>26772</v>
      </c>
      <c r="BA1508" s="1" t="s">
        <v>466</v>
      </c>
      <c r="BB1508" s="1" t="s">
        <v>26773</v>
      </c>
      <c r="BC1508" s="1" t="s">
        <v>170</v>
      </c>
      <c r="BD1508" s="1" t="s">
        <v>845</v>
      </c>
      <c r="BE1508" s="1">
        <v>79.9</v>
      </c>
      <c r="BF1508" s="1">
        <v>7.99</v>
      </c>
      <c r="BG1508" s="1"/>
      <c r="BH1508" s="1"/>
      <c r="BI1508" s="1"/>
      <c r="BJ1508" s="1"/>
      <c r="BK1508" s="1"/>
      <c r="BL1508" s="1"/>
      <c r="BM1508" s="1"/>
      <c r="BN1508" s="1"/>
      <c r="BO1508" s="1" t="s">
        <v>26774</v>
      </c>
      <c r="BP1508" s="1" t="s">
        <v>26775</v>
      </c>
      <c r="BQ1508" s="1" t="s">
        <v>26776</v>
      </c>
      <c r="BR1508" s="1" t="s">
        <v>26777</v>
      </c>
      <c r="BS1508" s="1">
        <v>8</v>
      </c>
      <c r="BT1508" s="1"/>
      <c r="BU1508" s="1" t="str">
        <f>HYPERLINK("https://nconnect.nicmar.ac.in/storage/profile/ProfilePhoto_P25702001_634892.jpg","Download")</f>
        <v>0</v>
      </c>
      <c r="BV1508" s="3"/>
      <c r="BW1508" s="3"/>
    </row>
    <row r="1509" spans="1:75">
      <c r="A1509" s="1" t="s">
        <v>26662</v>
      </c>
      <c r="B1509" s="1" t="s">
        <v>446</v>
      </c>
      <c r="C1509" s="1" t="s">
        <v>26778</v>
      </c>
      <c r="D1509" s="1" t="s">
        <v>11742</v>
      </c>
      <c r="E1509" s="1" t="s">
        <v>1021</v>
      </c>
      <c r="F1509" s="1" t="s">
        <v>26779</v>
      </c>
      <c r="G1509" s="1" t="s">
        <v>26780</v>
      </c>
      <c r="H1509" s="1" t="s">
        <v>26781</v>
      </c>
      <c r="I1509" s="1" t="s">
        <v>26782</v>
      </c>
      <c r="J1509" s="1">
        <v>9987557698</v>
      </c>
      <c r="K1509" s="1" t="s">
        <v>153</v>
      </c>
      <c r="L1509" s="1" t="s">
        <v>26783</v>
      </c>
      <c r="M1509" s="1" t="s">
        <v>86</v>
      </c>
      <c r="N1509" s="1" t="s">
        <v>1163</v>
      </c>
      <c r="O1509" s="1"/>
      <c r="P1509" s="1" t="s">
        <v>507</v>
      </c>
      <c r="Q1509" s="1" t="s">
        <v>26784</v>
      </c>
      <c r="R1509" s="1" t="s">
        <v>1021</v>
      </c>
      <c r="S1509" s="1">
        <v>9987557697</v>
      </c>
      <c r="T1509" s="1" t="s">
        <v>926</v>
      </c>
      <c r="U1509" s="1" t="s">
        <v>1126</v>
      </c>
      <c r="V1509" s="1">
        <v>8108911444</v>
      </c>
      <c r="W1509" s="1" t="s">
        <v>127</v>
      </c>
      <c r="X1509" s="1" t="s">
        <v>26785</v>
      </c>
      <c r="Y1509" s="1" t="s">
        <v>196</v>
      </c>
      <c r="Z1509" s="1" t="s">
        <v>97</v>
      </c>
      <c r="AA1509" s="1" t="s">
        <v>26786</v>
      </c>
      <c r="AB1509" s="1" t="s">
        <v>1012</v>
      </c>
      <c r="AC1509" s="1" t="s">
        <v>97</v>
      </c>
      <c r="AD1509" s="1">
        <v>8.63</v>
      </c>
      <c r="AE1509" s="1" t="s">
        <v>98</v>
      </c>
      <c r="AF1509" s="1" t="s">
        <v>26787</v>
      </c>
      <c r="AG1509" s="1" t="s">
        <v>26788</v>
      </c>
      <c r="AH1509" s="1" t="s">
        <v>4593</v>
      </c>
      <c r="AI1509" s="1" t="s">
        <v>1111</v>
      </c>
      <c r="AJ1509" s="1">
        <v>86.8</v>
      </c>
      <c r="AK1509" s="1"/>
      <c r="AL1509" s="1" t="s">
        <v>26789</v>
      </c>
      <c r="AM1509" s="1" t="s">
        <v>26788</v>
      </c>
      <c r="AN1509" s="1"/>
      <c r="AO1509" s="1" t="s">
        <v>167</v>
      </c>
      <c r="AP1509" s="1" t="s">
        <v>1477</v>
      </c>
      <c r="AQ1509" s="1">
        <v>63.08</v>
      </c>
      <c r="AR1509" s="1"/>
      <c r="AS1509" s="1"/>
      <c r="AT1509" s="1"/>
      <c r="AU1509" s="1"/>
      <c r="AV1509" s="1"/>
      <c r="AW1509" s="1"/>
      <c r="AX1509" s="1"/>
      <c r="AY1509" s="1" t="s">
        <v>680</v>
      </c>
      <c r="AZ1509" s="1" t="s">
        <v>26790</v>
      </c>
      <c r="BA1509" s="1"/>
      <c r="BB1509" s="1"/>
      <c r="BC1509" s="1" t="s">
        <v>106</v>
      </c>
      <c r="BD1509" s="1" t="s">
        <v>579</v>
      </c>
      <c r="BE1509" s="1">
        <v>75.04</v>
      </c>
      <c r="BF1509" s="1">
        <v>8.52</v>
      </c>
      <c r="BG1509" s="1"/>
      <c r="BH1509" s="1"/>
      <c r="BI1509" s="1"/>
      <c r="BJ1509" s="1"/>
      <c r="BK1509" s="1"/>
      <c r="BL1509" s="1"/>
      <c r="BM1509" s="1"/>
      <c r="BN1509" s="1"/>
      <c r="BO1509" s="1" t="s">
        <v>26791</v>
      </c>
      <c r="BP1509" s="1" t="s">
        <v>26792</v>
      </c>
      <c r="BQ1509" s="1" t="s">
        <v>780</v>
      </c>
      <c r="BR1509" s="1" t="s">
        <v>26793</v>
      </c>
      <c r="BS1509" s="1">
        <v>34</v>
      </c>
      <c r="BT1509" s="1"/>
      <c r="BU1509" s="1" t="str">
        <f>HYPERLINK("https://nconnect.nicmar.ac.in/storage/profile/ProfilePhoto_P25702002_231946.jpg","Download")</f>
        <v>0</v>
      </c>
      <c r="BV1509" s="3"/>
      <c r="BW1509" s="3"/>
    </row>
    <row r="1510" spans="1:75">
      <c r="A1510" s="1" t="s">
        <v>26662</v>
      </c>
      <c r="B1510" s="1" t="s">
        <v>446</v>
      </c>
      <c r="C1510" s="1" t="s">
        <v>26794</v>
      </c>
      <c r="D1510" s="1" t="s">
        <v>9691</v>
      </c>
      <c r="E1510" s="1" t="s">
        <v>457</v>
      </c>
      <c r="F1510" s="1" t="s">
        <v>26795</v>
      </c>
      <c r="G1510" s="1" t="s">
        <v>26796</v>
      </c>
      <c r="H1510" s="1" t="s">
        <v>26797</v>
      </c>
      <c r="I1510" s="1" t="s">
        <v>26798</v>
      </c>
      <c r="J1510" s="1">
        <v>7039966448</v>
      </c>
      <c r="K1510" s="1" t="s">
        <v>84</v>
      </c>
      <c r="L1510" s="1" t="s">
        <v>26799</v>
      </c>
      <c r="M1510" s="1" t="s">
        <v>86</v>
      </c>
      <c r="N1510" s="1" t="s">
        <v>1163</v>
      </c>
      <c r="O1510" s="1"/>
      <c r="P1510" s="1" t="s">
        <v>1028</v>
      </c>
      <c r="Q1510" s="1" t="s">
        <v>26800</v>
      </c>
      <c r="R1510" s="1" t="s">
        <v>26801</v>
      </c>
      <c r="S1510" s="1">
        <v>8805022278</v>
      </c>
      <c r="T1510" s="1" t="s">
        <v>15111</v>
      </c>
      <c r="U1510" s="1" t="s">
        <v>26802</v>
      </c>
      <c r="V1510" s="1">
        <v>7045780444</v>
      </c>
      <c r="W1510" s="1" t="s">
        <v>26803</v>
      </c>
      <c r="X1510" s="1" t="s">
        <v>26804</v>
      </c>
      <c r="Y1510" s="1" t="s">
        <v>1882</v>
      </c>
      <c r="Z1510" s="1" t="s">
        <v>97</v>
      </c>
      <c r="AA1510" s="1" t="s">
        <v>26804</v>
      </c>
      <c r="AB1510" s="1" t="s">
        <v>1882</v>
      </c>
      <c r="AC1510" s="1" t="s">
        <v>97</v>
      </c>
      <c r="AD1510" s="1">
        <v>7.16</v>
      </c>
      <c r="AE1510" s="1" t="s">
        <v>98</v>
      </c>
      <c r="AF1510" s="1" t="s">
        <v>26805</v>
      </c>
      <c r="AG1510" s="1" t="s">
        <v>4324</v>
      </c>
      <c r="AH1510" s="1" t="s">
        <v>1110</v>
      </c>
      <c r="AI1510" s="1" t="s">
        <v>627</v>
      </c>
      <c r="AJ1510" s="1">
        <v>82.8</v>
      </c>
      <c r="AK1510" s="1"/>
      <c r="AL1510" s="1" t="s">
        <v>26806</v>
      </c>
      <c r="AM1510" s="1" t="s">
        <v>4324</v>
      </c>
      <c r="AN1510" s="1" t="s">
        <v>465</v>
      </c>
      <c r="AO1510" s="1" t="s">
        <v>170</v>
      </c>
      <c r="AP1510" s="1" t="s">
        <v>171</v>
      </c>
      <c r="AQ1510" s="1">
        <v>57.23</v>
      </c>
      <c r="AR1510" s="1"/>
      <c r="AS1510" s="1"/>
      <c r="AT1510" s="1"/>
      <c r="AU1510" s="1"/>
      <c r="AV1510" s="1"/>
      <c r="AW1510" s="1"/>
      <c r="AX1510" s="1"/>
      <c r="AY1510" s="1" t="s">
        <v>680</v>
      </c>
      <c r="AZ1510" s="1" t="s">
        <v>26807</v>
      </c>
      <c r="BA1510" s="1" t="s">
        <v>466</v>
      </c>
      <c r="BB1510" s="1" t="s">
        <v>467</v>
      </c>
      <c r="BC1510" s="1" t="s">
        <v>1065</v>
      </c>
      <c r="BD1510" s="1" t="s">
        <v>955</v>
      </c>
      <c r="BE1510" s="1">
        <v>67</v>
      </c>
      <c r="BF1510" s="1">
        <v>7.64</v>
      </c>
      <c r="BG1510" s="1"/>
      <c r="BH1510" s="1"/>
      <c r="BI1510" s="1"/>
      <c r="BJ1510" s="1"/>
      <c r="BK1510" s="1"/>
      <c r="BL1510" s="1"/>
      <c r="BM1510" s="1"/>
      <c r="BN1510" s="1"/>
      <c r="BO1510" s="1" t="s">
        <v>369</v>
      </c>
      <c r="BP1510" s="1"/>
      <c r="BQ1510" s="1"/>
      <c r="BR1510" s="1" t="s">
        <v>26808</v>
      </c>
      <c r="BS1510" s="1">
        <v>30</v>
      </c>
      <c r="BT1510" s="1" t="s">
        <v>26809</v>
      </c>
      <c r="BU1510" s="1" t="str">
        <f>HYPERLINK("https://nconnect.nicmar.ac.in/storage/profile/ProfilePhoto_P25702003_496738.jpg","Download")</f>
        <v>0</v>
      </c>
      <c r="BV1510" s="3"/>
      <c r="BW1510" s="3"/>
    </row>
    <row r="1511" spans="1:75">
      <c r="A1511" s="1" t="s">
        <v>75</v>
      </c>
      <c r="B1511" s="1" t="s">
        <v>25236</v>
      </c>
      <c r="C1511" s="1" t="s">
        <v>26810</v>
      </c>
      <c r="D1511" s="1" t="s">
        <v>8066</v>
      </c>
      <c r="E1511" s="1"/>
      <c r="F1511" s="1" t="s">
        <v>1487</v>
      </c>
      <c r="G1511" s="1" t="s">
        <v>26811</v>
      </c>
      <c r="H1511" s="1" t="s">
        <v>26812</v>
      </c>
      <c r="I1511" s="1" t="s">
        <v>26813</v>
      </c>
      <c r="J1511" s="1">
        <v>8148297776</v>
      </c>
      <c r="K1511" s="1" t="s">
        <v>153</v>
      </c>
      <c r="L1511" s="1" t="s">
        <v>9374</v>
      </c>
      <c r="M1511" s="1" t="s">
        <v>86</v>
      </c>
      <c r="N1511" s="1" t="s">
        <v>26814</v>
      </c>
      <c r="O1511" s="1" t="s">
        <v>26815</v>
      </c>
      <c r="P1511" s="1" t="s">
        <v>481</v>
      </c>
      <c r="Q1511" s="1" t="s">
        <v>26816</v>
      </c>
      <c r="R1511" s="1" t="s">
        <v>26817</v>
      </c>
      <c r="S1511" s="1">
        <v>9444878821</v>
      </c>
      <c r="T1511" s="1" t="s">
        <v>645</v>
      </c>
      <c r="U1511" s="1" t="s">
        <v>26818</v>
      </c>
      <c r="V1511" s="1">
        <v>9445438810</v>
      </c>
      <c r="W1511" s="1" t="s">
        <v>541</v>
      </c>
      <c r="X1511" s="1" t="s">
        <v>26819</v>
      </c>
      <c r="Y1511" s="1" t="s">
        <v>1498</v>
      </c>
      <c r="Z1511" s="1" t="s">
        <v>570</v>
      </c>
      <c r="AA1511" s="1" t="s">
        <v>26819</v>
      </c>
      <c r="AB1511" s="1" t="s">
        <v>1498</v>
      </c>
      <c r="AC1511" s="1" t="s">
        <v>570</v>
      </c>
      <c r="AD1511" s="1" t="s">
        <v>98</v>
      </c>
      <c r="AE1511" s="1" t="s">
        <v>98</v>
      </c>
      <c r="AF1511" s="1" t="s">
        <v>26820</v>
      </c>
      <c r="AG1511" s="1" t="s">
        <v>26821</v>
      </c>
      <c r="AH1511" s="1" t="s">
        <v>101</v>
      </c>
      <c r="AI1511" s="1" t="s">
        <v>1110</v>
      </c>
      <c r="AJ1511" s="1">
        <v>81.7</v>
      </c>
      <c r="AK1511" s="1">
        <v>8.6</v>
      </c>
      <c r="AL1511" s="1" t="s">
        <v>26822</v>
      </c>
      <c r="AM1511" s="1" t="s">
        <v>26821</v>
      </c>
      <c r="AN1511" s="1"/>
      <c r="AO1511" s="1" t="s">
        <v>167</v>
      </c>
      <c r="AP1511" s="1" t="s">
        <v>704</v>
      </c>
      <c r="AQ1511" s="1">
        <v>70.2</v>
      </c>
      <c r="AR1511" s="1">
        <v>7</v>
      </c>
      <c r="AS1511" s="1"/>
      <c r="AT1511" s="1"/>
      <c r="AU1511" s="1"/>
      <c r="AV1511" s="1"/>
      <c r="AW1511" s="1"/>
      <c r="AX1511" s="1"/>
      <c r="AY1511" s="1" t="s">
        <v>2614</v>
      </c>
      <c r="AZ1511" s="1" t="s">
        <v>26823</v>
      </c>
      <c r="BA1511" s="1"/>
      <c r="BB1511" s="1"/>
      <c r="BC1511" s="1" t="s">
        <v>230</v>
      </c>
      <c r="BD1511" s="1" t="s">
        <v>847</v>
      </c>
      <c r="BE1511" s="1">
        <v>85.33</v>
      </c>
      <c r="BF1511" s="1">
        <v>7.96</v>
      </c>
      <c r="BG1511" s="1"/>
      <c r="BH1511" s="1"/>
      <c r="BI1511" s="1"/>
      <c r="BJ1511" s="1"/>
      <c r="BK1511" s="1"/>
      <c r="BL1511" s="1"/>
      <c r="BM1511" s="1"/>
      <c r="BN1511" s="1"/>
      <c r="BO1511" s="1" t="s">
        <v>26824</v>
      </c>
      <c r="BP1511" s="1"/>
      <c r="BQ1511" s="1"/>
      <c r="BR1511" s="1" t="s">
        <v>26825</v>
      </c>
      <c r="BS1511" s="1">
        <v>13</v>
      </c>
      <c r="BT1511" s="1"/>
      <c r="BU1511" s="1" t="str">
        <f>HYPERLINK("https://nconnect.nicmar.ac.in/storage/profile/ProfilePhoto_p2270087_692457.jpg","Download")</f>
        <v>0</v>
      </c>
      <c r="BV1511" s="3"/>
      <c r="BW1511" s="3"/>
    </row>
    <row r="1512" spans="1:75">
      <c r="A1512" s="1" t="s">
        <v>75</v>
      </c>
      <c r="B1512" s="1" t="s">
        <v>25236</v>
      </c>
      <c r="C1512" s="1" t="s">
        <v>26826</v>
      </c>
      <c r="D1512" s="1" t="s">
        <v>4214</v>
      </c>
      <c r="E1512" s="1" t="s">
        <v>2233</v>
      </c>
      <c r="F1512" s="1" t="s">
        <v>530</v>
      </c>
      <c r="G1512" s="1" t="s">
        <v>26827</v>
      </c>
      <c r="H1512" s="1" t="s">
        <v>26828</v>
      </c>
      <c r="I1512" s="1" t="s">
        <v>26829</v>
      </c>
      <c r="J1512" s="1">
        <v>7777876525</v>
      </c>
      <c r="K1512" s="1" t="s">
        <v>84</v>
      </c>
      <c r="L1512" s="1" t="s">
        <v>26830</v>
      </c>
      <c r="M1512" s="1" t="s">
        <v>86</v>
      </c>
      <c r="N1512" s="1" t="s">
        <v>2926</v>
      </c>
      <c r="O1512" s="1" t="s">
        <v>26831</v>
      </c>
      <c r="P1512" s="1" t="s">
        <v>455</v>
      </c>
      <c r="Q1512" s="1" t="s">
        <v>26832</v>
      </c>
      <c r="R1512" s="1" t="s">
        <v>26833</v>
      </c>
      <c r="S1512" s="1">
        <v>9881010859</v>
      </c>
      <c r="T1512" s="1" t="s">
        <v>26834</v>
      </c>
      <c r="U1512" s="1" t="s">
        <v>26835</v>
      </c>
      <c r="V1512" s="1">
        <v>9850358289</v>
      </c>
      <c r="W1512" s="1" t="s">
        <v>161</v>
      </c>
      <c r="X1512" s="1" t="s">
        <v>26836</v>
      </c>
      <c r="Y1512" s="1" t="s">
        <v>410</v>
      </c>
      <c r="Z1512" s="1" t="s">
        <v>97</v>
      </c>
      <c r="AA1512" s="1" t="s">
        <v>26836</v>
      </c>
      <c r="AB1512" s="1" t="s">
        <v>410</v>
      </c>
      <c r="AC1512" s="1" t="s">
        <v>97</v>
      </c>
      <c r="AD1512" s="1" t="s">
        <v>98</v>
      </c>
      <c r="AE1512" s="1" t="s">
        <v>98</v>
      </c>
      <c r="AF1512" s="1" t="s">
        <v>26837</v>
      </c>
      <c r="AG1512" s="1" t="s">
        <v>26838</v>
      </c>
      <c r="AH1512" s="1" t="s">
        <v>3923</v>
      </c>
      <c r="AI1512" s="1" t="s">
        <v>2726</v>
      </c>
      <c r="AJ1512" s="1">
        <v>72.2</v>
      </c>
      <c r="AK1512" s="1">
        <v>7.6</v>
      </c>
      <c r="AL1512" s="1" t="s">
        <v>26839</v>
      </c>
      <c r="AM1512" s="1" t="s">
        <v>26838</v>
      </c>
      <c r="AN1512" s="1"/>
      <c r="AO1512" s="1" t="s">
        <v>1583</v>
      </c>
      <c r="AP1512" s="1" t="s">
        <v>136</v>
      </c>
      <c r="AQ1512" s="1">
        <v>75.8</v>
      </c>
      <c r="AR1512" s="1">
        <v>7.58</v>
      </c>
      <c r="AS1512" s="1"/>
      <c r="AT1512" s="1"/>
      <c r="AU1512" s="1"/>
      <c r="AV1512" s="1"/>
      <c r="AW1512" s="1"/>
      <c r="AX1512" s="1"/>
      <c r="AY1512" s="1" t="s">
        <v>5224</v>
      </c>
      <c r="AZ1512" s="1" t="s">
        <v>26840</v>
      </c>
      <c r="BA1512" s="1"/>
      <c r="BB1512" s="1"/>
      <c r="BC1512" s="1" t="s">
        <v>105</v>
      </c>
      <c r="BD1512" s="1" t="s">
        <v>438</v>
      </c>
      <c r="BE1512" s="1">
        <v>62.7</v>
      </c>
      <c r="BF1512" s="1">
        <v>6.27</v>
      </c>
      <c r="BG1512" s="1"/>
      <c r="BH1512" s="1"/>
      <c r="BI1512" s="1"/>
      <c r="BJ1512" s="1"/>
      <c r="BK1512" s="1"/>
      <c r="BL1512" s="1"/>
      <c r="BM1512" s="1"/>
      <c r="BN1512" s="1"/>
      <c r="BO1512" s="1" t="s">
        <v>26841</v>
      </c>
      <c r="BP1512" s="1" t="s">
        <v>26842</v>
      </c>
      <c r="BQ1512" s="1" t="s">
        <v>736</v>
      </c>
      <c r="BR1512" s="1" t="s">
        <v>26843</v>
      </c>
      <c r="BS1512" s="1">
        <v>7</v>
      </c>
      <c r="BT1512" s="1"/>
      <c r="BU1512" s="1" t="str">
        <f>HYPERLINK("https://nconnect.nicmar.ac.in/storage/profile/ProfilePhoto_p2270088_493612.jpg","Download")</f>
        <v>0</v>
      </c>
      <c r="BV1512" s="3"/>
      <c r="BW1512" s="3"/>
    </row>
    <row r="1513" spans="1:75">
      <c r="A1513" s="1" t="s">
        <v>75</v>
      </c>
      <c r="B1513" s="1" t="s">
        <v>25236</v>
      </c>
      <c r="C1513" s="1" t="s">
        <v>26844</v>
      </c>
      <c r="D1513" s="1" t="s">
        <v>26845</v>
      </c>
      <c r="E1513" s="1"/>
      <c r="F1513" s="1" t="s">
        <v>530</v>
      </c>
      <c r="G1513" s="1" t="s">
        <v>26846</v>
      </c>
      <c r="H1513" s="1" t="s">
        <v>26847</v>
      </c>
      <c r="I1513" s="1" t="s">
        <v>26848</v>
      </c>
      <c r="J1513" s="1">
        <v>9906239569</v>
      </c>
      <c r="K1513" s="1" t="s">
        <v>84</v>
      </c>
      <c r="L1513" s="1" t="s">
        <v>26849</v>
      </c>
      <c r="M1513" s="1" t="s">
        <v>86</v>
      </c>
      <c r="N1513" s="1" t="s">
        <v>26850</v>
      </c>
      <c r="O1513" s="1" t="s">
        <v>26851</v>
      </c>
      <c r="P1513" s="1" t="s">
        <v>507</v>
      </c>
      <c r="Q1513" s="1" t="s">
        <v>26852</v>
      </c>
      <c r="R1513" s="1" t="s">
        <v>26853</v>
      </c>
      <c r="S1513" s="1">
        <v>9906239569</v>
      </c>
      <c r="T1513" s="1" t="s">
        <v>26854</v>
      </c>
      <c r="U1513" s="1" t="s">
        <v>26855</v>
      </c>
      <c r="V1513" s="1">
        <v>8447733567</v>
      </c>
      <c r="W1513" s="1" t="s">
        <v>26854</v>
      </c>
      <c r="X1513" s="1" t="s">
        <v>26856</v>
      </c>
      <c r="Y1513" s="1" t="s">
        <v>13744</v>
      </c>
      <c r="Z1513" s="1" t="s">
        <v>8896</v>
      </c>
      <c r="AA1513" s="1" t="s">
        <v>26856</v>
      </c>
      <c r="AB1513" s="1" t="s">
        <v>13744</v>
      </c>
      <c r="AC1513" s="1" t="s">
        <v>8896</v>
      </c>
      <c r="AD1513" s="1" t="s">
        <v>98</v>
      </c>
      <c r="AE1513" s="1" t="s">
        <v>98</v>
      </c>
      <c r="AF1513" s="1" t="s">
        <v>26857</v>
      </c>
      <c r="AG1513" s="1" t="s">
        <v>26858</v>
      </c>
      <c r="AH1513" s="1" t="s">
        <v>1825</v>
      </c>
      <c r="AI1513" s="1" t="s">
        <v>13747</v>
      </c>
      <c r="AJ1513" s="1">
        <v>74.6</v>
      </c>
      <c r="AK1513" s="1"/>
      <c r="AL1513" s="1" t="s">
        <v>26859</v>
      </c>
      <c r="AM1513" s="1" t="s">
        <v>26858</v>
      </c>
      <c r="AN1513" s="1"/>
      <c r="AO1513" s="1" t="s">
        <v>2822</v>
      </c>
      <c r="AP1513" s="1" t="s">
        <v>26860</v>
      </c>
      <c r="AQ1513" s="1">
        <v>57.4</v>
      </c>
      <c r="AR1513" s="1"/>
      <c r="AS1513" s="1"/>
      <c r="AT1513" s="1"/>
      <c r="AU1513" s="1"/>
      <c r="AV1513" s="1"/>
      <c r="AW1513" s="1"/>
      <c r="AX1513" s="1"/>
      <c r="AY1513" s="1" t="s">
        <v>26861</v>
      </c>
      <c r="AZ1513" s="1" t="s">
        <v>26862</v>
      </c>
      <c r="BA1513" s="1"/>
      <c r="BB1513" s="1"/>
      <c r="BC1513" s="1" t="s">
        <v>1065</v>
      </c>
      <c r="BD1513" s="1" t="s">
        <v>289</v>
      </c>
      <c r="BE1513" s="1">
        <v>66.8</v>
      </c>
      <c r="BF1513" s="1">
        <v>6.68</v>
      </c>
      <c r="BG1513" s="1"/>
      <c r="BH1513" s="1"/>
      <c r="BI1513" s="1"/>
      <c r="BJ1513" s="1"/>
      <c r="BK1513" s="1"/>
      <c r="BL1513" s="1"/>
      <c r="BM1513" s="1"/>
      <c r="BN1513" s="1"/>
      <c r="BO1513" s="1" t="s">
        <v>2267</v>
      </c>
      <c r="BP1513" s="1"/>
      <c r="BQ1513" s="1"/>
      <c r="BR1513" s="1" t="s">
        <v>26863</v>
      </c>
      <c r="BS1513" s="1">
        <v>7</v>
      </c>
      <c r="BT1513" s="1"/>
      <c r="BU1513" s="1" t="str">
        <f>HYPERLINK("https://nconnect.nicmar.ac.in/storage/profile/ProfilePhoto_p2270089_713864.jpg","Download")</f>
        <v>0</v>
      </c>
      <c r="BV1513" s="3"/>
      <c r="BW1513" s="3"/>
    </row>
    <row r="1514" spans="1:75">
      <c r="A1514" s="1" t="s">
        <v>75</v>
      </c>
      <c r="B1514" s="1" t="s">
        <v>25236</v>
      </c>
      <c r="C1514" s="1" t="s">
        <v>26864</v>
      </c>
      <c r="D1514" s="1" t="s">
        <v>26865</v>
      </c>
      <c r="E1514" s="1"/>
      <c r="F1514" s="1" t="s">
        <v>26866</v>
      </c>
      <c r="G1514" s="1" t="s">
        <v>26867</v>
      </c>
      <c r="H1514" s="1" t="s">
        <v>26868</v>
      </c>
      <c r="I1514" s="1" t="s">
        <v>26869</v>
      </c>
      <c r="J1514" s="1">
        <v>7042745786</v>
      </c>
      <c r="K1514" s="1" t="s">
        <v>84</v>
      </c>
      <c r="L1514" s="1" t="s">
        <v>26870</v>
      </c>
      <c r="M1514" s="1" t="s">
        <v>86</v>
      </c>
      <c r="N1514" s="1" t="s">
        <v>26871</v>
      </c>
      <c r="O1514" s="1" t="s">
        <v>26872</v>
      </c>
      <c r="P1514" s="1" t="s">
        <v>481</v>
      </c>
      <c r="Q1514" s="1" t="s">
        <v>26873</v>
      </c>
      <c r="R1514" s="1" t="s">
        <v>26874</v>
      </c>
      <c r="S1514" s="1">
        <v>9310525485</v>
      </c>
      <c r="T1514" s="1" t="s">
        <v>26875</v>
      </c>
      <c r="U1514" s="1" t="s">
        <v>26876</v>
      </c>
      <c r="V1514" s="1">
        <v>9311870034</v>
      </c>
      <c r="W1514" s="1" t="s">
        <v>541</v>
      </c>
      <c r="X1514" s="1" t="s">
        <v>26877</v>
      </c>
      <c r="Y1514" s="1" t="s">
        <v>25440</v>
      </c>
      <c r="Z1514" s="1" t="s">
        <v>1739</v>
      </c>
      <c r="AA1514" s="1" t="s">
        <v>26877</v>
      </c>
      <c r="AB1514" s="1" t="s">
        <v>25440</v>
      </c>
      <c r="AC1514" s="1" t="s">
        <v>1739</v>
      </c>
      <c r="AD1514" s="1" t="s">
        <v>98</v>
      </c>
      <c r="AE1514" s="1" t="s">
        <v>98</v>
      </c>
      <c r="AF1514" s="1" t="s">
        <v>26878</v>
      </c>
      <c r="AG1514" s="1" t="s">
        <v>796</v>
      </c>
      <c r="AH1514" s="1" t="s">
        <v>1214</v>
      </c>
      <c r="AI1514" s="1" t="s">
        <v>102</v>
      </c>
      <c r="AJ1514" s="1">
        <v>68.4</v>
      </c>
      <c r="AK1514" s="1">
        <v>7.2</v>
      </c>
      <c r="AL1514" s="1" t="s">
        <v>26879</v>
      </c>
      <c r="AM1514" s="1" t="s">
        <v>796</v>
      </c>
      <c r="AN1514" s="1"/>
      <c r="AO1514" s="1" t="s">
        <v>284</v>
      </c>
      <c r="AP1514" s="1" t="s">
        <v>200</v>
      </c>
      <c r="AQ1514" s="1">
        <v>68.6</v>
      </c>
      <c r="AR1514" s="1"/>
      <c r="AS1514" s="1"/>
      <c r="AT1514" s="1"/>
      <c r="AU1514" s="1"/>
      <c r="AV1514" s="1"/>
      <c r="AW1514" s="1"/>
      <c r="AX1514" s="1"/>
      <c r="AY1514" s="1" t="s">
        <v>26880</v>
      </c>
      <c r="AZ1514" s="1" t="s">
        <v>26881</v>
      </c>
      <c r="BA1514" s="1"/>
      <c r="BB1514" s="1"/>
      <c r="BC1514" s="1" t="s">
        <v>230</v>
      </c>
      <c r="BD1514" s="1" t="s">
        <v>845</v>
      </c>
      <c r="BE1514" s="1">
        <v>70.75</v>
      </c>
      <c r="BF1514" s="1"/>
      <c r="BG1514" s="1"/>
      <c r="BH1514" s="1"/>
      <c r="BI1514" s="1"/>
      <c r="BJ1514" s="1"/>
      <c r="BK1514" s="1"/>
      <c r="BL1514" s="1"/>
      <c r="BM1514" s="1"/>
      <c r="BN1514" s="1"/>
      <c r="BO1514" s="1" t="s">
        <v>8688</v>
      </c>
      <c r="BP1514" s="1"/>
      <c r="BQ1514" s="1"/>
      <c r="BR1514" s="1" t="s">
        <v>26882</v>
      </c>
      <c r="BS1514" s="1">
        <v>13</v>
      </c>
      <c r="BT1514" s="1"/>
      <c r="BU1514" s="1" t="str">
        <f>HYPERLINK("https://nconnect.nicmar.ac.in/storage/profile/ProfilePhoto_p2270090_367821.jpg","Download")</f>
        <v>0</v>
      </c>
      <c r="BV1514" s="3"/>
      <c r="BW1514" s="3"/>
    </row>
    <row r="1515" spans="1:75">
      <c r="A1515" s="1" t="s">
        <v>75</v>
      </c>
      <c r="B1515" s="1" t="s">
        <v>25236</v>
      </c>
      <c r="C1515" s="1" t="s">
        <v>26883</v>
      </c>
      <c r="D1515" s="1" t="s">
        <v>5540</v>
      </c>
      <c r="E1515" s="1"/>
      <c r="F1515" s="1" t="s">
        <v>784</v>
      </c>
      <c r="G1515" s="1" t="s">
        <v>26884</v>
      </c>
      <c r="H1515" s="1" t="s">
        <v>26885</v>
      </c>
      <c r="I1515" s="1" t="s">
        <v>26886</v>
      </c>
      <c r="J1515" s="1">
        <v>8292195746</v>
      </c>
      <c r="K1515" s="1" t="s">
        <v>84</v>
      </c>
      <c r="L1515" s="1" t="s">
        <v>26887</v>
      </c>
      <c r="M1515" s="1" t="s">
        <v>86</v>
      </c>
      <c r="N1515" s="1" t="s">
        <v>246</v>
      </c>
      <c r="O1515" s="1" t="s">
        <v>26888</v>
      </c>
      <c r="P1515" s="1" t="s">
        <v>1028</v>
      </c>
      <c r="Q1515" s="1" t="s">
        <v>26889</v>
      </c>
      <c r="R1515" s="1" t="s">
        <v>26890</v>
      </c>
      <c r="S1515" s="1">
        <v>9308587365</v>
      </c>
      <c r="T1515" s="1" t="s">
        <v>92</v>
      </c>
      <c r="U1515" s="1" t="s">
        <v>26891</v>
      </c>
      <c r="V1515" s="1">
        <v>9386955923</v>
      </c>
      <c r="W1515" s="1" t="s">
        <v>161</v>
      </c>
      <c r="X1515" s="1" t="s">
        <v>26892</v>
      </c>
      <c r="Y1515" s="1" t="s">
        <v>648</v>
      </c>
      <c r="Z1515" s="1" t="s">
        <v>649</v>
      </c>
      <c r="AA1515" s="1" t="s">
        <v>26893</v>
      </c>
      <c r="AB1515" s="1" t="s">
        <v>196</v>
      </c>
      <c r="AC1515" s="1" t="s">
        <v>97</v>
      </c>
      <c r="AD1515" s="1" t="s">
        <v>98</v>
      </c>
      <c r="AE1515" s="1" t="s">
        <v>98</v>
      </c>
      <c r="AF1515" s="1" t="s">
        <v>26894</v>
      </c>
      <c r="AG1515" s="1" t="s">
        <v>26895</v>
      </c>
      <c r="AH1515" s="1" t="s">
        <v>1214</v>
      </c>
      <c r="AI1515" s="1" t="s">
        <v>136</v>
      </c>
      <c r="AJ1515" s="1">
        <v>87.4</v>
      </c>
      <c r="AK1515" s="1">
        <v>9.2</v>
      </c>
      <c r="AL1515" s="1" t="s">
        <v>973</v>
      </c>
      <c r="AM1515" s="1" t="s">
        <v>26895</v>
      </c>
      <c r="AN1515" s="1"/>
      <c r="AO1515" s="1" t="s">
        <v>139</v>
      </c>
      <c r="AP1515" s="1" t="s">
        <v>170</v>
      </c>
      <c r="AQ1515" s="1">
        <v>78</v>
      </c>
      <c r="AR1515" s="1"/>
      <c r="AS1515" s="1"/>
      <c r="AT1515" s="1"/>
      <c r="AU1515" s="1"/>
      <c r="AV1515" s="1"/>
      <c r="AW1515" s="1"/>
      <c r="AX1515" s="1"/>
      <c r="AY1515" s="1" t="s">
        <v>3771</v>
      </c>
      <c r="AZ1515" s="1" t="s">
        <v>26896</v>
      </c>
      <c r="BA1515" s="1"/>
      <c r="BB1515" s="1"/>
      <c r="BC1515" s="1" t="s">
        <v>174</v>
      </c>
      <c r="BD1515" s="1" t="s">
        <v>289</v>
      </c>
      <c r="BE1515" s="1">
        <v>88.9</v>
      </c>
      <c r="BF1515" s="1">
        <v>8.89</v>
      </c>
      <c r="BG1515" s="1"/>
      <c r="BH1515" s="1"/>
      <c r="BI1515" s="1"/>
      <c r="BJ1515" s="1"/>
      <c r="BK1515" s="1"/>
      <c r="BL1515" s="1"/>
      <c r="BM1515" s="1"/>
      <c r="BN1515" s="1"/>
      <c r="BO1515" s="1" t="s">
        <v>26897</v>
      </c>
      <c r="BP1515" s="1"/>
      <c r="BQ1515" s="1"/>
      <c r="BR1515" s="1" t="s">
        <v>26898</v>
      </c>
      <c r="BS1515" s="1">
        <v>31</v>
      </c>
      <c r="BT1515" s="1"/>
      <c r="BU1515" s="1" t="str">
        <f>HYPERLINK("https://nconnect.nicmar.ac.in/storage/profile/ProfilePhoto_p2270091_571628.jpg","Download")</f>
        <v>0</v>
      </c>
      <c r="BV1515" s="3"/>
      <c r="BW1515" s="3"/>
    </row>
    <row r="1516" spans="1:75">
      <c r="A1516" s="1" t="s">
        <v>75</v>
      </c>
      <c r="B1516" s="1" t="s">
        <v>25236</v>
      </c>
      <c r="C1516" s="1" t="s">
        <v>26899</v>
      </c>
      <c r="D1516" s="1" t="s">
        <v>26900</v>
      </c>
      <c r="E1516" s="1" t="s">
        <v>26901</v>
      </c>
      <c r="F1516" s="1" t="s">
        <v>26902</v>
      </c>
      <c r="G1516" s="1" t="s">
        <v>26903</v>
      </c>
      <c r="H1516" s="1" t="s">
        <v>26904</v>
      </c>
      <c r="I1516" s="1" t="s">
        <v>26905</v>
      </c>
      <c r="J1516" s="1">
        <v>7738457033</v>
      </c>
      <c r="K1516" s="1" t="s">
        <v>84</v>
      </c>
      <c r="L1516" s="1" t="s">
        <v>26906</v>
      </c>
      <c r="M1516" s="1" t="s">
        <v>86</v>
      </c>
      <c r="N1516" s="1" t="s">
        <v>26907</v>
      </c>
      <c r="O1516" s="1" t="s">
        <v>26908</v>
      </c>
      <c r="P1516" s="1" t="s">
        <v>507</v>
      </c>
      <c r="Q1516" s="1" t="s">
        <v>26909</v>
      </c>
      <c r="R1516" s="1" t="s">
        <v>26901</v>
      </c>
      <c r="S1516" s="1">
        <v>9867287843</v>
      </c>
      <c r="T1516" s="1" t="s">
        <v>839</v>
      </c>
      <c r="U1516" s="1" t="s">
        <v>26910</v>
      </c>
      <c r="V1516" s="1">
        <v>9930741797</v>
      </c>
      <c r="W1516" s="1" t="s">
        <v>278</v>
      </c>
      <c r="X1516" s="1" t="s">
        <v>26911</v>
      </c>
      <c r="Y1516" s="1" t="s">
        <v>2259</v>
      </c>
      <c r="Z1516" s="1" t="s">
        <v>97</v>
      </c>
      <c r="AA1516" s="1" t="s">
        <v>26912</v>
      </c>
      <c r="AB1516" s="1" t="s">
        <v>2259</v>
      </c>
      <c r="AC1516" s="1" t="s">
        <v>97</v>
      </c>
      <c r="AD1516" s="1" t="s">
        <v>98</v>
      </c>
      <c r="AE1516" s="1" t="s">
        <v>98</v>
      </c>
      <c r="AF1516" s="1" t="s">
        <v>26913</v>
      </c>
      <c r="AG1516" s="1" t="s">
        <v>26914</v>
      </c>
      <c r="AH1516" s="1" t="s">
        <v>101</v>
      </c>
      <c r="AI1516" s="1" t="s">
        <v>1110</v>
      </c>
      <c r="AJ1516" s="1">
        <v>65.4</v>
      </c>
      <c r="AK1516" s="1"/>
      <c r="AL1516" s="1"/>
      <c r="AM1516" s="1"/>
      <c r="AN1516" s="1"/>
      <c r="AO1516" s="1"/>
      <c r="AP1516" s="1"/>
      <c r="AQ1516" s="1"/>
      <c r="AR1516" s="1"/>
      <c r="AS1516" s="1" t="s">
        <v>26915</v>
      </c>
      <c r="AT1516" s="1" t="s">
        <v>26916</v>
      </c>
      <c r="AU1516" s="1" t="s">
        <v>105</v>
      </c>
      <c r="AV1516" s="1" t="s">
        <v>171</v>
      </c>
      <c r="AW1516" s="1">
        <v>60</v>
      </c>
      <c r="AX1516" s="1"/>
      <c r="AY1516" s="1" t="s">
        <v>680</v>
      </c>
      <c r="AZ1516" s="1" t="s">
        <v>26917</v>
      </c>
      <c r="BA1516" s="1"/>
      <c r="BB1516" s="1"/>
      <c r="BC1516" s="1" t="s">
        <v>1065</v>
      </c>
      <c r="BD1516" s="1" t="s">
        <v>521</v>
      </c>
      <c r="BE1516" s="1">
        <v>65.28</v>
      </c>
      <c r="BF1516" s="1">
        <v>7.2</v>
      </c>
      <c r="BG1516" s="1"/>
      <c r="BH1516" s="1"/>
      <c r="BI1516" s="1"/>
      <c r="BJ1516" s="1"/>
      <c r="BK1516" s="1"/>
      <c r="BL1516" s="1"/>
      <c r="BM1516" s="1"/>
      <c r="BN1516" s="1"/>
      <c r="BO1516" s="1" t="s">
        <v>1114</v>
      </c>
      <c r="BP1516" s="1"/>
      <c r="BQ1516" s="1"/>
      <c r="BR1516" s="1" t="s">
        <v>26918</v>
      </c>
      <c r="BS1516" s="1">
        <v>14</v>
      </c>
      <c r="BT1516" s="1"/>
      <c r="BU1516" s="1" t="str">
        <f>HYPERLINK("https://nconnect.nicmar.ac.in/storage/profile/ProfilePhoto_p2270092_176894.jpg","Download")</f>
        <v>0</v>
      </c>
      <c r="BV1516" s="3"/>
      <c r="BW1516" s="3"/>
    </row>
    <row r="1517" spans="1:75">
      <c r="A1517" s="1" t="s">
        <v>75</v>
      </c>
      <c r="B1517" s="1" t="s">
        <v>25236</v>
      </c>
      <c r="C1517" s="1" t="s">
        <v>26919</v>
      </c>
      <c r="D1517" s="1" t="s">
        <v>26920</v>
      </c>
      <c r="E1517" s="1" t="s">
        <v>9424</v>
      </c>
      <c r="F1517" s="1" t="s">
        <v>26921</v>
      </c>
      <c r="G1517" s="1" t="s">
        <v>26922</v>
      </c>
      <c r="H1517" s="1" t="s">
        <v>26923</v>
      </c>
      <c r="I1517" s="1" t="s">
        <v>26924</v>
      </c>
      <c r="J1517" s="1">
        <v>7977576067</v>
      </c>
      <c r="K1517" s="1" t="s">
        <v>84</v>
      </c>
      <c r="L1517" s="1" t="s">
        <v>11475</v>
      </c>
      <c r="M1517" s="1" t="s">
        <v>86</v>
      </c>
      <c r="N1517" s="1" t="s">
        <v>618</v>
      </c>
      <c r="O1517" s="1" t="s">
        <v>26925</v>
      </c>
      <c r="P1517" s="1" t="s">
        <v>507</v>
      </c>
      <c r="Q1517" s="1" t="s">
        <v>26926</v>
      </c>
      <c r="R1517" s="1" t="s">
        <v>26927</v>
      </c>
      <c r="S1517" s="1">
        <v>9920718129</v>
      </c>
      <c r="T1517" s="1" t="s">
        <v>92</v>
      </c>
      <c r="U1517" s="1" t="s">
        <v>26928</v>
      </c>
      <c r="V1517" s="1">
        <v>8652181194</v>
      </c>
      <c r="W1517" s="1" t="s">
        <v>161</v>
      </c>
      <c r="X1517" s="1" t="s">
        <v>26929</v>
      </c>
      <c r="Y1517" s="1" t="s">
        <v>1189</v>
      </c>
      <c r="Z1517" s="1" t="s">
        <v>97</v>
      </c>
      <c r="AA1517" s="1" t="s">
        <v>26929</v>
      </c>
      <c r="AB1517" s="1" t="s">
        <v>1189</v>
      </c>
      <c r="AC1517" s="1" t="s">
        <v>97</v>
      </c>
      <c r="AD1517" s="1" t="s">
        <v>98</v>
      </c>
      <c r="AE1517" s="1" t="s">
        <v>98</v>
      </c>
      <c r="AF1517" s="1" t="s">
        <v>26118</v>
      </c>
      <c r="AG1517" s="1" t="s">
        <v>1968</v>
      </c>
      <c r="AH1517" s="1" t="s">
        <v>166</v>
      </c>
      <c r="AI1517" s="1" t="s">
        <v>1111</v>
      </c>
      <c r="AJ1517" s="1">
        <v>84.2</v>
      </c>
      <c r="AK1517" s="1"/>
      <c r="AL1517" s="1" t="s">
        <v>26930</v>
      </c>
      <c r="AM1517" s="1" t="s">
        <v>1968</v>
      </c>
      <c r="AN1517" s="1"/>
      <c r="AO1517" s="1" t="s">
        <v>170</v>
      </c>
      <c r="AP1517" s="1" t="s">
        <v>1477</v>
      </c>
      <c r="AQ1517" s="1">
        <v>81.54</v>
      </c>
      <c r="AR1517" s="1"/>
      <c r="AS1517" s="1"/>
      <c r="AT1517" s="1"/>
      <c r="AU1517" s="1"/>
      <c r="AV1517" s="1"/>
      <c r="AW1517" s="1"/>
      <c r="AX1517" s="1"/>
      <c r="AY1517" s="1" t="s">
        <v>680</v>
      </c>
      <c r="AZ1517" s="1" t="s">
        <v>26614</v>
      </c>
      <c r="BA1517" s="1"/>
      <c r="BB1517" s="1"/>
      <c r="BC1517" s="1" t="s">
        <v>174</v>
      </c>
      <c r="BD1517" s="1" t="s">
        <v>110</v>
      </c>
      <c r="BE1517" s="1">
        <v>75.27</v>
      </c>
      <c r="BF1517" s="1">
        <v>8.37</v>
      </c>
      <c r="BG1517" s="1"/>
      <c r="BH1517" s="1"/>
      <c r="BI1517" s="1"/>
      <c r="BJ1517" s="1"/>
      <c r="BK1517" s="1"/>
      <c r="BL1517" s="1"/>
      <c r="BM1517" s="1"/>
      <c r="BN1517" s="1"/>
      <c r="BO1517" s="1" t="s">
        <v>26931</v>
      </c>
      <c r="BP1517" s="1"/>
      <c r="BQ1517" s="1"/>
      <c r="BR1517" s="1" t="s">
        <v>26932</v>
      </c>
      <c r="BS1517" s="1">
        <v>16</v>
      </c>
      <c r="BT1517" s="1"/>
      <c r="BU1517" s="1" t="str">
        <f>HYPERLINK("https://nconnect.nicmar.ac.in/storage/profile/ProfilePhoto_p2270093_653724.jpg","Download")</f>
        <v>0</v>
      </c>
      <c r="BV1517" s="3"/>
      <c r="BW1517" s="3"/>
    </row>
    <row r="1518" spans="1:75">
      <c r="A1518" s="1" t="s">
        <v>75</v>
      </c>
      <c r="B1518" s="1" t="s">
        <v>25236</v>
      </c>
      <c r="C1518" s="1" t="s">
        <v>26933</v>
      </c>
      <c r="D1518" s="1" t="s">
        <v>26934</v>
      </c>
      <c r="E1518" s="1"/>
      <c r="F1518" s="1" t="s">
        <v>26935</v>
      </c>
      <c r="G1518" s="1" t="s">
        <v>26936</v>
      </c>
      <c r="H1518" s="1" t="s">
        <v>26937</v>
      </c>
      <c r="I1518" s="1" t="s">
        <v>26938</v>
      </c>
      <c r="J1518" s="1">
        <v>7012862859</v>
      </c>
      <c r="K1518" s="1" t="s">
        <v>84</v>
      </c>
      <c r="L1518" s="1" t="s">
        <v>26939</v>
      </c>
      <c r="M1518" s="1" t="s">
        <v>86</v>
      </c>
      <c r="N1518" s="1" t="s">
        <v>12775</v>
      </c>
      <c r="O1518" s="1" t="s">
        <v>26940</v>
      </c>
      <c r="P1518" s="1" t="s">
        <v>455</v>
      </c>
      <c r="Q1518" s="1" t="s">
        <v>26941</v>
      </c>
      <c r="R1518" s="1" t="s">
        <v>26942</v>
      </c>
      <c r="S1518" s="1">
        <v>9447471054</v>
      </c>
      <c r="T1518" s="1" t="s">
        <v>26943</v>
      </c>
      <c r="U1518" s="1" t="s">
        <v>26944</v>
      </c>
      <c r="V1518" s="1">
        <v>9497775971</v>
      </c>
      <c r="W1518" s="1" t="s">
        <v>26943</v>
      </c>
      <c r="X1518" s="1" t="s">
        <v>26945</v>
      </c>
      <c r="Y1518" s="1" t="s">
        <v>5313</v>
      </c>
      <c r="Z1518" s="1" t="s">
        <v>130</v>
      </c>
      <c r="AA1518" s="1" t="s">
        <v>26945</v>
      </c>
      <c r="AB1518" s="1" t="s">
        <v>5313</v>
      </c>
      <c r="AC1518" s="1" t="s">
        <v>130</v>
      </c>
      <c r="AD1518" s="1" t="s">
        <v>98</v>
      </c>
      <c r="AE1518" s="1" t="s">
        <v>98</v>
      </c>
      <c r="AF1518" s="1" t="s">
        <v>26946</v>
      </c>
      <c r="AG1518" s="1" t="s">
        <v>3155</v>
      </c>
      <c r="AH1518" s="1" t="s">
        <v>1213</v>
      </c>
      <c r="AI1518" s="1" t="s">
        <v>515</v>
      </c>
      <c r="AJ1518" s="1">
        <v>91.2</v>
      </c>
      <c r="AK1518" s="1">
        <v>9.6</v>
      </c>
      <c r="AL1518" s="1" t="s">
        <v>26947</v>
      </c>
      <c r="AM1518" s="1" t="s">
        <v>3155</v>
      </c>
      <c r="AN1518" s="1"/>
      <c r="AO1518" s="1" t="s">
        <v>166</v>
      </c>
      <c r="AP1518" s="1" t="s">
        <v>1111</v>
      </c>
      <c r="AQ1518" s="1">
        <v>96</v>
      </c>
      <c r="AR1518" s="1"/>
      <c r="AS1518" s="1"/>
      <c r="AT1518" s="1"/>
      <c r="AU1518" s="1"/>
      <c r="AV1518" s="1"/>
      <c r="AW1518" s="1"/>
      <c r="AX1518" s="1"/>
      <c r="AY1518" s="1" t="s">
        <v>137</v>
      </c>
      <c r="AZ1518" s="1" t="s">
        <v>26948</v>
      </c>
      <c r="BA1518" s="1"/>
      <c r="BB1518" s="1"/>
      <c r="BC1518" s="1" t="s">
        <v>139</v>
      </c>
      <c r="BD1518" s="1" t="s">
        <v>890</v>
      </c>
      <c r="BE1518" s="1">
        <v>76.3</v>
      </c>
      <c r="BF1518" s="1">
        <v>7.63</v>
      </c>
      <c r="BG1518" s="1"/>
      <c r="BH1518" s="1"/>
      <c r="BI1518" s="1"/>
      <c r="BJ1518" s="1"/>
      <c r="BK1518" s="1"/>
      <c r="BL1518" s="1"/>
      <c r="BM1518" s="1"/>
      <c r="BN1518" s="1"/>
      <c r="BO1518" s="1" t="s">
        <v>26949</v>
      </c>
      <c r="BP1518" s="1" t="s">
        <v>26950</v>
      </c>
      <c r="BQ1518" s="1" t="s">
        <v>2577</v>
      </c>
      <c r="BR1518" s="1" t="s">
        <v>26951</v>
      </c>
      <c r="BS1518" s="1">
        <v>8</v>
      </c>
      <c r="BT1518" s="1"/>
      <c r="BU1518" s="1" t="str">
        <f>HYPERLINK("https://nconnect.nicmar.ac.in/storage/profile/ProfilePhoto_p2270094_971853.jpg","Download")</f>
        <v>0</v>
      </c>
      <c r="BV1518" s="3"/>
      <c r="BW1518" s="3"/>
    </row>
    <row r="1519" spans="1:75">
      <c r="A1519" s="1" t="s">
        <v>75</v>
      </c>
      <c r="B1519" s="1" t="s">
        <v>25236</v>
      </c>
      <c r="C1519" s="1" t="s">
        <v>26952</v>
      </c>
      <c r="D1519" s="1" t="s">
        <v>26953</v>
      </c>
      <c r="E1519" s="1" t="s">
        <v>812</v>
      </c>
      <c r="F1519" s="1" t="s">
        <v>117</v>
      </c>
      <c r="G1519" s="1" t="s">
        <v>26954</v>
      </c>
      <c r="H1519" s="1" t="s">
        <v>26955</v>
      </c>
      <c r="I1519" s="1" t="s">
        <v>26956</v>
      </c>
      <c r="J1519" s="1">
        <v>9633561901</v>
      </c>
      <c r="K1519" s="1" t="s">
        <v>84</v>
      </c>
      <c r="L1519" s="1" t="s">
        <v>26957</v>
      </c>
      <c r="M1519" s="1" t="s">
        <v>86</v>
      </c>
      <c r="N1519" s="1" t="s">
        <v>26958</v>
      </c>
      <c r="O1519" s="1" t="s">
        <v>26959</v>
      </c>
      <c r="P1519" s="1" t="s">
        <v>481</v>
      </c>
      <c r="Q1519" s="1" t="s">
        <v>26960</v>
      </c>
      <c r="R1519" s="1" t="s">
        <v>26961</v>
      </c>
      <c r="S1519" s="1">
        <v>9446422128</v>
      </c>
      <c r="T1519" s="1" t="s">
        <v>26962</v>
      </c>
      <c r="U1519" s="1" t="s">
        <v>26963</v>
      </c>
      <c r="V1519" s="1">
        <v>9633760501</v>
      </c>
      <c r="W1519" s="1" t="s">
        <v>26964</v>
      </c>
      <c r="X1519" s="1" t="s">
        <v>26965</v>
      </c>
      <c r="Y1519" s="1" t="s">
        <v>1307</v>
      </c>
      <c r="Z1519" s="1" t="s">
        <v>130</v>
      </c>
      <c r="AA1519" s="1" t="s">
        <v>26965</v>
      </c>
      <c r="AB1519" s="1" t="s">
        <v>1307</v>
      </c>
      <c r="AC1519" s="1" t="s">
        <v>130</v>
      </c>
      <c r="AD1519" s="1" t="s">
        <v>98</v>
      </c>
      <c r="AE1519" s="1" t="s">
        <v>98</v>
      </c>
      <c r="AF1519" s="1" t="s">
        <v>26966</v>
      </c>
      <c r="AG1519" s="1" t="s">
        <v>1721</v>
      </c>
      <c r="AH1519" s="1" t="s">
        <v>26967</v>
      </c>
      <c r="AI1519" s="1" t="s">
        <v>136</v>
      </c>
      <c r="AJ1519" s="1">
        <v>95</v>
      </c>
      <c r="AK1519" s="1">
        <v>10</v>
      </c>
      <c r="AL1519" s="1" t="s">
        <v>26968</v>
      </c>
      <c r="AM1519" s="1" t="s">
        <v>1721</v>
      </c>
      <c r="AN1519" s="1"/>
      <c r="AO1519" s="1" t="s">
        <v>166</v>
      </c>
      <c r="AP1519" s="1" t="s">
        <v>573</v>
      </c>
      <c r="AQ1519" s="1">
        <v>87.8</v>
      </c>
      <c r="AR1519" s="1">
        <v>0</v>
      </c>
      <c r="AS1519" s="1"/>
      <c r="AT1519" s="1"/>
      <c r="AU1519" s="1"/>
      <c r="AV1519" s="1"/>
      <c r="AW1519" s="1"/>
      <c r="AX1519" s="1"/>
      <c r="AY1519" s="1" t="s">
        <v>7207</v>
      </c>
      <c r="AZ1519" s="1" t="s">
        <v>26969</v>
      </c>
      <c r="BA1519" s="1"/>
      <c r="BB1519" s="1"/>
      <c r="BC1519" s="1" t="s">
        <v>170</v>
      </c>
      <c r="BD1519" s="1" t="s">
        <v>2304</v>
      </c>
      <c r="BE1519" s="1">
        <v>77.4</v>
      </c>
      <c r="BF1519" s="1">
        <v>8.24</v>
      </c>
      <c r="BG1519" s="1"/>
      <c r="BH1519" s="1"/>
      <c r="BI1519" s="1"/>
      <c r="BJ1519" s="1"/>
      <c r="BK1519" s="1"/>
      <c r="BL1519" s="1"/>
      <c r="BM1519" s="1"/>
      <c r="BN1519" s="1"/>
      <c r="BO1519" s="1" t="s">
        <v>26970</v>
      </c>
      <c r="BP1519" s="1" t="s">
        <v>26971</v>
      </c>
      <c r="BQ1519" s="1" t="s">
        <v>471</v>
      </c>
      <c r="BR1519" s="1" t="s">
        <v>26972</v>
      </c>
      <c r="BS1519" s="1">
        <v>8</v>
      </c>
      <c r="BT1519" s="1"/>
      <c r="BU1519" s="1" t="str">
        <f>HYPERLINK("https://nconnect.nicmar.ac.in/storage/profile/ProfilePhoto_p2270095_853194.jpg","Download")</f>
        <v>0</v>
      </c>
      <c r="BV1519" s="3"/>
      <c r="BW1519" s="3"/>
    </row>
    <row r="1520" spans="1:75">
      <c r="A1520" s="1" t="s">
        <v>75</v>
      </c>
      <c r="B1520" s="1" t="s">
        <v>25236</v>
      </c>
      <c r="C1520" s="1" t="s">
        <v>26973</v>
      </c>
      <c r="D1520" s="1" t="s">
        <v>6525</v>
      </c>
      <c r="E1520" s="1" t="s">
        <v>26974</v>
      </c>
      <c r="F1520" s="1" t="s">
        <v>26975</v>
      </c>
      <c r="G1520" s="1" t="s">
        <v>26976</v>
      </c>
      <c r="H1520" s="1" t="s">
        <v>26977</v>
      </c>
      <c r="I1520" s="1" t="s">
        <v>26978</v>
      </c>
      <c r="J1520" s="1">
        <v>8408998574</v>
      </c>
      <c r="K1520" s="1" t="s">
        <v>84</v>
      </c>
      <c r="L1520" s="1" t="s">
        <v>26979</v>
      </c>
      <c r="M1520" s="1" t="s">
        <v>86</v>
      </c>
      <c r="N1520" s="1" t="s">
        <v>903</v>
      </c>
      <c r="O1520" s="1" t="s">
        <v>26980</v>
      </c>
      <c r="P1520" s="1" t="s">
        <v>455</v>
      </c>
      <c r="Q1520" s="1" t="s">
        <v>26981</v>
      </c>
      <c r="R1520" s="1" t="s">
        <v>26974</v>
      </c>
      <c r="S1520" s="1">
        <v>7038704151</v>
      </c>
      <c r="T1520" s="1" t="s">
        <v>26982</v>
      </c>
      <c r="U1520" s="1" t="s">
        <v>26983</v>
      </c>
      <c r="V1520" s="1">
        <v>8408998574</v>
      </c>
      <c r="W1520" s="1" t="s">
        <v>127</v>
      </c>
      <c r="X1520" s="1" t="s">
        <v>26984</v>
      </c>
      <c r="Y1520" s="1" t="s">
        <v>624</v>
      </c>
      <c r="Z1520" s="1" t="s">
        <v>97</v>
      </c>
      <c r="AA1520" s="1" t="s">
        <v>26984</v>
      </c>
      <c r="AB1520" s="1" t="s">
        <v>624</v>
      </c>
      <c r="AC1520" s="1" t="s">
        <v>97</v>
      </c>
      <c r="AD1520" s="1" t="s">
        <v>98</v>
      </c>
      <c r="AE1520" s="1" t="s">
        <v>98</v>
      </c>
      <c r="AF1520" s="1" t="s">
        <v>26985</v>
      </c>
      <c r="AG1520" s="1" t="s">
        <v>26986</v>
      </c>
      <c r="AH1520" s="1" t="s">
        <v>166</v>
      </c>
      <c r="AI1520" s="1" t="s">
        <v>1111</v>
      </c>
      <c r="AJ1520" s="1">
        <v>84.4</v>
      </c>
      <c r="AK1520" s="1">
        <v>8.44</v>
      </c>
      <c r="AL1520" s="1" t="s">
        <v>26987</v>
      </c>
      <c r="AM1520" s="1" t="s">
        <v>26986</v>
      </c>
      <c r="AN1520" s="1"/>
      <c r="AO1520" s="1" t="s">
        <v>170</v>
      </c>
      <c r="AP1520" s="1" t="s">
        <v>1477</v>
      </c>
      <c r="AQ1520" s="1">
        <v>64.46</v>
      </c>
      <c r="AR1520" s="1">
        <v>6.44</v>
      </c>
      <c r="AS1520" s="1"/>
      <c r="AT1520" s="1"/>
      <c r="AU1520" s="1"/>
      <c r="AV1520" s="1"/>
      <c r="AW1520" s="1"/>
      <c r="AX1520" s="1"/>
      <c r="AY1520" s="1" t="s">
        <v>415</v>
      </c>
      <c r="AZ1520" s="1" t="s">
        <v>26393</v>
      </c>
      <c r="BA1520" s="1"/>
      <c r="BB1520" s="1"/>
      <c r="BC1520" s="1" t="s">
        <v>1065</v>
      </c>
      <c r="BD1520" s="1" t="s">
        <v>289</v>
      </c>
      <c r="BE1520" s="1">
        <v>69.7</v>
      </c>
      <c r="BF1520" s="1">
        <v>7.72</v>
      </c>
      <c r="BG1520" s="1"/>
      <c r="BH1520" s="1"/>
      <c r="BI1520" s="1"/>
      <c r="BJ1520" s="1"/>
      <c r="BK1520" s="1"/>
      <c r="BL1520" s="1"/>
      <c r="BM1520" s="1"/>
      <c r="BN1520" s="1"/>
      <c r="BO1520" s="1" t="s">
        <v>26988</v>
      </c>
      <c r="BP1520" s="1"/>
      <c r="BQ1520" s="1"/>
      <c r="BR1520" s="1" t="s">
        <v>26989</v>
      </c>
      <c r="BS1520" s="1">
        <v>25</v>
      </c>
      <c r="BT1520" s="1"/>
      <c r="BU1520" s="1" t="str">
        <f>HYPERLINK("https://nconnect.nicmar.ac.in/storage/profile/ProfilePhoto_p2270096_345917.jpg","Download")</f>
        <v>0</v>
      </c>
      <c r="BV1520" s="3"/>
      <c r="BW1520" s="3"/>
    </row>
    <row r="1521" spans="1:75">
      <c r="A1521" s="1" t="s">
        <v>75</v>
      </c>
      <c r="B1521" s="1" t="s">
        <v>25236</v>
      </c>
      <c r="C1521" s="1" t="s">
        <v>26990</v>
      </c>
      <c r="D1521" s="1" t="s">
        <v>26991</v>
      </c>
      <c r="E1521" s="1"/>
      <c r="F1521" s="1" t="s">
        <v>7992</v>
      </c>
      <c r="G1521" s="1" t="s">
        <v>26992</v>
      </c>
      <c r="H1521" s="1" t="s">
        <v>26993</v>
      </c>
      <c r="I1521" s="1" t="s">
        <v>26994</v>
      </c>
      <c r="J1521" s="1">
        <v>9602942004</v>
      </c>
      <c r="K1521" s="1" t="s">
        <v>153</v>
      </c>
      <c r="L1521" s="1" t="s">
        <v>26995</v>
      </c>
      <c r="M1521" s="1" t="s">
        <v>86</v>
      </c>
      <c r="N1521" s="1" t="s">
        <v>1101</v>
      </c>
      <c r="O1521" s="1" t="s">
        <v>26996</v>
      </c>
      <c r="P1521" s="1" t="s">
        <v>481</v>
      </c>
      <c r="Q1521" s="1" t="s">
        <v>26997</v>
      </c>
      <c r="R1521" s="1" t="s">
        <v>26998</v>
      </c>
      <c r="S1521" s="1">
        <v>9414102004</v>
      </c>
      <c r="T1521" s="1" t="s">
        <v>839</v>
      </c>
      <c r="U1521" s="1" t="s">
        <v>26999</v>
      </c>
      <c r="V1521" s="1">
        <v>7230009004</v>
      </c>
      <c r="W1521" s="1" t="s">
        <v>94</v>
      </c>
      <c r="X1521" s="1" t="s">
        <v>27000</v>
      </c>
      <c r="Y1521" s="1" t="s">
        <v>27001</v>
      </c>
      <c r="Z1521" s="1" t="s">
        <v>2153</v>
      </c>
      <c r="AA1521" s="1" t="s">
        <v>27002</v>
      </c>
      <c r="AB1521" s="1" t="s">
        <v>8184</v>
      </c>
      <c r="AC1521" s="1" t="s">
        <v>2153</v>
      </c>
      <c r="AD1521" s="1" t="s">
        <v>98</v>
      </c>
      <c r="AE1521" s="1" t="s">
        <v>98</v>
      </c>
      <c r="AF1521" s="1" t="s">
        <v>27003</v>
      </c>
      <c r="AG1521" s="1" t="s">
        <v>27004</v>
      </c>
      <c r="AH1521" s="1" t="s">
        <v>3923</v>
      </c>
      <c r="AI1521" s="1" t="s">
        <v>2726</v>
      </c>
      <c r="AJ1521" s="1">
        <v>89.3</v>
      </c>
      <c r="AK1521" s="1">
        <v>9.4</v>
      </c>
      <c r="AL1521" s="1" t="s">
        <v>27003</v>
      </c>
      <c r="AM1521" s="1" t="s">
        <v>27004</v>
      </c>
      <c r="AN1521" s="1"/>
      <c r="AO1521" s="1" t="s">
        <v>3421</v>
      </c>
      <c r="AP1521" s="1" t="s">
        <v>1262</v>
      </c>
      <c r="AQ1521" s="1">
        <v>73</v>
      </c>
      <c r="AR1521" s="1"/>
      <c r="AS1521" s="1"/>
      <c r="AT1521" s="1"/>
      <c r="AU1521" s="1"/>
      <c r="AV1521" s="1"/>
      <c r="AW1521" s="1"/>
      <c r="AX1521" s="1"/>
      <c r="AY1521" s="1" t="s">
        <v>27005</v>
      </c>
      <c r="AZ1521" s="1" t="s">
        <v>27006</v>
      </c>
      <c r="BA1521" s="1"/>
      <c r="BB1521" s="1"/>
      <c r="BC1521" s="1" t="s">
        <v>105</v>
      </c>
      <c r="BD1521" s="1" t="s">
        <v>178</v>
      </c>
      <c r="BE1521" s="1">
        <v>60.61</v>
      </c>
      <c r="BF1521" s="1"/>
      <c r="BG1521" s="1"/>
      <c r="BH1521" s="1"/>
      <c r="BI1521" s="1"/>
      <c r="BJ1521" s="1"/>
      <c r="BK1521" s="1"/>
      <c r="BL1521" s="1"/>
      <c r="BM1521" s="1"/>
      <c r="BN1521" s="1"/>
      <c r="BO1521" s="1" t="s">
        <v>27007</v>
      </c>
      <c r="BP1521" s="1" t="s">
        <v>27008</v>
      </c>
      <c r="BQ1521" s="1" t="s">
        <v>4149</v>
      </c>
      <c r="BR1521" s="1" t="s">
        <v>27009</v>
      </c>
      <c r="BS1521" s="1">
        <v>102</v>
      </c>
      <c r="BT1521" s="1"/>
      <c r="BU1521" s="1" t="str">
        <f>HYPERLINK("https://nconnect.nicmar.ac.in/storage/profile/ProfilePhoto_p2270097_412697.jpg","Download")</f>
        <v>0</v>
      </c>
      <c r="BV1521" s="3"/>
      <c r="BW1521" s="3"/>
    </row>
    <row r="1522" spans="1:75">
      <c r="A1522" s="1" t="s">
        <v>75</v>
      </c>
      <c r="B1522" s="1" t="s">
        <v>25236</v>
      </c>
      <c r="C1522" s="1" t="s">
        <v>27010</v>
      </c>
      <c r="D1522" s="1" t="s">
        <v>27011</v>
      </c>
      <c r="E1522" s="1" t="s">
        <v>213</v>
      </c>
      <c r="F1522" s="1" t="s">
        <v>27012</v>
      </c>
      <c r="G1522" s="1" t="s">
        <v>27013</v>
      </c>
      <c r="H1522" s="1" t="s">
        <v>27014</v>
      </c>
      <c r="I1522" s="1" t="s">
        <v>27015</v>
      </c>
      <c r="J1522" s="1">
        <v>8857831454</v>
      </c>
      <c r="K1522" s="1" t="s">
        <v>84</v>
      </c>
      <c r="L1522" s="1" t="s">
        <v>27016</v>
      </c>
      <c r="M1522" s="1" t="s">
        <v>86</v>
      </c>
      <c r="N1522" s="1" t="s">
        <v>618</v>
      </c>
      <c r="O1522" s="1" t="s">
        <v>27017</v>
      </c>
      <c r="P1522" s="1" t="s">
        <v>481</v>
      </c>
      <c r="Q1522" s="1" t="s">
        <v>27018</v>
      </c>
      <c r="R1522" s="1" t="s">
        <v>27019</v>
      </c>
      <c r="S1522" s="1">
        <v>9421519165</v>
      </c>
      <c r="T1522" s="1" t="s">
        <v>9036</v>
      </c>
      <c r="U1522" s="1" t="s">
        <v>27020</v>
      </c>
      <c r="V1522" s="1">
        <v>9421519165</v>
      </c>
      <c r="W1522" s="1" t="s">
        <v>161</v>
      </c>
      <c r="X1522" s="1" t="s">
        <v>27021</v>
      </c>
      <c r="Y1522" s="1" t="s">
        <v>309</v>
      </c>
      <c r="Z1522" s="1" t="s">
        <v>97</v>
      </c>
      <c r="AA1522" s="1" t="s">
        <v>27022</v>
      </c>
      <c r="AB1522" s="1" t="s">
        <v>196</v>
      </c>
      <c r="AC1522" s="1" t="s">
        <v>97</v>
      </c>
      <c r="AD1522" s="1" t="s">
        <v>98</v>
      </c>
      <c r="AE1522" s="1" t="s">
        <v>98</v>
      </c>
      <c r="AF1522" s="1" t="s">
        <v>27023</v>
      </c>
      <c r="AG1522" s="1" t="s">
        <v>27024</v>
      </c>
      <c r="AH1522" s="1" t="s">
        <v>133</v>
      </c>
      <c r="AI1522" s="1" t="s">
        <v>1457</v>
      </c>
      <c r="AJ1522" s="1">
        <v>76.2</v>
      </c>
      <c r="AK1522" s="1">
        <v>7.62</v>
      </c>
      <c r="AL1522" s="1" t="s">
        <v>27025</v>
      </c>
      <c r="AM1522" s="1" t="s">
        <v>27024</v>
      </c>
      <c r="AN1522" s="1"/>
      <c r="AO1522" s="1" t="s">
        <v>101</v>
      </c>
      <c r="AP1522" s="1" t="s">
        <v>11567</v>
      </c>
      <c r="AQ1522" s="1">
        <v>56.92</v>
      </c>
      <c r="AR1522" s="1">
        <v>5.99</v>
      </c>
      <c r="AS1522" s="1"/>
      <c r="AT1522" s="1"/>
      <c r="AU1522" s="1"/>
      <c r="AV1522" s="1"/>
      <c r="AW1522" s="1"/>
      <c r="AX1522" s="1"/>
      <c r="AY1522" s="1" t="s">
        <v>27026</v>
      </c>
      <c r="AZ1522" s="1" t="s">
        <v>27027</v>
      </c>
      <c r="BA1522" s="1"/>
      <c r="BB1522" s="1"/>
      <c r="BC1522" s="1" t="s">
        <v>105</v>
      </c>
      <c r="BD1522" s="1" t="s">
        <v>549</v>
      </c>
      <c r="BE1522" s="1">
        <v>60.28</v>
      </c>
      <c r="BF1522" s="1">
        <v>6.85</v>
      </c>
      <c r="BG1522" s="1"/>
      <c r="BH1522" s="1"/>
      <c r="BI1522" s="1"/>
      <c r="BJ1522" s="1"/>
      <c r="BK1522" s="1"/>
      <c r="BL1522" s="1"/>
      <c r="BM1522" s="1"/>
      <c r="BN1522" s="1"/>
      <c r="BO1522" s="1" t="s">
        <v>1114</v>
      </c>
      <c r="BP1522" s="1" t="s">
        <v>27028</v>
      </c>
      <c r="BQ1522" s="1" t="s">
        <v>1070</v>
      </c>
      <c r="BR1522" s="1" t="s">
        <v>27029</v>
      </c>
      <c r="BS1522" s="1">
        <v>46</v>
      </c>
      <c r="BT1522" s="1"/>
      <c r="BU1522" s="1" t="str">
        <f>HYPERLINK("https://nconnect.nicmar.ac.in/storage/profile/ProfilePhoto_p2270098_238941.jpg","Download")</f>
        <v>0</v>
      </c>
      <c r="BV1522" s="3"/>
      <c r="BW1522" s="3"/>
    </row>
    <row r="1523" spans="1:75">
      <c r="A1523" s="1" t="s">
        <v>75</v>
      </c>
      <c r="B1523" s="1" t="s">
        <v>25236</v>
      </c>
      <c r="C1523" s="1" t="s">
        <v>27030</v>
      </c>
      <c r="D1523" s="1" t="s">
        <v>27031</v>
      </c>
      <c r="E1523" s="1"/>
      <c r="F1523" s="1" t="s">
        <v>27032</v>
      </c>
      <c r="G1523" s="1" t="s">
        <v>27033</v>
      </c>
      <c r="H1523" s="1" t="s">
        <v>27034</v>
      </c>
      <c r="I1523" s="1" t="s">
        <v>27035</v>
      </c>
      <c r="J1523" s="1">
        <v>9481663300</v>
      </c>
      <c r="K1523" s="1" t="s">
        <v>84</v>
      </c>
      <c r="L1523" s="1" t="s">
        <v>27036</v>
      </c>
      <c r="M1523" s="1" t="s">
        <v>86</v>
      </c>
      <c r="N1523" s="1" t="s">
        <v>27037</v>
      </c>
      <c r="O1523" s="1"/>
      <c r="P1523" s="1" t="s">
        <v>455</v>
      </c>
      <c r="Q1523" s="1" t="s">
        <v>27038</v>
      </c>
      <c r="R1523" s="1" t="s">
        <v>27039</v>
      </c>
      <c r="S1523" s="1">
        <v>9448164300</v>
      </c>
      <c r="T1523" s="1" t="s">
        <v>4486</v>
      </c>
      <c r="U1523" s="1" t="s">
        <v>27040</v>
      </c>
      <c r="V1523" s="1">
        <v>9482249789</v>
      </c>
      <c r="W1523" s="1" t="s">
        <v>1577</v>
      </c>
      <c r="X1523" s="1" t="s">
        <v>27041</v>
      </c>
      <c r="Y1523" s="1" t="s">
        <v>15530</v>
      </c>
      <c r="Z1523" s="1" t="s">
        <v>1210</v>
      </c>
      <c r="AA1523" s="1" t="s">
        <v>27041</v>
      </c>
      <c r="AB1523" s="1" t="s">
        <v>15530</v>
      </c>
      <c r="AC1523" s="1" t="s">
        <v>1210</v>
      </c>
      <c r="AD1523" s="1" t="s">
        <v>98</v>
      </c>
      <c r="AE1523" s="1" t="s">
        <v>98</v>
      </c>
      <c r="AF1523" s="1" t="s">
        <v>27042</v>
      </c>
      <c r="AG1523" s="1" t="s">
        <v>27043</v>
      </c>
      <c r="AH1523" s="1" t="s">
        <v>166</v>
      </c>
      <c r="AI1523" s="1" t="s">
        <v>627</v>
      </c>
      <c r="AJ1523" s="1">
        <v>77.9</v>
      </c>
      <c r="AK1523" s="1">
        <v>8.2</v>
      </c>
      <c r="AL1523" s="1" t="s">
        <v>27044</v>
      </c>
      <c r="AM1523" s="1" t="s">
        <v>27043</v>
      </c>
      <c r="AN1523" s="1"/>
      <c r="AO1523" s="1" t="s">
        <v>170</v>
      </c>
      <c r="AP1523" s="1" t="s">
        <v>286</v>
      </c>
      <c r="AQ1523" s="1">
        <v>83</v>
      </c>
      <c r="AR1523" s="1">
        <v>8.3</v>
      </c>
      <c r="AS1523" s="1"/>
      <c r="AT1523" s="1"/>
      <c r="AU1523" s="1"/>
      <c r="AV1523" s="1"/>
      <c r="AW1523" s="1"/>
      <c r="AX1523" s="1"/>
      <c r="AY1523" s="1" t="s">
        <v>1217</v>
      </c>
      <c r="AZ1523" s="1" t="s">
        <v>27045</v>
      </c>
      <c r="BA1523" s="1"/>
      <c r="BB1523" s="1"/>
      <c r="BC1523" s="1" t="s">
        <v>1065</v>
      </c>
      <c r="BD1523" s="1" t="s">
        <v>289</v>
      </c>
      <c r="BE1523" s="1">
        <v>60.7</v>
      </c>
      <c r="BF1523" s="1">
        <v>6.82</v>
      </c>
      <c r="BG1523" s="1"/>
      <c r="BH1523" s="1"/>
      <c r="BI1523" s="1"/>
      <c r="BJ1523" s="1"/>
      <c r="BK1523" s="1"/>
      <c r="BL1523" s="1"/>
      <c r="BM1523" s="1"/>
      <c r="BN1523" s="1"/>
      <c r="BO1523" s="1" t="s">
        <v>27046</v>
      </c>
      <c r="BP1523" s="1"/>
      <c r="BQ1523" s="1"/>
      <c r="BR1523" s="1" t="s">
        <v>27047</v>
      </c>
      <c r="BS1523" s="1">
        <v>12</v>
      </c>
      <c r="BT1523" s="1"/>
      <c r="BU1523" s="1" t="str">
        <f>HYPERLINK("https://nconnect.nicmar.ac.in/storage/profile/ProfilePhoto_p2270099_782514.jpg","Download")</f>
        <v>0</v>
      </c>
      <c r="BV1523" s="3"/>
      <c r="BW1523" s="3"/>
    </row>
    <row r="1524" spans="1:75">
      <c r="A1524" s="1" t="s">
        <v>75</v>
      </c>
      <c r="B1524" s="1" t="s">
        <v>25236</v>
      </c>
      <c r="C1524" s="1" t="s">
        <v>27048</v>
      </c>
      <c r="D1524" s="1" t="s">
        <v>1787</v>
      </c>
      <c r="E1524" s="1" t="s">
        <v>8974</v>
      </c>
      <c r="F1524" s="1" t="s">
        <v>27049</v>
      </c>
      <c r="G1524" s="1" t="s">
        <v>27050</v>
      </c>
      <c r="H1524" s="1" t="s">
        <v>27051</v>
      </c>
      <c r="I1524" s="1" t="s">
        <v>27052</v>
      </c>
      <c r="J1524" s="1">
        <v>9518540991</v>
      </c>
      <c r="K1524" s="1" t="s">
        <v>84</v>
      </c>
      <c r="L1524" s="1" t="s">
        <v>27053</v>
      </c>
      <c r="M1524" s="1" t="s">
        <v>86</v>
      </c>
      <c r="N1524" s="1" t="s">
        <v>1163</v>
      </c>
      <c r="O1524" s="1" t="s">
        <v>27054</v>
      </c>
      <c r="P1524" s="1" t="s">
        <v>455</v>
      </c>
      <c r="Q1524" s="1" t="s">
        <v>27055</v>
      </c>
      <c r="R1524" s="1" t="s">
        <v>8974</v>
      </c>
      <c r="S1524" s="1">
        <v>8975904668</v>
      </c>
      <c r="T1524" s="1" t="s">
        <v>27056</v>
      </c>
      <c r="U1524" s="1" t="s">
        <v>7380</v>
      </c>
      <c r="V1524" s="1">
        <v>8975904774</v>
      </c>
      <c r="W1524" s="1" t="s">
        <v>27057</v>
      </c>
      <c r="X1524" s="1" t="s">
        <v>27058</v>
      </c>
      <c r="Y1524" s="1" t="s">
        <v>1779</v>
      </c>
      <c r="Z1524" s="1" t="s">
        <v>97</v>
      </c>
      <c r="AA1524" s="1" t="s">
        <v>27058</v>
      </c>
      <c r="AB1524" s="1" t="s">
        <v>1779</v>
      </c>
      <c r="AC1524" s="1" t="s">
        <v>97</v>
      </c>
      <c r="AD1524" s="1" t="s">
        <v>98</v>
      </c>
      <c r="AE1524" s="1" t="s">
        <v>98</v>
      </c>
      <c r="AF1524" s="1" t="s">
        <v>27059</v>
      </c>
      <c r="AG1524" s="1" t="s">
        <v>27060</v>
      </c>
      <c r="AH1524" s="1" t="s">
        <v>101</v>
      </c>
      <c r="AI1524" s="1" t="s">
        <v>136</v>
      </c>
      <c r="AJ1524" s="1">
        <v>91.8</v>
      </c>
      <c r="AK1524" s="1">
        <v>9.66</v>
      </c>
      <c r="AL1524" s="1" t="s">
        <v>27061</v>
      </c>
      <c r="AM1524" s="1" t="s">
        <v>27060</v>
      </c>
      <c r="AN1524" s="1"/>
      <c r="AO1524" s="1" t="s">
        <v>105</v>
      </c>
      <c r="AP1524" s="1" t="s">
        <v>573</v>
      </c>
      <c r="AQ1524" s="1">
        <v>76.77</v>
      </c>
      <c r="AR1524" s="1">
        <v>8.08</v>
      </c>
      <c r="AS1524" s="1"/>
      <c r="AT1524" s="1"/>
      <c r="AU1524" s="1"/>
      <c r="AV1524" s="1"/>
      <c r="AW1524" s="1"/>
      <c r="AX1524" s="1"/>
      <c r="AY1524" s="1" t="s">
        <v>366</v>
      </c>
      <c r="AZ1524" s="1" t="s">
        <v>4721</v>
      </c>
      <c r="BA1524" s="1"/>
      <c r="BB1524" s="1"/>
      <c r="BC1524" s="1" t="s">
        <v>230</v>
      </c>
      <c r="BD1524" s="1" t="s">
        <v>845</v>
      </c>
      <c r="BE1524" s="1">
        <v>65.05</v>
      </c>
      <c r="BF1524" s="1">
        <v>7.31</v>
      </c>
      <c r="BG1524" s="1"/>
      <c r="BH1524" s="1"/>
      <c r="BI1524" s="1"/>
      <c r="BJ1524" s="1"/>
      <c r="BK1524" s="1"/>
      <c r="BL1524" s="1"/>
      <c r="BM1524" s="1"/>
      <c r="BN1524" s="1"/>
      <c r="BO1524" s="1" t="s">
        <v>27062</v>
      </c>
      <c r="BP1524" s="1"/>
      <c r="BQ1524" s="1"/>
      <c r="BR1524" s="1" t="s">
        <v>27063</v>
      </c>
      <c r="BS1524" s="1">
        <v>9</v>
      </c>
      <c r="BT1524" s="1"/>
      <c r="BU1524" s="1" t="str">
        <f>HYPERLINK("https://nconnect.nicmar.ac.in/storage/profile/ProfilePhoto_p2270100_964823.jpg","Download")</f>
        <v>0</v>
      </c>
      <c r="BV1524" s="3"/>
      <c r="BW1524" s="3"/>
    </row>
    <row r="1525" spans="1:75">
      <c r="A1525" s="1" t="s">
        <v>75</v>
      </c>
      <c r="B1525" s="1" t="s">
        <v>25236</v>
      </c>
      <c r="C1525" s="1" t="s">
        <v>27064</v>
      </c>
      <c r="D1525" s="1" t="s">
        <v>10508</v>
      </c>
      <c r="E1525" s="1"/>
      <c r="F1525" s="1" t="s">
        <v>1964</v>
      </c>
      <c r="G1525" s="1" t="s">
        <v>27065</v>
      </c>
      <c r="H1525" s="1" t="s">
        <v>27066</v>
      </c>
      <c r="I1525" s="1" t="s">
        <v>27067</v>
      </c>
      <c r="J1525" s="1">
        <v>8553478847</v>
      </c>
      <c r="K1525" s="1" t="s">
        <v>84</v>
      </c>
      <c r="L1525" s="1" t="s">
        <v>27068</v>
      </c>
      <c r="M1525" s="1" t="s">
        <v>86</v>
      </c>
      <c r="N1525" s="1" t="s">
        <v>27069</v>
      </c>
      <c r="O1525" s="1"/>
      <c r="P1525" s="1" t="s">
        <v>455</v>
      </c>
      <c r="Q1525" s="1" t="s">
        <v>27070</v>
      </c>
      <c r="R1525" s="1" t="s">
        <v>27071</v>
      </c>
      <c r="S1525" s="1">
        <v>9980699001</v>
      </c>
      <c r="T1525" s="1" t="s">
        <v>27072</v>
      </c>
      <c r="U1525" s="1" t="s">
        <v>3502</v>
      </c>
      <c r="V1525" s="1">
        <v>9980799001</v>
      </c>
      <c r="W1525" s="1" t="s">
        <v>541</v>
      </c>
      <c r="X1525" s="1" t="s">
        <v>27073</v>
      </c>
      <c r="Y1525" s="1" t="s">
        <v>4611</v>
      </c>
      <c r="Z1525" s="1" t="s">
        <v>1210</v>
      </c>
      <c r="AA1525" s="1" t="s">
        <v>27074</v>
      </c>
      <c r="AB1525" s="1" t="s">
        <v>196</v>
      </c>
      <c r="AC1525" s="1" t="s">
        <v>97</v>
      </c>
      <c r="AD1525" s="1" t="s">
        <v>98</v>
      </c>
      <c r="AE1525" s="1" t="s">
        <v>98</v>
      </c>
      <c r="AF1525" s="1" t="s">
        <v>27075</v>
      </c>
      <c r="AG1525" s="1" t="s">
        <v>1946</v>
      </c>
      <c r="AH1525" s="1" t="s">
        <v>1213</v>
      </c>
      <c r="AI1525" s="1" t="s">
        <v>1214</v>
      </c>
      <c r="AJ1525" s="1">
        <v>93.76</v>
      </c>
      <c r="AK1525" s="1"/>
      <c r="AL1525" s="1" t="s">
        <v>27076</v>
      </c>
      <c r="AM1525" s="1" t="s">
        <v>3732</v>
      </c>
      <c r="AN1525" s="1"/>
      <c r="AO1525" s="1" t="s">
        <v>166</v>
      </c>
      <c r="AP1525" s="1" t="s">
        <v>1111</v>
      </c>
      <c r="AQ1525" s="1">
        <v>92.5</v>
      </c>
      <c r="AR1525" s="1"/>
      <c r="AS1525" s="1"/>
      <c r="AT1525" s="1"/>
      <c r="AU1525" s="1"/>
      <c r="AV1525" s="1"/>
      <c r="AW1525" s="1"/>
      <c r="AX1525" s="1"/>
      <c r="AY1525" s="1" t="s">
        <v>731</v>
      </c>
      <c r="AZ1525" s="1" t="s">
        <v>27077</v>
      </c>
      <c r="BA1525" s="1"/>
      <c r="BB1525" s="1"/>
      <c r="BC1525" s="1" t="s">
        <v>139</v>
      </c>
      <c r="BD1525" s="1" t="s">
        <v>1040</v>
      </c>
      <c r="BE1525" s="1">
        <v>81.9</v>
      </c>
      <c r="BF1525" s="1">
        <v>8.94</v>
      </c>
      <c r="BG1525" s="1"/>
      <c r="BH1525" s="1"/>
      <c r="BI1525" s="1"/>
      <c r="BJ1525" s="1"/>
      <c r="BK1525" s="1"/>
      <c r="BL1525" s="1"/>
      <c r="BM1525" s="1"/>
      <c r="BN1525" s="1"/>
      <c r="BO1525" s="1" t="s">
        <v>27078</v>
      </c>
      <c r="BP1525" s="1" t="s">
        <v>27079</v>
      </c>
      <c r="BQ1525" s="1" t="s">
        <v>292</v>
      </c>
      <c r="BR1525" s="1" t="s">
        <v>27080</v>
      </c>
      <c r="BS1525" s="1">
        <v>7</v>
      </c>
      <c r="BT1525" s="1"/>
      <c r="BU1525" s="1" t="str">
        <f>HYPERLINK("https://nconnect.nicmar.ac.in/storage/profile/ProfilePhoto_p2270101_268157.jpg","Download")</f>
        <v>0</v>
      </c>
      <c r="BV1525" s="3"/>
      <c r="BW1525" s="3"/>
    </row>
    <row r="1526" spans="1:75">
      <c r="A1526" s="1" t="s">
        <v>75</v>
      </c>
      <c r="B1526" s="1" t="s">
        <v>25236</v>
      </c>
      <c r="C1526" s="1" t="s">
        <v>27081</v>
      </c>
      <c r="D1526" s="1" t="s">
        <v>2097</v>
      </c>
      <c r="E1526" s="1" t="s">
        <v>3058</v>
      </c>
      <c r="F1526" s="1" t="s">
        <v>11351</v>
      </c>
      <c r="G1526" s="1" t="s">
        <v>27082</v>
      </c>
      <c r="H1526" s="1" t="s">
        <v>27083</v>
      </c>
      <c r="I1526" s="1" t="s">
        <v>27084</v>
      </c>
      <c r="J1526" s="1">
        <v>7972666092</v>
      </c>
      <c r="K1526" s="1" t="s">
        <v>84</v>
      </c>
      <c r="L1526" s="1" t="s">
        <v>27085</v>
      </c>
      <c r="M1526" s="1" t="s">
        <v>86</v>
      </c>
      <c r="N1526" s="1" t="s">
        <v>903</v>
      </c>
      <c r="O1526" s="1" t="s">
        <v>27086</v>
      </c>
      <c r="P1526" s="1" t="s">
        <v>455</v>
      </c>
      <c r="Q1526" s="1" t="s">
        <v>27087</v>
      </c>
      <c r="R1526" s="1" t="s">
        <v>27088</v>
      </c>
      <c r="S1526" s="1">
        <v>9850262879</v>
      </c>
      <c r="T1526" s="1" t="s">
        <v>27089</v>
      </c>
      <c r="U1526" s="1" t="s">
        <v>27090</v>
      </c>
      <c r="V1526" s="1">
        <v>9403513036</v>
      </c>
      <c r="W1526" s="1" t="s">
        <v>9036</v>
      </c>
      <c r="X1526" s="1" t="s">
        <v>27091</v>
      </c>
      <c r="Y1526" s="1" t="s">
        <v>910</v>
      </c>
      <c r="Z1526" s="1" t="s">
        <v>97</v>
      </c>
      <c r="AA1526" s="1" t="s">
        <v>27091</v>
      </c>
      <c r="AB1526" s="1" t="s">
        <v>910</v>
      </c>
      <c r="AC1526" s="1" t="s">
        <v>97</v>
      </c>
      <c r="AD1526" s="1" t="s">
        <v>98</v>
      </c>
      <c r="AE1526" s="1" t="s">
        <v>98</v>
      </c>
      <c r="AF1526" s="1" t="s">
        <v>27092</v>
      </c>
      <c r="AG1526" s="1" t="s">
        <v>27093</v>
      </c>
      <c r="AH1526" s="1" t="s">
        <v>1213</v>
      </c>
      <c r="AI1526" s="1" t="s">
        <v>101</v>
      </c>
      <c r="AJ1526" s="1">
        <v>80</v>
      </c>
      <c r="AK1526" s="1">
        <v>0</v>
      </c>
      <c r="AL1526" s="1" t="s">
        <v>27094</v>
      </c>
      <c r="AM1526" s="1" t="s">
        <v>27093</v>
      </c>
      <c r="AN1526" s="1"/>
      <c r="AO1526" s="1" t="s">
        <v>166</v>
      </c>
      <c r="AP1526" s="1" t="s">
        <v>167</v>
      </c>
      <c r="AQ1526" s="1">
        <v>62.92</v>
      </c>
      <c r="AR1526" s="1">
        <v>0</v>
      </c>
      <c r="AS1526" s="1"/>
      <c r="AT1526" s="1"/>
      <c r="AU1526" s="1"/>
      <c r="AV1526" s="1"/>
      <c r="AW1526" s="1"/>
      <c r="AX1526" s="1"/>
      <c r="AY1526" s="1" t="s">
        <v>366</v>
      </c>
      <c r="AZ1526" s="1" t="s">
        <v>27095</v>
      </c>
      <c r="BA1526" s="1"/>
      <c r="BB1526" s="1"/>
      <c r="BC1526" s="1" t="s">
        <v>139</v>
      </c>
      <c r="BD1526" s="1" t="s">
        <v>441</v>
      </c>
      <c r="BE1526" s="1">
        <v>62.48</v>
      </c>
      <c r="BF1526" s="1">
        <v>7.1</v>
      </c>
      <c r="BG1526" s="1"/>
      <c r="BH1526" s="1"/>
      <c r="BI1526" s="1"/>
      <c r="BJ1526" s="1"/>
      <c r="BK1526" s="1"/>
      <c r="BL1526" s="1"/>
      <c r="BM1526" s="1"/>
      <c r="BN1526" s="1"/>
      <c r="BO1526" s="1" t="s">
        <v>27096</v>
      </c>
      <c r="BP1526" s="1" t="s">
        <v>27097</v>
      </c>
      <c r="BQ1526" s="1" t="s">
        <v>1070</v>
      </c>
      <c r="BR1526" s="1" t="s">
        <v>27098</v>
      </c>
      <c r="BS1526" s="1">
        <v>8</v>
      </c>
      <c r="BT1526" s="1"/>
      <c r="BU1526" s="1" t="str">
        <f>HYPERLINK("https://nconnect.nicmar.ac.in/storage/profile/ProfilePhoto_p2270102_135294.jpg","Download")</f>
        <v>0</v>
      </c>
      <c r="BV1526" s="3"/>
      <c r="BW1526" s="3"/>
    </row>
    <row r="1527" spans="1:75">
      <c r="A1527" s="1" t="s">
        <v>75</v>
      </c>
      <c r="B1527" s="1" t="s">
        <v>25236</v>
      </c>
      <c r="C1527" s="1" t="s">
        <v>27099</v>
      </c>
      <c r="D1527" s="1" t="s">
        <v>12383</v>
      </c>
      <c r="E1527" s="1"/>
      <c r="F1527" s="1" t="s">
        <v>27100</v>
      </c>
      <c r="G1527" s="1" t="s">
        <v>27101</v>
      </c>
      <c r="H1527" s="1" t="s">
        <v>27102</v>
      </c>
      <c r="I1527" s="1" t="s">
        <v>27103</v>
      </c>
      <c r="J1527" s="1">
        <v>8002339343</v>
      </c>
      <c r="K1527" s="1" t="s">
        <v>84</v>
      </c>
      <c r="L1527" s="1" t="s">
        <v>27104</v>
      </c>
      <c r="M1527" s="1" t="s">
        <v>86</v>
      </c>
      <c r="N1527" s="1" t="s">
        <v>355</v>
      </c>
      <c r="O1527" s="1"/>
      <c r="P1527" s="1" t="s">
        <v>1028</v>
      </c>
      <c r="Q1527" s="1" t="s">
        <v>27105</v>
      </c>
      <c r="R1527" s="1" t="s">
        <v>27106</v>
      </c>
      <c r="S1527" s="1">
        <v>9431496135</v>
      </c>
      <c r="T1527" s="1" t="s">
        <v>839</v>
      </c>
      <c r="U1527" s="1" t="s">
        <v>27107</v>
      </c>
      <c r="V1527" s="1">
        <v>8986042454</v>
      </c>
      <c r="W1527" s="1" t="s">
        <v>541</v>
      </c>
      <c r="X1527" s="1" t="s">
        <v>27108</v>
      </c>
      <c r="Y1527" s="1" t="s">
        <v>648</v>
      </c>
      <c r="Z1527" s="1" t="s">
        <v>649</v>
      </c>
      <c r="AA1527" s="1" t="s">
        <v>27108</v>
      </c>
      <c r="AB1527" s="1" t="s">
        <v>648</v>
      </c>
      <c r="AC1527" s="1" t="s">
        <v>649</v>
      </c>
      <c r="AD1527" s="1" t="s">
        <v>98</v>
      </c>
      <c r="AE1527" s="1" t="s">
        <v>98</v>
      </c>
      <c r="AF1527" s="1" t="s">
        <v>27109</v>
      </c>
      <c r="AG1527" s="1" t="s">
        <v>27110</v>
      </c>
      <c r="AH1527" s="1" t="s">
        <v>3923</v>
      </c>
      <c r="AI1527" s="1" t="s">
        <v>2726</v>
      </c>
      <c r="AJ1527" s="1">
        <v>89.3</v>
      </c>
      <c r="AK1527" s="1">
        <v>9.4</v>
      </c>
      <c r="AL1527" s="1" t="s">
        <v>27111</v>
      </c>
      <c r="AM1527" s="1" t="s">
        <v>27110</v>
      </c>
      <c r="AN1527" s="1"/>
      <c r="AO1527" s="1" t="s">
        <v>1213</v>
      </c>
      <c r="AP1527" s="1" t="s">
        <v>1262</v>
      </c>
      <c r="AQ1527" s="1">
        <v>58.4</v>
      </c>
      <c r="AR1527" s="1">
        <v>0</v>
      </c>
      <c r="AS1527" s="1"/>
      <c r="AT1527" s="1"/>
      <c r="AU1527" s="1"/>
      <c r="AV1527" s="1"/>
      <c r="AW1527" s="1"/>
      <c r="AX1527" s="1"/>
      <c r="AY1527" s="1" t="s">
        <v>3771</v>
      </c>
      <c r="AZ1527" s="1" t="s">
        <v>27112</v>
      </c>
      <c r="BA1527" s="1"/>
      <c r="BB1527" s="1"/>
      <c r="BC1527" s="1" t="s">
        <v>257</v>
      </c>
      <c r="BD1527" s="1" t="s">
        <v>438</v>
      </c>
      <c r="BE1527" s="1">
        <v>62.2</v>
      </c>
      <c r="BF1527" s="1">
        <v>6.22</v>
      </c>
      <c r="BG1527" s="1"/>
      <c r="BH1527" s="1"/>
      <c r="BI1527" s="1"/>
      <c r="BJ1527" s="1"/>
      <c r="BK1527" s="1"/>
      <c r="BL1527" s="1"/>
      <c r="BM1527" s="1"/>
      <c r="BN1527" s="1"/>
      <c r="BO1527" s="1" t="s">
        <v>27113</v>
      </c>
      <c r="BP1527" s="1" t="s">
        <v>27114</v>
      </c>
      <c r="BQ1527" s="1" t="s">
        <v>9111</v>
      </c>
      <c r="BR1527" s="1" t="s">
        <v>27115</v>
      </c>
      <c r="BS1527" s="1">
        <v>12</v>
      </c>
      <c r="BT1527" s="1"/>
      <c r="BU1527" s="1" t="str">
        <f>HYPERLINK("https://nconnect.nicmar.ac.in/storage/profile/ProfilePhoto_p2270103_147658.jpg","Download")</f>
        <v>0</v>
      </c>
      <c r="BV1527" s="3"/>
      <c r="BW1527" s="3"/>
    </row>
    <row r="1528" spans="1:75">
      <c r="A1528" s="1" t="s">
        <v>75</v>
      </c>
      <c r="B1528" s="1" t="s">
        <v>25236</v>
      </c>
      <c r="C1528" s="1" t="s">
        <v>27116</v>
      </c>
      <c r="D1528" s="1" t="s">
        <v>27117</v>
      </c>
      <c r="E1528" s="1" t="s">
        <v>27118</v>
      </c>
      <c r="F1528" s="1" t="s">
        <v>27119</v>
      </c>
      <c r="G1528" s="1" t="s">
        <v>27120</v>
      </c>
      <c r="H1528" s="1" t="s">
        <v>27121</v>
      </c>
      <c r="I1528" s="1" t="s">
        <v>27122</v>
      </c>
      <c r="J1528" s="1">
        <v>7448157563</v>
      </c>
      <c r="K1528" s="1" t="s">
        <v>84</v>
      </c>
      <c r="L1528" s="1" t="s">
        <v>25332</v>
      </c>
      <c r="M1528" s="1" t="s">
        <v>86</v>
      </c>
      <c r="N1528" s="1" t="s">
        <v>3568</v>
      </c>
      <c r="O1528" s="1" t="s">
        <v>27123</v>
      </c>
      <c r="P1528" s="1" t="s">
        <v>2021</v>
      </c>
      <c r="Q1528" s="1" t="s">
        <v>27124</v>
      </c>
      <c r="R1528" s="1" t="s">
        <v>27125</v>
      </c>
      <c r="S1528" s="1">
        <v>9209182235</v>
      </c>
      <c r="T1528" s="1" t="s">
        <v>92</v>
      </c>
      <c r="U1528" s="1" t="s">
        <v>27126</v>
      </c>
      <c r="V1528" s="1">
        <v>9823617663</v>
      </c>
      <c r="W1528" s="1" t="s">
        <v>161</v>
      </c>
      <c r="X1528" s="1" t="s">
        <v>27127</v>
      </c>
      <c r="Y1528" s="1" t="s">
        <v>5181</v>
      </c>
      <c r="Z1528" s="1" t="s">
        <v>97</v>
      </c>
      <c r="AA1528" s="1" t="s">
        <v>27127</v>
      </c>
      <c r="AB1528" s="1" t="s">
        <v>5181</v>
      </c>
      <c r="AC1528" s="1" t="s">
        <v>97</v>
      </c>
      <c r="AD1528" s="1" t="s">
        <v>98</v>
      </c>
      <c r="AE1528" s="1" t="s">
        <v>98</v>
      </c>
      <c r="AF1528" s="1" t="s">
        <v>99</v>
      </c>
      <c r="AG1528" s="1" t="s">
        <v>27128</v>
      </c>
      <c r="AH1528" s="1" t="s">
        <v>166</v>
      </c>
      <c r="AI1528" s="1" t="s">
        <v>1111</v>
      </c>
      <c r="AJ1528" s="1">
        <v>87.2</v>
      </c>
      <c r="AK1528" s="1"/>
      <c r="AL1528" s="1"/>
      <c r="AM1528" s="1"/>
      <c r="AN1528" s="1"/>
      <c r="AO1528" s="1"/>
      <c r="AP1528" s="1"/>
      <c r="AQ1528" s="1"/>
      <c r="AR1528" s="1"/>
      <c r="AS1528" s="1" t="s">
        <v>27129</v>
      </c>
      <c r="AT1528" s="1" t="s">
        <v>27130</v>
      </c>
      <c r="AU1528" s="1" t="s">
        <v>139</v>
      </c>
      <c r="AV1528" s="1" t="s">
        <v>547</v>
      </c>
      <c r="AW1528" s="1">
        <v>56.94</v>
      </c>
      <c r="AX1528" s="1"/>
      <c r="AY1528" s="1" t="s">
        <v>27131</v>
      </c>
      <c r="AZ1528" s="1" t="s">
        <v>27132</v>
      </c>
      <c r="BA1528" s="1"/>
      <c r="BB1528" s="1"/>
      <c r="BC1528" s="1" t="s">
        <v>206</v>
      </c>
      <c r="BD1528" s="1" t="s">
        <v>1400</v>
      </c>
      <c r="BE1528" s="1">
        <v>85.3</v>
      </c>
      <c r="BF1528" s="1">
        <v>9.03</v>
      </c>
      <c r="BG1528" s="1"/>
      <c r="BH1528" s="1"/>
      <c r="BI1528" s="1"/>
      <c r="BJ1528" s="1"/>
      <c r="BK1528" s="1"/>
      <c r="BL1528" s="1"/>
      <c r="BM1528" s="1"/>
      <c r="BN1528" s="1"/>
      <c r="BO1528" s="1" t="s">
        <v>25985</v>
      </c>
      <c r="BP1528" s="1"/>
      <c r="BQ1528" s="1"/>
      <c r="BR1528" s="1" t="s">
        <v>27133</v>
      </c>
      <c r="BS1528" s="1">
        <v>20</v>
      </c>
      <c r="BT1528" s="1"/>
      <c r="BU1528" s="1" t="str">
        <f>HYPERLINK("https://nconnect.nicmar.ac.in/storage/profile/ProfilePhoto_p2270104_178325.jpg","Download")</f>
        <v>0</v>
      </c>
      <c r="BV1528" s="3"/>
      <c r="BW1528" s="3"/>
    </row>
    <row r="1529" spans="1:75">
      <c r="A1529" s="1" t="s">
        <v>75</v>
      </c>
      <c r="B1529" s="1" t="s">
        <v>25236</v>
      </c>
      <c r="C1529" s="1" t="s">
        <v>27134</v>
      </c>
      <c r="D1529" s="1" t="s">
        <v>27135</v>
      </c>
      <c r="E1529" s="1" t="s">
        <v>5753</v>
      </c>
      <c r="F1529" s="1" t="s">
        <v>27136</v>
      </c>
      <c r="G1529" s="1" t="s">
        <v>27137</v>
      </c>
      <c r="H1529" s="1" t="s">
        <v>27138</v>
      </c>
      <c r="I1529" s="1" t="s">
        <v>27139</v>
      </c>
      <c r="J1529" s="1">
        <v>9834389900</v>
      </c>
      <c r="K1529" s="1" t="s">
        <v>153</v>
      </c>
      <c r="L1529" s="1" t="s">
        <v>27140</v>
      </c>
      <c r="M1529" s="1" t="s">
        <v>86</v>
      </c>
      <c r="N1529" s="1" t="s">
        <v>5025</v>
      </c>
      <c r="O1529" s="1" t="s">
        <v>27141</v>
      </c>
      <c r="P1529" s="1" t="s">
        <v>455</v>
      </c>
      <c r="Q1529" s="1" t="s">
        <v>27142</v>
      </c>
      <c r="R1529" s="1" t="s">
        <v>27143</v>
      </c>
      <c r="S1529" s="1">
        <v>9422166406</v>
      </c>
      <c r="T1529" s="1" t="s">
        <v>839</v>
      </c>
      <c r="U1529" s="1" t="s">
        <v>27144</v>
      </c>
      <c r="V1529" s="1">
        <v>7774036406</v>
      </c>
      <c r="W1529" s="1" t="s">
        <v>278</v>
      </c>
      <c r="X1529" s="1" t="s">
        <v>27145</v>
      </c>
      <c r="Y1529" s="1" t="s">
        <v>410</v>
      </c>
      <c r="Z1529" s="1" t="s">
        <v>97</v>
      </c>
      <c r="AA1529" s="1" t="s">
        <v>27145</v>
      </c>
      <c r="AB1529" s="1" t="s">
        <v>410</v>
      </c>
      <c r="AC1529" s="1" t="s">
        <v>97</v>
      </c>
      <c r="AD1529" s="1" t="s">
        <v>98</v>
      </c>
      <c r="AE1529" s="1" t="s">
        <v>98</v>
      </c>
      <c r="AF1529" s="1" t="s">
        <v>27146</v>
      </c>
      <c r="AG1529" s="1" t="s">
        <v>2745</v>
      </c>
      <c r="AH1529" s="1" t="s">
        <v>166</v>
      </c>
      <c r="AI1529" s="1" t="s">
        <v>1111</v>
      </c>
      <c r="AJ1529" s="1">
        <v>92.4</v>
      </c>
      <c r="AK1529" s="1"/>
      <c r="AL1529" s="1" t="s">
        <v>27147</v>
      </c>
      <c r="AM1529" s="1" t="s">
        <v>2745</v>
      </c>
      <c r="AN1529" s="1"/>
      <c r="AO1529" s="1" t="s">
        <v>170</v>
      </c>
      <c r="AP1529" s="1" t="s">
        <v>1477</v>
      </c>
      <c r="AQ1529" s="1">
        <v>71.08</v>
      </c>
      <c r="AR1529" s="1"/>
      <c r="AS1529" s="1"/>
      <c r="AT1529" s="1"/>
      <c r="AU1529" s="1"/>
      <c r="AV1529" s="1"/>
      <c r="AW1529" s="1"/>
      <c r="AX1529" s="1"/>
      <c r="AY1529" s="1" t="s">
        <v>27148</v>
      </c>
      <c r="AZ1529" s="1" t="s">
        <v>3678</v>
      </c>
      <c r="BA1529" s="1"/>
      <c r="BB1529" s="1"/>
      <c r="BC1529" s="1" t="s">
        <v>174</v>
      </c>
      <c r="BD1529" s="1" t="s">
        <v>289</v>
      </c>
      <c r="BE1529" s="1">
        <v>66.4</v>
      </c>
      <c r="BF1529" s="1">
        <v>7.39</v>
      </c>
      <c r="BG1529" s="1"/>
      <c r="BH1529" s="1"/>
      <c r="BI1529" s="1"/>
      <c r="BJ1529" s="1"/>
      <c r="BK1529" s="1"/>
      <c r="BL1529" s="1"/>
      <c r="BM1529" s="1"/>
      <c r="BN1529" s="1"/>
      <c r="BO1529" s="1" t="s">
        <v>1705</v>
      </c>
      <c r="BP1529" s="1"/>
      <c r="BQ1529" s="1"/>
      <c r="BR1529" s="1" t="s">
        <v>27149</v>
      </c>
      <c r="BS1529" s="1">
        <v>24</v>
      </c>
      <c r="BT1529" s="1"/>
      <c r="BU1529" s="1" t="str">
        <f>HYPERLINK("https://nconnect.nicmar.ac.in/storage/profile/ProfilePhoto_p2270105_592386.jpg","Download")</f>
        <v>0</v>
      </c>
      <c r="BV1529" s="3"/>
      <c r="BW1529" s="3"/>
    </row>
    <row r="1530" spans="1:75">
      <c r="A1530" s="1" t="s">
        <v>75</v>
      </c>
      <c r="B1530" s="1" t="s">
        <v>25236</v>
      </c>
      <c r="C1530" s="1" t="s">
        <v>27150</v>
      </c>
      <c r="D1530" s="1" t="s">
        <v>27151</v>
      </c>
      <c r="E1530" s="1" t="s">
        <v>1404</v>
      </c>
      <c r="F1530" s="1" t="s">
        <v>2233</v>
      </c>
      <c r="G1530" s="1" t="s">
        <v>27152</v>
      </c>
      <c r="H1530" s="1" t="s">
        <v>27153</v>
      </c>
      <c r="I1530" s="1" t="s">
        <v>27154</v>
      </c>
      <c r="J1530" s="1">
        <v>7093397983</v>
      </c>
      <c r="K1530" s="1" t="s">
        <v>84</v>
      </c>
      <c r="L1530" s="1" t="s">
        <v>3723</v>
      </c>
      <c r="M1530" s="1" t="s">
        <v>86</v>
      </c>
      <c r="N1530" s="1" t="s">
        <v>1449</v>
      </c>
      <c r="O1530" s="1" t="s">
        <v>27155</v>
      </c>
      <c r="P1530" s="1" t="s">
        <v>507</v>
      </c>
      <c r="Q1530" s="1" t="s">
        <v>27156</v>
      </c>
      <c r="R1530" s="1" t="s">
        <v>27157</v>
      </c>
      <c r="S1530" s="1">
        <v>9492822231</v>
      </c>
      <c r="T1530" s="1" t="s">
        <v>27158</v>
      </c>
      <c r="U1530" s="1" t="s">
        <v>27159</v>
      </c>
      <c r="V1530" s="1">
        <v>9493424390</v>
      </c>
      <c r="W1530" s="1" t="s">
        <v>161</v>
      </c>
      <c r="X1530" s="1" t="s">
        <v>27160</v>
      </c>
      <c r="Y1530" s="1" t="s">
        <v>1454</v>
      </c>
      <c r="Z1530" s="1" t="s">
        <v>281</v>
      </c>
      <c r="AA1530" s="1" t="s">
        <v>27160</v>
      </c>
      <c r="AB1530" s="1" t="s">
        <v>1454</v>
      </c>
      <c r="AC1530" s="1" t="s">
        <v>281</v>
      </c>
      <c r="AD1530" s="1" t="s">
        <v>98</v>
      </c>
      <c r="AE1530" s="1" t="s">
        <v>98</v>
      </c>
      <c r="AF1530" s="1" t="s">
        <v>27161</v>
      </c>
      <c r="AG1530" s="1" t="s">
        <v>10442</v>
      </c>
      <c r="AH1530" s="1" t="s">
        <v>1110</v>
      </c>
      <c r="AI1530" s="1" t="s">
        <v>1111</v>
      </c>
      <c r="AJ1530" s="1">
        <v>93</v>
      </c>
      <c r="AK1530" s="1">
        <v>9.3</v>
      </c>
      <c r="AL1530" s="1" t="s">
        <v>1843</v>
      </c>
      <c r="AM1530" s="1" t="s">
        <v>10444</v>
      </c>
      <c r="AN1530" s="1"/>
      <c r="AO1530" s="1" t="s">
        <v>284</v>
      </c>
      <c r="AP1530" s="1" t="s">
        <v>286</v>
      </c>
      <c r="AQ1530" s="1">
        <v>88.1</v>
      </c>
      <c r="AR1530" s="1">
        <v>0</v>
      </c>
      <c r="AS1530" s="1"/>
      <c r="AT1530" s="1"/>
      <c r="AU1530" s="1"/>
      <c r="AV1530" s="1"/>
      <c r="AW1530" s="1"/>
      <c r="AX1530" s="1"/>
      <c r="AY1530" s="1" t="s">
        <v>2654</v>
      </c>
      <c r="AZ1530" s="1" t="s">
        <v>27162</v>
      </c>
      <c r="BA1530" s="1"/>
      <c r="BB1530" s="1"/>
      <c r="BC1530" s="1" t="s">
        <v>1065</v>
      </c>
      <c r="BD1530" s="1" t="s">
        <v>632</v>
      </c>
      <c r="BE1530" s="1">
        <v>78.7</v>
      </c>
      <c r="BF1530" s="1">
        <v>8.62</v>
      </c>
      <c r="BG1530" s="1"/>
      <c r="BH1530" s="1"/>
      <c r="BI1530" s="1"/>
      <c r="BJ1530" s="1"/>
      <c r="BK1530" s="1"/>
      <c r="BL1530" s="1"/>
      <c r="BM1530" s="1"/>
      <c r="BN1530" s="1"/>
      <c r="BO1530" s="1" t="s">
        <v>27163</v>
      </c>
      <c r="BP1530" s="1"/>
      <c r="BQ1530" s="1"/>
      <c r="BR1530" s="1" t="s">
        <v>27164</v>
      </c>
      <c r="BS1530" s="1">
        <v>22</v>
      </c>
      <c r="BT1530" s="1"/>
      <c r="BU1530" s="1" t="str">
        <f>HYPERLINK("https://nconnect.nicmar.ac.in/storage/profile/ProfilePhoto_p2270106_529783.jpg","Download")</f>
        <v>0</v>
      </c>
      <c r="BV1530" s="3"/>
      <c r="BW1530" s="3"/>
    </row>
    <row r="1531" spans="1:75">
      <c r="A1531" s="1" t="s">
        <v>75</v>
      </c>
      <c r="B1531" s="1" t="s">
        <v>25236</v>
      </c>
      <c r="C1531" s="1" t="s">
        <v>27165</v>
      </c>
      <c r="D1531" s="1" t="s">
        <v>9150</v>
      </c>
      <c r="E1531" s="1"/>
      <c r="F1531" s="1" t="s">
        <v>27166</v>
      </c>
      <c r="G1531" s="1" t="s">
        <v>27167</v>
      </c>
      <c r="H1531" s="1" t="s">
        <v>27168</v>
      </c>
      <c r="I1531" s="1" t="s">
        <v>27169</v>
      </c>
      <c r="J1531" s="1">
        <v>9804266252</v>
      </c>
      <c r="K1531" s="1" t="s">
        <v>84</v>
      </c>
      <c r="L1531" s="1" t="s">
        <v>27170</v>
      </c>
      <c r="M1531" s="1" t="s">
        <v>86</v>
      </c>
      <c r="N1531" s="1" t="s">
        <v>27171</v>
      </c>
      <c r="O1531" s="1" t="s">
        <v>27172</v>
      </c>
      <c r="P1531" s="1" t="s">
        <v>1028</v>
      </c>
      <c r="Q1531" s="1" t="s">
        <v>27173</v>
      </c>
      <c r="R1531" s="1" t="s">
        <v>27174</v>
      </c>
      <c r="S1531" s="1">
        <v>9432667635</v>
      </c>
      <c r="T1531" s="1" t="s">
        <v>3396</v>
      </c>
      <c r="U1531" s="1" t="s">
        <v>27175</v>
      </c>
      <c r="V1531" s="1">
        <v>9903405870</v>
      </c>
      <c r="W1531" s="1" t="s">
        <v>4695</v>
      </c>
      <c r="X1531" s="1" t="s">
        <v>27176</v>
      </c>
      <c r="Y1531" s="1" t="s">
        <v>3282</v>
      </c>
      <c r="Z1531" s="1" t="s">
        <v>1234</v>
      </c>
      <c r="AA1531" s="1" t="s">
        <v>27176</v>
      </c>
      <c r="AB1531" s="1" t="s">
        <v>3282</v>
      </c>
      <c r="AC1531" s="1" t="s">
        <v>1234</v>
      </c>
      <c r="AD1531" s="1" t="s">
        <v>98</v>
      </c>
      <c r="AE1531" s="1" t="s">
        <v>98</v>
      </c>
      <c r="AF1531" s="1" t="s">
        <v>27177</v>
      </c>
      <c r="AG1531" s="1" t="s">
        <v>3284</v>
      </c>
      <c r="AH1531" s="1" t="s">
        <v>27178</v>
      </c>
      <c r="AI1531" s="1" t="s">
        <v>2726</v>
      </c>
      <c r="AJ1531" s="1">
        <v>83.28</v>
      </c>
      <c r="AK1531" s="1"/>
      <c r="AL1531" s="1" t="s">
        <v>27179</v>
      </c>
      <c r="AM1531" s="1" t="s">
        <v>3284</v>
      </c>
      <c r="AN1531" s="1"/>
      <c r="AO1531" s="1" t="s">
        <v>17360</v>
      </c>
      <c r="AP1531" s="1" t="s">
        <v>1262</v>
      </c>
      <c r="AQ1531" s="1">
        <v>78</v>
      </c>
      <c r="AR1531" s="1"/>
      <c r="AS1531" s="1" t="s">
        <v>103</v>
      </c>
      <c r="AT1531" s="1" t="s">
        <v>27180</v>
      </c>
      <c r="AU1531" s="1" t="s">
        <v>101</v>
      </c>
      <c r="AV1531" s="1" t="s">
        <v>18921</v>
      </c>
      <c r="AW1531" s="1">
        <v>88.74</v>
      </c>
      <c r="AX1531" s="1"/>
      <c r="AY1531" s="1" t="s">
        <v>27181</v>
      </c>
      <c r="AZ1531" s="1" t="s">
        <v>27182</v>
      </c>
      <c r="BA1531" s="1"/>
      <c r="BB1531" s="1"/>
      <c r="BC1531" s="1" t="s">
        <v>5535</v>
      </c>
      <c r="BD1531" s="1" t="s">
        <v>233</v>
      </c>
      <c r="BE1531" s="1">
        <v>79.48</v>
      </c>
      <c r="BF1531" s="1"/>
      <c r="BG1531" s="1"/>
      <c r="BH1531" s="1"/>
      <c r="BI1531" s="1"/>
      <c r="BJ1531" s="1"/>
      <c r="BK1531" s="1"/>
      <c r="BL1531" s="1"/>
      <c r="BM1531" s="1"/>
      <c r="BN1531" s="1"/>
      <c r="BO1531" s="1" t="s">
        <v>27183</v>
      </c>
      <c r="BP1531" s="1" t="s">
        <v>27184</v>
      </c>
      <c r="BQ1531" s="1" t="s">
        <v>292</v>
      </c>
      <c r="BR1531" s="1" t="s">
        <v>27185</v>
      </c>
      <c r="BS1531" s="1">
        <v>12</v>
      </c>
      <c r="BT1531" s="1"/>
      <c r="BU1531" s="1" t="str">
        <f>HYPERLINK("https://nconnect.nicmar.ac.in/storage/profile/ProfilePhoto_p2270107_546387.jpg","Download")</f>
        <v>0</v>
      </c>
      <c r="BV1531" s="3"/>
      <c r="BW1531" s="3"/>
    </row>
    <row r="1532" spans="1:75">
      <c r="A1532" s="1" t="s">
        <v>75</v>
      </c>
      <c r="B1532" s="1" t="s">
        <v>25236</v>
      </c>
      <c r="C1532" s="1" t="s">
        <v>27186</v>
      </c>
      <c r="D1532" s="1" t="s">
        <v>6136</v>
      </c>
      <c r="E1532" s="1" t="s">
        <v>27187</v>
      </c>
      <c r="F1532" s="1" t="s">
        <v>27188</v>
      </c>
      <c r="G1532" s="1" t="s">
        <v>27189</v>
      </c>
      <c r="H1532" s="1" t="s">
        <v>27190</v>
      </c>
      <c r="I1532" s="1" t="s">
        <v>27191</v>
      </c>
      <c r="J1532" s="1">
        <v>9175562406</v>
      </c>
      <c r="K1532" s="1" t="s">
        <v>84</v>
      </c>
      <c r="L1532" s="1" t="s">
        <v>27192</v>
      </c>
      <c r="M1532" s="1" t="s">
        <v>86</v>
      </c>
      <c r="N1532" s="1" t="s">
        <v>1027</v>
      </c>
      <c r="O1532" s="1" t="s">
        <v>27193</v>
      </c>
      <c r="P1532" s="1" t="s">
        <v>481</v>
      </c>
      <c r="Q1532" s="1" t="s">
        <v>27194</v>
      </c>
      <c r="R1532" s="1" t="s">
        <v>27187</v>
      </c>
      <c r="S1532" s="1">
        <v>9422486755</v>
      </c>
      <c r="T1532" s="1" t="s">
        <v>839</v>
      </c>
      <c r="U1532" s="1" t="s">
        <v>27195</v>
      </c>
      <c r="V1532" s="1">
        <v>9028626150</v>
      </c>
      <c r="W1532" s="1" t="s">
        <v>161</v>
      </c>
      <c r="X1532" s="1" t="s">
        <v>27196</v>
      </c>
      <c r="Y1532" s="1" t="s">
        <v>1012</v>
      </c>
      <c r="Z1532" s="1" t="s">
        <v>97</v>
      </c>
      <c r="AA1532" s="1" t="s">
        <v>27196</v>
      </c>
      <c r="AB1532" s="1" t="s">
        <v>1012</v>
      </c>
      <c r="AC1532" s="1" t="s">
        <v>97</v>
      </c>
      <c r="AD1532" s="1" t="s">
        <v>98</v>
      </c>
      <c r="AE1532" s="1" t="s">
        <v>98</v>
      </c>
      <c r="AF1532" s="1" t="s">
        <v>27197</v>
      </c>
      <c r="AG1532" s="1" t="s">
        <v>11321</v>
      </c>
      <c r="AH1532" s="1" t="s">
        <v>1214</v>
      </c>
      <c r="AI1532" s="1" t="s">
        <v>102</v>
      </c>
      <c r="AJ1532" s="1">
        <v>83.4</v>
      </c>
      <c r="AK1532" s="1"/>
      <c r="AL1532" s="1" t="s">
        <v>27198</v>
      </c>
      <c r="AM1532" s="1" t="s">
        <v>11321</v>
      </c>
      <c r="AN1532" s="1"/>
      <c r="AO1532" s="1" t="s">
        <v>167</v>
      </c>
      <c r="AP1532" s="1" t="s">
        <v>518</v>
      </c>
      <c r="AQ1532" s="1">
        <v>54.76</v>
      </c>
      <c r="AR1532" s="1"/>
      <c r="AS1532" s="1"/>
      <c r="AT1532" s="1"/>
      <c r="AU1532" s="1"/>
      <c r="AV1532" s="1"/>
      <c r="AW1532" s="1"/>
      <c r="AX1532" s="1"/>
      <c r="AY1532" s="1" t="s">
        <v>5241</v>
      </c>
      <c r="AZ1532" s="1" t="s">
        <v>27199</v>
      </c>
      <c r="BA1532" s="1"/>
      <c r="BB1532" s="1"/>
      <c r="BC1532" s="1" t="s">
        <v>230</v>
      </c>
      <c r="BD1532" s="1" t="s">
        <v>847</v>
      </c>
      <c r="BE1532" s="1">
        <v>88.5</v>
      </c>
      <c r="BF1532" s="1">
        <v>9.35</v>
      </c>
      <c r="BG1532" s="1"/>
      <c r="BH1532" s="1"/>
      <c r="BI1532" s="1"/>
      <c r="BJ1532" s="1"/>
      <c r="BK1532" s="1"/>
      <c r="BL1532" s="1"/>
      <c r="BM1532" s="1"/>
      <c r="BN1532" s="1"/>
      <c r="BO1532" s="1" t="s">
        <v>27200</v>
      </c>
      <c r="BP1532" s="1"/>
      <c r="BQ1532" s="1"/>
      <c r="BR1532" s="1" t="s">
        <v>27201</v>
      </c>
      <c r="BS1532" s="1">
        <v>33</v>
      </c>
      <c r="BT1532" s="1"/>
      <c r="BU1532" s="1" t="str">
        <f>HYPERLINK("https://nconnect.nicmar.ac.in/storage/profile/ProfilePhoto_p2270108_735284.jpg","Download")</f>
        <v>0</v>
      </c>
      <c r="BV1532" s="3"/>
      <c r="BW1532" s="3"/>
    </row>
    <row r="1533" spans="1:75">
      <c r="A1533" s="1" t="s">
        <v>75</v>
      </c>
      <c r="B1533" s="1" t="s">
        <v>25236</v>
      </c>
      <c r="C1533" s="1" t="s">
        <v>27202</v>
      </c>
      <c r="D1533" s="1" t="s">
        <v>27203</v>
      </c>
      <c r="E1533" s="1"/>
      <c r="F1533" s="1" t="s">
        <v>27204</v>
      </c>
      <c r="G1533" s="1" t="s">
        <v>27205</v>
      </c>
      <c r="H1533" s="1" t="s">
        <v>27206</v>
      </c>
      <c r="I1533" s="1" t="s">
        <v>27207</v>
      </c>
      <c r="J1533" s="1">
        <v>9537554663</v>
      </c>
      <c r="K1533" s="1" t="s">
        <v>84</v>
      </c>
      <c r="L1533" s="1" t="s">
        <v>27208</v>
      </c>
      <c r="M1533" s="1" t="s">
        <v>86</v>
      </c>
      <c r="N1533" s="1" t="s">
        <v>1027</v>
      </c>
      <c r="O1533" s="1" t="s">
        <v>27209</v>
      </c>
      <c r="P1533" s="1" t="s">
        <v>507</v>
      </c>
      <c r="Q1533" s="1" t="s">
        <v>27210</v>
      </c>
      <c r="R1533" s="1" t="s">
        <v>27211</v>
      </c>
      <c r="S1533" s="1">
        <v>9909017835</v>
      </c>
      <c r="T1533" s="1" t="s">
        <v>125</v>
      </c>
      <c r="U1533" s="1" t="s">
        <v>27212</v>
      </c>
      <c r="V1533" s="1">
        <v>9824383366</v>
      </c>
      <c r="W1533" s="1" t="s">
        <v>645</v>
      </c>
      <c r="X1533" s="1" t="s">
        <v>27213</v>
      </c>
      <c r="Y1533" s="1" t="s">
        <v>2880</v>
      </c>
      <c r="Z1533" s="1" t="s">
        <v>676</v>
      </c>
      <c r="AA1533" s="1" t="s">
        <v>27213</v>
      </c>
      <c r="AB1533" s="1" t="s">
        <v>2880</v>
      </c>
      <c r="AC1533" s="1" t="s">
        <v>676</v>
      </c>
      <c r="AD1533" s="1" t="s">
        <v>98</v>
      </c>
      <c r="AE1533" s="1" t="s">
        <v>98</v>
      </c>
      <c r="AF1533" s="1" t="s">
        <v>27214</v>
      </c>
      <c r="AG1533" s="1" t="s">
        <v>27215</v>
      </c>
      <c r="AH1533" s="1" t="s">
        <v>1110</v>
      </c>
      <c r="AI1533" s="1" t="s">
        <v>627</v>
      </c>
      <c r="AJ1533" s="1">
        <v>95</v>
      </c>
      <c r="AK1533" s="1">
        <v>10</v>
      </c>
      <c r="AL1533" s="1" t="s">
        <v>27214</v>
      </c>
      <c r="AM1533" s="1" t="s">
        <v>27215</v>
      </c>
      <c r="AN1533" s="1"/>
      <c r="AO1533" s="1" t="s">
        <v>704</v>
      </c>
      <c r="AP1533" s="1" t="s">
        <v>171</v>
      </c>
      <c r="AQ1533" s="1">
        <v>73.6</v>
      </c>
      <c r="AR1533" s="1">
        <v>0</v>
      </c>
      <c r="AS1533" s="1"/>
      <c r="AT1533" s="1"/>
      <c r="AU1533" s="1"/>
      <c r="AV1533" s="1"/>
      <c r="AW1533" s="1"/>
      <c r="AX1533" s="1"/>
      <c r="AY1533" s="1" t="s">
        <v>27216</v>
      </c>
      <c r="AZ1533" s="1" t="s">
        <v>27217</v>
      </c>
      <c r="BA1533" s="1"/>
      <c r="BB1533" s="1"/>
      <c r="BC1533" s="1" t="s">
        <v>174</v>
      </c>
      <c r="BD1533" s="1" t="s">
        <v>1400</v>
      </c>
      <c r="BE1533" s="1">
        <v>81.36</v>
      </c>
      <c r="BF1533" s="1">
        <v>8.51</v>
      </c>
      <c r="BG1533" s="1"/>
      <c r="BH1533" s="1"/>
      <c r="BI1533" s="1"/>
      <c r="BJ1533" s="1"/>
      <c r="BK1533" s="1"/>
      <c r="BL1533" s="1"/>
      <c r="BM1533" s="1"/>
      <c r="BN1533" s="1"/>
      <c r="BO1533" s="1" t="s">
        <v>3508</v>
      </c>
      <c r="BP1533" s="1"/>
      <c r="BQ1533" s="1"/>
      <c r="BR1533" s="1" t="s">
        <v>27218</v>
      </c>
      <c r="BS1533" s="1">
        <v>20</v>
      </c>
      <c r="BT1533" s="1"/>
      <c r="BU1533" s="1" t="str">
        <f>HYPERLINK("https://nconnect.nicmar.ac.in/storage/profile/ProfilePhoto_p2270109_251879.jpg","Download")</f>
        <v>0</v>
      </c>
      <c r="BV1533" s="3"/>
      <c r="BW1533" s="3"/>
    </row>
    <row r="1534" spans="1:75">
      <c r="A1534" s="1" t="s">
        <v>75</v>
      </c>
      <c r="B1534" s="1" t="s">
        <v>25236</v>
      </c>
      <c r="C1534" s="1" t="s">
        <v>27219</v>
      </c>
      <c r="D1534" s="1" t="s">
        <v>26108</v>
      </c>
      <c r="E1534" s="1" t="s">
        <v>4948</v>
      </c>
      <c r="F1534" s="1" t="s">
        <v>10962</v>
      </c>
      <c r="G1534" s="1" t="s">
        <v>27220</v>
      </c>
      <c r="H1534" s="1" t="s">
        <v>27221</v>
      </c>
      <c r="I1534" s="1" t="s">
        <v>27222</v>
      </c>
      <c r="J1534" s="1">
        <v>7709152308</v>
      </c>
      <c r="K1534" s="1" t="s">
        <v>153</v>
      </c>
      <c r="L1534" s="1" t="s">
        <v>27223</v>
      </c>
      <c r="M1534" s="1" t="s">
        <v>86</v>
      </c>
      <c r="N1534" s="1" t="s">
        <v>618</v>
      </c>
      <c r="O1534" s="1" t="s">
        <v>27224</v>
      </c>
      <c r="P1534" s="1" t="s">
        <v>481</v>
      </c>
      <c r="Q1534" s="1" t="s">
        <v>27225</v>
      </c>
      <c r="R1534" s="1" t="s">
        <v>27226</v>
      </c>
      <c r="S1534" s="1">
        <v>9422457992</v>
      </c>
      <c r="T1534" s="1" t="s">
        <v>27227</v>
      </c>
      <c r="U1534" s="1" t="s">
        <v>27228</v>
      </c>
      <c r="V1534" s="1">
        <v>9158730199</v>
      </c>
      <c r="W1534" s="1" t="s">
        <v>278</v>
      </c>
      <c r="X1534" s="1" t="s">
        <v>27229</v>
      </c>
      <c r="Y1534" s="1" t="s">
        <v>410</v>
      </c>
      <c r="Z1534" s="1" t="s">
        <v>97</v>
      </c>
      <c r="AA1534" s="1" t="s">
        <v>27229</v>
      </c>
      <c r="AB1534" s="1" t="s">
        <v>410</v>
      </c>
      <c r="AC1534" s="1" t="s">
        <v>97</v>
      </c>
      <c r="AD1534" s="1" t="s">
        <v>98</v>
      </c>
      <c r="AE1534" s="1" t="s">
        <v>98</v>
      </c>
      <c r="AF1534" s="1" t="s">
        <v>1475</v>
      </c>
      <c r="AG1534" s="1" t="s">
        <v>27230</v>
      </c>
      <c r="AH1534" s="1" t="s">
        <v>1213</v>
      </c>
      <c r="AI1534" s="1" t="s">
        <v>515</v>
      </c>
      <c r="AJ1534" s="1">
        <v>91.4</v>
      </c>
      <c r="AK1534" s="1"/>
      <c r="AL1534" s="1" t="s">
        <v>5459</v>
      </c>
      <c r="AM1534" s="1" t="s">
        <v>27230</v>
      </c>
      <c r="AN1534" s="1"/>
      <c r="AO1534" s="1" t="s">
        <v>166</v>
      </c>
      <c r="AP1534" s="1" t="s">
        <v>517</v>
      </c>
      <c r="AQ1534" s="1">
        <v>74.31</v>
      </c>
      <c r="AR1534" s="1"/>
      <c r="AS1534" s="1"/>
      <c r="AT1534" s="1"/>
      <c r="AU1534" s="1"/>
      <c r="AV1534" s="1"/>
      <c r="AW1534" s="1"/>
      <c r="AX1534" s="1"/>
      <c r="AY1534" s="1" t="s">
        <v>415</v>
      </c>
      <c r="AZ1534" s="1" t="s">
        <v>5164</v>
      </c>
      <c r="BA1534" s="1"/>
      <c r="BB1534" s="1"/>
      <c r="BC1534" s="1" t="s">
        <v>167</v>
      </c>
      <c r="BD1534" s="1" t="s">
        <v>441</v>
      </c>
      <c r="BE1534" s="1">
        <v>81.1</v>
      </c>
      <c r="BF1534" s="1">
        <v>8.11</v>
      </c>
      <c r="BG1534" s="1"/>
      <c r="BH1534" s="1"/>
      <c r="BI1534" s="1"/>
      <c r="BJ1534" s="1"/>
      <c r="BK1534" s="1"/>
      <c r="BL1534" s="1"/>
      <c r="BM1534" s="1"/>
      <c r="BN1534" s="1"/>
      <c r="BO1534" s="1" t="s">
        <v>27231</v>
      </c>
      <c r="BP1534" s="1"/>
      <c r="BQ1534" s="1"/>
      <c r="BR1534" s="1" t="s">
        <v>27232</v>
      </c>
      <c r="BS1534" s="1">
        <v>42</v>
      </c>
      <c r="BT1534" s="1"/>
      <c r="BU1534" s="1" t="str">
        <f>HYPERLINK("https://nconnect.nicmar.ac.in/storage/profile/ProfilePhoto_p2270110_893657.jpg","Download")</f>
        <v>0</v>
      </c>
      <c r="BV1534" s="3"/>
      <c r="BW1534" s="3"/>
    </row>
    <row r="1535" spans="1:75">
      <c r="A1535" s="1" t="s">
        <v>75</v>
      </c>
      <c r="B1535" s="1" t="s">
        <v>25236</v>
      </c>
      <c r="C1535" s="1" t="s">
        <v>27233</v>
      </c>
      <c r="D1535" s="1" t="s">
        <v>27234</v>
      </c>
      <c r="E1535" s="1" t="s">
        <v>2098</v>
      </c>
      <c r="F1535" s="1" t="s">
        <v>27235</v>
      </c>
      <c r="G1535" s="1" t="s">
        <v>27236</v>
      </c>
      <c r="H1535" s="1" t="s">
        <v>27237</v>
      </c>
      <c r="I1535" s="1" t="s">
        <v>27238</v>
      </c>
      <c r="J1535" s="1">
        <v>9970073247</v>
      </c>
      <c r="K1535" s="1" t="s">
        <v>153</v>
      </c>
      <c r="L1535" s="1" t="s">
        <v>27239</v>
      </c>
      <c r="M1535" s="1" t="s">
        <v>86</v>
      </c>
      <c r="N1535" s="1" t="s">
        <v>1595</v>
      </c>
      <c r="O1535" s="1" t="s">
        <v>27240</v>
      </c>
      <c r="P1535" s="1" t="s">
        <v>455</v>
      </c>
      <c r="Q1535" s="1" t="s">
        <v>27241</v>
      </c>
      <c r="R1535" s="1" t="s">
        <v>27242</v>
      </c>
      <c r="S1535" s="1">
        <v>9422114413</v>
      </c>
      <c r="T1535" s="1" t="s">
        <v>839</v>
      </c>
      <c r="U1535" s="1" t="s">
        <v>27243</v>
      </c>
      <c r="V1535" s="1">
        <v>9422104971</v>
      </c>
      <c r="W1535" s="1" t="s">
        <v>27244</v>
      </c>
      <c r="X1535" s="1" t="s">
        <v>27245</v>
      </c>
      <c r="Y1535" s="1" t="s">
        <v>410</v>
      </c>
      <c r="Z1535" s="1" t="s">
        <v>97</v>
      </c>
      <c r="AA1535" s="1" t="s">
        <v>27245</v>
      </c>
      <c r="AB1535" s="1" t="s">
        <v>410</v>
      </c>
      <c r="AC1535" s="1" t="s">
        <v>97</v>
      </c>
      <c r="AD1535" s="1" t="s">
        <v>98</v>
      </c>
      <c r="AE1535" s="1" t="s">
        <v>98</v>
      </c>
      <c r="AF1535" s="1" t="s">
        <v>27246</v>
      </c>
      <c r="AG1535" s="1" t="s">
        <v>27247</v>
      </c>
      <c r="AH1535" s="1" t="s">
        <v>3965</v>
      </c>
      <c r="AI1535" s="1" t="s">
        <v>1457</v>
      </c>
      <c r="AJ1535" s="1">
        <v>69</v>
      </c>
      <c r="AK1535" s="1"/>
      <c r="AL1535" s="1" t="s">
        <v>27248</v>
      </c>
      <c r="AM1535" s="1" t="s">
        <v>27247</v>
      </c>
      <c r="AN1535" s="1"/>
      <c r="AO1535" s="1" t="s">
        <v>3967</v>
      </c>
      <c r="AP1535" s="1" t="s">
        <v>11567</v>
      </c>
      <c r="AQ1535" s="1">
        <v>66.31</v>
      </c>
      <c r="AR1535" s="1"/>
      <c r="AS1535" s="1"/>
      <c r="AT1535" s="1"/>
      <c r="AU1535" s="1"/>
      <c r="AV1535" s="1"/>
      <c r="AW1535" s="1"/>
      <c r="AX1535" s="1"/>
      <c r="AY1535" s="1" t="s">
        <v>17010</v>
      </c>
      <c r="AZ1535" s="1" t="s">
        <v>27249</v>
      </c>
      <c r="BA1535" s="1"/>
      <c r="BB1535" s="1"/>
      <c r="BC1535" s="1" t="s">
        <v>1040</v>
      </c>
      <c r="BD1535" s="1" t="s">
        <v>847</v>
      </c>
      <c r="BE1535" s="1">
        <v>63.6</v>
      </c>
      <c r="BF1535" s="1">
        <v>7.11</v>
      </c>
      <c r="BG1535" s="1"/>
      <c r="BH1535" s="1"/>
      <c r="BI1535" s="1"/>
      <c r="BJ1535" s="1"/>
      <c r="BK1535" s="1"/>
      <c r="BL1535" s="1"/>
      <c r="BM1535" s="1"/>
      <c r="BN1535" s="1"/>
      <c r="BO1535" s="1" t="s">
        <v>27250</v>
      </c>
      <c r="BP1535" s="1" t="s">
        <v>27251</v>
      </c>
      <c r="BQ1535" s="1" t="s">
        <v>1070</v>
      </c>
      <c r="BR1535" s="1" t="s">
        <v>27252</v>
      </c>
      <c r="BS1535" s="1">
        <v>41</v>
      </c>
      <c r="BT1535" s="1"/>
      <c r="BU1535" s="1" t="str">
        <f>HYPERLINK("https://nconnect.nicmar.ac.in/storage/profile/ProfilePhoto_p2270111_489637.jpg","Download")</f>
        <v>0</v>
      </c>
      <c r="BV1535" s="3"/>
      <c r="BW1535" s="3"/>
    </row>
    <row r="1536" spans="1:75">
      <c r="A1536" s="1" t="s">
        <v>75</v>
      </c>
      <c r="B1536" s="1" t="s">
        <v>25236</v>
      </c>
      <c r="C1536" s="1" t="s">
        <v>27253</v>
      </c>
      <c r="D1536" s="1" t="s">
        <v>27254</v>
      </c>
      <c r="E1536" s="1"/>
      <c r="F1536" s="1" t="s">
        <v>27255</v>
      </c>
      <c r="G1536" s="1" t="s">
        <v>27256</v>
      </c>
      <c r="H1536" s="1" t="s">
        <v>27257</v>
      </c>
      <c r="I1536" s="1" t="s">
        <v>27258</v>
      </c>
      <c r="J1536" s="1">
        <v>9100335040</v>
      </c>
      <c r="K1536" s="1" t="s">
        <v>84</v>
      </c>
      <c r="L1536" s="1" t="s">
        <v>27259</v>
      </c>
      <c r="M1536" s="1" t="s">
        <v>86</v>
      </c>
      <c r="N1536" s="1" t="s">
        <v>1813</v>
      </c>
      <c r="O1536" s="1" t="s">
        <v>27260</v>
      </c>
      <c r="P1536" s="1" t="s">
        <v>507</v>
      </c>
      <c r="Q1536" s="1" t="s">
        <v>27261</v>
      </c>
      <c r="R1536" s="1" t="s">
        <v>27262</v>
      </c>
      <c r="S1536" s="1">
        <v>9550247510</v>
      </c>
      <c r="T1536" s="1" t="s">
        <v>159</v>
      </c>
      <c r="U1536" s="1" t="s">
        <v>27263</v>
      </c>
      <c r="V1536" s="1">
        <v>7893307370</v>
      </c>
      <c r="W1536" s="1" t="s">
        <v>541</v>
      </c>
      <c r="X1536" s="1" t="s">
        <v>27264</v>
      </c>
      <c r="Y1536" s="1" t="s">
        <v>9001</v>
      </c>
      <c r="Z1536" s="1" t="s">
        <v>461</v>
      </c>
      <c r="AA1536" s="1" t="s">
        <v>27264</v>
      </c>
      <c r="AB1536" s="1" t="s">
        <v>9001</v>
      </c>
      <c r="AC1536" s="1" t="s">
        <v>461</v>
      </c>
      <c r="AD1536" s="1" t="s">
        <v>98</v>
      </c>
      <c r="AE1536" s="1" t="s">
        <v>98</v>
      </c>
      <c r="AF1536" s="1" t="s">
        <v>27265</v>
      </c>
      <c r="AG1536" s="1" t="s">
        <v>10732</v>
      </c>
      <c r="AH1536" s="1" t="s">
        <v>101</v>
      </c>
      <c r="AI1536" s="1" t="s">
        <v>102</v>
      </c>
      <c r="AJ1536" s="1">
        <v>88.35</v>
      </c>
      <c r="AK1536" s="1">
        <v>9.3</v>
      </c>
      <c r="AL1536" s="1" t="s">
        <v>3033</v>
      </c>
      <c r="AM1536" s="1" t="s">
        <v>10732</v>
      </c>
      <c r="AN1536" s="1"/>
      <c r="AO1536" s="1" t="s">
        <v>170</v>
      </c>
      <c r="AP1536" s="1" t="s">
        <v>200</v>
      </c>
      <c r="AQ1536" s="1">
        <v>97.2</v>
      </c>
      <c r="AR1536" s="1"/>
      <c r="AS1536" s="1"/>
      <c r="AT1536" s="1"/>
      <c r="AU1536" s="1"/>
      <c r="AV1536" s="1"/>
      <c r="AW1536" s="1"/>
      <c r="AX1536" s="1"/>
      <c r="AY1536" s="1" t="s">
        <v>27266</v>
      </c>
      <c r="AZ1536" s="1" t="s">
        <v>27267</v>
      </c>
      <c r="BA1536" s="1"/>
      <c r="BB1536" s="1"/>
      <c r="BC1536" s="1" t="s">
        <v>230</v>
      </c>
      <c r="BD1536" s="1" t="s">
        <v>441</v>
      </c>
      <c r="BE1536" s="1">
        <v>78.7</v>
      </c>
      <c r="BF1536" s="1">
        <v>8.37</v>
      </c>
      <c r="BG1536" s="1"/>
      <c r="BH1536" s="1"/>
      <c r="BI1536" s="1"/>
      <c r="BJ1536" s="1"/>
      <c r="BK1536" s="1"/>
      <c r="BL1536" s="1"/>
      <c r="BM1536" s="1"/>
      <c r="BN1536" s="1"/>
      <c r="BO1536" s="1" t="s">
        <v>27268</v>
      </c>
      <c r="BP1536" s="1"/>
      <c r="BQ1536" s="1"/>
      <c r="BR1536" s="1" t="s">
        <v>27269</v>
      </c>
      <c r="BS1536" s="1">
        <v>10</v>
      </c>
      <c r="BT1536" s="1"/>
      <c r="BU1536" s="1" t="str">
        <f>HYPERLINK("https://nconnect.nicmar.ac.in/storage/profile/ProfilePhoto_p2270112_264159.jpg","Download")</f>
        <v>0</v>
      </c>
      <c r="BV1536" s="3"/>
      <c r="BW1536" s="3"/>
    </row>
    <row r="1537" spans="1:75">
      <c r="A1537" s="1" t="s">
        <v>75</v>
      </c>
      <c r="B1537" s="1" t="s">
        <v>25236</v>
      </c>
      <c r="C1537" s="1" t="s">
        <v>27270</v>
      </c>
      <c r="D1537" s="1" t="s">
        <v>27271</v>
      </c>
      <c r="E1537" s="1"/>
      <c r="F1537" s="1" t="s">
        <v>116</v>
      </c>
      <c r="G1537" s="1" t="s">
        <v>27272</v>
      </c>
      <c r="H1537" s="1" t="s">
        <v>27273</v>
      </c>
      <c r="I1537" s="1" t="s">
        <v>27274</v>
      </c>
      <c r="J1537" s="1">
        <v>9788569499</v>
      </c>
      <c r="K1537" s="1" t="s">
        <v>84</v>
      </c>
      <c r="L1537" s="1" t="s">
        <v>27275</v>
      </c>
      <c r="M1537" s="1" t="s">
        <v>86</v>
      </c>
      <c r="N1537" s="1" t="s">
        <v>564</v>
      </c>
      <c r="O1537" s="1" t="s">
        <v>27276</v>
      </c>
      <c r="P1537" s="1" t="s">
        <v>2021</v>
      </c>
      <c r="Q1537" s="1" t="s">
        <v>27277</v>
      </c>
      <c r="R1537" s="1" t="s">
        <v>27278</v>
      </c>
      <c r="S1537" s="1">
        <v>9894898735</v>
      </c>
      <c r="T1537" s="1" t="s">
        <v>839</v>
      </c>
      <c r="U1537" s="1" t="s">
        <v>27279</v>
      </c>
      <c r="V1537" s="1">
        <v>9944018735</v>
      </c>
      <c r="W1537" s="1" t="s">
        <v>541</v>
      </c>
      <c r="X1537" s="1" t="s">
        <v>27280</v>
      </c>
      <c r="Y1537" s="1" t="s">
        <v>4249</v>
      </c>
      <c r="Z1537" s="1" t="s">
        <v>570</v>
      </c>
      <c r="AA1537" s="1" t="s">
        <v>27280</v>
      </c>
      <c r="AB1537" s="1" t="s">
        <v>4249</v>
      </c>
      <c r="AC1537" s="1" t="s">
        <v>570</v>
      </c>
      <c r="AD1537" s="1" t="s">
        <v>98</v>
      </c>
      <c r="AE1537" s="1" t="s">
        <v>98</v>
      </c>
      <c r="AF1537" s="1" t="s">
        <v>27281</v>
      </c>
      <c r="AG1537" s="1" t="s">
        <v>27282</v>
      </c>
      <c r="AH1537" s="1" t="s">
        <v>166</v>
      </c>
      <c r="AI1537" s="1" t="s">
        <v>627</v>
      </c>
      <c r="AJ1537" s="1">
        <v>87.4</v>
      </c>
      <c r="AK1537" s="1">
        <v>0</v>
      </c>
      <c r="AL1537" s="1" t="s">
        <v>27281</v>
      </c>
      <c r="AM1537" s="1" t="s">
        <v>27282</v>
      </c>
      <c r="AN1537" s="1"/>
      <c r="AO1537" s="1" t="s">
        <v>170</v>
      </c>
      <c r="AP1537" s="1" t="s">
        <v>171</v>
      </c>
      <c r="AQ1537" s="1">
        <v>67.83</v>
      </c>
      <c r="AR1537" s="1">
        <v>0</v>
      </c>
      <c r="AS1537" s="1"/>
      <c r="AT1537" s="1"/>
      <c r="AU1537" s="1"/>
      <c r="AV1537" s="1"/>
      <c r="AW1537" s="1"/>
      <c r="AX1537" s="1"/>
      <c r="AY1537" s="1" t="s">
        <v>9026</v>
      </c>
      <c r="AZ1537" s="1" t="s">
        <v>27283</v>
      </c>
      <c r="BA1537" s="1"/>
      <c r="BB1537" s="1"/>
      <c r="BC1537" s="1" t="s">
        <v>106</v>
      </c>
      <c r="BD1537" s="1" t="s">
        <v>632</v>
      </c>
      <c r="BE1537" s="1">
        <v>77.1</v>
      </c>
      <c r="BF1537" s="1">
        <v>7.71</v>
      </c>
      <c r="BG1537" s="1"/>
      <c r="BH1537" s="1"/>
      <c r="BI1537" s="1"/>
      <c r="BJ1537" s="1"/>
      <c r="BK1537" s="1"/>
      <c r="BL1537" s="1"/>
      <c r="BM1537" s="1"/>
      <c r="BN1537" s="1"/>
      <c r="BO1537" s="1" t="s">
        <v>27284</v>
      </c>
      <c r="BP1537" s="1"/>
      <c r="BQ1537" s="1"/>
      <c r="BR1537" s="1" t="s">
        <v>27285</v>
      </c>
      <c r="BS1537" s="1">
        <v>7</v>
      </c>
      <c r="BT1537" s="1"/>
      <c r="BU1537" s="1" t="str">
        <f>HYPERLINK("https://nconnect.nicmar.ac.in/storage/profile/ProfilePhoto_p2270113_431792.jpg","Download")</f>
        <v>0</v>
      </c>
      <c r="BV1537" s="3"/>
      <c r="BW1537" s="3"/>
    </row>
    <row r="1538" spans="1:75">
      <c r="A1538" s="1" t="s">
        <v>75</v>
      </c>
      <c r="B1538" s="1" t="s">
        <v>25236</v>
      </c>
      <c r="C1538" s="1" t="s">
        <v>27286</v>
      </c>
      <c r="D1538" s="1" t="s">
        <v>4766</v>
      </c>
      <c r="E1538" s="1" t="s">
        <v>2098</v>
      </c>
      <c r="F1538" s="1" t="s">
        <v>530</v>
      </c>
      <c r="G1538" s="1" t="s">
        <v>27287</v>
      </c>
      <c r="H1538" s="1" t="s">
        <v>27288</v>
      </c>
      <c r="I1538" s="1" t="s">
        <v>27289</v>
      </c>
      <c r="J1538" s="1">
        <v>9561387479</v>
      </c>
      <c r="K1538" s="1" t="s">
        <v>153</v>
      </c>
      <c r="L1538" s="1" t="s">
        <v>27290</v>
      </c>
      <c r="M1538" s="1" t="s">
        <v>86</v>
      </c>
      <c r="N1538" s="1" t="s">
        <v>8438</v>
      </c>
      <c r="O1538" s="1" t="s">
        <v>27291</v>
      </c>
      <c r="P1538" s="1" t="s">
        <v>507</v>
      </c>
      <c r="Q1538" s="1" t="s">
        <v>27292</v>
      </c>
      <c r="R1538" s="1" t="s">
        <v>11425</v>
      </c>
      <c r="S1538" s="1">
        <v>9823397600</v>
      </c>
      <c r="T1538" s="1" t="s">
        <v>645</v>
      </c>
      <c r="U1538" s="1" t="s">
        <v>27293</v>
      </c>
      <c r="V1538" s="1">
        <v>9545487479</v>
      </c>
      <c r="W1538" s="1" t="s">
        <v>278</v>
      </c>
      <c r="X1538" s="1" t="s">
        <v>27294</v>
      </c>
      <c r="Y1538" s="1" t="s">
        <v>410</v>
      </c>
      <c r="Z1538" s="1" t="s">
        <v>97</v>
      </c>
      <c r="AA1538" s="1" t="s">
        <v>27294</v>
      </c>
      <c r="AB1538" s="1" t="s">
        <v>410</v>
      </c>
      <c r="AC1538" s="1" t="s">
        <v>97</v>
      </c>
      <c r="AD1538" s="1" t="s">
        <v>98</v>
      </c>
      <c r="AE1538" s="1" t="s">
        <v>98</v>
      </c>
      <c r="AF1538" s="1" t="s">
        <v>27295</v>
      </c>
      <c r="AG1538" s="1" t="s">
        <v>27296</v>
      </c>
      <c r="AH1538" s="1" t="s">
        <v>1213</v>
      </c>
      <c r="AI1538" s="1" t="s">
        <v>1262</v>
      </c>
      <c r="AJ1538" s="1">
        <v>85.5</v>
      </c>
      <c r="AK1538" s="1">
        <v>9</v>
      </c>
      <c r="AL1538" s="1" t="s">
        <v>27295</v>
      </c>
      <c r="AM1538" s="1" t="s">
        <v>27296</v>
      </c>
      <c r="AN1538" s="1"/>
      <c r="AO1538" s="1" t="s">
        <v>166</v>
      </c>
      <c r="AP1538" s="1" t="s">
        <v>627</v>
      </c>
      <c r="AQ1538" s="1">
        <v>75</v>
      </c>
      <c r="AR1538" s="1">
        <v>0</v>
      </c>
      <c r="AS1538" s="1"/>
      <c r="AT1538" s="1"/>
      <c r="AU1538" s="1"/>
      <c r="AV1538" s="1"/>
      <c r="AW1538" s="1"/>
      <c r="AX1538" s="1"/>
      <c r="AY1538" s="1" t="s">
        <v>27297</v>
      </c>
      <c r="AZ1538" s="1" t="s">
        <v>27298</v>
      </c>
      <c r="BA1538" s="1"/>
      <c r="BB1538" s="1"/>
      <c r="BC1538" s="1" t="s">
        <v>139</v>
      </c>
      <c r="BD1538" s="1" t="s">
        <v>441</v>
      </c>
      <c r="BE1538" s="1">
        <v>67.5</v>
      </c>
      <c r="BF1538" s="1">
        <v>7.5</v>
      </c>
      <c r="BG1538" s="1"/>
      <c r="BH1538" s="1"/>
      <c r="BI1538" s="1"/>
      <c r="BJ1538" s="1"/>
      <c r="BK1538" s="1"/>
      <c r="BL1538" s="1"/>
      <c r="BM1538" s="1"/>
      <c r="BN1538" s="1"/>
      <c r="BO1538" s="1" t="s">
        <v>27299</v>
      </c>
      <c r="BP1538" s="1"/>
      <c r="BQ1538" s="1"/>
      <c r="BR1538" s="1" t="s">
        <v>27300</v>
      </c>
      <c r="BS1538" s="1">
        <v>26</v>
      </c>
      <c r="BT1538" s="1"/>
      <c r="BU1538" s="1" t="str">
        <f>HYPERLINK("https://nconnect.nicmar.ac.in/storage/profile/ProfilePhoto_p2270114_831927.jpg","Download")</f>
        <v>0</v>
      </c>
      <c r="BV1538" s="3"/>
      <c r="BW1538" s="3"/>
    </row>
    <row r="1539" spans="1:75">
      <c r="A1539" s="1" t="s">
        <v>75</v>
      </c>
      <c r="B1539" s="1" t="s">
        <v>25236</v>
      </c>
      <c r="C1539" s="1" t="s">
        <v>27301</v>
      </c>
      <c r="D1539" s="1" t="s">
        <v>4152</v>
      </c>
      <c r="E1539" s="1"/>
      <c r="F1539" s="1" t="s">
        <v>4625</v>
      </c>
      <c r="G1539" s="1" t="s">
        <v>27302</v>
      </c>
      <c r="H1539" s="1" t="s">
        <v>27303</v>
      </c>
      <c r="I1539" s="1" t="s">
        <v>27304</v>
      </c>
      <c r="J1539" s="1">
        <v>8077353905</v>
      </c>
      <c r="K1539" s="1" t="s">
        <v>84</v>
      </c>
      <c r="L1539" s="1" t="s">
        <v>27305</v>
      </c>
      <c r="M1539" s="1" t="s">
        <v>86</v>
      </c>
      <c r="N1539" s="1" t="s">
        <v>4278</v>
      </c>
      <c r="O1539" s="1" t="s">
        <v>27306</v>
      </c>
      <c r="P1539" s="1" t="s">
        <v>455</v>
      </c>
      <c r="Q1539" s="1" t="s">
        <v>27307</v>
      </c>
      <c r="R1539" s="1" t="s">
        <v>27308</v>
      </c>
      <c r="S1539" s="1">
        <v>9811805052</v>
      </c>
      <c r="T1539" s="1" t="s">
        <v>7713</v>
      </c>
      <c r="U1539" s="1" t="s">
        <v>27309</v>
      </c>
      <c r="V1539" s="1">
        <v>9811805052</v>
      </c>
      <c r="W1539" s="1" t="s">
        <v>541</v>
      </c>
      <c r="X1539" s="1" t="s">
        <v>27310</v>
      </c>
      <c r="Y1539" s="1" t="s">
        <v>794</v>
      </c>
      <c r="Z1539" s="1" t="s">
        <v>544</v>
      </c>
      <c r="AA1539" s="1" t="s">
        <v>27310</v>
      </c>
      <c r="AB1539" s="1" t="s">
        <v>794</v>
      </c>
      <c r="AC1539" s="1" t="s">
        <v>544</v>
      </c>
      <c r="AD1539" s="1" t="s">
        <v>98</v>
      </c>
      <c r="AE1539" s="1" t="s">
        <v>98</v>
      </c>
      <c r="AF1539" s="1" t="s">
        <v>27311</v>
      </c>
      <c r="AG1539" s="1" t="s">
        <v>27312</v>
      </c>
      <c r="AH1539" s="1" t="s">
        <v>23371</v>
      </c>
      <c r="AI1539" s="1" t="s">
        <v>3285</v>
      </c>
      <c r="AJ1539" s="1">
        <v>77.9</v>
      </c>
      <c r="AK1539" s="1">
        <v>8.2</v>
      </c>
      <c r="AL1539" s="1" t="s">
        <v>27311</v>
      </c>
      <c r="AM1539" s="1" t="s">
        <v>27312</v>
      </c>
      <c r="AN1539" s="1"/>
      <c r="AO1539" s="1" t="s">
        <v>3770</v>
      </c>
      <c r="AP1539" s="1" t="s">
        <v>134</v>
      </c>
      <c r="AQ1539" s="1">
        <v>78.67</v>
      </c>
      <c r="AR1539" s="1"/>
      <c r="AS1539" s="1"/>
      <c r="AT1539" s="1"/>
      <c r="AU1539" s="1"/>
      <c r="AV1539" s="1"/>
      <c r="AW1539" s="1"/>
      <c r="AX1539" s="1"/>
      <c r="AY1539" s="1" t="s">
        <v>14921</v>
      </c>
      <c r="AZ1539" s="1" t="s">
        <v>27313</v>
      </c>
      <c r="BA1539" s="1"/>
      <c r="BB1539" s="1"/>
      <c r="BC1539" s="1" t="s">
        <v>804</v>
      </c>
      <c r="BD1539" s="1" t="s">
        <v>170</v>
      </c>
      <c r="BE1539" s="1">
        <v>68.44</v>
      </c>
      <c r="BF1539" s="1"/>
      <c r="BG1539" s="1"/>
      <c r="BH1539" s="1"/>
      <c r="BI1539" s="1"/>
      <c r="BJ1539" s="1"/>
      <c r="BK1539" s="1"/>
      <c r="BL1539" s="1"/>
      <c r="BM1539" s="1"/>
      <c r="BN1539" s="1"/>
      <c r="BO1539" s="1" t="s">
        <v>1114</v>
      </c>
      <c r="BP1539" s="1" t="s">
        <v>27314</v>
      </c>
      <c r="BQ1539" s="1" t="s">
        <v>1070</v>
      </c>
      <c r="BR1539" s="1" t="s">
        <v>27315</v>
      </c>
      <c r="BS1539" s="1">
        <v>23</v>
      </c>
      <c r="BT1539" s="1"/>
      <c r="BU1539" s="1" t="str">
        <f>HYPERLINK("https://nconnect.nicmar.ac.in/storage/profile/ProfilePhoto_p2270115_786931.jpg","Download")</f>
        <v>0</v>
      </c>
      <c r="BV1539" s="3"/>
      <c r="BW1539" s="3"/>
    </row>
    <row r="1540" spans="1:75">
      <c r="A1540" s="1" t="s">
        <v>75</v>
      </c>
      <c r="B1540" s="1" t="s">
        <v>25236</v>
      </c>
      <c r="C1540" s="1" t="s">
        <v>27316</v>
      </c>
      <c r="D1540" s="1" t="s">
        <v>27317</v>
      </c>
      <c r="E1540" s="1" t="s">
        <v>27318</v>
      </c>
      <c r="F1540" s="1" t="s">
        <v>530</v>
      </c>
      <c r="G1540" s="1" t="s">
        <v>27319</v>
      </c>
      <c r="H1540" s="1" t="s">
        <v>27320</v>
      </c>
      <c r="I1540" s="1" t="s">
        <v>27321</v>
      </c>
      <c r="J1540" s="1">
        <v>9892936423</v>
      </c>
      <c r="K1540" s="1" t="s">
        <v>84</v>
      </c>
      <c r="L1540" s="1" t="s">
        <v>2776</v>
      </c>
      <c r="M1540" s="1" t="s">
        <v>86</v>
      </c>
      <c r="N1540" s="1" t="s">
        <v>27322</v>
      </c>
      <c r="O1540" s="1" t="s">
        <v>27323</v>
      </c>
      <c r="P1540" s="1" t="s">
        <v>2021</v>
      </c>
      <c r="Q1540" s="1" t="s">
        <v>27324</v>
      </c>
      <c r="R1540" s="1" t="s">
        <v>27325</v>
      </c>
      <c r="S1540" s="1">
        <v>9322080911</v>
      </c>
      <c r="T1540" s="1" t="s">
        <v>645</v>
      </c>
      <c r="U1540" s="1" t="s">
        <v>26835</v>
      </c>
      <c r="V1540" s="1">
        <v>8356906658</v>
      </c>
      <c r="W1540" s="1" t="s">
        <v>161</v>
      </c>
      <c r="X1540" s="1" t="s">
        <v>27326</v>
      </c>
      <c r="Y1540" s="1" t="s">
        <v>2259</v>
      </c>
      <c r="Z1540" s="1" t="s">
        <v>97</v>
      </c>
      <c r="AA1540" s="1" t="s">
        <v>27326</v>
      </c>
      <c r="AB1540" s="1" t="s">
        <v>2259</v>
      </c>
      <c r="AC1540" s="1" t="s">
        <v>97</v>
      </c>
      <c r="AD1540" s="1" t="s">
        <v>98</v>
      </c>
      <c r="AE1540" s="1" t="s">
        <v>98</v>
      </c>
      <c r="AF1540" s="1" t="s">
        <v>27327</v>
      </c>
      <c r="AG1540" s="1" t="s">
        <v>165</v>
      </c>
      <c r="AH1540" s="1" t="s">
        <v>10573</v>
      </c>
      <c r="AI1540" s="1" t="s">
        <v>2726</v>
      </c>
      <c r="AJ1540" s="1">
        <v>53.6</v>
      </c>
      <c r="AK1540" s="1">
        <v>5.64</v>
      </c>
      <c r="AL1540" s="1"/>
      <c r="AM1540" s="1"/>
      <c r="AN1540" s="1"/>
      <c r="AO1540" s="1"/>
      <c r="AP1540" s="1"/>
      <c r="AQ1540" s="1"/>
      <c r="AR1540" s="1"/>
      <c r="AS1540" s="1" t="s">
        <v>103</v>
      </c>
      <c r="AT1540" s="1" t="s">
        <v>27328</v>
      </c>
      <c r="AU1540" s="1" t="s">
        <v>25321</v>
      </c>
      <c r="AV1540" s="1" t="s">
        <v>167</v>
      </c>
      <c r="AW1540" s="1">
        <v>60.35</v>
      </c>
      <c r="AX1540" s="1">
        <v>6.35</v>
      </c>
      <c r="AY1540" s="1" t="s">
        <v>680</v>
      </c>
      <c r="AZ1540" s="1" t="s">
        <v>27329</v>
      </c>
      <c r="BA1540" s="1"/>
      <c r="BB1540" s="1"/>
      <c r="BC1540" s="1" t="s">
        <v>14379</v>
      </c>
      <c r="BD1540" s="1" t="s">
        <v>175</v>
      </c>
      <c r="BE1540" s="1">
        <v>57.81</v>
      </c>
      <c r="BF1540" s="1">
        <v>6.19</v>
      </c>
      <c r="BG1540" s="1"/>
      <c r="BH1540" s="1"/>
      <c r="BI1540" s="1"/>
      <c r="BJ1540" s="1"/>
      <c r="BK1540" s="1"/>
      <c r="BL1540" s="1"/>
      <c r="BM1540" s="1"/>
      <c r="BN1540" s="1"/>
      <c r="BO1540" s="1" t="s">
        <v>8688</v>
      </c>
      <c r="BP1540" s="1" t="s">
        <v>27330</v>
      </c>
      <c r="BQ1540" s="1" t="s">
        <v>1482</v>
      </c>
      <c r="BR1540" s="1" t="s">
        <v>27331</v>
      </c>
      <c r="BS1540" s="1">
        <v>7</v>
      </c>
      <c r="BT1540" s="1"/>
      <c r="BU1540" s="1" t="str">
        <f>HYPERLINK("https://nconnect.nicmar.ac.in/storage/profile/ProfilePhoto_p2270116_713295.jpg","Download")</f>
        <v>0</v>
      </c>
      <c r="BV1540" s="3"/>
      <c r="BW1540" s="3"/>
    </row>
    <row r="1541" spans="1:75">
      <c r="A1541" s="1" t="s">
        <v>75</v>
      </c>
      <c r="B1541" s="1" t="s">
        <v>25236</v>
      </c>
      <c r="C1541" s="1" t="s">
        <v>27332</v>
      </c>
      <c r="D1541" s="1" t="s">
        <v>5208</v>
      </c>
      <c r="E1541" s="1" t="s">
        <v>3217</v>
      </c>
      <c r="F1541" s="1" t="s">
        <v>27333</v>
      </c>
      <c r="G1541" s="1" t="s">
        <v>27334</v>
      </c>
      <c r="H1541" s="1" t="s">
        <v>27335</v>
      </c>
      <c r="I1541" s="1" t="s">
        <v>27336</v>
      </c>
      <c r="J1541" s="1">
        <v>9834100364</v>
      </c>
      <c r="K1541" s="1" t="s">
        <v>84</v>
      </c>
      <c r="L1541" s="1" t="s">
        <v>27337</v>
      </c>
      <c r="M1541" s="1" t="s">
        <v>86</v>
      </c>
      <c r="N1541" s="1" t="s">
        <v>768</v>
      </c>
      <c r="O1541" s="1" t="s">
        <v>27338</v>
      </c>
      <c r="P1541" s="1" t="s">
        <v>481</v>
      </c>
      <c r="Q1541" s="1" t="s">
        <v>27339</v>
      </c>
      <c r="R1541" s="1" t="s">
        <v>27340</v>
      </c>
      <c r="S1541" s="1">
        <v>8329413220</v>
      </c>
      <c r="T1541" s="1" t="s">
        <v>7168</v>
      </c>
      <c r="U1541" s="1" t="s">
        <v>27341</v>
      </c>
      <c r="V1541" s="1">
        <v>8668936540</v>
      </c>
      <c r="W1541" s="1" t="s">
        <v>161</v>
      </c>
      <c r="X1541" s="1" t="s">
        <v>27342</v>
      </c>
      <c r="Y1541" s="1" t="s">
        <v>1989</v>
      </c>
      <c r="Z1541" s="1" t="s">
        <v>97</v>
      </c>
      <c r="AA1541" s="1" t="s">
        <v>27342</v>
      </c>
      <c r="AB1541" s="1" t="s">
        <v>1989</v>
      </c>
      <c r="AC1541" s="1" t="s">
        <v>97</v>
      </c>
      <c r="AD1541" s="1" t="s">
        <v>98</v>
      </c>
      <c r="AE1541" s="1" t="s">
        <v>98</v>
      </c>
      <c r="AF1541" s="1" t="s">
        <v>27343</v>
      </c>
      <c r="AG1541" s="1" t="s">
        <v>7366</v>
      </c>
      <c r="AH1541" s="1" t="s">
        <v>166</v>
      </c>
      <c r="AI1541" s="1" t="s">
        <v>627</v>
      </c>
      <c r="AJ1541" s="1">
        <v>80.8</v>
      </c>
      <c r="AK1541" s="1"/>
      <c r="AL1541" s="1"/>
      <c r="AM1541" s="1"/>
      <c r="AN1541" s="1"/>
      <c r="AO1541" s="1"/>
      <c r="AP1541" s="1"/>
      <c r="AQ1541" s="1"/>
      <c r="AR1541" s="1"/>
      <c r="AS1541" s="1" t="s">
        <v>103</v>
      </c>
      <c r="AT1541" s="1" t="s">
        <v>27344</v>
      </c>
      <c r="AU1541" s="1" t="s">
        <v>139</v>
      </c>
      <c r="AV1541" s="1" t="s">
        <v>438</v>
      </c>
      <c r="AW1541" s="1">
        <v>79.09</v>
      </c>
      <c r="AX1541" s="1"/>
      <c r="AY1541" s="1" t="s">
        <v>13027</v>
      </c>
      <c r="AZ1541" s="1" t="s">
        <v>27344</v>
      </c>
      <c r="BA1541" s="1"/>
      <c r="BB1541" s="1"/>
      <c r="BC1541" s="1" t="s">
        <v>206</v>
      </c>
      <c r="BD1541" s="1" t="s">
        <v>632</v>
      </c>
      <c r="BE1541" s="1">
        <v>77.48</v>
      </c>
      <c r="BF1541" s="1">
        <v>8.29</v>
      </c>
      <c r="BG1541" s="1"/>
      <c r="BH1541" s="1"/>
      <c r="BI1541" s="1"/>
      <c r="BJ1541" s="1"/>
      <c r="BK1541" s="1"/>
      <c r="BL1541" s="1"/>
      <c r="BM1541" s="1"/>
      <c r="BN1541" s="1"/>
      <c r="BO1541" s="1" t="s">
        <v>1114</v>
      </c>
      <c r="BP1541" s="1"/>
      <c r="BQ1541" s="1"/>
      <c r="BR1541" s="1" t="s">
        <v>27345</v>
      </c>
      <c r="BS1541" s="1">
        <v>16</v>
      </c>
      <c r="BT1541" s="1"/>
      <c r="BU1541" s="1" t="str">
        <f>HYPERLINK("https://nconnect.nicmar.ac.in/storage/profile/ProfilePhoto_p2270117_982734.jpg","Download")</f>
        <v>0</v>
      </c>
      <c r="BV1541" s="3"/>
      <c r="BW1541" s="3"/>
    </row>
    <row r="1542" spans="1:75">
      <c r="A1542" s="1" t="s">
        <v>75</v>
      </c>
      <c r="B1542" s="1" t="s">
        <v>25236</v>
      </c>
      <c r="C1542" s="1" t="s">
        <v>27346</v>
      </c>
      <c r="D1542" s="1" t="s">
        <v>919</v>
      </c>
      <c r="E1542" s="1" t="s">
        <v>27347</v>
      </c>
      <c r="F1542" s="1" t="s">
        <v>27348</v>
      </c>
      <c r="G1542" s="1" t="s">
        <v>27349</v>
      </c>
      <c r="H1542" s="1" t="s">
        <v>27350</v>
      </c>
      <c r="I1542" s="1" t="s">
        <v>27351</v>
      </c>
      <c r="J1542" s="1">
        <v>7990114418</v>
      </c>
      <c r="K1542" s="1" t="s">
        <v>84</v>
      </c>
      <c r="L1542" s="1" t="s">
        <v>26765</v>
      </c>
      <c r="M1542" s="1" t="s">
        <v>86</v>
      </c>
      <c r="N1542" s="1" t="s">
        <v>7185</v>
      </c>
      <c r="O1542" s="1" t="s">
        <v>27352</v>
      </c>
      <c r="P1542" s="1" t="s">
        <v>455</v>
      </c>
      <c r="Q1542" s="1" t="s">
        <v>27353</v>
      </c>
      <c r="R1542" s="1" t="s">
        <v>27354</v>
      </c>
      <c r="S1542" s="1">
        <v>9825114727</v>
      </c>
      <c r="T1542" s="1" t="s">
        <v>839</v>
      </c>
      <c r="U1542" s="1" t="s">
        <v>27355</v>
      </c>
      <c r="V1542" s="1">
        <v>9979436664</v>
      </c>
      <c r="W1542" s="1" t="s">
        <v>161</v>
      </c>
      <c r="X1542" s="1" t="s">
        <v>27356</v>
      </c>
      <c r="Y1542" s="1" t="s">
        <v>675</v>
      </c>
      <c r="Z1542" s="1" t="s">
        <v>676</v>
      </c>
      <c r="AA1542" s="1" t="s">
        <v>27356</v>
      </c>
      <c r="AB1542" s="1" t="s">
        <v>675</v>
      </c>
      <c r="AC1542" s="1" t="s">
        <v>676</v>
      </c>
      <c r="AD1542" s="1" t="s">
        <v>98</v>
      </c>
      <c r="AE1542" s="1" t="s">
        <v>98</v>
      </c>
      <c r="AF1542" s="1" t="s">
        <v>27357</v>
      </c>
      <c r="AG1542" s="1" t="s">
        <v>10192</v>
      </c>
      <c r="AH1542" s="1" t="s">
        <v>101</v>
      </c>
      <c r="AI1542" s="1" t="s">
        <v>102</v>
      </c>
      <c r="AJ1542" s="1">
        <v>75.83</v>
      </c>
      <c r="AK1542" s="1"/>
      <c r="AL1542" s="1" t="s">
        <v>27357</v>
      </c>
      <c r="AM1542" s="1" t="s">
        <v>10192</v>
      </c>
      <c r="AN1542" s="1"/>
      <c r="AO1542" s="1" t="s">
        <v>167</v>
      </c>
      <c r="AP1542" s="1" t="s">
        <v>200</v>
      </c>
      <c r="AQ1542" s="1">
        <v>70.3</v>
      </c>
      <c r="AR1542" s="1"/>
      <c r="AS1542" s="1"/>
      <c r="AT1542" s="1"/>
      <c r="AU1542" s="1"/>
      <c r="AV1542" s="1"/>
      <c r="AW1542" s="1"/>
      <c r="AX1542" s="1"/>
      <c r="AY1542" s="1" t="s">
        <v>5241</v>
      </c>
      <c r="AZ1542" s="1" t="s">
        <v>27358</v>
      </c>
      <c r="BA1542" s="1"/>
      <c r="BB1542" s="1"/>
      <c r="BC1542" s="1" t="s">
        <v>230</v>
      </c>
      <c r="BD1542" s="1" t="s">
        <v>549</v>
      </c>
      <c r="BE1542" s="1">
        <v>81.1</v>
      </c>
      <c r="BF1542" s="1">
        <v>8.61</v>
      </c>
      <c r="BG1542" s="1"/>
      <c r="BH1542" s="1"/>
      <c r="BI1542" s="1"/>
      <c r="BJ1542" s="1"/>
      <c r="BK1542" s="1"/>
      <c r="BL1542" s="1"/>
      <c r="BM1542" s="1"/>
      <c r="BN1542" s="1"/>
      <c r="BO1542" s="1" t="s">
        <v>25408</v>
      </c>
      <c r="BP1542" s="1"/>
      <c r="BQ1542" s="1"/>
      <c r="BR1542" s="1" t="s">
        <v>27359</v>
      </c>
      <c r="BS1542" s="1">
        <v>33</v>
      </c>
      <c r="BT1542" s="1"/>
      <c r="BU1542" s="1" t="str">
        <f>HYPERLINK("https://nconnect.nicmar.ac.in/storage/profile/ProfilePhoto_p2270118_918254.jpg","Download")</f>
        <v>0</v>
      </c>
      <c r="BV1542" s="3"/>
      <c r="BW1542" s="3"/>
    </row>
    <row r="1543" spans="1:75">
      <c r="A1543" s="1" t="s">
        <v>75</v>
      </c>
      <c r="B1543" s="1" t="s">
        <v>25236</v>
      </c>
      <c r="C1543" s="1" t="s">
        <v>27360</v>
      </c>
      <c r="D1543" s="1" t="s">
        <v>27361</v>
      </c>
      <c r="E1543" s="1" t="s">
        <v>27362</v>
      </c>
      <c r="F1543" s="1" t="s">
        <v>3101</v>
      </c>
      <c r="G1543" s="1" t="s">
        <v>27363</v>
      </c>
      <c r="H1543" s="1" t="s">
        <v>27364</v>
      </c>
      <c r="I1543" s="1" t="s">
        <v>27365</v>
      </c>
      <c r="J1543" s="1">
        <v>9766484286</v>
      </c>
      <c r="K1543" s="1" t="s">
        <v>84</v>
      </c>
      <c r="L1543" s="1" t="s">
        <v>27366</v>
      </c>
      <c r="M1543" s="1" t="s">
        <v>86</v>
      </c>
      <c r="N1543" s="1" t="s">
        <v>768</v>
      </c>
      <c r="O1543" s="1" t="s">
        <v>27367</v>
      </c>
      <c r="P1543" s="1" t="s">
        <v>507</v>
      </c>
      <c r="Q1543" s="1" t="s">
        <v>27368</v>
      </c>
      <c r="R1543" s="1" t="s">
        <v>27369</v>
      </c>
      <c r="S1543" s="1">
        <v>9763517955</v>
      </c>
      <c r="T1543" s="1" t="s">
        <v>645</v>
      </c>
      <c r="U1543" s="1" t="s">
        <v>27370</v>
      </c>
      <c r="V1543" s="1">
        <v>9763517955</v>
      </c>
      <c r="W1543" s="1" t="s">
        <v>161</v>
      </c>
      <c r="X1543" s="1" t="s">
        <v>27371</v>
      </c>
      <c r="Y1543" s="1" t="s">
        <v>196</v>
      </c>
      <c r="Z1543" s="1" t="s">
        <v>97</v>
      </c>
      <c r="AA1543" s="1" t="s">
        <v>27371</v>
      </c>
      <c r="AB1543" s="1" t="s">
        <v>196</v>
      </c>
      <c r="AC1543" s="1" t="s">
        <v>97</v>
      </c>
      <c r="AD1543" s="1" t="s">
        <v>98</v>
      </c>
      <c r="AE1543" s="1" t="s">
        <v>98</v>
      </c>
      <c r="AF1543" s="1" t="s">
        <v>9022</v>
      </c>
      <c r="AG1543" s="1" t="s">
        <v>27372</v>
      </c>
      <c r="AH1543" s="1" t="s">
        <v>102</v>
      </c>
      <c r="AI1543" s="1" t="s">
        <v>627</v>
      </c>
      <c r="AJ1543" s="1">
        <v>79.8</v>
      </c>
      <c r="AK1543" s="1">
        <v>8.4</v>
      </c>
      <c r="AL1543" s="1" t="s">
        <v>27373</v>
      </c>
      <c r="AM1543" s="1" t="s">
        <v>27372</v>
      </c>
      <c r="AN1543" s="1"/>
      <c r="AO1543" s="1" t="s">
        <v>170</v>
      </c>
      <c r="AP1543" s="1" t="s">
        <v>171</v>
      </c>
      <c r="AQ1543" s="1">
        <v>83.23</v>
      </c>
      <c r="AR1543" s="1"/>
      <c r="AS1543" s="1"/>
      <c r="AT1543" s="1"/>
      <c r="AU1543" s="1"/>
      <c r="AV1543" s="1"/>
      <c r="AW1543" s="1"/>
      <c r="AX1543" s="1"/>
      <c r="AY1543" s="1" t="s">
        <v>366</v>
      </c>
      <c r="AZ1543" s="1" t="s">
        <v>27374</v>
      </c>
      <c r="BA1543" s="1"/>
      <c r="BB1543" s="1"/>
      <c r="BC1543" s="1" t="s">
        <v>1065</v>
      </c>
      <c r="BD1543" s="1" t="s">
        <v>110</v>
      </c>
      <c r="BE1543" s="1">
        <v>95.2</v>
      </c>
      <c r="BF1543" s="1">
        <v>9.76</v>
      </c>
      <c r="BG1543" s="1"/>
      <c r="BH1543" s="1"/>
      <c r="BI1543" s="1"/>
      <c r="BJ1543" s="1"/>
      <c r="BK1543" s="1"/>
      <c r="BL1543" s="1"/>
      <c r="BM1543" s="1"/>
      <c r="BN1543" s="1"/>
      <c r="BO1543" s="1" t="s">
        <v>27375</v>
      </c>
      <c r="BP1543" s="1"/>
      <c r="BQ1543" s="1"/>
      <c r="BR1543" s="1" t="s">
        <v>27376</v>
      </c>
      <c r="BS1543" s="1">
        <v>11</v>
      </c>
      <c r="BT1543" s="1"/>
      <c r="BU1543" s="1" t="str">
        <f>HYPERLINK("https://nconnect.nicmar.ac.in/storage/profile/ProfilePhoto_p2270119_593871.jpg","Download")</f>
        <v>0</v>
      </c>
      <c r="BV1543" s="3"/>
      <c r="BW1543" s="3"/>
    </row>
    <row r="1544" spans="1:75">
      <c r="A1544" s="1" t="s">
        <v>75</v>
      </c>
      <c r="B1544" s="1" t="s">
        <v>25236</v>
      </c>
      <c r="C1544" s="1" t="s">
        <v>27377</v>
      </c>
      <c r="D1544" s="1" t="s">
        <v>8922</v>
      </c>
      <c r="E1544" s="1"/>
      <c r="F1544" s="1" t="s">
        <v>1853</v>
      </c>
      <c r="G1544" s="1" t="s">
        <v>27378</v>
      </c>
      <c r="H1544" s="1" t="s">
        <v>27379</v>
      </c>
      <c r="I1544" s="1" t="s">
        <v>27380</v>
      </c>
      <c r="J1544" s="1">
        <v>9524280877</v>
      </c>
      <c r="K1544" s="1" t="s">
        <v>84</v>
      </c>
      <c r="L1544" s="1" t="s">
        <v>27381</v>
      </c>
      <c r="M1544" s="1" t="s">
        <v>86</v>
      </c>
      <c r="N1544" s="1" t="s">
        <v>27382</v>
      </c>
      <c r="O1544" s="1" t="s">
        <v>27383</v>
      </c>
      <c r="P1544" s="1" t="s">
        <v>507</v>
      </c>
      <c r="Q1544" s="1" t="s">
        <v>27384</v>
      </c>
      <c r="R1544" s="1" t="s">
        <v>27385</v>
      </c>
      <c r="S1544" s="1">
        <v>9444046430</v>
      </c>
      <c r="T1544" s="1" t="s">
        <v>839</v>
      </c>
      <c r="U1544" s="1" t="s">
        <v>27386</v>
      </c>
      <c r="V1544" s="1">
        <v>7598380342</v>
      </c>
      <c r="W1544" s="1" t="s">
        <v>541</v>
      </c>
      <c r="X1544" s="1" t="s">
        <v>27387</v>
      </c>
      <c r="Y1544" s="1" t="s">
        <v>1498</v>
      </c>
      <c r="Z1544" s="1" t="s">
        <v>570</v>
      </c>
      <c r="AA1544" s="1" t="s">
        <v>27388</v>
      </c>
      <c r="AB1544" s="1" t="s">
        <v>1498</v>
      </c>
      <c r="AC1544" s="1" t="s">
        <v>570</v>
      </c>
      <c r="AD1544" s="1" t="s">
        <v>98</v>
      </c>
      <c r="AE1544" s="1" t="s">
        <v>98</v>
      </c>
      <c r="AF1544" s="1" t="s">
        <v>27389</v>
      </c>
      <c r="AG1544" s="1" t="s">
        <v>27390</v>
      </c>
      <c r="AH1544" s="1" t="s">
        <v>133</v>
      </c>
      <c r="AI1544" s="1" t="s">
        <v>1457</v>
      </c>
      <c r="AJ1544" s="1">
        <v>93.8</v>
      </c>
      <c r="AK1544" s="1"/>
      <c r="AL1544" s="1" t="s">
        <v>27391</v>
      </c>
      <c r="AM1544" s="1" t="s">
        <v>27390</v>
      </c>
      <c r="AN1544" s="1"/>
      <c r="AO1544" s="1" t="s">
        <v>101</v>
      </c>
      <c r="AP1544" s="1" t="s">
        <v>102</v>
      </c>
      <c r="AQ1544" s="1">
        <v>92.58</v>
      </c>
      <c r="AR1544" s="1"/>
      <c r="AS1544" s="1"/>
      <c r="AT1544" s="1"/>
      <c r="AU1544" s="1"/>
      <c r="AV1544" s="1"/>
      <c r="AW1544" s="1"/>
      <c r="AX1544" s="1"/>
      <c r="AY1544" s="1" t="s">
        <v>576</v>
      </c>
      <c r="AZ1544" s="1" t="s">
        <v>27392</v>
      </c>
      <c r="BA1544" s="1"/>
      <c r="BB1544" s="1"/>
      <c r="BC1544" s="1" t="s">
        <v>105</v>
      </c>
      <c r="BD1544" s="1" t="s">
        <v>547</v>
      </c>
      <c r="BE1544" s="1">
        <v>75.6</v>
      </c>
      <c r="BF1544" s="1">
        <v>7.56</v>
      </c>
      <c r="BG1544" s="1"/>
      <c r="BH1544" s="1"/>
      <c r="BI1544" s="1"/>
      <c r="BJ1544" s="1"/>
      <c r="BK1544" s="1"/>
      <c r="BL1544" s="1"/>
      <c r="BM1544" s="1"/>
      <c r="BN1544" s="1"/>
      <c r="BO1544" s="1" t="s">
        <v>1114</v>
      </c>
      <c r="BP1544" s="1" t="s">
        <v>27393</v>
      </c>
      <c r="BQ1544" s="1" t="s">
        <v>524</v>
      </c>
      <c r="BR1544" s="1" t="s">
        <v>27394</v>
      </c>
      <c r="BS1544" s="1">
        <v>10</v>
      </c>
      <c r="BT1544" s="1"/>
      <c r="BU1544" s="1" t="str">
        <f>HYPERLINK("https://nconnect.nicmar.ac.in/storage/profile/ProfilePhoto_p2270120_628713.jpg","Download")</f>
        <v>0</v>
      </c>
      <c r="BV1544" s="3"/>
      <c r="BW1544" s="3"/>
    </row>
    <row r="1545" spans="1:75">
      <c r="A1545" s="1" t="s">
        <v>75</v>
      </c>
      <c r="B1545" s="1" t="s">
        <v>25236</v>
      </c>
      <c r="C1545" s="1" t="s">
        <v>27395</v>
      </c>
      <c r="D1545" s="1" t="s">
        <v>761</v>
      </c>
      <c r="E1545" s="1"/>
      <c r="F1545" s="1" t="s">
        <v>27396</v>
      </c>
      <c r="G1545" s="1" t="s">
        <v>27397</v>
      </c>
      <c r="H1545" s="1" t="s">
        <v>27398</v>
      </c>
      <c r="I1545" s="1" t="s">
        <v>27399</v>
      </c>
      <c r="J1545" s="1">
        <v>8989716675</v>
      </c>
      <c r="K1545" s="1" t="s">
        <v>84</v>
      </c>
      <c r="L1545" s="1" t="s">
        <v>27400</v>
      </c>
      <c r="M1545" s="1" t="s">
        <v>86</v>
      </c>
      <c r="N1545" s="1" t="s">
        <v>355</v>
      </c>
      <c r="O1545" s="1" t="s">
        <v>27401</v>
      </c>
      <c r="P1545" s="1" t="s">
        <v>507</v>
      </c>
      <c r="Q1545" s="1" t="s">
        <v>27402</v>
      </c>
      <c r="R1545" s="1" t="s">
        <v>27403</v>
      </c>
      <c r="S1545" s="1">
        <v>7415761378</v>
      </c>
      <c r="T1545" s="1" t="s">
        <v>221</v>
      </c>
      <c r="U1545" s="1" t="s">
        <v>27404</v>
      </c>
      <c r="V1545" s="1">
        <v>7415761378</v>
      </c>
      <c r="W1545" s="1" t="s">
        <v>127</v>
      </c>
      <c r="X1545" s="1" t="s">
        <v>27405</v>
      </c>
      <c r="Y1545" s="1" t="s">
        <v>5622</v>
      </c>
      <c r="Z1545" s="1" t="s">
        <v>3419</v>
      </c>
      <c r="AA1545" s="1" t="s">
        <v>27405</v>
      </c>
      <c r="AB1545" s="1" t="s">
        <v>5622</v>
      </c>
      <c r="AC1545" s="1" t="s">
        <v>3419</v>
      </c>
      <c r="AD1545" s="1" t="s">
        <v>98</v>
      </c>
      <c r="AE1545" s="1" t="s">
        <v>98</v>
      </c>
      <c r="AF1545" s="1" t="s">
        <v>25881</v>
      </c>
      <c r="AG1545" s="1" t="s">
        <v>27406</v>
      </c>
      <c r="AH1545" s="1" t="s">
        <v>337</v>
      </c>
      <c r="AI1545" s="1" t="s">
        <v>2726</v>
      </c>
      <c r="AJ1545" s="1">
        <v>77.9</v>
      </c>
      <c r="AK1545" s="1">
        <v>8.2</v>
      </c>
      <c r="AL1545" s="1" t="s">
        <v>27407</v>
      </c>
      <c r="AM1545" s="1" t="s">
        <v>27406</v>
      </c>
      <c r="AN1545" s="1"/>
      <c r="AO1545" s="1" t="s">
        <v>134</v>
      </c>
      <c r="AP1545" s="1" t="s">
        <v>1262</v>
      </c>
      <c r="AQ1545" s="1">
        <v>60.6</v>
      </c>
      <c r="AR1545" s="1">
        <v>0</v>
      </c>
      <c r="AS1545" s="1"/>
      <c r="AT1545" s="1"/>
      <c r="AU1545" s="1"/>
      <c r="AV1545" s="1"/>
      <c r="AW1545" s="1"/>
      <c r="AX1545" s="1"/>
      <c r="AY1545" s="1" t="s">
        <v>5224</v>
      </c>
      <c r="AZ1545" s="1" t="s">
        <v>27408</v>
      </c>
      <c r="BA1545" s="1"/>
      <c r="BB1545" s="1"/>
      <c r="BC1545" s="1" t="s">
        <v>101</v>
      </c>
      <c r="BD1545" s="1" t="s">
        <v>171</v>
      </c>
      <c r="BE1545" s="1">
        <v>65.7</v>
      </c>
      <c r="BF1545" s="1">
        <v>6.57</v>
      </c>
      <c r="BG1545" s="1"/>
      <c r="BH1545" s="1"/>
      <c r="BI1545" s="1"/>
      <c r="BJ1545" s="1"/>
      <c r="BK1545" s="1"/>
      <c r="BL1545" s="1"/>
      <c r="BM1545" s="1"/>
      <c r="BN1545" s="1"/>
      <c r="BO1545" s="1" t="s">
        <v>1114</v>
      </c>
      <c r="BP1545" s="1" t="s">
        <v>27409</v>
      </c>
      <c r="BQ1545" s="1" t="s">
        <v>780</v>
      </c>
      <c r="BR1545" s="1" t="s">
        <v>27410</v>
      </c>
      <c r="BS1545" s="1">
        <v>7</v>
      </c>
      <c r="BT1545" s="1"/>
      <c r="BU1545" s="1" t="str">
        <f>HYPERLINK("https://nconnect.nicmar.ac.in/storage/profile/ProfilePhoto_p2270121_367428.jpg","Download")</f>
        <v>0</v>
      </c>
      <c r="BV1545" s="3"/>
      <c r="BW1545" s="3"/>
    </row>
    <row r="1546" spans="1:75">
      <c r="A1546" s="1" t="s">
        <v>75</v>
      </c>
      <c r="B1546" s="1" t="s">
        <v>25236</v>
      </c>
      <c r="C1546" s="1" t="s">
        <v>27411</v>
      </c>
      <c r="D1546" s="1" t="s">
        <v>3493</v>
      </c>
      <c r="E1546" s="1" t="s">
        <v>27412</v>
      </c>
      <c r="F1546" s="1" t="s">
        <v>1179</v>
      </c>
      <c r="G1546" s="1" t="s">
        <v>27413</v>
      </c>
      <c r="H1546" s="1" t="s">
        <v>27414</v>
      </c>
      <c r="I1546" s="1" t="s">
        <v>27415</v>
      </c>
      <c r="J1546" s="1">
        <v>7021356469</v>
      </c>
      <c r="K1546" s="1" t="s">
        <v>84</v>
      </c>
      <c r="L1546" s="1" t="s">
        <v>27416</v>
      </c>
      <c r="M1546" s="1" t="s">
        <v>86</v>
      </c>
      <c r="N1546" s="1" t="s">
        <v>618</v>
      </c>
      <c r="O1546" s="1" t="s">
        <v>27417</v>
      </c>
      <c r="P1546" s="1" t="s">
        <v>455</v>
      </c>
      <c r="Q1546" s="1" t="s">
        <v>27418</v>
      </c>
      <c r="R1546" s="1" t="s">
        <v>27412</v>
      </c>
      <c r="S1546" s="1">
        <v>7222869666</v>
      </c>
      <c r="T1546" s="1" t="s">
        <v>645</v>
      </c>
      <c r="U1546" s="1" t="s">
        <v>9336</v>
      </c>
      <c r="V1546" s="1">
        <v>8369024290</v>
      </c>
      <c r="W1546" s="1" t="s">
        <v>94</v>
      </c>
      <c r="X1546" s="1" t="s">
        <v>27419</v>
      </c>
      <c r="Y1546" s="1" t="s">
        <v>1779</v>
      </c>
      <c r="Z1546" s="1" t="s">
        <v>97</v>
      </c>
      <c r="AA1546" s="1" t="s">
        <v>27419</v>
      </c>
      <c r="AB1546" s="1" t="s">
        <v>1779</v>
      </c>
      <c r="AC1546" s="1" t="s">
        <v>97</v>
      </c>
      <c r="AD1546" s="1" t="s">
        <v>98</v>
      </c>
      <c r="AE1546" s="1" t="s">
        <v>98</v>
      </c>
      <c r="AF1546" s="1" t="s">
        <v>27420</v>
      </c>
      <c r="AG1546" s="1" t="s">
        <v>165</v>
      </c>
      <c r="AH1546" s="1" t="s">
        <v>3965</v>
      </c>
      <c r="AI1546" s="1" t="s">
        <v>1457</v>
      </c>
      <c r="AJ1546" s="1">
        <v>67.45</v>
      </c>
      <c r="AK1546" s="1"/>
      <c r="AL1546" s="1" t="s">
        <v>27421</v>
      </c>
      <c r="AM1546" s="1" t="s">
        <v>165</v>
      </c>
      <c r="AN1546" s="1"/>
      <c r="AO1546" s="1" t="s">
        <v>3967</v>
      </c>
      <c r="AP1546" s="1" t="s">
        <v>11567</v>
      </c>
      <c r="AQ1546" s="1">
        <v>51.08</v>
      </c>
      <c r="AR1546" s="1"/>
      <c r="AS1546" s="1"/>
      <c r="AT1546" s="1"/>
      <c r="AU1546" s="1"/>
      <c r="AV1546" s="1"/>
      <c r="AW1546" s="1"/>
      <c r="AX1546" s="1"/>
      <c r="AY1546" s="1" t="s">
        <v>258</v>
      </c>
      <c r="AZ1546" s="1" t="s">
        <v>27422</v>
      </c>
      <c r="BA1546" s="1"/>
      <c r="BB1546" s="1"/>
      <c r="BC1546" s="1" t="s">
        <v>342</v>
      </c>
      <c r="BD1546" s="1" t="s">
        <v>315</v>
      </c>
      <c r="BE1546" s="1">
        <v>56.94</v>
      </c>
      <c r="BF1546" s="1">
        <v>6.33</v>
      </c>
      <c r="BG1546" s="1"/>
      <c r="BH1546" s="1"/>
      <c r="BI1546" s="1"/>
      <c r="BJ1546" s="1"/>
      <c r="BK1546" s="1"/>
      <c r="BL1546" s="1"/>
      <c r="BM1546" s="1"/>
      <c r="BN1546" s="1"/>
      <c r="BO1546" s="1" t="s">
        <v>27423</v>
      </c>
      <c r="BP1546" s="1" t="s">
        <v>27424</v>
      </c>
      <c r="BQ1546" s="1" t="s">
        <v>4149</v>
      </c>
      <c r="BR1546" s="1" t="s">
        <v>27425</v>
      </c>
      <c r="BS1546" s="1">
        <v>7</v>
      </c>
      <c r="BT1546" s="1"/>
      <c r="BU1546" s="1" t="str">
        <f>HYPERLINK("https://nconnect.nicmar.ac.in/storage/profile/ProfilePhoto_p2270122_342895.jpg","Download")</f>
        <v>0</v>
      </c>
      <c r="BV1546" s="3"/>
      <c r="BW1546" s="3"/>
    </row>
    <row r="1547" spans="1:75">
      <c r="A1547" s="1" t="s">
        <v>75</v>
      </c>
      <c r="B1547" s="1" t="s">
        <v>25236</v>
      </c>
      <c r="C1547" s="1" t="s">
        <v>27426</v>
      </c>
      <c r="D1547" s="1" t="s">
        <v>27427</v>
      </c>
      <c r="E1547" s="1"/>
      <c r="F1547" s="1" t="s">
        <v>27428</v>
      </c>
      <c r="G1547" s="1" t="s">
        <v>27429</v>
      </c>
      <c r="H1547" s="1" t="s">
        <v>27430</v>
      </c>
      <c r="I1547" s="1" t="s">
        <v>27431</v>
      </c>
      <c r="J1547" s="1">
        <v>7010224628</v>
      </c>
      <c r="K1547" s="1" t="s">
        <v>84</v>
      </c>
      <c r="L1547" s="1" t="s">
        <v>27432</v>
      </c>
      <c r="M1547" s="1" t="s">
        <v>86</v>
      </c>
      <c r="N1547" s="1" t="s">
        <v>4244</v>
      </c>
      <c r="O1547" s="1" t="s">
        <v>27433</v>
      </c>
      <c r="P1547" s="1" t="s">
        <v>455</v>
      </c>
      <c r="Q1547" s="1" t="s">
        <v>27434</v>
      </c>
      <c r="R1547" s="1" t="s">
        <v>27435</v>
      </c>
      <c r="S1547" s="1">
        <v>9364364311</v>
      </c>
      <c r="T1547" s="1" t="s">
        <v>27436</v>
      </c>
      <c r="U1547" s="1" t="s">
        <v>27437</v>
      </c>
      <c r="V1547" s="1">
        <v>9364364322</v>
      </c>
      <c r="W1547" s="1" t="s">
        <v>27438</v>
      </c>
      <c r="X1547" s="1" t="s">
        <v>27439</v>
      </c>
      <c r="Y1547" s="1" t="s">
        <v>20593</v>
      </c>
      <c r="Z1547" s="1" t="s">
        <v>570</v>
      </c>
      <c r="AA1547" s="1" t="s">
        <v>27440</v>
      </c>
      <c r="AB1547" s="1" t="s">
        <v>196</v>
      </c>
      <c r="AC1547" s="1" t="s">
        <v>97</v>
      </c>
      <c r="AD1547" s="1" t="s">
        <v>98</v>
      </c>
      <c r="AE1547" s="1" t="s">
        <v>98</v>
      </c>
      <c r="AF1547" s="1" t="s">
        <v>27441</v>
      </c>
      <c r="AG1547" s="1" t="s">
        <v>25953</v>
      </c>
      <c r="AH1547" s="1" t="s">
        <v>133</v>
      </c>
      <c r="AI1547" s="1" t="s">
        <v>134</v>
      </c>
      <c r="AJ1547" s="1">
        <v>95.2</v>
      </c>
      <c r="AK1547" s="1"/>
      <c r="AL1547" s="1" t="s">
        <v>27442</v>
      </c>
      <c r="AM1547" s="1" t="s">
        <v>25953</v>
      </c>
      <c r="AN1547" s="1"/>
      <c r="AO1547" s="1" t="s">
        <v>101</v>
      </c>
      <c r="AP1547" s="1" t="s">
        <v>136</v>
      </c>
      <c r="AQ1547" s="1">
        <v>77</v>
      </c>
      <c r="AR1547" s="1"/>
      <c r="AS1547" s="1"/>
      <c r="AT1547" s="1"/>
      <c r="AU1547" s="1"/>
      <c r="AV1547" s="1"/>
      <c r="AW1547" s="1"/>
      <c r="AX1547" s="1"/>
      <c r="AY1547" s="1" t="s">
        <v>576</v>
      </c>
      <c r="AZ1547" s="1" t="s">
        <v>27443</v>
      </c>
      <c r="BA1547" s="1"/>
      <c r="BB1547" s="1"/>
      <c r="BC1547" s="1" t="s">
        <v>342</v>
      </c>
      <c r="BD1547" s="1" t="s">
        <v>547</v>
      </c>
      <c r="BE1547" s="1">
        <v>71.3</v>
      </c>
      <c r="BF1547" s="1"/>
      <c r="BG1547" s="1"/>
      <c r="BH1547" s="1"/>
      <c r="BI1547" s="1"/>
      <c r="BJ1547" s="1"/>
      <c r="BK1547" s="1"/>
      <c r="BL1547" s="1"/>
      <c r="BM1547" s="1"/>
      <c r="BN1547" s="1"/>
      <c r="BO1547" s="1" t="s">
        <v>27444</v>
      </c>
      <c r="BP1547" s="1" t="s">
        <v>27445</v>
      </c>
      <c r="BQ1547" s="1" t="s">
        <v>4149</v>
      </c>
      <c r="BR1547" s="1" t="s">
        <v>27446</v>
      </c>
      <c r="BS1547" s="1">
        <v>11</v>
      </c>
      <c r="BT1547" s="1"/>
      <c r="BU1547" s="1" t="str">
        <f>HYPERLINK("https://nconnect.nicmar.ac.in/storage/profile/ProfilePhoto_p2270123_795284.jpg","Download")</f>
        <v>0</v>
      </c>
      <c r="BV1547" s="3"/>
      <c r="BW1547" s="3"/>
    </row>
    <row r="1548" spans="1:75">
      <c r="A1548" s="1" t="s">
        <v>75</v>
      </c>
      <c r="B1548" s="1" t="s">
        <v>25236</v>
      </c>
      <c r="C1548" s="1" t="s">
        <v>27447</v>
      </c>
      <c r="D1548" s="1" t="s">
        <v>5575</v>
      </c>
      <c r="E1548" s="1" t="s">
        <v>27448</v>
      </c>
      <c r="F1548" s="1" t="s">
        <v>1179</v>
      </c>
      <c r="G1548" s="1" t="s">
        <v>27449</v>
      </c>
      <c r="H1548" s="1" t="s">
        <v>27450</v>
      </c>
      <c r="I1548" s="1" t="s">
        <v>27451</v>
      </c>
      <c r="J1548" s="1">
        <v>9665364468</v>
      </c>
      <c r="K1548" s="1" t="s">
        <v>84</v>
      </c>
      <c r="L1548" s="1" t="s">
        <v>27452</v>
      </c>
      <c r="M1548" s="1" t="s">
        <v>86</v>
      </c>
      <c r="N1548" s="1" t="s">
        <v>903</v>
      </c>
      <c r="O1548" s="1"/>
      <c r="P1548" s="1" t="s">
        <v>455</v>
      </c>
      <c r="Q1548" s="1" t="s">
        <v>27453</v>
      </c>
      <c r="R1548" s="1" t="s">
        <v>27454</v>
      </c>
      <c r="S1548" s="1">
        <v>7757956077</v>
      </c>
      <c r="T1548" s="1" t="s">
        <v>27455</v>
      </c>
      <c r="U1548" s="1" t="s">
        <v>27456</v>
      </c>
      <c r="V1548" s="1">
        <v>8600706077</v>
      </c>
      <c r="W1548" s="1" t="s">
        <v>161</v>
      </c>
      <c r="X1548" s="1" t="s">
        <v>27457</v>
      </c>
      <c r="Y1548" s="1" t="s">
        <v>1033</v>
      </c>
      <c r="Z1548" s="1" t="s">
        <v>97</v>
      </c>
      <c r="AA1548" s="1" t="s">
        <v>27457</v>
      </c>
      <c r="AB1548" s="1" t="s">
        <v>1033</v>
      </c>
      <c r="AC1548" s="1" t="s">
        <v>97</v>
      </c>
      <c r="AD1548" s="1" t="s">
        <v>98</v>
      </c>
      <c r="AE1548" s="1" t="s">
        <v>98</v>
      </c>
      <c r="AF1548" s="1" t="s">
        <v>27458</v>
      </c>
      <c r="AG1548" s="1" t="s">
        <v>165</v>
      </c>
      <c r="AH1548" s="1" t="s">
        <v>3285</v>
      </c>
      <c r="AI1548" s="1" t="s">
        <v>3770</v>
      </c>
      <c r="AJ1548" s="1">
        <v>89.82</v>
      </c>
      <c r="AK1548" s="1"/>
      <c r="AL1548" s="1" t="s">
        <v>27459</v>
      </c>
      <c r="AM1548" s="1" t="s">
        <v>165</v>
      </c>
      <c r="AN1548" s="1"/>
      <c r="AO1548" s="1" t="s">
        <v>1213</v>
      </c>
      <c r="AP1548" s="1" t="s">
        <v>515</v>
      </c>
      <c r="AQ1548" s="1">
        <v>69.69</v>
      </c>
      <c r="AR1548" s="1"/>
      <c r="AS1548" s="1"/>
      <c r="AT1548" s="1"/>
      <c r="AU1548" s="1"/>
      <c r="AV1548" s="1"/>
      <c r="AW1548" s="1"/>
      <c r="AX1548" s="1"/>
      <c r="AY1548" s="1" t="s">
        <v>1038</v>
      </c>
      <c r="AZ1548" s="1" t="s">
        <v>27460</v>
      </c>
      <c r="BA1548" s="1"/>
      <c r="BB1548" s="1"/>
      <c r="BC1548" s="1" t="s">
        <v>135</v>
      </c>
      <c r="BD1548" s="1" t="s">
        <v>490</v>
      </c>
      <c r="BE1548" s="1">
        <v>67.3</v>
      </c>
      <c r="BF1548" s="1">
        <v>7.48</v>
      </c>
      <c r="BG1548" s="1"/>
      <c r="BH1548" s="1"/>
      <c r="BI1548" s="1"/>
      <c r="BJ1548" s="1"/>
      <c r="BK1548" s="1"/>
      <c r="BL1548" s="1"/>
      <c r="BM1548" s="1"/>
      <c r="BN1548" s="1"/>
      <c r="BO1548" s="1" t="s">
        <v>27461</v>
      </c>
      <c r="BP1548" s="1"/>
      <c r="BQ1548" s="1"/>
      <c r="BR1548" s="1" t="s">
        <v>27462</v>
      </c>
      <c r="BS1548" s="1">
        <v>7</v>
      </c>
      <c r="BT1548" s="1"/>
      <c r="BU1548" s="1" t="str">
        <f>HYPERLINK("https://nconnect.nicmar.ac.in/storage/profile/ProfilePhoto_p2270124_571982.jpg","Download")</f>
        <v>0</v>
      </c>
      <c r="BV1548" s="3"/>
      <c r="BW1548" s="3"/>
    </row>
    <row r="1549" spans="1:75">
      <c r="A1549" s="1" t="s">
        <v>75</v>
      </c>
      <c r="B1549" s="1" t="s">
        <v>25236</v>
      </c>
      <c r="C1549" s="1" t="s">
        <v>27463</v>
      </c>
      <c r="D1549" s="1" t="s">
        <v>27464</v>
      </c>
      <c r="E1549" s="1" t="s">
        <v>27465</v>
      </c>
      <c r="F1549" s="1" t="s">
        <v>1223</v>
      </c>
      <c r="G1549" s="1" t="s">
        <v>27466</v>
      </c>
      <c r="H1549" s="1" t="s">
        <v>27467</v>
      </c>
      <c r="I1549" s="1" t="s">
        <v>27468</v>
      </c>
      <c r="J1549" s="1">
        <v>7507996469</v>
      </c>
      <c r="K1549" s="1" t="s">
        <v>84</v>
      </c>
      <c r="L1549" s="1" t="s">
        <v>27469</v>
      </c>
      <c r="M1549" s="1" t="s">
        <v>86</v>
      </c>
      <c r="N1549" s="1" t="s">
        <v>618</v>
      </c>
      <c r="O1549" s="1"/>
      <c r="P1549" s="1" t="s">
        <v>2684</v>
      </c>
      <c r="Q1549" s="1" t="s">
        <v>27470</v>
      </c>
      <c r="R1549" s="1" t="s">
        <v>27465</v>
      </c>
      <c r="S1549" s="1">
        <v>7588589782</v>
      </c>
      <c r="T1549" s="1" t="s">
        <v>159</v>
      </c>
      <c r="U1549" s="1" t="s">
        <v>2435</v>
      </c>
      <c r="V1549" s="1">
        <v>7507996469</v>
      </c>
      <c r="W1549" s="1" t="s">
        <v>278</v>
      </c>
      <c r="X1549" s="1" t="s">
        <v>27471</v>
      </c>
      <c r="Y1549" s="1" t="s">
        <v>5083</v>
      </c>
      <c r="Z1549" s="1" t="s">
        <v>97</v>
      </c>
      <c r="AA1549" s="1" t="s">
        <v>27472</v>
      </c>
      <c r="AB1549" s="1" t="s">
        <v>196</v>
      </c>
      <c r="AC1549" s="1" t="s">
        <v>97</v>
      </c>
      <c r="AD1549" s="1" t="s">
        <v>98</v>
      </c>
      <c r="AE1549" s="1" t="s">
        <v>98</v>
      </c>
      <c r="AF1549" s="1" t="s">
        <v>27473</v>
      </c>
      <c r="AG1549" s="1" t="s">
        <v>27474</v>
      </c>
      <c r="AH1549" s="1" t="s">
        <v>135</v>
      </c>
      <c r="AI1549" s="1" t="s">
        <v>166</v>
      </c>
      <c r="AJ1549" s="1">
        <v>79</v>
      </c>
      <c r="AK1549" s="1"/>
      <c r="AL1549" s="1"/>
      <c r="AM1549" s="1"/>
      <c r="AN1549" s="1"/>
      <c r="AO1549" s="1"/>
      <c r="AP1549" s="1"/>
      <c r="AQ1549" s="1"/>
      <c r="AR1549" s="1"/>
      <c r="AS1549" s="1" t="s">
        <v>439</v>
      </c>
      <c r="AT1549" s="1" t="s">
        <v>27475</v>
      </c>
      <c r="AU1549" s="1" t="s">
        <v>342</v>
      </c>
      <c r="AV1549" s="1" t="s">
        <v>174</v>
      </c>
      <c r="AW1549" s="1">
        <v>65.15</v>
      </c>
      <c r="AX1549" s="1"/>
      <c r="AY1549" s="1" t="s">
        <v>366</v>
      </c>
      <c r="AZ1549" s="1" t="s">
        <v>27476</v>
      </c>
      <c r="BA1549" s="1"/>
      <c r="BB1549" s="1"/>
      <c r="BC1549" s="1" t="s">
        <v>1065</v>
      </c>
      <c r="BD1549" s="1" t="s">
        <v>549</v>
      </c>
      <c r="BE1549" s="1">
        <v>66.5</v>
      </c>
      <c r="BF1549" s="1">
        <v>7.4</v>
      </c>
      <c r="BG1549" s="1"/>
      <c r="BH1549" s="1"/>
      <c r="BI1549" s="1"/>
      <c r="BJ1549" s="1"/>
      <c r="BK1549" s="1"/>
      <c r="BL1549" s="1"/>
      <c r="BM1549" s="1"/>
      <c r="BN1549" s="1"/>
      <c r="BO1549" s="1" t="s">
        <v>27477</v>
      </c>
      <c r="BP1549" s="1"/>
      <c r="BQ1549" s="1"/>
      <c r="BR1549" s="1" t="s">
        <v>27478</v>
      </c>
      <c r="BS1549" s="1">
        <v>7</v>
      </c>
      <c r="BT1549" s="1"/>
      <c r="BU1549" s="1" t="str">
        <f>HYPERLINK("https://nconnect.nicmar.ac.in/storage/profile/ProfilePhoto_p2270125_897154.jpg","Download")</f>
        <v>0</v>
      </c>
      <c r="BV1549" s="3"/>
      <c r="BW1549" s="3"/>
    </row>
    <row r="1550" spans="1:75">
      <c r="A1550" s="1" t="s">
        <v>75</v>
      </c>
      <c r="B1550" s="1" t="s">
        <v>25236</v>
      </c>
      <c r="C1550" s="1" t="s">
        <v>27479</v>
      </c>
      <c r="D1550" s="1" t="s">
        <v>27480</v>
      </c>
      <c r="E1550" s="1" t="s">
        <v>27481</v>
      </c>
      <c r="F1550" s="1" t="s">
        <v>27482</v>
      </c>
      <c r="G1550" s="1" t="s">
        <v>27483</v>
      </c>
      <c r="H1550" s="1" t="s">
        <v>27484</v>
      </c>
      <c r="I1550" s="1" t="s">
        <v>27485</v>
      </c>
      <c r="J1550" s="1">
        <v>9726407860</v>
      </c>
      <c r="K1550" s="1" t="s">
        <v>84</v>
      </c>
      <c r="L1550" s="1" t="s">
        <v>27486</v>
      </c>
      <c r="M1550" s="1" t="s">
        <v>86</v>
      </c>
      <c r="N1550" s="1" t="s">
        <v>7185</v>
      </c>
      <c r="O1550" s="1" t="s">
        <v>27487</v>
      </c>
      <c r="P1550" s="1" t="s">
        <v>507</v>
      </c>
      <c r="Q1550" s="1" t="s">
        <v>27488</v>
      </c>
      <c r="R1550" s="1" t="s">
        <v>27489</v>
      </c>
      <c r="S1550" s="1">
        <v>9909234637</v>
      </c>
      <c r="T1550" s="1" t="s">
        <v>159</v>
      </c>
      <c r="U1550" s="1" t="s">
        <v>27490</v>
      </c>
      <c r="V1550" s="1">
        <v>9825570761</v>
      </c>
      <c r="W1550" s="1" t="s">
        <v>161</v>
      </c>
      <c r="X1550" s="1" t="s">
        <v>27491</v>
      </c>
      <c r="Y1550" s="1" t="s">
        <v>27492</v>
      </c>
      <c r="Z1550" s="1" t="s">
        <v>676</v>
      </c>
      <c r="AA1550" s="1" t="s">
        <v>27491</v>
      </c>
      <c r="AB1550" s="1" t="s">
        <v>27492</v>
      </c>
      <c r="AC1550" s="1" t="s">
        <v>676</v>
      </c>
      <c r="AD1550" s="1" t="s">
        <v>98</v>
      </c>
      <c r="AE1550" s="1" t="s">
        <v>98</v>
      </c>
      <c r="AF1550" s="1" t="s">
        <v>27493</v>
      </c>
      <c r="AG1550" s="1" t="s">
        <v>10192</v>
      </c>
      <c r="AH1550" s="1" t="s">
        <v>1213</v>
      </c>
      <c r="AI1550" s="1" t="s">
        <v>515</v>
      </c>
      <c r="AJ1550" s="1">
        <v>61.5</v>
      </c>
      <c r="AK1550" s="1">
        <v>0</v>
      </c>
      <c r="AL1550" s="1" t="s">
        <v>27493</v>
      </c>
      <c r="AM1550" s="1" t="s">
        <v>10192</v>
      </c>
      <c r="AN1550" s="1"/>
      <c r="AO1550" s="1" t="s">
        <v>166</v>
      </c>
      <c r="AP1550" s="1" t="s">
        <v>1111</v>
      </c>
      <c r="AQ1550" s="1">
        <v>56.15</v>
      </c>
      <c r="AR1550" s="1">
        <v>0</v>
      </c>
      <c r="AS1550" s="1"/>
      <c r="AT1550" s="1"/>
      <c r="AU1550" s="1"/>
      <c r="AV1550" s="1"/>
      <c r="AW1550" s="1"/>
      <c r="AX1550" s="1"/>
      <c r="AY1550" s="1" t="s">
        <v>5241</v>
      </c>
      <c r="AZ1550" s="1" t="s">
        <v>27494</v>
      </c>
      <c r="BA1550" s="1"/>
      <c r="BB1550" s="1"/>
      <c r="BC1550" s="1" t="s">
        <v>139</v>
      </c>
      <c r="BD1550" s="1" t="s">
        <v>1040</v>
      </c>
      <c r="BE1550" s="1">
        <v>69.6</v>
      </c>
      <c r="BF1550" s="1">
        <v>7.46</v>
      </c>
      <c r="BG1550" s="1"/>
      <c r="BH1550" s="1"/>
      <c r="BI1550" s="1"/>
      <c r="BJ1550" s="1"/>
      <c r="BK1550" s="1"/>
      <c r="BL1550" s="1"/>
      <c r="BM1550" s="1"/>
      <c r="BN1550" s="1"/>
      <c r="BO1550" s="1" t="s">
        <v>27495</v>
      </c>
      <c r="BP1550" s="1"/>
      <c r="BQ1550" s="1"/>
      <c r="BR1550" s="1" t="s">
        <v>27496</v>
      </c>
      <c r="BS1550" s="1">
        <v>115</v>
      </c>
      <c r="BT1550" s="1"/>
      <c r="BU1550" s="1" t="str">
        <f>HYPERLINK("https://nconnect.nicmar.ac.in/storage/profile/ProfilePhoto_p2270126_581496.jpg","Download")</f>
        <v>0</v>
      </c>
      <c r="BV1550" s="3"/>
      <c r="BW1550" s="3"/>
    </row>
    <row r="1551" spans="1:75">
      <c r="A1551" s="1" t="s">
        <v>75</v>
      </c>
      <c r="B1551" s="1" t="s">
        <v>25236</v>
      </c>
      <c r="C1551" s="1" t="s">
        <v>27497</v>
      </c>
      <c r="D1551" s="1" t="s">
        <v>6896</v>
      </c>
      <c r="E1551" s="1"/>
      <c r="F1551" s="1" t="s">
        <v>13015</v>
      </c>
      <c r="G1551" s="1" t="s">
        <v>27498</v>
      </c>
      <c r="H1551" s="1" t="s">
        <v>27499</v>
      </c>
      <c r="I1551" s="1" t="s">
        <v>27500</v>
      </c>
      <c r="J1551" s="1">
        <v>8496915424</v>
      </c>
      <c r="K1551" s="1" t="s">
        <v>84</v>
      </c>
      <c r="L1551" s="1" t="s">
        <v>13651</v>
      </c>
      <c r="M1551" s="1" t="s">
        <v>86</v>
      </c>
      <c r="N1551" s="1" t="s">
        <v>8258</v>
      </c>
      <c r="O1551" s="1" t="s">
        <v>27501</v>
      </c>
      <c r="P1551" s="1" t="s">
        <v>481</v>
      </c>
      <c r="Q1551" s="1" t="s">
        <v>27502</v>
      </c>
      <c r="R1551" s="1" t="s">
        <v>27503</v>
      </c>
      <c r="S1551" s="1">
        <v>9901931622</v>
      </c>
      <c r="T1551" s="1" t="s">
        <v>27504</v>
      </c>
      <c r="U1551" s="1" t="s">
        <v>27505</v>
      </c>
      <c r="V1551" s="1">
        <v>9535405923</v>
      </c>
      <c r="W1551" s="1" t="s">
        <v>161</v>
      </c>
      <c r="X1551" s="1" t="s">
        <v>27506</v>
      </c>
      <c r="Y1551" s="1" t="s">
        <v>3011</v>
      </c>
      <c r="Z1551" s="1" t="s">
        <v>1210</v>
      </c>
      <c r="AA1551" s="1" t="s">
        <v>27506</v>
      </c>
      <c r="AB1551" s="1" t="s">
        <v>3011</v>
      </c>
      <c r="AC1551" s="1" t="s">
        <v>1210</v>
      </c>
      <c r="AD1551" s="1" t="s">
        <v>98</v>
      </c>
      <c r="AE1551" s="1" t="s">
        <v>98</v>
      </c>
      <c r="AF1551" s="1" t="s">
        <v>27507</v>
      </c>
      <c r="AG1551" s="1" t="s">
        <v>27508</v>
      </c>
      <c r="AH1551" s="1" t="s">
        <v>166</v>
      </c>
      <c r="AI1551" s="1" t="s">
        <v>627</v>
      </c>
      <c r="AJ1551" s="1">
        <v>91.36</v>
      </c>
      <c r="AK1551" s="1"/>
      <c r="AL1551" s="1" t="s">
        <v>27509</v>
      </c>
      <c r="AM1551" s="1" t="s">
        <v>27508</v>
      </c>
      <c r="AN1551" s="1"/>
      <c r="AO1551" s="1" t="s">
        <v>167</v>
      </c>
      <c r="AP1551" s="1" t="s">
        <v>171</v>
      </c>
      <c r="AQ1551" s="1">
        <v>62</v>
      </c>
      <c r="AR1551" s="1"/>
      <c r="AS1551" s="1"/>
      <c r="AT1551" s="1"/>
      <c r="AU1551" s="1"/>
      <c r="AV1551" s="1"/>
      <c r="AW1551" s="1"/>
      <c r="AX1551" s="1"/>
      <c r="AY1551" s="1" t="s">
        <v>8132</v>
      </c>
      <c r="AZ1551" s="1" t="s">
        <v>25462</v>
      </c>
      <c r="BA1551" s="1"/>
      <c r="BB1551" s="1"/>
      <c r="BC1551" s="1" t="s">
        <v>1065</v>
      </c>
      <c r="BD1551" s="1" t="s">
        <v>1400</v>
      </c>
      <c r="BE1551" s="1">
        <v>74.6</v>
      </c>
      <c r="BF1551" s="1">
        <v>8.21</v>
      </c>
      <c r="BG1551" s="1"/>
      <c r="BH1551" s="1"/>
      <c r="BI1551" s="1"/>
      <c r="BJ1551" s="1"/>
      <c r="BK1551" s="1"/>
      <c r="BL1551" s="1"/>
      <c r="BM1551" s="1"/>
      <c r="BN1551" s="1"/>
      <c r="BO1551" s="1" t="s">
        <v>27510</v>
      </c>
      <c r="BP1551" s="1"/>
      <c r="BQ1551" s="1"/>
      <c r="BR1551" s="1" t="s">
        <v>27511</v>
      </c>
      <c r="BS1551" s="1">
        <v>16</v>
      </c>
      <c r="BT1551" s="1"/>
      <c r="BU1551" s="1" t="str">
        <f>HYPERLINK("https://nconnect.nicmar.ac.in/storage/profile/ProfilePhoto_p2270127_843627.jpg","Download")</f>
        <v>0</v>
      </c>
      <c r="BV1551" s="3"/>
      <c r="BW1551" s="3"/>
    </row>
    <row r="1552" spans="1:75">
      <c r="A1552" s="1" t="s">
        <v>75</v>
      </c>
      <c r="B1552" s="1" t="s">
        <v>25236</v>
      </c>
      <c r="C1552" s="1" t="s">
        <v>27512</v>
      </c>
      <c r="D1552" s="1" t="s">
        <v>2620</v>
      </c>
      <c r="E1552" s="1"/>
      <c r="F1552" s="1" t="s">
        <v>117</v>
      </c>
      <c r="G1552" s="1" t="s">
        <v>27513</v>
      </c>
      <c r="H1552" s="1" t="s">
        <v>27514</v>
      </c>
      <c r="I1552" s="1" t="s">
        <v>27515</v>
      </c>
      <c r="J1552" s="1">
        <v>9744734604</v>
      </c>
      <c r="K1552" s="1" t="s">
        <v>84</v>
      </c>
      <c r="L1552" s="1" t="s">
        <v>27516</v>
      </c>
      <c r="M1552" s="1" t="s">
        <v>86</v>
      </c>
      <c r="N1552" s="1" t="s">
        <v>5194</v>
      </c>
      <c r="O1552" s="1" t="s">
        <v>27517</v>
      </c>
      <c r="P1552" s="1" t="s">
        <v>455</v>
      </c>
      <c r="Q1552" s="1" t="s">
        <v>27518</v>
      </c>
      <c r="R1552" s="1" t="s">
        <v>27519</v>
      </c>
      <c r="S1552" s="1">
        <v>9847000395</v>
      </c>
      <c r="T1552" s="1" t="s">
        <v>1620</v>
      </c>
      <c r="U1552" s="1" t="s">
        <v>8633</v>
      </c>
      <c r="V1552" s="1">
        <v>9847001395</v>
      </c>
      <c r="W1552" s="1" t="s">
        <v>278</v>
      </c>
      <c r="X1552" s="1" t="s">
        <v>27520</v>
      </c>
      <c r="Y1552" s="1" t="s">
        <v>701</v>
      </c>
      <c r="Z1552" s="1" t="s">
        <v>130</v>
      </c>
      <c r="AA1552" s="1" t="s">
        <v>27520</v>
      </c>
      <c r="AB1552" s="1" t="s">
        <v>701</v>
      </c>
      <c r="AC1552" s="1" t="s">
        <v>130</v>
      </c>
      <c r="AD1552" s="1" t="s">
        <v>98</v>
      </c>
      <c r="AE1552" s="1" t="s">
        <v>98</v>
      </c>
      <c r="AF1552" s="1" t="s">
        <v>27521</v>
      </c>
      <c r="AG1552" s="1" t="s">
        <v>27522</v>
      </c>
      <c r="AH1552" s="1" t="s">
        <v>26967</v>
      </c>
      <c r="AI1552" s="1" t="s">
        <v>1457</v>
      </c>
      <c r="AJ1552" s="1">
        <v>91.2</v>
      </c>
      <c r="AK1552" s="1">
        <v>9.6</v>
      </c>
      <c r="AL1552" s="1" t="s">
        <v>27521</v>
      </c>
      <c r="AM1552" s="1" t="s">
        <v>27522</v>
      </c>
      <c r="AN1552" s="1"/>
      <c r="AO1552" s="1" t="s">
        <v>1213</v>
      </c>
      <c r="AP1552" s="1" t="s">
        <v>102</v>
      </c>
      <c r="AQ1552" s="1">
        <v>87</v>
      </c>
      <c r="AR1552" s="1"/>
      <c r="AS1552" s="1"/>
      <c r="AT1552" s="1"/>
      <c r="AU1552" s="1"/>
      <c r="AV1552" s="1"/>
      <c r="AW1552" s="1"/>
      <c r="AX1552" s="1"/>
      <c r="AY1552" s="1" t="s">
        <v>27523</v>
      </c>
      <c r="AZ1552" s="1" t="s">
        <v>27524</v>
      </c>
      <c r="BA1552" s="1"/>
      <c r="BB1552" s="1"/>
      <c r="BC1552" s="1" t="s">
        <v>342</v>
      </c>
      <c r="BD1552" s="1" t="s">
        <v>441</v>
      </c>
      <c r="BE1552" s="1">
        <v>62.5</v>
      </c>
      <c r="BF1552" s="1">
        <v>6.25</v>
      </c>
      <c r="BG1552" s="1"/>
      <c r="BH1552" s="1"/>
      <c r="BI1552" s="1"/>
      <c r="BJ1552" s="1"/>
      <c r="BK1552" s="1"/>
      <c r="BL1552" s="1"/>
      <c r="BM1552" s="1"/>
      <c r="BN1552" s="1"/>
      <c r="BO1552" s="1" t="s">
        <v>27525</v>
      </c>
      <c r="BP1552" s="1"/>
      <c r="BQ1552" s="1"/>
      <c r="BR1552" s="1" t="s">
        <v>27526</v>
      </c>
      <c r="BS1552" s="1">
        <v>52</v>
      </c>
      <c r="BT1552" s="1"/>
      <c r="BU1552" s="1" t="str">
        <f>HYPERLINK("https://nconnect.nicmar.ac.in/storage/profile/ProfilePhoto_p2270129_142863.jpg","Download")</f>
        <v>0</v>
      </c>
      <c r="BV1552" s="3"/>
      <c r="BW1552" s="3"/>
    </row>
    <row r="1553" spans="1:75">
      <c r="A1553" s="1" t="s">
        <v>75</v>
      </c>
      <c r="B1553" s="1" t="s">
        <v>25236</v>
      </c>
      <c r="C1553" s="1" t="s">
        <v>27527</v>
      </c>
      <c r="D1553" s="1" t="s">
        <v>27528</v>
      </c>
      <c r="E1553" s="1" t="s">
        <v>27529</v>
      </c>
      <c r="F1553" s="1" t="s">
        <v>116</v>
      </c>
      <c r="G1553" s="1" t="s">
        <v>27530</v>
      </c>
      <c r="H1553" s="1" t="s">
        <v>27531</v>
      </c>
      <c r="I1553" s="1" t="s">
        <v>27532</v>
      </c>
      <c r="J1553" s="1">
        <v>8072423162</v>
      </c>
      <c r="K1553" s="1" t="s">
        <v>84</v>
      </c>
      <c r="L1553" s="1" t="s">
        <v>27533</v>
      </c>
      <c r="M1553" s="1" t="s">
        <v>86</v>
      </c>
      <c r="N1553" s="1" t="s">
        <v>1492</v>
      </c>
      <c r="O1553" s="1" t="s">
        <v>27534</v>
      </c>
      <c r="P1553" s="1" t="s">
        <v>481</v>
      </c>
      <c r="Q1553" s="1" t="s">
        <v>27535</v>
      </c>
      <c r="R1553" s="1" t="s">
        <v>27536</v>
      </c>
      <c r="S1553" s="1">
        <v>9159912775</v>
      </c>
      <c r="T1553" s="1" t="s">
        <v>6569</v>
      </c>
      <c r="U1553" s="1" t="s">
        <v>27537</v>
      </c>
      <c r="V1553" s="1">
        <v>9159912775</v>
      </c>
      <c r="W1553" s="1" t="s">
        <v>278</v>
      </c>
      <c r="X1553" s="1" t="s">
        <v>27538</v>
      </c>
      <c r="Y1553" s="1" t="s">
        <v>822</v>
      </c>
      <c r="Z1553" s="1" t="s">
        <v>570</v>
      </c>
      <c r="AA1553" s="1" t="s">
        <v>27539</v>
      </c>
      <c r="AB1553" s="1" t="s">
        <v>196</v>
      </c>
      <c r="AC1553" s="1" t="s">
        <v>97</v>
      </c>
      <c r="AD1553" s="1" t="s">
        <v>98</v>
      </c>
      <c r="AE1553" s="1" t="s">
        <v>98</v>
      </c>
      <c r="AF1553" s="1" t="s">
        <v>27540</v>
      </c>
      <c r="AG1553" s="1" t="s">
        <v>27541</v>
      </c>
      <c r="AH1553" s="1" t="s">
        <v>166</v>
      </c>
      <c r="AI1553" s="1" t="s">
        <v>1111</v>
      </c>
      <c r="AJ1553" s="1">
        <v>93.8</v>
      </c>
      <c r="AK1553" s="1"/>
      <c r="AL1553" s="1" t="s">
        <v>27540</v>
      </c>
      <c r="AM1553" s="1" t="s">
        <v>27541</v>
      </c>
      <c r="AN1553" s="1"/>
      <c r="AO1553" s="1" t="s">
        <v>170</v>
      </c>
      <c r="AP1553" s="1" t="s">
        <v>286</v>
      </c>
      <c r="AQ1553" s="1">
        <v>85.16</v>
      </c>
      <c r="AR1553" s="1"/>
      <c r="AS1553" s="1"/>
      <c r="AT1553" s="1"/>
      <c r="AU1553" s="1"/>
      <c r="AV1553" s="1"/>
      <c r="AW1553" s="1"/>
      <c r="AX1553" s="1"/>
      <c r="AY1553" s="1" t="s">
        <v>576</v>
      </c>
      <c r="AZ1553" s="1" t="s">
        <v>27542</v>
      </c>
      <c r="BA1553" s="1"/>
      <c r="BB1553" s="1"/>
      <c r="BC1553" s="1" t="s">
        <v>1065</v>
      </c>
      <c r="BD1553" s="1" t="s">
        <v>632</v>
      </c>
      <c r="BE1553" s="1">
        <v>81.87</v>
      </c>
      <c r="BF1553" s="1">
        <v>8.18</v>
      </c>
      <c r="BG1553" s="1"/>
      <c r="BH1553" s="1"/>
      <c r="BI1553" s="1"/>
      <c r="BJ1553" s="1"/>
      <c r="BK1553" s="1"/>
      <c r="BL1553" s="1"/>
      <c r="BM1553" s="1"/>
      <c r="BN1553" s="1"/>
      <c r="BO1553" s="1" t="s">
        <v>27543</v>
      </c>
      <c r="BP1553" s="1"/>
      <c r="BQ1553" s="1"/>
      <c r="BR1553" s="1" t="s">
        <v>27544</v>
      </c>
      <c r="BS1553" s="1">
        <v>7</v>
      </c>
      <c r="BT1553" s="1"/>
      <c r="BU1553" s="1" t="str">
        <f>HYPERLINK("https://nconnect.nicmar.ac.in/storage/profile/ProfilePhoto_p2270130_632481.jpg","Download")</f>
        <v>0</v>
      </c>
      <c r="BV1553" s="3"/>
      <c r="BW1553" s="3"/>
    </row>
    <row r="1554" spans="1:75">
      <c r="A1554" s="1" t="s">
        <v>75</v>
      </c>
      <c r="B1554" s="1" t="s">
        <v>25236</v>
      </c>
      <c r="C1554" s="1" t="s">
        <v>27545</v>
      </c>
      <c r="D1554" s="1" t="s">
        <v>8904</v>
      </c>
      <c r="E1554" s="1"/>
      <c r="F1554" s="1" t="s">
        <v>27546</v>
      </c>
      <c r="G1554" s="1" t="s">
        <v>27547</v>
      </c>
      <c r="H1554" s="1" t="s">
        <v>27548</v>
      </c>
      <c r="I1554" s="1" t="s">
        <v>27549</v>
      </c>
      <c r="J1554" s="1">
        <v>8770834776</v>
      </c>
      <c r="K1554" s="1" t="s">
        <v>84</v>
      </c>
      <c r="L1554" s="1" t="s">
        <v>27550</v>
      </c>
      <c r="M1554" s="1" t="s">
        <v>86</v>
      </c>
      <c r="N1554" s="1" t="s">
        <v>27551</v>
      </c>
      <c r="O1554" s="1"/>
      <c r="P1554" s="1" t="s">
        <v>455</v>
      </c>
      <c r="Q1554" s="1" t="s">
        <v>27552</v>
      </c>
      <c r="R1554" s="1" t="s">
        <v>27553</v>
      </c>
      <c r="S1554" s="1">
        <v>9754959198</v>
      </c>
      <c r="T1554" s="1" t="s">
        <v>645</v>
      </c>
      <c r="U1554" s="1" t="s">
        <v>27554</v>
      </c>
      <c r="V1554" s="1">
        <v>9926223388</v>
      </c>
      <c r="W1554" s="1" t="s">
        <v>161</v>
      </c>
      <c r="X1554" s="1" t="s">
        <v>27555</v>
      </c>
      <c r="Y1554" s="1" t="s">
        <v>27556</v>
      </c>
      <c r="Z1554" s="1" t="s">
        <v>3419</v>
      </c>
      <c r="AA1554" s="1" t="s">
        <v>27555</v>
      </c>
      <c r="AB1554" s="1" t="s">
        <v>27556</v>
      </c>
      <c r="AC1554" s="1" t="s">
        <v>3419</v>
      </c>
      <c r="AD1554" s="1" t="s">
        <v>98</v>
      </c>
      <c r="AE1554" s="1" t="s">
        <v>98</v>
      </c>
      <c r="AF1554" s="1" t="s">
        <v>27557</v>
      </c>
      <c r="AG1554" s="1" t="s">
        <v>27558</v>
      </c>
      <c r="AH1554" s="1" t="s">
        <v>1583</v>
      </c>
      <c r="AI1554" s="1" t="s">
        <v>1262</v>
      </c>
      <c r="AJ1554" s="1">
        <v>53.2</v>
      </c>
      <c r="AK1554" s="1">
        <v>5.6</v>
      </c>
      <c r="AL1554" s="1" t="s">
        <v>27559</v>
      </c>
      <c r="AM1554" s="1" t="s">
        <v>27558</v>
      </c>
      <c r="AN1554" s="1"/>
      <c r="AO1554" s="1" t="s">
        <v>342</v>
      </c>
      <c r="AP1554" s="1" t="s">
        <v>627</v>
      </c>
      <c r="AQ1554" s="1">
        <v>59.6</v>
      </c>
      <c r="AR1554" s="1"/>
      <c r="AS1554" s="1"/>
      <c r="AT1554" s="1"/>
      <c r="AU1554" s="1"/>
      <c r="AV1554" s="1"/>
      <c r="AW1554" s="1"/>
      <c r="AX1554" s="1"/>
      <c r="AY1554" s="1" t="s">
        <v>5224</v>
      </c>
      <c r="AZ1554" s="1" t="s">
        <v>27558</v>
      </c>
      <c r="BA1554" s="1"/>
      <c r="BB1554" s="1"/>
      <c r="BC1554" s="1" t="s">
        <v>139</v>
      </c>
      <c r="BD1554" s="1" t="s">
        <v>890</v>
      </c>
      <c r="BE1554" s="1">
        <v>62</v>
      </c>
      <c r="BF1554" s="1">
        <v>6.2</v>
      </c>
      <c r="BG1554" s="1"/>
      <c r="BH1554" s="1"/>
      <c r="BI1554" s="1"/>
      <c r="BJ1554" s="1"/>
      <c r="BK1554" s="1"/>
      <c r="BL1554" s="1"/>
      <c r="BM1554" s="1"/>
      <c r="BN1554" s="1"/>
      <c r="BO1554" s="1" t="s">
        <v>27560</v>
      </c>
      <c r="BP1554" s="1"/>
      <c r="BQ1554" s="1"/>
      <c r="BR1554" s="1" t="s">
        <v>27561</v>
      </c>
      <c r="BS1554" s="1">
        <v>10</v>
      </c>
      <c r="BT1554" s="1"/>
      <c r="BU1554" s="1" t="str">
        <f>HYPERLINK("https://nconnect.nicmar.ac.in/storage/profile/ProfilePhoto_p2270131_654273.jpg","Download")</f>
        <v>0</v>
      </c>
      <c r="BV1554" s="3"/>
      <c r="BW1554" s="3"/>
    </row>
    <row r="1555" spans="1:75">
      <c r="A1555" s="1" t="s">
        <v>75</v>
      </c>
      <c r="B1555" s="1" t="s">
        <v>25236</v>
      </c>
      <c r="C1555" s="1" t="s">
        <v>27562</v>
      </c>
      <c r="D1555" s="1" t="s">
        <v>14185</v>
      </c>
      <c r="E1555" s="1"/>
      <c r="F1555" s="1" t="s">
        <v>27563</v>
      </c>
      <c r="G1555" s="1" t="s">
        <v>27564</v>
      </c>
      <c r="H1555" s="1" t="s">
        <v>27565</v>
      </c>
      <c r="I1555" s="1" t="s">
        <v>27566</v>
      </c>
      <c r="J1555" s="1">
        <v>8889222084</v>
      </c>
      <c r="K1555" s="1" t="s">
        <v>153</v>
      </c>
      <c r="L1555" s="1" t="s">
        <v>27567</v>
      </c>
      <c r="M1555" s="1" t="s">
        <v>86</v>
      </c>
      <c r="N1555" s="1" t="s">
        <v>4278</v>
      </c>
      <c r="O1555" s="1" t="s">
        <v>27568</v>
      </c>
      <c r="P1555" s="1" t="s">
        <v>507</v>
      </c>
      <c r="Q1555" s="1" t="s">
        <v>27569</v>
      </c>
      <c r="R1555" s="1" t="s">
        <v>27570</v>
      </c>
      <c r="S1555" s="1">
        <v>9893699166</v>
      </c>
      <c r="T1555" s="1" t="s">
        <v>27571</v>
      </c>
      <c r="U1555" s="1" t="s">
        <v>27572</v>
      </c>
      <c r="V1555" s="1">
        <v>9926448340</v>
      </c>
      <c r="W1555" s="1" t="s">
        <v>127</v>
      </c>
      <c r="X1555" s="1" t="s">
        <v>27573</v>
      </c>
      <c r="Y1555" s="1" t="s">
        <v>5641</v>
      </c>
      <c r="Z1555" s="1" t="s">
        <v>3419</v>
      </c>
      <c r="AA1555" s="1" t="s">
        <v>27573</v>
      </c>
      <c r="AB1555" s="1" t="s">
        <v>5641</v>
      </c>
      <c r="AC1555" s="1" t="s">
        <v>3419</v>
      </c>
      <c r="AD1555" s="1" t="s">
        <v>98</v>
      </c>
      <c r="AE1555" s="1" t="s">
        <v>98</v>
      </c>
      <c r="AF1555" s="1" t="s">
        <v>27574</v>
      </c>
      <c r="AG1555" s="1" t="s">
        <v>775</v>
      </c>
      <c r="AH1555" s="1" t="s">
        <v>3285</v>
      </c>
      <c r="AI1555" s="1" t="s">
        <v>2726</v>
      </c>
      <c r="AJ1555" s="1">
        <v>79.8</v>
      </c>
      <c r="AK1555" s="1"/>
      <c r="AL1555" s="1" t="s">
        <v>27574</v>
      </c>
      <c r="AM1555" s="1" t="s">
        <v>775</v>
      </c>
      <c r="AN1555" s="1"/>
      <c r="AO1555" s="1" t="s">
        <v>3421</v>
      </c>
      <c r="AP1555" s="1" t="s">
        <v>1262</v>
      </c>
      <c r="AQ1555" s="1">
        <v>72</v>
      </c>
      <c r="AR1555" s="1"/>
      <c r="AS1555" s="1"/>
      <c r="AT1555" s="1"/>
      <c r="AU1555" s="1"/>
      <c r="AV1555" s="1"/>
      <c r="AW1555" s="1"/>
      <c r="AX1555" s="1"/>
      <c r="AY1555" s="1" t="s">
        <v>5224</v>
      </c>
      <c r="AZ1555" s="1" t="s">
        <v>27575</v>
      </c>
      <c r="BA1555" s="1"/>
      <c r="BB1555" s="1"/>
      <c r="BC1555" s="1" t="s">
        <v>135</v>
      </c>
      <c r="BD1555" s="1" t="s">
        <v>313</v>
      </c>
      <c r="BE1555" s="1">
        <v>72.2</v>
      </c>
      <c r="BF1555" s="1"/>
      <c r="BG1555" s="1"/>
      <c r="BH1555" s="1"/>
      <c r="BI1555" s="1"/>
      <c r="BJ1555" s="1"/>
      <c r="BK1555" s="1"/>
      <c r="BL1555" s="1"/>
      <c r="BM1555" s="1"/>
      <c r="BN1555" s="1"/>
      <c r="BO1555" s="1" t="s">
        <v>27576</v>
      </c>
      <c r="BP1555" s="1" t="s">
        <v>27577</v>
      </c>
      <c r="BQ1555" s="1" t="s">
        <v>292</v>
      </c>
      <c r="BR1555" s="1" t="s">
        <v>27578</v>
      </c>
      <c r="BS1555" s="1">
        <v>-2</v>
      </c>
      <c r="BT1555" s="1"/>
      <c r="BU1555" s="1" t="str">
        <f>HYPERLINK("https://nconnect.nicmar.ac.in/storage/profile/ProfilePhoto_p2270132_387251.jpg","Download")</f>
        <v>0</v>
      </c>
      <c r="BV1555" s="3"/>
      <c r="BW1555" s="3"/>
    </row>
    <row r="1556" spans="1:75">
      <c r="A1556" s="1" t="s">
        <v>75</v>
      </c>
      <c r="B1556" s="1" t="s">
        <v>25236</v>
      </c>
      <c r="C1556" s="1" t="s">
        <v>27579</v>
      </c>
      <c r="D1556" s="1" t="s">
        <v>27580</v>
      </c>
      <c r="E1556" s="1" t="s">
        <v>2140</v>
      </c>
      <c r="F1556" s="1" t="s">
        <v>7760</v>
      </c>
      <c r="G1556" s="1" t="s">
        <v>27581</v>
      </c>
      <c r="H1556" s="1" t="s">
        <v>27582</v>
      </c>
      <c r="I1556" s="1" t="s">
        <v>27583</v>
      </c>
      <c r="J1556" s="1">
        <v>9600052952</v>
      </c>
      <c r="K1556" s="1" t="s">
        <v>84</v>
      </c>
      <c r="L1556" s="1" t="s">
        <v>27584</v>
      </c>
      <c r="M1556" s="1" t="s">
        <v>86</v>
      </c>
      <c r="N1556" s="1" t="s">
        <v>27585</v>
      </c>
      <c r="O1556" s="1" t="s">
        <v>27586</v>
      </c>
      <c r="P1556" s="1" t="s">
        <v>481</v>
      </c>
      <c r="Q1556" s="1" t="s">
        <v>27587</v>
      </c>
      <c r="R1556" s="1" t="s">
        <v>27588</v>
      </c>
      <c r="S1556" s="1">
        <v>9842520030</v>
      </c>
      <c r="T1556" s="1" t="s">
        <v>27589</v>
      </c>
      <c r="U1556" s="1" t="s">
        <v>27590</v>
      </c>
      <c r="V1556" s="1">
        <v>9942946247</v>
      </c>
      <c r="W1556" s="1" t="s">
        <v>541</v>
      </c>
      <c r="X1556" s="1" t="s">
        <v>27591</v>
      </c>
      <c r="Y1556" s="1" t="s">
        <v>9770</v>
      </c>
      <c r="Z1556" s="1" t="s">
        <v>570</v>
      </c>
      <c r="AA1556" s="1" t="s">
        <v>27591</v>
      </c>
      <c r="AB1556" s="1" t="s">
        <v>9770</v>
      </c>
      <c r="AC1556" s="1" t="s">
        <v>570</v>
      </c>
      <c r="AD1556" s="1" t="s">
        <v>98</v>
      </c>
      <c r="AE1556" s="1" t="s">
        <v>98</v>
      </c>
      <c r="AF1556" s="1" t="s">
        <v>27592</v>
      </c>
      <c r="AG1556" s="1" t="s">
        <v>27593</v>
      </c>
      <c r="AH1556" s="1" t="s">
        <v>4593</v>
      </c>
      <c r="AI1556" s="1" t="s">
        <v>3923</v>
      </c>
      <c r="AJ1556" s="1">
        <v>79.8</v>
      </c>
      <c r="AK1556" s="1">
        <v>8.4</v>
      </c>
      <c r="AL1556" s="1" t="s">
        <v>27594</v>
      </c>
      <c r="AM1556" s="1" t="s">
        <v>27593</v>
      </c>
      <c r="AN1556" s="1"/>
      <c r="AO1556" s="1" t="s">
        <v>3285</v>
      </c>
      <c r="AP1556" s="1" t="s">
        <v>1457</v>
      </c>
      <c r="AQ1556" s="1">
        <v>91.75</v>
      </c>
      <c r="AR1556" s="1">
        <v>0</v>
      </c>
      <c r="AS1556" s="1"/>
      <c r="AT1556" s="1"/>
      <c r="AU1556" s="1"/>
      <c r="AV1556" s="1"/>
      <c r="AW1556" s="1"/>
      <c r="AX1556" s="1"/>
      <c r="AY1556" s="1" t="s">
        <v>576</v>
      </c>
      <c r="AZ1556" s="1" t="s">
        <v>27595</v>
      </c>
      <c r="BA1556" s="1"/>
      <c r="BB1556" s="1"/>
      <c r="BC1556" s="1" t="s">
        <v>1583</v>
      </c>
      <c r="BD1556" s="1" t="s">
        <v>171</v>
      </c>
      <c r="BE1556" s="1">
        <v>70.7</v>
      </c>
      <c r="BF1556" s="1">
        <v>7.07</v>
      </c>
      <c r="BG1556" s="1"/>
      <c r="BH1556" s="1"/>
      <c r="BI1556" s="1"/>
      <c r="BJ1556" s="1"/>
      <c r="BK1556" s="1"/>
      <c r="BL1556" s="1"/>
      <c r="BM1556" s="1"/>
      <c r="BN1556" s="1"/>
      <c r="BO1556" s="1" t="s">
        <v>27596</v>
      </c>
      <c r="BP1556" s="1" t="s">
        <v>27597</v>
      </c>
      <c r="BQ1556" s="1" t="s">
        <v>6652</v>
      </c>
      <c r="BR1556" s="1" t="s">
        <v>27598</v>
      </c>
      <c r="BS1556" s="1">
        <v>43</v>
      </c>
      <c r="BT1556" s="1"/>
      <c r="BU1556" s="1" t="str">
        <f>HYPERLINK("https://nconnect.nicmar.ac.in/storage/profile/ProfilePhoto_p2270133_518947.jpg","Download")</f>
        <v>0</v>
      </c>
      <c r="BV1556" s="3"/>
      <c r="BW1556" s="3"/>
    </row>
    <row r="1557" spans="1:75">
      <c r="A1557" s="1" t="s">
        <v>75</v>
      </c>
      <c r="B1557" s="1" t="s">
        <v>25236</v>
      </c>
      <c r="C1557" s="1" t="s">
        <v>27599</v>
      </c>
      <c r="D1557" s="1" t="s">
        <v>27600</v>
      </c>
      <c r="E1557" s="1" t="s">
        <v>27601</v>
      </c>
      <c r="F1557" s="1" t="s">
        <v>27602</v>
      </c>
      <c r="G1557" s="1" t="s">
        <v>27603</v>
      </c>
      <c r="H1557" s="1" t="s">
        <v>27604</v>
      </c>
      <c r="I1557" s="1" t="s">
        <v>27605</v>
      </c>
      <c r="J1557" s="1">
        <v>7028157983</v>
      </c>
      <c r="K1557" s="1" t="s">
        <v>84</v>
      </c>
      <c r="L1557" s="1" t="s">
        <v>14665</v>
      </c>
      <c r="M1557" s="1" t="s">
        <v>86</v>
      </c>
      <c r="N1557" s="1" t="s">
        <v>4972</v>
      </c>
      <c r="O1557" s="1" t="s">
        <v>27606</v>
      </c>
      <c r="P1557" s="1" t="s">
        <v>481</v>
      </c>
      <c r="Q1557" s="1" t="s">
        <v>27607</v>
      </c>
      <c r="R1557" s="1" t="s">
        <v>27608</v>
      </c>
      <c r="S1557" s="1">
        <v>9822879014</v>
      </c>
      <c r="T1557" s="1" t="s">
        <v>839</v>
      </c>
      <c r="U1557" s="1" t="s">
        <v>27609</v>
      </c>
      <c r="V1557" s="1">
        <v>9689446858</v>
      </c>
      <c r="W1557" s="1" t="s">
        <v>645</v>
      </c>
      <c r="X1557" s="1" t="s">
        <v>27610</v>
      </c>
      <c r="Y1557" s="1" t="s">
        <v>196</v>
      </c>
      <c r="Z1557" s="1" t="s">
        <v>97</v>
      </c>
      <c r="AA1557" s="1" t="s">
        <v>27610</v>
      </c>
      <c r="AB1557" s="1" t="s">
        <v>196</v>
      </c>
      <c r="AC1557" s="1" t="s">
        <v>97</v>
      </c>
      <c r="AD1557" s="1" t="s">
        <v>98</v>
      </c>
      <c r="AE1557" s="1" t="s">
        <v>98</v>
      </c>
      <c r="AF1557" s="1" t="s">
        <v>27611</v>
      </c>
      <c r="AG1557" s="1" t="s">
        <v>27612</v>
      </c>
      <c r="AH1557" s="1" t="s">
        <v>7331</v>
      </c>
      <c r="AI1557" s="1" t="s">
        <v>166</v>
      </c>
      <c r="AJ1557" s="1">
        <v>89.3</v>
      </c>
      <c r="AK1557" s="1">
        <v>9.4</v>
      </c>
      <c r="AL1557" s="1" t="s">
        <v>27613</v>
      </c>
      <c r="AM1557" s="1" t="s">
        <v>1968</v>
      </c>
      <c r="AN1557" s="1"/>
      <c r="AO1557" s="1" t="s">
        <v>342</v>
      </c>
      <c r="AP1557" s="1" t="s">
        <v>170</v>
      </c>
      <c r="AQ1557" s="1">
        <v>63.5</v>
      </c>
      <c r="AR1557" s="1">
        <v>0</v>
      </c>
      <c r="AS1557" s="1"/>
      <c r="AT1557" s="1"/>
      <c r="AU1557" s="1"/>
      <c r="AV1557" s="1"/>
      <c r="AW1557" s="1"/>
      <c r="AX1557" s="1"/>
      <c r="AY1557" s="1" t="s">
        <v>366</v>
      </c>
      <c r="AZ1557" s="1" t="s">
        <v>27614</v>
      </c>
      <c r="BA1557" s="1"/>
      <c r="BB1557" s="1"/>
      <c r="BC1557" s="1" t="s">
        <v>388</v>
      </c>
      <c r="BD1557" s="1" t="s">
        <v>549</v>
      </c>
      <c r="BE1557" s="1">
        <v>77.12</v>
      </c>
      <c r="BF1557" s="1">
        <v>8.51</v>
      </c>
      <c r="BG1557" s="1"/>
      <c r="BH1557" s="1"/>
      <c r="BI1557" s="1"/>
      <c r="BJ1557" s="1"/>
      <c r="BK1557" s="1"/>
      <c r="BL1557" s="1"/>
      <c r="BM1557" s="1"/>
      <c r="BN1557" s="1"/>
      <c r="BO1557" s="1" t="s">
        <v>27615</v>
      </c>
      <c r="BP1557" s="1" t="s">
        <v>27616</v>
      </c>
      <c r="BQ1557" s="1" t="s">
        <v>1070</v>
      </c>
      <c r="BR1557" s="1" t="s">
        <v>27617</v>
      </c>
      <c r="BS1557" s="1">
        <v>12</v>
      </c>
      <c r="BT1557" s="1"/>
      <c r="BU1557" s="1" t="str">
        <f>HYPERLINK("https://nconnect.nicmar.ac.in/storage/profile/ProfilePhoto_p2270134_783652.jpg","Download")</f>
        <v>0</v>
      </c>
      <c r="BV1557" s="3"/>
      <c r="BW1557" s="3"/>
    </row>
    <row r="1558" spans="1:75">
      <c r="A1558" s="1" t="s">
        <v>75</v>
      </c>
      <c r="B1558" s="1" t="s">
        <v>25236</v>
      </c>
      <c r="C1558" s="1" t="s">
        <v>27618</v>
      </c>
      <c r="D1558" s="1" t="s">
        <v>27619</v>
      </c>
      <c r="E1558" s="1" t="s">
        <v>27620</v>
      </c>
      <c r="F1558" s="1" t="s">
        <v>6292</v>
      </c>
      <c r="G1558" s="1" t="s">
        <v>27621</v>
      </c>
      <c r="H1558" s="1" t="s">
        <v>27622</v>
      </c>
      <c r="I1558" s="1" t="s">
        <v>27623</v>
      </c>
      <c r="J1558" s="1">
        <v>8830795183</v>
      </c>
      <c r="K1558" s="1" t="s">
        <v>153</v>
      </c>
      <c r="L1558" s="1" t="s">
        <v>1548</v>
      </c>
      <c r="M1558" s="1" t="s">
        <v>86</v>
      </c>
      <c r="N1558" s="1" t="s">
        <v>4972</v>
      </c>
      <c r="O1558" s="1" t="s">
        <v>27624</v>
      </c>
      <c r="P1558" s="1"/>
      <c r="Q1558" s="1" t="s">
        <v>27625</v>
      </c>
      <c r="R1558" s="1" t="s">
        <v>27626</v>
      </c>
      <c r="S1558" s="1">
        <v>9922501132</v>
      </c>
      <c r="T1558" s="1" t="s">
        <v>645</v>
      </c>
      <c r="U1558" s="1" t="s">
        <v>27627</v>
      </c>
      <c r="V1558" s="1">
        <v>7972366116</v>
      </c>
      <c r="W1558" s="1" t="s">
        <v>161</v>
      </c>
      <c r="X1558" s="1" t="s">
        <v>27628</v>
      </c>
      <c r="Y1558" s="1" t="s">
        <v>196</v>
      </c>
      <c r="Z1558" s="1" t="s">
        <v>97</v>
      </c>
      <c r="AA1558" s="1" t="s">
        <v>27628</v>
      </c>
      <c r="AB1558" s="1" t="s">
        <v>196</v>
      </c>
      <c r="AC1558" s="1" t="s">
        <v>97</v>
      </c>
      <c r="AD1558" s="1" t="s">
        <v>98</v>
      </c>
      <c r="AE1558" s="1" t="s">
        <v>98</v>
      </c>
      <c r="AF1558" s="1" t="s">
        <v>4997</v>
      </c>
      <c r="AG1558" s="1" t="s">
        <v>165</v>
      </c>
      <c r="AH1558" s="1" t="s">
        <v>1457</v>
      </c>
      <c r="AI1558" s="1" t="s">
        <v>515</v>
      </c>
      <c r="AJ1558" s="1">
        <v>81.6</v>
      </c>
      <c r="AK1558" s="1">
        <v>0</v>
      </c>
      <c r="AL1558" s="1" t="s">
        <v>27629</v>
      </c>
      <c r="AM1558" s="1" t="s">
        <v>165</v>
      </c>
      <c r="AN1558" s="1"/>
      <c r="AO1558" s="1" t="s">
        <v>11567</v>
      </c>
      <c r="AP1558" s="1" t="s">
        <v>517</v>
      </c>
      <c r="AQ1558" s="1">
        <v>71.69</v>
      </c>
      <c r="AR1558" s="1">
        <v>0</v>
      </c>
      <c r="AS1558" s="1"/>
      <c r="AT1558" s="1"/>
      <c r="AU1558" s="1"/>
      <c r="AV1558" s="1"/>
      <c r="AW1558" s="1"/>
      <c r="AX1558" s="1"/>
      <c r="AY1558" s="1" t="s">
        <v>366</v>
      </c>
      <c r="AZ1558" s="1" t="s">
        <v>27630</v>
      </c>
      <c r="BA1558" s="1"/>
      <c r="BB1558" s="1"/>
      <c r="BC1558" s="1" t="s">
        <v>1396</v>
      </c>
      <c r="BD1558" s="1" t="s">
        <v>178</v>
      </c>
      <c r="BE1558" s="1">
        <v>77.88</v>
      </c>
      <c r="BF1558" s="1">
        <v>8.85</v>
      </c>
      <c r="BG1558" s="1"/>
      <c r="BH1558" s="1"/>
      <c r="BI1558" s="1"/>
      <c r="BJ1558" s="1"/>
      <c r="BK1558" s="1"/>
      <c r="BL1558" s="1"/>
      <c r="BM1558" s="1"/>
      <c r="BN1558" s="1"/>
      <c r="BO1558" s="1" t="s">
        <v>27631</v>
      </c>
      <c r="BP1558" s="1" t="s">
        <v>27632</v>
      </c>
      <c r="BQ1558" s="1" t="s">
        <v>2213</v>
      </c>
      <c r="BR1558" s="1" t="s">
        <v>27633</v>
      </c>
      <c r="BS1558" s="1">
        <v>11</v>
      </c>
      <c r="BT1558" s="1"/>
      <c r="BU1558" s="1" t="str">
        <f>HYPERLINK("https://nconnect.nicmar.ac.in/storage/profile/ProfilePhoto_p2270135_187954.jpg","Download")</f>
        <v>0</v>
      </c>
      <c r="BV1558" s="3"/>
      <c r="BW1558" s="3"/>
    </row>
    <row r="1559" spans="1:75">
      <c r="A1559" s="1" t="s">
        <v>75</v>
      </c>
      <c r="B1559" s="1" t="s">
        <v>25236</v>
      </c>
      <c r="C1559" s="1" t="s">
        <v>27634</v>
      </c>
      <c r="D1559" s="1" t="s">
        <v>27635</v>
      </c>
      <c r="E1559" s="1"/>
      <c r="F1559" s="1" t="s">
        <v>27636</v>
      </c>
      <c r="G1559" s="1" t="s">
        <v>27637</v>
      </c>
      <c r="H1559" s="1" t="s">
        <v>27638</v>
      </c>
      <c r="I1559" s="1" t="s">
        <v>27639</v>
      </c>
      <c r="J1559" s="1">
        <v>8921676302</v>
      </c>
      <c r="K1559" s="1" t="s">
        <v>84</v>
      </c>
      <c r="L1559" s="1" t="s">
        <v>27640</v>
      </c>
      <c r="M1559" s="1" t="s">
        <v>86</v>
      </c>
      <c r="N1559" s="1" t="s">
        <v>592</v>
      </c>
      <c r="O1559" s="1" t="s">
        <v>27641</v>
      </c>
      <c r="P1559" s="1" t="s">
        <v>481</v>
      </c>
      <c r="Q1559" s="1" t="s">
        <v>27642</v>
      </c>
      <c r="R1559" s="1" t="s">
        <v>27643</v>
      </c>
      <c r="S1559" s="1">
        <v>8075879266</v>
      </c>
      <c r="T1559" s="1" t="s">
        <v>27644</v>
      </c>
      <c r="U1559" s="1" t="s">
        <v>27645</v>
      </c>
      <c r="V1559" s="1">
        <v>9567750504</v>
      </c>
      <c r="W1559" s="1" t="s">
        <v>161</v>
      </c>
      <c r="X1559" s="1" t="s">
        <v>27646</v>
      </c>
      <c r="Y1559" s="1" t="s">
        <v>3555</v>
      </c>
      <c r="Z1559" s="1" t="s">
        <v>130</v>
      </c>
      <c r="AA1559" s="1" t="s">
        <v>27646</v>
      </c>
      <c r="AB1559" s="1" t="s">
        <v>3555</v>
      </c>
      <c r="AC1559" s="1" t="s">
        <v>130</v>
      </c>
      <c r="AD1559" s="1" t="s">
        <v>98</v>
      </c>
      <c r="AE1559" s="1" t="s">
        <v>98</v>
      </c>
      <c r="AF1559" s="1" t="s">
        <v>27647</v>
      </c>
      <c r="AG1559" s="1" t="s">
        <v>775</v>
      </c>
      <c r="AH1559" s="1" t="s">
        <v>27648</v>
      </c>
      <c r="AI1559" s="1" t="s">
        <v>1262</v>
      </c>
      <c r="AJ1559" s="1">
        <v>81.7</v>
      </c>
      <c r="AK1559" s="1">
        <v>8.6</v>
      </c>
      <c r="AL1559" s="1" t="s">
        <v>27647</v>
      </c>
      <c r="AM1559" s="1" t="s">
        <v>775</v>
      </c>
      <c r="AN1559" s="1"/>
      <c r="AO1559" s="1" t="s">
        <v>1262</v>
      </c>
      <c r="AP1559" s="1" t="s">
        <v>1111</v>
      </c>
      <c r="AQ1559" s="1">
        <v>82.8</v>
      </c>
      <c r="AR1559" s="1">
        <v>8.66</v>
      </c>
      <c r="AS1559" s="1"/>
      <c r="AT1559" s="1"/>
      <c r="AU1559" s="1"/>
      <c r="AV1559" s="1"/>
      <c r="AW1559" s="1"/>
      <c r="AX1559" s="1"/>
      <c r="AY1559" s="1" t="s">
        <v>27649</v>
      </c>
      <c r="AZ1559" s="1" t="s">
        <v>27650</v>
      </c>
      <c r="BA1559" s="1"/>
      <c r="BB1559" s="1"/>
      <c r="BC1559" s="1" t="s">
        <v>230</v>
      </c>
      <c r="BD1559" s="1" t="s">
        <v>552</v>
      </c>
      <c r="BE1559" s="1">
        <v>77.1</v>
      </c>
      <c r="BF1559" s="1">
        <v>7.71</v>
      </c>
      <c r="BG1559" s="1"/>
      <c r="BH1559" s="1"/>
      <c r="BI1559" s="1"/>
      <c r="BJ1559" s="1"/>
      <c r="BK1559" s="1"/>
      <c r="BL1559" s="1"/>
      <c r="BM1559" s="1"/>
      <c r="BN1559" s="1"/>
      <c r="BO1559" s="1" t="s">
        <v>27651</v>
      </c>
      <c r="BP1559" s="1"/>
      <c r="BQ1559" s="1"/>
      <c r="BR1559" s="1" t="s">
        <v>27652</v>
      </c>
      <c r="BS1559" s="1">
        <v>7</v>
      </c>
      <c r="BT1559" s="1"/>
      <c r="BU1559" s="1" t="str">
        <f>HYPERLINK("https://nconnect.nicmar.ac.in/storage/profile/ProfilePhoto_p2270136_154986.jpg","Download")</f>
        <v>0</v>
      </c>
      <c r="BV1559" s="3"/>
      <c r="BW1559" s="3"/>
    </row>
    <row r="1560" spans="1:75">
      <c r="A1560" s="1" t="s">
        <v>75</v>
      </c>
      <c r="B1560" s="1" t="s">
        <v>25236</v>
      </c>
      <c r="C1560" s="1" t="s">
        <v>27653</v>
      </c>
      <c r="D1560" s="1" t="s">
        <v>27654</v>
      </c>
      <c r="E1560" s="1"/>
      <c r="F1560" s="1" t="s">
        <v>27655</v>
      </c>
      <c r="G1560" s="1" t="s">
        <v>27656</v>
      </c>
      <c r="H1560" s="1" t="s">
        <v>27657</v>
      </c>
      <c r="I1560" s="1" t="s">
        <v>27658</v>
      </c>
      <c r="J1560" s="1">
        <v>9560734727</v>
      </c>
      <c r="K1560" s="1" t="s">
        <v>84</v>
      </c>
      <c r="L1560" s="1" t="s">
        <v>27659</v>
      </c>
      <c r="M1560" s="1" t="s">
        <v>86</v>
      </c>
      <c r="N1560" s="1" t="s">
        <v>87</v>
      </c>
      <c r="O1560" s="1" t="s">
        <v>27660</v>
      </c>
      <c r="P1560" s="1" t="s">
        <v>507</v>
      </c>
      <c r="Q1560" s="1" t="s">
        <v>27661</v>
      </c>
      <c r="R1560" s="1" t="s">
        <v>27662</v>
      </c>
      <c r="S1560" s="1">
        <v>9811306486</v>
      </c>
      <c r="T1560" s="1" t="s">
        <v>276</v>
      </c>
      <c r="U1560" s="1" t="s">
        <v>27663</v>
      </c>
      <c r="V1560" s="1">
        <v>8860287423</v>
      </c>
      <c r="W1560" s="1" t="s">
        <v>541</v>
      </c>
      <c r="X1560" s="1" t="s">
        <v>27664</v>
      </c>
      <c r="Y1560" s="1" t="s">
        <v>3767</v>
      </c>
      <c r="Z1560" s="1" t="s">
        <v>544</v>
      </c>
      <c r="AA1560" s="1" t="s">
        <v>27665</v>
      </c>
      <c r="AB1560" s="1" t="s">
        <v>22854</v>
      </c>
      <c r="AC1560" s="1" t="s">
        <v>1739</v>
      </c>
      <c r="AD1560" s="1" t="s">
        <v>98</v>
      </c>
      <c r="AE1560" s="1" t="s">
        <v>98</v>
      </c>
      <c r="AF1560" s="1" t="s">
        <v>27666</v>
      </c>
      <c r="AG1560" s="1" t="s">
        <v>6416</v>
      </c>
      <c r="AH1560" s="1" t="s">
        <v>339</v>
      </c>
      <c r="AI1560" s="1" t="s">
        <v>2726</v>
      </c>
      <c r="AJ1560" s="1">
        <v>93.1</v>
      </c>
      <c r="AK1560" s="1">
        <v>9.8</v>
      </c>
      <c r="AL1560" s="1" t="s">
        <v>27666</v>
      </c>
      <c r="AM1560" s="1" t="s">
        <v>6416</v>
      </c>
      <c r="AN1560" s="1"/>
      <c r="AO1560" s="1" t="s">
        <v>1583</v>
      </c>
      <c r="AP1560" s="1" t="s">
        <v>1262</v>
      </c>
      <c r="AQ1560" s="1">
        <v>69.6</v>
      </c>
      <c r="AR1560" s="1">
        <v>7.32</v>
      </c>
      <c r="AS1560" s="1"/>
      <c r="AT1560" s="1"/>
      <c r="AU1560" s="1"/>
      <c r="AV1560" s="1"/>
      <c r="AW1560" s="1"/>
      <c r="AX1560" s="1"/>
      <c r="AY1560" s="1" t="s">
        <v>933</v>
      </c>
      <c r="AZ1560" s="1" t="s">
        <v>27667</v>
      </c>
      <c r="BA1560" s="1"/>
      <c r="BB1560" s="1"/>
      <c r="BC1560" s="1" t="s">
        <v>139</v>
      </c>
      <c r="BD1560" s="1" t="s">
        <v>890</v>
      </c>
      <c r="BE1560" s="1">
        <v>75.1</v>
      </c>
      <c r="BF1560" s="1">
        <v>7.51</v>
      </c>
      <c r="BG1560" s="1"/>
      <c r="BH1560" s="1"/>
      <c r="BI1560" s="1"/>
      <c r="BJ1560" s="1"/>
      <c r="BK1560" s="1"/>
      <c r="BL1560" s="1"/>
      <c r="BM1560" s="1"/>
      <c r="BN1560" s="1"/>
      <c r="BO1560" s="1" t="s">
        <v>260</v>
      </c>
      <c r="BP1560" s="1" t="s">
        <v>27668</v>
      </c>
      <c r="BQ1560" s="1" t="s">
        <v>7478</v>
      </c>
      <c r="BR1560" s="1" t="s">
        <v>27669</v>
      </c>
      <c r="BS1560" s="1">
        <v>7</v>
      </c>
      <c r="BT1560" s="1"/>
      <c r="BU1560" s="1" t="str">
        <f>HYPERLINK("https://nconnect.nicmar.ac.in/storage/profile/ProfilePhoto_p2270137_392814.jpg","Download")</f>
        <v>0</v>
      </c>
      <c r="BV1560" s="3"/>
      <c r="BW1560" s="3"/>
    </row>
    <row r="1561" spans="1:75">
      <c r="A1561" s="1" t="s">
        <v>75</v>
      </c>
      <c r="B1561" s="1" t="s">
        <v>25236</v>
      </c>
      <c r="C1561" s="1" t="s">
        <v>27670</v>
      </c>
      <c r="D1561" s="1" t="s">
        <v>11131</v>
      </c>
      <c r="E1561" s="1" t="s">
        <v>27671</v>
      </c>
      <c r="F1561" s="1" t="s">
        <v>6030</v>
      </c>
      <c r="G1561" s="1" t="s">
        <v>27672</v>
      </c>
      <c r="H1561" s="1" t="s">
        <v>27673</v>
      </c>
      <c r="I1561" s="1" t="s">
        <v>27674</v>
      </c>
      <c r="J1561" s="1">
        <v>9619042214</v>
      </c>
      <c r="K1561" s="1" t="s">
        <v>153</v>
      </c>
      <c r="L1561" s="1" t="s">
        <v>11030</v>
      </c>
      <c r="M1561" s="1" t="s">
        <v>86</v>
      </c>
      <c r="N1561" s="1" t="s">
        <v>618</v>
      </c>
      <c r="O1561" s="1"/>
      <c r="P1561" s="1" t="s">
        <v>507</v>
      </c>
      <c r="Q1561" s="1" t="s">
        <v>27675</v>
      </c>
      <c r="R1561" s="1" t="s">
        <v>27676</v>
      </c>
      <c r="S1561" s="1">
        <v>9869464345</v>
      </c>
      <c r="T1561" s="1" t="s">
        <v>27677</v>
      </c>
      <c r="U1561" s="1" t="s">
        <v>27678</v>
      </c>
      <c r="V1561" s="1">
        <v>9867188587</v>
      </c>
      <c r="W1561" s="1" t="s">
        <v>125</v>
      </c>
      <c r="X1561" s="1" t="s">
        <v>27679</v>
      </c>
      <c r="Y1561" s="1" t="s">
        <v>2259</v>
      </c>
      <c r="Z1561" s="1" t="s">
        <v>97</v>
      </c>
      <c r="AA1561" s="1" t="s">
        <v>27679</v>
      </c>
      <c r="AB1561" s="1" t="s">
        <v>2259</v>
      </c>
      <c r="AC1561" s="1" t="s">
        <v>97</v>
      </c>
      <c r="AD1561" s="1" t="s">
        <v>98</v>
      </c>
      <c r="AE1561" s="1" t="s">
        <v>98</v>
      </c>
      <c r="AF1561" s="1" t="s">
        <v>27680</v>
      </c>
      <c r="AG1561" s="1" t="s">
        <v>27681</v>
      </c>
      <c r="AH1561" s="1" t="s">
        <v>1213</v>
      </c>
      <c r="AI1561" s="1" t="s">
        <v>515</v>
      </c>
      <c r="AJ1561" s="1">
        <v>87</v>
      </c>
      <c r="AK1561" s="1">
        <v>8.7</v>
      </c>
      <c r="AL1561" s="1" t="s">
        <v>27682</v>
      </c>
      <c r="AM1561" s="1" t="s">
        <v>27681</v>
      </c>
      <c r="AN1561" s="1"/>
      <c r="AO1561" s="1" t="s">
        <v>166</v>
      </c>
      <c r="AP1561" s="1" t="s">
        <v>517</v>
      </c>
      <c r="AQ1561" s="1">
        <v>65.54</v>
      </c>
      <c r="AR1561" s="1">
        <v>6.55</v>
      </c>
      <c r="AS1561" s="1"/>
      <c r="AT1561" s="1"/>
      <c r="AU1561" s="1"/>
      <c r="AV1561" s="1"/>
      <c r="AW1561" s="1"/>
      <c r="AX1561" s="1"/>
      <c r="AY1561" s="1" t="s">
        <v>680</v>
      </c>
      <c r="AZ1561" s="1" t="s">
        <v>27683</v>
      </c>
      <c r="BA1561" s="1"/>
      <c r="BB1561" s="1"/>
      <c r="BC1561" s="1" t="s">
        <v>167</v>
      </c>
      <c r="BD1561" s="1" t="s">
        <v>845</v>
      </c>
      <c r="BE1561" s="1">
        <v>68.46</v>
      </c>
      <c r="BF1561" s="1">
        <v>7.63</v>
      </c>
      <c r="BG1561" s="1"/>
      <c r="BH1561" s="1"/>
      <c r="BI1561" s="1"/>
      <c r="BJ1561" s="1"/>
      <c r="BK1561" s="1"/>
      <c r="BL1561" s="1"/>
      <c r="BM1561" s="1"/>
      <c r="BN1561" s="1"/>
      <c r="BO1561" s="1" t="s">
        <v>27684</v>
      </c>
      <c r="BP1561" s="1" t="s">
        <v>27685</v>
      </c>
      <c r="BQ1561" s="1" t="s">
        <v>1174</v>
      </c>
      <c r="BR1561" s="1" t="s">
        <v>27686</v>
      </c>
      <c r="BS1561" s="1">
        <v>33</v>
      </c>
      <c r="BT1561" s="1"/>
      <c r="BU1561" s="1" t="str">
        <f>HYPERLINK("https://nconnect.nicmar.ac.in/storage/profile/ProfilePhoto_p2270138_815362.jpg","Download")</f>
        <v>0</v>
      </c>
      <c r="BV1561" s="3"/>
      <c r="BW1561" s="3"/>
    </row>
    <row r="1562" spans="1:75">
      <c r="A1562" s="1" t="s">
        <v>75</v>
      </c>
      <c r="B1562" s="1" t="s">
        <v>25236</v>
      </c>
      <c r="C1562" s="1" t="s">
        <v>27687</v>
      </c>
      <c r="D1562" s="1" t="s">
        <v>27688</v>
      </c>
      <c r="E1562" s="1" t="s">
        <v>27689</v>
      </c>
      <c r="F1562" s="1" t="s">
        <v>27690</v>
      </c>
      <c r="G1562" s="1" t="s">
        <v>27691</v>
      </c>
      <c r="H1562" s="1" t="s">
        <v>27692</v>
      </c>
      <c r="I1562" s="1" t="s">
        <v>27693</v>
      </c>
      <c r="J1562" s="1">
        <v>8888546875</v>
      </c>
      <c r="K1562" s="1" t="s">
        <v>84</v>
      </c>
      <c r="L1562" s="1" t="s">
        <v>10585</v>
      </c>
      <c r="M1562" s="1" t="s">
        <v>86</v>
      </c>
      <c r="N1562" s="1" t="s">
        <v>27694</v>
      </c>
      <c r="O1562" s="1" t="s">
        <v>27695</v>
      </c>
      <c r="P1562" s="1" t="s">
        <v>481</v>
      </c>
      <c r="Q1562" s="1" t="s">
        <v>27696</v>
      </c>
      <c r="R1562" s="1" t="s">
        <v>27697</v>
      </c>
      <c r="S1562" s="1">
        <v>9850076268</v>
      </c>
      <c r="T1562" s="1" t="s">
        <v>1552</v>
      </c>
      <c r="U1562" s="1" t="s">
        <v>27698</v>
      </c>
      <c r="V1562" s="1">
        <v>9850876074</v>
      </c>
      <c r="W1562" s="1" t="s">
        <v>161</v>
      </c>
      <c r="X1562" s="1" t="s">
        <v>27699</v>
      </c>
      <c r="Y1562" s="1" t="s">
        <v>1012</v>
      </c>
      <c r="Z1562" s="1" t="s">
        <v>97</v>
      </c>
      <c r="AA1562" s="1" t="s">
        <v>27699</v>
      </c>
      <c r="AB1562" s="1" t="s">
        <v>1012</v>
      </c>
      <c r="AC1562" s="1" t="s">
        <v>97</v>
      </c>
      <c r="AD1562" s="1" t="s">
        <v>98</v>
      </c>
      <c r="AE1562" s="1" t="s">
        <v>98</v>
      </c>
      <c r="AF1562" s="1" t="s">
        <v>27700</v>
      </c>
      <c r="AG1562" s="1" t="s">
        <v>27701</v>
      </c>
      <c r="AH1562" s="1" t="s">
        <v>1213</v>
      </c>
      <c r="AI1562" s="1" t="s">
        <v>135</v>
      </c>
      <c r="AJ1562" s="1">
        <v>79.2</v>
      </c>
      <c r="AK1562" s="1"/>
      <c r="AL1562" s="1"/>
      <c r="AM1562" s="1"/>
      <c r="AN1562" s="1"/>
      <c r="AO1562" s="1"/>
      <c r="AP1562" s="1"/>
      <c r="AQ1562" s="1"/>
      <c r="AR1562" s="1"/>
      <c r="AS1562" s="1" t="s">
        <v>13919</v>
      </c>
      <c r="AT1562" s="1" t="s">
        <v>27702</v>
      </c>
      <c r="AU1562" s="1" t="s">
        <v>257</v>
      </c>
      <c r="AV1562" s="1" t="s">
        <v>170</v>
      </c>
      <c r="AW1562" s="1">
        <v>64.73</v>
      </c>
      <c r="AX1562" s="1"/>
      <c r="AY1562" s="1" t="s">
        <v>258</v>
      </c>
      <c r="AZ1562" s="1" t="s">
        <v>27703</v>
      </c>
      <c r="BA1562" s="1"/>
      <c r="BB1562" s="1"/>
      <c r="BC1562" s="1" t="s">
        <v>230</v>
      </c>
      <c r="BD1562" s="1" t="s">
        <v>549</v>
      </c>
      <c r="BE1562" s="1">
        <v>56.73</v>
      </c>
      <c r="BF1562" s="1">
        <v>6.3</v>
      </c>
      <c r="BG1562" s="1"/>
      <c r="BH1562" s="1"/>
      <c r="BI1562" s="1"/>
      <c r="BJ1562" s="1"/>
      <c r="BK1562" s="1"/>
      <c r="BL1562" s="1"/>
      <c r="BM1562" s="1"/>
      <c r="BN1562" s="1"/>
      <c r="BO1562" s="1" t="s">
        <v>25848</v>
      </c>
      <c r="BP1562" s="1"/>
      <c r="BQ1562" s="1"/>
      <c r="BR1562" s="1" t="s">
        <v>27704</v>
      </c>
      <c r="BS1562" s="1">
        <v>11</v>
      </c>
      <c r="BT1562" s="1"/>
      <c r="BU1562" s="1" t="str">
        <f>HYPERLINK("https://nconnect.nicmar.ac.in/storage/profile/ProfilePhoto_p2270139_849136.jpg","Download")</f>
        <v>0</v>
      </c>
      <c r="BV1562" s="3"/>
      <c r="BW1562" s="3"/>
    </row>
    <row r="1563" spans="1:75">
      <c r="A1563" s="1" t="s">
        <v>75</v>
      </c>
      <c r="B1563" s="1" t="s">
        <v>25236</v>
      </c>
      <c r="C1563" s="1" t="s">
        <v>27705</v>
      </c>
      <c r="D1563" s="1" t="s">
        <v>27706</v>
      </c>
      <c r="E1563" s="1" t="s">
        <v>27707</v>
      </c>
      <c r="F1563" s="1" t="s">
        <v>2250</v>
      </c>
      <c r="G1563" s="1" t="s">
        <v>27708</v>
      </c>
      <c r="H1563" s="1" t="s">
        <v>27709</v>
      </c>
      <c r="I1563" s="1" t="s">
        <v>27710</v>
      </c>
      <c r="J1563" s="1">
        <v>9390668820</v>
      </c>
      <c r="K1563" s="1" t="s">
        <v>84</v>
      </c>
      <c r="L1563" s="1" t="s">
        <v>27711</v>
      </c>
      <c r="M1563" s="1" t="s">
        <v>86</v>
      </c>
      <c r="N1563" s="1" t="s">
        <v>454</v>
      </c>
      <c r="O1563" s="1" t="s">
        <v>27712</v>
      </c>
      <c r="P1563" s="1" t="s">
        <v>481</v>
      </c>
      <c r="Q1563" s="1" t="s">
        <v>27713</v>
      </c>
      <c r="R1563" s="1" t="s">
        <v>27714</v>
      </c>
      <c r="S1563" s="1">
        <v>9866094116</v>
      </c>
      <c r="T1563" s="1" t="s">
        <v>27715</v>
      </c>
      <c r="U1563" s="1" t="s">
        <v>27716</v>
      </c>
      <c r="V1563" s="1">
        <v>8897005152</v>
      </c>
      <c r="W1563" s="1" t="s">
        <v>27717</v>
      </c>
      <c r="X1563" s="1" t="s">
        <v>27718</v>
      </c>
      <c r="Y1563" s="1" t="s">
        <v>3846</v>
      </c>
      <c r="Z1563" s="1" t="s">
        <v>281</v>
      </c>
      <c r="AA1563" s="1" t="s">
        <v>27718</v>
      </c>
      <c r="AB1563" s="1" t="s">
        <v>3846</v>
      </c>
      <c r="AC1563" s="1" t="s">
        <v>281</v>
      </c>
      <c r="AD1563" s="1" t="s">
        <v>98</v>
      </c>
      <c r="AE1563" s="1" t="s">
        <v>98</v>
      </c>
      <c r="AF1563" s="1" t="s">
        <v>27719</v>
      </c>
      <c r="AG1563" s="1" t="s">
        <v>27720</v>
      </c>
      <c r="AH1563" s="1" t="s">
        <v>3285</v>
      </c>
      <c r="AI1563" s="1" t="s">
        <v>136</v>
      </c>
      <c r="AJ1563" s="1">
        <v>83</v>
      </c>
      <c r="AK1563" s="1">
        <v>8.3</v>
      </c>
      <c r="AL1563" s="1" t="s">
        <v>27721</v>
      </c>
      <c r="AM1563" s="1" t="s">
        <v>27720</v>
      </c>
      <c r="AN1563" s="1"/>
      <c r="AO1563" s="1" t="s">
        <v>166</v>
      </c>
      <c r="AP1563" s="1" t="s">
        <v>573</v>
      </c>
      <c r="AQ1563" s="1">
        <v>80.8</v>
      </c>
      <c r="AR1563" s="1">
        <v>8</v>
      </c>
      <c r="AS1563" s="1"/>
      <c r="AT1563" s="1"/>
      <c r="AU1563" s="1"/>
      <c r="AV1563" s="1"/>
      <c r="AW1563" s="1"/>
      <c r="AX1563" s="1"/>
      <c r="AY1563" s="1" t="s">
        <v>27722</v>
      </c>
      <c r="AZ1563" s="1" t="s">
        <v>27723</v>
      </c>
      <c r="BA1563" s="1"/>
      <c r="BB1563" s="1"/>
      <c r="BC1563" s="1" t="s">
        <v>388</v>
      </c>
      <c r="BD1563" s="1" t="s">
        <v>552</v>
      </c>
      <c r="BE1563" s="1">
        <v>62.58</v>
      </c>
      <c r="BF1563" s="1">
        <v>6.25</v>
      </c>
      <c r="BG1563" s="1"/>
      <c r="BH1563" s="1"/>
      <c r="BI1563" s="1"/>
      <c r="BJ1563" s="1"/>
      <c r="BK1563" s="1"/>
      <c r="BL1563" s="1"/>
      <c r="BM1563" s="1"/>
      <c r="BN1563" s="1"/>
      <c r="BO1563" s="1" t="s">
        <v>27724</v>
      </c>
      <c r="BP1563" s="1"/>
      <c r="BQ1563" s="1"/>
      <c r="BR1563" s="1" t="s">
        <v>27725</v>
      </c>
      <c r="BS1563" s="1">
        <v>38</v>
      </c>
      <c r="BT1563" s="1"/>
      <c r="BU1563" s="1" t="str">
        <f>HYPERLINK("https://nconnect.nicmar.ac.in/storage/profile/ProfilePhoto_p2270140_934651.jpg","Download")</f>
        <v>0</v>
      </c>
      <c r="BV1563" s="3"/>
      <c r="BW1563" s="3"/>
    </row>
    <row r="1564" spans="1:75">
      <c r="A1564" s="1" t="s">
        <v>75</v>
      </c>
      <c r="B1564" s="1" t="s">
        <v>25236</v>
      </c>
      <c r="C1564" s="1" t="s">
        <v>27726</v>
      </c>
      <c r="D1564" s="1" t="s">
        <v>27727</v>
      </c>
      <c r="E1564" s="1" t="s">
        <v>27118</v>
      </c>
      <c r="F1564" s="1" t="s">
        <v>2250</v>
      </c>
      <c r="G1564" s="1" t="s">
        <v>27728</v>
      </c>
      <c r="H1564" s="1" t="s">
        <v>27729</v>
      </c>
      <c r="I1564" s="1" t="s">
        <v>27730</v>
      </c>
      <c r="J1564" s="1">
        <v>7995115758</v>
      </c>
      <c r="K1564" s="1" t="s">
        <v>84</v>
      </c>
      <c r="L1564" s="1" t="s">
        <v>27731</v>
      </c>
      <c r="M1564" s="1" t="s">
        <v>86</v>
      </c>
      <c r="N1564" s="1" t="s">
        <v>27732</v>
      </c>
      <c r="O1564" s="1" t="s">
        <v>27733</v>
      </c>
      <c r="P1564" s="1" t="s">
        <v>507</v>
      </c>
      <c r="Q1564" s="1" t="s">
        <v>27734</v>
      </c>
      <c r="R1564" s="1" t="s">
        <v>27735</v>
      </c>
      <c r="S1564" s="1">
        <v>9951400656</v>
      </c>
      <c r="T1564" s="1" t="s">
        <v>839</v>
      </c>
      <c r="U1564" s="1" t="s">
        <v>27736</v>
      </c>
      <c r="V1564" s="1">
        <v>9951400656</v>
      </c>
      <c r="W1564" s="1" t="s">
        <v>278</v>
      </c>
      <c r="X1564" s="1" t="s">
        <v>27737</v>
      </c>
      <c r="Y1564" s="1" t="s">
        <v>1454</v>
      </c>
      <c r="Z1564" s="1" t="s">
        <v>281</v>
      </c>
      <c r="AA1564" s="1" t="s">
        <v>27737</v>
      </c>
      <c r="AB1564" s="1" t="s">
        <v>1454</v>
      </c>
      <c r="AC1564" s="1" t="s">
        <v>281</v>
      </c>
      <c r="AD1564" s="1" t="s">
        <v>98</v>
      </c>
      <c r="AE1564" s="1" t="s">
        <v>98</v>
      </c>
      <c r="AF1564" s="1" t="s">
        <v>27738</v>
      </c>
      <c r="AG1564" s="1" t="s">
        <v>27739</v>
      </c>
      <c r="AH1564" s="1" t="s">
        <v>1213</v>
      </c>
      <c r="AI1564" s="1" t="s">
        <v>1262</v>
      </c>
      <c r="AJ1564" s="1">
        <v>92</v>
      </c>
      <c r="AK1564" s="1">
        <v>9.2</v>
      </c>
      <c r="AL1564" s="1" t="s">
        <v>1843</v>
      </c>
      <c r="AM1564" s="1" t="s">
        <v>27739</v>
      </c>
      <c r="AN1564" s="1"/>
      <c r="AO1564" s="1" t="s">
        <v>135</v>
      </c>
      <c r="AP1564" s="1" t="s">
        <v>284</v>
      </c>
      <c r="AQ1564" s="1">
        <v>94</v>
      </c>
      <c r="AR1564" s="1">
        <v>9.43</v>
      </c>
      <c r="AS1564" s="1"/>
      <c r="AT1564" s="1"/>
      <c r="AU1564" s="1"/>
      <c r="AV1564" s="1"/>
      <c r="AW1564" s="1"/>
      <c r="AX1564" s="1"/>
      <c r="AY1564" s="1" t="s">
        <v>11536</v>
      </c>
      <c r="AZ1564" s="1" t="s">
        <v>27740</v>
      </c>
      <c r="BA1564" s="1"/>
      <c r="BB1564" s="1"/>
      <c r="BC1564" s="1" t="s">
        <v>1396</v>
      </c>
      <c r="BD1564" s="1" t="s">
        <v>977</v>
      </c>
      <c r="BE1564" s="1">
        <v>85</v>
      </c>
      <c r="BF1564" s="1">
        <v>8.53</v>
      </c>
      <c r="BG1564" s="1"/>
      <c r="BH1564" s="1"/>
      <c r="BI1564" s="1"/>
      <c r="BJ1564" s="1"/>
      <c r="BK1564" s="1"/>
      <c r="BL1564" s="1"/>
      <c r="BM1564" s="1"/>
      <c r="BN1564" s="1"/>
      <c r="BO1564" s="1" t="s">
        <v>1114</v>
      </c>
      <c r="BP1564" s="1" t="s">
        <v>27741</v>
      </c>
      <c r="BQ1564" s="1" t="s">
        <v>780</v>
      </c>
      <c r="BR1564" s="1" t="s">
        <v>27742</v>
      </c>
      <c r="BS1564" s="1">
        <v>16</v>
      </c>
      <c r="BT1564" s="1"/>
      <c r="BU1564" s="1" t="str">
        <f>HYPERLINK("https://nconnect.nicmar.ac.in/storage/profile/ProfilePhoto_p2270141_453867.jpg","Download")</f>
        <v>0</v>
      </c>
      <c r="BV1564" s="3"/>
      <c r="BW1564" s="3"/>
    </row>
    <row r="1565" spans="1:75">
      <c r="A1565" s="1" t="s">
        <v>75</v>
      </c>
      <c r="B1565" s="1" t="s">
        <v>25236</v>
      </c>
      <c r="C1565" s="1" t="s">
        <v>27743</v>
      </c>
      <c r="D1565" s="1" t="s">
        <v>3493</v>
      </c>
      <c r="E1565" s="1" t="s">
        <v>6862</v>
      </c>
      <c r="F1565" s="1" t="s">
        <v>27744</v>
      </c>
      <c r="G1565" s="1" t="s">
        <v>27745</v>
      </c>
      <c r="H1565" s="1" t="s">
        <v>27746</v>
      </c>
      <c r="I1565" s="1" t="s">
        <v>27747</v>
      </c>
      <c r="J1565" s="1">
        <v>7756967505</v>
      </c>
      <c r="K1565" s="1" t="s">
        <v>84</v>
      </c>
      <c r="L1565" s="1" t="s">
        <v>27748</v>
      </c>
      <c r="M1565" s="1" t="s">
        <v>86</v>
      </c>
      <c r="N1565" s="1" t="s">
        <v>618</v>
      </c>
      <c r="O1565" s="1"/>
      <c r="P1565" s="1" t="s">
        <v>455</v>
      </c>
      <c r="Q1565" s="1" t="s">
        <v>27749</v>
      </c>
      <c r="R1565" s="1" t="s">
        <v>27750</v>
      </c>
      <c r="S1565" s="1">
        <v>9923993598</v>
      </c>
      <c r="T1565" s="1" t="s">
        <v>27751</v>
      </c>
      <c r="U1565" s="1" t="s">
        <v>27752</v>
      </c>
      <c r="V1565" s="1">
        <v>9657672274</v>
      </c>
      <c r="W1565" s="1" t="s">
        <v>541</v>
      </c>
      <c r="X1565" s="1" t="s">
        <v>27753</v>
      </c>
      <c r="Y1565" s="1" t="s">
        <v>196</v>
      </c>
      <c r="Z1565" s="1" t="s">
        <v>97</v>
      </c>
      <c r="AA1565" s="1" t="s">
        <v>27753</v>
      </c>
      <c r="AB1565" s="1" t="s">
        <v>196</v>
      </c>
      <c r="AC1565" s="1" t="s">
        <v>97</v>
      </c>
      <c r="AD1565" s="1" t="s">
        <v>98</v>
      </c>
      <c r="AE1565" s="1" t="s">
        <v>98</v>
      </c>
      <c r="AF1565" s="1" t="s">
        <v>27754</v>
      </c>
      <c r="AG1565" s="1" t="s">
        <v>4862</v>
      </c>
      <c r="AH1565" s="1" t="s">
        <v>3770</v>
      </c>
      <c r="AI1565" s="1" t="s">
        <v>1457</v>
      </c>
      <c r="AJ1565" s="1">
        <v>83.6</v>
      </c>
      <c r="AK1565" s="1">
        <v>8.8</v>
      </c>
      <c r="AL1565" s="1" t="s">
        <v>27754</v>
      </c>
      <c r="AM1565" s="1" t="s">
        <v>4862</v>
      </c>
      <c r="AN1565" s="1"/>
      <c r="AO1565" s="1" t="s">
        <v>1214</v>
      </c>
      <c r="AP1565" s="1" t="s">
        <v>102</v>
      </c>
      <c r="AQ1565" s="1">
        <v>83.8</v>
      </c>
      <c r="AR1565" s="1">
        <v>8.38</v>
      </c>
      <c r="AS1565" s="1"/>
      <c r="AT1565" s="1"/>
      <c r="AU1565" s="1"/>
      <c r="AV1565" s="1"/>
      <c r="AW1565" s="1"/>
      <c r="AX1565" s="1"/>
      <c r="AY1565" s="1" t="s">
        <v>366</v>
      </c>
      <c r="AZ1565" s="1" t="s">
        <v>27755</v>
      </c>
      <c r="BA1565" s="1"/>
      <c r="BB1565" s="1"/>
      <c r="BC1565" s="1" t="s">
        <v>342</v>
      </c>
      <c r="BD1565" s="1" t="s">
        <v>315</v>
      </c>
      <c r="BE1565" s="1">
        <v>63.36</v>
      </c>
      <c r="BF1565" s="1">
        <v>7.2</v>
      </c>
      <c r="BG1565" s="1"/>
      <c r="BH1565" s="1"/>
      <c r="BI1565" s="1"/>
      <c r="BJ1565" s="1"/>
      <c r="BK1565" s="1"/>
      <c r="BL1565" s="1"/>
      <c r="BM1565" s="1"/>
      <c r="BN1565" s="1"/>
      <c r="BO1565" s="1" t="s">
        <v>1114</v>
      </c>
      <c r="BP1565" s="1" t="s">
        <v>27756</v>
      </c>
      <c r="BQ1565" s="1" t="s">
        <v>780</v>
      </c>
      <c r="BR1565" s="1" t="s">
        <v>27757</v>
      </c>
      <c r="BS1565" s="1">
        <v>7</v>
      </c>
      <c r="BT1565" s="1"/>
      <c r="BU1565" s="1" t="str">
        <f>HYPERLINK("https://nconnect.nicmar.ac.in/storage/profile/ProfilePhoto_p2270142_146398.jpg","Download")</f>
        <v>0</v>
      </c>
      <c r="BV1565" s="3"/>
      <c r="BW1565" s="3"/>
    </row>
    <row r="1566" spans="1:75">
      <c r="A1566" s="1" t="s">
        <v>75</v>
      </c>
      <c r="B1566" s="1" t="s">
        <v>25236</v>
      </c>
      <c r="C1566" s="1" t="s">
        <v>27758</v>
      </c>
      <c r="D1566" s="1" t="s">
        <v>27759</v>
      </c>
      <c r="E1566" s="1" t="s">
        <v>7798</v>
      </c>
      <c r="F1566" s="1" t="s">
        <v>9369</v>
      </c>
      <c r="G1566" s="1" t="s">
        <v>27760</v>
      </c>
      <c r="H1566" s="1" t="s">
        <v>27761</v>
      </c>
      <c r="I1566" s="1" t="s">
        <v>27762</v>
      </c>
      <c r="J1566" s="1">
        <v>9168417196</v>
      </c>
      <c r="K1566" s="1" t="s">
        <v>84</v>
      </c>
      <c r="L1566" s="1" t="s">
        <v>27763</v>
      </c>
      <c r="M1566" s="1" t="s">
        <v>86</v>
      </c>
      <c r="N1566" s="1" t="s">
        <v>903</v>
      </c>
      <c r="O1566" s="1" t="s">
        <v>27764</v>
      </c>
      <c r="P1566" s="1" t="s">
        <v>455</v>
      </c>
      <c r="Q1566" s="1" t="s">
        <v>27765</v>
      </c>
      <c r="R1566" s="1" t="s">
        <v>27766</v>
      </c>
      <c r="S1566" s="1">
        <v>9423420056</v>
      </c>
      <c r="T1566" s="1" t="s">
        <v>539</v>
      </c>
      <c r="U1566" s="1" t="s">
        <v>27767</v>
      </c>
      <c r="V1566" s="1">
        <v>9765585478</v>
      </c>
      <c r="W1566" s="1" t="s">
        <v>278</v>
      </c>
      <c r="X1566" s="1" t="s">
        <v>27768</v>
      </c>
      <c r="Y1566" s="1" t="s">
        <v>384</v>
      </c>
      <c r="Z1566" s="1" t="s">
        <v>97</v>
      </c>
      <c r="AA1566" s="1" t="s">
        <v>27768</v>
      </c>
      <c r="AB1566" s="1" t="s">
        <v>384</v>
      </c>
      <c r="AC1566" s="1" t="s">
        <v>97</v>
      </c>
      <c r="AD1566" s="1" t="s">
        <v>98</v>
      </c>
      <c r="AE1566" s="1" t="s">
        <v>98</v>
      </c>
      <c r="AF1566" s="1" t="s">
        <v>27769</v>
      </c>
      <c r="AG1566" s="1" t="s">
        <v>27770</v>
      </c>
      <c r="AH1566" s="1" t="s">
        <v>1213</v>
      </c>
      <c r="AI1566" s="1" t="s">
        <v>1262</v>
      </c>
      <c r="AJ1566" s="1">
        <v>74.8</v>
      </c>
      <c r="AK1566" s="1">
        <v>0</v>
      </c>
      <c r="AL1566" s="1" t="s">
        <v>27771</v>
      </c>
      <c r="AM1566" s="1" t="s">
        <v>27770</v>
      </c>
      <c r="AN1566" s="1"/>
      <c r="AO1566" s="1" t="s">
        <v>136</v>
      </c>
      <c r="AP1566" s="1" t="s">
        <v>627</v>
      </c>
      <c r="AQ1566" s="1">
        <v>86.1</v>
      </c>
      <c r="AR1566" s="1">
        <v>0</v>
      </c>
      <c r="AS1566" s="1"/>
      <c r="AT1566" s="1"/>
      <c r="AU1566" s="1"/>
      <c r="AV1566" s="1"/>
      <c r="AW1566" s="1"/>
      <c r="AX1566" s="1"/>
      <c r="AY1566" s="1" t="s">
        <v>27772</v>
      </c>
      <c r="AZ1566" s="1" t="s">
        <v>27773</v>
      </c>
      <c r="BA1566" s="1"/>
      <c r="BB1566" s="1"/>
      <c r="BC1566" s="1" t="s">
        <v>1396</v>
      </c>
      <c r="BD1566" s="1" t="s">
        <v>468</v>
      </c>
      <c r="BE1566" s="1">
        <v>71.2</v>
      </c>
      <c r="BF1566" s="1">
        <v>7.87</v>
      </c>
      <c r="BG1566" s="1"/>
      <c r="BH1566" s="1"/>
      <c r="BI1566" s="1"/>
      <c r="BJ1566" s="1"/>
      <c r="BK1566" s="1"/>
      <c r="BL1566" s="1"/>
      <c r="BM1566" s="1"/>
      <c r="BN1566" s="1"/>
      <c r="BO1566" s="1" t="s">
        <v>1114</v>
      </c>
      <c r="BP1566" s="1"/>
      <c r="BQ1566" s="1"/>
      <c r="BR1566" s="1" t="s">
        <v>27774</v>
      </c>
      <c r="BS1566" s="1">
        <v>31</v>
      </c>
      <c r="BT1566" s="1"/>
      <c r="BU1566" s="1" t="str">
        <f>HYPERLINK("https://nconnect.nicmar.ac.in/storage/profile/ProfilePhoto_p2270143_617354.jpg","Download")</f>
        <v>0</v>
      </c>
      <c r="BV1566" s="3"/>
      <c r="BW1566" s="3"/>
    </row>
    <row r="1567" spans="1:75">
      <c r="A1567" s="1" t="s">
        <v>75</v>
      </c>
      <c r="B1567" s="1" t="s">
        <v>25236</v>
      </c>
      <c r="C1567" s="1" t="s">
        <v>27775</v>
      </c>
      <c r="D1567" s="1" t="s">
        <v>14185</v>
      </c>
      <c r="E1567" s="1" t="s">
        <v>5073</v>
      </c>
      <c r="F1567" s="1" t="s">
        <v>27776</v>
      </c>
      <c r="G1567" s="1" t="s">
        <v>27777</v>
      </c>
      <c r="H1567" s="1" t="s">
        <v>27778</v>
      </c>
      <c r="I1567" s="1" t="s">
        <v>27779</v>
      </c>
      <c r="J1567" s="1">
        <v>8855944264</v>
      </c>
      <c r="K1567" s="1" t="s">
        <v>153</v>
      </c>
      <c r="L1567" s="1" t="s">
        <v>27780</v>
      </c>
      <c r="M1567" s="1" t="s">
        <v>86</v>
      </c>
      <c r="N1567" s="1" t="s">
        <v>618</v>
      </c>
      <c r="O1567" s="1" t="s">
        <v>27781</v>
      </c>
      <c r="P1567" s="1" t="s">
        <v>507</v>
      </c>
      <c r="Q1567" s="1" t="s">
        <v>27782</v>
      </c>
      <c r="R1567" s="1" t="s">
        <v>5073</v>
      </c>
      <c r="S1567" s="1">
        <v>7385523605</v>
      </c>
      <c r="T1567" s="1" t="s">
        <v>98</v>
      </c>
      <c r="U1567" s="1" t="s">
        <v>27783</v>
      </c>
      <c r="V1567" s="1">
        <v>7385523605</v>
      </c>
      <c r="W1567" s="1" t="s">
        <v>27784</v>
      </c>
      <c r="X1567" s="1" t="s">
        <v>27785</v>
      </c>
      <c r="Y1567" s="1" t="s">
        <v>5910</v>
      </c>
      <c r="Z1567" s="1" t="s">
        <v>97</v>
      </c>
      <c r="AA1567" s="1" t="s">
        <v>27785</v>
      </c>
      <c r="AB1567" s="1" t="s">
        <v>5910</v>
      </c>
      <c r="AC1567" s="1" t="s">
        <v>97</v>
      </c>
      <c r="AD1567" s="1" t="s">
        <v>98</v>
      </c>
      <c r="AE1567" s="1" t="s">
        <v>98</v>
      </c>
      <c r="AF1567" s="1" t="s">
        <v>27786</v>
      </c>
      <c r="AG1567" s="1" t="s">
        <v>996</v>
      </c>
      <c r="AH1567" s="1" t="s">
        <v>101</v>
      </c>
      <c r="AI1567" s="1" t="s">
        <v>136</v>
      </c>
      <c r="AJ1567" s="1">
        <v>83.8</v>
      </c>
      <c r="AK1567" s="1"/>
      <c r="AL1567" s="1" t="s">
        <v>27787</v>
      </c>
      <c r="AM1567" s="1" t="s">
        <v>996</v>
      </c>
      <c r="AN1567" s="1"/>
      <c r="AO1567" s="1" t="s">
        <v>170</v>
      </c>
      <c r="AP1567" s="1" t="s">
        <v>171</v>
      </c>
      <c r="AQ1567" s="1">
        <v>65.08</v>
      </c>
      <c r="AR1567" s="1"/>
      <c r="AS1567" s="1"/>
      <c r="AT1567" s="1"/>
      <c r="AU1567" s="1"/>
      <c r="AV1567" s="1"/>
      <c r="AW1567" s="1"/>
      <c r="AX1567" s="1"/>
      <c r="AY1567" s="1" t="s">
        <v>366</v>
      </c>
      <c r="AZ1567" s="1" t="s">
        <v>27788</v>
      </c>
      <c r="BA1567" s="1"/>
      <c r="BB1567" s="1"/>
      <c r="BC1567" s="1" t="s">
        <v>230</v>
      </c>
      <c r="BD1567" s="1" t="s">
        <v>845</v>
      </c>
      <c r="BE1567" s="1">
        <v>77.24</v>
      </c>
      <c r="BF1567" s="1">
        <v>8.52</v>
      </c>
      <c r="BG1567" s="1"/>
      <c r="BH1567" s="1"/>
      <c r="BI1567" s="1"/>
      <c r="BJ1567" s="1"/>
      <c r="BK1567" s="1"/>
      <c r="BL1567" s="1"/>
      <c r="BM1567" s="1"/>
      <c r="BN1567" s="1"/>
      <c r="BO1567" s="1" t="s">
        <v>27789</v>
      </c>
      <c r="BP1567" s="1" t="s">
        <v>27790</v>
      </c>
      <c r="BQ1567" s="1" t="s">
        <v>1070</v>
      </c>
      <c r="BR1567" s="1" t="s">
        <v>27791</v>
      </c>
      <c r="BS1567" s="1">
        <v>11</v>
      </c>
      <c r="BT1567" s="1"/>
      <c r="BU1567" s="1" t="str">
        <f>HYPERLINK("https://nconnect.nicmar.ac.in/storage/profile/ProfilePhoto_p2270144_319546.jpg","Download")</f>
        <v>0</v>
      </c>
      <c r="BV1567" s="3"/>
      <c r="BW1567" s="3"/>
    </row>
    <row r="1568" spans="1:75">
      <c r="A1568" s="1" t="s">
        <v>75</v>
      </c>
      <c r="B1568" s="1" t="s">
        <v>25236</v>
      </c>
      <c r="C1568" s="1" t="s">
        <v>27792</v>
      </c>
      <c r="D1568" s="1" t="s">
        <v>27793</v>
      </c>
      <c r="E1568" s="1" t="s">
        <v>1464</v>
      </c>
      <c r="F1568" s="1" t="s">
        <v>27794</v>
      </c>
      <c r="G1568" s="1" t="s">
        <v>27795</v>
      </c>
      <c r="H1568" s="1" t="s">
        <v>27796</v>
      </c>
      <c r="I1568" s="1" t="s">
        <v>27797</v>
      </c>
      <c r="J1568" s="1">
        <v>9359045951</v>
      </c>
      <c r="K1568" s="1" t="s">
        <v>84</v>
      </c>
      <c r="L1568" s="1" t="s">
        <v>27798</v>
      </c>
      <c r="M1568" s="1" t="s">
        <v>86</v>
      </c>
      <c r="N1568" s="1" t="s">
        <v>618</v>
      </c>
      <c r="O1568" s="1" t="s">
        <v>27799</v>
      </c>
      <c r="P1568" s="1" t="s">
        <v>507</v>
      </c>
      <c r="Q1568" s="1" t="s">
        <v>27800</v>
      </c>
      <c r="R1568" s="1" t="s">
        <v>27801</v>
      </c>
      <c r="S1568" s="1">
        <v>7775923577</v>
      </c>
      <c r="T1568" s="1" t="s">
        <v>539</v>
      </c>
      <c r="U1568" s="1" t="s">
        <v>27802</v>
      </c>
      <c r="V1568" s="1">
        <v>9921222039</v>
      </c>
      <c r="W1568" s="1" t="s">
        <v>1257</v>
      </c>
      <c r="X1568" s="1" t="s">
        <v>27803</v>
      </c>
      <c r="Y1568" s="1" t="s">
        <v>5083</v>
      </c>
      <c r="Z1568" s="1" t="s">
        <v>97</v>
      </c>
      <c r="AA1568" s="1" t="s">
        <v>27804</v>
      </c>
      <c r="AB1568" s="1" t="s">
        <v>196</v>
      </c>
      <c r="AC1568" s="1" t="s">
        <v>97</v>
      </c>
      <c r="AD1568" s="1" t="s">
        <v>98</v>
      </c>
      <c r="AE1568" s="1" t="s">
        <v>98</v>
      </c>
      <c r="AF1568" s="1" t="s">
        <v>27805</v>
      </c>
      <c r="AG1568" s="1" t="s">
        <v>27806</v>
      </c>
      <c r="AH1568" s="1" t="s">
        <v>136</v>
      </c>
      <c r="AI1568" s="1" t="s">
        <v>627</v>
      </c>
      <c r="AJ1568" s="1">
        <v>83.6</v>
      </c>
      <c r="AK1568" s="1">
        <v>8.8</v>
      </c>
      <c r="AL1568" s="1" t="s">
        <v>27807</v>
      </c>
      <c r="AM1568" s="1" t="s">
        <v>27806</v>
      </c>
      <c r="AN1568" s="1"/>
      <c r="AO1568" s="1" t="s">
        <v>573</v>
      </c>
      <c r="AP1568" s="1" t="s">
        <v>171</v>
      </c>
      <c r="AQ1568" s="1">
        <v>66.77</v>
      </c>
      <c r="AR1568" s="1">
        <v>7.01</v>
      </c>
      <c r="AS1568" s="1"/>
      <c r="AT1568" s="1"/>
      <c r="AU1568" s="1"/>
      <c r="AV1568" s="1"/>
      <c r="AW1568" s="1"/>
      <c r="AX1568" s="1"/>
      <c r="AY1568" s="1" t="s">
        <v>27808</v>
      </c>
      <c r="AZ1568" s="1" t="s">
        <v>27809</v>
      </c>
      <c r="BA1568" s="1"/>
      <c r="BB1568" s="1"/>
      <c r="BC1568" s="1" t="s">
        <v>106</v>
      </c>
      <c r="BD1568" s="1" t="s">
        <v>289</v>
      </c>
      <c r="BE1568" s="1">
        <v>73.7</v>
      </c>
      <c r="BF1568" s="1">
        <v>8.12</v>
      </c>
      <c r="BG1568" s="1"/>
      <c r="BH1568" s="1"/>
      <c r="BI1568" s="1"/>
      <c r="BJ1568" s="1"/>
      <c r="BK1568" s="1"/>
      <c r="BL1568" s="1"/>
      <c r="BM1568" s="1"/>
      <c r="BN1568" s="1"/>
      <c r="BO1568" s="1" t="s">
        <v>27810</v>
      </c>
      <c r="BP1568" s="1"/>
      <c r="BQ1568" s="1"/>
      <c r="BR1568" s="1" t="s">
        <v>27811</v>
      </c>
      <c r="BS1568" s="1">
        <v>20</v>
      </c>
      <c r="BT1568" s="1"/>
      <c r="BU1568" s="1" t="str">
        <f>HYPERLINK("https://nconnect.nicmar.ac.in/storage/profile/ProfilePhoto_p2270145_157498.jpg","Download")</f>
        <v>0</v>
      </c>
      <c r="BV1568" s="3"/>
      <c r="BW1568" s="3"/>
    </row>
    <row r="1569" spans="1:75">
      <c r="A1569" s="1" t="s">
        <v>75</v>
      </c>
      <c r="B1569" s="1" t="s">
        <v>25236</v>
      </c>
      <c r="C1569" s="1" t="s">
        <v>27812</v>
      </c>
      <c r="D1569" s="1" t="s">
        <v>3684</v>
      </c>
      <c r="E1569" s="1" t="s">
        <v>27813</v>
      </c>
      <c r="F1569" s="1" t="s">
        <v>1179</v>
      </c>
      <c r="G1569" s="1" t="s">
        <v>27814</v>
      </c>
      <c r="H1569" s="1" t="s">
        <v>27815</v>
      </c>
      <c r="I1569" s="1" t="s">
        <v>27816</v>
      </c>
      <c r="J1569" s="1">
        <v>7022424414</v>
      </c>
      <c r="K1569" s="1" t="s">
        <v>84</v>
      </c>
      <c r="L1569" s="1" t="s">
        <v>27817</v>
      </c>
      <c r="M1569" s="1" t="s">
        <v>86</v>
      </c>
      <c r="N1569" s="1" t="s">
        <v>8258</v>
      </c>
      <c r="O1569" s="1" t="s">
        <v>27818</v>
      </c>
      <c r="P1569" s="1" t="s">
        <v>507</v>
      </c>
      <c r="Q1569" s="1" t="s">
        <v>27819</v>
      </c>
      <c r="R1569" s="1" t="s">
        <v>27820</v>
      </c>
      <c r="S1569" s="1">
        <v>8296565365</v>
      </c>
      <c r="T1569" s="1" t="s">
        <v>92</v>
      </c>
      <c r="U1569" s="1" t="s">
        <v>27821</v>
      </c>
      <c r="V1569" s="1">
        <v>9008657400</v>
      </c>
      <c r="W1569" s="1" t="s">
        <v>541</v>
      </c>
      <c r="X1569" s="1" t="s">
        <v>27822</v>
      </c>
      <c r="Y1569" s="1" t="s">
        <v>6871</v>
      </c>
      <c r="Z1569" s="1" t="s">
        <v>1210</v>
      </c>
      <c r="AA1569" s="1" t="s">
        <v>27822</v>
      </c>
      <c r="AB1569" s="1" t="s">
        <v>6871</v>
      </c>
      <c r="AC1569" s="1" t="s">
        <v>1210</v>
      </c>
      <c r="AD1569" s="1" t="s">
        <v>98</v>
      </c>
      <c r="AE1569" s="1" t="s">
        <v>98</v>
      </c>
      <c r="AF1569" s="1" t="s">
        <v>27823</v>
      </c>
      <c r="AG1569" s="1" t="s">
        <v>27824</v>
      </c>
      <c r="AH1569" s="1" t="s">
        <v>27825</v>
      </c>
      <c r="AI1569" s="1" t="s">
        <v>1214</v>
      </c>
      <c r="AJ1569" s="1">
        <v>66.5</v>
      </c>
      <c r="AK1569" s="1">
        <v>7</v>
      </c>
      <c r="AL1569" s="1"/>
      <c r="AM1569" s="1"/>
      <c r="AN1569" s="1"/>
      <c r="AO1569" s="1"/>
      <c r="AP1569" s="1"/>
      <c r="AQ1569" s="1"/>
      <c r="AR1569" s="1"/>
      <c r="AS1569" s="1" t="s">
        <v>103</v>
      </c>
      <c r="AT1569" s="1" t="s">
        <v>27826</v>
      </c>
      <c r="AU1569" s="1" t="s">
        <v>167</v>
      </c>
      <c r="AV1569" s="1" t="s">
        <v>438</v>
      </c>
      <c r="AW1569" s="1">
        <v>63.81</v>
      </c>
      <c r="AX1569" s="1"/>
      <c r="AY1569" s="1" t="s">
        <v>27827</v>
      </c>
      <c r="AZ1569" s="1" t="s">
        <v>27828</v>
      </c>
      <c r="BA1569" s="1"/>
      <c r="BB1569" s="1"/>
      <c r="BC1569" s="1" t="s">
        <v>109</v>
      </c>
      <c r="BD1569" s="1" t="s">
        <v>1400</v>
      </c>
      <c r="BE1569" s="1">
        <v>65.3</v>
      </c>
      <c r="BF1569" s="1">
        <v>7.28</v>
      </c>
      <c r="BG1569" s="1"/>
      <c r="BH1569" s="1"/>
      <c r="BI1569" s="1"/>
      <c r="BJ1569" s="1"/>
      <c r="BK1569" s="1"/>
      <c r="BL1569" s="1"/>
      <c r="BM1569" s="1"/>
      <c r="BN1569" s="1"/>
      <c r="BO1569" s="1" t="s">
        <v>27829</v>
      </c>
      <c r="BP1569" s="1"/>
      <c r="BQ1569" s="1"/>
      <c r="BR1569" s="1" t="s">
        <v>27830</v>
      </c>
      <c r="BS1569" s="1">
        <v>15</v>
      </c>
      <c r="BT1569" s="1"/>
      <c r="BU1569" s="1" t="str">
        <f>HYPERLINK("https://nconnect.nicmar.ac.in/storage/profile/ProfilePhoto_p2270146_654397.jpg","Download")</f>
        <v>0</v>
      </c>
      <c r="BV1569" s="3"/>
      <c r="BW1569" s="3"/>
    </row>
    <row r="1570" spans="1:75">
      <c r="A1570" s="1" t="s">
        <v>75</v>
      </c>
      <c r="B1570" s="1" t="s">
        <v>25236</v>
      </c>
      <c r="C1570" s="1" t="s">
        <v>27831</v>
      </c>
      <c r="D1570" s="1" t="s">
        <v>12248</v>
      </c>
      <c r="E1570" s="1" t="s">
        <v>2233</v>
      </c>
      <c r="F1570" s="1" t="s">
        <v>27832</v>
      </c>
      <c r="G1570" s="1" t="s">
        <v>27833</v>
      </c>
      <c r="H1570" s="1" t="s">
        <v>27834</v>
      </c>
      <c r="I1570" s="1" t="s">
        <v>27835</v>
      </c>
      <c r="J1570" s="1">
        <v>7558612856</v>
      </c>
      <c r="K1570" s="1" t="s">
        <v>153</v>
      </c>
      <c r="L1570" s="1" t="s">
        <v>27836</v>
      </c>
      <c r="M1570" s="1" t="s">
        <v>86</v>
      </c>
      <c r="N1570" s="1" t="s">
        <v>618</v>
      </c>
      <c r="O1570" s="1" t="s">
        <v>27837</v>
      </c>
      <c r="P1570" s="1" t="s">
        <v>507</v>
      </c>
      <c r="Q1570" s="1" t="s">
        <v>27838</v>
      </c>
      <c r="R1570" s="1" t="s">
        <v>2233</v>
      </c>
      <c r="S1570" s="1">
        <v>9689057738</v>
      </c>
      <c r="T1570" s="1" t="s">
        <v>27839</v>
      </c>
      <c r="U1570" s="1" t="s">
        <v>27840</v>
      </c>
      <c r="V1570" s="1">
        <v>9511628323</v>
      </c>
      <c r="W1570" s="1" t="s">
        <v>2547</v>
      </c>
      <c r="X1570" s="1" t="s">
        <v>27841</v>
      </c>
      <c r="Y1570" s="1" t="s">
        <v>624</v>
      </c>
      <c r="Z1570" s="1" t="s">
        <v>97</v>
      </c>
      <c r="AA1570" s="1" t="s">
        <v>27841</v>
      </c>
      <c r="AB1570" s="1" t="s">
        <v>624</v>
      </c>
      <c r="AC1570" s="1" t="s">
        <v>97</v>
      </c>
      <c r="AD1570" s="1" t="s">
        <v>98</v>
      </c>
      <c r="AE1570" s="1" t="s">
        <v>98</v>
      </c>
      <c r="AF1570" s="1" t="s">
        <v>27842</v>
      </c>
      <c r="AG1570" s="1" t="s">
        <v>775</v>
      </c>
      <c r="AH1570" s="1" t="s">
        <v>133</v>
      </c>
      <c r="AI1570" s="1" t="s">
        <v>134</v>
      </c>
      <c r="AJ1570" s="1">
        <v>60.8</v>
      </c>
      <c r="AK1570" s="1"/>
      <c r="AL1570" s="1" t="s">
        <v>27843</v>
      </c>
      <c r="AM1570" s="1" t="s">
        <v>27844</v>
      </c>
      <c r="AN1570" s="1"/>
      <c r="AO1570" s="1" t="s">
        <v>101</v>
      </c>
      <c r="AP1570" s="1" t="s">
        <v>11567</v>
      </c>
      <c r="AQ1570" s="1">
        <v>58.62</v>
      </c>
      <c r="AR1570" s="1"/>
      <c r="AS1570" s="1"/>
      <c r="AT1570" s="1"/>
      <c r="AU1570" s="1"/>
      <c r="AV1570" s="1"/>
      <c r="AW1570" s="1"/>
      <c r="AX1570" s="1"/>
      <c r="AY1570" s="1" t="s">
        <v>27845</v>
      </c>
      <c r="AZ1570" s="1" t="s">
        <v>27846</v>
      </c>
      <c r="BA1570" s="1"/>
      <c r="BB1570" s="1"/>
      <c r="BC1570" s="1" t="s">
        <v>139</v>
      </c>
      <c r="BD1570" s="1" t="s">
        <v>552</v>
      </c>
      <c r="BE1570" s="1">
        <v>65.2</v>
      </c>
      <c r="BF1570" s="1">
        <v>7.27</v>
      </c>
      <c r="BG1570" s="1"/>
      <c r="BH1570" s="1"/>
      <c r="BI1570" s="1"/>
      <c r="BJ1570" s="1"/>
      <c r="BK1570" s="1"/>
      <c r="BL1570" s="1"/>
      <c r="BM1570" s="1"/>
      <c r="BN1570" s="1"/>
      <c r="BO1570" s="1" t="s">
        <v>27847</v>
      </c>
      <c r="BP1570" s="1" t="s">
        <v>27848</v>
      </c>
      <c r="BQ1570" s="1" t="s">
        <v>1070</v>
      </c>
      <c r="BR1570" s="1" t="s">
        <v>27849</v>
      </c>
      <c r="BS1570" s="1">
        <v>22</v>
      </c>
      <c r="BT1570" s="1"/>
      <c r="BU1570" s="1" t="str">
        <f>HYPERLINK("https://nconnect.nicmar.ac.in/storage/profile/ProfilePhoto_p2270147_185279.jpg","Download")</f>
        <v>0</v>
      </c>
      <c r="BV1570" s="3"/>
      <c r="BW1570" s="3"/>
    </row>
    <row r="1571" spans="1:75">
      <c r="A1571" s="1" t="s">
        <v>75</v>
      </c>
      <c r="B1571" s="1" t="s">
        <v>25236</v>
      </c>
      <c r="C1571" s="1" t="s">
        <v>27850</v>
      </c>
      <c r="D1571" s="1" t="s">
        <v>2097</v>
      </c>
      <c r="E1571" s="1" t="s">
        <v>27851</v>
      </c>
      <c r="F1571" s="1" t="s">
        <v>27852</v>
      </c>
      <c r="G1571" s="1" t="s">
        <v>27853</v>
      </c>
      <c r="H1571" s="1" t="s">
        <v>27854</v>
      </c>
      <c r="I1571" s="1" t="s">
        <v>27855</v>
      </c>
      <c r="J1571" s="1">
        <v>9604382624</v>
      </c>
      <c r="K1571" s="1" t="s">
        <v>84</v>
      </c>
      <c r="L1571" s="1" t="s">
        <v>27856</v>
      </c>
      <c r="M1571" s="1" t="s">
        <v>86</v>
      </c>
      <c r="N1571" s="1" t="s">
        <v>618</v>
      </c>
      <c r="O1571" s="1" t="s">
        <v>27857</v>
      </c>
      <c r="P1571" s="1" t="s">
        <v>507</v>
      </c>
      <c r="Q1571" s="1" t="s">
        <v>27858</v>
      </c>
      <c r="R1571" s="1" t="s">
        <v>27859</v>
      </c>
      <c r="S1571" s="1">
        <v>7410081111</v>
      </c>
      <c r="T1571" s="1" t="s">
        <v>926</v>
      </c>
      <c r="U1571" s="1" t="s">
        <v>27860</v>
      </c>
      <c r="V1571" s="1">
        <v>9689646378</v>
      </c>
      <c r="W1571" s="1" t="s">
        <v>278</v>
      </c>
      <c r="X1571" s="1" t="s">
        <v>27861</v>
      </c>
      <c r="Y1571" s="1" t="s">
        <v>196</v>
      </c>
      <c r="Z1571" s="1" t="s">
        <v>97</v>
      </c>
      <c r="AA1571" s="1" t="s">
        <v>27861</v>
      </c>
      <c r="AB1571" s="1" t="s">
        <v>196</v>
      </c>
      <c r="AC1571" s="1" t="s">
        <v>97</v>
      </c>
      <c r="AD1571" s="1" t="s">
        <v>98</v>
      </c>
      <c r="AE1571" s="1" t="s">
        <v>98</v>
      </c>
      <c r="AF1571" s="1" t="s">
        <v>27862</v>
      </c>
      <c r="AG1571" s="1" t="s">
        <v>27863</v>
      </c>
      <c r="AH1571" s="1" t="s">
        <v>166</v>
      </c>
      <c r="AI1571" s="1" t="s">
        <v>627</v>
      </c>
      <c r="AJ1571" s="1">
        <v>94</v>
      </c>
      <c r="AK1571" s="1"/>
      <c r="AL1571" s="1" t="s">
        <v>27864</v>
      </c>
      <c r="AM1571" s="1" t="s">
        <v>27863</v>
      </c>
      <c r="AN1571" s="1"/>
      <c r="AO1571" s="1" t="s">
        <v>170</v>
      </c>
      <c r="AP1571" s="1" t="s">
        <v>171</v>
      </c>
      <c r="AQ1571" s="1">
        <v>81.23</v>
      </c>
      <c r="AR1571" s="1"/>
      <c r="AS1571" s="1"/>
      <c r="AT1571" s="1"/>
      <c r="AU1571" s="1"/>
      <c r="AV1571" s="1"/>
      <c r="AW1571" s="1"/>
      <c r="AX1571" s="1"/>
      <c r="AY1571" s="1" t="s">
        <v>4232</v>
      </c>
      <c r="AZ1571" s="1" t="s">
        <v>27865</v>
      </c>
      <c r="BA1571" s="1"/>
      <c r="BB1571" s="1"/>
      <c r="BC1571" s="1" t="s">
        <v>174</v>
      </c>
      <c r="BD1571" s="1" t="s">
        <v>1825</v>
      </c>
      <c r="BE1571" s="1">
        <v>83.1</v>
      </c>
      <c r="BF1571" s="1">
        <v>9.06</v>
      </c>
      <c r="BG1571" s="1"/>
      <c r="BH1571" s="1"/>
      <c r="BI1571" s="1"/>
      <c r="BJ1571" s="1"/>
      <c r="BK1571" s="1"/>
      <c r="BL1571" s="1"/>
      <c r="BM1571" s="1"/>
      <c r="BN1571" s="1"/>
      <c r="BO1571" s="1" t="s">
        <v>1114</v>
      </c>
      <c r="BP1571" s="1"/>
      <c r="BQ1571" s="1"/>
      <c r="BR1571" s="1" t="s">
        <v>27866</v>
      </c>
      <c r="BS1571" s="1">
        <v>63</v>
      </c>
      <c r="BT1571" s="1"/>
      <c r="BU1571" s="1" t="str">
        <f>HYPERLINK("https://nconnect.nicmar.ac.in/storage/profile/ProfilePhoto_p2270149_968352.jpg","Download")</f>
        <v>0</v>
      </c>
      <c r="BV1571" s="3"/>
      <c r="BW1571" s="3"/>
    </row>
    <row r="1572" spans="1:75">
      <c r="A1572" s="1" t="s">
        <v>75</v>
      </c>
      <c r="B1572" s="1" t="s">
        <v>25236</v>
      </c>
      <c r="C1572" s="1" t="s">
        <v>27867</v>
      </c>
      <c r="D1572" s="1" t="s">
        <v>1274</v>
      </c>
      <c r="E1572" s="1" t="s">
        <v>1361</v>
      </c>
      <c r="F1572" s="1" t="s">
        <v>27868</v>
      </c>
      <c r="G1572" s="1" t="s">
        <v>27869</v>
      </c>
      <c r="H1572" s="1" t="s">
        <v>27870</v>
      </c>
      <c r="I1572" s="1" t="s">
        <v>27871</v>
      </c>
      <c r="J1572" s="1">
        <v>8590034461</v>
      </c>
      <c r="K1572" s="1" t="s">
        <v>84</v>
      </c>
      <c r="L1572" s="1" t="s">
        <v>27872</v>
      </c>
      <c r="M1572" s="1" t="s">
        <v>86</v>
      </c>
      <c r="N1572" s="1" t="s">
        <v>1300</v>
      </c>
      <c r="O1572" s="1" t="s">
        <v>27873</v>
      </c>
      <c r="P1572" s="1" t="s">
        <v>2062</v>
      </c>
      <c r="Q1572" s="1" t="s">
        <v>27874</v>
      </c>
      <c r="R1572" s="1" t="s">
        <v>27875</v>
      </c>
      <c r="S1572" s="1">
        <v>9846154449</v>
      </c>
      <c r="T1572" s="1" t="s">
        <v>839</v>
      </c>
      <c r="U1572" s="1" t="s">
        <v>27876</v>
      </c>
      <c r="V1572" s="1">
        <v>9446810860</v>
      </c>
      <c r="W1572" s="1" t="s">
        <v>27877</v>
      </c>
      <c r="X1572" s="1" t="s">
        <v>27878</v>
      </c>
      <c r="Y1572" s="1" t="s">
        <v>3190</v>
      </c>
      <c r="Z1572" s="1" t="s">
        <v>130</v>
      </c>
      <c r="AA1572" s="1" t="s">
        <v>27878</v>
      </c>
      <c r="AB1572" s="1" t="s">
        <v>3190</v>
      </c>
      <c r="AC1572" s="1" t="s">
        <v>130</v>
      </c>
      <c r="AD1572" s="1" t="s">
        <v>98</v>
      </c>
      <c r="AE1572" s="1" t="s">
        <v>98</v>
      </c>
      <c r="AF1572" s="1" t="s">
        <v>27879</v>
      </c>
      <c r="AG1572" s="1" t="s">
        <v>27880</v>
      </c>
      <c r="AH1572" s="1" t="s">
        <v>27881</v>
      </c>
      <c r="AI1572" s="1" t="s">
        <v>136</v>
      </c>
      <c r="AJ1572" s="1">
        <v>74.1</v>
      </c>
      <c r="AK1572" s="1">
        <v>7.8</v>
      </c>
      <c r="AL1572" s="1" t="s">
        <v>27882</v>
      </c>
      <c r="AM1572" s="1" t="s">
        <v>27880</v>
      </c>
      <c r="AN1572" s="1"/>
      <c r="AO1572" s="1" t="s">
        <v>105</v>
      </c>
      <c r="AP1572" s="1" t="s">
        <v>573</v>
      </c>
      <c r="AQ1572" s="1">
        <v>75</v>
      </c>
      <c r="AR1572" s="1">
        <v>7.5</v>
      </c>
      <c r="AS1572" s="1"/>
      <c r="AT1572" s="1"/>
      <c r="AU1572" s="1"/>
      <c r="AV1572" s="1"/>
      <c r="AW1572" s="1"/>
      <c r="AX1572" s="1"/>
      <c r="AY1572" s="1" t="s">
        <v>137</v>
      </c>
      <c r="AZ1572" s="1" t="s">
        <v>27883</v>
      </c>
      <c r="BA1572" s="1"/>
      <c r="BB1572" s="1"/>
      <c r="BC1572" s="1" t="s">
        <v>230</v>
      </c>
      <c r="BD1572" s="1" t="s">
        <v>140</v>
      </c>
      <c r="BE1572" s="1">
        <v>68</v>
      </c>
      <c r="BF1572" s="1">
        <v>6.8</v>
      </c>
      <c r="BG1572" s="1"/>
      <c r="BH1572" s="1"/>
      <c r="BI1572" s="1"/>
      <c r="BJ1572" s="1"/>
      <c r="BK1572" s="1"/>
      <c r="BL1572" s="1"/>
      <c r="BM1572" s="1"/>
      <c r="BN1572" s="1"/>
      <c r="BO1572" s="1" t="s">
        <v>27884</v>
      </c>
      <c r="BP1572" s="1"/>
      <c r="BQ1572" s="1"/>
      <c r="BR1572" s="1" t="s">
        <v>27885</v>
      </c>
      <c r="BS1572" s="1">
        <v>8</v>
      </c>
      <c r="BT1572" s="1"/>
      <c r="BU1572" s="1" t="str">
        <f>HYPERLINK("https://nconnect.nicmar.ac.in/storage/profile/ProfilePhoto_p2270150_756329.jpg","Download")</f>
        <v>0</v>
      </c>
      <c r="BV1572" s="3"/>
      <c r="BW1572" s="3"/>
    </row>
    <row r="1573" spans="1:75">
      <c r="A1573" s="1" t="s">
        <v>75</v>
      </c>
      <c r="B1573" s="1" t="s">
        <v>25236</v>
      </c>
      <c r="C1573" s="1" t="s">
        <v>27886</v>
      </c>
      <c r="D1573" s="1" t="s">
        <v>27887</v>
      </c>
      <c r="E1573" s="1" t="s">
        <v>27888</v>
      </c>
      <c r="F1573" s="1" t="s">
        <v>27889</v>
      </c>
      <c r="G1573" s="1" t="s">
        <v>27890</v>
      </c>
      <c r="H1573" s="1" t="s">
        <v>27891</v>
      </c>
      <c r="I1573" s="1" t="s">
        <v>27892</v>
      </c>
      <c r="J1573" s="1">
        <v>7873923372</v>
      </c>
      <c r="K1573" s="1" t="s">
        <v>84</v>
      </c>
      <c r="L1573" s="1" t="s">
        <v>4137</v>
      </c>
      <c r="M1573" s="1" t="s">
        <v>86</v>
      </c>
      <c r="N1573" s="1" t="s">
        <v>881</v>
      </c>
      <c r="O1573" s="1"/>
      <c r="P1573" s="1" t="s">
        <v>455</v>
      </c>
      <c r="Q1573" s="1" t="s">
        <v>27893</v>
      </c>
      <c r="R1573" s="1" t="s">
        <v>27894</v>
      </c>
      <c r="S1573" s="1">
        <v>8895629901</v>
      </c>
      <c r="T1573" s="1" t="s">
        <v>27895</v>
      </c>
      <c r="U1573" s="1" t="s">
        <v>27896</v>
      </c>
      <c r="V1573" s="1">
        <v>9437360476</v>
      </c>
      <c r="W1573" s="1" t="s">
        <v>127</v>
      </c>
      <c r="X1573" s="1" t="s">
        <v>27897</v>
      </c>
      <c r="Y1573" s="1" t="s">
        <v>886</v>
      </c>
      <c r="Z1573" s="1" t="s">
        <v>865</v>
      </c>
      <c r="AA1573" s="1" t="s">
        <v>27897</v>
      </c>
      <c r="AB1573" s="1" t="s">
        <v>886</v>
      </c>
      <c r="AC1573" s="1" t="s">
        <v>865</v>
      </c>
      <c r="AD1573" s="1" t="s">
        <v>98</v>
      </c>
      <c r="AE1573" s="1" t="s">
        <v>98</v>
      </c>
      <c r="AF1573" s="1" t="s">
        <v>27898</v>
      </c>
      <c r="AG1573" s="1" t="s">
        <v>27899</v>
      </c>
      <c r="AH1573" s="1" t="s">
        <v>101</v>
      </c>
      <c r="AI1573" s="1" t="s">
        <v>1110</v>
      </c>
      <c r="AJ1573" s="1">
        <v>81.33</v>
      </c>
      <c r="AK1573" s="1">
        <v>0</v>
      </c>
      <c r="AL1573" s="1" t="s">
        <v>27900</v>
      </c>
      <c r="AM1573" s="1" t="s">
        <v>27901</v>
      </c>
      <c r="AN1573" s="1"/>
      <c r="AO1573" s="1" t="s">
        <v>167</v>
      </c>
      <c r="AP1573" s="1" t="s">
        <v>170</v>
      </c>
      <c r="AQ1573" s="1">
        <v>64.33</v>
      </c>
      <c r="AR1573" s="1">
        <v>0</v>
      </c>
      <c r="AS1573" s="1"/>
      <c r="AT1573" s="1"/>
      <c r="AU1573" s="1"/>
      <c r="AV1573" s="1"/>
      <c r="AW1573" s="1"/>
      <c r="AX1573" s="1"/>
      <c r="AY1573" s="1" t="s">
        <v>27902</v>
      </c>
      <c r="AZ1573" s="1" t="s">
        <v>27903</v>
      </c>
      <c r="BA1573" s="1"/>
      <c r="BB1573" s="1"/>
      <c r="BC1573" s="1" t="s">
        <v>106</v>
      </c>
      <c r="BD1573" s="1" t="s">
        <v>289</v>
      </c>
      <c r="BE1573" s="1">
        <v>81.04</v>
      </c>
      <c r="BF1573" s="1">
        <v>8.64</v>
      </c>
      <c r="BG1573" s="1"/>
      <c r="BH1573" s="1"/>
      <c r="BI1573" s="1"/>
      <c r="BJ1573" s="1"/>
      <c r="BK1573" s="1"/>
      <c r="BL1573" s="1"/>
      <c r="BM1573" s="1"/>
      <c r="BN1573" s="1"/>
      <c r="BO1573" s="1" t="s">
        <v>27904</v>
      </c>
      <c r="BP1573" s="1"/>
      <c r="BQ1573" s="1"/>
      <c r="BR1573" s="1" t="s">
        <v>27905</v>
      </c>
      <c r="BS1573" s="1">
        <v>20</v>
      </c>
      <c r="BT1573" s="1"/>
      <c r="BU1573" s="1" t="str">
        <f>HYPERLINK("https://nconnect.nicmar.ac.in/storage/profile/ProfilePhoto_p2270151_537412.jpg","Download")</f>
        <v>0</v>
      </c>
      <c r="BV1573" s="3"/>
      <c r="BW1573" s="3"/>
    </row>
    <row r="1574" spans="1:75">
      <c r="A1574" s="1" t="s">
        <v>75</v>
      </c>
      <c r="B1574" s="1" t="s">
        <v>25236</v>
      </c>
      <c r="C1574" s="1" t="s">
        <v>27906</v>
      </c>
      <c r="D1574" s="1" t="s">
        <v>27907</v>
      </c>
      <c r="E1574" s="1"/>
      <c r="F1574" s="1" t="s">
        <v>3910</v>
      </c>
      <c r="G1574" s="1" t="s">
        <v>27908</v>
      </c>
      <c r="H1574" s="1" t="s">
        <v>27909</v>
      </c>
      <c r="I1574" s="1" t="s">
        <v>27910</v>
      </c>
      <c r="J1574" s="1">
        <v>7049996397</v>
      </c>
      <c r="K1574" s="1" t="s">
        <v>84</v>
      </c>
      <c r="L1574" s="1" t="s">
        <v>27911</v>
      </c>
      <c r="M1574" s="1" t="s">
        <v>86</v>
      </c>
      <c r="N1574" s="1" t="s">
        <v>4753</v>
      </c>
      <c r="O1574" s="1" t="s">
        <v>27912</v>
      </c>
      <c r="P1574" s="1" t="s">
        <v>455</v>
      </c>
      <c r="Q1574" s="1" t="s">
        <v>27913</v>
      </c>
      <c r="R1574" s="1" t="s">
        <v>27914</v>
      </c>
      <c r="S1574" s="1">
        <v>8982041091</v>
      </c>
      <c r="T1574" s="1" t="s">
        <v>92</v>
      </c>
      <c r="U1574" s="1" t="s">
        <v>27915</v>
      </c>
      <c r="V1574" s="1">
        <v>9300323773</v>
      </c>
      <c r="W1574" s="1" t="s">
        <v>161</v>
      </c>
      <c r="X1574" s="1" t="s">
        <v>27916</v>
      </c>
      <c r="Y1574" s="1" t="s">
        <v>27556</v>
      </c>
      <c r="Z1574" s="1" t="s">
        <v>3419</v>
      </c>
      <c r="AA1574" s="1" t="s">
        <v>27917</v>
      </c>
      <c r="AB1574" s="1" t="s">
        <v>3190</v>
      </c>
      <c r="AC1574" s="1" t="s">
        <v>130</v>
      </c>
      <c r="AD1574" s="1" t="s">
        <v>98</v>
      </c>
      <c r="AE1574" s="1" t="s">
        <v>98</v>
      </c>
      <c r="AF1574" s="1" t="s">
        <v>27918</v>
      </c>
      <c r="AG1574" s="1" t="s">
        <v>27919</v>
      </c>
      <c r="AH1574" s="1" t="s">
        <v>3421</v>
      </c>
      <c r="AI1574" s="1" t="s">
        <v>515</v>
      </c>
      <c r="AJ1574" s="1">
        <v>81.7</v>
      </c>
      <c r="AK1574" s="1">
        <v>8.6</v>
      </c>
      <c r="AL1574" s="1" t="s">
        <v>27918</v>
      </c>
      <c r="AM1574" s="1" t="s">
        <v>27919</v>
      </c>
      <c r="AN1574" s="1"/>
      <c r="AO1574" s="1" t="s">
        <v>1110</v>
      </c>
      <c r="AP1574" s="1" t="s">
        <v>1111</v>
      </c>
      <c r="AQ1574" s="1">
        <v>62.4</v>
      </c>
      <c r="AR1574" s="1">
        <v>0</v>
      </c>
      <c r="AS1574" s="1"/>
      <c r="AT1574" s="1"/>
      <c r="AU1574" s="1"/>
      <c r="AV1574" s="1"/>
      <c r="AW1574" s="1"/>
      <c r="AX1574" s="1"/>
      <c r="AY1574" s="1" t="s">
        <v>27920</v>
      </c>
      <c r="AZ1574" s="1" t="s">
        <v>27921</v>
      </c>
      <c r="BA1574" s="1"/>
      <c r="BB1574" s="1"/>
      <c r="BC1574" s="1" t="s">
        <v>139</v>
      </c>
      <c r="BD1574" s="1" t="s">
        <v>977</v>
      </c>
      <c r="BE1574" s="1">
        <v>74.1</v>
      </c>
      <c r="BF1574" s="1">
        <v>7.41</v>
      </c>
      <c r="BG1574" s="1"/>
      <c r="BH1574" s="1"/>
      <c r="BI1574" s="1"/>
      <c r="BJ1574" s="1"/>
      <c r="BK1574" s="1"/>
      <c r="BL1574" s="1"/>
      <c r="BM1574" s="1"/>
      <c r="BN1574" s="1"/>
      <c r="BO1574" s="1" t="s">
        <v>27922</v>
      </c>
      <c r="BP1574" s="1" t="s">
        <v>27923</v>
      </c>
      <c r="BQ1574" s="1" t="s">
        <v>6365</v>
      </c>
      <c r="BR1574" s="1" t="s">
        <v>27924</v>
      </c>
      <c r="BS1574" s="1">
        <v>41</v>
      </c>
      <c r="BT1574" s="1"/>
      <c r="BU1574" s="1" t="str">
        <f>HYPERLINK("https://nconnect.nicmar.ac.in/storage/profile/ProfilePhoto_p2270152_189462.jpg","Download")</f>
        <v>0</v>
      </c>
      <c r="BV1574" s="3"/>
      <c r="BW1574" s="3"/>
    </row>
    <row r="1575" spans="1:75">
      <c r="A1575" s="1" t="s">
        <v>75</v>
      </c>
      <c r="B1575" s="1" t="s">
        <v>25236</v>
      </c>
      <c r="C1575" s="1" t="s">
        <v>27925</v>
      </c>
      <c r="D1575" s="1" t="s">
        <v>27926</v>
      </c>
      <c r="E1575" s="1" t="s">
        <v>397</v>
      </c>
      <c r="F1575" s="1" t="s">
        <v>27927</v>
      </c>
      <c r="G1575" s="1" t="s">
        <v>27928</v>
      </c>
      <c r="H1575" s="1" t="s">
        <v>27929</v>
      </c>
      <c r="I1575" s="1" t="s">
        <v>27930</v>
      </c>
      <c r="J1575" s="1">
        <v>8421751049</v>
      </c>
      <c r="K1575" s="1" t="s">
        <v>84</v>
      </c>
      <c r="L1575" s="1" t="s">
        <v>9393</v>
      </c>
      <c r="M1575" s="1" t="s">
        <v>86</v>
      </c>
      <c r="N1575" s="1" t="s">
        <v>746</v>
      </c>
      <c r="O1575" s="1" t="s">
        <v>27931</v>
      </c>
      <c r="P1575" s="1" t="s">
        <v>481</v>
      </c>
      <c r="Q1575" s="1" t="s">
        <v>27932</v>
      </c>
      <c r="R1575" s="1" t="s">
        <v>397</v>
      </c>
      <c r="S1575" s="1">
        <v>9657697790</v>
      </c>
      <c r="T1575" s="1" t="s">
        <v>926</v>
      </c>
      <c r="U1575" s="1" t="s">
        <v>5400</v>
      </c>
      <c r="V1575" s="1">
        <v>7798796208</v>
      </c>
      <c r="W1575" s="1" t="s">
        <v>94</v>
      </c>
      <c r="X1575" s="1" t="s">
        <v>27933</v>
      </c>
      <c r="Y1575" s="1" t="s">
        <v>5181</v>
      </c>
      <c r="Z1575" s="1" t="s">
        <v>97</v>
      </c>
      <c r="AA1575" s="1" t="s">
        <v>27933</v>
      </c>
      <c r="AB1575" s="1" t="s">
        <v>5181</v>
      </c>
      <c r="AC1575" s="1" t="s">
        <v>97</v>
      </c>
      <c r="AD1575" s="1" t="s">
        <v>98</v>
      </c>
      <c r="AE1575" s="1" t="s">
        <v>98</v>
      </c>
      <c r="AF1575" s="1" t="s">
        <v>27934</v>
      </c>
      <c r="AG1575" s="1" t="s">
        <v>25901</v>
      </c>
      <c r="AH1575" s="1" t="s">
        <v>101</v>
      </c>
      <c r="AI1575" s="1" t="s">
        <v>102</v>
      </c>
      <c r="AJ1575" s="1">
        <v>80.2</v>
      </c>
      <c r="AK1575" s="1"/>
      <c r="AL1575" s="1"/>
      <c r="AM1575" s="1"/>
      <c r="AN1575" s="1"/>
      <c r="AO1575" s="1"/>
      <c r="AP1575" s="1"/>
      <c r="AQ1575" s="1"/>
      <c r="AR1575" s="1"/>
      <c r="AS1575" s="1" t="s">
        <v>103</v>
      </c>
      <c r="AT1575" s="1" t="s">
        <v>27935</v>
      </c>
      <c r="AU1575" s="1" t="s">
        <v>166</v>
      </c>
      <c r="AV1575" s="1" t="s">
        <v>106</v>
      </c>
      <c r="AW1575" s="1">
        <v>73.58</v>
      </c>
      <c r="AX1575" s="1"/>
      <c r="AY1575" s="1" t="s">
        <v>27936</v>
      </c>
      <c r="AZ1575" s="1" t="s">
        <v>27937</v>
      </c>
      <c r="BA1575" s="1"/>
      <c r="BB1575" s="1"/>
      <c r="BC1575" s="1" t="s">
        <v>174</v>
      </c>
      <c r="BD1575" s="1" t="s">
        <v>441</v>
      </c>
      <c r="BE1575" s="1">
        <v>72.8</v>
      </c>
      <c r="BF1575" s="1">
        <v>7.78</v>
      </c>
      <c r="BG1575" s="1"/>
      <c r="BH1575" s="1"/>
      <c r="BI1575" s="1"/>
      <c r="BJ1575" s="1"/>
      <c r="BK1575" s="1"/>
      <c r="BL1575" s="1"/>
      <c r="BM1575" s="1"/>
      <c r="BN1575" s="1"/>
      <c r="BO1575" s="1" t="s">
        <v>1315</v>
      </c>
      <c r="BP1575" s="1"/>
      <c r="BQ1575" s="1"/>
      <c r="BR1575" s="1" t="s">
        <v>27938</v>
      </c>
      <c r="BS1575" s="1">
        <v>34</v>
      </c>
      <c r="BT1575" s="1"/>
      <c r="BU1575" s="1" t="str">
        <f>HYPERLINK("https://nconnect.nicmar.ac.in/storage/profile/ProfilePhoto_p2270153_129483.jpg","Download")</f>
        <v>0</v>
      </c>
      <c r="BV1575" s="3"/>
      <c r="BW1575" s="3"/>
    </row>
    <row r="1576" spans="1:75">
      <c r="A1576" s="1" t="s">
        <v>75</v>
      </c>
      <c r="B1576" s="1" t="s">
        <v>25236</v>
      </c>
      <c r="C1576" s="1" t="s">
        <v>27939</v>
      </c>
      <c r="D1576" s="1" t="s">
        <v>1177</v>
      </c>
      <c r="E1576" s="1" t="s">
        <v>27940</v>
      </c>
      <c r="F1576" s="1" t="s">
        <v>12333</v>
      </c>
      <c r="G1576" s="1" t="s">
        <v>27941</v>
      </c>
      <c r="H1576" s="1" t="s">
        <v>27942</v>
      </c>
      <c r="I1576" s="1" t="s">
        <v>27943</v>
      </c>
      <c r="J1576" s="1">
        <v>7066737735</v>
      </c>
      <c r="K1576" s="1" t="s">
        <v>84</v>
      </c>
      <c r="L1576" s="1" t="s">
        <v>2452</v>
      </c>
      <c r="M1576" s="1" t="s">
        <v>86</v>
      </c>
      <c r="N1576" s="1" t="s">
        <v>13516</v>
      </c>
      <c r="O1576" s="1" t="s">
        <v>27944</v>
      </c>
      <c r="P1576" s="1" t="s">
        <v>455</v>
      </c>
      <c r="Q1576" s="1" t="s">
        <v>27945</v>
      </c>
      <c r="R1576" s="1" t="s">
        <v>27946</v>
      </c>
      <c r="S1576" s="1">
        <v>9922146673</v>
      </c>
      <c r="T1576" s="1" t="s">
        <v>127</v>
      </c>
      <c r="U1576" s="1" t="s">
        <v>27947</v>
      </c>
      <c r="V1576" s="1">
        <v>9403244039</v>
      </c>
      <c r="W1576" s="1" t="s">
        <v>94</v>
      </c>
      <c r="X1576" s="1" t="s">
        <v>27948</v>
      </c>
      <c r="Y1576" s="1" t="s">
        <v>1779</v>
      </c>
      <c r="Z1576" s="1" t="s">
        <v>97</v>
      </c>
      <c r="AA1576" s="1" t="s">
        <v>27948</v>
      </c>
      <c r="AB1576" s="1" t="s">
        <v>1779</v>
      </c>
      <c r="AC1576" s="1" t="s">
        <v>97</v>
      </c>
      <c r="AD1576" s="1" t="s">
        <v>98</v>
      </c>
      <c r="AE1576" s="1" t="s">
        <v>98</v>
      </c>
      <c r="AF1576" s="1" t="s">
        <v>27949</v>
      </c>
      <c r="AG1576" s="1" t="s">
        <v>2670</v>
      </c>
      <c r="AH1576" s="1" t="s">
        <v>167</v>
      </c>
      <c r="AI1576" s="1" t="s">
        <v>1111</v>
      </c>
      <c r="AJ1576" s="1">
        <v>77.6</v>
      </c>
      <c r="AK1576" s="1"/>
      <c r="AL1576" s="1" t="s">
        <v>27949</v>
      </c>
      <c r="AM1576" s="1" t="s">
        <v>2670</v>
      </c>
      <c r="AN1576" s="1"/>
      <c r="AO1576" s="1" t="s">
        <v>170</v>
      </c>
      <c r="AP1576" s="1" t="s">
        <v>1477</v>
      </c>
      <c r="AQ1576" s="1">
        <v>64.92</v>
      </c>
      <c r="AR1576" s="1"/>
      <c r="AS1576" s="1"/>
      <c r="AT1576" s="1"/>
      <c r="AU1576" s="1"/>
      <c r="AV1576" s="1"/>
      <c r="AW1576" s="1"/>
      <c r="AX1576" s="1"/>
      <c r="AY1576" s="1" t="s">
        <v>27950</v>
      </c>
      <c r="AZ1576" s="1" t="s">
        <v>2670</v>
      </c>
      <c r="BA1576" s="1"/>
      <c r="BB1576" s="1"/>
      <c r="BC1576" s="1" t="s">
        <v>1065</v>
      </c>
      <c r="BD1576" s="1" t="s">
        <v>110</v>
      </c>
      <c r="BE1576" s="1">
        <v>77.52</v>
      </c>
      <c r="BF1576" s="1">
        <v>8.16</v>
      </c>
      <c r="BG1576" s="1"/>
      <c r="BH1576" s="1"/>
      <c r="BI1576" s="1"/>
      <c r="BJ1576" s="1"/>
      <c r="BK1576" s="1"/>
      <c r="BL1576" s="1"/>
      <c r="BM1576" s="1"/>
      <c r="BN1576" s="1"/>
      <c r="BO1576" s="1" t="s">
        <v>27951</v>
      </c>
      <c r="BP1576" s="1"/>
      <c r="BQ1576" s="1"/>
      <c r="BR1576" s="1" t="s">
        <v>27952</v>
      </c>
      <c r="BS1576" s="1">
        <v>9</v>
      </c>
      <c r="BT1576" s="1"/>
      <c r="BU1576" s="1" t="str">
        <f>HYPERLINK("https://nconnect.nicmar.ac.in/storage/profile/ProfilePhoto_p2270154_645932.jpg","Download")</f>
        <v>0</v>
      </c>
      <c r="BV1576" s="3"/>
      <c r="BW1576" s="3"/>
    </row>
    <row r="1577" spans="1:75">
      <c r="A1577" s="1" t="s">
        <v>75</v>
      </c>
      <c r="B1577" s="1" t="s">
        <v>25236</v>
      </c>
      <c r="C1577" s="1" t="s">
        <v>27953</v>
      </c>
      <c r="D1577" s="1" t="s">
        <v>27954</v>
      </c>
      <c r="E1577" s="1"/>
      <c r="F1577" s="1" t="s">
        <v>27955</v>
      </c>
      <c r="G1577" s="1" t="s">
        <v>27956</v>
      </c>
      <c r="H1577" s="1" t="s">
        <v>27957</v>
      </c>
      <c r="I1577" s="1" t="s">
        <v>27958</v>
      </c>
      <c r="J1577" s="1">
        <v>9482439725</v>
      </c>
      <c r="K1577" s="1" t="s">
        <v>84</v>
      </c>
      <c r="L1577" s="1" t="s">
        <v>27959</v>
      </c>
      <c r="M1577" s="1" t="s">
        <v>86</v>
      </c>
      <c r="N1577" s="1" t="s">
        <v>27960</v>
      </c>
      <c r="O1577" s="1" t="s">
        <v>27961</v>
      </c>
      <c r="P1577" s="1" t="s">
        <v>455</v>
      </c>
      <c r="Q1577" s="1" t="s">
        <v>27962</v>
      </c>
      <c r="R1577" s="1" t="s">
        <v>27963</v>
      </c>
      <c r="S1577" s="1">
        <v>9448694018</v>
      </c>
      <c r="T1577" s="1" t="s">
        <v>92</v>
      </c>
      <c r="U1577" s="1" t="s">
        <v>27964</v>
      </c>
      <c r="V1577" s="1">
        <v>8762343753</v>
      </c>
      <c r="W1577" s="1" t="s">
        <v>92</v>
      </c>
      <c r="X1577" s="1" t="s">
        <v>27965</v>
      </c>
      <c r="Y1577" s="1" t="s">
        <v>27966</v>
      </c>
      <c r="Z1577" s="1" t="s">
        <v>1210</v>
      </c>
      <c r="AA1577" s="1" t="s">
        <v>27965</v>
      </c>
      <c r="AB1577" s="1" t="s">
        <v>27966</v>
      </c>
      <c r="AC1577" s="1" t="s">
        <v>1210</v>
      </c>
      <c r="AD1577" s="1" t="s">
        <v>98</v>
      </c>
      <c r="AE1577" s="1" t="s">
        <v>98</v>
      </c>
      <c r="AF1577" s="1" t="s">
        <v>27967</v>
      </c>
      <c r="AG1577" s="1" t="s">
        <v>796</v>
      </c>
      <c r="AH1577" s="1" t="s">
        <v>101</v>
      </c>
      <c r="AI1577" s="1" t="s">
        <v>1110</v>
      </c>
      <c r="AJ1577" s="1">
        <v>85.5</v>
      </c>
      <c r="AK1577" s="1">
        <v>9</v>
      </c>
      <c r="AL1577" s="1" t="s">
        <v>27968</v>
      </c>
      <c r="AM1577" s="1" t="s">
        <v>796</v>
      </c>
      <c r="AN1577" s="1"/>
      <c r="AO1577" s="1" t="s">
        <v>627</v>
      </c>
      <c r="AP1577" s="1" t="s">
        <v>704</v>
      </c>
      <c r="AQ1577" s="1">
        <v>86.8</v>
      </c>
      <c r="AR1577" s="1"/>
      <c r="AS1577" s="1"/>
      <c r="AT1577" s="1"/>
      <c r="AU1577" s="1"/>
      <c r="AV1577" s="1"/>
      <c r="AW1577" s="1"/>
      <c r="AX1577" s="1"/>
      <c r="AY1577" s="1" t="s">
        <v>4012</v>
      </c>
      <c r="AZ1577" s="1" t="s">
        <v>27969</v>
      </c>
      <c r="BA1577" s="1"/>
      <c r="BB1577" s="1"/>
      <c r="BC1577" s="1" t="s">
        <v>230</v>
      </c>
      <c r="BD1577" s="1" t="s">
        <v>549</v>
      </c>
      <c r="BE1577" s="1">
        <v>72.5</v>
      </c>
      <c r="BF1577" s="1">
        <v>8</v>
      </c>
      <c r="BG1577" s="1"/>
      <c r="BH1577" s="1"/>
      <c r="BI1577" s="1"/>
      <c r="BJ1577" s="1"/>
      <c r="BK1577" s="1"/>
      <c r="BL1577" s="1"/>
      <c r="BM1577" s="1"/>
      <c r="BN1577" s="1"/>
      <c r="BO1577" s="1" t="s">
        <v>27970</v>
      </c>
      <c r="BP1577" s="1"/>
      <c r="BQ1577" s="1"/>
      <c r="BR1577" s="1" t="s">
        <v>27971</v>
      </c>
      <c r="BS1577" s="1">
        <v>8</v>
      </c>
      <c r="BT1577" s="1"/>
      <c r="BU1577" s="1" t="str">
        <f>HYPERLINK("https://nconnect.nicmar.ac.in/storage/profile/ProfilePhoto_p2270155_168942.jpg","Download")</f>
        <v>0</v>
      </c>
      <c r="BV1577" s="3"/>
      <c r="BW1577" s="3"/>
    </row>
    <row r="1578" spans="1:75">
      <c r="A1578" s="1" t="s">
        <v>75</v>
      </c>
      <c r="B1578" s="1" t="s">
        <v>25236</v>
      </c>
      <c r="C1578" s="1" t="s">
        <v>27972</v>
      </c>
      <c r="D1578" s="1" t="s">
        <v>10315</v>
      </c>
      <c r="E1578" s="1"/>
      <c r="F1578" s="1" t="s">
        <v>27973</v>
      </c>
      <c r="G1578" s="1" t="s">
        <v>27974</v>
      </c>
      <c r="H1578" s="1" t="s">
        <v>27975</v>
      </c>
      <c r="I1578" s="1" t="s">
        <v>27976</v>
      </c>
      <c r="J1578" s="1">
        <v>8589034633</v>
      </c>
      <c r="K1578" s="1" t="s">
        <v>153</v>
      </c>
      <c r="L1578" s="1" t="s">
        <v>27977</v>
      </c>
      <c r="M1578" s="1" t="s">
        <v>86</v>
      </c>
      <c r="N1578" s="1" t="s">
        <v>7058</v>
      </c>
      <c r="O1578" s="1" t="s">
        <v>27978</v>
      </c>
      <c r="P1578" s="1" t="s">
        <v>481</v>
      </c>
      <c r="Q1578" s="1" t="s">
        <v>27979</v>
      </c>
      <c r="R1578" s="1" t="s">
        <v>27980</v>
      </c>
      <c r="S1578" s="1">
        <v>9447473463</v>
      </c>
      <c r="T1578" s="1" t="s">
        <v>11869</v>
      </c>
      <c r="U1578" s="1" t="s">
        <v>27981</v>
      </c>
      <c r="V1578" s="1">
        <v>9446473463</v>
      </c>
      <c r="W1578" s="1" t="s">
        <v>541</v>
      </c>
      <c r="X1578" s="1" t="s">
        <v>27982</v>
      </c>
      <c r="Y1578" s="1" t="s">
        <v>1283</v>
      </c>
      <c r="Z1578" s="1" t="s">
        <v>130</v>
      </c>
      <c r="AA1578" s="1" t="s">
        <v>27982</v>
      </c>
      <c r="AB1578" s="1" t="s">
        <v>1283</v>
      </c>
      <c r="AC1578" s="1" t="s">
        <v>130</v>
      </c>
      <c r="AD1578" s="1" t="s">
        <v>98</v>
      </c>
      <c r="AE1578" s="1" t="s">
        <v>98</v>
      </c>
      <c r="AF1578" s="1" t="s">
        <v>27983</v>
      </c>
      <c r="AG1578" s="1" t="s">
        <v>27984</v>
      </c>
      <c r="AH1578" s="1" t="s">
        <v>166</v>
      </c>
      <c r="AI1578" s="1" t="s">
        <v>627</v>
      </c>
      <c r="AJ1578" s="1">
        <v>91</v>
      </c>
      <c r="AK1578" s="1"/>
      <c r="AL1578" s="1" t="s">
        <v>27985</v>
      </c>
      <c r="AM1578" s="1" t="s">
        <v>27984</v>
      </c>
      <c r="AN1578" s="1"/>
      <c r="AO1578" s="1" t="s">
        <v>704</v>
      </c>
      <c r="AP1578" s="1" t="s">
        <v>106</v>
      </c>
      <c r="AQ1578" s="1">
        <v>75.4</v>
      </c>
      <c r="AR1578" s="1"/>
      <c r="AS1578" s="1"/>
      <c r="AT1578" s="1"/>
      <c r="AU1578" s="1"/>
      <c r="AV1578" s="1"/>
      <c r="AW1578" s="1"/>
      <c r="AX1578" s="1"/>
      <c r="AY1578" s="1" t="s">
        <v>137</v>
      </c>
      <c r="AZ1578" s="1" t="s">
        <v>5203</v>
      </c>
      <c r="BA1578" s="1"/>
      <c r="BB1578" s="1"/>
      <c r="BC1578" s="1" t="s">
        <v>1065</v>
      </c>
      <c r="BD1578" s="1" t="s">
        <v>289</v>
      </c>
      <c r="BE1578" s="1">
        <v>77.3</v>
      </c>
      <c r="BF1578" s="1">
        <v>7.73</v>
      </c>
      <c r="BG1578" s="1"/>
      <c r="BH1578" s="1"/>
      <c r="BI1578" s="1"/>
      <c r="BJ1578" s="1"/>
      <c r="BK1578" s="1"/>
      <c r="BL1578" s="1"/>
      <c r="BM1578" s="1"/>
      <c r="BN1578" s="1"/>
      <c r="BO1578" s="1" t="s">
        <v>2267</v>
      </c>
      <c r="BP1578" s="1"/>
      <c r="BQ1578" s="1"/>
      <c r="BR1578" s="1" t="s">
        <v>27986</v>
      </c>
      <c r="BS1578" s="1">
        <v>10</v>
      </c>
      <c r="BT1578" s="1"/>
      <c r="BU1578" s="1" t="str">
        <f>HYPERLINK("https://nconnect.nicmar.ac.in/storage/profile/ProfilePhoto_p2270157_196348.jpg","Download")</f>
        <v>0</v>
      </c>
      <c r="BV1578" s="3"/>
      <c r="BW1578" s="3"/>
    </row>
    <row r="1579" spans="1:75">
      <c r="A1579" s="1" t="s">
        <v>75</v>
      </c>
      <c r="B1579" s="1" t="s">
        <v>25236</v>
      </c>
      <c r="C1579" s="1" t="s">
        <v>27987</v>
      </c>
      <c r="D1579" s="1" t="s">
        <v>27988</v>
      </c>
      <c r="E1579" s="1" t="s">
        <v>27989</v>
      </c>
      <c r="F1579" s="1" t="s">
        <v>27990</v>
      </c>
      <c r="G1579" s="1" t="s">
        <v>27991</v>
      </c>
      <c r="H1579" s="1" t="s">
        <v>27992</v>
      </c>
      <c r="I1579" s="1" t="s">
        <v>27993</v>
      </c>
      <c r="J1579" s="1">
        <v>9408929565</v>
      </c>
      <c r="K1579" s="1" t="s">
        <v>84</v>
      </c>
      <c r="L1579" s="1" t="s">
        <v>27994</v>
      </c>
      <c r="M1579" s="1" t="s">
        <v>86</v>
      </c>
      <c r="N1579" s="1" t="s">
        <v>27995</v>
      </c>
      <c r="O1579" s="1" t="s">
        <v>27996</v>
      </c>
      <c r="P1579" s="1" t="s">
        <v>481</v>
      </c>
      <c r="Q1579" s="1" t="s">
        <v>27997</v>
      </c>
      <c r="R1579" s="1" t="s">
        <v>27990</v>
      </c>
      <c r="S1579" s="1">
        <v>9426876898</v>
      </c>
      <c r="T1579" s="1" t="s">
        <v>839</v>
      </c>
      <c r="U1579" s="1" t="s">
        <v>27998</v>
      </c>
      <c r="V1579" s="1">
        <v>9427154735</v>
      </c>
      <c r="W1579" s="1" t="s">
        <v>94</v>
      </c>
      <c r="X1579" s="1" t="s">
        <v>27999</v>
      </c>
      <c r="Y1579" s="1" t="s">
        <v>28000</v>
      </c>
      <c r="Z1579" s="1" t="s">
        <v>676</v>
      </c>
      <c r="AA1579" s="1" t="s">
        <v>27999</v>
      </c>
      <c r="AB1579" s="1" t="s">
        <v>28000</v>
      </c>
      <c r="AC1579" s="1" t="s">
        <v>676</v>
      </c>
      <c r="AD1579" s="1" t="s">
        <v>98</v>
      </c>
      <c r="AE1579" s="1" t="s">
        <v>98</v>
      </c>
      <c r="AF1579" s="1" t="s">
        <v>28001</v>
      </c>
      <c r="AG1579" s="1" t="s">
        <v>28002</v>
      </c>
      <c r="AH1579" s="1" t="s">
        <v>1213</v>
      </c>
      <c r="AI1579" s="1" t="s">
        <v>515</v>
      </c>
      <c r="AJ1579" s="1">
        <v>72</v>
      </c>
      <c r="AK1579" s="1">
        <v>0</v>
      </c>
      <c r="AL1579" s="1" t="s">
        <v>28003</v>
      </c>
      <c r="AM1579" s="1" t="s">
        <v>28002</v>
      </c>
      <c r="AN1579" s="1"/>
      <c r="AO1579" s="1" t="s">
        <v>166</v>
      </c>
      <c r="AP1579" s="1" t="s">
        <v>1111</v>
      </c>
      <c r="AQ1579" s="1">
        <v>53.53</v>
      </c>
      <c r="AR1579" s="1">
        <v>0</v>
      </c>
      <c r="AS1579" s="1"/>
      <c r="AT1579" s="1"/>
      <c r="AU1579" s="1"/>
      <c r="AV1579" s="1"/>
      <c r="AW1579" s="1"/>
      <c r="AX1579" s="1"/>
      <c r="AY1579" s="1" t="s">
        <v>28004</v>
      </c>
      <c r="AZ1579" s="1" t="s">
        <v>28005</v>
      </c>
      <c r="BA1579" s="1"/>
      <c r="BB1579" s="1"/>
      <c r="BC1579" s="1" t="s">
        <v>139</v>
      </c>
      <c r="BD1579" s="1" t="s">
        <v>847</v>
      </c>
      <c r="BE1579" s="1">
        <v>55.7</v>
      </c>
      <c r="BF1579" s="1">
        <v>6.07</v>
      </c>
      <c r="BG1579" s="1"/>
      <c r="BH1579" s="1"/>
      <c r="BI1579" s="1"/>
      <c r="BJ1579" s="1"/>
      <c r="BK1579" s="1"/>
      <c r="BL1579" s="1"/>
      <c r="BM1579" s="1"/>
      <c r="BN1579" s="1"/>
      <c r="BO1579" s="1" t="s">
        <v>28006</v>
      </c>
      <c r="BP1579" s="1"/>
      <c r="BQ1579" s="1"/>
      <c r="BR1579" s="1" t="s">
        <v>28007</v>
      </c>
      <c r="BS1579" s="1">
        <v>14</v>
      </c>
      <c r="BT1579" s="1"/>
      <c r="BU1579" s="1" t="str">
        <f>HYPERLINK("https://nconnect.nicmar.ac.in/storage/profile/ProfilePhoto_p2270158_362519.jpg","Download")</f>
        <v>0</v>
      </c>
      <c r="BV1579" s="3"/>
      <c r="BW1579" s="3"/>
    </row>
    <row r="1580" spans="1:75">
      <c r="A1580" s="1" t="s">
        <v>75</v>
      </c>
      <c r="B1580" s="1" t="s">
        <v>25236</v>
      </c>
      <c r="C1580" s="1" t="s">
        <v>28008</v>
      </c>
      <c r="D1580" s="1" t="s">
        <v>11734</v>
      </c>
      <c r="E1580" s="1"/>
      <c r="F1580" s="1" t="s">
        <v>12821</v>
      </c>
      <c r="G1580" s="1" t="s">
        <v>28009</v>
      </c>
      <c r="H1580" s="1" t="s">
        <v>28010</v>
      </c>
      <c r="I1580" s="1" t="s">
        <v>28011</v>
      </c>
      <c r="J1580" s="1">
        <v>9644444653</v>
      </c>
      <c r="K1580" s="1" t="s">
        <v>84</v>
      </c>
      <c r="L1580" s="1" t="s">
        <v>28012</v>
      </c>
      <c r="M1580" s="1" t="s">
        <v>86</v>
      </c>
      <c r="N1580" s="1" t="s">
        <v>87</v>
      </c>
      <c r="O1580" s="1" t="s">
        <v>28013</v>
      </c>
      <c r="P1580" s="1" t="s">
        <v>2021</v>
      </c>
      <c r="Q1580" s="1" t="s">
        <v>28014</v>
      </c>
      <c r="R1580" s="1" t="s">
        <v>28015</v>
      </c>
      <c r="S1580" s="1">
        <v>9425174727</v>
      </c>
      <c r="T1580" s="1" t="s">
        <v>926</v>
      </c>
      <c r="U1580" s="1" t="s">
        <v>28016</v>
      </c>
      <c r="V1580" s="1">
        <v>9407014027</v>
      </c>
      <c r="W1580" s="1" t="s">
        <v>161</v>
      </c>
      <c r="X1580" s="1" t="s">
        <v>28017</v>
      </c>
      <c r="Y1580" s="1" t="s">
        <v>28018</v>
      </c>
      <c r="Z1580" s="1" t="s">
        <v>3419</v>
      </c>
      <c r="AA1580" s="1" t="s">
        <v>28019</v>
      </c>
      <c r="AB1580" s="1" t="s">
        <v>196</v>
      </c>
      <c r="AC1580" s="1" t="s">
        <v>97</v>
      </c>
      <c r="AD1580" s="1" t="s">
        <v>98</v>
      </c>
      <c r="AE1580" s="1" t="s">
        <v>98</v>
      </c>
      <c r="AF1580" s="1" t="s">
        <v>28020</v>
      </c>
      <c r="AG1580" s="1" t="s">
        <v>28021</v>
      </c>
      <c r="AH1580" s="1" t="s">
        <v>1214</v>
      </c>
      <c r="AI1580" s="1" t="s">
        <v>136</v>
      </c>
      <c r="AJ1580" s="1">
        <v>62.7</v>
      </c>
      <c r="AK1580" s="1"/>
      <c r="AL1580" s="1" t="s">
        <v>28022</v>
      </c>
      <c r="AM1580" s="1" t="s">
        <v>28021</v>
      </c>
      <c r="AN1580" s="1"/>
      <c r="AO1580" s="1" t="s">
        <v>284</v>
      </c>
      <c r="AP1580" s="1" t="s">
        <v>200</v>
      </c>
      <c r="AQ1580" s="1">
        <v>61</v>
      </c>
      <c r="AR1580" s="1"/>
      <c r="AS1580" s="1"/>
      <c r="AT1580" s="1"/>
      <c r="AU1580" s="1"/>
      <c r="AV1580" s="1"/>
      <c r="AW1580" s="1"/>
      <c r="AX1580" s="1"/>
      <c r="AY1580" s="1" t="s">
        <v>5224</v>
      </c>
      <c r="AZ1580" s="1" t="s">
        <v>28023</v>
      </c>
      <c r="BA1580" s="1"/>
      <c r="BB1580" s="1"/>
      <c r="BC1580" s="1" t="s">
        <v>230</v>
      </c>
      <c r="BD1580" s="1" t="s">
        <v>845</v>
      </c>
      <c r="BE1580" s="1">
        <v>64.1</v>
      </c>
      <c r="BF1580" s="1"/>
      <c r="BG1580" s="1"/>
      <c r="BH1580" s="1"/>
      <c r="BI1580" s="1"/>
      <c r="BJ1580" s="1"/>
      <c r="BK1580" s="1"/>
      <c r="BL1580" s="1"/>
      <c r="BM1580" s="1"/>
      <c r="BN1580" s="1"/>
      <c r="BO1580" s="1" t="s">
        <v>1114</v>
      </c>
      <c r="BP1580" s="1" t="s">
        <v>28024</v>
      </c>
      <c r="BQ1580" s="1" t="s">
        <v>2116</v>
      </c>
      <c r="BR1580" s="1" t="s">
        <v>28025</v>
      </c>
      <c r="BS1580" s="1">
        <v>10</v>
      </c>
      <c r="BT1580" s="1"/>
      <c r="BU1580" s="1" t="str">
        <f>HYPERLINK("https://nconnect.nicmar.ac.in/storage/profile/ProfilePhoto_p2270159_749615.jpg","Download")</f>
        <v>0</v>
      </c>
      <c r="BV1580" s="3"/>
      <c r="BW1580" s="3"/>
    </row>
    <row r="1581" spans="1:75">
      <c r="A1581" s="1" t="s">
        <v>75</v>
      </c>
      <c r="B1581" s="1" t="s">
        <v>25236</v>
      </c>
      <c r="C1581" s="1" t="s">
        <v>28026</v>
      </c>
      <c r="D1581" s="1" t="s">
        <v>28027</v>
      </c>
      <c r="E1581" s="1" t="s">
        <v>28028</v>
      </c>
      <c r="F1581" s="1" t="s">
        <v>28029</v>
      </c>
      <c r="G1581" s="1" t="s">
        <v>28030</v>
      </c>
      <c r="H1581" s="1" t="s">
        <v>28031</v>
      </c>
      <c r="I1581" s="1" t="s">
        <v>28032</v>
      </c>
      <c r="J1581" s="1">
        <v>9986426514</v>
      </c>
      <c r="K1581" s="1" t="s">
        <v>84</v>
      </c>
      <c r="L1581" s="1" t="s">
        <v>28033</v>
      </c>
      <c r="M1581" s="1" t="s">
        <v>86</v>
      </c>
      <c r="N1581" s="1" t="s">
        <v>28034</v>
      </c>
      <c r="O1581" s="1"/>
      <c r="P1581" s="1" t="s">
        <v>455</v>
      </c>
      <c r="Q1581" s="1" t="s">
        <v>28035</v>
      </c>
      <c r="R1581" s="1" t="s">
        <v>28036</v>
      </c>
      <c r="S1581" s="1">
        <v>7406709972</v>
      </c>
      <c r="T1581" s="1" t="s">
        <v>28037</v>
      </c>
      <c r="U1581" s="1" t="s">
        <v>28038</v>
      </c>
      <c r="V1581" s="1">
        <v>9538407652</v>
      </c>
      <c r="W1581" s="1" t="s">
        <v>94</v>
      </c>
      <c r="X1581" s="1" t="s">
        <v>28039</v>
      </c>
      <c r="Y1581" s="1" t="s">
        <v>3132</v>
      </c>
      <c r="Z1581" s="1" t="s">
        <v>1210</v>
      </c>
      <c r="AA1581" s="1" t="s">
        <v>28039</v>
      </c>
      <c r="AB1581" s="1" t="s">
        <v>3132</v>
      </c>
      <c r="AC1581" s="1" t="s">
        <v>1210</v>
      </c>
      <c r="AD1581" s="1" t="s">
        <v>98</v>
      </c>
      <c r="AE1581" s="1" t="s">
        <v>98</v>
      </c>
      <c r="AF1581" s="1" t="s">
        <v>28040</v>
      </c>
      <c r="AG1581" s="1" t="s">
        <v>7286</v>
      </c>
      <c r="AH1581" s="1" t="s">
        <v>1970</v>
      </c>
      <c r="AI1581" s="1" t="s">
        <v>337</v>
      </c>
      <c r="AJ1581" s="1">
        <v>76</v>
      </c>
      <c r="AK1581" s="1">
        <v>8</v>
      </c>
      <c r="AL1581" s="1" t="s">
        <v>28041</v>
      </c>
      <c r="AM1581" s="1" t="s">
        <v>7286</v>
      </c>
      <c r="AN1581" s="1"/>
      <c r="AO1581" s="1" t="s">
        <v>25321</v>
      </c>
      <c r="AP1581" s="1" t="s">
        <v>1457</v>
      </c>
      <c r="AQ1581" s="1">
        <v>67.83</v>
      </c>
      <c r="AR1581" s="1">
        <v>0</v>
      </c>
      <c r="AS1581" s="1"/>
      <c r="AT1581" s="1"/>
      <c r="AU1581" s="1"/>
      <c r="AV1581" s="1"/>
      <c r="AW1581" s="1"/>
      <c r="AX1581" s="1"/>
      <c r="AY1581" s="1" t="s">
        <v>1217</v>
      </c>
      <c r="AZ1581" s="1" t="s">
        <v>28042</v>
      </c>
      <c r="BA1581" s="1"/>
      <c r="BB1581" s="1"/>
      <c r="BC1581" s="1" t="s">
        <v>105</v>
      </c>
      <c r="BD1581" s="1" t="s">
        <v>178</v>
      </c>
      <c r="BE1581" s="1">
        <v>60.7</v>
      </c>
      <c r="BF1581" s="1">
        <v>6.82</v>
      </c>
      <c r="BG1581" s="1"/>
      <c r="BH1581" s="1"/>
      <c r="BI1581" s="1"/>
      <c r="BJ1581" s="1"/>
      <c r="BK1581" s="1"/>
      <c r="BL1581" s="1"/>
      <c r="BM1581" s="1"/>
      <c r="BN1581" s="1"/>
      <c r="BO1581" s="1" t="s">
        <v>8688</v>
      </c>
      <c r="BP1581" s="1" t="s">
        <v>28043</v>
      </c>
      <c r="BQ1581" s="1" t="s">
        <v>2245</v>
      </c>
      <c r="BR1581" s="1" t="s">
        <v>28044</v>
      </c>
      <c r="BS1581" s="1">
        <v>33</v>
      </c>
      <c r="BT1581" s="1"/>
      <c r="BU1581" s="1" t="str">
        <f>HYPERLINK("https://nconnect.nicmar.ac.in/storage/profile/ProfilePhoto_p2270160_862134.jpg","Download")</f>
        <v>0</v>
      </c>
      <c r="BV1581" s="3"/>
      <c r="BW1581" s="3"/>
    </row>
    <row r="1582" spans="1:75">
      <c r="A1582" s="1" t="s">
        <v>75</v>
      </c>
      <c r="B1582" s="1" t="s">
        <v>25236</v>
      </c>
      <c r="C1582" s="1" t="s">
        <v>28045</v>
      </c>
      <c r="D1582" s="1" t="s">
        <v>12018</v>
      </c>
      <c r="E1582" s="1" t="s">
        <v>28046</v>
      </c>
      <c r="F1582" s="1" t="s">
        <v>12454</v>
      </c>
      <c r="G1582" s="1" t="s">
        <v>28047</v>
      </c>
      <c r="H1582" s="1" t="s">
        <v>28048</v>
      </c>
      <c r="I1582" s="1" t="s">
        <v>28049</v>
      </c>
      <c r="J1582" s="1">
        <v>7434043080</v>
      </c>
      <c r="K1582" s="1" t="s">
        <v>84</v>
      </c>
      <c r="L1582" s="1" t="s">
        <v>28050</v>
      </c>
      <c r="M1582" s="1" t="s">
        <v>86</v>
      </c>
      <c r="N1582" s="1" t="s">
        <v>7185</v>
      </c>
      <c r="O1582" s="1" t="s">
        <v>28051</v>
      </c>
      <c r="P1582" s="1" t="s">
        <v>507</v>
      </c>
      <c r="Q1582" s="1" t="s">
        <v>28052</v>
      </c>
      <c r="R1582" s="1" t="s">
        <v>28053</v>
      </c>
      <c r="S1582" s="1">
        <v>9825482269</v>
      </c>
      <c r="T1582" s="1" t="s">
        <v>926</v>
      </c>
      <c r="U1582" s="1" t="s">
        <v>28054</v>
      </c>
      <c r="V1582" s="1">
        <v>8460633673</v>
      </c>
      <c r="W1582" s="1" t="s">
        <v>161</v>
      </c>
      <c r="X1582" s="1" t="s">
        <v>28055</v>
      </c>
      <c r="Y1582" s="1" t="s">
        <v>14319</v>
      </c>
      <c r="Z1582" s="1" t="s">
        <v>676</v>
      </c>
      <c r="AA1582" s="1" t="s">
        <v>28055</v>
      </c>
      <c r="AB1582" s="1" t="s">
        <v>14319</v>
      </c>
      <c r="AC1582" s="1" t="s">
        <v>676</v>
      </c>
      <c r="AD1582" s="1" t="s">
        <v>98</v>
      </c>
      <c r="AE1582" s="1" t="s">
        <v>98</v>
      </c>
      <c r="AF1582" s="1" t="s">
        <v>28056</v>
      </c>
      <c r="AG1582" s="1" t="s">
        <v>28057</v>
      </c>
      <c r="AH1582" s="1" t="s">
        <v>166</v>
      </c>
      <c r="AI1582" s="1" t="s">
        <v>1111</v>
      </c>
      <c r="AJ1582" s="1">
        <v>80.16</v>
      </c>
      <c r="AK1582" s="1"/>
      <c r="AL1582" s="1" t="s">
        <v>28058</v>
      </c>
      <c r="AM1582" s="1" t="s">
        <v>28057</v>
      </c>
      <c r="AN1582" s="1"/>
      <c r="AO1582" s="1" t="s">
        <v>170</v>
      </c>
      <c r="AP1582" s="1" t="s">
        <v>286</v>
      </c>
      <c r="AQ1582" s="1">
        <v>67.23</v>
      </c>
      <c r="AR1582" s="1"/>
      <c r="AS1582" s="1"/>
      <c r="AT1582" s="1"/>
      <c r="AU1582" s="1"/>
      <c r="AV1582" s="1"/>
      <c r="AW1582" s="1"/>
      <c r="AX1582" s="1"/>
      <c r="AY1582" s="1" t="s">
        <v>28059</v>
      </c>
      <c r="AZ1582" s="1" t="s">
        <v>28060</v>
      </c>
      <c r="BA1582" s="1"/>
      <c r="BB1582" s="1"/>
      <c r="BC1582" s="1" t="s">
        <v>174</v>
      </c>
      <c r="BD1582" s="1" t="s">
        <v>632</v>
      </c>
      <c r="BE1582" s="1">
        <v>81.6</v>
      </c>
      <c r="BF1582" s="1">
        <v>8.66</v>
      </c>
      <c r="BG1582" s="1"/>
      <c r="BH1582" s="1"/>
      <c r="BI1582" s="1"/>
      <c r="BJ1582" s="1"/>
      <c r="BK1582" s="1"/>
      <c r="BL1582" s="1"/>
      <c r="BM1582" s="1"/>
      <c r="BN1582" s="1"/>
      <c r="BO1582" s="1" t="s">
        <v>28061</v>
      </c>
      <c r="BP1582" s="1"/>
      <c r="BQ1582" s="1"/>
      <c r="BR1582" s="1" t="s">
        <v>28062</v>
      </c>
      <c r="BS1582" s="1">
        <v>27</v>
      </c>
      <c r="BT1582" s="1"/>
      <c r="BU1582" s="1" t="str">
        <f>HYPERLINK("https://nconnect.nicmar.ac.in/storage/profile/ProfilePhoto_p2270161_251679.jpg","Download")</f>
        <v>0</v>
      </c>
      <c r="BV1582" s="3"/>
      <c r="BW1582" s="3"/>
    </row>
    <row r="1583" spans="1:75">
      <c r="A1583" s="1" t="s">
        <v>75</v>
      </c>
      <c r="B1583" s="1" t="s">
        <v>25236</v>
      </c>
      <c r="C1583" s="1" t="s">
        <v>28063</v>
      </c>
      <c r="D1583" s="1" t="s">
        <v>28064</v>
      </c>
      <c r="E1583" s="1" t="s">
        <v>28065</v>
      </c>
      <c r="F1583" s="1" t="s">
        <v>876</v>
      </c>
      <c r="G1583" s="1" t="s">
        <v>28066</v>
      </c>
      <c r="H1583" s="1" t="s">
        <v>28067</v>
      </c>
      <c r="I1583" s="1" t="s">
        <v>28068</v>
      </c>
      <c r="J1583" s="1">
        <v>7767855224</v>
      </c>
      <c r="K1583" s="1" t="s">
        <v>84</v>
      </c>
      <c r="L1583" s="1" t="s">
        <v>28069</v>
      </c>
      <c r="M1583" s="1" t="s">
        <v>86</v>
      </c>
      <c r="N1583" s="1" t="s">
        <v>26511</v>
      </c>
      <c r="O1583" s="1"/>
      <c r="P1583" s="1" t="s">
        <v>481</v>
      </c>
      <c r="Q1583" s="1" t="s">
        <v>28070</v>
      </c>
      <c r="R1583" s="1" t="s">
        <v>28071</v>
      </c>
      <c r="S1583" s="1">
        <v>7767855223</v>
      </c>
      <c r="T1583" s="1" t="s">
        <v>159</v>
      </c>
      <c r="U1583" s="1" t="s">
        <v>28072</v>
      </c>
      <c r="V1583" s="1">
        <v>7387890391</v>
      </c>
      <c r="W1583" s="1" t="s">
        <v>278</v>
      </c>
      <c r="X1583" s="1" t="s">
        <v>28073</v>
      </c>
      <c r="Y1583" s="1" t="s">
        <v>11302</v>
      </c>
      <c r="Z1583" s="1" t="s">
        <v>6549</v>
      </c>
      <c r="AA1583" s="1" t="s">
        <v>28073</v>
      </c>
      <c r="AB1583" s="1" t="s">
        <v>11302</v>
      </c>
      <c r="AC1583" s="1" t="s">
        <v>6549</v>
      </c>
      <c r="AD1583" s="1" t="s">
        <v>98</v>
      </c>
      <c r="AE1583" s="1" t="s">
        <v>98</v>
      </c>
      <c r="AF1583" s="1" t="s">
        <v>28074</v>
      </c>
      <c r="AG1583" s="1" t="s">
        <v>28075</v>
      </c>
      <c r="AH1583" s="1" t="s">
        <v>101</v>
      </c>
      <c r="AI1583" s="1" t="s">
        <v>102</v>
      </c>
      <c r="AJ1583" s="1">
        <v>85.67</v>
      </c>
      <c r="AK1583" s="1"/>
      <c r="AL1583" s="1" t="s">
        <v>28076</v>
      </c>
      <c r="AM1583" s="1" t="s">
        <v>28075</v>
      </c>
      <c r="AN1583" s="1"/>
      <c r="AO1583" s="1" t="s">
        <v>1396</v>
      </c>
      <c r="AP1583" s="1" t="s">
        <v>200</v>
      </c>
      <c r="AQ1583" s="1">
        <v>66.67</v>
      </c>
      <c r="AR1583" s="1"/>
      <c r="AS1583" s="1"/>
      <c r="AT1583" s="1"/>
      <c r="AU1583" s="1"/>
      <c r="AV1583" s="1"/>
      <c r="AW1583" s="1"/>
      <c r="AX1583" s="1"/>
      <c r="AY1583" s="1" t="s">
        <v>11306</v>
      </c>
      <c r="AZ1583" s="1" t="s">
        <v>28077</v>
      </c>
      <c r="BA1583" s="1"/>
      <c r="BB1583" s="1"/>
      <c r="BC1583" s="1" t="s">
        <v>388</v>
      </c>
      <c r="BD1583" s="1" t="s">
        <v>552</v>
      </c>
      <c r="BE1583" s="1">
        <v>71.7</v>
      </c>
      <c r="BF1583" s="1"/>
      <c r="BG1583" s="1"/>
      <c r="BH1583" s="1"/>
      <c r="BI1583" s="1"/>
      <c r="BJ1583" s="1"/>
      <c r="BK1583" s="1"/>
      <c r="BL1583" s="1"/>
      <c r="BM1583" s="1"/>
      <c r="BN1583" s="1"/>
      <c r="BO1583" s="1" t="s">
        <v>28078</v>
      </c>
      <c r="BP1583" s="1" t="s">
        <v>28079</v>
      </c>
      <c r="BQ1583" s="1" t="s">
        <v>471</v>
      </c>
      <c r="BR1583" s="1" t="s">
        <v>28080</v>
      </c>
      <c r="BS1583" s="1">
        <v>13</v>
      </c>
      <c r="BT1583" s="1"/>
      <c r="BU1583" s="1" t="str">
        <f>HYPERLINK("https://nconnect.nicmar.ac.in/storage/profile/ProfilePhoto_p2270162_169247.jpg","Download")</f>
        <v>0</v>
      </c>
      <c r="BV1583" s="3"/>
      <c r="BW1583" s="3"/>
    </row>
    <row r="1584" spans="1:75">
      <c r="A1584" s="1" t="s">
        <v>75</v>
      </c>
      <c r="B1584" s="1" t="s">
        <v>25236</v>
      </c>
      <c r="C1584" s="1" t="s">
        <v>28081</v>
      </c>
      <c r="D1584" s="1" t="s">
        <v>28082</v>
      </c>
      <c r="E1584" s="1"/>
      <c r="F1584" s="1" t="s">
        <v>20298</v>
      </c>
      <c r="G1584" s="1" t="s">
        <v>28083</v>
      </c>
      <c r="H1584" s="1" t="s">
        <v>28084</v>
      </c>
      <c r="I1584" s="1" t="s">
        <v>28085</v>
      </c>
      <c r="J1584" s="1">
        <v>9088956313</v>
      </c>
      <c r="K1584" s="1" t="s">
        <v>153</v>
      </c>
      <c r="L1584" s="1" t="s">
        <v>28086</v>
      </c>
      <c r="M1584" s="1" t="s">
        <v>86</v>
      </c>
      <c r="N1584" s="1" t="s">
        <v>4753</v>
      </c>
      <c r="O1584" s="1" t="s">
        <v>28087</v>
      </c>
      <c r="P1584" s="1" t="s">
        <v>455</v>
      </c>
      <c r="Q1584" s="1" t="s">
        <v>28088</v>
      </c>
      <c r="R1584" s="1" t="s">
        <v>28089</v>
      </c>
      <c r="S1584" s="1">
        <v>9830790416</v>
      </c>
      <c r="T1584" s="1" t="s">
        <v>221</v>
      </c>
      <c r="U1584" s="1" t="s">
        <v>28090</v>
      </c>
      <c r="V1584" s="1">
        <v>9874377225</v>
      </c>
      <c r="W1584" s="1" t="s">
        <v>278</v>
      </c>
      <c r="X1584" s="1" t="s">
        <v>28091</v>
      </c>
      <c r="Y1584" s="1" t="s">
        <v>3920</v>
      </c>
      <c r="Z1584" s="1" t="s">
        <v>1234</v>
      </c>
      <c r="AA1584" s="1" t="s">
        <v>28091</v>
      </c>
      <c r="AB1584" s="1" t="s">
        <v>3920</v>
      </c>
      <c r="AC1584" s="1" t="s">
        <v>1234</v>
      </c>
      <c r="AD1584" s="1" t="s">
        <v>98</v>
      </c>
      <c r="AE1584" s="1" t="s">
        <v>98</v>
      </c>
      <c r="AF1584" s="1" t="s">
        <v>28092</v>
      </c>
      <c r="AG1584" s="1" t="s">
        <v>28093</v>
      </c>
      <c r="AH1584" s="1" t="s">
        <v>27648</v>
      </c>
      <c r="AI1584" s="1" t="s">
        <v>102</v>
      </c>
      <c r="AJ1584" s="1">
        <v>66.2</v>
      </c>
      <c r="AK1584" s="1">
        <v>6.62</v>
      </c>
      <c r="AL1584" s="1" t="s">
        <v>28092</v>
      </c>
      <c r="AM1584" s="1" t="s">
        <v>28093</v>
      </c>
      <c r="AN1584" s="1"/>
      <c r="AO1584" s="1" t="s">
        <v>1111</v>
      </c>
      <c r="AP1584" s="1" t="s">
        <v>200</v>
      </c>
      <c r="AQ1584" s="1">
        <v>53.5</v>
      </c>
      <c r="AR1584" s="1">
        <v>6.05</v>
      </c>
      <c r="AS1584" s="1"/>
      <c r="AT1584" s="1"/>
      <c r="AU1584" s="1"/>
      <c r="AV1584" s="1"/>
      <c r="AW1584" s="1"/>
      <c r="AX1584" s="1"/>
      <c r="AY1584" s="1" t="s">
        <v>2553</v>
      </c>
      <c r="AZ1584" s="1" t="s">
        <v>28094</v>
      </c>
      <c r="BA1584" s="1"/>
      <c r="BB1584" s="1"/>
      <c r="BC1584" s="1" t="s">
        <v>230</v>
      </c>
      <c r="BD1584" s="1" t="s">
        <v>110</v>
      </c>
      <c r="BE1584" s="1">
        <v>79</v>
      </c>
      <c r="BF1584" s="1">
        <v>7.9</v>
      </c>
      <c r="BG1584" s="1"/>
      <c r="BH1584" s="1"/>
      <c r="BI1584" s="1"/>
      <c r="BJ1584" s="1"/>
      <c r="BK1584" s="1"/>
      <c r="BL1584" s="1"/>
      <c r="BM1584" s="1"/>
      <c r="BN1584" s="1"/>
      <c r="BO1584" s="1" t="s">
        <v>28095</v>
      </c>
      <c r="BP1584" s="1"/>
      <c r="BQ1584" s="1"/>
      <c r="BR1584" s="1" t="s">
        <v>28096</v>
      </c>
      <c r="BS1584" s="1">
        <v>7</v>
      </c>
      <c r="BT1584" s="1"/>
      <c r="BU1584" s="1" t="str">
        <f>HYPERLINK("https://nconnect.nicmar.ac.in/storage/profile/ProfilePhoto_p2270163_794318.jpg","Download")</f>
        <v>0</v>
      </c>
      <c r="BV1584" s="3"/>
      <c r="BW1584" s="3"/>
    </row>
    <row r="1585" spans="1:75">
      <c r="A1585" s="1" t="s">
        <v>75</v>
      </c>
      <c r="B1585" s="1" t="s">
        <v>25236</v>
      </c>
      <c r="C1585" s="1" t="s">
        <v>28097</v>
      </c>
      <c r="D1585" s="1" t="s">
        <v>28098</v>
      </c>
      <c r="E1585" s="1" t="s">
        <v>19110</v>
      </c>
      <c r="F1585" s="1" t="s">
        <v>4037</v>
      </c>
      <c r="G1585" s="1" t="s">
        <v>28099</v>
      </c>
      <c r="H1585" s="1" t="s">
        <v>28100</v>
      </c>
      <c r="I1585" s="1" t="s">
        <v>28101</v>
      </c>
      <c r="J1585" s="1">
        <v>7090769668</v>
      </c>
      <c r="K1585" s="1" t="s">
        <v>84</v>
      </c>
      <c r="L1585" s="1" t="s">
        <v>11440</v>
      </c>
      <c r="M1585" s="1" t="s">
        <v>86</v>
      </c>
      <c r="N1585" s="1" t="s">
        <v>28102</v>
      </c>
      <c r="O1585" s="1" t="s">
        <v>28103</v>
      </c>
      <c r="P1585" s="1" t="s">
        <v>1028</v>
      </c>
      <c r="Q1585" s="1" t="s">
        <v>28104</v>
      </c>
      <c r="R1585" s="1" t="s">
        <v>28105</v>
      </c>
      <c r="S1585" s="1">
        <v>7090769668</v>
      </c>
      <c r="T1585" s="1" t="s">
        <v>159</v>
      </c>
      <c r="U1585" s="1" t="s">
        <v>28106</v>
      </c>
      <c r="V1585" s="1">
        <v>7090769668</v>
      </c>
      <c r="W1585" s="1" t="s">
        <v>161</v>
      </c>
      <c r="X1585" s="1" t="s">
        <v>28107</v>
      </c>
      <c r="Y1585" s="1" t="s">
        <v>3846</v>
      </c>
      <c r="Z1585" s="1" t="s">
        <v>281</v>
      </c>
      <c r="AA1585" s="1" t="s">
        <v>28107</v>
      </c>
      <c r="AB1585" s="1" t="s">
        <v>3846</v>
      </c>
      <c r="AC1585" s="1" t="s">
        <v>281</v>
      </c>
      <c r="AD1585" s="1" t="s">
        <v>98</v>
      </c>
      <c r="AE1585" s="1" t="s">
        <v>98</v>
      </c>
      <c r="AF1585" s="1" t="s">
        <v>28108</v>
      </c>
      <c r="AG1585" s="1" t="s">
        <v>12192</v>
      </c>
      <c r="AH1585" s="1" t="s">
        <v>166</v>
      </c>
      <c r="AI1585" s="1" t="s">
        <v>1111</v>
      </c>
      <c r="AJ1585" s="1">
        <v>88.66</v>
      </c>
      <c r="AK1585" s="1">
        <v>9.3</v>
      </c>
      <c r="AL1585" s="1" t="s">
        <v>28109</v>
      </c>
      <c r="AM1585" s="1" t="s">
        <v>12192</v>
      </c>
      <c r="AN1585" s="1"/>
      <c r="AO1585" s="1" t="s">
        <v>167</v>
      </c>
      <c r="AP1585" s="1" t="s">
        <v>286</v>
      </c>
      <c r="AQ1585" s="1">
        <v>93.7</v>
      </c>
      <c r="AR1585" s="1"/>
      <c r="AS1585" s="1"/>
      <c r="AT1585" s="1"/>
      <c r="AU1585" s="1"/>
      <c r="AV1585" s="1"/>
      <c r="AW1585" s="1"/>
      <c r="AX1585" s="1"/>
      <c r="AY1585" s="1" t="s">
        <v>28110</v>
      </c>
      <c r="AZ1585" s="1" t="s">
        <v>28111</v>
      </c>
      <c r="BA1585" s="1"/>
      <c r="BB1585" s="1"/>
      <c r="BC1585" s="1" t="s">
        <v>1065</v>
      </c>
      <c r="BD1585" s="1" t="s">
        <v>1400</v>
      </c>
      <c r="BE1585" s="1">
        <v>64.6</v>
      </c>
      <c r="BF1585" s="1">
        <v>7.21</v>
      </c>
      <c r="BG1585" s="1"/>
      <c r="BH1585" s="1"/>
      <c r="BI1585" s="1"/>
      <c r="BJ1585" s="1"/>
      <c r="BK1585" s="1"/>
      <c r="BL1585" s="1"/>
      <c r="BM1585" s="1"/>
      <c r="BN1585" s="1"/>
      <c r="BO1585" s="1" t="s">
        <v>1114</v>
      </c>
      <c r="BP1585" s="1"/>
      <c r="BQ1585" s="1"/>
      <c r="BR1585" s="1" t="s">
        <v>28112</v>
      </c>
      <c r="BS1585" s="1">
        <v>14</v>
      </c>
      <c r="BT1585" s="1"/>
      <c r="BU1585" s="1" t="str">
        <f>HYPERLINK("https://nconnect.nicmar.ac.in/storage/profile/ProfilePhoto_p2270164_361542.jpg","Download")</f>
        <v>0</v>
      </c>
      <c r="BV1585" s="3"/>
      <c r="BW1585" s="3"/>
    </row>
    <row r="1586" spans="1:75">
      <c r="A1586" s="1" t="s">
        <v>75</v>
      </c>
      <c r="B1586" s="1" t="s">
        <v>25236</v>
      </c>
      <c r="C1586" s="1" t="s">
        <v>28113</v>
      </c>
      <c r="D1586" s="1" t="s">
        <v>28114</v>
      </c>
      <c r="E1586" s="1" t="s">
        <v>23413</v>
      </c>
      <c r="F1586" s="1" t="s">
        <v>28115</v>
      </c>
      <c r="G1586" s="1" t="s">
        <v>28116</v>
      </c>
      <c r="H1586" s="1" t="s">
        <v>28117</v>
      </c>
      <c r="I1586" s="1" t="s">
        <v>28118</v>
      </c>
      <c r="J1586" s="1">
        <v>8180829408</v>
      </c>
      <c r="K1586" s="1" t="s">
        <v>84</v>
      </c>
      <c r="L1586" s="1" t="s">
        <v>28119</v>
      </c>
      <c r="M1586" s="1" t="s">
        <v>86</v>
      </c>
      <c r="N1586" s="1" t="s">
        <v>768</v>
      </c>
      <c r="O1586" s="1" t="s">
        <v>28120</v>
      </c>
      <c r="P1586" s="1" t="s">
        <v>507</v>
      </c>
      <c r="Q1586" s="1" t="s">
        <v>28121</v>
      </c>
      <c r="R1586" s="1" t="s">
        <v>28122</v>
      </c>
      <c r="S1586" s="1">
        <v>8999026044</v>
      </c>
      <c r="T1586" s="1" t="s">
        <v>839</v>
      </c>
      <c r="U1586" s="1" t="s">
        <v>28123</v>
      </c>
      <c r="V1586" s="1">
        <v>8149698555</v>
      </c>
      <c r="W1586" s="1" t="s">
        <v>278</v>
      </c>
      <c r="X1586" s="1" t="s">
        <v>28124</v>
      </c>
      <c r="Y1586" s="1" t="s">
        <v>3538</v>
      </c>
      <c r="Z1586" s="1" t="s">
        <v>97</v>
      </c>
      <c r="AA1586" s="1" t="s">
        <v>28125</v>
      </c>
      <c r="AB1586" s="1" t="s">
        <v>196</v>
      </c>
      <c r="AC1586" s="1" t="s">
        <v>97</v>
      </c>
      <c r="AD1586" s="1" t="s">
        <v>98</v>
      </c>
      <c r="AE1586" s="1" t="s">
        <v>98</v>
      </c>
      <c r="AF1586" s="1" t="s">
        <v>28126</v>
      </c>
      <c r="AG1586" s="1" t="s">
        <v>6717</v>
      </c>
      <c r="AH1586" s="1" t="s">
        <v>166</v>
      </c>
      <c r="AI1586" s="1" t="s">
        <v>1111</v>
      </c>
      <c r="AJ1586" s="1">
        <v>81.6</v>
      </c>
      <c r="AK1586" s="1"/>
      <c r="AL1586" s="1" t="s">
        <v>28127</v>
      </c>
      <c r="AM1586" s="1" t="s">
        <v>6717</v>
      </c>
      <c r="AN1586" s="1"/>
      <c r="AO1586" s="1" t="s">
        <v>170</v>
      </c>
      <c r="AP1586" s="1" t="s">
        <v>1477</v>
      </c>
      <c r="AQ1586" s="1">
        <v>79.69</v>
      </c>
      <c r="AR1586" s="1"/>
      <c r="AS1586" s="1"/>
      <c r="AT1586" s="1"/>
      <c r="AU1586" s="1"/>
      <c r="AV1586" s="1"/>
      <c r="AW1586" s="1"/>
      <c r="AX1586" s="1"/>
      <c r="AY1586" s="1" t="s">
        <v>28128</v>
      </c>
      <c r="AZ1586" s="1" t="s">
        <v>28129</v>
      </c>
      <c r="BA1586" s="1"/>
      <c r="BB1586" s="1"/>
      <c r="BC1586" s="1" t="s">
        <v>1065</v>
      </c>
      <c r="BD1586" s="1" t="s">
        <v>110</v>
      </c>
      <c r="BE1586" s="1">
        <v>78.92</v>
      </c>
      <c r="BF1586" s="1">
        <v>8.66</v>
      </c>
      <c r="BG1586" s="1"/>
      <c r="BH1586" s="1"/>
      <c r="BI1586" s="1"/>
      <c r="BJ1586" s="1"/>
      <c r="BK1586" s="1"/>
      <c r="BL1586" s="1"/>
      <c r="BM1586" s="1"/>
      <c r="BN1586" s="1"/>
      <c r="BO1586" s="1" t="s">
        <v>28130</v>
      </c>
      <c r="BP1586" s="1"/>
      <c r="BQ1586" s="1"/>
      <c r="BR1586" s="1" t="s">
        <v>28131</v>
      </c>
      <c r="BS1586" s="1">
        <v>7</v>
      </c>
      <c r="BT1586" s="1"/>
      <c r="BU1586" s="1" t="str">
        <f>HYPERLINK("https://nconnect.nicmar.ac.in/storage/profile/ProfilePhoto_p2270165_937246.jpg","Download")</f>
        <v>0</v>
      </c>
      <c r="BV1586" s="3"/>
      <c r="BW1586" s="3"/>
    </row>
    <row r="1587" spans="1:75">
      <c r="A1587" s="1" t="s">
        <v>75</v>
      </c>
      <c r="B1587" s="1" t="s">
        <v>25236</v>
      </c>
      <c r="C1587" s="1" t="s">
        <v>28132</v>
      </c>
      <c r="D1587" s="1" t="s">
        <v>28133</v>
      </c>
      <c r="E1587" s="1"/>
      <c r="F1587" s="1" t="s">
        <v>1295</v>
      </c>
      <c r="G1587" s="1" t="s">
        <v>28134</v>
      </c>
      <c r="H1587" s="1" t="s">
        <v>28135</v>
      </c>
      <c r="I1587" s="1" t="s">
        <v>28136</v>
      </c>
      <c r="J1587" s="1">
        <v>7025088881</v>
      </c>
      <c r="K1587" s="1" t="s">
        <v>84</v>
      </c>
      <c r="L1587" s="1" t="s">
        <v>28137</v>
      </c>
      <c r="M1587" s="1" t="s">
        <v>86</v>
      </c>
      <c r="N1587" s="1" t="s">
        <v>28138</v>
      </c>
      <c r="O1587" s="1" t="s">
        <v>28139</v>
      </c>
      <c r="P1587" s="1" t="s">
        <v>455</v>
      </c>
      <c r="Q1587" s="1" t="s">
        <v>28140</v>
      </c>
      <c r="R1587" s="1" t="s">
        <v>28141</v>
      </c>
      <c r="S1587" s="1">
        <v>9847041653</v>
      </c>
      <c r="T1587" s="1" t="s">
        <v>1620</v>
      </c>
      <c r="U1587" s="1" t="s">
        <v>28142</v>
      </c>
      <c r="V1587" s="1">
        <v>9446082545</v>
      </c>
      <c r="W1587" s="1" t="s">
        <v>1620</v>
      </c>
      <c r="X1587" s="1" t="s">
        <v>28143</v>
      </c>
      <c r="Y1587" s="1" t="s">
        <v>1307</v>
      </c>
      <c r="Z1587" s="1" t="s">
        <v>130</v>
      </c>
      <c r="AA1587" s="1" t="s">
        <v>28143</v>
      </c>
      <c r="AB1587" s="1" t="s">
        <v>1307</v>
      </c>
      <c r="AC1587" s="1" t="s">
        <v>130</v>
      </c>
      <c r="AD1587" s="1" t="s">
        <v>98</v>
      </c>
      <c r="AE1587" s="1" t="s">
        <v>98</v>
      </c>
      <c r="AF1587" s="1" t="s">
        <v>28144</v>
      </c>
      <c r="AG1587" s="1" t="s">
        <v>28145</v>
      </c>
      <c r="AH1587" s="1" t="s">
        <v>101</v>
      </c>
      <c r="AI1587" s="1" t="s">
        <v>102</v>
      </c>
      <c r="AJ1587" s="1">
        <v>76</v>
      </c>
      <c r="AK1587" s="1">
        <v>8</v>
      </c>
      <c r="AL1587" s="1" t="s">
        <v>28144</v>
      </c>
      <c r="AM1587" s="1" t="s">
        <v>28145</v>
      </c>
      <c r="AN1587" s="1"/>
      <c r="AO1587" s="1" t="s">
        <v>167</v>
      </c>
      <c r="AP1587" s="1" t="s">
        <v>200</v>
      </c>
      <c r="AQ1587" s="1">
        <v>86.8</v>
      </c>
      <c r="AR1587" s="1">
        <v>9.13</v>
      </c>
      <c r="AS1587" s="1"/>
      <c r="AT1587" s="1"/>
      <c r="AU1587" s="1"/>
      <c r="AV1587" s="1"/>
      <c r="AW1587" s="1"/>
      <c r="AX1587" s="1"/>
      <c r="AY1587" s="1" t="s">
        <v>137</v>
      </c>
      <c r="AZ1587" s="1" t="s">
        <v>28146</v>
      </c>
      <c r="BA1587" s="1"/>
      <c r="BB1587" s="1"/>
      <c r="BC1587" s="1" t="s">
        <v>230</v>
      </c>
      <c r="BD1587" s="1" t="s">
        <v>847</v>
      </c>
      <c r="BE1587" s="1">
        <v>79</v>
      </c>
      <c r="BF1587" s="1">
        <v>7.9</v>
      </c>
      <c r="BG1587" s="1"/>
      <c r="BH1587" s="1"/>
      <c r="BI1587" s="1"/>
      <c r="BJ1587" s="1"/>
      <c r="BK1587" s="1"/>
      <c r="BL1587" s="1"/>
      <c r="BM1587" s="1"/>
      <c r="BN1587" s="1"/>
      <c r="BO1587" s="1" t="s">
        <v>2267</v>
      </c>
      <c r="BP1587" s="1" t="s">
        <v>28147</v>
      </c>
      <c r="BQ1587" s="1" t="s">
        <v>1070</v>
      </c>
      <c r="BR1587" s="1" t="s">
        <v>28148</v>
      </c>
      <c r="BS1587" s="1">
        <v>9</v>
      </c>
      <c r="BT1587" s="1"/>
      <c r="BU1587" s="1" t="str">
        <f>HYPERLINK("https://nconnect.nicmar.ac.in/storage/profile/ProfilePhoto_p2270166_579361.jpg","Download")</f>
        <v>0</v>
      </c>
      <c r="BV1587" s="3"/>
      <c r="BW1587" s="3"/>
    </row>
    <row r="1588" spans="1:75">
      <c r="A1588" s="1" t="s">
        <v>75</v>
      </c>
      <c r="B1588" s="1" t="s">
        <v>25236</v>
      </c>
      <c r="C1588" s="1" t="s">
        <v>28149</v>
      </c>
      <c r="D1588" s="1" t="s">
        <v>28150</v>
      </c>
      <c r="E1588" s="1"/>
      <c r="F1588" s="1" t="s">
        <v>9165</v>
      </c>
      <c r="G1588" s="1" t="s">
        <v>28151</v>
      </c>
      <c r="H1588" s="1" t="s">
        <v>28152</v>
      </c>
      <c r="I1588" s="1" t="s">
        <v>28153</v>
      </c>
      <c r="J1588" s="1">
        <v>7339610226</v>
      </c>
      <c r="K1588" s="1" t="s">
        <v>84</v>
      </c>
      <c r="L1588" s="1" t="s">
        <v>718</v>
      </c>
      <c r="M1588" s="1" t="s">
        <v>86</v>
      </c>
      <c r="N1588" s="1" t="s">
        <v>2356</v>
      </c>
      <c r="O1588" s="1" t="s">
        <v>28154</v>
      </c>
      <c r="P1588" s="1" t="s">
        <v>1028</v>
      </c>
      <c r="Q1588" s="1" t="s">
        <v>28155</v>
      </c>
      <c r="R1588" s="1" t="s">
        <v>28156</v>
      </c>
      <c r="S1588" s="1">
        <v>9842406777</v>
      </c>
      <c r="T1588" s="1" t="s">
        <v>159</v>
      </c>
      <c r="U1588" s="1" t="s">
        <v>28157</v>
      </c>
      <c r="V1588" s="1">
        <v>9965906680</v>
      </c>
      <c r="W1588" s="1" t="s">
        <v>94</v>
      </c>
      <c r="X1588" s="1" t="s">
        <v>28158</v>
      </c>
      <c r="Y1588" s="1" t="s">
        <v>28159</v>
      </c>
      <c r="Z1588" s="1" t="s">
        <v>570</v>
      </c>
      <c r="AA1588" s="1" t="s">
        <v>28158</v>
      </c>
      <c r="AB1588" s="1" t="s">
        <v>28159</v>
      </c>
      <c r="AC1588" s="1" t="s">
        <v>570</v>
      </c>
      <c r="AD1588" s="1" t="s">
        <v>98</v>
      </c>
      <c r="AE1588" s="1" t="s">
        <v>98</v>
      </c>
      <c r="AF1588" s="1" t="s">
        <v>28160</v>
      </c>
      <c r="AG1588" s="1" t="s">
        <v>28161</v>
      </c>
      <c r="AH1588" s="1" t="s">
        <v>101</v>
      </c>
      <c r="AI1588" s="1" t="s">
        <v>136</v>
      </c>
      <c r="AJ1588" s="1">
        <v>88.8</v>
      </c>
      <c r="AK1588" s="1"/>
      <c r="AL1588" s="1" t="s">
        <v>28162</v>
      </c>
      <c r="AM1588" s="1" t="s">
        <v>28161</v>
      </c>
      <c r="AN1588" s="1"/>
      <c r="AO1588" s="1" t="s">
        <v>167</v>
      </c>
      <c r="AP1588" s="1" t="s">
        <v>573</v>
      </c>
      <c r="AQ1588" s="1">
        <v>82.5</v>
      </c>
      <c r="AR1588" s="1"/>
      <c r="AS1588" s="1"/>
      <c r="AT1588" s="1"/>
      <c r="AU1588" s="1"/>
      <c r="AV1588" s="1"/>
      <c r="AW1588" s="1"/>
      <c r="AX1588" s="1"/>
      <c r="AY1588" s="1" t="s">
        <v>576</v>
      </c>
      <c r="AZ1588" s="1" t="s">
        <v>28163</v>
      </c>
      <c r="BA1588" s="1"/>
      <c r="BB1588" s="1"/>
      <c r="BC1588" s="1" t="s">
        <v>573</v>
      </c>
      <c r="BD1588" s="1" t="s">
        <v>847</v>
      </c>
      <c r="BE1588" s="1">
        <v>72.3</v>
      </c>
      <c r="BF1588" s="1">
        <v>7.23</v>
      </c>
      <c r="BG1588" s="1"/>
      <c r="BH1588" s="1"/>
      <c r="BI1588" s="1"/>
      <c r="BJ1588" s="1"/>
      <c r="BK1588" s="1"/>
      <c r="BL1588" s="1"/>
      <c r="BM1588" s="1"/>
      <c r="BN1588" s="1"/>
      <c r="BO1588" s="1" t="s">
        <v>1114</v>
      </c>
      <c r="BP1588" s="1"/>
      <c r="BQ1588" s="1"/>
      <c r="BR1588" s="1" t="s">
        <v>28164</v>
      </c>
      <c r="BS1588" s="1">
        <v>18</v>
      </c>
      <c r="BT1588" s="1"/>
      <c r="BU1588" s="1" t="str">
        <f>HYPERLINK("https://nconnect.nicmar.ac.in/storage/profile/ProfilePhoto_p2270167_873952.jpg","Download")</f>
        <v>0</v>
      </c>
      <c r="BV1588" s="3"/>
      <c r="BW1588" s="3"/>
    </row>
    <row r="1589" spans="1:75">
      <c r="A1589" s="1" t="s">
        <v>75</v>
      </c>
      <c r="B1589" s="1" t="s">
        <v>25236</v>
      </c>
      <c r="C1589" s="1" t="s">
        <v>28165</v>
      </c>
      <c r="D1589" s="1" t="s">
        <v>115</v>
      </c>
      <c r="E1589" s="1"/>
      <c r="F1589" s="1" t="s">
        <v>28166</v>
      </c>
      <c r="G1589" s="1" t="s">
        <v>28167</v>
      </c>
      <c r="H1589" s="1" t="s">
        <v>28168</v>
      </c>
      <c r="I1589" s="1" t="s">
        <v>28169</v>
      </c>
      <c r="J1589" s="1">
        <v>8547532606</v>
      </c>
      <c r="K1589" s="1" t="s">
        <v>84</v>
      </c>
      <c r="L1589" s="1" t="s">
        <v>28170</v>
      </c>
      <c r="M1589" s="1" t="s">
        <v>86</v>
      </c>
      <c r="N1589" s="1" t="s">
        <v>28171</v>
      </c>
      <c r="O1589" s="1" t="s">
        <v>28172</v>
      </c>
      <c r="P1589" s="1" t="s">
        <v>481</v>
      </c>
      <c r="Q1589" s="1" t="s">
        <v>28173</v>
      </c>
      <c r="R1589" s="1" t="s">
        <v>28174</v>
      </c>
      <c r="S1589" s="1">
        <v>9447942560</v>
      </c>
      <c r="T1589" s="1" t="s">
        <v>28175</v>
      </c>
      <c r="U1589" s="1" t="s">
        <v>28176</v>
      </c>
      <c r="V1589" s="1">
        <v>9446248632</v>
      </c>
      <c r="W1589" s="1" t="s">
        <v>127</v>
      </c>
      <c r="X1589" s="1" t="s">
        <v>28177</v>
      </c>
      <c r="Y1589" s="1" t="s">
        <v>4916</v>
      </c>
      <c r="Z1589" s="1" t="s">
        <v>130</v>
      </c>
      <c r="AA1589" s="1" t="s">
        <v>28177</v>
      </c>
      <c r="AB1589" s="1" t="s">
        <v>4916</v>
      </c>
      <c r="AC1589" s="1" t="s">
        <v>130</v>
      </c>
      <c r="AD1589" s="1" t="s">
        <v>98</v>
      </c>
      <c r="AE1589" s="1" t="s">
        <v>98</v>
      </c>
      <c r="AF1589" s="1" t="s">
        <v>28178</v>
      </c>
      <c r="AG1589" s="1" t="s">
        <v>28179</v>
      </c>
      <c r="AH1589" s="1" t="s">
        <v>101</v>
      </c>
      <c r="AI1589" s="1" t="s">
        <v>102</v>
      </c>
      <c r="AJ1589" s="1">
        <v>87</v>
      </c>
      <c r="AK1589" s="1"/>
      <c r="AL1589" s="1" t="s">
        <v>28180</v>
      </c>
      <c r="AM1589" s="1" t="s">
        <v>28179</v>
      </c>
      <c r="AN1589" s="1"/>
      <c r="AO1589" s="1" t="s">
        <v>167</v>
      </c>
      <c r="AP1589" s="1" t="s">
        <v>573</v>
      </c>
      <c r="AQ1589" s="1">
        <v>76</v>
      </c>
      <c r="AR1589" s="1"/>
      <c r="AS1589" s="1"/>
      <c r="AT1589" s="1"/>
      <c r="AU1589" s="1"/>
      <c r="AV1589" s="1"/>
      <c r="AW1589" s="1"/>
      <c r="AX1589" s="1"/>
      <c r="AY1589" s="1" t="s">
        <v>137</v>
      </c>
      <c r="AZ1589" s="1" t="s">
        <v>28181</v>
      </c>
      <c r="BA1589" s="1"/>
      <c r="BB1589" s="1"/>
      <c r="BC1589" s="1" t="s">
        <v>230</v>
      </c>
      <c r="BD1589" s="1" t="s">
        <v>441</v>
      </c>
      <c r="BE1589" s="1">
        <v>67.9</v>
      </c>
      <c r="BF1589" s="1">
        <v>6.79</v>
      </c>
      <c r="BG1589" s="1"/>
      <c r="BH1589" s="1"/>
      <c r="BI1589" s="1"/>
      <c r="BJ1589" s="1"/>
      <c r="BK1589" s="1"/>
      <c r="BL1589" s="1"/>
      <c r="BM1589" s="1"/>
      <c r="BN1589" s="1"/>
      <c r="BO1589" s="1" t="s">
        <v>6042</v>
      </c>
      <c r="BP1589" s="1"/>
      <c r="BQ1589" s="1"/>
      <c r="BR1589" s="1" t="s">
        <v>28182</v>
      </c>
      <c r="BS1589" s="1">
        <v>8</v>
      </c>
      <c r="BT1589" s="1"/>
      <c r="BU1589" s="1" t="str">
        <f>HYPERLINK("https://nconnect.nicmar.ac.in/storage/profile/ProfilePhoto_p2270168_365798.jpg","Download")</f>
        <v>0</v>
      </c>
      <c r="BV1589" s="3"/>
      <c r="BW1589" s="3"/>
    </row>
    <row r="1590" spans="1:75">
      <c r="A1590" s="1" t="s">
        <v>75</v>
      </c>
      <c r="B1590" s="1" t="s">
        <v>25236</v>
      </c>
      <c r="C1590" s="1" t="s">
        <v>28183</v>
      </c>
      <c r="D1590" s="1" t="s">
        <v>612</v>
      </c>
      <c r="E1590" s="1"/>
      <c r="F1590" s="1" t="s">
        <v>7178</v>
      </c>
      <c r="G1590" s="1" t="s">
        <v>28184</v>
      </c>
      <c r="H1590" s="1" t="s">
        <v>28185</v>
      </c>
      <c r="I1590" s="1" t="s">
        <v>28186</v>
      </c>
      <c r="J1590" s="1">
        <v>9467948197</v>
      </c>
      <c r="K1590" s="1" t="s">
        <v>84</v>
      </c>
      <c r="L1590" s="1" t="s">
        <v>28187</v>
      </c>
      <c r="M1590" s="1" t="s">
        <v>86</v>
      </c>
      <c r="N1590" s="1" t="s">
        <v>5330</v>
      </c>
      <c r="O1590" s="1" t="s">
        <v>28188</v>
      </c>
      <c r="P1590" s="1" t="s">
        <v>481</v>
      </c>
      <c r="Q1590" s="1" t="s">
        <v>28189</v>
      </c>
      <c r="R1590" s="1" t="s">
        <v>28190</v>
      </c>
      <c r="S1590" s="1">
        <v>9416688257</v>
      </c>
      <c r="T1590" s="1" t="s">
        <v>484</v>
      </c>
      <c r="U1590" s="1" t="s">
        <v>28191</v>
      </c>
      <c r="V1590" s="1">
        <v>9416346372</v>
      </c>
      <c r="W1590" s="1" t="s">
        <v>5507</v>
      </c>
      <c r="X1590" s="1" t="s">
        <v>28192</v>
      </c>
      <c r="Y1590" s="1" t="s">
        <v>28193</v>
      </c>
      <c r="Z1590" s="1" t="s">
        <v>1700</v>
      </c>
      <c r="AA1590" s="1" t="s">
        <v>28194</v>
      </c>
      <c r="AB1590" s="1" t="s">
        <v>196</v>
      </c>
      <c r="AC1590" s="1" t="s">
        <v>97</v>
      </c>
      <c r="AD1590" s="1" t="s">
        <v>98</v>
      </c>
      <c r="AE1590" s="1" t="s">
        <v>98</v>
      </c>
      <c r="AF1590" s="1" t="s">
        <v>28195</v>
      </c>
      <c r="AG1590" s="1" t="s">
        <v>28196</v>
      </c>
      <c r="AH1590" s="1" t="s">
        <v>23371</v>
      </c>
      <c r="AI1590" s="1" t="s">
        <v>3285</v>
      </c>
      <c r="AJ1590" s="1">
        <v>81.7</v>
      </c>
      <c r="AK1590" s="1">
        <v>8.6</v>
      </c>
      <c r="AL1590" s="1" t="s">
        <v>28197</v>
      </c>
      <c r="AM1590" s="1" t="s">
        <v>28196</v>
      </c>
      <c r="AN1590" s="1"/>
      <c r="AO1590" s="1" t="s">
        <v>3421</v>
      </c>
      <c r="AP1590" s="1" t="s">
        <v>1262</v>
      </c>
      <c r="AQ1590" s="1">
        <v>77.2</v>
      </c>
      <c r="AR1590" s="1"/>
      <c r="AS1590" s="1"/>
      <c r="AT1590" s="1"/>
      <c r="AU1590" s="1"/>
      <c r="AV1590" s="1"/>
      <c r="AW1590" s="1"/>
      <c r="AX1590" s="1"/>
      <c r="AY1590" s="1" t="s">
        <v>26861</v>
      </c>
      <c r="AZ1590" s="1" t="s">
        <v>28198</v>
      </c>
      <c r="BA1590" s="1"/>
      <c r="BB1590" s="1"/>
      <c r="BC1590" s="1" t="s">
        <v>257</v>
      </c>
      <c r="BD1590" s="1" t="s">
        <v>106</v>
      </c>
      <c r="BE1590" s="1">
        <v>73.03</v>
      </c>
      <c r="BF1590" s="1"/>
      <c r="BG1590" s="1"/>
      <c r="BH1590" s="1"/>
      <c r="BI1590" s="1"/>
      <c r="BJ1590" s="1"/>
      <c r="BK1590" s="1"/>
      <c r="BL1590" s="1"/>
      <c r="BM1590" s="1"/>
      <c r="BN1590" s="1"/>
      <c r="BO1590" s="1" t="s">
        <v>28199</v>
      </c>
      <c r="BP1590" s="1" t="s">
        <v>28200</v>
      </c>
      <c r="BQ1590" s="1" t="s">
        <v>1174</v>
      </c>
      <c r="BR1590" s="1" t="s">
        <v>28201</v>
      </c>
      <c r="BS1590" s="1">
        <v>24</v>
      </c>
      <c r="BT1590" s="1"/>
      <c r="BU1590" s="1" t="str">
        <f>HYPERLINK("https://nconnect.nicmar.ac.in/storage/profile/ProfilePhoto_p2270169_831492.jpg","Download")</f>
        <v>0</v>
      </c>
      <c r="BV1590" s="3"/>
      <c r="BW1590" s="3"/>
    </row>
    <row r="1591" spans="1:75">
      <c r="A1591" s="1" t="s">
        <v>75</v>
      </c>
      <c r="B1591" s="1" t="s">
        <v>25236</v>
      </c>
      <c r="C1591" s="1" t="s">
        <v>28202</v>
      </c>
      <c r="D1591" s="1" t="s">
        <v>3666</v>
      </c>
      <c r="E1591" s="1"/>
      <c r="F1591" s="1" t="s">
        <v>28203</v>
      </c>
      <c r="G1591" s="1" t="s">
        <v>28204</v>
      </c>
      <c r="H1591" s="1" t="s">
        <v>28205</v>
      </c>
      <c r="I1591" s="1" t="s">
        <v>28206</v>
      </c>
      <c r="J1591" s="1">
        <v>7869466785</v>
      </c>
      <c r="K1591" s="1" t="s">
        <v>84</v>
      </c>
      <c r="L1591" s="1" t="s">
        <v>28207</v>
      </c>
      <c r="M1591" s="1" t="s">
        <v>86</v>
      </c>
      <c r="N1591" s="1" t="s">
        <v>768</v>
      </c>
      <c r="O1591" s="1" t="s">
        <v>28208</v>
      </c>
      <c r="P1591" s="1" t="s">
        <v>507</v>
      </c>
      <c r="Q1591" s="1" t="s">
        <v>28209</v>
      </c>
      <c r="R1591" s="1" t="s">
        <v>28210</v>
      </c>
      <c r="S1591" s="1">
        <v>9827356474</v>
      </c>
      <c r="T1591" s="1" t="s">
        <v>771</v>
      </c>
      <c r="U1591" s="1" t="s">
        <v>28211</v>
      </c>
      <c r="V1591" s="1">
        <v>9691520384</v>
      </c>
      <c r="W1591" s="1" t="s">
        <v>278</v>
      </c>
      <c r="X1591" s="1" t="s">
        <v>28212</v>
      </c>
      <c r="Y1591" s="1" t="s">
        <v>28213</v>
      </c>
      <c r="Z1591" s="1" t="s">
        <v>3419</v>
      </c>
      <c r="AA1591" s="1" t="s">
        <v>28212</v>
      </c>
      <c r="AB1591" s="1" t="s">
        <v>28213</v>
      </c>
      <c r="AC1591" s="1" t="s">
        <v>3419</v>
      </c>
      <c r="AD1591" s="1" t="s">
        <v>98</v>
      </c>
      <c r="AE1591" s="1" t="s">
        <v>98</v>
      </c>
      <c r="AF1591" s="1" t="s">
        <v>28214</v>
      </c>
      <c r="AG1591" s="1" t="s">
        <v>11430</v>
      </c>
      <c r="AH1591" s="1" t="s">
        <v>1213</v>
      </c>
      <c r="AI1591" s="1" t="s">
        <v>1262</v>
      </c>
      <c r="AJ1591" s="1">
        <v>75.66</v>
      </c>
      <c r="AK1591" s="1">
        <v>0</v>
      </c>
      <c r="AL1591" s="1" t="s">
        <v>28214</v>
      </c>
      <c r="AM1591" s="1" t="s">
        <v>11430</v>
      </c>
      <c r="AN1591" s="1"/>
      <c r="AO1591" s="1" t="s">
        <v>166</v>
      </c>
      <c r="AP1591" s="1" t="s">
        <v>627</v>
      </c>
      <c r="AQ1591" s="1">
        <v>67.4</v>
      </c>
      <c r="AR1591" s="1">
        <v>0</v>
      </c>
      <c r="AS1591" s="1"/>
      <c r="AT1591" s="1"/>
      <c r="AU1591" s="1"/>
      <c r="AV1591" s="1"/>
      <c r="AW1591" s="1"/>
      <c r="AX1591" s="1"/>
      <c r="AY1591" s="1" t="s">
        <v>28215</v>
      </c>
      <c r="AZ1591" s="1" t="s">
        <v>28216</v>
      </c>
      <c r="BA1591" s="1"/>
      <c r="BB1591" s="1"/>
      <c r="BC1591" s="1" t="s">
        <v>139</v>
      </c>
      <c r="BD1591" s="1" t="s">
        <v>175</v>
      </c>
      <c r="BE1591" s="1">
        <v>70.2</v>
      </c>
      <c r="BF1591" s="1">
        <v>7.02</v>
      </c>
      <c r="BG1591" s="1"/>
      <c r="BH1591" s="1"/>
      <c r="BI1591" s="1"/>
      <c r="BJ1591" s="1"/>
      <c r="BK1591" s="1"/>
      <c r="BL1591" s="1"/>
      <c r="BM1591" s="1"/>
      <c r="BN1591" s="1"/>
      <c r="BO1591" s="1" t="s">
        <v>28217</v>
      </c>
      <c r="BP1591" s="1" t="s">
        <v>28218</v>
      </c>
      <c r="BQ1591" s="1" t="s">
        <v>1043</v>
      </c>
      <c r="BR1591" s="1" t="s">
        <v>28219</v>
      </c>
      <c r="BS1591" s="1">
        <v>12</v>
      </c>
      <c r="BT1591" s="1"/>
      <c r="BU1591" s="1" t="str">
        <f>HYPERLINK("https://nconnect.nicmar.ac.in/storage/profile/ProfilePhoto_p2270170_248796.jpg","Download")</f>
        <v>0</v>
      </c>
      <c r="BV1591" s="3"/>
      <c r="BW1591" s="3"/>
    </row>
    <row r="1592" spans="1:75">
      <c r="A1592" s="1" t="s">
        <v>75</v>
      </c>
      <c r="B1592" s="1" t="s">
        <v>25236</v>
      </c>
      <c r="C1592" s="1" t="s">
        <v>28220</v>
      </c>
      <c r="D1592" s="1" t="s">
        <v>2829</v>
      </c>
      <c r="E1592" s="1" t="s">
        <v>28221</v>
      </c>
      <c r="F1592" s="1" t="s">
        <v>28222</v>
      </c>
      <c r="G1592" s="1" t="s">
        <v>28223</v>
      </c>
      <c r="H1592" s="1" t="s">
        <v>28224</v>
      </c>
      <c r="I1592" s="1" t="s">
        <v>28225</v>
      </c>
      <c r="J1592" s="1">
        <v>8378884958</v>
      </c>
      <c r="K1592" s="1" t="s">
        <v>84</v>
      </c>
      <c r="L1592" s="1" t="s">
        <v>28226</v>
      </c>
      <c r="M1592" s="1" t="s">
        <v>86</v>
      </c>
      <c r="N1592" s="1" t="s">
        <v>28227</v>
      </c>
      <c r="O1592" s="1" t="s">
        <v>28228</v>
      </c>
      <c r="P1592" s="1" t="s">
        <v>1028</v>
      </c>
      <c r="Q1592" s="1" t="s">
        <v>28229</v>
      </c>
      <c r="R1592" s="1" t="s">
        <v>28221</v>
      </c>
      <c r="S1592" s="1">
        <v>9975207573</v>
      </c>
      <c r="T1592" s="1" t="s">
        <v>15716</v>
      </c>
      <c r="U1592" s="1" t="s">
        <v>1900</v>
      </c>
      <c r="V1592" s="1">
        <v>9404337069</v>
      </c>
      <c r="W1592" s="1" t="s">
        <v>161</v>
      </c>
      <c r="X1592" s="1" t="s">
        <v>28230</v>
      </c>
      <c r="Y1592" s="1" t="s">
        <v>224</v>
      </c>
      <c r="Z1592" s="1" t="s">
        <v>97</v>
      </c>
      <c r="AA1592" s="1" t="s">
        <v>28230</v>
      </c>
      <c r="AB1592" s="1" t="s">
        <v>224</v>
      </c>
      <c r="AC1592" s="1" t="s">
        <v>97</v>
      </c>
      <c r="AD1592" s="1" t="s">
        <v>98</v>
      </c>
      <c r="AE1592" s="1" t="s">
        <v>98</v>
      </c>
      <c r="AF1592" s="1" t="s">
        <v>28231</v>
      </c>
      <c r="AG1592" s="1" t="s">
        <v>629</v>
      </c>
      <c r="AH1592" s="1" t="s">
        <v>135</v>
      </c>
      <c r="AI1592" s="1" t="s">
        <v>1110</v>
      </c>
      <c r="AJ1592" s="1">
        <v>71.2</v>
      </c>
      <c r="AK1592" s="1"/>
      <c r="AL1592" s="1" t="s">
        <v>28232</v>
      </c>
      <c r="AM1592" s="1" t="s">
        <v>629</v>
      </c>
      <c r="AN1592" s="1"/>
      <c r="AO1592" s="1" t="s">
        <v>1111</v>
      </c>
      <c r="AP1592" s="1" t="s">
        <v>518</v>
      </c>
      <c r="AQ1592" s="1">
        <v>61.85</v>
      </c>
      <c r="AR1592" s="1"/>
      <c r="AS1592" s="1"/>
      <c r="AT1592" s="1"/>
      <c r="AU1592" s="1"/>
      <c r="AV1592" s="1"/>
      <c r="AW1592" s="1"/>
      <c r="AX1592" s="1"/>
      <c r="AY1592" s="1" t="s">
        <v>415</v>
      </c>
      <c r="AZ1592" s="1" t="s">
        <v>28233</v>
      </c>
      <c r="BA1592" s="1"/>
      <c r="BB1592" s="1"/>
      <c r="BC1592" s="1" t="s">
        <v>230</v>
      </c>
      <c r="BD1592" s="1" t="s">
        <v>441</v>
      </c>
      <c r="BE1592" s="1">
        <v>64.4</v>
      </c>
      <c r="BF1592" s="1">
        <v>7.19</v>
      </c>
      <c r="BG1592" s="1"/>
      <c r="BH1592" s="1"/>
      <c r="BI1592" s="1"/>
      <c r="BJ1592" s="1"/>
      <c r="BK1592" s="1"/>
      <c r="BL1592" s="1"/>
      <c r="BM1592" s="1"/>
      <c r="BN1592" s="1"/>
      <c r="BO1592" s="1" t="s">
        <v>25516</v>
      </c>
      <c r="BP1592" s="1"/>
      <c r="BQ1592" s="1"/>
      <c r="BR1592" s="1" t="s">
        <v>28234</v>
      </c>
      <c r="BS1592" s="1">
        <v>33</v>
      </c>
      <c r="BT1592" s="1"/>
      <c r="BU1592" s="1" t="str">
        <f>HYPERLINK("https://nconnect.nicmar.ac.in/storage/profile/ProfilePhoto_p2270171_832561.jpg","Download")</f>
        <v>0</v>
      </c>
      <c r="BV1592" s="3"/>
      <c r="BW1592" s="3"/>
    </row>
    <row r="1593" spans="1:75">
      <c r="A1593" s="1" t="s">
        <v>75</v>
      </c>
      <c r="B1593" s="1" t="s">
        <v>25236</v>
      </c>
      <c r="C1593" s="1" t="s">
        <v>28235</v>
      </c>
      <c r="D1593" s="1" t="s">
        <v>27011</v>
      </c>
      <c r="E1593" s="1" t="s">
        <v>1075</v>
      </c>
      <c r="F1593" s="1" t="s">
        <v>28222</v>
      </c>
      <c r="G1593" s="1" t="s">
        <v>28236</v>
      </c>
      <c r="H1593" s="1" t="s">
        <v>28237</v>
      </c>
      <c r="I1593" s="1" t="s">
        <v>28238</v>
      </c>
      <c r="J1593" s="1">
        <v>9665550834</v>
      </c>
      <c r="K1593" s="1" t="s">
        <v>84</v>
      </c>
      <c r="L1593" s="1" t="s">
        <v>28239</v>
      </c>
      <c r="M1593" s="1" t="s">
        <v>86</v>
      </c>
      <c r="N1593" s="1" t="s">
        <v>768</v>
      </c>
      <c r="O1593" s="1" t="s">
        <v>28240</v>
      </c>
      <c r="P1593" s="1" t="s">
        <v>455</v>
      </c>
      <c r="Q1593" s="1" t="s">
        <v>28241</v>
      </c>
      <c r="R1593" s="1" t="s">
        <v>28242</v>
      </c>
      <c r="S1593" s="1">
        <v>9423608663</v>
      </c>
      <c r="T1593" s="1" t="s">
        <v>382</v>
      </c>
      <c r="U1593" s="1" t="s">
        <v>28243</v>
      </c>
      <c r="V1593" s="1">
        <v>9423425405</v>
      </c>
      <c r="W1593" s="1" t="s">
        <v>278</v>
      </c>
      <c r="X1593" s="1" t="s">
        <v>28244</v>
      </c>
      <c r="Y1593" s="1" t="s">
        <v>224</v>
      </c>
      <c r="Z1593" s="1" t="s">
        <v>97</v>
      </c>
      <c r="AA1593" s="1" t="s">
        <v>28244</v>
      </c>
      <c r="AB1593" s="1" t="s">
        <v>224</v>
      </c>
      <c r="AC1593" s="1" t="s">
        <v>97</v>
      </c>
      <c r="AD1593" s="1" t="s">
        <v>98</v>
      </c>
      <c r="AE1593" s="1" t="s">
        <v>98</v>
      </c>
      <c r="AF1593" s="1" t="s">
        <v>28245</v>
      </c>
      <c r="AG1593" s="1" t="s">
        <v>28246</v>
      </c>
      <c r="AH1593" s="1" t="s">
        <v>515</v>
      </c>
      <c r="AI1593" s="1" t="s">
        <v>102</v>
      </c>
      <c r="AJ1593" s="1">
        <v>80.4</v>
      </c>
      <c r="AK1593" s="1"/>
      <c r="AL1593" s="1" t="s">
        <v>28245</v>
      </c>
      <c r="AM1593" s="1" t="s">
        <v>28246</v>
      </c>
      <c r="AN1593" s="1"/>
      <c r="AO1593" s="1" t="s">
        <v>517</v>
      </c>
      <c r="AP1593" s="1" t="s">
        <v>518</v>
      </c>
      <c r="AQ1593" s="1">
        <v>66.62</v>
      </c>
      <c r="AR1593" s="1"/>
      <c r="AS1593" s="1"/>
      <c r="AT1593" s="1"/>
      <c r="AU1593" s="1"/>
      <c r="AV1593" s="1"/>
      <c r="AW1593" s="1"/>
      <c r="AX1593" s="1"/>
      <c r="AY1593" s="1" t="s">
        <v>28247</v>
      </c>
      <c r="AZ1593" s="1" t="s">
        <v>28248</v>
      </c>
      <c r="BA1593" s="1"/>
      <c r="BB1593" s="1"/>
      <c r="BC1593" s="1" t="s">
        <v>388</v>
      </c>
      <c r="BD1593" s="1" t="s">
        <v>140</v>
      </c>
      <c r="BE1593" s="1">
        <v>93.6</v>
      </c>
      <c r="BF1593" s="1">
        <v>10</v>
      </c>
      <c r="BG1593" s="1"/>
      <c r="BH1593" s="1"/>
      <c r="BI1593" s="1"/>
      <c r="BJ1593" s="1"/>
      <c r="BK1593" s="1"/>
      <c r="BL1593" s="1"/>
      <c r="BM1593" s="1"/>
      <c r="BN1593" s="1"/>
      <c r="BO1593" s="1" t="s">
        <v>28249</v>
      </c>
      <c r="BP1593" s="1"/>
      <c r="BQ1593" s="1"/>
      <c r="BR1593" s="1" t="s">
        <v>28250</v>
      </c>
      <c r="BS1593" s="1">
        <v>42</v>
      </c>
      <c r="BT1593" s="1"/>
      <c r="BU1593" s="1" t="str">
        <f>HYPERLINK("https://nconnect.nicmar.ac.in/storage/profile/ProfilePhoto_p2270172_568134.jpg","Download")</f>
        <v>0</v>
      </c>
      <c r="BV1593" s="3"/>
      <c r="BW1593" s="3"/>
    </row>
    <row r="1594" spans="1:75">
      <c r="A1594" s="1" t="s">
        <v>75</v>
      </c>
      <c r="B1594" s="1" t="s">
        <v>25236</v>
      </c>
      <c r="C1594" s="1" t="s">
        <v>28251</v>
      </c>
      <c r="D1594" s="1" t="s">
        <v>10043</v>
      </c>
      <c r="E1594" s="1" t="s">
        <v>6292</v>
      </c>
      <c r="F1594" s="1" t="s">
        <v>3101</v>
      </c>
      <c r="G1594" s="1" t="s">
        <v>28252</v>
      </c>
      <c r="H1594" s="1" t="s">
        <v>28253</v>
      </c>
      <c r="I1594" s="1" t="s">
        <v>28254</v>
      </c>
      <c r="J1594" s="1">
        <v>7887779910</v>
      </c>
      <c r="K1594" s="1" t="s">
        <v>84</v>
      </c>
      <c r="L1594" s="1" t="s">
        <v>28255</v>
      </c>
      <c r="M1594" s="1" t="s">
        <v>86</v>
      </c>
      <c r="N1594" s="1" t="s">
        <v>1595</v>
      </c>
      <c r="O1594" s="1"/>
      <c r="P1594" s="1" t="s">
        <v>507</v>
      </c>
      <c r="Q1594" s="1" t="s">
        <v>28256</v>
      </c>
      <c r="R1594" s="1" t="s">
        <v>6292</v>
      </c>
      <c r="S1594" s="1">
        <v>9822643771</v>
      </c>
      <c r="T1594" s="1" t="s">
        <v>839</v>
      </c>
      <c r="U1594" s="1" t="s">
        <v>306</v>
      </c>
      <c r="V1594" s="1">
        <v>9923361087</v>
      </c>
      <c r="W1594" s="1" t="s">
        <v>127</v>
      </c>
      <c r="X1594" s="1" t="s">
        <v>28257</v>
      </c>
      <c r="Y1594" s="1" t="s">
        <v>333</v>
      </c>
      <c r="Z1594" s="1" t="s">
        <v>97</v>
      </c>
      <c r="AA1594" s="1" t="s">
        <v>28257</v>
      </c>
      <c r="AB1594" s="1" t="s">
        <v>333</v>
      </c>
      <c r="AC1594" s="1" t="s">
        <v>97</v>
      </c>
      <c r="AD1594" s="1" t="s">
        <v>98</v>
      </c>
      <c r="AE1594" s="1" t="s">
        <v>98</v>
      </c>
      <c r="AF1594" s="1" t="s">
        <v>28258</v>
      </c>
      <c r="AG1594" s="1" t="s">
        <v>28259</v>
      </c>
      <c r="AH1594" s="1" t="s">
        <v>101</v>
      </c>
      <c r="AI1594" s="1" t="s">
        <v>1110</v>
      </c>
      <c r="AJ1594" s="1">
        <v>80.2</v>
      </c>
      <c r="AK1594" s="1"/>
      <c r="AL1594" s="1" t="s">
        <v>28260</v>
      </c>
      <c r="AM1594" s="1" t="s">
        <v>28259</v>
      </c>
      <c r="AN1594" s="1"/>
      <c r="AO1594" s="1" t="s">
        <v>167</v>
      </c>
      <c r="AP1594" s="1" t="s">
        <v>518</v>
      </c>
      <c r="AQ1594" s="1">
        <v>66.6</v>
      </c>
      <c r="AR1594" s="1"/>
      <c r="AS1594" s="1"/>
      <c r="AT1594" s="1"/>
      <c r="AU1594" s="1"/>
      <c r="AV1594" s="1"/>
      <c r="AW1594" s="1"/>
      <c r="AX1594" s="1"/>
      <c r="AY1594" s="1" t="s">
        <v>28261</v>
      </c>
      <c r="AZ1594" s="1" t="s">
        <v>28262</v>
      </c>
      <c r="BA1594" s="1"/>
      <c r="BB1594" s="1"/>
      <c r="BC1594" s="1" t="s">
        <v>2112</v>
      </c>
      <c r="BD1594" s="1" t="s">
        <v>552</v>
      </c>
      <c r="BE1594" s="1">
        <v>64</v>
      </c>
      <c r="BF1594" s="1">
        <v>7.17</v>
      </c>
      <c r="BG1594" s="1"/>
      <c r="BH1594" s="1"/>
      <c r="BI1594" s="1"/>
      <c r="BJ1594" s="1"/>
      <c r="BK1594" s="1"/>
      <c r="BL1594" s="1"/>
      <c r="BM1594" s="1"/>
      <c r="BN1594" s="1"/>
      <c r="BO1594" s="1" t="s">
        <v>28263</v>
      </c>
      <c r="BP1594" s="1"/>
      <c r="BQ1594" s="1"/>
      <c r="BR1594" s="1" t="s">
        <v>28264</v>
      </c>
      <c r="BS1594" s="1">
        <v>7</v>
      </c>
      <c r="BT1594" s="1"/>
      <c r="BU1594" s="1" t="str">
        <f>HYPERLINK("https://nconnect.nicmar.ac.in/storage/profile/ProfilePhoto_p2270173_617483.jpg","Download")</f>
        <v>0</v>
      </c>
      <c r="BV1594" s="3"/>
      <c r="BW1594" s="3"/>
    </row>
    <row r="1595" spans="1:75">
      <c r="A1595" s="1" t="s">
        <v>75</v>
      </c>
      <c r="B1595" s="1" t="s">
        <v>25236</v>
      </c>
      <c r="C1595" s="1" t="s">
        <v>28265</v>
      </c>
      <c r="D1595" s="1" t="s">
        <v>28266</v>
      </c>
      <c r="E1595" s="1" t="s">
        <v>28267</v>
      </c>
      <c r="F1595" s="1" t="s">
        <v>28268</v>
      </c>
      <c r="G1595" s="1" t="s">
        <v>28269</v>
      </c>
      <c r="H1595" s="1" t="s">
        <v>28270</v>
      </c>
      <c r="I1595" s="1" t="s">
        <v>28271</v>
      </c>
      <c r="J1595" s="1">
        <v>9823030916</v>
      </c>
      <c r="K1595" s="1" t="s">
        <v>84</v>
      </c>
      <c r="L1595" s="1" t="s">
        <v>28272</v>
      </c>
      <c r="M1595" s="1" t="s">
        <v>86</v>
      </c>
      <c r="N1595" s="1" t="s">
        <v>768</v>
      </c>
      <c r="O1595" s="1" t="s">
        <v>28273</v>
      </c>
      <c r="P1595" s="1" t="s">
        <v>1028</v>
      </c>
      <c r="Q1595" s="1" t="s">
        <v>28274</v>
      </c>
      <c r="R1595" s="1" t="s">
        <v>28275</v>
      </c>
      <c r="S1595" s="1">
        <v>9823030916</v>
      </c>
      <c r="T1595" s="1" t="s">
        <v>645</v>
      </c>
      <c r="U1595" s="1" t="s">
        <v>28276</v>
      </c>
      <c r="V1595" s="1">
        <v>9823276916</v>
      </c>
      <c r="W1595" s="1" t="s">
        <v>161</v>
      </c>
      <c r="X1595" s="1" t="s">
        <v>28277</v>
      </c>
      <c r="Y1595" s="1" t="s">
        <v>1779</v>
      </c>
      <c r="Z1595" s="1" t="s">
        <v>97</v>
      </c>
      <c r="AA1595" s="1" t="s">
        <v>28277</v>
      </c>
      <c r="AB1595" s="1" t="s">
        <v>1779</v>
      </c>
      <c r="AC1595" s="1" t="s">
        <v>97</v>
      </c>
      <c r="AD1595" s="1" t="s">
        <v>98</v>
      </c>
      <c r="AE1595" s="1" t="s">
        <v>98</v>
      </c>
      <c r="AF1595" s="1" t="s">
        <v>1535</v>
      </c>
      <c r="AG1595" s="1" t="s">
        <v>28278</v>
      </c>
      <c r="AH1595" s="1" t="s">
        <v>1262</v>
      </c>
      <c r="AI1595" s="1" t="s">
        <v>136</v>
      </c>
      <c r="AJ1595" s="1">
        <v>87.4</v>
      </c>
      <c r="AK1595" s="1">
        <v>9.2</v>
      </c>
      <c r="AL1595" s="1" t="s">
        <v>28279</v>
      </c>
      <c r="AM1595" s="1" t="s">
        <v>28278</v>
      </c>
      <c r="AN1595" s="1"/>
      <c r="AO1595" s="1" t="s">
        <v>105</v>
      </c>
      <c r="AP1595" s="1" t="s">
        <v>573</v>
      </c>
      <c r="AQ1595" s="1">
        <v>66.92</v>
      </c>
      <c r="AR1595" s="1"/>
      <c r="AS1595" s="1"/>
      <c r="AT1595" s="1"/>
      <c r="AU1595" s="1"/>
      <c r="AV1595" s="1"/>
      <c r="AW1595" s="1"/>
      <c r="AX1595" s="1"/>
      <c r="AY1595" s="1" t="s">
        <v>415</v>
      </c>
      <c r="AZ1595" s="1" t="s">
        <v>28280</v>
      </c>
      <c r="BA1595" s="1"/>
      <c r="BB1595" s="1"/>
      <c r="BC1595" s="1" t="s">
        <v>388</v>
      </c>
      <c r="BD1595" s="1" t="s">
        <v>845</v>
      </c>
      <c r="BE1595" s="1">
        <v>69.63</v>
      </c>
      <c r="BF1595" s="1">
        <v>7.33</v>
      </c>
      <c r="BG1595" s="1"/>
      <c r="BH1595" s="1"/>
      <c r="BI1595" s="1"/>
      <c r="BJ1595" s="1"/>
      <c r="BK1595" s="1"/>
      <c r="BL1595" s="1"/>
      <c r="BM1595" s="1"/>
      <c r="BN1595" s="1"/>
      <c r="BO1595" s="1" t="s">
        <v>28281</v>
      </c>
      <c r="BP1595" s="1"/>
      <c r="BQ1595" s="1"/>
      <c r="BR1595" s="1" t="s">
        <v>28282</v>
      </c>
      <c r="BS1595" s="1">
        <v>72</v>
      </c>
      <c r="BT1595" s="1"/>
      <c r="BU1595" s="1" t="str">
        <f>HYPERLINK("https://nconnect.nicmar.ac.in/storage/profile/ProfilePhoto_p2270174_958723.jpg","Download")</f>
        <v>0</v>
      </c>
      <c r="BV1595" s="3"/>
      <c r="BW1595" s="3"/>
    </row>
    <row r="1596" spans="1:75">
      <c r="A1596" s="1" t="s">
        <v>75</v>
      </c>
      <c r="B1596" s="1" t="s">
        <v>25236</v>
      </c>
      <c r="C1596" s="1" t="s">
        <v>28283</v>
      </c>
      <c r="D1596" s="1" t="s">
        <v>28284</v>
      </c>
      <c r="E1596" s="1"/>
      <c r="F1596" s="1" t="s">
        <v>28285</v>
      </c>
      <c r="G1596" s="1" t="s">
        <v>28286</v>
      </c>
      <c r="H1596" s="1" t="s">
        <v>28287</v>
      </c>
      <c r="I1596" s="1" t="s">
        <v>28288</v>
      </c>
      <c r="J1596" s="1">
        <v>9544389754</v>
      </c>
      <c r="K1596" s="1" t="s">
        <v>153</v>
      </c>
      <c r="L1596" s="1" t="s">
        <v>28289</v>
      </c>
      <c r="M1596" s="1" t="s">
        <v>86</v>
      </c>
      <c r="N1596" s="1" t="s">
        <v>28290</v>
      </c>
      <c r="O1596" s="1"/>
      <c r="P1596" s="1" t="s">
        <v>455</v>
      </c>
      <c r="Q1596" s="1" t="s">
        <v>28291</v>
      </c>
      <c r="R1596" s="1" t="s">
        <v>28292</v>
      </c>
      <c r="S1596" s="1">
        <v>9656828555</v>
      </c>
      <c r="T1596" s="1" t="s">
        <v>839</v>
      </c>
      <c r="U1596" s="1" t="s">
        <v>28293</v>
      </c>
      <c r="V1596" s="1">
        <v>8129246562</v>
      </c>
      <c r="W1596" s="1" t="s">
        <v>161</v>
      </c>
      <c r="X1596" s="1" t="s">
        <v>28294</v>
      </c>
      <c r="Y1596" s="1" t="s">
        <v>1307</v>
      </c>
      <c r="Z1596" s="1" t="s">
        <v>130</v>
      </c>
      <c r="AA1596" s="1" t="s">
        <v>28294</v>
      </c>
      <c r="AB1596" s="1" t="s">
        <v>1307</v>
      </c>
      <c r="AC1596" s="1" t="s">
        <v>130</v>
      </c>
      <c r="AD1596" s="1" t="s">
        <v>98</v>
      </c>
      <c r="AE1596" s="1" t="s">
        <v>98</v>
      </c>
      <c r="AF1596" s="1" t="s">
        <v>28295</v>
      </c>
      <c r="AG1596" s="1" t="s">
        <v>6416</v>
      </c>
      <c r="AH1596" s="1" t="s">
        <v>3421</v>
      </c>
      <c r="AI1596" s="1" t="s">
        <v>1262</v>
      </c>
      <c r="AJ1596" s="1">
        <v>91.2</v>
      </c>
      <c r="AK1596" s="1">
        <v>9.6</v>
      </c>
      <c r="AL1596" s="1" t="s">
        <v>28295</v>
      </c>
      <c r="AM1596" s="1" t="s">
        <v>6416</v>
      </c>
      <c r="AN1596" s="1"/>
      <c r="AO1596" s="1" t="s">
        <v>1110</v>
      </c>
      <c r="AP1596" s="1" t="s">
        <v>627</v>
      </c>
      <c r="AQ1596" s="1">
        <v>85.6</v>
      </c>
      <c r="AR1596" s="1"/>
      <c r="AS1596" s="1"/>
      <c r="AT1596" s="1"/>
      <c r="AU1596" s="1"/>
      <c r="AV1596" s="1"/>
      <c r="AW1596" s="1"/>
      <c r="AX1596" s="1"/>
      <c r="AY1596" s="1" t="s">
        <v>137</v>
      </c>
      <c r="AZ1596" s="1" t="s">
        <v>3267</v>
      </c>
      <c r="BA1596" s="1"/>
      <c r="BB1596" s="1"/>
      <c r="BC1596" s="1" t="s">
        <v>139</v>
      </c>
      <c r="BD1596" s="1" t="s">
        <v>1647</v>
      </c>
      <c r="BE1596" s="1">
        <v>81.5</v>
      </c>
      <c r="BF1596" s="1">
        <v>8.15</v>
      </c>
      <c r="BG1596" s="1"/>
      <c r="BH1596" s="1"/>
      <c r="BI1596" s="1"/>
      <c r="BJ1596" s="1"/>
      <c r="BK1596" s="1"/>
      <c r="BL1596" s="1"/>
      <c r="BM1596" s="1"/>
      <c r="BN1596" s="1"/>
      <c r="BO1596" s="1" t="s">
        <v>28296</v>
      </c>
      <c r="BP1596" s="1" t="s">
        <v>28297</v>
      </c>
      <c r="BQ1596" s="1" t="s">
        <v>1482</v>
      </c>
      <c r="BR1596" s="1" t="s">
        <v>28298</v>
      </c>
      <c r="BS1596" s="1">
        <v>21</v>
      </c>
      <c r="BT1596" s="1"/>
      <c r="BU1596" s="1" t="str">
        <f>HYPERLINK("https://nconnect.nicmar.ac.in/storage/profile/ProfilePhoto_p2270175_734986.jpg","Download")</f>
        <v>0</v>
      </c>
      <c r="BV1596" s="3"/>
      <c r="BW1596" s="3"/>
    </row>
    <row r="1597" spans="1:75">
      <c r="A1597" s="1" t="s">
        <v>75</v>
      </c>
      <c r="B1597" s="1" t="s">
        <v>25236</v>
      </c>
      <c r="C1597" s="1" t="s">
        <v>28299</v>
      </c>
      <c r="D1597" s="1" t="s">
        <v>3545</v>
      </c>
      <c r="E1597" s="1" t="s">
        <v>5753</v>
      </c>
      <c r="F1597" s="1" t="s">
        <v>2099</v>
      </c>
      <c r="G1597" s="1" t="s">
        <v>28300</v>
      </c>
      <c r="H1597" s="1" t="s">
        <v>28301</v>
      </c>
      <c r="I1597" s="1" t="s">
        <v>28302</v>
      </c>
      <c r="J1597" s="1">
        <v>8766720587</v>
      </c>
      <c r="K1597" s="1" t="s">
        <v>84</v>
      </c>
      <c r="L1597" s="1" t="s">
        <v>7764</v>
      </c>
      <c r="M1597" s="1" t="s">
        <v>86</v>
      </c>
      <c r="N1597" s="1" t="s">
        <v>618</v>
      </c>
      <c r="O1597" s="1" t="s">
        <v>28303</v>
      </c>
      <c r="P1597" s="1" t="s">
        <v>481</v>
      </c>
      <c r="Q1597" s="1" t="s">
        <v>28304</v>
      </c>
      <c r="R1597" s="1" t="s">
        <v>28305</v>
      </c>
      <c r="S1597" s="1">
        <v>9921181935</v>
      </c>
      <c r="T1597" s="1" t="s">
        <v>127</v>
      </c>
      <c r="U1597" s="1" t="s">
        <v>28306</v>
      </c>
      <c r="V1597" s="1">
        <v>8087507296</v>
      </c>
      <c r="W1597" s="1" t="s">
        <v>161</v>
      </c>
      <c r="X1597" s="1" t="s">
        <v>28307</v>
      </c>
      <c r="Y1597" s="1" t="s">
        <v>1779</v>
      </c>
      <c r="Z1597" s="1" t="s">
        <v>97</v>
      </c>
      <c r="AA1597" s="1" t="s">
        <v>28307</v>
      </c>
      <c r="AB1597" s="1" t="s">
        <v>1779</v>
      </c>
      <c r="AC1597" s="1" t="s">
        <v>97</v>
      </c>
      <c r="AD1597" s="1" t="s">
        <v>98</v>
      </c>
      <c r="AE1597" s="1" t="s">
        <v>98</v>
      </c>
      <c r="AF1597" s="1" t="s">
        <v>28308</v>
      </c>
      <c r="AG1597" s="1" t="s">
        <v>165</v>
      </c>
      <c r="AH1597" s="1" t="s">
        <v>166</v>
      </c>
      <c r="AI1597" s="1" t="s">
        <v>1111</v>
      </c>
      <c r="AJ1597" s="1">
        <v>86.4</v>
      </c>
      <c r="AK1597" s="1"/>
      <c r="AL1597" s="1" t="s">
        <v>28309</v>
      </c>
      <c r="AM1597" s="1" t="s">
        <v>165</v>
      </c>
      <c r="AN1597" s="1"/>
      <c r="AO1597" s="1" t="s">
        <v>5442</v>
      </c>
      <c r="AP1597" s="1" t="s">
        <v>1477</v>
      </c>
      <c r="AQ1597" s="1">
        <v>68.3</v>
      </c>
      <c r="AR1597" s="1"/>
      <c r="AS1597" s="1"/>
      <c r="AT1597" s="1"/>
      <c r="AU1597" s="1"/>
      <c r="AV1597" s="1"/>
      <c r="AW1597" s="1"/>
      <c r="AX1597" s="1"/>
      <c r="AY1597" s="1" t="s">
        <v>1906</v>
      </c>
      <c r="AZ1597" s="1" t="s">
        <v>28310</v>
      </c>
      <c r="BA1597" s="1"/>
      <c r="BB1597" s="1"/>
      <c r="BC1597" s="1" t="s">
        <v>106</v>
      </c>
      <c r="BD1597" s="1" t="s">
        <v>289</v>
      </c>
      <c r="BE1597" s="1">
        <v>71</v>
      </c>
      <c r="BF1597" s="1">
        <v>7.85</v>
      </c>
      <c r="BG1597" s="1"/>
      <c r="BH1597" s="1"/>
      <c r="BI1597" s="1"/>
      <c r="BJ1597" s="1"/>
      <c r="BK1597" s="1"/>
      <c r="BL1597" s="1"/>
      <c r="BM1597" s="1"/>
      <c r="BN1597" s="1"/>
      <c r="BO1597" s="1" t="s">
        <v>10174</v>
      </c>
      <c r="BP1597" s="1"/>
      <c r="BQ1597" s="1"/>
      <c r="BR1597" s="1" t="s">
        <v>28311</v>
      </c>
      <c r="BS1597" s="1">
        <v>25</v>
      </c>
      <c r="BT1597" s="1"/>
      <c r="BU1597" s="1" t="str">
        <f>HYPERLINK("https://nconnect.nicmar.ac.in/storage/profile/ProfilePhoto_p2270177_521436.jpg","Download")</f>
        <v>0</v>
      </c>
      <c r="BV1597" s="3"/>
      <c r="BW1597" s="3"/>
    </row>
    <row r="1598" spans="1:75">
      <c r="A1598" s="1" t="s">
        <v>75</v>
      </c>
      <c r="B1598" s="1" t="s">
        <v>25236</v>
      </c>
      <c r="C1598" s="1" t="s">
        <v>28312</v>
      </c>
      <c r="D1598" s="1" t="s">
        <v>1135</v>
      </c>
      <c r="E1598" s="1"/>
      <c r="F1598" s="1" t="s">
        <v>28313</v>
      </c>
      <c r="G1598" s="1" t="s">
        <v>28314</v>
      </c>
      <c r="H1598" s="1" t="s">
        <v>28315</v>
      </c>
      <c r="I1598" s="1" t="s">
        <v>28316</v>
      </c>
      <c r="J1598" s="1">
        <v>6263880310</v>
      </c>
      <c r="K1598" s="1" t="s">
        <v>84</v>
      </c>
      <c r="L1598" s="1" t="s">
        <v>28317</v>
      </c>
      <c r="M1598" s="1" t="s">
        <v>86</v>
      </c>
      <c r="N1598" s="1" t="s">
        <v>355</v>
      </c>
      <c r="O1598" s="1" t="s">
        <v>28318</v>
      </c>
      <c r="P1598" s="1" t="s">
        <v>507</v>
      </c>
      <c r="Q1598" s="1" t="s">
        <v>28319</v>
      </c>
      <c r="R1598" s="1" t="s">
        <v>28320</v>
      </c>
      <c r="S1598" s="1">
        <v>9406068861</v>
      </c>
      <c r="T1598" s="1" t="s">
        <v>1495</v>
      </c>
      <c r="U1598" s="1" t="s">
        <v>28321</v>
      </c>
      <c r="V1598" s="1">
        <v>9407780743</v>
      </c>
      <c r="W1598" s="1" t="s">
        <v>161</v>
      </c>
      <c r="X1598" s="1" t="s">
        <v>28322</v>
      </c>
      <c r="Y1598" s="1" t="s">
        <v>11762</v>
      </c>
      <c r="Z1598" s="1" t="s">
        <v>2933</v>
      </c>
      <c r="AA1598" s="1" t="s">
        <v>28323</v>
      </c>
      <c r="AB1598" s="1" t="s">
        <v>196</v>
      </c>
      <c r="AC1598" s="1" t="s">
        <v>97</v>
      </c>
      <c r="AD1598" s="1" t="s">
        <v>98</v>
      </c>
      <c r="AE1598" s="1" t="s">
        <v>98</v>
      </c>
      <c r="AF1598" s="1" t="s">
        <v>28324</v>
      </c>
      <c r="AG1598" s="1" t="s">
        <v>28325</v>
      </c>
      <c r="AH1598" s="1" t="s">
        <v>101</v>
      </c>
      <c r="AI1598" s="1" t="s">
        <v>136</v>
      </c>
      <c r="AJ1598" s="1">
        <v>93.12</v>
      </c>
      <c r="AK1598" s="1">
        <v>9.8</v>
      </c>
      <c r="AL1598" s="1" t="s">
        <v>28326</v>
      </c>
      <c r="AM1598" s="1" t="s">
        <v>28325</v>
      </c>
      <c r="AN1598" s="1"/>
      <c r="AO1598" s="1" t="s">
        <v>167</v>
      </c>
      <c r="AP1598" s="1" t="s">
        <v>573</v>
      </c>
      <c r="AQ1598" s="1">
        <v>79.4</v>
      </c>
      <c r="AR1598" s="1">
        <v>0</v>
      </c>
      <c r="AS1598" s="1"/>
      <c r="AT1598" s="1"/>
      <c r="AU1598" s="1"/>
      <c r="AV1598" s="1"/>
      <c r="AW1598" s="1"/>
      <c r="AX1598" s="1"/>
      <c r="AY1598" s="1" t="s">
        <v>28327</v>
      </c>
      <c r="AZ1598" s="1" t="s">
        <v>28328</v>
      </c>
      <c r="BA1598" s="1"/>
      <c r="BB1598" s="1"/>
      <c r="BC1598" s="1" t="s">
        <v>1065</v>
      </c>
      <c r="BD1598" s="1" t="s">
        <v>110</v>
      </c>
      <c r="BE1598" s="1">
        <v>80.38</v>
      </c>
      <c r="BF1598" s="1">
        <v>8.87</v>
      </c>
      <c r="BG1598" s="1"/>
      <c r="BH1598" s="1"/>
      <c r="BI1598" s="1"/>
      <c r="BJ1598" s="1"/>
      <c r="BK1598" s="1"/>
      <c r="BL1598" s="1"/>
      <c r="BM1598" s="1"/>
      <c r="BN1598" s="1"/>
      <c r="BO1598" s="1" t="s">
        <v>28329</v>
      </c>
      <c r="BP1598" s="1"/>
      <c r="BQ1598" s="1"/>
      <c r="BR1598" s="1" t="s">
        <v>28330</v>
      </c>
      <c r="BS1598" s="1">
        <v>20</v>
      </c>
      <c r="BT1598" s="1"/>
      <c r="BU1598" s="1" t="str">
        <f>HYPERLINK("https://nconnect.nicmar.ac.in/storage/profile/ProfilePhoto_p2270178_482319.jpg","Download")</f>
        <v>0</v>
      </c>
      <c r="BV1598" s="3"/>
      <c r="BW1598" s="3"/>
    </row>
    <row r="1599" spans="1:75">
      <c r="A1599" s="1" t="s">
        <v>75</v>
      </c>
      <c r="B1599" s="1" t="s">
        <v>25236</v>
      </c>
      <c r="C1599" s="1" t="s">
        <v>28331</v>
      </c>
      <c r="D1599" s="1" t="s">
        <v>28332</v>
      </c>
      <c r="E1599" s="1"/>
      <c r="F1599" s="1" t="s">
        <v>3639</v>
      </c>
      <c r="G1599" s="1" t="s">
        <v>28333</v>
      </c>
      <c r="H1599" s="1" t="s">
        <v>28334</v>
      </c>
      <c r="I1599" s="1" t="s">
        <v>28335</v>
      </c>
      <c r="J1599" s="1">
        <v>8500093699</v>
      </c>
      <c r="K1599" s="1" t="s">
        <v>84</v>
      </c>
      <c r="L1599" s="1" t="s">
        <v>28336</v>
      </c>
      <c r="M1599" s="1" t="s">
        <v>86</v>
      </c>
      <c r="N1599" s="1" t="s">
        <v>1813</v>
      </c>
      <c r="O1599" s="1" t="s">
        <v>28337</v>
      </c>
      <c r="P1599" s="1" t="s">
        <v>455</v>
      </c>
      <c r="Q1599" s="1" t="s">
        <v>28338</v>
      </c>
      <c r="R1599" s="1" t="s">
        <v>28339</v>
      </c>
      <c r="S1599" s="1">
        <v>9949433806</v>
      </c>
      <c r="T1599" s="1" t="s">
        <v>839</v>
      </c>
      <c r="U1599" s="1" t="s">
        <v>28340</v>
      </c>
      <c r="V1599" s="1">
        <v>8523808369</v>
      </c>
      <c r="W1599" s="1" t="s">
        <v>161</v>
      </c>
      <c r="X1599" s="1" t="s">
        <v>28341</v>
      </c>
      <c r="Y1599" s="1" t="s">
        <v>28342</v>
      </c>
      <c r="Z1599" s="1" t="s">
        <v>461</v>
      </c>
      <c r="AA1599" s="1" t="s">
        <v>28343</v>
      </c>
      <c r="AB1599" s="1" t="s">
        <v>196</v>
      </c>
      <c r="AC1599" s="1" t="s">
        <v>97</v>
      </c>
      <c r="AD1599" s="1" t="s">
        <v>98</v>
      </c>
      <c r="AE1599" s="1" t="s">
        <v>98</v>
      </c>
      <c r="AF1599" s="1" t="s">
        <v>28344</v>
      </c>
      <c r="AG1599" s="1" t="s">
        <v>28345</v>
      </c>
      <c r="AH1599" s="1" t="s">
        <v>1214</v>
      </c>
      <c r="AI1599" s="1" t="s">
        <v>136</v>
      </c>
      <c r="AJ1599" s="1">
        <v>76</v>
      </c>
      <c r="AK1599" s="1">
        <v>8</v>
      </c>
      <c r="AL1599" s="1"/>
      <c r="AM1599" s="1"/>
      <c r="AN1599" s="1"/>
      <c r="AO1599" s="1"/>
      <c r="AP1599" s="1"/>
      <c r="AQ1599" s="1"/>
      <c r="AR1599" s="1"/>
      <c r="AS1599" s="1" t="s">
        <v>103</v>
      </c>
      <c r="AT1599" s="1" t="s">
        <v>28346</v>
      </c>
      <c r="AU1599" s="1" t="s">
        <v>105</v>
      </c>
      <c r="AV1599" s="1" t="s">
        <v>174</v>
      </c>
      <c r="AW1599" s="1">
        <v>74.15</v>
      </c>
      <c r="AX1599" s="1"/>
      <c r="AY1599" s="1" t="s">
        <v>27266</v>
      </c>
      <c r="AZ1599" s="1" t="s">
        <v>28347</v>
      </c>
      <c r="BA1599" s="1"/>
      <c r="BB1599" s="1"/>
      <c r="BC1599" s="1" t="s">
        <v>174</v>
      </c>
      <c r="BD1599" s="1" t="s">
        <v>606</v>
      </c>
      <c r="BE1599" s="1">
        <v>63.9</v>
      </c>
      <c r="BF1599" s="1">
        <v>6.89</v>
      </c>
      <c r="BG1599" s="1"/>
      <c r="BH1599" s="1"/>
      <c r="BI1599" s="1"/>
      <c r="BJ1599" s="1"/>
      <c r="BK1599" s="1"/>
      <c r="BL1599" s="1"/>
      <c r="BM1599" s="1"/>
      <c r="BN1599" s="1"/>
      <c r="BO1599" s="1" t="s">
        <v>1114</v>
      </c>
      <c r="BP1599" s="1"/>
      <c r="BQ1599" s="1"/>
      <c r="BR1599" s="1" t="s">
        <v>28348</v>
      </c>
      <c r="BS1599" s="1">
        <v>38</v>
      </c>
      <c r="BT1599" s="1"/>
      <c r="BU1599" s="1" t="str">
        <f>HYPERLINK("https://nconnect.nicmar.ac.in/storage/profile/ProfilePhoto_p2270179_273945.jpg","Download")</f>
        <v>0</v>
      </c>
      <c r="BV1599" s="3"/>
      <c r="BW1599" s="3"/>
    </row>
    <row r="1600" spans="1:75">
      <c r="A1600" s="1" t="s">
        <v>75</v>
      </c>
      <c r="B1600" s="1" t="s">
        <v>25236</v>
      </c>
      <c r="C1600" s="1" t="s">
        <v>28349</v>
      </c>
      <c r="D1600" s="1" t="s">
        <v>28350</v>
      </c>
      <c r="E1600" s="1" t="s">
        <v>1871</v>
      </c>
      <c r="F1600" s="1" t="s">
        <v>13421</v>
      </c>
      <c r="G1600" s="1" t="s">
        <v>28351</v>
      </c>
      <c r="H1600" s="1" t="s">
        <v>28352</v>
      </c>
      <c r="I1600" s="1" t="s">
        <v>28353</v>
      </c>
      <c r="J1600" s="1">
        <v>9850163833</v>
      </c>
      <c r="K1600" s="1" t="s">
        <v>153</v>
      </c>
      <c r="L1600" s="1" t="s">
        <v>28354</v>
      </c>
      <c r="M1600" s="1" t="s">
        <v>86</v>
      </c>
      <c r="N1600" s="1" t="s">
        <v>13039</v>
      </c>
      <c r="O1600" s="1" t="s">
        <v>28355</v>
      </c>
      <c r="P1600" s="1" t="s">
        <v>507</v>
      </c>
      <c r="Q1600" s="1" t="s">
        <v>28356</v>
      </c>
      <c r="R1600" s="1" t="s">
        <v>13421</v>
      </c>
      <c r="S1600" s="1">
        <v>9403415441</v>
      </c>
      <c r="T1600" s="1" t="s">
        <v>28357</v>
      </c>
      <c r="U1600" s="1" t="s">
        <v>28358</v>
      </c>
      <c r="V1600" s="1">
        <v>8208228044</v>
      </c>
      <c r="W1600" s="1" t="s">
        <v>1257</v>
      </c>
      <c r="X1600" s="1" t="s">
        <v>28359</v>
      </c>
      <c r="Y1600" s="1" t="s">
        <v>224</v>
      </c>
      <c r="Z1600" s="1" t="s">
        <v>97</v>
      </c>
      <c r="AA1600" s="1" t="s">
        <v>28359</v>
      </c>
      <c r="AB1600" s="1" t="s">
        <v>224</v>
      </c>
      <c r="AC1600" s="1" t="s">
        <v>97</v>
      </c>
      <c r="AD1600" s="1" t="s">
        <v>98</v>
      </c>
      <c r="AE1600" s="1" t="s">
        <v>98</v>
      </c>
      <c r="AF1600" s="1" t="s">
        <v>28360</v>
      </c>
      <c r="AG1600" s="1" t="s">
        <v>28361</v>
      </c>
      <c r="AH1600" s="1" t="s">
        <v>1262</v>
      </c>
      <c r="AI1600" s="1" t="s">
        <v>136</v>
      </c>
      <c r="AJ1600" s="1">
        <v>92</v>
      </c>
      <c r="AK1600" s="1">
        <v>0</v>
      </c>
      <c r="AL1600" s="1" t="s">
        <v>28362</v>
      </c>
      <c r="AM1600" s="1" t="s">
        <v>28361</v>
      </c>
      <c r="AN1600" s="1"/>
      <c r="AO1600" s="1" t="s">
        <v>167</v>
      </c>
      <c r="AP1600" s="1" t="s">
        <v>518</v>
      </c>
      <c r="AQ1600" s="1">
        <v>81.54</v>
      </c>
      <c r="AR1600" s="1">
        <v>0</v>
      </c>
      <c r="AS1600" s="1"/>
      <c r="AT1600" s="1"/>
      <c r="AU1600" s="1"/>
      <c r="AV1600" s="1"/>
      <c r="AW1600" s="1"/>
      <c r="AX1600" s="1"/>
      <c r="AY1600" s="1" t="s">
        <v>680</v>
      </c>
      <c r="AZ1600" s="1" t="s">
        <v>28363</v>
      </c>
      <c r="BA1600" s="1"/>
      <c r="BB1600" s="1"/>
      <c r="BC1600" s="1" t="s">
        <v>230</v>
      </c>
      <c r="BD1600" s="1" t="s">
        <v>549</v>
      </c>
      <c r="BE1600" s="1">
        <v>68.54</v>
      </c>
      <c r="BF1600" s="1">
        <v>7.64</v>
      </c>
      <c r="BG1600" s="1"/>
      <c r="BH1600" s="1"/>
      <c r="BI1600" s="1"/>
      <c r="BJ1600" s="1"/>
      <c r="BK1600" s="1"/>
      <c r="BL1600" s="1"/>
      <c r="BM1600" s="1"/>
      <c r="BN1600" s="1"/>
      <c r="BO1600" s="1" t="s">
        <v>28364</v>
      </c>
      <c r="BP1600" s="1"/>
      <c r="BQ1600" s="1"/>
      <c r="BR1600" s="1" t="s">
        <v>28365</v>
      </c>
      <c r="BS1600" s="1">
        <v>18</v>
      </c>
      <c r="BT1600" s="1"/>
      <c r="BU1600" s="1" t="str">
        <f>HYPERLINK("https://nconnect.nicmar.ac.in/storage/profile/ProfilePhoto_p2270180_134569.jpg","Download")</f>
        <v>0</v>
      </c>
      <c r="BV1600" s="3"/>
      <c r="BW1600" s="3"/>
    </row>
    <row r="1601" spans="1:75">
      <c r="A1601" s="1" t="s">
        <v>75</v>
      </c>
      <c r="B1601" s="1" t="s">
        <v>25236</v>
      </c>
      <c r="C1601" s="1" t="s">
        <v>28366</v>
      </c>
      <c r="D1601" s="1" t="s">
        <v>3684</v>
      </c>
      <c r="E1601" s="1"/>
      <c r="F1601" s="1" t="s">
        <v>28367</v>
      </c>
      <c r="G1601" s="1" t="s">
        <v>28368</v>
      </c>
      <c r="H1601" s="1" t="s">
        <v>28369</v>
      </c>
      <c r="I1601" s="1" t="s">
        <v>28370</v>
      </c>
      <c r="J1601" s="1">
        <v>8697230145</v>
      </c>
      <c r="K1601" s="1" t="s">
        <v>84</v>
      </c>
      <c r="L1601" s="1" t="s">
        <v>28371</v>
      </c>
      <c r="M1601" s="1" t="s">
        <v>86</v>
      </c>
      <c r="N1601" s="1" t="s">
        <v>20246</v>
      </c>
      <c r="O1601" s="1" t="s">
        <v>28372</v>
      </c>
      <c r="P1601" s="1" t="s">
        <v>455</v>
      </c>
      <c r="Q1601" s="1" t="s">
        <v>28373</v>
      </c>
      <c r="R1601" s="1" t="s">
        <v>28374</v>
      </c>
      <c r="S1601" s="1">
        <v>9830242322</v>
      </c>
      <c r="T1601" s="1" t="s">
        <v>26424</v>
      </c>
      <c r="U1601" s="1" t="s">
        <v>28375</v>
      </c>
      <c r="V1601" s="1">
        <v>9830242322</v>
      </c>
      <c r="W1601" s="1" t="s">
        <v>161</v>
      </c>
      <c r="X1601" s="1" t="s">
        <v>28376</v>
      </c>
      <c r="Y1601" s="1" t="s">
        <v>3920</v>
      </c>
      <c r="Z1601" s="1" t="s">
        <v>1234</v>
      </c>
      <c r="AA1601" s="1" t="s">
        <v>28376</v>
      </c>
      <c r="AB1601" s="1" t="s">
        <v>3920</v>
      </c>
      <c r="AC1601" s="1" t="s">
        <v>1234</v>
      </c>
      <c r="AD1601" s="1" t="s">
        <v>98</v>
      </c>
      <c r="AE1601" s="1" t="s">
        <v>98</v>
      </c>
      <c r="AF1601" s="1" t="s">
        <v>28377</v>
      </c>
      <c r="AG1601" s="1" t="s">
        <v>28378</v>
      </c>
      <c r="AH1601" s="1" t="s">
        <v>3421</v>
      </c>
      <c r="AI1601" s="1" t="s">
        <v>515</v>
      </c>
      <c r="AJ1601" s="1">
        <v>81.7</v>
      </c>
      <c r="AK1601" s="1"/>
      <c r="AL1601" s="1" t="s">
        <v>28377</v>
      </c>
      <c r="AM1601" s="1" t="s">
        <v>28378</v>
      </c>
      <c r="AN1601" s="1"/>
      <c r="AO1601" s="1" t="s">
        <v>1110</v>
      </c>
      <c r="AP1601" s="1" t="s">
        <v>1111</v>
      </c>
      <c r="AQ1601" s="1">
        <v>66.8</v>
      </c>
      <c r="AR1601" s="1"/>
      <c r="AS1601" s="1"/>
      <c r="AT1601" s="1"/>
      <c r="AU1601" s="1"/>
      <c r="AV1601" s="1"/>
      <c r="AW1601" s="1"/>
      <c r="AX1601" s="1"/>
      <c r="AY1601" s="1" t="s">
        <v>4962</v>
      </c>
      <c r="AZ1601" s="1" t="s">
        <v>28379</v>
      </c>
      <c r="BA1601" s="1"/>
      <c r="BB1601" s="1"/>
      <c r="BC1601" s="1" t="s">
        <v>1396</v>
      </c>
      <c r="BD1601" s="1" t="s">
        <v>417</v>
      </c>
      <c r="BE1601" s="1">
        <v>74.8</v>
      </c>
      <c r="BF1601" s="1"/>
      <c r="BG1601" s="1"/>
      <c r="BH1601" s="1"/>
      <c r="BI1601" s="1"/>
      <c r="BJ1601" s="1"/>
      <c r="BK1601" s="1"/>
      <c r="BL1601" s="1"/>
      <c r="BM1601" s="1"/>
      <c r="BN1601" s="1"/>
      <c r="BO1601" s="1" t="s">
        <v>1114</v>
      </c>
      <c r="BP1601" s="1"/>
      <c r="BQ1601" s="1"/>
      <c r="BR1601" s="1" t="s">
        <v>28380</v>
      </c>
      <c r="BS1601" s="1">
        <v>67</v>
      </c>
      <c r="BT1601" s="1"/>
      <c r="BU1601" s="1" t="str">
        <f>HYPERLINK("https://nconnect.nicmar.ac.in/storage/profile/ProfilePhoto_p2270181_147563.jpg","Download")</f>
        <v>0</v>
      </c>
      <c r="BV1601" s="3"/>
      <c r="BW1601" s="3"/>
    </row>
    <row r="1602" spans="1:75">
      <c r="A1602" s="1" t="s">
        <v>75</v>
      </c>
      <c r="B1602" s="1" t="s">
        <v>25236</v>
      </c>
      <c r="C1602" s="1" t="s">
        <v>28381</v>
      </c>
      <c r="D1602" s="1" t="s">
        <v>1787</v>
      </c>
      <c r="E1602" s="1" t="s">
        <v>213</v>
      </c>
      <c r="F1602" s="1" t="s">
        <v>28382</v>
      </c>
      <c r="G1602" s="1" t="s">
        <v>28383</v>
      </c>
      <c r="H1602" s="1" t="s">
        <v>28384</v>
      </c>
      <c r="I1602" s="1" t="s">
        <v>28385</v>
      </c>
      <c r="J1602" s="1">
        <v>7506917211</v>
      </c>
      <c r="K1602" s="1" t="s">
        <v>84</v>
      </c>
      <c r="L1602" s="1" t="s">
        <v>13019</v>
      </c>
      <c r="M1602" s="1" t="s">
        <v>86</v>
      </c>
      <c r="N1602" s="1" t="s">
        <v>618</v>
      </c>
      <c r="O1602" s="1" t="s">
        <v>28386</v>
      </c>
      <c r="P1602" s="1" t="s">
        <v>455</v>
      </c>
      <c r="Q1602" s="1" t="s">
        <v>28387</v>
      </c>
      <c r="R1602" s="1" t="s">
        <v>28388</v>
      </c>
      <c r="S1602" s="1">
        <v>9028271597</v>
      </c>
      <c r="T1602" s="1" t="s">
        <v>92</v>
      </c>
      <c r="U1602" s="1" t="s">
        <v>28389</v>
      </c>
      <c r="V1602" s="1">
        <v>9869359091</v>
      </c>
      <c r="W1602" s="1" t="s">
        <v>161</v>
      </c>
      <c r="X1602" s="1" t="s">
        <v>28390</v>
      </c>
      <c r="Y1602" s="1" t="s">
        <v>1012</v>
      </c>
      <c r="Z1602" s="1" t="s">
        <v>97</v>
      </c>
      <c r="AA1602" s="1" t="s">
        <v>28391</v>
      </c>
      <c r="AB1602" s="1" t="s">
        <v>196</v>
      </c>
      <c r="AC1602" s="1" t="s">
        <v>97</v>
      </c>
      <c r="AD1602" s="1" t="s">
        <v>98</v>
      </c>
      <c r="AE1602" s="1" t="s">
        <v>98</v>
      </c>
      <c r="AF1602" s="1" t="s">
        <v>28392</v>
      </c>
      <c r="AG1602" s="1" t="s">
        <v>312</v>
      </c>
      <c r="AH1602" s="1" t="s">
        <v>166</v>
      </c>
      <c r="AI1602" s="1" t="s">
        <v>627</v>
      </c>
      <c r="AJ1602" s="1">
        <v>94</v>
      </c>
      <c r="AK1602" s="1">
        <v>10</v>
      </c>
      <c r="AL1602" s="1" t="s">
        <v>26613</v>
      </c>
      <c r="AM1602" s="1" t="s">
        <v>1968</v>
      </c>
      <c r="AN1602" s="1"/>
      <c r="AO1602" s="1" t="s">
        <v>170</v>
      </c>
      <c r="AP1602" s="1" t="s">
        <v>171</v>
      </c>
      <c r="AQ1602" s="1">
        <v>83.69</v>
      </c>
      <c r="AR1602" s="1"/>
      <c r="AS1602" s="1"/>
      <c r="AT1602" s="1"/>
      <c r="AU1602" s="1"/>
      <c r="AV1602" s="1"/>
      <c r="AW1602" s="1"/>
      <c r="AX1602" s="1"/>
      <c r="AY1602" s="1" t="s">
        <v>680</v>
      </c>
      <c r="AZ1602" s="1" t="s">
        <v>13010</v>
      </c>
      <c r="BA1602" s="1"/>
      <c r="BB1602" s="1"/>
      <c r="BC1602" s="1" t="s">
        <v>1065</v>
      </c>
      <c r="BD1602" s="1" t="s">
        <v>1400</v>
      </c>
      <c r="BE1602" s="1">
        <v>76.26</v>
      </c>
      <c r="BF1602" s="1"/>
      <c r="BG1602" s="1"/>
      <c r="BH1602" s="1"/>
      <c r="BI1602" s="1"/>
      <c r="BJ1602" s="1"/>
      <c r="BK1602" s="1"/>
      <c r="BL1602" s="1"/>
      <c r="BM1602" s="1"/>
      <c r="BN1602" s="1"/>
      <c r="BO1602" s="1" t="s">
        <v>28393</v>
      </c>
      <c r="BP1602" s="1"/>
      <c r="BQ1602" s="1"/>
      <c r="BR1602" s="1" t="s">
        <v>28394</v>
      </c>
      <c r="BS1602" s="1">
        <v>11</v>
      </c>
      <c r="BT1602" s="1"/>
      <c r="BU1602" s="1" t="str">
        <f>HYPERLINK("https://nconnect.nicmar.ac.in/storage/profile/ProfilePhoto_p2270182_548237.jpg","Download")</f>
        <v>0</v>
      </c>
      <c r="BV1602" s="3"/>
      <c r="BW1602" s="3"/>
    </row>
    <row r="1603" spans="1:75">
      <c r="A1603" s="1" t="s">
        <v>75</v>
      </c>
      <c r="B1603" s="1" t="s">
        <v>25236</v>
      </c>
      <c r="C1603" s="1" t="s">
        <v>28395</v>
      </c>
      <c r="D1603" s="1" t="s">
        <v>11083</v>
      </c>
      <c r="E1603" s="1" t="s">
        <v>28396</v>
      </c>
      <c r="F1603" s="1" t="s">
        <v>28397</v>
      </c>
      <c r="G1603" s="1" t="s">
        <v>28398</v>
      </c>
      <c r="H1603" s="1" t="s">
        <v>28399</v>
      </c>
      <c r="I1603" s="1" t="s">
        <v>28400</v>
      </c>
      <c r="J1603" s="1">
        <v>8425961888</v>
      </c>
      <c r="K1603" s="1" t="s">
        <v>84</v>
      </c>
      <c r="L1603" s="1" t="s">
        <v>24608</v>
      </c>
      <c r="M1603" s="1" t="s">
        <v>86</v>
      </c>
      <c r="N1603" s="1" t="s">
        <v>618</v>
      </c>
      <c r="O1603" s="1" t="s">
        <v>28401</v>
      </c>
      <c r="P1603" s="1" t="s">
        <v>481</v>
      </c>
      <c r="Q1603" s="1" t="s">
        <v>28402</v>
      </c>
      <c r="R1603" s="1" t="s">
        <v>28403</v>
      </c>
      <c r="S1603" s="1">
        <v>8425962888</v>
      </c>
      <c r="T1603" s="1" t="s">
        <v>539</v>
      </c>
      <c r="U1603" s="1" t="s">
        <v>28404</v>
      </c>
      <c r="V1603" s="1">
        <v>8425963888</v>
      </c>
      <c r="W1603" s="1" t="s">
        <v>161</v>
      </c>
      <c r="X1603" s="1" t="s">
        <v>28405</v>
      </c>
      <c r="Y1603" s="1" t="s">
        <v>1012</v>
      </c>
      <c r="Z1603" s="1" t="s">
        <v>97</v>
      </c>
      <c r="AA1603" s="1" t="s">
        <v>28405</v>
      </c>
      <c r="AB1603" s="1" t="s">
        <v>1012</v>
      </c>
      <c r="AC1603" s="1" t="s">
        <v>97</v>
      </c>
      <c r="AD1603" s="1" t="s">
        <v>98</v>
      </c>
      <c r="AE1603" s="1" t="s">
        <v>98</v>
      </c>
      <c r="AF1603" s="1" t="s">
        <v>28406</v>
      </c>
      <c r="AG1603" s="1" t="s">
        <v>28407</v>
      </c>
      <c r="AH1603" s="1" t="s">
        <v>101</v>
      </c>
      <c r="AI1603" s="1" t="s">
        <v>102</v>
      </c>
      <c r="AJ1603" s="1">
        <v>80.8</v>
      </c>
      <c r="AK1603" s="1">
        <v>0</v>
      </c>
      <c r="AL1603" s="1" t="s">
        <v>28408</v>
      </c>
      <c r="AM1603" s="1" t="s">
        <v>28407</v>
      </c>
      <c r="AN1603" s="1"/>
      <c r="AO1603" s="1" t="s">
        <v>342</v>
      </c>
      <c r="AP1603" s="1" t="s">
        <v>573</v>
      </c>
      <c r="AQ1603" s="1">
        <v>63.38</v>
      </c>
      <c r="AR1603" s="1">
        <v>0</v>
      </c>
      <c r="AS1603" s="1"/>
      <c r="AT1603" s="1"/>
      <c r="AU1603" s="1"/>
      <c r="AV1603" s="1"/>
      <c r="AW1603" s="1"/>
      <c r="AX1603" s="1"/>
      <c r="AY1603" s="1" t="s">
        <v>7827</v>
      </c>
      <c r="AZ1603" s="1" t="s">
        <v>28409</v>
      </c>
      <c r="BA1603" s="1"/>
      <c r="BB1603" s="1"/>
      <c r="BC1603" s="1" t="s">
        <v>230</v>
      </c>
      <c r="BD1603" s="1" t="s">
        <v>606</v>
      </c>
      <c r="BE1603" s="1">
        <v>71.1</v>
      </c>
      <c r="BF1603" s="1">
        <v>7.86</v>
      </c>
      <c r="BG1603" s="1"/>
      <c r="BH1603" s="1"/>
      <c r="BI1603" s="1"/>
      <c r="BJ1603" s="1"/>
      <c r="BK1603" s="1"/>
      <c r="BL1603" s="1"/>
      <c r="BM1603" s="1"/>
      <c r="BN1603" s="1"/>
      <c r="BO1603" s="1" t="s">
        <v>28410</v>
      </c>
      <c r="BP1603" s="1"/>
      <c r="BQ1603" s="1"/>
      <c r="BR1603" s="1" t="s">
        <v>28411</v>
      </c>
      <c r="BS1603" s="1">
        <v>21</v>
      </c>
      <c r="BT1603" s="1"/>
      <c r="BU1603" s="1" t="str">
        <f>HYPERLINK("https://nconnect.nicmar.ac.in/storage/profile/ProfilePhoto_p2270183_253746.jpg","Download")</f>
        <v>0</v>
      </c>
      <c r="BV1603" s="3"/>
      <c r="BW1603" s="3"/>
    </row>
    <row r="1604" spans="1:75">
      <c r="A1604" s="1" t="s">
        <v>75</v>
      </c>
      <c r="B1604" s="1" t="s">
        <v>25236</v>
      </c>
      <c r="C1604" s="1" t="s">
        <v>28412</v>
      </c>
      <c r="D1604" s="1" t="s">
        <v>28413</v>
      </c>
      <c r="E1604" s="1" t="s">
        <v>13668</v>
      </c>
      <c r="F1604" s="1" t="s">
        <v>2273</v>
      </c>
      <c r="G1604" s="1" t="s">
        <v>28414</v>
      </c>
      <c r="H1604" s="1" t="s">
        <v>28415</v>
      </c>
      <c r="I1604" s="1" t="s">
        <v>28416</v>
      </c>
      <c r="J1604" s="1">
        <v>7387830072</v>
      </c>
      <c r="K1604" s="1" t="s">
        <v>84</v>
      </c>
      <c r="L1604" s="1" t="s">
        <v>28417</v>
      </c>
      <c r="M1604" s="1" t="s">
        <v>86</v>
      </c>
      <c r="N1604" s="1" t="s">
        <v>8520</v>
      </c>
      <c r="O1604" s="1"/>
      <c r="P1604" s="1" t="s">
        <v>481</v>
      </c>
      <c r="Q1604" s="1" t="s">
        <v>28418</v>
      </c>
      <c r="R1604" s="1" t="s">
        <v>28419</v>
      </c>
      <c r="S1604" s="1">
        <v>7385722283</v>
      </c>
      <c r="T1604" s="1" t="s">
        <v>125</v>
      </c>
      <c r="U1604" s="1" t="s">
        <v>10969</v>
      </c>
      <c r="V1604" s="1">
        <v>9960990624</v>
      </c>
      <c r="W1604" s="1" t="s">
        <v>161</v>
      </c>
      <c r="X1604" s="1" t="s">
        <v>28420</v>
      </c>
      <c r="Y1604" s="1" t="s">
        <v>196</v>
      </c>
      <c r="Z1604" s="1" t="s">
        <v>97</v>
      </c>
      <c r="AA1604" s="1" t="s">
        <v>28420</v>
      </c>
      <c r="AB1604" s="1" t="s">
        <v>196</v>
      </c>
      <c r="AC1604" s="1" t="s">
        <v>97</v>
      </c>
      <c r="AD1604" s="1" t="s">
        <v>98</v>
      </c>
      <c r="AE1604" s="1" t="s">
        <v>98</v>
      </c>
      <c r="AF1604" s="1" t="s">
        <v>28421</v>
      </c>
      <c r="AG1604" s="1" t="s">
        <v>2745</v>
      </c>
      <c r="AH1604" s="1" t="s">
        <v>4593</v>
      </c>
      <c r="AI1604" s="1" t="s">
        <v>3285</v>
      </c>
      <c r="AJ1604" s="1">
        <v>94.18</v>
      </c>
      <c r="AK1604" s="1"/>
      <c r="AL1604" s="1" t="s">
        <v>28422</v>
      </c>
      <c r="AM1604" s="1" t="s">
        <v>2745</v>
      </c>
      <c r="AN1604" s="1"/>
      <c r="AO1604" s="1" t="s">
        <v>133</v>
      </c>
      <c r="AP1604" s="1" t="s">
        <v>1213</v>
      </c>
      <c r="AQ1604" s="1">
        <v>69.67</v>
      </c>
      <c r="AR1604" s="1"/>
      <c r="AS1604" s="1"/>
      <c r="AT1604" s="1"/>
      <c r="AU1604" s="1"/>
      <c r="AV1604" s="1"/>
      <c r="AW1604" s="1"/>
      <c r="AX1604" s="1"/>
      <c r="AY1604" s="1" t="s">
        <v>28423</v>
      </c>
      <c r="AZ1604" s="1" t="s">
        <v>28424</v>
      </c>
      <c r="BA1604" s="1"/>
      <c r="BB1604" s="1"/>
      <c r="BC1604" s="1" t="s">
        <v>1583</v>
      </c>
      <c r="BD1604" s="1" t="s">
        <v>388</v>
      </c>
      <c r="BE1604" s="1">
        <v>70.67</v>
      </c>
      <c r="BF1604" s="1"/>
      <c r="BG1604" s="1"/>
      <c r="BH1604" s="1"/>
      <c r="BI1604" s="1"/>
      <c r="BJ1604" s="1"/>
      <c r="BK1604" s="1"/>
      <c r="BL1604" s="1"/>
      <c r="BM1604" s="1"/>
      <c r="BN1604" s="1"/>
      <c r="BO1604" s="1" t="s">
        <v>28425</v>
      </c>
      <c r="BP1604" s="1"/>
      <c r="BQ1604" s="1"/>
      <c r="BR1604" s="1" t="s">
        <v>28426</v>
      </c>
      <c r="BS1604" s="1">
        <v>7</v>
      </c>
      <c r="BT1604" s="1"/>
      <c r="BU1604" s="1" t="str">
        <f>HYPERLINK("https://nconnect.nicmar.ac.in/storage/profile/ProfilePhoto_p2270184_238791.jpg","Download")</f>
        <v>0</v>
      </c>
      <c r="BV1604" s="3"/>
      <c r="BW1604" s="3"/>
    </row>
    <row r="1605" spans="1:75">
      <c r="A1605" s="1" t="s">
        <v>75</v>
      </c>
      <c r="B1605" s="1" t="s">
        <v>25236</v>
      </c>
      <c r="C1605" s="1" t="s">
        <v>28427</v>
      </c>
      <c r="D1605" s="1" t="s">
        <v>28428</v>
      </c>
      <c r="E1605" s="1" t="s">
        <v>28429</v>
      </c>
      <c r="F1605" s="1" t="s">
        <v>28430</v>
      </c>
      <c r="G1605" s="1" t="s">
        <v>28431</v>
      </c>
      <c r="H1605" s="1" t="s">
        <v>28432</v>
      </c>
      <c r="I1605" s="1" t="s">
        <v>28433</v>
      </c>
      <c r="J1605" s="1">
        <v>7435880868</v>
      </c>
      <c r="K1605" s="1" t="s">
        <v>84</v>
      </c>
      <c r="L1605" s="1" t="s">
        <v>28434</v>
      </c>
      <c r="M1605" s="1" t="s">
        <v>86</v>
      </c>
      <c r="N1605" s="1" t="s">
        <v>28435</v>
      </c>
      <c r="O1605" s="1"/>
      <c r="P1605" s="1" t="s">
        <v>481</v>
      </c>
      <c r="Q1605" s="1" t="s">
        <v>28436</v>
      </c>
      <c r="R1605" s="1" t="s">
        <v>28437</v>
      </c>
      <c r="S1605" s="1">
        <v>9638172500</v>
      </c>
      <c r="T1605" s="1" t="s">
        <v>839</v>
      </c>
      <c r="U1605" s="1" t="s">
        <v>28438</v>
      </c>
      <c r="V1605" s="1">
        <v>9979365225</v>
      </c>
      <c r="W1605" s="1" t="s">
        <v>278</v>
      </c>
      <c r="X1605" s="1" t="s">
        <v>28439</v>
      </c>
      <c r="Y1605" s="1" t="s">
        <v>675</v>
      </c>
      <c r="Z1605" s="1" t="s">
        <v>676</v>
      </c>
      <c r="AA1605" s="1" t="s">
        <v>28439</v>
      </c>
      <c r="AB1605" s="1" t="s">
        <v>675</v>
      </c>
      <c r="AC1605" s="1" t="s">
        <v>676</v>
      </c>
      <c r="AD1605" s="1" t="s">
        <v>98</v>
      </c>
      <c r="AE1605" s="1" t="s">
        <v>98</v>
      </c>
      <c r="AF1605" s="1" t="s">
        <v>28440</v>
      </c>
      <c r="AG1605" s="1" t="s">
        <v>10192</v>
      </c>
      <c r="AH1605" s="1" t="s">
        <v>101</v>
      </c>
      <c r="AI1605" s="1" t="s">
        <v>102</v>
      </c>
      <c r="AJ1605" s="1">
        <v>65.16</v>
      </c>
      <c r="AK1605" s="1"/>
      <c r="AL1605" s="1" t="s">
        <v>28441</v>
      </c>
      <c r="AM1605" s="1" t="s">
        <v>10192</v>
      </c>
      <c r="AN1605" s="1"/>
      <c r="AO1605" s="1" t="s">
        <v>167</v>
      </c>
      <c r="AP1605" s="1" t="s">
        <v>200</v>
      </c>
      <c r="AQ1605" s="1">
        <v>62.61</v>
      </c>
      <c r="AR1605" s="1"/>
      <c r="AS1605" s="1"/>
      <c r="AT1605" s="1"/>
      <c r="AU1605" s="1"/>
      <c r="AV1605" s="1"/>
      <c r="AW1605" s="1"/>
      <c r="AX1605" s="1"/>
      <c r="AY1605" s="1" t="s">
        <v>5241</v>
      </c>
      <c r="AZ1605" s="1" t="s">
        <v>28442</v>
      </c>
      <c r="BA1605" s="1"/>
      <c r="BB1605" s="1"/>
      <c r="BC1605" s="1" t="s">
        <v>230</v>
      </c>
      <c r="BD1605" s="1" t="s">
        <v>549</v>
      </c>
      <c r="BE1605" s="1">
        <v>68</v>
      </c>
      <c r="BF1605" s="1">
        <v>7.3</v>
      </c>
      <c r="BG1605" s="1"/>
      <c r="BH1605" s="1"/>
      <c r="BI1605" s="1"/>
      <c r="BJ1605" s="1"/>
      <c r="BK1605" s="1"/>
      <c r="BL1605" s="1"/>
      <c r="BM1605" s="1"/>
      <c r="BN1605" s="1"/>
      <c r="BO1605" s="1" t="s">
        <v>369</v>
      </c>
      <c r="BP1605" s="1"/>
      <c r="BQ1605" s="1"/>
      <c r="BR1605" s="1" t="s">
        <v>28443</v>
      </c>
      <c r="BS1605" s="1">
        <v>7</v>
      </c>
      <c r="BT1605" s="1"/>
      <c r="BU1605" s="1" t="str">
        <f>HYPERLINK("https://nconnect.nicmar.ac.in/storage/profile/ProfilePhoto_p2270185_139264.jpg","Download")</f>
        <v>0</v>
      </c>
      <c r="BV1605" s="3"/>
      <c r="BW1605" s="3"/>
    </row>
    <row r="1606" spans="1:75">
      <c r="A1606" s="1" t="s">
        <v>75</v>
      </c>
      <c r="B1606" s="1" t="s">
        <v>25236</v>
      </c>
      <c r="C1606" s="1" t="s">
        <v>28444</v>
      </c>
      <c r="D1606" s="1" t="s">
        <v>7813</v>
      </c>
      <c r="E1606" s="1" t="s">
        <v>5668</v>
      </c>
      <c r="F1606" s="1" t="s">
        <v>8306</v>
      </c>
      <c r="G1606" s="1" t="s">
        <v>28445</v>
      </c>
      <c r="H1606" s="1" t="s">
        <v>28446</v>
      </c>
      <c r="I1606" s="1" t="s">
        <v>28447</v>
      </c>
      <c r="J1606" s="1">
        <v>7218836677</v>
      </c>
      <c r="K1606" s="1" t="s">
        <v>84</v>
      </c>
      <c r="L1606" s="1" t="s">
        <v>28448</v>
      </c>
      <c r="M1606" s="1" t="s">
        <v>86</v>
      </c>
      <c r="N1606" s="1" t="s">
        <v>618</v>
      </c>
      <c r="O1606" s="1" t="s">
        <v>28449</v>
      </c>
      <c r="P1606" s="1" t="s">
        <v>2684</v>
      </c>
      <c r="Q1606" s="1" t="s">
        <v>28450</v>
      </c>
      <c r="R1606" s="1" t="s">
        <v>28451</v>
      </c>
      <c r="S1606" s="1">
        <v>9850031755</v>
      </c>
      <c r="T1606" s="1" t="s">
        <v>596</v>
      </c>
      <c r="U1606" s="1" t="s">
        <v>28452</v>
      </c>
      <c r="V1606" s="1">
        <v>9850301755</v>
      </c>
      <c r="W1606" s="1" t="s">
        <v>161</v>
      </c>
      <c r="X1606" s="1" t="s">
        <v>28453</v>
      </c>
      <c r="Y1606" s="1" t="s">
        <v>1779</v>
      </c>
      <c r="Z1606" s="1" t="s">
        <v>97</v>
      </c>
      <c r="AA1606" s="1" t="s">
        <v>28454</v>
      </c>
      <c r="AB1606" s="1" t="s">
        <v>196</v>
      </c>
      <c r="AC1606" s="1" t="s">
        <v>97</v>
      </c>
      <c r="AD1606" s="1" t="s">
        <v>98</v>
      </c>
      <c r="AE1606" s="1" t="s">
        <v>98</v>
      </c>
      <c r="AF1606" s="1" t="s">
        <v>28455</v>
      </c>
      <c r="AG1606" s="1" t="s">
        <v>28456</v>
      </c>
      <c r="AH1606" s="1" t="s">
        <v>101</v>
      </c>
      <c r="AI1606" s="1" t="s">
        <v>136</v>
      </c>
      <c r="AJ1606" s="1">
        <v>78.2</v>
      </c>
      <c r="AK1606" s="1">
        <v>0</v>
      </c>
      <c r="AL1606" s="1" t="s">
        <v>28457</v>
      </c>
      <c r="AM1606" s="1" t="s">
        <v>28456</v>
      </c>
      <c r="AN1606" s="1"/>
      <c r="AO1606" s="1" t="s">
        <v>342</v>
      </c>
      <c r="AP1606" s="1" t="s">
        <v>200</v>
      </c>
      <c r="AQ1606" s="1">
        <v>69.08</v>
      </c>
      <c r="AR1606" s="1">
        <v>0</v>
      </c>
      <c r="AS1606" s="1"/>
      <c r="AT1606" s="1"/>
      <c r="AU1606" s="1"/>
      <c r="AV1606" s="1"/>
      <c r="AW1606" s="1"/>
      <c r="AX1606" s="1"/>
      <c r="AY1606" s="1" t="s">
        <v>28458</v>
      </c>
      <c r="AZ1606" s="1" t="s">
        <v>28459</v>
      </c>
      <c r="BA1606" s="1"/>
      <c r="BB1606" s="1"/>
      <c r="BC1606" s="1" t="s">
        <v>230</v>
      </c>
      <c r="BD1606" s="1" t="s">
        <v>845</v>
      </c>
      <c r="BE1606" s="1">
        <v>76.1</v>
      </c>
      <c r="BF1606" s="1">
        <v>8.36</v>
      </c>
      <c r="BG1606" s="1"/>
      <c r="BH1606" s="1"/>
      <c r="BI1606" s="1"/>
      <c r="BJ1606" s="1"/>
      <c r="BK1606" s="1"/>
      <c r="BL1606" s="1"/>
      <c r="BM1606" s="1"/>
      <c r="BN1606" s="1"/>
      <c r="BO1606" s="1" t="s">
        <v>28460</v>
      </c>
      <c r="BP1606" s="1"/>
      <c r="BQ1606" s="1"/>
      <c r="BR1606" s="1" t="s">
        <v>28461</v>
      </c>
      <c r="BS1606" s="1">
        <v>31</v>
      </c>
      <c r="BT1606" s="1"/>
      <c r="BU1606" s="1" t="str">
        <f>HYPERLINK("https://nconnect.nicmar.ac.in/storage/profile/ProfilePhoto_p2270186_657283.jpg","Download")</f>
        <v>0</v>
      </c>
      <c r="BV1606" s="3"/>
      <c r="BW1606" s="3"/>
    </row>
    <row r="1607" spans="1:75">
      <c r="A1607" s="1" t="s">
        <v>75</v>
      </c>
      <c r="B1607" s="1" t="s">
        <v>25236</v>
      </c>
      <c r="C1607" s="1" t="s">
        <v>28462</v>
      </c>
      <c r="D1607" s="1" t="s">
        <v>28463</v>
      </c>
      <c r="E1607" s="1" t="s">
        <v>1487</v>
      </c>
      <c r="F1607" s="1" t="s">
        <v>28464</v>
      </c>
      <c r="G1607" s="1" t="s">
        <v>28465</v>
      </c>
      <c r="H1607" s="1" t="s">
        <v>28466</v>
      </c>
      <c r="I1607" s="1" t="s">
        <v>28467</v>
      </c>
      <c r="J1607" s="1">
        <v>7019273208</v>
      </c>
      <c r="K1607" s="1" t="s">
        <v>153</v>
      </c>
      <c r="L1607" s="1" t="s">
        <v>28468</v>
      </c>
      <c r="M1607" s="1" t="s">
        <v>86</v>
      </c>
      <c r="N1607" s="1" t="s">
        <v>28469</v>
      </c>
      <c r="O1607" s="1" t="s">
        <v>28470</v>
      </c>
      <c r="P1607" s="1" t="s">
        <v>1028</v>
      </c>
      <c r="Q1607" s="1" t="s">
        <v>28471</v>
      </c>
      <c r="R1607" s="1" t="s">
        <v>28472</v>
      </c>
      <c r="S1607" s="1">
        <v>9886125400</v>
      </c>
      <c r="T1607" s="1" t="s">
        <v>839</v>
      </c>
      <c r="U1607" s="1" t="s">
        <v>28473</v>
      </c>
      <c r="V1607" s="1">
        <v>8762886881</v>
      </c>
      <c r="W1607" s="1" t="s">
        <v>94</v>
      </c>
      <c r="X1607" s="1" t="s">
        <v>28474</v>
      </c>
      <c r="Y1607" s="1" t="s">
        <v>1623</v>
      </c>
      <c r="Z1607" s="1" t="s">
        <v>1210</v>
      </c>
      <c r="AA1607" s="1" t="s">
        <v>28474</v>
      </c>
      <c r="AB1607" s="1" t="s">
        <v>1623</v>
      </c>
      <c r="AC1607" s="1" t="s">
        <v>1210</v>
      </c>
      <c r="AD1607" s="1" t="s">
        <v>98</v>
      </c>
      <c r="AE1607" s="1" t="s">
        <v>98</v>
      </c>
      <c r="AF1607" s="1" t="s">
        <v>28475</v>
      </c>
      <c r="AG1607" s="1" t="s">
        <v>1721</v>
      </c>
      <c r="AH1607" s="1" t="s">
        <v>3770</v>
      </c>
      <c r="AI1607" s="1" t="s">
        <v>134</v>
      </c>
      <c r="AJ1607" s="1">
        <v>68.4</v>
      </c>
      <c r="AK1607" s="1">
        <v>7.2</v>
      </c>
      <c r="AL1607" s="1" t="s">
        <v>28476</v>
      </c>
      <c r="AM1607" s="1" t="s">
        <v>1721</v>
      </c>
      <c r="AN1607" s="1"/>
      <c r="AO1607" s="1" t="s">
        <v>101</v>
      </c>
      <c r="AP1607" s="1" t="s">
        <v>136</v>
      </c>
      <c r="AQ1607" s="1">
        <v>68.5</v>
      </c>
      <c r="AR1607" s="1">
        <v>0</v>
      </c>
      <c r="AS1607" s="1"/>
      <c r="AT1607" s="1"/>
      <c r="AU1607" s="1"/>
      <c r="AV1607" s="1"/>
      <c r="AW1607" s="1"/>
      <c r="AX1607" s="1"/>
      <c r="AY1607" s="1" t="s">
        <v>28477</v>
      </c>
      <c r="AZ1607" s="1" t="s">
        <v>28478</v>
      </c>
      <c r="BA1607" s="1"/>
      <c r="BB1607" s="1"/>
      <c r="BC1607" s="1" t="s">
        <v>105</v>
      </c>
      <c r="BD1607" s="1" t="s">
        <v>2304</v>
      </c>
      <c r="BE1607" s="1">
        <v>70.7</v>
      </c>
      <c r="BF1607" s="1">
        <v>7.82</v>
      </c>
      <c r="BG1607" s="1"/>
      <c r="BH1607" s="1"/>
      <c r="BI1607" s="1"/>
      <c r="BJ1607" s="1"/>
      <c r="BK1607" s="1"/>
      <c r="BL1607" s="1"/>
      <c r="BM1607" s="1"/>
      <c r="BN1607" s="1"/>
      <c r="BO1607" s="1" t="s">
        <v>28479</v>
      </c>
      <c r="BP1607" s="1" t="s">
        <v>28480</v>
      </c>
      <c r="BQ1607" s="1" t="s">
        <v>471</v>
      </c>
      <c r="BR1607" s="1" t="s">
        <v>28481</v>
      </c>
      <c r="BS1607" s="1">
        <v>32</v>
      </c>
      <c r="BT1607" s="1"/>
      <c r="BU1607" s="1" t="str">
        <f>HYPERLINK("https://nconnect.nicmar.ac.in/storage/profile/ProfilePhoto_p2270187_468719.jpg","Download")</f>
        <v>0</v>
      </c>
      <c r="BV1607" s="3"/>
      <c r="BW1607" s="3"/>
    </row>
    <row r="1608" spans="1:75">
      <c r="A1608" s="1" t="s">
        <v>75</v>
      </c>
      <c r="B1608" s="1" t="s">
        <v>25236</v>
      </c>
      <c r="C1608" s="1" t="s">
        <v>28482</v>
      </c>
      <c r="D1608" s="1" t="s">
        <v>28483</v>
      </c>
      <c r="E1608" s="1" t="s">
        <v>3042</v>
      </c>
      <c r="F1608" s="1" t="s">
        <v>28484</v>
      </c>
      <c r="G1608" s="1" t="s">
        <v>28485</v>
      </c>
      <c r="H1608" s="1" t="s">
        <v>28486</v>
      </c>
      <c r="I1608" s="1" t="s">
        <v>28487</v>
      </c>
      <c r="J1608" s="1">
        <v>9619770111</v>
      </c>
      <c r="K1608" s="1" t="s">
        <v>84</v>
      </c>
      <c r="L1608" s="1" t="s">
        <v>28488</v>
      </c>
      <c r="M1608" s="1" t="s">
        <v>86</v>
      </c>
      <c r="N1608" s="1" t="s">
        <v>903</v>
      </c>
      <c r="O1608" s="1" t="s">
        <v>28489</v>
      </c>
      <c r="P1608" s="1" t="s">
        <v>455</v>
      </c>
      <c r="Q1608" s="1" t="s">
        <v>28490</v>
      </c>
      <c r="R1608" s="1" t="s">
        <v>3042</v>
      </c>
      <c r="S1608" s="1">
        <v>9423376937</v>
      </c>
      <c r="T1608" s="1" t="s">
        <v>28491</v>
      </c>
      <c r="U1608" s="1" t="s">
        <v>28492</v>
      </c>
      <c r="V1608" s="1">
        <v>8983196101</v>
      </c>
      <c r="W1608" s="1" t="s">
        <v>278</v>
      </c>
      <c r="X1608" s="1" t="s">
        <v>28493</v>
      </c>
      <c r="Y1608" s="1" t="s">
        <v>1189</v>
      </c>
      <c r="Z1608" s="1" t="s">
        <v>97</v>
      </c>
      <c r="AA1608" s="1" t="s">
        <v>28494</v>
      </c>
      <c r="AB1608" s="1" t="s">
        <v>196</v>
      </c>
      <c r="AC1608" s="1" t="s">
        <v>97</v>
      </c>
      <c r="AD1608" s="1" t="s">
        <v>98</v>
      </c>
      <c r="AE1608" s="1" t="s">
        <v>98</v>
      </c>
      <c r="AF1608" s="1" t="s">
        <v>28495</v>
      </c>
      <c r="AG1608" s="1" t="s">
        <v>28496</v>
      </c>
      <c r="AH1608" s="1" t="s">
        <v>166</v>
      </c>
      <c r="AI1608" s="1" t="s">
        <v>1111</v>
      </c>
      <c r="AJ1608" s="1">
        <v>86</v>
      </c>
      <c r="AK1608" s="1"/>
      <c r="AL1608" s="1" t="s">
        <v>28497</v>
      </c>
      <c r="AM1608" s="1" t="s">
        <v>7366</v>
      </c>
      <c r="AN1608" s="1"/>
      <c r="AO1608" s="1" t="s">
        <v>170</v>
      </c>
      <c r="AP1608" s="1" t="s">
        <v>1477</v>
      </c>
      <c r="AQ1608" s="1">
        <v>65.38</v>
      </c>
      <c r="AR1608" s="1"/>
      <c r="AS1608" s="1"/>
      <c r="AT1608" s="1"/>
      <c r="AU1608" s="1"/>
      <c r="AV1608" s="1"/>
      <c r="AW1608" s="1"/>
      <c r="AX1608" s="1"/>
      <c r="AY1608" s="1" t="s">
        <v>680</v>
      </c>
      <c r="AZ1608" s="1" t="s">
        <v>28498</v>
      </c>
      <c r="BA1608" s="1"/>
      <c r="BB1608" s="1"/>
      <c r="BC1608" s="1" t="s">
        <v>174</v>
      </c>
      <c r="BD1608" s="1" t="s">
        <v>110</v>
      </c>
      <c r="BE1608" s="1">
        <v>73.32</v>
      </c>
      <c r="BF1608" s="1">
        <v>8.13</v>
      </c>
      <c r="BG1608" s="1"/>
      <c r="BH1608" s="1"/>
      <c r="BI1608" s="1"/>
      <c r="BJ1608" s="1"/>
      <c r="BK1608" s="1"/>
      <c r="BL1608" s="1"/>
      <c r="BM1608" s="1"/>
      <c r="BN1608" s="1"/>
      <c r="BO1608" s="1" t="s">
        <v>28499</v>
      </c>
      <c r="BP1608" s="1"/>
      <c r="BQ1608" s="1"/>
      <c r="BR1608" s="1" t="s">
        <v>28500</v>
      </c>
      <c r="BS1608" s="1">
        <v>11</v>
      </c>
      <c r="BT1608" s="1"/>
      <c r="BU1608" s="1" t="str">
        <f>HYPERLINK("https://nconnect.nicmar.ac.in/storage/profile/ProfilePhoto_p2270188_356718.jpg","Download")</f>
        <v>0</v>
      </c>
      <c r="BV1608" s="3"/>
      <c r="BW1608" s="3"/>
    </row>
    <row r="1609" spans="1:75">
      <c r="A1609" s="1" t="s">
        <v>75</v>
      </c>
      <c r="B1609" s="1" t="s">
        <v>25236</v>
      </c>
      <c r="C1609" s="1" t="s">
        <v>28501</v>
      </c>
      <c r="D1609" s="1" t="s">
        <v>2309</v>
      </c>
      <c r="E1609" s="1" t="s">
        <v>397</v>
      </c>
      <c r="F1609" s="1" t="s">
        <v>5110</v>
      </c>
      <c r="G1609" s="1" t="s">
        <v>28502</v>
      </c>
      <c r="H1609" s="1" t="s">
        <v>28503</v>
      </c>
      <c r="I1609" s="1" t="s">
        <v>28504</v>
      </c>
      <c r="J1609" s="1">
        <v>7977711485</v>
      </c>
      <c r="K1609" s="1" t="s">
        <v>84</v>
      </c>
      <c r="L1609" s="1" t="s">
        <v>28505</v>
      </c>
      <c r="M1609" s="1" t="s">
        <v>86</v>
      </c>
      <c r="N1609" s="1" t="s">
        <v>4972</v>
      </c>
      <c r="O1609" s="1" t="s">
        <v>28506</v>
      </c>
      <c r="P1609" s="1" t="s">
        <v>481</v>
      </c>
      <c r="Q1609" s="1" t="s">
        <v>28507</v>
      </c>
      <c r="R1609" s="1" t="s">
        <v>28508</v>
      </c>
      <c r="S1609" s="1">
        <v>7021018586</v>
      </c>
      <c r="T1609" s="1" t="s">
        <v>839</v>
      </c>
      <c r="U1609" s="1" t="s">
        <v>28509</v>
      </c>
      <c r="V1609" s="1">
        <v>7506602475</v>
      </c>
      <c r="W1609" s="1" t="s">
        <v>278</v>
      </c>
      <c r="X1609" s="1" t="s">
        <v>28510</v>
      </c>
      <c r="Y1609" s="1" t="s">
        <v>1882</v>
      </c>
      <c r="Z1609" s="1" t="s">
        <v>97</v>
      </c>
      <c r="AA1609" s="1" t="s">
        <v>28510</v>
      </c>
      <c r="AB1609" s="1" t="s">
        <v>1882</v>
      </c>
      <c r="AC1609" s="1" t="s">
        <v>97</v>
      </c>
      <c r="AD1609" s="1" t="s">
        <v>98</v>
      </c>
      <c r="AE1609" s="1" t="s">
        <v>98</v>
      </c>
      <c r="AF1609" s="1" t="s">
        <v>28511</v>
      </c>
      <c r="AG1609" s="1" t="s">
        <v>28512</v>
      </c>
      <c r="AH1609" s="1" t="s">
        <v>1213</v>
      </c>
      <c r="AI1609" s="1" t="s">
        <v>101</v>
      </c>
      <c r="AJ1609" s="1">
        <v>81</v>
      </c>
      <c r="AK1609" s="1"/>
      <c r="AL1609" s="1" t="s">
        <v>28511</v>
      </c>
      <c r="AM1609" s="1" t="s">
        <v>28512</v>
      </c>
      <c r="AN1609" s="1"/>
      <c r="AO1609" s="1" t="s">
        <v>101</v>
      </c>
      <c r="AP1609" s="1" t="s">
        <v>627</v>
      </c>
      <c r="AQ1609" s="1">
        <v>63.85</v>
      </c>
      <c r="AR1609" s="1"/>
      <c r="AS1609" s="1"/>
      <c r="AT1609" s="1"/>
      <c r="AU1609" s="1"/>
      <c r="AV1609" s="1"/>
      <c r="AW1609" s="1"/>
      <c r="AX1609" s="1"/>
      <c r="AY1609" s="1" t="s">
        <v>258</v>
      </c>
      <c r="AZ1609" s="1" t="s">
        <v>28513</v>
      </c>
      <c r="BA1609" s="1"/>
      <c r="BB1609" s="1"/>
      <c r="BC1609" s="1" t="s">
        <v>139</v>
      </c>
      <c r="BD1609" s="1" t="s">
        <v>175</v>
      </c>
      <c r="BE1609" s="1">
        <v>59.37</v>
      </c>
      <c r="BF1609" s="1">
        <v>6.68</v>
      </c>
      <c r="BG1609" s="1"/>
      <c r="BH1609" s="1"/>
      <c r="BI1609" s="1"/>
      <c r="BJ1609" s="1"/>
      <c r="BK1609" s="1"/>
      <c r="BL1609" s="1"/>
      <c r="BM1609" s="1"/>
      <c r="BN1609" s="1"/>
      <c r="BO1609" s="1" t="s">
        <v>369</v>
      </c>
      <c r="BP1609" s="1"/>
      <c r="BQ1609" s="1"/>
      <c r="BR1609" s="1" t="s">
        <v>28514</v>
      </c>
      <c r="BS1609" s="1">
        <v>41</v>
      </c>
      <c r="BT1609" s="1"/>
      <c r="BU1609" s="1" t="str">
        <f>HYPERLINK("https://nconnect.nicmar.ac.in/storage/profile/ProfilePhoto_p2270189_395624.jpg","Download")</f>
        <v>0</v>
      </c>
      <c r="BV1609" s="3"/>
      <c r="BW1609" s="3"/>
    </row>
    <row r="1610" spans="1:75">
      <c r="A1610" s="1" t="s">
        <v>75</v>
      </c>
      <c r="B1610" s="1" t="s">
        <v>25236</v>
      </c>
      <c r="C1610" s="1" t="s">
        <v>28515</v>
      </c>
      <c r="D1610" s="1" t="s">
        <v>28516</v>
      </c>
      <c r="E1610" s="1" t="s">
        <v>28517</v>
      </c>
      <c r="F1610" s="1" t="s">
        <v>1002</v>
      </c>
      <c r="G1610" s="1" t="s">
        <v>28518</v>
      </c>
      <c r="H1610" s="1" t="s">
        <v>28519</v>
      </c>
      <c r="I1610" s="1" t="s">
        <v>28520</v>
      </c>
      <c r="J1610" s="1">
        <v>9823561666</v>
      </c>
      <c r="K1610" s="1" t="s">
        <v>84</v>
      </c>
      <c r="L1610" s="1" t="s">
        <v>28521</v>
      </c>
      <c r="M1610" s="1" t="s">
        <v>86</v>
      </c>
      <c r="N1610" s="1" t="s">
        <v>8293</v>
      </c>
      <c r="O1610" s="1" t="s">
        <v>28522</v>
      </c>
      <c r="P1610" s="1" t="s">
        <v>455</v>
      </c>
      <c r="Q1610" s="1" t="s">
        <v>28523</v>
      </c>
      <c r="R1610" s="1" t="s">
        <v>28524</v>
      </c>
      <c r="S1610" s="1">
        <v>9890392686</v>
      </c>
      <c r="T1610" s="1" t="s">
        <v>382</v>
      </c>
      <c r="U1610" s="1" t="s">
        <v>28525</v>
      </c>
      <c r="V1610" s="1">
        <v>9423063703</v>
      </c>
      <c r="W1610" s="1" t="s">
        <v>278</v>
      </c>
      <c r="X1610" s="1" t="s">
        <v>28526</v>
      </c>
      <c r="Y1610" s="1" t="s">
        <v>410</v>
      </c>
      <c r="Z1610" s="1" t="s">
        <v>97</v>
      </c>
      <c r="AA1610" s="1" t="s">
        <v>28526</v>
      </c>
      <c r="AB1610" s="1" t="s">
        <v>410</v>
      </c>
      <c r="AC1610" s="1" t="s">
        <v>97</v>
      </c>
      <c r="AD1610" s="1" t="s">
        <v>98</v>
      </c>
      <c r="AE1610" s="1" t="s">
        <v>98</v>
      </c>
      <c r="AF1610" s="1" t="s">
        <v>28527</v>
      </c>
      <c r="AG1610" s="1" t="s">
        <v>28528</v>
      </c>
      <c r="AH1610" s="1" t="s">
        <v>166</v>
      </c>
      <c r="AI1610" s="1" t="s">
        <v>627</v>
      </c>
      <c r="AJ1610" s="1">
        <v>68.85</v>
      </c>
      <c r="AK1610" s="1"/>
      <c r="AL1610" s="1" t="s">
        <v>28529</v>
      </c>
      <c r="AM1610" s="1" t="s">
        <v>28528</v>
      </c>
      <c r="AN1610" s="1"/>
      <c r="AO1610" s="1" t="s">
        <v>573</v>
      </c>
      <c r="AP1610" s="1" t="s">
        <v>1477</v>
      </c>
      <c r="AQ1610" s="1">
        <v>80.62</v>
      </c>
      <c r="AR1610" s="1"/>
      <c r="AS1610" s="1"/>
      <c r="AT1610" s="1"/>
      <c r="AU1610" s="1"/>
      <c r="AV1610" s="1"/>
      <c r="AW1610" s="1"/>
      <c r="AX1610" s="1"/>
      <c r="AY1610" s="1" t="s">
        <v>5425</v>
      </c>
      <c r="AZ1610" s="1" t="s">
        <v>3678</v>
      </c>
      <c r="BA1610" s="1"/>
      <c r="BB1610" s="1"/>
      <c r="BC1610" s="1" t="s">
        <v>174</v>
      </c>
      <c r="BD1610" s="1" t="s">
        <v>289</v>
      </c>
      <c r="BE1610" s="1">
        <v>71.9</v>
      </c>
      <c r="BF1610" s="1">
        <v>7.94</v>
      </c>
      <c r="BG1610" s="1"/>
      <c r="BH1610" s="1"/>
      <c r="BI1610" s="1"/>
      <c r="BJ1610" s="1"/>
      <c r="BK1610" s="1"/>
      <c r="BL1610" s="1"/>
      <c r="BM1610" s="1"/>
      <c r="BN1610" s="1"/>
      <c r="BO1610" s="1" t="s">
        <v>28530</v>
      </c>
      <c r="BP1610" s="1"/>
      <c r="BQ1610" s="1"/>
      <c r="BR1610" s="1" t="s">
        <v>28531</v>
      </c>
      <c r="BS1610" s="1">
        <v>24</v>
      </c>
      <c r="BT1610" s="1"/>
      <c r="BU1610" s="1" t="str">
        <f>HYPERLINK("https://nconnect.nicmar.ac.in/storage/profile/ProfilePhoto_p2270190_431672.jpg","Download")</f>
        <v>0</v>
      </c>
      <c r="BV1610" s="3"/>
      <c r="BW1610" s="3"/>
    </row>
    <row r="1611" spans="1:75">
      <c r="A1611" s="1" t="s">
        <v>75</v>
      </c>
      <c r="B1611" s="1" t="s">
        <v>25236</v>
      </c>
      <c r="C1611" s="1" t="s">
        <v>28532</v>
      </c>
      <c r="D1611" s="1" t="s">
        <v>28533</v>
      </c>
      <c r="E1611" s="1"/>
      <c r="F1611" s="1" t="s">
        <v>530</v>
      </c>
      <c r="G1611" s="1" t="s">
        <v>28534</v>
      </c>
      <c r="H1611" s="1" t="s">
        <v>28535</v>
      </c>
      <c r="I1611" s="1" t="s">
        <v>28536</v>
      </c>
      <c r="J1611" s="1">
        <v>8149969676</v>
      </c>
      <c r="K1611" s="1" t="s">
        <v>84</v>
      </c>
      <c r="L1611" s="1" t="s">
        <v>28537</v>
      </c>
      <c r="M1611" s="1" t="s">
        <v>86</v>
      </c>
      <c r="N1611" s="1" t="s">
        <v>26850</v>
      </c>
      <c r="O1611" s="1" t="s">
        <v>28538</v>
      </c>
      <c r="P1611" s="1" t="s">
        <v>455</v>
      </c>
      <c r="Q1611" s="1" t="s">
        <v>28539</v>
      </c>
      <c r="R1611" s="1" t="s">
        <v>28540</v>
      </c>
      <c r="S1611" s="1">
        <v>9463893676</v>
      </c>
      <c r="T1611" s="1" t="s">
        <v>926</v>
      </c>
      <c r="U1611" s="1" t="s">
        <v>7232</v>
      </c>
      <c r="V1611" s="1">
        <v>9417210273</v>
      </c>
      <c r="W1611" s="1" t="s">
        <v>161</v>
      </c>
      <c r="X1611" s="1" t="s">
        <v>28541</v>
      </c>
      <c r="Y1611" s="1" t="s">
        <v>28542</v>
      </c>
      <c r="Z1611" s="1" t="s">
        <v>972</v>
      </c>
      <c r="AA1611" s="1" t="s">
        <v>28543</v>
      </c>
      <c r="AB1611" s="1" t="s">
        <v>196</v>
      </c>
      <c r="AC1611" s="1" t="s">
        <v>97</v>
      </c>
      <c r="AD1611" s="1" t="s">
        <v>98</v>
      </c>
      <c r="AE1611" s="1" t="s">
        <v>98</v>
      </c>
      <c r="AF1611" s="1" t="s">
        <v>28544</v>
      </c>
      <c r="AG1611" s="1" t="s">
        <v>1721</v>
      </c>
      <c r="AH1611" s="1" t="s">
        <v>3770</v>
      </c>
      <c r="AI1611" s="1" t="s">
        <v>1457</v>
      </c>
      <c r="AJ1611" s="1">
        <v>91.2</v>
      </c>
      <c r="AK1611" s="1">
        <v>9.6</v>
      </c>
      <c r="AL1611" s="1" t="s">
        <v>28545</v>
      </c>
      <c r="AM1611" s="1" t="s">
        <v>28546</v>
      </c>
      <c r="AN1611" s="1"/>
      <c r="AO1611" s="1" t="s">
        <v>1214</v>
      </c>
      <c r="AP1611" s="1" t="s">
        <v>102</v>
      </c>
      <c r="AQ1611" s="1">
        <v>80.22</v>
      </c>
      <c r="AR1611" s="1">
        <v>0</v>
      </c>
      <c r="AS1611" s="1"/>
      <c r="AT1611" s="1"/>
      <c r="AU1611" s="1"/>
      <c r="AV1611" s="1"/>
      <c r="AW1611" s="1"/>
      <c r="AX1611" s="1"/>
      <c r="AY1611" s="1" t="s">
        <v>28547</v>
      </c>
      <c r="AZ1611" s="1" t="s">
        <v>28548</v>
      </c>
      <c r="BA1611" s="1"/>
      <c r="BB1611" s="1"/>
      <c r="BC1611" s="1" t="s">
        <v>105</v>
      </c>
      <c r="BD1611" s="1" t="s">
        <v>417</v>
      </c>
      <c r="BE1611" s="1">
        <v>66.48</v>
      </c>
      <c r="BF1611" s="1">
        <v>7.47</v>
      </c>
      <c r="BG1611" s="1"/>
      <c r="BH1611" s="1"/>
      <c r="BI1611" s="1"/>
      <c r="BJ1611" s="1"/>
      <c r="BK1611" s="1"/>
      <c r="BL1611" s="1"/>
      <c r="BM1611" s="1"/>
      <c r="BN1611" s="1"/>
      <c r="BO1611" s="1" t="s">
        <v>28549</v>
      </c>
      <c r="BP1611" s="1" t="s">
        <v>28550</v>
      </c>
      <c r="BQ1611" s="1" t="s">
        <v>780</v>
      </c>
      <c r="BR1611" s="1" t="s">
        <v>28551</v>
      </c>
      <c r="BS1611" s="1">
        <v>90</v>
      </c>
      <c r="BT1611" s="1"/>
      <c r="BU1611" s="1" t="str">
        <f>HYPERLINK("https://nconnect.nicmar.ac.in/storage/profile/ProfilePhoto_p2270191_596413.jpg","Download")</f>
        <v>0</v>
      </c>
      <c r="BV1611" s="3"/>
      <c r="BW1611" s="3"/>
    </row>
    <row r="1612" spans="1:75">
      <c r="A1612" s="1" t="s">
        <v>75</v>
      </c>
      <c r="B1612" s="1" t="s">
        <v>25236</v>
      </c>
      <c r="C1612" s="1" t="s">
        <v>28552</v>
      </c>
      <c r="D1612" s="1" t="s">
        <v>10261</v>
      </c>
      <c r="E1612" s="1" t="s">
        <v>25583</v>
      </c>
      <c r="F1612" s="1" t="s">
        <v>28553</v>
      </c>
      <c r="G1612" s="1" t="s">
        <v>28554</v>
      </c>
      <c r="H1612" s="1" t="s">
        <v>28555</v>
      </c>
      <c r="I1612" s="1" t="s">
        <v>28556</v>
      </c>
      <c r="J1612" s="1">
        <v>9158299306</v>
      </c>
      <c r="K1612" s="1" t="s">
        <v>153</v>
      </c>
      <c r="L1612" s="1" t="s">
        <v>28557</v>
      </c>
      <c r="M1612" s="1" t="s">
        <v>86</v>
      </c>
      <c r="N1612" s="1" t="s">
        <v>618</v>
      </c>
      <c r="O1612" s="1" t="s">
        <v>28558</v>
      </c>
      <c r="P1612" s="1" t="s">
        <v>2684</v>
      </c>
      <c r="Q1612" s="1" t="s">
        <v>28559</v>
      </c>
      <c r="R1612" s="1" t="s">
        <v>28560</v>
      </c>
      <c r="S1612" s="1">
        <v>8698841061</v>
      </c>
      <c r="T1612" s="1" t="s">
        <v>22979</v>
      </c>
      <c r="U1612" s="1" t="s">
        <v>28561</v>
      </c>
      <c r="V1612" s="1">
        <v>8698841061</v>
      </c>
      <c r="W1612" s="1" t="s">
        <v>28562</v>
      </c>
      <c r="X1612" s="1" t="s">
        <v>28563</v>
      </c>
      <c r="Y1612" s="1" t="s">
        <v>624</v>
      </c>
      <c r="Z1612" s="1" t="s">
        <v>97</v>
      </c>
      <c r="AA1612" s="1" t="s">
        <v>28563</v>
      </c>
      <c r="AB1612" s="1" t="s">
        <v>624</v>
      </c>
      <c r="AC1612" s="1" t="s">
        <v>97</v>
      </c>
      <c r="AD1612" s="1" t="s">
        <v>98</v>
      </c>
      <c r="AE1612" s="1" t="s">
        <v>98</v>
      </c>
      <c r="AF1612" s="1" t="s">
        <v>28564</v>
      </c>
      <c r="AG1612" s="1" t="s">
        <v>6416</v>
      </c>
      <c r="AH1612" s="1" t="s">
        <v>134</v>
      </c>
      <c r="AI1612" s="1" t="s">
        <v>1262</v>
      </c>
      <c r="AJ1612" s="1">
        <v>72.2</v>
      </c>
      <c r="AK1612" s="1"/>
      <c r="AL1612" s="1" t="s">
        <v>28565</v>
      </c>
      <c r="AM1612" s="1" t="s">
        <v>6416</v>
      </c>
      <c r="AN1612" s="1"/>
      <c r="AO1612" s="1" t="s">
        <v>136</v>
      </c>
      <c r="AP1612" s="1" t="s">
        <v>284</v>
      </c>
      <c r="AQ1612" s="1">
        <v>62.46</v>
      </c>
      <c r="AR1612" s="1"/>
      <c r="AS1612" s="1"/>
      <c r="AT1612" s="1"/>
      <c r="AU1612" s="1"/>
      <c r="AV1612" s="1"/>
      <c r="AW1612" s="1"/>
      <c r="AX1612" s="1"/>
      <c r="AY1612" s="1" t="s">
        <v>28566</v>
      </c>
      <c r="AZ1612" s="1" t="s">
        <v>28567</v>
      </c>
      <c r="BA1612" s="1"/>
      <c r="BB1612" s="1"/>
      <c r="BC1612" s="1" t="s">
        <v>139</v>
      </c>
      <c r="BD1612" s="1" t="s">
        <v>417</v>
      </c>
      <c r="BE1612" s="1">
        <v>72.9</v>
      </c>
      <c r="BF1612" s="1"/>
      <c r="BG1612" s="1"/>
      <c r="BH1612" s="1"/>
      <c r="BI1612" s="1"/>
      <c r="BJ1612" s="1"/>
      <c r="BK1612" s="1"/>
      <c r="BL1612" s="1"/>
      <c r="BM1612" s="1"/>
      <c r="BN1612" s="1"/>
      <c r="BO1612" s="1" t="s">
        <v>28568</v>
      </c>
      <c r="BP1612" s="1" t="s">
        <v>28569</v>
      </c>
      <c r="BQ1612" s="1" t="s">
        <v>292</v>
      </c>
      <c r="BR1612" s="1" t="s">
        <v>28570</v>
      </c>
      <c r="BS1612" s="1">
        <v>12</v>
      </c>
      <c r="BT1612" s="1"/>
      <c r="BU1612" s="1" t="str">
        <f>HYPERLINK("https://nconnect.nicmar.ac.in/storage/profile/ProfilePhoto_p2270192_419563.jpg","Download")</f>
        <v>0</v>
      </c>
      <c r="BV1612" s="3"/>
      <c r="BW1612" s="3"/>
    </row>
    <row r="1613" spans="1:75">
      <c r="A1613" s="1" t="s">
        <v>75</v>
      </c>
      <c r="B1613" s="1" t="s">
        <v>25236</v>
      </c>
      <c r="C1613" s="1" t="s">
        <v>28571</v>
      </c>
      <c r="D1613" s="1" t="s">
        <v>5430</v>
      </c>
      <c r="E1613" s="1"/>
      <c r="F1613" s="1" t="s">
        <v>13957</v>
      </c>
      <c r="G1613" s="1" t="s">
        <v>28572</v>
      </c>
      <c r="H1613" s="1" t="s">
        <v>28573</v>
      </c>
      <c r="I1613" s="1" t="s">
        <v>28574</v>
      </c>
      <c r="J1613" s="1">
        <v>8978632567</v>
      </c>
      <c r="K1613" s="1" t="s">
        <v>84</v>
      </c>
      <c r="L1613" s="1" t="s">
        <v>28575</v>
      </c>
      <c r="M1613" s="1" t="s">
        <v>86</v>
      </c>
      <c r="N1613" s="1" t="s">
        <v>28576</v>
      </c>
      <c r="O1613" s="1"/>
      <c r="P1613" s="1" t="s">
        <v>1028</v>
      </c>
      <c r="Q1613" s="1" t="s">
        <v>28577</v>
      </c>
      <c r="R1613" s="1" t="s">
        <v>28578</v>
      </c>
      <c r="S1613" s="1">
        <v>9885454411</v>
      </c>
      <c r="T1613" s="1" t="s">
        <v>28579</v>
      </c>
      <c r="U1613" s="1" t="s">
        <v>28580</v>
      </c>
      <c r="V1613" s="1">
        <v>9618899786</v>
      </c>
      <c r="W1613" s="1" t="s">
        <v>28581</v>
      </c>
      <c r="X1613" s="1" t="s">
        <v>28582</v>
      </c>
      <c r="Y1613" s="1" t="s">
        <v>1454</v>
      </c>
      <c r="Z1613" s="1" t="s">
        <v>281</v>
      </c>
      <c r="AA1613" s="1" t="s">
        <v>28582</v>
      </c>
      <c r="AB1613" s="1" t="s">
        <v>1454</v>
      </c>
      <c r="AC1613" s="1" t="s">
        <v>281</v>
      </c>
      <c r="AD1613" s="1" t="s">
        <v>98</v>
      </c>
      <c r="AE1613" s="1" t="s">
        <v>98</v>
      </c>
      <c r="AF1613" s="1" t="s">
        <v>3792</v>
      </c>
      <c r="AG1613" s="1" t="s">
        <v>28583</v>
      </c>
      <c r="AH1613" s="1" t="s">
        <v>101</v>
      </c>
      <c r="AI1613" s="1" t="s">
        <v>136</v>
      </c>
      <c r="AJ1613" s="1">
        <v>72.3</v>
      </c>
      <c r="AK1613" s="1">
        <v>0</v>
      </c>
      <c r="AL1613" s="1" t="s">
        <v>28584</v>
      </c>
      <c r="AM1613" s="1" t="s">
        <v>21404</v>
      </c>
      <c r="AN1613" s="1"/>
      <c r="AO1613" s="1" t="s">
        <v>167</v>
      </c>
      <c r="AP1613" s="1" t="s">
        <v>704</v>
      </c>
      <c r="AQ1613" s="1">
        <v>88.3</v>
      </c>
      <c r="AR1613" s="1">
        <v>0</v>
      </c>
      <c r="AS1613" s="1"/>
      <c r="AT1613" s="1"/>
      <c r="AU1613" s="1"/>
      <c r="AV1613" s="1"/>
      <c r="AW1613" s="1"/>
      <c r="AX1613" s="1"/>
      <c r="AY1613" s="1" t="s">
        <v>28585</v>
      </c>
      <c r="AZ1613" s="1" t="s">
        <v>28586</v>
      </c>
      <c r="BA1613" s="1"/>
      <c r="BB1613" s="1"/>
      <c r="BC1613" s="1" t="s">
        <v>230</v>
      </c>
      <c r="BD1613" s="1" t="s">
        <v>521</v>
      </c>
      <c r="BE1613" s="1">
        <v>68.02</v>
      </c>
      <c r="BF1613" s="1">
        <v>7.16</v>
      </c>
      <c r="BG1613" s="1"/>
      <c r="BH1613" s="1"/>
      <c r="BI1613" s="1"/>
      <c r="BJ1613" s="1"/>
      <c r="BK1613" s="1"/>
      <c r="BL1613" s="1"/>
      <c r="BM1613" s="1"/>
      <c r="BN1613" s="1"/>
      <c r="BO1613" s="1" t="s">
        <v>28587</v>
      </c>
      <c r="BP1613" s="1"/>
      <c r="BQ1613" s="1"/>
      <c r="BR1613" s="1" t="s">
        <v>28588</v>
      </c>
      <c r="BS1613" s="1">
        <v>23</v>
      </c>
      <c r="BT1613" s="1"/>
      <c r="BU1613" s="1" t="str">
        <f>HYPERLINK("https://nconnect.nicmar.ac.in/storage/profile/ProfilePhoto_p2270194_138627.jpg","Download")</f>
        <v>0</v>
      </c>
      <c r="BV1613" s="3"/>
      <c r="BW1613" s="3"/>
    </row>
    <row r="1614" spans="1:75">
      <c r="A1614" s="1" t="s">
        <v>75</v>
      </c>
      <c r="B1614" s="1" t="s">
        <v>25236</v>
      </c>
      <c r="C1614" s="1" t="s">
        <v>28589</v>
      </c>
      <c r="D1614" s="1" t="s">
        <v>28590</v>
      </c>
      <c r="E1614" s="1"/>
      <c r="F1614" s="1" t="s">
        <v>1223</v>
      </c>
      <c r="G1614" s="1" t="s">
        <v>28591</v>
      </c>
      <c r="H1614" s="1" t="s">
        <v>28592</v>
      </c>
      <c r="I1614" s="1" t="s">
        <v>28593</v>
      </c>
      <c r="J1614" s="1">
        <v>7908839271</v>
      </c>
      <c r="K1614" s="1" t="s">
        <v>84</v>
      </c>
      <c r="L1614" s="1" t="s">
        <v>17933</v>
      </c>
      <c r="M1614" s="1" t="s">
        <v>86</v>
      </c>
      <c r="N1614" s="1" t="s">
        <v>10869</v>
      </c>
      <c r="O1614" s="1" t="s">
        <v>28594</v>
      </c>
      <c r="P1614" s="1" t="s">
        <v>481</v>
      </c>
      <c r="Q1614" s="1" t="s">
        <v>28595</v>
      </c>
      <c r="R1614" s="1" t="s">
        <v>28596</v>
      </c>
      <c r="S1614" s="1">
        <v>9732324015</v>
      </c>
      <c r="T1614" s="1" t="s">
        <v>28597</v>
      </c>
      <c r="U1614" s="1" t="s">
        <v>28598</v>
      </c>
      <c r="V1614" s="1">
        <v>6294352462</v>
      </c>
      <c r="W1614" s="1" t="s">
        <v>278</v>
      </c>
      <c r="X1614" s="1" t="s">
        <v>28599</v>
      </c>
      <c r="Y1614" s="1" t="s">
        <v>28600</v>
      </c>
      <c r="Z1614" s="1" t="s">
        <v>1234</v>
      </c>
      <c r="AA1614" s="1" t="s">
        <v>28599</v>
      </c>
      <c r="AB1614" s="1" t="s">
        <v>28600</v>
      </c>
      <c r="AC1614" s="1" t="s">
        <v>1234</v>
      </c>
      <c r="AD1614" s="1" t="s">
        <v>98</v>
      </c>
      <c r="AE1614" s="1" t="s">
        <v>98</v>
      </c>
      <c r="AF1614" s="1" t="s">
        <v>28601</v>
      </c>
      <c r="AG1614" s="1" t="s">
        <v>28602</v>
      </c>
      <c r="AH1614" s="1" t="s">
        <v>3770</v>
      </c>
      <c r="AI1614" s="1" t="s">
        <v>3421</v>
      </c>
      <c r="AJ1614" s="1">
        <v>89.57</v>
      </c>
      <c r="AK1614" s="1"/>
      <c r="AL1614" s="1" t="s">
        <v>28601</v>
      </c>
      <c r="AM1614" s="1" t="s">
        <v>28602</v>
      </c>
      <c r="AN1614" s="1"/>
      <c r="AO1614" s="1" t="s">
        <v>1214</v>
      </c>
      <c r="AP1614" s="1" t="s">
        <v>136</v>
      </c>
      <c r="AQ1614" s="1">
        <v>86.6</v>
      </c>
      <c r="AR1614" s="1"/>
      <c r="AS1614" s="1"/>
      <c r="AT1614" s="1"/>
      <c r="AU1614" s="1"/>
      <c r="AV1614" s="1"/>
      <c r="AW1614" s="1"/>
      <c r="AX1614" s="1"/>
      <c r="AY1614" s="1" t="s">
        <v>28603</v>
      </c>
      <c r="AZ1614" s="1" t="s">
        <v>28604</v>
      </c>
      <c r="BA1614" s="1"/>
      <c r="BB1614" s="1"/>
      <c r="BC1614" s="1" t="s">
        <v>342</v>
      </c>
      <c r="BD1614" s="1" t="s">
        <v>365</v>
      </c>
      <c r="BE1614" s="1">
        <v>57.9</v>
      </c>
      <c r="BF1614" s="1">
        <v>6.54</v>
      </c>
      <c r="BG1614" s="1"/>
      <c r="BH1614" s="1"/>
      <c r="BI1614" s="1"/>
      <c r="BJ1614" s="1"/>
      <c r="BK1614" s="1"/>
      <c r="BL1614" s="1"/>
      <c r="BM1614" s="1"/>
      <c r="BN1614" s="1"/>
      <c r="BO1614" s="1" t="s">
        <v>369</v>
      </c>
      <c r="BP1614" s="1"/>
      <c r="BQ1614" s="1"/>
      <c r="BR1614" s="1" t="s">
        <v>28605</v>
      </c>
      <c r="BS1614" s="1">
        <v>7</v>
      </c>
      <c r="BT1614" s="1"/>
      <c r="BU1614" s="1" t="str">
        <f>HYPERLINK("https://nconnect.nicmar.ac.in/storage/profile/ProfilePhoto_p2270195_438271.jpg","Download")</f>
        <v>0</v>
      </c>
      <c r="BV1614" s="3"/>
      <c r="BW1614" s="3"/>
    </row>
    <row r="1615" spans="1:75">
      <c r="A1615" s="1" t="s">
        <v>75</v>
      </c>
      <c r="B1615" s="1" t="s">
        <v>25236</v>
      </c>
      <c r="C1615" s="1" t="s">
        <v>28606</v>
      </c>
      <c r="D1615" s="1" t="s">
        <v>13668</v>
      </c>
      <c r="E1615" s="1" t="s">
        <v>4707</v>
      </c>
      <c r="F1615" s="1" t="s">
        <v>28607</v>
      </c>
      <c r="G1615" s="1" t="s">
        <v>28608</v>
      </c>
      <c r="H1615" s="1" t="s">
        <v>28609</v>
      </c>
      <c r="I1615" s="1" t="s">
        <v>28610</v>
      </c>
      <c r="J1615" s="1">
        <v>7218211101</v>
      </c>
      <c r="K1615" s="1" t="s">
        <v>84</v>
      </c>
      <c r="L1615" s="1" t="s">
        <v>28611</v>
      </c>
      <c r="M1615" s="1" t="s">
        <v>86</v>
      </c>
      <c r="N1615" s="1" t="s">
        <v>3568</v>
      </c>
      <c r="O1615" s="1" t="s">
        <v>28612</v>
      </c>
      <c r="P1615" s="1"/>
      <c r="Q1615" s="1" t="s">
        <v>28613</v>
      </c>
      <c r="R1615" s="1" t="s">
        <v>4707</v>
      </c>
      <c r="S1615" s="1">
        <v>9765718661</v>
      </c>
      <c r="T1615" s="1" t="s">
        <v>125</v>
      </c>
      <c r="U1615" s="1" t="s">
        <v>28614</v>
      </c>
      <c r="V1615" s="1">
        <v>7507428219</v>
      </c>
      <c r="W1615" s="1" t="s">
        <v>94</v>
      </c>
      <c r="X1615" s="1" t="s">
        <v>28615</v>
      </c>
      <c r="Y1615" s="1" t="s">
        <v>410</v>
      </c>
      <c r="Z1615" s="1" t="s">
        <v>97</v>
      </c>
      <c r="AA1615" s="1" t="s">
        <v>28615</v>
      </c>
      <c r="AB1615" s="1" t="s">
        <v>410</v>
      </c>
      <c r="AC1615" s="1" t="s">
        <v>97</v>
      </c>
      <c r="AD1615" s="1" t="s">
        <v>98</v>
      </c>
      <c r="AE1615" s="1" t="s">
        <v>98</v>
      </c>
      <c r="AF1615" s="1" t="s">
        <v>28616</v>
      </c>
      <c r="AG1615" s="1" t="s">
        <v>165</v>
      </c>
      <c r="AH1615" s="1" t="s">
        <v>2726</v>
      </c>
      <c r="AI1615" s="1" t="s">
        <v>1457</v>
      </c>
      <c r="AJ1615" s="1">
        <v>78.73</v>
      </c>
      <c r="AK1615" s="1"/>
      <c r="AL1615" s="1" t="s">
        <v>28617</v>
      </c>
      <c r="AM1615" s="1" t="s">
        <v>165</v>
      </c>
      <c r="AN1615" s="1"/>
      <c r="AO1615" s="1" t="s">
        <v>1214</v>
      </c>
      <c r="AP1615" s="1" t="s">
        <v>11567</v>
      </c>
      <c r="AQ1615" s="1">
        <v>69.08</v>
      </c>
      <c r="AR1615" s="1"/>
      <c r="AS1615" s="1"/>
      <c r="AT1615" s="1"/>
      <c r="AU1615" s="1"/>
      <c r="AV1615" s="1"/>
      <c r="AW1615" s="1"/>
      <c r="AX1615" s="1"/>
      <c r="AY1615" s="1" t="s">
        <v>415</v>
      </c>
      <c r="AZ1615" s="1" t="s">
        <v>28618</v>
      </c>
      <c r="BA1615" s="1"/>
      <c r="BB1615" s="1"/>
      <c r="BC1615" s="1" t="s">
        <v>342</v>
      </c>
      <c r="BD1615" s="1" t="s">
        <v>313</v>
      </c>
      <c r="BE1615" s="1">
        <v>68.7</v>
      </c>
      <c r="BF1615" s="1">
        <v>7.61</v>
      </c>
      <c r="BG1615" s="1"/>
      <c r="BH1615" s="1"/>
      <c r="BI1615" s="1"/>
      <c r="BJ1615" s="1"/>
      <c r="BK1615" s="1"/>
      <c r="BL1615" s="1"/>
      <c r="BM1615" s="1"/>
      <c r="BN1615" s="1"/>
      <c r="BO1615" s="1" t="s">
        <v>25516</v>
      </c>
      <c r="BP1615" s="1"/>
      <c r="BQ1615" s="1"/>
      <c r="BR1615" s="1" t="s">
        <v>28619</v>
      </c>
      <c r="BS1615" s="1">
        <v>12</v>
      </c>
      <c r="BT1615" s="1"/>
      <c r="BU1615" s="1" t="str">
        <f>HYPERLINK("https://nconnect.nicmar.ac.in/storage/profile/ProfilePhoto_p2270196_427958.jpg","Download")</f>
        <v>0</v>
      </c>
      <c r="BV1615" s="3"/>
      <c r="BW1615" s="3"/>
    </row>
    <row r="1616" spans="1:75">
      <c r="A1616" s="1" t="s">
        <v>75</v>
      </c>
      <c r="B1616" s="1" t="s">
        <v>25236</v>
      </c>
      <c r="C1616" s="1" t="s">
        <v>28620</v>
      </c>
      <c r="D1616" s="1" t="s">
        <v>28621</v>
      </c>
      <c r="E1616" s="1"/>
      <c r="F1616" s="1" t="s">
        <v>28622</v>
      </c>
      <c r="G1616" s="1" t="s">
        <v>28623</v>
      </c>
      <c r="H1616" s="1" t="s">
        <v>28624</v>
      </c>
      <c r="I1616" s="1" t="s">
        <v>28625</v>
      </c>
      <c r="J1616" s="1">
        <v>8390089198</v>
      </c>
      <c r="K1616" s="1" t="s">
        <v>153</v>
      </c>
      <c r="L1616" s="1" t="s">
        <v>28626</v>
      </c>
      <c r="M1616" s="1" t="s">
        <v>86</v>
      </c>
      <c r="N1616" s="1" t="s">
        <v>618</v>
      </c>
      <c r="O1616" s="1" t="s">
        <v>28627</v>
      </c>
      <c r="P1616" s="1" t="s">
        <v>481</v>
      </c>
      <c r="Q1616" s="1" t="s">
        <v>28628</v>
      </c>
      <c r="R1616" s="1" t="s">
        <v>28629</v>
      </c>
      <c r="S1616" s="1">
        <v>9923122702</v>
      </c>
      <c r="T1616" s="1" t="s">
        <v>22979</v>
      </c>
      <c r="U1616" s="1" t="s">
        <v>28630</v>
      </c>
      <c r="V1616" s="1">
        <v>9923122702</v>
      </c>
      <c r="W1616" s="1" t="s">
        <v>127</v>
      </c>
      <c r="X1616" s="1" t="s">
        <v>28631</v>
      </c>
      <c r="Y1616" s="1" t="s">
        <v>7241</v>
      </c>
      <c r="Z1616" s="1" t="s">
        <v>97</v>
      </c>
      <c r="AA1616" s="1" t="s">
        <v>28632</v>
      </c>
      <c r="AB1616" s="1" t="s">
        <v>196</v>
      </c>
      <c r="AC1616" s="1" t="s">
        <v>97</v>
      </c>
      <c r="AD1616" s="1" t="s">
        <v>98</v>
      </c>
      <c r="AE1616" s="1" t="s">
        <v>98</v>
      </c>
      <c r="AF1616" s="1" t="s">
        <v>28633</v>
      </c>
      <c r="AG1616" s="1" t="s">
        <v>312</v>
      </c>
      <c r="AH1616" s="1" t="s">
        <v>1214</v>
      </c>
      <c r="AI1616" s="1" t="s">
        <v>136</v>
      </c>
      <c r="AJ1616" s="1">
        <v>88.2</v>
      </c>
      <c r="AK1616" s="1">
        <v>9.4</v>
      </c>
      <c r="AL1616" s="1" t="s">
        <v>28634</v>
      </c>
      <c r="AM1616" s="1" t="s">
        <v>28635</v>
      </c>
      <c r="AN1616" s="1"/>
      <c r="AO1616" s="1" t="s">
        <v>167</v>
      </c>
      <c r="AP1616" s="1" t="s">
        <v>170</v>
      </c>
      <c r="AQ1616" s="1">
        <v>73.85</v>
      </c>
      <c r="AR1616" s="1"/>
      <c r="AS1616" s="1"/>
      <c r="AT1616" s="1"/>
      <c r="AU1616" s="1"/>
      <c r="AV1616" s="1"/>
      <c r="AW1616" s="1"/>
      <c r="AX1616" s="1"/>
      <c r="AY1616" s="1" t="s">
        <v>997</v>
      </c>
      <c r="AZ1616" s="1" t="s">
        <v>28636</v>
      </c>
      <c r="BA1616" s="1"/>
      <c r="BB1616" s="1"/>
      <c r="BC1616" s="1" t="s">
        <v>388</v>
      </c>
      <c r="BD1616" s="1" t="s">
        <v>549</v>
      </c>
      <c r="BE1616" s="1">
        <v>91.5</v>
      </c>
      <c r="BF1616" s="1">
        <v>9.9</v>
      </c>
      <c r="BG1616" s="1"/>
      <c r="BH1616" s="1"/>
      <c r="BI1616" s="1"/>
      <c r="BJ1616" s="1"/>
      <c r="BK1616" s="1"/>
      <c r="BL1616" s="1"/>
      <c r="BM1616" s="1"/>
      <c r="BN1616" s="1"/>
      <c r="BO1616" s="1" t="s">
        <v>25798</v>
      </c>
      <c r="BP1616" s="1"/>
      <c r="BQ1616" s="1"/>
      <c r="BR1616" s="1" t="s">
        <v>28637</v>
      </c>
      <c r="BS1616" s="1">
        <v>33</v>
      </c>
      <c r="BT1616" s="1"/>
      <c r="BU1616" s="1" t="str">
        <f>HYPERLINK("https://nconnect.nicmar.ac.in/storage/profile/ProfilePhoto_p2270197_298174.jpg","Download")</f>
        <v>0</v>
      </c>
      <c r="BV1616" s="3"/>
      <c r="BW1616" s="3"/>
    </row>
    <row r="1617" spans="1:75">
      <c r="A1617" s="1" t="s">
        <v>75</v>
      </c>
      <c r="B1617" s="1" t="s">
        <v>25236</v>
      </c>
      <c r="C1617" s="1" t="s">
        <v>28638</v>
      </c>
      <c r="D1617" s="1" t="s">
        <v>1464</v>
      </c>
      <c r="E1617" s="1" t="s">
        <v>1320</v>
      </c>
      <c r="F1617" s="1" t="s">
        <v>6537</v>
      </c>
      <c r="G1617" s="1" t="s">
        <v>28639</v>
      </c>
      <c r="H1617" s="1" t="s">
        <v>28640</v>
      </c>
      <c r="I1617" s="1" t="s">
        <v>28641</v>
      </c>
      <c r="J1617" s="1">
        <v>9632715137</v>
      </c>
      <c r="K1617" s="1" t="s">
        <v>84</v>
      </c>
      <c r="L1617" s="1" t="s">
        <v>28642</v>
      </c>
      <c r="M1617" s="1" t="s">
        <v>86</v>
      </c>
      <c r="N1617" s="1" t="s">
        <v>28643</v>
      </c>
      <c r="O1617" s="1" t="s">
        <v>28644</v>
      </c>
      <c r="P1617" s="1" t="s">
        <v>481</v>
      </c>
      <c r="Q1617" s="1" t="s">
        <v>28645</v>
      </c>
      <c r="R1617" s="1" t="s">
        <v>28646</v>
      </c>
      <c r="S1617" s="1">
        <v>9164818041</v>
      </c>
      <c r="T1617" s="1" t="s">
        <v>596</v>
      </c>
      <c r="U1617" s="1" t="s">
        <v>8127</v>
      </c>
      <c r="V1617" s="1">
        <v>9663589865</v>
      </c>
      <c r="W1617" s="1" t="s">
        <v>161</v>
      </c>
      <c r="X1617" s="1" t="s">
        <v>28647</v>
      </c>
      <c r="Y1617" s="1" t="s">
        <v>4590</v>
      </c>
      <c r="Z1617" s="1" t="s">
        <v>1210</v>
      </c>
      <c r="AA1617" s="1" t="s">
        <v>28648</v>
      </c>
      <c r="AB1617" s="1" t="s">
        <v>196</v>
      </c>
      <c r="AC1617" s="1" t="s">
        <v>97</v>
      </c>
      <c r="AD1617" s="1" t="s">
        <v>98</v>
      </c>
      <c r="AE1617" s="1" t="s">
        <v>98</v>
      </c>
      <c r="AF1617" s="1" t="s">
        <v>28649</v>
      </c>
      <c r="AG1617" s="1" t="s">
        <v>28650</v>
      </c>
      <c r="AH1617" s="1" t="s">
        <v>133</v>
      </c>
      <c r="AI1617" s="1" t="s">
        <v>134</v>
      </c>
      <c r="AJ1617" s="1">
        <v>89.12</v>
      </c>
      <c r="AK1617" s="1"/>
      <c r="AL1617" s="1" t="s">
        <v>28651</v>
      </c>
      <c r="AM1617" s="1" t="s">
        <v>28652</v>
      </c>
      <c r="AN1617" s="1"/>
      <c r="AO1617" s="1" t="s">
        <v>1262</v>
      </c>
      <c r="AP1617" s="1" t="s">
        <v>136</v>
      </c>
      <c r="AQ1617" s="1">
        <v>89.5</v>
      </c>
      <c r="AR1617" s="1"/>
      <c r="AS1617" s="1"/>
      <c r="AT1617" s="1"/>
      <c r="AU1617" s="1"/>
      <c r="AV1617" s="1"/>
      <c r="AW1617" s="1"/>
      <c r="AX1617" s="1"/>
      <c r="AY1617" s="1" t="s">
        <v>731</v>
      </c>
      <c r="AZ1617" s="1" t="s">
        <v>28653</v>
      </c>
      <c r="BA1617" s="1"/>
      <c r="BB1617" s="1"/>
      <c r="BC1617" s="1" t="s">
        <v>105</v>
      </c>
      <c r="BD1617" s="1" t="s">
        <v>438</v>
      </c>
      <c r="BE1617" s="1">
        <v>80.9</v>
      </c>
      <c r="BF1617" s="1">
        <v>8.84</v>
      </c>
      <c r="BG1617" s="1"/>
      <c r="BH1617" s="1"/>
      <c r="BI1617" s="1"/>
      <c r="BJ1617" s="1"/>
      <c r="BK1617" s="1"/>
      <c r="BL1617" s="1"/>
      <c r="BM1617" s="1"/>
      <c r="BN1617" s="1"/>
      <c r="BO1617" s="1" t="s">
        <v>28654</v>
      </c>
      <c r="BP1617" s="1" t="s">
        <v>28655</v>
      </c>
      <c r="BQ1617" s="1" t="s">
        <v>345</v>
      </c>
      <c r="BR1617" s="1" t="s">
        <v>28656</v>
      </c>
      <c r="BS1617" s="1">
        <v>8</v>
      </c>
      <c r="BT1617" s="1"/>
      <c r="BU1617" s="1" t="str">
        <f>HYPERLINK("https://nconnect.nicmar.ac.in/storage/profile/ProfilePhoto_p2270198_896342.jpg","Download")</f>
        <v>0</v>
      </c>
      <c r="BV1617" s="3"/>
      <c r="BW1617" s="3"/>
    </row>
    <row r="1618" spans="1:75">
      <c r="A1618" s="1" t="s">
        <v>75</v>
      </c>
      <c r="B1618" s="1" t="s">
        <v>25236</v>
      </c>
      <c r="C1618" s="1" t="s">
        <v>28657</v>
      </c>
      <c r="D1618" s="1" t="s">
        <v>28658</v>
      </c>
      <c r="E1618" s="1"/>
      <c r="F1618" s="1" t="s">
        <v>16730</v>
      </c>
      <c r="G1618" s="1" t="s">
        <v>28659</v>
      </c>
      <c r="H1618" s="1" t="s">
        <v>28660</v>
      </c>
      <c r="I1618" s="1" t="s">
        <v>28661</v>
      </c>
      <c r="J1618" s="1">
        <v>7978735561</v>
      </c>
      <c r="K1618" s="1" t="s">
        <v>153</v>
      </c>
      <c r="L1618" s="1" t="s">
        <v>28662</v>
      </c>
      <c r="M1618" s="1" t="s">
        <v>155</v>
      </c>
      <c r="N1618" s="1" t="s">
        <v>8420</v>
      </c>
      <c r="O1618" s="1"/>
      <c r="P1618" s="1" t="s">
        <v>507</v>
      </c>
      <c r="Q1618" s="1" t="s">
        <v>28663</v>
      </c>
      <c r="R1618" s="1" t="s">
        <v>28664</v>
      </c>
      <c r="S1618" s="1">
        <v>9437188168</v>
      </c>
      <c r="T1618" s="1" t="s">
        <v>28665</v>
      </c>
      <c r="U1618" s="1" t="s">
        <v>28666</v>
      </c>
      <c r="V1618" s="1">
        <v>9437188168</v>
      </c>
      <c r="W1618" s="1" t="s">
        <v>4695</v>
      </c>
      <c r="X1618" s="1" t="s">
        <v>28667</v>
      </c>
      <c r="Y1618" s="1" t="s">
        <v>20810</v>
      </c>
      <c r="Z1618" s="1" t="s">
        <v>865</v>
      </c>
      <c r="AA1618" s="1" t="s">
        <v>28668</v>
      </c>
      <c r="AB1618" s="1" t="s">
        <v>196</v>
      </c>
      <c r="AC1618" s="1" t="s">
        <v>97</v>
      </c>
      <c r="AD1618" s="1" t="s">
        <v>98</v>
      </c>
      <c r="AE1618" s="1" t="s">
        <v>98</v>
      </c>
      <c r="AF1618" s="1" t="s">
        <v>28669</v>
      </c>
      <c r="AG1618" s="1" t="s">
        <v>28670</v>
      </c>
      <c r="AH1618" s="1" t="s">
        <v>799</v>
      </c>
      <c r="AI1618" s="1" t="s">
        <v>801</v>
      </c>
      <c r="AJ1618" s="1">
        <v>68.5</v>
      </c>
      <c r="AK1618" s="1">
        <v>7.2</v>
      </c>
      <c r="AL1618" s="1" t="s">
        <v>22725</v>
      </c>
      <c r="AM1618" s="1" t="s">
        <v>28670</v>
      </c>
      <c r="AN1618" s="1"/>
      <c r="AO1618" s="1" t="s">
        <v>801</v>
      </c>
      <c r="AP1618" s="1" t="s">
        <v>134</v>
      </c>
      <c r="AQ1618" s="1">
        <v>54.8</v>
      </c>
      <c r="AR1618" s="1"/>
      <c r="AS1618" s="1"/>
      <c r="AT1618" s="1"/>
      <c r="AU1618" s="1"/>
      <c r="AV1618" s="1"/>
      <c r="AW1618" s="1"/>
      <c r="AX1618" s="1"/>
      <c r="AY1618" s="1" t="s">
        <v>28671</v>
      </c>
      <c r="AZ1618" s="1" t="s">
        <v>28672</v>
      </c>
      <c r="BA1618" s="1"/>
      <c r="BB1618" s="1"/>
      <c r="BC1618" s="1" t="s">
        <v>804</v>
      </c>
      <c r="BD1618" s="1" t="s">
        <v>206</v>
      </c>
      <c r="BE1618" s="1">
        <v>58</v>
      </c>
      <c r="BF1618" s="1"/>
      <c r="BG1618" s="1"/>
      <c r="BH1618" s="1"/>
      <c r="BI1618" s="1"/>
      <c r="BJ1618" s="1"/>
      <c r="BK1618" s="1"/>
      <c r="BL1618" s="1"/>
      <c r="BM1618" s="1"/>
      <c r="BN1618" s="1"/>
      <c r="BO1618" s="1" t="s">
        <v>369</v>
      </c>
      <c r="BP1618" s="1" t="s">
        <v>28673</v>
      </c>
      <c r="BQ1618" s="1" t="s">
        <v>292</v>
      </c>
      <c r="BR1618" s="1" t="s">
        <v>28674</v>
      </c>
      <c r="BS1618" s="1">
        <v>27</v>
      </c>
      <c r="BT1618" s="1"/>
      <c r="BU1618" s="1" t="str">
        <f>HYPERLINK("https://nconnect.nicmar.ac.in/storage/profile/ProfilePhoto_p2270199_413672.jpg","Download")</f>
        <v>0</v>
      </c>
      <c r="BV1618" s="3"/>
      <c r="BW1618" s="3"/>
    </row>
    <row r="1619" spans="1:75">
      <c r="A1619" s="1" t="s">
        <v>75</v>
      </c>
      <c r="B1619" s="1" t="s">
        <v>25236</v>
      </c>
      <c r="C1619" s="1" t="s">
        <v>28675</v>
      </c>
      <c r="D1619" s="1" t="s">
        <v>28676</v>
      </c>
      <c r="E1619" s="1" t="s">
        <v>28677</v>
      </c>
      <c r="F1619" s="1" t="s">
        <v>28678</v>
      </c>
      <c r="G1619" s="1" t="s">
        <v>28679</v>
      </c>
      <c r="H1619" s="1" t="s">
        <v>28680</v>
      </c>
      <c r="I1619" s="1" t="s">
        <v>28681</v>
      </c>
      <c r="J1619" s="1">
        <v>7972366339</v>
      </c>
      <c r="K1619" s="1" t="s">
        <v>153</v>
      </c>
      <c r="L1619" s="1" t="s">
        <v>28682</v>
      </c>
      <c r="M1619" s="1" t="s">
        <v>86</v>
      </c>
      <c r="N1619" s="1" t="s">
        <v>592</v>
      </c>
      <c r="O1619" s="1" t="s">
        <v>28683</v>
      </c>
      <c r="P1619" s="1" t="s">
        <v>1028</v>
      </c>
      <c r="Q1619" s="1" t="s">
        <v>28684</v>
      </c>
      <c r="R1619" s="1" t="s">
        <v>28685</v>
      </c>
      <c r="S1619" s="1">
        <v>9423885189</v>
      </c>
      <c r="T1619" s="1" t="s">
        <v>2950</v>
      </c>
      <c r="U1619" s="1" t="s">
        <v>28686</v>
      </c>
      <c r="V1619" s="1">
        <v>7378594379</v>
      </c>
      <c r="W1619" s="1" t="s">
        <v>278</v>
      </c>
      <c r="X1619" s="1" t="s">
        <v>28687</v>
      </c>
      <c r="Y1619" s="1" t="s">
        <v>3190</v>
      </c>
      <c r="Z1619" s="1" t="s">
        <v>130</v>
      </c>
      <c r="AA1619" s="1" t="s">
        <v>28688</v>
      </c>
      <c r="AB1619" s="1" t="s">
        <v>6548</v>
      </c>
      <c r="AC1619" s="1" t="s">
        <v>6549</v>
      </c>
      <c r="AD1619" s="1" t="s">
        <v>98</v>
      </c>
      <c r="AE1619" s="1" t="s">
        <v>98</v>
      </c>
      <c r="AF1619" s="1" t="s">
        <v>28689</v>
      </c>
      <c r="AG1619" s="1" t="s">
        <v>312</v>
      </c>
      <c r="AH1619" s="1" t="s">
        <v>3770</v>
      </c>
      <c r="AI1619" s="1" t="s">
        <v>1457</v>
      </c>
      <c r="AJ1619" s="1">
        <v>91.2</v>
      </c>
      <c r="AK1619" s="1">
        <v>9.6</v>
      </c>
      <c r="AL1619" s="1" t="s">
        <v>28689</v>
      </c>
      <c r="AM1619" s="1" t="s">
        <v>312</v>
      </c>
      <c r="AN1619" s="1"/>
      <c r="AO1619" s="1" t="s">
        <v>1214</v>
      </c>
      <c r="AP1619" s="1" t="s">
        <v>102</v>
      </c>
      <c r="AQ1619" s="1">
        <v>80.8</v>
      </c>
      <c r="AR1619" s="1">
        <v>0</v>
      </c>
      <c r="AS1619" s="1"/>
      <c r="AT1619" s="1"/>
      <c r="AU1619" s="1"/>
      <c r="AV1619" s="1"/>
      <c r="AW1619" s="1"/>
      <c r="AX1619" s="1"/>
      <c r="AY1619" s="1" t="s">
        <v>11306</v>
      </c>
      <c r="AZ1619" s="1" t="s">
        <v>28690</v>
      </c>
      <c r="BA1619" s="1"/>
      <c r="BB1619" s="1"/>
      <c r="BC1619" s="1" t="s">
        <v>342</v>
      </c>
      <c r="BD1619" s="1" t="s">
        <v>549</v>
      </c>
      <c r="BE1619" s="1">
        <v>70.3</v>
      </c>
      <c r="BF1619" s="1">
        <v>7.03</v>
      </c>
      <c r="BG1619" s="1"/>
      <c r="BH1619" s="1"/>
      <c r="BI1619" s="1"/>
      <c r="BJ1619" s="1"/>
      <c r="BK1619" s="1"/>
      <c r="BL1619" s="1"/>
      <c r="BM1619" s="1"/>
      <c r="BN1619" s="1"/>
      <c r="BO1619" s="1" t="s">
        <v>28691</v>
      </c>
      <c r="BP1619" s="1"/>
      <c r="BQ1619" s="1"/>
      <c r="BR1619" s="1" t="s">
        <v>28692</v>
      </c>
      <c r="BS1619" s="1">
        <v>25</v>
      </c>
      <c r="BT1619" s="1"/>
      <c r="BU1619" s="1" t="str">
        <f>HYPERLINK("https://nconnect.nicmar.ac.in/storage/profile/ProfilePhoto_p2270200_497831.jpg","Download")</f>
        <v>0</v>
      </c>
      <c r="BV1619" s="3"/>
      <c r="BW1619" s="3"/>
    </row>
    <row r="1620" spans="1:75">
      <c r="A1620" s="1" t="s">
        <v>75</v>
      </c>
      <c r="B1620" s="1" t="s">
        <v>25236</v>
      </c>
      <c r="C1620" s="1" t="s">
        <v>28693</v>
      </c>
      <c r="D1620" s="1" t="s">
        <v>875</v>
      </c>
      <c r="E1620" s="1" t="s">
        <v>1178</v>
      </c>
      <c r="F1620" s="1" t="s">
        <v>28694</v>
      </c>
      <c r="G1620" s="1" t="s">
        <v>28695</v>
      </c>
      <c r="H1620" s="1" t="s">
        <v>28696</v>
      </c>
      <c r="I1620" s="1" t="s">
        <v>28697</v>
      </c>
      <c r="J1620" s="1">
        <v>9834618253</v>
      </c>
      <c r="K1620" s="1" t="s">
        <v>84</v>
      </c>
      <c r="L1620" s="1" t="s">
        <v>9876</v>
      </c>
      <c r="M1620" s="1" t="s">
        <v>86</v>
      </c>
      <c r="N1620" s="1" t="s">
        <v>618</v>
      </c>
      <c r="O1620" s="1" t="s">
        <v>28698</v>
      </c>
      <c r="P1620" s="1" t="s">
        <v>1028</v>
      </c>
      <c r="Q1620" s="1" t="s">
        <v>28699</v>
      </c>
      <c r="R1620" s="1" t="s">
        <v>28700</v>
      </c>
      <c r="S1620" s="1">
        <v>7875884224</v>
      </c>
      <c r="T1620" s="1" t="s">
        <v>28701</v>
      </c>
      <c r="U1620" s="1" t="s">
        <v>28702</v>
      </c>
      <c r="V1620" s="1">
        <v>9764603725</v>
      </c>
      <c r="W1620" s="1" t="s">
        <v>161</v>
      </c>
      <c r="X1620" s="1" t="s">
        <v>28703</v>
      </c>
      <c r="Y1620" s="1" t="s">
        <v>224</v>
      </c>
      <c r="Z1620" s="1" t="s">
        <v>97</v>
      </c>
      <c r="AA1620" s="1" t="s">
        <v>28703</v>
      </c>
      <c r="AB1620" s="1" t="s">
        <v>224</v>
      </c>
      <c r="AC1620" s="1" t="s">
        <v>97</v>
      </c>
      <c r="AD1620" s="1" t="s">
        <v>98</v>
      </c>
      <c r="AE1620" s="1" t="s">
        <v>98</v>
      </c>
      <c r="AF1620" s="1" t="s">
        <v>28704</v>
      </c>
      <c r="AG1620" s="1" t="s">
        <v>165</v>
      </c>
      <c r="AH1620" s="1" t="s">
        <v>101</v>
      </c>
      <c r="AI1620" s="1" t="s">
        <v>102</v>
      </c>
      <c r="AJ1620" s="1">
        <v>76.4</v>
      </c>
      <c r="AK1620" s="1"/>
      <c r="AL1620" s="1" t="s">
        <v>28705</v>
      </c>
      <c r="AM1620" s="1" t="s">
        <v>165</v>
      </c>
      <c r="AN1620" s="1"/>
      <c r="AO1620" s="1" t="s">
        <v>167</v>
      </c>
      <c r="AP1620" s="1" t="s">
        <v>704</v>
      </c>
      <c r="AQ1620" s="1">
        <v>74</v>
      </c>
      <c r="AR1620" s="1"/>
      <c r="AS1620" s="1"/>
      <c r="AT1620" s="1"/>
      <c r="AU1620" s="1"/>
      <c r="AV1620" s="1"/>
      <c r="AW1620" s="1"/>
      <c r="AX1620" s="1"/>
      <c r="AY1620" s="1" t="s">
        <v>680</v>
      </c>
      <c r="AZ1620" s="1" t="s">
        <v>28706</v>
      </c>
      <c r="BA1620" s="1"/>
      <c r="BB1620" s="1"/>
      <c r="BC1620" s="1" t="s">
        <v>230</v>
      </c>
      <c r="BD1620" s="1" t="s">
        <v>845</v>
      </c>
      <c r="BE1620" s="1">
        <v>58.86</v>
      </c>
      <c r="BF1620" s="1">
        <v>6.6</v>
      </c>
      <c r="BG1620" s="1"/>
      <c r="BH1620" s="1"/>
      <c r="BI1620" s="1"/>
      <c r="BJ1620" s="1"/>
      <c r="BK1620" s="1"/>
      <c r="BL1620" s="1"/>
      <c r="BM1620" s="1"/>
      <c r="BN1620" s="1"/>
      <c r="BO1620" s="1" t="s">
        <v>1114</v>
      </c>
      <c r="BP1620" s="1"/>
      <c r="BQ1620" s="1"/>
      <c r="BR1620" s="1" t="s">
        <v>28707</v>
      </c>
      <c r="BS1620" s="1">
        <v>7</v>
      </c>
      <c r="BT1620" s="1"/>
      <c r="BU1620" s="1" t="str">
        <f>HYPERLINK("https://nconnect.nicmar.ac.in/storage/profile/ProfilePhoto_p2270201_764285.jpg","Download")</f>
        <v>0</v>
      </c>
      <c r="BV1620" s="3"/>
      <c r="BW1620" s="3"/>
    </row>
    <row r="1621" spans="1:75">
      <c r="A1621" s="1" t="s">
        <v>75</v>
      </c>
      <c r="B1621" s="1" t="s">
        <v>25236</v>
      </c>
      <c r="C1621" s="1" t="s">
        <v>28708</v>
      </c>
      <c r="D1621" s="1" t="s">
        <v>28709</v>
      </c>
      <c r="E1621" s="1"/>
      <c r="F1621" s="1" t="s">
        <v>28710</v>
      </c>
      <c r="G1621" s="1" t="s">
        <v>28711</v>
      </c>
      <c r="H1621" s="1" t="s">
        <v>28712</v>
      </c>
      <c r="I1621" s="1" t="s">
        <v>28713</v>
      </c>
      <c r="J1621" s="1">
        <v>9849604059</v>
      </c>
      <c r="K1621" s="1" t="s">
        <v>84</v>
      </c>
      <c r="L1621" s="1" t="s">
        <v>28714</v>
      </c>
      <c r="M1621" s="1" t="s">
        <v>86</v>
      </c>
      <c r="N1621" s="1" t="s">
        <v>28715</v>
      </c>
      <c r="O1621" s="1" t="s">
        <v>28716</v>
      </c>
      <c r="P1621" s="1"/>
      <c r="Q1621" s="1" t="s">
        <v>28717</v>
      </c>
      <c r="R1621" s="1" t="s">
        <v>28718</v>
      </c>
      <c r="S1621" s="1">
        <v>9764444377</v>
      </c>
      <c r="T1621" s="1" t="s">
        <v>159</v>
      </c>
      <c r="U1621" s="1" t="s">
        <v>28719</v>
      </c>
      <c r="V1621" s="1">
        <v>8497943371</v>
      </c>
      <c r="W1621" s="1" t="s">
        <v>94</v>
      </c>
      <c r="X1621" s="1" t="s">
        <v>28720</v>
      </c>
      <c r="Y1621" s="1" t="s">
        <v>28721</v>
      </c>
      <c r="Z1621" s="1" t="s">
        <v>461</v>
      </c>
      <c r="AA1621" s="1" t="s">
        <v>28720</v>
      </c>
      <c r="AB1621" s="1" t="s">
        <v>28721</v>
      </c>
      <c r="AC1621" s="1" t="s">
        <v>461</v>
      </c>
      <c r="AD1621" s="1" t="s">
        <v>98</v>
      </c>
      <c r="AE1621" s="1" t="s">
        <v>98</v>
      </c>
      <c r="AF1621" s="1" t="s">
        <v>28722</v>
      </c>
      <c r="AG1621" s="1" t="s">
        <v>28723</v>
      </c>
      <c r="AH1621" s="1" t="s">
        <v>135</v>
      </c>
      <c r="AI1621" s="1" t="s">
        <v>521</v>
      </c>
      <c r="AJ1621" s="1">
        <v>82.65</v>
      </c>
      <c r="AK1621" s="1">
        <v>8.7</v>
      </c>
      <c r="AL1621" s="1" t="s">
        <v>10501</v>
      </c>
      <c r="AM1621" s="1" t="s">
        <v>28723</v>
      </c>
      <c r="AN1621" s="1"/>
      <c r="AO1621" s="1" t="s">
        <v>342</v>
      </c>
      <c r="AP1621" s="1" t="s">
        <v>388</v>
      </c>
      <c r="AQ1621" s="1">
        <v>89</v>
      </c>
      <c r="AR1621" s="1">
        <v>0</v>
      </c>
      <c r="AS1621" s="1"/>
      <c r="AT1621" s="1"/>
      <c r="AU1621" s="1"/>
      <c r="AV1621" s="1"/>
      <c r="AW1621" s="1"/>
      <c r="AX1621" s="1"/>
      <c r="AY1621" s="1" t="s">
        <v>1823</v>
      </c>
      <c r="AZ1621" s="1" t="s">
        <v>28724</v>
      </c>
      <c r="BA1621" s="1"/>
      <c r="BB1621" s="1"/>
      <c r="BC1621" s="1" t="s">
        <v>388</v>
      </c>
      <c r="BD1621" s="1" t="s">
        <v>110</v>
      </c>
      <c r="BE1621" s="1">
        <v>65</v>
      </c>
      <c r="BF1621" s="1">
        <v>7.01</v>
      </c>
      <c r="BG1621" s="1"/>
      <c r="BH1621" s="1"/>
      <c r="BI1621" s="1"/>
      <c r="BJ1621" s="1"/>
      <c r="BK1621" s="1"/>
      <c r="BL1621" s="1"/>
      <c r="BM1621" s="1"/>
      <c r="BN1621" s="1"/>
      <c r="BO1621" s="1" t="s">
        <v>28725</v>
      </c>
      <c r="BP1621" s="1"/>
      <c r="BQ1621" s="1"/>
      <c r="BR1621" s="1" t="s">
        <v>28726</v>
      </c>
      <c r="BS1621" s="1">
        <v>42</v>
      </c>
      <c r="BT1621" s="1"/>
      <c r="BU1621" s="1" t="str">
        <f>HYPERLINK("https://nconnect.nicmar.ac.in/storage/profile/ProfilePhoto_p2270202_354781.jpg","Download")</f>
        <v>0</v>
      </c>
      <c r="BV1621" s="3"/>
      <c r="BW1621" s="3"/>
    </row>
    <row r="1622" spans="1:75">
      <c r="A1622" s="1" t="s">
        <v>75</v>
      </c>
      <c r="B1622" s="1" t="s">
        <v>25236</v>
      </c>
      <c r="C1622" s="1" t="s">
        <v>28727</v>
      </c>
      <c r="D1622" s="1" t="s">
        <v>13542</v>
      </c>
      <c r="E1622" s="1"/>
      <c r="F1622" s="1" t="s">
        <v>2250</v>
      </c>
      <c r="G1622" s="1" t="s">
        <v>28728</v>
      </c>
      <c r="H1622" s="1" t="s">
        <v>28729</v>
      </c>
      <c r="I1622" s="1" t="s">
        <v>28730</v>
      </c>
      <c r="J1622" s="1">
        <v>9557556989</v>
      </c>
      <c r="K1622" s="1" t="s">
        <v>84</v>
      </c>
      <c r="L1622" s="1" t="s">
        <v>28731</v>
      </c>
      <c r="M1622" s="1" t="s">
        <v>86</v>
      </c>
      <c r="N1622" s="1" t="s">
        <v>2081</v>
      </c>
      <c r="O1622" s="1" t="s">
        <v>28732</v>
      </c>
      <c r="P1622" s="1" t="s">
        <v>507</v>
      </c>
      <c r="Q1622" s="1" t="s">
        <v>28733</v>
      </c>
      <c r="R1622" s="1" t="s">
        <v>28734</v>
      </c>
      <c r="S1622" s="1">
        <v>9897219455</v>
      </c>
      <c r="T1622" s="1" t="s">
        <v>645</v>
      </c>
      <c r="U1622" s="1" t="s">
        <v>28735</v>
      </c>
      <c r="V1622" s="1">
        <v>7078332225</v>
      </c>
      <c r="W1622" s="1" t="s">
        <v>161</v>
      </c>
      <c r="X1622" s="1" t="s">
        <v>28736</v>
      </c>
      <c r="Y1622" s="1" t="s">
        <v>28737</v>
      </c>
      <c r="Z1622" s="1" t="s">
        <v>544</v>
      </c>
      <c r="AA1622" s="1" t="s">
        <v>28736</v>
      </c>
      <c r="AB1622" s="1" t="s">
        <v>28737</v>
      </c>
      <c r="AC1622" s="1" t="s">
        <v>544</v>
      </c>
      <c r="AD1622" s="1" t="s">
        <v>98</v>
      </c>
      <c r="AE1622" s="1" t="s">
        <v>98</v>
      </c>
      <c r="AF1622" s="1" t="s">
        <v>28738</v>
      </c>
      <c r="AG1622" s="1" t="s">
        <v>28739</v>
      </c>
      <c r="AH1622" s="1" t="s">
        <v>102</v>
      </c>
      <c r="AI1622" s="1" t="s">
        <v>627</v>
      </c>
      <c r="AJ1622" s="1">
        <v>87.4</v>
      </c>
      <c r="AK1622" s="1">
        <v>9.2</v>
      </c>
      <c r="AL1622" s="1" t="s">
        <v>28740</v>
      </c>
      <c r="AM1622" s="1" t="s">
        <v>28739</v>
      </c>
      <c r="AN1622" s="1"/>
      <c r="AO1622" s="1" t="s">
        <v>200</v>
      </c>
      <c r="AP1622" s="1" t="s">
        <v>171</v>
      </c>
      <c r="AQ1622" s="1">
        <v>75.6</v>
      </c>
      <c r="AR1622" s="1"/>
      <c r="AS1622" s="1"/>
      <c r="AT1622" s="1"/>
      <c r="AU1622" s="1"/>
      <c r="AV1622" s="1"/>
      <c r="AW1622" s="1"/>
      <c r="AX1622" s="1"/>
      <c r="AY1622" s="1" t="s">
        <v>28741</v>
      </c>
      <c r="AZ1622" s="1" t="s">
        <v>28742</v>
      </c>
      <c r="BA1622" s="1"/>
      <c r="BB1622" s="1"/>
      <c r="BC1622" s="1" t="s">
        <v>1065</v>
      </c>
      <c r="BD1622" s="1" t="s">
        <v>1400</v>
      </c>
      <c r="BE1622" s="1">
        <v>86.3</v>
      </c>
      <c r="BF1622" s="1"/>
      <c r="BG1622" s="1"/>
      <c r="BH1622" s="1"/>
      <c r="BI1622" s="1"/>
      <c r="BJ1622" s="1"/>
      <c r="BK1622" s="1"/>
      <c r="BL1622" s="1"/>
      <c r="BM1622" s="1"/>
      <c r="BN1622" s="1"/>
      <c r="BO1622" s="1" t="s">
        <v>28743</v>
      </c>
      <c r="BP1622" s="1"/>
      <c r="BQ1622" s="1"/>
      <c r="BR1622" s="1" t="s">
        <v>28744</v>
      </c>
      <c r="BS1622" s="1">
        <v>20</v>
      </c>
      <c r="BT1622" s="1"/>
      <c r="BU1622" s="1" t="str">
        <f>HYPERLINK("https://nconnect.nicmar.ac.in/storage/profile/ProfilePhoto_p2270203_362149.jpg","Download")</f>
        <v>0</v>
      </c>
      <c r="BV1622" s="3"/>
      <c r="BW1622" s="3"/>
    </row>
    <row r="1623" spans="1:75">
      <c r="A1623" s="1" t="s">
        <v>75</v>
      </c>
      <c r="B1623" s="1" t="s">
        <v>25236</v>
      </c>
      <c r="C1623" s="1" t="s">
        <v>28745</v>
      </c>
      <c r="D1623" s="1" t="s">
        <v>3563</v>
      </c>
      <c r="E1623" s="1" t="s">
        <v>1020</v>
      </c>
      <c r="F1623" s="1" t="s">
        <v>1404</v>
      </c>
      <c r="G1623" s="1" t="s">
        <v>28746</v>
      </c>
      <c r="H1623" s="1" t="s">
        <v>28747</v>
      </c>
      <c r="I1623" s="1" t="s">
        <v>28748</v>
      </c>
      <c r="J1623" s="1">
        <v>9966288990</v>
      </c>
      <c r="K1623" s="1" t="s">
        <v>84</v>
      </c>
      <c r="L1623" s="1" t="s">
        <v>9393</v>
      </c>
      <c r="M1623" s="1" t="s">
        <v>86</v>
      </c>
      <c r="N1623" s="1" t="s">
        <v>3026</v>
      </c>
      <c r="O1623" s="1" t="s">
        <v>28749</v>
      </c>
      <c r="P1623" s="1" t="s">
        <v>1028</v>
      </c>
      <c r="Q1623" s="1" t="s">
        <v>28750</v>
      </c>
      <c r="R1623" s="1" t="s">
        <v>28751</v>
      </c>
      <c r="S1623" s="1">
        <v>9959764737</v>
      </c>
      <c r="T1623" s="1" t="s">
        <v>28752</v>
      </c>
      <c r="U1623" s="1" t="s">
        <v>28753</v>
      </c>
      <c r="V1623" s="1">
        <v>9492288921</v>
      </c>
      <c r="W1623" s="1" t="s">
        <v>278</v>
      </c>
      <c r="X1623" s="1" t="s">
        <v>28754</v>
      </c>
      <c r="Y1623" s="1" t="s">
        <v>3590</v>
      </c>
      <c r="Z1623" s="1" t="s">
        <v>281</v>
      </c>
      <c r="AA1623" s="1" t="s">
        <v>28754</v>
      </c>
      <c r="AB1623" s="1" t="s">
        <v>3590</v>
      </c>
      <c r="AC1623" s="1" t="s">
        <v>281</v>
      </c>
      <c r="AD1623" s="1" t="s">
        <v>98</v>
      </c>
      <c r="AE1623" s="1" t="s">
        <v>98</v>
      </c>
      <c r="AF1623" s="1" t="s">
        <v>28755</v>
      </c>
      <c r="AG1623" s="1" t="s">
        <v>2341</v>
      </c>
      <c r="AH1623" s="1" t="s">
        <v>101</v>
      </c>
      <c r="AI1623" s="1" t="s">
        <v>102</v>
      </c>
      <c r="AJ1623" s="1">
        <v>87.4</v>
      </c>
      <c r="AK1623" s="1">
        <v>9.2</v>
      </c>
      <c r="AL1623" s="1"/>
      <c r="AM1623" s="1"/>
      <c r="AN1623" s="1"/>
      <c r="AO1623" s="1"/>
      <c r="AP1623" s="1"/>
      <c r="AQ1623" s="1"/>
      <c r="AR1623" s="1"/>
      <c r="AS1623" s="1" t="s">
        <v>439</v>
      </c>
      <c r="AT1623" s="1" t="s">
        <v>28756</v>
      </c>
      <c r="AU1623" s="1" t="s">
        <v>342</v>
      </c>
      <c r="AV1623" s="1" t="s">
        <v>490</v>
      </c>
      <c r="AW1623" s="1">
        <v>65.72</v>
      </c>
      <c r="AX1623" s="1"/>
      <c r="AY1623" s="1" t="s">
        <v>287</v>
      </c>
      <c r="AZ1623" s="1" t="s">
        <v>28757</v>
      </c>
      <c r="BA1623" s="1"/>
      <c r="BB1623" s="1"/>
      <c r="BC1623" s="1" t="s">
        <v>174</v>
      </c>
      <c r="BD1623" s="1" t="s">
        <v>441</v>
      </c>
      <c r="BE1623" s="1">
        <v>71.42</v>
      </c>
      <c r="BF1623" s="1">
        <v>7.55</v>
      </c>
      <c r="BG1623" s="1"/>
      <c r="BH1623" s="1"/>
      <c r="BI1623" s="1"/>
      <c r="BJ1623" s="1"/>
      <c r="BK1623" s="1"/>
      <c r="BL1623" s="1"/>
      <c r="BM1623" s="1"/>
      <c r="BN1623" s="1"/>
      <c r="BO1623" s="1" t="s">
        <v>28758</v>
      </c>
      <c r="BP1623" s="1"/>
      <c r="BQ1623" s="1"/>
      <c r="BR1623" s="1" t="s">
        <v>28759</v>
      </c>
      <c r="BS1623" s="1">
        <v>7</v>
      </c>
      <c r="BT1623" s="1"/>
      <c r="BU1623" s="1" t="str">
        <f>HYPERLINK("https://nconnect.nicmar.ac.in/storage/profile/ProfilePhoto_p2270204_762549.jpg","Download")</f>
        <v>0</v>
      </c>
      <c r="BV1623" s="3"/>
      <c r="BW1623" s="3"/>
    </row>
    <row r="1624" spans="1:75">
      <c r="A1624" s="1" t="s">
        <v>75</v>
      </c>
      <c r="B1624" s="1" t="s">
        <v>25236</v>
      </c>
      <c r="C1624" s="1" t="s">
        <v>28760</v>
      </c>
      <c r="D1624" s="1" t="s">
        <v>28761</v>
      </c>
      <c r="E1624" s="1" t="s">
        <v>28762</v>
      </c>
      <c r="F1624" s="1" t="s">
        <v>2621</v>
      </c>
      <c r="G1624" s="1" t="s">
        <v>28763</v>
      </c>
      <c r="H1624" s="1" t="s">
        <v>28764</v>
      </c>
      <c r="I1624" s="1" t="s">
        <v>28765</v>
      </c>
      <c r="J1624" s="1">
        <v>9398158443</v>
      </c>
      <c r="K1624" s="1" t="s">
        <v>84</v>
      </c>
      <c r="L1624" s="1" t="s">
        <v>28766</v>
      </c>
      <c r="M1624" s="1" t="s">
        <v>86</v>
      </c>
      <c r="N1624" s="1" t="s">
        <v>1449</v>
      </c>
      <c r="O1624" s="1" t="s">
        <v>28767</v>
      </c>
      <c r="P1624" s="1" t="s">
        <v>507</v>
      </c>
      <c r="Q1624" s="1" t="s">
        <v>28768</v>
      </c>
      <c r="R1624" s="1" t="s">
        <v>28769</v>
      </c>
      <c r="S1624" s="1">
        <v>9492080164</v>
      </c>
      <c r="T1624" s="1" t="s">
        <v>28770</v>
      </c>
      <c r="U1624" s="1" t="s">
        <v>28771</v>
      </c>
      <c r="V1624" s="1">
        <v>6303075303</v>
      </c>
      <c r="W1624" s="1" t="s">
        <v>278</v>
      </c>
      <c r="X1624" s="1" t="s">
        <v>28772</v>
      </c>
      <c r="Y1624" s="1" t="s">
        <v>725</v>
      </c>
      <c r="Z1624" s="1" t="s">
        <v>281</v>
      </c>
      <c r="AA1624" s="1" t="s">
        <v>28772</v>
      </c>
      <c r="AB1624" s="1" t="s">
        <v>725</v>
      </c>
      <c r="AC1624" s="1" t="s">
        <v>281</v>
      </c>
      <c r="AD1624" s="1" t="s">
        <v>98</v>
      </c>
      <c r="AE1624" s="1" t="s">
        <v>98</v>
      </c>
      <c r="AF1624" s="1" t="s">
        <v>28773</v>
      </c>
      <c r="AG1624" s="1" t="s">
        <v>2341</v>
      </c>
      <c r="AH1624" s="1" t="s">
        <v>135</v>
      </c>
      <c r="AI1624" s="1" t="s">
        <v>102</v>
      </c>
      <c r="AJ1624" s="1">
        <v>88.35</v>
      </c>
      <c r="AK1624" s="1">
        <v>9.3</v>
      </c>
      <c r="AL1624" s="1"/>
      <c r="AM1624" s="1"/>
      <c r="AN1624" s="1"/>
      <c r="AO1624" s="1"/>
      <c r="AP1624" s="1"/>
      <c r="AQ1624" s="1"/>
      <c r="AR1624" s="1"/>
      <c r="AS1624" s="1" t="s">
        <v>439</v>
      </c>
      <c r="AT1624" s="1" t="s">
        <v>28756</v>
      </c>
      <c r="AU1624" s="1" t="s">
        <v>342</v>
      </c>
      <c r="AV1624" s="1" t="s">
        <v>490</v>
      </c>
      <c r="AW1624" s="1">
        <v>72.46</v>
      </c>
      <c r="AX1624" s="1">
        <v>0</v>
      </c>
      <c r="AY1624" s="1" t="s">
        <v>287</v>
      </c>
      <c r="AZ1624" s="1" t="s">
        <v>28774</v>
      </c>
      <c r="BA1624" s="1"/>
      <c r="BB1624" s="1"/>
      <c r="BC1624" s="1" t="s">
        <v>174</v>
      </c>
      <c r="BD1624" s="1" t="s">
        <v>441</v>
      </c>
      <c r="BE1624" s="1">
        <v>62.98</v>
      </c>
      <c r="BF1624" s="1">
        <v>6.65</v>
      </c>
      <c r="BG1624" s="1"/>
      <c r="BH1624" s="1"/>
      <c r="BI1624" s="1"/>
      <c r="BJ1624" s="1"/>
      <c r="BK1624" s="1"/>
      <c r="BL1624" s="1"/>
      <c r="BM1624" s="1"/>
      <c r="BN1624" s="1"/>
      <c r="BO1624" s="1" t="s">
        <v>6027</v>
      </c>
      <c r="BP1624" s="1"/>
      <c r="BQ1624" s="1"/>
      <c r="BR1624" s="1" t="s">
        <v>28775</v>
      </c>
      <c r="BS1624" s="1">
        <v>7</v>
      </c>
      <c r="BT1624" s="1"/>
      <c r="BU1624" s="1" t="str">
        <f>HYPERLINK("https://nconnect.nicmar.ac.in/storage/profile/ProfilePhoto_p2270205_978512.jpg","Download")</f>
        <v>0</v>
      </c>
      <c r="BV1624" s="3"/>
      <c r="BW1624" s="3"/>
    </row>
    <row r="1625" spans="1:75">
      <c r="A1625" s="1" t="s">
        <v>75</v>
      </c>
      <c r="B1625" s="1" t="s">
        <v>25236</v>
      </c>
      <c r="C1625" s="1" t="s">
        <v>28776</v>
      </c>
      <c r="D1625" s="1" t="s">
        <v>12804</v>
      </c>
      <c r="E1625" s="1" t="s">
        <v>9135</v>
      </c>
      <c r="F1625" s="1" t="s">
        <v>28777</v>
      </c>
      <c r="G1625" s="1" t="s">
        <v>28778</v>
      </c>
      <c r="H1625" s="1" t="s">
        <v>28779</v>
      </c>
      <c r="I1625" s="1" t="s">
        <v>28780</v>
      </c>
      <c r="J1625" s="1">
        <v>8976706407</v>
      </c>
      <c r="K1625" s="1" t="s">
        <v>84</v>
      </c>
      <c r="L1625" s="1" t="s">
        <v>28781</v>
      </c>
      <c r="M1625" s="1" t="s">
        <v>86</v>
      </c>
      <c r="N1625" s="1" t="s">
        <v>4972</v>
      </c>
      <c r="O1625" s="1" t="s">
        <v>28782</v>
      </c>
      <c r="P1625" s="1" t="s">
        <v>481</v>
      </c>
      <c r="Q1625" s="1" t="s">
        <v>28783</v>
      </c>
      <c r="R1625" s="1" t="s">
        <v>28784</v>
      </c>
      <c r="S1625" s="1">
        <v>8108809797</v>
      </c>
      <c r="T1625" s="1" t="s">
        <v>28785</v>
      </c>
      <c r="U1625" s="1" t="s">
        <v>28786</v>
      </c>
      <c r="V1625" s="1">
        <v>8169580530</v>
      </c>
      <c r="W1625" s="1" t="s">
        <v>541</v>
      </c>
      <c r="X1625" s="1" t="s">
        <v>28787</v>
      </c>
      <c r="Y1625" s="1" t="s">
        <v>2259</v>
      </c>
      <c r="Z1625" s="1" t="s">
        <v>97</v>
      </c>
      <c r="AA1625" s="1" t="s">
        <v>28787</v>
      </c>
      <c r="AB1625" s="1" t="s">
        <v>2259</v>
      </c>
      <c r="AC1625" s="1" t="s">
        <v>97</v>
      </c>
      <c r="AD1625" s="1" t="s">
        <v>98</v>
      </c>
      <c r="AE1625" s="1" t="s">
        <v>98</v>
      </c>
      <c r="AF1625" s="1" t="s">
        <v>28788</v>
      </c>
      <c r="AG1625" s="1" t="s">
        <v>28789</v>
      </c>
      <c r="AH1625" s="1" t="s">
        <v>133</v>
      </c>
      <c r="AI1625" s="1" t="s">
        <v>1457</v>
      </c>
      <c r="AJ1625" s="1">
        <v>78.73</v>
      </c>
      <c r="AK1625" s="1">
        <v>8.29</v>
      </c>
      <c r="AL1625" s="1" t="s">
        <v>28790</v>
      </c>
      <c r="AM1625" s="1" t="s">
        <v>28789</v>
      </c>
      <c r="AN1625" s="1"/>
      <c r="AO1625" s="1" t="s">
        <v>101</v>
      </c>
      <c r="AP1625" s="1" t="s">
        <v>136</v>
      </c>
      <c r="AQ1625" s="1">
        <v>60</v>
      </c>
      <c r="AR1625" s="1">
        <v>6.32</v>
      </c>
      <c r="AS1625" s="1"/>
      <c r="AT1625" s="1"/>
      <c r="AU1625" s="1"/>
      <c r="AV1625" s="1"/>
      <c r="AW1625" s="1"/>
      <c r="AX1625" s="1"/>
      <c r="AY1625" s="1" t="s">
        <v>258</v>
      </c>
      <c r="AZ1625" s="1" t="s">
        <v>28791</v>
      </c>
      <c r="BA1625" s="1"/>
      <c r="BB1625" s="1"/>
      <c r="BC1625" s="1" t="s">
        <v>342</v>
      </c>
      <c r="BD1625" s="1" t="s">
        <v>368</v>
      </c>
      <c r="BE1625" s="1">
        <v>56.02</v>
      </c>
      <c r="BF1625" s="1">
        <v>6.2</v>
      </c>
      <c r="BG1625" s="1"/>
      <c r="BH1625" s="1"/>
      <c r="BI1625" s="1"/>
      <c r="BJ1625" s="1"/>
      <c r="BK1625" s="1"/>
      <c r="BL1625" s="1"/>
      <c r="BM1625" s="1"/>
      <c r="BN1625" s="1"/>
      <c r="BO1625" s="1" t="s">
        <v>1114</v>
      </c>
      <c r="BP1625" s="1" t="s">
        <v>28792</v>
      </c>
      <c r="BQ1625" s="1" t="s">
        <v>4149</v>
      </c>
      <c r="BR1625" s="1" t="s">
        <v>28793</v>
      </c>
      <c r="BS1625" s="1">
        <v>39</v>
      </c>
      <c r="BT1625" s="1"/>
      <c r="BU1625" s="1" t="str">
        <f>HYPERLINK("https://nconnect.nicmar.ac.in/storage/profile/ProfilePhoto_p2270206_284193.jpg","Download")</f>
        <v>0</v>
      </c>
      <c r="BV1625" s="3"/>
      <c r="BW1625" s="3"/>
    </row>
    <row r="1626" spans="1:75">
      <c r="A1626" s="1" t="s">
        <v>75</v>
      </c>
      <c r="B1626" s="1" t="s">
        <v>25236</v>
      </c>
      <c r="C1626" s="1" t="s">
        <v>28794</v>
      </c>
      <c r="D1626" s="1" t="s">
        <v>28795</v>
      </c>
      <c r="E1626" s="1"/>
      <c r="F1626" s="1" t="s">
        <v>11754</v>
      </c>
      <c r="G1626" s="1" t="s">
        <v>28796</v>
      </c>
      <c r="H1626" s="1" t="s">
        <v>28797</v>
      </c>
      <c r="I1626" s="1" t="s">
        <v>28798</v>
      </c>
      <c r="J1626" s="1">
        <v>9264597562</v>
      </c>
      <c r="K1626" s="1" t="s">
        <v>84</v>
      </c>
      <c r="L1626" s="1" t="s">
        <v>28799</v>
      </c>
      <c r="M1626" s="1" t="s">
        <v>86</v>
      </c>
      <c r="N1626" s="1" t="s">
        <v>2812</v>
      </c>
      <c r="O1626" s="1" t="s">
        <v>28800</v>
      </c>
      <c r="P1626" s="1" t="s">
        <v>1028</v>
      </c>
      <c r="Q1626" s="1" t="s">
        <v>28801</v>
      </c>
      <c r="R1626" s="1" t="s">
        <v>28802</v>
      </c>
      <c r="S1626" s="1">
        <v>8250560052</v>
      </c>
      <c r="T1626" s="1" t="s">
        <v>28803</v>
      </c>
      <c r="U1626" s="1" t="s">
        <v>28804</v>
      </c>
      <c r="V1626" s="1">
        <v>9232310256</v>
      </c>
      <c r="W1626" s="1" t="s">
        <v>161</v>
      </c>
      <c r="X1626" s="1" t="s">
        <v>28805</v>
      </c>
      <c r="Y1626" s="1" t="s">
        <v>3282</v>
      </c>
      <c r="Z1626" s="1" t="s">
        <v>1234</v>
      </c>
      <c r="AA1626" s="1" t="s">
        <v>28805</v>
      </c>
      <c r="AB1626" s="1" t="s">
        <v>3282</v>
      </c>
      <c r="AC1626" s="1" t="s">
        <v>1234</v>
      </c>
      <c r="AD1626" s="1" t="s">
        <v>98</v>
      </c>
      <c r="AE1626" s="1" t="s">
        <v>98</v>
      </c>
      <c r="AF1626" s="1" t="s">
        <v>28806</v>
      </c>
      <c r="AG1626" s="1" t="s">
        <v>28807</v>
      </c>
      <c r="AH1626" s="1" t="s">
        <v>3965</v>
      </c>
      <c r="AI1626" s="1" t="s">
        <v>134</v>
      </c>
      <c r="AJ1626" s="1">
        <v>88.42</v>
      </c>
      <c r="AK1626" s="1">
        <v>0</v>
      </c>
      <c r="AL1626" s="1" t="s">
        <v>28808</v>
      </c>
      <c r="AM1626" s="1" t="s">
        <v>28809</v>
      </c>
      <c r="AN1626" s="1"/>
      <c r="AO1626" s="1" t="s">
        <v>101</v>
      </c>
      <c r="AP1626" s="1" t="s">
        <v>136</v>
      </c>
      <c r="AQ1626" s="1">
        <v>67.2</v>
      </c>
      <c r="AR1626" s="1">
        <v>0</v>
      </c>
      <c r="AS1626" s="1"/>
      <c r="AT1626" s="1"/>
      <c r="AU1626" s="1"/>
      <c r="AV1626" s="1"/>
      <c r="AW1626" s="1"/>
      <c r="AX1626" s="1"/>
      <c r="AY1626" s="1" t="s">
        <v>1240</v>
      </c>
      <c r="AZ1626" s="1" t="s">
        <v>28810</v>
      </c>
      <c r="BA1626" s="1"/>
      <c r="BB1626" s="1"/>
      <c r="BC1626" s="1" t="s">
        <v>105</v>
      </c>
      <c r="BD1626" s="1" t="s">
        <v>315</v>
      </c>
      <c r="BE1626" s="1">
        <v>65.3</v>
      </c>
      <c r="BF1626" s="1">
        <v>7.28</v>
      </c>
      <c r="BG1626" s="1"/>
      <c r="BH1626" s="1"/>
      <c r="BI1626" s="1"/>
      <c r="BJ1626" s="1"/>
      <c r="BK1626" s="1"/>
      <c r="BL1626" s="1"/>
      <c r="BM1626" s="1"/>
      <c r="BN1626" s="1"/>
      <c r="BO1626" s="1" t="s">
        <v>28811</v>
      </c>
      <c r="BP1626" s="1" t="s">
        <v>28812</v>
      </c>
      <c r="BQ1626" s="1" t="s">
        <v>8010</v>
      </c>
      <c r="BR1626" s="1" t="s">
        <v>28813</v>
      </c>
      <c r="BS1626" s="1">
        <v>11</v>
      </c>
      <c r="BT1626" s="1"/>
      <c r="BU1626" s="1" t="str">
        <f>HYPERLINK("https://nconnect.nicmar.ac.in/storage/profile/ProfilePhoto_p2270207_498375.jpg","Download")</f>
        <v>0</v>
      </c>
      <c r="BV1626" s="3"/>
      <c r="BW1626" s="3"/>
    </row>
    <row r="1627" spans="1:75">
      <c r="A1627" s="1" t="s">
        <v>75</v>
      </c>
      <c r="B1627" s="1" t="s">
        <v>25236</v>
      </c>
      <c r="C1627" s="1" t="s">
        <v>28814</v>
      </c>
      <c r="D1627" s="1" t="s">
        <v>28815</v>
      </c>
      <c r="E1627" s="1"/>
      <c r="F1627" s="1" t="s">
        <v>1709</v>
      </c>
      <c r="G1627" s="1" t="s">
        <v>28816</v>
      </c>
      <c r="H1627" s="1" t="s">
        <v>28817</v>
      </c>
      <c r="I1627" s="1" t="s">
        <v>28818</v>
      </c>
      <c r="J1627" s="1">
        <v>9706472831</v>
      </c>
      <c r="K1627" s="1" t="s">
        <v>153</v>
      </c>
      <c r="L1627" s="1" t="s">
        <v>28819</v>
      </c>
      <c r="M1627" s="1" t="s">
        <v>86</v>
      </c>
      <c r="N1627" s="1" t="s">
        <v>28820</v>
      </c>
      <c r="O1627" s="1" t="s">
        <v>28821</v>
      </c>
      <c r="P1627" s="1" t="s">
        <v>481</v>
      </c>
      <c r="Q1627" s="1" t="s">
        <v>28822</v>
      </c>
      <c r="R1627" s="1" t="s">
        <v>28823</v>
      </c>
      <c r="S1627" s="1">
        <v>9435006574</v>
      </c>
      <c r="T1627" s="1" t="s">
        <v>645</v>
      </c>
      <c r="U1627" s="1" t="s">
        <v>28824</v>
      </c>
      <c r="V1627" s="1">
        <v>9435535224</v>
      </c>
      <c r="W1627" s="1" t="s">
        <v>161</v>
      </c>
      <c r="X1627" s="1" t="s">
        <v>28825</v>
      </c>
      <c r="Y1627" s="1" t="s">
        <v>1555</v>
      </c>
      <c r="Z1627" s="1" t="s">
        <v>1556</v>
      </c>
      <c r="AA1627" s="1" t="s">
        <v>28826</v>
      </c>
      <c r="AB1627" s="1" t="s">
        <v>196</v>
      </c>
      <c r="AC1627" s="1" t="s">
        <v>97</v>
      </c>
      <c r="AD1627" s="1" t="s">
        <v>98</v>
      </c>
      <c r="AE1627" s="1" t="s">
        <v>98</v>
      </c>
      <c r="AF1627" s="1" t="s">
        <v>28827</v>
      </c>
      <c r="AG1627" s="1" t="s">
        <v>312</v>
      </c>
      <c r="AH1627" s="1" t="s">
        <v>3421</v>
      </c>
      <c r="AI1627" s="1" t="s">
        <v>1262</v>
      </c>
      <c r="AJ1627" s="1">
        <v>95</v>
      </c>
      <c r="AK1627" s="1">
        <v>10</v>
      </c>
      <c r="AL1627" s="1" t="s">
        <v>28828</v>
      </c>
      <c r="AM1627" s="1" t="s">
        <v>312</v>
      </c>
      <c r="AN1627" s="1"/>
      <c r="AO1627" s="1" t="s">
        <v>1110</v>
      </c>
      <c r="AP1627" s="1" t="s">
        <v>627</v>
      </c>
      <c r="AQ1627" s="1">
        <v>87.6</v>
      </c>
      <c r="AR1627" s="1"/>
      <c r="AS1627" s="1"/>
      <c r="AT1627" s="1"/>
      <c r="AU1627" s="1"/>
      <c r="AV1627" s="1"/>
      <c r="AW1627" s="1"/>
      <c r="AX1627" s="1"/>
      <c r="AY1627" s="1" t="s">
        <v>1722</v>
      </c>
      <c r="AZ1627" s="1" t="s">
        <v>28829</v>
      </c>
      <c r="BA1627" s="1"/>
      <c r="BB1627" s="1"/>
      <c r="BC1627" s="1" t="s">
        <v>388</v>
      </c>
      <c r="BD1627" s="1" t="s">
        <v>441</v>
      </c>
      <c r="BE1627" s="1">
        <v>86.09</v>
      </c>
      <c r="BF1627" s="1"/>
      <c r="BG1627" s="1"/>
      <c r="BH1627" s="1"/>
      <c r="BI1627" s="1"/>
      <c r="BJ1627" s="1"/>
      <c r="BK1627" s="1"/>
      <c r="BL1627" s="1"/>
      <c r="BM1627" s="1"/>
      <c r="BN1627" s="1"/>
      <c r="BO1627" s="1" t="s">
        <v>28830</v>
      </c>
      <c r="BP1627" s="1" t="s">
        <v>28831</v>
      </c>
      <c r="BQ1627" s="1" t="s">
        <v>658</v>
      </c>
      <c r="BR1627" s="1" t="s">
        <v>28832</v>
      </c>
      <c r="BS1627" s="1">
        <v>21</v>
      </c>
      <c r="BT1627" s="1"/>
      <c r="BU1627" s="1" t="str">
        <f>HYPERLINK("https://nconnect.nicmar.ac.in/storage/profile/ProfilePhoto_p2270208_218375.jpg","Download")</f>
        <v>0</v>
      </c>
      <c r="BV1627" s="3"/>
      <c r="BW1627" s="3"/>
    </row>
    <row r="1628" spans="1:75">
      <c r="A1628" s="1" t="s">
        <v>75</v>
      </c>
      <c r="B1628" s="1" t="s">
        <v>25236</v>
      </c>
      <c r="C1628" s="1" t="s">
        <v>28833</v>
      </c>
      <c r="D1628" s="1" t="s">
        <v>2099</v>
      </c>
      <c r="E1628" s="1" t="s">
        <v>28834</v>
      </c>
      <c r="F1628" s="1" t="s">
        <v>28835</v>
      </c>
      <c r="G1628" s="1" t="s">
        <v>28836</v>
      </c>
      <c r="H1628" s="1" t="s">
        <v>28837</v>
      </c>
      <c r="I1628" s="1" t="s">
        <v>28838</v>
      </c>
      <c r="J1628" s="1">
        <v>9623971291</v>
      </c>
      <c r="K1628" s="1" t="s">
        <v>153</v>
      </c>
      <c r="L1628" s="1" t="s">
        <v>26957</v>
      </c>
      <c r="M1628" s="1" t="s">
        <v>86</v>
      </c>
      <c r="N1628" s="1" t="s">
        <v>28839</v>
      </c>
      <c r="O1628" s="1" t="s">
        <v>28840</v>
      </c>
      <c r="P1628" s="1" t="s">
        <v>455</v>
      </c>
      <c r="Q1628" s="1" t="s">
        <v>28841</v>
      </c>
      <c r="R1628" s="1" t="s">
        <v>28842</v>
      </c>
      <c r="S1628" s="1">
        <v>9881389567</v>
      </c>
      <c r="T1628" s="1" t="s">
        <v>98</v>
      </c>
      <c r="U1628" s="1" t="s">
        <v>2435</v>
      </c>
      <c r="V1628" s="1">
        <v>9881389567</v>
      </c>
      <c r="W1628" s="1" t="s">
        <v>541</v>
      </c>
      <c r="X1628" s="1" t="s">
        <v>28843</v>
      </c>
      <c r="Y1628" s="1" t="s">
        <v>196</v>
      </c>
      <c r="Z1628" s="1" t="s">
        <v>97</v>
      </c>
      <c r="AA1628" s="1" t="s">
        <v>28843</v>
      </c>
      <c r="AB1628" s="1" t="s">
        <v>196</v>
      </c>
      <c r="AC1628" s="1" t="s">
        <v>97</v>
      </c>
      <c r="AD1628" s="1" t="s">
        <v>98</v>
      </c>
      <c r="AE1628" s="1" t="s">
        <v>98</v>
      </c>
      <c r="AF1628" s="1" t="s">
        <v>28844</v>
      </c>
      <c r="AG1628" s="1" t="s">
        <v>165</v>
      </c>
      <c r="AH1628" s="1" t="s">
        <v>101</v>
      </c>
      <c r="AI1628" s="1" t="s">
        <v>166</v>
      </c>
      <c r="AJ1628" s="1">
        <v>90.2</v>
      </c>
      <c r="AK1628" s="1"/>
      <c r="AL1628" s="1"/>
      <c r="AM1628" s="1"/>
      <c r="AN1628" s="1"/>
      <c r="AO1628" s="1"/>
      <c r="AP1628" s="1"/>
      <c r="AQ1628" s="1"/>
      <c r="AR1628" s="1"/>
      <c r="AS1628" s="1" t="s">
        <v>103</v>
      </c>
      <c r="AT1628" s="1" t="s">
        <v>7863</v>
      </c>
      <c r="AU1628" s="1" t="s">
        <v>105</v>
      </c>
      <c r="AV1628" s="1" t="s">
        <v>106</v>
      </c>
      <c r="AW1628" s="1">
        <v>77.53</v>
      </c>
      <c r="AX1628" s="1"/>
      <c r="AY1628" s="1" t="s">
        <v>366</v>
      </c>
      <c r="AZ1628" s="1" t="s">
        <v>28845</v>
      </c>
      <c r="BA1628" s="1"/>
      <c r="BB1628" s="1"/>
      <c r="BC1628" s="1" t="s">
        <v>1065</v>
      </c>
      <c r="BD1628" s="1" t="s">
        <v>549</v>
      </c>
      <c r="BE1628" s="1">
        <v>77.08</v>
      </c>
      <c r="BF1628" s="1"/>
      <c r="BG1628" s="1"/>
      <c r="BH1628" s="1"/>
      <c r="BI1628" s="1"/>
      <c r="BJ1628" s="1"/>
      <c r="BK1628" s="1"/>
      <c r="BL1628" s="1"/>
      <c r="BM1628" s="1"/>
      <c r="BN1628" s="1"/>
      <c r="BO1628" s="1" t="s">
        <v>28846</v>
      </c>
      <c r="BP1628" s="1"/>
      <c r="BQ1628" s="1"/>
      <c r="BR1628" s="1" t="s">
        <v>28847</v>
      </c>
      <c r="BS1628" s="1">
        <v>29</v>
      </c>
      <c r="BT1628" s="1"/>
      <c r="BU1628" s="1" t="str">
        <f>HYPERLINK("https://nconnect.nicmar.ac.in/storage/profile/ProfilePhoto_p2270209_687943.jpg","Download")</f>
        <v>0</v>
      </c>
      <c r="BV1628" s="3"/>
      <c r="BW1628" s="3"/>
    </row>
    <row r="1629" spans="1:75">
      <c r="A1629" s="1" t="s">
        <v>75</v>
      </c>
      <c r="B1629" s="1" t="s">
        <v>25236</v>
      </c>
      <c r="C1629" s="1" t="s">
        <v>28848</v>
      </c>
      <c r="D1629" s="1" t="s">
        <v>28849</v>
      </c>
      <c r="E1629" s="1"/>
      <c r="F1629" s="1" t="s">
        <v>20298</v>
      </c>
      <c r="G1629" s="1" t="s">
        <v>28850</v>
      </c>
      <c r="H1629" s="1" t="s">
        <v>28851</v>
      </c>
      <c r="I1629" s="1" t="s">
        <v>28852</v>
      </c>
      <c r="J1629" s="1">
        <v>8090723255</v>
      </c>
      <c r="K1629" s="1" t="s">
        <v>84</v>
      </c>
      <c r="L1629" s="1" t="s">
        <v>28853</v>
      </c>
      <c r="M1629" s="1" t="s">
        <v>86</v>
      </c>
      <c r="N1629" s="1" t="s">
        <v>87</v>
      </c>
      <c r="O1629" s="1" t="s">
        <v>28854</v>
      </c>
      <c r="P1629" s="1"/>
      <c r="Q1629" s="1" t="s">
        <v>28855</v>
      </c>
      <c r="R1629" s="1" t="s">
        <v>28856</v>
      </c>
      <c r="S1629" s="1">
        <v>9918749001</v>
      </c>
      <c r="T1629" s="1" t="s">
        <v>127</v>
      </c>
      <c r="U1629" s="1" t="s">
        <v>28857</v>
      </c>
      <c r="V1629" s="1">
        <v>7905321267</v>
      </c>
      <c r="W1629" s="1" t="s">
        <v>161</v>
      </c>
      <c r="X1629" s="1" t="s">
        <v>28858</v>
      </c>
      <c r="Y1629" s="1" t="s">
        <v>22322</v>
      </c>
      <c r="Z1629" s="1" t="s">
        <v>544</v>
      </c>
      <c r="AA1629" s="1" t="s">
        <v>28859</v>
      </c>
      <c r="AB1629" s="1" t="s">
        <v>196</v>
      </c>
      <c r="AC1629" s="1" t="s">
        <v>97</v>
      </c>
      <c r="AD1629" s="1" t="s">
        <v>98</v>
      </c>
      <c r="AE1629" s="1" t="s">
        <v>98</v>
      </c>
      <c r="AF1629" s="1" t="s">
        <v>28860</v>
      </c>
      <c r="AG1629" s="1" t="s">
        <v>28861</v>
      </c>
      <c r="AH1629" s="1" t="s">
        <v>254</v>
      </c>
      <c r="AI1629" s="1" t="s">
        <v>1213</v>
      </c>
      <c r="AJ1629" s="1">
        <v>84</v>
      </c>
      <c r="AK1629" s="1"/>
      <c r="AL1629" s="1"/>
      <c r="AM1629" s="1"/>
      <c r="AN1629" s="1"/>
      <c r="AO1629" s="1"/>
      <c r="AP1629" s="1"/>
      <c r="AQ1629" s="1"/>
      <c r="AR1629" s="1"/>
      <c r="AS1629" s="1" t="s">
        <v>103</v>
      </c>
      <c r="AT1629" s="1" t="s">
        <v>28862</v>
      </c>
      <c r="AU1629" s="1" t="s">
        <v>804</v>
      </c>
      <c r="AV1629" s="1" t="s">
        <v>230</v>
      </c>
      <c r="AW1629" s="1">
        <v>62.83</v>
      </c>
      <c r="AX1629" s="1"/>
      <c r="AY1629" s="1" t="s">
        <v>28863</v>
      </c>
      <c r="AZ1629" s="1" t="s">
        <v>28864</v>
      </c>
      <c r="BA1629" s="1"/>
      <c r="BB1629" s="1"/>
      <c r="BC1629" s="1" t="s">
        <v>206</v>
      </c>
      <c r="BD1629" s="1" t="s">
        <v>1400</v>
      </c>
      <c r="BE1629" s="1">
        <v>65.8</v>
      </c>
      <c r="BF1629" s="1">
        <v>6.58</v>
      </c>
      <c r="BG1629" s="1"/>
      <c r="BH1629" s="1"/>
      <c r="BI1629" s="1"/>
      <c r="BJ1629" s="1"/>
      <c r="BK1629" s="1"/>
      <c r="BL1629" s="1"/>
      <c r="BM1629" s="1"/>
      <c r="BN1629" s="1"/>
      <c r="BO1629" s="1" t="s">
        <v>28865</v>
      </c>
      <c r="BP1629" s="1" t="s">
        <v>28866</v>
      </c>
      <c r="BQ1629" s="1" t="s">
        <v>1564</v>
      </c>
      <c r="BR1629" s="1" t="s">
        <v>28867</v>
      </c>
      <c r="BS1629" s="1">
        <v>16</v>
      </c>
      <c r="BT1629" s="1"/>
      <c r="BU1629" s="1" t="str">
        <f>HYPERLINK("https://nconnect.nicmar.ac.in/storage/profile/ProfilePhoto_p2270210_746921.jpg","Download")</f>
        <v>0</v>
      </c>
      <c r="BV1629" s="3"/>
      <c r="BW1629" s="3"/>
    </row>
    <row r="1630" spans="1:75">
      <c r="A1630" s="1" t="s">
        <v>75</v>
      </c>
      <c r="B1630" s="1" t="s">
        <v>25236</v>
      </c>
      <c r="C1630" s="1" t="s">
        <v>28868</v>
      </c>
      <c r="D1630" s="1" t="s">
        <v>12847</v>
      </c>
      <c r="E1630" s="1" t="s">
        <v>11149</v>
      </c>
      <c r="F1630" s="1" t="s">
        <v>28869</v>
      </c>
      <c r="G1630" s="1" t="s">
        <v>28870</v>
      </c>
      <c r="H1630" s="1" t="s">
        <v>28871</v>
      </c>
      <c r="I1630" s="1" t="s">
        <v>28872</v>
      </c>
      <c r="J1630" s="1">
        <v>7666122899</v>
      </c>
      <c r="K1630" s="1" t="s">
        <v>84</v>
      </c>
      <c r="L1630" s="1" t="s">
        <v>28873</v>
      </c>
      <c r="M1630" s="1" t="s">
        <v>86</v>
      </c>
      <c r="N1630" s="1" t="s">
        <v>28874</v>
      </c>
      <c r="O1630" s="1" t="s">
        <v>28875</v>
      </c>
      <c r="P1630" s="1" t="s">
        <v>455</v>
      </c>
      <c r="Q1630" s="1" t="s">
        <v>28876</v>
      </c>
      <c r="R1630" s="1" t="s">
        <v>28877</v>
      </c>
      <c r="S1630" s="1">
        <v>9969578530</v>
      </c>
      <c r="T1630" s="1" t="s">
        <v>26854</v>
      </c>
      <c r="U1630" s="1" t="s">
        <v>8537</v>
      </c>
      <c r="V1630" s="1">
        <v>8329094218</v>
      </c>
      <c r="W1630" s="1" t="s">
        <v>161</v>
      </c>
      <c r="X1630" s="1" t="s">
        <v>28878</v>
      </c>
      <c r="Y1630" s="1" t="s">
        <v>1882</v>
      </c>
      <c r="Z1630" s="1" t="s">
        <v>97</v>
      </c>
      <c r="AA1630" s="1" t="s">
        <v>28878</v>
      </c>
      <c r="AB1630" s="1" t="s">
        <v>1882</v>
      </c>
      <c r="AC1630" s="1" t="s">
        <v>97</v>
      </c>
      <c r="AD1630" s="1" t="s">
        <v>98</v>
      </c>
      <c r="AE1630" s="1" t="s">
        <v>98</v>
      </c>
      <c r="AF1630" s="1" t="s">
        <v>28879</v>
      </c>
      <c r="AG1630" s="1" t="s">
        <v>996</v>
      </c>
      <c r="AH1630" s="1" t="s">
        <v>101</v>
      </c>
      <c r="AI1630" s="1" t="s">
        <v>102</v>
      </c>
      <c r="AJ1630" s="1">
        <v>84</v>
      </c>
      <c r="AK1630" s="1">
        <v>0</v>
      </c>
      <c r="AL1630" s="1" t="s">
        <v>28880</v>
      </c>
      <c r="AM1630" s="1" t="s">
        <v>996</v>
      </c>
      <c r="AN1630" s="1"/>
      <c r="AO1630" s="1" t="s">
        <v>167</v>
      </c>
      <c r="AP1630" s="1" t="s">
        <v>518</v>
      </c>
      <c r="AQ1630" s="1">
        <v>62</v>
      </c>
      <c r="AR1630" s="1">
        <v>0</v>
      </c>
      <c r="AS1630" s="1"/>
      <c r="AT1630" s="1"/>
      <c r="AU1630" s="1"/>
      <c r="AV1630" s="1"/>
      <c r="AW1630" s="1"/>
      <c r="AX1630" s="1"/>
      <c r="AY1630" s="1" t="s">
        <v>366</v>
      </c>
      <c r="AZ1630" s="1" t="s">
        <v>10891</v>
      </c>
      <c r="BA1630" s="1"/>
      <c r="BB1630" s="1"/>
      <c r="BC1630" s="1" t="s">
        <v>230</v>
      </c>
      <c r="BD1630" s="1" t="s">
        <v>549</v>
      </c>
      <c r="BE1630" s="1">
        <v>65.4</v>
      </c>
      <c r="BF1630" s="1">
        <v>7.29</v>
      </c>
      <c r="BG1630" s="1"/>
      <c r="BH1630" s="1"/>
      <c r="BI1630" s="1"/>
      <c r="BJ1630" s="1"/>
      <c r="BK1630" s="1"/>
      <c r="BL1630" s="1"/>
      <c r="BM1630" s="1"/>
      <c r="BN1630" s="1"/>
      <c r="BO1630" s="1" t="s">
        <v>28881</v>
      </c>
      <c r="BP1630" s="1"/>
      <c r="BQ1630" s="1"/>
      <c r="BR1630" s="1" t="s">
        <v>28882</v>
      </c>
      <c r="BS1630" s="1">
        <v>11</v>
      </c>
      <c r="BT1630" s="1"/>
      <c r="BU1630" s="1" t="str">
        <f>HYPERLINK("https://nconnect.nicmar.ac.in/storage/profile/ProfilePhoto_p2270211_968153.jpg","Download")</f>
        <v>0</v>
      </c>
      <c r="BV1630" s="3"/>
      <c r="BW1630" s="3"/>
    </row>
    <row r="1631" spans="1:75">
      <c r="A1631" s="1" t="s">
        <v>75</v>
      </c>
      <c r="B1631" s="1" t="s">
        <v>25236</v>
      </c>
      <c r="C1631" s="1" t="s">
        <v>28883</v>
      </c>
      <c r="D1631" s="1" t="s">
        <v>28884</v>
      </c>
      <c r="E1631" s="1"/>
      <c r="F1631" s="1" t="s">
        <v>11754</v>
      </c>
      <c r="G1631" s="1" t="s">
        <v>28885</v>
      </c>
      <c r="H1631" s="1" t="s">
        <v>28886</v>
      </c>
      <c r="I1631" s="1" t="s">
        <v>28887</v>
      </c>
      <c r="J1631" s="1">
        <v>6268591932</v>
      </c>
      <c r="K1631" s="1" t="s">
        <v>84</v>
      </c>
      <c r="L1631" s="1" t="s">
        <v>13019</v>
      </c>
      <c r="M1631" s="1" t="s">
        <v>86</v>
      </c>
      <c r="N1631" s="1" t="s">
        <v>1101</v>
      </c>
      <c r="O1631" s="1" t="s">
        <v>28888</v>
      </c>
      <c r="P1631" s="1" t="s">
        <v>455</v>
      </c>
      <c r="Q1631" s="1" t="s">
        <v>28889</v>
      </c>
      <c r="R1631" s="1" t="s">
        <v>28890</v>
      </c>
      <c r="S1631" s="1">
        <v>7999975816</v>
      </c>
      <c r="T1631" s="1" t="s">
        <v>539</v>
      </c>
      <c r="U1631" s="1" t="s">
        <v>28891</v>
      </c>
      <c r="V1631" s="1">
        <v>9691773268</v>
      </c>
      <c r="W1631" s="1" t="s">
        <v>541</v>
      </c>
      <c r="X1631" s="1" t="s">
        <v>28892</v>
      </c>
      <c r="Y1631" s="1" t="s">
        <v>5219</v>
      </c>
      <c r="Z1631" s="1" t="s">
        <v>3419</v>
      </c>
      <c r="AA1631" s="1" t="s">
        <v>28893</v>
      </c>
      <c r="AB1631" s="1" t="s">
        <v>196</v>
      </c>
      <c r="AC1631" s="1" t="s">
        <v>97</v>
      </c>
      <c r="AD1631" s="1" t="s">
        <v>98</v>
      </c>
      <c r="AE1631" s="1" t="s">
        <v>98</v>
      </c>
      <c r="AF1631" s="1" t="s">
        <v>28894</v>
      </c>
      <c r="AG1631" s="1" t="s">
        <v>28895</v>
      </c>
      <c r="AH1631" s="1" t="s">
        <v>1214</v>
      </c>
      <c r="AI1631" s="1" t="s">
        <v>136</v>
      </c>
      <c r="AJ1631" s="1">
        <v>87.4</v>
      </c>
      <c r="AK1631" s="1">
        <v>9.2</v>
      </c>
      <c r="AL1631" s="1" t="s">
        <v>28896</v>
      </c>
      <c r="AM1631" s="1" t="s">
        <v>28895</v>
      </c>
      <c r="AN1631" s="1"/>
      <c r="AO1631" s="1" t="s">
        <v>1396</v>
      </c>
      <c r="AP1631" s="1" t="s">
        <v>573</v>
      </c>
      <c r="AQ1631" s="1">
        <v>68.8</v>
      </c>
      <c r="AR1631" s="1">
        <v>0</v>
      </c>
      <c r="AS1631" s="1"/>
      <c r="AT1631" s="1"/>
      <c r="AU1631" s="1"/>
      <c r="AV1631" s="1"/>
      <c r="AW1631" s="1"/>
      <c r="AX1631" s="1"/>
      <c r="AY1631" s="1" t="s">
        <v>28897</v>
      </c>
      <c r="AZ1631" s="1" t="s">
        <v>28898</v>
      </c>
      <c r="BA1631" s="1"/>
      <c r="BB1631" s="1"/>
      <c r="BC1631" s="1" t="s">
        <v>230</v>
      </c>
      <c r="BD1631" s="1" t="s">
        <v>549</v>
      </c>
      <c r="BE1631" s="1">
        <v>75.9</v>
      </c>
      <c r="BF1631" s="1">
        <v>7.59</v>
      </c>
      <c r="BG1631" s="1"/>
      <c r="BH1631" s="1"/>
      <c r="BI1631" s="1"/>
      <c r="BJ1631" s="1"/>
      <c r="BK1631" s="1"/>
      <c r="BL1631" s="1"/>
      <c r="BM1631" s="1"/>
      <c r="BN1631" s="1"/>
      <c r="BO1631" s="1" t="s">
        <v>28899</v>
      </c>
      <c r="BP1631" s="1"/>
      <c r="BQ1631" s="1"/>
      <c r="BR1631" s="1" t="s">
        <v>28900</v>
      </c>
      <c r="BS1631" s="1">
        <v>30</v>
      </c>
      <c r="BT1631" s="1"/>
      <c r="BU1631" s="1" t="str">
        <f>HYPERLINK("https://nconnect.nicmar.ac.in/storage/profile/ProfilePhoto_p2270212_567198.jpg","Download")</f>
        <v>0</v>
      </c>
      <c r="BV1631" s="3"/>
      <c r="BW1631" s="3"/>
    </row>
    <row r="1632" spans="1:75">
      <c r="A1632" s="1" t="s">
        <v>75</v>
      </c>
      <c r="B1632" s="1" t="s">
        <v>25236</v>
      </c>
      <c r="C1632" s="1" t="s">
        <v>28901</v>
      </c>
      <c r="D1632" s="1" t="s">
        <v>11255</v>
      </c>
      <c r="E1632" s="1"/>
      <c r="F1632" s="1" t="s">
        <v>28902</v>
      </c>
      <c r="G1632" s="1" t="s">
        <v>28903</v>
      </c>
      <c r="H1632" s="1" t="s">
        <v>28904</v>
      </c>
      <c r="I1632" s="1" t="s">
        <v>28905</v>
      </c>
      <c r="J1632" s="1">
        <v>8800159159</v>
      </c>
      <c r="K1632" s="1" t="s">
        <v>84</v>
      </c>
      <c r="L1632" s="1" t="s">
        <v>10814</v>
      </c>
      <c r="M1632" s="1" t="s">
        <v>86</v>
      </c>
      <c r="N1632" s="1" t="s">
        <v>1101</v>
      </c>
      <c r="O1632" s="1"/>
      <c r="P1632" s="1" t="s">
        <v>1028</v>
      </c>
      <c r="Q1632" s="1" t="s">
        <v>28906</v>
      </c>
      <c r="R1632" s="1" t="s">
        <v>28907</v>
      </c>
      <c r="S1632" s="1">
        <v>9891975635</v>
      </c>
      <c r="T1632" s="1" t="s">
        <v>645</v>
      </c>
      <c r="U1632" s="1" t="s">
        <v>28908</v>
      </c>
      <c r="V1632" s="1">
        <v>9810199199</v>
      </c>
      <c r="W1632" s="1" t="s">
        <v>161</v>
      </c>
      <c r="X1632" s="1" t="s">
        <v>28909</v>
      </c>
      <c r="Y1632" s="1" t="s">
        <v>28910</v>
      </c>
      <c r="Z1632" s="1" t="s">
        <v>1739</v>
      </c>
      <c r="AA1632" s="1" t="s">
        <v>28909</v>
      </c>
      <c r="AB1632" s="1" t="s">
        <v>28910</v>
      </c>
      <c r="AC1632" s="1" t="s">
        <v>1739</v>
      </c>
      <c r="AD1632" s="1" t="s">
        <v>98</v>
      </c>
      <c r="AE1632" s="1" t="s">
        <v>98</v>
      </c>
      <c r="AF1632" s="1" t="s">
        <v>28911</v>
      </c>
      <c r="AG1632" s="1" t="s">
        <v>5375</v>
      </c>
      <c r="AH1632" s="1" t="s">
        <v>1214</v>
      </c>
      <c r="AI1632" s="1" t="s">
        <v>102</v>
      </c>
      <c r="AJ1632" s="1">
        <v>87.4</v>
      </c>
      <c r="AK1632" s="1">
        <v>9.2</v>
      </c>
      <c r="AL1632" s="1" t="s">
        <v>28911</v>
      </c>
      <c r="AM1632" s="1" t="s">
        <v>5375</v>
      </c>
      <c r="AN1632" s="1"/>
      <c r="AO1632" s="1" t="s">
        <v>284</v>
      </c>
      <c r="AP1632" s="1" t="s">
        <v>200</v>
      </c>
      <c r="AQ1632" s="1">
        <v>89.8</v>
      </c>
      <c r="AR1632" s="1">
        <v>0</v>
      </c>
      <c r="AS1632" s="1"/>
      <c r="AT1632" s="1"/>
      <c r="AU1632" s="1"/>
      <c r="AV1632" s="1"/>
      <c r="AW1632" s="1"/>
      <c r="AX1632" s="1"/>
      <c r="AY1632" s="1" t="s">
        <v>4534</v>
      </c>
      <c r="AZ1632" s="1" t="s">
        <v>28912</v>
      </c>
      <c r="BA1632" s="1"/>
      <c r="BB1632" s="1"/>
      <c r="BC1632" s="1" t="s">
        <v>230</v>
      </c>
      <c r="BD1632" s="1" t="s">
        <v>632</v>
      </c>
      <c r="BE1632" s="1">
        <v>77.7</v>
      </c>
      <c r="BF1632" s="1">
        <v>7.77</v>
      </c>
      <c r="BG1632" s="1"/>
      <c r="BH1632" s="1"/>
      <c r="BI1632" s="1"/>
      <c r="BJ1632" s="1"/>
      <c r="BK1632" s="1"/>
      <c r="BL1632" s="1"/>
      <c r="BM1632" s="1"/>
      <c r="BN1632" s="1"/>
      <c r="BO1632" s="1" t="s">
        <v>369</v>
      </c>
      <c r="BP1632" s="1"/>
      <c r="BQ1632" s="1"/>
      <c r="BR1632" s="1" t="s">
        <v>28913</v>
      </c>
      <c r="BS1632" s="1">
        <v>7</v>
      </c>
      <c r="BT1632" s="1"/>
      <c r="BU1632" s="1" t="str">
        <f>HYPERLINK("https://nconnect.nicmar.ac.in/storage/profile/ProfilePhoto_p2270214_651328.jpg","Download")</f>
        <v>0</v>
      </c>
      <c r="BV1632" s="3"/>
      <c r="BW1632" s="3"/>
    </row>
    <row r="1633" spans="1:75">
      <c r="A1633" s="1" t="s">
        <v>75</v>
      </c>
      <c r="B1633" s="1" t="s">
        <v>25236</v>
      </c>
      <c r="C1633" s="1" t="s">
        <v>28914</v>
      </c>
      <c r="D1633" s="1" t="s">
        <v>27100</v>
      </c>
      <c r="E1633" s="1" t="s">
        <v>28915</v>
      </c>
      <c r="F1633" s="1" t="s">
        <v>9133</v>
      </c>
      <c r="G1633" s="1" t="s">
        <v>28916</v>
      </c>
      <c r="H1633" s="1" t="s">
        <v>28917</v>
      </c>
      <c r="I1633" s="1" t="s">
        <v>28918</v>
      </c>
      <c r="J1633" s="1">
        <v>8928290610</v>
      </c>
      <c r="K1633" s="1" t="s">
        <v>84</v>
      </c>
      <c r="L1633" s="1" t="s">
        <v>8698</v>
      </c>
      <c r="M1633" s="1" t="s">
        <v>86</v>
      </c>
      <c r="N1633" s="1" t="s">
        <v>28919</v>
      </c>
      <c r="O1633" s="1"/>
      <c r="P1633" s="1" t="s">
        <v>481</v>
      </c>
      <c r="Q1633" s="1" t="s">
        <v>28920</v>
      </c>
      <c r="R1633" s="1" t="s">
        <v>28921</v>
      </c>
      <c r="S1633" s="1">
        <v>9594125969</v>
      </c>
      <c r="T1633" s="1" t="s">
        <v>28922</v>
      </c>
      <c r="U1633" s="1" t="s">
        <v>28923</v>
      </c>
      <c r="V1633" s="1">
        <v>9892813245</v>
      </c>
      <c r="W1633" s="1" t="s">
        <v>541</v>
      </c>
      <c r="X1633" s="1" t="s">
        <v>28924</v>
      </c>
      <c r="Y1633" s="1" t="s">
        <v>1012</v>
      </c>
      <c r="Z1633" s="1" t="s">
        <v>97</v>
      </c>
      <c r="AA1633" s="1" t="s">
        <v>28924</v>
      </c>
      <c r="AB1633" s="1" t="s">
        <v>1012</v>
      </c>
      <c r="AC1633" s="1" t="s">
        <v>97</v>
      </c>
      <c r="AD1633" s="1" t="s">
        <v>98</v>
      </c>
      <c r="AE1633" s="1" t="s">
        <v>98</v>
      </c>
      <c r="AF1633" s="1" t="s">
        <v>28925</v>
      </c>
      <c r="AG1633" s="1" t="s">
        <v>1968</v>
      </c>
      <c r="AH1633" s="1" t="s">
        <v>166</v>
      </c>
      <c r="AI1633" s="1" t="s">
        <v>1111</v>
      </c>
      <c r="AJ1633" s="1">
        <v>78.6</v>
      </c>
      <c r="AK1633" s="1">
        <v>0</v>
      </c>
      <c r="AL1633" s="1" t="s">
        <v>28926</v>
      </c>
      <c r="AM1633" s="1" t="s">
        <v>1968</v>
      </c>
      <c r="AN1633" s="1"/>
      <c r="AO1633" s="1" t="s">
        <v>170</v>
      </c>
      <c r="AP1633" s="1" t="s">
        <v>1477</v>
      </c>
      <c r="AQ1633" s="1">
        <v>60</v>
      </c>
      <c r="AR1633" s="1">
        <v>0</v>
      </c>
      <c r="AS1633" s="1"/>
      <c r="AT1633" s="1"/>
      <c r="AU1633" s="1"/>
      <c r="AV1633" s="1"/>
      <c r="AW1633" s="1"/>
      <c r="AX1633" s="1"/>
      <c r="AY1633" s="1" t="s">
        <v>680</v>
      </c>
      <c r="AZ1633" s="1" t="s">
        <v>3071</v>
      </c>
      <c r="BA1633" s="1"/>
      <c r="BB1633" s="1"/>
      <c r="BC1633" s="1" t="s">
        <v>1065</v>
      </c>
      <c r="BD1633" s="1" t="s">
        <v>632</v>
      </c>
      <c r="BE1633" s="1">
        <v>69.42</v>
      </c>
      <c r="BF1633" s="1">
        <v>7.76</v>
      </c>
      <c r="BG1633" s="1"/>
      <c r="BH1633" s="1"/>
      <c r="BI1633" s="1"/>
      <c r="BJ1633" s="1"/>
      <c r="BK1633" s="1"/>
      <c r="BL1633" s="1"/>
      <c r="BM1633" s="1"/>
      <c r="BN1633" s="1"/>
      <c r="BO1633" s="1" t="s">
        <v>27375</v>
      </c>
      <c r="BP1633" s="1"/>
      <c r="BQ1633" s="1"/>
      <c r="BR1633" s="1" t="s">
        <v>28927</v>
      </c>
      <c r="BS1633" s="1">
        <v>7</v>
      </c>
      <c r="BT1633" s="1"/>
      <c r="BU1633" s="1" t="str">
        <f>HYPERLINK("https://nconnect.nicmar.ac.in/storage/profile/ProfilePhoto_p2270215_965234.jpg","Download")</f>
        <v>0</v>
      </c>
      <c r="BV1633" s="3"/>
      <c r="BW1633" s="3"/>
    </row>
    <row r="1634" spans="1:75">
      <c r="A1634" s="1" t="s">
        <v>75</v>
      </c>
      <c r="B1634" s="1" t="s">
        <v>25236</v>
      </c>
      <c r="C1634" s="1" t="s">
        <v>28928</v>
      </c>
      <c r="D1634" s="1" t="s">
        <v>5826</v>
      </c>
      <c r="E1634" s="1" t="s">
        <v>28929</v>
      </c>
      <c r="F1634" s="1" t="s">
        <v>2660</v>
      </c>
      <c r="G1634" s="1" t="s">
        <v>28930</v>
      </c>
      <c r="H1634" s="1" t="s">
        <v>28931</v>
      </c>
      <c r="I1634" s="1" t="s">
        <v>28932</v>
      </c>
      <c r="J1634" s="1">
        <v>7726897262</v>
      </c>
      <c r="K1634" s="1" t="s">
        <v>84</v>
      </c>
      <c r="L1634" s="1" t="s">
        <v>28933</v>
      </c>
      <c r="M1634" s="1" t="s">
        <v>86</v>
      </c>
      <c r="N1634" s="1" t="s">
        <v>4278</v>
      </c>
      <c r="O1634" s="1"/>
      <c r="P1634" s="1" t="s">
        <v>481</v>
      </c>
      <c r="Q1634" s="1" t="s">
        <v>28934</v>
      </c>
      <c r="R1634" s="1" t="s">
        <v>28935</v>
      </c>
      <c r="S1634" s="1">
        <v>7755827778</v>
      </c>
      <c r="T1634" s="1" t="s">
        <v>1495</v>
      </c>
      <c r="U1634" s="1" t="s">
        <v>28936</v>
      </c>
      <c r="V1634" s="1">
        <v>9628189236</v>
      </c>
      <c r="W1634" s="1" t="s">
        <v>278</v>
      </c>
      <c r="X1634" s="1" t="s">
        <v>28937</v>
      </c>
      <c r="Y1634" s="1" t="s">
        <v>1059</v>
      </c>
      <c r="Z1634" s="1" t="s">
        <v>544</v>
      </c>
      <c r="AA1634" s="1" t="s">
        <v>28937</v>
      </c>
      <c r="AB1634" s="1" t="s">
        <v>1059</v>
      </c>
      <c r="AC1634" s="1" t="s">
        <v>544</v>
      </c>
      <c r="AD1634" s="1" t="s">
        <v>98</v>
      </c>
      <c r="AE1634" s="1" t="s">
        <v>98</v>
      </c>
      <c r="AF1634" s="1" t="s">
        <v>1060</v>
      </c>
      <c r="AG1634" s="1" t="s">
        <v>28938</v>
      </c>
      <c r="AH1634" s="1" t="s">
        <v>101</v>
      </c>
      <c r="AI1634" s="1" t="s">
        <v>136</v>
      </c>
      <c r="AJ1634" s="1">
        <v>65</v>
      </c>
      <c r="AK1634" s="1">
        <v>6.8</v>
      </c>
      <c r="AL1634" s="1" t="s">
        <v>28939</v>
      </c>
      <c r="AM1634" s="1" t="s">
        <v>28938</v>
      </c>
      <c r="AN1634" s="1"/>
      <c r="AO1634" s="1" t="s">
        <v>167</v>
      </c>
      <c r="AP1634" s="1" t="s">
        <v>170</v>
      </c>
      <c r="AQ1634" s="1">
        <v>56.6</v>
      </c>
      <c r="AR1634" s="1">
        <v>0</v>
      </c>
      <c r="AS1634" s="1"/>
      <c r="AT1634" s="1"/>
      <c r="AU1634" s="1"/>
      <c r="AV1634" s="1"/>
      <c r="AW1634" s="1"/>
      <c r="AX1634" s="1"/>
      <c r="AY1634" s="1" t="s">
        <v>8266</v>
      </c>
      <c r="AZ1634" s="1" t="s">
        <v>3771</v>
      </c>
      <c r="BA1634" s="1"/>
      <c r="BB1634" s="1"/>
      <c r="BC1634" s="1" t="s">
        <v>388</v>
      </c>
      <c r="BD1634" s="1" t="s">
        <v>845</v>
      </c>
      <c r="BE1634" s="1">
        <v>61.75</v>
      </c>
      <c r="BF1634" s="1">
        <v>6.5</v>
      </c>
      <c r="BG1634" s="1"/>
      <c r="BH1634" s="1"/>
      <c r="BI1634" s="1"/>
      <c r="BJ1634" s="1"/>
      <c r="BK1634" s="1"/>
      <c r="BL1634" s="1"/>
      <c r="BM1634" s="1"/>
      <c r="BN1634" s="1"/>
      <c r="BO1634" s="1" t="s">
        <v>28940</v>
      </c>
      <c r="BP1634" s="1"/>
      <c r="BQ1634" s="1"/>
      <c r="BR1634" s="1" t="s">
        <v>28941</v>
      </c>
      <c r="BS1634" s="1">
        <v>25</v>
      </c>
      <c r="BT1634" s="1"/>
      <c r="BU1634" s="1" t="str">
        <f>HYPERLINK("https://nconnect.nicmar.ac.in/storage/profile/ProfilePhoto_p2270216_794382.jpg","Download")</f>
        <v>0</v>
      </c>
      <c r="BV1634" s="3"/>
      <c r="BW1634" s="3"/>
    </row>
    <row r="1635" spans="1:75">
      <c r="A1635" s="1" t="s">
        <v>75</v>
      </c>
      <c r="B1635" s="1" t="s">
        <v>25236</v>
      </c>
      <c r="C1635" s="1" t="s">
        <v>28942</v>
      </c>
      <c r="D1635" s="1" t="s">
        <v>5921</v>
      </c>
      <c r="E1635" s="1" t="s">
        <v>7866</v>
      </c>
      <c r="F1635" s="1" t="s">
        <v>28943</v>
      </c>
      <c r="G1635" s="1" t="s">
        <v>28944</v>
      </c>
      <c r="H1635" s="1" t="s">
        <v>28945</v>
      </c>
      <c r="I1635" s="1" t="s">
        <v>28946</v>
      </c>
      <c r="J1635" s="1">
        <v>9591299699</v>
      </c>
      <c r="K1635" s="1" t="s">
        <v>84</v>
      </c>
      <c r="L1635" s="1" t="s">
        <v>28947</v>
      </c>
      <c r="M1635" s="1" t="s">
        <v>86</v>
      </c>
      <c r="N1635" s="1" t="s">
        <v>4412</v>
      </c>
      <c r="O1635" s="1" t="s">
        <v>28948</v>
      </c>
      <c r="P1635" s="1" t="s">
        <v>455</v>
      </c>
      <c r="Q1635" s="1" t="s">
        <v>28949</v>
      </c>
      <c r="R1635" s="1" t="s">
        <v>28950</v>
      </c>
      <c r="S1635" s="1">
        <v>9741608753</v>
      </c>
      <c r="T1635" s="1" t="s">
        <v>3788</v>
      </c>
      <c r="U1635" s="1" t="s">
        <v>4487</v>
      </c>
      <c r="V1635" s="1">
        <v>7022885449</v>
      </c>
      <c r="W1635" s="1" t="s">
        <v>278</v>
      </c>
      <c r="X1635" s="1" t="s">
        <v>28951</v>
      </c>
      <c r="Y1635" s="1" t="s">
        <v>26575</v>
      </c>
      <c r="Z1635" s="1" t="s">
        <v>1210</v>
      </c>
      <c r="AA1635" s="1" t="s">
        <v>28951</v>
      </c>
      <c r="AB1635" s="1" t="s">
        <v>26575</v>
      </c>
      <c r="AC1635" s="1" t="s">
        <v>1210</v>
      </c>
      <c r="AD1635" s="1" t="s">
        <v>98</v>
      </c>
      <c r="AE1635" s="1" t="s">
        <v>98</v>
      </c>
      <c r="AF1635" s="1" t="s">
        <v>28952</v>
      </c>
      <c r="AG1635" s="1" t="s">
        <v>28953</v>
      </c>
      <c r="AH1635" s="1" t="s">
        <v>101</v>
      </c>
      <c r="AI1635" s="1" t="s">
        <v>1110</v>
      </c>
      <c r="AJ1635" s="1">
        <v>85.28</v>
      </c>
      <c r="AK1635" s="1"/>
      <c r="AL1635" s="1" t="s">
        <v>28954</v>
      </c>
      <c r="AM1635" s="1" t="s">
        <v>8131</v>
      </c>
      <c r="AN1635" s="1"/>
      <c r="AO1635" s="1" t="s">
        <v>167</v>
      </c>
      <c r="AP1635" s="1" t="s">
        <v>200</v>
      </c>
      <c r="AQ1635" s="1">
        <v>67.83</v>
      </c>
      <c r="AR1635" s="1"/>
      <c r="AS1635" s="1"/>
      <c r="AT1635" s="1"/>
      <c r="AU1635" s="1"/>
      <c r="AV1635" s="1"/>
      <c r="AW1635" s="1"/>
      <c r="AX1635" s="1"/>
      <c r="AY1635" s="1" t="s">
        <v>28955</v>
      </c>
      <c r="AZ1635" s="1" t="s">
        <v>28956</v>
      </c>
      <c r="BA1635" s="1"/>
      <c r="BB1635" s="1"/>
      <c r="BC1635" s="1" t="s">
        <v>230</v>
      </c>
      <c r="BD1635" s="1" t="s">
        <v>4722</v>
      </c>
      <c r="BE1635" s="1">
        <v>54.44</v>
      </c>
      <c r="BF1635" s="1">
        <v>6.19</v>
      </c>
      <c r="BG1635" s="1"/>
      <c r="BH1635" s="1"/>
      <c r="BI1635" s="1"/>
      <c r="BJ1635" s="1"/>
      <c r="BK1635" s="1"/>
      <c r="BL1635" s="1"/>
      <c r="BM1635" s="1"/>
      <c r="BN1635" s="1"/>
      <c r="BO1635" s="1" t="s">
        <v>28957</v>
      </c>
      <c r="BP1635" s="1"/>
      <c r="BQ1635" s="1"/>
      <c r="BR1635" s="1" t="s">
        <v>28958</v>
      </c>
      <c r="BS1635" s="1">
        <v>9</v>
      </c>
      <c r="BT1635" s="1"/>
      <c r="BU1635" s="1" t="str">
        <f>HYPERLINK("https://nconnect.nicmar.ac.in/storage/profile/ProfilePhoto_p2270217_675842.jpg","Download")</f>
        <v>0</v>
      </c>
      <c r="BV1635" s="3"/>
      <c r="BW1635" s="3"/>
    </row>
    <row r="1636" spans="1:75">
      <c r="A1636" s="1" t="s">
        <v>75</v>
      </c>
      <c r="B1636" s="1" t="s">
        <v>25236</v>
      </c>
      <c r="C1636" s="1" t="s">
        <v>28959</v>
      </c>
      <c r="D1636" s="1" t="s">
        <v>28960</v>
      </c>
      <c r="E1636" s="1"/>
      <c r="F1636" s="1" t="s">
        <v>28961</v>
      </c>
      <c r="G1636" s="1" t="s">
        <v>28962</v>
      </c>
      <c r="H1636" s="1" t="s">
        <v>28963</v>
      </c>
      <c r="I1636" s="1" t="s">
        <v>28964</v>
      </c>
      <c r="J1636" s="1">
        <v>9588077454</v>
      </c>
      <c r="K1636" s="1" t="s">
        <v>153</v>
      </c>
      <c r="L1636" s="1" t="s">
        <v>28965</v>
      </c>
      <c r="M1636" s="1" t="s">
        <v>86</v>
      </c>
      <c r="N1636" s="1" t="s">
        <v>2081</v>
      </c>
      <c r="O1636" s="1"/>
      <c r="P1636" s="1" t="s">
        <v>507</v>
      </c>
      <c r="Q1636" s="1" t="s">
        <v>28966</v>
      </c>
      <c r="R1636" s="1" t="s">
        <v>28967</v>
      </c>
      <c r="S1636" s="1">
        <v>9829125976</v>
      </c>
      <c r="T1636" s="1" t="s">
        <v>926</v>
      </c>
      <c r="U1636" s="1" t="s">
        <v>28968</v>
      </c>
      <c r="V1636" s="1">
        <v>7014104094</v>
      </c>
      <c r="W1636" s="1" t="s">
        <v>2547</v>
      </c>
      <c r="X1636" s="1" t="s">
        <v>28969</v>
      </c>
      <c r="Y1636" s="1" t="s">
        <v>28970</v>
      </c>
      <c r="Z1636" s="1" t="s">
        <v>2153</v>
      </c>
      <c r="AA1636" s="1" t="s">
        <v>28969</v>
      </c>
      <c r="AB1636" s="1" t="s">
        <v>28970</v>
      </c>
      <c r="AC1636" s="1" t="s">
        <v>2153</v>
      </c>
      <c r="AD1636" s="1" t="s">
        <v>98</v>
      </c>
      <c r="AE1636" s="1" t="s">
        <v>98</v>
      </c>
      <c r="AF1636" s="1" t="s">
        <v>28971</v>
      </c>
      <c r="AG1636" s="1" t="s">
        <v>28972</v>
      </c>
      <c r="AH1636" s="1" t="s">
        <v>1214</v>
      </c>
      <c r="AI1636" s="1" t="s">
        <v>1110</v>
      </c>
      <c r="AJ1636" s="1">
        <v>83.6</v>
      </c>
      <c r="AK1636" s="1">
        <v>8.8</v>
      </c>
      <c r="AL1636" s="1" t="s">
        <v>28973</v>
      </c>
      <c r="AM1636" s="1" t="s">
        <v>28972</v>
      </c>
      <c r="AN1636" s="1"/>
      <c r="AO1636" s="1" t="s">
        <v>284</v>
      </c>
      <c r="AP1636" s="1" t="s">
        <v>704</v>
      </c>
      <c r="AQ1636" s="1">
        <v>74.6</v>
      </c>
      <c r="AR1636" s="1"/>
      <c r="AS1636" s="1"/>
      <c r="AT1636" s="1"/>
      <c r="AU1636" s="1"/>
      <c r="AV1636" s="1"/>
      <c r="AW1636" s="1"/>
      <c r="AX1636" s="1"/>
      <c r="AY1636" s="1" t="s">
        <v>28974</v>
      </c>
      <c r="AZ1636" s="1" t="s">
        <v>28975</v>
      </c>
      <c r="BA1636" s="1"/>
      <c r="BB1636" s="1"/>
      <c r="BC1636" s="1" t="s">
        <v>230</v>
      </c>
      <c r="BD1636" s="1" t="s">
        <v>632</v>
      </c>
      <c r="BE1636" s="1">
        <v>62.87</v>
      </c>
      <c r="BF1636" s="1">
        <v>6.28</v>
      </c>
      <c r="BG1636" s="1"/>
      <c r="BH1636" s="1"/>
      <c r="BI1636" s="1"/>
      <c r="BJ1636" s="1"/>
      <c r="BK1636" s="1"/>
      <c r="BL1636" s="1"/>
      <c r="BM1636" s="1"/>
      <c r="BN1636" s="1"/>
      <c r="BO1636" s="1" t="s">
        <v>1114</v>
      </c>
      <c r="BP1636" s="1"/>
      <c r="BQ1636" s="1"/>
      <c r="BR1636" s="1" t="s">
        <v>28976</v>
      </c>
      <c r="BS1636" s="1">
        <v>33</v>
      </c>
      <c r="BT1636" s="1"/>
      <c r="BU1636" s="1" t="str">
        <f>HYPERLINK("https://nconnect.nicmar.ac.in/storage/profile/ProfilePhoto_p2270219_839762.jpg","Download")</f>
        <v>0</v>
      </c>
      <c r="BV1636" s="3"/>
      <c r="BW1636" s="3"/>
    </row>
    <row r="1637" spans="1:75">
      <c r="A1637" s="1" t="s">
        <v>75</v>
      </c>
      <c r="B1637" s="1" t="s">
        <v>25236</v>
      </c>
      <c r="C1637" s="1" t="s">
        <v>28977</v>
      </c>
      <c r="D1637" s="1" t="s">
        <v>28978</v>
      </c>
      <c r="E1637" s="1"/>
      <c r="F1637" s="1" t="s">
        <v>1295</v>
      </c>
      <c r="G1637" s="1" t="s">
        <v>28979</v>
      </c>
      <c r="H1637" s="1" t="s">
        <v>28980</v>
      </c>
      <c r="I1637" s="1" t="s">
        <v>28981</v>
      </c>
      <c r="J1637" s="1">
        <v>8190014121</v>
      </c>
      <c r="K1637" s="1" t="s">
        <v>84</v>
      </c>
      <c r="L1637" s="1" t="s">
        <v>28982</v>
      </c>
      <c r="M1637" s="1" t="s">
        <v>86</v>
      </c>
      <c r="N1637" s="1" t="s">
        <v>28983</v>
      </c>
      <c r="O1637" s="1" t="s">
        <v>28984</v>
      </c>
      <c r="P1637" s="1" t="s">
        <v>455</v>
      </c>
      <c r="Q1637" s="1" t="s">
        <v>28985</v>
      </c>
      <c r="R1637" s="1" t="s">
        <v>28986</v>
      </c>
      <c r="S1637" s="1">
        <v>7305531193</v>
      </c>
      <c r="T1637" s="1" t="s">
        <v>28987</v>
      </c>
      <c r="U1637" s="1" t="s">
        <v>28988</v>
      </c>
      <c r="V1637" s="1">
        <v>9003011104</v>
      </c>
      <c r="W1637" s="1" t="s">
        <v>541</v>
      </c>
      <c r="X1637" s="1" t="s">
        <v>28989</v>
      </c>
      <c r="Y1637" s="1" t="s">
        <v>1498</v>
      </c>
      <c r="Z1637" s="1" t="s">
        <v>570</v>
      </c>
      <c r="AA1637" s="1" t="s">
        <v>28989</v>
      </c>
      <c r="AB1637" s="1" t="s">
        <v>1498</v>
      </c>
      <c r="AC1637" s="1" t="s">
        <v>570</v>
      </c>
      <c r="AD1637" s="1" t="s">
        <v>98</v>
      </c>
      <c r="AE1637" s="1" t="s">
        <v>98</v>
      </c>
      <c r="AF1637" s="1" t="s">
        <v>28990</v>
      </c>
      <c r="AG1637" s="1" t="s">
        <v>28991</v>
      </c>
      <c r="AH1637" s="1" t="s">
        <v>1213</v>
      </c>
      <c r="AI1637" s="1" t="s">
        <v>1262</v>
      </c>
      <c r="AJ1637" s="1">
        <v>90.4</v>
      </c>
      <c r="AK1637" s="1">
        <v>0</v>
      </c>
      <c r="AL1637" s="1" t="s">
        <v>28990</v>
      </c>
      <c r="AM1637" s="1" t="s">
        <v>28991</v>
      </c>
      <c r="AN1637" s="1"/>
      <c r="AO1637" s="1" t="s">
        <v>166</v>
      </c>
      <c r="AP1637" s="1" t="s">
        <v>627</v>
      </c>
      <c r="AQ1637" s="1">
        <v>85.91</v>
      </c>
      <c r="AR1637" s="1">
        <v>0</v>
      </c>
      <c r="AS1637" s="1"/>
      <c r="AT1637" s="1"/>
      <c r="AU1637" s="1"/>
      <c r="AV1637" s="1"/>
      <c r="AW1637" s="1"/>
      <c r="AX1637" s="1"/>
      <c r="AY1637" s="1" t="s">
        <v>576</v>
      </c>
      <c r="AZ1637" s="1" t="s">
        <v>28992</v>
      </c>
      <c r="BA1637" s="1"/>
      <c r="BB1637" s="1"/>
      <c r="BC1637" s="1" t="s">
        <v>139</v>
      </c>
      <c r="BD1637" s="1" t="s">
        <v>175</v>
      </c>
      <c r="BE1637" s="1">
        <v>74.2</v>
      </c>
      <c r="BF1637" s="1">
        <v>7.42</v>
      </c>
      <c r="BG1637" s="1"/>
      <c r="BH1637" s="1"/>
      <c r="BI1637" s="1"/>
      <c r="BJ1637" s="1"/>
      <c r="BK1637" s="1"/>
      <c r="BL1637" s="1"/>
      <c r="BM1637" s="1"/>
      <c r="BN1637" s="1"/>
      <c r="BO1637" s="1" t="s">
        <v>28993</v>
      </c>
      <c r="BP1637" s="1"/>
      <c r="BQ1637" s="1"/>
      <c r="BR1637" s="1" t="s">
        <v>28994</v>
      </c>
      <c r="BS1637" s="1">
        <v>72</v>
      </c>
      <c r="BT1637" s="1"/>
      <c r="BU1637" s="1" t="str">
        <f>HYPERLINK("https://nconnect.nicmar.ac.in/storage/profile/ProfilePhoto_p2270220_462197.jpg","Download")</f>
        <v>0</v>
      </c>
      <c r="BV1637" s="3"/>
      <c r="BW1637" s="3"/>
    </row>
    <row r="1638" spans="1:75">
      <c r="A1638" s="1" t="s">
        <v>75</v>
      </c>
      <c r="B1638" s="1" t="s">
        <v>25236</v>
      </c>
      <c r="C1638" s="1" t="s">
        <v>28995</v>
      </c>
      <c r="D1638" s="1" t="s">
        <v>13757</v>
      </c>
      <c r="E1638" s="1"/>
      <c r="F1638" s="1" t="s">
        <v>28996</v>
      </c>
      <c r="G1638" s="1" t="s">
        <v>28997</v>
      </c>
      <c r="H1638" s="1" t="s">
        <v>28998</v>
      </c>
      <c r="I1638" s="1" t="s">
        <v>28999</v>
      </c>
      <c r="J1638" s="1">
        <v>8317415627</v>
      </c>
      <c r="K1638" s="1" t="s">
        <v>84</v>
      </c>
      <c r="L1638" s="1" t="s">
        <v>29000</v>
      </c>
      <c r="M1638" s="1" t="s">
        <v>86</v>
      </c>
      <c r="N1638" s="1" t="s">
        <v>29001</v>
      </c>
      <c r="O1638" s="1"/>
      <c r="P1638" s="1" t="s">
        <v>507</v>
      </c>
      <c r="Q1638" s="1" t="s">
        <v>29002</v>
      </c>
      <c r="R1638" s="1" t="s">
        <v>29003</v>
      </c>
      <c r="S1638" s="1">
        <v>9844460220</v>
      </c>
      <c r="T1638" s="1" t="s">
        <v>9909</v>
      </c>
      <c r="U1638" s="1" t="s">
        <v>29004</v>
      </c>
      <c r="V1638" s="1">
        <v>9844876788</v>
      </c>
      <c r="W1638" s="1" t="s">
        <v>161</v>
      </c>
      <c r="X1638" s="1" t="s">
        <v>29005</v>
      </c>
      <c r="Y1638" s="1" t="s">
        <v>6414</v>
      </c>
      <c r="Z1638" s="1" t="s">
        <v>1210</v>
      </c>
      <c r="AA1638" s="1" t="s">
        <v>29006</v>
      </c>
      <c r="AB1638" s="1" t="s">
        <v>196</v>
      </c>
      <c r="AC1638" s="1" t="s">
        <v>97</v>
      </c>
      <c r="AD1638" s="1" t="s">
        <v>98</v>
      </c>
      <c r="AE1638" s="1" t="s">
        <v>98</v>
      </c>
      <c r="AF1638" s="1" t="s">
        <v>29007</v>
      </c>
      <c r="AG1638" s="1" t="s">
        <v>29008</v>
      </c>
      <c r="AH1638" s="1" t="s">
        <v>2726</v>
      </c>
      <c r="AI1638" s="1" t="s">
        <v>134</v>
      </c>
      <c r="AJ1638" s="1">
        <v>77.9</v>
      </c>
      <c r="AK1638" s="1">
        <v>8.2</v>
      </c>
      <c r="AL1638" s="1" t="s">
        <v>29009</v>
      </c>
      <c r="AM1638" s="1" t="s">
        <v>29010</v>
      </c>
      <c r="AN1638" s="1"/>
      <c r="AO1638" s="1" t="s">
        <v>515</v>
      </c>
      <c r="AP1638" s="1" t="s">
        <v>102</v>
      </c>
      <c r="AQ1638" s="1">
        <v>71.33</v>
      </c>
      <c r="AR1638" s="1"/>
      <c r="AS1638" s="1"/>
      <c r="AT1638" s="1"/>
      <c r="AU1638" s="1"/>
      <c r="AV1638" s="1"/>
      <c r="AW1638" s="1"/>
      <c r="AX1638" s="1"/>
      <c r="AY1638" s="1" t="s">
        <v>1217</v>
      </c>
      <c r="AZ1638" s="1" t="s">
        <v>29011</v>
      </c>
      <c r="BA1638" s="1"/>
      <c r="BB1638" s="1"/>
      <c r="BC1638" s="1" t="s">
        <v>105</v>
      </c>
      <c r="BD1638" s="1" t="s">
        <v>206</v>
      </c>
      <c r="BE1638" s="1">
        <v>53.6</v>
      </c>
      <c r="BF1638" s="1">
        <v>6.11</v>
      </c>
      <c r="BG1638" s="1"/>
      <c r="BH1638" s="1"/>
      <c r="BI1638" s="1"/>
      <c r="BJ1638" s="1"/>
      <c r="BK1638" s="1"/>
      <c r="BL1638" s="1"/>
      <c r="BM1638" s="1"/>
      <c r="BN1638" s="1"/>
      <c r="BO1638" s="1" t="s">
        <v>29012</v>
      </c>
      <c r="BP1638" s="1" t="s">
        <v>29013</v>
      </c>
      <c r="BQ1638" s="1" t="s">
        <v>1070</v>
      </c>
      <c r="BR1638" s="1" t="s">
        <v>29014</v>
      </c>
      <c r="BS1638" s="1">
        <v>12</v>
      </c>
      <c r="BT1638" s="1"/>
      <c r="BU1638" s="1" t="str">
        <f>HYPERLINK("https://nconnect.nicmar.ac.in/storage/profile/ProfilePhoto_p2270221_817643.jpg","Download")</f>
        <v>0</v>
      </c>
      <c r="BV1638" s="3"/>
      <c r="BW1638" s="3"/>
    </row>
    <row r="1639" spans="1:75">
      <c r="A1639" s="1" t="s">
        <v>75</v>
      </c>
      <c r="B1639" s="1" t="s">
        <v>25236</v>
      </c>
      <c r="C1639" s="1" t="s">
        <v>29015</v>
      </c>
      <c r="D1639" s="1" t="s">
        <v>27118</v>
      </c>
      <c r="E1639" s="1" t="s">
        <v>5171</v>
      </c>
      <c r="F1639" s="1" t="s">
        <v>530</v>
      </c>
      <c r="G1639" s="1" t="s">
        <v>29016</v>
      </c>
      <c r="H1639" s="1" t="s">
        <v>29017</v>
      </c>
      <c r="I1639" s="1" t="s">
        <v>29018</v>
      </c>
      <c r="J1639" s="1">
        <v>8860231008</v>
      </c>
      <c r="K1639" s="1" t="s">
        <v>84</v>
      </c>
      <c r="L1639" s="1" t="s">
        <v>29019</v>
      </c>
      <c r="M1639" s="1" t="s">
        <v>86</v>
      </c>
      <c r="N1639" s="1" t="s">
        <v>355</v>
      </c>
      <c r="O1639" s="1"/>
      <c r="P1639" s="1"/>
      <c r="Q1639" s="1" t="s">
        <v>29020</v>
      </c>
      <c r="R1639" s="1" t="s">
        <v>29021</v>
      </c>
      <c r="S1639" s="1">
        <v>9871666377</v>
      </c>
      <c r="T1639" s="1" t="s">
        <v>92</v>
      </c>
      <c r="U1639" s="1" t="s">
        <v>29022</v>
      </c>
      <c r="V1639" s="1">
        <v>9958377950</v>
      </c>
      <c r="W1639" s="1" t="s">
        <v>278</v>
      </c>
      <c r="X1639" s="1" t="s">
        <v>29023</v>
      </c>
      <c r="Y1639" s="1" t="s">
        <v>1107</v>
      </c>
      <c r="Z1639" s="1" t="s">
        <v>544</v>
      </c>
      <c r="AA1639" s="1" t="s">
        <v>29023</v>
      </c>
      <c r="AB1639" s="1" t="s">
        <v>1107</v>
      </c>
      <c r="AC1639" s="1" t="s">
        <v>544</v>
      </c>
      <c r="AD1639" s="1" t="s">
        <v>98</v>
      </c>
      <c r="AE1639" s="1" t="s">
        <v>98</v>
      </c>
      <c r="AF1639" s="1" t="s">
        <v>29024</v>
      </c>
      <c r="AG1639" s="1" t="s">
        <v>29025</v>
      </c>
      <c r="AH1639" s="1" t="s">
        <v>1110</v>
      </c>
      <c r="AI1639" s="1" t="s">
        <v>627</v>
      </c>
      <c r="AJ1639" s="1">
        <v>68.4</v>
      </c>
      <c r="AK1639" s="1">
        <v>7.2</v>
      </c>
      <c r="AL1639" s="1" t="s">
        <v>29026</v>
      </c>
      <c r="AM1639" s="1" t="s">
        <v>29025</v>
      </c>
      <c r="AN1639" s="1"/>
      <c r="AO1639" s="1" t="s">
        <v>284</v>
      </c>
      <c r="AP1639" s="1" t="s">
        <v>171</v>
      </c>
      <c r="AQ1639" s="1">
        <v>60.8</v>
      </c>
      <c r="AR1639" s="1"/>
      <c r="AS1639" s="1"/>
      <c r="AT1639" s="1"/>
      <c r="AU1639" s="1"/>
      <c r="AV1639" s="1"/>
      <c r="AW1639" s="1"/>
      <c r="AX1639" s="1"/>
      <c r="AY1639" s="1" t="s">
        <v>9026</v>
      </c>
      <c r="AZ1639" s="1" t="s">
        <v>26823</v>
      </c>
      <c r="BA1639" s="1"/>
      <c r="BB1639" s="1"/>
      <c r="BC1639" s="1" t="s">
        <v>106</v>
      </c>
      <c r="BD1639" s="1" t="s">
        <v>632</v>
      </c>
      <c r="BE1639" s="1">
        <v>74.2</v>
      </c>
      <c r="BF1639" s="1">
        <v>7.42</v>
      </c>
      <c r="BG1639" s="1"/>
      <c r="BH1639" s="1"/>
      <c r="BI1639" s="1"/>
      <c r="BJ1639" s="1"/>
      <c r="BK1639" s="1"/>
      <c r="BL1639" s="1"/>
      <c r="BM1639" s="1"/>
      <c r="BN1639" s="1"/>
      <c r="BO1639" s="1" t="s">
        <v>29027</v>
      </c>
      <c r="BP1639" s="1"/>
      <c r="BQ1639" s="1"/>
      <c r="BR1639" s="1" t="s">
        <v>29028</v>
      </c>
      <c r="BS1639" s="1">
        <v>25</v>
      </c>
      <c r="BT1639" s="1"/>
      <c r="BU1639" s="1" t="str">
        <f>HYPERLINK("https://nconnect.nicmar.ac.in/storage/profile/ProfilePhoto_p2270222_176854.jpg","Download")</f>
        <v>0</v>
      </c>
      <c r="BV1639" s="3"/>
      <c r="BW1639" s="3"/>
    </row>
    <row r="1640" spans="1:75">
      <c r="A1640" s="1" t="s">
        <v>75</v>
      </c>
      <c r="B1640" s="1" t="s">
        <v>25236</v>
      </c>
      <c r="C1640" s="1" t="s">
        <v>29029</v>
      </c>
      <c r="D1640" s="1" t="s">
        <v>13757</v>
      </c>
      <c r="E1640" s="1" t="s">
        <v>1361</v>
      </c>
      <c r="F1640" s="1" t="s">
        <v>29030</v>
      </c>
      <c r="G1640" s="1" t="s">
        <v>29031</v>
      </c>
      <c r="H1640" s="1" t="s">
        <v>29032</v>
      </c>
      <c r="I1640" s="1" t="s">
        <v>29033</v>
      </c>
      <c r="J1640" s="1">
        <v>8105132917</v>
      </c>
      <c r="K1640" s="1" t="s">
        <v>84</v>
      </c>
      <c r="L1640" s="1" t="s">
        <v>29034</v>
      </c>
      <c r="M1640" s="1" t="s">
        <v>86</v>
      </c>
      <c r="N1640" s="1" t="s">
        <v>13845</v>
      </c>
      <c r="O1640" s="1"/>
      <c r="P1640" s="1"/>
      <c r="Q1640" s="1" t="s">
        <v>29035</v>
      </c>
      <c r="R1640" s="1" t="s">
        <v>29036</v>
      </c>
      <c r="S1640" s="1">
        <v>9972504179</v>
      </c>
      <c r="T1640" s="1" t="s">
        <v>13499</v>
      </c>
      <c r="U1640" s="1" t="s">
        <v>29037</v>
      </c>
      <c r="V1640" s="1">
        <v>8105132917</v>
      </c>
      <c r="W1640" s="1" t="s">
        <v>278</v>
      </c>
      <c r="X1640" s="1" t="s">
        <v>29038</v>
      </c>
      <c r="Y1640" s="1" t="s">
        <v>27966</v>
      </c>
      <c r="Z1640" s="1" t="s">
        <v>1210</v>
      </c>
      <c r="AA1640" s="1" t="s">
        <v>29039</v>
      </c>
      <c r="AB1640" s="1" t="s">
        <v>196</v>
      </c>
      <c r="AC1640" s="1" t="s">
        <v>97</v>
      </c>
      <c r="AD1640" s="1" t="s">
        <v>98</v>
      </c>
      <c r="AE1640" s="1" t="s">
        <v>98</v>
      </c>
      <c r="AF1640" s="1" t="s">
        <v>29040</v>
      </c>
      <c r="AG1640" s="1" t="s">
        <v>29041</v>
      </c>
      <c r="AH1640" s="1" t="s">
        <v>1213</v>
      </c>
      <c r="AI1640" s="1" t="s">
        <v>1262</v>
      </c>
      <c r="AJ1640" s="1">
        <v>79.8</v>
      </c>
      <c r="AK1640" s="1">
        <v>8.4</v>
      </c>
      <c r="AL1640" s="1" t="s">
        <v>29042</v>
      </c>
      <c r="AM1640" s="1" t="s">
        <v>12550</v>
      </c>
      <c r="AN1640" s="1"/>
      <c r="AO1640" s="1" t="s">
        <v>101</v>
      </c>
      <c r="AP1640" s="1" t="s">
        <v>627</v>
      </c>
      <c r="AQ1640" s="1">
        <v>82.5</v>
      </c>
      <c r="AR1640" s="1"/>
      <c r="AS1640" s="1"/>
      <c r="AT1640" s="1"/>
      <c r="AU1640" s="1"/>
      <c r="AV1640" s="1"/>
      <c r="AW1640" s="1"/>
      <c r="AX1640" s="1"/>
      <c r="AY1640" s="1" t="s">
        <v>1217</v>
      </c>
      <c r="AZ1640" s="1" t="s">
        <v>29043</v>
      </c>
      <c r="BA1640" s="1"/>
      <c r="BB1640" s="1"/>
      <c r="BC1640" s="1" t="s">
        <v>139</v>
      </c>
      <c r="BD1640" s="1" t="s">
        <v>890</v>
      </c>
      <c r="BE1640" s="1">
        <v>76</v>
      </c>
      <c r="BF1640" s="1">
        <v>8.35</v>
      </c>
      <c r="BG1640" s="1"/>
      <c r="BH1640" s="1"/>
      <c r="BI1640" s="1"/>
      <c r="BJ1640" s="1"/>
      <c r="BK1640" s="1"/>
      <c r="BL1640" s="1"/>
      <c r="BM1640" s="1"/>
      <c r="BN1640" s="1"/>
      <c r="BO1640" s="1" t="s">
        <v>29044</v>
      </c>
      <c r="BP1640" s="1"/>
      <c r="BQ1640" s="1"/>
      <c r="BR1640" s="1" t="s">
        <v>29045</v>
      </c>
      <c r="BS1640" s="1">
        <v>16</v>
      </c>
      <c r="BT1640" s="1"/>
      <c r="BU1640" s="1" t="str">
        <f>HYPERLINK("https://nconnect.nicmar.ac.in/storage/profile/ProfilePhoto_p2270223_783916.jpg","Download")</f>
        <v>0</v>
      </c>
      <c r="BV1640" s="3"/>
      <c r="BW1640" s="3"/>
    </row>
    <row r="1641" spans="1:75">
      <c r="A1641" s="1" t="s">
        <v>75</v>
      </c>
      <c r="B1641" s="1" t="s">
        <v>25236</v>
      </c>
      <c r="C1641" s="1" t="s">
        <v>29046</v>
      </c>
      <c r="D1641" s="1" t="s">
        <v>29047</v>
      </c>
      <c r="E1641" s="1"/>
      <c r="F1641" s="1" t="s">
        <v>29048</v>
      </c>
      <c r="G1641" s="1" t="s">
        <v>29049</v>
      </c>
      <c r="H1641" s="1" t="s">
        <v>29050</v>
      </c>
      <c r="I1641" s="1" t="s">
        <v>29051</v>
      </c>
      <c r="J1641" s="1">
        <v>6303974519</v>
      </c>
      <c r="K1641" s="1" t="s">
        <v>153</v>
      </c>
      <c r="L1641" s="1" t="s">
        <v>29052</v>
      </c>
      <c r="M1641" s="1" t="s">
        <v>86</v>
      </c>
      <c r="N1641" s="1" t="s">
        <v>29053</v>
      </c>
      <c r="O1641" s="1" t="s">
        <v>29054</v>
      </c>
      <c r="P1641" s="1"/>
      <c r="Q1641" s="1" t="s">
        <v>29055</v>
      </c>
      <c r="R1641" s="1" t="s">
        <v>29056</v>
      </c>
      <c r="S1641" s="1">
        <v>8639552879</v>
      </c>
      <c r="T1641" s="1" t="s">
        <v>839</v>
      </c>
      <c r="U1641" s="1" t="s">
        <v>29057</v>
      </c>
      <c r="V1641" s="1">
        <v>6300334619</v>
      </c>
      <c r="W1641" s="1" t="s">
        <v>278</v>
      </c>
      <c r="X1641" s="1" t="s">
        <v>29058</v>
      </c>
      <c r="Y1641" s="1" t="s">
        <v>29059</v>
      </c>
      <c r="Z1641" s="1" t="s">
        <v>281</v>
      </c>
      <c r="AA1641" s="1" t="s">
        <v>29060</v>
      </c>
      <c r="AB1641" s="1" t="s">
        <v>3464</v>
      </c>
      <c r="AC1641" s="1" t="s">
        <v>281</v>
      </c>
      <c r="AD1641" s="1" t="s">
        <v>98</v>
      </c>
      <c r="AE1641" s="1" t="s">
        <v>98</v>
      </c>
      <c r="AF1641" s="1" t="s">
        <v>9642</v>
      </c>
      <c r="AG1641" s="1" t="s">
        <v>29061</v>
      </c>
      <c r="AH1641" s="1" t="s">
        <v>1213</v>
      </c>
      <c r="AI1641" s="1" t="s">
        <v>1262</v>
      </c>
      <c r="AJ1641" s="1">
        <v>80.75</v>
      </c>
      <c r="AK1641" s="1">
        <v>8.5</v>
      </c>
      <c r="AL1641" s="1" t="s">
        <v>29062</v>
      </c>
      <c r="AM1641" s="1" t="s">
        <v>29061</v>
      </c>
      <c r="AN1641" s="1"/>
      <c r="AO1641" s="1" t="s">
        <v>166</v>
      </c>
      <c r="AP1641" s="1" t="s">
        <v>284</v>
      </c>
      <c r="AQ1641" s="1">
        <v>95</v>
      </c>
      <c r="AR1641" s="1"/>
      <c r="AS1641" s="1"/>
      <c r="AT1641" s="1"/>
      <c r="AU1641" s="1"/>
      <c r="AV1641" s="1"/>
      <c r="AW1641" s="1"/>
      <c r="AX1641" s="1"/>
      <c r="AY1641" s="1" t="s">
        <v>576</v>
      </c>
      <c r="AZ1641" s="1" t="s">
        <v>29063</v>
      </c>
      <c r="BA1641" s="1"/>
      <c r="BB1641" s="1"/>
      <c r="BC1641" s="1" t="s">
        <v>139</v>
      </c>
      <c r="BD1641" s="1" t="s">
        <v>1647</v>
      </c>
      <c r="BE1641" s="1">
        <v>85.5</v>
      </c>
      <c r="BF1641" s="1">
        <v>9</v>
      </c>
      <c r="BG1641" s="1"/>
      <c r="BH1641" s="1"/>
      <c r="BI1641" s="1"/>
      <c r="BJ1641" s="1"/>
      <c r="BK1641" s="1"/>
      <c r="BL1641" s="1"/>
      <c r="BM1641" s="1"/>
      <c r="BN1641" s="1"/>
      <c r="BO1641" s="1" t="s">
        <v>29064</v>
      </c>
      <c r="BP1641" s="1"/>
      <c r="BQ1641" s="1"/>
      <c r="BR1641" s="1" t="s">
        <v>29065</v>
      </c>
      <c r="BS1641" s="1">
        <v>9</v>
      </c>
      <c r="BT1641" s="1"/>
      <c r="BU1641" s="1" t="str">
        <f>HYPERLINK("https://nconnect.nicmar.ac.in/storage/profile/ProfilePhoto_p2270224_415376.jpg","Download")</f>
        <v>0</v>
      </c>
      <c r="BV1641" s="3"/>
      <c r="BW1641" s="3"/>
    </row>
    <row r="1642" spans="1:75">
      <c r="A1642" s="1" t="s">
        <v>75</v>
      </c>
      <c r="B1642" s="1" t="s">
        <v>25236</v>
      </c>
      <c r="C1642" s="1" t="s">
        <v>29066</v>
      </c>
      <c r="D1642" s="1" t="s">
        <v>29067</v>
      </c>
      <c r="E1642" s="1"/>
      <c r="F1642" s="1" t="s">
        <v>29068</v>
      </c>
      <c r="G1642" s="1" t="s">
        <v>29069</v>
      </c>
      <c r="H1642" s="1" t="s">
        <v>29070</v>
      </c>
      <c r="I1642" s="1" t="s">
        <v>29071</v>
      </c>
      <c r="J1642" s="1">
        <v>8372912683</v>
      </c>
      <c r="K1642" s="1" t="s">
        <v>84</v>
      </c>
      <c r="L1642" s="1" t="s">
        <v>26531</v>
      </c>
      <c r="M1642" s="1" t="s">
        <v>86</v>
      </c>
      <c r="N1642" s="1" t="s">
        <v>29072</v>
      </c>
      <c r="O1642" s="1" t="s">
        <v>29073</v>
      </c>
      <c r="P1642" s="1"/>
      <c r="Q1642" s="1" t="s">
        <v>29074</v>
      </c>
      <c r="R1642" s="1" t="s">
        <v>29075</v>
      </c>
      <c r="S1642" s="1">
        <v>9732411259</v>
      </c>
      <c r="T1642" s="1" t="s">
        <v>1620</v>
      </c>
      <c r="U1642" s="1" t="s">
        <v>29076</v>
      </c>
      <c r="V1642" s="1">
        <v>9433475499</v>
      </c>
      <c r="W1642" s="1" t="s">
        <v>4695</v>
      </c>
      <c r="X1642" s="1" t="s">
        <v>29077</v>
      </c>
      <c r="Y1642" s="1" t="s">
        <v>10874</v>
      </c>
      <c r="Z1642" s="1" t="s">
        <v>1234</v>
      </c>
      <c r="AA1642" s="1" t="s">
        <v>29078</v>
      </c>
      <c r="AB1642" s="1" t="s">
        <v>3620</v>
      </c>
      <c r="AC1642" s="1" t="s">
        <v>1234</v>
      </c>
      <c r="AD1642" s="1" t="s">
        <v>98</v>
      </c>
      <c r="AE1642" s="1" t="s">
        <v>98</v>
      </c>
      <c r="AF1642" s="1" t="s">
        <v>29079</v>
      </c>
      <c r="AG1642" s="1" t="s">
        <v>29080</v>
      </c>
      <c r="AH1642" s="1" t="s">
        <v>29081</v>
      </c>
      <c r="AI1642" s="1" t="s">
        <v>3421</v>
      </c>
      <c r="AJ1642" s="1">
        <v>85.4</v>
      </c>
      <c r="AK1642" s="1"/>
      <c r="AL1642" s="1" t="s">
        <v>29079</v>
      </c>
      <c r="AM1642" s="1" t="s">
        <v>29080</v>
      </c>
      <c r="AN1642" s="1"/>
      <c r="AO1642" s="1" t="s">
        <v>1262</v>
      </c>
      <c r="AP1642" s="1" t="s">
        <v>136</v>
      </c>
      <c r="AQ1642" s="1">
        <v>75.4</v>
      </c>
      <c r="AR1642" s="1"/>
      <c r="AS1642" s="1"/>
      <c r="AT1642" s="1"/>
      <c r="AU1642" s="1"/>
      <c r="AV1642" s="1"/>
      <c r="AW1642" s="1"/>
      <c r="AX1642" s="1"/>
      <c r="AY1642" s="1" t="s">
        <v>1240</v>
      </c>
      <c r="AZ1642" s="1" t="s">
        <v>29082</v>
      </c>
      <c r="BA1642" s="1"/>
      <c r="BB1642" s="1"/>
      <c r="BC1642" s="1" t="s">
        <v>105</v>
      </c>
      <c r="BD1642" s="1" t="s">
        <v>315</v>
      </c>
      <c r="BE1642" s="1">
        <v>68.6</v>
      </c>
      <c r="BF1642" s="1">
        <v>7.61</v>
      </c>
      <c r="BG1642" s="1"/>
      <c r="BH1642" s="1"/>
      <c r="BI1642" s="1"/>
      <c r="BJ1642" s="1"/>
      <c r="BK1642" s="1"/>
      <c r="BL1642" s="1"/>
      <c r="BM1642" s="1"/>
      <c r="BN1642" s="1"/>
      <c r="BO1642" s="1" t="s">
        <v>1114</v>
      </c>
      <c r="BP1642" s="1" t="s">
        <v>29083</v>
      </c>
      <c r="BQ1642" s="1" t="s">
        <v>1152</v>
      </c>
      <c r="BR1642" s="1" t="s">
        <v>29084</v>
      </c>
      <c r="BS1642" s="1">
        <v>12</v>
      </c>
      <c r="BT1642" s="1"/>
      <c r="BU1642" s="1" t="str">
        <f>HYPERLINK("https://nconnect.nicmar.ac.in/storage/profile/ProfilePhoto_p2270225_934281.jpg","Download")</f>
        <v>0</v>
      </c>
      <c r="BV1642" s="3"/>
      <c r="BW1642" s="3"/>
    </row>
    <row r="1643" spans="1:75">
      <c r="A1643" s="1" t="s">
        <v>75</v>
      </c>
      <c r="B1643" s="1" t="s">
        <v>25236</v>
      </c>
      <c r="C1643" s="1" t="s">
        <v>29085</v>
      </c>
      <c r="D1643" s="1" t="s">
        <v>29086</v>
      </c>
      <c r="E1643" s="1"/>
      <c r="F1643" s="1" t="s">
        <v>29087</v>
      </c>
      <c r="G1643" s="1" t="s">
        <v>29088</v>
      </c>
      <c r="H1643" s="1" t="s">
        <v>29089</v>
      </c>
      <c r="I1643" s="1" t="s">
        <v>29090</v>
      </c>
      <c r="J1643" s="1">
        <v>8971378823</v>
      </c>
      <c r="K1643" s="1" t="s">
        <v>84</v>
      </c>
      <c r="L1643" s="1" t="s">
        <v>9782</v>
      </c>
      <c r="M1643" s="1" t="s">
        <v>86</v>
      </c>
      <c r="N1643" s="1" t="s">
        <v>29091</v>
      </c>
      <c r="O1643" s="1" t="s">
        <v>29092</v>
      </c>
      <c r="P1643" s="1" t="s">
        <v>507</v>
      </c>
      <c r="Q1643" s="1" t="s">
        <v>29093</v>
      </c>
      <c r="R1643" s="1" t="s">
        <v>29094</v>
      </c>
      <c r="S1643" s="1">
        <v>9448571445</v>
      </c>
      <c r="T1643" s="1" t="s">
        <v>9909</v>
      </c>
      <c r="U1643" s="1" t="s">
        <v>29095</v>
      </c>
      <c r="V1643" s="1">
        <v>8762240183</v>
      </c>
      <c r="W1643" s="1" t="s">
        <v>127</v>
      </c>
      <c r="X1643" s="1" t="s">
        <v>29096</v>
      </c>
      <c r="Y1643" s="1" t="s">
        <v>3729</v>
      </c>
      <c r="Z1643" s="1" t="s">
        <v>1210</v>
      </c>
      <c r="AA1643" s="1" t="s">
        <v>29096</v>
      </c>
      <c r="AB1643" s="1" t="s">
        <v>3729</v>
      </c>
      <c r="AC1643" s="1" t="s">
        <v>1210</v>
      </c>
      <c r="AD1643" s="1" t="s">
        <v>98</v>
      </c>
      <c r="AE1643" s="1" t="s">
        <v>98</v>
      </c>
      <c r="AF1643" s="1" t="s">
        <v>29097</v>
      </c>
      <c r="AG1643" s="1" t="s">
        <v>29098</v>
      </c>
      <c r="AH1643" s="1" t="s">
        <v>101</v>
      </c>
      <c r="AI1643" s="1" t="s">
        <v>136</v>
      </c>
      <c r="AJ1643" s="1">
        <v>78.56</v>
      </c>
      <c r="AK1643" s="1"/>
      <c r="AL1643" s="1" t="s">
        <v>29099</v>
      </c>
      <c r="AM1643" s="1" t="s">
        <v>29098</v>
      </c>
      <c r="AN1643" s="1"/>
      <c r="AO1643" s="1" t="s">
        <v>284</v>
      </c>
      <c r="AP1643" s="1" t="s">
        <v>573</v>
      </c>
      <c r="AQ1643" s="1">
        <v>67.83</v>
      </c>
      <c r="AR1643" s="1"/>
      <c r="AS1643" s="1"/>
      <c r="AT1643" s="1"/>
      <c r="AU1643" s="1"/>
      <c r="AV1643" s="1"/>
      <c r="AW1643" s="1"/>
      <c r="AX1643" s="1"/>
      <c r="AY1643" s="1" t="s">
        <v>12551</v>
      </c>
      <c r="AZ1643" s="1" t="s">
        <v>29100</v>
      </c>
      <c r="BA1643" s="1"/>
      <c r="BB1643" s="1"/>
      <c r="BC1643" s="1" t="s">
        <v>230</v>
      </c>
      <c r="BD1643" s="1" t="s">
        <v>441</v>
      </c>
      <c r="BE1643" s="1">
        <v>66.8</v>
      </c>
      <c r="BF1643" s="1">
        <v>7.43</v>
      </c>
      <c r="BG1643" s="1"/>
      <c r="BH1643" s="1"/>
      <c r="BI1643" s="1"/>
      <c r="BJ1643" s="1"/>
      <c r="BK1643" s="1"/>
      <c r="BL1643" s="1"/>
      <c r="BM1643" s="1"/>
      <c r="BN1643" s="1"/>
      <c r="BO1643" s="1" t="s">
        <v>29101</v>
      </c>
      <c r="BP1643" s="1"/>
      <c r="BQ1643" s="1"/>
      <c r="BR1643" s="1" t="s">
        <v>29102</v>
      </c>
      <c r="BS1643" s="1">
        <v>12</v>
      </c>
      <c r="BT1643" s="1"/>
      <c r="BU1643" s="1" t="str">
        <f>HYPERLINK("https://nconnect.nicmar.ac.in/storage/profile/ProfilePhoto_p2270226_376892.jpg","Download")</f>
        <v>0</v>
      </c>
      <c r="BV1643" s="3"/>
      <c r="BW1643" s="3"/>
    </row>
    <row r="1644" spans="1:75">
      <c r="A1644" s="1" t="s">
        <v>75</v>
      </c>
      <c r="B1644" s="1" t="s">
        <v>25236</v>
      </c>
      <c r="C1644" s="1" t="s">
        <v>29103</v>
      </c>
      <c r="D1644" s="1" t="s">
        <v>1505</v>
      </c>
      <c r="E1644" s="1"/>
      <c r="F1644" s="1" t="s">
        <v>6561</v>
      </c>
      <c r="G1644" s="1" t="s">
        <v>29104</v>
      </c>
      <c r="H1644" s="1" t="s">
        <v>29105</v>
      </c>
      <c r="I1644" s="1" t="s">
        <v>29106</v>
      </c>
      <c r="J1644" s="1">
        <v>7898358764</v>
      </c>
      <c r="K1644" s="1" t="s">
        <v>84</v>
      </c>
      <c r="L1644" s="1" t="s">
        <v>29107</v>
      </c>
      <c r="M1644" s="1" t="s">
        <v>86</v>
      </c>
      <c r="N1644" s="1" t="s">
        <v>11423</v>
      </c>
      <c r="O1644" s="1" t="s">
        <v>29108</v>
      </c>
      <c r="P1644" s="1" t="s">
        <v>455</v>
      </c>
      <c r="Q1644" s="1" t="s">
        <v>29109</v>
      </c>
      <c r="R1644" s="1" t="s">
        <v>29110</v>
      </c>
      <c r="S1644" s="1">
        <v>9425194840</v>
      </c>
      <c r="T1644" s="1" t="s">
        <v>539</v>
      </c>
      <c r="U1644" s="1" t="s">
        <v>29111</v>
      </c>
      <c r="V1644" s="1">
        <v>9425825116</v>
      </c>
      <c r="W1644" s="1" t="s">
        <v>94</v>
      </c>
      <c r="X1644" s="1" t="s">
        <v>29112</v>
      </c>
      <c r="Y1644" s="1" t="s">
        <v>29113</v>
      </c>
      <c r="Z1644" s="1" t="s">
        <v>3419</v>
      </c>
      <c r="AA1644" s="1" t="s">
        <v>29114</v>
      </c>
      <c r="AB1644" s="1" t="s">
        <v>196</v>
      </c>
      <c r="AC1644" s="1" t="s">
        <v>97</v>
      </c>
      <c r="AD1644" s="1" t="s">
        <v>98</v>
      </c>
      <c r="AE1644" s="1" t="s">
        <v>98</v>
      </c>
      <c r="AF1644" s="1" t="s">
        <v>29115</v>
      </c>
      <c r="AG1644" s="1" t="s">
        <v>29116</v>
      </c>
      <c r="AH1644" s="1" t="s">
        <v>3770</v>
      </c>
      <c r="AI1644" s="1" t="s">
        <v>134</v>
      </c>
      <c r="AJ1644" s="1">
        <v>68.4</v>
      </c>
      <c r="AK1644" s="1">
        <v>7.2</v>
      </c>
      <c r="AL1644" s="1" t="s">
        <v>29115</v>
      </c>
      <c r="AM1644" s="1" t="s">
        <v>29116</v>
      </c>
      <c r="AN1644" s="1"/>
      <c r="AO1644" s="1" t="s">
        <v>1214</v>
      </c>
      <c r="AP1644" s="1" t="s">
        <v>136</v>
      </c>
      <c r="AQ1644" s="1">
        <v>74</v>
      </c>
      <c r="AR1644" s="1"/>
      <c r="AS1644" s="1"/>
      <c r="AT1644" s="1"/>
      <c r="AU1644" s="1"/>
      <c r="AV1644" s="1"/>
      <c r="AW1644" s="1"/>
      <c r="AX1644" s="1"/>
      <c r="AY1644" s="1" t="s">
        <v>29117</v>
      </c>
      <c r="AZ1644" s="1" t="s">
        <v>29118</v>
      </c>
      <c r="BA1644" s="1"/>
      <c r="BB1644" s="1"/>
      <c r="BC1644" s="1" t="s">
        <v>342</v>
      </c>
      <c r="BD1644" s="1" t="s">
        <v>438</v>
      </c>
      <c r="BE1644" s="1">
        <v>76.9</v>
      </c>
      <c r="BF1644" s="1">
        <v>7.69</v>
      </c>
      <c r="BG1644" s="1"/>
      <c r="BH1644" s="1"/>
      <c r="BI1644" s="1"/>
      <c r="BJ1644" s="1"/>
      <c r="BK1644" s="1"/>
      <c r="BL1644" s="1"/>
      <c r="BM1644" s="1"/>
      <c r="BN1644" s="1"/>
      <c r="BO1644" s="1" t="s">
        <v>29119</v>
      </c>
      <c r="BP1644" s="1"/>
      <c r="BQ1644" s="1"/>
      <c r="BR1644" s="1" t="s">
        <v>29120</v>
      </c>
      <c r="BS1644" s="1">
        <v>9</v>
      </c>
      <c r="BT1644" s="1"/>
      <c r="BU1644" s="1" t="str">
        <f>HYPERLINK("https://nconnect.nicmar.ac.in/storage/profile/ProfilePhoto_p2270228_639254.jpg","Download")</f>
        <v>0</v>
      </c>
      <c r="BV1644" s="3"/>
      <c r="BW1644" s="3"/>
    </row>
    <row r="1645" spans="1:75">
      <c r="A1645" s="1" t="s">
        <v>75</v>
      </c>
      <c r="B1645" s="1" t="s">
        <v>25236</v>
      </c>
      <c r="C1645" s="1" t="s">
        <v>29121</v>
      </c>
      <c r="D1645" s="1" t="s">
        <v>3788</v>
      </c>
      <c r="E1645" s="1" t="s">
        <v>29122</v>
      </c>
      <c r="F1645" s="1" t="s">
        <v>29123</v>
      </c>
      <c r="G1645" s="1" t="s">
        <v>29124</v>
      </c>
      <c r="H1645" s="1" t="s">
        <v>29125</v>
      </c>
      <c r="I1645" s="1" t="s">
        <v>29126</v>
      </c>
      <c r="J1645" s="1">
        <v>9825654910</v>
      </c>
      <c r="K1645" s="1" t="s">
        <v>84</v>
      </c>
      <c r="L1645" s="1" t="s">
        <v>13897</v>
      </c>
      <c r="M1645" s="1" t="s">
        <v>86</v>
      </c>
      <c r="N1645" s="1" t="s">
        <v>29127</v>
      </c>
      <c r="O1645" s="1" t="s">
        <v>29128</v>
      </c>
      <c r="P1645" s="1" t="s">
        <v>481</v>
      </c>
      <c r="Q1645" s="1" t="s">
        <v>29129</v>
      </c>
      <c r="R1645" s="1" t="s">
        <v>29130</v>
      </c>
      <c r="S1645" s="1">
        <v>9327554910</v>
      </c>
      <c r="T1645" s="1" t="s">
        <v>29131</v>
      </c>
      <c r="U1645" s="1" t="s">
        <v>29132</v>
      </c>
      <c r="V1645" s="1">
        <v>9664656232</v>
      </c>
      <c r="W1645" s="1" t="s">
        <v>278</v>
      </c>
      <c r="X1645" s="1" t="s">
        <v>29133</v>
      </c>
      <c r="Y1645" s="1" t="s">
        <v>8166</v>
      </c>
      <c r="Z1645" s="1" t="s">
        <v>676</v>
      </c>
      <c r="AA1645" s="1" t="s">
        <v>29133</v>
      </c>
      <c r="AB1645" s="1" t="s">
        <v>8166</v>
      </c>
      <c r="AC1645" s="1" t="s">
        <v>676</v>
      </c>
      <c r="AD1645" s="1" t="s">
        <v>98</v>
      </c>
      <c r="AE1645" s="1" t="s">
        <v>98</v>
      </c>
      <c r="AF1645" s="1" t="s">
        <v>29134</v>
      </c>
      <c r="AG1645" s="1" t="s">
        <v>29135</v>
      </c>
      <c r="AH1645" s="1" t="s">
        <v>101</v>
      </c>
      <c r="AI1645" s="1" t="s">
        <v>102</v>
      </c>
      <c r="AJ1645" s="1">
        <v>67</v>
      </c>
      <c r="AK1645" s="1"/>
      <c r="AL1645" s="1" t="s">
        <v>29136</v>
      </c>
      <c r="AM1645" s="1" t="s">
        <v>29135</v>
      </c>
      <c r="AN1645" s="1"/>
      <c r="AO1645" s="1" t="s">
        <v>167</v>
      </c>
      <c r="AP1645" s="1" t="s">
        <v>200</v>
      </c>
      <c r="AQ1645" s="1">
        <v>52.6</v>
      </c>
      <c r="AR1645" s="1"/>
      <c r="AS1645" s="1"/>
      <c r="AT1645" s="1"/>
      <c r="AU1645" s="1"/>
      <c r="AV1645" s="1"/>
      <c r="AW1645" s="1"/>
      <c r="AX1645" s="1"/>
      <c r="AY1645" s="1" t="s">
        <v>5241</v>
      </c>
      <c r="AZ1645" s="1" t="s">
        <v>29137</v>
      </c>
      <c r="BA1645" s="1"/>
      <c r="BB1645" s="1"/>
      <c r="BC1645" s="1" t="s">
        <v>230</v>
      </c>
      <c r="BD1645" s="1" t="s">
        <v>847</v>
      </c>
      <c r="BE1645" s="1">
        <v>80.3</v>
      </c>
      <c r="BF1645" s="1">
        <v>8.53</v>
      </c>
      <c r="BG1645" s="1"/>
      <c r="BH1645" s="1"/>
      <c r="BI1645" s="1"/>
      <c r="BJ1645" s="1"/>
      <c r="BK1645" s="1"/>
      <c r="BL1645" s="1"/>
      <c r="BM1645" s="1"/>
      <c r="BN1645" s="1"/>
      <c r="BO1645" s="1" t="s">
        <v>29138</v>
      </c>
      <c r="BP1645" s="1" t="s">
        <v>29139</v>
      </c>
      <c r="BQ1645" s="1" t="s">
        <v>471</v>
      </c>
      <c r="BR1645" s="1" t="s">
        <v>29140</v>
      </c>
      <c r="BS1645" s="1">
        <v>14</v>
      </c>
      <c r="BT1645" s="1"/>
      <c r="BU1645" s="1" t="str">
        <f>HYPERLINK("https://nconnect.nicmar.ac.in/storage/profile/ProfilePhoto_p2270230_374128.jpg","Download")</f>
        <v>0</v>
      </c>
      <c r="BV1645" s="3"/>
      <c r="BW1645" s="3"/>
    </row>
    <row r="1646" spans="1:75">
      <c r="A1646" s="1" t="s">
        <v>75</v>
      </c>
      <c r="B1646" s="1" t="s">
        <v>25236</v>
      </c>
      <c r="C1646" s="1" t="s">
        <v>29141</v>
      </c>
      <c r="D1646" s="1" t="s">
        <v>29142</v>
      </c>
      <c r="E1646" s="1" t="s">
        <v>29143</v>
      </c>
      <c r="F1646" s="1" t="s">
        <v>29144</v>
      </c>
      <c r="G1646" s="1" t="s">
        <v>29145</v>
      </c>
      <c r="H1646" s="1" t="s">
        <v>29146</v>
      </c>
      <c r="I1646" s="1" t="s">
        <v>29147</v>
      </c>
      <c r="J1646" s="1">
        <v>9944759265</v>
      </c>
      <c r="K1646" s="1" t="s">
        <v>153</v>
      </c>
      <c r="L1646" s="1" t="s">
        <v>29148</v>
      </c>
      <c r="M1646" s="1" t="s">
        <v>86</v>
      </c>
      <c r="N1646" s="1" t="s">
        <v>1300</v>
      </c>
      <c r="O1646" s="1" t="s">
        <v>29149</v>
      </c>
      <c r="P1646" s="1" t="s">
        <v>507</v>
      </c>
      <c r="Q1646" s="1" t="s">
        <v>29150</v>
      </c>
      <c r="R1646" s="1" t="s">
        <v>29151</v>
      </c>
      <c r="S1646" s="1">
        <v>8714559265</v>
      </c>
      <c r="T1646" s="1" t="s">
        <v>839</v>
      </c>
      <c r="U1646" s="1" t="s">
        <v>29152</v>
      </c>
      <c r="V1646" s="1">
        <v>9037479265</v>
      </c>
      <c r="W1646" s="1" t="s">
        <v>541</v>
      </c>
      <c r="X1646" s="1" t="s">
        <v>29153</v>
      </c>
      <c r="Y1646" s="1" t="s">
        <v>2526</v>
      </c>
      <c r="Z1646" s="1" t="s">
        <v>130</v>
      </c>
      <c r="AA1646" s="1" t="s">
        <v>29153</v>
      </c>
      <c r="AB1646" s="1" t="s">
        <v>2526</v>
      </c>
      <c r="AC1646" s="1" t="s">
        <v>130</v>
      </c>
      <c r="AD1646" s="1" t="s">
        <v>98</v>
      </c>
      <c r="AE1646" s="1" t="s">
        <v>98</v>
      </c>
      <c r="AF1646" s="1" t="s">
        <v>29154</v>
      </c>
      <c r="AG1646" s="1" t="s">
        <v>29155</v>
      </c>
      <c r="AH1646" s="1" t="s">
        <v>1214</v>
      </c>
      <c r="AI1646" s="1" t="s">
        <v>102</v>
      </c>
      <c r="AJ1646" s="1">
        <v>85.5</v>
      </c>
      <c r="AK1646" s="1">
        <v>9</v>
      </c>
      <c r="AL1646" s="1" t="s">
        <v>29154</v>
      </c>
      <c r="AM1646" s="1" t="s">
        <v>29155</v>
      </c>
      <c r="AN1646" s="1"/>
      <c r="AO1646" s="1" t="s">
        <v>284</v>
      </c>
      <c r="AP1646" s="1" t="s">
        <v>704</v>
      </c>
      <c r="AQ1646" s="1">
        <v>67.6</v>
      </c>
      <c r="AR1646" s="1"/>
      <c r="AS1646" s="1"/>
      <c r="AT1646" s="1"/>
      <c r="AU1646" s="1"/>
      <c r="AV1646" s="1"/>
      <c r="AW1646" s="1"/>
      <c r="AX1646" s="1"/>
      <c r="AY1646" s="1" t="s">
        <v>25968</v>
      </c>
      <c r="AZ1646" s="1" t="s">
        <v>8336</v>
      </c>
      <c r="BA1646" s="1"/>
      <c r="BB1646" s="1"/>
      <c r="BC1646" s="1" t="s">
        <v>170</v>
      </c>
      <c r="BD1646" s="1" t="s">
        <v>2304</v>
      </c>
      <c r="BE1646" s="1">
        <v>76.1</v>
      </c>
      <c r="BF1646" s="1">
        <v>7.61</v>
      </c>
      <c r="BG1646" s="1"/>
      <c r="BH1646" s="1"/>
      <c r="BI1646" s="1"/>
      <c r="BJ1646" s="1"/>
      <c r="BK1646" s="1"/>
      <c r="BL1646" s="1"/>
      <c r="BM1646" s="1"/>
      <c r="BN1646" s="1"/>
      <c r="BO1646" s="1" t="s">
        <v>2267</v>
      </c>
      <c r="BP1646" s="1"/>
      <c r="BQ1646" s="1"/>
      <c r="BR1646" s="1" t="s">
        <v>29156</v>
      </c>
      <c r="BS1646" s="1">
        <v>7</v>
      </c>
      <c r="BT1646" s="1"/>
      <c r="BU1646" s="1" t="str">
        <f>HYPERLINK("https://nconnect.nicmar.ac.in/storage/profile/ProfilePhoto_p2270231_269531.jpg","Download")</f>
        <v>0</v>
      </c>
      <c r="BV1646" s="3"/>
      <c r="BW1646" s="3"/>
    </row>
    <row r="1647" spans="1:75">
      <c r="A1647" s="1" t="s">
        <v>75</v>
      </c>
      <c r="B1647" s="1" t="s">
        <v>25236</v>
      </c>
      <c r="C1647" s="1" t="s">
        <v>29157</v>
      </c>
      <c r="D1647" s="1" t="s">
        <v>13181</v>
      </c>
      <c r="E1647" s="1" t="s">
        <v>9631</v>
      </c>
      <c r="F1647" s="1" t="s">
        <v>29158</v>
      </c>
      <c r="G1647" s="1" t="s">
        <v>29159</v>
      </c>
      <c r="H1647" s="1" t="s">
        <v>29160</v>
      </c>
      <c r="I1647" s="1" t="s">
        <v>29161</v>
      </c>
      <c r="J1647" s="1">
        <v>9846056705</v>
      </c>
      <c r="K1647" s="1" t="s">
        <v>153</v>
      </c>
      <c r="L1647" s="1" t="s">
        <v>29162</v>
      </c>
      <c r="M1647" s="1" t="s">
        <v>86</v>
      </c>
      <c r="N1647" s="1" t="s">
        <v>4910</v>
      </c>
      <c r="O1647" s="1" t="s">
        <v>29163</v>
      </c>
      <c r="P1647" s="1" t="s">
        <v>507</v>
      </c>
      <c r="Q1647" s="1" t="s">
        <v>29164</v>
      </c>
      <c r="R1647" s="1" t="s">
        <v>29165</v>
      </c>
      <c r="S1647" s="1">
        <v>9495800567</v>
      </c>
      <c r="T1647" s="1" t="s">
        <v>596</v>
      </c>
      <c r="U1647" s="1" t="s">
        <v>29166</v>
      </c>
      <c r="V1647" s="1">
        <v>9387669678</v>
      </c>
      <c r="W1647" s="1" t="s">
        <v>541</v>
      </c>
      <c r="X1647" s="1" t="s">
        <v>29167</v>
      </c>
      <c r="Y1647" s="1" t="s">
        <v>129</v>
      </c>
      <c r="Z1647" s="1" t="s">
        <v>130</v>
      </c>
      <c r="AA1647" s="1" t="s">
        <v>29167</v>
      </c>
      <c r="AB1647" s="1" t="s">
        <v>129</v>
      </c>
      <c r="AC1647" s="1" t="s">
        <v>130</v>
      </c>
      <c r="AD1647" s="1" t="s">
        <v>98</v>
      </c>
      <c r="AE1647" s="1" t="s">
        <v>98</v>
      </c>
      <c r="AF1647" s="1" t="s">
        <v>7064</v>
      </c>
      <c r="AG1647" s="1" t="s">
        <v>29168</v>
      </c>
      <c r="AH1647" s="1" t="s">
        <v>3285</v>
      </c>
      <c r="AI1647" s="1" t="s">
        <v>2726</v>
      </c>
      <c r="AJ1647" s="1">
        <v>87.4</v>
      </c>
      <c r="AK1647" s="1">
        <v>9.2</v>
      </c>
      <c r="AL1647" s="1" t="s">
        <v>29169</v>
      </c>
      <c r="AM1647" s="1" t="s">
        <v>29170</v>
      </c>
      <c r="AN1647" s="1"/>
      <c r="AO1647" s="1" t="s">
        <v>1213</v>
      </c>
      <c r="AP1647" s="1" t="s">
        <v>1262</v>
      </c>
      <c r="AQ1647" s="1">
        <v>86.75</v>
      </c>
      <c r="AR1647" s="1">
        <v>8.67</v>
      </c>
      <c r="AS1647" s="1"/>
      <c r="AT1647" s="1"/>
      <c r="AU1647" s="1"/>
      <c r="AV1647" s="1"/>
      <c r="AW1647" s="1"/>
      <c r="AX1647" s="1"/>
      <c r="AY1647" s="1" t="s">
        <v>137</v>
      </c>
      <c r="AZ1647" s="1" t="s">
        <v>9509</v>
      </c>
      <c r="BA1647" s="1"/>
      <c r="BB1647" s="1"/>
      <c r="BC1647" s="1" t="s">
        <v>105</v>
      </c>
      <c r="BD1647" s="1" t="s">
        <v>206</v>
      </c>
      <c r="BE1647" s="1">
        <v>76.6</v>
      </c>
      <c r="BF1647" s="1">
        <v>7.66</v>
      </c>
      <c r="BG1647" s="1"/>
      <c r="BH1647" s="1"/>
      <c r="BI1647" s="1"/>
      <c r="BJ1647" s="1"/>
      <c r="BK1647" s="1"/>
      <c r="BL1647" s="1"/>
      <c r="BM1647" s="1"/>
      <c r="BN1647" s="1"/>
      <c r="BO1647" s="1" t="s">
        <v>1114</v>
      </c>
      <c r="BP1647" s="1" t="s">
        <v>29171</v>
      </c>
      <c r="BQ1647" s="1" t="s">
        <v>143</v>
      </c>
      <c r="BR1647" s="1" t="s">
        <v>29172</v>
      </c>
      <c r="BS1647" s="1">
        <v>10</v>
      </c>
      <c r="BT1647" s="1"/>
      <c r="BU1647" s="1" t="str">
        <f>HYPERLINK("https://nconnect.nicmar.ac.in/storage/profile/ProfilePhoto_p2270232_296354.jpg","Download")</f>
        <v>0</v>
      </c>
      <c r="BV1647" s="3"/>
      <c r="BW1647" s="3"/>
    </row>
    <row r="1648" spans="1:75">
      <c r="A1648" s="1" t="s">
        <v>75</v>
      </c>
      <c r="B1648" s="1" t="s">
        <v>25236</v>
      </c>
      <c r="C1648" s="1" t="s">
        <v>29173</v>
      </c>
      <c r="D1648" s="1" t="s">
        <v>1095</v>
      </c>
      <c r="E1648" s="1"/>
      <c r="F1648" s="1" t="s">
        <v>8195</v>
      </c>
      <c r="G1648" s="1" t="s">
        <v>29174</v>
      </c>
      <c r="H1648" s="1" t="s">
        <v>29175</v>
      </c>
      <c r="I1648" s="1" t="s">
        <v>29176</v>
      </c>
      <c r="J1648" s="1">
        <v>8368822796</v>
      </c>
      <c r="K1648" s="1" t="s">
        <v>84</v>
      </c>
      <c r="L1648" s="1" t="s">
        <v>29177</v>
      </c>
      <c r="M1648" s="1" t="s">
        <v>86</v>
      </c>
      <c r="N1648" s="1" t="s">
        <v>87</v>
      </c>
      <c r="O1648" s="1" t="s">
        <v>29178</v>
      </c>
      <c r="P1648" s="1" t="s">
        <v>670</v>
      </c>
      <c r="Q1648" s="1" t="s">
        <v>29179</v>
      </c>
      <c r="R1648" s="1" t="s">
        <v>29180</v>
      </c>
      <c r="S1648" s="1">
        <v>8004935106</v>
      </c>
      <c r="T1648" s="1" t="s">
        <v>29181</v>
      </c>
      <c r="U1648" s="1" t="s">
        <v>29182</v>
      </c>
      <c r="V1648" s="1">
        <v>7525971073</v>
      </c>
      <c r="W1648" s="1" t="s">
        <v>94</v>
      </c>
      <c r="X1648" s="1" t="s">
        <v>29183</v>
      </c>
      <c r="Y1648" s="1" t="s">
        <v>29184</v>
      </c>
      <c r="Z1648" s="1" t="s">
        <v>544</v>
      </c>
      <c r="AA1648" s="1" t="s">
        <v>29183</v>
      </c>
      <c r="AB1648" s="1" t="s">
        <v>29184</v>
      </c>
      <c r="AC1648" s="1" t="s">
        <v>544</v>
      </c>
      <c r="AD1648" s="1" t="s">
        <v>98</v>
      </c>
      <c r="AE1648" s="1" t="s">
        <v>98</v>
      </c>
      <c r="AF1648" s="1" t="s">
        <v>11983</v>
      </c>
      <c r="AG1648" s="1" t="s">
        <v>29185</v>
      </c>
      <c r="AH1648" s="1" t="s">
        <v>29186</v>
      </c>
      <c r="AI1648" s="1" t="s">
        <v>1970</v>
      </c>
      <c r="AJ1648" s="1">
        <v>70.3</v>
      </c>
      <c r="AK1648" s="1">
        <v>7.8</v>
      </c>
      <c r="AL1648" s="1" t="s">
        <v>11983</v>
      </c>
      <c r="AM1648" s="1" t="s">
        <v>29185</v>
      </c>
      <c r="AN1648" s="1"/>
      <c r="AO1648" s="1" t="s">
        <v>29187</v>
      </c>
      <c r="AP1648" s="1" t="s">
        <v>3965</v>
      </c>
      <c r="AQ1648" s="1">
        <v>60</v>
      </c>
      <c r="AR1648" s="1"/>
      <c r="AS1648" s="1"/>
      <c r="AT1648" s="1"/>
      <c r="AU1648" s="1"/>
      <c r="AV1648" s="1"/>
      <c r="AW1648" s="1"/>
      <c r="AX1648" s="1"/>
      <c r="AY1648" s="1" t="s">
        <v>14921</v>
      </c>
      <c r="AZ1648" s="1" t="s">
        <v>29188</v>
      </c>
      <c r="BA1648" s="1"/>
      <c r="BB1648" s="1"/>
      <c r="BC1648" s="1" t="s">
        <v>257</v>
      </c>
      <c r="BD1648" s="1" t="s">
        <v>25647</v>
      </c>
      <c r="BE1648" s="1">
        <v>61</v>
      </c>
      <c r="BF1648" s="1"/>
      <c r="BG1648" s="1"/>
      <c r="BH1648" s="1"/>
      <c r="BI1648" s="1"/>
      <c r="BJ1648" s="1"/>
      <c r="BK1648" s="1"/>
      <c r="BL1648" s="1"/>
      <c r="BM1648" s="1"/>
      <c r="BN1648" s="1"/>
      <c r="BO1648" s="1" t="s">
        <v>29189</v>
      </c>
      <c r="BP1648" s="1" t="s">
        <v>29190</v>
      </c>
      <c r="BQ1648" s="1" t="s">
        <v>6365</v>
      </c>
      <c r="BR1648" s="1" t="s">
        <v>29191</v>
      </c>
      <c r="BS1648" s="1">
        <v>16</v>
      </c>
      <c r="BT1648" s="1"/>
      <c r="BU1648" s="1" t="str">
        <f>HYPERLINK("https://nconnect.nicmar.ac.in/storage/profile/ProfilePhoto_p2270233_145376.jpg","Download")</f>
        <v>0</v>
      </c>
      <c r="BV1648" s="3"/>
      <c r="BW1648" s="3"/>
    </row>
    <row r="1649" spans="1:75">
      <c r="A1649" s="1" t="s">
        <v>75</v>
      </c>
      <c r="B1649" s="1" t="s">
        <v>25236</v>
      </c>
      <c r="C1649" s="1" t="s">
        <v>29192</v>
      </c>
      <c r="D1649" s="1" t="s">
        <v>29193</v>
      </c>
      <c r="E1649" s="1"/>
      <c r="F1649" s="1" t="s">
        <v>29194</v>
      </c>
      <c r="G1649" s="1" t="s">
        <v>29195</v>
      </c>
      <c r="H1649" s="1" t="s">
        <v>29196</v>
      </c>
      <c r="I1649" s="1" t="s">
        <v>29197</v>
      </c>
      <c r="J1649" s="1">
        <v>7259681600</v>
      </c>
      <c r="K1649" s="1" t="s">
        <v>84</v>
      </c>
      <c r="L1649" s="1" t="s">
        <v>26939</v>
      </c>
      <c r="M1649" s="1" t="s">
        <v>86</v>
      </c>
      <c r="N1649" s="1" t="s">
        <v>29198</v>
      </c>
      <c r="O1649" s="1"/>
      <c r="P1649" s="1" t="s">
        <v>507</v>
      </c>
      <c r="Q1649" s="1" t="s">
        <v>29199</v>
      </c>
      <c r="R1649" s="1" t="s">
        <v>29200</v>
      </c>
      <c r="S1649" s="1">
        <v>9916086985</v>
      </c>
      <c r="T1649" s="1" t="s">
        <v>29201</v>
      </c>
      <c r="U1649" s="1" t="s">
        <v>29202</v>
      </c>
      <c r="V1649" s="1">
        <v>9742045213</v>
      </c>
      <c r="W1649" s="1" t="s">
        <v>29203</v>
      </c>
      <c r="X1649" s="1" t="s">
        <v>29204</v>
      </c>
      <c r="Y1649" s="1" t="s">
        <v>3132</v>
      </c>
      <c r="Z1649" s="1" t="s">
        <v>1210</v>
      </c>
      <c r="AA1649" s="1" t="s">
        <v>29204</v>
      </c>
      <c r="AB1649" s="1" t="s">
        <v>3132</v>
      </c>
      <c r="AC1649" s="1" t="s">
        <v>1210</v>
      </c>
      <c r="AD1649" s="1" t="s">
        <v>98</v>
      </c>
      <c r="AE1649" s="1" t="s">
        <v>98</v>
      </c>
      <c r="AF1649" s="1" t="s">
        <v>29205</v>
      </c>
      <c r="AG1649" s="1" t="s">
        <v>29206</v>
      </c>
      <c r="AH1649" s="1" t="s">
        <v>134</v>
      </c>
      <c r="AI1649" s="1" t="s">
        <v>1262</v>
      </c>
      <c r="AJ1649" s="1">
        <v>79.8</v>
      </c>
      <c r="AK1649" s="1">
        <v>8.4</v>
      </c>
      <c r="AL1649" s="1" t="s">
        <v>29207</v>
      </c>
      <c r="AM1649" s="1" t="s">
        <v>29206</v>
      </c>
      <c r="AN1649" s="1"/>
      <c r="AO1649" s="1" t="s">
        <v>105</v>
      </c>
      <c r="AP1649" s="1" t="s">
        <v>627</v>
      </c>
      <c r="AQ1649" s="1">
        <v>88</v>
      </c>
      <c r="AR1649" s="1"/>
      <c r="AS1649" s="1"/>
      <c r="AT1649" s="1"/>
      <c r="AU1649" s="1"/>
      <c r="AV1649" s="1"/>
      <c r="AW1649" s="1"/>
      <c r="AX1649" s="1"/>
      <c r="AY1649" s="1" t="s">
        <v>29208</v>
      </c>
      <c r="AZ1649" s="1" t="s">
        <v>29209</v>
      </c>
      <c r="BA1649" s="1"/>
      <c r="BB1649" s="1"/>
      <c r="BC1649" s="1" t="s">
        <v>139</v>
      </c>
      <c r="BD1649" s="1" t="s">
        <v>441</v>
      </c>
      <c r="BE1649" s="1">
        <v>64.4</v>
      </c>
      <c r="BF1649" s="1">
        <v>7.19</v>
      </c>
      <c r="BG1649" s="1"/>
      <c r="BH1649" s="1"/>
      <c r="BI1649" s="1"/>
      <c r="BJ1649" s="1"/>
      <c r="BK1649" s="1"/>
      <c r="BL1649" s="1"/>
      <c r="BM1649" s="1"/>
      <c r="BN1649" s="1"/>
      <c r="BO1649" s="1" t="s">
        <v>29210</v>
      </c>
      <c r="BP1649" s="1" t="s">
        <v>29211</v>
      </c>
      <c r="BQ1649" s="1" t="s">
        <v>1357</v>
      </c>
      <c r="BR1649" s="1" t="s">
        <v>29212</v>
      </c>
      <c r="BS1649" s="1">
        <v>7</v>
      </c>
      <c r="BT1649" s="1"/>
      <c r="BU1649" s="1" t="str">
        <f>HYPERLINK("https://nconnect.nicmar.ac.in/storage/profile/ProfilePhoto_p2270234_624713.jpg","Download")</f>
        <v>0</v>
      </c>
      <c r="BV1649" s="3"/>
      <c r="BW1649" s="3"/>
    </row>
    <row r="1650" spans="1:75">
      <c r="A1650" s="1" t="s">
        <v>75</v>
      </c>
      <c r="B1650" s="1" t="s">
        <v>25236</v>
      </c>
      <c r="C1650" s="1" t="s">
        <v>29213</v>
      </c>
      <c r="D1650" s="1" t="s">
        <v>29214</v>
      </c>
      <c r="E1650" s="1"/>
      <c r="F1650" s="1" t="s">
        <v>961</v>
      </c>
      <c r="G1650" s="1" t="s">
        <v>29215</v>
      </c>
      <c r="H1650" s="1" t="s">
        <v>29216</v>
      </c>
      <c r="I1650" s="1" t="s">
        <v>29217</v>
      </c>
      <c r="J1650" s="1">
        <v>8890094344</v>
      </c>
      <c r="K1650" s="1" t="s">
        <v>153</v>
      </c>
      <c r="L1650" s="1" t="s">
        <v>29218</v>
      </c>
      <c r="M1650" s="1" t="s">
        <v>86</v>
      </c>
      <c r="N1650" s="1" t="s">
        <v>4278</v>
      </c>
      <c r="O1650" s="1" t="s">
        <v>29219</v>
      </c>
      <c r="P1650" s="1" t="s">
        <v>2021</v>
      </c>
      <c r="Q1650" s="1" t="s">
        <v>29220</v>
      </c>
      <c r="R1650" s="1" t="s">
        <v>29221</v>
      </c>
      <c r="S1650" s="1">
        <v>9928893893</v>
      </c>
      <c r="T1650" s="1" t="s">
        <v>125</v>
      </c>
      <c r="U1650" s="1" t="s">
        <v>29222</v>
      </c>
      <c r="V1650" s="1">
        <v>9414808835</v>
      </c>
      <c r="W1650" s="1" t="s">
        <v>5620</v>
      </c>
      <c r="X1650" s="1" t="s">
        <v>29223</v>
      </c>
      <c r="Y1650" s="1" t="s">
        <v>21151</v>
      </c>
      <c r="Z1650" s="1" t="s">
        <v>2153</v>
      </c>
      <c r="AA1650" s="1" t="s">
        <v>29223</v>
      </c>
      <c r="AB1650" s="1" t="s">
        <v>21151</v>
      </c>
      <c r="AC1650" s="1" t="s">
        <v>2153</v>
      </c>
      <c r="AD1650" s="1" t="s">
        <v>98</v>
      </c>
      <c r="AE1650" s="1" t="s">
        <v>98</v>
      </c>
      <c r="AF1650" s="1" t="s">
        <v>29224</v>
      </c>
      <c r="AG1650" s="1" t="s">
        <v>775</v>
      </c>
      <c r="AH1650" s="1" t="s">
        <v>3770</v>
      </c>
      <c r="AI1650" s="1" t="s">
        <v>134</v>
      </c>
      <c r="AJ1650" s="1">
        <v>87.4</v>
      </c>
      <c r="AK1650" s="1">
        <v>9.2</v>
      </c>
      <c r="AL1650" s="1" t="s">
        <v>29224</v>
      </c>
      <c r="AM1650" s="1" t="s">
        <v>775</v>
      </c>
      <c r="AN1650" s="1"/>
      <c r="AO1650" s="1" t="s">
        <v>1214</v>
      </c>
      <c r="AP1650" s="1" t="s">
        <v>136</v>
      </c>
      <c r="AQ1650" s="1">
        <v>82</v>
      </c>
      <c r="AR1650" s="1"/>
      <c r="AS1650" s="1"/>
      <c r="AT1650" s="1"/>
      <c r="AU1650" s="1"/>
      <c r="AV1650" s="1"/>
      <c r="AW1650" s="1"/>
      <c r="AX1650" s="1"/>
      <c r="AY1650" s="1" t="s">
        <v>28974</v>
      </c>
      <c r="AZ1650" s="1" t="s">
        <v>29225</v>
      </c>
      <c r="BA1650" s="1"/>
      <c r="BB1650" s="1"/>
      <c r="BC1650" s="1" t="s">
        <v>342</v>
      </c>
      <c r="BD1650" s="1" t="s">
        <v>175</v>
      </c>
      <c r="BE1650" s="1">
        <v>59.17</v>
      </c>
      <c r="BF1650" s="1"/>
      <c r="BG1650" s="1"/>
      <c r="BH1650" s="1"/>
      <c r="BI1650" s="1"/>
      <c r="BJ1650" s="1"/>
      <c r="BK1650" s="1"/>
      <c r="BL1650" s="1"/>
      <c r="BM1650" s="1"/>
      <c r="BN1650" s="1"/>
      <c r="BO1650" s="1" t="s">
        <v>29226</v>
      </c>
      <c r="BP1650" s="1" t="s">
        <v>29227</v>
      </c>
      <c r="BQ1650" s="1" t="s">
        <v>292</v>
      </c>
      <c r="BR1650" s="1" t="s">
        <v>29228</v>
      </c>
      <c r="BS1650" s="1">
        <v>33</v>
      </c>
      <c r="BT1650" s="1"/>
      <c r="BU1650" s="1" t="str">
        <f>HYPERLINK("https://nconnect.nicmar.ac.in/storage/profile/ProfilePhoto_p2270235_589243.jpg","Download")</f>
        <v>0</v>
      </c>
      <c r="BV1650" s="3"/>
      <c r="BW1650" s="3"/>
    </row>
    <row r="1651" spans="1:75">
      <c r="A1651" s="1" t="s">
        <v>75</v>
      </c>
      <c r="B1651" s="1" t="s">
        <v>25236</v>
      </c>
      <c r="C1651" s="1" t="s">
        <v>29229</v>
      </c>
      <c r="D1651" s="1" t="s">
        <v>2829</v>
      </c>
      <c r="E1651" s="1"/>
      <c r="F1651" s="1" t="s">
        <v>29230</v>
      </c>
      <c r="G1651" s="1" t="s">
        <v>29231</v>
      </c>
      <c r="H1651" s="1" t="s">
        <v>29232</v>
      </c>
      <c r="I1651" s="1" t="s">
        <v>29233</v>
      </c>
      <c r="J1651" s="1">
        <v>9990290900</v>
      </c>
      <c r="K1651" s="1" t="s">
        <v>84</v>
      </c>
      <c r="L1651" s="1" t="s">
        <v>29234</v>
      </c>
      <c r="M1651" s="1" t="s">
        <v>86</v>
      </c>
      <c r="N1651" s="1" t="s">
        <v>4278</v>
      </c>
      <c r="O1651" s="1" t="s">
        <v>29235</v>
      </c>
      <c r="P1651" s="1" t="s">
        <v>507</v>
      </c>
      <c r="Q1651" s="1" t="s">
        <v>29236</v>
      </c>
      <c r="R1651" s="1" t="s">
        <v>29237</v>
      </c>
      <c r="S1651" s="1">
        <v>9711266223</v>
      </c>
      <c r="T1651" s="1" t="s">
        <v>4223</v>
      </c>
      <c r="U1651" s="1" t="s">
        <v>29238</v>
      </c>
      <c r="V1651" s="1">
        <v>9654432895</v>
      </c>
      <c r="W1651" s="1" t="s">
        <v>4695</v>
      </c>
      <c r="X1651" s="1" t="s">
        <v>29239</v>
      </c>
      <c r="Y1651" s="1" t="s">
        <v>16334</v>
      </c>
      <c r="Z1651" s="1" t="s">
        <v>1700</v>
      </c>
      <c r="AA1651" s="1" t="s">
        <v>29239</v>
      </c>
      <c r="AB1651" s="1" t="s">
        <v>16334</v>
      </c>
      <c r="AC1651" s="1" t="s">
        <v>1700</v>
      </c>
      <c r="AD1651" s="1" t="s">
        <v>98</v>
      </c>
      <c r="AE1651" s="1" t="s">
        <v>98</v>
      </c>
      <c r="AF1651" s="1" t="s">
        <v>29240</v>
      </c>
      <c r="AG1651" s="1" t="s">
        <v>29241</v>
      </c>
      <c r="AH1651" s="1" t="s">
        <v>23371</v>
      </c>
      <c r="AI1651" s="1" t="s">
        <v>337</v>
      </c>
      <c r="AJ1651" s="1">
        <v>83.6</v>
      </c>
      <c r="AK1651" s="1">
        <v>8.8</v>
      </c>
      <c r="AL1651" s="1" t="s">
        <v>29242</v>
      </c>
      <c r="AM1651" s="1" t="s">
        <v>29241</v>
      </c>
      <c r="AN1651" s="1"/>
      <c r="AO1651" s="1" t="s">
        <v>3965</v>
      </c>
      <c r="AP1651" s="1" t="s">
        <v>1457</v>
      </c>
      <c r="AQ1651" s="1">
        <v>79.4</v>
      </c>
      <c r="AR1651" s="1">
        <v>0</v>
      </c>
      <c r="AS1651" s="1"/>
      <c r="AT1651" s="1"/>
      <c r="AU1651" s="1"/>
      <c r="AV1651" s="1"/>
      <c r="AW1651" s="1"/>
      <c r="AX1651" s="1"/>
      <c r="AY1651" s="1" t="s">
        <v>29243</v>
      </c>
      <c r="AZ1651" s="1" t="s">
        <v>29244</v>
      </c>
      <c r="BA1651" s="1"/>
      <c r="BB1651" s="1"/>
      <c r="BC1651" s="1" t="s">
        <v>804</v>
      </c>
      <c r="BD1651" s="1" t="s">
        <v>170</v>
      </c>
      <c r="BE1651" s="1">
        <v>65.42</v>
      </c>
      <c r="BF1651" s="1">
        <v>0</v>
      </c>
      <c r="BG1651" s="1"/>
      <c r="BH1651" s="1"/>
      <c r="BI1651" s="1"/>
      <c r="BJ1651" s="1"/>
      <c r="BK1651" s="1"/>
      <c r="BL1651" s="1"/>
      <c r="BM1651" s="1"/>
      <c r="BN1651" s="1"/>
      <c r="BO1651" s="1" t="s">
        <v>29245</v>
      </c>
      <c r="BP1651" s="1" t="s">
        <v>29246</v>
      </c>
      <c r="BQ1651" s="1" t="s">
        <v>6652</v>
      </c>
      <c r="BR1651" s="1" t="s">
        <v>29247</v>
      </c>
      <c r="BS1651" s="1">
        <v>291</v>
      </c>
      <c r="BT1651" s="1"/>
      <c r="BU1651" s="1" t="str">
        <f>HYPERLINK("https://nconnect.nicmar.ac.in/storage/profile/ProfilePhoto_p2270236_724583.jpg","Download")</f>
        <v>0</v>
      </c>
      <c r="BV1651" s="3"/>
      <c r="BW1651" s="3"/>
    </row>
    <row r="1652" spans="1:75">
      <c r="A1652" s="1" t="s">
        <v>75</v>
      </c>
      <c r="B1652" s="1" t="s">
        <v>25236</v>
      </c>
      <c r="C1652" s="1" t="s">
        <v>29248</v>
      </c>
      <c r="D1652" s="1" t="s">
        <v>29249</v>
      </c>
      <c r="E1652" s="1" t="s">
        <v>1893</v>
      </c>
      <c r="F1652" s="1" t="s">
        <v>29250</v>
      </c>
      <c r="G1652" s="1" t="s">
        <v>29251</v>
      </c>
      <c r="H1652" s="1" t="s">
        <v>29252</v>
      </c>
      <c r="I1652" s="1" t="s">
        <v>29253</v>
      </c>
      <c r="J1652" s="1">
        <v>9767714754</v>
      </c>
      <c r="K1652" s="1" t="s">
        <v>84</v>
      </c>
      <c r="L1652" s="1" t="s">
        <v>29019</v>
      </c>
      <c r="M1652" s="1" t="s">
        <v>86</v>
      </c>
      <c r="N1652" s="1" t="s">
        <v>3568</v>
      </c>
      <c r="O1652" s="1" t="s">
        <v>29254</v>
      </c>
      <c r="P1652" s="1" t="s">
        <v>455</v>
      </c>
      <c r="Q1652" s="1" t="s">
        <v>29255</v>
      </c>
      <c r="R1652" s="1" t="s">
        <v>29256</v>
      </c>
      <c r="S1652" s="1">
        <v>7774066309</v>
      </c>
      <c r="T1652" s="1" t="s">
        <v>839</v>
      </c>
      <c r="U1652" s="1" t="s">
        <v>29257</v>
      </c>
      <c r="V1652" s="1">
        <v>7875197949</v>
      </c>
      <c r="W1652" s="1" t="s">
        <v>161</v>
      </c>
      <c r="X1652" s="1" t="s">
        <v>29258</v>
      </c>
      <c r="Y1652" s="1" t="s">
        <v>196</v>
      </c>
      <c r="Z1652" s="1" t="s">
        <v>97</v>
      </c>
      <c r="AA1652" s="1" t="s">
        <v>29258</v>
      </c>
      <c r="AB1652" s="1" t="s">
        <v>196</v>
      </c>
      <c r="AC1652" s="1" t="s">
        <v>97</v>
      </c>
      <c r="AD1652" s="1" t="s">
        <v>98</v>
      </c>
      <c r="AE1652" s="1" t="s">
        <v>98</v>
      </c>
      <c r="AF1652" s="1" t="s">
        <v>29259</v>
      </c>
      <c r="AG1652" s="1" t="s">
        <v>165</v>
      </c>
      <c r="AH1652" s="1" t="s">
        <v>166</v>
      </c>
      <c r="AI1652" s="1" t="s">
        <v>167</v>
      </c>
      <c r="AJ1652" s="1">
        <v>91.4</v>
      </c>
      <c r="AK1652" s="1"/>
      <c r="AL1652" s="1" t="s">
        <v>29260</v>
      </c>
      <c r="AM1652" s="1" t="s">
        <v>165</v>
      </c>
      <c r="AN1652" s="1"/>
      <c r="AO1652" s="1" t="s">
        <v>170</v>
      </c>
      <c r="AP1652" s="1" t="s">
        <v>106</v>
      </c>
      <c r="AQ1652" s="1">
        <v>83.69</v>
      </c>
      <c r="AR1652" s="1"/>
      <c r="AS1652" s="1"/>
      <c r="AT1652" s="1"/>
      <c r="AU1652" s="1"/>
      <c r="AV1652" s="1"/>
      <c r="AW1652" s="1"/>
      <c r="AX1652" s="1"/>
      <c r="AY1652" s="1" t="s">
        <v>366</v>
      </c>
      <c r="AZ1652" s="1" t="s">
        <v>29261</v>
      </c>
      <c r="BA1652" s="1"/>
      <c r="BB1652" s="1"/>
      <c r="BC1652" s="1" t="s">
        <v>1065</v>
      </c>
      <c r="BD1652" s="1" t="s">
        <v>1400</v>
      </c>
      <c r="BE1652" s="1">
        <v>84.83</v>
      </c>
      <c r="BF1652" s="1">
        <v>9.64</v>
      </c>
      <c r="BG1652" s="1"/>
      <c r="BH1652" s="1"/>
      <c r="BI1652" s="1"/>
      <c r="BJ1652" s="1"/>
      <c r="BK1652" s="1"/>
      <c r="BL1652" s="1"/>
      <c r="BM1652" s="1"/>
      <c r="BN1652" s="1"/>
      <c r="BO1652" s="1" t="s">
        <v>29262</v>
      </c>
      <c r="BP1652" s="1"/>
      <c r="BQ1652" s="1"/>
      <c r="BR1652" s="1" t="s">
        <v>29263</v>
      </c>
      <c r="BS1652" s="1">
        <v>7</v>
      </c>
      <c r="BT1652" s="1"/>
      <c r="BU1652" s="1" t="str">
        <f>HYPERLINK("https://nconnect.nicmar.ac.in/storage/profile/ProfilePhoto_p2270237_986457.jpg","Download")</f>
        <v>0</v>
      </c>
      <c r="BV1652" s="3"/>
      <c r="BW1652" s="3"/>
    </row>
    <row r="1653" spans="1:75">
      <c r="A1653" s="1" t="s">
        <v>75</v>
      </c>
      <c r="B1653" s="1" t="s">
        <v>25236</v>
      </c>
      <c r="C1653" s="1" t="s">
        <v>29264</v>
      </c>
      <c r="D1653" s="1" t="s">
        <v>29265</v>
      </c>
      <c r="E1653" s="1"/>
      <c r="F1653" s="1" t="s">
        <v>29266</v>
      </c>
      <c r="G1653" s="1" t="s">
        <v>29267</v>
      </c>
      <c r="H1653" s="1" t="s">
        <v>29268</v>
      </c>
      <c r="I1653" s="1" t="s">
        <v>29269</v>
      </c>
      <c r="J1653" s="1">
        <v>9600929169</v>
      </c>
      <c r="K1653" s="1" t="s">
        <v>153</v>
      </c>
      <c r="L1653" s="1" t="s">
        <v>29270</v>
      </c>
      <c r="M1653" s="1" t="s">
        <v>86</v>
      </c>
      <c r="N1653" s="1" t="s">
        <v>12562</v>
      </c>
      <c r="O1653" s="1"/>
      <c r="P1653" s="1" t="s">
        <v>481</v>
      </c>
      <c r="Q1653" s="1" t="s">
        <v>29271</v>
      </c>
      <c r="R1653" s="1" t="s">
        <v>29272</v>
      </c>
      <c r="S1653" s="1">
        <v>9894739169</v>
      </c>
      <c r="T1653" s="1" t="s">
        <v>839</v>
      </c>
      <c r="U1653" s="1" t="s">
        <v>29273</v>
      </c>
      <c r="V1653" s="1">
        <v>9894133752</v>
      </c>
      <c r="W1653" s="1" t="s">
        <v>839</v>
      </c>
      <c r="X1653" s="1" t="s">
        <v>29274</v>
      </c>
      <c r="Y1653" s="1" t="s">
        <v>8822</v>
      </c>
      <c r="Z1653" s="1" t="s">
        <v>570</v>
      </c>
      <c r="AA1653" s="1" t="s">
        <v>29274</v>
      </c>
      <c r="AB1653" s="1" t="s">
        <v>8822</v>
      </c>
      <c r="AC1653" s="1" t="s">
        <v>570</v>
      </c>
      <c r="AD1653" s="1" t="s">
        <v>98</v>
      </c>
      <c r="AE1653" s="1" t="s">
        <v>98</v>
      </c>
      <c r="AF1653" s="1" t="s">
        <v>29275</v>
      </c>
      <c r="AG1653" s="1" t="s">
        <v>29276</v>
      </c>
      <c r="AH1653" s="1" t="s">
        <v>101</v>
      </c>
      <c r="AI1653" s="1" t="s">
        <v>136</v>
      </c>
      <c r="AJ1653" s="1">
        <v>95</v>
      </c>
      <c r="AK1653" s="1">
        <v>10</v>
      </c>
      <c r="AL1653" s="1" t="s">
        <v>29277</v>
      </c>
      <c r="AM1653" s="1" t="s">
        <v>29276</v>
      </c>
      <c r="AN1653" s="1"/>
      <c r="AO1653" s="1" t="s">
        <v>167</v>
      </c>
      <c r="AP1653" s="1" t="s">
        <v>200</v>
      </c>
      <c r="AQ1653" s="1">
        <v>96.4</v>
      </c>
      <c r="AR1653" s="1">
        <v>0</v>
      </c>
      <c r="AS1653" s="1"/>
      <c r="AT1653" s="1"/>
      <c r="AU1653" s="1"/>
      <c r="AV1653" s="1"/>
      <c r="AW1653" s="1"/>
      <c r="AX1653" s="1"/>
      <c r="AY1653" s="1" t="s">
        <v>576</v>
      </c>
      <c r="AZ1653" s="1" t="s">
        <v>29278</v>
      </c>
      <c r="BA1653" s="1"/>
      <c r="BB1653" s="1"/>
      <c r="BC1653" s="1" t="s">
        <v>230</v>
      </c>
      <c r="BD1653" s="1" t="s">
        <v>441</v>
      </c>
      <c r="BE1653" s="1">
        <v>83</v>
      </c>
      <c r="BF1653" s="1">
        <v>8.3</v>
      </c>
      <c r="BG1653" s="1"/>
      <c r="BH1653" s="1"/>
      <c r="BI1653" s="1"/>
      <c r="BJ1653" s="1"/>
      <c r="BK1653" s="1"/>
      <c r="BL1653" s="1"/>
      <c r="BM1653" s="1"/>
      <c r="BN1653" s="1"/>
      <c r="BO1653" s="1" t="s">
        <v>29279</v>
      </c>
      <c r="BP1653" s="1" t="s">
        <v>29280</v>
      </c>
      <c r="BQ1653" s="1" t="s">
        <v>1043</v>
      </c>
      <c r="BR1653" s="1" t="s">
        <v>29281</v>
      </c>
      <c r="BS1653" s="1">
        <v>18</v>
      </c>
      <c r="BT1653" s="1"/>
      <c r="BU1653" s="1" t="str">
        <f>HYPERLINK("https://nconnect.nicmar.ac.in/storage/profile/ProfilePhoto_p2270240_345981.jpg","Download")</f>
        <v>0</v>
      </c>
      <c r="BV1653" s="3"/>
      <c r="BW1653" s="3"/>
    </row>
    <row r="1654" spans="1:75">
      <c r="A1654" s="1" t="s">
        <v>75</v>
      </c>
      <c r="B1654" s="1" t="s">
        <v>25236</v>
      </c>
      <c r="C1654" s="1" t="s">
        <v>29282</v>
      </c>
      <c r="D1654" s="1" t="s">
        <v>1119</v>
      </c>
      <c r="E1654" s="1" t="s">
        <v>239</v>
      </c>
      <c r="F1654" s="1" t="s">
        <v>29283</v>
      </c>
      <c r="G1654" s="1" t="s">
        <v>29284</v>
      </c>
      <c r="H1654" s="1" t="s">
        <v>29285</v>
      </c>
      <c r="I1654" s="1" t="s">
        <v>29286</v>
      </c>
      <c r="J1654" s="1">
        <v>9527848259</v>
      </c>
      <c r="K1654" s="1" t="s">
        <v>84</v>
      </c>
      <c r="L1654" s="1" t="s">
        <v>26476</v>
      </c>
      <c r="M1654" s="1" t="s">
        <v>86</v>
      </c>
      <c r="N1654" s="1" t="s">
        <v>1163</v>
      </c>
      <c r="O1654" s="1" t="s">
        <v>29287</v>
      </c>
      <c r="P1654" s="1" t="s">
        <v>670</v>
      </c>
      <c r="Q1654" s="1" t="s">
        <v>29288</v>
      </c>
      <c r="R1654" s="1" t="s">
        <v>239</v>
      </c>
      <c r="S1654" s="1">
        <v>9420708607</v>
      </c>
      <c r="T1654" s="1" t="s">
        <v>926</v>
      </c>
      <c r="U1654" s="1" t="s">
        <v>29289</v>
      </c>
      <c r="V1654" s="1">
        <v>8975120059</v>
      </c>
      <c r="W1654" s="1" t="s">
        <v>161</v>
      </c>
      <c r="X1654" s="1" t="s">
        <v>29290</v>
      </c>
      <c r="Y1654" s="1" t="s">
        <v>5030</v>
      </c>
      <c r="Z1654" s="1" t="s">
        <v>97</v>
      </c>
      <c r="AA1654" s="1" t="s">
        <v>29290</v>
      </c>
      <c r="AB1654" s="1" t="s">
        <v>5030</v>
      </c>
      <c r="AC1654" s="1" t="s">
        <v>97</v>
      </c>
      <c r="AD1654" s="1" t="s">
        <v>98</v>
      </c>
      <c r="AE1654" s="1" t="s">
        <v>98</v>
      </c>
      <c r="AF1654" s="1" t="s">
        <v>29291</v>
      </c>
      <c r="AG1654" s="1" t="s">
        <v>165</v>
      </c>
      <c r="AH1654" s="1" t="s">
        <v>1213</v>
      </c>
      <c r="AI1654" s="1" t="s">
        <v>515</v>
      </c>
      <c r="AJ1654" s="1">
        <v>84.6</v>
      </c>
      <c r="AK1654" s="1">
        <v>8.46</v>
      </c>
      <c r="AL1654" s="1"/>
      <c r="AM1654" s="1"/>
      <c r="AN1654" s="1"/>
      <c r="AO1654" s="1"/>
      <c r="AP1654" s="1"/>
      <c r="AQ1654" s="1"/>
      <c r="AR1654" s="1"/>
      <c r="AS1654" s="1" t="s">
        <v>103</v>
      </c>
      <c r="AT1654" s="1" t="s">
        <v>29292</v>
      </c>
      <c r="AU1654" s="1" t="s">
        <v>257</v>
      </c>
      <c r="AV1654" s="1" t="s">
        <v>704</v>
      </c>
      <c r="AW1654" s="1">
        <v>87.21</v>
      </c>
      <c r="AX1654" s="1">
        <v>8.72</v>
      </c>
      <c r="AY1654" s="1" t="s">
        <v>415</v>
      </c>
      <c r="AZ1654" s="1" t="s">
        <v>26393</v>
      </c>
      <c r="BA1654" s="1"/>
      <c r="BB1654" s="1"/>
      <c r="BC1654" s="1" t="s">
        <v>230</v>
      </c>
      <c r="BD1654" s="1" t="s">
        <v>1647</v>
      </c>
      <c r="BE1654" s="1">
        <v>74.7</v>
      </c>
      <c r="BF1654" s="1">
        <v>8.22</v>
      </c>
      <c r="BG1654" s="1"/>
      <c r="BH1654" s="1"/>
      <c r="BI1654" s="1"/>
      <c r="BJ1654" s="1"/>
      <c r="BK1654" s="1"/>
      <c r="BL1654" s="1"/>
      <c r="BM1654" s="1"/>
      <c r="BN1654" s="1"/>
      <c r="BO1654" s="1" t="s">
        <v>29293</v>
      </c>
      <c r="BP1654" s="1" t="s">
        <v>29294</v>
      </c>
      <c r="BQ1654" s="1" t="s">
        <v>4149</v>
      </c>
      <c r="BR1654" s="1" t="s">
        <v>29295</v>
      </c>
      <c r="BS1654" s="1">
        <v>8</v>
      </c>
      <c r="BT1654" s="1"/>
      <c r="BU1654" s="1" t="str">
        <f>HYPERLINK("https://nconnect.nicmar.ac.in/storage/profile/ProfilePhoto_p2270241_723189.jpg","Download")</f>
        <v>0</v>
      </c>
      <c r="BV1654" s="3"/>
      <c r="BW1654" s="3"/>
    </row>
    <row r="1655" spans="1:75">
      <c r="A1655" s="1" t="s">
        <v>75</v>
      </c>
      <c r="B1655" s="1" t="s">
        <v>25236</v>
      </c>
      <c r="C1655" s="1" t="s">
        <v>29296</v>
      </c>
      <c r="D1655" s="1" t="s">
        <v>29297</v>
      </c>
      <c r="E1655" s="1"/>
      <c r="F1655" s="1" t="s">
        <v>29230</v>
      </c>
      <c r="G1655" s="1" t="s">
        <v>29298</v>
      </c>
      <c r="H1655" s="1" t="s">
        <v>29299</v>
      </c>
      <c r="I1655" s="1" t="s">
        <v>29300</v>
      </c>
      <c r="J1655" s="1">
        <v>7017559060</v>
      </c>
      <c r="K1655" s="1" t="s">
        <v>153</v>
      </c>
      <c r="L1655" s="1" t="s">
        <v>4930</v>
      </c>
      <c r="M1655" s="1" t="s">
        <v>86</v>
      </c>
      <c r="N1655" s="1" t="s">
        <v>4278</v>
      </c>
      <c r="O1655" s="1" t="s">
        <v>29301</v>
      </c>
      <c r="P1655" s="1" t="s">
        <v>507</v>
      </c>
      <c r="Q1655" s="1" t="s">
        <v>29302</v>
      </c>
      <c r="R1655" s="1" t="s">
        <v>29303</v>
      </c>
      <c r="S1655" s="1">
        <v>9837050130</v>
      </c>
      <c r="T1655" s="1" t="s">
        <v>926</v>
      </c>
      <c r="U1655" s="1" t="s">
        <v>29304</v>
      </c>
      <c r="V1655" s="1">
        <v>9084305511</v>
      </c>
      <c r="W1655" s="1" t="s">
        <v>541</v>
      </c>
      <c r="X1655" s="1" t="s">
        <v>29305</v>
      </c>
      <c r="Y1655" s="1" t="s">
        <v>7419</v>
      </c>
      <c r="Z1655" s="1" t="s">
        <v>544</v>
      </c>
      <c r="AA1655" s="1" t="s">
        <v>29305</v>
      </c>
      <c r="AB1655" s="1" t="s">
        <v>7419</v>
      </c>
      <c r="AC1655" s="1" t="s">
        <v>544</v>
      </c>
      <c r="AD1655" s="1" t="s">
        <v>98</v>
      </c>
      <c r="AE1655" s="1" t="s">
        <v>98</v>
      </c>
      <c r="AF1655" s="1" t="s">
        <v>29306</v>
      </c>
      <c r="AG1655" s="1" t="s">
        <v>29307</v>
      </c>
      <c r="AH1655" s="1" t="s">
        <v>3421</v>
      </c>
      <c r="AI1655" s="1" t="s">
        <v>515</v>
      </c>
      <c r="AJ1655" s="1">
        <v>85.5</v>
      </c>
      <c r="AK1655" s="1">
        <v>9</v>
      </c>
      <c r="AL1655" s="1" t="s">
        <v>29306</v>
      </c>
      <c r="AM1655" s="1" t="s">
        <v>29307</v>
      </c>
      <c r="AN1655" s="1"/>
      <c r="AO1655" s="1" t="s">
        <v>1110</v>
      </c>
      <c r="AP1655" s="1" t="s">
        <v>284</v>
      </c>
      <c r="AQ1655" s="1">
        <v>80.6</v>
      </c>
      <c r="AR1655" s="1">
        <v>8.06</v>
      </c>
      <c r="AS1655" s="1"/>
      <c r="AT1655" s="1"/>
      <c r="AU1655" s="1"/>
      <c r="AV1655" s="1"/>
      <c r="AW1655" s="1"/>
      <c r="AX1655" s="1"/>
      <c r="AY1655" s="1" t="s">
        <v>29308</v>
      </c>
      <c r="AZ1655" s="1" t="s">
        <v>29309</v>
      </c>
      <c r="BA1655" s="1"/>
      <c r="BB1655" s="1"/>
      <c r="BC1655" s="1" t="s">
        <v>139</v>
      </c>
      <c r="BD1655" s="1" t="s">
        <v>549</v>
      </c>
      <c r="BE1655" s="1">
        <v>72.1</v>
      </c>
      <c r="BF1655" s="1">
        <v>7.21</v>
      </c>
      <c r="BG1655" s="1"/>
      <c r="BH1655" s="1"/>
      <c r="BI1655" s="1"/>
      <c r="BJ1655" s="1"/>
      <c r="BK1655" s="1"/>
      <c r="BL1655" s="1"/>
      <c r="BM1655" s="1"/>
      <c r="BN1655" s="1"/>
      <c r="BO1655" s="1" t="s">
        <v>29310</v>
      </c>
      <c r="BP1655" s="1"/>
      <c r="BQ1655" s="1"/>
      <c r="BR1655" s="1" t="s">
        <v>29311</v>
      </c>
      <c r="BS1655" s="1">
        <v>42</v>
      </c>
      <c r="BT1655" s="1"/>
      <c r="BU1655" s="1" t="str">
        <f>HYPERLINK("https://nconnect.nicmar.ac.in/storage/profile/ProfilePhoto_p2270242_762438.jpg","Download")</f>
        <v>0</v>
      </c>
      <c r="BV1655" s="3"/>
      <c r="BW1655" s="3"/>
    </row>
    <row r="1656" spans="1:75">
      <c r="A1656" s="1" t="s">
        <v>75</v>
      </c>
      <c r="B1656" s="1" t="s">
        <v>25236</v>
      </c>
      <c r="C1656" s="1" t="s">
        <v>29312</v>
      </c>
      <c r="D1656" s="1" t="s">
        <v>3431</v>
      </c>
      <c r="E1656" s="1" t="s">
        <v>1669</v>
      </c>
      <c r="F1656" s="1" t="s">
        <v>29313</v>
      </c>
      <c r="G1656" s="1" t="s">
        <v>29314</v>
      </c>
      <c r="H1656" s="1" t="s">
        <v>29315</v>
      </c>
      <c r="I1656" s="1" t="s">
        <v>29316</v>
      </c>
      <c r="J1656" s="1">
        <v>8888786834</v>
      </c>
      <c r="K1656" s="1" t="s">
        <v>84</v>
      </c>
      <c r="L1656" s="1" t="s">
        <v>29317</v>
      </c>
      <c r="M1656" s="1" t="s">
        <v>86</v>
      </c>
      <c r="N1656" s="1" t="s">
        <v>618</v>
      </c>
      <c r="O1656" s="1" t="s">
        <v>29318</v>
      </c>
      <c r="P1656" s="1"/>
      <c r="Q1656" s="1" t="s">
        <v>29319</v>
      </c>
      <c r="R1656" s="1" t="s">
        <v>29320</v>
      </c>
      <c r="S1656" s="1">
        <v>9049732822</v>
      </c>
      <c r="T1656" s="1" t="s">
        <v>159</v>
      </c>
      <c r="U1656" s="1" t="s">
        <v>29321</v>
      </c>
      <c r="V1656" s="1">
        <v>9130808963</v>
      </c>
      <c r="W1656" s="1" t="s">
        <v>161</v>
      </c>
      <c r="X1656" s="1" t="s">
        <v>29322</v>
      </c>
      <c r="Y1656" s="1" t="s">
        <v>196</v>
      </c>
      <c r="Z1656" s="1" t="s">
        <v>97</v>
      </c>
      <c r="AA1656" s="1" t="s">
        <v>29322</v>
      </c>
      <c r="AB1656" s="1" t="s">
        <v>196</v>
      </c>
      <c r="AC1656" s="1" t="s">
        <v>97</v>
      </c>
      <c r="AD1656" s="1" t="s">
        <v>98</v>
      </c>
      <c r="AE1656" s="1" t="s">
        <v>98</v>
      </c>
      <c r="AF1656" s="1" t="s">
        <v>29323</v>
      </c>
      <c r="AG1656" s="1" t="s">
        <v>6251</v>
      </c>
      <c r="AH1656" s="1" t="s">
        <v>166</v>
      </c>
      <c r="AI1656" s="1" t="s">
        <v>627</v>
      </c>
      <c r="AJ1656" s="1">
        <v>81.6</v>
      </c>
      <c r="AK1656" s="1"/>
      <c r="AL1656" s="1"/>
      <c r="AM1656" s="1"/>
      <c r="AN1656" s="1"/>
      <c r="AO1656" s="1"/>
      <c r="AP1656" s="1"/>
      <c r="AQ1656" s="1"/>
      <c r="AR1656" s="1"/>
      <c r="AS1656" s="1" t="s">
        <v>439</v>
      </c>
      <c r="AT1656" s="1" t="s">
        <v>29324</v>
      </c>
      <c r="AU1656" s="1" t="s">
        <v>139</v>
      </c>
      <c r="AV1656" s="1" t="s">
        <v>438</v>
      </c>
      <c r="AW1656" s="1">
        <v>72.91</v>
      </c>
      <c r="AX1656" s="1"/>
      <c r="AY1656" s="1" t="s">
        <v>366</v>
      </c>
      <c r="AZ1656" s="1" t="s">
        <v>29325</v>
      </c>
      <c r="BA1656" s="1"/>
      <c r="BB1656" s="1"/>
      <c r="BC1656" s="1" t="s">
        <v>206</v>
      </c>
      <c r="BD1656" s="1" t="s">
        <v>110</v>
      </c>
      <c r="BE1656" s="1">
        <v>72.86</v>
      </c>
      <c r="BF1656" s="1">
        <v>8.28</v>
      </c>
      <c r="BG1656" s="1"/>
      <c r="BH1656" s="1"/>
      <c r="BI1656" s="1"/>
      <c r="BJ1656" s="1"/>
      <c r="BK1656" s="1"/>
      <c r="BL1656" s="1"/>
      <c r="BM1656" s="1"/>
      <c r="BN1656" s="1"/>
      <c r="BO1656" s="1" t="s">
        <v>29326</v>
      </c>
      <c r="BP1656" s="1"/>
      <c r="BQ1656" s="1"/>
      <c r="BR1656" s="1" t="s">
        <v>29327</v>
      </c>
      <c r="BS1656" s="1">
        <v>7</v>
      </c>
      <c r="BT1656" s="1"/>
      <c r="BU1656" s="1" t="str">
        <f>HYPERLINK("https://nconnect.nicmar.ac.in/storage/profile/ProfilePhoto_p2270243_935468.jpg","Download")</f>
        <v>0</v>
      </c>
      <c r="BV1656" s="3"/>
      <c r="BW1656" s="3"/>
    </row>
    <row r="1657" spans="1:75">
      <c r="A1657" s="1" t="s">
        <v>75</v>
      </c>
      <c r="B1657" s="1" t="s">
        <v>25236</v>
      </c>
      <c r="C1657" s="1" t="s">
        <v>29328</v>
      </c>
      <c r="D1657" s="1" t="s">
        <v>29329</v>
      </c>
      <c r="E1657" s="1"/>
      <c r="F1657" s="1" t="s">
        <v>29330</v>
      </c>
      <c r="G1657" s="1" t="s">
        <v>29331</v>
      </c>
      <c r="H1657" s="1" t="s">
        <v>29332</v>
      </c>
      <c r="I1657" s="1" t="s">
        <v>29333</v>
      </c>
      <c r="J1657" s="1">
        <v>9161987026</v>
      </c>
      <c r="K1657" s="1" t="s">
        <v>84</v>
      </c>
      <c r="L1657" s="1" t="s">
        <v>29334</v>
      </c>
      <c r="M1657" s="1" t="s">
        <v>86</v>
      </c>
      <c r="N1657" s="1" t="s">
        <v>355</v>
      </c>
      <c r="O1657" s="1" t="s">
        <v>29335</v>
      </c>
      <c r="P1657" s="1" t="s">
        <v>481</v>
      </c>
      <c r="Q1657" s="1" t="s">
        <v>29336</v>
      </c>
      <c r="R1657" s="1" t="s">
        <v>29337</v>
      </c>
      <c r="S1657" s="1">
        <v>9839286797</v>
      </c>
      <c r="T1657" s="1" t="s">
        <v>29338</v>
      </c>
      <c r="U1657" s="1" t="s">
        <v>29339</v>
      </c>
      <c r="V1657" s="1">
        <v>8299870973</v>
      </c>
      <c r="W1657" s="1" t="s">
        <v>161</v>
      </c>
      <c r="X1657" s="1" t="s">
        <v>29340</v>
      </c>
      <c r="Y1657" s="1" t="s">
        <v>1059</v>
      </c>
      <c r="Z1657" s="1" t="s">
        <v>544</v>
      </c>
      <c r="AA1657" s="1" t="s">
        <v>29340</v>
      </c>
      <c r="AB1657" s="1" t="s">
        <v>1059</v>
      </c>
      <c r="AC1657" s="1" t="s">
        <v>544</v>
      </c>
      <c r="AD1657" s="1" t="s">
        <v>98</v>
      </c>
      <c r="AE1657" s="1" t="s">
        <v>98</v>
      </c>
      <c r="AF1657" s="1" t="s">
        <v>29341</v>
      </c>
      <c r="AG1657" s="1" t="s">
        <v>29342</v>
      </c>
      <c r="AH1657" s="1" t="s">
        <v>3965</v>
      </c>
      <c r="AI1657" s="1" t="s">
        <v>1457</v>
      </c>
      <c r="AJ1657" s="1">
        <v>63</v>
      </c>
      <c r="AK1657" s="1">
        <v>0</v>
      </c>
      <c r="AL1657" s="1" t="s">
        <v>29343</v>
      </c>
      <c r="AM1657" s="1" t="s">
        <v>29342</v>
      </c>
      <c r="AN1657" s="1"/>
      <c r="AO1657" s="1" t="s">
        <v>167</v>
      </c>
      <c r="AP1657" s="1" t="s">
        <v>170</v>
      </c>
      <c r="AQ1657" s="1">
        <v>80</v>
      </c>
      <c r="AR1657" s="1">
        <v>0</v>
      </c>
      <c r="AS1657" s="1"/>
      <c r="AT1657" s="1"/>
      <c r="AU1657" s="1"/>
      <c r="AV1657" s="1"/>
      <c r="AW1657" s="1"/>
      <c r="AX1657" s="1"/>
      <c r="AY1657" s="1" t="s">
        <v>29344</v>
      </c>
      <c r="AZ1657" s="1" t="s">
        <v>29345</v>
      </c>
      <c r="BA1657" s="1"/>
      <c r="BB1657" s="1"/>
      <c r="BC1657" s="1" t="s">
        <v>230</v>
      </c>
      <c r="BD1657" s="1" t="s">
        <v>441</v>
      </c>
      <c r="BE1657" s="1">
        <v>63.8</v>
      </c>
      <c r="BF1657" s="1">
        <v>6.38</v>
      </c>
      <c r="BG1657" s="1"/>
      <c r="BH1657" s="1"/>
      <c r="BI1657" s="1"/>
      <c r="BJ1657" s="1"/>
      <c r="BK1657" s="1"/>
      <c r="BL1657" s="1"/>
      <c r="BM1657" s="1"/>
      <c r="BN1657" s="1"/>
      <c r="BO1657" s="1" t="s">
        <v>1114</v>
      </c>
      <c r="BP1657" s="1"/>
      <c r="BQ1657" s="1"/>
      <c r="BR1657" s="1" t="s">
        <v>29346</v>
      </c>
      <c r="BS1657" s="1">
        <v>11</v>
      </c>
      <c r="BT1657" s="1"/>
      <c r="BU1657" s="1" t="str">
        <f>HYPERLINK("https://nconnect.nicmar.ac.in/storage/profile/ProfilePhoto_p2270244_754169.jpg","Download")</f>
        <v>0</v>
      </c>
      <c r="BV1657" s="3"/>
      <c r="BW1657" s="3"/>
    </row>
    <row r="1658" spans="1:75">
      <c r="A1658" s="1" t="s">
        <v>75</v>
      </c>
      <c r="B1658" s="1" t="s">
        <v>25236</v>
      </c>
      <c r="C1658" s="1" t="s">
        <v>29347</v>
      </c>
      <c r="D1658" s="1" t="s">
        <v>29348</v>
      </c>
      <c r="E1658" s="1"/>
      <c r="F1658" s="1" t="s">
        <v>2538</v>
      </c>
      <c r="G1658" s="1" t="s">
        <v>29349</v>
      </c>
      <c r="H1658" s="1" t="s">
        <v>29350</v>
      </c>
      <c r="I1658" s="1" t="s">
        <v>29351</v>
      </c>
      <c r="J1658" s="1">
        <v>7879836376</v>
      </c>
      <c r="K1658" s="1" t="s">
        <v>153</v>
      </c>
      <c r="L1658" s="1" t="s">
        <v>29352</v>
      </c>
      <c r="M1658" s="1" t="s">
        <v>86</v>
      </c>
      <c r="N1658" s="1" t="s">
        <v>4278</v>
      </c>
      <c r="O1658" s="1" t="s">
        <v>29353</v>
      </c>
      <c r="P1658" s="1" t="s">
        <v>455</v>
      </c>
      <c r="Q1658" s="1" t="s">
        <v>29354</v>
      </c>
      <c r="R1658" s="1" t="s">
        <v>29355</v>
      </c>
      <c r="S1658" s="1">
        <v>9826466916</v>
      </c>
      <c r="T1658" s="1" t="s">
        <v>2950</v>
      </c>
      <c r="U1658" s="1" t="s">
        <v>29356</v>
      </c>
      <c r="V1658" s="1">
        <v>7697252188</v>
      </c>
      <c r="W1658" s="1" t="s">
        <v>127</v>
      </c>
      <c r="X1658" s="1" t="s">
        <v>29357</v>
      </c>
      <c r="Y1658" s="1" t="s">
        <v>5622</v>
      </c>
      <c r="Z1658" s="1" t="s">
        <v>3419</v>
      </c>
      <c r="AA1658" s="1" t="s">
        <v>29357</v>
      </c>
      <c r="AB1658" s="1" t="s">
        <v>5622</v>
      </c>
      <c r="AC1658" s="1" t="s">
        <v>3419</v>
      </c>
      <c r="AD1658" s="1" t="s">
        <v>98</v>
      </c>
      <c r="AE1658" s="1" t="s">
        <v>98</v>
      </c>
      <c r="AF1658" s="1" t="s">
        <v>29358</v>
      </c>
      <c r="AG1658" s="1" t="s">
        <v>29359</v>
      </c>
      <c r="AH1658" s="1" t="s">
        <v>3421</v>
      </c>
      <c r="AI1658" s="1" t="s">
        <v>1262</v>
      </c>
      <c r="AJ1658" s="1">
        <v>79.8</v>
      </c>
      <c r="AK1658" s="1">
        <v>8.4</v>
      </c>
      <c r="AL1658" s="1" t="s">
        <v>29358</v>
      </c>
      <c r="AM1658" s="1" t="s">
        <v>29359</v>
      </c>
      <c r="AN1658" s="1"/>
      <c r="AO1658" s="1" t="s">
        <v>1110</v>
      </c>
      <c r="AP1658" s="1" t="s">
        <v>627</v>
      </c>
      <c r="AQ1658" s="1">
        <v>72.2</v>
      </c>
      <c r="AR1658" s="1">
        <v>0</v>
      </c>
      <c r="AS1658" s="1"/>
      <c r="AT1658" s="1"/>
      <c r="AU1658" s="1"/>
      <c r="AV1658" s="1"/>
      <c r="AW1658" s="1"/>
      <c r="AX1658" s="1"/>
      <c r="AY1658" s="1" t="s">
        <v>29360</v>
      </c>
      <c r="AZ1658" s="1" t="s">
        <v>29361</v>
      </c>
      <c r="BA1658" s="1"/>
      <c r="BB1658" s="1"/>
      <c r="BC1658" s="1" t="s">
        <v>1396</v>
      </c>
      <c r="BD1658" s="1" t="s">
        <v>441</v>
      </c>
      <c r="BE1658" s="1">
        <v>85.3</v>
      </c>
      <c r="BF1658" s="1">
        <v>9.03</v>
      </c>
      <c r="BG1658" s="1"/>
      <c r="BH1658" s="1"/>
      <c r="BI1658" s="1"/>
      <c r="BJ1658" s="1"/>
      <c r="BK1658" s="1"/>
      <c r="BL1658" s="1"/>
      <c r="BM1658" s="1"/>
      <c r="BN1658" s="1"/>
      <c r="BO1658" s="1" t="s">
        <v>29362</v>
      </c>
      <c r="BP1658" s="1" t="s">
        <v>29363</v>
      </c>
      <c r="BQ1658" s="1" t="s">
        <v>3949</v>
      </c>
      <c r="BR1658" s="1" t="s">
        <v>29364</v>
      </c>
      <c r="BS1658" s="1">
        <v>29</v>
      </c>
      <c r="BT1658" s="1"/>
      <c r="BU1658" s="1" t="str">
        <f>HYPERLINK("https://nconnect.nicmar.ac.in/storage/profile/ProfilePhoto_p2270245_537291.jpg","Download")</f>
        <v>0</v>
      </c>
      <c r="BV1658" s="3"/>
      <c r="BW1658" s="3"/>
    </row>
    <row r="1659" spans="1:75">
      <c r="A1659" s="1" t="s">
        <v>75</v>
      </c>
      <c r="B1659" s="1" t="s">
        <v>25236</v>
      </c>
      <c r="C1659" s="1" t="s">
        <v>29365</v>
      </c>
      <c r="D1659" s="1" t="s">
        <v>897</v>
      </c>
      <c r="E1659" s="1" t="s">
        <v>6862</v>
      </c>
      <c r="F1659" s="1" t="s">
        <v>9082</v>
      </c>
      <c r="G1659" s="1" t="s">
        <v>29366</v>
      </c>
      <c r="H1659" s="1" t="s">
        <v>29367</v>
      </c>
      <c r="I1659" s="1" t="s">
        <v>29368</v>
      </c>
      <c r="J1659" s="1">
        <v>7776885403</v>
      </c>
      <c r="K1659" s="1" t="s">
        <v>84</v>
      </c>
      <c r="L1659" s="1" t="s">
        <v>29369</v>
      </c>
      <c r="M1659" s="1" t="s">
        <v>155</v>
      </c>
      <c r="N1659" s="1" t="s">
        <v>29370</v>
      </c>
      <c r="O1659" s="1" t="s">
        <v>29371</v>
      </c>
      <c r="P1659" s="1"/>
      <c r="Q1659" s="1" t="s">
        <v>29372</v>
      </c>
      <c r="R1659" s="1" t="s">
        <v>29373</v>
      </c>
      <c r="S1659" s="1">
        <v>9822216134</v>
      </c>
      <c r="T1659" s="1" t="s">
        <v>17617</v>
      </c>
      <c r="U1659" s="1" t="s">
        <v>29374</v>
      </c>
      <c r="V1659" s="1">
        <v>9699256974</v>
      </c>
      <c r="W1659" s="1" t="s">
        <v>22654</v>
      </c>
      <c r="X1659" s="1" t="s">
        <v>29375</v>
      </c>
      <c r="Y1659" s="1" t="s">
        <v>96</v>
      </c>
      <c r="Z1659" s="1" t="s">
        <v>97</v>
      </c>
      <c r="AA1659" s="1" t="s">
        <v>29376</v>
      </c>
      <c r="AB1659" s="1" t="s">
        <v>196</v>
      </c>
      <c r="AC1659" s="1" t="s">
        <v>97</v>
      </c>
      <c r="AD1659" s="1" t="s">
        <v>98</v>
      </c>
      <c r="AE1659" s="1" t="s">
        <v>98</v>
      </c>
      <c r="AF1659" s="1" t="s">
        <v>29377</v>
      </c>
      <c r="AG1659" s="1" t="s">
        <v>1968</v>
      </c>
      <c r="AH1659" s="1" t="s">
        <v>1213</v>
      </c>
      <c r="AI1659" s="1" t="s">
        <v>135</v>
      </c>
      <c r="AJ1659" s="1">
        <v>87.2</v>
      </c>
      <c r="AK1659" s="1">
        <v>0</v>
      </c>
      <c r="AL1659" s="1"/>
      <c r="AM1659" s="1"/>
      <c r="AN1659" s="1"/>
      <c r="AO1659" s="1"/>
      <c r="AP1659" s="1"/>
      <c r="AQ1659" s="1"/>
      <c r="AR1659" s="1"/>
      <c r="AS1659" s="1" t="s">
        <v>103</v>
      </c>
      <c r="AT1659" s="1" t="s">
        <v>29378</v>
      </c>
      <c r="AU1659" s="1" t="s">
        <v>135</v>
      </c>
      <c r="AV1659" s="1" t="s">
        <v>170</v>
      </c>
      <c r="AW1659" s="1">
        <v>72.24</v>
      </c>
      <c r="AX1659" s="1">
        <v>0</v>
      </c>
      <c r="AY1659" s="1" t="s">
        <v>29379</v>
      </c>
      <c r="AZ1659" s="1" t="s">
        <v>29380</v>
      </c>
      <c r="BA1659" s="1"/>
      <c r="BB1659" s="1"/>
      <c r="BC1659" s="1" t="s">
        <v>230</v>
      </c>
      <c r="BD1659" s="1" t="s">
        <v>417</v>
      </c>
      <c r="BE1659" s="1">
        <v>67.26</v>
      </c>
      <c r="BF1659" s="1">
        <v>6.72</v>
      </c>
      <c r="BG1659" s="1"/>
      <c r="BH1659" s="1"/>
      <c r="BI1659" s="1"/>
      <c r="BJ1659" s="1"/>
      <c r="BK1659" s="1"/>
      <c r="BL1659" s="1"/>
      <c r="BM1659" s="1"/>
      <c r="BN1659" s="1"/>
      <c r="BO1659" s="1" t="s">
        <v>29381</v>
      </c>
      <c r="BP1659" s="1"/>
      <c r="BQ1659" s="1"/>
      <c r="BR1659" s="1" t="s">
        <v>29382</v>
      </c>
      <c r="BS1659" s="1">
        <v>7</v>
      </c>
      <c r="BT1659" s="1"/>
      <c r="BU1659" s="1" t="str">
        <f>HYPERLINK("https://nconnect.nicmar.ac.in/storage/profile/ProfilePhoto_p2270247_192743.jpg","Download")</f>
        <v>0</v>
      </c>
      <c r="BV1659" s="3"/>
      <c r="BW1659" s="3"/>
    </row>
    <row r="1660" spans="1:75">
      <c r="A1660" s="1" t="s">
        <v>75</v>
      </c>
      <c r="B1660" s="1" t="s">
        <v>25236</v>
      </c>
      <c r="C1660" s="1" t="s">
        <v>29383</v>
      </c>
      <c r="D1660" s="1" t="s">
        <v>29384</v>
      </c>
      <c r="E1660" s="1"/>
      <c r="F1660" s="1" t="s">
        <v>3998</v>
      </c>
      <c r="G1660" s="1" t="s">
        <v>29385</v>
      </c>
      <c r="H1660" s="1" t="s">
        <v>29386</v>
      </c>
      <c r="I1660" s="1" t="s">
        <v>29386</v>
      </c>
      <c r="J1660" s="1">
        <v>6363156850</v>
      </c>
      <c r="K1660" s="1" t="s">
        <v>153</v>
      </c>
      <c r="L1660" s="1" t="s">
        <v>29387</v>
      </c>
      <c r="M1660" s="1" t="s">
        <v>86</v>
      </c>
      <c r="N1660" s="1" t="s">
        <v>1203</v>
      </c>
      <c r="O1660" s="1" t="s">
        <v>29388</v>
      </c>
      <c r="P1660" s="1" t="s">
        <v>2062</v>
      </c>
      <c r="Q1660" s="1" t="s">
        <v>29389</v>
      </c>
      <c r="R1660" s="1" t="s">
        <v>29390</v>
      </c>
      <c r="S1660" s="1">
        <v>9845167495</v>
      </c>
      <c r="T1660" s="1" t="s">
        <v>127</v>
      </c>
      <c r="U1660" s="1" t="s">
        <v>29391</v>
      </c>
      <c r="V1660" s="1">
        <v>9108846983</v>
      </c>
      <c r="W1660" s="1" t="s">
        <v>4695</v>
      </c>
      <c r="X1660" s="1" t="s">
        <v>29392</v>
      </c>
      <c r="Y1660" s="1" t="s">
        <v>3132</v>
      </c>
      <c r="Z1660" s="1" t="s">
        <v>1210</v>
      </c>
      <c r="AA1660" s="1" t="s">
        <v>29393</v>
      </c>
      <c r="AB1660" s="1" t="s">
        <v>196</v>
      </c>
      <c r="AC1660" s="1" t="s">
        <v>97</v>
      </c>
      <c r="AD1660" s="1" t="s">
        <v>98</v>
      </c>
      <c r="AE1660" s="1" t="s">
        <v>98</v>
      </c>
      <c r="AF1660" s="1" t="s">
        <v>29394</v>
      </c>
      <c r="AG1660" s="1" t="s">
        <v>29395</v>
      </c>
      <c r="AH1660" s="1" t="s">
        <v>101</v>
      </c>
      <c r="AI1660" s="1" t="s">
        <v>1110</v>
      </c>
      <c r="AJ1660" s="1">
        <v>88.16</v>
      </c>
      <c r="AK1660" s="1"/>
      <c r="AL1660" s="1" t="s">
        <v>29396</v>
      </c>
      <c r="AM1660" s="1" t="s">
        <v>29395</v>
      </c>
      <c r="AN1660" s="1"/>
      <c r="AO1660" s="1" t="s">
        <v>1396</v>
      </c>
      <c r="AP1660" s="1" t="s">
        <v>573</v>
      </c>
      <c r="AQ1660" s="1">
        <v>70.4</v>
      </c>
      <c r="AR1660" s="1"/>
      <c r="AS1660" s="1"/>
      <c r="AT1660" s="1"/>
      <c r="AU1660" s="1"/>
      <c r="AV1660" s="1"/>
      <c r="AW1660" s="1"/>
      <c r="AX1660" s="1"/>
      <c r="AY1660" s="1" t="s">
        <v>1217</v>
      </c>
      <c r="AZ1660" s="1" t="s">
        <v>29397</v>
      </c>
      <c r="BA1660" s="1"/>
      <c r="BB1660" s="1"/>
      <c r="BC1660" s="1" t="s">
        <v>230</v>
      </c>
      <c r="BD1660" s="1" t="s">
        <v>441</v>
      </c>
      <c r="BE1660" s="1">
        <v>78</v>
      </c>
      <c r="BF1660" s="1">
        <v>8.55</v>
      </c>
      <c r="BG1660" s="1"/>
      <c r="BH1660" s="1"/>
      <c r="BI1660" s="1"/>
      <c r="BJ1660" s="1"/>
      <c r="BK1660" s="1"/>
      <c r="BL1660" s="1"/>
      <c r="BM1660" s="1"/>
      <c r="BN1660" s="1"/>
      <c r="BO1660" s="1" t="s">
        <v>29398</v>
      </c>
      <c r="BP1660" s="1" t="s">
        <v>29399</v>
      </c>
      <c r="BQ1660" s="1" t="s">
        <v>292</v>
      </c>
      <c r="BR1660" s="1" t="s">
        <v>29400</v>
      </c>
      <c r="BS1660" s="1">
        <v>14</v>
      </c>
      <c r="BT1660" s="1"/>
      <c r="BU1660" s="1" t="str">
        <f>HYPERLINK("https://nconnect.nicmar.ac.in/storage/profile/ProfilePhoto_p2270248_269371.jpg","Download")</f>
        <v>0</v>
      </c>
      <c r="BV1660" s="3"/>
      <c r="BW1660" s="3"/>
    </row>
    <row r="1661" spans="1:75">
      <c r="A1661" s="1" t="s">
        <v>75</v>
      </c>
      <c r="B1661" s="1" t="s">
        <v>25236</v>
      </c>
      <c r="C1661" s="1" t="s">
        <v>29401</v>
      </c>
      <c r="D1661" s="1" t="s">
        <v>27793</v>
      </c>
      <c r="E1661" s="1" t="s">
        <v>115</v>
      </c>
      <c r="F1661" s="1" t="s">
        <v>398</v>
      </c>
      <c r="G1661" s="1" t="s">
        <v>29402</v>
      </c>
      <c r="H1661" s="1" t="s">
        <v>29403</v>
      </c>
      <c r="I1661" s="1" t="s">
        <v>29404</v>
      </c>
      <c r="J1661" s="1">
        <v>8080799912</v>
      </c>
      <c r="K1661" s="1" t="s">
        <v>84</v>
      </c>
      <c r="L1661" s="1" t="s">
        <v>29405</v>
      </c>
      <c r="M1661" s="1" t="s">
        <v>86</v>
      </c>
      <c r="N1661" s="1" t="s">
        <v>618</v>
      </c>
      <c r="O1661" s="1" t="s">
        <v>29406</v>
      </c>
      <c r="P1661" s="1" t="s">
        <v>1028</v>
      </c>
      <c r="Q1661" s="1" t="s">
        <v>29407</v>
      </c>
      <c r="R1661" s="1" t="s">
        <v>115</v>
      </c>
      <c r="S1661" s="1">
        <v>9967323904</v>
      </c>
      <c r="T1661" s="1" t="s">
        <v>125</v>
      </c>
      <c r="U1661" s="1" t="s">
        <v>7299</v>
      </c>
      <c r="V1661" s="1">
        <v>9137935454</v>
      </c>
      <c r="W1661" s="1" t="s">
        <v>161</v>
      </c>
      <c r="X1661" s="1" t="s">
        <v>29408</v>
      </c>
      <c r="Y1661" s="1" t="s">
        <v>1012</v>
      </c>
      <c r="Z1661" s="1" t="s">
        <v>97</v>
      </c>
      <c r="AA1661" s="1" t="s">
        <v>29408</v>
      </c>
      <c r="AB1661" s="1" t="s">
        <v>1012</v>
      </c>
      <c r="AC1661" s="1" t="s">
        <v>97</v>
      </c>
      <c r="AD1661" s="1" t="s">
        <v>98</v>
      </c>
      <c r="AE1661" s="1" t="s">
        <v>98</v>
      </c>
      <c r="AF1661" s="1" t="s">
        <v>29409</v>
      </c>
      <c r="AG1661" s="1" t="s">
        <v>996</v>
      </c>
      <c r="AH1661" s="1" t="s">
        <v>29410</v>
      </c>
      <c r="AI1661" s="1" t="s">
        <v>799</v>
      </c>
      <c r="AJ1661" s="1">
        <v>86.91</v>
      </c>
      <c r="AK1661" s="1">
        <v>0</v>
      </c>
      <c r="AL1661" s="1" t="s">
        <v>29411</v>
      </c>
      <c r="AM1661" s="1" t="s">
        <v>996</v>
      </c>
      <c r="AN1661" s="1"/>
      <c r="AO1661" s="1" t="s">
        <v>12936</v>
      </c>
      <c r="AP1661" s="1" t="s">
        <v>12326</v>
      </c>
      <c r="AQ1661" s="1">
        <v>73.67</v>
      </c>
      <c r="AR1661" s="1">
        <v>0</v>
      </c>
      <c r="AS1661" s="1"/>
      <c r="AT1661" s="1"/>
      <c r="AU1661" s="1"/>
      <c r="AV1661" s="1"/>
      <c r="AW1661" s="1"/>
      <c r="AX1661" s="1"/>
      <c r="AY1661" s="1" t="s">
        <v>29412</v>
      </c>
      <c r="AZ1661" s="1" t="s">
        <v>258</v>
      </c>
      <c r="BA1661" s="1"/>
      <c r="BB1661" s="1"/>
      <c r="BC1661" s="1" t="s">
        <v>254</v>
      </c>
      <c r="BD1661" s="1" t="s">
        <v>139</v>
      </c>
      <c r="BE1661" s="1">
        <v>67.64</v>
      </c>
      <c r="BF1661" s="1">
        <v>7.52</v>
      </c>
      <c r="BG1661" s="1"/>
      <c r="BH1661" s="1"/>
      <c r="BI1661" s="1"/>
      <c r="BJ1661" s="1"/>
      <c r="BK1661" s="1"/>
      <c r="BL1661" s="1"/>
      <c r="BM1661" s="1"/>
      <c r="BN1661" s="1"/>
      <c r="BO1661" s="1" t="s">
        <v>29413</v>
      </c>
      <c r="BP1661" s="1" t="s">
        <v>29414</v>
      </c>
      <c r="BQ1661" s="1" t="s">
        <v>29415</v>
      </c>
      <c r="BR1661" s="1" t="s">
        <v>29416</v>
      </c>
      <c r="BS1661" s="1">
        <v>50</v>
      </c>
      <c r="BT1661" s="1"/>
      <c r="BU1661" s="1" t="str">
        <f>HYPERLINK("https://nconnect.nicmar.ac.in/storage/profile/ProfilePhoto_p2270249_753821.jpg","Download")</f>
        <v>0</v>
      </c>
      <c r="BV1661" s="3"/>
      <c r="BW1661" s="3"/>
    </row>
    <row r="1662" spans="1:75">
      <c r="A1662" s="1" t="s">
        <v>75</v>
      </c>
      <c r="B1662" s="1" t="s">
        <v>25236</v>
      </c>
      <c r="C1662" s="1" t="s">
        <v>29417</v>
      </c>
      <c r="D1662" s="1" t="s">
        <v>29418</v>
      </c>
      <c r="E1662" s="1"/>
      <c r="F1662" s="1" t="s">
        <v>29419</v>
      </c>
      <c r="G1662" s="1" t="s">
        <v>29420</v>
      </c>
      <c r="H1662" s="1" t="s">
        <v>29421</v>
      </c>
      <c r="I1662" s="1" t="s">
        <v>29422</v>
      </c>
      <c r="J1662" s="1">
        <v>9030645554</v>
      </c>
      <c r="K1662" s="1" t="s">
        <v>84</v>
      </c>
      <c r="L1662" s="1" t="s">
        <v>29423</v>
      </c>
      <c r="M1662" s="1" t="s">
        <v>86</v>
      </c>
      <c r="N1662" s="1" t="s">
        <v>4840</v>
      </c>
      <c r="O1662" s="1" t="s">
        <v>29424</v>
      </c>
      <c r="P1662" s="1" t="s">
        <v>455</v>
      </c>
      <c r="Q1662" s="1" t="s">
        <v>29425</v>
      </c>
      <c r="R1662" s="1" t="s">
        <v>29426</v>
      </c>
      <c r="S1662" s="1">
        <v>9959996069</v>
      </c>
      <c r="T1662" s="1" t="s">
        <v>839</v>
      </c>
      <c r="U1662" s="1" t="s">
        <v>29427</v>
      </c>
      <c r="V1662" s="1">
        <v>9959996079</v>
      </c>
      <c r="W1662" s="1" t="s">
        <v>541</v>
      </c>
      <c r="X1662" s="1" t="s">
        <v>29428</v>
      </c>
      <c r="Y1662" s="1" t="s">
        <v>3031</v>
      </c>
      <c r="Z1662" s="1" t="s">
        <v>461</v>
      </c>
      <c r="AA1662" s="1" t="s">
        <v>29428</v>
      </c>
      <c r="AB1662" s="1" t="s">
        <v>3031</v>
      </c>
      <c r="AC1662" s="1" t="s">
        <v>461</v>
      </c>
      <c r="AD1662" s="1" t="s">
        <v>98</v>
      </c>
      <c r="AE1662" s="1" t="s">
        <v>98</v>
      </c>
      <c r="AF1662" s="1" t="s">
        <v>29429</v>
      </c>
      <c r="AG1662" s="1" t="s">
        <v>2634</v>
      </c>
      <c r="AH1662" s="1" t="s">
        <v>1214</v>
      </c>
      <c r="AI1662" s="1" t="s">
        <v>1110</v>
      </c>
      <c r="AJ1662" s="1">
        <v>93</v>
      </c>
      <c r="AK1662" s="1">
        <v>9.3</v>
      </c>
      <c r="AL1662" s="1" t="s">
        <v>29430</v>
      </c>
      <c r="AM1662" s="1" t="s">
        <v>2634</v>
      </c>
      <c r="AN1662" s="1"/>
      <c r="AO1662" s="1" t="s">
        <v>1396</v>
      </c>
      <c r="AP1662" s="1" t="s">
        <v>704</v>
      </c>
      <c r="AQ1662" s="1">
        <v>90</v>
      </c>
      <c r="AR1662" s="1"/>
      <c r="AS1662" s="1"/>
      <c r="AT1662" s="1"/>
      <c r="AU1662" s="1"/>
      <c r="AV1662" s="1"/>
      <c r="AW1662" s="1"/>
      <c r="AX1662" s="1"/>
      <c r="AY1662" s="1" t="s">
        <v>1823</v>
      </c>
      <c r="AZ1662" s="1" t="s">
        <v>29431</v>
      </c>
      <c r="BA1662" s="1"/>
      <c r="BB1662" s="1"/>
      <c r="BC1662" s="1" t="s">
        <v>170</v>
      </c>
      <c r="BD1662" s="1" t="s">
        <v>549</v>
      </c>
      <c r="BE1662" s="1">
        <v>75.4</v>
      </c>
      <c r="BF1662" s="1">
        <v>8.04</v>
      </c>
      <c r="BG1662" s="1"/>
      <c r="BH1662" s="1"/>
      <c r="BI1662" s="1"/>
      <c r="BJ1662" s="1"/>
      <c r="BK1662" s="1"/>
      <c r="BL1662" s="1"/>
      <c r="BM1662" s="1"/>
      <c r="BN1662" s="1"/>
      <c r="BO1662" s="1" t="s">
        <v>29432</v>
      </c>
      <c r="BP1662" s="1" t="s">
        <v>29433</v>
      </c>
      <c r="BQ1662" s="1" t="s">
        <v>658</v>
      </c>
      <c r="BR1662" s="1" t="s">
        <v>29434</v>
      </c>
      <c r="BS1662" s="1">
        <v>11</v>
      </c>
      <c r="BT1662" s="1"/>
      <c r="BU1662" s="1" t="str">
        <f>HYPERLINK("https://nconnect.nicmar.ac.in/storage/profile/ProfilePhoto_p2270251_528639.jpg","Download")</f>
        <v>0</v>
      </c>
      <c r="BV1662" s="3"/>
      <c r="BW1662" s="3"/>
    </row>
    <row r="1663" spans="1:75">
      <c r="A1663" s="1" t="s">
        <v>75</v>
      </c>
      <c r="B1663" s="1" t="s">
        <v>25236</v>
      </c>
      <c r="C1663" s="1" t="s">
        <v>29435</v>
      </c>
      <c r="D1663" s="1" t="s">
        <v>29436</v>
      </c>
      <c r="E1663" s="1"/>
      <c r="F1663" s="1" t="s">
        <v>20298</v>
      </c>
      <c r="G1663" s="1" t="s">
        <v>29437</v>
      </c>
      <c r="H1663" s="1" t="s">
        <v>29438</v>
      </c>
      <c r="I1663" s="1" t="s">
        <v>29439</v>
      </c>
      <c r="J1663" s="1">
        <v>7000010608</v>
      </c>
      <c r="K1663" s="1" t="s">
        <v>84</v>
      </c>
      <c r="L1663" s="1" t="s">
        <v>29440</v>
      </c>
      <c r="M1663" s="1" t="s">
        <v>86</v>
      </c>
      <c r="N1663" s="1" t="s">
        <v>1101</v>
      </c>
      <c r="O1663" s="1" t="s">
        <v>29441</v>
      </c>
      <c r="P1663" s="1" t="s">
        <v>2062</v>
      </c>
      <c r="Q1663" s="1" t="s">
        <v>29442</v>
      </c>
      <c r="R1663" s="1" t="s">
        <v>29443</v>
      </c>
      <c r="S1663" s="1">
        <v>9893099210</v>
      </c>
      <c r="T1663" s="1" t="s">
        <v>4486</v>
      </c>
      <c r="U1663" s="1" t="s">
        <v>29444</v>
      </c>
      <c r="V1663" s="1">
        <v>8319078916</v>
      </c>
      <c r="W1663" s="1" t="s">
        <v>278</v>
      </c>
      <c r="X1663" s="1" t="s">
        <v>29445</v>
      </c>
      <c r="Y1663" s="1" t="s">
        <v>7949</v>
      </c>
      <c r="Z1663" s="1" t="s">
        <v>3419</v>
      </c>
      <c r="AA1663" s="1" t="s">
        <v>29445</v>
      </c>
      <c r="AB1663" s="1" t="s">
        <v>7949</v>
      </c>
      <c r="AC1663" s="1" t="s">
        <v>3419</v>
      </c>
      <c r="AD1663" s="1" t="s">
        <v>98</v>
      </c>
      <c r="AE1663" s="1" t="s">
        <v>98</v>
      </c>
      <c r="AF1663" s="1" t="s">
        <v>29446</v>
      </c>
      <c r="AG1663" s="1" t="s">
        <v>29447</v>
      </c>
      <c r="AH1663" s="1" t="s">
        <v>3421</v>
      </c>
      <c r="AI1663" s="1" t="s">
        <v>1262</v>
      </c>
      <c r="AJ1663" s="1">
        <v>74.1</v>
      </c>
      <c r="AK1663" s="1">
        <v>7.8</v>
      </c>
      <c r="AL1663" s="1" t="s">
        <v>29448</v>
      </c>
      <c r="AM1663" s="1" t="s">
        <v>312</v>
      </c>
      <c r="AN1663" s="1"/>
      <c r="AO1663" s="1" t="s">
        <v>105</v>
      </c>
      <c r="AP1663" s="1" t="s">
        <v>139</v>
      </c>
      <c r="AQ1663" s="1">
        <v>71.4</v>
      </c>
      <c r="AR1663" s="1"/>
      <c r="AS1663" s="1"/>
      <c r="AT1663" s="1"/>
      <c r="AU1663" s="1"/>
      <c r="AV1663" s="1"/>
      <c r="AW1663" s="1"/>
      <c r="AX1663" s="1"/>
      <c r="AY1663" s="1" t="s">
        <v>29449</v>
      </c>
      <c r="AZ1663" s="1" t="s">
        <v>29450</v>
      </c>
      <c r="BA1663" s="1"/>
      <c r="BB1663" s="1"/>
      <c r="BC1663" s="1" t="s">
        <v>1396</v>
      </c>
      <c r="BD1663" s="1" t="s">
        <v>890</v>
      </c>
      <c r="BE1663" s="1">
        <v>62</v>
      </c>
      <c r="BF1663" s="1">
        <v>6.2</v>
      </c>
      <c r="BG1663" s="1"/>
      <c r="BH1663" s="1"/>
      <c r="BI1663" s="1"/>
      <c r="BJ1663" s="1"/>
      <c r="BK1663" s="1"/>
      <c r="BL1663" s="1"/>
      <c r="BM1663" s="1"/>
      <c r="BN1663" s="1"/>
      <c r="BO1663" s="1" t="s">
        <v>16194</v>
      </c>
      <c r="BP1663" s="1"/>
      <c r="BQ1663" s="1"/>
      <c r="BR1663" s="1" t="s">
        <v>29451</v>
      </c>
      <c r="BS1663" s="1">
        <v>11</v>
      </c>
      <c r="BT1663" s="1"/>
      <c r="BU1663" s="1" t="str">
        <f>HYPERLINK("https://nconnect.nicmar.ac.in/storage/profile/ProfilePhoto_p2270252_485136.jpg","Download")</f>
        <v>0</v>
      </c>
      <c r="BV1663" s="3"/>
      <c r="BW1663" s="3"/>
    </row>
    <row r="1664" spans="1:75">
      <c r="A1664" s="1" t="s">
        <v>75</v>
      </c>
      <c r="B1664" s="1" t="s">
        <v>25236</v>
      </c>
      <c r="C1664" s="1" t="s">
        <v>29452</v>
      </c>
      <c r="D1664" s="1" t="s">
        <v>29453</v>
      </c>
      <c r="E1664" s="1" t="s">
        <v>29454</v>
      </c>
      <c r="F1664" s="1" t="s">
        <v>29455</v>
      </c>
      <c r="G1664" s="1" t="s">
        <v>29456</v>
      </c>
      <c r="H1664" s="1" t="s">
        <v>29457</v>
      </c>
      <c r="I1664" s="1" t="s">
        <v>29458</v>
      </c>
      <c r="J1664" s="1">
        <v>9497463638</v>
      </c>
      <c r="K1664" s="1" t="s">
        <v>84</v>
      </c>
      <c r="L1664" s="1" t="s">
        <v>29459</v>
      </c>
      <c r="M1664" s="1" t="s">
        <v>86</v>
      </c>
      <c r="N1664" s="1" t="s">
        <v>9483</v>
      </c>
      <c r="O1664" s="1" t="s">
        <v>29460</v>
      </c>
      <c r="P1664" s="1" t="s">
        <v>507</v>
      </c>
      <c r="Q1664" s="1" t="s">
        <v>29461</v>
      </c>
      <c r="R1664" s="1" t="s">
        <v>29462</v>
      </c>
      <c r="S1664" s="1">
        <v>9447975638</v>
      </c>
      <c r="T1664" s="1" t="s">
        <v>3461</v>
      </c>
      <c r="U1664" s="1" t="s">
        <v>29463</v>
      </c>
      <c r="V1664" s="1">
        <v>8281298638</v>
      </c>
      <c r="W1664" s="1" t="s">
        <v>541</v>
      </c>
      <c r="X1664" s="1" t="s">
        <v>29464</v>
      </c>
      <c r="Y1664" s="1" t="s">
        <v>1283</v>
      </c>
      <c r="Z1664" s="1" t="s">
        <v>130</v>
      </c>
      <c r="AA1664" s="1" t="s">
        <v>29464</v>
      </c>
      <c r="AB1664" s="1" t="s">
        <v>1283</v>
      </c>
      <c r="AC1664" s="1" t="s">
        <v>130</v>
      </c>
      <c r="AD1664" s="1" t="s">
        <v>98</v>
      </c>
      <c r="AE1664" s="1" t="s">
        <v>98</v>
      </c>
      <c r="AF1664" s="1" t="s">
        <v>29465</v>
      </c>
      <c r="AG1664" s="1" t="s">
        <v>29466</v>
      </c>
      <c r="AH1664" s="1" t="s">
        <v>101</v>
      </c>
      <c r="AI1664" s="1" t="s">
        <v>136</v>
      </c>
      <c r="AJ1664" s="1">
        <v>86.3</v>
      </c>
      <c r="AK1664" s="1"/>
      <c r="AL1664" s="1" t="s">
        <v>29467</v>
      </c>
      <c r="AM1664" s="1" t="s">
        <v>29466</v>
      </c>
      <c r="AN1664" s="1"/>
      <c r="AO1664" s="1" t="s">
        <v>342</v>
      </c>
      <c r="AP1664" s="1" t="s">
        <v>573</v>
      </c>
      <c r="AQ1664" s="1">
        <v>87.5</v>
      </c>
      <c r="AR1664" s="1"/>
      <c r="AS1664" s="1"/>
      <c r="AT1664" s="1"/>
      <c r="AU1664" s="1"/>
      <c r="AV1664" s="1"/>
      <c r="AW1664" s="1"/>
      <c r="AX1664" s="1"/>
      <c r="AY1664" s="1" t="s">
        <v>604</v>
      </c>
      <c r="AZ1664" s="1" t="s">
        <v>29468</v>
      </c>
      <c r="BA1664" s="1"/>
      <c r="BB1664" s="1"/>
      <c r="BC1664" s="1" t="s">
        <v>388</v>
      </c>
      <c r="BD1664" s="1" t="s">
        <v>549</v>
      </c>
      <c r="BE1664" s="1">
        <v>71.4</v>
      </c>
      <c r="BF1664" s="1">
        <v>7.14</v>
      </c>
      <c r="BG1664" s="1"/>
      <c r="BH1664" s="1"/>
      <c r="BI1664" s="1"/>
      <c r="BJ1664" s="1"/>
      <c r="BK1664" s="1"/>
      <c r="BL1664" s="1"/>
      <c r="BM1664" s="1"/>
      <c r="BN1664" s="1"/>
      <c r="BO1664" s="1" t="s">
        <v>29469</v>
      </c>
      <c r="BP1664" s="1"/>
      <c r="BQ1664" s="1"/>
      <c r="BR1664" s="1" t="s">
        <v>29470</v>
      </c>
      <c r="BS1664" s="1">
        <v>7</v>
      </c>
      <c r="BT1664" s="1"/>
      <c r="BU1664" s="1" t="str">
        <f>HYPERLINK("https://nconnect.nicmar.ac.in/storage/profile/ProfilePhoto_p2270253_365487.jpg","Download")</f>
        <v>0</v>
      </c>
      <c r="BV1664" s="3"/>
      <c r="BW1664" s="3"/>
    </row>
    <row r="1665" spans="1:75">
      <c r="A1665" s="1" t="s">
        <v>75</v>
      </c>
      <c r="B1665" s="1" t="s">
        <v>25236</v>
      </c>
      <c r="C1665" s="1" t="s">
        <v>29471</v>
      </c>
      <c r="D1665" s="1" t="s">
        <v>5540</v>
      </c>
      <c r="E1665" s="1" t="s">
        <v>1853</v>
      </c>
      <c r="F1665" s="1" t="s">
        <v>29472</v>
      </c>
      <c r="G1665" s="1" t="s">
        <v>29473</v>
      </c>
      <c r="H1665" s="1" t="s">
        <v>29474</v>
      </c>
      <c r="I1665" s="1" t="s">
        <v>29475</v>
      </c>
      <c r="J1665" s="1">
        <v>8660712494</v>
      </c>
      <c r="K1665" s="1" t="s">
        <v>84</v>
      </c>
      <c r="L1665" s="1" t="s">
        <v>29476</v>
      </c>
      <c r="M1665" s="1" t="s">
        <v>86</v>
      </c>
      <c r="N1665" s="1" t="s">
        <v>3980</v>
      </c>
      <c r="O1665" s="1" t="s">
        <v>29477</v>
      </c>
      <c r="P1665" s="1" t="s">
        <v>507</v>
      </c>
      <c r="Q1665" s="1" t="s">
        <v>29478</v>
      </c>
      <c r="R1665" s="1" t="s">
        <v>29479</v>
      </c>
      <c r="S1665" s="1">
        <v>9448136607</v>
      </c>
      <c r="T1665" s="1" t="s">
        <v>1552</v>
      </c>
      <c r="U1665" s="1" t="s">
        <v>6299</v>
      </c>
      <c r="V1665" s="1">
        <v>9449036607</v>
      </c>
      <c r="W1665" s="1" t="s">
        <v>278</v>
      </c>
      <c r="X1665" s="1" t="s">
        <v>29480</v>
      </c>
      <c r="Y1665" s="1" t="s">
        <v>3985</v>
      </c>
      <c r="Z1665" s="1" t="s">
        <v>1210</v>
      </c>
      <c r="AA1665" s="1" t="s">
        <v>29480</v>
      </c>
      <c r="AB1665" s="1" t="s">
        <v>3985</v>
      </c>
      <c r="AC1665" s="1" t="s">
        <v>1210</v>
      </c>
      <c r="AD1665" s="1" t="s">
        <v>98</v>
      </c>
      <c r="AE1665" s="1" t="s">
        <v>98</v>
      </c>
      <c r="AF1665" s="1" t="s">
        <v>29481</v>
      </c>
      <c r="AG1665" s="1" t="s">
        <v>29482</v>
      </c>
      <c r="AH1665" s="1" t="s">
        <v>1583</v>
      </c>
      <c r="AI1665" s="1" t="s">
        <v>1214</v>
      </c>
      <c r="AJ1665" s="1">
        <v>68.64</v>
      </c>
      <c r="AK1665" s="1">
        <v>0</v>
      </c>
      <c r="AL1665" s="1" t="s">
        <v>29483</v>
      </c>
      <c r="AM1665" s="1" t="s">
        <v>29482</v>
      </c>
      <c r="AN1665" s="1"/>
      <c r="AO1665" s="1" t="s">
        <v>166</v>
      </c>
      <c r="AP1665" s="1" t="s">
        <v>1396</v>
      </c>
      <c r="AQ1665" s="1">
        <v>54.16</v>
      </c>
      <c r="AR1665" s="1">
        <v>0</v>
      </c>
      <c r="AS1665" s="1"/>
      <c r="AT1665" s="1"/>
      <c r="AU1665" s="1"/>
      <c r="AV1665" s="1"/>
      <c r="AW1665" s="1"/>
      <c r="AX1665" s="1"/>
      <c r="AY1665" s="1" t="s">
        <v>8132</v>
      </c>
      <c r="AZ1665" s="1" t="s">
        <v>29484</v>
      </c>
      <c r="BA1665" s="1"/>
      <c r="BB1665" s="1"/>
      <c r="BC1665" s="1" t="s">
        <v>167</v>
      </c>
      <c r="BD1665" s="1" t="s">
        <v>847</v>
      </c>
      <c r="BE1665" s="1">
        <v>67.2</v>
      </c>
      <c r="BF1665" s="1">
        <v>7.47</v>
      </c>
      <c r="BG1665" s="1"/>
      <c r="BH1665" s="1"/>
      <c r="BI1665" s="1"/>
      <c r="BJ1665" s="1"/>
      <c r="BK1665" s="1"/>
      <c r="BL1665" s="1"/>
      <c r="BM1665" s="1"/>
      <c r="BN1665" s="1"/>
      <c r="BO1665" s="1" t="s">
        <v>1114</v>
      </c>
      <c r="BP1665" s="1"/>
      <c r="BQ1665" s="1"/>
      <c r="BR1665" s="1" t="s">
        <v>29485</v>
      </c>
      <c r="BS1665" s="1">
        <v>36</v>
      </c>
      <c r="BT1665" s="1"/>
      <c r="BU1665" s="1" t="str">
        <f>HYPERLINK("https://nconnect.nicmar.ac.in/storage/profile/ProfilePhoto_p2270254_982357.jpg","Download")</f>
        <v>0</v>
      </c>
      <c r="BV1665" s="3"/>
      <c r="BW1665" s="3"/>
    </row>
    <row r="1666" spans="1:75">
      <c r="A1666" s="1" t="s">
        <v>75</v>
      </c>
      <c r="B1666" s="1" t="s">
        <v>25236</v>
      </c>
      <c r="C1666" s="1" t="s">
        <v>29486</v>
      </c>
      <c r="D1666" s="1" t="s">
        <v>29487</v>
      </c>
      <c r="E1666" s="1"/>
      <c r="F1666" s="1" t="s">
        <v>9202</v>
      </c>
      <c r="G1666" s="1" t="s">
        <v>29488</v>
      </c>
      <c r="H1666" s="1" t="s">
        <v>29489</v>
      </c>
      <c r="I1666" s="1" t="s">
        <v>29490</v>
      </c>
      <c r="J1666" s="1">
        <v>7249327790</v>
      </c>
      <c r="K1666" s="1" t="s">
        <v>84</v>
      </c>
      <c r="L1666" s="1" t="s">
        <v>29459</v>
      </c>
      <c r="M1666" s="1" t="s">
        <v>86</v>
      </c>
      <c r="N1666" s="1" t="s">
        <v>618</v>
      </c>
      <c r="O1666" s="1"/>
      <c r="P1666" s="1"/>
      <c r="Q1666" s="1" t="s">
        <v>29491</v>
      </c>
      <c r="R1666" s="1" t="s">
        <v>29492</v>
      </c>
      <c r="S1666" s="1">
        <v>9422892781</v>
      </c>
      <c r="T1666" s="1" t="s">
        <v>839</v>
      </c>
      <c r="U1666" s="1" t="s">
        <v>29493</v>
      </c>
      <c r="V1666" s="1">
        <v>9422959199</v>
      </c>
      <c r="W1666" s="1" t="s">
        <v>278</v>
      </c>
      <c r="X1666" s="1" t="s">
        <v>29494</v>
      </c>
      <c r="Y1666" s="1" t="s">
        <v>5083</v>
      </c>
      <c r="Z1666" s="1" t="s">
        <v>97</v>
      </c>
      <c r="AA1666" s="1" t="s">
        <v>29494</v>
      </c>
      <c r="AB1666" s="1" t="s">
        <v>5083</v>
      </c>
      <c r="AC1666" s="1" t="s">
        <v>97</v>
      </c>
      <c r="AD1666" s="1" t="s">
        <v>98</v>
      </c>
      <c r="AE1666" s="1" t="s">
        <v>98</v>
      </c>
      <c r="AF1666" s="1" t="s">
        <v>29495</v>
      </c>
      <c r="AG1666" s="1" t="s">
        <v>29496</v>
      </c>
      <c r="AH1666" s="1" t="s">
        <v>135</v>
      </c>
      <c r="AI1666" s="1" t="s">
        <v>102</v>
      </c>
      <c r="AJ1666" s="1">
        <v>63.8</v>
      </c>
      <c r="AK1666" s="1"/>
      <c r="AL1666" s="1" t="s">
        <v>29497</v>
      </c>
      <c r="AM1666" s="1" t="s">
        <v>29496</v>
      </c>
      <c r="AN1666" s="1"/>
      <c r="AO1666" s="1" t="s">
        <v>167</v>
      </c>
      <c r="AP1666" s="1" t="s">
        <v>200</v>
      </c>
      <c r="AQ1666" s="1">
        <v>59.08</v>
      </c>
      <c r="AR1666" s="1"/>
      <c r="AS1666" s="1"/>
      <c r="AT1666" s="1"/>
      <c r="AU1666" s="1"/>
      <c r="AV1666" s="1"/>
      <c r="AW1666" s="1"/>
      <c r="AX1666" s="1"/>
      <c r="AY1666" s="1" t="s">
        <v>29498</v>
      </c>
      <c r="AZ1666" s="1" t="s">
        <v>29499</v>
      </c>
      <c r="BA1666" s="1"/>
      <c r="BB1666" s="1"/>
      <c r="BC1666" s="1" t="s">
        <v>230</v>
      </c>
      <c r="BD1666" s="1" t="s">
        <v>1400</v>
      </c>
      <c r="BE1666" s="1">
        <v>79.71</v>
      </c>
      <c r="BF1666" s="1">
        <v>8.39</v>
      </c>
      <c r="BG1666" s="1"/>
      <c r="BH1666" s="1"/>
      <c r="BI1666" s="1"/>
      <c r="BJ1666" s="1"/>
      <c r="BK1666" s="1"/>
      <c r="BL1666" s="1"/>
      <c r="BM1666" s="1"/>
      <c r="BN1666" s="1"/>
      <c r="BO1666" s="1" t="s">
        <v>1114</v>
      </c>
      <c r="BP1666" s="1"/>
      <c r="BQ1666" s="1"/>
      <c r="BR1666" s="1" t="s">
        <v>29500</v>
      </c>
      <c r="BS1666" s="1">
        <v>7</v>
      </c>
      <c r="BT1666" s="1"/>
      <c r="BU1666" s="1" t="str">
        <f>HYPERLINK("https://nconnect.nicmar.ac.in/storage/profile/ProfilePhoto_p2270255_936542.jpg","Download")</f>
        <v>0</v>
      </c>
      <c r="BV1666" s="3"/>
      <c r="BW1666" s="3"/>
    </row>
    <row r="1667" spans="1:75">
      <c r="A1667" s="1" t="s">
        <v>75</v>
      </c>
      <c r="B1667" s="1" t="s">
        <v>25236</v>
      </c>
      <c r="C1667" s="1" t="s">
        <v>29501</v>
      </c>
      <c r="D1667" s="1" t="s">
        <v>1295</v>
      </c>
      <c r="E1667" s="1"/>
      <c r="F1667" s="1" t="s">
        <v>29502</v>
      </c>
      <c r="G1667" s="1" t="s">
        <v>29503</v>
      </c>
      <c r="H1667" s="1" t="s">
        <v>29504</v>
      </c>
      <c r="I1667" s="1" t="s">
        <v>29505</v>
      </c>
      <c r="J1667" s="1">
        <v>8939409878</v>
      </c>
      <c r="K1667" s="1" t="s">
        <v>153</v>
      </c>
      <c r="L1667" s="1" t="s">
        <v>26698</v>
      </c>
      <c r="M1667" s="1" t="s">
        <v>86</v>
      </c>
      <c r="N1667" s="1" t="s">
        <v>29506</v>
      </c>
      <c r="O1667" s="1" t="s">
        <v>29507</v>
      </c>
      <c r="P1667" s="1" t="s">
        <v>481</v>
      </c>
      <c r="Q1667" s="1" t="s">
        <v>29508</v>
      </c>
      <c r="R1667" s="1" t="s">
        <v>29509</v>
      </c>
      <c r="S1667" s="1">
        <v>9840943075</v>
      </c>
      <c r="T1667" s="1" t="s">
        <v>29510</v>
      </c>
      <c r="U1667" s="1" t="s">
        <v>29511</v>
      </c>
      <c r="V1667" s="1">
        <v>9840943075</v>
      </c>
      <c r="W1667" s="1" t="s">
        <v>541</v>
      </c>
      <c r="X1667" s="1" t="s">
        <v>29512</v>
      </c>
      <c r="Y1667" s="1" t="s">
        <v>1498</v>
      </c>
      <c r="Z1667" s="1" t="s">
        <v>570</v>
      </c>
      <c r="AA1667" s="1" t="s">
        <v>29512</v>
      </c>
      <c r="AB1667" s="1" t="s">
        <v>1498</v>
      </c>
      <c r="AC1667" s="1" t="s">
        <v>570</v>
      </c>
      <c r="AD1667" s="1" t="s">
        <v>98</v>
      </c>
      <c r="AE1667" s="1" t="s">
        <v>98</v>
      </c>
      <c r="AF1667" s="1" t="s">
        <v>29513</v>
      </c>
      <c r="AG1667" s="1" t="s">
        <v>29514</v>
      </c>
      <c r="AH1667" s="1" t="s">
        <v>166</v>
      </c>
      <c r="AI1667" s="1" t="s">
        <v>627</v>
      </c>
      <c r="AJ1667" s="1">
        <v>91.2</v>
      </c>
      <c r="AK1667" s="1">
        <v>9.6</v>
      </c>
      <c r="AL1667" s="1" t="s">
        <v>29513</v>
      </c>
      <c r="AM1667" s="1" t="s">
        <v>29514</v>
      </c>
      <c r="AN1667" s="1"/>
      <c r="AO1667" s="1" t="s">
        <v>704</v>
      </c>
      <c r="AP1667" s="1" t="s">
        <v>171</v>
      </c>
      <c r="AQ1667" s="1">
        <v>71</v>
      </c>
      <c r="AR1667" s="1">
        <v>0</v>
      </c>
      <c r="AS1667" s="1"/>
      <c r="AT1667" s="1"/>
      <c r="AU1667" s="1"/>
      <c r="AV1667" s="1"/>
      <c r="AW1667" s="1"/>
      <c r="AX1667" s="1"/>
      <c r="AY1667" s="1" t="s">
        <v>29515</v>
      </c>
      <c r="AZ1667" s="1" t="s">
        <v>29516</v>
      </c>
      <c r="BA1667" s="1"/>
      <c r="BB1667" s="1"/>
      <c r="BC1667" s="1" t="s">
        <v>1065</v>
      </c>
      <c r="BD1667" s="1" t="s">
        <v>1400</v>
      </c>
      <c r="BE1667" s="1">
        <v>84</v>
      </c>
      <c r="BF1667" s="1">
        <v>8.7</v>
      </c>
      <c r="BG1667" s="1"/>
      <c r="BH1667" s="1"/>
      <c r="BI1667" s="1"/>
      <c r="BJ1667" s="1"/>
      <c r="BK1667" s="1"/>
      <c r="BL1667" s="1"/>
      <c r="BM1667" s="1"/>
      <c r="BN1667" s="1"/>
      <c r="BO1667" s="1" t="s">
        <v>29517</v>
      </c>
      <c r="BP1667" s="1"/>
      <c r="BQ1667" s="1"/>
      <c r="BR1667" s="1" t="s">
        <v>29518</v>
      </c>
      <c r="BS1667" s="1">
        <v>13</v>
      </c>
      <c r="BT1667" s="1"/>
      <c r="BU1667" s="1" t="str">
        <f>HYPERLINK("https://nconnect.nicmar.ac.in/storage/profile/ProfilePhoto_p2270256_418769.jpg","Download")</f>
        <v>0</v>
      </c>
      <c r="BV1667" s="3"/>
      <c r="BW1667" s="3"/>
    </row>
    <row r="1668" spans="1:75">
      <c r="A1668" s="1" t="s">
        <v>75</v>
      </c>
      <c r="B1668" s="1" t="s">
        <v>25236</v>
      </c>
      <c r="C1668" s="1" t="s">
        <v>29519</v>
      </c>
      <c r="D1668" s="1" t="s">
        <v>2097</v>
      </c>
      <c r="E1668" s="1"/>
      <c r="F1668" s="1" t="s">
        <v>29520</v>
      </c>
      <c r="G1668" s="1" t="s">
        <v>29521</v>
      </c>
      <c r="H1668" s="1" t="s">
        <v>29522</v>
      </c>
      <c r="I1668" s="1" t="s">
        <v>29523</v>
      </c>
      <c r="J1668" s="1">
        <v>8473093618</v>
      </c>
      <c r="K1668" s="1" t="s">
        <v>84</v>
      </c>
      <c r="L1668" s="1" t="s">
        <v>29524</v>
      </c>
      <c r="M1668" s="1" t="s">
        <v>86</v>
      </c>
      <c r="N1668" s="1" t="s">
        <v>5098</v>
      </c>
      <c r="O1668" s="1" t="s">
        <v>29525</v>
      </c>
      <c r="P1668" s="1" t="s">
        <v>455</v>
      </c>
      <c r="Q1668" s="1" t="s">
        <v>29526</v>
      </c>
      <c r="R1668" s="1" t="s">
        <v>29527</v>
      </c>
      <c r="S1668" s="1">
        <v>9435141240</v>
      </c>
      <c r="T1668" s="1" t="s">
        <v>29528</v>
      </c>
      <c r="U1668" s="1" t="s">
        <v>29529</v>
      </c>
      <c r="V1668" s="1">
        <v>9957352187</v>
      </c>
      <c r="W1668" s="1" t="s">
        <v>29530</v>
      </c>
      <c r="X1668" s="1" t="s">
        <v>29531</v>
      </c>
      <c r="Y1668" s="1" t="s">
        <v>1555</v>
      </c>
      <c r="Z1668" s="1" t="s">
        <v>1556</v>
      </c>
      <c r="AA1668" s="1" t="s">
        <v>29532</v>
      </c>
      <c r="AB1668" s="1" t="s">
        <v>196</v>
      </c>
      <c r="AC1668" s="1" t="s">
        <v>97</v>
      </c>
      <c r="AD1668" s="1" t="s">
        <v>98</v>
      </c>
      <c r="AE1668" s="1" t="s">
        <v>98</v>
      </c>
      <c r="AF1668" s="1" t="s">
        <v>25883</v>
      </c>
      <c r="AG1668" s="1" t="s">
        <v>29533</v>
      </c>
      <c r="AH1668" s="1" t="s">
        <v>1214</v>
      </c>
      <c r="AI1668" s="1" t="s">
        <v>136</v>
      </c>
      <c r="AJ1668" s="1">
        <v>93.1</v>
      </c>
      <c r="AK1668" s="1">
        <v>9.8</v>
      </c>
      <c r="AL1668" s="1" t="s">
        <v>25883</v>
      </c>
      <c r="AM1668" s="1" t="s">
        <v>29533</v>
      </c>
      <c r="AN1668" s="1"/>
      <c r="AO1668" s="1" t="s">
        <v>284</v>
      </c>
      <c r="AP1668" s="1" t="s">
        <v>573</v>
      </c>
      <c r="AQ1668" s="1">
        <v>85</v>
      </c>
      <c r="AR1668" s="1">
        <v>0</v>
      </c>
      <c r="AS1668" s="1"/>
      <c r="AT1668" s="1"/>
      <c r="AU1668" s="1"/>
      <c r="AV1668" s="1"/>
      <c r="AW1668" s="1"/>
      <c r="AX1668" s="1"/>
      <c r="AY1668" s="1" t="s">
        <v>1722</v>
      </c>
      <c r="AZ1668" s="1" t="s">
        <v>29534</v>
      </c>
      <c r="BA1668" s="1"/>
      <c r="BB1668" s="1"/>
      <c r="BC1668" s="1" t="s">
        <v>230</v>
      </c>
      <c r="BD1668" s="1" t="s">
        <v>441</v>
      </c>
      <c r="BE1668" s="1">
        <v>75.39</v>
      </c>
      <c r="BF1668" s="1">
        <v>0</v>
      </c>
      <c r="BG1668" s="1"/>
      <c r="BH1668" s="1"/>
      <c r="BI1668" s="1"/>
      <c r="BJ1668" s="1"/>
      <c r="BK1668" s="1"/>
      <c r="BL1668" s="1"/>
      <c r="BM1668" s="1"/>
      <c r="BN1668" s="1"/>
      <c r="BO1668" s="1" t="s">
        <v>29535</v>
      </c>
      <c r="BP1668" s="1"/>
      <c r="BQ1668" s="1"/>
      <c r="BR1668" s="1" t="s">
        <v>29536</v>
      </c>
      <c r="BS1668" s="1">
        <v>19</v>
      </c>
      <c r="BT1668" s="1"/>
      <c r="BU1668" s="1" t="str">
        <f>HYPERLINK("https://nconnect.nicmar.ac.in/storage/profile/ProfilePhoto_p2270257_397814.jpg","Download")</f>
        <v>0</v>
      </c>
      <c r="BV1668" s="3"/>
      <c r="BW1668" s="3"/>
    </row>
    <row r="1669" spans="1:75">
      <c r="A1669" s="1" t="s">
        <v>75</v>
      </c>
      <c r="B1669" s="1" t="s">
        <v>25236</v>
      </c>
      <c r="C1669" s="1" t="s">
        <v>29537</v>
      </c>
      <c r="D1669" s="1" t="s">
        <v>2405</v>
      </c>
      <c r="E1669" s="1" t="s">
        <v>29538</v>
      </c>
      <c r="F1669" s="1" t="s">
        <v>29539</v>
      </c>
      <c r="G1669" s="1" t="s">
        <v>29540</v>
      </c>
      <c r="H1669" s="1" t="s">
        <v>29541</v>
      </c>
      <c r="I1669" s="1" t="s">
        <v>29542</v>
      </c>
      <c r="J1669" s="1">
        <v>9076214668</v>
      </c>
      <c r="K1669" s="1" t="s">
        <v>84</v>
      </c>
      <c r="L1669" s="1" t="s">
        <v>29543</v>
      </c>
      <c r="M1669" s="1" t="s">
        <v>86</v>
      </c>
      <c r="N1669" s="1" t="s">
        <v>3500</v>
      </c>
      <c r="O1669" s="1" t="s">
        <v>29544</v>
      </c>
      <c r="P1669" s="1" t="s">
        <v>481</v>
      </c>
      <c r="Q1669" s="1" t="s">
        <v>29545</v>
      </c>
      <c r="R1669" s="1" t="s">
        <v>29538</v>
      </c>
      <c r="S1669" s="1">
        <v>9867835712</v>
      </c>
      <c r="T1669" s="1" t="s">
        <v>29546</v>
      </c>
      <c r="U1669" s="1" t="s">
        <v>29547</v>
      </c>
      <c r="V1669" s="1">
        <v>9757076866</v>
      </c>
      <c r="W1669" s="1" t="s">
        <v>161</v>
      </c>
      <c r="X1669" s="1" t="s">
        <v>29548</v>
      </c>
      <c r="Y1669" s="1" t="s">
        <v>1012</v>
      </c>
      <c r="Z1669" s="1" t="s">
        <v>97</v>
      </c>
      <c r="AA1669" s="1" t="s">
        <v>29548</v>
      </c>
      <c r="AB1669" s="1" t="s">
        <v>1012</v>
      </c>
      <c r="AC1669" s="1" t="s">
        <v>97</v>
      </c>
      <c r="AD1669" s="1" t="s">
        <v>98</v>
      </c>
      <c r="AE1669" s="1" t="s">
        <v>98</v>
      </c>
      <c r="AF1669" s="1" t="s">
        <v>29549</v>
      </c>
      <c r="AG1669" s="1" t="s">
        <v>29550</v>
      </c>
      <c r="AH1669" s="1" t="s">
        <v>10573</v>
      </c>
      <c r="AI1669" s="1" t="s">
        <v>4593</v>
      </c>
      <c r="AJ1669" s="1">
        <v>83.09</v>
      </c>
      <c r="AK1669" s="1"/>
      <c r="AL1669" s="1" t="s">
        <v>29551</v>
      </c>
      <c r="AM1669" s="1" t="s">
        <v>29550</v>
      </c>
      <c r="AN1669" s="1"/>
      <c r="AO1669" s="1" t="s">
        <v>3285</v>
      </c>
      <c r="AP1669" s="1" t="s">
        <v>2726</v>
      </c>
      <c r="AQ1669" s="1">
        <v>67.33</v>
      </c>
      <c r="AR1669" s="1"/>
      <c r="AS1669" s="1"/>
      <c r="AT1669" s="1"/>
      <c r="AU1669" s="1"/>
      <c r="AV1669" s="1"/>
      <c r="AW1669" s="1"/>
      <c r="AX1669" s="1"/>
      <c r="AY1669" s="1" t="s">
        <v>258</v>
      </c>
      <c r="AZ1669" s="1" t="s">
        <v>25903</v>
      </c>
      <c r="BA1669" s="1"/>
      <c r="BB1669" s="1"/>
      <c r="BC1669" s="1" t="s">
        <v>25321</v>
      </c>
      <c r="BD1669" s="1" t="s">
        <v>139</v>
      </c>
      <c r="BE1669" s="1">
        <v>55.45</v>
      </c>
      <c r="BF1669" s="1">
        <v>6.12</v>
      </c>
      <c r="BG1669" s="1"/>
      <c r="BH1669" s="1"/>
      <c r="BI1669" s="1"/>
      <c r="BJ1669" s="1"/>
      <c r="BK1669" s="1"/>
      <c r="BL1669" s="1"/>
      <c r="BM1669" s="1"/>
      <c r="BN1669" s="1"/>
      <c r="BO1669" s="1" t="s">
        <v>25516</v>
      </c>
      <c r="BP1669" s="1" t="s">
        <v>29552</v>
      </c>
      <c r="BQ1669" s="1" t="s">
        <v>29553</v>
      </c>
      <c r="BR1669" s="1" t="s">
        <v>29554</v>
      </c>
      <c r="BS1669" s="1">
        <v>7</v>
      </c>
      <c r="BT1669" s="1"/>
      <c r="BU1669" s="1" t="str">
        <f>HYPERLINK("https://nconnect.nicmar.ac.in/storage/profile/ProfilePhoto_p2270258_287963.jpg","Download")</f>
        <v>0</v>
      </c>
      <c r="BV1669" s="3"/>
      <c r="BW1669" s="3"/>
    </row>
    <row r="1670" spans="1:75">
      <c r="A1670" s="1" t="s">
        <v>75</v>
      </c>
      <c r="B1670" s="1" t="s">
        <v>25236</v>
      </c>
      <c r="C1670" s="1" t="s">
        <v>29555</v>
      </c>
      <c r="D1670" s="1" t="s">
        <v>612</v>
      </c>
      <c r="E1670" s="1" t="s">
        <v>6880</v>
      </c>
      <c r="F1670" s="1" t="s">
        <v>29556</v>
      </c>
      <c r="G1670" s="1" t="s">
        <v>29557</v>
      </c>
      <c r="H1670" s="1" t="s">
        <v>29558</v>
      </c>
      <c r="I1670" s="1" t="s">
        <v>29559</v>
      </c>
      <c r="J1670" s="1">
        <v>7756034213</v>
      </c>
      <c r="K1670" s="1" t="s">
        <v>84</v>
      </c>
      <c r="L1670" s="1" t="s">
        <v>29560</v>
      </c>
      <c r="M1670" s="1" t="s">
        <v>86</v>
      </c>
      <c r="N1670" s="1" t="s">
        <v>768</v>
      </c>
      <c r="O1670" s="1" t="s">
        <v>29561</v>
      </c>
      <c r="P1670" s="1" t="s">
        <v>670</v>
      </c>
      <c r="Q1670" s="1" t="s">
        <v>29562</v>
      </c>
      <c r="R1670" s="1" t="s">
        <v>29563</v>
      </c>
      <c r="S1670" s="1">
        <v>9423930413</v>
      </c>
      <c r="T1670" s="1" t="s">
        <v>29564</v>
      </c>
      <c r="U1670" s="1" t="s">
        <v>29565</v>
      </c>
      <c r="V1670" s="1">
        <v>9423630413</v>
      </c>
      <c r="W1670" s="1" t="s">
        <v>161</v>
      </c>
      <c r="X1670" s="1" t="s">
        <v>29566</v>
      </c>
      <c r="Y1670" s="1" t="s">
        <v>910</v>
      </c>
      <c r="Z1670" s="1" t="s">
        <v>97</v>
      </c>
      <c r="AA1670" s="1" t="s">
        <v>29567</v>
      </c>
      <c r="AB1670" s="1" t="s">
        <v>196</v>
      </c>
      <c r="AC1670" s="1" t="s">
        <v>97</v>
      </c>
      <c r="AD1670" s="1" t="s">
        <v>98</v>
      </c>
      <c r="AE1670" s="1" t="s">
        <v>98</v>
      </c>
      <c r="AF1670" s="1" t="s">
        <v>29568</v>
      </c>
      <c r="AG1670" s="1" t="s">
        <v>199</v>
      </c>
      <c r="AH1670" s="1" t="s">
        <v>101</v>
      </c>
      <c r="AI1670" s="1" t="s">
        <v>102</v>
      </c>
      <c r="AJ1670" s="1">
        <v>90.4</v>
      </c>
      <c r="AK1670" s="1">
        <v>0</v>
      </c>
      <c r="AL1670" s="1" t="s">
        <v>29569</v>
      </c>
      <c r="AM1670" s="1" t="s">
        <v>199</v>
      </c>
      <c r="AN1670" s="1"/>
      <c r="AO1670" s="1" t="s">
        <v>167</v>
      </c>
      <c r="AP1670" s="1" t="s">
        <v>518</v>
      </c>
      <c r="AQ1670" s="1">
        <v>82.15</v>
      </c>
      <c r="AR1670" s="1">
        <v>0</v>
      </c>
      <c r="AS1670" s="1"/>
      <c r="AT1670" s="1"/>
      <c r="AU1670" s="1"/>
      <c r="AV1670" s="1"/>
      <c r="AW1670" s="1"/>
      <c r="AX1670" s="1"/>
      <c r="AY1670" s="1" t="s">
        <v>4232</v>
      </c>
      <c r="AZ1670" s="1" t="s">
        <v>29570</v>
      </c>
      <c r="BA1670" s="1"/>
      <c r="BB1670" s="1"/>
      <c r="BC1670" s="1" t="s">
        <v>170</v>
      </c>
      <c r="BD1670" s="1" t="s">
        <v>2304</v>
      </c>
      <c r="BE1670" s="1">
        <v>78.4</v>
      </c>
      <c r="BF1670" s="1">
        <v>8.59</v>
      </c>
      <c r="BG1670" s="1"/>
      <c r="BH1670" s="1"/>
      <c r="BI1670" s="1"/>
      <c r="BJ1670" s="1"/>
      <c r="BK1670" s="1"/>
      <c r="BL1670" s="1"/>
      <c r="BM1670" s="1"/>
      <c r="BN1670" s="1"/>
      <c r="BO1670" s="1" t="s">
        <v>25848</v>
      </c>
      <c r="BP1670" s="1"/>
      <c r="BQ1670" s="1"/>
      <c r="BR1670" s="1" t="s">
        <v>29571</v>
      </c>
      <c r="BS1670" s="1">
        <v>24</v>
      </c>
      <c r="BT1670" s="1"/>
      <c r="BU1670" s="1" t="str">
        <f>HYPERLINK("https://nconnect.nicmar.ac.in/storage/profile/ProfilePhoto_p2270259_719864.jpg","Download")</f>
        <v>0</v>
      </c>
      <c r="BV1670" s="3"/>
      <c r="BW1670" s="3"/>
    </row>
    <row r="1671" spans="1:75">
      <c r="A1671" s="1" t="s">
        <v>75</v>
      </c>
      <c r="B1671" s="1" t="s">
        <v>25236</v>
      </c>
      <c r="C1671" s="1" t="s">
        <v>29572</v>
      </c>
      <c r="D1671" s="1" t="s">
        <v>29573</v>
      </c>
      <c r="E1671" s="1" t="s">
        <v>29574</v>
      </c>
      <c r="F1671" s="1" t="s">
        <v>19607</v>
      </c>
      <c r="G1671" s="1" t="s">
        <v>29575</v>
      </c>
      <c r="H1671" s="1" t="s">
        <v>29576</v>
      </c>
      <c r="I1671" s="1" t="s">
        <v>29577</v>
      </c>
      <c r="J1671" s="1">
        <v>8097540027</v>
      </c>
      <c r="K1671" s="1" t="s">
        <v>153</v>
      </c>
      <c r="L1671" s="1" t="s">
        <v>29578</v>
      </c>
      <c r="M1671" s="1" t="s">
        <v>86</v>
      </c>
      <c r="N1671" s="1" t="s">
        <v>6390</v>
      </c>
      <c r="O1671" s="1" t="s">
        <v>29579</v>
      </c>
      <c r="P1671" s="1" t="s">
        <v>481</v>
      </c>
      <c r="Q1671" s="1" t="s">
        <v>29580</v>
      </c>
      <c r="R1671" s="1" t="s">
        <v>29581</v>
      </c>
      <c r="S1671" s="1">
        <v>9920650520</v>
      </c>
      <c r="T1671" s="1" t="s">
        <v>2950</v>
      </c>
      <c r="U1671" s="1" t="s">
        <v>29582</v>
      </c>
      <c r="V1671" s="1">
        <v>9920615321</v>
      </c>
      <c r="W1671" s="1" t="s">
        <v>161</v>
      </c>
      <c r="X1671" s="1" t="s">
        <v>29583</v>
      </c>
      <c r="Y1671" s="1" t="s">
        <v>1012</v>
      </c>
      <c r="Z1671" s="1" t="s">
        <v>97</v>
      </c>
      <c r="AA1671" s="1" t="s">
        <v>29583</v>
      </c>
      <c r="AB1671" s="1" t="s">
        <v>1012</v>
      </c>
      <c r="AC1671" s="1" t="s">
        <v>97</v>
      </c>
      <c r="AD1671" s="1" t="s">
        <v>98</v>
      </c>
      <c r="AE1671" s="1" t="s">
        <v>98</v>
      </c>
      <c r="AF1671" s="1" t="s">
        <v>29584</v>
      </c>
      <c r="AG1671" s="1" t="s">
        <v>165</v>
      </c>
      <c r="AH1671" s="1" t="s">
        <v>133</v>
      </c>
      <c r="AI1671" s="1" t="s">
        <v>1457</v>
      </c>
      <c r="AJ1671" s="1">
        <v>92</v>
      </c>
      <c r="AK1671" s="1"/>
      <c r="AL1671" s="1" t="s">
        <v>29585</v>
      </c>
      <c r="AM1671" s="1" t="s">
        <v>165</v>
      </c>
      <c r="AN1671" s="1"/>
      <c r="AO1671" s="1" t="s">
        <v>1213</v>
      </c>
      <c r="AP1671" s="1" t="s">
        <v>11567</v>
      </c>
      <c r="AQ1671" s="1">
        <v>76.92</v>
      </c>
      <c r="AR1671" s="1"/>
      <c r="AS1671" s="1"/>
      <c r="AT1671" s="1"/>
      <c r="AU1671" s="1"/>
      <c r="AV1671" s="1"/>
      <c r="AW1671" s="1"/>
      <c r="AX1671" s="1"/>
      <c r="AY1671" s="1" t="s">
        <v>258</v>
      </c>
      <c r="AZ1671" s="1" t="s">
        <v>29586</v>
      </c>
      <c r="BA1671" s="1"/>
      <c r="BB1671" s="1"/>
      <c r="BC1671" s="1" t="s">
        <v>342</v>
      </c>
      <c r="BD1671" s="1" t="s">
        <v>1647</v>
      </c>
      <c r="BE1671" s="1">
        <v>71.94</v>
      </c>
      <c r="BF1671" s="1">
        <v>8.1</v>
      </c>
      <c r="BG1671" s="1"/>
      <c r="BH1671" s="1"/>
      <c r="BI1671" s="1"/>
      <c r="BJ1671" s="1"/>
      <c r="BK1671" s="1"/>
      <c r="BL1671" s="1"/>
      <c r="BM1671" s="1"/>
      <c r="BN1671" s="1"/>
      <c r="BO1671" s="1" t="s">
        <v>29587</v>
      </c>
      <c r="BP1671" s="1" t="s">
        <v>29588</v>
      </c>
      <c r="BQ1671" s="1" t="s">
        <v>2116</v>
      </c>
      <c r="BR1671" s="1" t="s">
        <v>29589</v>
      </c>
      <c r="BS1671" s="1">
        <v>28</v>
      </c>
      <c r="BT1671" s="1"/>
      <c r="BU1671" s="1" t="str">
        <f>HYPERLINK("https://nconnect.nicmar.ac.in/storage/profile/ProfilePhoto_p2270260_961835.jpg","Download")</f>
        <v>0</v>
      </c>
      <c r="BV1671" s="3"/>
      <c r="BW1671" s="3"/>
    </row>
    <row r="1672" spans="1:75">
      <c r="A1672" s="1" t="s">
        <v>75</v>
      </c>
      <c r="B1672" s="1" t="s">
        <v>25236</v>
      </c>
      <c r="C1672" s="1" t="s">
        <v>29590</v>
      </c>
      <c r="D1672" s="1" t="s">
        <v>25582</v>
      </c>
      <c r="E1672" s="1" t="s">
        <v>500</v>
      </c>
      <c r="F1672" s="1" t="s">
        <v>29591</v>
      </c>
      <c r="G1672" s="1" t="s">
        <v>29592</v>
      </c>
      <c r="H1672" s="1" t="s">
        <v>29593</v>
      </c>
      <c r="I1672" s="1" t="s">
        <v>29594</v>
      </c>
      <c r="J1672" s="1">
        <v>9373237699</v>
      </c>
      <c r="K1672" s="1" t="s">
        <v>84</v>
      </c>
      <c r="L1672" s="1" t="s">
        <v>3499</v>
      </c>
      <c r="M1672" s="1" t="s">
        <v>86</v>
      </c>
      <c r="N1672" s="1" t="s">
        <v>4972</v>
      </c>
      <c r="O1672" s="1" t="s">
        <v>29595</v>
      </c>
      <c r="P1672" s="1" t="s">
        <v>455</v>
      </c>
      <c r="Q1672" s="1" t="s">
        <v>29596</v>
      </c>
      <c r="R1672" s="1" t="s">
        <v>29597</v>
      </c>
      <c r="S1672" s="1">
        <v>9372237699</v>
      </c>
      <c r="T1672" s="1" t="s">
        <v>29598</v>
      </c>
      <c r="U1672" s="1" t="s">
        <v>29599</v>
      </c>
      <c r="V1672" s="1">
        <v>9422443398</v>
      </c>
      <c r="W1672" s="1" t="s">
        <v>541</v>
      </c>
      <c r="X1672" s="1" t="s">
        <v>29600</v>
      </c>
      <c r="Y1672" s="1" t="s">
        <v>410</v>
      </c>
      <c r="Z1672" s="1" t="s">
        <v>97</v>
      </c>
      <c r="AA1672" s="1" t="s">
        <v>29600</v>
      </c>
      <c r="AB1672" s="1" t="s">
        <v>410</v>
      </c>
      <c r="AC1672" s="1" t="s">
        <v>97</v>
      </c>
      <c r="AD1672" s="1" t="s">
        <v>98</v>
      </c>
      <c r="AE1672" s="1" t="s">
        <v>98</v>
      </c>
      <c r="AF1672" s="1" t="s">
        <v>1535</v>
      </c>
      <c r="AG1672" s="1" t="s">
        <v>29601</v>
      </c>
      <c r="AH1672" s="1" t="s">
        <v>166</v>
      </c>
      <c r="AI1672" s="1" t="s">
        <v>627</v>
      </c>
      <c r="AJ1672" s="1">
        <v>92.8</v>
      </c>
      <c r="AK1672" s="1">
        <v>10</v>
      </c>
      <c r="AL1672" s="1" t="s">
        <v>29602</v>
      </c>
      <c r="AM1672" s="1" t="s">
        <v>29603</v>
      </c>
      <c r="AN1672" s="1"/>
      <c r="AO1672" s="1" t="s">
        <v>388</v>
      </c>
      <c r="AP1672" s="1" t="s">
        <v>490</v>
      </c>
      <c r="AQ1672" s="1">
        <v>87.54</v>
      </c>
      <c r="AR1672" s="1">
        <v>0</v>
      </c>
      <c r="AS1672" s="1"/>
      <c r="AT1672" s="1"/>
      <c r="AU1672" s="1"/>
      <c r="AV1672" s="1"/>
      <c r="AW1672" s="1"/>
      <c r="AX1672" s="1"/>
      <c r="AY1672" s="1" t="s">
        <v>29604</v>
      </c>
      <c r="AZ1672" s="1" t="s">
        <v>29605</v>
      </c>
      <c r="BA1672" s="1"/>
      <c r="BB1672" s="1"/>
      <c r="BC1672" s="1" t="s">
        <v>174</v>
      </c>
      <c r="BD1672" s="1" t="s">
        <v>1400</v>
      </c>
      <c r="BE1672" s="1">
        <v>82.9</v>
      </c>
      <c r="BF1672" s="1">
        <v>9.04</v>
      </c>
      <c r="BG1672" s="1"/>
      <c r="BH1672" s="1"/>
      <c r="BI1672" s="1"/>
      <c r="BJ1672" s="1"/>
      <c r="BK1672" s="1"/>
      <c r="BL1672" s="1"/>
      <c r="BM1672" s="1"/>
      <c r="BN1672" s="1"/>
      <c r="BO1672" s="1" t="s">
        <v>25815</v>
      </c>
      <c r="BP1672" s="1"/>
      <c r="BQ1672" s="1"/>
      <c r="BR1672" s="1" t="s">
        <v>29606</v>
      </c>
      <c r="BS1672" s="1">
        <v>11</v>
      </c>
      <c r="BT1672" s="1"/>
      <c r="BU1672" s="1" t="str">
        <f>HYPERLINK("https://nconnect.nicmar.ac.in/storage/profile/ProfilePhoto_p2270261_126845.jpg","Download")</f>
        <v>0</v>
      </c>
      <c r="BV1672" s="3"/>
      <c r="BW1672" s="3"/>
    </row>
    <row r="1673" spans="1:75">
      <c r="A1673" s="1" t="s">
        <v>75</v>
      </c>
      <c r="B1673" s="1" t="s">
        <v>25236</v>
      </c>
      <c r="C1673" s="1" t="s">
        <v>29607</v>
      </c>
      <c r="D1673" s="1" t="s">
        <v>397</v>
      </c>
      <c r="E1673" s="1"/>
      <c r="F1673" s="1" t="s">
        <v>3998</v>
      </c>
      <c r="G1673" s="1" t="s">
        <v>29608</v>
      </c>
      <c r="H1673" s="1" t="s">
        <v>29609</v>
      </c>
      <c r="I1673" s="1" t="s">
        <v>29610</v>
      </c>
      <c r="J1673" s="1">
        <v>9597300669</v>
      </c>
      <c r="K1673" s="1" t="s">
        <v>84</v>
      </c>
      <c r="L1673" s="1" t="s">
        <v>29611</v>
      </c>
      <c r="M1673" s="1" t="s">
        <v>86</v>
      </c>
      <c r="N1673" s="1" t="s">
        <v>29612</v>
      </c>
      <c r="O1673" s="1" t="s">
        <v>29613</v>
      </c>
      <c r="P1673" s="1" t="s">
        <v>507</v>
      </c>
      <c r="Q1673" s="1" t="s">
        <v>29614</v>
      </c>
      <c r="R1673" s="1" t="s">
        <v>29615</v>
      </c>
      <c r="S1673" s="1">
        <v>9486506002</v>
      </c>
      <c r="T1673" s="1" t="s">
        <v>29616</v>
      </c>
      <c r="U1673" s="1" t="s">
        <v>29617</v>
      </c>
      <c r="V1673" s="1">
        <v>8608281922</v>
      </c>
      <c r="W1673" s="1" t="s">
        <v>127</v>
      </c>
      <c r="X1673" s="1" t="s">
        <v>29618</v>
      </c>
      <c r="Y1673" s="1" t="s">
        <v>4360</v>
      </c>
      <c r="Z1673" s="1" t="s">
        <v>570</v>
      </c>
      <c r="AA1673" s="1" t="s">
        <v>29618</v>
      </c>
      <c r="AB1673" s="1" t="s">
        <v>4360</v>
      </c>
      <c r="AC1673" s="1" t="s">
        <v>570</v>
      </c>
      <c r="AD1673" s="1" t="s">
        <v>98</v>
      </c>
      <c r="AE1673" s="1" t="s">
        <v>98</v>
      </c>
      <c r="AF1673" s="1" t="s">
        <v>29619</v>
      </c>
      <c r="AG1673" s="1" t="s">
        <v>29620</v>
      </c>
      <c r="AH1673" s="1" t="s">
        <v>101</v>
      </c>
      <c r="AI1673" s="1" t="s">
        <v>136</v>
      </c>
      <c r="AJ1673" s="1">
        <v>97</v>
      </c>
      <c r="AK1673" s="1"/>
      <c r="AL1673" s="1" t="s">
        <v>28162</v>
      </c>
      <c r="AM1673" s="1" t="s">
        <v>29620</v>
      </c>
      <c r="AN1673" s="1"/>
      <c r="AO1673" s="1" t="s">
        <v>167</v>
      </c>
      <c r="AP1673" s="1" t="s">
        <v>573</v>
      </c>
      <c r="AQ1673" s="1">
        <v>77.75</v>
      </c>
      <c r="AR1673" s="1"/>
      <c r="AS1673" s="1"/>
      <c r="AT1673" s="1"/>
      <c r="AU1673" s="1"/>
      <c r="AV1673" s="1"/>
      <c r="AW1673" s="1"/>
      <c r="AX1673" s="1"/>
      <c r="AY1673" s="1" t="s">
        <v>576</v>
      </c>
      <c r="AZ1673" s="1" t="s">
        <v>29621</v>
      </c>
      <c r="BA1673" s="1"/>
      <c r="BB1673" s="1"/>
      <c r="BC1673" s="1" t="s">
        <v>573</v>
      </c>
      <c r="BD1673" s="1" t="s">
        <v>847</v>
      </c>
      <c r="BE1673" s="1">
        <v>72.2</v>
      </c>
      <c r="BF1673" s="1">
        <v>7.22</v>
      </c>
      <c r="BG1673" s="1"/>
      <c r="BH1673" s="1"/>
      <c r="BI1673" s="1"/>
      <c r="BJ1673" s="1"/>
      <c r="BK1673" s="1"/>
      <c r="BL1673" s="1"/>
      <c r="BM1673" s="1"/>
      <c r="BN1673" s="1"/>
      <c r="BO1673" s="1" t="s">
        <v>29622</v>
      </c>
      <c r="BP1673" s="1"/>
      <c r="BQ1673" s="1"/>
      <c r="BR1673" s="1" t="s">
        <v>29623</v>
      </c>
      <c r="BS1673" s="1">
        <v>22</v>
      </c>
      <c r="BT1673" s="1"/>
      <c r="BU1673" s="1" t="str">
        <f>HYPERLINK("https://nconnect.nicmar.ac.in/storage/profile/ProfilePhoto_p2270262_284967.jpg","Download")</f>
        <v>0</v>
      </c>
      <c r="BV1673" s="3"/>
      <c r="BW1673" s="3"/>
    </row>
    <row r="1674" spans="1:75">
      <c r="A1674" s="1" t="s">
        <v>75</v>
      </c>
      <c r="B1674" s="1" t="s">
        <v>25236</v>
      </c>
      <c r="C1674" s="1" t="s">
        <v>29624</v>
      </c>
      <c r="D1674" s="1" t="s">
        <v>29625</v>
      </c>
      <c r="E1674" s="1"/>
      <c r="F1674" s="1" t="s">
        <v>9046</v>
      </c>
      <c r="G1674" s="1" t="s">
        <v>29626</v>
      </c>
      <c r="H1674" s="1" t="s">
        <v>29627</v>
      </c>
      <c r="I1674" s="1" t="s">
        <v>29628</v>
      </c>
      <c r="J1674" s="1">
        <v>9049295652</v>
      </c>
      <c r="K1674" s="1" t="s">
        <v>84</v>
      </c>
      <c r="L1674" s="1" t="s">
        <v>29629</v>
      </c>
      <c r="M1674" s="1" t="s">
        <v>86</v>
      </c>
      <c r="N1674" s="1" t="s">
        <v>8293</v>
      </c>
      <c r="O1674" s="1" t="s">
        <v>29630</v>
      </c>
      <c r="P1674" s="1" t="s">
        <v>507</v>
      </c>
      <c r="Q1674" s="1" t="s">
        <v>29631</v>
      </c>
      <c r="R1674" s="1" t="s">
        <v>29632</v>
      </c>
      <c r="S1674" s="1">
        <v>9826165385</v>
      </c>
      <c r="T1674" s="1" t="s">
        <v>926</v>
      </c>
      <c r="U1674" s="1" t="s">
        <v>29633</v>
      </c>
      <c r="V1674" s="1">
        <v>9617049836</v>
      </c>
      <c r="W1674" s="1" t="s">
        <v>2547</v>
      </c>
      <c r="X1674" s="1" t="s">
        <v>29634</v>
      </c>
      <c r="Y1674" s="1" t="s">
        <v>29635</v>
      </c>
      <c r="Z1674" s="1" t="s">
        <v>2933</v>
      </c>
      <c r="AA1674" s="1" t="s">
        <v>29634</v>
      </c>
      <c r="AB1674" s="1" t="s">
        <v>29635</v>
      </c>
      <c r="AC1674" s="1" t="s">
        <v>2933</v>
      </c>
      <c r="AD1674" s="1" t="s">
        <v>98</v>
      </c>
      <c r="AE1674" s="1" t="s">
        <v>98</v>
      </c>
      <c r="AF1674" s="1" t="s">
        <v>1624</v>
      </c>
      <c r="AG1674" s="1" t="s">
        <v>775</v>
      </c>
      <c r="AH1674" s="1" t="s">
        <v>3923</v>
      </c>
      <c r="AI1674" s="1" t="s">
        <v>3965</v>
      </c>
      <c r="AJ1674" s="1">
        <v>70.3</v>
      </c>
      <c r="AK1674" s="1">
        <v>7.4</v>
      </c>
      <c r="AL1674" s="1" t="s">
        <v>27918</v>
      </c>
      <c r="AM1674" s="1" t="s">
        <v>29636</v>
      </c>
      <c r="AN1674" s="1"/>
      <c r="AO1674" s="1" t="s">
        <v>3421</v>
      </c>
      <c r="AP1674" s="1" t="s">
        <v>515</v>
      </c>
      <c r="AQ1674" s="1">
        <v>67</v>
      </c>
      <c r="AR1674" s="1"/>
      <c r="AS1674" s="1"/>
      <c r="AT1674" s="1"/>
      <c r="AU1674" s="1"/>
      <c r="AV1674" s="1"/>
      <c r="AW1674" s="1"/>
      <c r="AX1674" s="1"/>
      <c r="AY1674" s="1" t="s">
        <v>4780</v>
      </c>
      <c r="AZ1674" s="1" t="s">
        <v>29637</v>
      </c>
      <c r="BA1674" s="1"/>
      <c r="BB1674" s="1"/>
      <c r="BC1674" s="1" t="s">
        <v>105</v>
      </c>
      <c r="BD1674" s="1" t="s">
        <v>1647</v>
      </c>
      <c r="BE1674" s="1">
        <v>53.8</v>
      </c>
      <c r="BF1674" s="1">
        <v>6.13</v>
      </c>
      <c r="BG1674" s="1"/>
      <c r="BH1674" s="1"/>
      <c r="BI1674" s="1"/>
      <c r="BJ1674" s="1"/>
      <c r="BK1674" s="1"/>
      <c r="BL1674" s="1"/>
      <c r="BM1674" s="1"/>
      <c r="BN1674" s="1"/>
      <c r="BO1674" s="1" t="s">
        <v>1114</v>
      </c>
      <c r="BP1674" s="1" t="s">
        <v>29638</v>
      </c>
      <c r="BQ1674" s="1" t="s">
        <v>1043</v>
      </c>
      <c r="BR1674" s="1" t="s">
        <v>29639</v>
      </c>
      <c r="BS1674" s="1">
        <v>64</v>
      </c>
      <c r="BT1674" s="1"/>
      <c r="BU1674" s="1" t="str">
        <f>HYPERLINK("https://nconnect.nicmar.ac.in/storage/profile/ProfilePhoto_p2270263_915372.jpg","Download")</f>
        <v>0</v>
      </c>
      <c r="BV1674" s="3"/>
      <c r="BW1674" s="3"/>
    </row>
    <row r="1675" spans="1:75">
      <c r="A1675" s="1" t="s">
        <v>75</v>
      </c>
      <c r="B1675" s="1" t="s">
        <v>25236</v>
      </c>
      <c r="C1675" s="1" t="s">
        <v>29640</v>
      </c>
      <c r="D1675" s="1" t="s">
        <v>29641</v>
      </c>
      <c r="E1675" s="1" t="s">
        <v>3512</v>
      </c>
      <c r="F1675" s="1" t="s">
        <v>2620</v>
      </c>
      <c r="G1675" s="1" t="s">
        <v>29642</v>
      </c>
      <c r="H1675" s="1" t="s">
        <v>29643</v>
      </c>
      <c r="I1675" s="1" t="s">
        <v>29644</v>
      </c>
      <c r="J1675" s="1">
        <v>9848502928</v>
      </c>
      <c r="K1675" s="1" t="s">
        <v>84</v>
      </c>
      <c r="L1675" s="1" t="s">
        <v>10833</v>
      </c>
      <c r="M1675" s="1" t="s">
        <v>86</v>
      </c>
      <c r="N1675" s="1" t="s">
        <v>1449</v>
      </c>
      <c r="O1675" s="1" t="s">
        <v>29645</v>
      </c>
      <c r="P1675" s="1" t="s">
        <v>507</v>
      </c>
      <c r="Q1675" s="1" t="s">
        <v>29646</v>
      </c>
      <c r="R1675" s="1" t="s">
        <v>29647</v>
      </c>
      <c r="S1675" s="1">
        <v>9490925809</v>
      </c>
      <c r="T1675" s="1" t="s">
        <v>839</v>
      </c>
      <c r="U1675" s="1" t="s">
        <v>29648</v>
      </c>
      <c r="V1675" s="1">
        <v>7989166943</v>
      </c>
      <c r="W1675" s="1" t="s">
        <v>94</v>
      </c>
      <c r="X1675" s="1" t="s">
        <v>29649</v>
      </c>
      <c r="Y1675" s="1" t="s">
        <v>3031</v>
      </c>
      <c r="Z1675" s="1" t="s">
        <v>461</v>
      </c>
      <c r="AA1675" s="1" t="s">
        <v>29649</v>
      </c>
      <c r="AB1675" s="1" t="s">
        <v>3031</v>
      </c>
      <c r="AC1675" s="1" t="s">
        <v>461</v>
      </c>
      <c r="AD1675" s="1" t="s">
        <v>98</v>
      </c>
      <c r="AE1675" s="1" t="s">
        <v>98</v>
      </c>
      <c r="AF1675" s="1" t="s">
        <v>29650</v>
      </c>
      <c r="AG1675" s="1" t="s">
        <v>29651</v>
      </c>
      <c r="AH1675" s="1" t="s">
        <v>166</v>
      </c>
      <c r="AI1675" s="1" t="s">
        <v>1111</v>
      </c>
      <c r="AJ1675" s="1">
        <v>88.35</v>
      </c>
      <c r="AK1675" s="1">
        <v>9.3</v>
      </c>
      <c r="AL1675" s="1" t="s">
        <v>3033</v>
      </c>
      <c r="AM1675" s="1" t="s">
        <v>29651</v>
      </c>
      <c r="AN1675" s="1"/>
      <c r="AO1675" s="1" t="s">
        <v>167</v>
      </c>
      <c r="AP1675" s="1" t="s">
        <v>286</v>
      </c>
      <c r="AQ1675" s="1">
        <v>88.4</v>
      </c>
      <c r="AR1675" s="1"/>
      <c r="AS1675" s="1"/>
      <c r="AT1675" s="1"/>
      <c r="AU1675" s="1"/>
      <c r="AV1675" s="1"/>
      <c r="AW1675" s="1"/>
      <c r="AX1675" s="1"/>
      <c r="AY1675" s="1" t="s">
        <v>1823</v>
      </c>
      <c r="AZ1675" s="1" t="s">
        <v>29652</v>
      </c>
      <c r="BA1675" s="1"/>
      <c r="BB1675" s="1"/>
      <c r="BC1675" s="1" t="s">
        <v>174</v>
      </c>
      <c r="BD1675" s="1" t="s">
        <v>632</v>
      </c>
      <c r="BE1675" s="1">
        <v>69.6</v>
      </c>
      <c r="BF1675" s="1">
        <v>7.46</v>
      </c>
      <c r="BG1675" s="1"/>
      <c r="BH1675" s="1"/>
      <c r="BI1675" s="1"/>
      <c r="BJ1675" s="1"/>
      <c r="BK1675" s="1"/>
      <c r="BL1675" s="1"/>
      <c r="BM1675" s="1"/>
      <c r="BN1675" s="1"/>
      <c r="BO1675" s="1" t="s">
        <v>29653</v>
      </c>
      <c r="BP1675" s="1"/>
      <c r="BQ1675" s="1"/>
      <c r="BR1675" s="1" t="s">
        <v>29654</v>
      </c>
      <c r="BS1675" s="1">
        <v>11</v>
      </c>
      <c r="BT1675" s="1"/>
      <c r="BU1675" s="1" t="str">
        <f>HYPERLINK("https://nconnect.nicmar.ac.in/storage/profile/ProfilePhoto_p2270264_875361.jpg","Download")</f>
        <v>0</v>
      </c>
      <c r="BV1675" s="3"/>
      <c r="BW1675" s="3"/>
    </row>
    <row r="1676" spans="1:75">
      <c r="A1676" s="1" t="s">
        <v>75</v>
      </c>
      <c r="B1676" s="1" t="s">
        <v>25236</v>
      </c>
      <c r="C1676" s="1" t="s">
        <v>29655</v>
      </c>
      <c r="D1676" s="1" t="s">
        <v>29656</v>
      </c>
      <c r="E1676" s="1" t="s">
        <v>6525</v>
      </c>
      <c r="F1676" s="1" t="s">
        <v>29657</v>
      </c>
      <c r="G1676" s="1" t="s">
        <v>29658</v>
      </c>
      <c r="H1676" s="1" t="s">
        <v>29659</v>
      </c>
      <c r="I1676" s="1" t="s">
        <v>29660</v>
      </c>
      <c r="J1676" s="1">
        <v>8329110273</v>
      </c>
      <c r="K1676" s="1" t="s">
        <v>84</v>
      </c>
      <c r="L1676" s="1" t="s">
        <v>29661</v>
      </c>
      <c r="M1676" s="1" t="s">
        <v>86</v>
      </c>
      <c r="N1676" s="1" t="s">
        <v>618</v>
      </c>
      <c r="O1676" s="1" t="s">
        <v>29662</v>
      </c>
      <c r="P1676" s="1" t="s">
        <v>455</v>
      </c>
      <c r="Q1676" s="1" t="s">
        <v>29663</v>
      </c>
      <c r="R1676" s="1" t="s">
        <v>29664</v>
      </c>
      <c r="S1676" s="1">
        <v>9822737782</v>
      </c>
      <c r="T1676" s="1" t="s">
        <v>8441</v>
      </c>
      <c r="U1676" s="1" t="s">
        <v>8325</v>
      </c>
      <c r="V1676" s="1">
        <v>9527178366</v>
      </c>
      <c r="W1676" s="1" t="s">
        <v>161</v>
      </c>
      <c r="X1676" s="1" t="s">
        <v>29665</v>
      </c>
      <c r="Y1676" s="1" t="s">
        <v>410</v>
      </c>
      <c r="Z1676" s="1" t="s">
        <v>97</v>
      </c>
      <c r="AA1676" s="1" t="s">
        <v>29665</v>
      </c>
      <c r="AB1676" s="1" t="s">
        <v>410</v>
      </c>
      <c r="AC1676" s="1" t="s">
        <v>97</v>
      </c>
      <c r="AD1676" s="1" t="s">
        <v>98</v>
      </c>
      <c r="AE1676" s="1" t="s">
        <v>98</v>
      </c>
      <c r="AF1676" s="1" t="s">
        <v>29666</v>
      </c>
      <c r="AG1676" s="1" t="s">
        <v>165</v>
      </c>
      <c r="AH1676" s="1" t="s">
        <v>1213</v>
      </c>
      <c r="AI1676" s="1" t="s">
        <v>515</v>
      </c>
      <c r="AJ1676" s="1">
        <v>84</v>
      </c>
      <c r="AK1676" s="1"/>
      <c r="AL1676" s="1" t="s">
        <v>29667</v>
      </c>
      <c r="AM1676" s="1" t="s">
        <v>165</v>
      </c>
      <c r="AN1676" s="1"/>
      <c r="AO1676" s="1" t="s">
        <v>166</v>
      </c>
      <c r="AP1676" s="1" t="s">
        <v>517</v>
      </c>
      <c r="AQ1676" s="1">
        <v>57</v>
      </c>
      <c r="AR1676" s="1"/>
      <c r="AS1676" s="1" t="s">
        <v>103</v>
      </c>
      <c r="AT1676" s="1" t="s">
        <v>29668</v>
      </c>
      <c r="AU1676" s="1" t="s">
        <v>170</v>
      </c>
      <c r="AV1676" s="1" t="s">
        <v>438</v>
      </c>
      <c r="AW1676" s="1">
        <v>73.33</v>
      </c>
      <c r="AX1676" s="1"/>
      <c r="AY1676" s="1" t="s">
        <v>997</v>
      </c>
      <c r="AZ1676" s="1" t="s">
        <v>29669</v>
      </c>
      <c r="BA1676" s="1"/>
      <c r="BB1676" s="1"/>
      <c r="BC1676" s="1" t="s">
        <v>206</v>
      </c>
      <c r="BD1676" s="1" t="s">
        <v>1400</v>
      </c>
      <c r="BE1676" s="1">
        <v>79.2</v>
      </c>
      <c r="BF1676" s="1">
        <v>8.67</v>
      </c>
      <c r="BG1676" s="1"/>
      <c r="BH1676" s="1"/>
      <c r="BI1676" s="1"/>
      <c r="BJ1676" s="1"/>
      <c r="BK1676" s="1"/>
      <c r="BL1676" s="1"/>
      <c r="BM1676" s="1"/>
      <c r="BN1676" s="1"/>
      <c r="BO1676" s="1" t="s">
        <v>1114</v>
      </c>
      <c r="BP1676" s="1"/>
      <c r="BQ1676" s="1"/>
      <c r="BR1676" s="1" t="s">
        <v>29670</v>
      </c>
      <c r="BS1676" s="1">
        <v>10</v>
      </c>
      <c r="BT1676" s="1"/>
      <c r="BU1676" s="1" t="str">
        <f>HYPERLINK("https://nconnect.nicmar.ac.in/storage/profile/ProfilePhoto_p2270265_432765.jpg","Download")</f>
        <v>0</v>
      </c>
      <c r="BV1676" s="3"/>
      <c r="BW1676" s="3"/>
    </row>
    <row r="1677" spans="1:75">
      <c r="A1677" s="1" t="s">
        <v>75</v>
      </c>
      <c r="B1677" s="1" t="s">
        <v>25236</v>
      </c>
      <c r="C1677" s="1" t="s">
        <v>29671</v>
      </c>
      <c r="D1677" s="1" t="s">
        <v>29672</v>
      </c>
      <c r="E1677" s="1"/>
      <c r="F1677" s="1" t="s">
        <v>7992</v>
      </c>
      <c r="G1677" s="1" t="s">
        <v>29673</v>
      </c>
      <c r="H1677" s="1" t="s">
        <v>29674</v>
      </c>
      <c r="I1677" s="1" t="s">
        <v>29675</v>
      </c>
      <c r="J1677" s="1">
        <v>7023509077</v>
      </c>
      <c r="K1677" s="1" t="s">
        <v>84</v>
      </c>
      <c r="L1677" s="1" t="s">
        <v>29676</v>
      </c>
      <c r="M1677" s="1" t="s">
        <v>86</v>
      </c>
      <c r="N1677" s="1" t="s">
        <v>355</v>
      </c>
      <c r="O1677" s="1" t="s">
        <v>29677</v>
      </c>
      <c r="P1677" s="1" t="s">
        <v>1028</v>
      </c>
      <c r="Q1677" s="1" t="s">
        <v>29678</v>
      </c>
      <c r="R1677" s="1" t="s">
        <v>29679</v>
      </c>
      <c r="S1677" s="1">
        <v>9414211077</v>
      </c>
      <c r="T1677" s="1" t="s">
        <v>926</v>
      </c>
      <c r="U1677" s="1" t="s">
        <v>29680</v>
      </c>
      <c r="V1677" s="1">
        <v>9414211088</v>
      </c>
      <c r="W1677" s="1" t="s">
        <v>161</v>
      </c>
      <c r="X1677" s="1" t="s">
        <v>29681</v>
      </c>
      <c r="Y1677" s="1" t="s">
        <v>29682</v>
      </c>
      <c r="Z1677" s="1" t="s">
        <v>2153</v>
      </c>
      <c r="AA1677" s="1" t="s">
        <v>29681</v>
      </c>
      <c r="AB1677" s="1" t="s">
        <v>29682</v>
      </c>
      <c r="AC1677" s="1" t="s">
        <v>2153</v>
      </c>
      <c r="AD1677" s="1" t="s">
        <v>98</v>
      </c>
      <c r="AE1677" s="1" t="s">
        <v>98</v>
      </c>
      <c r="AF1677" s="1" t="s">
        <v>29683</v>
      </c>
      <c r="AG1677" s="1" t="s">
        <v>29684</v>
      </c>
      <c r="AH1677" s="1" t="s">
        <v>1262</v>
      </c>
      <c r="AI1677" s="1" t="s">
        <v>136</v>
      </c>
      <c r="AJ1677" s="1">
        <v>79.8</v>
      </c>
      <c r="AK1677" s="1">
        <v>8.4</v>
      </c>
      <c r="AL1677" s="1" t="s">
        <v>29683</v>
      </c>
      <c r="AM1677" s="1" t="s">
        <v>29684</v>
      </c>
      <c r="AN1677" s="1"/>
      <c r="AO1677" s="1" t="s">
        <v>627</v>
      </c>
      <c r="AP1677" s="1" t="s">
        <v>573</v>
      </c>
      <c r="AQ1677" s="1">
        <v>62.8</v>
      </c>
      <c r="AR1677" s="1"/>
      <c r="AS1677" s="1"/>
      <c r="AT1677" s="1"/>
      <c r="AU1677" s="1"/>
      <c r="AV1677" s="1"/>
      <c r="AW1677" s="1"/>
      <c r="AX1677" s="1"/>
      <c r="AY1677" s="1" t="s">
        <v>28974</v>
      </c>
      <c r="AZ1677" s="1" t="s">
        <v>29685</v>
      </c>
      <c r="BA1677" s="1"/>
      <c r="BB1677" s="1"/>
      <c r="BC1677" s="1" t="s">
        <v>230</v>
      </c>
      <c r="BD1677" s="1" t="s">
        <v>871</v>
      </c>
      <c r="BE1677" s="1">
        <v>73.6</v>
      </c>
      <c r="BF1677" s="1">
        <v>8.11</v>
      </c>
      <c r="BG1677" s="1"/>
      <c r="BH1677" s="1"/>
      <c r="BI1677" s="1"/>
      <c r="BJ1677" s="1"/>
      <c r="BK1677" s="1"/>
      <c r="BL1677" s="1"/>
      <c r="BM1677" s="1"/>
      <c r="BN1677" s="1"/>
      <c r="BO1677" s="1" t="s">
        <v>29686</v>
      </c>
      <c r="BP1677" s="1"/>
      <c r="BQ1677" s="1"/>
      <c r="BR1677" s="1" t="s">
        <v>29687</v>
      </c>
      <c r="BS1677" s="1">
        <v>16</v>
      </c>
      <c r="BT1677" s="1"/>
      <c r="BU1677" s="1" t="str">
        <f>HYPERLINK("https://nconnect.nicmar.ac.in/storage/profile/ProfilePhoto_p2270266_819326.jpg","Download")</f>
        <v>0</v>
      </c>
      <c r="BV1677" s="3"/>
      <c r="BW1677" s="3"/>
    </row>
    <row r="1678" spans="1:75">
      <c r="A1678" s="1" t="s">
        <v>75</v>
      </c>
      <c r="B1678" s="1" t="s">
        <v>25236</v>
      </c>
      <c r="C1678" s="1" t="s">
        <v>29688</v>
      </c>
      <c r="D1678" s="1" t="s">
        <v>29689</v>
      </c>
      <c r="E1678" s="1"/>
      <c r="F1678" s="1" t="s">
        <v>29690</v>
      </c>
      <c r="G1678" s="1" t="s">
        <v>29691</v>
      </c>
      <c r="H1678" s="1" t="s">
        <v>29692</v>
      </c>
      <c r="I1678" s="1" t="s">
        <v>29693</v>
      </c>
      <c r="J1678" s="1">
        <v>8076012695</v>
      </c>
      <c r="K1678" s="1" t="s">
        <v>84</v>
      </c>
      <c r="L1678" s="1" t="s">
        <v>29694</v>
      </c>
      <c r="M1678" s="1" t="s">
        <v>86</v>
      </c>
      <c r="N1678" s="1" t="s">
        <v>4278</v>
      </c>
      <c r="O1678" s="1" t="s">
        <v>29695</v>
      </c>
      <c r="P1678" s="1" t="s">
        <v>481</v>
      </c>
      <c r="Q1678" s="1" t="s">
        <v>29696</v>
      </c>
      <c r="R1678" s="1" t="s">
        <v>29697</v>
      </c>
      <c r="S1678" s="1">
        <v>8285630729</v>
      </c>
      <c r="T1678" s="1" t="s">
        <v>98</v>
      </c>
      <c r="U1678" s="1" t="s">
        <v>29698</v>
      </c>
      <c r="V1678" s="1">
        <v>9871888318</v>
      </c>
      <c r="W1678" s="1" t="s">
        <v>596</v>
      </c>
      <c r="X1678" s="1" t="s">
        <v>29699</v>
      </c>
      <c r="Y1678" s="1" t="s">
        <v>3767</v>
      </c>
      <c r="Z1678" s="1" t="s">
        <v>544</v>
      </c>
      <c r="AA1678" s="1" t="s">
        <v>29699</v>
      </c>
      <c r="AB1678" s="1" t="s">
        <v>3767</v>
      </c>
      <c r="AC1678" s="1" t="s">
        <v>544</v>
      </c>
      <c r="AD1678" s="1" t="s">
        <v>98</v>
      </c>
      <c r="AE1678" s="1" t="s">
        <v>98</v>
      </c>
      <c r="AF1678" s="1" t="s">
        <v>29700</v>
      </c>
      <c r="AG1678" s="1" t="s">
        <v>29701</v>
      </c>
      <c r="AH1678" s="1" t="s">
        <v>254</v>
      </c>
      <c r="AI1678" s="1" t="s">
        <v>134</v>
      </c>
      <c r="AJ1678" s="1">
        <v>77.9</v>
      </c>
      <c r="AK1678" s="1">
        <v>8.2</v>
      </c>
      <c r="AL1678" s="1" t="s">
        <v>29702</v>
      </c>
      <c r="AM1678" s="1" t="s">
        <v>29701</v>
      </c>
      <c r="AN1678" s="1"/>
      <c r="AO1678" s="1" t="s">
        <v>135</v>
      </c>
      <c r="AP1678" s="1" t="s">
        <v>136</v>
      </c>
      <c r="AQ1678" s="1">
        <v>61.6</v>
      </c>
      <c r="AR1678" s="1"/>
      <c r="AS1678" s="1"/>
      <c r="AT1678" s="1"/>
      <c r="AU1678" s="1"/>
      <c r="AV1678" s="1"/>
      <c r="AW1678" s="1"/>
      <c r="AX1678" s="1"/>
      <c r="AY1678" s="1" t="s">
        <v>29703</v>
      </c>
      <c r="AZ1678" s="1" t="s">
        <v>29704</v>
      </c>
      <c r="BA1678" s="1"/>
      <c r="BB1678" s="1"/>
      <c r="BC1678" s="1" t="s">
        <v>342</v>
      </c>
      <c r="BD1678" s="1" t="s">
        <v>438</v>
      </c>
      <c r="BE1678" s="1">
        <v>69.44</v>
      </c>
      <c r="BF1678" s="1"/>
      <c r="BG1678" s="1"/>
      <c r="BH1678" s="1"/>
      <c r="BI1678" s="1"/>
      <c r="BJ1678" s="1"/>
      <c r="BK1678" s="1"/>
      <c r="BL1678" s="1"/>
      <c r="BM1678" s="1"/>
      <c r="BN1678" s="1"/>
      <c r="BO1678" s="1" t="s">
        <v>1114</v>
      </c>
      <c r="BP1678" s="1" t="s">
        <v>29705</v>
      </c>
      <c r="BQ1678" s="1" t="s">
        <v>4552</v>
      </c>
      <c r="BR1678" s="1" t="s">
        <v>29706</v>
      </c>
      <c r="BS1678" s="1">
        <v>13</v>
      </c>
      <c r="BT1678" s="1"/>
      <c r="BU1678" s="1" t="str">
        <f>HYPERLINK("https://nconnect.nicmar.ac.in/storage/profile/ProfilePhoto_p2270267_729658.jpg","Download")</f>
        <v>0</v>
      </c>
      <c r="BV1678" s="3"/>
      <c r="BW1678" s="3"/>
    </row>
    <row r="1679" spans="1:75">
      <c r="A1679" s="1" t="s">
        <v>75</v>
      </c>
      <c r="B1679" s="1" t="s">
        <v>25236</v>
      </c>
      <c r="C1679" s="1" t="s">
        <v>29707</v>
      </c>
      <c r="D1679" s="1" t="s">
        <v>1872</v>
      </c>
      <c r="E1679" s="1" t="s">
        <v>1294</v>
      </c>
      <c r="F1679" s="1" t="s">
        <v>3058</v>
      </c>
      <c r="G1679" s="1" t="s">
        <v>29708</v>
      </c>
      <c r="H1679" s="1" t="s">
        <v>29709</v>
      </c>
      <c r="I1679" s="1" t="s">
        <v>29710</v>
      </c>
      <c r="J1679" s="1">
        <v>7770096961</v>
      </c>
      <c r="K1679" s="1" t="s">
        <v>84</v>
      </c>
      <c r="L1679" s="1" t="s">
        <v>9876</v>
      </c>
      <c r="M1679" s="1" t="s">
        <v>86</v>
      </c>
      <c r="N1679" s="1" t="s">
        <v>618</v>
      </c>
      <c r="O1679" s="1" t="s">
        <v>29711</v>
      </c>
      <c r="P1679" s="1" t="s">
        <v>455</v>
      </c>
      <c r="Q1679" s="1" t="s">
        <v>29712</v>
      </c>
      <c r="R1679" s="1" t="s">
        <v>29713</v>
      </c>
      <c r="S1679" s="1">
        <v>9822530776</v>
      </c>
      <c r="T1679" s="1" t="s">
        <v>1577</v>
      </c>
      <c r="U1679" s="1" t="s">
        <v>29714</v>
      </c>
      <c r="V1679" s="1">
        <v>8329506460</v>
      </c>
      <c r="W1679" s="1" t="s">
        <v>94</v>
      </c>
      <c r="X1679" s="1" t="s">
        <v>29715</v>
      </c>
      <c r="Y1679" s="1" t="s">
        <v>196</v>
      </c>
      <c r="Z1679" s="1" t="s">
        <v>97</v>
      </c>
      <c r="AA1679" s="1" t="s">
        <v>29715</v>
      </c>
      <c r="AB1679" s="1" t="s">
        <v>196</v>
      </c>
      <c r="AC1679" s="1" t="s">
        <v>97</v>
      </c>
      <c r="AD1679" s="1" t="s">
        <v>98</v>
      </c>
      <c r="AE1679" s="1" t="s">
        <v>98</v>
      </c>
      <c r="AF1679" s="1" t="s">
        <v>29716</v>
      </c>
      <c r="AG1679" s="1" t="s">
        <v>165</v>
      </c>
      <c r="AH1679" s="1" t="s">
        <v>101</v>
      </c>
      <c r="AI1679" s="1" t="s">
        <v>102</v>
      </c>
      <c r="AJ1679" s="1">
        <v>94.8</v>
      </c>
      <c r="AK1679" s="1"/>
      <c r="AL1679" s="1" t="s">
        <v>29717</v>
      </c>
      <c r="AM1679" s="1" t="s">
        <v>165</v>
      </c>
      <c r="AN1679" s="1"/>
      <c r="AO1679" s="1" t="s">
        <v>167</v>
      </c>
      <c r="AP1679" s="1" t="s">
        <v>518</v>
      </c>
      <c r="AQ1679" s="1">
        <v>64.92</v>
      </c>
      <c r="AR1679" s="1"/>
      <c r="AS1679" s="1"/>
      <c r="AT1679" s="1"/>
      <c r="AU1679" s="1"/>
      <c r="AV1679" s="1"/>
      <c r="AW1679" s="1"/>
      <c r="AX1679" s="1"/>
      <c r="AY1679" s="1" t="s">
        <v>366</v>
      </c>
      <c r="AZ1679" s="1" t="s">
        <v>29718</v>
      </c>
      <c r="BA1679" s="1"/>
      <c r="BB1679" s="1"/>
      <c r="BC1679" s="1" t="s">
        <v>230</v>
      </c>
      <c r="BD1679" s="1" t="s">
        <v>549</v>
      </c>
      <c r="BE1679" s="1">
        <v>67.58</v>
      </c>
      <c r="BF1679" s="1">
        <v>7.68</v>
      </c>
      <c r="BG1679" s="1"/>
      <c r="BH1679" s="1"/>
      <c r="BI1679" s="1"/>
      <c r="BJ1679" s="1"/>
      <c r="BK1679" s="1"/>
      <c r="BL1679" s="1"/>
      <c r="BM1679" s="1"/>
      <c r="BN1679" s="1"/>
      <c r="BO1679" s="1" t="s">
        <v>29719</v>
      </c>
      <c r="BP1679" s="1"/>
      <c r="BQ1679" s="1"/>
      <c r="BR1679" s="1" t="s">
        <v>29720</v>
      </c>
      <c r="BS1679" s="1">
        <v>9</v>
      </c>
      <c r="BT1679" s="1"/>
      <c r="BU1679" s="1" t="str">
        <f>HYPERLINK("https://nconnect.nicmar.ac.in/storage/profile/ProfilePhoto_p2270269_398245.jpg","Download")</f>
        <v>0</v>
      </c>
      <c r="BV1679" s="3"/>
      <c r="BW1679" s="3"/>
    </row>
    <row r="1680" spans="1:75">
      <c r="A1680" s="1" t="s">
        <v>75</v>
      </c>
      <c r="B1680" s="1" t="s">
        <v>25236</v>
      </c>
      <c r="C1680" s="1" t="s">
        <v>29721</v>
      </c>
      <c r="D1680" s="1" t="s">
        <v>638</v>
      </c>
      <c r="E1680" s="1" t="s">
        <v>1320</v>
      </c>
      <c r="F1680" s="1" t="s">
        <v>28313</v>
      </c>
      <c r="G1680" s="1" t="s">
        <v>29722</v>
      </c>
      <c r="H1680" s="1" t="s">
        <v>29723</v>
      </c>
      <c r="I1680" s="1" t="s">
        <v>29724</v>
      </c>
      <c r="J1680" s="1">
        <v>7303806981</v>
      </c>
      <c r="K1680" s="1" t="s">
        <v>84</v>
      </c>
      <c r="L1680" s="1" t="s">
        <v>29725</v>
      </c>
      <c r="M1680" s="1" t="s">
        <v>86</v>
      </c>
      <c r="N1680" s="1" t="s">
        <v>87</v>
      </c>
      <c r="O1680" s="1" t="s">
        <v>29726</v>
      </c>
      <c r="P1680" s="1" t="s">
        <v>5904</v>
      </c>
      <c r="Q1680" s="1" t="s">
        <v>29727</v>
      </c>
      <c r="R1680" s="1" t="s">
        <v>29728</v>
      </c>
      <c r="S1680" s="1">
        <v>7303806981</v>
      </c>
      <c r="T1680" s="1" t="s">
        <v>1104</v>
      </c>
      <c r="U1680" s="1" t="s">
        <v>29729</v>
      </c>
      <c r="V1680" s="1">
        <v>7303806981</v>
      </c>
      <c r="W1680" s="1" t="s">
        <v>161</v>
      </c>
      <c r="X1680" s="1" t="s">
        <v>29730</v>
      </c>
      <c r="Y1680" s="1" t="s">
        <v>6489</v>
      </c>
      <c r="Z1680" s="1" t="s">
        <v>1739</v>
      </c>
      <c r="AA1680" s="1" t="s">
        <v>29730</v>
      </c>
      <c r="AB1680" s="1" t="s">
        <v>6489</v>
      </c>
      <c r="AC1680" s="1" t="s">
        <v>1739</v>
      </c>
      <c r="AD1680" s="1" t="s">
        <v>98</v>
      </c>
      <c r="AE1680" s="1" t="s">
        <v>98</v>
      </c>
      <c r="AF1680" s="1" t="s">
        <v>29731</v>
      </c>
      <c r="AG1680" s="1" t="s">
        <v>4862</v>
      </c>
      <c r="AH1680" s="1" t="s">
        <v>133</v>
      </c>
      <c r="AI1680" s="1" t="s">
        <v>134</v>
      </c>
      <c r="AJ1680" s="1">
        <v>62.7</v>
      </c>
      <c r="AK1680" s="1">
        <v>6.6</v>
      </c>
      <c r="AL1680" s="1" t="s">
        <v>29731</v>
      </c>
      <c r="AM1680" s="1" t="s">
        <v>4862</v>
      </c>
      <c r="AN1680" s="1"/>
      <c r="AO1680" s="1" t="s">
        <v>1262</v>
      </c>
      <c r="AP1680" s="1" t="s">
        <v>136</v>
      </c>
      <c r="AQ1680" s="1">
        <v>59.6</v>
      </c>
      <c r="AR1680" s="1"/>
      <c r="AS1680" s="1"/>
      <c r="AT1680" s="1"/>
      <c r="AU1680" s="1"/>
      <c r="AV1680" s="1"/>
      <c r="AW1680" s="1"/>
      <c r="AX1680" s="1"/>
      <c r="AY1680" s="1" t="s">
        <v>14921</v>
      </c>
      <c r="AZ1680" s="1" t="s">
        <v>29732</v>
      </c>
      <c r="BA1680" s="1"/>
      <c r="BB1680" s="1"/>
      <c r="BC1680" s="1" t="s">
        <v>342</v>
      </c>
      <c r="BD1680" s="1" t="s">
        <v>438</v>
      </c>
      <c r="BE1680" s="1">
        <v>74.36</v>
      </c>
      <c r="BF1680" s="1"/>
      <c r="BG1680" s="1"/>
      <c r="BH1680" s="1" t="s">
        <v>6026</v>
      </c>
      <c r="BI1680" s="1"/>
      <c r="BJ1680" s="1"/>
      <c r="BK1680" s="1" t="s">
        <v>110</v>
      </c>
      <c r="BL1680" s="1" t="s">
        <v>935</v>
      </c>
      <c r="BM1680" s="1">
        <v>0</v>
      </c>
      <c r="BN1680" s="1"/>
      <c r="BO1680" s="1" t="s">
        <v>28249</v>
      </c>
      <c r="BP1680" s="1"/>
      <c r="BQ1680" s="1"/>
      <c r="BR1680" s="1" t="s">
        <v>29733</v>
      </c>
      <c r="BS1680" s="1">
        <v>11</v>
      </c>
      <c r="BT1680" s="1"/>
      <c r="BU1680" s="1" t="str">
        <f>HYPERLINK("https://nconnect.nicmar.ac.in/storage/profile/ProfilePhoto_p2270270_298765.jpg","Download")</f>
        <v>0</v>
      </c>
      <c r="BV1680" s="3"/>
      <c r="BW1680" s="3"/>
    </row>
    <row r="1681" spans="1:75">
      <c r="A1681" s="1" t="s">
        <v>75</v>
      </c>
      <c r="B1681" s="1" t="s">
        <v>25236</v>
      </c>
      <c r="C1681" s="1" t="s">
        <v>29734</v>
      </c>
      <c r="D1681" s="1" t="s">
        <v>9031</v>
      </c>
      <c r="E1681" s="1" t="s">
        <v>5753</v>
      </c>
      <c r="F1681" s="1" t="s">
        <v>8326</v>
      </c>
      <c r="G1681" s="1" t="s">
        <v>29735</v>
      </c>
      <c r="H1681" s="1" t="s">
        <v>29736</v>
      </c>
      <c r="I1681" s="1" t="s">
        <v>29737</v>
      </c>
      <c r="J1681" s="1">
        <v>7769009264</v>
      </c>
      <c r="K1681" s="1" t="s">
        <v>84</v>
      </c>
      <c r="L1681" s="1" t="s">
        <v>27208</v>
      </c>
      <c r="M1681" s="1" t="s">
        <v>86</v>
      </c>
      <c r="N1681" s="1" t="s">
        <v>3568</v>
      </c>
      <c r="O1681" s="1" t="s">
        <v>29738</v>
      </c>
      <c r="P1681" s="1" t="s">
        <v>481</v>
      </c>
      <c r="Q1681" s="1" t="s">
        <v>29739</v>
      </c>
      <c r="R1681" s="1" t="s">
        <v>29740</v>
      </c>
      <c r="S1681" s="1">
        <v>9422276027</v>
      </c>
      <c r="T1681" s="1" t="s">
        <v>7098</v>
      </c>
      <c r="U1681" s="1" t="s">
        <v>29741</v>
      </c>
      <c r="V1681" s="1">
        <v>9421516322</v>
      </c>
      <c r="W1681" s="1" t="s">
        <v>7098</v>
      </c>
      <c r="X1681" s="1" t="s">
        <v>29742</v>
      </c>
      <c r="Y1681" s="1" t="s">
        <v>309</v>
      </c>
      <c r="Z1681" s="1" t="s">
        <v>97</v>
      </c>
      <c r="AA1681" s="1" t="s">
        <v>29742</v>
      </c>
      <c r="AB1681" s="1" t="s">
        <v>309</v>
      </c>
      <c r="AC1681" s="1" t="s">
        <v>97</v>
      </c>
      <c r="AD1681" s="1" t="s">
        <v>98</v>
      </c>
      <c r="AE1681" s="1" t="s">
        <v>98</v>
      </c>
      <c r="AF1681" s="1" t="s">
        <v>29743</v>
      </c>
      <c r="AG1681" s="1" t="s">
        <v>29744</v>
      </c>
      <c r="AH1681" s="1" t="s">
        <v>515</v>
      </c>
      <c r="AI1681" s="1" t="s">
        <v>1110</v>
      </c>
      <c r="AJ1681" s="1">
        <v>84.6</v>
      </c>
      <c r="AK1681" s="1"/>
      <c r="AL1681" s="1" t="s">
        <v>29745</v>
      </c>
      <c r="AM1681" s="1" t="s">
        <v>29744</v>
      </c>
      <c r="AN1681" s="1"/>
      <c r="AO1681" s="1" t="s">
        <v>1111</v>
      </c>
      <c r="AP1681" s="1" t="s">
        <v>704</v>
      </c>
      <c r="AQ1681" s="1">
        <v>72.77</v>
      </c>
      <c r="AR1681" s="1"/>
      <c r="AS1681" s="1"/>
      <c r="AT1681" s="1"/>
      <c r="AU1681" s="1"/>
      <c r="AV1681" s="1"/>
      <c r="AW1681" s="1"/>
      <c r="AX1681" s="1"/>
      <c r="AY1681" s="1" t="s">
        <v>366</v>
      </c>
      <c r="AZ1681" s="1" t="s">
        <v>29746</v>
      </c>
      <c r="BA1681" s="1"/>
      <c r="BB1681" s="1"/>
      <c r="BC1681" s="1" t="s">
        <v>230</v>
      </c>
      <c r="BD1681" s="1" t="s">
        <v>847</v>
      </c>
      <c r="BE1681" s="1">
        <v>70</v>
      </c>
      <c r="BF1681" s="1">
        <v>7.96</v>
      </c>
      <c r="BG1681" s="1"/>
      <c r="BH1681" s="1"/>
      <c r="BI1681" s="1"/>
      <c r="BJ1681" s="1"/>
      <c r="BK1681" s="1"/>
      <c r="BL1681" s="1"/>
      <c r="BM1681" s="1"/>
      <c r="BN1681" s="1"/>
      <c r="BO1681" s="1" t="s">
        <v>29747</v>
      </c>
      <c r="BP1681" s="1"/>
      <c r="BQ1681" s="1"/>
      <c r="BR1681" s="1" t="s">
        <v>29748</v>
      </c>
      <c r="BS1681" s="1">
        <v>12</v>
      </c>
      <c r="BT1681" s="1"/>
      <c r="BU1681" s="1" t="str">
        <f>HYPERLINK("https://nconnect.nicmar.ac.in/storage/profile/ProfilePhoto_p2270271_521387.jpg","Download")</f>
        <v>0</v>
      </c>
      <c r="BV1681" s="3"/>
      <c r="BW1681" s="3"/>
    </row>
    <row r="1682" spans="1:75">
      <c r="A1682" s="1" t="s">
        <v>75</v>
      </c>
      <c r="B1682" s="1" t="s">
        <v>25236</v>
      </c>
      <c r="C1682" s="1" t="s">
        <v>29749</v>
      </c>
      <c r="D1682" s="1" t="s">
        <v>12847</v>
      </c>
      <c r="E1682" s="1" t="s">
        <v>3042</v>
      </c>
      <c r="F1682" s="1" t="s">
        <v>12035</v>
      </c>
      <c r="G1682" s="1" t="s">
        <v>29750</v>
      </c>
      <c r="H1682" s="1" t="s">
        <v>29751</v>
      </c>
      <c r="I1682" s="1" t="s">
        <v>29752</v>
      </c>
      <c r="J1682" s="1">
        <v>7550173292</v>
      </c>
      <c r="K1682" s="1" t="s">
        <v>84</v>
      </c>
      <c r="L1682" s="1" t="s">
        <v>29753</v>
      </c>
      <c r="M1682" s="1" t="s">
        <v>86</v>
      </c>
      <c r="N1682" s="1" t="s">
        <v>2433</v>
      </c>
      <c r="O1682" s="1" t="s">
        <v>29754</v>
      </c>
      <c r="P1682" s="1" t="s">
        <v>507</v>
      </c>
      <c r="Q1682" s="1" t="s">
        <v>29755</v>
      </c>
      <c r="R1682" s="1" t="s">
        <v>29756</v>
      </c>
      <c r="S1682" s="1">
        <v>8007506446</v>
      </c>
      <c r="T1682" s="1" t="s">
        <v>98</v>
      </c>
      <c r="U1682" s="1" t="s">
        <v>2281</v>
      </c>
      <c r="V1682" s="1">
        <v>8007506446</v>
      </c>
      <c r="W1682" s="1" t="s">
        <v>2547</v>
      </c>
      <c r="X1682" s="1" t="s">
        <v>29757</v>
      </c>
      <c r="Y1682" s="1" t="s">
        <v>2259</v>
      </c>
      <c r="Z1682" s="1" t="s">
        <v>97</v>
      </c>
      <c r="AA1682" s="1" t="s">
        <v>29757</v>
      </c>
      <c r="AB1682" s="1" t="s">
        <v>2259</v>
      </c>
      <c r="AC1682" s="1" t="s">
        <v>97</v>
      </c>
      <c r="AD1682" s="1" t="s">
        <v>98</v>
      </c>
      <c r="AE1682" s="1" t="s">
        <v>98</v>
      </c>
      <c r="AF1682" s="1" t="s">
        <v>29758</v>
      </c>
      <c r="AG1682" s="1" t="s">
        <v>165</v>
      </c>
      <c r="AH1682" s="1" t="s">
        <v>1213</v>
      </c>
      <c r="AI1682" s="1" t="s">
        <v>101</v>
      </c>
      <c r="AJ1682" s="1">
        <v>82.6</v>
      </c>
      <c r="AK1682" s="1"/>
      <c r="AL1682" s="1" t="s">
        <v>29759</v>
      </c>
      <c r="AM1682" s="1" t="s">
        <v>165</v>
      </c>
      <c r="AN1682" s="1"/>
      <c r="AO1682" s="1" t="s">
        <v>166</v>
      </c>
      <c r="AP1682" s="1" t="s">
        <v>517</v>
      </c>
      <c r="AQ1682" s="1">
        <v>68.92</v>
      </c>
      <c r="AR1682" s="1"/>
      <c r="AS1682" s="1"/>
      <c r="AT1682" s="1"/>
      <c r="AU1682" s="1"/>
      <c r="AV1682" s="1"/>
      <c r="AW1682" s="1"/>
      <c r="AX1682" s="1"/>
      <c r="AY1682" s="1" t="s">
        <v>550</v>
      </c>
      <c r="AZ1682" s="1" t="s">
        <v>12447</v>
      </c>
      <c r="BA1682" s="1"/>
      <c r="BB1682" s="1"/>
      <c r="BC1682" s="1" t="s">
        <v>139</v>
      </c>
      <c r="BD1682" s="1" t="s">
        <v>890</v>
      </c>
      <c r="BE1682" s="1">
        <v>86.6</v>
      </c>
      <c r="BF1682" s="1">
        <v>8.66</v>
      </c>
      <c r="BG1682" s="1"/>
      <c r="BH1682" s="1"/>
      <c r="BI1682" s="1"/>
      <c r="BJ1682" s="1"/>
      <c r="BK1682" s="1"/>
      <c r="BL1682" s="1"/>
      <c r="BM1682" s="1"/>
      <c r="BN1682" s="1"/>
      <c r="BO1682" s="1" t="s">
        <v>29760</v>
      </c>
      <c r="BP1682" s="1" t="s">
        <v>29761</v>
      </c>
      <c r="BQ1682" s="1" t="s">
        <v>1070</v>
      </c>
      <c r="BR1682" s="1" t="s">
        <v>29762</v>
      </c>
      <c r="BS1682" s="1">
        <v>53</v>
      </c>
      <c r="BT1682" s="1"/>
      <c r="BU1682" s="1" t="str">
        <f>HYPERLINK("https://nconnect.nicmar.ac.in/storage/profile/ProfilePhoto_p2270272_438712.jpg","Download")</f>
        <v>0</v>
      </c>
      <c r="BV1682" s="3"/>
      <c r="BW1682" s="3"/>
    </row>
    <row r="1683" spans="1:75">
      <c r="A1683" s="1" t="s">
        <v>75</v>
      </c>
      <c r="B1683" s="1" t="s">
        <v>25236</v>
      </c>
      <c r="C1683" s="1" t="s">
        <v>29763</v>
      </c>
      <c r="D1683" s="1" t="s">
        <v>29764</v>
      </c>
      <c r="E1683" s="1" t="s">
        <v>29765</v>
      </c>
      <c r="F1683" s="1" t="s">
        <v>29766</v>
      </c>
      <c r="G1683" s="1" t="s">
        <v>29767</v>
      </c>
      <c r="H1683" s="1" t="s">
        <v>29768</v>
      </c>
      <c r="I1683" s="1" t="s">
        <v>29769</v>
      </c>
      <c r="J1683" s="1">
        <v>7719905252</v>
      </c>
      <c r="K1683" s="1" t="s">
        <v>84</v>
      </c>
      <c r="L1683" s="1" t="s">
        <v>29770</v>
      </c>
      <c r="M1683" s="1" t="s">
        <v>86</v>
      </c>
      <c r="N1683" s="1" t="s">
        <v>20173</v>
      </c>
      <c r="O1683" s="1" t="s">
        <v>29771</v>
      </c>
      <c r="P1683" s="1" t="s">
        <v>507</v>
      </c>
      <c r="Q1683" s="1" t="s">
        <v>29772</v>
      </c>
      <c r="R1683" s="1" t="s">
        <v>29765</v>
      </c>
      <c r="S1683" s="1">
        <v>9370085252</v>
      </c>
      <c r="T1683" s="1" t="s">
        <v>7822</v>
      </c>
      <c r="U1683" s="1" t="s">
        <v>29773</v>
      </c>
      <c r="V1683" s="1">
        <v>9326176070</v>
      </c>
      <c r="W1683" s="1" t="s">
        <v>541</v>
      </c>
      <c r="X1683" s="1" t="s">
        <v>29774</v>
      </c>
      <c r="Y1683" s="1" t="s">
        <v>410</v>
      </c>
      <c r="Z1683" s="1" t="s">
        <v>97</v>
      </c>
      <c r="AA1683" s="1" t="s">
        <v>29774</v>
      </c>
      <c r="AB1683" s="1" t="s">
        <v>410</v>
      </c>
      <c r="AC1683" s="1" t="s">
        <v>97</v>
      </c>
      <c r="AD1683" s="1" t="s">
        <v>98</v>
      </c>
      <c r="AE1683" s="1" t="s">
        <v>98</v>
      </c>
      <c r="AF1683" s="1" t="s">
        <v>4591</v>
      </c>
      <c r="AG1683" s="1" t="s">
        <v>796</v>
      </c>
      <c r="AH1683" s="1" t="s">
        <v>166</v>
      </c>
      <c r="AI1683" s="1" t="s">
        <v>167</v>
      </c>
      <c r="AJ1683" s="1">
        <v>81.7</v>
      </c>
      <c r="AK1683" s="1">
        <v>8.6</v>
      </c>
      <c r="AL1683" s="1" t="s">
        <v>29775</v>
      </c>
      <c r="AM1683" s="1" t="s">
        <v>796</v>
      </c>
      <c r="AN1683" s="1"/>
      <c r="AO1683" s="1" t="s">
        <v>170</v>
      </c>
      <c r="AP1683" s="1" t="s">
        <v>286</v>
      </c>
      <c r="AQ1683" s="1">
        <v>73.38</v>
      </c>
      <c r="AR1683" s="1">
        <v>0</v>
      </c>
      <c r="AS1683" s="1"/>
      <c r="AT1683" s="1"/>
      <c r="AU1683" s="1"/>
      <c r="AV1683" s="1"/>
      <c r="AW1683" s="1"/>
      <c r="AX1683" s="1"/>
      <c r="AY1683" s="1" t="s">
        <v>29776</v>
      </c>
      <c r="AZ1683" s="1" t="s">
        <v>20667</v>
      </c>
      <c r="BA1683" s="1"/>
      <c r="BB1683" s="1"/>
      <c r="BC1683" s="1" t="s">
        <v>174</v>
      </c>
      <c r="BD1683" s="1" t="s">
        <v>632</v>
      </c>
      <c r="BE1683" s="1">
        <v>64.88</v>
      </c>
      <c r="BF1683" s="1">
        <v>6.83</v>
      </c>
      <c r="BG1683" s="1"/>
      <c r="BH1683" s="1"/>
      <c r="BI1683" s="1"/>
      <c r="BJ1683" s="1"/>
      <c r="BK1683" s="1"/>
      <c r="BL1683" s="1"/>
      <c r="BM1683" s="1"/>
      <c r="BN1683" s="1"/>
      <c r="BO1683" s="1" t="s">
        <v>8688</v>
      </c>
      <c r="BP1683" s="1"/>
      <c r="BQ1683" s="1"/>
      <c r="BR1683" s="1" t="s">
        <v>29777</v>
      </c>
      <c r="BS1683" s="1">
        <v>29</v>
      </c>
      <c r="BT1683" s="1"/>
      <c r="BU1683" s="1" t="str">
        <f>HYPERLINK("https://nconnect.nicmar.ac.in/storage/profile/ProfilePhoto_p2270273_146739.jpg","Download")</f>
        <v>0</v>
      </c>
      <c r="BV1683" s="3"/>
      <c r="BW1683" s="3"/>
    </row>
    <row r="1684" spans="1:75">
      <c r="A1684" s="1" t="s">
        <v>75</v>
      </c>
      <c r="B1684" s="1" t="s">
        <v>25236</v>
      </c>
      <c r="C1684" s="1" t="s">
        <v>29778</v>
      </c>
      <c r="D1684" s="1" t="s">
        <v>7991</v>
      </c>
      <c r="E1684" s="1" t="s">
        <v>1464</v>
      </c>
      <c r="F1684" s="1" t="s">
        <v>29779</v>
      </c>
      <c r="G1684" s="1" t="s">
        <v>29780</v>
      </c>
      <c r="H1684" s="1" t="s">
        <v>29781</v>
      </c>
      <c r="I1684" s="1" t="s">
        <v>29782</v>
      </c>
      <c r="J1684" s="1">
        <v>7264847591</v>
      </c>
      <c r="K1684" s="1" t="s">
        <v>84</v>
      </c>
      <c r="L1684" s="1" t="s">
        <v>29783</v>
      </c>
      <c r="M1684" s="1" t="s">
        <v>86</v>
      </c>
      <c r="N1684" s="1" t="s">
        <v>618</v>
      </c>
      <c r="O1684" s="1" t="s">
        <v>29784</v>
      </c>
      <c r="P1684" s="1" t="s">
        <v>481</v>
      </c>
      <c r="Q1684" s="1" t="s">
        <v>29785</v>
      </c>
      <c r="R1684" s="1" t="s">
        <v>29786</v>
      </c>
      <c r="S1684" s="1">
        <v>9923752837</v>
      </c>
      <c r="T1684" s="1" t="s">
        <v>98</v>
      </c>
      <c r="U1684" s="1" t="s">
        <v>29787</v>
      </c>
      <c r="V1684" s="1">
        <v>9923752838</v>
      </c>
      <c r="W1684" s="1" t="s">
        <v>94</v>
      </c>
      <c r="X1684" s="1" t="s">
        <v>29788</v>
      </c>
      <c r="Y1684" s="1" t="s">
        <v>410</v>
      </c>
      <c r="Z1684" s="1" t="s">
        <v>97</v>
      </c>
      <c r="AA1684" s="1" t="s">
        <v>29789</v>
      </c>
      <c r="AB1684" s="1" t="s">
        <v>410</v>
      </c>
      <c r="AC1684" s="1" t="s">
        <v>97</v>
      </c>
      <c r="AD1684" s="1" t="s">
        <v>98</v>
      </c>
      <c r="AE1684" s="1" t="s">
        <v>98</v>
      </c>
      <c r="AF1684" s="1" t="s">
        <v>29790</v>
      </c>
      <c r="AG1684" s="1" t="s">
        <v>29791</v>
      </c>
      <c r="AH1684" s="1" t="s">
        <v>1213</v>
      </c>
      <c r="AI1684" s="1" t="s">
        <v>1262</v>
      </c>
      <c r="AJ1684" s="1">
        <v>81.7</v>
      </c>
      <c r="AK1684" s="1">
        <v>8.6</v>
      </c>
      <c r="AL1684" s="1" t="s">
        <v>29792</v>
      </c>
      <c r="AM1684" s="1" t="s">
        <v>11321</v>
      </c>
      <c r="AN1684" s="1"/>
      <c r="AO1684" s="1" t="s">
        <v>342</v>
      </c>
      <c r="AP1684" s="1" t="s">
        <v>627</v>
      </c>
      <c r="AQ1684" s="1">
        <v>69.84</v>
      </c>
      <c r="AR1684" s="1"/>
      <c r="AS1684" s="1"/>
      <c r="AT1684" s="1"/>
      <c r="AU1684" s="1"/>
      <c r="AV1684" s="1"/>
      <c r="AW1684" s="1"/>
      <c r="AX1684" s="1"/>
      <c r="AY1684" s="1" t="s">
        <v>415</v>
      </c>
      <c r="AZ1684" s="1" t="s">
        <v>29793</v>
      </c>
      <c r="BA1684" s="1"/>
      <c r="BB1684" s="1"/>
      <c r="BC1684" s="1" t="s">
        <v>139</v>
      </c>
      <c r="BD1684" s="1" t="s">
        <v>845</v>
      </c>
      <c r="BE1684" s="1">
        <v>63.6</v>
      </c>
      <c r="BF1684" s="1">
        <v>6.36</v>
      </c>
      <c r="BG1684" s="1"/>
      <c r="BH1684" s="1"/>
      <c r="BI1684" s="1"/>
      <c r="BJ1684" s="1"/>
      <c r="BK1684" s="1"/>
      <c r="BL1684" s="1"/>
      <c r="BM1684" s="1"/>
      <c r="BN1684" s="1"/>
      <c r="BO1684" s="1" t="s">
        <v>29794</v>
      </c>
      <c r="BP1684" s="1"/>
      <c r="BQ1684" s="1"/>
      <c r="BR1684" s="1" t="s">
        <v>29795</v>
      </c>
      <c r="BS1684" s="1">
        <v>24</v>
      </c>
      <c r="BT1684" s="1"/>
      <c r="BU1684" s="1" t="str">
        <f>HYPERLINK("https://nconnect.nicmar.ac.in/storage/profile/ProfilePhoto_p2270274_365421.jpg","Download")</f>
        <v>0</v>
      </c>
      <c r="BV1684" s="3"/>
      <c r="BW1684" s="3"/>
    </row>
    <row r="1685" spans="1:75">
      <c r="A1685" s="1" t="s">
        <v>75</v>
      </c>
      <c r="B1685" s="1" t="s">
        <v>25236</v>
      </c>
      <c r="C1685" s="1" t="s">
        <v>29796</v>
      </c>
      <c r="D1685" s="1" t="s">
        <v>29797</v>
      </c>
      <c r="E1685" s="1"/>
      <c r="F1685" s="1" t="s">
        <v>7178</v>
      </c>
      <c r="G1685" s="1" t="s">
        <v>29798</v>
      </c>
      <c r="H1685" s="1" t="s">
        <v>29799</v>
      </c>
      <c r="I1685" s="1" t="s">
        <v>29800</v>
      </c>
      <c r="J1685" s="1">
        <v>6291212693</v>
      </c>
      <c r="K1685" s="1" t="s">
        <v>84</v>
      </c>
      <c r="L1685" s="1" t="s">
        <v>29801</v>
      </c>
      <c r="M1685" s="1" t="s">
        <v>86</v>
      </c>
      <c r="N1685" s="1" t="s">
        <v>27171</v>
      </c>
      <c r="O1685" s="1" t="s">
        <v>29802</v>
      </c>
      <c r="P1685" s="1" t="s">
        <v>481</v>
      </c>
      <c r="Q1685" s="1" t="s">
        <v>29803</v>
      </c>
      <c r="R1685" s="1" t="s">
        <v>29804</v>
      </c>
      <c r="S1685" s="1">
        <v>9748570362</v>
      </c>
      <c r="T1685" s="1" t="s">
        <v>645</v>
      </c>
      <c r="U1685" s="1" t="s">
        <v>29805</v>
      </c>
      <c r="V1685" s="1">
        <v>7890786363</v>
      </c>
      <c r="W1685" s="1" t="s">
        <v>161</v>
      </c>
      <c r="X1685" s="1" t="s">
        <v>29806</v>
      </c>
      <c r="Y1685" s="1" t="s">
        <v>10874</v>
      </c>
      <c r="Z1685" s="1" t="s">
        <v>1234</v>
      </c>
      <c r="AA1685" s="1" t="s">
        <v>29806</v>
      </c>
      <c r="AB1685" s="1" t="s">
        <v>10874</v>
      </c>
      <c r="AC1685" s="1" t="s">
        <v>1234</v>
      </c>
      <c r="AD1685" s="1" t="s">
        <v>98</v>
      </c>
      <c r="AE1685" s="1" t="s">
        <v>98</v>
      </c>
      <c r="AF1685" s="1" t="s">
        <v>29807</v>
      </c>
      <c r="AG1685" s="1" t="s">
        <v>3284</v>
      </c>
      <c r="AH1685" s="1" t="s">
        <v>29081</v>
      </c>
      <c r="AI1685" s="1" t="s">
        <v>134</v>
      </c>
      <c r="AJ1685" s="1">
        <v>53.14</v>
      </c>
      <c r="AK1685" s="1"/>
      <c r="AL1685" s="1" t="s">
        <v>29808</v>
      </c>
      <c r="AM1685" s="1" t="s">
        <v>3287</v>
      </c>
      <c r="AN1685" s="1"/>
      <c r="AO1685" s="1" t="s">
        <v>515</v>
      </c>
      <c r="AP1685" s="1" t="s">
        <v>136</v>
      </c>
      <c r="AQ1685" s="1">
        <v>55.2</v>
      </c>
      <c r="AR1685" s="1"/>
      <c r="AS1685" s="1"/>
      <c r="AT1685" s="1"/>
      <c r="AU1685" s="1"/>
      <c r="AV1685" s="1"/>
      <c r="AW1685" s="1"/>
      <c r="AX1685" s="1"/>
      <c r="AY1685" s="1" t="s">
        <v>29809</v>
      </c>
      <c r="AZ1685" s="1" t="s">
        <v>29810</v>
      </c>
      <c r="BA1685" s="1"/>
      <c r="BB1685" s="1"/>
      <c r="BC1685" s="1" t="s">
        <v>139</v>
      </c>
      <c r="BD1685" s="1" t="s">
        <v>977</v>
      </c>
      <c r="BE1685" s="1">
        <v>62.8</v>
      </c>
      <c r="BF1685" s="1"/>
      <c r="BG1685" s="1"/>
      <c r="BH1685" s="1"/>
      <c r="BI1685" s="1"/>
      <c r="BJ1685" s="1"/>
      <c r="BK1685" s="1"/>
      <c r="BL1685" s="1"/>
      <c r="BM1685" s="1"/>
      <c r="BN1685" s="1"/>
      <c r="BO1685" s="1" t="s">
        <v>369</v>
      </c>
      <c r="BP1685" s="1" t="s">
        <v>29811</v>
      </c>
      <c r="BQ1685" s="1" t="s">
        <v>2245</v>
      </c>
      <c r="BR1685" s="1" t="s">
        <v>29812</v>
      </c>
      <c r="BS1685" s="1">
        <v>11</v>
      </c>
      <c r="BT1685" s="1"/>
      <c r="BU1685" s="1" t="str">
        <f>HYPERLINK("https://nconnect.nicmar.ac.in/storage/profile/ProfilePhoto_p2270275_942768.jpg","Download")</f>
        <v>0</v>
      </c>
      <c r="BV1685" s="3"/>
      <c r="BW1685" s="3"/>
    </row>
    <row r="1686" spans="1:75">
      <c r="A1686" s="1" t="s">
        <v>75</v>
      </c>
      <c r="B1686" s="1" t="s">
        <v>25236</v>
      </c>
      <c r="C1686" s="1" t="s">
        <v>29813</v>
      </c>
      <c r="D1686" s="1" t="s">
        <v>5092</v>
      </c>
      <c r="E1686" s="1" t="s">
        <v>2447</v>
      </c>
      <c r="F1686" s="1" t="s">
        <v>29814</v>
      </c>
      <c r="G1686" s="1" t="s">
        <v>29815</v>
      </c>
      <c r="H1686" s="1" t="s">
        <v>29816</v>
      </c>
      <c r="I1686" s="1" t="s">
        <v>29817</v>
      </c>
      <c r="J1686" s="1">
        <v>7350587575</v>
      </c>
      <c r="K1686" s="1" t="s">
        <v>84</v>
      </c>
      <c r="L1686" s="1" t="s">
        <v>29818</v>
      </c>
      <c r="M1686" s="1" t="s">
        <v>86</v>
      </c>
      <c r="N1686" s="1" t="s">
        <v>3568</v>
      </c>
      <c r="O1686" s="1" t="s">
        <v>29819</v>
      </c>
      <c r="P1686" s="1" t="s">
        <v>455</v>
      </c>
      <c r="Q1686" s="1" t="s">
        <v>29820</v>
      </c>
      <c r="R1686" s="1" t="s">
        <v>29821</v>
      </c>
      <c r="S1686" s="1">
        <v>7350877575</v>
      </c>
      <c r="T1686" s="1" t="s">
        <v>2128</v>
      </c>
      <c r="U1686" s="1" t="s">
        <v>29822</v>
      </c>
      <c r="V1686" s="1">
        <v>9422301468</v>
      </c>
      <c r="W1686" s="1" t="s">
        <v>645</v>
      </c>
      <c r="X1686" s="1" t="s">
        <v>29823</v>
      </c>
      <c r="Y1686" s="1" t="s">
        <v>196</v>
      </c>
      <c r="Z1686" s="1" t="s">
        <v>97</v>
      </c>
      <c r="AA1686" s="1" t="s">
        <v>29823</v>
      </c>
      <c r="AB1686" s="1" t="s">
        <v>196</v>
      </c>
      <c r="AC1686" s="1" t="s">
        <v>97</v>
      </c>
      <c r="AD1686" s="1" t="s">
        <v>98</v>
      </c>
      <c r="AE1686" s="1" t="s">
        <v>98</v>
      </c>
      <c r="AF1686" s="1" t="s">
        <v>29824</v>
      </c>
      <c r="AG1686" s="1" t="s">
        <v>165</v>
      </c>
      <c r="AH1686" s="1" t="s">
        <v>1110</v>
      </c>
      <c r="AI1686" s="1" t="s">
        <v>167</v>
      </c>
      <c r="AJ1686" s="1">
        <v>88.4</v>
      </c>
      <c r="AK1686" s="1"/>
      <c r="AL1686" s="1" t="s">
        <v>29825</v>
      </c>
      <c r="AM1686" s="1" t="s">
        <v>165</v>
      </c>
      <c r="AN1686" s="1"/>
      <c r="AO1686" s="1" t="s">
        <v>704</v>
      </c>
      <c r="AP1686" s="1" t="s">
        <v>171</v>
      </c>
      <c r="AQ1686" s="1">
        <v>64</v>
      </c>
      <c r="AR1686" s="1"/>
      <c r="AS1686" s="1"/>
      <c r="AT1686" s="1"/>
      <c r="AU1686" s="1"/>
      <c r="AV1686" s="1"/>
      <c r="AW1686" s="1"/>
      <c r="AX1686" s="1"/>
      <c r="AY1686" s="1" t="s">
        <v>366</v>
      </c>
      <c r="AZ1686" s="1" t="s">
        <v>29826</v>
      </c>
      <c r="BA1686" s="1"/>
      <c r="BB1686" s="1"/>
      <c r="BC1686" s="1" t="s">
        <v>174</v>
      </c>
      <c r="BD1686" s="1" t="s">
        <v>110</v>
      </c>
      <c r="BE1686" s="1">
        <v>73.04</v>
      </c>
      <c r="BF1686" s="1">
        <v>8.3</v>
      </c>
      <c r="BG1686" s="1"/>
      <c r="BH1686" s="1"/>
      <c r="BI1686" s="1"/>
      <c r="BJ1686" s="1"/>
      <c r="BK1686" s="1"/>
      <c r="BL1686" s="1"/>
      <c r="BM1686" s="1"/>
      <c r="BN1686" s="1"/>
      <c r="BO1686" s="1" t="s">
        <v>1114</v>
      </c>
      <c r="BP1686" s="1"/>
      <c r="BQ1686" s="1"/>
      <c r="BR1686" s="1" t="s">
        <v>29827</v>
      </c>
      <c r="BS1686" s="1">
        <v>7</v>
      </c>
      <c r="BT1686" s="1"/>
      <c r="BU1686" s="1" t="str">
        <f>HYPERLINK("https://nconnect.nicmar.ac.in/storage/profile/ProfilePhoto_p2270276_296185.jpg","Download")</f>
        <v>0</v>
      </c>
      <c r="BV1686" s="3"/>
      <c r="BW1686" s="3"/>
    </row>
    <row r="1687" spans="1:75">
      <c r="A1687" s="1" t="s">
        <v>75</v>
      </c>
      <c r="B1687" s="1" t="s">
        <v>25236</v>
      </c>
      <c r="C1687" s="1" t="s">
        <v>29828</v>
      </c>
      <c r="D1687" s="1" t="s">
        <v>2581</v>
      </c>
      <c r="E1687" s="1"/>
      <c r="F1687" s="1" t="s">
        <v>1853</v>
      </c>
      <c r="G1687" s="1" t="s">
        <v>29829</v>
      </c>
      <c r="H1687" s="1" t="s">
        <v>29830</v>
      </c>
      <c r="I1687" s="1" t="s">
        <v>29831</v>
      </c>
      <c r="J1687" s="1">
        <v>8547336650</v>
      </c>
      <c r="K1687" s="1" t="s">
        <v>84</v>
      </c>
      <c r="L1687" s="1" t="s">
        <v>29832</v>
      </c>
      <c r="M1687" s="1" t="s">
        <v>86</v>
      </c>
      <c r="N1687" s="1" t="s">
        <v>29833</v>
      </c>
      <c r="O1687" s="1" t="s">
        <v>29834</v>
      </c>
      <c r="P1687" s="1" t="s">
        <v>455</v>
      </c>
      <c r="Q1687" s="1" t="s">
        <v>29835</v>
      </c>
      <c r="R1687" s="1" t="s">
        <v>29836</v>
      </c>
      <c r="S1687" s="1">
        <v>9447876574</v>
      </c>
      <c r="T1687" s="1" t="s">
        <v>1552</v>
      </c>
      <c r="U1687" s="1" t="s">
        <v>29837</v>
      </c>
      <c r="V1687" s="1">
        <v>9400186993</v>
      </c>
      <c r="W1687" s="1" t="s">
        <v>1495</v>
      </c>
      <c r="X1687" s="1" t="s">
        <v>29838</v>
      </c>
      <c r="Y1687" s="1" t="s">
        <v>701</v>
      </c>
      <c r="Z1687" s="1" t="s">
        <v>130</v>
      </c>
      <c r="AA1687" s="1" t="s">
        <v>29838</v>
      </c>
      <c r="AB1687" s="1" t="s">
        <v>701</v>
      </c>
      <c r="AC1687" s="1" t="s">
        <v>130</v>
      </c>
      <c r="AD1687" s="1" t="s">
        <v>98</v>
      </c>
      <c r="AE1687" s="1" t="s">
        <v>98</v>
      </c>
      <c r="AF1687" s="1" t="s">
        <v>29839</v>
      </c>
      <c r="AG1687" s="1" t="s">
        <v>29840</v>
      </c>
      <c r="AH1687" s="1" t="s">
        <v>801</v>
      </c>
      <c r="AI1687" s="1" t="s">
        <v>2726</v>
      </c>
      <c r="AJ1687" s="1">
        <v>79.8</v>
      </c>
      <c r="AK1687" s="1"/>
      <c r="AL1687" s="1" t="s">
        <v>29841</v>
      </c>
      <c r="AM1687" s="1" t="s">
        <v>29840</v>
      </c>
      <c r="AN1687" s="1"/>
      <c r="AO1687" s="1" t="s">
        <v>27825</v>
      </c>
      <c r="AP1687" s="1" t="s">
        <v>1262</v>
      </c>
      <c r="AQ1687" s="1">
        <v>70.6</v>
      </c>
      <c r="AR1687" s="1"/>
      <c r="AS1687" s="1"/>
      <c r="AT1687" s="1"/>
      <c r="AU1687" s="1"/>
      <c r="AV1687" s="1"/>
      <c r="AW1687" s="1"/>
      <c r="AX1687" s="1"/>
      <c r="AY1687" s="1" t="s">
        <v>29842</v>
      </c>
      <c r="AZ1687" s="1" t="s">
        <v>29840</v>
      </c>
      <c r="BA1687" s="1"/>
      <c r="BB1687" s="1"/>
      <c r="BC1687" s="1" t="s">
        <v>101</v>
      </c>
      <c r="BD1687" s="1" t="s">
        <v>417</v>
      </c>
      <c r="BE1687" s="1">
        <v>65.8</v>
      </c>
      <c r="BF1687" s="1">
        <v>6.58</v>
      </c>
      <c r="BG1687" s="1"/>
      <c r="BH1687" s="1"/>
      <c r="BI1687" s="1"/>
      <c r="BJ1687" s="1"/>
      <c r="BK1687" s="1"/>
      <c r="BL1687" s="1"/>
      <c r="BM1687" s="1"/>
      <c r="BN1687" s="1"/>
      <c r="BO1687" s="1" t="s">
        <v>29843</v>
      </c>
      <c r="BP1687" s="1" t="s">
        <v>29844</v>
      </c>
      <c r="BQ1687" s="1" t="s">
        <v>524</v>
      </c>
      <c r="BR1687" s="1" t="s">
        <v>29845</v>
      </c>
      <c r="BS1687" s="1">
        <v>7</v>
      </c>
      <c r="BT1687" s="1"/>
      <c r="BU1687" s="1" t="str">
        <f>HYPERLINK("https://nconnect.nicmar.ac.in/storage/profile/ProfilePhoto_p2270277_613429.jpg","Download")</f>
        <v>0</v>
      </c>
      <c r="BV1687" s="3"/>
      <c r="BW1687" s="3"/>
    </row>
    <row r="1688" spans="1:75">
      <c r="A1688" s="1" t="s">
        <v>75</v>
      </c>
      <c r="B1688" s="1" t="s">
        <v>25236</v>
      </c>
      <c r="C1688" s="1" t="s">
        <v>29846</v>
      </c>
      <c r="D1688" s="1" t="s">
        <v>13892</v>
      </c>
      <c r="E1688" s="1" t="s">
        <v>29847</v>
      </c>
      <c r="F1688" s="1" t="s">
        <v>29848</v>
      </c>
      <c r="G1688" s="1" t="s">
        <v>29849</v>
      </c>
      <c r="H1688" s="1" t="s">
        <v>29850</v>
      </c>
      <c r="I1688" s="1" t="s">
        <v>29851</v>
      </c>
      <c r="J1688" s="1">
        <v>8411892373</v>
      </c>
      <c r="K1688" s="1" t="s">
        <v>84</v>
      </c>
      <c r="L1688" s="1" t="s">
        <v>29852</v>
      </c>
      <c r="M1688" s="1" t="s">
        <v>86</v>
      </c>
      <c r="N1688" s="1" t="s">
        <v>4972</v>
      </c>
      <c r="O1688" s="1" t="s">
        <v>29853</v>
      </c>
      <c r="P1688" s="1" t="s">
        <v>507</v>
      </c>
      <c r="Q1688" s="1" t="s">
        <v>29854</v>
      </c>
      <c r="R1688" s="1" t="s">
        <v>29855</v>
      </c>
      <c r="S1688" s="1">
        <v>9421216352</v>
      </c>
      <c r="T1688" s="1" t="s">
        <v>2950</v>
      </c>
      <c r="U1688" s="1" t="s">
        <v>9396</v>
      </c>
      <c r="V1688" s="1">
        <v>9284762928</v>
      </c>
      <c r="W1688" s="1" t="s">
        <v>161</v>
      </c>
      <c r="X1688" s="1" t="s">
        <v>29856</v>
      </c>
      <c r="Y1688" s="1" t="s">
        <v>5181</v>
      </c>
      <c r="Z1688" s="1" t="s">
        <v>97</v>
      </c>
      <c r="AA1688" s="1" t="s">
        <v>29857</v>
      </c>
      <c r="AB1688" s="1" t="s">
        <v>196</v>
      </c>
      <c r="AC1688" s="1" t="s">
        <v>97</v>
      </c>
      <c r="AD1688" s="1" t="s">
        <v>98</v>
      </c>
      <c r="AE1688" s="1" t="s">
        <v>98</v>
      </c>
      <c r="AF1688" s="1" t="s">
        <v>26087</v>
      </c>
      <c r="AG1688" s="1" t="s">
        <v>1968</v>
      </c>
      <c r="AH1688" s="1" t="s">
        <v>3285</v>
      </c>
      <c r="AI1688" s="1" t="s">
        <v>133</v>
      </c>
      <c r="AJ1688" s="1">
        <v>84.18</v>
      </c>
      <c r="AK1688" s="1"/>
      <c r="AL1688" s="1" t="s">
        <v>29858</v>
      </c>
      <c r="AM1688" s="1" t="s">
        <v>1968</v>
      </c>
      <c r="AN1688" s="1"/>
      <c r="AO1688" s="1" t="s">
        <v>1213</v>
      </c>
      <c r="AP1688" s="1" t="s">
        <v>101</v>
      </c>
      <c r="AQ1688" s="1">
        <v>65.23</v>
      </c>
      <c r="AR1688" s="1"/>
      <c r="AS1688" s="1"/>
      <c r="AT1688" s="1"/>
      <c r="AU1688" s="1"/>
      <c r="AV1688" s="1"/>
      <c r="AW1688" s="1"/>
      <c r="AX1688" s="1"/>
      <c r="AY1688" s="1" t="s">
        <v>366</v>
      </c>
      <c r="AZ1688" s="1" t="s">
        <v>29859</v>
      </c>
      <c r="BA1688" s="1"/>
      <c r="BB1688" s="1"/>
      <c r="BC1688" s="1" t="s">
        <v>257</v>
      </c>
      <c r="BD1688" s="1" t="s">
        <v>174</v>
      </c>
      <c r="BE1688" s="1">
        <v>62.52</v>
      </c>
      <c r="BF1688" s="1"/>
      <c r="BG1688" s="1"/>
      <c r="BH1688" s="1"/>
      <c r="BI1688" s="1"/>
      <c r="BJ1688" s="1"/>
      <c r="BK1688" s="1"/>
      <c r="BL1688" s="1"/>
      <c r="BM1688" s="1"/>
      <c r="BN1688" s="1"/>
      <c r="BO1688" s="1" t="s">
        <v>25516</v>
      </c>
      <c r="BP1688" s="1"/>
      <c r="BQ1688" s="1"/>
      <c r="BR1688" s="1" t="s">
        <v>29860</v>
      </c>
      <c r="BS1688" s="1">
        <v>7</v>
      </c>
      <c r="BT1688" s="1"/>
      <c r="BU1688" s="1" t="str">
        <f>HYPERLINK("https://nconnect.nicmar.ac.in/storage/profile/ProfilePhoto_p2270278_586921.jpg","Download")</f>
        <v>0</v>
      </c>
      <c r="BV1688" s="3"/>
      <c r="BW1688" s="3"/>
    </row>
    <row r="1689" spans="1:75">
      <c r="A1689" s="1" t="s">
        <v>75</v>
      </c>
      <c r="B1689" s="1" t="s">
        <v>25236</v>
      </c>
      <c r="C1689" s="1" t="s">
        <v>29861</v>
      </c>
      <c r="D1689" s="1" t="s">
        <v>11351</v>
      </c>
      <c r="E1689" s="1" t="s">
        <v>3100</v>
      </c>
      <c r="F1689" s="1" t="s">
        <v>5753</v>
      </c>
      <c r="G1689" s="1" t="s">
        <v>29862</v>
      </c>
      <c r="H1689" s="1" t="s">
        <v>29863</v>
      </c>
      <c r="I1689" s="1" t="s">
        <v>29864</v>
      </c>
      <c r="J1689" s="1">
        <v>7499320613</v>
      </c>
      <c r="K1689" s="1" t="s">
        <v>84</v>
      </c>
      <c r="L1689" s="1" t="s">
        <v>29865</v>
      </c>
      <c r="M1689" s="1" t="s">
        <v>86</v>
      </c>
      <c r="N1689" s="1" t="s">
        <v>29866</v>
      </c>
      <c r="O1689" s="1" t="s">
        <v>29867</v>
      </c>
      <c r="P1689" s="1" t="s">
        <v>455</v>
      </c>
      <c r="Q1689" s="1" t="s">
        <v>29868</v>
      </c>
      <c r="R1689" s="1" t="s">
        <v>5753</v>
      </c>
      <c r="S1689" s="1">
        <v>9850172664</v>
      </c>
      <c r="T1689" s="1" t="s">
        <v>6733</v>
      </c>
      <c r="U1689" s="1" t="s">
        <v>29869</v>
      </c>
      <c r="V1689" s="1">
        <v>9545282906</v>
      </c>
      <c r="W1689" s="1" t="s">
        <v>161</v>
      </c>
      <c r="X1689" s="1" t="s">
        <v>29870</v>
      </c>
      <c r="Y1689" s="1" t="s">
        <v>309</v>
      </c>
      <c r="Z1689" s="1" t="s">
        <v>97</v>
      </c>
      <c r="AA1689" s="1" t="s">
        <v>29870</v>
      </c>
      <c r="AB1689" s="1" t="s">
        <v>309</v>
      </c>
      <c r="AC1689" s="1" t="s">
        <v>97</v>
      </c>
      <c r="AD1689" s="1" t="s">
        <v>98</v>
      </c>
      <c r="AE1689" s="1" t="s">
        <v>98</v>
      </c>
      <c r="AF1689" s="1" t="s">
        <v>29871</v>
      </c>
      <c r="AG1689" s="1" t="s">
        <v>29872</v>
      </c>
      <c r="AH1689" s="1" t="s">
        <v>101</v>
      </c>
      <c r="AI1689" s="1" t="s">
        <v>102</v>
      </c>
      <c r="AJ1689" s="1">
        <v>89.2</v>
      </c>
      <c r="AK1689" s="1"/>
      <c r="AL1689" s="1" t="s">
        <v>29873</v>
      </c>
      <c r="AM1689" s="1" t="s">
        <v>29872</v>
      </c>
      <c r="AN1689" s="1"/>
      <c r="AO1689" s="1" t="s">
        <v>167</v>
      </c>
      <c r="AP1689" s="1" t="s">
        <v>200</v>
      </c>
      <c r="AQ1689" s="1">
        <v>68.45</v>
      </c>
      <c r="AR1689" s="1"/>
      <c r="AS1689" s="1"/>
      <c r="AT1689" s="1"/>
      <c r="AU1689" s="1"/>
      <c r="AV1689" s="1"/>
      <c r="AW1689" s="1"/>
      <c r="AX1689" s="1"/>
      <c r="AY1689" s="1" t="s">
        <v>366</v>
      </c>
      <c r="AZ1689" s="1" t="s">
        <v>29874</v>
      </c>
      <c r="BA1689" s="1"/>
      <c r="BB1689" s="1"/>
      <c r="BC1689" s="1" t="s">
        <v>170</v>
      </c>
      <c r="BD1689" s="1" t="s">
        <v>847</v>
      </c>
      <c r="BE1689" s="1">
        <v>65.6</v>
      </c>
      <c r="BF1689" s="1">
        <v>7.31</v>
      </c>
      <c r="BG1689" s="1"/>
      <c r="BH1689" s="1"/>
      <c r="BI1689" s="1"/>
      <c r="BJ1689" s="1"/>
      <c r="BK1689" s="1"/>
      <c r="BL1689" s="1"/>
      <c r="BM1689" s="1"/>
      <c r="BN1689" s="1"/>
      <c r="BO1689" s="1" t="s">
        <v>29875</v>
      </c>
      <c r="BP1689" s="1"/>
      <c r="BQ1689" s="1"/>
      <c r="BR1689" s="1" t="s">
        <v>29876</v>
      </c>
      <c r="BS1689" s="1">
        <v>29</v>
      </c>
      <c r="BT1689" s="1"/>
      <c r="BU1689" s="1" t="str">
        <f>HYPERLINK("https://nconnect.nicmar.ac.in/storage/profile/ProfilePhoto_p2270279_379154.jpg","Download")</f>
        <v>0</v>
      </c>
      <c r="BV1689" s="3"/>
      <c r="BW1689" s="3"/>
    </row>
    <row r="1690" spans="1:75">
      <c r="A1690" s="1" t="s">
        <v>75</v>
      </c>
      <c r="B1690" s="1" t="s">
        <v>25236</v>
      </c>
      <c r="C1690" s="1" t="s">
        <v>29877</v>
      </c>
      <c r="D1690" s="1" t="s">
        <v>9691</v>
      </c>
      <c r="E1690" s="1" t="s">
        <v>4036</v>
      </c>
      <c r="F1690" s="1" t="s">
        <v>29878</v>
      </c>
      <c r="G1690" s="1" t="s">
        <v>29879</v>
      </c>
      <c r="H1690" s="1" t="s">
        <v>29880</v>
      </c>
      <c r="I1690" s="1" t="s">
        <v>29881</v>
      </c>
      <c r="J1690" s="1">
        <v>9552365527</v>
      </c>
      <c r="K1690" s="1" t="s">
        <v>84</v>
      </c>
      <c r="L1690" s="1" t="s">
        <v>6952</v>
      </c>
      <c r="M1690" s="1" t="s">
        <v>86</v>
      </c>
      <c r="N1690" s="1" t="s">
        <v>8647</v>
      </c>
      <c r="O1690" s="1"/>
      <c r="P1690" s="1" t="s">
        <v>455</v>
      </c>
      <c r="Q1690" s="1" t="s">
        <v>29882</v>
      </c>
      <c r="R1690" s="1" t="s">
        <v>4036</v>
      </c>
      <c r="S1690" s="1">
        <v>9422166407</v>
      </c>
      <c r="T1690" s="1" t="s">
        <v>839</v>
      </c>
      <c r="U1690" s="1" t="s">
        <v>29883</v>
      </c>
      <c r="V1690" s="1">
        <v>9371641405</v>
      </c>
      <c r="W1690" s="1" t="s">
        <v>278</v>
      </c>
      <c r="X1690" s="1" t="s">
        <v>29884</v>
      </c>
      <c r="Y1690" s="1" t="s">
        <v>5083</v>
      </c>
      <c r="Z1690" s="1" t="s">
        <v>97</v>
      </c>
      <c r="AA1690" s="1" t="s">
        <v>29884</v>
      </c>
      <c r="AB1690" s="1" t="s">
        <v>5083</v>
      </c>
      <c r="AC1690" s="1" t="s">
        <v>97</v>
      </c>
      <c r="AD1690" s="1" t="s">
        <v>98</v>
      </c>
      <c r="AE1690" s="1" t="s">
        <v>98</v>
      </c>
      <c r="AF1690" s="1" t="s">
        <v>27805</v>
      </c>
      <c r="AG1690" s="1" t="s">
        <v>29885</v>
      </c>
      <c r="AH1690" s="1" t="s">
        <v>166</v>
      </c>
      <c r="AI1690" s="1" t="s">
        <v>1111</v>
      </c>
      <c r="AJ1690" s="1">
        <v>79.8</v>
      </c>
      <c r="AK1690" s="1">
        <v>8.4</v>
      </c>
      <c r="AL1690" s="1" t="s">
        <v>29886</v>
      </c>
      <c r="AM1690" s="1" t="s">
        <v>29885</v>
      </c>
      <c r="AN1690" s="1"/>
      <c r="AO1690" s="1" t="s">
        <v>170</v>
      </c>
      <c r="AP1690" s="1" t="s">
        <v>1477</v>
      </c>
      <c r="AQ1690" s="1">
        <v>66.92</v>
      </c>
      <c r="AR1690" s="1"/>
      <c r="AS1690" s="1"/>
      <c r="AT1690" s="1"/>
      <c r="AU1690" s="1"/>
      <c r="AV1690" s="1"/>
      <c r="AW1690" s="1"/>
      <c r="AX1690" s="1"/>
      <c r="AY1690" s="1" t="s">
        <v>17010</v>
      </c>
      <c r="AZ1690" s="1" t="s">
        <v>28280</v>
      </c>
      <c r="BA1690" s="1"/>
      <c r="BB1690" s="1"/>
      <c r="BC1690" s="1" t="s">
        <v>1065</v>
      </c>
      <c r="BD1690" s="1" t="s">
        <v>289</v>
      </c>
      <c r="BE1690" s="1">
        <v>62.1</v>
      </c>
      <c r="BF1690" s="1">
        <v>6.96</v>
      </c>
      <c r="BG1690" s="1"/>
      <c r="BH1690" s="1"/>
      <c r="BI1690" s="1"/>
      <c r="BJ1690" s="1"/>
      <c r="BK1690" s="1"/>
      <c r="BL1690" s="1"/>
      <c r="BM1690" s="1"/>
      <c r="BN1690" s="1"/>
      <c r="BO1690" s="1" t="s">
        <v>369</v>
      </c>
      <c r="BP1690" s="1"/>
      <c r="BQ1690" s="1"/>
      <c r="BR1690" s="1" t="s">
        <v>29887</v>
      </c>
      <c r="BS1690" s="1">
        <v>7</v>
      </c>
      <c r="BT1690" s="1"/>
      <c r="BU1690" s="1" t="str">
        <f>HYPERLINK("https://nconnect.nicmar.ac.in/storage/profile/ProfilePhoto_p2270280_793582.jpg","Download")</f>
        <v>0</v>
      </c>
      <c r="BV1690" s="3"/>
      <c r="BW1690" s="3"/>
    </row>
    <row r="1691" spans="1:75">
      <c r="A1691" s="1" t="s">
        <v>75</v>
      </c>
      <c r="B1691" s="1" t="s">
        <v>25236</v>
      </c>
      <c r="C1691" s="1" t="s">
        <v>29888</v>
      </c>
      <c r="D1691" s="1" t="s">
        <v>27361</v>
      </c>
      <c r="E1691" s="1" t="s">
        <v>1788</v>
      </c>
      <c r="F1691" s="1" t="s">
        <v>1179</v>
      </c>
      <c r="G1691" s="1" t="s">
        <v>29889</v>
      </c>
      <c r="H1691" s="1" t="s">
        <v>29890</v>
      </c>
      <c r="I1691" s="1" t="s">
        <v>29891</v>
      </c>
      <c r="J1691" s="1">
        <v>9834959676</v>
      </c>
      <c r="K1691" s="1" t="s">
        <v>84</v>
      </c>
      <c r="L1691" s="1" t="s">
        <v>28873</v>
      </c>
      <c r="M1691" s="1" t="s">
        <v>86</v>
      </c>
      <c r="N1691" s="1" t="s">
        <v>7467</v>
      </c>
      <c r="O1691" s="1" t="s">
        <v>29892</v>
      </c>
      <c r="P1691" s="1" t="s">
        <v>507</v>
      </c>
      <c r="Q1691" s="1" t="s">
        <v>29893</v>
      </c>
      <c r="R1691" s="1" t="s">
        <v>29894</v>
      </c>
      <c r="S1691" s="1">
        <v>9422041164</v>
      </c>
      <c r="T1691" s="1" t="s">
        <v>771</v>
      </c>
      <c r="U1691" s="1" t="s">
        <v>29895</v>
      </c>
      <c r="V1691" s="1">
        <v>9022951314</v>
      </c>
      <c r="W1691" s="1" t="s">
        <v>161</v>
      </c>
      <c r="X1691" s="1" t="s">
        <v>29896</v>
      </c>
      <c r="Y1691" s="1" t="s">
        <v>1033</v>
      </c>
      <c r="Z1691" s="1" t="s">
        <v>97</v>
      </c>
      <c r="AA1691" s="1" t="s">
        <v>29896</v>
      </c>
      <c r="AB1691" s="1" t="s">
        <v>1033</v>
      </c>
      <c r="AC1691" s="1" t="s">
        <v>97</v>
      </c>
      <c r="AD1691" s="1" t="s">
        <v>98</v>
      </c>
      <c r="AE1691" s="1" t="s">
        <v>98</v>
      </c>
      <c r="AF1691" s="1" t="s">
        <v>29897</v>
      </c>
      <c r="AG1691" s="1" t="s">
        <v>29898</v>
      </c>
      <c r="AH1691" s="1" t="s">
        <v>2321</v>
      </c>
      <c r="AI1691" s="1" t="s">
        <v>166</v>
      </c>
      <c r="AJ1691" s="1">
        <v>72</v>
      </c>
      <c r="AK1691" s="1">
        <v>7.6</v>
      </c>
      <c r="AL1691" s="1" t="s">
        <v>29899</v>
      </c>
      <c r="AM1691" s="1" t="s">
        <v>29898</v>
      </c>
      <c r="AN1691" s="1"/>
      <c r="AO1691" s="1" t="s">
        <v>167</v>
      </c>
      <c r="AP1691" s="1" t="s">
        <v>170</v>
      </c>
      <c r="AQ1691" s="1">
        <v>61</v>
      </c>
      <c r="AR1691" s="1"/>
      <c r="AS1691" s="1"/>
      <c r="AT1691" s="1"/>
      <c r="AU1691" s="1"/>
      <c r="AV1691" s="1"/>
      <c r="AW1691" s="1"/>
      <c r="AX1691" s="1"/>
      <c r="AY1691" s="1" t="s">
        <v>29900</v>
      </c>
      <c r="AZ1691" s="1" t="s">
        <v>8080</v>
      </c>
      <c r="BA1691" s="1"/>
      <c r="BB1691" s="1"/>
      <c r="BC1691" s="1" t="s">
        <v>1065</v>
      </c>
      <c r="BD1691" s="1" t="s">
        <v>441</v>
      </c>
      <c r="BE1691" s="1">
        <v>63.8</v>
      </c>
      <c r="BF1691" s="1">
        <v>7.25</v>
      </c>
      <c r="BG1691" s="1"/>
      <c r="BH1691" s="1"/>
      <c r="BI1691" s="1"/>
      <c r="BJ1691" s="1"/>
      <c r="BK1691" s="1"/>
      <c r="BL1691" s="1"/>
      <c r="BM1691" s="1"/>
      <c r="BN1691" s="1"/>
      <c r="BO1691" s="1" t="s">
        <v>29901</v>
      </c>
      <c r="BP1691" s="1"/>
      <c r="BQ1691" s="1"/>
      <c r="BR1691" s="1" t="s">
        <v>29902</v>
      </c>
      <c r="BS1691" s="1">
        <v>42</v>
      </c>
      <c r="BT1691" s="1"/>
      <c r="BU1691" s="1" t="str">
        <f>HYPERLINK("https://nconnect.nicmar.ac.in/storage/profile/ProfilePhoto_p2270281_169374.jpg","Download")</f>
        <v>0</v>
      </c>
      <c r="BV1691" s="3"/>
      <c r="BW1691" s="3"/>
    </row>
    <row r="1692" spans="1:75">
      <c r="A1692" s="1" t="s">
        <v>75</v>
      </c>
      <c r="B1692" s="1" t="s">
        <v>25236</v>
      </c>
      <c r="C1692" s="1" t="s">
        <v>29903</v>
      </c>
      <c r="D1692" s="1" t="s">
        <v>11255</v>
      </c>
      <c r="E1692" s="1" t="s">
        <v>29904</v>
      </c>
      <c r="F1692" s="1" t="s">
        <v>29905</v>
      </c>
      <c r="G1692" s="1" t="s">
        <v>29906</v>
      </c>
      <c r="H1692" s="1" t="s">
        <v>29907</v>
      </c>
      <c r="I1692" s="1" t="s">
        <v>29908</v>
      </c>
      <c r="J1692" s="1">
        <v>8849043846</v>
      </c>
      <c r="K1692" s="1" t="s">
        <v>84</v>
      </c>
      <c r="L1692" s="1" t="s">
        <v>26870</v>
      </c>
      <c r="M1692" s="1" t="s">
        <v>86</v>
      </c>
      <c r="N1692" s="1" t="s">
        <v>7185</v>
      </c>
      <c r="O1692" s="1" t="s">
        <v>29909</v>
      </c>
      <c r="P1692" s="1" t="s">
        <v>507</v>
      </c>
      <c r="Q1692" s="1" t="s">
        <v>29910</v>
      </c>
      <c r="R1692" s="1" t="s">
        <v>29911</v>
      </c>
      <c r="S1692" s="1">
        <v>9925382100</v>
      </c>
      <c r="T1692" s="1" t="s">
        <v>839</v>
      </c>
      <c r="U1692" s="1" t="s">
        <v>29912</v>
      </c>
      <c r="V1692" s="1">
        <v>9925382100</v>
      </c>
      <c r="W1692" s="1" t="s">
        <v>278</v>
      </c>
      <c r="X1692" s="1" t="s">
        <v>29913</v>
      </c>
      <c r="Y1692" s="1" t="s">
        <v>2880</v>
      </c>
      <c r="Z1692" s="1" t="s">
        <v>676</v>
      </c>
      <c r="AA1692" s="1" t="s">
        <v>29913</v>
      </c>
      <c r="AB1692" s="1" t="s">
        <v>2880</v>
      </c>
      <c r="AC1692" s="1" t="s">
        <v>676</v>
      </c>
      <c r="AD1692" s="1" t="s">
        <v>98</v>
      </c>
      <c r="AE1692" s="1" t="s">
        <v>98</v>
      </c>
      <c r="AF1692" s="1" t="s">
        <v>29914</v>
      </c>
      <c r="AG1692" s="1" t="s">
        <v>29915</v>
      </c>
      <c r="AH1692" s="1" t="s">
        <v>101</v>
      </c>
      <c r="AI1692" s="1" t="s">
        <v>166</v>
      </c>
      <c r="AJ1692" s="1">
        <v>64</v>
      </c>
      <c r="AK1692" s="1">
        <v>0</v>
      </c>
      <c r="AL1692" s="1" t="s">
        <v>29916</v>
      </c>
      <c r="AM1692" s="1" t="s">
        <v>29915</v>
      </c>
      <c r="AN1692" s="1"/>
      <c r="AO1692" s="1" t="s">
        <v>342</v>
      </c>
      <c r="AP1692" s="1" t="s">
        <v>170</v>
      </c>
      <c r="AQ1692" s="1">
        <v>58</v>
      </c>
      <c r="AR1692" s="1">
        <v>0</v>
      </c>
      <c r="AS1692" s="1"/>
      <c r="AT1692" s="1"/>
      <c r="AU1692" s="1"/>
      <c r="AV1692" s="1"/>
      <c r="AW1692" s="1"/>
      <c r="AX1692" s="1"/>
      <c r="AY1692" s="1" t="s">
        <v>29917</v>
      </c>
      <c r="AZ1692" s="1" t="s">
        <v>29918</v>
      </c>
      <c r="BA1692" s="1"/>
      <c r="BB1692" s="1"/>
      <c r="BC1692" s="1" t="s">
        <v>230</v>
      </c>
      <c r="BD1692" s="1" t="s">
        <v>847</v>
      </c>
      <c r="BE1692" s="1">
        <v>74.4</v>
      </c>
      <c r="BF1692" s="1">
        <v>7.94</v>
      </c>
      <c r="BG1692" s="1"/>
      <c r="BH1692" s="1"/>
      <c r="BI1692" s="1"/>
      <c r="BJ1692" s="1"/>
      <c r="BK1692" s="1"/>
      <c r="BL1692" s="1"/>
      <c r="BM1692" s="1"/>
      <c r="BN1692" s="1"/>
      <c r="BO1692" s="1" t="s">
        <v>29919</v>
      </c>
      <c r="BP1692" s="1"/>
      <c r="BQ1692" s="1"/>
      <c r="BR1692" s="1" t="s">
        <v>29920</v>
      </c>
      <c r="BS1692" s="1">
        <v>35</v>
      </c>
      <c r="BT1692" s="1"/>
      <c r="BU1692" s="1" t="str">
        <f>HYPERLINK("https://nconnect.nicmar.ac.in/storage/profile/ProfilePhoto_p2270282_356824.jpg","Download")</f>
        <v>0</v>
      </c>
      <c r="BV1692" s="3"/>
      <c r="BW1692" s="3"/>
    </row>
    <row r="1693" spans="1:75">
      <c r="A1693" s="1" t="s">
        <v>75</v>
      </c>
      <c r="B1693" s="1" t="s">
        <v>25236</v>
      </c>
      <c r="C1693" s="1" t="s">
        <v>29921</v>
      </c>
      <c r="D1693" s="1" t="s">
        <v>29922</v>
      </c>
      <c r="E1693" s="1"/>
      <c r="F1693" s="1" t="s">
        <v>29923</v>
      </c>
      <c r="G1693" s="1" t="s">
        <v>29924</v>
      </c>
      <c r="H1693" s="1" t="s">
        <v>29925</v>
      </c>
      <c r="I1693" s="1" t="s">
        <v>29926</v>
      </c>
      <c r="J1693" s="1">
        <v>9566429262</v>
      </c>
      <c r="K1693" s="1" t="s">
        <v>84</v>
      </c>
      <c r="L1693" s="1" t="s">
        <v>29927</v>
      </c>
      <c r="M1693" s="1" t="s">
        <v>86</v>
      </c>
      <c r="N1693" s="1" t="s">
        <v>2125</v>
      </c>
      <c r="O1693" s="1" t="s">
        <v>29928</v>
      </c>
      <c r="P1693" s="1" t="s">
        <v>455</v>
      </c>
      <c r="Q1693" s="1" t="s">
        <v>29929</v>
      </c>
      <c r="R1693" s="1" t="s">
        <v>29930</v>
      </c>
      <c r="S1693" s="1">
        <v>9994366077</v>
      </c>
      <c r="T1693" s="1" t="s">
        <v>29931</v>
      </c>
      <c r="U1693" s="1" t="s">
        <v>29932</v>
      </c>
      <c r="V1693" s="1">
        <v>9894469769</v>
      </c>
      <c r="W1693" s="1" t="s">
        <v>278</v>
      </c>
      <c r="X1693" s="1" t="s">
        <v>29933</v>
      </c>
      <c r="Y1693" s="1" t="s">
        <v>822</v>
      </c>
      <c r="Z1693" s="1" t="s">
        <v>570</v>
      </c>
      <c r="AA1693" s="1" t="s">
        <v>29933</v>
      </c>
      <c r="AB1693" s="1" t="s">
        <v>822</v>
      </c>
      <c r="AC1693" s="1" t="s">
        <v>570</v>
      </c>
      <c r="AD1693" s="1" t="s">
        <v>98</v>
      </c>
      <c r="AE1693" s="1" t="s">
        <v>98</v>
      </c>
      <c r="AF1693" s="1" t="s">
        <v>29934</v>
      </c>
      <c r="AG1693" s="1" t="s">
        <v>29935</v>
      </c>
      <c r="AH1693" s="1" t="s">
        <v>3285</v>
      </c>
      <c r="AI1693" s="1" t="s">
        <v>254</v>
      </c>
      <c r="AJ1693" s="1">
        <v>70</v>
      </c>
      <c r="AK1693" s="1"/>
      <c r="AL1693" s="1" t="s">
        <v>29936</v>
      </c>
      <c r="AM1693" s="1" t="s">
        <v>29935</v>
      </c>
      <c r="AN1693" s="1"/>
      <c r="AO1693" s="1" t="s">
        <v>1213</v>
      </c>
      <c r="AP1693" s="1" t="s">
        <v>1262</v>
      </c>
      <c r="AQ1693" s="1">
        <v>80.25</v>
      </c>
      <c r="AR1693" s="1"/>
      <c r="AS1693" s="1"/>
      <c r="AT1693" s="1"/>
      <c r="AU1693" s="1"/>
      <c r="AV1693" s="1"/>
      <c r="AW1693" s="1"/>
      <c r="AX1693" s="1"/>
      <c r="AY1693" s="1" t="s">
        <v>576</v>
      </c>
      <c r="AZ1693" s="1" t="s">
        <v>23868</v>
      </c>
      <c r="BA1693" s="1"/>
      <c r="BB1693" s="1"/>
      <c r="BC1693" s="1" t="s">
        <v>135</v>
      </c>
      <c r="BD1693" s="1" t="s">
        <v>13133</v>
      </c>
      <c r="BE1693" s="1">
        <v>65</v>
      </c>
      <c r="BF1693" s="1"/>
      <c r="BG1693" s="1"/>
      <c r="BH1693" s="1"/>
      <c r="BI1693" s="1"/>
      <c r="BJ1693" s="1"/>
      <c r="BK1693" s="1"/>
      <c r="BL1693" s="1"/>
      <c r="BM1693" s="1"/>
      <c r="BN1693" s="1"/>
      <c r="BO1693" s="1" t="s">
        <v>369</v>
      </c>
      <c r="BP1693" s="1" t="s">
        <v>29937</v>
      </c>
      <c r="BQ1693" s="1" t="s">
        <v>1070</v>
      </c>
      <c r="BR1693" s="1" t="s">
        <v>29938</v>
      </c>
      <c r="BS1693" s="1">
        <v>53</v>
      </c>
      <c r="BT1693" s="1"/>
      <c r="BU1693" s="1" t="str">
        <f>HYPERLINK("https://nconnect.nicmar.ac.in/storage/profile/ProfilePhoto_p2270284_518273.jpg","Download")</f>
        <v>0</v>
      </c>
      <c r="BV1693" s="3"/>
      <c r="BW1693" s="3"/>
    </row>
    <row r="1694" spans="1:75">
      <c r="A1694" s="1" t="s">
        <v>75</v>
      </c>
      <c r="B1694" s="1" t="s">
        <v>25236</v>
      </c>
      <c r="C1694" s="1" t="s">
        <v>29939</v>
      </c>
      <c r="D1694" s="1" t="s">
        <v>6100</v>
      </c>
      <c r="E1694" s="1"/>
      <c r="F1694" s="1" t="s">
        <v>29940</v>
      </c>
      <c r="G1694" s="1" t="s">
        <v>29941</v>
      </c>
      <c r="H1694" s="1" t="s">
        <v>29942</v>
      </c>
      <c r="I1694" s="1" t="s">
        <v>29943</v>
      </c>
      <c r="J1694" s="1">
        <v>9842226880</v>
      </c>
      <c r="K1694" s="1" t="s">
        <v>84</v>
      </c>
      <c r="L1694" s="1" t="s">
        <v>29944</v>
      </c>
      <c r="M1694" s="1" t="s">
        <v>86</v>
      </c>
      <c r="N1694" s="1" t="s">
        <v>29945</v>
      </c>
      <c r="O1694" s="1" t="s">
        <v>29946</v>
      </c>
      <c r="P1694" s="1" t="s">
        <v>481</v>
      </c>
      <c r="Q1694" s="1" t="s">
        <v>29947</v>
      </c>
      <c r="R1694" s="1" t="s">
        <v>29948</v>
      </c>
      <c r="S1694" s="1">
        <v>9842270311</v>
      </c>
      <c r="T1694" s="1" t="s">
        <v>839</v>
      </c>
      <c r="U1694" s="1" t="s">
        <v>29949</v>
      </c>
      <c r="V1694" s="1">
        <v>9942233356</v>
      </c>
      <c r="W1694" s="1" t="s">
        <v>541</v>
      </c>
      <c r="X1694" s="1" t="s">
        <v>29950</v>
      </c>
      <c r="Y1694" s="1" t="s">
        <v>8931</v>
      </c>
      <c r="Z1694" s="1" t="s">
        <v>570</v>
      </c>
      <c r="AA1694" s="1" t="s">
        <v>29950</v>
      </c>
      <c r="AB1694" s="1" t="s">
        <v>8931</v>
      </c>
      <c r="AC1694" s="1" t="s">
        <v>570</v>
      </c>
      <c r="AD1694" s="1" t="s">
        <v>98</v>
      </c>
      <c r="AE1694" s="1" t="s">
        <v>98</v>
      </c>
      <c r="AF1694" s="1" t="s">
        <v>29951</v>
      </c>
      <c r="AG1694" s="1" t="s">
        <v>29952</v>
      </c>
      <c r="AH1694" s="1" t="s">
        <v>166</v>
      </c>
      <c r="AI1694" s="1" t="s">
        <v>1111</v>
      </c>
      <c r="AJ1694" s="1">
        <v>93.1</v>
      </c>
      <c r="AK1694" s="1">
        <v>9.8</v>
      </c>
      <c r="AL1694" s="1" t="s">
        <v>29953</v>
      </c>
      <c r="AM1694" s="1" t="s">
        <v>29952</v>
      </c>
      <c r="AN1694" s="1"/>
      <c r="AO1694" s="1" t="s">
        <v>170</v>
      </c>
      <c r="AP1694" s="1" t="s">
        <v>286</v>
      </c>
      <c r="AQ1694" s="1">
        <v>80</v>
      </c>
      <c r="AR1694" s="1"/>
      <c r="AS1694" s="1"/>
      <c r="AT1694" s="1"/>
      <c r="AU1694" s="1"/>
      <c r="AV1694" s="1"/>
      <c r="AW1694" s="1"/>
      <c r="AX1694" s="1"/>
      <c r="AY1694" s="1" t="s">
        <v>576</v>
      </c>
      <c r="AZ1694" s="1" t="s">
        <v>24206</v>
      </c>
      <c r="BA1694" s="1"/>
      <c r="BB1694" s="1"/>
      <c r="BC1694" s="1" t="s">
        <v>1065</v>
      </c>
      <c r="BD1694" s="1" t="s">
        <v>289</v>
      </c>
      <c r="BE1694" s="1">
        <v>81</v>
      </c>
      <c r="BF1694" s="1">
        <v>8.1</v>
      </c>
      <c r="BG1694" s="1"/>
      <c r="BH1694" s="1"/>
      <c r="BI1694" s="1"/>
      <c r="BJ1694" s="1"/>
      <c r="BK1694" s="1"/>
      <c r="BL1694" s="1"/>
      <c r="BM1694" s="1"/>
      <c r="BN1694" s="1"/>
      <c r="BO1694" s="1" t="s">
        <v>29954</v>
      </c>
      <c r="BP1694" s="1"/>
      <c r="BQ1694" s="1"/>
      <c r="BR1694" s="1" t="s">
        <v>29955</v>
      </c>
      <c r="BS1694" s="1">
        <v>20</v>
      </c>
      <c r="BT1694" s="1"/>
      <c r="BU1694" s="1" t="str">
        <f>HYPERLINK("https://nconnect.nicmar.ac.in/storage/profile/ProfilePhoto_p2270285_724368.jpg","Download")</f>
        <v>0</v>
      </c>
      <c r="BV1694" s="3"/>
      <c r="BW1694" s="3"/>
    </row>
    <row r="1695" spans="1:75">
      <c r="A1695" s="1" t="s">
        <v>75</v>
      </c>
      <c r="B1695" s="1" t="s">
        <v>25236</v>
      </c>
      <c r="C1695" s="1" t="s">
        <v>29956</v>
      </c>
      <c r="D1695" s="1" t="s">
        <v>8015</v>
      </c>
      <c r="E1695" s="1"/>
      <c r="F1695" s="1" t="s">
        <v>29957</v>
      </c>
      <c r="G1695" s="1" t="s">
        <v>29958</v>
      </c>
      <c r="H1695" s="1" t="s">
        <v>29959</v>
      </c>
      <c r="I1695" s="1" t="s">
        <v>29960</v>
      </c>
      <c r="J1695" s="1">
        <v>7550072588</v>
      </c>
      <c r="K1695" s="1" t="s">
        <v>84</v>
      </c>
      <c r="L1695" s="1" t="s">
        <v>29961</v>
      </c>
      <c r="M1695" s="1" t="s">
        <v>86</v>
      </c>
      <c r="N1695" s="1" t="s">
        <v>29962</v>
      </c>
      <c r="O1695" s="1" t="s">
        <v>29963</v>
      </c>
      <c r="P1695" s="1" t="s">
        <v>507</v>
      </c>
      <c r="Q1695" s="1" t="s">
        <v>29964</v>
      </c>
      <c r="R1695" s="1" t="s">
        <v>29965</v>
      </c>
      <c r="S1695" s="1">
        <v>9789826285</v>
      </c>
      <c r="T1695" s="1" t="s">
        <v>1552</v>
      </c>
      <c r="U1695" s="1" t="s">
        <v>29966</v>
      </c>
      <c r="V1695" s="1">
        <v>9361934258</v>
      </c>
      <c r="W1695" s="1" t="s">
        <v>1552</v>
      </c>
      <c r="X1695" s="1" t="s">
        <v>29967</v>
      </c>
      <c r="Y1695" s="1" t="s">
        <v>2131</v>
      </c>
      <c r="Z1695" s="1" t="s">
        <v>570</v>
      </c>
      <c r="AA1695" s="1" t="s">
        <v>29967</v>
      </c>
      <c r="AB1695" s="1" t="s">
        <v>2131</v>
      </c>
      <c r="AC1695" s="1" t="s">
        <v>570</v>
      </c>
      <c r="AD1695" s="1" t="s">
        <v>98</v>
      </c>
      <c r="AE1695" s="1" t="s">
        <v>98</v>
      </c>
      <c r="AF1695" s="1" t="s">
        <v>29968</v>
      </c>
      <c r="AG1695" s="1" t="s">
        <v>4362</v>
      </c>
      <c r="AH1695" s="1" t="s">
        <v>27648</v>
      </c>
      <c r="AI1695" s="1" t="s">
        <v>2611</v>
      </c>
      <c r="AJ1695" s="1">
        <v>73.18</v>
      </c>
      <c r="AK1695" s="1"/>
      <c r="AL1695" s="1" t="s">
        <v>29968</v>
      </c>
      <c r="AM1695" s="1" t="s">
        <v>4362</v>
      </c>
      <c r="AN1695" s="1"/>
      <c r="AO1695" s="1" t="s">
        <v>13871</v>
      </c>
      <c r="AP1695" s="1" t="s">
        <v>797</v>
      </c>
      <c r="AQ1695" s="1">
        <v>71.25</v>
      </c>
      <c r="AR1695" s="1"/>
      <c r="AS1695" s="1"/>
      <c r="AT1695" s="1"/>
      <c r="AU1695" s="1"/>
      <c r="AV1695" s="1"/>
      <c r="AW1695" s="1"/>
      <c r="AX1695" s="1"/>
      <c r="AY1695" s="1" t="s">
        <v>21103</v>
      </c>
      <c r="AZ1695" s="1" t="s">
        <v>29969</v>
      </c>
      <c r="BA1695" s="1"/>
      <c r="BB1695" s="1"/>
      <c r="BC1695" s="1" t="s">
        <v>10234</v>
      </c>
      <c r="BD1695" s="1" t="s">
        <v>29970</v>
      </c>
      <c r="BE1695" s="1">
        <v>63.9</v>
      </c>
      <c r="BF1695" s="1">
        <v>6.39</v>
      </c>
      <c r="BG1695" s="1"/>
      <c r="BH1695" s="1"/>
      <c r="BI1695" s="1"/>
      <c r="BJ1695" s="1"/>
      <c r="BK1695" s="1"/>
      <c r="BL1695" s="1"/>
      <c r="BM1695" s="1"/>
      <c r="BN1695" s="1"/>
      <c r="BO1695" s="1" t="s">
        <v>29971</v>
      </c>
      <c r="BP1695" s="1"/>
      <c r="BQ1695" s="1"/>
      <c r="BR1695" s="1" t="s">
        <v>29972</v>
      </c>
      <c r="BS1695" s="1">
        <v>7</v>
      </c>
      <c r="BT1695" s="1"/>
      <c r="BU1695" s="1" t="str">
        <f>HYPERLINK("https://nconnect.nicmar.ac.in/storage/profile/ProfilePhoto_p2270286_531846.jpg","Download")</f>
        <v>0</v>
      </c>
      <c r="BV1695" s="3"/>
      <c r="BW1695" s="3"/>
    </row>
    <row r="1696" spans="1:75">
      <c r="A1696" s="1" t="s">
        <v>75</v>
      </c>
      <c r="B1696" s="1" t="s">
        <v>25236</v>
      </c>
      <c r="C1696" s="1" t="s">
        <v>29973</v>
      </c>
      <c r="D1696" s="1" t="s">
        <v>29974</v>
      </c>
      <c r="E1696" s="1"/>
      <c r="F1696" s="1" t="s">
        <v>961</v>
      </c>
      <c r="G1696" s="1" t="s">
        <v>29975</v>
      </c>
      <c r="H1696" s="1" t="s">
        <v>29976</v>
      </c>
      <c r="I1696" s="1" t="s">
        <v>29977</v>
      </c>
      <c r="J1696" s="1">
        <v>7999199380</v>
      </c>
      <c r="K1696" s="1" t="s">
        <v>84</v>
      </c>
      <c r="L1696" s="1" t="s">
        <v>17909</v>
      </c>
      <c r="M1696" s="1" t="s">
        <v>86</v>
      </c>
      <c r="N1696" s="1" t="s">
        <v>29978</v>
      </c>
      <c r="O1696" s="1" t="s">
        <v>29979</v>
      </c>
      <c r="P1696" s="1" t="s">
        <v>455</v>
      </c>
      <c r="Q1696" s="1" t="s">
        <v>29980</v>
      </c>
      <c r="R1696" s="1" t="s">
        <v>29981</v>
      </c>
      <c r="S1696" s="1">
        <v>9174444884</v>
      </c>
      <c r="T1696" s="1" t="s">
        <v>29982</v>
      </c>
      <c r="U1696" s="1" t="s">
        <v>29983</v>
      </c>
      <c r="V1696" s="1">
        <v>9981074516</v>
      </c>
      <c r="W1696" s="1" t="s">
        <v>127</v>
      </c>
      <c r="X1696" s="1" t="s">
        <v>29984</v>
      </c>
      <c r="Y1696" s="1" t="s">
        <v>29985</v>
      </c>
      <c r="Z1696" s="1" t="s">
        <v>3419</v>
      </c>
      <c r="AA1696" s="1" t="s">
        <v>29984</v>
      </c>
      <c r="AB1696" s="1" t="s">
        <v>29985</v>
      </c>
      <c r="AC1696" s="1" t="s">
        <v>3419</v>
      </c>
      <c r="AD1696" s="1" t="s">
        <v>98</v>
      </c>
      <c r="AE1696" s="1" t="s">
        <v>98</v>
      </c>
      <c r="AF1696" s="1" t="s">
        <v>29986</v>
      </c>
      <c r="AG1696" s="1" t="s">
        <v>29987</v>
      </c>
      <c r="AH1696" s="1" t="s">
        <v>3421</v>
      </c>
      <c r="AI1696" s="1" t="s">
        <v>515</v>
      </c>
      <c r="AJ1696" s="1">
        <v>57.66</v>
      </c>
      <c r="AK1696" s="1">
        <v>6.1</v>
      </c>
      <c r="AL1696" s="1" t="s">
        <v>29988</v>
      </c>
      <c r="AM1696" s="1" t="s">
        <v>29987</v>
      </c>
      <c r="AN1696" s="1"/>
      <c r="AO1696" s="1" t="s">
        <v>1110</v>
      </c>
      <c r="AP1696" s="1" t="s">
        <v>1111</v>
      </c>
      <c r="AQ1696" s="1">
        <v>57.2</v>
      </c>
      <c r="AR1696" s="1">
        <v>6</v>
      </c>
      <c r="AS1696" s="1"/>
      <c r="AT1696" s="1"/>
      <c r="AU1696" s="1"/>
      <c r="AV1696" s="1"/>
      <c r="AW1696" s="1"/>
      <c r="AX1696" s="1"/>
      <c r="AY1696" s="1" t="s">
        <v>28897</v>
      </c>
      <c r="AZ1696" s="1" t="s">
        <v>29989</v>
      </c>
      <c r="BA1696" s="1"/>
      <c r="BB1696" s="1"/>
      <c r="BC1696" s="1" t="s">
        <v>139</v>
      </c>
      <c r="BD1696" s="1" t="s">
        <v>1171</v>
      </c>
      <c r="BE1696" s="1">
        <v>69</v>
      </c>
      <c r="BF1696" s="1">
        <v>6.9</v>
      </c>
      <c r="BG1696" s="1"/>
      <c r="BH1696" s="1"/>
      <c r="BI1696" s="1"/>
      <c r="BJ1696" s="1"/>
      <c r="BK1696" s="1"/>
      <c r="BL1696" s="1"/>
      <c r="BM1696" s="1"/>
      <c r="BN1696" s="1"/>
      <c r="BO1696" s="1" t="s">
        <v>29990</v>
      </c>
      <c r="BP1696" s="1" t="s">
        <v>29991</v>
      </c>
      <c r="BQ1696" s="1" t="s">
        <v>2116</v>
      </c>
      <c r="BR1696" s="1" t="s">
        <v>29992</v>
      </c>
      <c r="BS1696" s="1">
        <v>52</v>
      </c>
      <c r="BT1696" s="1"/>
      <c r="BU1696" s="1" t="str">
        <f>HYPERLINK("https://nconnect.nicmar.ac.in/storage/profile/ProfilePhoto_p2270288_537219.jpg","Download")</f>
        <v>0</v>
      </c>
      <c r="BV1696" s="3"/>
      <c r="BW1696" s="3"/>
    </row>
    <row r="1697" spans="1:75">
      <c r="A1697" s="1" t="s">
        <v>75</v>
      </c>
      <c r="B1697" s="1" t="s">
        <v>25236</v>
      </c>
      <c r="C1697" s="1" t="s">
        <v>29993</v>
      </c>
      <c r="D1697" s="1" t="s">
        <v>761</v>
      </c>
      <c r="E1697" s="1" t="s">
        <v>13179</v>
      </c>
      <c r="F1697" s="1" t="s">
        <v>29994</v>
      </c>
      <c r="G1697" s="1" t="s">
        <v>29995</v>
      </c>
      <c r="H1697" s="1" t="s">
        <v>29996</v>
      </c>
      <c r="I1697" s="1" t="s">
        <v>29997</v>
      </c>
      <c r="J1697" s="1">
        <v>9552958899</v>
      </c>
      <c r="K1697" s="1" t="s">
        <v>84</v>
      </c>
      <c r="L1697" s="1" t="s">
        <v>27780</v>
      </c>
      <c r="M1697" s="1" t="s">
        <v>86</v>
      </c>
      <c r="N1697" s="1" t="s">
        <v>618</v>
      </c>
      <c r="O1697" s="1" t="s">
        <v>29998</v>
      </c>
      <c r="P1697" s="1" t="s">
        <v>481</v>
      </c>
      <c r="Q1697" s="1" t="s">
        <v>29999</v>
      </c>
      <c r="R1697" s="1" t="s">
        <v>30000</v>
      </c>
      <c r="S1697" s="1">
        <v>9552243399</v>
      </c>
      <c r="T1697" s="1" t="s">
        <v>26069</v>
      </c>
      <c r="U1697" s="1" t="s">
        <v>30001</v>
      </c>
      <c r="V1697" s="1">
        <v>9403354429</v>
      </c>
      <c r="W1697" s="1" t="s">
        <v>278</v>
      </c>
      <c r="X1697" s="1" t="s">
        <v>30002</v>
      </c>
      <c r="Y1697" s="1" t="s">
        <v>196</v>
      </c>
      <c r="Z1697" s="1" t="s">
        <v>97</v>
      </c>
      <c r="AA1697" s="1" t="s">
        <v>30002</v>
      </c>
      <c r="AB1697" s="1" t="s">
        <v>196</v>
      </c>
      <c r="AC1697" s="1" t="s">
        <v>97</v>
      </c>
      <c r="AD1697" s="1" t="s">
        <v>98</v>
      </c>
      <c r="AE1697" s="1" t="s">
        <v>98</v>
      </c>
      <c r="AF1697" s="1" t="s">
        <v>30003</v>
      </c>
      <c r="AG1697" s="1" t="s">
        <v>30004</v>
      </c>
      <c r="AH1697" s="1" t="s">
        <v>166</v>
      </c>
      <c r="AI1697" s="1" t="s">
        <v>1111</v>
      </c>
      <c r="AJ1697" s="1">
        <v>88.6</v>
      </c>
      <c r="AK1697" s="1">
        <v>0</v>
      </c>
      <c r="AL1697" s="1" t="s">
        <v>30005</v>
      </c>
      <c r="AM1697" s="1" t="s">
        <v>30004</v>
      </c>
      <c r="AN1697" s="1"/>
      <c r="AO1697" s="1" t="s">
        <v>573</v>
      </c>
      <c r="AP1697" s="1" t="s">
        <v>286</v>
      </c>
      <c r="AQ1697" s="1">
        <v>68.92</v>
      </c>
      <c r="AR1697" s="1">
        <v>0</v>
      </c>
      <c r="AS1697" s="1"/>
      <c r="AT1697" s="1"/>
      <c r="AU1697" s="1"/>
      <c r="AV1697" s="1"/>
      <c r="AW1697" s="1"/>
      <c r="AX1697" s="1"/>
      <c r="AY1697" s="1" t="s">
        <v>366</v>
      </c>
      <c r="AZ1697" s="1" t="s">
        <v>30006</v>
      </c>
      <c r="BA1697" s="1"/>
      <c r="BB1697" s="1"/>
      <c r="BC1697" s="1" t="s">
        <v>106</v>
      </c>
      <c r="BD1697" s="1" t="s">
        <v>110</v>
      </c>
      <c r="BE1697" s="1">
        <v>81.92</v>
      </c>
      <c r="BF1697" s="1">
        <v>8.91</v>
      </c>
      <c r="BG1697" s="1"/>
      <c r="BH1697" s="1"/>
      <c r="BI1697" s="1"/>
      <c r="BJ1697" s="1"/>
      <c r="BK1697" s="1"/>
      <c r="BL1697" s="1"/>
      <c r="BM1697" s="1"/>
      <c r="BN1697" s="1"/>
      <c r="BO1697" s="1" t="s">
        <v>1114</v>
      </c>
      <c r="BP1697" s="1"/>
      <c r="BQ1697" s="1"/>
      <c r="BR1697" s="1" t="s">
        <v>30007</v>
      </c>
      <c r="BS1697" s="1">
        <v>7</v>
      </c>
      <c r="BT1697" s="1"/>
      <c r="BU1697" s="1" t="str">
        <f>HYPERLINK("https://nconnect.nicmar.ac.in/storage/profile/ProfilePhoto_p2270289_932587.jpg","Download")</f>
        <v>0</v>
      </c>
      <c r="BV1697" s="3"/>
      <c r="BW1697" s="3"/>
    </row>
    <row r="1698" spans="1:75">
      <c r="A1698" s="1" t="s">
        <v>75</v>
      </c>
      <c r="B1698" s="1" t="s">
        <v>25236</v>
      </c>
      <c r="C1698" s="1" t="s">
        <v>30008</v>
      </c>
      <c r="D1698" s="1" t="s">
        <v>25270</v>
      </c>
      <c r="E1698" s="1" t="s">
        <v>30009</v>
      </c>
      <c r="F1698" s="1" t="s">
        <v>22125</v>
      </c>
      <c r="G1698" s="1" t="s">
        <v>30010</v>
      </c>
      <c r="H1698" s="1" t="s">
        <v>30011</v>
      </c>
      <c r="I1698" s="1" t="s">
        <v>30012</v>
      </c>
      <c r="J1698" s="1">
        <v>7378627143</v>
      </c>
      <c r="K1698" s="1" t="s">
        <v>84</v>
      </c>
      <c r="L1698" s="1" t="s">
        <v>25470</v>
      </c>
      <c r="M1698" s="1" t="s">
        <v>86</v>
      </c>
      <c r="N1698" s="1" t="s">
        <v>903</v>
      </c>
      <c r="O1698" s="1" t="s">
        <v>30013</v>
      </c>
      <c r="P1698" s="1" t="s">
        <v>507</v>
      </c>
      <c r="Q1698" s="1" t="s">
        <v>30014</v>
      </c>
      <c r="R1698" s="1" t="s">
        <v>30015</v>
      </c>
      <c r="S1698" s="1">
        <v>8888841370</v>
      </c>
      <c r="T1698" s="1" t="s">
        <v>382</v>
      </c>
      <c r="U1698" s="1" t="s">
        <v>30016</v>
      </c>
      <c r="V1698" s="1">
        <v>8805442969</v>
      </c>
      <c r="W1698" s="1" t="s">
        <v>541</v>
      </c>
      <c r="X1698" s="1" t="s">
        <v>30017</v>
      </c>
      <c r="Y1698" s="1" t="s">
        <v>410</v>
      </c>
      <c r="Z1698" s="1" t="s">
        <v>97</v>
      </c>
      <c r="AA1698" s="1" t="s">
        <v>30017</v>
      </c>
      <c r="AB1698" s="1" t="s">
        <v>410</v>
      </c>
      <c r="AC1698" s="1" t="s">
        <v>97</v>
      </c>
      <c r="AD1698" s="1" t="s">
        <v>98</v>
      </c>
      <c r="AE1698" s="1" t="s">
        <v>98</v>
      </c>
      <c r="AF1698" s="1" t="s">
        <v>30018</v>
      </c>
      <c r="AG1698" s="1" t="s">
        <v>996</v>
      </c>
      <c r="AH1698" s="1" t="s">
        <v>101</v>
      </c>
      <c r="AI1698" s="1" t="s">
        <v>102</v>
      </c>
      <c r="AJ1698" s="1">
        <v>78</v>
      </c>
      <c r="AK1698" s="1">
        <v>0</v>
      </c>
      <c r="AL1698" s="1" t="s">
        <v>30019</v>
      </c>
      <c r="AM1698" s="1" t="s">
        <v>996</v>
      </c>
      <c r="AN1698" s="1"/>
      <c r="AO1698" s="1" t="s">
        <v>284</v>
      </c>
      <c r="AP1698" s="1" t="s">
        <v>518</v>
      </c>
      <c r="AQ1698" s="1">
        <v>66.15</v>
      </c>
      <c r="AR1698" s="1">
        <v>0</v>
      </c>
      <c r="AS1698" s="1"/>
      <c r="AT1698" s="1"/>
      <c r="AU1698" s="1"/>
      <c r="AV1698" s="1"/>
      <c r="AW1698" s="1"/>
      <c r="AX1698" s="1"/>
      <c r="AY1698" s="1" t="s">
        <v>30020</v>
      </c>
      <c r="AZ1698" s="1" t="s">
        <v>26393</v>
      </c>
      <c r="BA1698" s="1"/>
      <c r="BB1698" s="1"/>
      <c r="BC1698" s="1" t="s">
        <v>1065</v>
      </c>
      <c r="BD1698" s="1" t="s">
        <v>289</v>
      </c>
      <c r="BE1698" s="1">
        <v>64.9</v>
      </c>
      <c r="BF1698" s="1">
        <v>7.24</v>
      </c>
      <c r="BG1698" s="1"/>
      <c r="BH1698" s="1"/>
      <c r="BI1698" s="1"/>
      <c r="BJ1698" s="1"/>
      <c r="BK1698" s="1"/>
      <c r="BL1698" s="1"/>
      <c r="BM1698" s="1"/>
      <c r="BN1698" s="1"/>
      <c r="BO1698" s="1" t="s">
        <v>30021</v>
      </c>
      <c r="BP1698" s="1"/>
      <c r="BQ1698" s="1"/>
      <c r="BR1698" s="1" t="s">
        <v>30022</v>
      </c>
      <c r="BS1698" s="1">
        <v>25</v>
      </c>
      <c r="BT1698" s="1"/>
      <c r="BU1698" s="1" t="str">
        <f>HYPERLINK("https://nconnect.nicmar.ac.in/storage/profile/ProfilePhoto_p2270290_869572.jpg","Download")</f>
        <v>0</v>
      </c>
      <c r="BV1698" s="3"/>
      <c r="BW1698" s="3"/>
    </row>
    <row r="1699" spans="1:75">
      <c r="A1699" s="1" t="s">
        <v>75</v>
      </c>
      <c r="B1699" s="1" t="s">
        <v>25236</v>
      </c>
      <c r="C1699" s="1" t="s">
        <v>30023</v>
      </c>
      <c r="D1699" s="1" t="s">
        <v>30024</v>
      </c>
      <c r="E1699" s="1" t="s">
        <v>30025</v>
      </c>
      <c r="F1699" s="1" t="s">
        <v>7180</v>
      </c>
      <c r="G1699" s="1" t="s">
        <v>30026</v>
      </c>
      <c r="H1699" s="1" t="s">
        <v>30027</v>
      </c>
      <c r="I1699" s="1" t="s">
        <v>30028</v>
      </c>
      <c r="J1699" s="1">
        <v>9167966838</v>
      </c>
      <c r="K1699" s="1" t="s">
        <v>153</v>
      </c>
      <c r="L1699" s="1" t="s">
        <v>9501</v>
      </c>
      <c r="M1699" s="1" t="s">
        <v>86</v>
      </c>
      <c r="N1699" s="1" t="s">
        <v>4278</v>
      </c>
      <c r="O1699" s="1"/>
      <c r="P1699" s="1" t="s">
        <v>455</v>
      </c>
      <c r="Q1699" s="1" t="s">
        <v>30029</v>
      </c>
      <c r="R1699" s="1" t="s">
        <v>30030</v>
      </c>
      <c r="S1699" s="1">
        <v>9833899948</v>
      </c>
      <c r="T1699" s="1" t="s">
        <v>8423</v>
      </c>
      <c r="U1699" s="1" t="s">
        <v>30031</v>
      </c>
      <c r="V1699" s="1">
        <v>9833899948</v>
      </c>
      <c r="W1699" s="1" t="s">
        <v>127</v>
      </c>
      <c r="X1699" s="1" t="s">
        <v>30032</v>
      </c>
      <c r="Y1699" s="1" t="s">
        <v>1882</v>
      </c>
      <c r="Z1699" s="1" t="s">
        <v>97</v>
      </c>
      <c r="AA1699" s="1" t="s">
        <v>30033</v>
      </c>
      <c r="AB1699" s="1" t="s">
        <v>1189</v>
      </c>
      <c r="AC1699" s="1" t="s">
        <v>97</v>
      </c>
      <c r="AD1699" s="1" t="s">
        <v>98</v>
      </c>
      <c r="AE1699" s="1" t="s">
        <v>98</v>
      </c>
      <c r="AF1699" s="1" t="s">
        <v>30034</v>
      </c>
      <c r="AG1699" s="1" t="s">
        <v>30035</v>
      </c>
      <c r="AH1699" s="1" t="s">
        <v>1457</v>
      </c>
      <c r="AI1699" s="1" t="s">
        <v>1262</v>
      </c>
      <c r="AJ1699" s="1">
        <v>81.5</v>
      </c>
      <c r="AK1699" s="1">
        <v>0</v>
      </c>
      <c r="AL1699" s="1" t="s">
        <v>30036</v>
      </c>
      <c r="AM1699" s="1" t="s">
        <v>30035</v>
      </c>
      <c r="AN1699" s="1"/>
      <c r="AO1699" s="1" t="s">
        <v>166</v>
      </c>
      <c r="AP1699" s="1" t="s">
        <v>167</v>
      </c>
      <c r="AQ1699" s="1">
        <v>58.15</v>
      </c>
      <c r="AR1699" s="1">
        <v>0</v>
      </c>
      <c r="AS1699" s="1"/>
      <c r="AT1699" s="1"/>
      <c r="AU1699" s="1"/>
      <c r="AV1699" s="1"/>
      <c r="AW1699" s="1"/>
      <c r="AX1699" s="1"/>
      <c r="AY1699" s="1" t="s">
        <v>258</v>
      </c>
      <c r="AZ1699" s="1" t="s">
        <v>30037</v>
      </c>
      <c r="BA1699" s="1"/>
      <c r="BB1699" s="1"/>
      <c r="BC1699" s="1" t="s">
        <v>139</v>
      </c>
      <c r="BD1699" s="1" t="s">
        <v>847</v>
      </c>
      <c r="BE1699" s="1">
        <v>69.5</v>
      </c>
      <c r="BF1699" s="1">
        <v>7.77</v>
      </c>
      <c r="BG1699" s="1"/>
      <c r="BH1699" s="1"/>
      <c r="BI1699" s="1"/>
      <c r="BJ1699" s="1"/>
      <c r="BK1699" s="1"/>
      <c r="BL1699" s="1"/>
      <c r="BM1699" s="1"/>
      <c r="BN1699" s="1"/>
      <c r="BO1699" s="1" t="s">
        <v>6042</v>
      </c>
      <c r="BP1699" s="1"/>
      <c r="BQ1699" s="1"/>
      <c r="BR1699" s="1" t="s">
        <v>30038</v>
      </c>
      <c r="BS1699" s="1">
        <v>44</v>
      </c>
      <c r="BT1699" s="1"/>
      <c r="BU1699" s="1" t="str">
        <f>HYPERLINK("https://nconnect.nicmar.ac.in/storage/profile/ProfilePhoto_p2270291_376489.jpg","Download")</f>
        <v>0</v>
      </c>
      <c r="BV1699" s="3"/>
      <c r="BW1699" s="3"/>
    </row>
    <row r="1700" spans="1:75">
      <c r="A1700" s="1" t="s">
        <v>75</v>
      </c>
      <c r="B1700" s="1" t="s">
        <v>25236</v>
      </c>
      <c r="C1700" s="1" t="s">
        <v>30039</v>
      </c>
      <c r="D1700" s="1" t="s">
        <v>7090</v>
      </c>
      <c r="E1700" s="1"/>
      <c r="F1700" s="1" t="s">
        <v>30040</v>
      </c>
      <c r="G1700" s="1" t="s">
        <v>30041</v>
      </c>
      <c r="H1700" s="1" t="s">
        <v>30042</v>
      </c>
      <c r="I1700" s="1" t="s">
        <v>30043</v>
      </c>
      <c r="J1700" s="1">
        <v>9637712616</v>
      </c>
      <c r="K1700" s="1" t="s">
        <v>84</v>
      </c>
      <c r="L1700" s="1" t="s">
        <v>30044</v>
      </c>
      <c r="M1700" s="1" t="s">
        <v>86</v>
      </c>
      <c r="N1700" s="1" t="s">
        <v>1163</v>
      </c>
      <c r="O1700" s="1" t="s">
        <v>30045</v>
      </c>
      <c r="P1700" s="1" t="s">
        <v>481</v>
      </c>
      <c r="Q1700" s="1" t="s">
        <v>30046</v>
      </c>
      <c r="R1700" s="1" t="s">
        <v>30047</v>
      </c>
      <c r="S1700" s="1">
        <v>7743862308</v>
      </c>
      <c r="T1700" s="1" t="s">
        <v>159</v>
      </c>
      <c r="U1700" s="1" t="s">
        <v>8537</v>
      </c>
      <c r="V1700" s="1">
        <v>9766523512</v>
      </c>
      <c r="W1700" s="1" t="s">
        <v>161</v>
      </c>
      <c r="X1700" s="1" t="s">
        <v>30048</v>
      </c>
      <c r="Y1700" s="1" t="s">
        <v>333</v>
      </c>
      <c r="Z1700" s="1" t="s">
        <v>97</v>
      </c>
      <c r="AA1700" s="1" t="s">
        <v>30048</v>
      </c>
      <c r="AB1700" s="1" t="s">
        <v>333</v>
      </c>
      <c r="AC1700" s="1" t="s">
        <v>97</v>
      </c>
      <c r="AD1700" s="1" t="s">
        <v>98</v>
      </c>
      <c r="AE1700" s="1" t="s">
        <v>98</v>
      </c>
      <c r="AF1700" s="1" t="s">
        <v>30049</v>
      </c>
      <c r="AG1700" s="1" t="s">
        <v>2379</v>
      </c>
      <c r="AH1700" s="1" t="s">
        <v>1213</v>
      </c>
      <c r="AI1700" s="1" t="s">
        <v>101</v>
      </c>
      <c r="AJ1700" s="1">
        <v>90.2</v>
      </c>
      <c r="AK1700" s="1"/>
      <c r="AL1700" s="1" t="s">
        <v>30050</v>
      </c>
      <c r="AM1700" s="1" t="s">
        <v>2379</v>
      </c>
      <c r="AN1700" s="1"/>
      <c r="AO1700" s="1" t="s">
        <v>166</v>
      </c>
      <c r="AP1700" s="1" t="s">
        <v>627</v>
      </c>
      <c r="AQ1700" s="1">
        <v>55.2</v>
      </c>
      <c r="AR1700" s="1"/>
      <c r="AS1700" s="1"/>
      <c r="AT1700" s="1"/>
      <c r="AU1700" s="1"/>
      <c r="AV1700" s="1"/>
      <c r="AW1700" s="1"/>
      <c r="AX1700" s="1"/>
      <c r="AY1700" s="1" t="s">
        <v>30051</v>
      </c>
      <c r="AZ1700" s="1" t="s">
        <v>30052</v>
      </c>
      <c r="BA1700" s="1"/>
      <c r="BB1700" s="1"/>
      <c r="BC1700" s="1" t="s">
        <v>139</v>
      </c>
      <c r="BD1700" s="1" t="s">
        <v>289</v>
      </c>
      <c r="BE1700" s="1">
        <v>77.3</v>
      </c>
      <c r="BF1700" s="1">
        <v>7.73</v>
      </c>
      <c r="BG1700" s="1"/>
      <c r="BH1700" s="1"/>
      <c r="BI1700" s="1"/>
      <c r="BJ1700" s="1"/>
      <c r="BK1700" s="1"/>
      <c r="BL1700" s="1"/>
      <c r="BM1700" s="1"/>
      <c r="BN1700" s="1"/>
      <c r="BO1700" s="1" t="s">
        <v>30053</v>
      </c>
      <c r="BP1700" s="1"/>
      <c r="BQ1700" s="1"/>
      <c r="BR1700" s="1" t="s">
        <v>30054</v>
      </c>
      <c r="BS1700" s="1">
        <v>35</v>
      </c>
      <c r="BT1700" s="1"/>
      <c r="BU1700" s="1" t="str">
        <f>HYPERLINK("https://nconnect.nicmar.ac.in/storage/profile/ProfilePhoto_p2270292_274968.jpg","Download")</f>
        <v>0</v>
      </c>
      <c r="BV1700" s="3"/>
      <c r="BW1700" s="3"/>
    </row>
    <row r="1701" spans="1:75">
      <c r="A1701" s="1" t="s">
        <v>75</v>
      </c>
      <c r="B1701" s="1" t="s">
        <v>25236</v>
      </c>
      <c r="C1701" s="1" t="s">
        <v>30055</v>
      </c>
      <c r="D1701" s="1" t="s">
        <v>2097</v>
      </c>
      <c r="E1701" s="1"/>
      <c r="F1701" s="1" t="s">
        <v>29158</v>
      </c>
      <c r="G1701" s="1" t="s">
        <v>30056</v>
      </c>
      <c r="H1701" s="1" t="s">
        <v>30057</v>
      </c>
      <c r="I1701" s="1" t="s">
        <v>30058</v>
      </c>
      <c r="J1701" s="1">
        <v>8867379932</v>
      </c>
      <c r="K1701" s="1" t="s">
        <v>84</v>
      </c>
      <c r="L1701" s="1" t="s">
        <v>30059</v>
      </c>
      <c r="M1701" s="1" t="s">
        <v>86</v>
      </c>
      <c r="N1701" s="1" t="s">
        <v>1343</v>
      </c>
      <c r="O1701" s="1" t="s">
        <v>30060</v>
      </c>
      <c r="P1701" s="1" t="s">
        <v>481</v>
      </c>
      <c r="Q1701" s="1" t="s">
        <v>30061</v>
      </c>
      <c r="R1701" s="1" t="s">
        <v>30062</v>
      </c>
      <c r="S1701" s="1">
        <v>9880519951</v>
      </c>
      <c r="T1701" s="1" t="s">
        <v>30063</v>
      </c>
      <c r="U1701" s="1" t="s">
        <v>30064</v>
      </c>
      <c r="V1701" s="1">
        <v>8861323343</v>
      </c>
      <c r="W1701" s="1" t="s">
        <v>94</v>
      </c>
      <c r="X1701" s="1" t="s">
        <v>30065</v>
      </c>
      <c r="Y1701" s="1" t="s">
        <v>21046</v>
      </c>
      <c r="Z1701" s="1" t="s">
        <v>1210</v>
      </c>
      <c r="AA1701" s="1" t="s">
        <v>30065</v>
      </c>
      <c r="AB1701" s="1" t="s">
        <v>21046</v>
      </c>
      <c r="AC1701" s="1" t="s">
        <v>1210</v>
      </c>
      <c r="AD1701" s="1" t="s">
        <v>98</v>
      </c>
      <c r="AE1701" s="1" t="s">
        <v>98</v>
      </c>
      <c r="AF1701" s="1" t="s">
        <v>26408</v>
      </c>
      <c r="AG1701" s="1" t="s">
        <v>30066</v>
      </c>
      <c r="AH1701" s="1" t="s">
        <v>1213</v>
      </c>
      <c r="AI1701" s="1" t="s">
        <v>1214</v>
      </c>
      <c r="AJ1701" s="1">
        <v>84.32</v>
      </c>
      <c r="AK1701" s="1">
        <v>8.4</v>
      </c>
      <c r="AL1701" s="1" t="s">
        <v>30067</v>
      </c>
      <c r="AM1701" s="1" t="s">
        <v>30066</v>
      </c>
      <c r="AN1701" s="1"/>
      <c r="AO1701" s="1" t="s">
        <v>166</v>
      </c>
      <c r="AP1701" s="1" t="s">
        <v>1111</v>
      </c>
      <c r="AQ1701" s="1">
        <v>68.33</v>
      </c>
      <c r="AR1701" s="1">
        <v>6.8</v>
      </c>
      <c r="AS1701" s="1"/>
      <c r="AT1701" s="1"/>
      <c r="AU1701" s="1"/>
      <c r="AV1701" s="1"/>
      <c r="AW1701" s="1"/>
      <c r="AX1701" s="1"/>
      <c r="AY1701" s="1" t="s">
        <v>7595</v>
      </c>
      <c r="AZ1701" s="1" t="s">
        <v>30068</v>
      </c>
      <c r="BA1701" s="1"/>
      <c r="BB1701" s="1"/>
      <c r="BC1701" s="1" t="s">
        <v>139</v>
      </c>
      <c r="BD1701" s="1" t="s">
        <v>178</v>
      </c>
      <c r="BE1701" s="1">
        <v>78.5</v>
      </c>
      <c r="BF1701" s="1">
        <v>7.85</v>
      </c>
      <c r="BG1701" s="1"/>
      <c r="BH1701" s="1"/>
      <c r="BI1701" s="1"/>
      <c r="BJ1701" s="1"/>
      <c r="BK1701" s="1"/>
      <c r="BL1701" s="1"/>
      <c r="BM1701" s="1"/>
      <c r="BN1701" s="1"/>
      <c r="BO1701" s="1" t="s">
        <v>734</v>
      </c>
      <c r="BP1701" s="1"/>
      <c r="BQ1701" s="1"/>
      <c r="BR1701" s="1" t="s">
        <v>30069</v>
      </c>
      <c r="BS1701" s="1">
        <v>25</v>
      </c>
      <c r="BT1701" s="1"/>
      <c r="BU1701" s="1" t="str">
        <f>HYPERLINK("https://nconnect.nicmar.ac.in/storage/profile/ProfilePhoto_p2270293_317645.jpg","Download")</f>
        <v>0</v>
      </c>
      <c r="BV1701" s="3"/>
      <c r="BW1701" s="3"/>
    </row>
    <row r="1702" spans="1:75">
      <c r="A1702" s="1" t="s">
        <v>75</v>
      </c>
      <c r="B1702" s="1" t="s">
        <v>25236</v>
      </c>
      <c r="C1702" s="1" t="s">
        <v>30070</v>
      </c>
      <c r="D1702" s="1" t="s">
        <v>30071</v>
      </c>
      <c r="E1702" s="1" t="s">
        <v>2273</v>
      </c>
      <c r="F1702" s="1" t="s">
        <v>30072</v>
      </c>
      <c r="G1702" s="1" t="s">
        <v>30073</v>
      </c>
      <c r="H1702" s="1" t="s">
        <v>30074</v>
      </c>
      <c r="I1702" s="1" t="s">
        <v>30075</v>
      </c>
      <c r="J1702" s="1">
        <v>9743714758</v>
      </c>
      <c r="K1702" s="1" t="s">
        <v>84</v>
      </c>
      <c r="L1702" s="1" t="s">
        <v>30076</v>
      </c>
      <c r="M1702" s="1" t="s">
        <v>86</v>
      </c>
      <c r="N1702" s="1" t="s">
        <v>30077</v>
      </c>
      <c r="O1702" s="1"/>
      <c r="P1702" s="1" t="s">
        <v>455</v>
      </c>
      <c r="Q1702" s="1" t="s">
        <v>30078</v>
      </c>
      <c r="R1702" s="1" t="s">
        <v>30079</v>
      </c>
      <c r="S1702" s="1">
        <v>9448986225</v>
      </c>
      <c r="T1702" s="1" t="s">
        <v>839</v>
      </c>
      <c r="U1702" s="1" t="s">
        <v>30080</v>
      </c>
      <c r="V1702" s="1">
        <v>7259351670</v>
      </c>
      <c r="W1702" s="1" t="s">
        <v>94</v>
      </c>
      <c r="X1702" s="1" t="s">
        <v>30081</v>
      </c>
      <c r="Y1702" s="1" t="s">
        <v>27966</v>
      </c>
      <c r="Z1702" s="1" t="s">
        <v>1210</v>
      </c>
      <c r="AA1702" s="1" t="s">
        <v>30081</v>
      </c>
      <c r="AB1702" s="1" t="s">
        <v>27966</v>
      </c>
      <c r="AC1702" s="1" t="s">
        <v>1210</v>
      </c>
      <c r="AD1702" s="1" t="s">
        <v>98</v>
      </c>
      <c r="AE1702" s="1" t="s">
        <v>98</v>
      </c>
      <c r="AF1702" s="1" t="s">
        <v>30082</v>
      </c>
      <c r="AG1702" s="1" t="s">
        <v>30083</v>
      </c>
      <c r="AH1702" s="1" t="s">
        <v>1213</v>
      </c>
      <c r="AI1702" s="1" t="s">
        <v>1262</v>
      </c>
      <c r="AJ1702" s="1">
        <v>87.4</v>
      </c>
      <c r="AK1702" s="1">
        <v>8.74</v>
      </c>
      <c r="AL1702" s="1" t="s">
        <v>23390</v>
      </c>
      <c r="AM1702" s="1" t="s">
        <v>30083</v>
      </c>
      <c r="AN1702" s="1"/>
      <c r="AO1702" s="1" t="s">
        <v>166</v>
      </c>
      <c r="AP1702" s="1" t="s">
        <v>627</v>
      </c>
      <c r="AQ1702" s="1">
        <v>83.33</v>
      </c>
      <c r="AR1702" s="1">
        <v>8.3</v>
      </c>
      <c r="AS1702" s="1"/>
      <c r="AT1702" s="1"/>
      <c r="AU1702" s="1"/>
      <c r="AV1702" s="1"/>
      <c r="AW1702" s="1"/>
      <c r="AX1702" s="1"/>
      <c r="AY1702" s="1" t="s">
        <v>7595</v>
      </c>
      <c r="AZ1702" s="1" t="s">
        <v>30084</v>
      </c>
      <c r="BA1702" s="1"/>
      <c r="BB1702" s="1"/>
      <c r="BC1702" s="1" t="s">
        <v>139</v>
      </c>
      <c r="BD1702" s="1" t="s">
        <v>468</v>
      </c>
      <c r="BE1702" s="1">
        <v>81.7</v>
      </c>
      <c r="BF1702" s="1">
        <v>8.17</v>
      </c>
      <c r="BG1702" s="1"/>
      <c r="BH1702" s="1"/>
      <c r="BI1702" s="1"/>
      <c r="BJ1702" s="1"/>
      <c r="BK1702" s="1"/>
      <c r="BL1702" s="1"/>
      <c r="BM1702" s="1"/>
      <c r="BN1702" s="1"/>
      <c r="BO1702" s="1" t="s">
        <v>1114</v>
      </c>
      <c r="BP1702" s="1" t="s">
        <v>30085</v>
      </c>
      <c r="BQ1702" s="1" t="s">
        <v>4149</v>
      </c>
      <c r="BR1702" s="1" t="s">
        <v>30086</v>
      </c>
      <c r="BS1702" s="1">
        <v>18</v>
      </c>
      <c r="BT1702" s="1"/>
      <c r="BU1702" s="1" t="str">
        <f>HYPERLINK("https://nconnect.nicmar.ac.in/storage/profile/ProfilePhoto_p2270294_749536.jpg","Download")</f>
        <v>0</v>
      </c>
      <c r="BV1702" s="3"/>
      <c r="BW1702" s="3"/>
    </row>
    <row r="1703" spans="1:75">
      <c r="A1703" s="1" t="s">
        <v>75</v>
      </c>
      <c r="B1703" s="1" t="s">
        <v>25236</v>
      </c>
      <c r="C1703" s="1" t="s">
        <v>30087</v>
      </c>
      <c r="D1703" s="1" t="s">
        <v>30088</v>
      </c>
      <c r="E1703" s="1" t="s">
        <v>4707</v>
      </c>
      <c r="F1703" s="1" t="s">
        <v>1179</v>
      </c>
      <c r="G1703" s="1" t="s">
        <v>30089</v>
      </c>
      <c r="H1703" s="1" t="s">
        <v>30090</v>
      </c>
      <c r="I1703" s="1" t="s">
        <v>30090</v>
      </c>
      <c r="J1703" s="1">
        <v>9405146495</v>
      </c>
      <c r="K1703" s="1" t="s">
        <v>153</v>
      </c>
      <c r="L1703" s="1" t="s">
        <v>30091</v>
      </c>
      <c r="M1703" s="1" t="s">
        <v>86</v>
      </c>
      <c r="N1703" s="1" t="s">
        <v>30092</v>
      </c>
      <c r="O1703" s="1"/>
      <c r="P1703" s="1" t="s">
        <v>455</v>
      </c>
      <c r="Q1703" s="1" t="s">
        <v>30093</v>
      </c>
      <c r="R1703" s="1" t="s">
        <v>30094</v>
      </c>
      <c r="S1703" s="1">
        <v>9405146845</v>
      </c>
      <c r="T1703" s="1" t="s">
        <v>2375</v>
      </c>
      <c r="U1703" s="1" t="s">
        <v>30095</v>
      </c>
      <c r="V1703" s="1">
        <v>9421708334</v>
      </c>
      <c r="W1703" s="1" t="s">
        <v>278</v>
      </c>
      <c r="X1703" s="1" t="s">
        <v>30096</v>
      </c>
      <c r="Y1703" s="1" t="s">
        <v>410</v>
      </c>
      <c r="Z1703" s="1" t="s">
        <v>97</v>
      </c>
      <c r="AA1703" s="1" t="s">
        <v>30097</v>
      </c>
      <c r="AB1703" s="1" t="s">
        <v>196</v>
      </c>
      <c r="AC1703" s="1" t="s">
        <v>97</v>
      </c>
      <c r="AD1703" s="1" t="s">
        <v>98</v>
      </c>
      <c r="AE1703" s="1" t="s">
        <v>98</v>
      </c>
      <c r="AF1703" s="1" t="s">
        <v>30098</v>
      </c>
      <c r="AG1703" s="1" t="s">
        <v>30099</v>
      </c>
      <c r="AH1703" s="1" t="s">
        <v>337</v>
      </c>
      <c r="AI1703" s="1" t="s">
        <v>3965</v>
      </c>
      <c r="AJ1703" s="1">
        <v>82.91</v>
      </c>
      <c r="AK1703" s="1">
        <v>0</v>
      </c>
      <c r="AL1703" s="1" t="s">
        <v>30098</v>
      </c>
      <c r="AM1703" s="1" t="s">
        <v>30099</v>
      </c>
      <c r="AN1703" s="1"/>
      <c r="AO1703" s="1" t="s">
        <v>30100</v>
      </c>
      <c r="AP1703" s="1" t="s">
        <v>3967</v>
      </c>
      <c r="AQ1703" s="1">
        <v>72.62</v>
      </c>
      <c r="AR1703" s="1">
        <v>0</v>
      </c>
      <c r="AS1703" s="1"/>
      <c r="AT1703" s="1"/>
      <c r="AU1703" s="1"/>
      <c r="AV1703" s="1"/>
      <c r="AW1703" s="1"/>
      <c r="AX1703" s="1"/>
      <c r="AY1703" s="1" t="s">
        <v>415</v>
      </c>
      <c r="AZ1703" s="1" t="s">
        <v>1478</v>
      </c>
      <c r="BA1703" s="1"/>
      <c r="BB1703" s="1"/>
      <c r="BC1703" s="1" t="s">
        <v>257</v>
      </c>
      <c r="BD1703" s="1" t="s">
        <v>417</v>
      </c>
      <c r="BE1703" s="1">
        <v>71</v>
      </c>
      <c r="BF1703" s="1">
        <v>7.88</v>
      </c>
      <c r="BG1703" s="1"/>
      <c r="BH1703" s="1"/>
      <c r="BI1703" s="1"/>
      <c r="BJ1703" s="1"/>
      <c r="BK1703" s="1"/>
      <c r="BL1703" s="1"/>
      <c r="BM1703" s="1"/>
      <c r="BN1703" s="1"/>
      <c r="BO1703" s="1" t="s">
        <v>30101</v>
      </c>
      <c r="BP1703" s="1" t="s">
        <v>30102</v>
      </c>
      <c r="BQ1703" s="1" t="s">
        <v>893</v>
      </c>
      <c r="BR1703" s="1" t="s">
        <v>30103</v>
      </c>
      <c r="BS1703" s="1">
        <v>67</v>
      </c>
      <c r="BT1703" s="1"/>
      <c r="BU1703" s="1" t="str">
        <f>HYPERLINK("https://nconnect.nicmar.ac.in/storage/profile/ProfilePhoto_p2270295_674589.jpg","Download")</f>
        <v>0</v>
      </c>
      <c r="BV1703" s="3"/>
      <c r="BW1703" s="3"/>
    </row>
    <row r="1704" spans="1:75">
      <c r="A1704" s="1" t="s">
        <v>75</v>
      </c>
      <c r="B1704" s="1" t="s">
        <v>25236</v>
      </c>
      <c r="C1704" s="1" t="s">
        <v>30104</v>
      </c>
      <c r="D1704" s="1" t="s">
        <v>2829</v>
      </c>
      <c r="E1704" s="1" t="s">
        <v>186</v>
      </c>
      <c r="F1704" s="1" t="s">
        <v>30105</v>
      </c>
      <c r="G1704" s="1" t="s">
        <v>30106</v>
      </c>
      <c r="H1704" s="1" t="s">
        <v>30107</v>
      </c>
      <c r="I1704" s="1" t="s">
        <v>30108</v>
      </c>
      <c r="J1704" s="1">
        <v>9632897951</v>
      </c>
      <c r="K1704" s="1" t="s">
        <v>84</v>
      </c>
      <c r="L1704" s="1" t="s">
        <v>30109</v>
      </c>
      <c r="M1704" s="1" t="s">
        <v>86</v>
      </c>
      <c r="N1704" s="1" t="s">
        <v>8258</v>
      </c>
      <c r="O1704" s="1" t="s">
        <v>30110</v>
      </c>
      <c r="P1704" s="1" t="s">
        <v>507</v>
      </c>
      <c r="Q1704" s="1" t="s">
        <v>30111</v>
      </c>
      <c r="R1704" s="1" t="s">
        <v>30112</v>
      </c>
      <c r="S1704" s="1">
        <v>9448637951</v>
      </c>
      <c r="T1704" s="1" t="s">
        <v>839</v>
      </c>
      <c r="U1704" s="1" t="s">
        <v>30113</v>
      </c>
      <c r="V1704" s="1">
        <v>9481326396</v>
      </c>
      <c r="W1704" s="1" t="s">
        <v>278</v>
      </c>
      <c r="X1704" s="1" t="s">
        <v>30114</v>
      </c>
      <c r="Y1704" s="1" t="s">
        <v>6871</v>
      </c>
      <c r="Z1704" s="1" t="s">
        <v>1210</v>
      </c>
      <c r="AA1704" s="1" t="s">
        <v>30115</v>
      </c>
      <c r="AB1704" s="1" t="s">
        <v>6871</v>
      </c>
      <c r="AC1704" s="1" t="s">
        <v>1210</v>
      </c>
      <c r="AD1704" s="1" t="s">
        <v>98</v>
      </c>
      <c r="AE1704" s="1" t="s">
        <v>98</v>
      </c>
      <c r="AF1704" s="1" t="s">
        <v>30116</v>
      </c>
      <c r="AG1704" s="1" t="s">
        <v>30117</v>
      </c>
      <c r="AH1704" s="1" t="s">
        <v>1457</v>
      </c>
      <c r="AI1704" s="1" t="s">
        <v>1262</v>
      </c>
      <c r="AJ1704" s="1">
        <v>68.4</v>
      </c>
      <c r="AK1704" s="1">
        <v>7.2</v>
      </c>
      <c r="AL1704" s="1" t="s">
        <v>30118</v>
      </c>
      <c r="AM1704" s="1" t="s">
        <v>30117</v>
      </c>
      <c r="AN1704" s="1"/>
      <c r="AO1704" s="1" t="s">
        <v>11567</v>
      </c>
      <c r="AP1704" s="1" t="s">
        <v>627</v>
      </c>
      <c r="AQ1704" s="1">
        <v>82.6</v>
      </c>
      <c r="AR1704" s="1">
        <v>0</v>
      </c>
      <c r="AS1704" s="1"/>
      <c r="AT1704" s="1"/>
      <c r="AU1704" s="1"/>
      <c r="AV1704" s="1"/>
      <c r="AW1704" s="1"/>
      <c r="AX1704" s="1"/>
      <c r="AY1704" s="1" t="s">
        <v>7595</v>
      </c>
      <c r="AZ1704" s="1" t="s">
        <v>11930</v>
      </c>
      <c r="BA1704" s="1"/>
      <c r="BB1704" s="1"/>
      <c r="BC1704" s="1" t="s">
        <v>139</v>
      </c>
      <c r="BD1704" s="1" t="s">
        <v>1040</v>
      </c>
      <c r="BE1704" s="1">
        <v>83.4</v>
      </c>
      <c r="BF1704" s="1">
        <v>8.34</v>
      </c>
      <c r="BG1704" s="1"/>
      <c r="BH1704" s="1"/>
      <c r="BI1704" s="1"/>
      <c r="BJ1704" s="1"/>
      <c r="BK1704" s="1"/>
      <c r="BL1704" s="1"/>
      <c r="BM1704" s="1"/>
      <c r="BN1704" s="1"/>
      <c r="BO1704" s="1" t="s">
        <v>30119</v>
      </c>
      <c r="BP1704" s="1" t="s">
        <v>30120</v>
      </c>
      <c r="BQ1704" s="1" t="s">
        <v>1070</v>
      </c>
      <c r="BR1704" s="1" t="s">
        <v>30121</v>
      </c>
      <c r="BS1704" s="1">
        <v>7</v>
      </c>
      <c r="BT1704" s="1"/>
      <c r="BU1704" s="1" t="str">
        <f>HYPERLINK("https://nconnect.nicmar.ac.in/storage/profile/ProfilePhoto_p2270296_891463.jpg","Download")</f>
        <v>0</v>
      </c>
      <c r="BV1704" s="3"/>
      <c r="BW1704" s="3"/>
    </row>
    <row r="1705" spans="1:75">
      <c r="A1705" s="1" t="s">
        <v>75</v>
      </c>
      <c r="B1705" s="1" t="s">
        <v>25236</v>
      </c>
      <c r="C1705" s="1" t="s">
        <v>30122</v>
      </c>
      <c r="D1705" s="1" t="s">
        <v>1749</v>
      </c>
      <c r="E1705" s="1" t="s">
        <v>30123</v>
      </c>
      <c r="F1705" s="1" t="s">
        <v>1179</v>
      </c>
      <c r="G1705" s="1" t="s">
        <v>30124</v>
      </c>
      <c r="H1705" s="1" t="s">
        <v>30125</v>
      </c>
      <c r="I1705" s="1" t="s">
        <v>30126</v>
      </c>
      <c r="J1705" s="1">
        <v>7058455999</v>
      </c>
      <c r="K1705" s="1" t="s">
        <v>153</v>
      </c>
      <c r="L1705" s="1" t="s">
        <v>13273</v>
      </c>
      <c r="M1705" s="1" t="s">
        <v>86</v>
      </c>
      <c r="N1705" s="1" t="s">
        <v>8520</v>
      </c>
      <c r="O1705" s="1" t="s">
        <v>30127</v>
      </c>
      <c r="P1705" s="1" t="s">
        <v>455</v>
      </c>
      <c r="Q1705" s="1" t="s">
        <v>30128</v>
      </c>
      <c r="R1705" s="1" t="s">
        <v>30129</v>
      </c>
      <c r="S1705" s="1">
        <v>9158080850</v>
      </c>
      <c r="T1705" s="1" t="s">
        <v>839</v>
      </c>
      <c r="U1705" s="1" t="s">
        <v>30130</v>
      </c>
      <c r="V1705" s="1">
        <v>9823513112</v>
      </c>
      <c r="W1705" s="1" t="s">
        <v>161</v>
      </c>
      <c r="X1705" s="1" t="s">
        <v>30131</v>
      </c>
      <c r="Y1705" s="1" t="s">
        <v>309</v>
      </c>
      <c r="Z1705" s="1" t="s">
        <v>97</v>
      </c>
      <c r="AA1705" s="1" t="s">
        <v>30131</v>
      </c>
      <c r="AB1705" s="1" t="s">
        <v>309</v>
      </c>
      <c r="AC1705" s="1" t="s">
        <v>97</v>
      </c>
      <c r="AD1705" s="1" t="s">
        <v>98</v>
      </c>
      <c r="AE1705" s="1" t="s">
        <v>98</v>
      </c>
      <c r="AF1705" s="1" t="s">
        <v>30132</v>
      </c>
      <c r="AG1705" s="1" t="s">
        <v>30133</v>
      </c>
      <c r="AH1705" s="1" t="s">
        <v>166</v>
      </c>
      <c r="AI1705" s="1" t="s">
        <v>627</v>
      </c>
      <c r="AJ1705" s="1">
        <v>87.4</v>
      </c>
      <c r="AK1705" s="1"/>
      <c r="AL1705" s="1"/>
      <c r="AM1705" s="1"/>
      <c r="AN1705" s="1"/>
      <c r="AO1705" s="1"/>
      <c r="AP1705" s="1"/>
      <c r="AQ1705" s="1"/>
      <c r="AR1705" s="1"/>
      <c r="AS1705" s="1" t="s">
        <v>439</v>
      </c>
      <c r="AT1705" s="1" t="s">
        <v>30134</v>
      </c>
      <c r="AU1705" s="1" t="s">
        <v>139</v>
      </c>
      <c r="AV1705" s="1" t="s">
        <v>438</v>
      </c>
      <c r="AW1705" s="1">
        <v>73.76</v>
      </c>
      <c r="AX1705" s="1"/>
      <c r="AY1705" s="1" t="s">
        <v>30135</v>
      </c>
      <c r="AZ1705" s="1" t="s">
        <v>30136</v>
      </c>
      <c r="BA1705" s="1"/>
      <c r="BB1705" s="1"/>
      <c r="BC1705" s="1" t="s">
        <v>109</v>
      </c>
      <c r="BD1705" s="1" t="s">
        <v>1802</v>
      </c>
      <c r="BE1705" s="1">
        <v>78.51</v>
      </c>
      <c r="BF1705" s="1">
        <v>8.34</v>
      </c>
      <c r="BG1705" s="1"/>
      <c r="BH1705" s="1"/>
      <c r="BI1705" s="1"/>
      <c r="BJ1705" s="1"/>
      <c r="BK1705" s="1"/>
      <c r="BL1705" s="1"/>
      <c r="BM1705" s="1"/>
      <c r="BN1705" s="1"/>
      <c r="BO1705" s="1" t="s">
        <v>1114</v>
      </c>
      <c r="BP1705" s="1"/>
      <c r="BQ1705" s="1"/>
      <c r="BR1705" s="1" t="s">
        <v>30137</v>
      </c>
      <c r="BS1705" s="1">
        <v>2</v>
      </c>
      <c r="BT1705" s="1"/>
      <c r="BU1705" s="1" t="str">
        <f>HYPERLINK("https://nconnect.nicmar.ac.in/storage/profile/ProfilePhoto_p2270297_328197.jpg","Download")</f>
        <v>0</v>
      </c>
      <c r="BV1705" s="3"/>
      <c r="BW1705" s="3"/>
    </row>
    <row r="1706" spans="1:75">
      <c r="A1706" s="1" t="s">
        <v>75</v>
      </c>
      <c r="B1706" s="1" t="s">
        <v>25236</v>
      </c>
      <c r="C1706" s="1" t="s">
        <v>30138</v>
      </c>
      <c r="D1706" s="1" t="s">
        <v>7668</v>
      </c>
      <c r="E1706" s="1" t="s">
        <v>457</v>
      </c>
      <c r="F1706" s="1" t="s">
        <v>30139</v>
      </c>
      <c r="G1706" s="1" t="s">
        <v>30140</v>
      </c>
      <c r="H1706" s="1" t="s">
        <v>30141</v>
      </c>
      <c r="I1706" s="1" t="s">
        <v>30142</v>
      </c>
      <c r="J1706" s="1">
        <v>7038577282</v>
      </c>
      <c r="K1706" s="1" t="s">
        <v>84</v>
      </c>
      <c r="L1706" s="1" t="s">
        <v>30143</v>
      </c>
      <c r="M1706" s="1" t="s">
        <v>86</v>
      </c>
      <c r="N1706" s="1" t="s">
        <v>3046</v>
      </c>
      <c r="O1706" s="1" t="s">
        <v>30144</v>
      </c>
      <c r="P1706" s="1" t="s">
        <v>481</v>
      </c>
      <c r="Q1706" s="1" t="s">
        <v>30145</v>
      </c>
      <c r="R1706" s="1" t="s">
        <v>30146</v>
      </c>
      <c r="S1706" s="1">
        <v>9923076048</v>
      </c>
      <c r="T1706" s="1" t="s">
        <v>10818</v>
      </c>
      <c r="U1706" s="1" t="s">
        <v>8175</v>
      </c>
      <c r="V1706" s="1">
        <v>9923406048</v>
      </c>
      <c r="W1706" s="1" t="s">
        <v>94</v>
      </c>
      <c r="X1706" s="1" t="s">
        <v>30147</v>
      </c>
      <c r="Y1706" s="1" t="s">
        <v>410</v>
      </c>
      <c r="Z1706" s="1" t="s">
        <v>97</v>
      </c>
      <c r="AA1706" s="1" t="s">
        <v>30148</v>
      </c>
      <c r="AB1706" s="1" t="s">
        <v>196</v>
      </c>
      <c r="AC1706" s="1" t="s">
        <v>97</v>
      </c>
      <c r="AD1706" s="1" t="s">
        <v>98</v>
      </c>
      <c r="AE1706" s="1" t="s">
        <v>98</v>
      </c>
      <c r="AF1706" s="1" t="s">
        <v>30149</v>
      </c>
      <c r="AG1706" s="1" t="s">
        <v>996</v>
      </c>
      <c r="AH1706" s="1" t="s">
        <v>133</v>
      </c>
      <c r="AI1706" s="1" t="s">
        <v>1457</v>
      </c>
      <c r="AJ1706" s="1">
        <v>91.82</v>
      </c>
      <c r="AK1706" s="1">
        <v>0</v>
      </c>
      <c r="AL1706" s="1" t="s">
        <v>30150</v>
      </c>
      <c r="AM1706" s="1" t="s">
        <v>996</v>
      </c>
      <c r="AN1706" s="1"/>
      <c r="AO1706" s="1" t="s">
        <v>101</v>
      </c>
      <c r="AP1706" s="1" t="s">
        <v>11567</v>
      </c>
      <c r="AQ1706" s="1">
        <v>74.31</v>
      </c>
      <c r="AR1706" s="1">
        <v>0</v>
      </c>
      <c r="AS1706" s="1"/>
      <c r="AT1706" s="1"/>
      <c r="AU1706" s="1"/>
      <c r="AV1706" s="1"/>
      <c r="AW1706" s="1"/>
      <c r="AX1706" s="1"/>
      <c r="AY1706" s="1" t="s">
        <v>997</v>
      </c>
      <c r="AZ1706" s="1" t="s">
        <v>30151</v>
      </c>
      <c r="BA1706" s="1"/>
      <c r="BB1706" s="1"/>
      <c r="BC1706" s="1" t="s">
        <v>105</v>
      </c>
      <c r="BD1706" s="1" t="s">
        <v>315</v>
      </c>
      <c r="BE1706" s="1">
        <v>78.2</v>
      </c>
      <c r="BF1706" s="1">
        <v>8.57</v>
      </c>
      <c r="BG1706" s="1"/>
      <c r="BH1706" s="1"/>
      <c r="BI1706" s="1"/>
      <c r="BJ1706" s="1"/>
      <c r="BK1706" s="1"/>
      <c r="BL1706" s="1"/>
      <c r="BM1706" s="1"/>
      <c r="BN1706" s="1"/>
      <c r="BO1706" s="1" t="s">
        <v>30152</v>
      </c>
      <c r="BP1706" s="1" t="s">
        <v>30153</v>
      </c>
      <c r="BQ1706" s="1" t="s">
        <v>4149</v>
      </c>
      <c r="BR1706" s="1" t="s">
        <v>30154</v>
      </c>
      <c r="BS1706" s="1">
        <v>9</v>
      </c>
      <c r="BT1706" s="1"/>
      <c r="BU1706" s="1" t="str">
        <f>HYPERLINK("https://nconnect.nicmar.ac.in/storage/profile/ProfilePhoto_p2270298_261547.jpg","Download")</f>
        <v>0</v>
      </c>
      <c r="BV1706" s="3"/>
      <c r="BW1706" s="3"/>
    </row>
    <row r="1707" spans="1:75">
      <c r="A1707" s="1" t="s">
        <v>75</v>
      </c>
      <c r="B1707" s="1" t="s">
        <v>25236</v>
      </c>
      <c r="C1707" s="1" t="s">
        <v>30155</v>
      </c>
      <c r="D1707" s="1" t="s">
        <v>11351</v>
      </c>
      <c r="E1707" s="1" t="s">
        <v>25270</v>
      </c>
      <c r="F1707" s="1" t="s">
        <v>2098</v>
      </c>
      <c r="G1707" s="1" t="s">
        <v>30156</v>
      </c>
      <c r="H1707" s="1" t="s">
        <v>30157</v>
      </c>
      <c r="I1707" s="1" t="s">
        <v>30158</v>
      </c>
      <c r="J1707" s="1">
        <v>8828447970</v>
      </c>
      <c r="K1707" s="1" t="s">
        <v>84</v>
      </c>
      <c r="L1707" s="1" t="s">
        <v>30159</v>
      </c>
      <c r="M1707" s="1" t="s">
        <v>86</v>
      </c>
      <c r="N1707" s="1" t="s">
        <v>903</v>
      </c>
      <c r="O1707" s="1" t="s">
        <v>30160</v>
      </c>
      <c r="P1707" s="1" t="s">
        <v>507</v>
      </c>
      <c r="Q1707" s="1" t="s">
        <v>30161</v>
      </c>
      <c r="R1707" s="1" t="s">
        <v>30162</v>
      </c>
      <c r="S1707" s="1">
        <v>9819897970</v>
      </c>
      <c r="T1707" s="1" t="s">
        <v>839</v>
      </c>
      <c r="U1707" s="1" t="s">
        <v>30163</v>
      </c>
      <c r="V1707" s="1">
        <v>9819897970</v>
      </c>
      <c r="W1707" s="1" t="s">
        <v>161</v>
      </c>
      <c r="X1707" s="1" t="s">
        <v>30164</v>
      </c>
      <c r="Y1707" s="1" t="s">
        <v>1012</v>
      </c>
      <c r="Z1707" s="1" t="s">
        <v>97</v>
      </c>
      <c r="AA1707" s="1" t="s">
        <v>30164</v>
      </c>
      <c r="AB1707" s="1" t="s">
        <v>1012</v>
      </c>
      <c r="AC1707" s="1" t="s">
        <v>97</v>
      </c>
      <c r="AD1707" s="1" t="s">
        <v>98</v>
      </c>
      <c r="AE1707" s="1" t="s">
        <v>98</v>
      </c>
      <c r="AF1707" s="1" t="s">
        <v>30165</v>
      </c>
      <c r="AG1707" s="1" t="s">
        <v>30166</v>
      </c>
      <c r="AH1707" s="1" t="s">
        <v>133</v>
      </c>
      <c r="AI1707" s="1" t="s">
        <v>1457</v>
      </c>
      <c r="AJ1707" s="1">
        <v>66.91</v>
      </c>
      <c r="AK1707" s="1"/>
      <c r="AL1707" s="1" t="s">
        <v>30167</v>
      </c>
      <c r="AM1707" s="1" t="s">
        <v>30168</v>
      </c>
      <c r="AN1707" s="1"/>
      <c r="AO1707" s="1" t="s">
        <v>101</v>
      </c>
      <c r="AP1707" s="1" t="s">
        <v>11567</v>
      </c>
      <c r="AQ1707" s="1">
        <v>53.08</v>
      </c>
      <c r="AR1707" s="1"/>
      <c r="AS1707" s="1" t="s">
        <v>103</v>
      </c>
      <c r="AT1707" s="1" t="s">
        <v>30169</v>
      </c>
      <c r="AU1707" s="1" t="s">
        <v>4231</v>
      </c>
      <c r="AV1707" s="1" t="s">
        <v>170</v>
      </c>
      <c r="AW1707" s="1">
        <v>58.24</v>
      </c>
      <c r="AX1707" s="1"/>
      <c r="AY1707" s="1" t="s">
        <v>30170</v>
      </c>
      <c r="AZ1707" s="1" t="s">
        <v>30171</v>
      </c>
      <c r="BA1707" s="1"/>
      <c r="BB1707" s="1"/>
      <c r="BC1707" s="1" t="s">
        <v>230</v>
      </c>
      <c r="BD1707" s="1" t="s">
        <v>890</v>
      </c>
      <c r="BE1707" s="1">
        <v>70.6</v>
      </c>
      <c r="BF1707" s="1">
        <v>7.06</v>
      </c>
      <c r="BG1707" s="1"/>
      <c r="BH1707" s="1"/>
      <c r="BI1707" s="1"/>
      <c r="BJ1707" s="1"/>
      <c r="BK1707" s="1"/>
      <c r="BL1707" s="1"/>
      <c r="BM1707" s="1"/>
      <c r="BN1707" s="1"/>
      <c r="BO1707" s="1" t="s">
        <v>30172</v>
      </c>
      <c r="BP1707" s="1" t="s">
        <v>30173</v>
      </c>
      <c r="BQ1707" s="1" t="s">
        <v>2093</v>
      </c>
      <c r="BR1707" s="1" t="s">
        <v>30174</v>
      </c>
      <c r="BS1707" s="1">
        <v>40</v>
      </c>
      <c r="BT1707" s="1"/>
      <c r="BU1707" s="1" t="str">
        <f>HYPERLINK("https://nconnect.nicmar.ac.in/storage/profile/ProfilePhoto_p2270300_789254.jpg","Download")</f>
        <v>0</v>
      </c>
      <c r="BV1707" s="3"/>
      <c r="BW1707" s="3"/>
    </row>
    <row r="1708" spans="1:75">
      <c r="A1708" s="1" t="s">
        <v>75</v>
      </c>
      <c r="B1708" s="1" t="s">
        <v>25236</v>
      </c>
      <c r="C1708" s="1" t="s">
        <v>30175</v>
      </c>
      <c r="D1708" s="1" t="s">
        <v>4293</v>
      </c>
      <c r="E1708" s="1"/>
      <c r="F1708" s="1" t="s">
        <v>30176</v>
      </c>
      <c r="G1708" s="1" t="s">
        <v>30177</v>
      </c>
      <c r="H1708" s="1" t="s">
        <v>30178</v>
      </c>
      <c r="I1708" s="1" t="s">
        <v>30179</v>
      </c>
      <c r="J1708" s="1">
        <v>7348139697</v>
      </c>
      <c r="K1708" s="1" t="s">
        <v>84</v>
      </c>
      <c r="L1708" s="1" t="s">
        <v>11223</v>
      </c>
      <c r="M1708" s="1" t="s">
        <v>86</v>
      </c>
      <c r="N1708" s="1" t="s">
        <v>1101</v>
      </c>
      <c r="O1708" s="1" t="s">
        <v>30180</v>
      </c>
      <c r="P1708" s="1" t="s">
        <v>481</v>
      </c>
      <c r="Q1708" s="1" t="s">
        <v>30181</v>
      </c>
      <c r="R1708" s="1" t="s">
        <v>30182</v>
      </c>
      <c r="S1708" s="1">
        <v>9415090464</v>
      </c>
      <c r="T1708" s="1" t="s">
        <v>926</v>
      </c>
      <c r="U1708" s="1" t="s">
        <v>30183</v>
      </c>
      <c r="V1708" s="1">
        <v>9956511600</v>
      </c>
      <c r="W1708" s="1" t="s">
        <v>94</v>
      </c>
      <c r="X1708" s="1" t="s">
        <v>30184</v>
      </c>
      <c r="Y1708" s="1" t="s">
        <v>30185</v>
      </c>
      <c r="Z1708" s="1" t="s">
        <v>544</v>
      </c>
      <c r="AA1708" s="1" t="s">
        <v>30186</v>
      </c>
      <c r="AB1708" s="1" t="s">
        <v>196</v>
      </c>
      <c r="AC1708" s="1" t="s">
        <v>97</v>
      </c>
      <c r="AD1708" s="1" t="s">
        <v>98</v>
      </c>
      <c r="AE1708" s="1" t="s">
        <v>98</v>
      </c>
      <c r="AF1708" s="1" t="s">
        <v>30187</v>
      </c>
      <c r="AG1708" s="1" t="s">
        <v>30188</v>
      </c>
      <c r="AH1708" s="1" t="s">
        <v>1110</v>
      </c>
      <c r="AI1708" s="1" t="s">
        <v>627</v>
      </c>
      <c r="AJ1708" s="1">
        <v>87.4</v>
      </c>
      <c r="AK1708" s="1">
        <v>9.2</v>
      </c>
      <c r="AL1708" s="1" t="s">
        <v>30189</v>
      </c>
      <c r="AM1708" s="1" t="s">
        <v>30188</v>
      </c>
      <c r="AN1708" s="1"/>
      <c r="AO1708" s="1" t="s">
        <v>704</v>
      </c>
      <c r="AP1708" s="1" t="s">
        <v>106</v>
      </c>
      <c r="AQ1708" s="1">
        <v>71.4</v>
      </c>
      <c r="AR1708" s="1"/>
      <c r="AS1708" s="1"/>
      <c r="AT1708" s="1"/>
      <c r="AU1708" s="1"/>
      <c r="AV1708" s="1"/>
      <c r="AW1708" s="1"/>
      <c r="AX1708" s="1"/>
      <c r="AY1708" s="1" t="s">
        <v>14921</v>
      </c>
      <c r="AZ1708" s="1" t="s">
        <v>30190</v>
      </c>
      <c r="BA1708" s="1"/>
      <c r="BB1708" s="1"/>
      <c r="BC1708" s="1" t="s">
        <v>1065</v>
      </c>
      <c r="BD1708" s="1" t="s">
        <v>1400</v>
      </c>
      <c r="BE1708" s="1">
        <v>78.3</v>
      </c>
      <c r="BF1708" s="1">
        <v>7.83</v>
      </c>
      <c r="BG1708" s="1"/>
      <c r="BH1708" s="1"/>
      <c r="BI1708" s="1"/>
      <c r="BJ1708" s="1"/>
      <c r="BK1708" s="1"/>
      <c r="BL1708" s="1"/>
      <c r="BM1708" s="1"/>
      <c r="BN1708" s="1"/>
      <c r="BO1708" s="1" t="s">
        <v>30191</v>
      </c>
      <c r="BP1708" s="1"/>
      <c r="BQ1708" s="1"/>
      <c r="BR1708" s="1" t="s">
        <v>30192</v>
      </c>
      <c r="BS1708" s="1">
        <v>13</v>
      </c>
      <c r="BT1708" s="1"/>
      <c r="BU1708" s="1" t="str">
        <f>HYPERLINK("https://nconnect.nicmar.ac.in/storage/profile/ProfilePhoto_p2270301_634817.jpg","Download")</f>
        <v>0</v>
      </c>
      <c r="BV1708" s="3"/>
      <c r="BW1708" s="3"/>
    </row>
    <row r="1709" spans="1:75">
      <c r="A1709" s="1" t="s">
        <v>75</v>
      </c>
      <c r="B1709" s="1" t="s">
        <v>25236</v>
      </c>
      <c r="C1709" s="1" t="s">
        <v>30193</v>
      </c>
      <c r="D1709" s="1" t="s">
        <v>30194</v>
      </c>
      <c r="E1709" s="1" t="s">
        <v>3042</v>
      </c>
      <c r="F1709" s="1" t="s">
        <v>1179</v>
      </c>
      <c r="G1709" s="1" t="s">
        <v>30195</v>
      </c>
      <c r="H1709" s="1" t="s">
        <v>30196</v>
      </c>
      <c r="I1709" s="1" t="s">
        <v>30197</v>
      </c>
      <c r="J1709" s="1">
        <v>9969030172</v>
      </c>
      <c r="K1709" s="1" t="s">
        <v>84</v>
      </c>
      <c r="L1709" s="1" t="s">
        <v>30198</v>
      </c>
      <c r="M1709" s="1" t="s">
        <v>86</v>
      </c>
      <c r="N1709" s="1" t="s">
        <v>30199</v>
      </c>
      <c r="O1709" s="1" t="s">
        <v>30200</v>
      </c>
      <c r="P1709" s="1" t="s">
        <v>481</v>
      </c>
      <c r="Q1709" s="1" t="s">
        <v>30201</v>
      </c>
      <c r="R1709" s="1" t="s">
        <v>30202</v>
      </c>
      <c r="S1709" s="1">
        <v>9930210959</v>
      </c>
      <c r="T1709" s="1" t="s">
        <v>645</v>
      </c>
      <c r="U1709" s="1" t="s">
        <v>30203</v>
      </c>
      <c r="V1709" s="1">
        <v>9819939789</v>
      </c>
      <c r="W1709" s="1" t="s">
        <v>645</v>
      </c>
      <c r="X1709" s="1" t="s">
        <v>30204</v>
      </c>
      <c r="Y1709" s="1" t="s">
        <v>2259</v>
      </c>
      <c r="Z1709" s="1" t="s">
        <v>97</v>
      </c>
      <c r="AA1709" s="1" t="s">
        <v>30204</v>
      </c>
      <c r="AB1709" s="1" t="s">
        <v>2259</v>
      </c>
      <c r="AC1709" s="1" t="s">
        <v>97</v>
      </c>
      <c r="AD1709" s="1" t="s">
        <v>98</v>
      </c>
      <c r="AE1709" s="1" t="s">
        <v>98</v>
      </c>
      <c r="AF1709" s="1" t="s">
        <v>30205</v>
      </c>
      <c r="AG1709" s="1" t="s">
        <v>30206</v>
      </c>
      <c r="AH1709" s="1" t="s">
        <v>136</v>
      </c>
      <c r="AI1709" s="1" t="s">
        <v>627</v>
      </c>
      <c r="AJ1709" s="1">
        <v>86.5</v>
      </c>
      <c r="AK1709" s="1">
        <v>0</v>
      </c>
      <c r="AL1709" s="1" t="s">
        <v>30207</v>
      </c>
      <c r="AM1709" s="1" t="s">
        <v>30206</v>
      </c>
      <c r="AN1709" s="1"/>
      <c r="AO1709" s="1" t="s">
        <v>573</v>
      </c>
      <c r="AP1709" s="1" t="s">
        <v>171</v>
      </c>
      <c r="AQ1709" s="1">
        <v>72.77</v>
      </c>
      <c r="AR1709" s="1">
        <v>0</v>
      </c>
      <c r="AS1709" s="1"/>
      <c r="AT1709" s="1"/>
      <c r="AU1709" s="1"/>
      <c r="AV1709" s="1"/>
      <c r="AW1709" s="1"/>
      <c r="AX1709" s="1"/>
      <c r="AY1709" s="1" t="s">
        <v>258</v>
      </c>
      <c r="AZ1709" s="1" t="s">
        <v>30208</v>
      </c>
      <c r="BA1709" s="1"/>
      <c r="BB1709" s="1"/>
      <c r="BC1709" s="1" t="s">
        <v>106</v>
      </c>
      <c r="BD1709" s="1" t="s">
        <v>110</v>
      </c>
      <c r="BE1709" s="1">
        <v>75.86</v>
      </c>
      <c r="BF1709" s="1">
        <v>8.63</v>
      </c>
      <c r="BG1709" s="1"/>
      <c r="BH1709" s="1"/>
      <c r="BI1709" s="1"/>
      <c r="BJ1709" s="1"/>
      <c r="BK1709" s="1"/>
      <c r="BL1709" s="1"/>
      <c r="BM1709" s="1"/>
      <c r="BN1709" s="1"/>
      <c r="BO1709" s="1" t="s">
        <v>30209</v>
      </c>
      <c r="BP1709" s="1"/>
      <c r="BQ1709" s="1"/>
      <c r="BR1709" s="1" t="s">
        <v>30210</v>
      </c>
      <c r="BS1709" s="1">
        <v>72</v>
      </c>
      <c r="BT1709" s="1"/>
      <c r="BU1709" s="1" t="str">
        <f>HYPERLINK("https://nconnect.nicmar.ac.in/storage/profile/ProfilePhoto_p2270302_421736.jpg","Download")</f>
        <v>0</v>
      </c>
      <c r="BV1709" s="3"/>
      <c r="BW1709" s="3"/>
    </row>
    <row r="1710" spans="1:75">
      <c r="A1710" s="1" t="s">
        <v>75</v>
      </c>
      <c r="B1710" s="1" t="s">
        <v>25236</v>
      </c>
      <c r="C1710" s="1" t="s">
        <v>30211</v>
      </c>
      <c r="D1710" s="1" t="s">
        <v>30212</v>
      </c>
      <c r="E1710" s="1" t="s">
        <v>1853</v>
      </c>
      <c r="F1710" s="1" t="s">
        <v>30213</v>
      </c>
      <c r="G1710" s="1" t="s">
        <v>30214</v>
      </c>
      <c r="H1710" s="1" t="s">
        <v>30215</v>
      </c>
      <c r="I1710" s="1" t="s">
        <v>30216</v>
      </c>
      <c r="J1710" s="1">
        <v>8971880907</v>
      </c>
      <c r="K1710" s="1" t="s">
        <v>84</v>
      </c>
      <c r="L1710" s="1" t="s">
        <v>30217</v>
      </c>
      <c r="M1710" s="1" t="s">
        <v>86</v>
      </c>
      <c r="N1710" s="1" t="s">
        <v>30218</v>
      </c>
      <c r="O1710" s="1" t="s">
        <v>30219</v>
      </c>
      <c r="P1710" s="1" t="s">
        <v>507</v>
      </c>
      <c r="Q1710" s="1" t="s">
        <v>30220</v>
      </c>
      <c r="R1710" s="1" t="s">
        <v>30221</v>
      </c>
      <c r="S1710" s="1">
        <v>9740034659</v>
      </c>
      <c r="T1710" s="1" t="s">
        <v>596</v>
      </c>
      <c r="U1710" s="1" t="s">
        <v>30222</v>
      </c>
      <c r="V1710" s="1">
        <v>9845706028</v>
      </c>
      <c r="W1710" s="1" t="s">
        <v>1257</v>
      </c>
      <c r="X1710" s="1" t="s">
        <v>30223</v>
      </c>
      <c r="Y1710" s="1" t="s">
        <v>6783</v>
      </c>
      <c r="Z1710" s="1" t="s">
        <v>1210</v>
      </c>
      <c r="AA1710" s="1" t="s">
        <v>30223</v>
      </c>
      <c r="AB1710" s="1" t="s">
        <v>6783</v>
      </c>
      <c r="AC1710" s="1" t="s">
        <v>1210</v>
      </c>
      <c r="AD1710" s="1" t="s">
        <v>98</v>
      </c>
      <c r="AE1710" s="1" t="s">
        <v>98</v>
      </c>
      <c r="AF1710" s="1" t="s">
        <v>30224</v>
      </c>
      <c r="AG1710" s="1" t="s">
        <v>30225</v>
      </c>
      <c r="AH1710" s="1" t="s">
        <v>136</v>
      </c>
      <c r="AI1710" s="1" t="s">
        <v>1396</v>
      </c>
      <c r="AJ1710" s="1">
        <v>72.2</v>
      </c>
      <c r="AK1710" s="1">
        <v>7.6</v>
      </c>
      <c r="AL1710" s="1" t="s">
        <v>30226</v>
      </c>
      <c r="AM1710" s="1" t="s">
        <v>30225</v>
      </c>
      <c r="AN1710" s="1"/>
      <c r="AO1710" s="1" t="s">
        <v>170</v>
      </c>
      <c r="AP1710" s="1" t="s">
        <v>286</v>
      </c>
      <c r="AQ1710" s="1">
        <v>81.16</v>
      </c>
      <c r="AR1710" s="1">
        <v>0</v>
      </c>
      <c r="AS1710" s="1"/>
      <c r="AT1710" s="1"/>
      <c r="AU1710" s="1"/>
      <c r="AV1710" s="1"/>
      <c r="AW1710" s="1"/>
      <c r="AX1710" s="1"/>
      <c r="AY1710" s="1" t="s">
        <v>1627</v>
      </c>
      <c r="AZ1710" s="1" t="s">
        <v>30227</v>
      </c>
      <c r="BA1710" s="1"/>
      <c r="BB1710" s="1"/>
      <c r="BC1710" s="1" t="s">
        <v>1065</v>
      </c>
      <c r="BD1710" s="1" t="s">
        <v>632</v>
      </c>
      <c r="BE1710" s="1">
        <v>64.6</v>
      </c>
      <c r="BF1710" s="1">
        <v>7.21</v>
      </c>
      <c r="BG1710" s="1"/>
      <c r="BH1710" s="1"/>
      <c r="BI1710" s="1"/>
      <c r="BJ1710" s="1"/>
      <c r="BK1710" s="1"/>
      <c r="BL1710" s="1"/>
      <c r="BM1710" s="1"/>
      <c r="BN1710" s="1"/>
      <c r="BO1710" s="1" t="s">
        <v>30228</v>
      </c>
      <c r="BP1710" s="1"/>
      <c r="BQ1710" s="1"/>
      <c r="BR1710" s="1" t="s">
        <v>30229</v>
      </c>
      <c r="BS1710" s="1">
        <v>19</v>
      </c>
      <c r="BT1710" s="1"/>
      <c r="BU1710" s="1" t="str">
        <f>HYPERLINK("https://nconnect.nicmar.ac.in/storage/profile/ProfilePhoto_p2270303_729465.jpg","Download")</f>
        <v>0</v>
      </c>
      <c r="BV1710" s="3"/>
      <c r="BW1710" s="3"/>
    </row>
    <row r="1711" spans="1:75">
      <c r="A1711" s="1" t="s">
        <v>75</v>
      </c>
      <c r="B1711" s="1" t="s">
        <v>25236</v>
      </c>
      <c r="C1711" s="1" t="s">
        <v>30230</v>
      </c>
      <c r="D1711" s="1" t="s">
        <v>30231</v>
      </c>
      <c r="E1711" s="1" t="s">
        <v>4820</v>
      </c>
      <c r="F1711" s="1" t="s">
        <v>5230</v>
      </c>
      <c r="G1711" s="1" t="s">
        <v>30232</v>
      </c>
      <c r="H1711" s="1" t="s">
        <v>30233</v>
      </c>
      <c r="I1711" s="1" t="s">
        <v>30234</v>
      </c>
      <c r="J1711" s="1">
        <v>7709509701</v>
      </c>
      <c r="K1711" s="1" t="s">
        <v>84</v>
      </c>
      <c r="L1711" s="1" t="s">
        <v>10851</v>
      </c>
      <c r="M1711" s="1" t="s">
        <v>86</v>
      </c>
      <c r="N1711" s="1" t="s">
        <v>30235</v>
      </c>
      <c r="O1711" s="1" t="s">
        <v>30236</v>
      </c>
      <c r="P1711" s="1" t="s">
        <v>481</v>
      </c>
      <c r="Q1711" s="1" t="s">
        <v>30237</v>
      </c>
      <c r="R1711" s="1" t="s">
        <v>5230</v>
      </c>
      <c r="S1711" s="1">
        <v>9850665451</v>
      </c>
      <c r="T1711" s="1" t="s">
        <v>127</v>
      </c>
      <c r="U1711" s="1" t="s">
        <v>2240</v>
      </c>
      <c r="V1711" s="1">
        <v>9665079552</v>
      </c>
      <c r="W1711" s="1" t="s">
        <v>127</v>
      </c>
      <c r="X1711" s="1" t="s">
        <v>30238</v>
      </c>
      <c r="Y1711" s="1" t="s">
        <v>196</v>
      </c>
      <c r="Z1711" s="1" t="s">
        <v>97</v>
      </c>
      <c r="AA1711" s="1" t="s">
        <v>30239</v>
      </c>
      <c r="AB1711" s="1" t="s">
        <v>196</v>
      </c>
      <c r="AC1711" s="1" t="s">
        <v>97</v>
      </c>
      <c r="AD1711" s="1" t="s">
        <v>98</v>
      </c>
      <c r="AE1711" s="1" t="s">
        <v>98</v>
      </c>
      <c r="AF1711" s="1" t="s">
        <v>30240</v>
      </c>
      <c r="AG1711" s="1" t="s">
        <v>30241</v>
      </c>
      <c r="AH1711" s="1" t="s">
        <v>166</v>
      </c>
      <c r="AI1711" s="1" t="s">
        <v>1111</v>
      </c>
      <c r="AJ1711" s="1">
        <v>86</v>
      </c>
      <c r="AK1711" s="1">
        <v>0</v>
      </c>
      <c r="AL1711" s="1"/>
      <c r="AM1711" s="1"/>
      <c r="AN1711" s="1"/>
      <c r="AO1711" s="1"/>
      <c r="AP1711" s="1"/>
      <c r="AQ1711" s="1"/>
      <c r="AR1711" s="1"/>
      <c r="AS1711" s="1" t="s">
        <v>103</v>
      </c>
      <c r="AT1711" s="1" t="s">
        <v>30242</v>
      </c>
      <c r="AU1711" s="1" t="s">
        <v>139</v>
      </c>
      <c r="AV1711" s="1" t="s">
        <v>438</v>
      </c>
      <c r="AW1711" s="1">
        <v>83.82</v>
      </c>
      <c r="AX1711" s="1">
        <v>0</v>
      </c>
      <c r="AY1711" s="1" t="s">
        <v>366</v>
      </c>
      <c r="AZ1711" s="1" t="s">
        <v>30243</v>
      </c>
      <c r="BA1711" s="1"/>
      <c r="BB1711" s="1"/>
      <c r="BC1711" s="1" t="s">
        <v>109</v>
      </c>
      <c r="BD1711" s="1" t="s">
        <v>110</v>
      </c>
      <c r="BE1711" s="1">
        <v>88.28</v>
      </c>
      <c r="BF1711" s="1">
        <v>9.44</v>
      </c>
      <c r="BG1711" s="1"/>
      <c r="BH1711" s="1"/>
      <c r="BI1711" s="1"/>
      <c r="BJ1711" s="1"/>
      <c r="BK1711" s="1"/>
      <c r="BL1711" s="1"/>
      <c r="BM1711" s="1"/>
      <c r="BN1711" s="1"/>
      <c r="BO1711" s="1" t="s">
        <v>27375</v>
      </c>
      <c r="BP1711" s="1"/>
      <c r="BQ1711" s="1"/>
      <c r="BR1711" s="1" t="s">
        <v>30244</v>
      </c>
      <c r="BS1711" s="1">
        <v>11</v>
      </c>
      <c r="BT1711" s="1"/>
      <c r="BU1711" s="1" t="str">
        <f>HYPERLINK("https://nconnect.nicmar.ac.in/storage/profile/ProfilePhoto_p2270304_689531.jpg","Download")</f>
        <v>0</v>
      </c>
      <c r="BV1711" s="3"/>
      <c r="BW1711" s="3"/>
    </row>
    <row r="1712" spans="1:75">
      <c r="A1712" s="1" t="s">
        <v>75</v>
      </c>
      <c r="B1712" s="1" t="s">
        <v>25236</v>
      </c>
      <c r="C1712" s="1" t="s">
        <v>30245</v>
      </c>
      <c r="D1712" s="1" t="s">
        <v>2099</v>
      </c>
      <c r="E1712" s="1" t="s">
        <v>10043</v>
      </c>
      <c r="F1712" s="1" t="s">
        <v>149</v>
      </c>
      <c r="G1712" s="1" t="s">
        <v>30246</v>
      </c>
      <c r="H1712" s="1" t="s">
        <v>30247</v>
      </c>
      <c r="I1712" s="1" t="s">
        <v>30248</v>
      </c>
      <c r="J1712" s="1">
        <v>8369443485</v>
      </c>
      <c r="K1712" s="1" t="s">
        <v>84</v>
      </c>
      <c r="L1712" s="1" t="s">
        <v>30249</v>
      </c>
      <c r="M1712" s="1" t="s">
        <v>86</v>
      </c>
      <c r="N1712" s="1" t="s">
        <v>768</v>
      </c>
      <c r="O1712" s="1" t="s">
        <v>30250</v>
      </c>
      <c r="P1712" s="1" t="s">
        <v>455</v>
      </c>
      <c r="Q1712" s="1" t="s">
        <v>30251</v>
      </c>
      <c r="R1712" s="1" t="s">
        <v>149</v>
      </c>
      <c r="S1712" s="1">
        <v>8879493996</v>
      </c>
      <c r="T1712" s="1" t="s">
        <v>539</v>
      </c>
      <c r="U1712" s="1" t="s">
        <v>2178</v>
      </c>
      <c r="V1712" s="1">
        <v>9769674819</v>
      </c>
      <c r="W1712" s="1" t="s">
        <v>161</v>
      </c>
      <c r="X1712" s="1" t="s">
        <v>30252</v>
      </c>
      <c r="Y1712" s="1" t="s">
        <v>2259</v>
      </c>
      <c r="Z1712" s="1" t="s">
        <v>97</v>
      </c>
      <c r="AA1712" s="1" t="s">
        <v>30252</v>
      </c>
      <c r="AB1712" s="1" t="s">
        <v>2259</v>
      </c>
      <c r="AC1712" s="1" t="s">
        <v>97</v>
      </c>
      <c r="AD1712" s="1" t="s">
        <v>98</v>
      </c>
      <c r="AE1712" s="1" t="s">
        <v>98</v>
      </c>
      <c r="AF1712" s="1" t="s">
        <v>30253</v>
      </c>
      <c r="AG1712" s="1" t="s">
        <v>1968</v>
      </c>
      <c r="AH1712" s="1" t="s">
        <v>3965</v>
      </c>
      <c r="AI1712" s="1" t="s">
        <v>1457</v>
      </c>
      <c r="AJ1712" s="1">
        <v>65.6</v>
      </c>
      <c r="AK1712" s="1"/>
      <c r="AL1712" s="1" t="s">
        <v>30254</v>
      </c>
      <c r="AM1712" s="1" t="s">
        <v>1968</v>
      </c>
      <c r="AN1712" s="1"/>
      <c r="AO1712" s="1" t="s">
        <v>3967</v>
      </c>
      <c r="AP1712" s="1" t="s">
        <v>11567</v>
      </c>
      <c r="AQ1712" s="1">
        <v>50.92</v>
      </c>
      <c r="AR1712" s="1"/>
      <c r="AS1712" s="1" t="s">
        <v>30255</v>
      </c>
      <c r="AT1712" s="1" t="s">
        <v>30256</v>
      </c>
      <c r="AU1712" s="1" t="s">
        <v>342</v>
      </c>
      <c r="AV1712" s="1" t="s">
        <v>388</v>
      </c>
      <c r="AW1712" s="1">
        <v>65.24</v>
      </c>
      <c r="AX1712" s="1"/>
      <c r="AY1712" s="1" t="s">
        <v>30170</v>
      </c>
      <c r="AZ1712" s="1" t="s">
        <v>30257</v>
      </c>
      <c r="BA1712" s="1"/>
      <c r="BB1712" s="1"/>
      <c r="BC1712" s="1" t="s">
        <v>230</v>
      </c>
      <c r="BD1712" s="1" t="s">
        <v>233</v>
      </c>
      <c r="BE1712" s="1">
        <v>74.4</v>
      </c>
      <c r="BF1712" s="1"/>
      <c r="BG1712" s="1"/>
      <c r="BH1712" s="1"/>
      <c r="BI1712" s="1"/>
      <c r="BJ1712" s="1"/>
      <c r="BK1712" s="1"/>
      <c r="BL1712" s="1"/>
      <c r="BM1712" s="1"/>
      <c r="BN1712" s="1"/>
      <c r="BO1712" s="1" t="s">
        <v>8688</v>
      </c>
      <c r="BP1712" s="1"/>
      <c r="BQ1712" s="1"/>
      <c r="BR1712" s="1" t="s">
        <v>30258</v>
      </c>
      <c r="BS1712" s="1">
        <v>12</v>
      </c>
      <c r="BT1712" s="1"/>
      <c r="BU1712" s="1" t="str">
        <f>HYPERLINK("https://nconnect.nicmar.ac.in/storage/profile/ProfilePhoto_p2270305_193856.jpg","Download")</f>
        <v>0</v>
      </c>
      <c r="BV1712" s="3"/>
      <c r="BW1712" s="3"/>
    </row>
    <row r="1713" spans="1:75">
      <c r="A1713" s="1" t="s">
        <v>75</v>
      </c>
      <c r="B1713" s="1" t="s">
        <v>25236</v>
      </c>
      <c r="C1713" s="1" t="s">
        <v>30259</v>
      </c>
      <c r="D1713" s="1" t="s">
        <v>1404</v>
      </c>
      <c r="E1713" s="1" t="s">
        <v>13757</v>
      </c>
      <c r="F1713" s="1" t="s">
        <v>30260</v>
      </c>
      <c r="G1713" s="1" t="s">
        <v>30261</v>
      </c>
      <c r="H1713" s="1" t="s">
        <v>30262</v>
      </c>
      <c r="I1713" s="1" t="s">
        <v>30263</v>
      </c>
      <c r="J1713" s="1">
        <v>8919488429</v>
      </c>
      <c r="K1713" s="1" t="s">
        <v>84</v>
      </c>
      <c r="L1713" s="1" t="s">
        <v>30264</v>
      </c>
      <c r="M1713" s="1" t="s">
        <v>86</v>
      </c>
      <c r="N1713" s="1" t="s">
        <v>17231</v>
      </c>
      <c r="O1713" s="1" t="s">
        <v>30265</v>
      </c>
      <c r="P1713" s="1" t="s">
        <v>481</v>
      </c>
      <c r="Q1713" s="1" t="s">
        <v>30266</v>
      </c>
      <c r="R1713" s="1" t="s">
        <v>30267</v>
      </c>
      <c r="S1713" s="1">
        <v>8500116633</v>
      </c>
      <c r="T1713" s="1" t="s">
        <v>839</v>
      </c>
      <c r="U1713" s="1" t="s">
        <v>30268</v>
      </c>
      <c r="V1713" s="1">
        <v>9908247496</v>
      </c>
      <c r="W1713" s="1" t="s">
        <v>278</v>
      </c>
      <c r="X1713" s="1" t="s">
        <v>30269</v>
      </c>
      <c r="Y1713" s="1" t="s">
        <v>28721</v>
      </c>
      <c r="Z1713" s="1" t="s">
        <v>461</v>
      </c>
      <c r="AA1713" s="1" t="s">
        <v>30270</v>
      </c>
      <c r="AB1713" s="1" t="s">
        <v>28721</v>
      </c>
      <c r="AC1713" s="1" t="s">
        <v>461</v>
      </c>
      <c r="AD1713" s="1" t="s">
        <v>98</v>
      </c>
      <c r="AE1713" s="1" t="s">
        <v>98</v>
      </c>
      <c r="AF1713" s="1" t="s">
        <v>30271</v>
      </c>
      <c r="AG1713" s="1" t="s">
        <v>30272</v>
      </c>
      <c r="AH1713" s="1" t="s">
        <v>166</v>
      </c>
      <c r="AI1713" s="1" t="s">
        <v>1111</v>
      </c>
      <c r="AJ1713" s="1">
        <v>90</v>
      </c>
      <c r="AK1713" s="1">
        <v>9</v>
      </c>
      <c r="AL1713" s="1" t="s">
        <v>3033</v>
      </c>
      <c r="AM1713" s="1" t="s">
        <v>30272</v>
      </c>
      <c r="AN1713" s="1"/>
      <c r="AO1713" s="1" t="s">
        <v>167</v>
      </c>
      <c r="AP1713" s="1" t="s">
        <v>490</v>
      </c>
      <c r="AQ1713" s="1">
        <v>87.8</v>
      </c>
      <c r="AR1713" s="1">
        <v>8.78</v>
      </c>
      <c r="AS1713" s="1"/>
      <c r="AT1713" s="1"/>
      <c r="AU1713" s="1"/>
      <c r="AV1713" s="1"/>
      <c r="AW1713" s="1"/>
      <c r="AX1713" s="1"/>
      <c r="AY1713" s="1" t="s">
        <v>30273</v>
      </c>
      <c r="AZ1713" s="1" t="s">
        <v>30274</v>
      </c>
      <c r="BA1713" s="1"/>
      <c r="BB1713" s="1"/>
      <c r="BC1713" s="1" t="s">
        <v>174</v>
      </c>
      <c r="BD1713" s="1" t="s">
        <v>289</v>
      </c>
      <c r="BE1713" s="1">
        <v>69.35</v>
      </c>
      <c r="BF1713" s="1">
        <v>6.93</v>
      </c>
      <c r="BG1713" s="1"/>
      <c r="BH1713" s="1"/>
      <c r="BI1713" s="1"/>
      <c r="BJ1713" s="1"/>
      <c r="BK1713" s="1"/>
      <c r="BL1713" s="1"/>
      <c r="BM1713" s="1"/>
      <c r="BN1713" s="1"/>
      <c r="BO1713" s="1" t="s">
        <v>30275</v>
      </c>
      <c r="BP1713" s="1"/>
      <c r="BQ1713" s="1"/>
      <c r="BR1713" s="1" t="s">
        <v>30276</v>
      </c>
      <c r="BS1713" s="1">
        <v>12</v>
      </c>
      <c r="BT1713" s="1"/>
      <c r="BU1713" s="1" t="str">
        <f>HYPERLINK("https://nconnect.nicmar.ac.in/storage/profile/ProfilePhoto_p2270306_952871.jpg","Download")</f>
        <v>0</v>
      </c>
      <c r="BV1713" s="3"/>
      <c r="BW1713" s="3"/>
    </row>
    <row r="1714" spans="1:75">
      <c r="A1714" s="1" t="s">
        <v>75</v>
      </c>
      <c r="B1714" s="1" t="s">
        <v>25236</v>
      </c>
      <c r="C1714" s="1" t="s">
        <v>30277</v>
      </c>
      <c r="D1714" s="1" t="s">
        <v>13668</v>
      </c>
      <c r="E1714" s="1" t="s">
        <v>7638</v>
      </c>
      <c r="F1714" s="1" t="s">
        <v>30278</v>
      </c>
      <c r="G1714" s="1" t="s">
        <v>30279</v>
      </c>
      <c r="H1714" s="1" t="s">
        <v>30280</v>
      </c>
      <c r="I1714" s="1" t="s">
        <v>30281</v>
      </c>
      <c r="J1714" s="1">
        <v>9423916360</v>
      </c>
      <c r="K1714" s="1" t="s">
        <v>84</v>
      </c>
      <c r="L1714" s="1" t="s">
        <v>30282</v>
      </c>
      <c r="M1714" s="1" t="s">
        <v>86</v>
      </c>
      <c r="N1714" s="1" t="s">
        <v>618</v>
      </c>
      <c r="O1714" s="1" t="s">
        <v>30283</v>
      </c>
      <c r="P1714" s="1" t="s">
        <v>507</v>
      </c>
      <c r="Q1714" s="1" t="s">
        <v>30284</v>
      </c>
      <c r="R1714" s="1" t="s">
        <v>30285</v>
      </c>
      <c r="S1714" s="1">
        <v>9423481689</v>
      </c>
      <c r="T1714" s="1" t="s">
        <v>30286</v>
      </c>
      <c r="U1714" s="1" t="s">
        <v>30287</v>
      </c>
      <c r="V1714" s="1">
        <v>8208331726</v>
      </c>
      <c r="W1714" s="1" t="s">
        <v>161</v>
      </c>
      <c r="X1714" s="1" t="s">
        <v>30288</v>
      </c>
      <c r="Y1714" s="1" t="s">
        <v>910</v>
      </c>
      <c r="Z1714" s="1" t="s">
        <v>97</v>
      </c>
      <c r="AA1714" s="1" t="s">
        <v>30288</v>
      </c>
      <c r="AB1714" s="1" t="s">
        <v>910</v>
      </c>
      <c r="AC1714" s="1" t="s">
        <v>97</v>
      </c>
      <c r="AD1714" s="1" t="s">
        <v>98</v>
      </c>
      <c r="AE1714" s="1" t="s">
        <v>98</v>
      </c>
      <c r="AF1714" s="1" t="s">
        <v>30289</v>
      </c>
      <c r="AG1714" s="1" t="s">
        <v>30290</v>
      </c>
      <c r="AH1714" s="1" t="s">
        <v>342</v>
      </c>
      <c r="AI1714" s="1" t="s">
        <v>627</v>
      </c>
      <c r="AJ1714" s="1">
        <v>77.83</v>
      </c>
      <c r="AK1714" s="1">
        <v>0</v>
      </c>
      <c r="AL1714" s="1" t="s">
        <v>30291</v>
      </c>
      <c r="AM1714" s="1" t="s">
        <v>30290</v>
      </c>
      <c r="AN1714" s="1"/>
      <c r="AO1714" s="1" t="s">
        <v>170</v>
      </c>
      <c r="AP1714" s="1" t="s">
        <v>171</v>
      </c>
      <c r="AQ1714" s="1">
        <v>69.23</v>
      </c>
      <c r="AR1714" s="1">
        <v>0</v>
      </c>
      <c r="AS1714" s="1"/>
      <c r="AT1714" s="1"/>
      <c r="AU1714" s="1"/>
      <c r="AV1714" s="1"/>
      <c r="AW1714" s="1"/>
      <c r="AX1714" s="1"/>
      <c r="AY1714" s="1" t="s">
        <v>366</v>
      </c>
      <c r="AZ1714" s="1" t="s">
        <v>6251</v>
      </c>
      <c r="BA1714" s="1"/>
      <c r="BB1714" s="1"/>
      <c r="BC1714" s="1" t="s">
        <v>1065</v>
      </c>
      <c r="BD1714" s="1" t="s">
        <v>110</v>
      </c>
      <c r="BE1714" s="1">
        <v>81.92</v>
      </c>
      <c r="BF1714" s="1">
        <v>8.91</v>
      </c>
      <c r="BG1714" s="1"/>
      <c r="BH1714" s="1"/>
      <c r="BI1714" s="1"/>
      <c r="BJ1714" s="1"/>
      <c r="BK1714" s="1"/>
      <c r="BL1714" s="1"/>
      <c r="BM1714" s="1"/>
      <c r="BN1714" s="1"/>
      <c r="BO1714" s="1" t="s">
        <v>27375</v>
      </c>
      <c r="BP1714" s="1"/>
      <c r="BQ1714" s="1"/>
      <c r="BR1714" s="1" t="s">
        <v>30292</v>
      </c>
      <c r="BS1714" s="1">
        <v>7</v>
      </c>
      <c r="BT1714" s="1"/>
      <c r="BU1714" s="1" t="str">
        <f>HYPERLINK("https://nconnect.nicmar.ac.in/storage/profile/ProfilePhoto_p2270307_361958.jpg","Download")</f>
        <v>0</v>
      </c>
      <c r="BV1714" s="3"/>
      <c r="BW1714" s="3"/>
    </row>
    <row r="1715" spans="1:75">
      <c r="A1715" s="1" t="s">
        <v>75</v>
      </c>
      <c r="B1715" s="1" t="s">
        <v>25236</v>
      </c>
      <c r="C1715" s="1" t="s">
        <v>30293</v>
      </c>
      <c r="D1715" s="1" t="s">
        <v>1294</v>
      </c>
      <c r="E1715" s="1"/>
      <c r="F1715" s="1" t="s">
        <v>30294</v>
      </c>
      <c r="G1715" s="1" t="s">
        <v>30295</v>
      </c>
      <c r="H1715" s="1" t="s">
        <v>30296</v>
      </c>
      <c r="I1715" s="1" t="s">
        <v>30297</v>
      </c>
      <c r="J1715" s="1">
        <v>6005101068</v>
      </c>
      <c r="K1715" s="1" t="s">
        <v>84</v>
      </c>
      <c r="L1715" s="1" t="s">
        <v>27640</v>
      </c>
      <c r="M1715" s="1" t="s">
        <v>86</v>
      </c>
      <c r="N1715" s="1" t="s">
        <v>26871</v>
      </c>
      <c r="O1715" s="1"/>
      <c r="P1715" s="1" t="s">
        <v>481</v>
      </c>
      <c r="Q1715" s="1" t="s">
        <v>30298</v>
      </c>
      <c r="R1715" s="1" t="s">
        <v>30299</v>
      </c>
      <c r="S1715" s="1">
        <v>9906297032</v>
      </c>
      <c r="T1715" s="1" t="s">
        <v>8999</v>
      </c>
      <c r="U1715" s="1" t="s">
        <v>30300</v>
      </c>
      <c r="V1715" s="1">
        <v>8899745625</v>
      </c>
      <c r="W1715" s="1" t="s">
        <v>8999</v>
      </c>
      <c r="X1715" s="1" t="s">
        <v>30301</v>
      </c>
      <c r="Y1715" s="1" t="s">
        <v>30302</v>
      </c>
      <c r="Z1715" s="1" t="s">
        <v>8896</v>
      </c>
      <c r="AA1715" s="1" t="s">
        <v>30301</v>
      </c>
      <c r="AB1715" s="1" t="s">
        <v>30302</v>
      </c>
      <c r="AC1715" s="1" t="s">
        <v>8896</v>
      </c>
      <c r="AD1715" s="1" t="s">
        <v>98</v>
      </c>
      <c r="AE1715" s="1" t="s">
        <v>98</v>
      </c>
      <c r="AF1715" s="1" t="s">
        <v>30303</v>
      </c>
      <c r="AG1715" s="1" t="s">
        <v>30304</v>
      </c>
      <c r="AH1715" s="1" t="s">
        <v>1457</v>
      </c>
      <c r="AI1715" s="1" t="s">
        <v>135</v>
      </c>
      <c r="AJ1715" s="1">
        <v>51.6</v>
      </c>
      <c r="AK1715" s="1"/>
      <c r="AL1715" s="1"/>
      <c r="AM1715" s="1"/>
      <c r="AN1715" s="1"/>
      <c r="AO1715" s="1"/>
      <c r="AP1715" s="1"/>
      <c r="AQ1715" s="1"/>
      <c r="AR1715" s="1"/>
      <c r="AS1715" s="1" t="s">
        <v>439</v>
      </c>
      <c r="AT1715" s="1" t="s">
        <v>30305</v>
      </c>
      <c r="AU1715" s="1" t="s">
        <v>257</v>
      </c>
      <c r="AV1715" s="1" t="s">
        <v>1647</v>
      </c>
      <c r="AW1715" s="1">
        <v>56.25</v>
      </c>
      <c r="AX1715" s="1"/>
      <c r="AY1715" s="1" t="s">
        <v>30306</v>
      </c>
      <c r="AZ1715" s="1" t="s">
        <v>30306</v>
      </c>
      <c r="BA1715" s="1"/>
      <c r="BB1715" s="1"/>
      <c r="BC1715" s="1" t="s">
        <v>206</v>
      </c>
      <c r="BD1715" s="1" t="s">
        <v>632</v>
      </c>
      <c r="BE1715" s="1">
        <v>81.6</v>
      </c>
      <c r="BF1715" s="1">
        <v>8.16</v>
      </c>
      <c r="BG1715" s="1"/>
      <c r="BH1715" s="1"/>
      <c r="BI1715" s="1"/>
      <c r="BJ1715" s="1"/>
      <c r="BK1715" s="1"/>
      <c r="BL1715" s="1"/>
      <c r="BM1715" s="1"/>
      <c r="BN1715" s="1"/>
      <c r="BO1715" s="1" t="s">
        <v>30307</v>
      </c>
      <c r="BP1715" s="1" t="s">
        <v>30308</v>
      </c>
      <c r="BQ1715" s="1" t="s">
        <v>2326</v>
      </c>
      <c r="BR1715" s="1" t="s">
        <v>30309</v>
      </c>
      <c r="BS1715" s="1">
        <v>30</v>
      </c>
      <c r="BT1715" s="1"/>
      <c r="BU1715" s="1" t="str">
        <f>HYPERLINK("https://nconnect.nicmar.ac.in/storage/profile/ProfilePhoto_p2270308_342658.jpg","Download")</f>
        <v>0</v>
      </c>
      <c r="BV1715" s="3"/>
      <c r="BW1715" s="3"/>
    </row>
    <row r="1716" spans="1:75">
      <c r="A1716" s="1" t="s">
        <v>75</v>
      </c>
      <c r="B1716" s="1" t="s">
        <v>25236</v>
      </c>
      <c r="C1716" s="1" t="s">
        <v>30310</v>
      </c>
      <c r="D1716" s="1" t="s">
        <v>30311</v>
      </c>
      <c r="E1716" s="1"/>
      <c r="F1716" s="1" t="s">
        <v>30312</v>
      </c>
      <c r="G1716" s="1" t="s">
        <v>30313</v>
      </c>
      <c r="H1716" s="1" t="s">
        <v>30314</v>
      </c>
      <c r="I1716" s="1" t="s">
        <v>30315</v>
      </c>
      <c r="J1716" s="1">
        <v>9789743634</v>
      </c>
      <c r="K1716" s="1" t="s">
        <v>84</v>
      </c>
      <c r="L1716" s="1" t="s">
        <v>189</v>
      </c>
      <c r="M1716" s="1" t="s">
        <v>86</v>
      </c>
      <c r="N1716" s="1" t="s">
        <v>5777</v>
      </c>
      <c r="O1716" s="1" t="s">
        <v>30316</v>
      </c>
      <c r="P1716" s="1" t="s">
        <v>507</v>
      </c>
      <c r="Q1716" s="1" t="s">
        <v>30317</v>
      </c>
      <c r="R1716" s="1" t="s">
        <v>30318</v>
      </c>
      <c r="S1716" s="1">
        <v>9443357589</v>
      </c>
      <c r="T1716" s="1" t="s">
        <v>839</v>
      </c>
      <c r="U1716" s="1" t="s">
        <v>30319</v>
      </c>
      <c r="V1716" s="1">
        <v>9789743634</v>
      </c>
      <c r="W1716" s="1" t="s">
        <v>278</v>
      </c>
      <c r="X1716" s="1" t="s">
        <v>30320</v>
      </c>
      <c r="Y1716" s="1" t="s">
        <v>28159</v>
      </c>
      <c r="Z1716" s="1" t="s">
        <v>570</v>
      </c>
      <c r="AA1716" s="1" t="s">
        <v>30321</v>
      </c>
      <c r="AB1716" s="1" t="s">
        <v>196</v>
      </c>
      <c r="AC1716" s="1" t="s">
        <v>97</v>
      </c>
      <c r="AD1716" s="1" t="s">
        <v>98</v>
      </c>
      <c r="AE1716" s="1" t="s">
        <v>98</v>
      </c>
      <c r="AF1716" s="1" t="s">
        <v>30322</v>
      </c>
      <c r="AG1716" s="1" t="s">
        <v>30323</v>
      </c>
      <c r="AH1716" s="1" t="s">
        <v>166</v>
      </c>
      <c r="AI1716" s="1" t="s">
        <v>1111</v>
      </c>
      <c r="AJ1716" s="1">
        <v>96.2</v>
      </c>
      <c r="AK1716" s="1"/>
      <c r="AL1716" s="1" t="s">
        <v>30322</v>
      </c>
      <c r="AM1716" s="1" t="s">
        <v>30323</v>
      </c>
      <c r="AN1716" s="1"/>
      <c r="AO1716" s="1" t="s">
        <v>170</v>
      </c>
      <c r="AP1716" s="1" t="s">
        <v>286</v>
      </c>
      <c r="AQ1716" s="1">
        <v>77.16</v>
      </c>
      <c r="AR1716" s="1"/>
      <c r="AS1716" s="1"/>
      <c r="AT1716" s="1"/>
      <c r="AU1716" s="1"/>
      <c r="AV1716" s="1"/>
      <c r="AW1716" s="1"/>
      <c r="AX1716" s="1"/>
      <c r="AY1716" s="1" t="s">
        <v>576</v>
      </c>
      <c r="AZ1716" s="1" t="s">
        <v>30324</v>
      </c>
      <c r="BA1716" s="1"/>
      <c r="BB1716" s="1"/>
      <c r="BC1716" s="1" t="s">
        <v>1065</v>
      </c>
      <c r="BD1716" s="1" t="s">
        <v>289</v>
      </c>
      <c r="BE1716" s="1">
        <v>85.4</v>
      </c>
      <c r="BF1716" s="1">
        <v>8.54</v>
      </c>
      <c r="BG1716" s="1"/>
      <c r="BH1716" s="1"/>
      <c r="BI1716" s="1"/>
      <c r="BJ1716" s="1"/>
      <c r="BK1716" s="1"/>
      <c r="BL1716" s="1"/>
      <c r="BM1716" s="1"/>
      <c r="BN1716" s="1"/>
      <c r="BO1716" s="1" t="s">
        <v>1114</v>
      </c>
      <c r="BP1716" s="1"/>
      <c r="BQ1716" s="1"/>
      <c r="BR1716" s="1" t="s">
        <v>30325</v>
      </c>
      <c r="BS1716" s="1">
        <v>24</v>
      </c>
      <c r="BT1716" s="1"/>
      <c r="BU1716" s="1" t="str">
        <f>HYPERLINK("https://nconnect.nicmar.ac.in/storage/profile/ProfilePhoto_p2270309_764935.jpg","Download")</f>
        <v>0</v>
      </c>
      <c r="BV1716" s="3"/>
      <c r="BW1716" s="3"/>
    </row>
    <row r="1717" spans="1:75">
      <c r="A1717" s="1" t="s">
        <v>75</v>
      </c>
      <c r="B1717" s="1" t="s">
        <v>25236</v>
      </c>
      <c r="C1717" s="1" t="s">
        <v>30326</v>
      </c>
      <c r="D1717" s="1" t="s">
        <v>30327</v>
      </c>
      <c r="E1717" s="1" t="s">
        <v>30328</v>
      </c>
      <c r="F1717" s="1" t="s">
        <v>4037</v>
      </c>
      <c r="G1717" s="1" t="s">
        <v>30329</v>
      </c>
      <c r="H1717" s="1" t="s">
        <v>30330</v>
      </c>
      <c r="I1717" s="1" t="s">
        <v>30331</v>
      </c>
      <c r="J1717" s="1">
        <v>8501889314</v>
      </c>
      <c r="K1717" s="1" t="s">
        <v>84</v>
      </c>
      <c r="L1717" s="1" t="s">
        <v>25945</v>
      </c>
      <c r="M1717" s="1" t="s">
        <v>86</v>
      </c>
      <c r="N1717" s="1" t="s">
        <v>30332</v>
      </c>
      <c r="O1717" s="1" t="s">
        <v>30333</v>
      </c>
      <c r="P1717" s="1" t="s">
        <v>2021</v>
      </c>
      <c r="Q1717" s="1" t="s">
        <v>30334</v>
      </c>
      <c r="R1717" s="1" t="s">
        <v>30335</v>
      </c>
      <c r="S1717" s="1">
        <v>9490005698</v>
      </c>
      <c r="T1717" s="1" t="s">
        <v>159</v>
      </c>
      <c r="U1717" s="1" t="s">
        <v>30336</v>
      </c>
      <c r="V1717" s="1">
        <v>8897405698</v>
      </c>
      <c r="W1717" s="1" t="s">
        <v>161</v>
      </c>
      <c r="X1717" s="1" t="s">
        <v>30337</v>
      </c>
      <c r="Y1717" s="1" t="s">
        <v>1819</v>
      </c>
      <c r="Z1717" s="1" t="s">
        <v>461</v>
      </c>
      <c r="AA1717" s="1" t="s">
        <v>30337</v>
      </c>
      <c r="AB1717" s="1" t="s">
        <v>1819</v>
      </c>
      <c r="AC1717" s="1" t="s">
        <v>461</v>
      </c>
      <c r="AD1717" s="1" t="s">
        <v>98</v>
      </c>
      <c r="AE1717" s="1" t="s">
        <v>98</v>
      </c>
      <c r="AF1717" s="1" t="s">
        <v>30338</v>
      </c>
      <c r="AG1717" s="1" t="s">
        <v>463</v>
      </c>
      <c r="AH1717" s="1" t="s">
        <v>1214</v>
      </c>
      <c r="AI1717" s="1" t="s">
        <v>102</v>
      </c>
      <c r="AJ1717" s="1">
        <v>92.15</v>
      </c>
      <c r="AK1717" s="1">
        <v>9.7</v>
      </c>
      <c r="AL1717" s="1" t="s">
        <v>1603</v>
      </c>
      <c r="AM1717" s="1" t="s">
        <v>463</v>
      </c>
      <c r="AN1717" s="1"/>
      <c r="AO1717" s="1" t="s">
        <v>284</v>
      </c>
      <c r="AP1717" s="1" t="s">
        <v>200</v>
      </c>
      <c r="AQ1717" s="1">
        <v>95.5</v>
      </c>
      <c r="AR1717" s="1"/>
      <c r="AS1717" s="1"/>
      <c r="AT1717" s="1"/>
      <c r="AU1717" s="1"/>
      <c r="AV1717" s="1"/>
      <c r="AW1717" s="1"/>
      <c r="AX1717" s="1"/>
      <c r="AY1717" s="1" t="s">
        <v>4145</v>
      </c>
      <c r="AZ1717" s="1" t="s">
        <v>30339</v>
      </c>
      <c r="BA1717" s="1"/>
      <c r="BB1717" s="1"/>
      <c r="BC1717" s="1" t="s">
        <v>388</v>
      </c>
      <c r="BD1717" s="1" t="s">
        <v>847</v>
      </c>
      <c r="BE1717" s="1">
        <v>87.2</v>
      </c>
      <c r="BF1717" s="1">
        <v>8.72</v>
      </c>
      <c r="BG1717" s="1"/>
      <c r="BH1717" s="1"/>
      <c r="BI1717" s="1"/>
      <c r="BJ1717" s="1"/>
      <c r="BK1717" s="1"/>
      <c r="BL1717" s="1"/>
      <c r="BM1717" s="1"/>
      <c r="BN1717" s="1"/>
      <c r="BO1717" s="1" t="s">
        <v>30340</v>
      </c>
      <c r="BP1717" s="1"/>
      <c r="BQ1717" s="1"/>
      <c r="BR1717" s="1" t="s">
        <v>30341</v>
      </c>
      <c r="BS1717" s="1">
        <v>217</v>
      </c>
      <c r="BT1717" s="1"/>
      <c r="BU1717" s="1" t="str">
        <f>HYPERLINK("https://nconnect.nicmar.ac.in/storage/profile/ProfilePhoto_p2270310_342586.jpg","Download")</f>
        <v>0</v>
      </c>
      <c r="BV1717" s="3"/>
      <c r="BW1717" s="3"/>
    </row>
    <row r="1718" spans="1:75">
      <c r="A1718" s="1" t="s">
        <v>75</v>
      </c>
      <c r="B1718" s="1" t="s">
        <v>25236</v>
      </c>
      <c r="C1718" s="1" t="s">
        <v>30342</v>
      </c>
      <c r="D1718" s="1" t="s">
        <v>12315</v>
      </c>
      <c r="E1718" s="1"/>
      <c r="F1718" s="1" t="s">
        <v>30343</v>
      </c>
      <c r="G1718" s="1" t="s">
        <v>30344</v>
      </c>
      <c r="H1718" s="1" t="s">
        <v>30345</v>
      </c>
      <c r="I1718" s="1" t="s">
        <v>30346</v>
      </c>
      <c r="J1718" s="1">
        <v>7895782673</v>
      </c>
      <c r="K1718" s="1" t="s">
        <v>84</v>
      </c>
      <c r="L1718" s="1" t="s">
        <v>30347</v>
      </c>
      <c r="M1718" s="1" t="s">
        <v>86</v>
      </c>
      <c r="N1718" s="1" t="s">
        <v>4278</v>
      </c>
      <c r="O1718" s="1" t="s">
        <v>30348</v>
      </c>
      <c r="P1718" s="1" t="s">
        <v>455</v>
      </c>
      <c r="Q1718" s="1" t="s">
        <v>30349</v>
      </c>
      <c r="R1718" s="1" t="s">
        <v>30350</v>
      </c>
      <c r="S1718" s="1">
        <v>7579001018</v>
      </c>
      <c r="T1718" s="1" t="s">
        <v>30351</v>
      </c>
      <c r="U1718" s="1" t="s">
        <v>30352</v>
      </c>
      <c r="V1718" s="1">
        <v>7579001018</v>
      </c>
      <c r="W1718" s="1" t="s">
        <v>5639</v>
      </c>
      <c r="X1718" s="1" t="s">
        <v>30353</v>
      </c>
      <c r="Y1718" s="1" t="s">
        <v>19101</v>
      </c>
      <c r="Z1718" s="1" t="s">
        <v>7930</v>
      </c>
      <c r="AA1718" s="1" t="s">
        <v>30354</v>
      </c>
      <c r="AB1718" s="1" t="s">
        <v>196</v>
      </c>
      <c r="AC1718" s="1" t="s">
        <v>97</v>
      </c>
      <c r="AD1718" s="1" t="s">
        <v>98</v>
      </c>
      <c r="AE1718" s="1" t="s">
        <v>98</v>
      </c>
      <c r="AF1718" s="1" t="s">
        <v>30355</v>
      </c>
      <c r="AG1718" s="1" t="s">
        <v>30356</v>
      </c>
      <c r="AH1718" s="1" t="s">
        <v>3421</v>
      </c>
      <c r="AI1718" s="1" t="s">
        <v>1262</v>
      </c>
      <c r="AJ1718" s="1">
        <v>81.7</v>
      </c>
      <c r="AK1718" s="1">
        <v>8.6</v>
      </c>
      <c r="AL1718" s="1" t="s">
        <v>30355</v>
      </c>
      <c r="AM1718" s="1" t="s">
        <v>30356</v>
      </c>
      <c r="AN1718" s="1"/>
      <c r="AO1718" s="1" t="s">
        <v>1110</v>
      </c>
      <c r="AP1718" s="1" t="s">
        <v>167</v>
      </c>
      <c r="AQ1718" s="1">
        <v>75</v>
      </c>
      <c r="AR1718" s="1"/>
      <c r="AS1718" s="1"/>
      <c r="AT1718" s="1"/>
      <c r="AU1718" s="1"/>
      <c r="AV1718" s="1"/>
      <c r="AW1718" s="1"/>
      <c r="AX1718" s="1"/>
      <c r="AY1718" s="1" t="s">
        <v>30357</v>
      </c>
      <c r="AZ1718" s="1" t="s">
        <v>30358</v>
      </c>
      <c r="BA1718" s="1"/>
      <c r="BB1718" s="1"/>
      <c r="BC1718" s="1" t="s">
        <v>1396</v>
      </c>
      <c r="BD1718" s="1" t="s">
        <v>178</v>
      </c>
      <c r="BE1718" s="1">
        <v>74.7</v>
      </c>
      <c r="BF1718" s="1">
        <v>7.47</v>
      </c>
      <c r="BG1718" s="1"/>
      <c r="BH1718" s="1"/>
      <c r="BI1718" s="1"/>
      <c r="BJ1718" s="1"/>
      <c r="BK1718" s="1"/>
      <c r="BL1718" s="1"/>
      <c r="BM1718" s="1"/>
      <c r="BN1718" s="1"/>
      <c r="BO1718" s="1" t="s">
        <v>30359</v>
      </c>
      <c r="BP1718" s="1"/>
      <c r="BQ1718" s="1"/>
      <c r="BR1718" s="1" t="s">
        <v>30360</v>
      </c>
      <c r="BS1718" s="1">
        <v>13</v>
      </c>
      <c r="BT1718" s="1"/>
      <c r="BU1718" s="1" t="str">
        <f>HYPERLINK("https://nconnect.nicmar.ac.in/storage/profile/ProfilePhoto_p2270311_479156.jpg","Download")</f>
        <v>0</v>
      </c>
      <c r="BV1718" s="3"/>
      <c r="BW1718" s="3"/>
    </row>
    <row r="1719" spans="1:75">
      <c r="A1719" s="1" t="s">
        <v>75</v>
      </c>
      <c r="B1719" s="1" t="s">
        <v>25236</v>
      </c>
      <c r="C1719" s="1" t="s">
        <v>30361</v>
      </c>
      <c r="D1719" s="1" t="s">
        <v>3493</v>
      </c>
      <c r="E1719" s="1"/>
      <c r="F1719" s="1" t="s">
        <v>13015</v>
      </c>
      <c r="G1719" s="1" t="s">
        <v>30362</v>
      </c>
      <c r="H1719" s="1" t="s">
        <v>30363</v>
      </c>
      <c r="I1719" s="1" t="s">
        <v>30364</v>
      </c>
      <c r="J1719" s="1">
        <v>8279817347</v>
      </c>
      <c r="K1719" s="1" t="s">
        <v>84</v>
      </c>
      <c r="L1719" s="1" t="s">
        <v>30365</v>
      </c>
      <c r="M1719" s="1" t="s">
        <v>86</v>
      </c>
      <c r="N1719" s="1" t="s">
        <v>355</v>
      </c>
      <c r="O1719" s="1" t="s">
        <v>30366</v>
      </c>
      <c r="P1719" s="1" t="s">
        <v>2684</v>
      </c>
      <c r="Q1719" s="1" t="s">
        <v>30367</v>
      </c>
      <c r="R1719" s="1" t="s">
        <v>30368</v>
      </c>
      <c r="S1719" s="1">
        <v>8987564404</v>
      </c>
      <c r="T1719" s="1" t="s">
        <v>30369</v>
      </c>
      <c r="U1719" s="1" t="s">
        <v>30370</v>
      </c>
      <c r="V1719" s="1">
        <v>7599081025</v>
      </c>
      <c r="W1719" s="1" t="s">
        <v>278</v>
      </c>
      <c r="X1719" s="1" t="s">
        <v>30371</v>
      </c>
      <c r="Y1719" s="1" t="s">
        <v>30372</v>
      </c>
      <c r="Z1719" s="1" t="s">
        <v>7930</v>
      </c>
      <c r="AA1719" s="1" t="s">
        <v>30373</v>
      </c>
      <c r="AB1719" s="1" t="s">
        <v>196</v>
      </c>
      <c r="AC1719" s="1" t="s">
        <v>97</v>
      </c>
      <c r="AD1719" s="1" t="s">
        <v>98</v>
      </c>
      <c r="AE1719" s="1" t="s">
        <v>98</v>
      </c>
      <c r="AF1719" s="1" t="s">
        <v>30374</v>
      </c>
      <c r="AG1719" s="1" t="s">
        <v>30375</v>
      </c>
      <c r="AH1719" s="1" t="s">
        <v>1213</v>
      </c>
      <c r="AI1719" s="1" t="s">
        <v>1262</v>
      </c>
      <c r="AJ1719" s="1">
        <v>74.1</v>
      </c>
      <c r="AK1719" s="1">
        <v>7.8</v>
      </c>
      <c r="AL1719" s="1" t="s">
        <v>30374</v>
      </c>
      <c r="AM1719" s="1" t="s">
        <v>30375</v>
      </c>
      <c r="AN1719" s="1"/>
      <c r="AO1719" s="1" t="s">
        <v>166</v>
      </c>
      <c r="AP1719" s="1" t="s">
        <v>627</v>
      </c>
      <c r="AQ1719" s="1">
        <v>65</v>
      </c>
      <c r="AR1719" s="1"/>
      <c r="AS1719" s="1"/>
      <c r="AT1719" s="1"/>
      <c r="AU1719" s="1"/>
      <c r="AV1719" s="1"/>
      <c r="AW1719" s="1"/>
      <c r="AX1719" s="1"/>
      <c r="AY1719" s="1" t="s">
        <v>30376</v>
      </c>
      <c r="AZ1719" s="1" t="s">
        <v>30358</v>
      </c>
      <c r="BA1719" s="1"/>
      <c r="BB1719" s="1"/>
      <c r="BC1719" s="1" t="s">
        <v>1396</v>
      </c>
      <c r="BD1719" s="1" t="s">
        <v>178</v>
      </c>
      <c r="BE1719" s="1">
        <v>82.2</v>
      </c>
      <c r="BF1719" s="1">
        <v>8.22</v>
      </c>
      <c r="BG1719" s="1"/>
      <c r="BH1719" s="1"/>
      <c r="BI1719" s="1"/>
      <c r="BJ1719" s="1"/>
      <c r="BK1719" s="1"/>
      <c r="BL1719" s="1"/>
      <c r="BM1719" s="1"/>
      <c r="BN1719" s="1"/>
      <c r="BO1719" s="1" t="s">
        <v>30377</v>
      </c>
      <c r="BP1719" s="1" t="s">
        <v>30378</v>
      </c>
      <c r="BQ1719" s="1" t="s">
        <v>3949</v>
      </c>
      <c r="BR1719" s="1" t="s">
        <v>30379</v>
      </c>
      <c r="BS1719" s="1">
        <v>79</v>
      </c>
      <c r="BT1719" s="1"/>
      <c r="BU1719" s="1" t="str">
        <f>HYPERLINK("https://nconnect.nicmar.ac.in/storage/profile/ProfilePhoto_p2270312_935741.jpg","Download")</f>
        <v>0</v>
      </c>
      <c r="BV1719" s="3"/>
      <c r="BW1719" s="3"/>
    </row>
    <row r="1720" spans="1:75">
      <c r="A1720" s="1" t="s">
        <v>75</v>
      </c>
      <c r="B1720" s="1" t="s">
        <v>25236</v>
      </c>
      <c r="C1720" s="1" t="s">
        <v>30380</v>
      </c>
      <c r="D1720" s="1" t="s">
        <v>30381</v>
      </c>
      <c r="E1720" s="1" t="s">
        <v>1997</v>
      </c>
      <c r="F1720" s="1" t="s">
        <v>350</v>
      </c>
      <c r="G1720" s="1" t="s">
        <v>30382</v>
      </c>
      <c r="H1720" s="1" t="s">
        <v>30383</v>
      </c>
      <c r="I1720" s="1" t="s">
        <v>30384</v>
      </c>
      <c r="J1720" s="1">
        <v>8511273103</v>
      </c>
      <c r="K1720" s="1" t="s">
        <v>84</v>
      </c>
      <c r="L1720" s="1" t="s">
        <v>30385</v>
      </c>
      <c r="M1720" s="1" t="s">
        <v>86</v>
      </c>
      <c r="N1720" s="1" t="s">
        <v>7185</v>
      </c>
      <c r="O1720" s="1"/>
      <c r="P1720" s="1" t="s">
        <v>455</v>
      </c>
      <c r="Q1720" s="1" t="s">
        <v>30386</v>
      </c>
      <c r="R1720" s="1" t="s">
        <v>30387</v>
      </c>
      <c r="S1720" s="1">
        <v>9998973101</v>
      </c>
      <c r="T1720" s="1" t="s">
        <v>645</v>
      </c>
      <c r="U1720" s="1" t="s">
        <v>30388</v>
      </c>
      <c r="V1720" s="1">
        <v>9998973101</v>
      </c>
      <c r="W1720" s="1" t="s">
        <v>161</v>
      </c>
      <c r="X1720" s="1" t="s">
        <v>30389</v>
      </c>
      <c r="Y1720" s="1" t="s">
        <v>5138</v>
      </c>
      <c r="Z1720" s="1" t="s">
        <v>676</v>
      </c>
      <c r="AA1720" s="1" t="s">
        <v>30389</v>
      </c>
      <c r="AB1720" s="1" t="s">
        <v>5138</v>
      </c>
      <c r="AC1720" s="1" t="s">
        <v>676</v>
      </c>
      <c r="AD1720" s="1" t="s">
        <v>98</v>
      </c>
      <c r="AE1720" s="1" t="s">
        <v>98</v>
      </c>
      <c r="AF1720" s="1" t="s">
        <v>30390</v>
      </c>
      <c r="AG1720" s="1" t="s">
        <v>12176</v>
      </c>
      <c r="AH1720" s="1" t="s">
        <v>801</v>
      </c>
      <c r="AI1720" s="1" t="s">
        <v>2726</v>
      </c>
      <c r="AJ1720" s="1">
        <v>85.5</v>
      </c>
      <c r="AK1720" s="1">
        <v>9</v>
      </c>
      <c r="AL1720" s="1" t="s">
        <v>30390</v>
      </c>
      <c r="AM1720" s="1" t="s">
        <v>12176</v>
      </c>
      <c r="AN1720" s="1"/>
      <c r="AO1720" s="1" t="s">
        <v>134</v>
      </c>
      <c r="AP1720" s="1" t="s">
        <v>1262</v>
      </c>
      <c r="AQ1720" s="1">
        <v>79.8</v>
      </c>
      <c r="AR1720" s="1"/>
      <c r="AS1720" s="1"/>
      <c r="AT1720" s="1"/>
      <c r="AU1720" s="1"/>
      <c r="AV1720" s="1"/>
      <c r="AW1720" s="1"/>
      <c r="AX1720" s="1"/>
      <c r="AY1720" s="1" t="s">
        <v>5241</v>
      </c>
      <c r="AZ1720" s="1" t="s">
        <v>30391</v>
      </c>
      <c r="BA1720" s="1"/>
      <c r="BB1720" s="1"/>
      <c r="BC1720" s="1" t="s">
        <v>101</v>
      </c>
      <c r="BD1720" s="1" t="s">
        <v>106</v>
      </c>
      <c r="BE1720" s="1">
        <v>79.5</v>
      </c>
      <c r="BF1720" s="1">
        <v>8.45</v>
      </c>
      <c r="BG1720" s="1"/>
      <c r="BH1720" s="1"/>
      <c r="BI1720" s="1"/>
      <c r="BJ1720" s="1"/>
      <c r="BK1720" s="1"/>
      <c r="BL1720" s="1"/>
      <c r="BM1720" s="1"/>
      <c r="BN1720" s="1"/>
      <c r="BO1720" s="1" t="s">
        <v>369</v>
      </c>
      <c r="BP1720" s="1"/>
      <c r="BQ1720" s="1"/>
      <c r="BR1720" s="1" t="s">
        <v>30392</v>
      </c>
      <c r="BS1720" s="1">
        <v>11</v>
      </c>
      <c r="BT1720" s="1"/>
      <c r="BU1720" s="1" t="str">
        <f>HYPERLINK("https://nconnect.nicmar.ac.in/storage/profile/ProfilePhoto_p2270313_751426.jpg","Download")</f>
        <v>0</v>
      </c>
      <c r="BV1720" s="3"/>
      <c r="BW1720" s="3"/>
    </row>
    <row r="1721" spans="1:75">
      <c r="A1721" s="1" t="s">
        <v>75</v>
      </c>
      <c r="B1721" s="1" t="s">
        <v>25236</v>
      </c>
      <c r="C1721" s="1" t="s">
        <v>30393</v>
      </c>
      <c r="D1721" s="1" t="s">
        <v>1294</v>
      </c>
      <c r="E1721" s="1"/>
      <c r="F1721" s="1" t="s">
        <v>530</v>
      </c>
      <c r="G1721" s="1" t="s">
        <v>30394</v>
      </c>
      <c r="H1721" s="1" t="s">
        <v>30395</v>
      </c>
      <c r="I1721" s="1" t="s">
        <v>30396</v>
      </c>
      <c r="J1721" s="1">
        <v>8090838707</v>
      </c>
      <c r="K1721" s="1" t="s">
        <v>84</v>
      </c>
      <c r="L1721" s="1" t="s">
        <v>30397</v>
      </c>
      <c r="M1721" s="1" t="s">
        <v>86</v>
      </c>
      <c r="N1721" s="1" t="s">
        <v>4278</v>
      </c>
      <c r="O1721" s="1" t="s">
        <v>30398</v>
      </c>
      <c r="P1721" s="1" t="s">
        <v>455</v>
      </c>
      <c r="Q1721" s="1" t="s">
        <v>30399</v>
      </c>
      <c r="R1721" s="1" t="s">
        <v>30400</v>
      </c>
      <c r="S1721" s="1">
        <v>9838919305</v>
      </c>
      <c r="T1721" s="1" t="s">
        <v>30401</v>
      </c>
      <c r="U1721" s="1" t="s">
        <v>30402</v>
      </c>
      <c r="V1721" s="1">
        <v>6307649659</v>
      </c>
      <c r="W1721" s="1" t="s">
        <v>94</v>
      </c>
      <c r="X1721" s="1" t="s">
        <v>30403</v>
      </c>
      <c r="Y1721" s="1" t="s">
        <v>9057</v>
      </c>
      <c r="Z1721" s="1" t="s">
        <v>544</v>
      </c>
      <c r="AA1721" s="1" t="s">
        <v>30403</v>
      </c>
      <c r="AB1721" s="1" t="s">
        <v>9057</v>
      </c>
      <c r="AC1721" s="1" t="s">
        <v>544</v>
      </c>
      <c r="AD1721" s="1" t="s">
        <v>98</v>
      </c>
      <c r="AE1721" s="1" t="s">
        <v>98</v>
      </c>
      <c r="AF1721" s="1" t="s">
        <v>30404</v>
      </c>
      <c r="AG1721" s="1" t="s">
        <v>30405</v>
      </c>
      <c r="AH1721" s="1" t="s">
        <v>133</v>
      </c>
      <c r="AI1721" s="1" t="s">
        <v>134</v>
      </c>
      <c r="AJ1721" s="1">
        <v>74.1</v>
      </c>
      <c r="AK1721" s="1">
        <v>7.8</v>
      </c>
      <c r="AL1721" s="1" t="s">
        <v>652</v>
      </c>
      <c r="AM1721" s="1" t="s">
        <v>30405</v>
      </c>
      <c r="AN1721" s="1"/>
      <c r="AO1721" s="1" t="s">
        <v>166</v>
      </c>
      <c r="AP1721" s="1" t="s">
        <v>627</v>
      </c>
      <c r="AQ1721" s="1">
        <v>62</v>
      </c>
      <c r="AR1721" s="1">
        <v>0</v>
      </c>
      <c r="AS1721" s="1"/>
      <c r="AT1721" s="1"/>
      <c r="AU1721" s="1"/>
      <c r="AV1721" s="1"/>
      <c r="AW1721" s="1"/>
      <c r="AX1721" s="1"/>
      <c r="AY1721" s="1" t="s">
        <v>30406</v>
      </c>
      <c r="AZ1721" s="1" t="s">
        <v>30407</v>
      </c>
      <c r="BA1721" s="1"/>
      <c r="BB1721" s="1"/>
      <c r="BC1721" s="1" t="s">
        <v>139</v>
      </c>
      <c r="BD1721" s="1" t="s">
        <v>549</v>
      </c>
      <c r="BE1721" s="1">
        <v>69.3</v>
      </c>
      <c r="BF1721" s="1">
        <v>6.93</v>
      </c>
      <c r="BG1721" s="1"/>
      <c r="BH1721" s="1"/>
      <c r="BI1721" s="1"/>
      <c r="BJ1721" s="1"/>
      <c r="BK1721" s="1"/>
      <c r="BL1721" s="1"/>
      <c r="BM1721" s="1"/>
      <c r="BN1721" s="1"/>
      <c r="BO1721" s="1" t="s">
        <v>6042</v>
      </c>
      <c r="BP1721" s="1"/>
      <c r="BQ1721" s="1"/>
      <c r="BR1721" s="1" t="s">
        <v>30408</v>
      </c>
      <c r="BS1721" s="1">
        <v>11</v>
      </c>
      <c r="BT1721" s="1"/>
      <c r="BU1721" s="1" t="str">
        <f>HYPERLINK("https://nconnect.nicmar.ac.in/storage/profile/ProfilePhoto_p2270314_415923.jpg","Download")</f>
        <v>0</v>
      </c>
      <c r="BV1721" s="3"/>
      <c r="BW1721" s="3"/>
    </row>
    <row r="1722" spans="1:75">
      <c r="A1722" s="1" t="s">
        <v>75</v>
      </c>
      <c r="B1722" s="1" t="s">
        <v>25236</v>
      </c>
      <c r="C1722" s="1" t="s">
        <v>30409</v>
      </c>
      <c r="D1722" s="1" t="s">
        <v>7292</v>
      </c>
      <c r="E1722" s="1"/>
      <c r="F1722" s="1" t="s">
        <v>28313</v>
      </c>
      <c r="G1722" s="1" t="s">
        <v>30410</v>
      </c>
      <c r="H1722" s="1" t="s">
        <v>30411</v>
      </c>
      <c r="I1722" s="1" t="s">
        <v>30412</v>
      </c>
      <c r="J1722" s="1">
        <v>9039242015</v>
      </c>
      <c r="K1722" s="1" t="s">
        <v>84</v>
      </c>
      <c r="L1722" s="1" t="s">
        <v>30413</v>
      </c>
      <c r="M1722" s="1" t="s">
        <v>86</v>
      </c>
      <c r="N1722" s="1" t="s">
        <v>8277</v>
      </c>
      <c r="O1722" s="1" t="s">
        <v>30414</v>
      </c>
      <c r="P1722" s="1" t="s">
        <v>455</v>
      </c>
      <c r="Q1722" s="1" t="s">
        <v>30415</v>
      </c>
      <c r="R1722" s="1" t="s">
        <v>30416</v>
      </c>
      <c r="S1722" s="1">
        <v>8770784401</v>
      </c>
      <c r="T1722" s="1" t="s">
        <v>30417</v>
      </c>
      <c r="U1722" s="1" t="s">
        <v>30418</v>
      </c>
      <c r="V1722" s="1">
        <v>9165177262</v>
      </c>
      <c r="W1722" s="1" t="s">
        <v>278</v>
      </c>
      <c r="X1722" s="1" t="s">
        <v>30419</v>
      </c>
      <c r="Y1722" s="1" t="s">
        <v>5622</v>
      </c>
      <c r="Z1722" s="1" t="s">
        <v>3419</v>
      </c>
      <c r="AA1722" s="1" t="s">
        <v>30419</v>
      </c>
      <c r="AB1722" s="1" t="s">
        <v>5622</v>
      </c>
      <c r="AC1722" s="1" t="s">
        <v>3419</v>
      </c>
      <c r="AD1722" s="1" t="s">
        <v>98</v>
      </c>
      <c r="AE1722" s="1" t="s">
        <v>98</v>
      </c>
      <c r="AF1722" s="1" t="s">
        <v>30420</v>
      </c>
      <c r="AG1722" s="1" t="s">
        <v>11430</v>
      </c>
      <c r="AH1722" s="1" t="s">
        <v>134</v>
      </c>
      <c r="AI1722" s="1" t="s">
        <v>1262</v>
      </c>
      <c r="AJ1722" s="1">
        <v>73.1</v>
      </c>
      <c r="AK1722" s="1"/>
      <c r="AL1722" s="1" t="s">
        <v>30420</v>
      </c>
      <c r="AM1722" s="1" t="s">
        <v>11430</v>
      </c>
      <c r="AN1722" s="1"/>
      <c r="AO1722" s="1" t="s">
        <v>136</v>
      </c>
      <c r="AP1722" s="1" t="s">
        <v>627</v>
      </c>
      <c r="AQ1722" s="1">
        <v>74.8</v>
      </c>
      <c r="AR1722" s="1"/>
      <c r="AS1722" s="1"/>
      <c r="AT1722" s="1"/>
      <c r="AU1722" s="1"/>
      <c r="AV1722" s="1"/>
      <c r="AW1722" s="1"/>
      <c r="AX1722" s="1"/>
      <c r="AY1722" s="1" t="s">
        <v>2206</v>
      </c>
      <c r="AZ1722" s="1" t="s">
        <v>30421</v>
      </c>
      <c r="BA1722" s="1"/>
      <c r="BB1722" s="1"/>
      <c r="BC1722" s="1" t="s">
        <v>139</v>
      </c>
      <c r="BD1722" s="1" t="s">
        <v>175</v>
      </c>
      <c r="BE1722" s="1">
        <v>78.8</v>
      </c>
      <c r="BF1722" s="1">
        <v>7.88</v>
      </c>
      <c r="BG1722" s="1"/>
      <c r="BH1722" s="1"/>
      <c r="BI1722" s="1"/>
      <c r="BJ1722" s="1"/>
      <c r="BK1722" s="1"/>
      <c r="BL1722" s="1"/>
      <c r="BM1722" s="1"/>
      <c r="BN1722" s="1"/>
      <c r="BO1722" s="1" t="s">
        <v>1114</v>
      </c>
      <c r="BP1722" s="1"/>
      <c r="BQ1722" s="1"/>
      <c r="BR1722" s="1" t="s">
        <v>30422</v>
      </c>
      <c r="BS1722" s="1">
        <v>11</v>
      </c>
      <c r="BT1722" s="1"/>
      <c r="BU1722" s="1" t="str">
        <f>HYPERLINK("https://nconnect.nicmar.ac.in/storage/profile/ProfilePhoto_p2270315_597326.jpg","Download")</f>
        <v>0</v>
      </c>
      <c r="BV1722" s="3"/>
      <c r="BW1722" s="3"/>
    </row>
    <row r="1723" spans="1:75">
      <c r="A1723" s="1" t="s">
        <v>75</v>
      </c>
      <c r="B1723" s="1" t="s">
        <v>25236</v>
      </c>
      <c r="C1723" s="1" t="s">
        <v>30423</v>
      </c>
      <c r="D1723" s="1" t="s">
        <v>8325</v>
      </c>
      <c r="E1723" s="1"/>
      <c r="F1723" s="1" t="s">
        <v>30424</v>
      </c>
      <c r="G1723" s="1" t="s">
        <v>30425</v>
      </c>
      <c r="H1723" s="1" t="s">
        <v>30426</v>
      </c>
      <c r="I1723" s="1" t="s">
        <v>30427</v>
      </c>
      <c r="J1723" s="1">
        <v>9446591662</v>
      </c>
      <c r="K1723" s="1" t="s">
        <v>84</v>
      </c>
      <c r="L1723" s="1" t="s">
        <v>30428</v>
      </c>
      <c r="M1723" s="1" t="s">
        <v>86</v>
      </c>
      <c r="N1723" s="1" t="s">
        <v>5194</v>
      </c>
      <c r="O1723" s="1" t="s">
        <v>30429</v>
      </c>
      <c r="P1723" s="1" t="s">
        <v>2684</v>
      </c>
      <c r="Q1723" s="1" t="s">
        <v>30430</v>
      </c>
      <c r="R1723" s="1" t="s">
        <v>2701</v>
      </c>
      <c r="S1723" s="1">
        <v>9446570916</v>
      </c>
      <c r="T1723" s="1" t="s">
        <v>8332</v>
      </c>
      <c r="U1723" s="1" t="s">
        <v>30431</v>
      </c>
      <c r="V1723" s="1">
        <v>9446330916</v>
      </c>
      <c r="W1723" s="1" t="s">
        <v>30432</v>
      </c>
      <c r="X1723" s="1" t="s">
        <v>30433</v>
      </c>
      <c r="Y1723" s="1" t="s">
        <v>1307</v>
      </c>
      <c r="Z1723" s="1" t="s">
        <v>130</v>
      </c>
      <c r="AA1723" s="1" t="s">
        <v>30433</v>
      </c>
      <c r="AB1723" s="1" t="s">
        <v>1307</v>
      </c>
      <c r="AC1723" s="1" t="s">
        <v>130</v>
      </c>
      <c r="AD1723" s="1" t="s">
        <v>98</v>
      </c>
      <c r="AE1723" s="1" t="s">
        <v>98</v>
      </c>
      <c r="AF1723" s="1" t="s">
        <v>30434</v>
      </c>
      <c r="AG1723" s="1" t="s">
        <v>6594</v>
      </c>
      <c r="AH1723" s="1" t="s">
        <v>1213</v>
      </c>
      <c r="AI1723" s="1" t="s">
        <v>515</v>
      </c>
      <c r="AJ1723" s="1">
        <v>85.5</v>
      </c>
      <c r="AK1723" s="1">
        <v>9</v>
      </c>
      <c r="AL1723" s="1" t="s">
        <v>30434</v>
      </c>
      <c r="AM1723" s="1" t="s">
        <v>6594</v>
      </c>
      <c r="AN1723" s="1"/>
      <c r="AO1723" s="1" t="s">
        <v>166</v>
      </c>
      <c r="AP1723" s="1" t="s">
        <v>1111</v>
      </c>
      <c r="AQ1723" s="1">
        <v>74.8</v>
      </c>
      <c r="AR1723" s="1">
        <v>0</v>
      </c>
      <c r="AS1723" s="1"/>
      <c r="AT1723" s="1"/>
      <c r="AU1723" s="1"/>
      <c r="AV1723" s="1"/>
      <c r="AW1723" s="1"/>
      <c r="AX1723" s="1"/>
      <c r="AY1723" s="1" t="s">
        <v>137</v>
      </c>
      <c r="AZ1723" s="1" t="s">
        <v>3156</v>
      </c>
      <c r="BA1723" s="1"/>
      <c r="BB1723" s="1"/>
      <c r="BC1723" s="1" t="s">
        <v>230</v>
      </c>
      <c r="BD1723" s="1" t="s">
        <v>549</v>
      </c>
      <c r="BE1723" s="1">
        <v>78.6</v>
      </c>
      <c r="BF1723" s="1">
        <v>7.86</v>
      </c>
      <c r="BG1723" s="1"/>
      <c r="BH1723" s="1"/>
      <c r="BI1723" s="1"/>
      <c r="BJ1723" s="1"/>
      <c r="BK1723" s="1"/>
      <c r="BL1723" s="1"/>
      <c r="BM1723" s="1"/>
      <c r="BN1723" s="1"/>
      <c r="BO1723" s="1" t="s">
        <v>30435</v>
      </c>
      <c r="BP1723" s="1" t="s">
        <v>30436</v>
      </c>
      <c r="BQ1723" s="1" t="s">
        <v>2093</v>
      </c>
      <c r="BR1723" s="1" t="s">
        <v>30437</v>
      </c>
      <c r="BS1723" s="1">
        <v>8</v>
      </c>
      <c r="BT1723" s="1"/>
      <c r="BU1723" s="1" t="str">
        <f>HYPERLINK("https://nconnect.nicmar.ac.in/storage/profile/ProfilePhoto_p2270316_859137.jpg","Download")</f>
        <v>0</v>
      </c>
      <c r="BV1723" s="3"/>
      <c r="BW1723" s="3"/>
    </row>
    <row r="1724" spans="1:75">
      <c r="A1724" s="1" t="s">
        <v>75</v>
      </c>
      <c r="B1724" s="1" t="s">
        <v>25236</v>
      </c>
      <c r="C1724" s="1" t="s">
        <v>30438</v>
      </c>
      <c r="D1724" s="1" t="s">
        <v>30439</v>
      </c>
      <c r="E1724" s="1"/>
      <c r="F1724" s="1" t="s">
        <v>239</v>
      </c>
      <c r="G1724" s="1" t="s">
        <v>30440</v>
      </c>
      <c r="H1724" s="1" t="s">
        <v>30441</v>
      </c>
      <c r="I1724" s="1" t="s">
        <v>30442</v>
      </c>
      <c r="J1724" s="1">
        <v>7381219310</v>
      </c>
      <c r="K1724" s="1" t="s">
        <v>84</v>
      </c>
      <c r="L1724" s="1" t="s">
        <v>30443</v>
      </c>
      <c r="M1724" s="1" t="s">
        <v>86</v>
      </c>
      <c r="N1724" s="1" t="s">
        <v>30444</v>
      </c>
      <c r="O1724" s="1" t="s">
        <v>30445</v>
      </c>
      <c r="P1724" s="1" t="s">
        <v>455</v>
      </c>
      <c r="Q1724" s="1" t="s">
        <v>30446</v>
      </c>
      <c r="R1724" s="1" t="s">
        <v>30447</v>
      </c>
      <c r="S1724" s="1">
        <v>9937321310</v>
      </c>
      <c r="T1724" s="1" t="s">
        <v>5065</v>
      </c>
      <c r="U1724" s="1" t="s">
        <v>30448</v>
      </c>
      <c r="V1724" s="1">
        <v>9937677310</v>
      </c>
      <c r="W1724" s="1" t="s">
        <v>127</v>
      </c>
      <c r="X1724" s="1" t="s">
        <v>30449</v>
      </c>
      <c r="Y1724" s="1" t="s">
        <v>30450</v>
      </c>
      <c r="Z1724" s="1" t="s">
        <v>865</v>
      </c>
      <c r="AA1724" s="1" t="s">
        <v>30449</v>
      </c>
      <c r="AB1724" s="1" t="s">
        <v>30450</v>
      </c>
      <c r="AC1724" s="1" t="s">
        <v>865</v>
      </c>
      <c r="AD1724" s="1" t="s">
        <v>98</v>
      </c>
      <c r="AE1724" s="1" t="s">
        <v>98</v>
      </c>
      <c r="AF1724" s="1" t="s">
        <v>30451</v>
      </c>
      <c r="AG1724" s="1" t="s">
        <v>30452</v>
      </c>
      <c r="AH1724" s="1" t="s">
        <v>1457</v>
      </c>
      <c r="AI1724" s="1" t="s">
        <v>515</v>
      </c>
      <c r="AJ1724" s="1">
        <v>90.6</v>
      </c>
      <c r="AK1724" s="1">
        <v>0</v>
      </c>
      <c r="AL1724" s="1" t="s">
        <v>30451</v>
      </c>
      <c r="AM1724" s="1" t="s">
        <v>30452</v>
      </c>
      <c r="AN1724" s="1"/>
      <c r="AO1724" s="1" t="s">
        <v>102</v>
      </c>
      <c r="AP1724" s="1" t="s">
        <v>1111</v>
      </c>
      <c r="AQ1724" s="1">
        <v>70.4</v>
      </c>
      <c r="AR1724" s="1">
        <v>0</v>
      </c>
      <c r="AS1724" s="1"/>
      <c r="AT1724" s="1"/>
      <c r="AU1724" s="1"/>
      <c r="AV1724" s="1"/>
      <c r="AW1724" s="1"/>
      <c r="AX1724" s="1"/>
      <c r="AY1724" s="1" t="s">
        <v>30453</v>
      </c>
      <c r="AZ1724" s="1" t="s">
        <v>30454</v>
      </c>
      <c r="BA1724" s="1"/>
      <c r="BB1724" s="1"/>
      <c r="BC1724" s="1" t="s">
        <v>139</v>
      </c>
      <c r="BD1724" s="1" t="s">
        <v>549</v>
      </c>
      <c r="BE1724" s="1">
        <v>61.3</v>
      </c>
      <c r="BF1724" s="1">
        <v>6.63</v>
      </c>
      <c r="BG1724" s="1"/>
      <c r="BH1724" s="1"/>
      <c r="BI1724" s="1"/>
      <c r="BJ1724" s="1"/>
      <c r="BK1724" s="1"/>
      <c r="BL1724" s="1"/>
      <c r="BM1724" s="1"/>
      <c r="BN1724" s="1"/>
      <c r="BO1724" s="1" t="s">
        <v>30455</v>
      </c>
      <c r="BP1724" s="1"/>
      <c r="BQ1724" s="1"/>
      <c r="BR1724" s="1" t="s">
        <v>30456</v>
      </c>
      <c r="BS1724" s="1">
        <v>7</v>
      </c>
      <c r="BT1724" s="1"/>
      <c r="BU1724" s="1" t="str">
        <f>HYPERLINK("https://nconnect.nicmar.ac.in/storage/profile/ProfilePhoto_p2270317_249175.jpg","Download")</f>
        <v>0</v>
      </c>
      <c r="BV1724" s="3"/>
      <c r="BW1724" s="3"/>
    </row>
    <row r="1725" spans="1:75">
      <c r="A1725" s="1" t="s">
        <v>75</v>
      </c>
      <c r="B1725" s="1" t="s">
        <v>25236</v>
      </c>
      <c r="C1725" s="1" t="s">
        <v>30457</v>
      </c>
      <c r="D1725" s="1" t="s">
        <v>5073</v>
      </c>
      <c r="E1725" s="1" t="s">
        <v>26214</v>
      </c>
      <c r="F1725" s="1" t="s">
        <v>30458</v>
      </c>
      <c r="G1725" s="1" t="s">
        <v>30459</v>
      </c>
      <c r="H1725" s="1" t="s">
        <v>30460</v>
      </c>
      <c r="I1725" s="1" t="s">
        <v>30461</v>
      </c>
      <c r="J1725" s="1">
        <v>9082602731</v>
      </c>
      <c r="K1725" s="1" t="s">
        <v>84</v>
      </c>
      <c r="L1725" s="1" t="s">
        <v>30462</v>
      </c>
      <c r="M1725" s="1" t="s">
        <v>86</v>
      </c>
      <c r="N1725" s="1" t="s">
        <v>618</v>
      </c>
      <c r="O1725" s="1" t="s">
        <v>30463</v>
      </c>
      <c r="P1725" s="1" t="s">
        <v>507</v>
      </c>
      <c r="Q1725" s="1" t="s">
        <v>30464</v>
      </c>
      <c r="R1725" s="1" t="s">
        <v>26214</v>
      </c>
      <c r="S1725" s="1">
        <v>9920381216</v>
      </c>
      <c r="T1725" s="1" t="s">
        <v>30465</v>
      </c>
      <c r="U1725" s="1" t="s">
        <v>29289</v>
      </c>
      <c r="V1725" s="1">
        <v>7506876436</v>
      </c>
      <c r="W1725" s="1" t="s">
        <v>2547</v>
      </c>
      <c r="X1725" s="1" t="s">
        <v>30466</v>
      </c>
      <c r="Y1725" s="1" t="s">
        <v>2259</v>
      </c>
      <c r="Z1725" s="1" t="s">
        <v>97</v>
      </c>
      <c r="AA1725" s="1" t="s">
        <v>30466</v>
      </c>
      <c r="AB1725" s="1" t="s">
        <v>2259</v>
      </c>
      <c r="AC1725" s="1" t="s">
        <v>97</v>
      </c>
      <c r="AD1725" s="1" t="s">
        <v>98</v>
      </c>
      <c r="AE1725" s="1" t="s">
        <v>98</v>
      </c>
      <c r="AF1725" s="1" t="s">
        <v>30467</v>
      </c>
      <c r="AG1725" s="1" t="s">
        <v>1601</v>
      </c>
      <c r="AH1725" s="1" t="s">
        <v>339</v>
      </c>
      <c r="AI1725" s="1" t="s">
        <v>2726</v>
      </c>
      <c r="AJ1725" s="1">
        <v>84.6</v>
      </c>
      <c r="AK1725" s="1"/>
      <c r="AL1725" s="1" t="s">
        <v>30468</v>
      </c>
      <c r="AM1725" s="1" t="s">
        <v>1601</v>
      </c>
      <c r="AN1725" s="1"/>
      <c r="AO1725" s="1" t="s">
        <v>1213</v>
      </c>
      <c r="AP1725" s="1" t="s">
        <v>135</v>
      </c>
      <c r="AQ1725" s="1">
        <v>73.38</v>
      </c>
      <c r="AR1725" s="1"/>
      <c r="AS1725" s="1"/>
      <c r="AT1725" s="1"/>
      <c r="AU1725" s="1"/>
      <c r="AV1725" s="1"/>
      <c r="AW1725" s="1"/>
      <c r="AX1725" s="1"/>
      <c r="AY1725" s="1" t="s">
        <v>30469</v>
      </c>
      <c r="AZ1725" s="1" t="s">
        <v>13189</v>
      </c>
      <c r="BA1725" s="1"/>
      <c r="BB1725" s="1"/>
      <c r="BC1725" s="1" t="s">
        <v>135</v>
      </c>
      <c r="BD1725" s="1" t="s">
        <v>174</v>
      </c>
      <c r="BE1725" s="1">
        <v>59.92</v>
      </c>
      <c r="BF1725" s="1"/>
      <c r="BG1725" s="1"/>
      <c r="BH1725" s="1"/>
      <c r="BI1725" s="1"/>
      <c r="BJ1725" s="1"/>
      <c r="BK1725" s="1"/>
      <c r="BL1725" s="1"/>
      <c r="BM1725" s="1"/>
      <c r="BN1725" s="1"/>
      <c r="BO1725" s="1" t="s">
        <v>30470</v>
      </c>
      <c r="BP1725" s="1"/>
      <c r="BQ1725" s="1"/>
      <c r="BR1725" s="1" t="s">
        <v>27478</v>
      </c>
      <c r="BS1725" s="1">
        <v>7</v>
      </c>
      <c r="BT1725" s="1"/>
      <c r="BU1725" s="1" t="str">
        <f>HYPERLINK("https://nconnect.nicmar.ac.in/storage/profile/ProfilePhoto_p2270319_195427.jpg","Download")</f>
        <v>0</v>
      </c>
      <c r="BV1725" s="3"/>
      <c r="BW1725" s="3"/>
    </row>
    <row r="1726" spans="1:75">
      <c r="A1726" s="1" t="s">
        <v>75</v>
      </c>
      <c r="B1726" s="1" t="s">
        <v>25236</v>
      </c>
      <c r="C1726" s="1" t="s">
        <v>30471</v>
      </c>
      <c r="D1726" s="1" t="s">
        <v>13668</v>
      </c>
      <c r="E1726" s="1" t="s">
        <v>5668</v>
      </c>
      <c r="F1726" s="1" t="s">
        <v>30472</v>
      </c>
      <c r="G1726" s="1" t="s">
        <v>30473</v>
      </c>
      <c r="H1726" s="1" t="s">
        <v>30474</v>
      </c>
      <c r="I1726" s="1" t="s">
        <v>30475</v>
      </c>
      <c r="J1726" s="1">
        <v>9730757417</v>
      </c>
      <c r="K1726" s="1" t="s">
        <v>84</v>
      </c>
      <c r="L1726" s="1" t="s">
        <v>28505</v>
      </c>
      <c r="M1726" s="1" t="s">
        <v>86</v>
      </c>
      <c r="N1726" s="1" t="s">
        <v>618</v>
      </c>
      <c r="O1726" s="1" t="s">
        <v>30476</v>
      </c>
      <c r="P1726" s="1" t="s">
        <v>455</v>
      </c>
      <c r="Q1726" s="1" t="s">
        <v>30477</v>
      </c>
      <c r="R1726" s="1" t="s">
        <v>5668</v>
      </c>
      <c r="S1726" s="1">
        <v>9420582951</v>
      </c>
      <c r="T1726" s="1" t="s">
        <v>92</v>
      </c>
      <c r="U1726" s="1" t="s">
        <v>30478</v>
      </c>
      <c r="V1726" s="1">
        <v>9730237017</v>
      </c>
      <c r="W1726" s="1" t="s">
        <v>161</v>
      </c>
      <c r="X1726" s="1" t="s">
        <v>30479</v>
      </c>
      <c r="Y1726" s="1" t="s">
        <v>1989</v>
      </c>
      <c r="Z1726" s="1" t="s">
        <v>97</v>
      </c>
      <c r="AA1726" s="1" t="s">
        <v>30480</v>
      </c>
      <c r="AB1726" s="1" t="s">
        <v>1189</v>
      </c>
      <c r="AC1726" s="1" t="s">
        <v>97</v>
      </c>
      <c r="AD1726" s="1" t="s">
        <v>98</v>
      </c>
      <c r="AE1726" s="1" t="s">
        <v>98</v>
      </c>
      <c r="AF1726" s="1" t="s">
        <v>30481</v>
      </c>
      <c r="AG1726" s="1" t="s">
        <v>165</v>
      </c>
      <c r="AH1726" s="1" t="s">
        <v>133</v>
      </c>
      <c r="AI1726" s="1" t="s">
        <v>134</v>
      </c>
      <c r="AJ1726" s="1">
        <v>83.82</v>
      </c>
      <c r="AK1726" s="1"/>
      <c r="AL1726" s="1"/>
      <c r="AM1726" s="1"/>
      <c r="AN1726" s="1"/>
      <c r="AO1726" s="1"/>
      <c r="AP1726" s="1"/>
      <c r="AQ1726" s="1"/>
      <c r="AR1726" s="1"/>
      <c r="AS1726" s="1" t="s">
        <v>439</v>
      </c>
      <c r="AT1726" s="1" t="s">
        <v>30482</v>
      </c>
      <c r="AU1726" s="1" t="s">
        <v>1213</v>
      </c>
      <c r="AV1726" s="1" t="s">
        <v>627</v>
      </c>
      <c r="AW1726" s="1">
        <v>79.88</v>
      </c>
      <c r="AX1726" s="1"/>
      <c r="AY1726" s="1" t="s">
        <v>258</v>
      </c>
      <c r="AZ1726" s="1" t="s">
        <v>9274</v>
      </c>
      <c r="BA1726" s="1"/>
      <c r="BB1726" s="1"/>
      <c r="BC1726" s="1" t="s">
        <v>167</v>
      </c>
      <c r="BD1726" s="1" t="s">
        <v>313</v>
      </c>
      <c r="BE1726" s="1">
        <v>65.35</v>
      </c>
      <c r="BF1726" s="1">
        <v>7.21</v>
      </c>
      <c r="BG1726" s="1"/>
      <c r="BH1726" s="1"/>
      <c r="BI1726" s="1"/>
      <c r="BJ1726" s="1"/>
      <c r="BK1726" s="1"/>
      <c r="BL1726" s="1"/>
      <c r="BM1726" s="1"/>
      <c r="BN1726" s="1"/>
      <c r="BO1726" s="1" t="s">
        <v>25798</v>
      </c>
      <c r="BP1726" s="1" t="s">
        <v>30483</v>
      </c>
      <c r="BQ1726" s="1" t="s">
        <v>8010</v>
      </c>
      <c r="BR1726" s="1" t="s">
        <v>30484</v>
      </c>
      <c r="BS1726" s="1">
        <v>8</v>
      </c>
      <c r="BT1726" s="1"/>
      <c r="BU1726" s="1" t="str">
        <f>HYPERLINK("https://nconnect.nicmar.ac.in/storage/profile/ProfilePhoto_p2270320_692351.jpg","Download")</f>
        <v>0</v>
      </c>
      <c r="BV1726" s="3"/>
      <c r="BW1726" s="3"/>
    </row>
    <row r="1727" spans="1:75">
      <c r="A1727" s="1" t="s">
        <v>75</v>
      </c>
      <c r="B1727" s="1" t="s">
        <v>25236</v>
      </c>
      <c r="C1727" s="1" t="s">
        <v>30485</v>
      </c>
      <c r="D1727" s="1" t="s">
        <v>30486</v>
      </c>
      <c r="E1727" s="1" t="s">
        <v>30487</v>
      </c>
      <c r="F1727" s="1" t="s">
        <v>30488</v>
      </c>
      <c r="G1727" s="1" t="s">
        <v>30489</v>
      </c>
      <c r="H1727" s="1" t="s">
        <v>30490</v>
      </c>
      <c r="I1727" s="1" t="s">
        <v>30491</v>
      </c>
      <c r="J1727" s="1">
        <v>9589584201</v>
      </c>
      <c r="K1727" s="1" t="s">
        <v>84</v>
      </c>
      <c r="L1727" s="1" t="s">
        <v>30492</v>
      </c>
      <c r="M1727" s="1" t="s">
        <v>86</v>
      </c>
      <c r="N1727" s="1" t="s">
        <v>87</v>
      </c>
      <c r="O1727" s="1" t="s">
        <v>30493</v>
      </c>
      <c r="P1727" s="1" t="s">
        <v>481</v>
      </c>
      <c r="Q1727" s="1" t="s">
        <v>30494</v>
      </c>
      <c r="R1727" s="1" t="s">
        <v>30495</v>
      </c>
      <c r="S1727" s="1">
        <v>8962960515</v>
      </c>
      <c r="T1727" s="1" t="s">
        <v>30496</v>
      </c>
      <c r="U1727" s="1" t="s">
        <v>30497</v>
      </c>
      <c r="V1727" s="1">
        <v>9425544084</v>
      </c>
      <c r="W1727" s="1" t="s">
        <v>94</v>
      </c>
      <c r="X1727" s="1" t="s">
        <v>30498</v>
      </c>
      <c r="Y1727" s="1" t="s">
        <v>5335</v>
      </c>
      <c r="Z1727" s="1" t="s">
        <v>2933</v>
      </c>
      <c r="AA1727" s="1" t="s">
        <v>30498</v>
      </c>
      <c r="AB1727" s="1" t="s">
        <v>5335</v>
      </c>
      <c r="AC1727" s="1" t="s">
        <v>2933</v>
      </c>
      <c r="AD1727" s="1" t="s">
        <v>98</v>
      </c>
      <c r="AE1727" s="1" t="s">
        <v>98</v>
      </c>
      <c r="AF1727" s="1" t="s">
        <v>11983</v>
      </c>
      <c r="AG1727" s="1" t="s">
        <v>30499</v>
      </c>
      <c r="AH1727" s="1" t="s">
        <v>133</v>
      </c>
      <c r="AI1727" s="1" t="s">
        <v>134</v>
      </c>
      <c r="AJ1727" s="1">
        <v>83.6</v>
      </c>
      <c r="AK1727" s="1">
        <v>8.8</v>
      </c>
      <c r="AL1727" s="1" t="s">
        <v>11983</v>
      </c>
      <c r="AM1727" s="1" t="s">
        <v>30499</v>
      </c>
      <c r="AN1727" s="1"/>
      <c r="AO1727" s="1" t="s">
        <v>101</v>
      </c>
      <c r="AP1727" s="1" t="s">
        <v>136</v>
      </c>
      <c r="AQ1727" s="1">
        <v>65.2</v>
      </c>
      <c r="AR1727" s="1"/>
      <c r="AS1727" s="1"/>
      <c r="AT1727" s="1"/>
      <c r="AU1727" s="1"/>
      <c r="AV1727" s="1"/>
      <c r="AW1727" s="1"/>
      <c r="AX1727" s="1"/>
      <c r="AY1727" s="1" t="s">
        <v>2033</v>
      </c>
      <c r="AZ1727" s="1" t="s">
        <v>30500</v>
      </c>
      <c r="BA1727" s="1"/>
      <c r="BB1727" s="1"/>
      <c r="BC1727" s="1" t="s">
        <v>105</v>
      </c>
      <c r="BD1727" s="1" t="s">
        <v>2863</v>
      </c>
      <c r="BE1727" s="1">
        <v>75.6</v>
      </c>
      <c r="BF1727" s="1">
        <v>7.56</v>
      </c>
      <c r="BG1727" s="1"/>
      <c r="BH1727" s="1"/>
      <c r="BI1727" s="1"/>
      <c r="BJ1727" s="1"/>
      <c r="BK1727" s="1"/>
      <c r="BL1727" s="1"/>
      <c r="BM1727" s="1"/>
      <c r="BN1727" s="1"/>
      <c r="BO1727" s="1" t="s">
        <v>28758</v>
      </c>
      <c r="BP1727" s="1" t="s">
        <v>30501</v>
      </c>
      <c r="BQ1727" s="1" t="s">
        <v>143</v>
      </c>
      <c r="BR1727" s="1" t="s">
        <v>30502</v>
      </c>
      <c r="BS1727" s="1">
        <v>16</v>
      </c>
      <c r="BT1727" s="1"/>
      <c r="BU1727" s="1" t="str">
        <f>HYPERLINK("https://nconnect.nicmar.ac.in/storage/profile/ProfilePhoto_p2270321_752849.jpg","Download")</f>
        <v>0</v>
      </c>
      <c r="BV1727" s="3"/>
      <c r="BW1727" s="3"/>
    </row>
    <row r="1728" spans="1:75">
      <c r="A1728" s="1" t="s">
        <v>75</v>
      </c>
      <c r="B1728" s="1" t="s">
        <v>25236</v>
      </c>
      <c r="C1728" s="1" t="s">
        <v>30503</v>
      </c>
      <c r="D1728" s="1" t="s">
        <v>1020</v>
      </c>
      <c r="E1728" s="1"/>
      <c r="F1728" s="1" t="s">
        <v>9986</v>
      </c>
      <c r="G1728" s="1" t="s">
        <v>30504</v>
      </c>
      <c r="H1728" s="1" t="s">
        <v>30505</v>
      </c>
      <c r="I1728" s="1" t="s">
        <v>30506</v>
      </c>
      <c r="J1728" s="1">
        <v>7655925236</v>
      </c>
      <c r="K1728" s="1" t="s">
        <v>153</v>
      </c>
      <c r="L1728" s="1" t="s">
        <v>28272</v>
      </c>
      <c r="M1728" s="1" t="s">
        <v>86</v>
      </c>
      <c r="N1728" s="1" t="s">
        <v>1573</v>
      </c>
      <c r="O1728" s="1"/>
      <c r="P1728" s="1" t="s">
        <v>455</v>
      </c>
      <c r="Q1728" s="1" t="s">
        <v>30507</v>
      </c>
      <c r="R1728" s="1" t="s">
        <v>30508</v>
      </c>
      <c r="S1728" s="1">
        <v>9438388236</v>
      </c>
      <c r="T1728" s="1" t="s">
        <v>30509</v>
      </c>
      <c r="U1728" s="1" t="s">
        <v>30510</v>
      </c>
      <c r="V1728" s="1">
        <v>9437086764</v>
      </c>
      <c r="W1728" s="1" t="s">
        <v>541</v>
      </c>
      <c r="X1728" s="1" t="s">
        <v>30511</v>
      </c>
      <c r="Y1728" s="1" t="s">
        <v>8426</v>
      </c>
      <c r="Z1728" s="1" t="s">
        <v>865</v>
      </c>
      <c r="AA1728" s="1" t="s">
        <v>11724</v>
      </c>
      <c r="AB1728" s="1" t="s">
        <v>196</v>
      </c>
      <c r="AC1728" s="1" t="s">
        <v>97</v>
      </c>
      <c r="AD1728" s="1" t="s">
        <v>98</v>
      </c>
      <c r="AE1728" s="1" t="s">
        <v>98</v>
      </c>
      <c r="AF1728" s="1" t="s">
        <v>30512</v>
      </c>
      <c r="AG1728" s="1" t="s">
        <v>30513</v>
      </c>
      <c r="AH1728" s="1" t="s">
        <v>101</v>
      </c>
      <c r="AI1728" s="1" t="s">
        <v>136</v>
      </c>
      <c r="AJ1728" s="1">
        <v>85.33</v>
      </c>
      <c r="AK1728" s="1">
        <v>0</v>
      </c>
      <c r="AL1728" s="1" t="s">
        <v>30514</v>
      </c>
      <c r="AM1728" s="1" t="s">
        <v>30513</v>
      </c>
      <c r="AN1728" s="1"/>
      <c r="AO1728" s="1" t="s">
        <v>284</v>
      </c>
      <c r="AP1728" s="1" t="s">
        <v>573</v>
      </c>
      <c r="AQ1728" s="1">
        <v>58.33</v>
      </c>
      <c r="AR1728" s="1">
        <v>0</v>
      </c>
      <c r="AS1728" s="1"/>
      <c r="AT1728" s="1"/>
      <c r="AU1728" s="1"/>
      <c r="AV1728" s="1"/>
      <c r="AW1728" s="1"/>
      <c r="AX1728" s="1"/>
      <c r="AY1728" s="1" t="s">
        <v>30515</v>
      </c>
      <c r="AZ1728" s="1" t="s">
        <v>30516</v>
      </c>
      <c r="BA1728" s="1"/>
      <c r="BB1728" s="1"/>
      <c r="BC1728" s="1" t="s">
        <v>230</v>
      </c>
      <c r="BD1728" s="1" t="s">
        <v>845</v>
      </c>
      <c r="BE1728" s="1">
        <v>71.6</v>
      </c>
      <c r="BF1728" s="1">
        <v>7.66</v>
      </c>
      <c r="BG1728" s="1"/>
      <c r="BH1728" s="1"/>
      <c r="BI1728" s="1"/>
      <c r="BJ1728" s="1"/>
      <c r="BK1728" s="1"/>
      <c r="BL1728" s="1"/>
      <c r="BM1728" s="1"/>
      <c r="BN1728" s="1"/>
      <c r="BO1728" s="1" t="s">
        <v>30517</v>
      </c>
      <c r="BP1728" s="1"/>
      <c r="BQ1728" s="1"/>
      <c r="BR1728" s="1" t="s">
        <v>30518</v>
      </c>
      <c r="BS1728" s="1">
        <v>11</v>
      </c>
      <c r="BT1728" s="1"/>
      <c r="BU1728" s="1" t="str">
        <f>HYPERLINK("https://nconnect.nicmar.ac.in/storage/profile/ProfilePhoto_p2270322_396425.jpg","Download")</f>
        <v>0</v>
      </c>
      <c r="BV1728" s="3"/>
      <c r="BW1728" s="3"/>
    </row>
    <row r="1729" spans="1:75">
      <c r="A1729" s="1" t="s">
        <v>75</v>
      </c>
      <c r="B1729" s="1" t="s">
        <v>25236</v>
      </c>
      <c r="C1729" s="1" t="s">
        <v>30519</v>
      </c>
      <c r="D1729" s="1" t="s">
        <v>30520</v>
      </c>
      <c r="E1729" s="1" t="s">
        <v>30521</v>
      </c>
      <c r="F1729" s="1" t="s">
        <v>6636</v>
      </c>
      <c r="G1729" s="1" t="s">
        <v>30522</v>
      </c>
      <c r="H1729" s="1" t="s">
        <v>30523</v>
      </c>
      <c r="I1729" s="1" t="s">
        <v>30524</v>
      </c>
      <c r="J1729" s="1">
        <v>9004332291</v>
      </c>
      <c r="K1729" s="1" t="s">
        <v>84</v>
      </c>
      <c r="L1729" s="1" t="s">
        <v>25702</v>
      </c>
      <c r="M1729" s="1" t="s">
        <v>86</v>
      </c>
      <c r="N1729" s="1" t="s">
        <v>618</v>
      </c>
      <c r="O1729" s="1" t="s">
        <v>30525</v>
      </c>
      <c r="P1729" s="1" t="s">
        <v>455</v>
      </c>
      <c r="Q1729" s="1" t="s">
        <v>30526</v>
      </c>
      <c r="R1729" s="1" t="s">
        <v>30527</v>
      </c>
      <c r="S1729" s="1">
        <v>9820644959</v>
      </c>
      <c r="T1729" s="1" t="s">
        <v>30528</v>
      </c>
      <c r="U1729" s="1" t="s">
        <v>30529</v>
      </c>
      <c r="V1729" s="1">
        <v>9892733933</v>
      </c>
      <c r="W1729" s="1" t="s">
        <v>161</v>
      </c>
      <c r="X1729" s="1" t="s">
        <v>30530</v>
      </c>
      <c r="Y1729" s="1" t="s">
        <v>1012</v>
      </c>
      <c r="Z1729" s="1" t="s">
        <v>97</v>
      </c>
      <c r="AA1729" s="1" t="s">
        <v>30530</v>
      </c>
      <c r="AB1729" s="1" t="s">
        <v>1012</v>
      </c>
      <c r="AC1729" s="1" t="s">
        <v>97</v>
      </c>
      <c r="AD1729" s="1" t="s">
        <v>98</v>
      </c>
      <c r="AE1729" s="1" t="s">
        <v>98</v>
      </c>
      <c r="AF1729" s="1" t="s">
        <v>30531</v>
      </c>
      <c r="AG1729" s="1" t="s">
        <v>25901</v>
      </c>
      <c r="AH1729" s="1" t="s">
        <v>3421</v>
      </c>
      <c r="AI1729" s="1" t="s">
        <v>515</v>
      </c>
      <c r="AJ1729" s="1">
        <v>67</v>
      </c>
      <c r="AK1729" s="1">
        <v>0</v>
      </c>
      <c r="AL1729" s="1" t="s">
        <v>2263</v>
      </c>
      <c r="AM1729" s="1" t="s">
        <v>25901</v>
      </c>
      <c r="AN1729" s="1"/>
      <c r="AO1729" s="1" t="s">
        <v>11567</v>
      </c>
      <c r="AP1729" s="1" t="s">
        <v>517</v>
      </c>
      <c r="AQ1729" s="1">
        <v>58.31</v>
      </c>
      <c r="AR1729" s="1">
        <v>0</v>
      </c>
      <c r="AS1729" s="1"/>
      <c r="AT1729" s="1"/>
      <c r="AU1729" s="1"/>
      <c r="AV1729" s="1"/>
      <c r="AW1729" s="1"/>
      <c r="AX1729" s="1"/>
      <c r="AY1729" s="1" t="s">
        <v>258</v>
      </c>
      <c r="AZ1729" s="1" t="s">
        <v>26917</v>
      </c>
      <c r="BA1729" s="1"/>
      <c r="BB1729" s="1"/>
      <c r="BC1729" s="1" t="s">
        <v>139</v>
      </c>
      <c r="BD1729" s="1" t="s">
        <v>417</v>
      </c>
      <c r="BE1729" s="1">
        <v>60.07</v>
      </c>
      <c r="BF1729" s="1">
        <v>6.77</v>
      </c>
      <c r="BG1729" s="1"/>
      <c r="BH1729" s="1"/>
      <c r="BI1729" s="1"/>
      <c r="BJ1729" s="1"/>
      <c r="BK1729" s="1"/>
      <c r="BL1729" s="1"/>
      <c r="BM1729" s="1"/>
      <c r="BN1729" s="1"/>
      <c r="BO1729" s="1" t="s">
        <v>30532</v>
      </c>
      <c r="BP1729" s="1"/>
      <c r="BQ1729" s="1"/>
      <c r="BR1729" s="1" t="s">
        <v>30533</v>
      </c>
      <c r="BS1729" s="1">
        <v>10</v>
      </c>
      <c r="BT1729" s="1"/>
      <c r="BU1729" s="1" t="str">
        <f>HYPERLINK("https://nconnect.nicmar.ac.in/storage/profile/ProfilePhoto_p2270323_987415.jpg","Download")</f>
        <v>0</v>
      </c>
      <c r="BV1729" s="3"/>
      <c r="BW1729" s="3"/>
    </row>
    <row r="1730" spans="1:75">
      <c r="A1730" s="1" t="s">
        <v>75</v>
      </c>
      <c r="B1730" s="1" t="s">
        <v>25236</v>
      </c>
      <c r="C1730" s="1" t="s">
        <v>30534</v>
      </c>
      <c r="D1730" s="1" t="s">
        <v>919</v>
      </c>
      <c r="E1730" s="1" t="s">
        <v>5230</v>
      </c>
      <c r="F1730" s="1" t="s">
        <v>30535</v>
      </c>
      <c r="G1730" s="1" t="s">
        <v>30536</v>
      </c>
      <c r="H1730" s="1" t="s">
        <v>30537</v>
      </c>
      <c r="I1730" s="1" t="s">
        <v>30538</v>
      </c>
      <c r="J1730" s="1">
        <v>8904441850</v>
      </c>
      <c r="K1730" s="1" t="s">
        <v>84</v>
      </c>
      <c r="L1730" s="1" t="s">
        <v>30539</v>
      </c>
      <c r="M1730" s="1" t="s">
        <v>86</v>
      </c>
      <c r="N1730" s="1" t="s">
        <v>30540</v>
      </c>
      <c r="O1730" s="1" t="s">
        <v>30541</v>
      </c>
      <c r="P1730" s="1" t="s">
        <v>1028</v>
      </c>
      <c r="Q1730" s="1" t="s">
        <v>30542</v>
      </c>
      <c r="R1730" s="1" t="s">
        <v>5230</v>
      </c>
      <c r="S1730" s="1">
        <v>9742976600</v>
      </c>
      <c r="T1730" s="1" t="s">
        <v>30543</v>
      </c>
      <c r="U1730" s="1" t="s">
        <v>2281</v>
      </c>
      <c r="V1730" s="1">
        <v>9739244024</v>
      </c>
      <c r="W1730" s="1" t="s">
        <v>278</v>
      </c>
      <c r="X1730" s="1" t="s">
        <v>30544</v>
      </c>
      <c r="Y1730" s="1" t="s">
        <v>6871</v>
      </c>
      <c r="Z1730" s="1" t="s">
        <v>1210</v>
      </c>
      <c r="AA1730" s="1" t="s">
        <v>30544</v>
      </c>
      <c r="AB1730" s="1" t="s">
        <v>6871</v>
      </c>
      <c r="AC1730" s="1" t="s">
        <v>1210</v>
      </c>
      <c r="AD1730" s="1" t="s">
        <v>98</v>
      </c>
      <c r="AE1730" s="1" t="s">
        <v>98</v>
      </c>
      <c r="AF1730" s="1" t="s">
        <v>1945</v>
      </c>
      <c r="AG1730" s="1" t="s">
        <v>30545</v>
      </c>
      <c r="AH1730" s="1" t="s">
        <v>136</v>
      </c>
      <c r="AI1730" s="1" t="s">
        <v>284</v>
      </c>
      <c r="AJ1730" s="1">
        <v>88.64</v>
      </c>
      <c r="AK1730" s="1"/>
      <c r="AL1730" s="1" t="s">
        <v>30546</v>
      </c>
      <c r="AM1730" s="1" t="s">
        <v>30545</v>
      </c>
      <c r="AN1730" s="1"/>
      <c r="AO1730" s="1" t="s">
        <v>573</v>
      </c>
      <c r="AP1730" s="1" t="s">
        <v>286</v>
      </c>
      <c r="AQ1730" s="1">
        <v>86.33</v>
      </c>
      <c r="AR1730" s="1"/>
      <c r="AS1730" s="1"/>
      <c r="AT1730" s="1"/>
      <c r="AU1730" s="1"/>
      <c r="AV1730" s="1"/>
      <c r="AW1730" s="1"/>
      <c r="AX1730" s="1"/>
      <c r="AY1730" s="1" t="s">
        <v>30547</v>
      </c>
      <c r="AZ1730" s="1" t="s">
        <v>30548</v>
      </c>
      <c r="BA1730" s="1"/>
      <c r="BB1730" s="1"/>
      <c r="BC1730" s="1" t="s">
        <v>1065</v>
      </c>
      <c r="BD1730" s="1" t="s">
        <v>110</v>
      </c>
      <c r="BE1730" s="1">
        <v>75.2</v>
      </c>
      <c r="BF1730" s="1">
        <v>8.27</v>
      </c>
      <c r="BG1730" s="1"/>
      <c r="BH1730" s="1"/>
      <c r="BI1730" s="1"/>
      <c r="BJ1730" s="1"/>
      <c r="BK1730" s="1"/>
      <c r="BL1730" s="1"/>
      <c r="BM1730" s="1"/>
      <c r="BN1730" s="1"/>
      <c r="BO1730" s="1" t="s">
        <v>30549</v>
      </c>
      <c r="BP1730" s="1"/>
      <c r="BQ1730" s="1"/>
      <c r="BR1730" s="1" t="s">
        <v>30550</v>
      </c>
      <c r="BS1730" s="1">
        <v>16</v>
      </c>
      <c r="BT1730" s="1"/>
      <c r="BU1730" s="1" t="str">
        <f>HYPERLINK("https://nconnect.nicmar.ac.in/storage/profile/ProfilePhoto_p2270324_694825.jpg","Download")</f>
        <v>0</v>
      </c>
      <c r="BV1730" s="3"/>
      <c r="BW1730" s="3"/>
    </row>
    <row r="1731" spans="1:75">
      <c r="A1731" s="1" t="s">
        <v>75</v>
      </c>
      <c r="B1731" s="1" t="s">
        <v>25236</v>
      </c>
      <c r="C1731" s="1" t="s">
        <v>30551</v>
      </c>
      <c r="D1731" s="1" t="s">
        <v>2599</v>
      </c>
      <c r="E1731" s="1"/>
      <c r="F1731" s="1" t="s">
        <v>30552</v>
      </c>
      <c r="G1731" s="1" t="s">
        <v>30553</v>
      </c>
      <c r="H1731" s="1" t="s">
        <v>30554</v>
      </c>
      <c r="I1731" s="1" t="s">
        <v>30555</v>
      </c>
      <c r="J1731" s="1">
        <v>9899572626</v>
      </c>
      <c r="K1731" s="1" t="s">
        <v>84</v>
      </c>
      <c r="L1731" s="1" t="s">
        <v>30556</v>
      </c>
      <c r="M1731" s="1" t="s">
        <v>86</v>
      </c>
      <c r="N1731" s="1" t="s">
        <v>4278</v>
      </c>
      <c r="O1731" s="1" t="s">
        <v>30557</v>
      </c>
      <c r="P1731" s="1" t="s">
        <v>1028</v>
      </c>
      <c r="Q1731" s="1" t="s">
        <v>30558</v>
      </c>
      <c r="R1731" s="1" t="s">
        <v>30559</v>
      </c>
      <c r="S1731" s="1">
        <v>9899800353</v>
      </c>
      <c r="T1731" s="1" t="s">
        <v>645</v>
      </c>
      <c r="U1731" s="1" t="s">
        <v>30560</v>
      </c>
      <c r="V1731" s="1">
        <v>9899800354</v>
      </c>
      <c r="W1731" s="1" t="s">
        <v>161</v>
      </c>
      <c r="X1731" s="1" t="s">
        <v>30561</v>
      </c>
      <c r="Y1731" s="1" t="s">
        <v>1738</v>
      </c>
      <c r="Z1731" s="1" t="s">
        <v>1739</v>
      </c>
      <c r="AA1731" s="1" t="s">
        <v>30561</v>
      </c>
      <c r="AB1731" s="1" t="s">
        <v>1738</v>
      </c>
      <c r="AC1731" s="1" t="s">
        <v>1739</v>
      </c>
      <c r="AD1731" s="1" t="s">
        <v>98</v>
      </c>
      <c r="AE1731" s="1" t="s">
        <v>98</v>
      </c>
      <c r="AF1731" s="1" t="s">
        <v>30562</v>
      </c>
      <c r="AG1731" s="1" t="s">
        <v>5375</v>
      </c>
      <c r="AH1731" s="1" t="s">
        <v>1262</v>
      </c>
      <c r="AI1731" s="1" t="s">
        <v>136</v>
      </c>
      <c r="AJ1731" s="1">
        <v>85.5</v>
      </c>
      <c r="AK1731" s="1">
        <v>9</v>
      </c>
      <c r="AL1731" s="1" t="s">
        <v>30562</v>
      </c>
      <c r="AM1731" s="1" t="s">
        <v>5375</v>
      </c>
      <c r="AN1731" s="1"/>
      <c r="AO1731" s="1" t="s">
        <v>627</v>
      </c>
      <c r="AP1731" s="1" t="s">
        <v>573</v>
      </c>
      <c r="AQ1731" s="1">
        <v>76</v>
      </c>
      <c r="AR1731" s="1"/>
      <c r="AS1731" s="1"/>
      <c r="AT1731" s="1"/>
      <c r="AU1731" s="1"/>
      <c r="AV1731" s="1"/>
      <c r="AW1731" s="1"/>
      <c r="AX1731" s="1"/>
      <c r="AY1731" s="1" t="s">
        <v>6995</v>
      </c>
      <c r="AZ1731" s="1" t="s">
        <v>25920</v>
      </c>
      <c r="BA1731" s="1"/>
      <c r="BB1731" s="1"/>
      <c r="BC1731" s="1" t="s">
        <v>388</v>
      </c>
      <c r="BD1731" s="1" t="s">
        <v>549</v>
      </c>
      <c r="BE1731" s="1">
        <v>83.7</v>
      </c>
      <c r="BF1731" s="1">
        <v>8.37</v>
      </c>
      <c r="BG1731" s="1"/>
      <c r="BH1731" s="1"/>
      <c r="BI1731" s="1"/>
      <c r="BJ1731" s="1"/>
      <c r="BK1731" s="1"/>
      <c r="BL1731" s="1"/>
      <c r="BM1731" s="1"/>
      <c r="BN1731" s="1"/>
      <c r="BO1731" s="1" t="s">
        <v>30470</v>
      </c>
      <c r="BP1731" s="1"/>
      <c r="BQ1731" s="1"/>
      <c r="BR1731" s="1" t="s">
        <v>30563</v>
      </c>
      <c r="BS1731" s="1">
        <v>18</v>
      </c>
      <c r="BT1731" s="1"/>
      <c r="BU1731" s="1" t="str">
        <f>HYPERLINK("https://nconnect.nicmar.ac.in/storage/profile/ProfilePhoto_p2270326_569327.jpg","Download")</f>
        <v>0</v>
      </c>
      <c r="BV1731" s="3"/>
      <c r="BW1731" s="3"/>
    </row>
    <row r="1732" spans="1:75">
      <c r="A1732" s="1" t="s">
        <v>75</v>
      </c>
      <c r="B1732" s="1" t="s">
        <v>25236</v>
      </c>
      <c r="C1732" s="1" t="s">
        <v>30564</v>
      </c>
      <c r="D1732" s="1" t="s">
        <v>949</v>
      </c>
      <c r="E1732" s="1" t="s">
        <v>30565</v>
      </c>
      <c r="F1732" s="1" t="s">
        <v>30566</v>
      </c>
      <c r="G1732" s="1" t="s">
        <v>30567</v>
      </c>
      <c r="H1732" s="1" t="s">
        <v>30568</v>
      </c>
      <c r="I1732" s="1" t="s">
        <v>30569</v>
      </c>
      <c r="J1732" s="1">
        <v>7387183890</v>
      </c>
      <c r="K1732" s="1" t="s">
        <v>153</v>
      </c>
      <c r="L1732" s="1" t="s">
        <v>26281</v>
      </c>
      <c r="M1732" s="1" t="s">
        <v>86</v>
      </c>
      <c r="N1732" s="1" t="s">
        <v>618</v>
      </c>
      <c r="O1732" s="1" t="s">
        <v>30570</v>
      </c>
      <c r="P1732" s="1"/>
      <c r="Q1732" s="1" t="s">
        <v>30571</v>
      </c>
      <c r="R1732" s="1" t="s">
        <v>30572</v>
      </c>
      <c r="S1732" s="1">
        <v>9860469516</v>
      </c>
      <c r="T1732" s="1" t="s">
        <v>9909</v>
      </c>
      <c r="U1732" s="1" t="s">
        <v>30573</v>
      </c>
      <c r="V1732" s="1">
        <v>9970402170</v>
      </c>
      <c r="W1732" s="1" t="s">
        <v>94</v>
      </c>
      <c r="X1732" s="1" t="s">
        <v>30574</v>
      </c>
      <c r="Y1732" s="1" t="s">
        <v>624</v>
      </c>
      <c r="Z1732" s="1" t="s">
        <v>97</v>
      </c>
      <c r="AA1732" s="1" t="s">
        <v>30575</v>
      </c>
      <c r="AB1732" s="1" t="s">
        <v>196</v>
      </c>
      <c r="AC1732" s="1" t="s">
        <v>97</v>
      </c>
      <c r="AD1732" s="1" t="s">
        <v>98</v>
      </c>
      <c r="AE1732" s="1" t="s">
        <v>98</v>
      </c>
      <c r="AF1732" s="1" t="s">
        <v>30576</v>
      </c>
      <c r="AG1732" s="1" t="s">
        <v>996</v>
      </c>
      <c r="AH1732" s="1" t="s">
        <v>101</v>
      </c>
      <c r="AI1732" s="1" t="s">
        <v>102</v>
      </c>
      <c r="AJ1732" s="1">
        <v>90.4</v>
      </c>
      <c r="AK1732" s="1"/>
      <c r="AL1732" s="1" t="s">
        <v>30577</v>
      </c>
      <c r="AM1732" s="1" t="s">
        <v>996</v>
      </c>
      <c r="AN1732" s="1"/>
      <c r="AO1732" s="1" t="s">
        <v>167</v>
      </c>
      <c r="AP1732" s="1" t="s">
        <v>704</v>
      </c>
      <c r="AQ1732" s="1">
        <v>75.23</v>
      </c>
      <c r="AR1732" s="1"/>
      <c r="AS1732" s="1"/>
      <c r="AT1732" s="1"/>
      <c r="AU1732" s="1"/>
      <c r="AV1732" s="1"/>
      <c r="AW1732" s="1"/>
      <c r="AX1732" s="1"/>
      <c r="AY1732" s="1" t="s">
        <v>997</v>
      </c>
      <c r="AZ1732" s="1" t="s">
        <v>30578</v>
      </c>
      <c r="BA1732" s="1"/>
      <c r="BB1732" s="1"/>
      <c r="BC1732" s="1" t="s">
        <v>230</v>
      </c>
      <c r="BD1732" s="1" t="s">
        <v>847</v>
      </c>
      <c r="BE1732" s="1">
        <v>83.2</v>
      </c>
      <c r="BF1732" s="1">
        <v>9.07</v>
      </c>
      <c r="BG1732" s="1"/>
      <c r="BH1732" s="1"/>
      <c r="BI1732" s="1"/>
      <c r="BJ1732" s="1"/>
      <c r="BK1732" s="1"/>
      <c r="BL1732" s="1"/>
      <c r="BM1732" s="1"/>
      <c r="BN1732" s="1"/>
      <c r="BO1732" s="1" t="s">
        <v>28061</v>
      </c>
      <c r="BP1732" s="1"/>
      <c r="BQ1732" s="1"/>
      <c r="BR1732" s="1" t="s">
        <v>30579</v>
      </c>
      <c r="BS1732" s="1">
        <v>33</v>
      </c>
      <c r="BT1732" s="1"/>
      <c r="BU1732" s="1" t="str">
        <f>HYPERLINK("https://nconnect.nicmar.ac.in/storage/profile/ProfilePhoto_p2270327_824516.jpg","Download")</f>
        <v>0</v>
      </c>
      <c r="BV1732" s="3"/>
      <c r="BW1732" s="3"/>
    </row>
    <row r="1733" spans="1:75">
      <c r="A1733" s="1" t="s">
        <v>75</v>
      </c>
      <c r="B1733" s="1" t="s">
        <v>25236</v>
      </c>
      <c r="C1733" s="1" t="s">
        <v>30580</v>
      </c>
      <c r="D1733" s="1" t="s">
        <v>148</v>
      </c>
      <c r="E1733" s="1"/>
      <c r="F1733" s="1" t="s">
        <v>1321</v>
      </c>
      <c r="G1733" s="1" t="s">
        <v>30581</v>
      </c>
      <c r="H1733" s="1" t="s">
        <v>30582</v>
      </c>
      <c r="I1733" s="1" t="s">
        <v>30583</v>
      </c>
      <c r="J1733" s="1">
        <v>9358190624</v>
      </c>
      <c r="K1733" s="1" t="s">
        <v>153</v>
      </c>
      <c r="L1733" s="1" t="s">
        <v>26476</v>
      </c>
      <c r="M1733" s="1" t="s">
        <v>86</v>
      </c>
      <c r="N1733" s="1" t="s">
        <v>2081</v>
      </c>
      <c r="O1733" s="1" t="s">
        <v>30584</v>
      </c>
      <c r="P1733" s="1" t="s">
        <v>507</v>
      </c>
      <c r="Q1733" s="1" t="s">
        <v>30585</v>
      </c>
      <c r="R1733" s="1" t="s">
        <v>30586</v>
      </c>
      <c r="S1733" s="1">
        <v>9358190625</v>
      </c>
      <c r="T1733" s="1" t="s">
        <v>5507</v>
      </c>
      <c r="U1733" s="1" t="s">
        <v>30587</v>
      </c>
      <c r="V1733" s="1">
        <v>9358190623</v>
      </c>
      <c r="W1733" s="1" t="s">
        <v>5027</v>
      </c>
      <c r="X1733" s="1" t="s">
        <v>30588</v>
      </c>
      <c r="Y1733" s="1" t="s">
        <v>17464</v>
      </c>
      <c r="Z1733" s="1" t="s">
        <v>544</v>
      </c>
      <c r="AA1733" s="1" t="s">
        <v>30588</v>
      </c>
      <c r="AB1733" s="1" t="s">
        <v>17464</v>
      </c>
      <c r="AC1733" s="1" t="s">
        <v>544</v>
      </c>
      <c r="AD1733" s="1" t="s">
        <v>98</v>
      </c>
      <c r="AE1733" s="1" t="s">
        <v>98</v>
      </c>
      <c r="AF1733" s="1" t="s">
        <v>30589</v>
      </c>
      <c r="AG1733" s="1" t="s">
        <v>6474</v>
      </c>
      <c r="AH1733" s="1" t="s">
        <v>3770</v>
      </c>
      <c r="AI1733" s="1" t="s">
        <v>134</v>
      </c>
      <c r="AJ1733" s="1">
        <v>65.2</v>
      </c>
      <c r="AK1733" s="1"/>
      <c r="AL1733" s="1" t="s">
        <v>30589</v>
      </c>
      <c r="AM1733" s="1" t="s">
        <v>6474</v>
      </c>
      <c r="AN1733" s="1"/>
      <c r="AO1733" s="1" t="s">
        <v>1214</v>
      </c>
      <c r="AP1733" s="1" t="s">
        <v>136</v>
      </c>
      <c r="AQ1733" s="1">
        <v>58</v>
      </c>
      <c r="AR1733" s="1"/>
      <c r="AS1733" s="1"/>
      <c r="AT1733" s="1"/>
      <c r="AU1733" s="1"/>
      <c r="AV1733" s="1"/>
      <c r="AW1733" s="1"/>
      <c r="AX1733" s="1"/>
      <c r="AY1733" s="1" t="s">
        <v>30590</v>
      </c>
      <c r="AZ1733" s="1" t="s">
        <v>30591</v>
      </c>
      <c r="BA1733" s="1"/>
      <c r="BB1733" s="1"/>
      <c r="BC1733" s="1" t="s">
        <v>105</v>
      </c>
      <c r="BD1733" s="1" t="s">
        <v>417</v>
      </c>
      <c r="BE1733" s="1">
        <v>71.6</v>
      </c>
      <c r="BF1733" s="1"/>
      <c r="BG1733" s="1"/>
      <c r="BH1733" s="1"/>
      <c r="BI1733" s="1"/>
      <c r="BJ1733" s="1"/>
      <c r="BK1733" s="1"/>
      <c r="BL1733" s="1"/>
      <c r="BM1733" s="1"/>
      <c r="BN1733" s="1"/>
      <c r="BO1733" s="1" t="s">
        <v>30592</v>
      </c>
      <c r="BP1733" s="1" t="s">
        <v>30593</v>
      </c>
      <c r="BQ1733" s="1" t="s">
        <v>1174</v>
      </c>
      <c r="BR1733" s="1" t="s">
        <v>30594</v>
      </c>
      <c r="BS1733" s="1">
        <v>48</v>
      </c>
      <c r="BT1733" s="1"/>
      <c r="BU1733" s="1" t="str">
        <f>HYPERLINK("https://nconnect.nicmar.ac.in/storage/profile/ProfilePhoto_p2270328_723481.jpg","Download")</f>
        <v>0</v>
      </c>
      <c r="BV1733" s="3"/>
      <c r="BW1733" s="3"/>
    </row>
    <row r="1734" spans="1:75">
      <c r="A1734" s="1" t="s">
        <v>75</v>
      </c>
      <c r="B1734" s="1" t="s">
        <v>25236</v>
      </c>
      <c r="C1734" s="1" t="s">
        <v>30595</v>
      </c>
      <c r="D1734" s="1" t="s">
        <v>875</v>
      </c>
      <c r="E1734" s="1"/>
      <c r="F1734" s="1" t="s">
        <v>30596</v>
      </c>
      <c r="G1734" s="1" t="s">
        <v>30597</v>
      </c>
      <c r="H1734" s="1" t="s">
        <v>30598</v>
      </c>
      <c r="I1734" s="1" t="s">
        <v>30599</v>
      </c>
      <c r="J1734" s="1">
        <v>7018298761</v>
      </c>
      <c r="K1734" s="1" t="s">
        <v>84</v>
      </c>
      <c r="L1734" s="1" t="s">
        <v>30600</v>
      </c>
      <c r="M1734" s="1" t="s">
        <v>86</v>
      </c>
      <c r="N1734" s="1" t="s">
        <v>30601</v>
      </c>
      <c r="O1734" s="1" t="s">
        <v>30602</v>
      </c>
      <c r="P1734" s="1" t="s">
        <v>481</v>
      </c>
      <c r="Q1734" s="1" t="s">
        <v>30603</v>
      </c>
      <c r="R1734" s="1" t="s">
        <v>30604</v>
      </c>
      <c r="S1734" s="1">
        <v>8580929996</v>
      </c>
      <c r="T1734" s="1" t="s">
        <v>3788</v>
      </c>
      <c r="U1734" s="1" t="s">
        <v>30605</v>
      </c>
      <c r="V1734" s="1">
        <v>8580719301</v>
      </c>
      <c r="W1734" s="1" t="s">
        <v>30606</v>
      </c>
      <c r="X1734" s="1" t="s">
        <v>30607</v>
      </c>
      <c r="Y1734" s="1" t="s">
        <v>2607</v>
      </c>
      <c r="Z1734" s="1" t="s">
        <v>2608</v>
      </c>
      <c r="AA1734" s="1" t="s">
        <v>30607</v>
      </c>
      <c r="AB1734" s="1" t="s">
        <v>2607</v>
      </c>
      <c r="AC1734" s="1" t="s">
        <v>2608</v>
      </c>
      <c r="AD1734" s="1" t="s">
        <v>98</v>
      </c>
      <c r="AE1734" s="1" t="s">
        <v>98</v>
      </c>
      <c r="AF1734" s="1" t="s">
        <v>30608</v>
      </c>
      <c r="AG1734" s="1" t="s">
        <v>30609</v>
      </c>
      <c r="AH1734" s="1" t="s">
        <v>1214</v>
      </c>
      <c r="AI1734" s="1" t="s">
        <v>136</v>
      </c>
      <c r="AJ1734" s="1">
        <v>77.9</v>
      </c>
      <c r="AK1734" s="1">
        <v>8.2</v>
      </c>
      <c r="AL1734" s="1" t="s">
        <v>30608</v>
      </c>
      <c r="AM1734" s="1" t="s">
        <v>30609</v>
      </c>
      <c r="AN1734" s="1"/>
      <c r="AO1734" s="1" t="s">
        <v>284</v>
      </c>
      <c r="AP1734" s="1" t="s">
        <v>573</v>
      </c>
      <c r="AQ1734" s="1">
        <v>70.2</v>
      </c>
      <c r="AR1734" s="1">
        <v>7.4</v>
      </c>
      <c r="AS1734" s="1"/>
      <c r="AT1734" s="1"/>
      <c r="AU1734" s="1"/>
      <c r="AV1734" s="1"/>
      <c r="AW1734" s="1"/>
      <c r="AX1734" s="1"/>
      <c r="AY1734" s="1" t="s">
        <v>26861</v>
      </c>
      <c r="AZ1734" s="1" t="s">
        <v>30610</v>
      </c>
      <c r="BA1734" s="1"/>
      <c r="BB1734" s="1"/>
      <c r="BC1734" s="1" t="s">
        <v>388</v>
      </c>
      <c r="BD1734" s="1" t="s">
        <v>2304</v>
      </c>
      <c r="BE1734" s="1">
        <v>84</v>
      </c>
      <c r="BF1734" s="1"/>
      <c r="BG1734" s="1"/>
      <c r="BH1734" s="1"/>
      <c r="BI1734" s="1"/>
      <c r="BJ1734" s="1"/>
      <c r="BK1734" s="1"/>
      <c r="BL1734" s="1"/>
      <c r="BM1734" s="1"/>
      <c r="BN1734" s="1"/>
      <c r="BO1734" s="1" t="s">
        <v>30611</v>
      </c>
      <c r="BP1734" s="1"/>
      <c r="BQ1734" s="1"/>
      <c r="BR1734" s="1" t="s">
        <v>30612</v>
      </c>
      <c r="BS1734" s="1">
        <v>55</v>
      </c>
      <c r="BT1734" s="1"/>
      <c r="BU1734" s="1" t="str">
        <f>HYPERLINK("https://nconnect.nicmar.ac.in/storage/profile/ProfilePhoto_p2270329_436917.jpg","Download")</f>
        <v>0</v>
      </c>
      <c r="BV1734" s="3"/>
      <c r="BW1734" s="3"/>
    </row>
    <row r="1735" spans="1:75">
      <c r="A1735" s="1" t="s">
        <v>75</v>
      </c>
      <c r="B1735" s="1" t="s">
        <v>25236</v>
      </c>
      <c r="C1735" s="1" t="s">
        <v>30613</v>
      </c>
      <c r="D1735" s="1" t="s">
        <v>960</v>
      </c>
      <c r="E1735" s="1"/>
      <c r="F1735" s="1" t="s">
        <v>2250</v>
      </c>
      <c r="G1735" s="1" t="s">
        <v>30614</v>
      </c>
      <c r="H1735" s="1" t="s">
        <v>30615</v>
      </c>
      <c r="I1735" s="1" t="s">
        <v>30616</v>
      </c>
      <c r="J1735" s="1">
        <v>8630858869</v>
      </c>
      <c r="K1735" s="1" t="s">
        <v>84</v>
      </c>
      <c r="L1735" s="1" t="s">
        <v>30617</v>
      </c>
      <c r="M1735" s="1" t="s">
        <v>86</v>
      </c>
      <c r="N1735" s="1" t="s">
        <v>4278</v>
      </c>
      <c r="O1735" s="1" t="s">
        <v>30618</v>
      </c>
      <c r="P1735" s="1"/>
      <c r="Q1735" s="1" t="s">
        <v>30619</v>
      </c>
      <c r="R1735" s="1" t="s">
        <v>30620</v>
      </c>
      <c r="S1735" s="1">
        <v>8979818293</v>
      </c>
      <c r="T1735" s="1" t="s">
        <v>645</v>
      </c>
      <c r="U1735" s="1" t="s">
        <v>30621</v>
      </c>
      <c r="V1735" s="1">
        <v>9027620775</v>
      </c>
      <c r="W1735" s="1" t="s">
        <v>161</v>
      </c>
      <c r="X1735" s="1" t="s">
        <v>30622</v>
      </c>
      <c r="Y1735" s="1" t="s">
        <v>28737</v>
      </c>
      <c r="Z1735" s="1" t="s">
        <v>544</v>
      </c>
      <c r="AA1735" s="1" t="s">
        <v>30622</v>
      </c>
      <c r="AB1735" s="1" t="s">
        <v>28737</v>
      </c>
      <c r="AC1735" s="1" t="s">
        <v>544</v>
      </c>
      <c r="AD1735" s="1" t="s">
        <v>98</v>
      </c>
      <c r="AE1735" s="1" t="s">
        <v>98</v>
      </c>
      <c r="AF1735" s="1" t="s">
        <v>30623</v>
      </c>
      <c r="AG1735" s="1" t="s">
        <v>30624</v>
      </c>
      <c r="AH1735" s="1" t="s">
        <v>1214</v>
      </c>
      <c r="AI1735" s="1" t="s">
        <v>136</v>
      </c>
      <c r="AJ1735" s="1">
        <v>76</v>
      </c>
      <c r="AK1735" s="1">
        <v>8</v>
      </c>
      <c r="AL1735" s="1" t="s">
        <v>30623</v>
      </c>
      <c r="AM1735" s="1" t="s">
        <v>30624</v>
      </c>
      <c r="AN1735" s="1"/>
      <c r="AO1735" s="1" t="s">
        <v>284</v>
      </c>
      <c r="AP1735" s="1" t="s">
        <v>573</v>
      </c>
      <c r="AQ1735" s="1">
        <v>60.2</v>
      </c>
      <c r="AR1735" s="1"/>
      <c r="AS1735" s="1"/>
      <c r="AT1735" s="1"/>
      <c r="AU1735" s="1"/>
      <c r="AV1735" s="1"/>
      <c r="AW1735" s="1"/>
      <c r="AX1735" s="1"/>
      <c r="AY1735" s="1" t="s">
        <v>30625</v>
      </c>
      <c r="AZ1735" s="1" t="s">
        <v>30626</v>
      </c>
      <c r="BA1735" s="1"/>
      <c r="BB1735" s="1"/>
      <c r="BC1735" s="1" t="s">
        <v>230</v>
      </c>
      <c r="BD1735" s="1" t="s">
        <v>441</v>
      </c>
      <c r="BE1735" s="1">
        <v>76.5</v>
      </c>
      <c r="BF1735" s="1">
        <v>7.6</v>
      </c>
      <c r="BG1735" s="1"/>
      <c r="BH1735" s="1"/>
      <c r="BI1735" s="1"/>
      <c r="BJ1735" s="1"/>
      <c r="BK1735" s="1"/>
      <c r="BL1735" s="1"/>
      <c r="BM1735" s="1"/>
      <c r="BN1735" s="1"/>
      <c r="BO1735" s="1" t="s">
        <v>30627</v>
      </c>
      <c r="BP1735" s="1"/>
      <c r="BQ1735" s="1"/>
      <c r="BR1735" s="1" t="s">
        <v>30628</v>
      </c>
      <c r="BS1735" s="1">
        <v>11</v>
      </c>
      <c r="BT1735" s="1"/>
      <c r="BU1735" s="1" t="str">
        <f>HYPERLINK("https://nconnect.nicmar.ac.in/storage/profile/ProfilePhoto_p2270330_524137.jpg","Download")</f>
        <v>0</v>
      </c>
      <c r="BV1735" s="3"/>
      <c r="BW1735" s="3"/>
    </row>
    <row r="1736" spans="1:75">
      <c r="A1736" s="1" t="s">
        <v>75</v>
      </c>
      <c r="B1736" s="1" t="s">
        <v>25236</v>
      </c>
      <c r="C1736" s="1" t="s">
        <v>30629</v>
      </c>
      <c r="D1736" s="1" t="s">
        <v>2272</v>
      </c>
      <c r="E1736" s="1" t="s">
        <v>30630</v>
      </c>
      <c r="F1736" s="1" t="s">
        <v>30631</v>
      </c>
      <c r="G1736" s="1" t="s">
        <v>30632</v>
      </c>
      <c r="H1736" s="1" t="s">
        <v>30633</v>
      </c>
      <c r="I1736" s="1" t="s">
        <v>30634</v>
      </c>
      <c r="J1736" s="1">
        <v>8552867339</v>
      </c>
      <c r="K1736" s="1" t="s">
        <v>84</v>
      </c>
      <c r="L1736" s="1" t="s">
        <v>30635</v>
      </c>
      <c r="M1736" s="1" t="s">
        <v>86</v>
      </c>
      <c r="N1736" s="1" t="s">
        <v>355</v>
      </c>
      <c r="O1736" s="1" t="s">
        <v>30636</v>
      </c>
      <c r="P1736" s="1" t="s">
        <v>507</v>
      </c>
      <c r="Q1736" s="1" t="s">
        <v>30637</v>
      </c>
      <c r="R1736" s="1" t="s">
        <v>30638</v>
      </c>
      <c r="S1736" s="1">
        <v>9823145539</v>
      </c>
      <c r="T1736" s="1" t="s">
        <v>30639</v>
      </c>
      <c r="U1736" s="1" t="s">
        <v>30640</v>
      </c>
      <c r="V1736" s="1">
        <v>9923255039</v>
      </c>
      <c r="W1736" s="1" t="s">
        <v>161</v>
      </c>
      <c r="X1736" s="1" t="s">
        <v>30641</v>
      </c>
      <c r="Y1736" s="1" t="s">
        <v>309</v>
      </c>
      <c r="Z1736" s="1" t="s">
        <v>97</v>
      </c>
      <c r="AA1736" s="1" t="s">
        <v>30641</v>
      </c>
      <c r="AB1736" s="1" t="s">
        <v>309</v>
      </c>
      <c r="AC1736" s="1" t="s">
        <v>97</v>
      </c>
      <c r="AD1736" s="1" t="s">
        <v>98</v>
      </c>
      <c r="AE1736" s="1" t="s">
        <v>98</v>
      </c>
      <c r="AF1736" s="1" t="s">
        <v>30642</v>
      </c>
      <c r="AG1736" s="1" t="s">
        <v>30643</v>
      </c>
      <c r="AH1736" s="1" t="s">
        <v>166</v>
      </c>
      <c r="AI1736" s="1" t="s">
        <v>627</v>
      </c>
      <c r="AJ1736" s="1">
        <v>93.1</v>
      </c>
      <c r="AK1736" s="1">
        <v>9.8</v>
      </c>
      <c r="AL1736" s="1" t="s">
        <v>30644</v>
      </c>
      <c r="AM1736" s="1" t="s">
        <v>30645</v>
      </c>
      <c r="AN1736" s="1"/>
      <c r="AO1736" s="1" t="s">
        <v>388</v>
      </c>
      <c r="AP1736" s="1" t="s">
        <v>171</v>
      </c>
      <c r="AQ1736" s="1">
        <v>84.8</v>
      </c>
      <c r="AR1736" s="1"/>
      <c r="AS1736" s="1"/>
      <c r="AT1736" s="1"/>
      <c r="AU1736" s="1"/>
      <c r="AV1736" s="1"/>
      <c r="AW1736" s="1"/>
      <c r="AX1736" s="1"/>
      <c r="AY1736" s="1" t="s">
        <v>8266</v>
      </c>
      <c r="AZ1736" s="1" t="s">
        <v>30646</v>
      </c>
      <c r="BA1736" s="1"/>
      <c r="BB1736" s="1"/>
      <c r="BC1736" s="1" t="s">
        <v>174</v>
      </c>
      <c r="BD1736" s="1" t="s">
        <v>632</v>
      </c>
      <c r="BE1736" s="1">
        <v>80.7</v>
      </c>
      <c r="BF1736" s="1">
        <v>8.07</v>
      </c>
      <c r="BG1736" s="1"/>
      <c r="BH1736" s="1"/>
      <c r="BI1736" s="1"/>
      <c r="BJ1736" s="1"/>
      <c r="BK1736" s="1"/>
      <c r="BL1736" s="1"/>
      <c r="BM1736" s="1"/>
      <c r="BN1736" s="1"/>
      <c r="BO1736" s="1" t="s">
        <v>30647</v>
      </c>
      <c r="BP1736" s="1"/>
      <c r="BQ1736" s="1"/>
      <c r="BR1736" s="1" t="s">
        <v>30648</v>
      </c>
      <c r="BS1736" s="1">
        <v>12</v>
      </c>
      <c r="BT1736" s="1"/>
      <c r="BU1736" s="1" t="str">
        <f>HYPERLINK("https://nconnect.nicmar.ac.in/storage/profile/ProfilePhoto_p2270331_832947.jpg","Download")</f>
        <v>0</v>
      </c>
      <c r="BV1736" s="3"/>
      <c r="BW1736" s="3"/>
    </row>
    <row r="1737" spans="1:75">
      <c r="A1737" s="1" t="s">
        <v>75</v>
      </c>
      <c r="B1737" s="1" t="s">
        <v>25236</v>
      </c>
      <c r="C1737" s="1" t="s">
        <v>30649</v>
      </c>
      <c r="D1737" s="1" t="s">
        <v>2097</v>
      </c>
      <c r="E1737" s="1"/>
      <c r="F1737" s="1" t="s">
        <v>530</v>
      </c>
      <c r="G1737" s="1" t="s">
        <v>30650</v>
      </c>
      <c r="H1737" s="1" t="s">
        <v>30651</v>
      </c>
      <c r="I1737" s="1" t="s">
        <v>30652</v>
      </c>
      <c r="J1737" s="1">
        <v>9456880721</v>
      </c>
      <c r="K1737" s="1" t="s">
        <v>84</v>
      </c>
      <c r="L1737" s="1" t="s">
        <v>30653</v>
      </c>
      <c r="M1737" s="1" t="s">
        <v>86</v>
      </c>
      <c r="N1737" s="1" t="s">
        <v>4278</v>
      </c>
      <c r="O1737" s="1" t="s">
        <v>30654</v>
      </c>
      <c r="P1737" s="1" t="s">
        <v>507</v>
      </c>
      <c r="Q1737" s="1" t="s">
        <v>30655</v>
      </c>
      <c r="R1737" s="1" t="s">
        <v>30656</v>
      </c>
      <c r="S1737" s="1">
        <v>9650999410</v>
      </c>
      <c r="T1737" s="1" t="s">
        <v>645</v>
      </c>
      <c r="U1737" s="1" t="s">
        <v>30657</v>
      </c>
      <c r="V1737" s="1">
        <v>9412468005</v>
      </c>
      <c r="W1737" s="1" t="s">
        <v>161</v>
      </c>
      <c r="X1737" s="1" t="s">
        <v>30658</v>
      </c>
      <c r="Y1737" s="1" t="s">
        <v>1107</v>
      </c>
      <c r="Z1737" s="1" t="s">
        <v>544</v>
      </c>
      <c r="AA1737" s="1" t="s">
        <v>30658</v>
      </c>
      <c r="AB1737" s="1" t="s">
        <v>1107</v>
      </c>
      <c r="AC1737" s="1" t="s">
        <v>544</v>
      </c>
      <c r="AD1737" s="1" t="s">
        <v>98</v>
      </c>
      <c r="AE1737" s="1" t="s">
        <v>98</v>
      </c>
      <c r="AF1737" s="1" t="s">
        <v>26428</v>
      </c>
      <c r="AG1737" s="1" t="s">
        <v>312</v>
      </c>
      <c r="AH1737" s="1" t="s">
        <v>801</v>
      </c>
      <c r="AI1737" s="1" t="s">
        <v>2726</v>
      </c>
      <c r="AJ1737" s="1">
        <v>76</v>
      </c>
      <c r="AK1737" s="1"/>
      <c r="AL1737" s="1" t="s">
        <v>26428</v>
      </c>
      <c r="AM1737" s="1" t="s">
        <v>312</v>
      </c>
      <c r="AN1737" s="1"/>
      <c r="AO1737" s="1" t="s">
        <v>134</v>
      </c>
      <c r="AP1737" s="1" t="s">
        <v>1262</v>
      </c>
      <c r="AQ1737" s="1">
        <v>71.4</v>
      </c>
      <c r="AR1737" s="1"/>
      <c r="AS1737" s="1"/>
      <c r="AT1737" s="1"/>
      <c r="AU1737" s="1"/>
      <c r="AV1737" s="1"/>
      <c r="AW1737" s="1"/>
      <c r="AX1737" s="1"/>
      <c r="AY1737" s="1" t="s">
        <v>30659</v>
      </c>
      <c r="AZ1737" s="1" t="s">
        <v>30660</v>
      </c>
      <c r="BA1737" s="1"/>
      <c r="BB1737" s="1"/>
      <c r="BC1737" s="1" t="s">
        <v>257</v>
      </c>
      <c r="BD1737" s="1" t="s">
        <v>171</v>
      </c>
      <c r="BE1737" s="1">
        <v>74.3</v>
      </c>
      <c r="BF1737" s="1"/>
      <c r="BG1737" s="1"/>
      <c r="BH1737" s="1"/>
      <c r="BI1737" s="1"/>
      <c r="BJ1737" s="1"/>
      <c r="BK1737" s="1"/>
      <c r="BL1737" s="1"/>
      <c r="BM1737" s="1"/>
      <c r="BN1737" s="1"/>
      <c r="BO1737" s="1" t="s">
        <v>369</v>
      </c>
      <c r="BP1737" s="1"/>
      <c r="BQ1737" s="1"/>
      <c r="BR1737" s="1" t="s">
        <v>30661</v>
      </c>
      <c r="BS1737" s="1">
        <v>11</v>
      </c>
      <c r="BT1737" s="1"/>
      <c r="BU1737" s="1" t="str">
        <f>HYPERLINK("https://nconnect.nicmar.ac.in/storage/profile/ProfilePhoto_p2270332_957283.jpg","Download")</f>
        <v>0</v>
      </c>
      <c r="BV1737" s="3"/>
      <c r="BW1737" s="3"/>
    </row>
    <row r="1738" spans="1:75">
      <c r="A1738" s="1" t="s">
        <v>75</v>
      </c>
      <c r="B1738" s="1" t="s">
        <v>25236</v>
      </c>
      <c r="C1738" s="1" t="s">
        <v>30662</v>
      </c>
      <c r="D1738" s="1" t="s">
        <v>6136</v>
      </c>
      <c r="E1738" s="1" t="s">
        <v>1320</v>
      </c>
      <c r="F1738" s="1" t="s">
        <v>350</v>
      </c>
      <c r="G1738" s="1" t="s">
        <v>30663</v>
      </c>
      <c r="H1738" s="1" t="s">
        <v>30664</v>
      </c>
      <c r="I1738" s="1" t="s">
        <v>30665</v>
      </c>
      <c r="J1738" s="1">
        <v>8800918348</v>
      </c>
      <c r="K1738" s="1" t="s">
        <v>84</v>
      </c>
      <c r="L1738" s="1" t="s">
        <v>24508</v>
      </c>
      <c r="M1738" s="1" t="s">
        <v>86</v>
      </c>
      <c r="N1738" s="1" t="s">
        <v>1101</v>
      </c>
      <c r="O1738" s="1" t="s">
        <v>30666</v>
      </c>
      <c r="P1738" s="1" t="s">
        <v>507</v>
      </c>
      <c r="Q1738" s="1" t="s">
        <v>30667</v>
      </c>
      <c r="R1738" s="1" t="s">
        <v>30668</v>
      </c>
      <c r="S1738" s="1">
        <v>9868708537</v>
      </c>
      <c r="T1738" s="1" t="s">
        <v>926</v>
      </c>
      <c r="U1738" s="1" t="s">
        <v>30669</v>
      </c>
      <c r="V1738" s="1">
        <v>9650119178</v>
      </c>
      <c r="W1738" s="1" t="s">
        <v>161</v>
      </c>
      <c r="X1738" s="1" t="s">
        <v>30670</v>
      </c>
      <c r="Y1738" s="1" t="s">
        <v>6489</v>
      </c>
      <c r="Z1738" s="1" t="s">
        <v>1739</v>
      </c>
      <c r="AA1738" s="1" t="s">
        <v>30670</v>
      </c>
      <c r="AB1738" s="1" t="s">
        <v>6489</v>
      </c>
      <c r="AC1738" s="1" t="s">
        <v>1739</v>
      </c>
      <c r="AD1738" s="1" t="s">
        <v>98</v>
      </c>
      <c r="AE1738" s="1" t="s">
        <v>98</v>
      </c>
      <c r="AF1738" s="1" t="s">
        <v>30671</v>
      </c>
      <c r="AG1738" s="1" t="s">
        <v>312</v>
      </c>
      <c r="AH1738" s="1" t="s">
        <v>1457</v>
      </c>
      <c r="AI1738" s="1" t="s">
        <v>1262</v>
      </c>
      <c r="AJ1738" s="1">
        <v>70.3</v>
      </c>
      <c r="AK1738" s="1">
        <v>7.4</v>
      </c>
      <c r="AL1738" s="1" t="s">
        <v>30672</v>
      </c>
      <c r="AM1738" s="1" t="s">
        <v>312</v>
      </c>
      <c r="AN1738" s="1"/>
      <c r="AO1738" s="1" t="s">
        <v>1111</v>
      </c>
      <c r="AP1738" s="1" t="s">
        <v>230</v>
      </c>
      <c r="AQ1738" s="1">
        <v>65.8</v>
      </c>
      <c r="AR1738" s="1"/>
      <c r="AS1738" s="1"/>
      <c r="AT1738" s="1"/>
      <c r="AU1738" s="1"/>
      <c r="AV1738" s="1"/>
      <c r="AW1738" s="1"/>
      <c r="AX1738" s="1"/>
      <c r="AY1738" s="1" t="s">
        <v>6631</v>
      </c>
      <c r="AZ1738" s="1" t="s">
        <v>30673</v>
      </c>
      <c r="BA1738" s="1"/>
      <c r="BB1738" s="1"/>
      <c r="BC1738" s="1" t="s">
        <v>490</v>
      </c>
      <c r="BD1738" s="1" t="s">
        <v>1400</v>
      </c>
      <c r="BE1738" s="1">
        <v>71</v>
      </c>
      <c r="BF1738" s="1">
        <v>7.1</v>
      </c>
      <c r="BG1738" s="1"/>
      <c r="BH1738" s="1"/>
      <c r="BI1738" s="1"/>
      <c r="BJ1738" s="1"/>
      <c r="BK1738" s="1"/>
      <c r="BL1738" s="1"/>
      <c r="BM1738" s="1"/>
      <c r="BN1738" s="1"/>
      <c r="BO1738" s="1" t="s">
        <v>30674</v>
      </c>
      <c r="BP1738" s="1"/>
      <c r="BQ1738" s="1"/>
      <c r="BR1738" s="1" t="s">
        <v>30675</v>
      </c>
      <c r="BS1738" s="1">
        <v>12</v>
      </c>
      <c r="BT1738" s="1"/>
      <c r="BU1738" s="1" t="str">
        <f>HYPERLINK("https://nconnect.nicmar.ac.in/storage/profile/ProfilePhoto_p2270333_146325.jpg","Download")</f>
        <v>0</v>
      </c>
      <c r="BV1738" s="3"/>
      <c r="BW1738" s="3"/>
    </row>
    <row r="1739" spans="1:75">
      <c r="A1739" s="1" t="s">
        <v>75</v>
      </c>
      <c r="B1739" s="1" t="s">
        <v>25236</v>
      </c>
      <c r="C1739" s="1" t="s">
        <v>30676</v>
      </c>
      <c r="D1739" s="1" t="s">
        <v>30677</v>
      </c>
      <c r="E1739" s="1"/>
      <c r="F1739" s="1" t="s">
        <v>2660</v>
      </c>
      <c r="G1739" s="1" t="s">
        <v>30678</v>
      </c>
      <c r="H1739" s="1" t="s">
        <v>30679</v>
      </c>
      <c r="I1739" s="1" t="s">
        <v>30680</v>
      </c>
      <c r="J1739" s="1">
        <v>7501456207</v>
      </c>
      <c r="K1739" s="1" t="s">
        <v>84</v>
      </c>
      <c r="L1739" s="1" t="s">
        <v>30681</v>
      </c>
      <c r="M1739" s="1" t="s">
        <v>155</v>
      </c>
      <c r="N1739" s="1" t="s">
        <v>4753</v>
      </c>
      <c r="O1739" s="1" t="s">
        <v>30682</v>
      </c>
      <c r="P1739" s="1" t="s">
        <v>455</v>
      </c>
      <c r="Q1739" s="1" t="s">
        <v>30683</v>
      </c>
      <c r="R1739" s="1" t="s">
        <v>30684</v>
      </c>
      <c r="S1739" s="1">
        <v>8001881866</v>
      </c>
      <c r="T1739" s="1" t="s">
        <v>30685</v>
      </c>
      <c r="U1739" s="1" t="s">
        <v>30686</v>
      </c>
      <c r="V1739" s="1">
        <v>8001881866</v>
      </c>
      <c r="W1739" s="1" t="s">
        <v>30687</v>
      </c>
      <c r="X1739" s="1" t="s">
        <v>30688</v>
      </c>
      <c r="Y1739" s="1" t="s">
        <v>14936</v>
      </c>
      <c r="Z1739" s="1" t="s">
        <v>1234</v>
      </c>
      <c r="AA1739" s="1" t="s">
        <v>30688</v>
      </c>
      <c r="AB1739" s="1" t="s">
        <v>14936</v>
      </c>
      <c r="AC1739" s="1" t="s">
        <v>1234</v>
      </c>
      <c r="AD1739" s="1" t="s">
        <v>98</v>
      </c>
      <c r="AE1739" s="1" t="s">
        <v>98</v>
      </c>
      <c r="AF1739" s="1" t="s">
        <v>30689</v>
      </c>
      <c r="AG1739" s="1" t="s">
        <v>28807</v>
      </c>
      <c r="AH1739" s="1" t="s">
        <v>728</v>
      </c>
      <c r="AI1739" s="1" t="s">
        <v>4439</v>
      </c>
      <c r="AJ1739" s="1">
        <v>90.75</v>
      </c>
      <c r="AK1739" s="1"/>
      <c r="AL1739" s="1" t="s">
        <v>30689</v>
      </c>
      <c r="AM1739" s="1" t="s">
        <v>28807</v>
      </c>
      <c r="AN1739" s="1"/>
      <c r="AO1739" s="1" t="s">
        <v>7331</v>
      </c>
      <c r="AP1739" s="1" t="s">
        <v>2203</v>
      </c>
      <c r="AQ1739" s="1">
        <v>86.8</v>
      </c>
      <c r="AR1739" s="1"/>
      <c r="AS1739" s="1"/>
      <c r="AT1739" s="1"/>
      <c r="AU1739" s="1"/>
      <c r="AV1739" s="1"/>
      <c r="AW1739" s="1"/>
      <c r="AX1739" s="1"/>
      <c r="AY1739" s="1" t="s">
        <v>30690</v>
      </c>
      <c r="AZ1739" s="1" t="s">
        <v>30691</v>
      </c>
      <c r="BA1739" s="1"/>
      <c r="BB1739" s="1"/>
      <c r="BC1739" s="1" t="s">
        <v>30692</v>
      </c>
      <c r="BD1739" s="1" t="s">
        <v>1213</v>
      </c>
      <c r="BE1739" s="1">
        <v>72.84</v>
      </c>
      <c r="BF1739" s="1"/>
      <c r="BG1739" s="1" t="s">
        <v>27181</v>
      </c>
      <c r="BH1739" s="1" t="s">
        <v>30693</v>
      </c>
      <c r="BI1739" s="1"/>
      <c r="BJ1739" s="1"/>
      <c r="BK1739" s="1" t="s">
        <v>257</v>
      </c>
      <c r="BL1739" s="1" t="s">
        <v>18921</v>
      </c>
      <c r="BM1739" s="1">
        <v>75</v>
      </c>
      <c r="BN1739" s="1">
        <v>8.33</v>
      </c>
      <c r="BO1739" s="1" t="s">
        <v>30694</v>
      </c>
      <c r="BP1739" s="1" t="s">
        <v>30695</v>
      </c>
      <c r="BQ1739" s="1" t="s">
        <v>30696</v>
      </c>
      <c r="BR1739" s="1" t="s">
        <v>30697</v>
      </c>
      <c r="BS1739" s="1">
        <v>8</v>
      </c>
      <c r="BT1739" s="1"/>
      <c r="BU1739" s="1" t="str">
        <f>HYPERLINK("https://nconnect.nicmar.ac.in/storage/profile/ProfilePhoto_p2270334_279631.jpg","Download")</f>
        <v>0</v>
      </c>
      <c r="BV1739" s="3"/>
      <c r="BW1739" s="3"/>
    </row>
    <row r="1740" spans="1:75">
      <c r="A1740" s="1" t="s">
        <v>75</v>
      </c>
      <c r="B1740" s="1" t="s">
        <v>25236</v>
      </c>
      <c r="C1740" s="1" t="s">
        <v>30698</v>
      </c>
      <c r="D1740" s="1" t="s">
        <v>30699</v>
      </c>
      <c r="E1740" s="1" t="s">
        <v>11218</v>
      </c>
      <c r="F1740" s="1" t="s">
        <v>30700</v>
      </c>
      <c r="G1740" s="1" t="s">
        <v>30701</v>
      </c>
      <c r="H1740" s="1" t="s">
        <v>30702</v>
      </c>
      <c r="I1740" s="1" t="s">
        <v>30703</v>
      </c>
      <c r="J1740" s="1">
        <v>7904266517</v>
      </c>
      <c r="K1740" s="1" t="s">
        <v>84</v>
      </c>
      <c r="L1740" s="1" t="s">
        <v>29524</v>
      </c>
      <c r="M1740" s="1" t="s">
        <v>86</v>
      </c>
      <c r="N1740" s="1" t="s">
        <v>30704</v>
      </c>
      <c r="O1740" s="1"/>
      <c r="P1740" s="1" t="s">
        <v>1028</v>
      </c>
      <c r="Q1740" s="1" t="s">
        <v>30705</v>
      </c>
      <c r="R1740" s="1" t="s">
        <v>30700</v>
      </c>
      <c r="S1740" s="1">
        <v>8087705437</v>
      </c>
      <c r="T1740" s="1" t="s">
        <v>19379</v>
      </c>
      <c r="U1740" s="1" t="s">
        <v>6338</v>
      </c>
      <c r="V1740" s="1">
        <v>8975372202</v>
      </c>
      <c r="W1740" s="1" t="s">
        <v>27839</v>
      </c>
      <c r="X1740" s="1" t="s">
        <v>30706</v>
      </c>
      <c r="Y1740" s="1" t="s">
        <v>196</v>
      </c>
      <c r="Z1740" s="1" t="s">
        <v>97</v>
      </c>
      <c r="AA1740" s="1" t="s">
        <v>30706</v>
      </c>
      <c r="AB1740" s="1" t="s">
        <v>196</v>
      </c>
      <c r="AC1740" s="1" t="s">
        <v>97</v>
      </c>
      <c r="AD1740" s="1" t="s">
        <v>98</v>
      </c>
      <c r="AE1740" s="1" t="s">
        <v>98</v>
      </c>
      <c r="AF1740" s="1" t="s">
        <v>30707</v>
      </c>
      <c r="AG1740" s="1" t="s">
        <v>30708</v>
      </c>
      <c r="AH1740" s="1" t="s">
        <v>1213</v>
      </c>
      <c r="AI1740" s="1" t="s">
        <v>515</v>
      </c>
      <c r="AJ1740" s="1">
        <v>68.4</v>
      </c>
      <c r="AK1740" s="1">
        <v>6.84</v>
      </c>
      <c r="AL1740" s="1" t="s">
        <v>30709</v>
      </c>
      <c r="AM1740" s="1" t="s">
        <v>30710</v>
      </c>
      <c r="AN1740" s="1"/>
      <c r="AO1740" s="1" t="s">
        <v>166</v>
      </c>
      <c r="AP1740" s="1" t="s">
        <v>517</v>
      </c>
      <c r="AQ1740" s="1">
        <v>52.77</v>
      </c>
      <c r="AR1740" s="1">
        <v>5.27</v>
      </c>
      <c r="AS1740" s="1"/>
      <c r="AT1740" s="1"/>
      <c r="AU1740" s="1"/>
      <c r="AV1740" s="1"/>
      <c r="AW1740" s="1"/>
      <c r="AX1740" s="1"/>
      <c r="AY1740" s="1" t="s">
        <v>576</v>
      </c>
      <c r="AZ1740" s="1" t="s">
        <v>30711</v>
      </c>
      <c r="BA1740" s="1"/>
      <c r="BB1740" s="1"/>
      <c r="BC1740" s="1" t="s">
        <v>1396</v>
      </c>
      <c r="BD1740" s="1" t="s">
        <v>977</v>
      </c>
      <c r="BE1740" s="1">
        <v>82.1</v>
      </c>
      <c r="BF1740" s="1">
        <v>8.21</v>
      </c>
      <c r="BG1740" s="1"/>
      <c r="BH1740" s="1"/>
      <c r="BI1740" s="1"/>
      <c r="BJ1740" s="1"/>
      <c r="BK1740" s="1"/>
      <c r="BL1740" s="1"/>
      <c r="BM1740" s="1"/>
      <c r="BN1740" s="1"/>
      <c r="BO1740" s="1" t="s">
        <v>2267</v>
      </c>
      <c r="BP1740" s="1" t="s">
        <v>30712</v>
      </c>
      <c r="BQ1740" s="1" t="s">
        <v>4149</v>
      </c>
      <c r="BR1740" s="1" t="s">
        <v>30713</v>
      </c>
      <c r="BS1740" s="1">
        <v>11</v>
      </c>
      <c r="BT1740" s="1"/>
      <c r="BU1740" s="1" t="str">
        <f>HYPERLINK("https://nconnect.nicmar.ac.in/storage/profile/ProfilePhoto_p2270335_438759.jpg","Download")</f>
        <v>0</v>
      </c>
      <c r="BV1740" s="3"/>
      <c r="BW1740" s="3"/>
    </row>
    <row r="1741" spans="1:75">
      <c r="A1741" s="1" t="s">
        <v>75</v>
      </c>
      <c r="B1741" s="1" t="s">
        <v>25236</v>
      </c>
      <c r="C1741" s="1" t="s">
        <v>30714</v>
      </c>
      <c r="D1741" s="1" t="s">
        <v>30715</v>
      </c>
      <c r="E1741" s="1"/>
      <c r="F1741" s="1" t="s">
        <v>30716</v>
      </c>
      <c r="G1741" s="1" t="s">
        <v>30717</v>
      </c>
      <c r="H1741" s="1" t="s">
        <v>30718</v>
      </c>
      <c r="I1741" s="1" t="s">
        <v>30719</v>
      </c>
      <c r="J1741" s="1">
        <v>8123355485</v>
      </c>
      <c r="K1741" s="1" t="s">
        <v>84</v>
      </c>
      <c r="L1741" s="1" t="s">
        <v>30720</v>
      </c>
      <c r="M1741" s="1" t="s">
        <v>86</v>
      </c>
      <c r="N1741" s="1" t="s">
        <v>30721</v>
      </c>
      <c r="O1741" s="1" t="s">
        <v>30722</v>
      </c>
      <c r="P1741" s="1" t="s">
        <v>455</v>
      </c>
      <c r="Q1741" s="1" t="s">
        <v>30723</v>
      </c>
      <c r="R1741" s="1" t="s">
        <v>30724</v>
      </c>
      <c r="S1741" s="1">
        <v>9900656893</v>
      </c>
      <c r="T1741" s="1" t="s">
        <v>30725</v>
      </c>
      <c r="U1741" s="1" t="s">
        <v>30726</v>
      </c>
      <c r="V1741" s="1">
        <v>9980692566</v>
      </c>
      <c r="W1741" s="1" t="s">
        <v>94</v>
      </c>
      <c r="X1741" s="1" t="s">
        <v>30727</v>
      </c>
      <c r="Y1741" s="1" t="s">
        <v>3132</v>
      </c>
      <c r="Z1741" s="1" t="s">
        <v>1210</v>
      </c>
      <c r="AA1741" s="1" t="s">
        <v>30727</v>
      </c>
      <c r="AB1741" s="1" t="s">
        <v>3132</v>
      </c>
      <c r="AC1741" s="1" t="s">
        <v>1210</v>
      </c>
      <c r="AD1741" s="1" t="s">
        <v>98</v>
      </c>
      <c r="AE1741" s="1" t="s">
        <v>98</v>
      </c>
      <c r="AF1741" s="1" t="s">
        <v>30728</v>
      </c>
      <c r="AG1741" s="1" t="s">
        <v>30729</v>
      </c>
      <c r="AH1741" s="1" t="s">
        <v>3421</v>
      </c>
      <c r="AI1741" s="1" t="s">
        <v>1214</v>
      </c>
      <c r="AJ1741" s="1">
        <v>80.32</v>
      </c>
      <c r="AK1741" s="1">
        <v>0</v>
      </c>
      <c r="AL1741" s="1" t="s">
        <v>30730</v>
      </c>
      <c r="AM1741" s="1" t="s">
        <v>30729</v>
      </c>
      <c r="AN1741" s="1"/>
      <c r="AO1741" s="1" t="s">
        <v>136</v>
      </c>
      <c r="AP1741" s="1" t="s">
        <v>1111</v>
      </c>
      <c r="AQ1741" s="1">
        <v>62.8</v>
      </c>
      <c r="AR1741" s="1">
        <v>0</v>
      </c>
      <c r="AS1741" s="1"/>
      <c r="AT1741" s="1"/>
      <c r="AU1741" s="1"/>
      <c r="AV1741" s="1"/>
      <c r="AW1741" s="1"/>
      <c r="AX1741" s="1"/>
      <c r="AY1741" s="1" t="s">
        <v>1217</v>
      </c>
      <c r="AZ1741" s="1" t="s">
        <v>30731</v>
      </c>
      <c r="BA1741" s="1"/>
      <c r="BB1741" s="1"/>
      <c r="BC1741" s="1" t="s">
        <v>139</v>
      </c>
      <c r="BD1741" s="1" t="s">
        <v>890</v>
      </c>
      <c r="BE1741" s="1">
        <v>61.2</v>
      </c>
      <c r="BF1741" s="1">
        <v>6.87</v>
      </c>
      <c r="BG1741" s="1"/>
      <c r="BH1741" s="1"/>
      <c r="BI1741" s="1"/>
      <c r="BJ1741" s="1"/>
      <c r="BK1741" s="1"/>
      <c r="BL1741" s="1"/>
      <c r="BM1741" s="1"/>
      <c r="BN1741" s="1"/>
      <c r="BO1741" s="1" t="s">
        <v>30732</v>
      </c>
      <c r="BP1741" s="1" t="s">
        <v>30733</v>
      </c>
      <c r="BQ1741" s="1" t="s">
        <v>2213</v>
      </c>
      <c r="BR1741" s="1" t="s">
        <v>30734</v>
      </c>
      <c r="BS1741" s="1">
        <v>20</v>
      </c>
      <c r="BT1741" s="1"/>
      <c r="BU1741" s="1" t="str">
        <f>HYPERLINK("https://nconnect.nicmar.ac.in/storage/profile/ProfilePhoto_p2270336_528461.jpg","Download")</f>
        <v>0</v>
      </c>
      <c r="BV1741" s="3"/>
      <c r="BW1741" s="3"/>
    </row>
    <row r="1742" spans="1:75">
      <c r="A1742" s="1" t="s">
        <v>75</v>
      </c>
      <c r="B1742" s="1" t="s">
        <v>25236</v>
      </c>
      <c r="C1742" s="1" t="s">
        <v>30735</v>
      </c>
      <c r="D1742" s="1" t="s">
        <v>4948</v>
      </c>
      <c r="E1742" s="1" t="s">
        <v>530</v>
      </c>
      <c r="F1742" s="1" t="s">
        <v>30736</v>
      </c>
      <c r="G1742" s="1" t="s">
        <v>30737</v>
      </c>
      <c r="H1742" s="1" t="s">
        <v>30738</v>
      </c>
      <c r="I1742" s="1" t="s">
        <v>30739</v>
      </c>
      <c r="J1742" s="1">
        <v>8755021190</v>
      </c>
      <c r="K1742" s="1" t="s">
        <v>84</v>
      </c>
      <c r="L1742" s="1" t="s">
        <v>30740</v>
      </c>
      <c r="M1742" s="1" t="s">
        <v>86</v>
      </c>
      <c r="N1742" s="1" t="s">
        <v>7944</v>
      </c>
      <c r="O1742" s="1" t="s">
        <v>30741</v>
      </c>
      <c r="P1742" s="1" t="s">
        <v>1028</v>
      </c>
      <c r="Q1742" s="1" t="s">
        <v>30742</v>
      </c>
      <c r="R1742" s="1" t="s">
        <v>30743</v>
      </c>
      <c r="S1742" s="1">
        <v>9634630727</v>
      </c>
      <c r="T1742" s="1" t="s">
        <v>30744</v>
      </c>
      <c r="U1742" s="1" t="s">
        <v>30745</v>
      </c>
      <c r="V1742" s="1">
        <v>9897788029</v>
      </c>
      <c r="W1742" s="1" t="s">
        <v>30746</v>
      </c>
      <c r="X1742" s="1" t="s">
        <v>30747</v>
      </c>
      <c r="Y1742" s="1" t="s">
        <v>19101</v>
      </c>
      <c r="Z1742" s="1" t="s">
        <v>7930</v>
      </c>
      <c r="AA1742" s="1" t="s">
        <v>30748</v>
      </c>
      <c r="AB1742" s="1" t="s">
        <v>196</v>
      </c>
      <c r="AC1742" s="1" t="s">
        <v>97</v>
      </c>
      <c r="AD1742" s="1" t="s">
        <v>98</v>
      </c>
      <c r="AE1742" s="1" t="s">
        <v>98</v>
      </c>
      <c r="AF1742" s="1" t="s">
        <v>30749</v>
      </c>
      <c r="AG1742" s="1" t="s">
        <v>30356</v>
      </c>
      <c r="AH1742" s="1" t="s">
        <v>3421</v>
      </c>
      <c r="AI1742" s="1" t="s">
        <v>1262</v>
      </c>
      <c r="AJ1742" s="1">
        <v>66.5</v>
      </c>
      <c r="AK1742" s="1">
        <v>7</v>
      </c>
      <c r="AL1742" s="1" t="s">
        <v>30749</v>
      </c>
      <c r="AM1742" s="1" t="s">
        <v>30356</v>
      </c>
      <c r="AN1742" s="1"/>
      <c r="AO1742" s="1" t="s">
        <v>1110</v>
      </c>
      <c r="AP1742" s="1" t="s">
        <v>627</v>
      </c>
      <c r="AQ1742" s="1">
        <v>60.6</v>
      </c>
      <c r="AR1742" s="1"/>
      <c r="AS1742" s="1"/>
      <c r="AT1742" s="1"/>
      <c r="AU1742" s="1"/>
      <c r="AV1742" s="1"/>
      <c r="AW1742" s="1"/>
      <c r="AX1742" s="1"/>
      <c r="AY1742" s="1" t="s">
        <v>30357</v>
      </c>
      <c r="AZ1742" s="1" t="s">
        <v>30358</v>
      </c>
      <c r="BA1742" s="1"/>
      <c r="BB1742" s="1"/>
      <c r="BC1742" s="1" t="s">
        <v>1396</v>
      </c>
      <c r="BD1742" s="1" t="s">
        <v>178</v>
      </c>
      <c r="BE1742" s="1">
        <v>75.8</v>
      </c>
      <c r="BF1742" s="1">
        <v>7.58</v>
      </c>
      <c r="BG1742" s="1"/>
      <c r="BH1742" s="1"/>
      <c r="BI1742" s="1"/>
      <c r="BJ1742" s="1"/>
      <c r="BK1742" s="1"/>
      <c r="BL1742" s="1"/>
      <c r="BM1742" s="1"/>
      <c r="BN1742" s="1"/>
      <c r="BO1742" s="1" t="s">
        <v>30750</v>
      </c>
      <c r="BP1742" s="1" t="s">
        <v>30751</v>
      </c>
      <c r="BQ1742" s="1" t="s">
        <v>2213</v>
      </c>
      <c r="BR1742" s="1" t="s">
        <v>30752</v>
      </c>
      <c r="BS1742" s="1">
        <v>16</v>
      </c>
      <c r="BT1742" s="1"/>
      <c r="BU1742" s="1" t="str">
        <f>HYPERLINK("https://nconnect.nicmar.ac.in/storage/profile/ProfilePhoto_p2270337_518793.jpg","Download")</f>
        <v>0</v>
      </c>
      <c r="BV1742" s="3"/>
      <c r="BW1742" s="3"/>
    </row>
    <row r="1743" spans="1:75">
      <c r="A1743" s="1" t="s">
        <v>75</v>
      </c>
      <c r="B1743" s="1" t="s">
        <v>25236</v>
      </c>
      <c r="C1743" s="1" t="s">
        <v>30753</v>
      </c>
      <c r="D1743" s="1" t="s">
        <v>5208</v>
      </c>
      <c r="E1743" s="1"/>
      <c r="F1743" s="1" t="s">
        <v>6100</v>
      </c>
      <c r="G1743" s="1" t="s">
        <v>30754</v>
      </c>
      <c r="H1743" s="1" t="s">
        <v>30755</v>
      </c>
      <c r="I1743" s="1" t="s">
        <v>30756</v>
      </c>
      <c r="J1743" s="1">
        <v>9654448170</v>
      </c>
      <c r="K1743" s="1" t="s">
        <v>84</v>
      </c>
      <c r="L1743" s="1" t="s">
        <v>30757</v>
      </c>
      <c r="M1743" s="1" t="s">
        <v>86</v>
      </c>
      <c r="N1743" s="1" t="s">
        <v>1101</v>
      </c>
      <c r="O1743" s="1" t="s">
        <v>30758</v>
      </c>
      <c r="P1743" s="1" t="s">
        <v>481</v>
      </c>
      <c r="Q1743" s="1" t="s">
        <v>30759</v>
      </c>
      <c r="R1743" s="1" t="s">
        <v>30760</v>
      </c>
      <c r="S1743" s="1">
        <v>7217767068</v>
      </c>
      <c r="T1743" s="1" t="s">
        <v>221</v>
      </c>
      <c r="U1743" s="1" t="s">
        <v>30761</v>
      </c>
      <c r="V1743" s="1">
        <v>9910156768</v>
      </c>
      <c r="W1743" s="1" t="s">
        <v>4695</v>
      </c>
      <c r="X1743" s="1" t="s">
        <v>30762</v>
      </c>
      <c r="Y1743" s="1" t="s">
        <v>2549</v>
      </c>
      <c r="Z1743" s="1" t="s">
        <v>1700</v>
      </c>
      <c r="AA1743" s="1" t="s">
        <v>30762</v>
      </c>
      <c r="AB1743" s="1" t="s">
        <v>2549</v>
      </c>
      <c r="AC1743" s="1" t="s">
        <v>1700</v>
      </c>
      <c r="AD1743" s="1" t="s">
        <v>98</v>
      </c>
      <c r="AE1743" s="1" t="s">
        <v>98</v>
      </c>
      <c r="AF1743" s="1" t="s">
        <v>30763</v>
      </c>
      <c r="AG1743" s="1" t="s">
        <v>30764</v>
      </c>
      <c r="AH1743" s="1" t="s">
        <v>3923</v>
      </c>
      <c r="AI1743" s="1" t="s">
        <v>2726</v>
      </c>
      <c r="AJ1743" s="1">
        <v>72.2</v>
      </c>
      <c r="AK1743" s="1">
        <v>7.6</v>
      </c>
      <c r="AL1743" s="1" t="s">
        <v>30765</v>
      </c>
      <c r="AM1743" s="1" t="s">
        <v>30764</v>
      </c>
      <c r="AN1743" s="1"/>
      <c r="AO1743" s="1" t="s">
        <v>3421</v>
      </c>
      <c r="AP1743" s="1" t="s">
        <v>1262</v>
      </c>
      <c r="AQ1743" s="1">
        <v>74</v>
      </c>
      <c r="AR1743" s="1"/>
      <c r="AS1743" s="1"/>
      <c r="AT1743" s="1"/>
      <c r="AU1743" s="1"/>
      <c r="AV1743" s="1"/>
      <c r="AW1743" s="1"/>
      <c r="AX1743" s="1"/>
      <c r="AY1743" s="1" t="s">
        <v>30766</v>
      </c>
      <c r="AZ1743" s="1" t="s">
        <v>30767</v>
      </c>
      <c r="BA1743" s="1"/>
      <c r="BB1743" s="1"/>
      <c r="BC1743" s="1" t="s">
        <v>135</v>
      </c>
      <c r="BD1743" s="1" t="s">
        <v>106</v>
      </c>
      <c r="BE1743" s="1">
        <v>72.2</v>
      </c>
      <c r="BF1743" s="1">
        <v>7.22</v>
      </c>
      <c r="BG1743" s="1"/>
      <c r="BH1743" s="1"/>
      <c r="BI1743" s="1"/>
      <c r="BJ1743" s="1"/>
      <c r="BK1743" s="1"/>
      <c r="BL1743" s="1"/>
      <c r="BM1743" s="1"/>
      <c r="BN1743" s="1"/>
      <c r="BO1743" s="1" t="s">
        <v>30768</v>
      </c>
      <c r="BP1743" s="1" t="s">
        <v>30769</v>
      </c>
      <c r="BQ1743" s="1" t="s">
        <v>4944</v>
      </c>
      <c r="BR1743" s="1" t="s">
        <v>30770</v>
      </c>
      <c r="BS1743" s="1">
        <v>19</v>
      </c>
      <c r="BT1743" s="1"/>
      <c r="BU1743" s="1" t="str">
        <f>HYPERLINK("https://nconnect.nicmar.ac.in/storage/profile/ProfilePhoto_p2270338_167892.jpg","Download")</f>
        <v>0</v>
      </c>
      <c r="BV1743" s="3"/>
      <c r="BW1743" s="3"/>
    </row>
    <row r="1744" spans="1:75">
      <c r="A1744" s="1" t="s">
        <v>75</v>
      </c>
      <c r="B1744" s="1" t="s">
        <v>25236</v>
      </c>
      <c r="C1744" s="1" t="s">
        <v>30771</v>
      </c>
      <c r="D1744" s="1" t="s">
        <v>30772</v>
      </c>
      <c r="E1744" s="1"/>
      <c r="F1744" s="1" t="s">
        <v>2250</v>
      </c>
      <c r="G1744" s="1" t="s">
        <v>30773</v>
      </c>
      <c r="H1744" s="1" t="s">
        <v>30774</v>
      </c>
      <c r="I1744" s="1" t="s">
        <v>30775</v>
      </c>
      <c r="J1744" s="1">
        <v>7379816721</v>
      </c>
      <c r="K1744" s="1" t="s">
        <v>84</v>
      </c>
      <c r="L1744" s="1" t="s">
        <v>30776</v>
      </c>
      <c r="M1744" s="1" t="s">
        <v>86</v>
      </c>
      <c r="N1744" s="1" t="s">
        <v>4278</v>
      </c>
      <c r="O1744" s="1" t="s">
        <v>30777</v>
      </c>
      <c r="P1744" s="1" t="s">
        <v>507</v>
      </c>
      <c r="Q1744" s="1" t="s">
        <v>30778</v>
      </c>
      <c r="R1744" s="1" t="s">
        <v>30779</v>
      </c>
      <c r="S1744" s="1">
        <v>9838162451</v>
      </c>
      <c r="T1744" s="1" t="s">
        <v>30780</v>
      </c>
      <c r="U1744" s="1" t="s">
        <v>30781</v>
      </c>
      <c r="V1744" s="1">
        <v>9125327374</v>
      </c>
      <c r="W1744" s="1" t="s">
        <v>541</v>
      </c>
      <c r="X1744" s="1" t="s">
        <v>30782</v>
      </c>
      <c r="Y1744" s="1" t="s">
        <v>1059</v>
      </c>
      <c r="Z1744" s="1" t="s">
        <v>544</v>
      </c>
      <c r="AA1744" s="1" t="s">
        <v>30782</v>
      </c>
      <c r="AB1744" s="1" t="s">
        <v>1059</v>
      </c>
      <c r="AC1744" s="1" t="s">
        <v>544</v>
      </c>
      <c r="AD1744" s="1" t="s">
        <v>98</v>
      </c>
      <c r="AE1744" s="1" t="s">
        <v>98</v>
      </c>
      <c r="AF1744" s="1" t="s">
        <v>30783</v>
      </c>
      <c r="AG1744" s="1" t="s">
        <v>30784</v>
      </c>
      <c r="AH1744" s="1" t="s">
        <v>3421</v>
      </c>
      <c r="AI1744" s="1" t="s">
        <v>1262</v>
      </c>
      <c r="AJ1744" s="1">
        <v>77.9</v>
      </c>
      <c r="AK1744" s="1">
        <v>8.2</v>
      </c>
      <c r="AL1744" s="1" t="s">
        <v>30785</v>
      </c>
      <c r="AM1744" s="1" t="s">
        <v>30784</v>
      </c>
      <c r="AN1744" s="1"/>
      <c r="AO1744" s="1" t="s">
        <v>1110</v>
      </c>
      <c r="AP1744" s="1" t="s">
        <v>627</v>
      </c>
      <c r="AQ1744" s="1">
        <v>65.8</v>
      </c>
      <c r="AR1744" s="1"/>
      <c r="AS1744" s="1"/>
      <c r="AT1744" s="1"/>
      <c r="AU1744" s="1"/>
      <c r="AV1744" s="1"/>
      <c r="AW1744" s="1"/>
      <c r="AX1744" s="1"/>
      <c r="AY1744" s="1" t="s">
        <v>30786</v>
      </c>
      <c r="AZ1744" s="1" t="s">
        <v>30787</v>
      </c>
      <c r="BA1744" s="1"/>
      <c r="BB1744" s="1"/>
      <c r="BC1744" s="1" t="s">
        <v>139</v>
      </c>
      <c r="BD1744" s="1" t="s">
        <v>1647</v>
      </c>
      <c r="BE1744" s="1">
        <v>69.8</v>
      </c>
      <c r="BF1744" s="1">
        <v>6.98</v>
      </c>
      <c r="BG1744" s="1"/>
      <c r="BH1744" s="1"/>
      <c r="BI1744" s="1"/>
      <c r="BJ1744" s="1"/>
      <c r="BK1744" s="1"/>
      <c r="BL1744" s="1"/>
      <c r="BM1744" s="1"/>
      <c r="BN1744" s="1"/>
      <c r="BO1744" s="1" t="s">
        <v>30788</v>
      </c>
      <c r="BP1744" s="1"/>
      <c r="BQ1744" s="1"/>
      <c r="BR1744" s="1" t="s">
        <v>30789</v>
      </c>
      <c r="BS1744" s="1">
        <v>15</v>
      </c>
      <c r="BT1744" s="1"/>
      <c r="BU1744" s="1" t="str">
        <f>HYPERLINK("https://nconnect.nicmar.ac.in/storage/profile/ProfilePhoto_p2270339_495168.jpg","Download")</f>
        <v>0</v>
      </c>
      <c r="BV1744" s="3"/>
      <c r="BW1744" s="3"/>
    </row>
    <row r="1745" spans="1:75">
      <c r="A1745" s="1" t="s">
        <v>75</v>
      </c>
      <c r="B1745" s="1" t="s">
        <v>25236</v>
      </c>
      <c r="C1745" s="1" t="s">
        <v>30790</v>
      </c>
      <c r="D1745" s="1" t="s">
        <v>30791</v>
      </c>
      <c r="E1745" s="1" t="s">
        <v>30792</v>
      </c>
      <c r="F1745" s="1" t="s">
        <v>30793</v>
      </c>
      <c r="G1745" s="1" t="s">
        <v>30794</v>
      </c>
      <c r="H1745" s="1" t="s">
        <v>30795</v>
      </c>
      <c r="I1745" s="1" t="s">
        <v>30796</v>
      </c>
      <c r="J1745" s="1">
        <v>9392271199</v>
      </c>
      <c r="K1745" s="1" t="s">
        <v>84</v>
      </c>
      <c r="L1745" s="1" t="s">
        <v>1655</v>
      </c>
      <c r="M1745" s="1" t="s">
        <v>86</v>
      </c>
      <c r="N1745" s="1" t="s">
        <v>3026</v>
      </c>
      <c r="O1745" s="1"/>
      <c r="P1745" s="1" t="s">
        <v>455</v>
      </c>
      <c r="Q1745" s="1" t="s">
        <v>30797</v>
      </c>
      <c r="R1745" s="1" t="s">
        <v>30798</v>
      </c>
      <c r="S1745" s="1">
        <v>9666969158</v>
      </c>
      <c r="T1745" s="1" t="s">
        <v>30799</v>
      </c>
      <c r="U1745" s="1" t="s">
        <v>30800</v>
      </c>
      <c r="V1745" s="1">
        <v>9603890376</v>
      </c>
      <c r="W1745" s="1" t="s">
        <v>2950</v>
      </c>
      <c r="X1745" s="1" t="s">
        <v>30801</v>
      </c>
      <c r="Y1745" s="1" t="s">
        <v>1454</v>
      </c>
      <c r="Z1745" s="1" t="s">
        <v>281</v>
      </c>
      <c r="AA1745" s="1" t="s">
        <v>30801</v>
      </c>
      <c r="AB1745" s="1" t="s">
        <v>1454</v>
      </c>
      <c r="AC1745" s="1" t="s">
        <v>281</v>
      </c>
      <c r="AD1745" s="1" t="s">
        <v>98</v>
      </c>
      <c r="AE1745" s="1" t="s">
        <v>98</v>
      </c>
      <c r="AF1745" s="1" t="s">
        <v>30802</v>
      </c>
      <c r="AG1745" s="1" t="s">
        <v>30803</v>
      </c>
      <c r="AH1745" s="1" t="s">
        <v>1110</v>
      </c>
      <c r="AI1745" s="1" t="s">
        <v>284</v>
      </c>
      <c r="AJ1745" s="1">
        <v>83.6</v>
      </c>
      <c r="AK1745" s="1">
        <v>8.8</v>
      </c>
      <c r="AL1745" s="1" t="s">
        <v>30804</v>
      </c>
      <c r="AM1745" s="1" t="s">
        <v>30803</v>
      </c>
      <c r="AN1745" s="1"/>
      <c r="AO1745" s="1" t="s">
        <v>704</v>
      </c>
      <c r="AP1745" s="1" t="s">
        <v>171</v>
      </c>
      <c r="AQ1745" s="1">
        <v>81.3</v>
      </c>
      <c r="AR1745" s="1">
        <v>0</v>
      </c>
      <c r="AS1745" s="1"/>
      <c r="AT1745" s="1"/>
      <c r="AU1745" s="1"/>
      <c r="AV1745" s="1"/>
      <c r="AW1745" s="1"/>
      <c r="AX1745" s="1"/>
      <c r="AY1745" s="1" t="s">
        <v>30805</v>
      </c>
      <c r="AZ1745" s="1" t="s">
        <v>30806</v>
      </c>
      <c r="BA1745" s="1"/>
      <c r="BB1745" s="1"/>
      <c r="BC1745" s="1" t="s">
        <v>490</v>
      </c>
      <c r="BD1745" s="1" t="s">
        <v>521</v>
      </c>
      <c r="BE1745" s="1">
        <v>63.4</v>
      </c>
      <c r="BF1745" s="1">
        <v>7.09</v>
      </c>
      <c r="BG1745" s="1"/>
      <c r="BH1745" s="1"/>
      <c r="BI1745" s="1"/>
      <c r="BJ1745" s="1"/>
      <c r="BK1745" s="1"/>
      <c r="BL1745" s="1"/>
      <c r="BM1745" s="1"/>
      <c r="BN1745" s="1"/>
      <c r="BO1745" s="1" t="s">
        <v>30807</v>
      </c>
      <c r="BP1745" s="1"/>
      <c r="BQ1745" s="1"/>
      <c r="BR1745" s="1" t="s">
        <v>30808</v>
      </c>
      <c r="BS1745" s="1">
        <v>12</v>
      </c>
      <c r="BT1745" s="1"/>
      <c r="BU1745" s="1" t="str">
        <f>HYPERLINK("https://nconnect.nicmar.ac.in/storage/profile/ProfilePhoto_p2270340_935617.jpg","Download")</f>
        <v>0</v>
      </c>
      <c r="BV1745" s="3"/>
      <c r="BW1745" s="3"/>
    </row>
    <row r="1746" spans="1:75">
      <c r="A1746" s="1" t="s">
        <v>75</v>
      </c>
      <c r="B1746" s="1" t="s">
        <v>25236</v>
      </c>
      <c r="C1746" s="1" t="s">
        <v>30809</v>
      </c>
      <c r="D1746" s="1" t="s">
        <v>30810</v>
      </c>
      <c r="E1746" s="1"/>
      <c r="F1746" s="1" t="s">
        <v>1853</v>
      </c>
      <c r="G1746" s="1" t="s">
        <v>30811</v>
      </c>
      <c r="H1746" s="1" t="s">
        <v>30812</v>
      </c>
      <c r="I1746" s="1" t="s">
        <v>30813</v>
      </c>
      <c r="J1746" s="1">
        <v>6362507402</v>
      </c>
      <c r="K1746" s="1" t="s">
        <v>84</v>
      </c>
      <c r="L1746" s="1" t="s">
        <v>12825</v>
      </c>
      <c r="M1746" s="1" t="s">
        <v>86</v>
      </c>
      <c r="N1746" s="1" t="s">
        <v>4412</v>
      </c>
      <c r="O1746" s="1"/>
      <c r="P1746" s="1" t="s">
        <v>455</v>
      </c>
      <c r="Q1746" s="1" t="s">
        <v>30814</v>
      </c>
      <c r="R1746" s="1" t="s">
        <v>30815</v>
      </c>
      <c r="S1746" s="1">
        <v>9844379762</v>
      </c>
      <c r="T1746" s="1" t="s">
        <v>30816</v>
      </c>
      <c r="U1746" s="1" t="s">
        <v>13359</v>
      </c>
      <c r="V1746" s="1">
        <v>9743581788</v>
      </c>
      <c r="W1746" s="1" t="s">
        <v>541</v>
      </c>
      <c r="X1746" s="1" t="s">
        <v>30817</v>
      </c>
      <c r="Y1746" s="1" t="s">
        <v>9912</v>
      </c>
      <c r="Z1746" s="1" t="s">
        <v>1210</v>
      </c>
      <c r="AA1746" s="1" t="s">
        <v>30817</v>
      </c>
      <c r="AB1746" s="1" t="s">
        <v>9912</v>
      </c>
      <c r="AC1746" s="1" t="s">
        <v>1210</v>
      </c>
      <c r="AD1746" s="1" t="s">
        <v>98</v>
      </c>
      <c r="AE1746" s="1" t="s">
        <v>98</v>
      </c>
      <c r="AF1746" s="1" t="s">
        <v>30818</v>
      </c>
      <c r="AG1746" s="1" t="s">
        <v>775</v>
      </c>
      <c r="AH1746" s="1" t="s">
        <v>1213</v>
      </c>
      <c r="AI1746" s="1" t="s">
        <v>1262</v>
      </c>
      <c r="AJ1746" s="1">
        <v>83.6</v>
      </c>
      <c r="AK1746" s="1">
        <v>8.8</v>
      </c>
      <c r="AL1746" s="1" t="s">
        <v>30819</v>
      </c>
      <c r="AM1746" s="1" t="s">
        <v>775</v>
      </c>
      <c r="AN1746" s="1"/>
      <c r="AO1746" s="1" t="s">
        <v>166</v>
      </c>
      <c r="AP1746" s="1" t="s">
        <v>627</v>
      </c>
      <c r="AQ1746" s="1">
        <v>90.33</v>
      </c>
      <c r="AR1746" s="1"/>
      <c r="AS1746" s="1"/>
      <c r="AT1746" s="1"/>
      <c r="AU1746" s="1"/>
      <c r="AV1746" s="1"/>
      <c r="AW1746" s="1"/>
      <c r="AX1746" s="1"/>
      <c r="AY1746" s="1" t="s">
        <v>731</v>
      </c>
      <c r="AZ1746" s="1" t="s">
        <v>30820</v>
      </c>
      <c r="BA1746" s="1"/>
      <c r="BB1746" s="1"/>
      <c r="BC1746" s="1" t="s">
        <v>167</v>
      </c>
      <c r="BD1746" s="1" t="s">
        <v>417</v>
      </c>
      <c r="BE1746" s="1">
        <v>65.26</v>
      </c>
      <c r="BF1746" s="1">
        <v>6.87</v>
      </c>
      <c r="BG1746" s="1"/>
      <c r="BH1746" s="1"/>
      <c r="BI1746" s="1"/>
      <c r="BJ1746" s="1"/>
      <c r="BK1746" s="1"/>
      <c r="BL1746" s="1"/>
      <c r="BM1746" s="1"/>
      <c r="BN1746" s="1"/>
      <c r="BO1746" s="1" t="s">
        <v>30821</v>
      </c>
      <c r="BP1746" s="1"/>
      <c r="BQ1746" s="1"/>
      <c r="BR1746" s="1" t="s">
        <v>30822</v>
      </c>
      <c r="BS1746" s="1">
        <v>7</v>
      </c>
      <c r="BT1746" s="1"/>
      <c r="BU1746" s="1" t="str">
        <f>HYPERLINK("https://nconnect.nicmar.ac.in/storage/profile/ProfilePhoto_p2270341_348726.jpg","Download")</f>
        <v>0</v>
      </c>
      <c r="BV1746" s="3"/>
      <c r="BW1746" s="3"/>
    </row>
    <row r="1747" spans="1:75">
      <c r="A1747" s="1" t="s">
        <v>75</v>
      </c>
      <c r="B1747" s="1" t="s">
        <v>25236</v>
      </c>
      <c r="C1747" s="1" t="s">
        <v>30823</v>
      </c>
      <c r="D1747" s="1" t="s">
        <v>20743</v>
      </c>
      <c r="E1747" s="1" t="s">
        <v>30824</v>
      </c>
      <c r="F1747" s="1" t="s">
        <v>30825</v>
      </c>
      <c r="G1747" s="1" t="s">
        <v>30826</v>
      </c>
      <c r="H1747" s="1" t="s">
        <v>30827</v>
      </c>
      <c r="I1747" s="1" t="s">
        <v>30828</v>
      </c>
      <c r="J1747" s="1">
        <v>9359666309</v>
      </c>
      <c r="K1747" s="1" t="s">
        <v>84</v>
      </c>
      <c r="L1747" s="1" t="s">
        <v>1253</v>
      </c>
      <c r="M1747" s="1" t="s">
        <v>86</v>
      </c>
      <c r="N1747" s="1" t="s">
        <v>4278</v>
      </c>
      <c r="O1747" s="1" t="s">
        <v>30829</v>
      </c>
      <c r="P1747" s="1" t="s">
        <v>507</v>
      </c>
      <c r="Q1747" s="1" t="s">
        <v>30830</v>
      </c>
      <c r="R1747" s="1" t="s">
        <v>30831</v>
      </c>
      <c r="S1747" s="1">
        <v>9823063440</v>
      </c>
      <c r="T1747" s="1" t="s">
        <v>839</v>
      </c>
      <c r="U1747" s="1" t="s">
        <v>30832</v>
      </c>
      <c r="V1747" s="1">
        <v>7972350442</v>
      </c>
      <c r="W1747" s="1" t="s">
        <v>5065</v>
      </c>
      <c r="X1747" s="1" t="s">
        <v>30833</v>
      </c>
      <c r="Y1747" s="1" t="s">
        <v>410</v>
      </c>
      <c r="Z1747" s="1" t="s">
        <v>97</v>
      </c>
      <c r="AA1747" s="1" t="s">
        <v>30833</v>
      </c>
      <c r="AB1747" s="1" t="s">
        <v>410</v>
      </c>
      <c r="AC1747" s="1" t="s">
        <v>97</v>
      </c>
      <c r="AD1747" s="1" t="s">
        <v>98</v>
      </c>
      <c r="AE1747" s="1" t="s">
        <v>98</v>
      </c>
      <c r="AF1747" s="1" t="s">
        <v>30834</v>
      </c>
      <c r="AG1747" s="1" t="s">
        <v>30835</v>
      </c>
      <c r="AH1747" s="1" t="s">
        <v>1110</v>
      </c>
      <c r="AI1747" s="1" t="s">
        <v>284</v>
      </c>
      <c r="AJ1747" s="1">
        <v>81</v>
      </c>
      <c r="AK1747" s="1">
        <v>8.8</v>
      </c>
      <c r="AL1747" s="1"/>
      <c r="AM1747" s="1"/>
      <c r="AN1747" s="1"/>
      <c r="AO1747" s="1"/>
      <c r="AP1747" s="1"/>
      <c r="AQ1747" s="1"/>
      <c r="AR1747" s="1"/>
      <c r="AS1747" s="1" t="s">
        <v>103</v>
      </c>
      <c r="AT1747" s="1" t="s">
        <v>30836</v>
      </c>
      <c r="AU1747" s="1" t="s">
        <v>1396</v>
      </c>
      <c r="AV1747" s="1" t="s">
        <v>547</v>
      </c>
      <c r="AW1747" s="1">
        <v>81.64</v>
      </c>
      <c r="AX1747" s="1">
        <v>0</v>
      </c>
      <c r="AY1747" s="1" t="s">
        <v>10273</v>
      </c>
      <c r="AZ1747" s="1" t="s">
        <v>30837</v>
      </c>
      <c r="BA1747" s="1"/>
      <c r="BB1747" s="1"/>
      <c r="BC1747" s="1" t="s">
        <v>315</v>
      </c>
      <c r="BD1747" s="1" t="s">
        <v>632</v>
      </c>
      <c r="BE1747" s="1">
        <v>69.78</v>
      </c>
      <c r="BF1747" s="1">
        <v>7.3</v>
      </c>
      <c r="BG1747" s="1"/>
      <c r="BH1747" s="1"/>
      <c r="BI1747" s="1"/>
      <c r="BJ1747" s="1"/>
      <c r="BK1747" s="1"/>
      <c r="BL1747" s="1"/>
      <c r="BM1747" s="1"/>
      <c r="BN1747" s="1"/>
      <c r="BO1747" s="1" t="s">
        <v>3308</v>
      </c>
      <c r="BP1747" s="1"/>
      <c r="BQ1747" s="1"/>
      <c r="BR1747" s="1" t="s">
        <v>30838</v>
      </c>
      <c r="BS1747" s="1">
        <v>19</v>
      </c>
      <c r="BT1747" s="1"/>
      <c r="BU1747" s="1" t="str">
        <f>HYPERLINK("https://nconnect.nicmar.ac.in/storage/profile/ProfilePhoto_p2270342_641589.jpg","Download")</f>
        <v>0</v>
      </c>
      <c r="BV1747" s="3"/>
      <c r="BW1747" s="3"/>
    </row>
    <row r="1748" spans="1:75">
      <c r="A1748" s="1" t="s">
        <v>75</v>
      </c>
      <c r="B1748" s="1" t="s">
        <v>25236</v>
      </c>
      <c r="C1748" s="1" t="s">
        <v>30839</v>
      </c>
      <c r="D1748" s="1" t="s">
        <v>30840</v>
      </c>
      <c r="E1748" s="1" t="s">
        <v>30841</v>
      </c>
      <c r="F1748" s="1" t="s">
        <v>30842</v>
      </c>
      <c r="G1748" s="1" t="s">
        <v>30843</v>
      </c>
      <c r="H1748" s="1" t="s">
        <v>30844</v>
      </c>
      <c r="I1748" s="1" t="s">
        <v>30845</v>
      </c>
      <c r="J1748" s="1">
        <v>9594042000</v>
      </c>
      <c r="K1748" s="1" t="s">
        <v>84</v>
      </c>
      <c r="L1748" s="1" t="s">
        <v>6709</v>
      </c>
      <c r="M1748" s="1" t="s">
        <v>86</v>
      </c>
      <c r="N1748" s="1" t="s">
        <v>618</v>
      </c>
      <c r="O1748" s="1"/>
      <c r="P1748" s="1" t="s">
        <v>1028</v>
      </c>
      <c r="Q1748" s="1" t="s">
        <v>30846</v>
      </c>
      <c r="R1748" s="1" t="s">
        <v>30847</v>
      </c>
      <c r="S1748" s="1">
        <v>9604328000</v>
      </c>
      <c r="T1748" s="1" t="s">
        <v>159</v>
      </c>
      <c r="U1748" s="1" t="s">
        <v>30848</v>
      </c>
      <c r="V1748" s="1">
        <v>9594028000</v>
      </c>
      <c r="W1748" s="1" t="s">
        <v>161</v>
      </c>
      <c r="X1748" s="1" t="s">
        <v>30849</v>
      </c>
      <c r="Y1748" s="1" t="s">
        <v>1145</v>
      </c>
      <c r="Z1748" s="1" t="s">
        <v>97</v>
      </c>
      <c r="AA1748" s="1" t="s">
        <v>30850</v>
      </c>
      <c r="AB1748" s="1" t="s">
        <v>196</v>
      </c>
      <c r="AC1748" s="1" t="s">
        <v>97</v>
      </c>
      <c r="AD1748" s="1" t="s">
        <v>98</v>
      </c>
      <c r="AE1748" s="1" t="s">
        <v>98</v>
      </c>
      <c r="AF1748" s="1" t="s">
        <v>12533</v>
      </c>
      <c r="AG1748" s="1" t="s">
        <v>30851</v>
      </c>
      <c r="AH1748" s="1" t="s">
        <v>101</v>
      </c>
      <c r="AI1748" s="1" t="s">
        <v>166</v>
      </c>
      <c r="AJ1748" s="1">
        <v>79.4</v>
      </c>
      <c r="AK1748" s="1"/>
      <c r="AL1748" s="1" t="s">
        <v>30852</v>
      </c>
      <c r="AM1748" s="1" t="s">
        <v>30851</v>
      </c>
      <c r="AN1748" s="1"/>
      <c r="AO1748" s="1" t="s">
        <v>167</v>
      </c>
      <c r="AP1748" s="1" t="s">
        <v>573</v>
      </c>
      <c r="AQ1748" s="1">
        <v>62.77</v>
      </c>
      <c r="AR1748" s="1"/>
      <c r="AS1748" s="1"/>
      <c r="AT1748" s="1"/>
      <c r="AU1748" s="1"/>
      <c r="AV1748" s="1"/>
      <c r="AW1748" s="1"/>
      <c r="AX1748" s="1"/>
      <c r="AY1748" s="1" t="s">
        <v>30853</v>
      </c>
      <c r="AZ1748" s="1" t="s">
        <v>7557</v>
      </c>
      <c r="BA1748" s="1"/>
      <c r="BB1748" s="1"/>
      <c r="BC1748" s="1" t="s">
        <v>230</v>
      </c>
      <c r="BD1748" s="1" t="s">
        <v>845</v>
      </c>
      <c r="BE1748" s="1">
        <v>62.4</v>
      </c>
      <c r="BF1748" s="1">
        <v>6.99</v>
      </c>
      <c r="BG1748" s="1"/>
      <c r="BH1748" s="1"/>
      <c r="BI1748" s="1"/>
      <c r="BJ1748" s="1"/>
      <c r="BK1748" s="1"/>
      <c r="BL1748" s="1"/>
      <c r="BM1748" s="1"/>
      <c r="BN1748" s="1"/>
      <c r="BO1748" s="1" t="s">
        <v>27163</v>
      </c>
      <c r="BP1748" s="1" t="s">
        <v>30854</v>
      </c>
      <c r="BQ1748" s="1" t="s">
        <v>292</v>
      </c>
      <c r="BR1748" s="1" t="s">
        <v>30855</v>
      </c>
      <c r="BS1748" s="1">
        <v>20</v>
      </c>
      <c r="BT1748" s="1"/>
      <c r="BU1748" s="1" t="str">
        <f>HYPERLINK("https://nconnect.nicmar.ac.in/storage/profile/ProfilePhoto_p2270343_429351.jpg","Download")</f>
        <v>0</v>
      </c>
      <c r="BV1748" s="3"/>
      <c r="BW1748" s="3"/>
    </row>
    <row r="1749" spans="1:75">
      <c r="A1749" s="1" t="s">
        <v>75</v>
      </c>
      <c r="B1749" s="1" t="s">
        <v>25236</v>
      </c>
      <c r="C1749" s="1" t="s">
        <v>30856</v>
      </c>
      <c r="D1749" s="1" t="s">
        <v>2829</v>
      </c>
      <c r="E1749" s="1" t="s">
        <v>4948</v>
      </c>
      <c r="F1749" s="1" t="s">
        <v>7180</v>
      </c>
      <c r="G1749" s="1" t="s">
        <v>30857</v>
      </c>
      <c r="H1749" s="1" t="s">
        <v>30858</v>
      </c>
      <c r="I1749" s="1" t="s">
        <v>30859</v>
      </c>
      <c r="J1749" s="1">
        <v>9764257247</v>
      </c>
      <c r="K1749" s="1" t="s">
        <v>84</v>
      </c>
      <c r="L1749" s="1" t="s">
        <v>25855</v>
      </c>
      <c r="M1749" s="1" t="s">
        <v>86</v>
      </c>
      <c r="N1749" s="1" t="s">
        <v>8520</v>
      </c>
      <c r="O1749" s="1"/>
      <c r="P1749" s="1" t="s">
        <v>455</v>
      </c>
      <c r="Q1749" s="1" t="s">
        <v>30860</v>
      </c>
      <c r="R1749" s="1" t="s">
        <v>30861</v>
      </c>
      <c r="S1749" s="1">
        <v>9764007247</v>
      </c>
      <c r="T1749" s="1" t="s">
        <v>839</v>
      </c>
      <c r="U1749" s="1" t="s">
        <v>30862</v>
      </c>
      <c r="V1749" s="1">
        <v>9764267247</v>
      </c>
      <c r="W1749" s="1" t="s">
        <v>161</v>
      </c>
      <c r="X1749" s="1" t="s">
        <v>30863</v>
      </c>
      <c r="Y1749" s="1" t="s">
        <v>196</v>
      </c>
      <c r="Z1749" s="1" t="s">
        <v>97</v>
      </c>
      <c r="AA1749" s="1" t="s">
        <v>30863</v>
      </c>
      <c r="AB1749" s="1" t="s">
        <v>196</v>
      </c>
      <c r="AC1749" s="1" t="s">
        <v>97</v>
      </c>
      <c r="AD1749" s="1" t="s">
        <v>98</v>
      </c>
      <c r="AE1749" s="1" t="s">
        <v>98</v>
      </c>
      <c r="AF1749" s="1" t="s">
        <v>9897</v>
      </c>
      <c r="AG1749" s="1" t="s">
        <v>30864</v>
      </c>
      <c r="AH1749" s="1" t="s">
        <v>1262</v>
      </c>
      <c r="AI1749" s="1" t="s">
        <v>136</v>
      </c>
      <c r="AJ1749" s="1">
        <v>77.9</v>
      </c>
      <c r="AK1749" s="1">
        <v>8.2</v>
      </c>
      <c r="AL1749" s="1"/>
      <c r="AM1749" s="1"/>
      <c r="AN1749" s="1"/>
      <c r="AO1749" s="1"/>
      <c r="AP1749" s="1"/>
      <c r="AQ1749" s="1"/>
      <c r="AR1749" s="1"/>
      <c r="AS1749" s="1" t="s">
        <v>103</v>
      </c>
      <c r="AT1749" s="1" t="s">
        <v>30865</v>
      </c>
      <c r="AU1749" s="1" t="s">
        <v>342</v>
      </c>
      <c r="AV1749" s="1" t="s">
        <v>106</v>
      </c>
      <c r="AW1749" s="1">
        <v>65.96</v>
      </c>
      <c r="AX1749" s="1">
        <v>8.2</v>
      </c>
      <c r="AY1749" s="1" t="s">
        <v>10273</v>
      </c>
      <c r="AZ1749" s="1" t="s">
        <v>30866</v>
      </c>
      <c r="BA1749" s="1"/>
      <c r="BB1749" s="1"/>
      <c r="BC1749" s="1" t="s">
        <v>1065</v>
      </c>
      <c r="BD1749" s="1" t="s">
        <v>549</v>
      </c>
      <c r="BE1749" s="1">
        <v>61.9</v>
      </c>
      <c r="BF1749" s="1">
        <v>6.94</v>
      </c>
      <c r="BG1749" s="1"/>
      <c r="BH1749" s="1"/>
      <c r="BI1749" s="1"/>
      <c r="BJ1749" s="1"/>
      <c r="BK1749" s="1"/>
      <c r="BL1749" s="1"/>
      <c r="BM1749" s="1"/>
      <c r="BN1749" s="1"/>
      <c r="BO1749" s="1" t="s">
        <v>30867</v>
      </c>
      <c r="BP1749" s="1"/>
      <c r="BQ1749" s="1"/>
      <c r="BR1749" s="1" t="s">
        <v>30868</v>
      </c>
      <c r="BS1749" s="1">
        <v>37</v>
      </c>
      <c r="BT1749" s="1"/>
      <c r="BU1749" s="1" t="str">
        <f>HYPERLINK("https://nconnect.nicmar.ac.in/storage/profile/ProfilePhoto_p2270345_512976.jpg","Download")</f>
        <v>0</v>
      </c>
      <c r="BV1749" s="3"/>
      <c r="BW1749" s="3"/>
    </row>
    <row r="1750" spans="1:75">
      <c r="A1750" s="1" t="s">
        <v>75</v>
      </c>
      <c r="B1750" s="1" t="s">
        <v>25236</v>
      </c>
      <c r="C1750" s="1" t="s">
        <v>30869</v>
      </c>
      <c r="D1750" s="1" t="s">
        <v>3041</v>
      </c>
      <c r="E1750" s="1" t="s">
        <v>186</v>
      </c>
      <c r="F1750" s="1" t="s">
        <v>12821</v>
      </c>
      <c r="G1750" s="1" t="s">
        <v>30870</v>
      </c>
      <c r="H1750" s="1" t="s">
        <v>30871</v>
      </c>
      <c r="I1750" s="1" t="s">
        <v>30872</v>
      </c>
      <c r="J1750" s="1">
        <v>8655596423</v>
      </c>
      <c r="K1750" s="1" t="s">
        <v>153</v>
      </c>
      <c r="L1750" s="1" t="s">
        <v>30873</v>
      </c>
      <c r="M1750" s="1" t="s">
        <v>86</v>
      </c>
      <c r="N1750" s="1" t="s">
        <v>618</v>
      </c>
      <c r="O1750" s="1" t="s">
        <v>26996</v>
      </c>
      <c r="P1750" s="1" t="s">
        <v>455</v>
      </c>
      <c r="Q1750" s="1" t="s">
        <v>30874</v>
      </c>
      <c r="R1750" s="1" t="s">
        <v>30875</v>
      </c>
      <c r="S1750" s="1">
        <v>9870221558</v>
      </c>
      <c r="T1750" s="1" t="s">
        <v>127</v>
      </c>
      <c r="U1750" s="1" t="s">
        <v>30876</v>
      </c>
      <c r="V1750" s="1">
        <v>9870221557</v>
      </c>
      <c r="W1750" s="1" t="s">
        <v>127</v>
      </c>
      <c r="X1750" s="1" t="s">
        <v>30877</v>
      </c>
      <c r="Y1750" s="1" t="s">
        <v>1012</v>
      </c>
      <c r="Z1750" s="1" t="s">
        <v>97</v>
      </c>
      <c r="AA1750" s="1" t="s">
        <v>30877</v>
      </c>
      <c r="AB1750" s="1" t="s">
        <v>1012</v>
      </c>
      <c r="AC1750" s="1" t="s">
        <v>97</v>
      </c>
      <c r="AD1750" s="1" t="s">
        <v>98</v>
      </c>
      <c r="AE1750" s="1" t="s">
        <v>98</v>
      </c>
      <c r="AF1750" s="1" t="s">
        <v>30878</v>
      </c>
      <c r="AG1750" s="1" t="s">
        <v>30879</v>
      </c>
      <c r="AH1750" s="1" t="s">
        <v>133</v>
      </c>
      <c r="AI1750" s="1" t="s">
        <v>1213</v>
      </c>
      <c r="AJ1750" s="1">
        <v>90.4</v>
      </c>
      <c r="AK1750" s="1">
        <v>0</v>
      </c>
      <c r="AL1750" s="1" t="s">
        <v>30880</v>
      </c>
      <c r="AM1750" s="1" t="s">
        <v>30879</v>
      </c>
      <c r="AN1750" s="1"/>
      <c r="AO1750" s="1" t="s">
        <v>101</v>
      </c>
      <c r="AP1750" s="1" t="s">
        <v>136</v>
      </c>
      <c r="AQ1750" s="1">
        <v>70.31</v>
      </c>
      <c r="AR1750" s="1">
        <v>0</v>
      </c>
      <c r="AS1750" s="1"/>
      <c r="AT1750" s="1"/>
      <c r="AU1750" s="1"/>
      <c r="AV1750" s="1"/>
      <c r="AW1750" s="1"/>
      <c r="AX1750" s="1"/>
      <c r="AY1750" s="1" t="s">
        <v>258</v>
      </c>
      <c r="AZ1750" s="1" t="s">
        <v>3660</v>
      </c>
      <c r="BA1750" s="1"/>
      <c r="BB1750" s="1"/>
      <c r="BC1750" s="1" t="s">
        <v>342</v>
      </c>
      <c r="BD1750" s="1" t="s">
        <v>315</v>
      </c>
      <c r="BE1750" s="1">
        <v>57.93</v>
      </c>
      <c r="BF1750" s="1">
        <v>6.47</v>
      </c>
      <c r="BG1750" s="1"/>
      <c r="BH1750" s="1"/>
      <c r="BI1750" s="1"/>
      <c r="BJ1750" s="1"/>
      <c r="BK1750" s="1"/>
      <c r="BL1750" s="1"/>
      <c r="BM1750" s="1"/>
      <c r="BN1750" s="1"/>
      <c r="BO1750" s="1" t="s">
        <v>30881</v>
      </c>
      <c r="BP1750" s="1" t="s">
        <v>30882</v>
      </c>
      <c r="BQ1750" s="1" t="s">
        <v>7647</v>
      </c>
      <c r="BR1750" s="1" t="s">
        <v>30883</v>
      </c>
      <c r="BS1750" s="1">
        <v>11</v>
      </c>
      <c r="BT1750" s="1"/>
      <c r="BU1750" s="1" t="str">
        <f>HYPERLINK("https://nconnect.nicmar.ac.in/storage/profile/ProfilePhoto_p2270346_796158.jpg","Download")</f>
        <v>0</v>
      </c>
      <c r="BV1750" s="3"/>
      <c r="BW1750" s="3"/>
    </row>
    <row r="1751" spans="1:75">
      <c r="A1751" s="1" t="s">
        <v>75</v>
      </c>
      <c r="B1751" s="1" t="s">
        <v>25236</v>
      </c>
      <c r="C1751" s="1" t="s">
        <v>30884</v>
      </c>
      <c r="D1751" s="1" t="s">
        <v>30885</v>
      </c>
      <c r="E1751" s="1"/>
      <c r="F1751" s="1" t="s">
        <v>30886</v>
      </c>
      <c r="G1751" s="1" t="s">
        <v>30887</v>
      </c>
      <c r="H1751" s="1" t="s">
        <v>30888</v>
      </c>
      <c r="I1751" s="1" t="s">
        <v>30889</v>
      </c>
      <c r="J1751" s="1">
        <v>7677510216</v>
      </c>
      <c r="K1751" s="1" t="s">
        <v>84</v>
      </c>
      <c r="L1751" s="1" t="s">
        <v>30890</v>
      </c>
      <c r="M1751" s="1" t="s">
        <v>86</v>
      </c>
      <c r="N1751" s="1" t="s">
        <v>30891</v>
      </c>
      <c r="O1751" s="1" t="s">
        <v>30892</v>
      </c>
      <c r="P1751" s="1" t="s">
        <v>481</v>
      </c>
      <c r="Q1751" s="1" t="s">
        <v>30893</v>
      </c>
      <c r="R1751" s="1" t="s">
        <v>30894</v>
      </c>
      <c r="S1751" s="1">
        <v>7004040108</v>
      </c>
      <c r="T1751" s="1" t="s">
        <v>1620</v>
      </c>
      <c r="U1751" s="1" t="s">
        <v>30895</v>
      </c>
      <c r="V1751" s="1">
        <v>9693601209</v>
      </c>
      <c r="W1751" s="1" t="s">
        <v>161</v>
      </c>
      <c r="X1751" s="1" t="s">
        <v>30896</v>
      </c>
      <c r="Y1751" s="1" t="s">
        <v>8299</v>
      </c>
      <c r="Z1751" s="1" t="s">
        <v>2955</v>
      </c>
      <c r="AA1751" s="1" t="s">
        <v>30897</v>
      </c>
      <c r="AB1751" s="1" t="s">
        <v>196</v>
      </c>
      <c r="AC1751" s="1" t="s">
        <v>97</v>
      </c>
      <c r="AD1751" s="1" t="s">
        <v>98</v>
      </c>
      <c r="AE1751" s="1" t="s">
        <v>98</v>
      </c>
      <c r="AF1751" s="1" t="s">
        <v>30898</v>
      </c>
      <c r="AG1751" s="1" t="s">
        <v>30899</v>
      </c>
      <c r="AH1751" s="1" t="s">
        <v>342</v>
      </c>
      <c r="AI1751" s="1" t="s">
        <v>627</v>
      </c>
      <c r="AJ1751" s="1">
        <v>95</v>
      </c>
      <c r="AK1751" s="1">
        <v>10</v>
      </c>
      <c r="AL1751" s="1"/>
      <c r="AM1751" s="1"/>
      <c r="AN1751" s="1"/>
      <c r="AO1751" s="1"/>
      <c r="AP1751" s="1"/>
      <c r="AQ1751" s="1"/>
      <c r="AR1751" s="1"/>
      <c r="AS1751" s="1" t="s">
        <v>103</v>
      </c>
      <c r="AT1751" s="1" t="s">
        <v>30900</v>
      </c>
      <c r="AU1751" s="1" t="s">
        <v>139</v>
      </c>
      <c r="AV1751" s="1" t="s">
        <v>315</v>
      </c>
      <c r="AW1751" s="1">
        <v>86.23</v>
      </c>
      <c r="AX1751" s="1"/>
      <c r="AY1751" s="1" t="s">
        <v>30901</v>
      </c>
      <c r="AZ1751" s="1" t="s">
        <v>30902</v>
      </c>
      <c r="BA1751" s="1"/>
      <c r="BB1751" s="1"/>
      <c r="BC1751" s="1" t="s">
        <v>206</v>
      </c>
      <c r="BD1751" s="1" t="s">
        <v>1400</v>
      </c>
      <c r="BE1751" s="1">
        <v>91.1</v>
      </c>
      <c r="BF1751" s="1"/>
      <c r="BG1751" s="1"/>
      <c r="BH1751" s="1"/>
      <c r="BI1751" s="1"/>
      <c r="BJ1751" s="1"/>
      <c r="BK1751" s="1"/>
      <c r="BL1751" s="1"/>
      <c r="BM1751" s="1"/>
      <c r="BN1751" s="1"/>
      <c r="BO1751" s="1" t="s">
        <v>30903</v>
      </c>
      <c r="BP1751" s="1"/>
      <c r="BQ1751" s="1"/>
      <c r="BR1751" s="1" t="s">
        <v>30904</v>
      </c>
      <c r="BS1751" s="1">
        <v>16</v>
      </c>
      <c r="BT1751" s="1"/>
      <c r="BU1751" s="1" t="str">
        <f>HYPERLINK("https://nconnect.nicmar.ac.in/storage/profile/ProfilePhoto_p2270347_795431.jpg","Download")</f>
        <v>0</v>
      </c>
      <c r="BV1751" s="3"/>
      <c r="BW1751" s="3"/>
    </row>
    <row r="1752" spans="1:75">
      <c r="A1752" s="1" t="s">
        <v>75</v>
      </c>
      <c r="B1752" s="1" t="s">
        <v>25236</v>
      </c>
      <c r="C1752" s="1" t="s">
        <v>30905</v>
      </c>
      <c r="D1752" s="1" t="s">
        <v>30906</v>
      </c>
      <c r="E1752" s="1" t="s">
        <v>213</v>
      </c>
      <c r="F1752" s="1" t="s">
        <v>30907</v>
      </c>
      <c r="G1752" s="1" t="s">
        <v>30908</v>
      </c>
      <c r="H1752" s="1" t="s">
        <v>30909</v>
      </c>
      <c r="I1752" s="1" t="s">
        <v>30910</v>
      </c>
      <c r="J1752" s="1">
        <v>8623050500</v>
      </c>
      <c r="K1752" s="1" t="s">
        <v>153</v>
      </c>
      <c r="L1752" s="1" t="s">
        <v>30911</v>
      </c>
      <c r="M1752" s="1" t="s">
        <v>86</v>
      </c>
      <c r="N1752" s="1" t="s">
        <v>618</v>
      </c>
      <c r="O1752" s="1" t="s">
        <v>30912</v>
      </c>
      <c r="P1752" s="1" t="s">
        <v>507</v>
      </c>
      <c r="Q1752" s="1" t="s">
        <v>30913</v>
      </c>
      <c r="R1752" s="1" t="s">
        <v>30914</v>
      </c>
      <c r="S1752" s="1">
        <v>9325229000</v>
      </c>
      <c r="T1752" s="1" t="s">
        <v>839</v>
      </c>
      <c r="U1752" s="1" t="s">
        <v>30915</v>
      </c>
      <c r="V1752" s="1">
        <v>7385355374</v>
      </c>
      <c r="W1752" s="1" t="s">
        <v>94</v>
      </c>
      <c r="X1752" s="1" t="s">
        <v>30916</v>
      </c>
      <c r="Y1752" s="1" t="s">
        <v>410</v>
      </c>
      <c r="Z1752" s="1" t="s">
        <v>97</v>
      </c>
      <c r="AA1752" s="1" t="s">
        <v>30916</v>
      </c>
      <c r="AB1752" s="1" t="s">
        <v>410</v>
      </c>
      <c r="AC1752" s="1" t="s">
        <v>97</v>
      </c>
      <c r="AD1752" s="1" t="s">
        <v>98</v>
      </c>
      <c r="AE1752" s="1" t="s">
        <v>98</v>
      </c>
      <c r="AF1752" s="1" t="s">
        <v>30917</v>
      </c>
      <c r="AG1752" s="1" t="s">
        <v>165</v>
      </c>
      <c r="AH1752" s="1" t="s">
        <v>133</v>
      </c>
      <c r="AI1752" s="1" t="s">
        <v>1213</v>
      </c>
      <c r="AJ1752" s="1">
        <v>80.91</v>
      </c>
      <c r="AK1752" s="1">
        <v>8.09</v>
      </c>
      <c r="AL1752" s="1" t="s">
        <v>30918</v>
      </c>
      <c r="AM1752" s="1" t="s">
        <v>165</v>
      </c>
      <c r="AN1752" s="1"/>
      <c r="AO1752" s="1" t="s">
        <v>101</v>
      </c>
      <c r="AP1752" s="1" t="s">
        <v>102</v>
      </c>
      <c r="AQ1752" s="1">
        <v>60</v>
      </c>
      <c r="AR1752" s="1">
        <v>6</v>
      </c>
      <c r="AS1752" s="1"/>
      <c r="AT1752" s="1"/>
      <c r="AU1752" s="1"/>
      <c r="AV1752" s="1"/>
      <c r="AW1752" s="1"/>
      <c r="AX1752" s="1"/>
      <c r="AY1752" s="1" t="s">
        <v>415</v>
      </c>
      <c r="AZ1752" s="1" t="s">
        <v>30919</v>
      </c>
      <c r="BA1752" s="1"/>
      <c r="BB1752" s="1"/>
      <c r="BC1752" s="1" t="s">
        <v>105</v>
      </c>
      <c r="BD1752" s="1" t="s">
        <v>175</v>
      </c>
      <c r="BE1752" s="1">
        <v>72.4</v>
      </c>
      <c r="BF1752" s="1">
        <v>7.99</v>
      </c>
      <c r="BG1752" s="1"/>
      <c r="BH1752" s="1"/>
      <c r="BI1752" s="1"/>
      <c r="BJ1752" s="1"/>
      <c r="BK1752" s="1"/>
      <c r="BL1752" s="1"/>
      <c r="BM1752" s="1"/>
      <c r="BN1752" s="1"/>
      <c r="BO1752" s="1" t="s">
        <v>30920</v>
      </c>
      <c r="BP1752" s="1" t="s">
        <v>30921</v>
      </c>
      <c r="BQ1752" s="1" t="s">
        <v>2213</v>
      </c>
      <c r="BR1752" s="1" t="s">
        <v>30922</v>
      </c>
      <c r="BS1752" s="1">
        <v>46</v>
      </c>
      <c r="BT1752" s="1"/>
      <c r="BU1752" s="1" t="str">
        <f>HYPERLINK("https://nconnect.nicmar.ac.in/storage/profile/ProfilePhoto_p2270348_854627.jpg","Download")</f>
        <v>0</v>
      </c>
      <c r="BV1752" s="3"/>
      <c r="BW1752" s="3"/>
    </row>
    <row r="1753" spans="1:75">
      <c r="A1753" s="1" t="s">
        <v>75</v>
      </c>
      <c r="B1753" s="1" t="s">
        <v>25236</v>
      </c>
      <c r="C1753" s="1" t="s">
        <v>30923</v>
      </c>
      <c r="D1753" s="1" t="s">
        <v>9975</v>
      </c>
      <c r="E1753" s="1"/>
      <c r="F1753" s="1" t="s">
        <v>30924</v>
      </c>
      <c r="G1753" s="1" t="s">
        <v>30925</v>
      </c>
      <c r="H1753" s="1" t="s">
        <v>30926</v>
      </c>
      <c r="I1753" s="1" t="s">
        <v>30927</v>
      </c>
      <c r="J1753" s="1">
        <v>9003092027</v>
      </c>
      <c r="K1753" s="1" t="s">
        <v>153</v>
      </c>
      <c r="L1753" s="1" t="s">
        <v>30928</v>
      </c>
      <c r="M1753" s="1" t="s">
        <v>86</v>
      </c>
      <c r="N1753" s="1" t="s">
        <v>4753</v>
      </c>
      <c r="O1753" s="1" t="s">
        <v>30929</v>
      </c>
      <c r="P1753" s="1" t="s">
        <v>481</v>
      </c>
      <c r="Q1753" s="1" t="s">
        <v>30930</v>
      </c>
      <c r="R1753" s="1" t="s">
        <v>30931</v>
      </c>
      <c r="S1753" s="1">
        <v>9234604301</v>
      </c>
      <c r="T1753" s="1" t="s">
        <v>645</v>
      </c>
      <c r="U1753" s="1" t="s">
        <v>30932</v>
      </c>
      <c r="V1753" s="1">
        <v>9234604301</v>
      </c>
      <c r="W1753" s="1" t="s">
        <v>839</v>
      </c>
      <c r="X1753" s="1" t="s">
        <v>30933</v>
      </c>
      <c r="Y1753" s="1" t="s">
        <v>9828</v>
      </c>
      <c r="Z1753" s="1" t="s">
        <v>2955</v>
      </c>
      <c r="AA1753" s="1" t="s">
        <v>30933</v>
      </c>
      <c r="AB1753" s="1" t="s">
        <v>9828</v>
      </c>
      <c r="AC1753" s="1" t="s">
        <v>2955</v>
      </c>
      <c r="AD1753" s="1" t="s">
        <v>98</v>
      </c>
      <c r="AE1753" s="1" t="s">
        <v>98</v>
      </c>
      <c r="AF1753" s="1" t="s">
        <v>30934</v>
      </c>
      <c r="AG1753" s="1" t="s">
        <v>30935</v>
      </c>
      <c r="AH1753" s="1" t="s">
        <v>3421</v>
      </c>
      <c r="AI1753" s="1" t="s">
        <v>1262</v>
      </c>
      <c r="AJ1753" s="1">
        <v>77.8</v>
      </c>
      <c r="AK1753" s="1"/>
      <c r="AL1753" s="1" t="s">
        <v>30936</v>
      </c>
      <c r="AM1753" s="1" t="s">
        <v>30935</v>
      </c>
      <c r="AN1753" s="1"/>
      <c r="AO1753" s="1" t="s">
        <v>1110</v>
      </c>
      <c r="AP1753" s="1" t="s">
        <v>627</v>
      </c>
      <c r="AQ1753" s="1">
        <v>56.8</v>
      </c>
      <c r="AR1753" s="1"/>
      <c r="AS1753" s="1"/>
      <c r="AT1753" s="1"/>
      <c r="AU1753" s="1"/>
      <c r="AV1753" s="1"/>
      <c r="AW1753" s="1"/>
      <c r="AX1753" s="1"/>
      <c r="AY1753" s="1" t="s">
        <v>9026</v>
      </c>
      <c r="AZ1753" s="1" t="s">
        <v>2614</v>
      </c>
      <c r="BA1753" s="1"/>
      <c r="BB1753" s="1"/>
      <c r="BC1753" s="1" t="s">
        <v>167</v>
      </c>
      <c r="BD1753" s="1" t="s">
        <v>468</v>
      </c>
      <c r="BE1753" s="1">
        <v>79.32</v>
      </c>
      <c r="BF1753" s="1">
        <v>7.13</v>
      </c>
      <c r="BG1753" s="1"/>
      <c r="BH1753" s="1"/>
      <c r="BI1753" s="1"/>
      <c r="BJ1753" s="1"/>
      <c r="BK1753" s="1"/>
      <c r="BL1753" s="1"/>
      <c r="BM1753" s="1"/>
      <c r="BN1753" s="1"/>
      <c r="BO1753" s="1" t="s">
        <v>30937</v>
      </c>
      <c r="BP1753" s="1" t="s">
        <v>30938</v>
      </c>
      <c r="BQ1753" s="1" t="s">
        <v>1152</v>
      </c>
      <c r="BR1753" s="1" t="s">
        <v>30939</v>
      </c>
      <c r="BS1753" s="1">
        <v>10</v>
      </c>
      <c r="BT1753" s="1"/>
      <c r="BU1753" s="1" t="str">
        <f>HYPERLINK("https://nconnect.nicmar.ac.in/storage/profile/ProfilePhoto_p2270349_214957.jpg","Download")</f>
        <v>0</v>
      </c>
      <c r="BV1753" s="3"/>
      <c r="BW1753" s="3"/>
    </row>
    <row r="1754" spans="1:75">
      <c r="A1754" s="1" t="s">
        <v>75</v>
      </c>
      <c r="B1754" s="1" t="s">
        <v>25236</v>
      </c>
      <c r="C1754" s="1" t="s">
        <v>30940</v>
      </c>
      <c r="D1754" s="1" t="s">
        <v>8015</v>
      </c>
      <c r="E1754" s="1"/>
      <c r="F1754" s="1" t="s">
        <v>30941</v>
      </c>
      <c r="G1754" s="1" t="s">
        <v>30942</v>
      </c>
      <c r="H1754" s="1" t="s">
        <v>30943</v>
      </c>
      <c r="I1754" s="1" t="s">
        <v>30944</v>
      </c>
      <c r="J1754" s="1">
        <v>8748037806</v>
      </c>
      <c r="K1754" s="1" t="s">
        <v>84</v>
      </c>
      <c r="L1754" s="1" t="s">
        <v>30945</v>
      </c>
      <c r="M1754" s="1" t="s">
        <v>86</v>
      </c>
      <c r="N1754" s="1" t="s">
        <v>11117</v>
      </c>
      <c r="O1754" s="1" t="s">
        <v>30946</v>
      </c>
      <c r="P1754" s="1" t="s">
        <v>1028</v>
      </c>
      <c r="Q1754" s="1" t="s">
        <v>30947</v>
      </c>
      <c r="R1754" s="1" t="s">
        <v>30948</v>
      </c>
      <c r="S1754" s="1">
        <v>9448741778</v>
      </c>
      <c r="T1754" s="1" t="s">
        <v>539</v>
      </c>
      <c r="U1754" s="1" t="s">
        <v>30949</v>
      </c>
      <c r="V1754" s="1">
        <v>8762748006</v>
      </c>
      <c r="W1754" s="1" t="s">
        <v>161</v>
      </c>
      <c r="X1754" s="1" t="s">
        <v>30950</v>
      </c>
      <c r="Y1754" s="1" t="s">
        <v>9912</v>
      </c>
      <c r="Z1754" s="1" t="s">
        <v>1210</v>
      </c>
      <c r="AA1754" s="1" t="s">
        <v>30951</v>
      </c>
      <c r="AB1754" s="1" t="s">
        <v>9912</v>
      </c>
      <c r="AC1754" s="1" t="s">
        <v>1210</v>
      </c>
      <c r="AD1754" s="1" t="s">
        <v>98</v>
      </c>
      <c r="AE1754" s="1" t="s">
        <v>98</v>
      </c>
      <c r="AF1754" s="1" t="s">
        <v>30952</v>
      </c>
      <c r="AG1754" s="1" t="s">
        <v>727</v>
      </c>
      <c r="AH1754" s="1" t="s">
        <v>1213</v>
      </c>
      <c r="AI1754" s="1" t="s">
        <v>1262</v>
      </c>
      <c r="AJ1754" s="1">
        <v>85.76</v>
      </c>
      <c r="AK1754" s="1"/>
      <c r="AL1754" s="1" t="s">
        <v>30953</v>
      </c>
      <c r="AM1754" s="1" t="s">
        <v>727</v>
      </c>
      <c r="AN1754" s="1"/>
      <c r="AO1754" s="1" t="s">
        <v>166</v>
      </c>
      <c r="AP1754" s="1" t="s">
        <v>627</v>
      </c>
      <c r="AQ1754" s="1">
        <v>91.5</v>
      </c>
      <c r="AR1754" s="1"/>
      <c r="AS1754" s="1"/>
      <c r="AT1754" s="1"/>
      <c r="AU1754" s="1"/>
      <c r="AV1754" s="1"/>
      <c r="AW1754" s="1"/>
      <c r="AX1754" s="1"/>
      <c r="AY1754" s="1" t="s">
        <v>1217</v>
      </c>
      <c r="AZ1754" s="1" t="s">
        <v>30954</v>
      </c>
      <c r="BA1754" s="1"/>
      <c r="BB1754" s="1"/>
      <c r="BC1754" s="1" t="s">
        <v>139</v>
      </c>
      <c r="BD1754" s="1" t="s">
        <v>233</v>
      </c>
      <c r="BE1754" s="1">
        <v>79.4</v>
      </c>
      <c r="BF1754" s="1">
        <v>8.69</v>
      </c>
      <c r="BG1754" s="1"/>
      <c r="BH1754" s="1"/>
      <c r="BI1754" s="1"/>
      <c r="BJ1754" s="1"/>
      <c r="BK1754" s="1"/>
      <c r="BL1754" s="1"/>
      <c r="BM1754" s="1"/>
      <c r="BN1754" s="1"/>
      <c r="BO1754" s="1" t="s">
        <v>30955</v>
      </c>
      <c r="BP1754" s="1" t="s">
        <v>30956</v>
      </c>
      <c r="BQ1754" s="1" t="s">
        <v>2245</v>
      </c>
      <c r="BR1754" s="1" t="s">
        <v>30957</v>
      </c>
      <c r="BS1754" s="1">
        <v>12</v>
      </c>
      <c r="BT1754" s="1"/>
      <c r="BU1754" s="1" t="str">
        <f>HYPERLINK("https://nconnect.nicmar.ac.in/storage/profile/ProfilePhoto_p2270350_947123.jpg","Download")</f>
        <v>0</v>
      </c>
      <c r="BV1754" s="3"/>
      <c r="BW1754" s="3"/>
    </row>
    <row r="1755" spans="1:75">
      <c r="A1755" s="1" t="s">
        <v>75</v>
      </c>
      <c r="B1755" s="1" t="s">
        <v>25236</v>
      </c>
      <c r="C1755" s="1" t="s">
        <v>30958</v>
      </c>
      <c r="D1755" s="1" t="s">
        <v>6726</v>
      </c>
      <c r="E1755" s="1"/>
      <c r="F1755" s="1" t="s">
        <v>1179</v>
      </c>
      <c r="G1755" s="1" t="s">
        <v>30959</v>
      </c>
      <c r="H1755" s="1" t="s">
        <v>30960</v>
      </c>
      <c r="I1755" s="1" t="s">
        <v>30961</v>
      </c>
      <c r="J1755" s="1">
        <v>9405712350</v>
      </c>
      <c r="K1755" s="1" t="s">
        <v>153</v>
      </c>
      <c r="L1755" s="1" t="s">
        <v>30962</v>
      </c>
      <c r="M1755" s="1" t="s">
        <v>155</v>
      </c>
      <c r="N1755" s="1" t="s">
        <v>768</v>
      </c>
      <c r="O1755" s="1" t="s">
        <v>30963</v>
      </c>
      <c r="P1755" s="1" t="s">
        <v>455</v>
      </c>
      <c r="Q1755" s="1" t="s">
        <v>30964</v>
      </c>
      <c r="R1755" s="1" t="s">
        <v>3351</v>
      </c>
      <c r="S1755" s="1">
        <v>9404542104</v>
      </c>
      <c r="T1755" s="1" t="s">
        <v>645</v>
      </c>
      <c r="U1755" s="1" t="s">
        <v>2435</v>
      </c>
      <c r="V1755" s="1">
        <v>8800283973</v>
      </c>
      <c r="W1755" s="1" t="s">
        <v>127</v>
      </c>
      <c r="X1755" s="1" t="s">
        <v>30965</v>
      </c>
      <c r="Y1755" s="1" t="s">
        <v>1012</v>
      </c>
      <c r="Z1755" s="1" t="s">
        <v>97</v>
      </c>
      <c r="AA1755" s="1" t="s">
        <v>30965</v>
      </c>
      <c r="AB1755" s="1" t="s">
        <v>1012</v>
      </c>
      <c r="AC1755" s="1" t="s">
        <v>97</v>
      </c>
      <c r="AD1755" s="1" t="s">
        <v>98</v>
      </c>
      <c r="AE1755" s="1" t="s">
        <v>98</v>
      </c>
      <c r="AF1755" s="1" t="s">
        <v>30966</v>
      </c>
      <c r="AG1755" s="1" t="s">
        <v>996</v>
      </c>
      <c r="AH1755" s="1" t="s">
        <v>133</v>
      </c>
      <c r="AI1755" s="1" t="s">
        <v>1457</v>
      </c>
      <c r="AJ1755" s="1">
        <v>80.73</v>
      </c>
      <c r="AK1755" s="1">
        <v>0</v>
      </c>
      <c r="AL1755" s="1" t="s">
        <v>30967</v>
      </c>
      <c r="AM1755" s="1" t="s">
        <v>996</v>
      </c>
      <c r="AN1755" s="1"/>
      <c r="AO1755" s="1" t="s">
        <v>101</v>
      </c>
      <c r="AP1755" s="1" t="s">
        <v>102</v>
      </c>
      <c r="AQ1755" s="1">
        <v>67.85</v>
      </c>
      <c r="AR1755" s="1">
        <v>0</v>
      </c>
      <c r="AS1755" s="1"/>
      <c r="AT1755" s="1"/>
      <c r="AU1755" s="1"/>
      <c r="AV1755" s="1"/>
      <c r="AW1755" s="1"/>
      <c r="AX1755" s="1"/>
      <c r="AY1755" s="1" t="s">
        <v>30968</v>
      </c>
      <c r="AZ1755" s="1" t="s">
        <v>30969</v>
      </c>
      <c r="BA1755" s="1"/>
      <c r="BB1755" s="1"/>
      <c r="BC1755" s="1" t="s">
        <v>342</v>
      </c>
      <c r="BD1755" s="1" t="s">
        <v>606</v>
      </c>
      <c r="BE1755" s="1">
        <v>63.5</v>
      </c>
      <c r="BF1755" s="1">
        <v>7.1</v>
      </c>
      <c r="BG1755" s="1"/>
      <c r="BH1755" s="1"/>
      <c r="BI1755" s="1"/>
      <c r="BJ1755" s="1"/>
      <c r="BK1755" s="1"/>
      <c r="BL1755" s="1"/>
      <c r="BM1755" s="1"/>
      <c r="BN1755" s="1"/>
      <c r="BO1755" s="1" t="s">
        <v>30970</v>
      </c>
      <c r="BP1755" s="1"/>
      <c r="BQ1755" s="1"/>
      <c r="BR1755" s="1" t="s">
        <v>30971</v>
      </c>
      <c r="BS1755" s="1">
        <v>85</v>
      </c>
      <c r="BT1755" s="1"/>
      <c r="BU1755" s="1" t="str">
        <f>HYPERLINK("https://nconnect.nicmar.ac.in/storage/profile/ProfilePhoto_p2270351_984273.jpg","Download")</f>
        <v>0</v>
      </c>
      <c r="BV1755" s="3"/>
      <c r="BW1755" s="3"/>
    </row>
    <row r="1756" spans="1:75">
      <c r="A1756" s="1" t="s">
        <v>75</v>
      </c>
      <c r="B1756" s="1" t="s">
        <v>25236</v>
      </c>
      <c r="C1756" s="1" t="s">
        <v>30972</v>
      </c>
      <c r="D1756" s="1" t="s">
        <v>30973</v>
      </c>
      <c r="E1756" s="1"/>
      <c r="F1756" s="1" t="s">
        <v>587</v>
      </c>
      <c r="G1756" s="1" t="s">
        <v>30974</v>
      </c>
      <c r="H1756" s="1" t="s">
        <v>30975</v>
      </c>
      <c r="I1756" s="1" t="s">
        <v>30976</v>
      </c>
      <c r="J1756" s="1">
        <v>8870836646</v>
      </c>
      <c r="K1756" s="1" t="s">
        <v>153</v>
      </c>
      <c r="L1756" s="1" t="s">
        <v>30977</v>
      </c>
      <c r="M1756" s="1" t="s">
        <v>86</v>
      </c>
      <c r="N1756" s="1" t="s">
        <v>27585</v>
      </c>
      <c r="O1756" s="1" t="s">
        <v>30978</v>
      </c>
      <c r="P1756" s="1" t="s">
        <v>507</v>
      </c>
      <c r="Q1756" s="1" t="s">
        <v>30979</v>
      </c>
      <c r="R1756" s="1" t="s">
        <v>30980</v>
      </c>
      <c r="S1756" s="1">
        <v>9894867764</v>
      </c>
      <c r="T1756" s="1" t="s">
        <v>30981</v>
      </c>
      <c r="U1756" s="1" t="s">
        <v>30982</v>
      </c>
      <c r="V1756" s="1">
        <v>8903893190</v>
      </c>
      <c r="W1756" s="1" t="s">
        <v>30981</v>
      </c>
      <c r="X1756" s="1" t="s">
        <v>30983</v>
      </c>
      <c r="Y1756" s="1" t="s">
        <v>18215</v>
      </c>
      <c r="Z1756" s="1" t="s">
        <v>570</v>
      </c>
      <c r="AA1756" s="1" t="s">
        <v>30983</v>
      </c>
      <c r="AB1756" s="1" t="s">
        <v>18215</v>
      </c>
      <c r="AC1756" s="1" t="s">
        <v>570</v>
      </c>
      <c r="AD1756" s="1" t="s">
        <v>98</v>
      </c>
      <c r="AE1756" s="1" t="s">
        <v>98</v>
      </c>
      <c r="AF1756" s="1" t="s">
        <v>30984</v>
      </c>
      <c r="AG1756" s="1" t="s">
        <v>30985</v>
      </c>
      <c r="AH1756" s="1" t="s">
        <v>101</v>
      </c>
      <c r="AI1756" s="1" t="s">
        <v>102</v>
      </c>
      <c r="AJ1756" s="1">
        <v>98.4</v>
      </c>
      <c r="AK1756" s="1">
        <v>9.84</v>
      </c>
      <c r="AL1756" s="1" t="s">
        <v>30984</v>
      </c>
      <c r="AM1756" s="1" t="s">
        <v>30986</v>
      </c>
      <c r="AN1756" s="1"/>
      <c r="AO1756" s="1" t="s">
        <v>167</v>
      </c>
      <c r="AP1756" s="1" t="s">
        <v>200</v>
      </c>
      <c r="AQ1756" s="1">
        <v>90</v>
      </c>
      <c r="AR1756" s="1">
        <v>9</v>
      </c>
      <c r="AS1756" s="1"/>
      <c r="AT1756" s="1"/>
      <c r="AU1756" s="1"/>
      <c r="AV1756" s="1"/>
      <c r="AW1756" s="1"/>
      <c r="AX1756" s="1"/>
      <c r="AY1756" s="1" t="s">
        <v>576</v>
      </c>
      <c r="AZ1756" s="1" t="s">
        <v>30987</v>
      </c>
      <c r="BA1756" s="1"/>
      <c r="BB1756" s="1"/>
      <c r="BC1756" s="1" t="s">
        <v>573</v>
      </c>
      <c r="BD1756" s="1" t="s">
        <v>1192</v>
      </c>
      <c r="BE1756" s="1">
        <v>85.4</v>
      </c>
      <c r="BF1756" s="1">
        <v>8.54</v>
      </c>
      <c r="BG1756" s="1"/>
      <c r="BH1756" s="1"/>
      <c r="BI1756" s="1"/>
      <c r="BJ1756" s="1"/>
      <c r="BK1756" s="1"/>
      <c r="BL1756" s="1"/>
      <c r="BM1756" s="1"/>
      <c r="BN1756" s="1"/>
      <c r="BO1756" s="1" t="s">
        <v>1114</v>
      </c>
      <c r="BP1756" s="1"/>
      <c r="BQ1756" s="1"/>
      <c r="BR1756" s="1" t="s">
        <v>30988</v>
      </c>
      <c r="BS1756" s="1">
        <v>7</v>
      </c>
      <c r="BT1756" s="1"/>
      <c r="BU1756" s="1" t="str">
        <f>HYPERLINK("https://nconnect.nicmar.ac.in/storage/profile/ProfilePhoto_p2270352_925476.jpg","Download")</f>
        <v>0</v>
      </c>
      <c r="BV1756" s="3"/>
      <c r="BW1756" s="3"/>
    </row>
    <row r="1757" spans="1:75">
      <c r="A1757" s="1" t="s">
        <v>75</v>
      </c>
      <c r="B1757" s="1" t="s">
        <v>25236</v>
      </c>
      <c r="C1757" s="1" t="s">
        <v>30989</v>
      </c>
      <c r="D1757" s="1" t="s">
        <v>30990</v>
      </c>
      <c r="E1757" s="1"/>
      <c r="F1757" s="1" t="s">
        <v>30991</v>
      </c>
      <c r="G1757" s="1" t="s">
        <v>30992</v>
      </c>
      <c r="H1757" s="1" t="s">
        <v>30993</v>
      </c>
      <c r="I1757" s="1" t="s">
        <v>30994</v>
      </c>
      <c r="J1757" s="1">
        <v>7001899493</v>
      </c>
      <c r="K1757" s="1" t="s">
        <v>84</v>
      </c>
      <c r="L1757" s="1" t="s">
        <v>30995</v>
      </c>
      <c r="M1757" s="1" t="s">
        <v>86</v>
      </c>
      <c r="N1757" s="1" t="s">
        <v>30996</v>
      </c>
      <c r="O1757" s="1" t="s">
        <v>30997</v>
      </c>
      <c r="P1757" s="1" t="s">
        <v>455</v>
      </c>
      <c r="Q1757" s="1" t="s">
        <v>30998</v>
      </c>
      <c r="R1757" s="1" t="s">
        <v>30999</v>
      </c>
      <c r="S1757" s="1">
        <v>9475351782</v>
      </c>
      <c r="T1757" s="1" t="s">
        <v>839</v>
      </c>
      <c r="U1757" s="1" t="s">
        <v>31000</v>
      </c>
      <c r="V1757" s="1">
        <v>9474116966</v>
      </c>
      <c r="W1757" s="1" t="s">
        <v>161</v>
      </c>
      <c r="X1757" s="1" t="s">
        <v>31001</v>
      </c>
      <c r="Y1757" s="1" t="s">
        <v>31002</v>
      </c>
      <c r="Z1757" s="1" t="s">
        <v>1234</v>
      </c>
      <c r="AA1757" s="1" t="s">
        <v>31001</v>
      </c>
      <c r="AB1757" s="1" t="s">
        <v>31002</v>
      </c>
      <c r="AC1757" s="1" t="s">
        <v>1234</v>
      </c>
      <c r="AD1757" s="1" t="s">
        <v>98</v>
      </c>
      <c r="AE1757" s="1" t="s">
        <v>98</v>
      </c>
      <c r="AF1757" s="1" t="s">
        <v>31003</v>
      </c>
      <c r="AG1757" s="1" t="s">
        <v>28807</v>
      </c>
      <c r="AH1757" s="1" t="s">
        <v>133</v>
      </c>
      <c r="AI1757" s="1" t="s">
        <v>134</v>
      </c>
      <c r="AJ1757" s="1">
        <v>77.28</v>
      </c>
      <c r="AK1757" s="1"/>
      <c r="AL1757" s="1" t="s">
        <v>31003</v>
      </c>
      <c r="AM1757" s="1" t="s">
        <v>28809</v>
      </c>
      <c r="AN1757" s="1"/>
      <c r="AO1757" s="1" t="s">
        <v>101</v>
      </c>
      <c r="AP1757" s="1" t="s">
        <v>136</v>
      </c>
      <c r="AQ1757" s="1">
        <v>71.8</v>
      </c>
      <c r="AR1757" s="1"/>
      <c r="AS1757" s="1"/>
      <c r="AT1757" s="1"/>
      <c r="AU1757" s="1"/>
      <c r="AV1757" s="1"/>
      <c r="AW1757" s="1"/>
      <c r="AX1757" s="1"/>
      <c r="AY1757" s="1" t="s">
        <v>3625</v>
      </c>
      <c r="AZ1757" s="1" t="s">
        <v>31004</v>
      </c>
      <c r="BA1757" s="1"/>
      <c r="BB1757" s="1"/>
      <c r="BC1757" s="1" t="s">
        <v>105</v>
      </c>
      <c r="BD1757" s="1" t="s">
        <v>315</v>
      </c>
      <c r="BE1757" s="1">
        <v>70.8</v>
      </c>
      <c r="BF1757" s="1">
        <v>7.83</v>
      </c>
      <c r="BG1757" s="1"/>
      <c r="BH1757" s="1"/>
      <c r="BI1757" s="1"/>
      <c r="BJ1757" s="1"/>
      <c r="BK1757" s="1"/>
      <c r="BL1757" s="1"/>
      <c r="BM1757" s="1"/>
      <c r="BN1757" s="1"/>
      <c r="BO1757" s="1" t="s">
        <v>27904</v>
      </c>
      <c r="BP1757" s="1" t="s">
        <v>31005</v>
      </c>
      <c r="BQ1757" s="1" t="s">
        <v>8862</v>
      </c>
      <c r="BR1757" s="1" t="s">
        <v>31006</v>
      </c>
      <c r="BS1757" s="1">
        <v>16</v>
      </c>
      <c r="BT1757" s="1"/>
      <c r="BU1757" s="1" t="str">
        <f>HYPERLINK("https://nconnect.nicmar.ac.in/storage/profile/ProfilePhoto_p2270353_824719.jpg","Download")</f>
        <v>0</v>
      </c>
      <c r="BV1757" s="3"/>
      <c r="BW1757" s="3"/>
    </row>
    <row r="1758" spans="1:75">
      <c r="A1758" s="1" t="s">
        <v>75</v>
      </c>
      <c r="B1758" s="1" t="s">
        <v>25236</v>
      </c>
      <c r="C1758" s="1" t="s">
        <v>31007</v>
      </c>
      <c r="D1758" s="1" t="s">
        <v>31008</v>
      </c>
      <c r="E1758" s="1"/>
      <c r="F1758" s="1" t="s">
        <v>9165</v>
      </c>
      <c r="G1758" s="1" t="s">
        <v>31009</v>
      </c>
      <c r="H1758" s="1" t="s">
        <v>31010</v>
      </c>
      <c r="I1758" s="1" t="s">
        <v>31011</v>
      </c>
      <c r="J1758" s="1">
        <v>8073633052</v>
      </c>
      <c r="K1758" s="1" t="s">
        <v>153</v>
      </c>
      <c r="L1758" s="1" t="s">
        <v>31012</v>
      </c>
      <c r="M1758" s="1" t="s">
        <v>86</v>
      </c>
      <c r="N1758" s="1" t="s">
        <v>4278</v>
      </c>
      <c r="O1758" s="1" t="s">
        <v>31013</v>
      </c>
      <c r="P1758" s="1" t="s">
        <v>455</v>
      </c>
      <c r="Q1758" s="1" t="s">
        <v>31014</v>
      </c>
      <c r="R1758" s="1" t="s">
        <v>31015</v>
      </c>
      <c r="S1758" s="1">
        <v>7091686135</v>
      </c>
      <c r="T1758" s="1" t="s">
        <v>31016</v>
      </c>
      <c r="U1758" s="1" t="s">
        <v>31017</v>
      </c>
      <c r="V1758" s="1">
        <v>7091686135</v>
      </c>
      <c r="W1758" s="1" t="s">
        <v>278</v>
      </c>
      <c r="X1758" s="1" t="s">
        <v>31018</v>
      </c>
      <c r="Y1758" s="1" t="s">
        <v>3132</v>
      </c>
      <c r="Z1758" s="1" t="s">
        <v>1210</v>
      </c>
      <c r="AA1758" s="1" t="s">
        <v>31018</v>
      </c>
      <c r="AB1758" s="1" t="s">
        <v>3132</v>
      </c>
      <c r="AC1758" s="1" t="s">
        <v>1210</v>
      </c>
      <c r="AD1758" s="1" t="s">
        <v>98</v>
      </c>
      <c r="AE1758" s="1" t="s">
        <v>98</v>
      </c>
      <c r="AF1758" s="1" t="s">
        <v>31019</v>
      </c>
      <c r="AG1758" s="1" t="s">
        <v>25554</v>
      </c>
      <c r="AH1758" s="1" t="s">
        <v>3923</v>
      </c>
      <c r="AI1758" s="1" t="s">
        <v>3770</v>
      </c>
      <c r="AJ1758" s="1">
        <v>85.5</v>
      </c>
      <c r="AK1758" s="1">
        <v>9</v>
      </c>
      <c r="AL1758" s="1" t="s">
        <v>31020</v>
      </c>
      <c r="AM1758" s="1" t="s">
        <v>25554</v>
      </c>
      <c r="AN1758" s="1"/>
      <c r="AO1758" s="1" t="s">
        <v>3770</v>
      </c>
      <c r="AP1758" s="1" t="s">
        <v>10237</v>
      </c>
      <c r="AQ1758" s="1">
        <v>69</v>
      </c>
      <c r="AR1758" s="1"/>
      <c r="AS1758" s="1"/>
      <c r="AT1758" s="1"/>
      <c r="AU1758" s="1"/>
      <c r="AV1758" s="1"/>
      <c r="AW1758" s="1"/>
      <c r="AX1758" s="1"/>
      <c r="AY1758" s="1" t="s">
        <v>5106</v>
      </c>
      <c r="AZ1758" s="1" t="s">
        <v>5107</v>
      </c>
      <c r="BA1758" s="1"/>
      <c r="BB1758" s="1"/>
      <c r="BC1758" s="1" t="s">
        <v>105</v>
      </c>
      <c r="BD1758" s="1" t="s">
        <v>468</v>
      </c>
      <c r="BE1758" s="1">
        <v>86.8</v>
      </c>
      <c r="BF1758" s="1">
        <v>8.68</v>
      </c>
      <c r="BG1758" s="1"/>
      <c r="BH1758" s="1"/>
      <c r="BI1758" s="1"/>
      <c r="BJ1758" s="1"/>
      <c r="BK1758" s="1"/>
      <c r="BL1758" s="1"/>
      <c r="BM1758" s="1"/>
      <c r="BN1758" s="1"/>
      <c r="BO1758" s="1" t="s">
        <v>31021</v>
      </c>
      <c r="BP1758" s="1" t="s">
        <v>31022</v>
      </c>
      <c r="BQ1758" s="1" t="s">
        <v>6365</v>
      </c>
      <c r="BR1758" s="1" t="s">
        <v>31023</v>
      </c>
      <c r="BS1758" s="1">
        <v>33</v>
      </c>
      <c r="BT1758" s="1"/>
      <c r="BU1758" s="1" t="str">
        <f>HYPERLINK("https://nconnect.nicmar.ac.in/storage/profile/ProfilePhoto_p2270354_491275.jpg","Download")</f>
        <v>0</v>
      </c>
      <c r="BV1758" s="3"/>
      <c r="BW1758" s="3"/>
    </row>
    <row r="1759" spans="1:75">
      <c r="A1759" s="1" t="s">
        <v>75</v>
      </c>
      <c r="B1759" s="1" t="s">
        <v>25236</v>
      </c>
      <c r="C1759" s="1" t="s">
        <v>31024</v>
      </c>
      <c r="D1759" s="1" t="s">
        <v>31025</v>
      </c>
      <c r="E1759" s="1" t="s">
        <v>31026</v>
      </c>
      <c r="F1759" s="1" t="s">
        <v>6636</v>
      </c>
      <c r="G1759" s="1" t="s">
        <v>31027</v>
      </c>
      <c r="H1759" s="1" t="s">
        <v>31028</v>
      </c>
      <c r="I1759" s="1" t="s">
        <v>31029</v>
      </c>
      <c r="J1759" s="1">
        <v>9099000055</v>
      </c>
      <c r="K1759" s="1" t="s">
        <v>84</v>
      </c>
      <c r="L1759" s="1" t="s">
        <v>31030</v>
      </c>
      <c r="M1759" s="1" t="s">
        <v>86</v>
      </c>
      <c r="N1759" s="1" t="s">
        <v>31031</v>
      </c>
      <c r="O1759" s="1" t="s">
        <v>31032</v>
      </c>
      <c r="P1759" s="1" t="s">
        <v>481</v>
      </c>
      <c r="Q1759" s="1" t="s">
        <v>31033</v>
      </c>
      <c r="R1759" s="1" t="s">
        <v>31034</v>
      </c>
      <c r="S1759" s="1">
        <v>9824241414</v>
      </c>
      <c r="T1759" s="1" t="s">
        <v>839</v>
      </c>
      <c r="U1759" s="1" t="s">
        <v>31035</v>
      </c>
      <c r="V1759" s="1">
        <v>9624166666</v>
      </c>
      <c r="W1759" s="1" t="s">
        <v>161</v>
      </c>
      <c r="X1759" s="1" t="s">
        <v>31036</v>
      </c>
      <c r="Y1759" s="1" t="s">
        <v>10190</v>
      </c>
      <c r="Z1759" s="1" t="s">
        <v>676</v>
      </c>
      <c r="AA1759" s="1" t="s">
        <v>31036</v>
      </c>
      <c r="AB1759" s="1" t="s">
        <v>10190</v>
      </c>
      <c r="AC1759" s="1" t="s">
        <v>676</v>
      </c>
      <c r="AD1759" s="1" t="s">
        <v>98</v>
      </c>
      <c r="AE1759" s="1" t="s">
        <v>98</v>
      </c>
      <c r="AF1759" s="1" t="s">
        <v>31037</v>
      </c>
      <c r="AG1759" s="1" t="s">
        <v>31038</v>
      </c>
      <c r="AH1759" s="1" t="s">
        <v>166</v>
      </c>
      <c r="AI1759" s="1" t="s">
        <v>627</v>
      </c>
      <c r="AJ1759" s="1">
        <v>84.33</v>
      </c>
      <c r="AK1759" s="1">
        <v>0</v>
      </c>
      <c r="AL1759" s="1" t="s">
        <v>31037</v>
      </c>
      <c r="AM1759" s="1" t="s">
        <v>31038</v>
      </c>
      <c r="AN1759" s="1"/>
      <c r="AO1759" s="1" t="s">
        <v>170</v>
      </c>
      <c r="AP1759" s="1" t="s">
        <v>171</v>
      </c>
      <c r="AQ1759" s="1">
        <v>52.3</v>
      </c>
      <c r="AR1759" s="1">
        <v>0</v>
      </c>
      <c r="AS1759" s="1"/>
      <c r="AT1759" s="1"/>
      <c r="AU1759" s="1"/>
      <c r="AV1759" s="1"/>
      <c r="AW1759" s="1"/>
      <c r="AX1759" s="1"/>
      <c r="AY1759" s="1" t="s">
        <v>31039</v>
      </c>
      <c r="AZ1759" s="1" t="s">
        <v>31040</v>
      </c>
      <c r="BA1759" s="1"/>
      <c r="BB1759" s="1"/>
      <c r="BC1759" s="1" t="s">
        <v>106</v>
      </c>
      <c r="BD1759" s="1" t="s">
        <v>632</v>
      </c>
      <c r="BE1759" s="1">
        <v>78.5</v>
      </c>
      <c r="BF1759" s="1">
        <v>8.35</v>
      </c>
      <c r="BG1759" s="1"/>
      <c r="BH1759" s="1"/>
      <c r="BI1759" s="1"/>
      <c r="BJ1759" s="1"/>
      <c r="BK1759" s="1"/>
      <c r="BL1759" s="1"/>
      <c r="BM1759" s="1"/>
      <c r="BN1759" s="1"/>
      <c r="BO1759" s="1" t="s">
        <v>31041</v>
      </c>
      <c r="BP1759" s="1"/>
      <c r="BQ1759" s="1"/>
      <c r="BR1759" s="1" t="s">
        <v>31042</v>
      </c>
      <c r="BS1759" s="1">
        <v>20</v>
      </c>
      <c r="BT1759" s="1"/>
      <c r="BU1759" s="1" t="str">
        <f>HYPERLINK("https://nconnect.nicmar.ac.in/storage/profile/ProfilePhoto_p2270355_158623.jpg","Download")</f>
        <v>0</v>
      </c>
      <c r="BV1759" s="3"/>
      <c r="BW1759" s="3"/>
    </row>
    <row r="1760" spans="1:75">
      <c r="A1760" s="1" t="s">
        <v>75</v>
      </c>
      <c r="B1760" s="1" t="s">
        <v>25236</v>
      </c>
      <c r="C1760" s="1" t="s">
        <v>31043</v>
      </c>
      <c r="D1760" s="1" t="s">
        <v>960</v>
      </c>
      <c r="E1760" s="1"/>
      <c r="F1760" s="1" t="s">
        <v>31044</v>
      </c>
      <c r="G1760" s="1" t="s">
        <v>31045</v>
      </c>
      <c r="H1760" s="1" t="s">
        <v>31046</v>
      </c>
      <c r="I1760" s="1" t="s">
        <v>31047</v>
      </c>
      <c r="J1760" s="1">
        <v>8859107347</v>
      </c>
      <c r="K1760" s="1" t="s">
        <v>84</v>
      </c>
      <c r="L1760" s="1" t="s">
        <v>31048</v>
      </c>
      <c r="M1760" s="1" t="s">
        <v>86</v>
      </c>
      <c r="N1760" s="1" t="s">
        <v>355</v>
      </c>
      <c r="O1760" s="1" t="s">
        <v>31049</v>
      </c>
      <c r="P1760" s="1" t="s">
        <v>455</v>
      </c>
      <c r="Q1760" s="1" t="s">
        <v>31050</v>
      </c>
      <c r="R1760" s="1" t="s">
        <v>31051</v>
      </c>
      <c r="S1760" s="1">
        <v>9412669721</v>
      </c>
      <c r="T1760" s="1" t="s">
        <v>92</v>
      </c>
      <c r="U1760" s="1" t="s">
        <v>31052</v>
      </c>
      <c r="V1760" s="1">
        <v>8534883802</v>
      </c>
      <c r="W1760" s="1" t="s">
        <v>278</v>
      </c>
      <c r="X1760" s="1" t="s">
        <v>31053</v>
      </c>
      <c r="Y1760" s="1" t="s">
        <v>6231</v>
      </c>
      <c r="Z1760" s="1" t="s">
        <v>544</v>
      </c>
      <c r="AA1760" s="1" t="s">
        <v>31053</v>
      </c>
      <c r="AB1760" s="1" t="s">
        <v>6231</v>
      </c>
      <c r="AC1760" s="1" t="s">
        <v>544</v>
      </c>
      <c r="AD1760" s="1" t="s">
        <v>98</v>
      </c>
      <c r="AE1760" s="1" t="s">
        <v>98</v>
      </c>
      <c r="AF1760" s="1" t="s">
        <v>31054</v>
      </c>
      <c r="AG1760" s="1" t="s">
        <v>31055</v>
      </c>
      <c r="AH1760" s="1" t="s">
        <v>3421</v>
      </c>
      <c r="AI1760" s="1" t="s">
        <v>1262</v>
      </c>
      <c r="AJ1760" s="1">
        <v>68.4</v>
      </c>
      <c r="AK1760" s="1">
        <v>7.2</v>
      </c>
      <c r="AL1760" s="1" t="s">
        <v>31054</v>
      </c>
      <c r="AM1760" s="1" t="s">
        <v>31055</v>
      </c>
      <c r="AN1760" s="1"/>
      <c r="AO1760" s="1" t="s">
        <v>1110</v>
      </c>
      <c r="AP1760" s="1" t="s">
        <v>627</v>
      </c>
      <c r="AQ1760" s="1">
        <v>53</v>
      </c>
      <c r="AR1760" s="1"/>
      <c r="AS1760" s="1"/>
      <c r="AT1760" s="1"/>
      <c r="AU1760" s="1"/>
      <c r="AV1760" s="1"/>
      <c r="AW1760" s="1"/>
      <c r="AX1760" s="1"/>
      <c r="AY1760" s="1" t="s">
        <v>654</v>
      </c>
      <c r="AZ1760" s="1" t="s">
        <v>31056</v>
      </c>
      <c r="BA1760" s="1"/>
      <c r="BB1760" s="1"/>
      <c r="BC1760" s="1" t="s">
        <v>139</v>
      </c>
      <c r="BD1760" s="1" t="s">
        <v>1647</v>
      </c>
      <c r="BE1760" s="1">
        <v>64.2</v>
      </c>
      <c r="BF1760" s="1">
        <v>6.42</v>
      </c>
      <c r="BG1760" s="1"/>
      <c r="BH1760" s="1"/>
      <c r="BI1760" s="1"/>
      <c r="BJ1760" s="1"/>
      <c r="BK1760" s="1"/>
      <c r="BL1760" s="1"/>
      <c r="BM1760" s="1"/>
      <c r="BN1760" s="1"/>
      <c r="BO1760" s="1" t="s">
        <v>27183</v>
      </c>
      <c r="BP1760" s="1" t="s">
        <v>31057</v>
      </c>
      <c r="BQ1760" s="1" t="s">
        <v>1357</v>
      </c>
      <c r="BR1760" s="1" t="s">
        <v>31058</v>
      </c>
      <c r="BS1760" s="1">
        <v>13</v>
      </c>
      <c r="BT1760" s="1"/>
      <c r="BU1760" s="1" t="str">
        <f>HYPERLINK("https://nconnect.nicmar.ac.in/storage/profile/ProfilePhoto_p2270356_389621.jpg","Download")</f>
        <v>0</v>
      </c>
      <c r="BV1760" s="3"/>
      <c r="BW1760" s="3"/>
    </row>
    <row r="1761" spans="1:75">
      <c r="A1761" s="1" t="s">
        <v>75</v>
      </c>
      <c r="B1761" s="1" t="s">
        <v>25236</v>
      </c>
      <c r="C1761" s="1" t="s">
        <v>31059</v>
      </c>
      <c r="D1761" s="1" t="s">
        <v>31060</v>
      </c>
      <c r="E1761" s="1"/>
      <c r="F1761" s="1" t="s">
        <v>31061</v>
      </c>
      <c r="G1761" s="1" t="s">
        <v>31062</v>
      </c>
      <c r="H1761" s="1" t="s">
        <v>31063</v>
      </c>
      <c r="I1761" s="1" t="s">
        <v>31064</v>
      </c>
      <c r="J1761" s="1">
        <v>9948843211</v>
      </c>
      <c r="K1761" s="1" t="s">
        <v>84</v>
      </c>
      <c r="L1761" s="1" t="s">
        <v>31065</v>
      </c>
      <c r="M1761" s="1" t="s">
        <v>86</v>
      </c>
      <c r="N1761" s="1" t="s">
        <v>3083</v>
      </c>
      <c r="O1761" s="1" t="s">
        <v>31066</v>
      </c>
      <c r="P1761" s="1" t="s">
        <v>455</v>
      </c>
      <c r="Q1761" s="1" t="s">
        <v>31067</v>
      </c>
      <c r="R1761" s="1" t="s">
        <v>31068</v>
      </c>
      <c r="S1761" s="1">
        <v>8888815828</v>
      </c>
      <c r="T1761" s="1" t="s">
        <v>31069</v>
      </c>
      <c r="U1761" s="1" t="s">
        <v>31070</v>
      </c>
      <c r="V1761" s="1">
        <v>9490256153</v>
      </c>
      <c r="W1761" s="1" t="s">
        <v>278</v>
      </c>
      <c r="X1761" s="1" t="s">
        <v>31071</v>
      </c>
      <c r="Y1761" s="1"/>
      <c r="Z1761" s="1" t="s">
        <v>281</v>
      </c>
      <c r="AA1761" s="1" t="s">
        <v>31071</v>
      </c>
      <c r="AB1761" s="1"/>
      <c r="AC1761" s="1" t="s">
        <v>281</v>
      </c>
      <c r="AD1761" s="1" t="s">
        <v>98</v>
      </c>
      <c r="AE1761" s="1" t="s">
        <v>98</v>
      </c>
      <c r="AF1761" s="1" t="s">
        <v>31072</v>
      </c>
      <c r="AG1761" s="1" t="s">
        <v>1418</v>
      </c>
      <c r="AH1761" s="1" t="s">
        <v>1213</v>
      </c>
      <c r="AI1761" s="1" t="s">
        <v>1262</v>
      </c>
      <c r="AJ1761" s="1">
        <v>87.4</v>
      </c>
      <c r="AK1761" s="1">
        <v>9.2</v>
      </c>
      <c r="AL1761" s="1"/>
      <c r="AM1761" s="1"/>
      <c r="AN1761" s="1"/>
      <c r="AO1761" s="1"/>
      <c r="AP1761" s="1"/>
      <c r="AQ1761" s="1"/>
      <c r="AR1761" s="1"/>
      <c r="AS1761" s="1" t="s">
        <v>439</v>
      </c>
      <c r="AT1761" s="1" t="s">
        <v>31073</v>
      </c>
      <c r="AU1761" s="1" t="s">
        <v>135</v>
      </c>
      <c r="AV1761" s="1" t="s">
        <v>704</v>
      </c>
      <c r="AW1761" s="1">
        <v>74.2</v>
      </c>
      <c r="AX1761" s="1">
        <v>0</v>
      </c>
      <c r="AY1761" s="1" t="s">
        <v>2654</v>
      </c>
      <c r="AZ1761" s="1" t="s">
        <v>31074</v>
      </c>
      <c r="BA1761" s="1"/>
      <c r="BB1761" s="1"/>
      <c r="BC1761" s="1" t="s">
        <v>170</v>
      </c>
      <c r="BD1761" s="1" t="s">
        <v>890</v>
      </c>
      <c r="BE1761" s="1">
        <v>70.2</v>
      </c>
      <c r="BF1761" s="1">
        <v>7.37</v>
      </c>
      <c r="BG1761" s="1"/>
      <c r="BH1761" s="1"/>
      <c r="BI1761" s="1"/>
      <c r="BJ1761" s="1"/>
      <c r="BK1761" s="1"/>
      <c r="BL1761" s="1"/>
      <c r="BM1761" s="1"/>
      <c r="BN1761" s="1"/>
      <c r="BO1761" s="1" t="s">
        <v>2267</v>
      </c>
      <c r="BP1761" s="1" t="s">
        <v>31075</v>
      </c>
      <c r="BQ1761" s="1" t="s">
        <v>1070</v>
      </c>
      <c r="BR1761" s="1" t="s">
        <v>31076</v>
      </c>
      <c r="BS1761" s="1">
        <v>7</v>
      </c>
      <c r="BT1761" s="1"/>
      <c r="BU1761" s="1" t="str">
        <f>HYPERLINK("https://nconnect.nicmar.ac.in/storage/profile/ProfilePhoto_p2270357_965481.jpg","Download")</f>
        <v>0</v>
      </c>
      <c r="BV1761" s="3"/>
      <c r="BW1761" s="3"/>
    </row>
    <row r="1762" spans="1:75">
      <c r="A1762" s="1" t="s">
        <v>75</v>
      </c>
      <c r="B1762" s="1" t="s">
        <v>25236</v>
      </c>
      <c r="C1762" s="1" t="s">
        <v>31077</v>
      </c>
      <c r="D1762" s="1" t="s">
        <v>31078</v>
      </c>
      <c r="E1762" s="1" t="s">
        <v>13892</v>
      </c>
      <c r="F1762" s="1" t="s">
        <v>31079</v>
      </c>
      <c r="G1762" s="1" t="s">
        <v>31080</v>
      </c>
      <c r="H1762" s="1" t="s">
        <v>31081</v>
      </c>
      <c r="I1762" s="1" t="s">
        <v>31082</v>
      </c>
      <c r="J1762" s="1">
        <v>8855008353</v>
      </c>
      <c r="K1762" s="1" t="s">
        <v>84</v>
      </c>
      <c r="L1762" s="1" t="s">
        <v>31083</v>
      </c>
      <c r="M1762" s="1" t="s">
        <v>86</v>
      </c>
      <c r="N1762" s="1" t="s">
        <v>903</v>
      </c>
      <c r="O1762" s="1" t="s">
        <v>31084</v>
      </c>
      <c r="P1762" s="1" t="s">
        <v>455</v>
      </c>
      <c r="Q1762" s="1" t="s">
        <v>31085</v>
      </c>
      <c r="R1762" s="1" t="s">
        <v>31086</v>
      </c>
      <c r="S1762" s="1">
        <v>9028640756</v>
      </c>
      <c r="T1762" s="1" t="s">
        <v>839</v>
      </c>
      <c r="U1762" s="1" t="s">
        <v>3340</v>
      </c>
      <c r="V1762" s="1">
        <v>8421596406</v>
      </c>
      <c r="W1762" s="1" t="s">
        <v>161</v>
      </c>
      <c r="X1762" s="1" t="s">
        <v>31087</v>
      </c>
      <c r="Y1762" s="1" t="s">
        <v>1012</v>
      </c>
      <c r="Z1762" s="1" t="s">
        <v>97</v>
      </c>
      <c r="AA1762" s="1" t="s">
        <v>31087</v>
      </c>
      <c r="AB1762" s="1" t="s">
        <v>1012</v>
      </c>
      <c r="AC1762" s="1" t="s">
        <v>97</v>
      </c>
      <c r="AD1762" s="1" t="s">
        <v>98</v>
      </c>
      <c r="AE1762" s="1" t="s">
        <v>98</v>
      </c>
      <c r="AF1762" s="1" t="s">
        <v>31088</v>
      </c>
      <c r="AG1762" s="1" t="s">
        <v>996</v>
      </c>
      <c r="AH1762" s="1" t="s">
        <v>3285</v>
      </c>
      <c r="AI1762" s="1" t="s">
        <v>133</v>
      </c>
      <c r="AJ1762" s="1">
        <v>65.45</v>
      </c>
      <c r="AK1762" s="1"/>
      <c r="AL1762" s="1" t="s">
        <v>31089</v>
      </c>
      <c r="AM1762" s="1" t="s">
        <v>996</v>
      </c>
      <c r="AN1762" s="1"/>
      <c r="AO1762" s="1" t="s">
        <v>25321</v>
      </c>
      <c r="AP1762" s="1" t="s">
        <v>101</v>
      </c>
      <c r="AQ1762" s="1">
        <v>72.62</v>
      </c>
      <c r="AR1762" s="1"/>
      <c r="AS1762" s="1"/>
      <c r="AT1762" s="1"/>
      <c r="AU1762" s="1"/>
      <c r="AV1762" s="1"/>
      <c r="AW1762" s="1"/>
      <c r="AX1762" s="1"/>
      <c r="AY1762" s="1" t="s">
        <v>680</v>
      </c>
      <c r="AZ1762" s="1" t="s">
        <v>26614</v>
      </c>
      <c r="BA1762" s="1"/>
      <c r="BB1762" s="1"/>
      <c r="BC1762" s="1" t="s">
        <v>257</v>
      </c>
      <c r="BD1762" s="1" t="s">
        <v>171</v>
      </c>
      <c r="BE1762" s="1">
        <v>62.5</v>
      </c>
      <c r="BF1762" s="1">
        <v>6.25</v>
      </c>
      <c r="BG1762" s="1"/>
      <c r="BH1762" s="1"/>
      <c r="BI1762" s="1"/>
      <c r="BJ1762" s="1"/>
      <c r="BK1762" s="1"/>
      <c r="BL1762" s="1"/>
      <c r="BM1762" s="1"/>
      <c r="BN1762" s="1"/>
      <c r="BO1762" s="1" t="s">
        <v>31090</v>
      </c>
      <c r="BP1762" s="1" t="s">
        <v>31091</v>
      </c>
      <c r="BQ1762" s="1" t="s">
        <v>6365</v>
      </c>
      <c r="BR1762" s="1" t="s">
        <v>31092</v>
      </c>
      <c r="BS1762" s="1">
        <v>7</v>
      </c>
      <c r="BT1762" s="1"/>
      <c r="BU1762" s="1" t="str">
        <f>HYPERLINK("https://nconnect.nicmar.ac.in/storage/profile/ProfilePhoto_p2270358_469321.jpg","Download")</f>
        <v>0</v>
      </c>
      <c r="BV1762" s="3"/>
      <c r="BW1762" s="3"/>
    </row>
    <row r="1763" spans="1:75">
      <c r="A1763" s="1" t="s">
        <v>75</v>
      </c>
      <c r="B1763" s="1" t="s">
        <v>25236</v>
      </c>
      <c r="C1763" s="1" t="s">
        <v>31093</v>
      </c>
      <c r="D1763" s="1" t="s">
        <v>26471</v>
      </c>
      <c r="E1763" s="1" t="s">
        <v>31094</v>
      </c>
      <c r="F1763" s="1" t="s">
        <v>31095</v>
      </c>
      <c r="G1763" s="1" t="s">
        <v>31096</v>
      </c>
      <c r="H1763" s="1" t="s">
        <v>31097</v>
      </c>
      <c r="I1763" s="1" t="s">
        <v>31098</v>
      </c>
      <c r="J1763" s="1">
        <v>7507137695</v>
      </c>
      <c r="K1763" s="1" t="s">
        <v>153</v>
      </c>
      <c r="L1763" s="1" t="s">
        <v>21722</v>
      </c>
      <c r="M1763" s="1" t="s">
        <v>86</v>
      </c>
      <c r="N1763" s="1" t="s">
        <v>31099</v>
      </c>
      <c r="O1763" s="1"/>
      <c r="P1763" s="1" t="s">
        <v>2062</v>
      </c>
      <c r="Q1763" s="1" t="s">
        <v>31100</v>
      </c>
      <c r="R1763" s="1" t="s">
        <v>31094</v>
      </c>
      <c r="S1763" s="1">
        <v>7387474635</v>
      </c>
      <c r="T1763" s="1" t="s">
        <v>31101</v>
      </c>
      <c r="U1763" s="1" t="s">
        <v>2281</v>
      </c>
      <c r="V1763" s="1">
        <v>8390185822</v>
      </c>
      <c r="W1763" s="1" t="s">
        <v>161</v>
      </c>
      <c r="X1763" s="1" t="s">
        <v>31102</v>
      </c>
      <c r="Y1763" s="1" t="s">
        <v>5030</v>
      </c>
      <c r="Z1763" s="1" t="s">
        <v>97</v>
      </c>
      <c r="AA1763" s="1" t="s">
        <v>31103</v>
      </c>
      <c r="AB1763" s="1" t="s">
        <v>196</v>
      </c>
      <c r="AC1763" s="1" t="s">
        <v>97</v>
      </c>
      <c r="AD1763" s="1" t="s">
        <v>98</v>
      </c>
      <c r="AE1763" s="1" t="s">
        <v>98</v>
      </c>
      <c r="AF1763" s="1" t="s">
        <v>31104</v>
      </c>
      <c r="AG1763" s="1" t="s">
        <v>31105</v>
      </c>
      <c r="AH1763" s="1" t="s">
        <v>166</v>
      </c>
      <c r="AI1763" s="1" t="s">
        <v>1111</v>
      </c>
      <c r="AJ1763" s="1">
        <v>77</v>
      </c>
      <c r="AK1763" s="1">
        <v>7.7</v>
      </c>
      <c r="AL1763" s="1" t="s">
        <v>31106</v>
      </c>
      <c r="AM1763" s="1" t="s">
        <v>31105</v>
      </c>
      <c r="AN1763" s="1"/>
      <c r="AO1763" s="1" t="s">
        <v>170</v>
      </c>
      <c r="AP1763" s="1" t="s">
        <v>1065</v>
      </c>
      <c r="AQ1763" s="1">
        <v>81.5</v>
      </c>
      <c r="AR1763" s="1">
        <v>8.2</v>
      </c>
      <c r="AS1763" s="1"/>
      <c r="AT1763" s="1"/>
      <c r="AU1763" s="1"/>
      <c r="AV1763" s="1"/>
      <c r="AW1763" s="1"/>
      <c r="AX1763" s="1"/>
      <c r="AY1763" s="1" t="s">
        <v>13709</v>
      </c>
      <c r="AZ1763" s="1" t="s">
        <v>31107</v>
      </c>
      <c r="BA1763" s="1"/>
      <c r="BB1763" s="1"/>
      <c r="BC1763" s="1" t="s">
        <v>174</v>
      </c>
      <c r="BD1763" s="1" t="s">
        <v>632</v>
      </c>
      <c r="BE1763" s="1">
        <v>80.3</v>
      </c>
      <c r="BF1763" s="1">
        <v>8.03</v>
      </c>
      <c r="BG1763" s="1"/>
      <c r="BH1763" s="1"/>
      <c r="BI1763" s="1"/>
      <c r="BJ1763" s="1"/>
      <c r="BK1763" s="1"/>
      <c r="BL1763" s="1"/>
      <c r="BM1763" s="1"/>
      <c r="BN1763" s="1"/>
      <c r="BO1763" s="1" t="s">
        <v>31108</v>
      </c>
      <c r="BP1763" s="1"/>
      <c r="BQ1763" s="1"/>
      <c r="BR1763" s="1" t="s">
        <v>31109</v>
      </c>
      <c r="BS1763" s="1">
        <v>33</v>
      </c>
      <c r="BT1763" s="1"/>
      <c r="BU1763" s="1" t="str">
        <f>HYPERLINK("https://nconnect.nicmar.ac.in/storage/profile/ProfilePhoto_p2270359_369148.jpg","Download")</f>
        <v>0</v>
      </c>
      <c r="BV1763" s="3"/>
      <c r="BW1763" s="3"/>
    </row>
    <row r="1764" spans="1:75">
      <c r="A1764" s="1" t="s">
        <v>75</v>
      </c>
      <c r="B1764" s="1" t="s">
        <v>25236</v>
      </c>
      <c r="C1764" s="1" t="s">
        <v>31110</v>
      </c>
      <c r="D1764" s="1" t="s">
        <v>31111</v>
      </c>
      <c r="E1764" s="1"/>
      <c r="F1764" s="1" t="s">
        <v>31112</v>
      </c>
      <c r="G1764" s="1" t="s">
        <v>31113</v>
      </c>
      <c r="H1764" s="1" t="s">
        <v>31114</v>
      </c>
      <c r="I1764" s="1" t="s">
        <v>31115</v>
      </c>
      <c r="J1764" s="1">
        <v>7032551517</v>
      </c>
      <c r="K1764" s="1" t="s">
        <v>84</v>
      </c>
      <c r="L1764" s="1" t="s">
        <v>31116</v>
      </c>
      <c r="M1764" s="1" t="s">
        <v>86</v>
      </c>
      <c r="N1764" s="1" t="s">
        <v>3026</v>
      </c>
      <c r="O1764" s="1"/>
      <c r="P1764" s="1" t="s">
        <v>481</v>
      </c>
      <c r="Q1764" s="1" t="s">
        <v>31117</v>
      </c>
      <c r="R1764" s="1" t="s">
        <v>31118</v>
      </c>
      <c r="S1764" s="1">
        <v>9441149099</v>
      </c>
      <c r="T1764" s="1" t="s">
        <v>839</v>
      </c>
      <c r="U1764" s="1" t="s">
        <v>31119</v>
      </c>
      <c r="V1764" s="1">
        <v>8712941974</v>
      </c>
      <c r="W1764" s="1" t="s">
        <v>541</v>
      </c>
      <c r="X1764" s="1" t="s">
        <v>31120</v>
      </c>
      <c r="Y1764" s="1" t="s">
        <v>3031</v>
      </c>
      <c r="Z1764" s="1" t="s">
        <v>461</v>
      </c>
      <c r="AA1764" s="1" t="s">
        <v>31120</v>
      </c>
      <c r="AB1764" s="1" t="s">
        <v>3031</v>
      </c>
      <c r="AC1764" s="1" t="s">
        <v>461</v>
      </c>
      <c r="AD1764" s="1" t="s">
        <v>98</v>
      </c>
      <c r="AE1764" s="1" t="s">
        <v>98</v>
      </c>
      <c r="AF1764" s="1" t="s">
        <v>26239</v>
      </c>
      <c r="AG1764" s="1" t="s">
        <v>1418</v>
      </c>
      <c r="AH1764" s="1" t="s">
        <v>133</v>
      </c>
      <c r="AI1764" s="1" t="s">
        <v>1457</v>
      </c>
      <c r="AJ1764" s="1">
        <v>98</v>
      </c>
      <c r="AK1764" s="1">
        <v>9.8</v>
      </c>
      <c r="AL1764" s="1" t="s">
        <v>31121</v>
      </c>
      <c r="AM1764" s="1" t="s">
        <v>1418</v>
      </c>
      <c r="AN1764" s="1"/>
      <c r="AO1764" s="1" t="s">
        <v>1213</v>
      </c>
      <c r="AP1764" s="1" t="s">
        <v>136</v>
      </c>
      <c r="AQ1764" s="1">
        <v>78.4</v>
      </c>
      <c r="AR1764" s="1"/>
      <c r="AS1764" s="1"/>
      <c r="AT1764" s="1"/>
      <c r="AU1764" s="1"/>
      <c r="AV1764" s="1"/>
      <c r="AW1764" s="1"/>
      <c r="AX1764" s="1"/>
      <c r="AY1764" s="1" t="s">
        <v>31122</v>
      </c>
      <c r="AZ1764" s="1" t="s">
        <v>31123</v>
      </c>
      <c r="BA1764" s="1"/>
      <c r="BB1764" s="1"/>
      <c r="BC1764" s="1" t="s">
        <v>139</v>
      </c>
      <c r="BD1764" s="1" t="s">
        <v>845</v>
      </c>
      <c r="BE1764" s="1">
        <v>55.6</v>
      </c>
      <c r="BF1764" s="1">
        <v>6.06</v>
      </c>
      <c r="BG1764" s="1"/>
      <c r="BH1764" s="1"/>
      <c r="BI1764" s="1"/>
      <c r="BJ1764" s="1"/>
      <c r="BK1764" s="1"/>
      <c r="BL1764" s="1"/>
      <c r="BM1764" s="1"/>
      <c r="BN1764" s="1"/>
      <c r="BO1764" s="1" t="s">
        <v>30955</v>
      </c>
      <c r="BP1764" s="1"/>
      <c r="BQ1764" s="1"/>
      <c r="BR1764" s="1" t="s">
        <v>31124</v>
      </c>
      <c r="BS1764" s="1">
        <v>72</v>
      </c>
      <c r="BT1764" s="1"/>
      <c r="BU1764" s="1" t="str">
        <f>HYPERLINK("https://nconnect.nicmar.ac.in/storage/profile/ProfilePhoto_p2270360_156429.jpg","Download")</f>
        <v>0</v>
      </c>
      <c r="BV1764" s="3"/>
      <c r="BW1764" s="3"/>
    </row>
    <row r="1765" spans="1:75">
      <c r="A1765" s="1" t="s">
        <v>75</v>
      </c>
      <c r="B1765" s="1" t="s">
        <v>25236</v>
      </c>
      <c r="C1765" s="1" t="s">
        <v>31125</v>
      </c>
      <c r="D1765" s="1" t="s">
        <v>31126</v>
      </c>
      <c r="E1765" s="1" t="s">
        <v>8342</v>
      </c>
      <c r="F1765" s="1" t="s">
        <v>4037</v>
      </c>
      <c r="G1765" s="1" t="s">
        <v>31127</v>
      </c>
      <c r="H1765" s="1" t="s">
        <v>31128</v>
      </c>
      <c r="I1765" s="1" t="s">
        <v>31129</v>
      </c>
      <c r="J1765" s="1">
        <v>7093479465</v>
      </c>
      <c r="K1765" s="1" t="s">
        <v>84</v>
      </c>
      <c r="L1765" s="1" t="s">
        <v>31130</v>
      </c>
      <c r="M1765" s="1" t="s">
        <v>86</v>
      </c>
      <c r="N1765" s="1" t="s">
        <v>31131</v>
      </c>
      <c r="O1765" s="1"/>
      <c r="P1765" s="1" t="s">
        <v>455</v>
      </c>
      <c r="Q1765" s="1" t="s">
        <v>31132</v>
      </c>
      <c r="R1765" s="1" t="s">
        <v>31133</v>
      </c>
      <c r="S1765" s="1">
        <v>9949598919</v>
      </c>
      <c r="T1765" s="1" t="s">
        <v>31134</v>
      </c>
      <c r="U1765" s="1" t="s">
        <v>31135</v>
      </c>
      <c r="V1765" s="1">
        <v>7093479256</v>
      </c>
      <c r="W1765" s="1" t="s">
        <v>94</v>
      </c>
      <c r="X1765" s="1" t="s">
        <v>31136</v>
      </c>
      <c r="Y1765" s="1" t="s">
        <v>13200</v>
      </c>
      <c r="Z1765" s="1" t="s">
        <v>281</v>
      </c>
      <c r="AA1765" s="1" t="s">
        <v>31136</v>
      </c>
      <c r="AB1765" s="1" t="s">
        <v>13200</v>
      </c>
      <c r="AC1765" s="1" t="s">
        <v>281</v>
      </c>
      <c r="AD1765" s="1" t="s">
        <v>98</v>
      </c>
      <c r="AE1765" s="1" t="s">
        <v>98</v>
      </c>
      <c r="AF1765" s="1" t="s">
        <v>31137</v>
      </c>
      <c r="AG1765" s="1" t="s">
        <v>31138</v>
      </c>
      <c r="AH1765" s="1" t="s">
        <v>9719</v>
      </c>
      <c r="AI1765" s="1" t="s">
        <v>627</v>
      </c>
      <c r="AJ1765" s="1">
        <v>80.75</v>
      </c>
      <c r="AK1765" s="1">
        <v>8.5</v>
      </c>
      <c r="AL1765" s="1" t="s">
        <v>3033</v>
      </c>
      <c r="AM1765" s="1" t="s">
        <v>31138</v>
      </c>
      <c r="AN1765" s="1"/>
      <c r="AO1765" s="1" t="s">
        <v>573</v>
      </c>
      <c r="AP1765" s="1" t="s">
        <v>171</v>
      </c>
      <c r="AQ1765" s="1">
        <v>89.1</v>
      </c>
      <c r="AR1765" s="1"/>
      <c r="AS1765" s="1"/>
      <c r="AT1765" s="1"/>
      <c r="AU1765" s="1"/>
      <c r="AV1765" s="1"/>
      <c r="AW1765" s="1"/>
      <c r="AX1765" s="1"/>
      <c r="AY1765" s="1" t="s">
        <v>31139</v>
      </c>
      <c r="AZ1765" s="1" t="s">
        <v>31140</v>
      </c>
      <c r="BA1765" s="1"/>
      <c r="BB1765" s="1"/>
      <c r="BC1765" s="1" t="s">
        <v>174</v>
      </c>
      <c r="BD1765" s="1" t="s">
        <v>632</v>
      </c>
      <c r="BE1765" s="1">
        <v>73.3</v>
      </c>
      <c r="BF1765" s="1">
        <v>7.33</v>
      </c>
      <c r="BG1765" s="1"/>
      <c r="BH1765" s="1"/>
      <c r="BI1765" s="1"/>
      <c r="BJ1765" s="1"/>
      <c r="BK1765" s="1"/>
      <c r="BL1765" s="1"/>
      <c r="BM1765" s="1"/>
      <c r="BN1765" s="1"/>
      <c r="BO1765" s="1" t="s">
        <v>369</v>
      </c>
      <c r="BP1765" s="1"/>
      <c r="BQ1765" s="1"/>
      <c r="BR1765" s="1" t="s">
        <v>31141</v>
      </c>
      <c r="BS1765" s="1">
        <v>7</v>
      </c>
      <c r="BT1765" s="1"/>
      <c r="BU1765" s="1" t="str">
        <f>HYPERLINK("https://nconnect.nicmar.ac.in/storage/profile/ProfilePhoto_p2270361_924156.jpg","Download")</f>
        <v>0</v>
      </c>
      <c r="BV1765" s="3"/>
      <c r="BW1765" s="3"/>
    </row>
    <row r="1766" spans="1:75">
      <c r="A1766" s="1" t="s">
        <v>75</v>
      </c>
      <c r="B1766" s="1" t="s">
        <v>25236</v>
      </c>
      <c r="C1766" s="1" t="s">
        <v>31142</v>
      </c>
      <c r="D1766" s="1" t="s">
        <v>31143</v>
      </c>
      <c r="E1766" s="1"/>
      <c r="F1766" s="1" t="s">
        <v>530</v>
      </c>
      <c r="G1766" s="1" t="s">
        <v>31144</v>
      </c>
      <c r="H1766" s="1" t="s">
        <v>31145</v>
      </c>
      <c r="I1766" s="1" t="s">
        <v>31146</v>
      </c>
      <c r="J1766" s="1">
        <v>9580780002</v>
      </c>
      <c r="K1766" s="1" t="s">
        <v>84</v>
      </c>
      <c r="L1766" s="1" t="s">
        <v>31147</v>
      </c>
      <c r="M1766" s="1" t="s">
        <v>86</v>
      </c>
      <c r="N1766" s="1" t="s">
        <v>4278</v>
      </c>
      <c r="O1766" s="1" t="s">
        <v>31148</v>
      </c>
      <c r="P1766" s="1" t="s">
        <v>507</v>
      </c>
      <c r="Q1766" s="1" t="s">
        <v>31149</v>
      </c>
      <c r="R1766" s="1" t="s">
        <v>31150</v>
      </c>
      <c r="S1766" s="1">
        <v>9450616973</v>
      </c>
      <c r="T1766" s="1" t="s">
        <v>27677</v>
      </c>
      <c r="U1766" s="1" t="s">
        <v>31151</v>
      </c>
      <c r="V1766" s="1">
        <v>9450616973</v>
      </c>
      <c r="W1766" s="1" t="s">
        <v>161</v>
      </c>
      <c r="X1766" s="1" t="s">
        <v>31152</v>
      </c>
      <c r="Y1766" s="1" t="s">
        <v>14449</v>
      </c>
      <c r="Z1766" s="1" t="s">
        <v>544</v>
      </c>
      <c r="AA1766" s="1" t="s">
        <v>31153</v>
      </c>
      <c r="AB1766" s="1" t="s">
        <v>1107</v>
      </c>
      <c r="AC1766" s="1" t="s">
        <v>544</v>
      </c>
      <c r="AD1766" s="1" t="s">
        <v>98</v>
      </c>
      <c r="AE1766" s="1" t="s">
        <v>98</v>
      </c>
      <c r="AF1766" s="1" t="s">
        <v>31154</v>
      </c>
      <c r="AG1766" s="1" t="s">
        <v>31155</v>
      </c>
      <c r="AH1766" s="1" t="s">
        <v>23295</v>
      </c>
      <c r="AI1766" s="1" t="s">
        <v>728</v>
      </c>
      <c r="AJ1766" s="1">
        <v>64.6</v>
      </c>
      <c r="AK1766" s="1"/>
      <c r="AL1766" s="1" t="s">
        <v>31154</v>
      </c>
      <c r="AM1766" s="1" t="s">
        <v>31155</v>
      </c>
      <c r="AN1766" s="1"/>
      <c r="AO1766" s="1" t="s">
        <v>31156</v>
      </c>
      <c r="AP1766" s="1" t="s">
        <v>4439</v>
      </c>
      <c r="AQ1766" s="1">
        <v>55.8</v>
      </c>
      <c r="AR1766" s="1"/>
      <c r="AS1766" s="1"/>
      <c r="AT1766" s="1"/>
      <c r="AU1766" s="1"/>
      <c r="AV1766" s="1"/>
      <c r="AW1766" s="1"/>
      <c r="AX1766" s="1"/>
      <c r="AY1766" s="1" t="s">
        <v>31157</v>
      </c>
      <c r="AZ1766" s="1" t="s">
        <v>31158</v>
      </c>
      <c r="BA1766" s="1"/>
      <c r="BB1766" s="1"/>
      <c r="BC1766" s="1" t="s">
        <v>19995</v>
      </c>
      <c r="BD1766" s="1" t="s">
        <v>29187</v>
      </c>
      <c r="BE1766" s="1">
        <v>70.72</v>
      </c>
      <c r="BF1766" s="1"/>
      <c r="BG1766" s="1"/>
      <c r="BH1766" s="1"/>
      <c r="BI1766" s="1"/>
      <c r="BJ1766" s="1"/>
      <c r="BK1766" s="1"/>
      <c r="BL1766" s="1"/>
      <c r="BM1766" s="1"/>
      <c r="BN1766" s="1"/>
      <c r="BO1766" s="1" t="s">
        <v>31159</v>
      </c>
      <c r="BP1766" s="1" t="s">
        <v>31160</v>
      </c>
      <c r="BQ1766" s="1" t="s">
        <v>31161</v>
      </c>
      <c r="BR1766" s="1" t="s">
        <v>31162</v>
      </c>
      <c r="BS1766" s="1">
        <v>10</v>
      </c>
      <c r="BT1766" s="1"/>
      <c r="BU1766" s="1" t="str">
        <f>HYPERLINK("https://nconnect.nicmar.ac.in/storage/profile/ProfilePhoto_p2270362_427186.jpg","Download")</f>
        <v>0</v>
      </c>
      <c r="BV1766" s="3"/>
      <c r="BW1766" s="3"/>
    </row>
    <row r="1767" spans="1:75">
      <c r="A1767" s="1" t="s">
        <v>75</v>
      </c>
      <c r="B1767" s="1" t="s">
        <v>25236</v>
      </c>
      <c r="C1767" s="1" t="s">
        <v>31163</v>
      </c>
      <c r="D1767" s="1" t="s">
        <v>2829</v>
      </c>
      <c r="E1767" s="1" t="s">
        <v>31164</v>
      </c>
      <c r="F1767" s="1" t="s">
        <v>31165</v>
      </c>
      <c r="G1767" s="1" t="s">
        <v>31166</v>
      </c>
      <c r="H1767" s="1" t="s">
        <v>31167</v>
      </c>
      <c r="I1767" s="1" t="s">
        <v>31168</v>
      </c>
      <c r="J1767" s="1">
        <v>7045769475</v>
      </c>
      <c r="K1767" s="1" t="s">
        <v>84</v>
      </c>
      <c r="L1767" s="1" t="s">
        <v>26957</v>
      </c>
      <c r="M1767" s="1" t="s">
        <v>86</v>
      </c>
      <c r="N1767" s="1" t="s">
        <v>618</v>
      </c>
      <c r="O1767" s="1"/>
      <c r="P1767" s="1" t="s">
        <v>507</v>
      </c>
      <c r="Q1767" s="1" t="s">
        <v>31169</v>
      </c>
      <c r="R1767" s="1" t="s">
        <v>31170</v>
      </c>
      <c r="S1767" s="1">
        <v>9920046014</v>
      </c>
      <c r="T1767" s="1" t="s">
        <v>645</v>
      </c>
      <c r="U1767" s="1" t="s">
        <v>31171</v>
      </c>
      <c r="V1767" s="1">
        <v>9819871384</v>
      </c>
      <c r="W1767" s="1" t="s">
        <v>645</v>
      </c>
      <c r="X1767" s="1" t="s">
        <v>31172</v>
      </c>
      <c r="Y1767" s="1" t="s">
        <v>1189</v>
      </c>
      <c r="Z1767" s="1" t="s">
        <v>97</v>
      </c>
      <c r="AA1767" s="1" t="s">
        <v>31172</v>
      </c>
      <c r="AB1767" s="1" t="s">
        <v>1189</v>
      </c>
      <c r="AC1767" s="1" t="s">
        <v>97</v>
      </c>
      <c r="AD1767" s="1" t="s">
        <v>98</v>
      </c>
      <c r="AE1767" s="1" t="s">
        <v>98</v>
      </c>
      <c r="AF1767" s="1" t="s">
        <v>31173</v>
      </c>
      <c r="AG1767" s="1" t="s">
        <v>796</v>
      </c>
      <c r="AH1767" s="1" t="s">
        <v>101</v>
      </c>
      <c r="AI1767" s="1" t="s">
        <v>136</v>
      </c>
      <c r="AJ1767" s="1">
        <v>87.4</v>
      </c>
      <c r="AK1767" s="1">
        <v>9.2</v>
      </c>
      <c r="AL1767" s="1" t="s">
        <v>31173</v>
      </c>
      <c r="AM1767" s="1" t="s">
        <v>796</v>
      </c>
      <c r="AN1767" s="1"/>
      <c r="AO1767" s="1" t="s">
        <v>167</v>
      </c>
      <c r="AP1767" s="1" t="s">
        <v>573</v>
      </c>
      <c r="AQ1767" s="1">
        <v>76.6</v>
      </c>
      <c r="AR1767" s="1"/>
      <c r="AS1767" s="1"/>
      <c r="AT1767" s="1"/>
      <c r="AU1767" s="1"/>
      <c r="AV1767" s="1"/>
      <c r="AW1767" s="1"/>
      <c r="AX1767" s="1"/>
      <c r="AY1767" s="1" t="s">
        <v>680</v>
      </c>
      <c r="AZ1767" s="1" t="s">
        <v>31174</v>
      </c>
      <c r="BA1767" s="1"/>
      <c r="BB1767" s="1"/>
      <c r="BC1767" s="1" t="s">
        <v>388</v>
      </c>
      <c r="BD1767" s="1" t="s">
        <v>845</v>
      </c>
      <c r="BE1767" s="1">
        <v>68.84</v>
      </c>
      <c r="BF1767" s="1">
        <v>7.74</v>
      </c>
      <c r="BG1767" s="1"/>
      <c r="BH1767" s="1"/>
      <c r="BI1767" s="1"/>
      <c r="BJ1767" s="1"/>
      <c r="BK1767" s="1"/>
      <c r="BL1767" s="1"/>
      <c r="BM1767" s="1"/>
      <c r="BN1767" s="1"/>
      <c r="BO1767" s="1" t="s">
        <v>31175</v>
      </c>
      <c r="BP1767" s="1" t="s">
        <v>31176</v>
      </c>
      <c r="BQ1767" s="1" t="s">
        <v>2116</v>
      </c>
      <c r="BR1767" s="1" t="s">
        <v>31177</v>
      </c>
      <c r="BS1767" s="1">
        <v>7</v>
      </c>
      <c r="BT1767" s="1"/>
      <c r="BU1767" s="1" t="str">
        <f>HYPERLINK("https://nconnect.nicmar.ac.in/storage/profile/ProfilePhoto_p2270363_678925.jpg","Download")</f>
        <v>0</v>
      </c>
      <c r="BV1767" s="3"/>
      <c r="BW1767" s="3"/>
    </row>
    <row r="1768" spans="1:75">
      <c r="A1768" s="1" t="s">
        <v>75</v>
      </c>
      <c r="B1768" s="1" t="s">
        <v>25236</v>
      </c>
      <c r="C1768" s="1" t="s">
        <v>31178</v>
      </c>
      <c r="D1768" s="1" t="s">
        <v>1021</v>
      </c>
      <c r="E1768" s="1" t="s">
        <v>213</v>
      </c>
      <c r="F1768" s="1" t="s">
        <v>12035</v>
      </c>
      <c r="G1768" s="1" t="s">
        <v>31179</v>
      </c>
      <c r="H1768" s="1" t="s">
        <v>31180</v>
      </c>
      <c r="I1768" s="1" t="s">
        <v>31181</v>
      </c>
      <c r="J1768" s="1">
        <v>9823625540</v>
      </c>
      <c r="K1768" s="1" t="s">
        <v>84</v>
      </c>
      <c r="L1768" s="1" t="s">
        <v>31182</v>
      </c>
      <c r="M1768" s="1" t="s">
        <v>86</v>
      </c>
      <c r="N1768" s="1" t="s">
        <v>618</v>
      </c>
      <c r="O1768" s="1"/>
      <c r="P1768" s="1" t="s">
        <v>455</v>
      </c>
      <c r="Q1768" s="1" t="s">
        <v>31183</v>
      </c>
      <c r="R1768" s="1" t="s">
        <v>31184</v>
      </c>
      <c r="S1768" s="1">
        <v>9422287050</v>
      </c>
      <c r="T1768" s="1" t="s">
        <v>839</v>
      </c>
      <c r="U1768" s="1" t="s">
        <v>31185</v>
      </c>
      <c r="V1768" s="1">
        <v>9168661222</v>
      </c>
      <c r="W1768" s="1" t="s">
        <v>1678</v>
      </c>
      <c r="X1768" s="1" t="s">
        <v>31186</v>
      </c>
      <c r="Y1768" s="1" t="s">
        <v>5659</v>
      </c>
      <c r="Z1768" s="1" t="s">
        <v>97</v>
      </c>
      <c r="AA1768" s="1" t="s">
        <v>31186</v>
      </c>
      <c r="AB1768" s="1" t="s">
        <v>5659</v>
      </c>
      <c r="AC1768" s="1" t="s">
        <v>97</v>
      </c>
      <c r="AD1768" s="1" t="s">
        <v>98</v>
      </c>
      <c r="AE1768" s="1" t="s">
        <v>98</v>
      </c>
      <c r="AF1768" s="1" t="s">
        <v>31187</v>
      </c>
      <c r="AG1768" s="1" t="s">
        <v>31188</v>
      </c>
      <c r="AH1768" s="1" t="s">
        <v>10573</v>
      </c>
      <c r="AI1768" s="1" t="s">
        <v>136</v>
      </c>
      <c r="AJ1768" s="1">
        <v>69.4</v>
      </c>
      <c r="AK1768" s="1"/>
      <c r="AL1768" s="1"/>
      <c r="AM1768" s="1"/>
      <c r="AN1768" s="1"/>
      <c r="AO1768" s="1"/>
      <c r="AP1768" s="1"/>
      <c r="AQ1768" s="1"/>
      <c r="AR1768" s="1"/>
      <c r="AS1768" s="1" t="s">
        <v>103</v>
      </c>
      <c r="AT1768" s="1" t="s">
        <v>31189</v>
      </c>
      <c r="AU1768" s="1" t="s">
        <v>342</v>
      </c>
      <c r="AV1768" s="1" t="s">
        <v>106</v>
      </c>
      <c r="AW1768" s="1">
        <v>72.48</v>
      </c>
      <c r="AX1768" s="1"/>
      <c r="AY1768" s="1" t="s">
        <v>31190</v>
      </c>
      <c r="AZ1768" s="1" t="s">
        <v>31191</v>
      </c>
      <c r="BA1768" s="1"/>
      <c r="BB1768" s="1"/>
      <c r="BC1768" s="1" t="s">
        <v>1065</v>
      </c>
      <c r="BD1768" s="1" t="s">
        <v>606</v>
      </c>
      <c r="BE1768" s="1">
        <v>72.7</v>
      </c>
      <c r="BF1768" s="1">
        <v>7.77</v>
      </c>
      <c r="BG1768" s="1"/>
      <c r="BH1768" s="1"/>
      <c r="BI1768" s="1"/>
      <c r="BJ1768" s="1"/>
      <c r="BK1768" s="1"/>
      <c r="BL1768" s="1"/>
      <c r="BM1768" s="1"/>
      <c r="BN1768" s="1"/>
      <c r="BO1768" s="1" t="s">
        <v>8688</v>
      </c>
      <c r="BP1768" s="1" t="s">
        <v>31192</v>
      </c>
      <c r="BQ1768" s="1" t="s">
        <v>471</v>
      </c>
      <c r="BR1768" s="1" t="s">
        <v>31193</v>
      </c>
      <c r="BS1768" s="1">
        <v>22</v>
      </c>
      <c r="BT1768" s="1"/>
      <c r="BU1768" s="1" t="str">
        <f>HYPERLINK("https://nconnect.nicmar.ac.in/storage/profile/ProfilePhoto_p2270364_638791.jpg","Download")</f>
        <v>0</v>
      </c>
      <c r="BV1768" s="3"/>
      <c r="BW1768" s="3"/>
    </row>
    <row r="1769" spans="1:75">
      <c r="A1769" s="1" t="s">
        <v>75</v>
      </c>
      <c r="B1769" s="1" t="s">
        <v>25236</v>
      </c>
      <c r="C1769" s="1" t="s">
        <v>31194</v>
      </c>
      <c r="D1769" s="1" t="s">
        <v>239</v>
      </c>
      <c r="E1769" s="1" t="s">
        <v>1320</v>
      </c>
      <c r="F1769" s="1" t="s">
        <v>530</v>
      </c>
      <c r="G1769" s="1" t="s">
        <v>31195</v>
      </c>
      <c r="H1769" s="1" t="s">
        <v>31196</v>
      </c>
      <c r="I1769" s="1" t="s">
        <v>31197</v>
      </c>
      <c r="J1769" s="1">
        <v>7001881346</v>
      </c>
      <c r="K1769" s="1" t="s">
        <v>84</v>
      </c>
      <c r="L1769" s="1" t="s">
        <v>31198</v>
      </c>
      <c r="M1769" s="1" t="s">
        <v>86</v>
      </c>
      <c r="N1769" s="1" t="s">
        <v>31199</v>
      </c>
      <c r="O1769" s="1" t="s">
        <v>31200</v>
      </c>
      <c r="P1769" s="1" t="s">
        <v>481</v>
      </c>
      <c r="Q1769" s="1" t="s">
        <v>31201</v>
      </c>
      <c r="R1769" s="1" t="s">
        <v>31202</v>
      </c>
      <c r="S1769" s="1">
        <v>9641971460</v>
      </c>
      <c r="T1769" s="1" t="s">
        <v>31203</v>
      </c>
      <c r="U1769" s="1" t="s">
        <v>31204</v>
      </c>
      <c r="V1769" s="1">
        <v>9641971460</v>
      </c>
      <c r="W1769" s="1" t="s">
        <v>31205</v>
      </c>
      <c r="X1769" s="1" t="s">
        <v>31206</v>
      </c>
      <c r="Y1769" s="1" t="s">
        <v>31207</v>
      </c>
      <c r="Z1769" s="1" t="s">
        <v>1234</v>
      </c>
      <c r="AA1769" s="1" t="s">
        <v>31208</v>
      </c>
      <c r="AB1769" s="1" t="s">
        <v>196</v>
      </c>
      <c r="AC1769" s="1" t="s">
        <v>97</v>
      </c>
      <c r="AD1769" s="1" t="s">
        <v>98</v>
      </c>
      <c r="AE1769" s="1" t="s">
        <v>98</v>
      </c>
      <c r="AF1769" s="1" t="s">
        <v>31209</v>
      </c>
      <c r="AG1769" s="1" t="s">
        <v>31210</v>
      </c>
      <c r="AH1769" s="1" t="s">
        <v>23371</v>
      </c>
      <c r="AI1769" s="1" t="s">
        <v>801</v>
      </c>
      <c r="AJ1769" s="1">
        <v>50.25</v>
      </c>
      <c r="AK1769" s="1"/>
      <c r="AL1769" s="1"/>
      <c r="AM1769" s="1"/>
      <c r="AN1769" s="1"/>
      <c r="AO1769" s="1"/>
      <c r="AP1769" s="1"/>
      <c r="AQ1769" s="1"/>
      <c r="AR1769" s="1"/>
      <c r="AS1769" s="1" t="s">
        <v>439</v>
      </c>
      <c r="AT1769" s="1" t="s">
        <v>31211</v>
      </c>
      <c r="AU1769" s="1" t="s">
        <v>254</v>
      </c>
      <c r="AV1769" s="1" t="s">
        <v>167</v>
      </c>
      <c r="AW1769" s="1">
        <v>70</v>
      </c>
      <c r="AX1769" s="1"/>
      <c r="AY1769" s="1" t="s">
        <v>31212</v>
      </c>
      <c r="AZ1769" s="1" t="s">
        <v>31213</v>
      </c>
      <c r="BA1769" s="1"/>
      <c r="BB1769" s="1"/>
      <c r="BC1769" s="1" t="s">
        <v>1396</v>
      </c>
      <c r="BD1769" s="1" t="s">
        <v>438</v>
      </c>
      <c r="BE1769" s="1">
        <v>74.5</v>
      </c>
      <c r="BF1769" s="1">
        <v>7.45</v>
      </c>
      <c r="BG1769" s="1"/>
      <c r="BH1769" s="1"/>
      <c r="BI1769" s="1"/>
      <c r="BJ1769" s="1"/>
      <c r="BK1769" s="1"/>
      <c r="BL1769" s="1"/>
      <c r="BM1769" s="1"/>
      <c r="BN1769" s="1"/>
      <c r="BO1769" s="1" t="s">
        <v>27183</v>
      </c>
      <c r="BP1769" s="1" t="s">
        <v>31214</v>
      </c>
      <c r="BQ1769" s="1" t="s">
        <v>143</v>
      </c>
      <c r="BR1769" s="1" t="s">
        <v>31215</v>
      </c>
      <c r="BS1769" s="1">
        <v>7</v>
      </c>
      <c r="BT1769" s="1"/>
      <c r="BU1769" s="1" t="str">
        <f>HYPERLINK("https://nconnect.nicmar.ac.in/storage/profile/ProfilePhoto_p2270365_687412.jpg","Download")</f>
        <v>0</v>
      </c>
      <c r="BV1769" s="3"/>
      <c r="BW1769" s="3"/>
    </row>
    <row r="1770" spans="1:75">
      <c r="A1770" s="1" t="s">
        <v>75</v>
      </c>
      <c r="B1770" s="1" t="s">
        <v>25236</v>
      </c>
      <c r="C1770" s="1" t="s">
        <v>31216</v>
      </c>
      <c r="D1770" s="1" t="s">
        <v>31217</v>
      </c>
      <c r="E1770" s="1" t="s">
        <v>397</v>
      </c>
      <c r="F1770" s="1" t="s">
        <v>31218</v>
      </c>
      <c r="G1770" s="1" t="s">
        <v>31219</v>
      </c>
      <c r="H1770" s="1" t="s">
        <v>31220</v>
      </c>
      <c r="I1770" s="1" t="s">
        <v>31221</v>
      </c>
      <c r="J1770" s="1">
        <v>9511999169</v>
      </c>
      <c r="K1770" s="1" t="s">
        <v>84</v>
      </c>
      <c r="L1770" s="1" t="s">
        <v>31222</v>
      </c>
      <c r="M1770" s="1" t="s">
        <v>86</v>
      </c>
      <c r="N1770" s="1" t="s">
        <v>618</v>
      </c>
      <c r="O1770" s="1" t="s">
        <v>31223</v>
      </c>
      <c r="P1770" s="1" t="s">
        <v>1028</v>
      </c>
      <c r="Q1770" s="1" t="s">
        <v>31224</v>
      </c>
      <c r="R1770" s="1" t="s">
        <v>31225</v>
      </c>
      <c r="S1770" s="1">
        <v>7218279169</v>
      </c>
      <c r="T1770" s="1" t="s">
        <v>92</v>
      </c>
      <c r="U1770" s="1" t="s">
        <v>31226</v>
      </c>
      <c r="V1770" s="1">
        <v>7588167569</v>
      </c>
      <c r="W1770" s="1" t="s">
        <v>161</v>
      </c>
      <c r="X1770" s="1" t="s">
        <v>31227</v>
      </c>
      <c r="Y1770" s="1" t="s">
        <v>1989</v>
      </c>
      <c r="Z1770" s="1" t="s">
        <v>97</v>
      </c>
      <c r="AA1770" s="1" t="s">
        <v>31227</v>
      </c>
      <c r="AB1770" s="1" t="s">
        <v>1989</v>
      </c>
      <c r="AC1770" s="1" t="s">
        <v>97</v>
      </c>
      <c r="AD1770" s="1" t="s">
        <v>98</v>
      </c>
      <c r="AE1770" s="1" t="s">
        <v>98</v>
      </c>
      <c r="AF1770" s="1" t="s">
        <v>31228</v>
      </c>
      <c r="AG1770" s="1" t="s">
        <v>165</v>
      </c>
      <c r="AH1770" s="1" t="s">
        <v>515</v>
      </c>
      <c r="AI1770" s="1" t="s">
        <v>102</v>
      </c>
      <c r="AJ1770" s="1">
        <v>88.8</v>
      </c>
      <c r="AK1770" s="1"/>
      <c r="AL1770" s="1" t="s">
        <v>31229</v>
      </c>
      <c r="AM1770" s="1" t="s">
        <v>165</v>
      </c>
      <c r="AN1770" s="1"/>
      <c r="AO1770" s="1" t="s">
        <v>517</v>
      </c>
      <c r="AP1770" s="1" t="s">
        <v>518</v>
      </c>
      <c r="AQ1770" s="1">
        <v>59.38</v>
      </c>
      <c r="AR1770" s="1"/>
      <c r="AS1770" s="1"/>
      <c r="AT1770" s="1"/>
      <c r="AU1770" s="1"/>
      <c r="AV1770" s="1"/>
      <c r="AW1770" s="1"/>
      <c r="AX1770" s="1"/>
      <c r="AY1770" s="1" t="s">
        <v>1038</v>
      </c>
      <c r="AZ1770" s="1" t="s">
        <v>1992</v>
      </c>
      <c r="BA1770" s="1"/>
      <c r="BB1770" s="1"/>
      <c r="BC1770" s="1" t="s">
        <v>388</v>
      </c>
      <c r="BD1770" s="1" t="s">
        <v>549</v>
      </c>
      <c r="BE1770" s="1">
        <v>72.1</v>
      </c>
      <c r="BF1770" s="1">
        <v>7.71</v>
      </c>
      <c r="BG1770" s="1"/>
      <c r="BH1770" s="1"/>
      <c r="BI1770" s="1"/>
      <c r="BJ1770" s="1"/>
      <c r="BK1770" s="1"/>
      <c r="BL1770" s="1"/>
      <c r="BM1770" s="1"/>
      <c r="BN1770" s="1"/>
      <c r="BO1770" s="1" t="s">
        <v>2267</v>
      </c>
      <c r="BP1770" s="1"/>
      <c r="BQ1770" s="1"/>
      <c r="BR1770" s="1" t="s">
        <v>31230</v>
      </c>
      <c r="BS1770" s="1">
        <v>45</v>
      </c>
      <c r="BT1770" s="1"/>
      <c r="BU1770" s="1" t="str">
        <f>HYPERLINK("https://nconnect.nicmar.ac.in/storage/profile/ProfilePhoto_p2270366_134879.jpg","Download")</f>
        <v>0</v>
      </c>
      <c r="BV1770" s="3"/>
      <c r="BW1770" s="3"/>
    </row>
    <row r="1771" spans="1:75">
      <c r="A1771" s="1" t="s">
        <v>75</v>
      </c>
      <c r="B1771" s="1" t="s">
        <v>25236</v>
      </c>
      <c r="C1771" s="1" t="s">
        <v>31231</v>
      </c>
      <c r="D1771" s="1" t="s">
        <v>31232</v>
      </c>
      <c r="E1771" s="1"/>
      <c r="F1771" s="1" t="s">
        <v>1179</v>
      </c>
      <c r="G1771" s="1" t="s">
        <v>31233</v>
      </c>
      <c r="H1771" s="1" t="s">
        <v>31234</v>
      </c>
      <c r="I1771" s="1" t="s">
        <v>31235</v>
      </c>
      <c r="J1771" s="1">
        <v>9926270610</v>
      </c>
      <c r="K1771" s="1" t="s">
        <v>84</v>
      </c>
      <c r="L1771" s="1" t="s">
        <v>31236</v>
      </c>
      <c r="M1771" s="1" t="s">
        <v>86</v>
      </c>
      <c r="N1771" s="1" t="s">
        <v>618</v>
      </c>
      <c r="O1771" s="1" t="s">
        <v>31237</v>
      </c>
      <c r="P1771" s="1" t="s">
        <v>481</v>
      </c>
      <c r="Q1771" s="1" t="s">
        <v>31238</v>
      </c>
      <c r="R1771" s="1" t="s">
        <v>31239</v>
      </c>
      <c r="S1771" s="1">
        <v>9009592266</v>
      </c>
      <c r="T1771" s="1" t="s">
        <v>31240</v>
      </c>
      <c r="U1771" s="1" t="s">
        <v>31241</v>
      </c>
      <c r="V1771" s="1">
        <v>9340553345</v>
      </c>
      <c r="W1771" s="1" t="s">
        <v>2547</v>
      </c>
      <c r="X1771" s="1" t="s">
        <v>31242</v>
      </c>
      <c r="Y1771" s="1" t="s">
        <v>7949</v>
      </c>
      <c r="Z1771" s="1" t="s">
        <v>3419</v>
      </c>
      <c r="AA1771" s="1" t="s">
        <v>31242</v>
      </c>
      <c r="AB1771" s="1" t="s">
        <v>7949</v>
      </c>
      <c r="AC1771" s="1" t="s">
        <v>3419</v>
      </c>
      <c r="AD1771" s="1" t="s">
        <v>98</v>
      </c>
      <c r="AE1771" s="1" t="s">
        <v>98</v>
      </c>
      <c r="AF1771" s="1" t="s">
        <v>31243</v>
      </c>
      <c r="AG1771" s="1" t="s">
        <v>31244</v>
      </c>
      <c r="AH1771" s="1" t="s">
        <v>29186</v>
      </c>
      <c r="AI1771" s="1" t="s">
        <v>336</v>
      </c>
      <c r="AJ1771" s="1">
        <v>62.33</v>
      </c>
      <c r="AK1771" s="1">
        <v>0</v>
      </c>
      <c r="AL1771" s="1" t="s">
        <v>31243</v>
      </c>
      <c r="AM1771" s="1" t="s">
        <v>31245</v>
      </c>
      <c r="AN1771" s="1"/>
      <c r="AO1771" s="1" t="s">
        <v>3923</v>
      </c>
      <c r="AP1771" s="1" t="s">
        <v>2726</v>
      </c>
      <c r="AQ1771" s="1">
        <v>55</v>
      </c>
      <c r="AR1771" s="1">
        <v>0</v>
      </c>
      <c r="AS1771" s="1"/>
      <c r="AT1771" s="1"/>
      <c r="AU1771" s="1"/>
      <c r="AV1771" s="1"/>
      <c r="AW1771" s="1"/>
      <c r="AX1771" s="1"/>
      <c r="AY1771" s="1" t="s">
        <v>11637</v>
      </c>
      <c r="AZ1771" s="1" t="s">
        <v>31246</v>
      </c>
      <c r="BA1771" s="1"/>
      <c r="BB1771" s="1"/>
      <c r="BC1771" s="1" t="s">
        <v>25321</v>
      </c>
      <c r="BD1771" s="1" t="s">
        <v>167</v>
      </c>
      <c r="BE1771" s="1">
        <v>66.1</v>
      </c>
      <c r="BF1771" s="1">
        <v>6.61</v>
      </c>
      <c r="BG1771" s="1"/>
      <c r="BH1771" s="1"/>
      <c r="BI1771" s="1"/>
      <c r="BJ1771" s="1"/>
      <c r="BK1771" s="1"/>
      <c r="BL1771" s="1"/>
      <c r="BM1771" s="1"/>
      <c r="BN1771" s="1"/>
      <c r="BO1771" s="1" t="s">
        <v>31247</v>
      </c>
      <c r="BP1771" s="1" t="s">
        <v>31248</v>
      </c>
      <c r="BQ1771" s="1" t="s">
        <v>11571</v>
      </c>
      <c r="BR1771" s="1" t="s">
        <v>31249</v>
      </c>
      <c r="BS1771" s="1">
        <v>10</v>
      </c>
      <c r="BT1771" s="1"/>
      <c r="BU1771" s="1" t="str">
        <f>HYPERLINK("https://nconnect.nicmar.ac.in/storage/profile/ProfilePhoto_p2270367_937624.jpg","Download")</f>
        <v>0</v>
      </c>
      <c r="BV1771" s="3"/>
      <c r="BW1771" s="3"/>
    </row>
    <row r="1772" spans="1:75">
      <c r="A1772" s="1" t="s">
        <v>75</v>
      </c>
      <c r="B1772" s="1" t="s">
        <v>25236</v>
      </c>
      <c r="C1772" s="1" t="s">
        <v>31250</v>
      </c>
      <c r="D1772" s="1" t="s">
        <v>31251</v>
      </c>
      <c r="E1772" s="1" t="s">
        <v>4948</v>
      </c>
      <c r="F1772" s="1" t="s">
        <v>31252</v>
      </c>
      <c r="G1772" s="1" t="s">
        <v>31253</v>
      </c>
      <c r="H1772" s="1" t="s">
        <v>31254</v>
      </c>
      <c r="I1772" s="1" t="s">
        <v>31255</v>
      </c>
      <c r="J1772" s="1">
        <v>8469423145</v>
      </c>
      <c r="K1772" s="1" t="s">
        <v>84</v>
      </c>
      <c r="L1772" s="1" t="s">
        <v>31256</v>
      </c>
      <c r="M1772" s="1" t="s">
        <v>86</v>
      </c>
      <c r="N1772" s="1" t="s">
        <v>20173</v>
      </c>
      <c r="O1772" s="1" t="s">
        <v>31257</v>
      </c>
      <c r="P1772" s="1" t="s">
        <v>2021</v>
      </c>
      <c r="Q1772" s="1" t="s">
        <v>31258</v>
      </c>
      <c r="R1772" s="1" t="s">
        <v>31259</v>
      </c>
      <c r="S1772" s="1">
        <v>9427242318</v>
      </c>
      <c r="T1772" s="1" t="s">
        <v>8423</v>
      </c>
      <c r="U1772" s="1" t="s">
        <v>31260</v>
      </c>
      <c r="V1772" s="1">
        <v>9427242318</v>
      </c>
      <c r="W1772" s="1" t="s">
        <v>161</v>
      </c>
      <c r="X1772" s="1" t="s">
        <v>31261</v>
      </c>
      <c r="Y1772" s="1" t="s">
        <v>31262</v>
      </c>
      <c r="Z1772" s="1" t="s">
        <v>676</v>
      </c>
      <c r="AA1772" s="1" t="s">
        <v>31261</v>
      </c>
      <c r="AB1772" s="1" t="s">
        <v>31262</v>
      </c>
      <c r="AC1772" s="1" t="s">
        <v>676</v>
      </c>
      <c r="AD1772" s="1" t="s">
        <v>98</v>
      </c>
      <c r="AE1772" s="1" t="s">
        <v>98</v>
      </c>
      <c r="AF1772" s="1" t="s">
        <v>31263</v>
      </c>
      <c r="AG1772" s="1" t="s">
        <v>31264</v>
      </c>
      <c r="AH1772" s="1" t="s">
        <v>101</v>
      </c>
      <c r="AI1772" s="1" t="s">
        <v>136</v>
      </c>
      <c r="AJ1772" s="1">
        <v>63</v>
      </c>
      <c r="AK1772" s="1"/>
      <c r="AL1772" s="1"/>
      <c r="AM1772" s="1"/>
      <c r="AN1772" s="1"/>
      <c r="AO1772" s="1"/>
      <c r="AP1772" s="1"/>
      <c r="AQ1772" s="1"/>
      <c r="AR1772" s="1"/>
      <c r="AS1772" s="1" t="s">
        <v>103</v>
      </c>
      <c r="AT1772" s="1" t="s">
        <v>31265</v>
      </c>
      <c r="AU1772" s="1" t="s">
        <v>166</v>
      </c>
      <c r="AV1772" s="1" t="s">
        <v>1065</v>
      </c>
      <c r="AW1772" s="1">
        <v>75.6</v>
      </c>
      <c r="AX1772" s="1">
        <v>8.06</v>
      </c>
      <c r="AY1772" s="1" t="s">
        <v>31266</v>
      </c>
      <c r="AZ1772" s="1" t="s">
        <v>31267</v>
      </c>
      <c r="BA1772" s="1"/>
      <c r="BB1772" s="1"/>
      <c r="BC1772" s="1" t="s">
        <v>1065</v>
      </c>
      <c r="BD1772" s="1" t="s">
        <v>549</v>
      </c>
      <c r="BE1772" s="1">
        <v>72.7</v>
      </c>
      <c r="BF1772" s="1">
        <v>7.77</v>
      </c>
      <c r="BG1772" s="1"/>
      <c r="BH1772" s="1"/>
      <c r="BI1772" s="1"/>
      <c r="BJ1772" s="1"/>
      <c r="BK1772" s="1"/>
      <c r="BL1772" s="1"/>
      <c r="BM1772" s="1"/>
      <c r="BN1772" s="1"/>
      <c r="BO1772" s="1" t="s">
        <v>31268</v>
      </c>
      <c r="BP1772" s="1"/>
      <c r="BQ1772" s="1"/>
      <c r="BR1772" s="1" t="s">
        <v>31269</v>
      </c>
      <c r="BS1772" s="1">
        <v>69</v>
      </c>
      <c r="BT1772" s="1"/>
      <c r="BU1772" s="1" t="str">
        <f>HYPERLINK("https://nconnect.nicmar.ac.in/storage/profile/ProfilePhoto_p2270368_781342.jpg","Download")</f>
        <v>0</v>
      </c>
      <c r="BV1772" s="3"/>
      <c r="BW1772" s="3"/>
    </row>
    <row r="1773" spans="1:75">
      <c r="A1773" s="1" t="s">
        <v>75</v>
      </c>
      <c r="B1773" s="1" t="s">
        <v>25236</v>
      </c>
      <c r="C1773" s="1" t="s">
        <v>31270</v>
      </c>
      <c r="D1773" s="1" t="s">
        <v>1179</v>
      </c>
      <c r="E1773" s="1" t="s">
        <v>3666</v>
      </c>
      <c r="F1773" s="1" t="s">
        <v>31271</v>
      </c>
      <c r="G1773" s="1" t="s">
        <v>31272</v>
      </c>
      <c r="H1773" s="1" t="s">
        <v>31273</v>
      </c>
      <c r="I1773" s="1" t="s">
        <v>31274</v>
      </c>
      <c r="J1773" s="1">
        <v>8446474629</v>
      </c>
      <c r="K1773" s="1" t="s">
        <v>84</v>
      </c>
      <c r="L1773" s="1" t="s">
        <v>31275</v>
      </c>
      <c r="M1773" s="1" t="s">
        <v>86</v>
      </c>
      <c r="N1773" s="1" t="s">
        <v>1163</v>
      </c>
      <c r="O1773" s="1" t="s">
        <v>31276</v>
      </c>
      <c r="P1773" s="1" t="s">
        <v>455</v>
      </c>
      <c r="Q1773" s="1" t="s">
        <v>31277</v>
      </c>
      <c r="R1773" s="1" t="s">
        <v>31278</v>
      </c>
      <c r="S1773" s="1">
        <v>9850204666</v>
      </c>
      <c r="T1773" s="1" t="s">
        <v>2375</v>
      </c>
      <c r="U1773" s="1" t="s">
        <v>31279</v>
      </c>
      <c r="V1773" s="1">
        <v>9403443666</v>
      </c>
      <c r="W1773" s="1" t="s">
        <v>541</v>
      </c>
      <c r="X1773" s="1" t="s">
        <v>31280</v>
      </c>
      <c r="Y1773" s="1" t="s">
        <v>5659</v>
      </c>
      <c r="Z1773" s="1" t="s">
        <v>97</v>
      </c>
      <c r="AA1773" s="1" t="s">
        <v>31280</v>
      </c>
      <c r="AB1773" s="1" t="s">
        <v>5659</v>
      </c>
      <c r="AC1773" s="1" t="s">
        <v>97</v>
      </c>
      <c r="AD1773" s="1" t="s">
        <v>98</v>
      </c>
      <c r="AE1773" s="1" t="s">
        <v>98</v>
      </c>
      <c r="AF1773" s="1" t="s">
        <v>31281</v>
      </c>
      <c r="AG1773" s="1" t="s">
        <v>165</v>
      </c>
      <c r="AH1773" s="1" t="s">
        <v>166</v>
      </c>
      <c r="AI1773" s="1" t="s">
        <v>167</v>
      </c>
      <c r="AJ1773" s="1">
        <v>74.4</v>
      </c>
      <c r="AK1773" s="1">
        <v>7.44</v>
      </c>
      <c r="AL1773" s="1" t="s">
        <v>31282</v>
      </c>
      <c r="AM1773" s="1" t="s">
        <v>165</v>
      </c>
      <c r="AN1773" s="1"/>
      <c r="AO1773" s="1" t="s">
        <v>170</v>
      </c>
      <c r="AP1773" s="1" t="s">
        <v>1065</v>
      </c>
      <c r="AQ1773" s="1">
        <v>66.31</v>
      </c>
      <c r="AR1773" s="1">
        <v>6.63</v>
      </c>
      <c r="AS1773" s="1"/>
      <c r="AT1773" s="1"/>
      <c r="AU1773" s="1"/>
      <c r="AV1773" s="1"/>
      <c r="AW1773" s="1"/>
      <c r="AX1773" s="1"/>
      <c r="AY1773" s="1" t="s">
        <v>8319</v>
      </c>
      <c r="AZ1773" s="1" t="s">
        <v>31283</v>
      </c>
      <c r="BA1773" s="1"/>
      <c r="BB1773" s="1"/>
      <c r="BC1773" s="1" t="s">
        <v>1065</v>
      </c>
      <c r="BD1773" s="1" t="s">
        <v>110</v>
      </c>
      <c r="BE1773" s="1">
        <v>77</v>
      </c>
      <c r="BF1773" s="1">
        <v>8.25</v>
      </c>
      <c r="BG1773" s="1"/>
      <c r="BH1773" s="1"/>
      <c r="BI1773" s="1"/>
      <c r="BJ1773" s="1"/>
      <c r="BK1773" s="1"/>
      <c r="BL1773" s="1"/>
      <c r="BM1773" s="1"/>
      <c r="BN1773" s="1"/>
      <c r="BO1773" s="1" t="s">
        <v>31284</v>
      </c>
      <c r="BP1773" s="1"/>
      <c r="BQ1773" s="1"/>
      <c r="BR1773" s="1" t="s">
        <v>31285</v>
      </c>
      <c r="BS1773" s="1">
        <v>32</v>
      </c>
      <c r="BT1773" s="1"/>
      <c r="BU1773" s="1" t="str">
        <f>HYPERLINK("https://nconnect.nicmar.ac.in/storage/profile/ProfilePhoto_p2270369_194728.jpg","Download")</f>
        <v>0</v>
      </c>
      <c r="BV1773" s="3"/>
      <c r="BW1773" s="3"/>
    </row>
    <row r="1774" spans="1:75">
      <c r="A1774" s="1" t="s">
        <v>75</v>
      </c>
      <c r="B1774" s="1" t="s">
        <v>25236</v>
      </c>
      <c r="C1774" s="1" t="s">
        <v>31286</v>
      </c>
      <c r="D1774" s="1" t="s">
        <v>31287</v>
      </c>
      <c r="E1774" s="1"/>
      <c r="F1774" s="1" t="s">
        <v>26738</v>
      </c>
      <c r="G1774" s="1" t="s">
        <v>31288</v>
      </c>
      <c r="H1774" s="1" t="s">
        <v>31289</v>
      </c>
      <c r="I1774" s="1" t="s">
        <v>31290</v>
      </c>
      <c r="J1774" s="1">
        <v>9713180555</v>
      </c>
      <c r="K1774" s="1" t="s">
        <v>84</v>
      </c>
      <c r="L1774" s="1" t="s">
        <v>6431</v>
      </c>
      <c r="M1774" s="1" t="s">
        <v>86</v>
      </c>
      <c r="N1774" s="1" t="s">
        <v>31291</v>
      </c>
      <c r="O1774" s="1" t="s">
        <v>31292</v>
      </c>
      <c r="P1774" s="1" t="s">
        <v>455</v>
      </c>
      <c r="Q1774" s="1" t="s">
        <v>31293</v>
      </c>
      <c r="R1774" s="1" t="s">
        <v>31294</v>
      </c>
      <c r="S1774" s="1">
        <v>9713180555</v>
      </c>
      <c r="T1774" s="1" t="s">
        <v>839</v>
      </c>
      <c r="U1774" s="1" t="s">
        <v>31295</v>
      </c>
      <c r="V1774" s="1">
        <v>9131480454</v>
      </c>
      <c r="W1774" s="1" t="s">
        <v>278</v>
      </c>
      <c r="X1774" s="1" t="s">
        <v>31296</v>
      </c>
      <c r="Y1774" s="1" t="s">
        <v>11762</v>
      </c>
      <c r="Z1774" s="1" t="s">
        <v>2933</v>
      </c>
      <c r="AA1774" s="1" t="s">
        <v>31296</v>
      </c>
      <c r="AB1774" s="1" t="s">
        <v>11762</v>
      </c>
      <c r="AC1774" s="1" t="s">
        <v>2933</v>
      </c>
      <c r="AD1774" s="1" t="s">
        <v>98</v>
      </c>
      <c r="AE1774" s="1" t="s">
        <v>98</v>
      </c>
      <c r="AF1774" s="1" t="s">
        <v>31297</v>
      </c>
      <c r="AG1774" s="1" t="s">
        <v>775</v>
      </c>
      <c r="AH1774" s="1" t="s">
        <v>1262</v>
      </c>
      <c r="AI1774" s="1" t="s">
        <v>136</v>
      </c>
      <c r="AJ1774" s="1">
        <v>79.8</v>
      </c>
      <c r="AK1774" s="1">
        <v>8.4</v>
      </c>
      <c r="AL1774" s="1" t="s">
        <v>31297</v>
      </c>
      <c r="AM1774" s="1" t="s">
        <v>775</v>
      </c>
      <c r="AN1774" s="1"/>
      <c r="AO1774" s="1" t="s">
        <v>627</v>
      </c>
      <c r="AP1774" s="1" t="s">
        <v>573</v>
      </c>
      <c r="AQ1774" s="1">
        <v>59.6</v>
      </c>
      <c r="AR1774" s="1"/>
      <c r="AS1774" s="1"/>
      <c r="AT1774" s="1"/>
      <c r="AU1774" s="1"/>
      <c r="AV1774" s="1"/>
      <c r="AW1774" s="1"/>
      <c r="AX1774" s="1"/>
      <c r="AY1774" s="1" t="s">
        <v>3771</v>
      </c>
      <c r="AZ1774" s="1" t="s">
        <v>11694</v>
      </c>
      <c r="BA1774" s="1"/>
      <c r="BB1774" s="1"/>
      <c r="BC1774" s="1" t="s">
        <v>174</v>
      </c>
      <c r="BD1774" s="1" t="s">
        <v>632</v>
      </c>
      <c r="BE1774" s="1">
        <v>68.4</v>
      </c>
      <c r="BF1774" s="1">
        <v>6.84</v>
      </c>
      <c r="BG1774" s="1"/>
      <c r="BH1774" s="1"/>
      <c r="BI1774" s="1"/>
      <c r="BJ1774" s="1"/>
      <c r="BK1774" s="1"/>
      <c r="BL1774" s="1"/>
      <c r="BM1774" s="1"/>
      <c r="BN1774" s="1"/>
      <c r="BO1774" s="1" t="s">
        <v>31298</v>
      </c>
      <c r="BP1774" s="1"/>
      <c r="BQ1774" s="1"/>
      <c r="BR1774" s="1" t="s">
        <v>31299</v>
      </c>
      <c r="BS1774" s="1">
        <v>56</v>
      </c>
      <c r="BT1774" s="1"/>
      <c r="BU1774" s="1" t="str">
        <f>HYPERLINK("https://nconnect.nicmar.ac.in/storage/profile/ProfilePhoto_p2270370_281693.jpg","Download")</f>
        <v>0</v>
      </c>
      <c r="BV1774" s="3"/>
      <c r="BW1774" s="3"/>
    </row>
    <row r="1775" spans="1:75">
      <c r="A1775" s="1" t="s">
        <v>75</v>
      </c>
      <c r="B1775" s="1" t="s">
        <v>25236</v>
      </c>
      <c r="C1775" s="1" t="s">
        <v>31300</v>
      </c>
      <c r="D1775" s="1" t="s">
        <v>9031</v>
      </c>
      <c r="E1775" s="1" t="s">
        <v>3639</v>
      </c>
      <c r="F1775" s="1" t="s">
        <v>6810</v>
      </c>
      <c r="G1775" s="1" t="s">
        <v>31301</v>
      </c>
      <c r="H1775" s="1" t="s">
        <v>31302</v>
      </c>
      <c r="I1775" s="1" t="s">
        <v>31303</v>
      </c>
      <c r="J1775" s="1">
        <v>9960319520</v>
      </c>
      <c r="K1775" s="1" t="s">
        <v>84</v>
      </c>
      <c r="L1775" s="1" t="s">
        <v>31304</v>
      </c>
      <c r="M1775" s="1" t="s">
        <v>86</v>
      </c>
      <c r="N1775" s="1" t="s">
        <v>31305</v>
      </c>
      <c r="O1775" s="1" t="s">
        <v>31306</v>
      </c>
      <c r="P1775" s="1" t="s">
        <v>455</v>
      </c>
      <c r="Q1775" s="1" t="s">
        <v>31307</v>
      </c>
      <c r="R1775" s="1" t="s">
        <v>31308</v>
      </c>
      <c r="S1775" s="1">
        <v>7775966333</v>
      </c>
      <c r="T1775" s="1" t="s">
        <v>6733</v>
      </c>
      <c r="U1775" s="1" t="s">
        <v>31309</v>
      </c>
      <c r="V1775" s="1">
        <v>9890373593</v>
      </c>
      <c r="W1775" s="1" t="s">
        <v>278</v>
      </c>
      <c r="X1775" s="1" t="s">
        <v>31310</v>
      </c>
      <c r="Y1775" s="1" t="s">
        <v>196</v>
      </c>
      <c r="Z1775" s="1" t="s">
        <v>97</v>
      </c>
      <c r="AA1775" s="1" t="s">
        <v>31310</v>
      </c>
      <c r="AB1775" s="1" t="s">
        <v>196</v>
      </c>
      <c r="AC1775" s="1" t="s">
        <v>97</v>
      </c>
      <c r="AD1775" s="1" t="s">
        <v>98</v>
      </c>
      <c r="AE1775" s="1" t="s">
        <v>98</v>
      </c>
      <c r="AF1775" s="1" t="s">
        <v>31311</v>
      </c>
      <c r="AG1775" s="1" t="s">
        <v>30708</v>
      </c>
      <c r="AH1775" s="1" t="s">
        <v>101</v>
      </c>
      <c r="AI1775" s="1" t="s">
        <v>102</v>
      </c>
      <c r="AJ1775" s="1">
        <v>78</v>
      </c>
      <c r="AK1775" s="1">
        <v>7.8</v>
      </c>
      <c r="AL1775" s="1" t="s">
        <v>31312</v>
      </c>
      <c r="AM1775" s="1" t="s">
        <v>27844</v>
      </c>
      <c r="AN1775" s="1"/>
      <c r="AO1775" s="1" t="s">
        <v>167</v>
      </c>
      <c r="AP1775" s="1" t="s">
        <v>518</v>
      </c>
      <c r="AQ1775" s="1">
        <v>55.85</v>
      </c>
      <c r="AR1775" s="1">
        <v>5.58</v>
      </c>
      <c r="AS1775" s="1" t="s">
        <v>10841</v>
      </c>
      <c r="AT1775" s="1" t="s">
        <v>31313</v>
      </c>
      <c r="AU1775" s="1" t="s">
        <v>170</v>
      </c>
      <c r="AV1775" s="1" t="s">
        <v>313</v>
      </c>
      <c r="AW1775" s="1">
        <v>75.78</v>
      </c>
      <c r="AX1775" s="1">
        <v>7.58</v>
      </c>
      <c r="AY1775" s="1" t="s">
        <v>366</v>
      </c>
      <c r="AZ1775" s="1" t="s">
        <v>31314</v>
      </c>
      <c r="BA1775" s="1"/>
      <c r="BB1775" s="1"/>
      <c r="BC1775" s="1" t="s">
        <v>438</v>
      </c>
      <c r="BD1775" s="1" t="s">
        <v>632</v>
      </c>
      <c r="BE1775" s="1">
        <v>87.92</v>
      </c>
      <c r="BF1775" s="1">
        <v>9.41</v>
      </c>
      <c r="BG1775" s="1"/>
      <c r="BH1775" s="1"/>
      <c r="BI1775" s="1"/>
      <c r="BJ1775" s="1"/>
      <c r="BK1775" s="1"/>
      <c r="BL1775" s="1"/>
      <c r="BM1775" s="1"/>
      <c r="BN1775" s="1"/>
      <c r="BO1775" s="1" t="s">
        <v>2267</v>
      </c>
      <c r="BP1775" s="1"/>
      <c r="BQ1775" s="1"/>
      <c r="BR1775" s="1" t="s">
        <v>31315</v>
      </c>
      <c r="BS1775" s="1">
        <v>42</v>
      </c>
      <c r="BT1775" s="1"/>
      <c r="BU1775" s="1" t="str">
        <f>HYPERLINK("https://nconnect.nicmar.ac.in/storage/profile/2022-2024_p2270371_268753.jpg","Download")</f>
        <v>0</v>
      </c>
      <c r="BV1775" s="3"/>
      <c r="BW1775" s="3"/>
    </row>
    <row r="1776" spans="1:75">
      <c r="A1776" s="1" t="s">
        <v>75</v>
      </c>
      <c r="B1776" s="1" t="s">
        <v>25236</v>
      </c>
      <c r="C1776" s="1" t="s">
        <v>31316</v>
      </c>
      <c r="D1776" s="1" t="s">
        <v>31317</v>
      </c>
      <c r="E1776" s="1" t="s">
        <v>31318</v>
      </c>
      <c r="F1776" s="1" t="s">
        <v>12454</v>
      </c>
      <c r="G1776" s="1" t="s">
        <v>31319</v>
      </c>
      <c r="H1776" s="1" t="s">
        <v>31320</v>
      </c>
      <c r="I1776" s="1" t="s">
        <v>31321</v>
      </c>
      <c r="J1776" s="1">
        <v>9726184120</v>
      </c>
      <c r="K1776" s="1" t="s">
        <v>84</v>
      </c>
      <c r="L1776" s="1" t="s">
        <v>31322</v>
      </c>
      <c r="M1776" s="1" t="s">
        <v>86</v>
      </c>
      <c r="N1776" s="1" t="s">
        <v>7185</v>
      </c>
      <c r="O1776" s="1" t="s">
        <v>31323</v>
      </c>
      <c r="P1776" s="1" t="s">
        <v>455</v>
      </c>
      <c r="Q1776" s="1" t="s">
        <v>31324</v>
      </c>
      <c r="R1776" s="1" t="s">
        <v>31325</v>
      </c>
      <c r="S1776" s="1">
        <v>9852937401</v>
      </c>
      <c r="T1776" s="1" t="s">
        <v>6733</v>
      </c>
      <c r="U1776" s="1" t="s">
        <v>31326</v>
      </c>
      <c r="V1776" s="1">
        <v>9978465857</v>
      </c>
      <c r="W1776" s="1" t="s">
        <v>161</v>
      </c>
      <c r="X1776" s="1" t="s">
        <v>31327</v>
      </c>
      <c r="Y1776" s="1" t="s">
        <v>21559</v>
      </c>
      <c r="Z1776" s="1" t="s">
        <v>676</v>
      </c>
      <c r="AA1776" s="1" t="s">
        <v>31327</v>
      </c>
      <c r="AB1776" s="1" t="s">
        <v>21559</v>
      </c>
      <c r="AC1776" s="1" t="s">
        <v>676</v>
      </c>
      <c r="AD1776" s="1" t="s">
        <v>98</v>
      </c>
      <c r="AE1776" s="1" t="s">
        <v>98</v>
      </c>
      <c r="AF1776" s="1" t="s">
        <v>31328</v>
      </c>
      <c r="AG1776" s="1" t="s">
        <v>775</v>
      </c>
      <c r="AH1776" s="1" t="s">
        <v>1214</v>
      </c>
      <c r="AI1776" s="1" t="s">
        <v>136</v>
      </c>
      <c r="AJ1776" s="1">
        <v>83.6</v>
      </c>
      <c r="AK1776" s="1">
        <v>8.8</v>
      </c>
      <c r="AL1776" s="1" t="s">
        <v>31328</v>
      </c>
      <c r="AM1776" s="1" t="s">
        <v>775</v>
      </c>
      <c r="AN1776" s="1"/>
      <c r="AO1776" s="1" t="s">
        <v>284</v>
      </c>
      <c r="AP1776" s="1" t="s">
        <v>573</v>
      </c>
      <c r="AQ1776" s="1">
        <v>68.6</v>
      </c>
      <c r="AR1776" s="1">
        <v>0</v>
      </c>
      <c r="AS1776" s="1"/>
      <c r="AT1776" s="1"/>
      <c r="AU1776" s="1"/>
      <c r="AV1776" s="1"/>
      <c r="AW1776" s="1"/>
      <c r="AX1776" s="1"/>
      <c r="AY1776" s="1" t="s">
        <v>25266</v>
      </c>
      <c r="AZ1776" s="1" t="s">
        <v>31329</v>
      </c>
      <c r="BA1776" s="1"/>
      <c r="BB1776" s="1"/>
      <c r="BC1776" s="1" t="s">
        <v>230</v>
      </c>
      <c r="BD1776" s="1" t="s">
        <v>847</v>
      </c>
      <c r="BE1776" s="1">
        <v>78.3</v>
      </c>
      <c r="BF1776" s="1">
        <v>8.33</v>
      </c>
      <c r="BG1776" s="1"/>
      <c r="BH1776" s="1"/>
      <c r="BI1776" s="1"/>
      <c r="BJ1776" s="1"/>
      <c r="BK1776" s="1"/>
      <c r="BL1776" s="1"/>
      <c r="BM1776" s="1"/>
      <c r="BN1776" s="1"/>
      <c r="BO1776" s="1" t="s">
        <v>31330</v>
      </c>
      <c r="BP1776" s="1" t="s">
        <v>31331</v>
      </c>
      <c r="BQ1776" s="1" t="s">
        <v>292</v>
      </c>
      <c r="BR1776" s="1" t="s">
        <v>31332</v>
      </c>
      <c r="BS1776" s="1">
        <v>11</v>
      </c>
      <c r="BT1776" s="1"/>
      <c r="BU1776" s="1" t="str">
        <f>HYPERLINK("https://nconnect.nicmar.ac.in/storage/profile/ProfilePhoto_p2270372_851237.jpg","Download")</f>
        <v>0</v>
      </c>
      <c r="BV1776" s="3"/>
      <c r="BW1776" s="3"/>
    </row>
    <row r="1777" spans="1:75">
      <c r="A1777" s="1" t="s">
        <v>75</v>
      </c>
      <c r="B1777" s="1" t="s">
        <v>25236</v>
      </c>
      <c r="C1777" s="1" t="s">
        <v>31333</v>
      </c>
      <c r="D1777" s="1" t="s">
        <v>31334</v>
      </c>
      <c r="E1777" s="1" t="s">
        <v>2098</v>
      </c>
      <c r="F1777" s="1" t="s">
        <v>31335</v>
      </c>
      <c r="G1777" s="1" t="s">
        <v>31336</v>
      </c>
      <c r="H1777" s="1" t="s">
        <v>31337</v>
      </c>
      <c r="I1777" s="1" t="s">
        <v>31338</v>
      </c>
      <c r="J1777" s="1">
        <v>8830661704</v>
      </c>
      <c r="K1777" s="1" t="s">
        <v>84</v>
      </c>
      <c r="L1777" s="1" t="s">
        <v>31339</v>
      </c>
      <c r="M1777" s="1" t="s">
        <v>86</v>
      </c>
      <c r="N1777" s="1" t="s">
        <v>9268</v>
      </c>
      <c r="O1777" s="1"/>
      <c r="P1777" s="1" t="s">
        <v>2062</v>
      </c>
      <c r="Q1777" s="1" t="s">
        <v>31340</v>
      </c>
      <c r="R1777" s="1" t="s">
        <v>31341</v>
      </c>
      <c r="S1777" s="1">
        <v>7378445356</v>
      </c>
      <c r="T1777" s="1" t="s">
        <v>127</v>
      </c>
      <c r="U1777" s="1" t="s">
        <v>31342</v>
      </c>
      <c r="V1777" s="1">
        <v>7066352673</v>
      </c>
      <c r="W1777" s="1" t="s">
        <v>161</v>
      </c>
      <c r="X1777" s="1" t="s">
        <v>31343</v>
      </c>
      <c r="Y1777" s="1" t="s">
        <v>910</v>
      </c>
      <c r="Z1777" s="1" t="s">
        <v>97</v>
      </c>
      <c r="AA1777" s="1" t="s">
        <v>31343</v>
      </c>
      <c r="AB1777" s="1" t="s">
        <v>910</v>
      </c>
      <c r="AC1777" s="1" t="s">
        <v>97</v>
      </c>
      <c r="AD1777" s="1" t="s">
        <v>98</v>
      </c>
      <c r="AE1777" s="1" t="s">
        <v>98</v>
      </c>
      <c r="AF1777" s="1" t="s">
        <v>31344</v>
      </c>
      <c r="AG1777" s="1" t="s">
        <v>31345</v>
      </c>
      <c r="AH1777" s="1" t="s">
        <v>515</v>
      </c>
      <c r="AI1777" s="1" t="s">
        <v>102</v>
      </c>
      <c r="AJ1777" s="1">
        <v>83.8</v>
      </c>
      <c r="AK1777" s="1">
        <v>0</v>
      </c>
      <c r="AL1777" s="1" t="s">
        <v>31346</v>
      </c>
      <c r="AM1777" s="1" t="s">
        <v>31345</v>
      </c>
      <c r="AN1777" s="1"/>
      <c r="AO1777" s="1" t="s">
        <v>517</v>
      </c>
      <c r="AP1777" s="1" t="s">
        <v>518</v>
      </c>
      <c r="AQ1777" s="1">
        <v>67.55</v>
      </c>
      <c r="AR1777" s="1">
        <v>0</v>
      </c>
      <c r="AS1777" s="1"/>
      <c r="AT1777" s="1"/>
      <c r="AU1777" s="1"/>
      <c r="AV1777" s="1"/>
      <c r="AW1777" s="1"/>
      <c r="AX1777" s="1"/>
      <c r="AY1777" s="1" t="s">
        <v>366</v>
      </c>
      <c r="AZ1777" s="1" t="s">
        <v>31347</v>
      </c>
      <c r="BA1777" s="1"/>
      <c r="BB1777" s="1"/>
      <c r="BC1777" s="1" t="s">
        <v>490</v>
      </c>
      <c r="BD1777" s="1" t="s">
        <v>289</v>
      </c>
      <c r="BE1777" s="1">
        <v>69.4</v>
      </c>
      <c r="BF1777" s="1">
        <v>7.69</v>
      </c>
      <c r="BG1777" s="1"/>
      <c r="BH1777" s="1"/>
      <c r="BI1777" s="1"/>
      <c r="BJ1777" s="1"/>
      <c r="BK1777" s="1"/>
      <c r="BL1777" s="1"/>
      <c r="BM1777" s="1"/>
      <c r="BN1777" s="1"/>
      <c r="BO1777" s="1" t="s">
        <v>31348</v>
      </c>
      <c r="BP1777" s="1"/>
      <c r="BQ1777" s="1"/>
      <c r="BR1777" s="1" t="s">
        <v>31349</v>
      </c>
      <c r="BS1777" s="1">
        <v>60</v>
      </c>
      <c r="BT1777" s="1"/>
      <c r="BU1777" s="1" t="str">
        <f>HYPERLINK("https://nconnect.nicmar.ac.in/storage/profile/ProfilePhoto_p2270373_147538.jpg","Download")</f>
        <v>0</v>
      </c>
      <c r="BV1777" s="3"/>
      <c r="BW1777" s="3"/>
    </row>
    <row r="1778" spans="1:75">
      <c r="A1778" s="1" t="s">
        <v>75</v>
      </c>
      <c r="B1778" s="1" t="s">
        <v>25236</v>
      </c>
      <c r="C1778" s="1" t="s">
        <v>31350</v>
      </c>
      <c r="D1778" s="1" t="s">
        <v>31351</v>
      </c>
      <c r="E1778" s="1" t="s">
        <v>31352</v>
      </c>
      <c r="F1778" s="1" t="s">
        <v>31353</v>
      </c>
      <c r="G1778" s="1" t="s">
        <v>31354</v>
      </c>
      <c r="H1778" s="1" t="s">
        <v>31355</v>
      </c>
      <c r="I1778" s="1" t="s">
        <v>31356</v>
      </c>
      <c r="J1778" s="1">
        <v>8374567918</v>
      </c>
      <c r="K1778" s="1" t="s">
        <v>84</v>
      </c>
      <c r="L1778" s="1" t="s">
        <v>31357</v>
      </c>
      <c r="M1778" s="1" t="s">
        <v>86</v>
      </c>
      <c r="N1778" s="1" t="s">
        <v>31358</v>
      </c>
      <c r="O1778" s="1" t="s">
        <v>31359</v>
      </c>
      <c r="P1778" s="1" t="s">
        <v>455</v>
      </c>
      <c r="Q1778" s="1" t="s">
        <v>31360</v>
      </c>
      <c r="R1778" s="1" t="s">
        <v>31361</v>
      </c>
      <c r="S1778" s="1">
        <v>9849529575</v>
      </c>
      <c r="T1778" s="1" t="s">
        <v>839</v>
      </c>
      <c r="U1778" s="1" t="s">
        <v>31362</v>
      </c>
      <c r="V1778" s="1">
        <v>7013219675</v>
      </c>
      <c r="W1778" s="1" t="s">
        <v>541</v>
      </c>
      <c r="X1778" s="1" t="s">
        <v>31363</v>
      </c>
      <c r="Y1778" s="1" t="s">
        <v>29059</v>
      </c>
      <c r="Z1778" s="1" t="s">
        <v>281</v>
      </c>
      <c r="AA1778" s="1" t="s">
        <v>31363</v>
      </c>
      <c r="AB1778" s="1" t="s">
        <v>29059</v>
      </c>
      <c r="AC1778" s="1" t="s">
        <v>281</v>
      </c>
      <c r="AD1778" s="1" t="s">
        <v>98</v>
      </c>
      <c r="AE1778" s="1" t="s">
        <v>98</v>
      </c>
      <c r="AF1778" s="1" t="s">
        <v>31364</v>
      </c>
      <c r="AG1778" s="1" t="s">
        <v>31365</v>
      </c>
      <c r="AH1778" s="1" t="s">
        <v>166</v>
      </c>
      <c r="AI1778" s="1" t="s">
        <v>284</v>
      </c>
      <c r="AJ1778" s="1">
        <v>73</v>
      </c>
      <c r="AK1778" s="1">
        <v>7.3</v>
      </c>
      <c r="AL1778" s="1" t="s">
        <v>31366</v>
      </c>
      <c r="AM1778" s="1" t="s">
        <v>31365</v>
      </c>
      <c r="AN1778" s="1"/>
      <c r="AO1778" s="1" t="s">
        <v>170</v>
      </c>
      <c r="AP1778" s="1" t="s">
        <v>13749</v>
      </c>
      <c r="AQ1778" s="1">
        <v>87.3</v>
      </c>
      <c r="AR1778" s="1"/>
      <c r="AS1778" s="1"/>
      <c r="AT1778" s="1"/>
      <c r="AU1778" s="1"/>
      <c r="AV1778" s="1"/>
      <c r="AW1778" s="1"/>
      <c r="AX1778" s="1"/>
      <c r="AY1778" s="1" t="s">
        <v>576</v>
      </c>
      <c r="AZ1778" s="1" t="s">
        <v>31367</v>
      </c>
      <c r="BA1778" s="1"/>
      <c r="BB1778" s="1"/>
      <c r="BC1778" s="1" t="s">
        <v>1065</v>
      </c>
      <c r="BD1778" s="1" t="s">
        <v>632</v>
      </c>
      <c r="BE1778" s="1">
        <v>80.5</v>
      </c>
      <c r="BF1778" s="1">
        <v>8.05</v>
      </c>
      <c r="BG1778" s="1"/>
      <c r="BH1778" s="1"/>
      <c r="BI1778" s="1"/>
      <c r="BJ1778" s="1"/>
      <c r="BK1778" s="1"/>
      <c r="BL1778" s="1"/>
      <c r="BM1778" s="1"/>
      <c r="BN1778" s="1"/>
      <c r="BO1778" s="1" t="s">
        <v>1114</v>
      </c>
      <c r="BP1778" s="1"/>
      <c r="BQ1778" s="1"/>
      <c r="BR1778" s="1" t="s">
        <v>31368</v>
      </c>
      <c r="BS1778" s="1">
        <v>9</v>
      </c>
      <c r="BT1778" s="1"/>
      <c r="BU1778" s="1" t="str">
        <f>HYPERLINK("https://nconnect.nicmar.ac.in/storage/profile/ProfilePhoto_p2270374_617823.jpg","Download")</f>
        <v>0</v>
      </c>
      <c r="BV1778" s="3"/>
      <c r="BW1778" s="3"/>
    </row>
    <row r="1779" spans="1:75">
      <c r="A1779" s="1" t="s">
        <v>75</v>
      </c>
      <c r="B1779" s="1" t="s">
        <v>25236</v>
      </c>
      <c r="C1779" s="1" t="s">
        <v>31369</v>
      </c>
      <c r="D1779" s="1" t="s">
        <v>2772</v>
      </c>
      <c r="E1779" s="1"/>
      <c r="F1779" s="1" t="s">
        <v>31370</v>
      </c>
      <c r="G1779" s="1" t="s">
        <v>31371</v>
      </c>
      <c r="H1779" s="1" t="s">
        <v>31372</v>
      </c>
      <c r="I1779" s="1" t="s">
        <v>31373</v>
      </c>
      <c r="J1779" s="1">
        <v>7358332186</v>
      </c>
      <c r="K1779" s="1" t="s">
        <v>153</v>
      </c>
      <c r="L1779" s="1" t="s">
        <v>31374</v>
      </c>
      <c r="M1779" s="1" t="s">
        <v>86</v>
      </c>
      <c r="N1779" s="1" t="s">
        <v>31375</v>
      </c>
      <c r="O1779" s="1" t="s">
        <v>31376</v>
      </c>
      <c r="P1779" s="1" t="s">
        <v>455</v>
      </c>
      <c r="Q1779" s="1" t="s">
        <v>31377</v>
      </c>
      <c r="R1779" s="1" t="s">
        <v>31378</v>
      </c>
      <c r="S1779" s="1">
        <v>8807379173</v>
      </c>
      <c r="T1779" s="1" t="s">
        <v>92</v>
      </c>
      <c r="U1779" s="1" t="s">
        <v>31379</v>
      </c>
      <c r="V1779" s="1">
        <v>8807379173</v>
      </c>
      <c r="W1779" s="1" t="s">
        <v>94</v>
      </c>
      <c r="X1779" s="1" t="s">
        <v>31380</v>
      </c>
      <c r="Y1779" s="1" t="s">
        <v>1498</v>
      </c>
      <c r="Z1779" s="1" t="s">
        <v>570</v>
      </c>
      <c r="AA1779" s="1" t="s">
        <v>31380</v>
      </c>
      <c r="AB1779" s="1" t="s">
        <v>1498</v>
      </c>
      <c r="AC1779" s="1" t="s">
        <v>570</v>
      </c>
      <c r="AD1779" s="1" t="s">
        <v>98</v>
      </c>
      <c r="AE1779" s="1" t="s">
        <v>98</v>
      </c>
      <c r="AF1779" s="1" t="s">
        <v>31381</v>
      </c>
      <c r="AG1779" s="1" t="s">
        <v>31382</v>
      </c>
      <c r="AH1779" s="1" t="s">
        <v>166</v>
      </c>
      <c r="AI1779" s="1" t="s">
        <v>627</v>
      </c>
      <c r="AJ1779" s="1">
        <v>95</v>
      </c>
      <c r="AK1779" s="1">
        <v>10</v>
      </c>
      <c r="AL1779" s="1" t="s">
        <v>31383</v>
      </c>
      <c r="AM1779" s="1" t="s">
        <v>31384</v>
      </c>
      <c r="AN1779" s="1"/>
      <c r="AO1779" s="1" t="s">
        <v>170</v>
      </c>
      <c r="AP1779" s="1" t="s">
        <v>171</v>
      </c>
      <c r="AQ1779" s="1">
        <v>87.75</v>
      </c>
      <c r="AR1779" s="1">
        <v>8.77</v>
      </c>
      <c r="AS1779" s="1"/>
      <c r="AT1779" s="1"/>
      <c r="AU1779" s="1"/>
      <c r="AV1779" s="1"/>
      <c r="AW1779" s="1"/>
      <c r="AX1779" s="1"/>
      <c r="AY1779" s="1" t="s">
        <v>576</v>
      </c>
      <c r="AZ1779" s="1" t="s">
        <v>31385</v>
      </c>
      <c r="BA1779" s="1"/>
      <c r="BB1779" s="1"/>
      <c r="BC1779" s="1" t="s">
        <v>1065</v>
      </c>
      <c r="BD1779" s="1" t="s">
        <v>632</v>
      </c>
      <c r="BE1779" s="1">
        <v>89</v>
      </c>
      <c r="BF1779" s="1">
        <v>8.9</v>
      </c>
      <c r="BG1779" s="1"/>
      <c r="BH1779" s="1"/>
      <c r="BI1779" s="1"/>
      <c r="BJ1779" s="1"/>
      <c r="BK1779" s="1"/>
      <c r="BL1779" s="1"/>
      <c r="BM1779" s="1"/>
      <c r="BN1779" s="1"/>
      <c r="BO1779" s="1" t="s">
        <v>369</v>
      </c>
      <c r="BP1779" s="1"/>
      <c r="BQ1779" s="1"/>
      <c r="BR1779" s="1" t="s">
        <v>31386</v>
      </c>
      <c r="BS1779" s="1">
        <v>9</v>
      </c>
      <c r="BT1779" s="1"/>
      <c r="BU1779" s="1" t="str">
        <f>HYPERLINK("https://nconnect.nicmar.ac.in/storage/profile/ProfilePhoto_p2270375_928736.jpg","Download")</f>
        <v>0</v>
      </c>
      <c r="BV1779" s="3"/>
      <c r="BW1779" s="3"/>
    </row>
    <row r="1780" spans="1:75">
      <c r="A1780" s="1" t="s">
        <v>75</v>
      </c>
      <c r="B1780" s="1" t="s">
        <v>25236</v>
      </c>
      <c r="C1780" s="1" t="s">
        <v>31387</v>
      </c>
      <c r="D1780" s="1" t="s">
        <v>1020</v>
      </c>
      <c r="E1780" s="1" t="s">
        <v>31388</v>
      </c>
      <c r="F1780" s="1" t="s">
        <v>31389</v>
      </c>
      <c r="G1780" s="1" t="s">
        <v>31390</v>
      </c>
      <c r="H1780" s="1" t="s">
        <v>31391</v>
      </c>
      <c r="I1780" s="1" t="s">
        <v>31392</v>
      </c>
      <c r="J1780" s="1">
        <v>8956357825</v>
      </c>
      <c r="K1780" s="1" t="s">
        <v>84</v>
      </c>
      <c r="L1780" s="1" t="s">
        <v>14229</v>
      </c>
      <c r="M1780" s="1" t="s">
        <v>86</v>
      </c>
      <c r="N1780" s="1" t="s">
        <v>30332</v>
      </c>
      <c r="O1780" s="1"/>
      <c r="P1780" s="1" t="s">
        <v>507</v>
      </c>
      <c r="Q1780" s="1" t="s">
        <v>31393</v>
      </c>
      <c r="R1780" s="1" t="s">
        <v>31394</v>
      </c>
      <c r="S1780" s="1">
        <v>9441092041</v>
      </c>
      <c r="T1780" s="1" t="s">
        <v>127</v>
      </c>
      <c r="U1780" s="1" t="s">
        <v>31395</v>
      </c>
      <c r="V1780" s="1">
        <v>9849454183</v>
      </c>
      <c r="W1780" s="1" t="s">
        <v>31396</v>
      </c>
      <c r="X1780" s="1" t="s">
        <v>31397</v>
      </c>
      <c r="Y1780" s="1" t="s">
        <v>3522</v>
      </c>
      <c r="Z1780" s="1" t="s">
        <v>281</v>
      </c>
      <c r="AA1780" s="1" t="s">
        <v>31397</v>
      </c>
      <c r="AB1780" s="1" t="s">
        <v>3522</v>
      </c>
      <c r="AC1780" s="1" t="s">
        <v>281</v>
      </c>
      <c r="AD1780" s="1" t="s">
        <v>98</v>
      </c>
      <c r="AE1780" s="1" t="s">
        <v>98</v>
      </c>
      <c r="AF1780" s="1" t="s">
        <v>31398</v>
      </c>
      <c r="AG1780" s="1" t="s">
        <v>31399</v>
      </c>
      <c r="AH1780" s="1" t="s">
        <v>101</v>
      </c>
      <c r="AI1780" s="1" t="s">
        <v>1110</v>
      </c>
      <c r="AJ1780" s="1">
        <v>97</v>
      </c>
      <c r="AK1780" s="1">
        <v>9.7</v>
      </c>
      <c r="AL1780" s="1" t="s">
        <v>31400</v>
      </c>
      <c r="AM1780" s="1" t="s">
        <v>31399</v>
      </c>
      <c r="AN1780" s="1"/>
      <c r="AO1780" s="1" t="s">
        <v>166</v>
      </c>
      <c r="AP1780" s="1" t="s">
        <v>704</v>
      </c>
      <c r="AQ1780" s="1">
        <v>93.8</v>
      </c>
      <c r="AR1780" s="1">
        <v>0</v>
      </c>
      <c r="AS1780" s="1"/>
      <c r="AT1780" s="1"/>
      <c r="AU1780" s="1"/>
      <c r="AV1780" s="1"/>
      <c r="AW1780" s="1"/>
      <c r="AX1780" s="1"/>
      <c r="AY1780" s="1" t="s">
        <v>3094</v>
      </c>
      <c r="AZ1780" s="1" t="s">
        <v>31401</v>
      </c>
      <c r="BA1780" s="1"/>
      <c r="BB1780" s="1"/>
      <c r="BC1780" s="1" t="s">
        <v>388</v>
      </c>
      <c r="BD1780" s="1" t="s">
        <v>441</v>
      </c>
      <c r="BE1780" s="1">
        <v>76</v>
      </c>
      <c r="BF1780" s="1">
        <v>8.1</v>
      </c>
      <c r="BG1780" s="1"/>
      <c r="BH1780" s="1"/>
      <c r="BI1780" s="1"/>
      <c r="BJ1780" s="1"/>
      <c r="BK1780" s="1"/>
      <c r="BL1780" s="1"/>
      <c r="BM1780" s="1"/>
      <c r="BN1780" s="1"/>
      <c r="BO1780" s="1" t="s">
        <v>31402</v>
      </c>
      <c r="BP1780" s="1"/>
      <c r="BQ1780" s="1"/>
      <c r="BR1780" s="1" t="s">
        <v>31403</v>
      </c>
      <c r="BS1780" s="1">
        <v>7</v>
      </c>
      <c r="BT1780" s="1"/>
      <c r="BU1780" s="1" t="str">
        <f>HYPERLINK("https://nconnect.nicmar.ac.in/storage/profile/ProfilePhoto_p2270376_581697.jpg","Download")</f>
        <v>0</v>
      </c>
      <c r="BV1780" s="3"/>
      <c r="BW1780" s="3"/>
    </row>
    <row r="1781" spans="1:75">
      <c r="A1781" s="1" t="s">
        <v>75</v>
      </c>
      <c r="B1781" s="1" t="s">
        <v>25236</v>
      </c>
      <c r="C1781" s="1" t="s">
        <v>31404</v>
      </c>
      <c r="D1781" s="1" t="s">
        <v>12383</v>
      </c>
      <c r="E1781" s="1" t="s">
        <v>31405</v>
      </c>
      <c r="F1781" s="1" t="s">
        <v>12454</v>
      </c>
      <c r="G1781" s="1" t="s">
        <v>31406</v>
      </c>
      <c r="H1781" s="1" t="s">
        <v>31407</v>
      </c>
      <c r="I1781" s="1" t="s">
        <v>31408</v>
      </c>
      <c r="J1781" s="1">
        <v>9512297515</v>
      </c>
      <c r="K1781" s="1" t="s">
        <v>84</v>
      </c>
      <c r="L1781" s="1" t="s">
        <v>21890</v>
      </c>
      <c r="M1781" s="1" t="s">
        <v>86</v>
      </c>
      <c r="N1781" s="1" t="s">
        <v>7185</v>
      </c>
      <c r="O1781" s="1" t="s">
        <v>31409</v>
      </c>
      <c r="P1781" s="1" t="s">
        <v>2062</v>
      </c>
      <c r="Q1781" s="1" t="s">
        <v>31410</v>
      </c>
      <c r="R1781" s="1" t="s">
        <v>31411</v>
      </c>
      <c r="S1781" s="1">
        <v>9909994575</v>
      </c>
      <c r="T1781" s="1" t="s">
        <v>31412</v>
      </c>
      <c r="U1781" s="1" t="s">
        <v>31413</v>
      </c>
      <c r="V1781" s="1">
        <v>2642355776</v>
      </c>
      <c r="W1781" s="1" t="s">
        <v>278</v>
      </c>
      <c r="X1781" s="1" t="s">
        <v>31414</v>
      </c>
      <c r="Y1781" s="1" t="s">
        <v>8744</v>
      </c>
      <c r="Z1781" s="1" t="s">
        <v>676</v>
      </c>
      <c r="AA1781" s="1" t="s">
        <v>31415</v>
      </c>
      <c r="AB1781" s="1" t="s">
        <v>196</v>
      </c>
      <c r="AC1781" s="1" t="s">
        <v>97</v>
      </c>
      <c r="AD1781" s="1" t="s">
        <v>98</v>
      </c>
      <c r="AE1781" s="1" t="s">
        <v>98</v>
      </c>
      <c r="AF1781" s="1" t="s">
        <v>8745</v>
      </c>
      <c r="AG1781" s="1" t="s">
        <v>31416</v>
      </c>
      <c r="AH1781" s="1" t="s">
        <v>136</v>
      </c>
      <c r="AI1781" s="1" t="s">
        <v>1111</v>
      </c>
      <c r="AJ1781" s="1">
        <v>77.67</v>
      </c>
      <c r="AK1781" s="1">
        <v>0</v>
      </c>
      <c r="AL1781" s="1" t="s">
        <v>31417</v>
      </c>
      <c r="AM1781" s="1" t="s">
        <v>31416</v>
      </c>
      <c r="AN1781" s="1"/>
      <c r="AO1781" s="1" t="s">
        <v>573</v>
      </c>
      <c r="AP1781" s="1" t="s">
        <v>286</v>
      </c>
      <c r="AQ1781" s="1">
        <v>55.69</v>
      </c>
      <c r="AR1781" s="1">
        <v>0</v>
      </c>
      <c r="AS1781" s="1"/>
      <c r="AT1781" s="1"/>
      <c r="AU1781" s="1"/>
      <c r="AV1781" s="1"/>
      <c r="AW1781" s="1"/>
      <c r="AX1781" s="1"/>
      <c r="AY1781" s="1" t="s">
        <v>31418</v>
      </c>
      <c r="AZ1781" s="1" t="s">
        <v>31419</v>
      </c>
      <c r="BA1781" s="1"/>
      <c r="BB1781" s="1"/>
      <c r="BC1781" s="1" t="s">
        <v>1065</v>
      </c>
      <c r="BD1781" s="1" t="s">
        <v>521</v>
      </c>
      <c r="BE1781" s="1">
        <v>87.69</v>
      </c>
      <c r="BF1781" s="1">
        <v>9.23</v>
      </c>
      <c r="BG1781" s="1"/>
      <c r="BH1781" s="1"/>
      <c r="BI1781" s="1"/>
      <c r="BJ1781" s="1"/>
      <c r="BK1781" s="1"/>
      <c r="BL1781" s="1"/>
      <c r="BM1781" s="1"/>
      <c r="BN1781" s="1"/>
      <c r="BO1781" s="1" t="s">
        <v>31420</v>
      </c>
      <c r="BP1781" s="1"/>
      <c r="BQ1781" s="1"/>
      <c r="BR1781" s="1" t="s">
        <v>31421</v>
      </c>
      <c r="BS1781" s="1">
        <v>18</v>
      </c>
      <c r="BT1781" s="1"/>
      <c r="BU1781" s="1" t="str">
        <f>HYPERLINK("https://nconnect.nicmar.ac.in/storage/profile/ProfilePhoto_p2270377_743185.jpg","Download")</f>
        <v>0</v>
      </c>
      <c r="BV1781" s="3"/>
      <c r="BW1781" s="3"/>
    </row>
    <row r="1782" spans="1:75">
      <c r="A1782" s="1" t="s">
        <v>75</v>
      </c>
      <c r="B1782" s="1" t="s">
        <v>25236</v>
      </c>
      <c r="C1782" s="1" t="s">
        <v>31422</v>
      </c>
      <c r="D1782" s="1" t="s">
        <v>31423</v>
      </c>
      <c r="E1782" s="1"/>
      <c r="F1782" s="1" t="s">
        <v>31424</v>
      </c>
      <c r="G1782" s="1" t="s">
        <v>31425</v>
      </c>
      <c r="H1782" s="1" t="s">
        <v>31426</v>
      </c>
      <c r="I1782" s="1" t="s">
        <v>31427</v>
      </c>
      <c r="J1782" s="1">
        <v>6260603929</v>
      </c>
      <c r="K1782" s="1" t="s">
        <v>84</v>
      </c>
      <c r="L1782" s="1" t="s">
        <v>31428</v>
      </c>
      <c r="M1782" s="1" t="s">
        <v>86</v>
      </c>
      <c r="N1782" s="1" t="s">
        <v>355</v>
      </c>
      <c r="O1782" s="1" t="s">
        <v>31429</v>
      </c>
      <c r="P1782" s="1" t="s">
        <v>481</v>
      </c>
      <c r="Q1782" s="1" t="s">
        <v>31430</v>
      </c>
      <c r="R1782" s="1" t="s">
        <v>31431</v>
      </c>
      <c r="S1782" s="1">
        <v>9406300457</v>
      </c>
      <c r="T1782" s="1" t="s">
        <v>31432</v>
      </c>
      <c r="U1782" s="1" t="s">
        <v>31433</v>
      </c>
      <c r="V1782" s="1">
        <v>9425513795</v>
      </c>
      <c r="W1782" s="1" t="s">
        <v>1577</v>
      </c>
      <c r="X1782" s="1" t="s">
        <v>31434</v>
      </c>
      <c r="Y1782" s="1" t="s">
        <v>2932</v>
      </c>
      <c r="Z1782" s="1" t="s">
        <v>2933</v>
      </c>
      <c r="AA1782" s="1" t="s">
        <v>31434</v>
      </c>
      <c r="AB1782" s="1" t="s">
        <v>2932</v>
      </c>
      <c r="AC1782" s="1" t="s">
        <v>2933</v>
      </c>
      <c r="AD1782" s="1" t="s">
        <v>98</v>
      </c>
      <c r="AE1782" s="1" t="s">
        <v>98</v>
      </c>
      <c r="AF1782" s="1" t="s">
        <v>4636</v>
      </c>
      <c r="AG1782" s="1" t="s">
        <v>31435</v>
      </c>
      <c r="AH1782" s="1" t="s">
        <v>1457</v>
      </c>
      <c r="AI1782" s="1" t="s">
        <v>515</v>
      </c>
      <c r="AJ1782" s="1">
        <v>63.16</v>
      </c>
      <c r="AK1782" s="1"/>
      <c r="AL1782" s="1" t="s">
        <v>31436</v>
      </c>
      <c r="AM1782" s="1" t="s">
        <v>31437</v>
      </c>
      <c r="AN1782" s="1"/>
      <c r="AO1782" s="1" t="s">
        <v>136</v>
      </c>
      <c r="AP1782" s="1" t="s">
        <v>627</v>
      </c>
      <c r="AQ1782" s="1">
        <v>67</v>
      </c>
      <c r="AR1782" s="1"/>
      <c r="AS1782" s="1"/>
      <c r="AT1782" s="1"/>
      <c r="AU1782" s="1"/>
      <c r="AV1782" s="1"/>
      <c r="AW1782" s="1"/>
      <c r="AX1782" s="1"/>
      <c r="AY1782" s="1" t="s">
        <v>31438</v>
      </c>
      <c r="AZ1782" s="1" t="s">
        <v>31439</v>
      </c>
      <c r="BA1782" s="1"/>
      <c r="BB1782" s="1"/>
      <c r="BC1782" s="1" t="s">
        <v>139</v>
      </c>
      <c r="BD1782" s="1" t="s">
        <v>233</v>
      </c>
      <c r="BE1782" s="1">
        <v>60.74</v>
      </c>
      <c r="BF1782" s="1"/>
      <c r="BG1782" s="1"/>
      <c r="BH1782" s="1"/>
      <c r="BI1782" s="1"/>
      <c r="BJ1782" s="1"/>
      <c r="BK1782" s="1"/>
      <c r="BL1782" s="1"/>
      <c r="BM1782" s="1"/>
      <c r="BN1782" s="1"/>
      <c r="BO1782" s="1" t="s">
        <v>31440</v>
      </c>
      <c r="BP1782" s="1"/>
      <c r="BQ1782" s="1"/>
      <c r="BR1782" s="1" t="s">
        <v>31441</v>
      </c>
      <c r="BS1782" s="1">
        <v>15</v>
      </c>
      <c r="BT1782" s="1"/>
      <c r="BU1782" s="1" t="str">
        <f>HYPERLINK("https://nconnect.nicmar.ac.in/storage/profile/ProfilePhoto_p2270379_317842.jpg","Download")</f>
        <v>0</v>
      </c>
      <c r="BV1782" s="3"/>
      <c r="BW1782" s="3"/>
    </row>
    <row r="1783" spans="1:75">
      <c r="A1783" s="1" t="s">
        <v>75</v>
      </c>
      <c r="B1783" s="1" t="s">
        <v>25236</v>
      </c>
      <c r="C1783" s="1" t="s">
        <v>31442</v>
      </c>
      <c r="D1783" s="1" t="s">
        <v>25906</v>
      </c>
      <c r="E1783" s="1"/>
      <c r="F1783" s="1" t="s">
        <v>12166</v>
      </c>
      <c r="G1783" s="1" t="s">
        <v>31443</v>
      </c>
      <c r="H1783" s="1" t="s">
        <v>31444</v>
      </c>
      <c r="I1783" s="1" t="s">
        <v>31445</v>
      </c>
      <c r="J1783" s="1">
        <v>9131987624</v>
      </c>
      <c r="K1783" s="1" t="s">
        <v>84</v>
      </c>
      <c r="L1783" s="1" t="s">
        <v>1548</v>
      </c>
      <c r="M1783" s="1" t="s">
        <v>86</v>
      </c>
      <c r="N1783" s="1" t="s">
        <v>4278</v>
      </c>
      <c r="O1783" s="1"/>
      <c r="P1783" s="1" t="s">
        <v>455</v>
      </c>
      <c r="Q1783" s="1" t="s">
        <v>31446</v>
      </c>
      <c r="R1783" s="1" t="s">
        <v>31447</v>
      </c>
      <c r="S1783" s="1">
        <v>9165276115</v>
      </c>
      <c r="T1783" s="1" t="s">
        <v>92</v>
      </c>
      <c r="U1783" s="1" t="s">
        <v>31448</v>
      </c>
      <c r="V1783" s="1">
        <v>9575066483</v>
      </c>
      <c r="W1783" s="1" t="s">
        <v>161</v>
      </c>
      <c r="X1783" s="1" t="s">
        <v>31449</v>
      </c>
      <c r="Y1783" s="1" t="s">
        <v>5219</v>
      </c>
      <c r="Z1783" s="1" t="s">
        <v>3419</v>
      </c>
      <c r="AA1783" s="1" t="s">
        <v>31449</v>
      </c>
      <c r="AB1783" s="1" t="s">
        <v>5219</v>
      </c>
      <c r="AC1783" s="1" t="s">
        <v>3419</v>
      </c>
      <c r="AD1783" s="1" t="s">
        <v>98</v>
      </c>
      <c r="AE1783" s="1" t="s">
        <v>98</v>
      </c>
      <c r="AF1783" s="1" t="s">
        <v>31450</v>
      </c>
      <c r="AG1783" s="1" t="s">
        <v>775</v>
      </c>
      <c r="AH1783" s="1" t="s">
        <v>515</v>
      </c>
      <c r="AI1783" s="1" t="s">
        <v>102</v>
      </c>
      <c r="AJ1783" s="1">
        <v>55.1</v>
      </c>
      <c r="AK1783" s="1">
        <v>5.8</v>
      </c>
      <c r="AL1783" s="1" t="s">
        <v>31451</v>
      </c>
      <c r="AM1783" s="1" t="s">
        <v>31452</v>
      </c>
      <c r="AN1783" s="1"/>
      <c r="AO1783" s="1" t="s">
        <v>573</v>
      </c>
      <c r="AP1783" s="1" t="s">
        <v>490</v>
      </c>
      <c r="AQ1783" s="1">
        <v>62.2</v>
      </c>
      <c r="AR1783" s="1"/>
      <c r="AS1783" s="1"/>
      <c r="AT1783" s="1"/>
      <c r="AU1783" s="1"/>
      <c r="AV1783" s="1"/>
      <c r="AW1783" s="1"/>
      <c r="AX1783" s="1"/>
      <c r="AY1783" s="1" t="s">
        <v>31453</v>
      </c>
      <c r="AZ1783" s="1" t="s">
        <v>31454</v>
      </c>
      <c r="BA1783" s="1"/>
      <c r="BB1783" s="1"/>
      <c r="BC1783" s="1" t="s">
        <v>1065</v>
      </c>
      <c r="BD1783" s="1" t="s">
        <v>289</v>
      </c>
      <c r="BE1783" s="1">
        <v>80.3</v>
      </c>
      <c r="BF1783" s="1">
        <v>8.03</v>
      </c>
      <c r="BG1783" s="1"/>
      <c r="BH1783" s="1"/>
      <c r="BI1783" s="1"/>
      <c r="BJ1783" s="1"/>
      <c r="BK1783" s="1"/>
      <c r="BL1783" s="1"/>
      <c r="BM1783" s="1"/>
      <c r="BN1783" s="1"/>
      <c r="BO1783" s="1" t="s">
        <v>1114</v>
      </c>
      <c r="BP1783" s="1"/>
      <c r="BQ1783" s="1"/>
      <c r="BR1783" s="1" t="s">
        <v>31455</v>
      </c>
      <c r="BS1783" s="1">
        <v>13</v>
      </c>
      <c r="BT1783" s="1"/>
      <c r="BU1783" s="1" t="str">
        <f>HYPERLINK("https://nconnect.nicmar.ac.in/storage/profile/ProfilePhoto_p2270380_234768.jpg","Download")</f>
        <v>0</v>
      </c>
      <c r="BV1783" s="3"/>
      <c r="BW1783" s="3"/>
    </row>
    <row r="1784" spans="1:75">
      <c r="A1784" s="1" t="s">
        <v>75</v>
      </c>
      <c r="B1784" s="1" t="s">
        <v>25236</v>
      </c>
      <c r="C1784" s="1" t="s">
        <v>31456</v>
      </c>
      <c r="D1784" s="1" t="s">
        <v>5752</v>
      </c>
      <c r="E1784" s="1"/>
      <c r="F1784" s="1" t="s">
        <v>31457</v>
      </c>
      <c r="G1784" s="1" t="s">
        <v>31458</v>
      </c>
      <c r="H1784" s="1" t="s">
        <v>31459</v>
      </c>
      <c r="I1784" s="1" t="s">
        <v>31460</v>
      </c>
      <c r="J1784" s="1">
        <v>7005607619</v>
      </c>
      <c r="K1784" s="1" t="s">
        <v>84</v>
      </c>
      <c r="L1784" s="1" t="s">
        <v>31461</v>
      </c>
      <c r="M1784" s="1" t="s">
        <v>86</v>
      </c>
      <c r="N1784" s="1" t="s">
        <v>31462</v>
      </c>
      <c r="O1784" s="1"/>
      <c r="P1784" s="1" t="s">
        <v>507</v>
      </c>
      <c r="Q1784" s="1" t="s">
        <v>31463</v>
      </c>
      <c r="R1784" s="1" t="s">
        <v>31464</v>
      </c>
      <c r="S1784" s="1">
        <v>9436128743</v>
      </c>
      <c r="T1784" s="1" t="s">
        <v>8999</v>
      </c>
      <c r="U1784" s="1" t="s">
        <v>31465</v>
      </c>
      <c r="V1784" s="1">
        <v>8837498973</v>
      </c>
      <c r="W1784" s="1" t="s">
        <v>161</v>
      </c>
      <c r="X1784" s="1" t="s">
        <v>31466</v>
      </c>
      <c r="Y1784" s="1" t="s">
        <v>31467</v>
      </c>
      <c r="Z1784" s="1" t="s">
        <v>31468</v>
      </c>
      <c r="AA1784" s="1" t="s">
        <v>31466</v>
      </c>
      <c r="AB1784" s="1" t="s">
        <v>31467</v>
      </c>
      <c r="AC1784" s="1" t="s">
        <v>31468</v>
      </c>
      <c r="AD1784" s="1" t="s">
        <v>98</v>
      </c>
      <c r="AE1784" s="1" t="s">
        <v>98</v>
      </c>
      <c r="AF1784" s="1" t="s">
        <v>31469</v>
      </c>
      <c r="AG1784" s="1" t="s">
        <v>31470</v>
      </c>
      <c r="AH1784" s="1" t="s">
        <v>515</v>
      </c>
      <c r="AI1784" s="1" t="s">
        <v>102</v>
      </c>
      <c r="AJ1784" s="1">
        <v>72</v>
      </c>
      <c r="AK1784" s="1">
        <v>7.6</v>
      </c>
      <c r="AL1784" s="1"/>
      <c r="AM1784" s="1"/>
      <c r="AN1784" s="1"/>
      <c r="AO1784" s="1"/>
      <c r="AP1784" s="1"/>
      <c r="AQ1784" s="1"/>
      <c r="AR1784" s="1"/>
      <c r="AS1784" s="1" t="s">
        <v>31471</v>
      </c>
      <c r="AT1784" s="1" t="s">
        <v>31472</v>
      </c>
      <c r="AU1784" s="1" t="s">
        <v>105</v>
      </c>
      <c r="AV1784" s="1" t="s">
        <v>174</v>
      </c>
      <c r="AW1784" s="1">
        <v>65.2</v>
      </c>
      <c r="AX1784" s="1">
        <v>6.52</v>
      </c>
      <c r="AY1784" s="1" t="s">
        <v>31473</v>
      </c>
      <c r="AZ1784" s="1" t="s">
        <v>31474</v>
      </c>
      <c r="BA1784" s="1"/>
      <c r="BB1784" s="1"/>
      <c r="BC1784" s="1" t="s">
        <v>174</v>
      </c>
      <c r="BD1784" s="1" t="s">
        <v>847</v>
      </c>
      <c r="BE1784" s="1">
        <v>66.2</v>
      </c>
      <c r="BF1784" s="1">
        <v>7.12</v>
      </c>
      <c r="BG1784" s="1"/>
      <c r="BH1784" s="1"/>
      <c r="BI1784" s="1"/>
      <c r="BJ1784" s="1"/>
      <c r="BK1784" s="1"/>
      <c r="BL1784" s="1"/>
      <c r="BM1784" s="1"/>
      <c r="BN1784" s="1"/>
      <c r="BO1784" s="1" t="s">
        <v>1315</v>
      </c>
      <c r="BP1784" s="1"/>
      <c r="BQ1784" s="1"/>
      <c r="BR1784" s="1" t="s">
        <v>31475</v>
      </c>
      <c r="BS1784" s="1">
        <v>7</v>
      </c>
      <c r="BT1784" s="1"/>
      <c r="BU1784" s="1" t="str">
        <f>HYPERLINK("https://nconnect.nicmar.ac.in/storage/profile/ProfilePhoto_p2270381_439126.jpg","Download")</f>
        <v>0</v>
      </c>
      <c r="BV1784" s="3"/>
      <c r="BW1784" s="3"/>
    </row>
    <row r="1785" spans="1:75">
      <c r="A1785" s="1" t="s">
        <v>75</v>
      </c>
      <c r="B1785" s="1" t="s">
        <v>25236</v>
      </c>
      <c r="C1785" s="1" t="s">
        <v>31476</v>
      </c>
      <c r="D1785" s="1" t="s">
        <v>12265</v>
      </c>
      <c r="E1785" s="1"/>
      <c r="F1785" s="1" t="s">
        <v>31477</v>
      </c>
      <c r="G1785" s="1" t="s">
        <v>31478</v>
      </c>
      <c r="H1785" s="1" t="s">
        <v>31479</v>
      </c>
      <c r="I1785" s="1" t="s">
        <v>31480</v>
      </c>
      <c r="J1785" s="1">
        <v>9874078214</v>
      </c>
      <c r="K1785" s="1" t="s">
        <v>84</v>
      </c>
      <c r="L1785" s="1" t="s">
        <v>31481</v>
      </c>
      <c r="M1785" s="1" t="s">
        <v>86</v>
      </c>
      <c r="N1785" s="1" t="s">
        <v>31482</v>
      </c>
      <c r="O1785" s="1" t="s">
        <v>31483</v>
      </c>
      <c r="P1785" s="1" t="s">
        <v>455</v>
      </c>
      <c r="Q1785" s="1" t="s">
        <v>31484</v>
      </c>
      <c r="R1785" s="1" t="s">
        <v>31485</v>
      </c>
      <c r="S1785" s="1">
        <v>8910872957</v>
      </c>
      <c r="T1785" s="1" t="s">
        <v>31486</v>
      </c>
      <c r="U1785" s="1" t="s">
        <v>31487</v>
      </c>
      <c r="V1785" s="1">
        <v>9433137677</v>
      </c>
      <c r="W1785" s="1" t="s">
        <v>161</v>
      </c>
      <c r="X1785" s="1" t="s">
        <v>31488</v>
      </c>
      <c r="Y1785" s="1" t="s">
        <v>3282</v>
      </c>
      <c r="Z1785" s="1" t="s">
        <v>1234</v>
      </c>
      <c r="AA1785" s="1" t="s">
        <v>31488</v>
      </c>
      <c r="AB1785" s="1" t="s">
        <v>3282</v>
      </c>
      <c r="AC1785" s="1" t="s">
        <v>1234</v>
      </c>
      <c r="AD1785" s="1" t="s">
        <v>98</v>
      </c>
      <c r="AE1785" s="1" t="s">
        <v>98</v>
      </c>
      <c r="AF1785" s="1" t="s">
        <v>31489</v>
      </c>
      <c r="AG1785" s="1" t="s">
        <v>31490</v>
      </c>
      <c r="AH1785" s="1" t="s">
        <v>3421</v>
      </c>
      <c r="AI1785" s="1" t="s">
        <v>515</v>
      </c>
      <c r="AJ1785" s="1">
        <v>89</v>
      </c>
      <c r="AK1785" s="1"/>
      <c r="AL1785" s="1" t="s">
        <v>31489</v>
      </c>
      <c r="AM1785" s="1" t="s">
        <v>31490</v>
      </c>
      <c r="AN1785" s="1"/>
      <c r="AO1785" s="1" t="s">
        <v>1110</v>
      </c>
      <c r="AP1785" s="1" t="s">
        <v>1111</v>
      </c>
      <c r="AQ1785" s="1">
        <v>84.8</v>
      </c>
      <c r="AR1785" s="1"/>
      <c r="AS1785" s="1"/>
      <c r="AT1785" s="1"/>
      <c r="AU1785" s="1"/>
      <c r="AV1785" s="1"/>
      <c r="AW1785" s="1"/>
      <c r="AX1785" s="1"/>
      <c r="AY1785" s="1" t="s">
        <v>1240</v>
      </c>
      <c r="AZ1785" s="1" t="s">
        <v>31491</v>
      </c>
      <c r="BA1785" s="1"/>
      <c r="BB1785" s="1"/>
      <c r="BC1785" s="1" t="s">
        <v>139</v>
      </c>
      <c r="BD1785" s="1" t="s">
        <v>468</v>
      </c>
      <c r="BE1785" s="1">
        <v>82.9</v>
      </c>
      <c r="BF1785" s="1">
        <v>9.04</v>
      </c>
      <c r="BG1785" s="1"/>
      <c r="BH1785" s="1"/>
      <c r="BI1785" s="1"/>
      <c r="BJ1785" s="1"/>
      <c r="BK1785" s="1"/>
      <c r="BL1785" s="1"/>
      <c r="BM1785" s="1"/>
      <c r="BN1785" s="1"/>
      <c r="BO1785" s="1" t="s">
        <v>1705</v>
      </c>
      <c r="BP1785" s="1"/>
      <c r="BQ1785" s="1"/>
      <c r="BR1785" s="1" t="s">
        <v>31492</v>
      </c>
      <c r="BS1785" s="1">
        <v>11</v>
      </c>
      <c r="BT1785" s="1"/>
      <c r="BU1785" s="1" t="str">
        <f>HYPERLINK("https://nconnect.nicmar.ac.in/storage/profile/ProfilePhoto_p2270382_294371.jpg","Download")</f>
        <v>0</v>
      </c>
      <c r="BV1785" s="3"/>
      <c r="BW1785" s="3"/>
    </row>
    <row r="1786" spans="1:75">
      <c r="A1786" s="1" t="s">
        <v>75</v>
      </c>
      <c r="B1786" s="1" t="s">
        <v>25236</v>
      </c>
      <c r="C1786" s="1" t="s">
        <v>31493</v>
      </c>
      <c r="D1786" s="1" t="s">
        <v>3649</v>
      </c>
      <c r="E1786" s="1" t="s">
        <v>2098</v>
      </c>
      <c r="F1786" s="1" t="s">
        <v>8306</v>
      </c>
      <c r="G1786" s="1" t="s">
        <v>31494</v>
      </c>
      <c r="H1786" s="1" t="s">
        <v>31495</v>
      </c>
      <c r="I1786" s="1" t="s">
        <v>31496</v>
      </c>
      <c r="J1786" s="1">
        <v>8369604150</v>
      </c>
      <c r="K1786" s="1" t="s">
        <v>84</v>
      </c>
      <c r="L1786" s="1" t="s">
        <v>31497</v>
      </c>
      <c r="M1786" s="1" t="s">
        <v>86</v>
      </c>
      <c r="N1786" s="1" t="s">
        <v>618</v>
      </c>
      <c r="O1786" s="1" t="s">
        <v>31498</v>
      </c>
      <c r="P1786" s="1" t="s">
        <v>481</v>
      </c>
      <c r="Q1786" s="1" t="s">
        <v>31499</v>
      </c>
      <c r="R1786" s="1" t="s">
        <v>8312</v>
      </c>
      <c r="S1786" s="1">
        <v>8369601163</v>
      </c>
      <c r="T1786" s="1" t="s">
        <v>645</v>
      </c>
      <c r="U1786" s="1" t="s">
        <v>31500</v>
      </c>
      <c r="V1786" s="1">
        <v>9821760081</v>
      </c>
      <c r="W1786" s="1" t="s">
        <v>161</v>
      </c>
      <c r="X1786" s="1" t="s">
        <v>31501</v>
      </c>
      <c r="Y1786" s="1" t="s">
        <v>1882</v>
      </c>
      <c r="Z1786" s="1" t="s">
        <v>97</v>
      </c>
      <c r="AA1786" s="1" t="s">
        <v>31501</v>
      </c>
      <c r="AB1786" s="1" t="s">
        <v>1882</v>
      </c>
      <c r="AC1786" s="1" t="s">
        <v>97</v>
      </c>
      <c r="AD1786" s="1" t="s">
        <v>98</v>
      </c>
      <c r="AE1786" s="1" t="s">
        <v>98</v>
      </c>
      <c r="AF1786" s="1" t="s">
        <v>31502</v>
      </c>
      <c r="AG1786" s="1" t="s">
        <v>5912</v>
      </c>
      <c r="AH1786" s="1" t="s">
        <v>101</v>
      </c>
      <c r="AI1786" s="1" t="s">
        <v>102</v>
      </c>
      <c r="AJ1786" s="1">
        <v>89.6</v>
      </c>
      <c r="AK1786" s="1"/>
      <c r="AL1786" s="1" t="s">
        <v>31503</v>
      </c>
      <c r="AM1786" s="1" t="s">
        <v>5912</v>
      </c>
      <c r="AN1786" s="1"/>
      <c r="AO1786" s="1" t="s">
        <v>167</v>
      </c>
      <c r="AP1786" s="1" t="s">
        <v>518</v>
      </c>
      <c r="AQ1786" s="1">
        <v>57.38</v>
      </c>
      <c r="AR1786" s="1"/>
      <c r="AS1786" s="1"/>
      <c r="AT1786" s="1"/>
      <c r="AU1786" s="1"/>
      <c r="AV1786" s="1"/>
      <c r="AW1786" s="1"/>
      <c r="AX1786" s="1"/>
      <c r="AY1786" s="1" t="s">
        <v>258</v>
      </c>
      <c r="AZ1786" s="1" t="s">
        <v>31504</v>
      </c>
      <c r="BA1786" s="1"/>
      <c r="BB1786" s="1"/>
      <c r="BC1786" s="1" t="s">
        <v>230</v>
      </c>
      <c r="BD1786" s="1" t="s">
        <v>871</v>
      </c>
      <c r="BE1786" s="1">
        <v>70.97</v>
      </c>
      <c r="BF1786" s="1">
        <v>7.97</v>
      </c>
      <c r="BG1786" s="1"/>
      <c r="BH1786" s="1"/>
      <c r="BI1786" s="1"/>
      <c r="BJ1786" s="1"/>
      <c r="BK1786" s="1"/>
      <c r="BL1786" s="1"/>
      <c r="BM1786" s="1"/>
      <c r="BN1786" s="1"/>
      <c r="BO1786" s="1" t="s">
        <v>31505</v>
      </c>
      <c r="BP1786" s="1"/>
      <c r="BQ1786" s="1"/>
      <c r="BR1786" s="1" t="s">
        <v>31506</v>
      </c>
      <c r="BS1786" s="1">
        <v>11</v>
      </c>
      <c r="BT1786" s="1"/>
      <c r="BU1786" s="1" t="str">
        <f>HYPERLINK("https://nconnect.nicmar.ac.in/storage/profile/ProfilePhoto_p2270383_618359.jpg","Download")</f>
        <v>0</v>
      </c>
      <c r="BV1786" s="3"/>
      <c r="BW1786" s="3"/>
    </row>
    <row r="1787" spans="1:75">
      <c r="A1787" s="1" t="s">
        <v>75</v>
      </c>
      <c r="B1787" s="1" t="s">
        <v>25236</v>
      </c>
      <c r="C1787" s="1" t="s">
        <v>31507</v>
      </c>
      <c r="D1787" s="1" t="s">
        <v>31508</v>
      </c>
      <c r="E1787" s="1"/>
      <c r="F1787" s="1" t="s">
        <v>31509</v>
      </c>
      <c r="G1787" s="1" t="s">
        <v>31510</v>
      </c>
      <c r="H1787" s="1" t="s">
        <v>31511</v>
      </c>
      <c r="I1787" s="1" t="s">
        <v>31512</v>
      </c>
      <c r="J1787" s="1">
        <v>9752834067</v>
      </c>
      <c r="K1787" s="1" t="s">
        <v>153</v>
      </c>
      <c r="L1787" s="1" t="s">
        <v>28537</v>
      </c>
      <c r="M1787" s="1" t="s">
        <v>86</v>
      </c>
      <c r="N1787" s="1" t="s">
        <v>12510</v>
      </c>
      <c r="O1787" s="1" t="s">
        <v>31513</v>
      </c>
      <c r="P1787" s="1" t="s">
        <v>507</v>
      </c>
      <c r="Q1787" s="1" t="s">
        <v>31514</v>
      </c>
      <c r="R1787" s="1" t="s">
        <v>31515</v>
      </c>
      <c r="S1787" s="1">
        <v>9826540900</v>
      </c>
      <c r="T1787" s="1" t="s">
        <v>926</v>
      </c>
      <c r="U1787" s="1" t="s">
        <v>31516</v>
      </c>
      <c r="V1787" s="1">
        <v>9977240900</v>
      </c>
      <c r="W1787" s="1" t="s">
        <v>31517</v>
      </c>
      <c r="X1787" s="1" t="s">
        <v>31518</v>
      </c>
      <c r="Y1787" s="1" t="s">
        <v>5641</v>
      </c>
      <c r="Z1787" s="1" t="s">
        <v>3419</v>
      </c>
      <c r="AA1787" s="1" t="s">
        <v>31518</v>
      </c>
      <c r="AB1787" s="1" t="s">
        <v>5641</v>
      </c>
      <c r="AC1787" s="1" t="s">
        <v>3419</v>
      </c>
      <c r="AD1787" s="1" t="s">
        <v>98</v>
      </c>
      <c r="AE1787" s="1" t="s">
        <v>98</v>
      </c>
      <c r="AF1787" s="1" t="s">
        <v>31519</v>
      </c>
      <c r="AG1787" s="1" t="s">
        <v>775</v>
      </c>
      <c r="AH1787" s="1" t="s">
        <v>3923</v>
      </c>
      <c r="AI1787" s="1" t="s">
        <v>3965</v>
      </c>
      <c r="AJ1787" s="1">
        <v>72.2</v>
      </c>
      <c r="AK1787" s="1">
        <v>7.6</v>
      </c>
      <c r="AL1787" s="1" t="s">
        <v>31519</v>
      </c>
      <c r="AM1787" s="1" t="s">
        <v>775</v>
      </c>
      <c r="AN1787" s="1"/>
      <c r="AO1787" s="1" t="s">
        <v>1457</v>
      </c>
      <c r="AP1787" s="1" t="s">
        <v>1262</v>
      </c>
      <c r="AQ1787" s="1">
        <v>66.2</v>
      </c>
      <c r="AR1787" s="1">
        <v>6.97</v>
      </c>
      <c r="AS1787" s="1"/>
      <c r="AT1787" s="1"/>
      <c r="AU1787" s="1"/>
      <c r="AV1787" s="1"/>
      <c r="AW1787" s="1"/>
      <c r="AX1787" s="1"/>
      <c r="AY1787" s="1" t="s">
        <v>31520</v>
      </c>
      <c r="AZ1787" s="1" t="s">
        <v>31521</v>
      </c>
      <c r="BA1787" s="1"/>
      <c r="BB1787" s="1"/>
      <c r="BC1787" s="1" t="s">
        <v>257</v>
      </c>
      <c r="BD1787" s="1" t="s">
        <v>438</v>
      </c>
      <c r="BE1787" s="1">
        <v>68.8</v>
      </c>
      <c r="BF1787" s="1">
        <v>6.88</v>
      </c>
      <c r="BG1787" s="1"/>
      <c r="BH1787" s="1"/>
      <c r="BI1787" s="1"/>
      <c r="BJ1787" s="1"/>
      <c r="BK1787" s="1"/>
      <c r="BL1787" s="1"/>
      <c r="BM1787" s="1"/>
      <c r="BN1787" s="1"/>
      <c r="BO1787" s="1" t="s">
        <v>31522</v>
      </c>
      <c r="BP1787" s="1" t="s">
        <v>31523</v>
      </c>
      <c r="BQ1787" s="1" t="s">
        <v>2213</v>
      </c>
      <c r="BR1787" s="1" t="s">
        <v>31524</v>
      </c>
      <c r="BS1787" s="1">
        <v>15</v>
      </c>
      <c r="BT1787" s="1"/>
      <c r="BU1787" s="1" t="str">
        <f>HYPERLINK("https://nconnect.nicmar.ac.in/storage/profile/ProfilePhoto_p2270384_574386.jpg","Download")</f>
        <v>0</v>
      </c>
      <c r="BV1787" s="3"/>
      <c r="BW1787" s="3"/>
    </row>
    <row r="1788" spans="1:75">
      <c r="A1788" s="1" t="s">
        <v>75</v>
      </c>
      <c r="B1788" s="1" t="s">
        <v>25236</v>
      </c>
      <c r="C1788" s="1" t="s">
        <v>31525</v>
      </c>
      <c r="D1788" s="1" t="s">
        <v>31526</v>
      </c>
      <c r="E1788" s="1" t="s">
        <v>11506</v>
      </c>
      <c r="F1788" s="1" t="s">
        <v>31527</v>
      </c>
      <c r="G1788" s="1" t="s">
        <v>31528</v>
      </c>
      <c r="H1788" s="1" t="s">
        <v>31529</v>
      </c>
      <c r="I1788" s="1" t="s">
        <v>31530</v>
      </c>
      <c r="J1788" s="1">
        <v>9497427424</v>
      </c>
      <c r="K1788" s="1" t="s">
        <v>84</v>
      </c>
      <c r="L1788" s="1" t="s">
        <v>31531</v>
      </c>
      <c r="M1788" s="1" t="s">
        <v>86</v>
      </c>
      <c r="N1788" s="1" t="s">
        <v>1300</v>
      </c>
      <c r="O1788" s="1" t="s">
        <v>31532</v>
      </c>
      <c r="P1788" s="1" t="s">
        <v>507</v>
      </c>
      <c r="Q1788" s="1" t="s">
        <v>31533</v>
      </c>
      <c r="R1788" s="1" t="s">
        <v>31534</v>
      </c>
      <c r="S1788" s="1">
        <v>9249712245</v>
      </c>
      <c r="T1788" s="1" t="s">
        <v>27158</v>
      </c>
      <c r="U1788" s="1" t="s">
        <v>31535</v>
      </c>
      <c r="V1788" s="1">
        <v>9495554550</v>
      </c>
      <c r="W1788" s="1" t="s">
        <v>541</v>
      </c>
      <c r="X1788" s="1" t="s">
        <v>31536</v>
      </c>
      <c r="Y1788" s="1" t="s">
        <v>19921</v>
      </c>
      <c r="Z1788" s="1" t="s">
        <v>130</v>
      </c>
      <c r="AA1788" s="1" t="s">
        <v>31537</v>
      </c>
      <c r="AB1788" s="1" t="s">
        <v>701</v>
      </c>
      <c r="AC1788" s="1" t="s">
        <v>130</v>
      </c>
      <c r="AD1788" s="1" t="s">
        <v>98</v>
      </c>
      <c r="AE1788" s="1" t="s">
        <v>98</v>
      </c>
      <c r="AF1788" s="1" t="s">
        <v>31538</v>
      </c>
      <c r="AG1788" s="1" t="s">
        <v>775</v>
      </c>
      <c r="AH1788" s="1" t="s">
        <v>101</v>
      </c>
      <c r="AI1788" s="1" t="s">
        <v>136</v>
      </c>
      <c r="AJ1788" s="1">
        <v>83.6</v>
      </c>
      <c r="AK1788" s="1">
        <v>8.8</v>
      </c>
      <c r="AL1788" s="1" t="s">
        <v>31539</v>
      </c>
      <c r="AM1788" s="1" t="s">
        <v>775</v>
      </c>
      <c r="AN1788" s="1"/>
      <c r="AO1788" s="1" t="s">
        <v>101</v>
      </c>
      <c r="AP1788" s="1" t="s">
        <v>573</v>
      </c>
      <c r="AQ1788" s="1">
        <v>81</v>
      </c>
      <c r="AR1788" s="1"/>
      <c r="AS1788" s="1"/>
      <c r="AT1788" s="1"/>
      <c r="AU1788" s="1"/>
      <c r="AV1788" s="1"/>
      <c r="AW1788" s="1"/>
      <c r="AX1788" s="1"/>
      <c r="AY1788" s="1" t="s">
        <v>137</v>
      </c>
      <c r="AZ1788" s="1" t="s">
        <v>31540</v>
      </c>
      <c r="BA1788" s="1"/>
      <c r="BB1788" s="1"/>
      <c r="BC1788" s="1" t="s">
        <v>230</v>
      </c>
      <c r="BD1788" s="1" t="s">
        <v>441</v>
      </c>
      <c r="BE1788" s="1">
        <v>77.3</v>
      </c>
      <c r="BF1788" s="1">
        <v>7.73</v>
      </c>
      <c r="BG1788" s="1"/>
      <c r="BH1788" s="1"/>
      <c r="BI1788" s="1"/>
      <c r="BJ1788" s="1"/>
      <c r="BK1788" s="1"/>
      <c r="BL1788" s="1"/>
      <c r="BM1788" s="1"/>
      <c r="BN1788" s="1"/>
      <c r="BO1788" s="1" t="s">
        <v>31541</v>
      </c>
      <c r="BP1788" s="1" t="s">
        <v>31542</v>
      </c>
      <c r="BQ1788" s="1" t="s">
        <v>1070</v>
      </c>
      <c r="BR1788" s="1" t="s">
        <v>31543</v>
      </c>
      <c r="BS1788" s="1">
        <v>-511</v>
      </c>
      <c r="BT1788" s="1"/>
      <c r="BU1788" s="1" t="str">
        <f>HYPERLINK("https://nconnect.nicmar.ac.in/storage/profile/ProfilePhoto_p2270385_978231.jpg","Download")</f>
        <v>0</v>
      </c>
      <c r="BV1788" s="3"/>
      <c r="BW1788" s="3"/>
    </row>
    <row r="1789" spans="1:75">
      <c r="A1789" s="1" t="s">
        <v>75</v>
      </c>
      <c r="B1789" s="1" t="s">
        <v>25236</v>
      </c>
      <c r="C1789" s="1" t="s">
        <v>31544</v>
      </c>
      <c r="D1789" s="1" t="s">
        <v>20600</v>
      </c>
      <c r="E1789" s="1" t="s">
        <v>4802</v>
      </c>
      <c r="F1789" s="1" t="s">
        <v>10761</v>
      </c>
      <c r="G1789" s="1" t="s">
        <v>31545</v>
      </c>
      <c r="H1789" s="1" t="s">
        <v>31546</v>
      </c>
      <c r="I1789" s="1" t="s">
        <v>31547</v>
      </c>
      <c r="J1789" s="1">
        <v>7356825622</v>
      </c>
      <c r="K1789" s="1" t="s">
        <v>84</v>
      </c>
      <c r="L1789" s="1" t="s">
        <v>30740</v>
      </c>
      <c r="M1789" s="1" t="s">
        <v>86</v>
      </c>
      <c r="N1789" s="1" t="s">
        <v>26958</v>
      </c>
      <c r="O1789" s="1" t="s">
        <v>31548</v>
      </c>
      <c r="P1789" s="1" t="s">
        <v>507</v>
      </c>
      <c r="Q1789" s="1" t="s">
        <v>31549</v>
      </c>
      <c r="R1789" s="1" t="s">
        <v>31550</v>
      </c>
      <c r="S1789" s="1">
        <v>9400990247</v>
      </c>
      <c r="T1789" s="1" t="s">
        <v>31551</v>
      </c>
      <c r="U1789" s="1" t="s">
        <v>31552</v>
      </c>
      <c r="V1789" s="1">
        <v>9746818175</v>
      </c>
      <c r="W1789" s="1" t="s">
        <v>94</v>
      </c>
      <c r="X1789" s="1" t="s">
        <v>31553</v>
      </c>
      <c r="Y1789" s="1" t="s">
        <v>5313</v>
      </c>
      <c r="Z1789" s="1" t="s">
        <v>130</v>
      </c>
      <c r="AA1789" s="1" t="s">
        <v>31553</v>
      </c>
      <c r="AB1789" s="1" t="s">
        <v>5313</v>
      </c>
      <c r="AC1789" s="1" t="s">
        <v>130</v>
      </c>
      <c r="AD1789" s="1" t="s">
        <v>98</v>
      </c>
      <c r="AE1789" s="1" t="s">
        <v>98</v>
      </c>
      <c r="AF1789" s="1" t="s">
        <v>31554</v>
      </c>
      <c r="AG1789" s="1" t="s">
        <v>1310</v>
      </c>
      <c r="AH1789" s="1" t="s">
        <v>101</v>
      </c>
      <c r="AI1789" s="1" t="s">
        <v>102</v>
      </c>
      <c r="AJ1789" s="1">
        <v>87.33</v>
      </c>
      <c r="AK1789" s="1">
        <v>0</v>
      </c>
      <c r="AL1789" s="1" t="s">
        <v>31555</v>
      </c>
      <c r="AM1789" s="1" t="s">
        <v>1310</v>
      </c>
      <c r="AN1789" s="1"/>
      <c r="AO1789" s="1" t="s">
        <v>166</v>
      </c>
      <c r="AP1789" s="1" t="s">
        <v>200</v>
      </c>
      <c r="AQ1789" s="1">
        <v>89</v>
      </c>
      <c r="AR1789" s="1">
        <v>0</v>
      </c>
      <c r="AS1789" s="1"/>
      <c r="AT1789" s="1"/>
      <c r="AU1789" s="1"/>
      <c r="AV1789" s="1"/>
      <c r="AW1789" s="1"/>
      <c r="AX1789" s="1"/>
      <c r="AY1789" s="1" t="s">
        <v>137</v>
      </c>
      <c r="AZ1789" s="1" t="s">
        <v>31556</v>
      </c>
      <c r="BA1789" s="1"/>
      <c r="BB1789" s="1"/>
      <c r="BC1789" s="1" t="s">
        <v>230</v>
      </c>
      <c r="BD1789" s="1" t="s">
        <v>847</v>
      </c>
      <c r="BE1789" s="1">
        <v>76.5</v>
      </c>
      <c r="BF1789" s="1">
        <v>7.65</v>
      </c>
      <c r="BG1789" s="1"/>
      <c r="BH1789" s="1"/>
      <c r="BI1789" s="1"/>
      <c r="BJ1789" s="1"/>
      <c r="BK1789" s="1"/>
      <c r="BL1789" s="1"/>
      <c r="BM1789" s="1"/>
      <c r="BN1789" s="1"/>
      <c r="BO1789" s="1" t="s">
        <v>31557</v>
      </c>
      <c r="BP1789" s="1"/>
      <c r="BQ1789" s="1"/>
      <c r="BR1789" s="1" t="s">
        <v>31558</v>
      </c>
      <c r="BS1789" s="1">
        <v>34</v>
      </c>
      <c r="BT1789" s="1"/>
      <c r="BU1789" s="1" t="str">
        <f>HYPERLINK("https://nconnect.nicmar.ac.in/storage/profile/ProfilePhoto_p2270387_594731.jpg","Download")</f>
        <v>0</v>
      </c>
      <c r="BV1789" s="3"/>
      <c r="BW1789" s="3"/>
    </row>
    <row r="1790" spans="1:75">
      <c r="A1790" s="1" t="s">
        <v>75</v>
      </c>
      <c r="B1790" s="1" t="s">
        <v>25236</v>
      </c>
      <c r="C1790" s="1" t="s">
        <v>31559</v>
      </c>
      <c r="D1790" s="1" t="s">
        <v>27135</v>
      </c>
      <c r="E1790" s="1" t="s">
        <v>12383</v>
      </c>
      <c r="F1790" s="1" t="s">
        <v>31560</v>
      </c>
      <c r="G1790" s="1" t="s">
        <v>31561</v>
      </c>
      <c r="H1790" s="1" t="s">
        <v>31562</v>
      </c>
      <c r="I1790" s="1" t="s">
        <v>31563</v>
      </c>
      <c r="J1790" s="1">
        <v>8605954015</v>
      </c>
      <c r="K1790" s="1" t="s">
        <v>153</v>
      </c>
      <c r="L1790" s="1" t="s">
        <v>10585</v>
      </c>
      <c r="M1790" s="1" t="s">
        <v>86</v>
      </c>
      <c r="N1790" s="1" t="s">
        <v>618</v>
      </c>
      <c r="O1790" s="1" t="s">
        <v>31564</v>
      </c>
      <c r="P1790" s="1" t="s">
        <v>481</v>
      </c>
      <c r="Q1790" s="1" t="s">
        <v>31565</v>
      </c>
      <c r="R1790" s="1" t="s">
        <v>31566</v>
      </c>
      <c r="S1790" s="1">
        <v>9822772160</v>
      </c>
      <c r="T1790" s="1" t="s">
        <v>839</v>
      </c>
      <c r="U1790" s="1" t="s">
        <v>31567</v>
      </c>
      <c r="V1790" s="1">
        <v>9623934424</v>
      </c>
      <c r="W1790" s="1" t="s">
        <v>94</v>
      </c>
      <c r="X1790" s="1" t="s">
        <v>31568</v>
      </c>
      <c r="Y1790" s="1" t="s">
        <v>1779</v>
      </c>
      <c r="Z1790" s="1" t="s">
        <v>97</v>
      </c>
      <c r="AA1790" s="1" t="s">
        <v>31569</v>
      </c>
      <c r="AB1790" s="1" t="s">
        <v>196</v>
      </c>
      <c r="AC1790" s="1" t="s">
        <v>97</v>
      </c>
      <c r="AD1790" s="1" t="s">
        <v>98</v>
      </c>
      <c r="AE1790" s="1" t="s">
        <v>98</v>
      </c>
      <c r="AF1790" s="1" t="s">
        <v>31570</v>
      </c>
      <c r="AG1790" s="1" t="s">
        <v>31571</v>
      </c>
      <c r="AH1790" s="1" t="s">
        <v>10231</v>
      </c>
      <c r="AI1790" s="1" t="s">
        <v>515</v>
      </c>
      <c r="AJ1790" s="1">
        <v>91.2</v>
      </c>
      <c r="AK1790" s="1">
        <v>9.6</v>
      </c>
      <c r="AL1790" s="1" t="s">
        <v>31570</v>
      </c>
      <c r="AM1790" s="1" t="s">
        <v>31571</v>
      </c>
      <c r="AN1790" s="1"/>
      <c r="AO1790" s="1" t="s">
        <v>1214</v>
      </c>
      <c r="AP1790" s="1" t="s">
        <v>1111</v>
      </c>
      <c r="AQ1790" s="1">
        <v>87.2</v>
      </c>
      <c r="AR1790" s="1"/>
      <c r="AS1790" s="1"/>
      <c r="AT1790" s="1"/>
      <c r="AU1790" s="1"/>
      <c r="AV1790" s="1"/>
      <c r="AW1790" s="1"/>
      <c r="AX1790" s="1"/>
      <c r="AY1790" s="1" t="s">
        <v>31572</v>
      </c>
      <c r="AZ1790" s="1" t="s">
        <v>31573</v>
      </c>
      <c r="BA1790" s="1"/>
      <c r="BB1790" s="1"/>
      <c r="BC1790" s="1" t="s">
        <v>167</v>
      </c>
      <c r="BD1790" s="1" t="s">
        <v>847</v>
      </c>
      <c r="BE1790" s="1">
        <v>80</v>
      </c>
      <c r="BF1790" s="1">
        <v>8.42</v>
      </c>
      <c r="BG1790" s="1"/>
      <c r="BH1790" s="1"/>
      <c r="BI1790" s="1"/>
      <c r="BJ1790" s="1"/>
      <c r="BK1790" s="1"/>
      <c r="BL1790" s="1"/>
      <c r="BM1790" s="1"/>
      <c r="BN1790" s="1"/>
      <c r="BO1790" s="1" t="s">
        <v>31574</v>
      </c>
      <c r="BP1790" s="1"/>
      <c r="BQ1790" s="1"/>
      <c r="BR1790" s="1" t="s">
        <v>31575</v>
      </c>
      <c r="BS1790" s="1">
        <v>84</v>
      </c>
      <c r="BT1790" s="1"/>
      <c r="BU1790" s="1" t="str">
        <f>HYPERLINK("https://nconnect.nicmar.ac.in/storage/profile/ProfilePhoto_p2270388_139582.jpg","Download")</f>
        <v>0</v>
      </c>
      <c r="BV1790" s="3"/>
      <c r="BW1790" s="3"/>
    </row>
    <row r="1791" spans="1:75">
      <c r="A1791" s="1" t="s">
        <v>75</v>
      </c>
      <c r="B1791" s="1" t="s">
        <v>25236</v>
      </c>
      <c r="C1791" s="1" t="s">
        <v>31576</v>
      </c>
      <c r="D1791" s="1" t="s">
        <v>28710</v>
      </c>
      <c r="E1791" s="1" t="s">
        <v>31577</v>
      </c>
      <c r="F1791" s="1" t="s">
        <v>31578</v>
      </c>
      <c r="G1791" s="1" t="s">
        <v>31579</v>
      </c>
      <c r="H1791" s="1" t="s">
        <v>31580</v>
      </c>
      <c r="I1791" s="1" t="s">
        <v>31581</v>
      </c>
      <c r="J1791" s="1">
        <v>9481524566</v>
      </c>
      <c r="K1791" s="1" t="s">
        <v>84</v>
      </c>
      <c r="L1791" s="1" t="s">
        <v>31582</v>
      </c>
      <c r="M1791" s="1" t="s">
        <v>86</v>
      </c>
      <c r="N1791" s="1" t="s">
        <v>3980</v>
      </c>
      <c r="O1791" s="1" t="s">
        <v>31583</v>
      </c>
      <c r="P1791" s="1" t="s">
        <v>455</v>
      </c>
      <c r="Q1791" s="1" t="s">
        <v>31584</v>
      </c>
      <c r="R1791" s="1" t="s">
        <v>31585</v>
      </c>
      <c r="S1791" s="1">
        <v>9448301791</v>
      </c>
      <c r="T1791" s="1" t="s">
        <v>3396</v>
      </c>
      <c r="U1791" s="1" t="s">
        <v>31586</v>
      </c>
      <c r="V1791" s="1">
        <v>7411911563</v>
      </c>
      <c r="W1791" s="1" t="s">
        <v>278</v>
      </c>
      <c r="X1791" s="1" t="s">
        <v>31587</v>
      </c>
      <c r="Y1791" s="1" t="s">
        <v>3011</v>
      </c>
      <c r="Z1791" s="1" t="s">
        <v>1210</v>
      </c>
      <c r="AA1791" s="1" t="s">
        <v>31587</v>
      </c>
      <c r="AB1791" s="1" t="s">
        <v>3011</v>
      </c>
      <c r="AC1791" s="1" t="s">
        <v>1210</v>
      </c>
      <c r="AD1791" s="1" t="s">
        <v>98</v>
      </c>
      <c r="AE1791" s="1" t="s">
        <v>98</v>
      </c>
      <c r="AF1791" s="1" t="s">
        <v>9398</v>
      </c>
      <c r="AG1791" s="1" t="s">
        <v>31588</v>
      </c>
      <c r="AH1791" s="1" t="s">
        <v>23295</v>
      </c>
      <c r="AI1791" s="1" t="s">
        <v>1214</v>
      </c>
      <c r="AJ1791" s="1">
        <v>85.92</v>
      </c>
      <c r="AK1791" s="1"/>
      <c r="AL1791" s="1" t="s">
        <v>31589</v>
      </c>
      <c r="AM1791" s="1" t="s">
        <v>31588</v>
      </c>
      <c r="AN1791" s="1"/>
      <c r="AO1791" s="1" t="s">
        <v>515</v>
      </c>
      <c r="AP1791" s="1" t="s">
        <v>1111</v>
      </c>
      <c r="AQ1791" s="1">
        <v>61.1</v>
      </c>
      <c r="AR1791" s="1"/>
      <c r="AS1791" s="1"/>
      <c r="AT1791" s="1"/>
      <c r="AU1791" s="1"/>
      <c r="AV1791" s="1"/>
      <c r="AW1791" s="1"/>
      <c r="AX1791" s="1"/>
      <c r="AY1791" s="1" t="s">
        <v>7595</v>
      </c>
      <c r="AZ1791" s="1" t="s">
        <v>31590</v>
      </c>
      <c r="BA1791" s="1"/>
      <c r="BB1791" s="1"/>
      <c r="BC1791" s="1" t="s">
        <v>139</v>
      </c>
      <c r="BD1791" s="1" t="s">
        <v>441</v>
      </c>
      <c r="BE1791" s="1">
        <v>81.2</v>
      </c>
      <c r="BF1791" s="1">
        <v>8.12</v>
      </c>
      <c r="BG1791" s="1"/>
      <c r="BH1791" s="1"/>
      <c r="BI1791" s="1"/>
      <c r="BJ1791" s="1"/>
      <c r="BK1791" s="1"/>
      <c r="BL1791" s="1"/>
      <c r="BM1791" s="1"/>
      <c r="BN1791" s="1"/>
      <c r="BO1791" s="1" t="s">
        <v>31591</v>
      </c>
      <c r="BP1791" s="1" t="s">
        <v>31592</v>
      </c>
      <c r="BQ1791" s="1" t="s">
        <v>9405</v>
      </c>
      <c r="BR1791" s="1" t="s">
        <v>31593</v>
      </c>
      <c r="BS1791" s="1">
        <v>-57</v>
      </c>
      <c r="BT1791" s="1"/>
      <c r="BU1791" s="1" t="str">
        <f>HYPERLINK("https://nconnect.nicmar.ac.in/storage/profile/ProfilePhoto_p2270389_736425.jpg","Download")</f>
        <v>0</v>
      </c>
      <c r="BV1791" s="3"/>
      <c r="BW1791" s="3"/>
    </row>
    <row r="1792" spans="1:75">
      <c r="A1792" s="1" t="s">
        <v>75</v>
      </c>
      <c r="B1792" s="1" t="s">
        <v>25236</v>
      </c>
      <c r="C1792" s="1" t="s">
        <v>31594</v>
      </c>
      <c r="D1792" s="1" t="s">
        <v>31595</v>
      </c>
      <c r="E1792" s="1"/>
      <c r="F1792" s="1" t="s">
        <v>31595</v>
      </c>
      <c r="G1792" s="1" t="s">
        <v>31596</v>
      </c>
      <c r="H1792" s="1" t="s">
        <v>31597</v>
      </c>
      <c r="I1792" s="1" t="s">
        <v>31598</v>
      </c>
      <c r="J1792" s="1">
        <v>9873002056</v>
      </c>
      <c r="K1792" s="1" t="s">
        <v>84</v>
      </c>
      <c r="L1792" s="1" t="s">
        <v>31599</v>
      </c>
      <c r="M1792" s="1" t="s">
        <v>86</v>
      </c>
      <c r="N1792" s="1" t="s">
        <v>31600</v>
      </c>
      <c r="O1792" s="1" t="s">
        <v>31601</v>
      </c>
      <c r="P1792" s="1" t="s">
        <v>455</v>
      </c>
      <c r="Q1792" s="1" t="s">
        <v>31602</v>
      </c>
      <c r="R1792" s="1" t="s">
        <v>31603</v>
      </c>
      <c r="S1792" s="1">
        <v>7905517181</v>
      </c>
      <c r="T1792" s="1" t="s">
        <v>31604</v>
      </c>
      <c r="U1792" s="1" t="s">
        <v>31605</v>
      </c>
      <c r="V1792" s="1">
        <v>7905517181</v>
      </c>
      <c r="W1792" s="1" t="s">
        <v>94</v>
      </c>
      <c r="X1792" s="1" t="s">
        <v>31606</v>
      </c>
      <c r="Y1792" s="1" t="s">
        <v>28737</v>
      </c>
      <c r="Z1792" s="1" t="s">
        <v>544</v>
      </c>
      <c r="AA1792" s="1" t="s">
        <v>31607</v>
      </c>
      <c r="AB1792" s="1" t="s">
        <v>196</v>
      </c>
      <c r="AC1792" s="1" t="s">
        <v>97</v>
      </c>
      <c r="AD1792" s="1" t="s">
        <v>98</v>
      </c>
      <c r="AE1792" s="1" t="s">
        <v>98</v>
      </c>
      <c r="AF1792" s="1" t="s">
        <v>31608</v>
      </c>
      <c r="AG1792" s="1" t="s">
        <v>31609</v>
      </c>
      <c r="AH1792" s="1" t="s">
        <v>1213</v>
      </c>
      <c r="AI1792" s="1" t="s">
        <v>515</v>
      </c>
      <c r="AJ1792" s="1">
        <v>87.4</v>
      </c>
      <c r="AK1792" s="1">
        <v>9.2</v>
      </c>
      <c r="AL1792" s="1" t="s">
        <v>31610</v>
      </c>
      <c r="AM1792" s="1" t="s">
        <v>31609</v>
      </c>
      <c r="AN1792" s="1"/>
      <c r="AO1792" s="1" t="s">
        <v>1110</v>
      </c>
      <c r="AP1792" s="1" t="s">
        <v>1111</v>
      </c>
      <c r="AQ1792" s="1">
        <v>75.2</v>
      </c>
      <c r="AR1792" s="1"/>
      <c r="AS1792" s="1"/>
      <c r="AT1792" s="1"/>
      <c r="AU1792" s="1"/>
      <c r="AV1792" s="1"/>
      <c r="AW1792" s="1"/>
      <c r="AX1792" s="1"/>
      <c r="AY1792" s="1" t="s">
        <v>14921</v>
      </c>
      <c r="AZ1792" s="1" t="s">
        <v>31611</v>
      </c>
      <c r="BA1792" s="1"/>
      <c r="BB1792" s="1"/>
      <c r="BC1792" s="1" t="s">
        <v>1396</v>
      </c>
      <c r="BD1792" s="1" t="s">
        <v>890</v>
      </c>
      <c r="BE1792" s="1">
        <v>75.6</v>
      </c>
      <c r="BF1792" s="1">
        <v>7.56</v>
      </c>
      <c r="BG1792" s="1"/>
      <c r="BH1792" s="1"/>
      <c r="BI1792" s="1"/>
      <c r="BJ1792" s="1"/>
      <c r="BK1792" s="1"/>
      <c r="BL1792" s="1"/>
      <c r="BM1792" s="1"/>
      <c r="BN1792" s="1"/>
      <c r="BO1792" s="1" t="s">
        <v>31612</v>
      </c>
      <c r="BP1792" s="1" t="s">
        <v>31613</v>
      </c>
      <c r="BQ1792" s="1" t="s">
        <v>2213</v>
      </c>
      <c r="BR1792" s="1" t="s">
        <v>31614</v>
      </c>
      <c r="BS1792" s="1">
        <v>15</v>
      </c>
      <c r="BT1792" s="1"/>
      <c r="BU1792" s="1" t="str">
        <f>HYPERLINK("https://nconnect.nicmar.ac.in/storage/profile/ProfilePhoto_p2270390_485692.jpg","Download")</f>
        <v>0</v>
      </c>
      <c r="BV1792" s="3"/>
      <c r="BW1792" s="3"/>
    </row>
    <row r="1793" spans="1:75">
      <c r="A1793" s="1" t="s">
        <v>75</v>
      </c>
      <c r="B1793" s="1" t="s">
        <v>25236</v>
      </c>
      <c r="C1793" s="1" t="s">
        <v>31615</v>
      </c>
      <c r="D1793" s="1" t="s">
        <v>8034</v>
      </c>
      <c r="E1793" s="1" t="s">
        <v>3042</v>
      </c>
      <c r="F1793" s="1" t="s">
        <v>31616</v>
      </c>
      <c r="G1793" s="1" t="s">
        <v>31617</v>
      </c>
      <c r="H1793" s="1" t="s">
        <v>31618</v>
      </c>
      <c r="I1793" s="1" t="s">
        <v>31619</v>
      </c>
      <c r="J1793" s="1">
        <v>9518541130</v>
      </c>
      <c r="K1793" s="1" t="s">
        <v>84</v>
      </c>
      <c r="L1793" s="1" t="s">
        <v>24315</v>
      </c>
      <c r="M1793" s="1" t="s">
        <v>86</v>
      </c>
      <c r="N1793" s="1" t="s">
        <v>618</v>
      </c>
      <c r="O1793" s="1" t="s">
        <v>31620</v>
      </c>
      <c r="P1793" s="1" t="s">
        <v>507</v>
      </c>
      <c r="Q1793" s="1" t="s">
        <v>31621</v>
      </c>
      <c r="R1793" s="1" t="s">
        <v>31622</v>
      </c>
      <c r="S1793" s="1">
        <v>8999092742</v>
      </c>
      <c r="T1793" s="1" t="s">
        <v>9700</v>
      </c>
      <c r="U1793" s="1" t="s">
        <v>31623</v>
      </c>
      <c r="V1793" s="1">
        <v>9422254823</v>
      </c>
      <c r="W1793" s="1" t="s">
        <v>161</v>
      </c>
      <c r="X1793" s="1" t="s">
        <v>31624</v>
      </c>
      <c r="Y1793" s="1" t="s">
        <v>910</v>
      </c>
      <c r="Z1793" s="1" t="s">
        <v>97</v>
      </c>
      <c r="AA1793" s="1" t="s">
        <v>31624</v>
      </c>
      <c r="AB1793" s="1" t="s">
        <v>910</v>
      </c>
      <c r="AC1793" s="1" t="s">
        <v>97</v>
      </c>
      <c r="AD1793" s="1" t="s">
        <v>98</v>
      </c>
      <c r="AE1793" s="1" t="s">
        <v>98</v>
      </c>
      <c r="AF1793" s="1" t="s">
        <v>31625</v>
      </c>
      <c r="AG1793" s="1" t="s">
        <v>31626</v>
      </c>
      <c r="AH1793" s="1" t="s">
        <v>101</v>
      </c>
      <c r="AI1793" s="1" t="s">
        <v>136</v>
      </c>
      <c r="AJ1793" s="1">
        <v>90.4</v>
      </c>
      <c r="AK1793" s="1"/>
      <c r="AL1793" s="1" t="s">
        <v>31627</v>
      </c>
      <c r="AM1793" s="1" t="s">
        <v>31626</v>
      </c>
      <c r="AN1793" s="1"/>
      <c r="AO1793" s="1" t="s">
        <v>166</v>
      </c>
      <c r="AP1793" s="1" t="s">
        <v>170</v>
      </c>
      <c r="AQ1793" s="1">
        <v>76.46</v>
      </c>
      <c r="AR1793" s="1"/>
      <c r="AS1793" s="1"/>
      <c r="AT1793" s="1"/>
      <c r="AU1793" s="1"/>
      <c r="AV1793" s="1"/>
      <c r="AW1793" s="1"/>
      <c r="AX1793" s="1"/>
      <c r="AY1793" s="1" t="s">
        <v>4232</v>
      </c>
      <c r="AZ1793" s="1" t="s">
        <v>31628</v>
      </c>
      <c r="BA1793" s="1"/>
      <c r="BB1793" s="1"/>
      <c r="BC1793" s="1" t="s">
        <v>170</v>
      </c>
      <c r="BD1793" s="1" t="s">
        <v>845</v>
      </c>
      <c r="BE1793" s="1">
        <v>74.6</v>
      </c>
      <c r="BF1793" s="1">
        <v>8.21</v>
      </c>
      <c r="BG1793" s="1"/>
      <c r="BH1793" s="1"/>
      <c r="BI1793" s="1"/>
      <c r="BJ1793" s="1"/>
      <c r="BK1793" s="1"/>
      <c r="BL1793" s="1"/>
      <c r="BM1793" s="1"/>
      <c r="BN1793" s="1"/>
      <c r="BO1793" s="1" t="s">
        <v>2267</v>
      </c>
      <c r="BP1793" s="1"/>
      <c r="BQ1793" s="1"/>
      <c r="BR1793" s="1" t="s">
        <v>31629</v>
      </c>
      <c r="BS1793" s="1">
        <v>7</v>
      </c>
      <c r="BT1793" s="1"/>
      <c r="BU1793" s="1" t="str">
        <f>HYPERLINK("https://nconnect.nicmar.ac.in/storage/profile/ProfilePhoto_p2270391_729453.jpg","Download")</f>
        <v>0</v>
      </c>
      <c r="BV1793" s="3"/>
      <c r="BW1793" s="3"/>
    </row>
    <row r="1794" spans="1:75">
      <c r="A1794" s="1" t="s">
        <v>75</v>
      </c>
      <c r="B1794" s="1" t="s">
        <v>25236</v>
      </c>
      <c r="C1794" s="1" t="s">
        <v>31630</v>
      </c>
      <c r="D1794" s="1" t="s">
        <v>31631</v>
      </c>
      <c r="E1794" s="1"/>
      <c r="F1794" s="1" t="s">
        <v>31632</v>
      </c>
      <c r="G1794" s="1" t="s">
        <v>31633</v>
      </c>
      <c r="H1794" s="1" t="s">
        <v>31634</v>
      </c>
      <c r="I1794" s="1" t="s">
        <v>31635</v>
      </c>
      <c r="J1794" s="1">
        <v>8100543959</v>
      </c>
      <c r="K1794" s="1" t="s">
        <v>84</v>
      </c>
      <c r="L1794" s="1" t="s">
        <v>7057</v>
      </c>
      <c r="M1794" s="1" t="s">
        <v>86</v>
      </c>
      <c r="N1794" s="1" t="s">
        <v>31636</v>
      </c>
      <c r="O1794" s="1" t="s">
        <v>31637</v>
      </c>
      <c r="P1794" s="1" t="s">
        <v>455</v>
      </c>
      <c r="Q1794" s="1" t="s">
        <v>31638</v>
      </c>
      <c r="R1794" s="1" t="s">
        <v>31639</v>
      </c>
      <c r="S1794" s="1">
        <v>9733091368</v>
      </c>
      <c r="T1794" s="1" t="s">
        <v>3188</v>
      </c>
      <c r="U1794" s="1" t="s">
        <v>31640</v>
      </c>
      <c r="V1794" s="1">
        <v>7583919748</v>
      </c>
      <c r="W1794" s="1" t="s">
        <v>278</v>
      </c>
      <c r="X1794" s="1" t="s">
        <v>31641</v>
      </c>
      <c r="Y1794" s="1" t="s">
        <v>31002</v>
      </c>
      <c r="Z1794" s="1" t="s">
        <v>1234</v>
      </c>
      <c r="AA1794" s="1" t="s">
        <v>31641</v>
      </c>
      <c r="AB1794" s="1" t="s">
        <v>31002</v>
      </c>
      <c r="AC1794" s="1" t="s">
        <v>1234</v>
      </c>
      <c r="AD1794" s="1" t="s">
        <v>98</v>
      </c>
      <c r="AE1794" s="1" t="s">
        <v>98</v>
      </c>
      <c r="AF1794" s="1" t="s">
        <v>31642</v>
      </c>
      <c r="AG1794" s="1" t="s">
        <v>28807</v>
      </c>
      <c r="AH1794" s="1" t="s">
        <v>1971</v>
      </c>
      <c r="AI1794" s="1" t="s">
        <v>136</v>
      </c>
      <c r="AJ1794" s="1">
        <v>72.85</v>
      </c>
      <c r="AK1794" s="1">
        <v>0</v>
      </c>
      <c r="AL1794" s="1" t="s">
        <v>31643</v>
      </c>
      <c r="AM1794" s="1" t="s">
        <v>28807</v>
      </c>
      <c r="AN1794" s="1"/>
      <c r="AO1794" s="1" t="s">
        <v>2822</v>
      </c>
      <c r="AP1794" s="1" t="s">
        <v>573</v>
      </c>
      <c r="AQ1794" s="1">
        <v>61.8</v>
      </c>
      <c r="AR1794" s="1">
        <v>0</v>
      </c>
      <c r="AS1794" s="1"/>
      <c r="AT1794" s="1"/>
      <c r="AU1794" s="1"/>
      <c r="AV1794" s="1"/>
      <c r="AW1794" s="1"/>
      <c r="AX1794" s="1"/>
      <c r="AY1794" s="1" t="s">
        <v>1240</v>
      </c>
      <c r="AZ1794" s="1" t="s">
        <v>31004</v>
      </c>
      <c r="BA1794" s="1"/>
      <c r="BB1794" s="1"/>
      <c r="BC1794" s="1" t="s">
        <v>230</v>
      </c>
      <c r="BD1794" s="1" t="s">
        <v>549</v>
      </c>
      <c r="BE1794" s="1">
        <v>72.2</v>
      </c>
      <c r="BF1794" s="1">
        <v>7.97</v>
      </c>
      <c r="BG1794" s="1"/>
      <c r="BH1794" s="1"/>
      <c r="BI1794" s="1"/>
      <c r="BJ1794" s="1"/>
      <c r="BK1794" s="1"/>
      <c r="BL1794" s="1"/>
      <c r="BM1794" s="1"/>
      <c r="BN1794" s="1"/>
      <c r="BO1794" s="1" t="s">
        <v>8688</v>
      </c>
      <c r="BP1794" s="1"/>
      <c r="BQ1794" s="1"/>
      <c r="BR1794" s="1" t="s">
        <v>31644</v>
      </c>
      <c r="BS1794" s="1">
        <v>7</v>
      </c>
      <c r="BT1794" s="1"/>
      <c r="BU1794" s="1" t="str">
        <f>HYPERLINK("https://nconnect.nicmar.ac.in/storage/profile/ProfilePhoto_p2270392_436251.jpg","Download")</f>
        <v>0</v>
      </c>
      <c r="BV1794" s="3"/>
      <c r="BW1794" s="3"/>
    </row>
    <row r="1795" spans="1:75">
      <c r="A1795" s="1" t="s">
        <v>75</v>
      </c>
      <c r="B1795" s="1" t="s">
        <v>25236</v>
      </c>
      <c r="C1795" s="1" t="s">
        <v>31645</v>
      </c>
      <c r="D1795" s="1" t="s">
        <v>31646</v>
      </c>
      <c r="E1795" s="1"/>
      <c r="F1795" s="1" t="s">
        <v>1320</v>
      </c>
      <c r="G1795" s="1" t="s">
        <v>31647</v>
      </c>
      <c r="H1795" s="1" t="s">
        <v>31648</v>
      </c>
      <c r="I1795" s="1" t="s">
        <v>31649</v>
      </c>
      <c r="J1795" s="1">
        <v>9084160406</v>
      </c>
      <c r="K1795" s="1" t="s">
        <v>84</v>
      </c>
      <c r="L1795" s="1" t="s">
        <v>26494</v>
      </c>
      <c r="M1795" s="1" t="s">
        <v>86</v>
      </c>
      <c r="N1795" s="1" t="s">
        <v>4278</v>
      </c>
      <c r="O1795" s="1" t="s">
        <v>31650</v>
      </c>
      <c r="P1795" s="1" t="s">
        <v>507</v>
      </c>
      <c r="Q1795" s="1" t="s">
        <v>31651</v>
      </c>
      <c r="R1795" s="1" t="s">
        <v>31652</v>
      </c>
      <c r="S1795" s="1">
        <v>9412428625</v>
      </c>
      <c r="T1795" s="1" t="s">
        <v>31653</v>
      </c>
      <c r="U1795" s="1" t="s">
        <v>31654</v>
      </c>
      <c r="V1795" s="1">
        <v>7839786707</v>
      </c>
      <c r="W1795" s="1" t="s">
        <v>31655</v>
      </c>
      <c r="X1795" s="1" t="s">
        <v>31656</v>
      </c>
      <c r="Y1795" s="1" t="s">
        <v>6231</v>
      </c>
      <c r="Z1795" s="1" t="s">
        <v>544</v>
      </c>
      <c r="AA1795" s="1" t="s">
        <v>31656</v>
      </c>
      <c r="AB1795" s="1" t="s">
        <v>6231</v>
      </c>
      <c r="AC1795" s="1" t="s">
        <v>544</v>
      </c>
      <c r="AD1795" s="1" t="s">
        <v>98</v>
      </c>
      <c r="AE1795" s="1" t="s">
        <v>98</v>
      </c>
      <c r="AF1795" s="1" t="s">
        <v>31657</v>
      </c>
      <c r="AG1795" s="1" t="s">
        <v>31658</v>
      </c>
      <c r="AH1795" s="1" t="s">
        <v>1214</v>
      </c>
      <c r="AI1795" s="1" t="s">
        <v>102</v>
      </c>
      <c r="AJ1795" s="1">
        <v>83.6</v>
      </c>
      <c r="AK1795" s="1"/>
      <c r="AL1795" s="1" t="s">
        <v>31657</v>
      </c>
      <c r="AM1795" s="1" t="s">
        <v>31658</v>
      </c>
      <c r="AN1795" s="1"/>
      <c r="AO1795" s="1" t="s">
        <v>284</v>
      </c>
      <c r="AP1795" s="1" t="s">
        <v>573</v>
      </c>
      <c r="AQ1795" s="1">
        <v>57</v>
      </c>
      <c r="AR1795" s="1">
        <v>0</v>
      </c>
      <c r="AS1795" s="1"/>
      <c r="AT1795" s="1"/>
      <c r="AU1795" s="1"/>
      <c r="AV1795" s="1"/>
      <c r="AW1795" s="1"/>
      <c r="AX1795" s="1"/>
      <c r="AY1795" s="1" t="s">
        <v>31659</v>
      </c>
      <c r="AZ1795" s="1" t="s">
        <v>31660</v>
      </c>
      <c r="BA1795" s="1"/>
      <c r="BB1795" s="1"/>
      <c r="BC1795" s="1" t="s">
        <v>230</v>
      </c>
      <c r="BD1795" s="1" t="s">
        <v>845</v>
      </c>
      <c r="BE1795" s="1">
        <v>60.9</v>
      </c>
      <c r="BF1795" s="1">
        <v>0</v>
      </c>
      <c r="BG1795" s="1"/>
      <c r="BH1795" s="1"/>
      <c r="BI1795" s="1"/>
      <c r="BJ1795" s="1"/>
      <c r="BK1795" s="1"/>
      <c r="BL1795" s="1"/>
      <c r="BM1795" s="1"/>
      <c r="BN1795" s="1"/>
      <c r="BO1795" s="1" t="s">
        <v>2267</v>
      </c>
      <c r="BP1795" s="1"/>
      <c r="BQ1795" s="1"/>
      <c r="BR1795" s="1" t="s">
        <v>31661</v>
      </c>
      <c r="BS1795" s="1">
        <v>12</v>
      </c>
      <c r="BT1795" s="1"/>
      <c r="BU1795" s="1" t="str">
        <f>HYPERLINK("https://nconnect.nicmar.ac.in/storage/profile/ProfilePhoto_p2270393_726431.jpg","Download")</f>
        <v>0</v>
      </c>
      <c r="BV1795" s="3"/>
      <c r="BW1795" s="3"/>
    </row>
    <row r="1796" spans="1:75">
      <c r="A1796" s="1" t="s">
        <v>75</v>
      </c>
      <c r="B1796" s="1" t="s">
        <v>25236</v>
      </c>
      <c r="C1796" s="1" t="s">
        <v>31662</v>
      </c>
      <c r="D1796" s="1" t="s">
        <v>1893</v>
      </c>
      <c r="E1796" s="1" t="s">
        <v>28028</v>
      </c>
      <c r="F1796" s="1" t="s">
        <v>31663</v>
      </c>
      <c r="G1796" s="1" t="s">
        <v>31664</v>
      </c>
      <c r="H1796" s="1" t="s">
        <v>31665</v>
      </c>
      <c r="I1796" s="1" t="s">
        <v>31666</v>
      </c>
      <c r="J1796" s="1">
        <v>8411848867</v>
      </c>
      <c r="K1796" s="1" t="s">
        <v>84</v>
      </c>
      <c r="L1796" s="1" t="s">
        <v>4219</v>
      </c>
      <c r="M1796" s="1" t="s">
        <v>86</v>
      </c>
      <c r="N1796" s="1" t="s">
        <v>618</v>
      </c>
      <c r="O1796" s="1" t="s">
        <v>31667</v>
      </c>
      <c r="P1796" s="1" t="s">
        <v>455</v>
      </c>
      <c r="Q1796" s="1" t="s">
        <v>31668</v>
      </c>
      <c r="R1796" s="1" t="s">
        <v>31669</v>
      </c>
      <c r="S1796" s="1">
        <v>8459962221</v>
      </c>
      <c r="T1796" s="1" t="s">
        <v>839</v>
      </c>
      <c r="U1796" s="1" t="s">
        <v>31670</v>
      </c>
      <c r="V1796" s="1">
        <v>9175309590</v>
      </c>
      <c r="W1796" s="1" t="s">
        <v>161</v>
      </c>
      <c r="X1796" s="1" t="s">
        <v>31671</v>
      </c>
      <c r="Y1796" s="1" t="s">
        <v>96</v>
      </c>
      <c r="Z1796" s="1" t="s">
        <v>97</v>
      </c>
      <c r="AA1796" s="1" t="s">
        <v>31671</v>
      </c>
      <c r="AB1796" s="1" t="s">
        <v>96</v>
      </c>
      <c r="AC1796" s="1" t="s">
        <v>97</v>
      </c>
      <c r="AD1796" s="1" t="s">
        <v>98</v>
      </c>
      <c r="AE1796" s="1" t="s">
        <v>98</v>
      </c>
      <c r="AF1796" s="1" t="s">
        <v>31672</v>
      </c>
      <c r="AG1796" s="1" t="s">
        <v>8948</v>
      </c>
      <c r="AH1796" s="1" t="s">
        <v>166</v>
      </c>
      <c r="AI1796" s="1" t="s">
        <v>1111</v>
      </c>
      <c r="AJ1796" s="1">
        <v>77.6</v>
      </c>
      <c r="AK1796" s="1">
        <v>0</v>
      </c>
      <c r="AL1796" s="1" t="s">
        <v>31673</v>
      </c>
      <c r="AM1796" s="1" t="s">
        <v>8948</v>
      </c>
      <c r="AN1796" s="1"/>
      <c r="AO1796" s="1" t="s">
        <v>167</v>
      </c>
      <c r="AP1796" s="1" t="s">
        <v>106</v>
      </c>
      <c r="AQ1796" s="1">
        <v>65.23</v>
      </c>
      <c r="AR1796" s="1">
        <v>0</v>
      </c>
      <c r="AS1796" s="1"/>
      <c r="AT1796" s="1"/>
      <c r="AU1796" s="1"/>
      <c r="AV1796" s="1"/>
      <c r="AW1796" s="1"/>
      <c r="AX1796" s="1"/>
      <c r="AY1796" s="1" t="s">
        <v>31674</v>
      </c>
      <c r="AZ1796" s="1" t="s">
        <v>31675</v>
      </c>
      <c r="BA1796" s="1"/>
      <c r="BB1796" s="1"/>
      <c r="BC1796" s="1" t="s">
        <v>106</v>
      </c>
      <c r="BD1796" s="1" t="s">
        <v>521</v>
      </c>
      <c r="BE1796" s="1">
        <v>79.3</v>
      </c>
      <c r="BF1796" s="1">
        <v>8.43</v>
      </c>
      <c r="BG1796" s="1"/>
      <c r="BH1796" s="1"/>
      <c r="BI1796" s="1"/>
      <c r="BJ1796" s="1"/>
      <c r="BK1796" s="1"/>
      <c r="BL1796" s="1"/>
      <c r="BM1796" s="1"/>
      <c r="BN1796" s="1"/>
      <c r="BO1796" s="1" t="s">
        <v>25516</v>
      </c>
      <c r="BP1796" s="1"/>
      <c r="BQ1796" s="1"/>
      <c r="BR1796" s="1" t="s">
        <v>31676</v>
      </c>
      <c r="BS1796" s="1">
        <v>21</v>
      </c>
      <c r="BT1796" s="1"/>
      <c r="BU1796" s="1" t="str">
        <f>HYPERLINK("https://nconnect.nicmar.ac.in/storage/profile/ProfilePhoto_p2270394_376584.jpg","Download")</f>
        <v>0</v>
      </c>
      <c r="BV1796" s="3"/>
      <c r="BW1796" s="3"/>
    </row>
    <row r="1797" spans="1:75">
      <c r="A1797" s="1" t="s">
        <v>75</v>
      </c>
      <c r="B1797" s="1" t="s">
        <v>25236</v>
      </c>
      <c r="C1797" s="1" t="s">
        <v>31677</v>
      </c>
      <c r="D1797" s="1" t="s">
        <v>31678</v>
      </c>
      <c r="E1797" s="1"/>
      <c r="F1797" s="1" t="s">
        <v>31679</v>
      </c>
      <c r="G1797" s="1" t="s">
        <v>31680</v>
      </c>
      <c r="H1797" s="1" t="s">
        <v>31681</v>
      </c>
      <c r="I1797" s="1" t="s">
        <v>31682</v>
      </c>
      <c r="J1797" s="1">
        <v>8185846333</v>
      </c>
      <c r="K1797" s="1" t="s">
        <v>84</v>
      </c>
      <c r="L1797" s="1" t="s">
        <v>31683</v>
      </c>
      <c r="M1797" s="1" t="s">
        <v>86</v>
      </c>
      <c r="N1797" s="1" t="s">
        <v>1449</v>
      </c>
      <c r="O1797" s="1" t="s">
        <v>31684</v>
      </c>
      <c r="P1797" s="1" t="s">
        <v>2684</v>
      </c>
      <c r="Q1797" s="1" t="s">
        <v>31685</v>
      </c>
      <c r="R1797" s="1" t="s">
        <v>31686</v>
      </c>
      <c r="S1797" s="1">
        <v>9866222241</v>
      </c>
      <c r="T1797" s="1" t="s">
        <v>31687</v>
      </c>
      <c r="U1797" s="1" t="s">
        <v>31688</v>
      </c>
      <c r="V1797" s="1">
        <v>9989584438</v>
      </c>
      <c r="W1797" s="1" t="s">
        <v>539</v>
      </c>
      <c r="X1797" s="1" t="s">
        <v>31689</v>
      </c>
      <c r="Y1797" s="1" t="s">
        <v>28721</v>
      </c>
      <c r="Z1797" s="1" t="s">
        <v>461</v>
      </c>
      <c r="AA1797" s="1" t="s">
        <v>31689</v>
      </c>
      <c r="AB1797" s="1" t="s">
        <v>28721</v>
      </c>
      <c r="AC1797" s="1" t="s">
        <v>461</v>
      </c>
      <c r="AD1797" s="1" t="s">
        <v>98</v>
      </c>
      <c r="AE1797" s="1" t="s">
        <v>98</v>
      </c>
      <c r="AF1797" s="1" t="s">
        <v>31690</v>
      </c>
      <c r="AG1797" s="1" t="s">
        <v>31691</v>
      </c>
      <c r="AH1797" s="1" t="s">
        <v>101</v>
      </c>
      <c r="AI1797" s="1" t="s">
        <v>102</v>
      </c>
      <c r="AJ1797" s="1">
        <v>93</v>
      </c>
      <c r="AK1797" s="1">
        <v>9.3</v>
      </c>
      <c r="AL1797" s="1" t="s">
        <v>4678</v>
      </c>
      <c r="AM1797" s="1" t="s">
        <v>31691</v>
      </c>
      <c r="AN1797" s="1"/>
      <c r="AO1797" s="1" t="s">
        <v>167</v>
      </c>
      <c r="AP1797" s="1" t="s">
        <v>200</v>
      </c>
      <c r="AQ1797" s="1">
        <v>96.98</v>
      </c>
      <c r="AR1797" s="1"/>
      <c r="AS1797" s="1"/>
      <c r="AT1797" s="1"/>
      <c r="AU1797" s="1"/>
      <c r="AV1797" s="1"/>
      <c r="AW1797" s="1"/>
      <c r="AX1797" s="1"/>
      <c r="AY1797" s="1" t="s">
        <v>3035</v>
      </c>
      <c r="AZ1797" s="1" t="s">
        <v>31692</v>
      </c>
      <c r="BA1797" s="1"/>
      <c r="BB1797" s="1"/>
      <c r="BC1797" s="1" t="s">
        <v>170</v>
      </c>
      <c r="BD1797" s="1" t="s">
        <v>847</v>
      </c>
      <c r="BE1797" s="1">
        <v>81.67</v>
      </c>
      <c r="BF1797" s="1">
        <v>8.67</v>
      </c>
      <c r="BG1797" s="1"/>
      <c r="BH1797" s="1"/>
      <c r="BI1797" s="1"/>
      <c r="BJ1797" s="1"/>
      <c r="BK1797" s="1"/>
      <c r="BL1797" s="1"/>
      <c r="BM1797" s="1"/>
      <c r="BN1797" s="1"/>
      <c r="BO1797" s="1" t="s">
        <v>31693</v>
      </c>
      <c r="BP1797" s="1" t="s">
        <v>31694</v>
      </c>
      <c r="BQ1797" s="1" t="s">
        <v>1070</v>
      </c>
      <c r="BR1797" s="1" t="s">
        <v>31695</v>
      </c>
      <c r="BS1797" s="1">
        <v>7</v>
      </c>
      <c r="BT1797" s="1"/>
      <c r="BU1797" s="1" t="str">
        <f>HYPERLINK("https://nconnect.nicmar.ac.in/storage/profile/ProfilePhoto_p2270395_586934.jpg","Download")</f>
        <v>0</v>
      </c>
      <c r="BV1797" s="3"/>
      <c r="BW1797" s="3"/>
    </row>
    <row r="1798" spans="1:75">
      <c r="A1798" s="1" t="s">
        <v>75</v>
      </c>
      <c r="B1798" s="1" t="s">
        <v>25236</v>
      </c>
      <c r="C1798" s="1" t="s">
        <v>31696</v>
      </c>
      <c r="D1798" s="1" t="s">
        <v>31697</v>
      </c>
      <c r="E1798" s="1" t="s">
        <v>31698</v>
      </c>
      <c r="F1798" s="1" t="s">
        <v>530</v>
      </c>
      <c r="G1798" s="1" t="s">
        <v>31699</v>
      </c>
      <c r="H1798" s="1" t="s">
        <v>31700</v>
      </c>
      <c r="I1798" s="1" t="s">
        <v>31701</v>
      </c>
      <c r="J1798" s="1">
        <v>9167905040</v>
      </c>
      <c r="K1798" s="1" t="s">
        <v>84</v>
      </c>
      <c r="L1798" s="1" t="s">
        <v>31702</v>
      </c>
      <c r="M1798" s="1" t="s">
        <v>86</v>
      </c>
      <c r="N1798" s="1" t="s">
        <v>355</v>
      </c>
      <c r="O1798" s="1" t="s">
        <v>31703</v>
      </c>
      <c r="P1798" s="1" t="s">
        <v>481</v>
      </c>
      <c r="Q1798" s="1" t="s">
        <v>31704</v>
      </c>
      <c r="R1798" s="1" t="s">
        <v>31705</v>
      </c>
      <c r="S1798" s="1">
        <v>9821525606</v>
      </c>
      <c r="T1798" s="1" t="s">
        <v>839</v>
      </c>
      <c r="U1798" s="1" t="s">
        <v>31706</v>
      </c>
      <c r="V1798" s="1">
        <v>9920615574</v>
      </c>
      <c r="W1798" s="1" t="s">
        <v>1257</v>
      </c>
      <c r="X1798" s="1" t="s">
        <v>31707</v>
      </c>
      <c r="Y1798" s="1" t="s">
        <v>2259</v>
      </c>
      <c r="Z1798" s="1" t="s">
        <v>97</v>
      </c>
      <c r="AA1798" s="1" t="s">
        <v>31707</v>
      </c>
      <c r="AB1798" s="1" t="s">
        <v>2259</v>
      </c>
      <c r="AC1798" s="1" t="s">
        <v>97</v>
      </c>
      <c r="AD1798" s="1" t="s">
        <v>98</v>
      </c>
      <c r="AE1798" s="1" t="s">
        <v>98</v>
      </c>
      <c r="AF1798" s="1" t="s">
        <v>31708</v>
      </c>
      <c r="AG1798" s="1" t="s">
        <v>31709</v>
      </c>
      <c r="AH1798" s="1" t="s">
        <v>254</v>
      </c>
      <c r="AI1798" s="1" t="s">
        <v>1457</v>
      </c>
      <c r="AJ1798" s="1">
        <v>68.18</v>
      </c>
      <c r="AK1798" s="1"/>
      <c r="AL1798" s="1"/>
      <c r="AM1798" s="1"/>
      <c r="AN1798" s="1"/>
      <c r="AO1798" s="1"/>
      <c r="AP1798" s="1"/>
      <c r="AQ1798" s="1"/>
      <c r="AR1798" s="1"/>
      <c r="AS1798" s="1" t="s">
        <v>31710</v>
      </c>
      <c r="AT1798" s="1" t="s">
        <v>31711</v>
      </c>
      <c r="AU1798" s="1" t="s">
        <v>804</v>
      </c>
      <c r="AV1798" s="1" t="s">
        <v>167</v>
      </c>
      <c r="AW1798" s="1">
        <v>71.31</v>
      </c>
      <c r="AX1798" s="1"/>
      <c r="AY1798" s="1" t="s">
        <v>680</v>
      </c>
      <c r="AZ1798" s="1" t="s">
        <v>31712</v>
      </c>
      <c r="BA1798" s="1"/>
      <c r="BB1798" s="1"/>
      <c r="BC1798" s="1" t="s">
        <v>230</v>
      </c>
      <c r="BD1798" s="1" t="s">
        <v>845</v>
      </c>
      <c r="BE1798" s="1">
        <v>63.95</v>
      </c>
      <c r="BF1798" s="1">
        <v>7.02</v>
      </c>
      <c r="BG1798" s="1"/>
      <c r="BH1798" s="1"/>
      <c r="BI1798" s="1"/>
      <c r="BJ1798" s="1"/>
      <c r="BK1798" s="1"/>
      <c r="BL1798" s="1"/>
      <c r="BM1798" s="1"/>
      <c r="BN1798" s="1"/>
      <c r="BO1798" s="1" t="s">
        <v>31713</v>
      </c>
      <c r="BP1798" s="1" t="s">
        <v>31714</v>
      </c>
      <c r="BQ1798" s="1" t="s">
        <v>9405</v>
      </c>
      <c r="BR1798" s="1" t="s">
        <v>31715</v>
      </c>
      <c r="BS1798" s="1">
        <v>59</v>
      </c>
      <c r="BT1798" s="1"/>
      <c r="BU1798" s="1" t="str">
        <f>HYPERLINK("https://nconnect.nicmar.ac.in/storage/profile/ProfilePhoto_p2270396_943728.jpg","Download")</f>
        <v>0</v>
      </c>
      <c r="BV1798" s="3"/>
      <c r="BW1798" s="3"/>
    </row>
    <row r="1799" spans="1:75">
      <c r="A1799" s="1" t="s">
        <v>75</v>
      </c>
      <c r="B1799" s="1" t="s">
        <v>25236</v>
      </c>
      <c r="C1799" s="1" t="s">
        <v>31716</v>
      </c>
      <c r="D1799" s="1" t="s">
        <v>31717</v>
      </c>
      <c r="E1799" s="1" t="s">
        <v>31718</v>
      </c>
      <c r="F1799" s="1" t="s">
        <v>31719</v>
      </c>
      <c r="G1799" s="1" t="s">
        <v>31720</v>
      </c>
      <c r="H1799" s="1" t="s">
        <v>31721</v>
      </c>
      <c r="I1799" s="1" t="s">
        <v>31722</v>
      </c>
      <c r="J1799" s="1">
        <v>9511758505</v>
      </c>
      <c r="K1799" s="1" t="s">
        <v>84</v>
      </c>
      <c r="L1799" s="1" t="s">
        <v>22767</v>
      </c>
      <c r="M1799" s="1" t="s">
        <v>86</v>
      </c>
      <c r="N1799" s="1" t="s">
        <v>768</v>
      </c>
      <c r="O1799" s="1" t="s">
        <v>31723</v>
      </c>
      <c r="P1799" s="1" t="s">
        <v>455</v>
      </c>
      <c r="Q1799" s="1" t="s">
        <v>31724</v>
      </c>
      <c r="R1799" s="1" t="s">
        <v>31725</v>
      </c>
      <c r="S1799" s="1">
        <v>9371044466</v>
      </c>
      <c r="T1799" s="1" t="s">
        <v>2128</v>
      </c>
      <c r="U1799" s="1" t="s">
        <v>31726</v>
      </c>
      <c r="V1799" s="1">
        <v>9422805528</v>
      </c>
      <c r="W1799" s="1" t="s">
        <v>541</v>
      </c>
      <c r="X1799" s="1" t="s">
        <v>31727</v>
      </c>
      <c r="Y1799" s="1" t="s">
        <v>410</v>
      </c>
      <c r="Z1799" s="1" t="s">
        <v>97</v>
      </c>
      <c r="AA1799" s="1" t="s">
        <v>31727</v>
      </c>
      <c r="AB1799" s="1" t="s">
        <v>410</v>
      </c>
      <c r="AC1799" s="1" t="s">
        <v>97</v>
      </c>
      <c r="AD1799" s="1" t="s">
        <v>98</v>
      </c>
      <c r="AE1799" s="1" t="s">
        <v>98</v>
      </c>
      <c r="AF1799" s="1" t="s">
        <v>31728</v>
      </c>
      <c r="AG1799" s="1" t="s">
        <v>31729</v>
      </c>
      <c r="AH1799" s="1" t="s">
        <v>102</v>
      </c>
      <c r="AI1799" s="1" t="s">
        <v>1111</v>
      </c>
      <c r="AJ1799" s="1">
        <v>86</v>
      </c>
      <c r="AK1799" s="1"/>
      <c r="AL1799" s="1" t="s">
        <v>1476</v>
      </c>
      <c r="AM1799" s="1" t="s">
        <v>31729</v>
      </c>
      <c r="AN1799" s="1"/>
      <c r="AO1799" s="1" t="s">
        <v>518</v>
      </c>
      <c r="AP1799" s="1" t="s">
        <v>1477</v>
      </c>
      <c r="AQ1799" s="1">
        <v>65.69</v>
      </c>
      <c r="AR1799" s="1"/>
      <c r="AS1799" s="1"/>
      <c r="AT1799" s="1"/>
      <c r="AU1799" s="1"/>
      <c r="AV1799" s="1"/>
      <c r="AW1799" s="1"/>
      <c r="AX1799" s="1"/>
      <c r="AY1799" s="1" t="s">
        <v>31730</v>
      </c>
      <c r="AZ1799" s="1" t="s">
        <v>31731</v>
      </c>
      <c r="BA1799" s="1"/>
      <c r="BB1799" s="1"/>
      <c r="BC1799" s="1" t="s">
        <v>106</v>
      </c>
      <c r="BD1799" s="1" t="s">
        <v>289</v>
      </c>
      <c r="BE1799" s="1">
        <v>67.2</v>
      </c>
      <c r="BF1799" s="1"/>
      <c r="BG1799" s="1"/>
      <c r="BH1799" s="1"/>
      <c r="BI1799" s="1"/>
      <c r="BJ1799" s="1"/>
      <c r="BK1799" s="1"/>
      <c r="BL1799" s="1"/>
      <c r="BM1799" s="1"/>
      <c r="BN1799" s="1"/>
      <c r="BO1799" s="1" t="s">
        <v>2267</v>
      </c>
      <c r="BP1799" s="1"/>
      <c r="BQ1799" s="1"/>
      <c r="BR1799" s="1" t="s">
        <v>31732</v>
      </c>
      <c r="BS1799" s="1">
        <v>25</v>
      </c>
      <c r="BT1799" s="1"/>
      <c r="BU1799" s="1" t="str">
        <f>HYPERLINK("https://nconnect.nicmar.ac.in/storage/profile/ProfilePhoto_p2270397_248539.jpg","Download")</f>
        <v>0</v>
      </c>
      <c r="BV1799" s="3"/>
      <c r="BW1799" s="3"/>
    </row>
    <row r="1800" spans="1:75">
      <c r="A1800" s="1" t="s">
        <v>75</v>
      </c>
      <c r="B1800" s="1" t="s">
        <v>25236</v>
      </c>
      <c r="C1800" s="1" t="s">
        <v>31733</v>
      </c>
      <c r="D1800" s="1" t="s">
        <v>422</v>
      </c>
      <c r="E1800" s="1" t="s">
        <v>320</v>
      </c>
      <c r="F1800" s="1" t="s">
        <v>31734</v>
      </c>
      <c r="G1800" s="1" t="s">
        <v>31735</v>
      </c>
      <c r="H1800" s="1" t="s">
        <v>31736</v>
      </c>
      <c r="I1800" s="1" t="s">
        <v>31737</v>
      </c>
      <c r="J1800" s="1">
        <v>9529847509</v>
      </c>
      <c r="K1800" s="1" t="s">
        <v>153</v>
      </c>
      <c r="L1800" s="1" t="s">
        <v>31738</v>
      </c>
      <c r="M1800" s="1" t="s">
        <v>86</v>
      </c>
      <c r="N1800" s="1" t="s">
        <v>768</v>
      </c>
      <c r="O1800" s="1" t="s">
        <v>31739</v>
      </c>
      <c r="P1800" s="1" t="s">
        <v>1028</v>
      </c>
      <c r="Q1800" s="1" t="s">
        <v>31740</v>
      </c>
      <c r="R1800" s="1" t="s">
        <v>320</v>
      </c>
      <c r="S1800" s="1">
        <v>9623779999</v>
      </c>
      <c r="T1800" s="1" t="s">
        <v>3788</v>
      </c>
      <c r="U1800" s="1" t="s">
        <v>21949</v>
      </c>
      <c r="V1800" s="1">
        <v>9623919999</v>
      </c>
      <c r="W1800" s="1" t="s">
        <v>278</v>
      </c>
      <c r="X1800" s="1" t="s">
        <v>31741</v>
      </c>
      <c r="Y1800" s="1" t="s">
        <v>5181</v>
      </c>
      <c r="Z1800" s="1" t="s">
        <v>97</v>
      </c>
      <c r="AA1800" s="1" t="s">
        <v>31741</v>
      </c>
      <c r="AB1800" s="1" t="s">
        <v>5181</v>
      </c>
      <c r="AC1800" s="1" t="s">
        <v>97</v>
      </c>
      <c r="AD1800" s="1" t="s">
        <v>98</v>
      </c>
      <c r="AE1800" s="1" t="s">
        <v>98</v>
      </c>
      <c r="AF1800" s="1" t="s">
        <v>31742</v>
      </c>
      <c r="AG1800" s="1" t="s">
        <v>796</v>
      </c>
      <c r="AH1800" s="1" t="s">
        <v>166</v>
      </c>
      <c r="AI1800" s="1" t="s">
        <v>627</v>
      </c>
      <c r="AJ1800" s="1">
        <v>85.5</v>
      </c>
      <c r="AK1800" s="1">
        <v>9</v>
      </c>
      <c r="AL1800" s="1" t="s">
        <v>31743</v>
      </c>
      <c r="AM1800" s="1" t="s">
        <v>796</v>
      </c>
      <c r="AN1800" s="1"/>
      <c r="AO1800" s="1" t="s">
        <v>170</v>
      </c>
      <c r="AP1800" s="1" t="s">
        <v>1477</v>
      </c>
      <c r="AQ1800" s="1">
        <v>59.08</v>
      </c>
      <c r="AR1800" s="1"/>
      <c r="AS1800" s="1"/>
      <c r="AT1800" s="1"/>
      <c r="AU1800" s="1"/>
      <c r="AV1800" s="1"/>
      <c r="AW1800" s="1"/>
      <c r="AX1800" s="1"/>
      <c r="AY1800" s="1" t="s">
        <v>31744</v>
      </c>
      <c r="AZ1800" s="1" t="s">
        <v>31745</v>
      </c>
      <c r="BA1800" s="1"/>
      <c r="BB1800" s="1"/>
      <c r="BC1800" s="1" t="s">
        <v>1065</v>
      </c>
      <c r="BD1800" s="1" t="s">
        <v>1400</v>
      </c>
      <c r="BE1800" s="1">
        <v>81.6</v>
      </c>
      <c r="BF1800" s="1">
        <v>8.66</v>
      </c>
      <c r="BG1800" s="1"/>
      <c r="BH1800" s="1"/>
      <c r="BI1800" s="1"/>
      <c r="BJ1800" s="1"/>
      <c r="BK1800" s="1"/>
      <c r="BL1800" s="1"/>
      <c r="BM1800" s="1"/>
      <c r="BN1800" s="1"/>
      <c r="BO1800" s="1" t="s">
        <v>31746</v>
      </c>
      <c r="BP1800" s="1"/>
      <c r="BQ1800" s="1"/>
      <c r="BR1800" s="1" t="s">
        <v>31747</v>
      </c>
      <c r="BS1800" s="1">
        <v>11</v>
      </c>
      <c r="BT1800" s="1"/>
      <c r="BU1800" s="1" t="str">
        <f>HYPERLINK("https://nconnect.nicmar.ac.in/storage/profile/ProfilePhoto_p2270398_321649.jpg","Download")</f>
        <v>0</v>
      </c>
      <c r="BV1800" s="3"/>
      <c r="BW1800" s="3"/>
    </row>
    <row r="1801" spans="1:75">
      <c r="A1801" s="1" t="s">
        <v>75</v>
      </c>
      <c r="B1801" s="1" t="s">
        <v>25236</v>
      </c>
      <c r="C1801" s="1" t="s">
        <v>31748</v>
      </c>
      <c r="D1801" s="1" t="s">
        <v>2097</v>
      </c>
      <c r="E1801" s="1" t="s">
        <v>373</v>
      </c>
      <c r="F1801" s="1" t="s">
        <v>31749</v>
      </c>
      <c r="G1801" s="1" t="s">
        <v>31750</v>
      </c>
      <c r="H1801" s="1" t="s">
        <v>31751</v>
      </c>
      <c r="I1801" s="1" t="s">
        <v>31752</v>
      </c>
      <c r="J1801" s="1">
        <v>7977842567</v>
      </c>
      <c r="K1801" s="1" t="s">
        <v>84</v>
      </c>
      <c r="L1801" s="1" t="s">
        <v>31753</v>
      </c>
      <c r="M1801" s="1" t="s">
        <v>155</v>
      </c>
      <c r="N1801" s="1" t="s">
        <v>618</v>
      </c>
      <c r="O1801" s="1"/>
      <c r="P1801" s="1" t="s">
        <v>507</v>
      </c>
      <c r="Q1801" s="1" t="s">
        <v>31754</v>
      </c>
      <c r="R1801" s="1" t="s">
        <v>31755</v>
      </c>
      <c r="S1801" s="1">
        <v>9029702446</v>
      </c>
      <c r="T1801" s="1" t="s">
        <v>31756</v>
      </c>
      <c r="U1801" s="1" t="s">
        <v>31757</v>
      </c>
      <c r="V1801" s="1">
        <v>9594081946</v>
      </c>
      <c r="W1801" s="1" t="s">
        <v>3586</v>
      </c>
      <c r="X1801" s="1" t="s">
        <v>31758</v>
      </c>
      <c r="Y1801" s="1" t="s">
        <v>1189</v>
      </c>
      <c r="Z1801" s="1" t="s">
        <v>97</v>
      </c>
      <c r="AA1801" s="1" t="s">
        <v>31759</v>
      </c>
      <c r="AB1801" s="1" t="s">
        <v>196</v>
      </c>
      <c r="AC1801" s="1" t="s">
        <v>97</v>
      </c>
      <c r="AD1801" s="1" t="s">
        <v>98</v>
      </c>
      <c r="AE1801" s="1" t="s">
        <v>98</v>
      </c>
      <c r="AF1801" s="1" t="s">
        <v>31760</v>
      </c>
      <c r="AG1801" s="1" t="s">
        <v>6416</v>
      </c>
      <c r="AH1801" s="1" t="s">
        <v>4593</v>
      </c>
      <c r="AI1801" s="1" t="s">
        <v>3285</v>
      </c>
      <c r="AJ1801" s="1">
        <v>54.6</v>
      </c>
      <c r="AK1801" s="1">
        <v>6</v>
      </c>
      <c r="AL1801" s="1" t="s">
        <v>31761</v>
      </c>
      <c r="AM1801" s="1" t="s">
        <v>1968</v>
      </c>
      <c r="AN1801" s="1"/>
      <c r="AO1801" s="1" t="s">
        <v>133</v>
      </c>
      <c r="AP1801" s="1" t="s">
        <v>30100</v>
      </c>
      <c r="AQ1801" s="1">
        <v>48.5</v>
      </c>
      <c r="AR1801" s="1">
        <v>0</v>
      </c>
      <c r="AS1801" s="1"/>
      <c r="AT1801" s="1"/>
      <c r="AU1801" s="1"/>
      <c r="AV1801" s="1"/>
      <c r="AW1801" s="1"/>
      <c r="AX1801" s="1"/>
      <c r="AY1801" s="1" t="s">
        <v>31762</v>
      </c>
      <c r="AZ1801" s="1" t="s">
        <v>31763</v>
      </c>
      <c r="BA1801" s="1"/>
      <c r="BB1801" s="1"/>
      <c r="BC1801" s="1" t="s">
        <v>166</v>
      </c>
      <c r="BD1801" s="1" t="s">
        <v>1647</v>
      </c>
      <c r="BE1801" s="1">
        <v>57.65</v>
      </c>
      <c r="BF1801" s="1">
        <v>6.43</v>
      </c>
      <c r="BG1801" s="1"/>
      <c r="BH1801" s="1"/>
      <c r="BI1801" s="1"/>
      <c r="BJ1801" s="1"/>
      <c r="BK1801" s="1"/>
      <c r="BL1801" s="1"/>
      <c r="BM1801" s="1"/>
      <c r="BN1801" s="1"/>
      <c r="BO1801" s="1" t="s">
        <v>31764</v>
      </c>
      <c r="BP1801" s="1" t="s">
        <v>31765</v>
      </c>
      <c r="BQ1801" s="1" t="s">
        <v>2213</v>
      </c>
      <c r="BR1801" s="1" t="s">
        <v>31766</v>
      </c>
      <c r="BS1801" s="1">
        <v>32</v>
      </c>
      <c r="BT1801" s="1"/>
      <c r="BU1801" s="1" t="str">
        <f>HYPERLINK("https://nconnect.nicmar.ac.in/storage/profile/ProfilePhoto_p2270400_914675.jpg","Download")</f>
        <v>0</v>
      </c>
      <c r="BV1801" s="3"/>
      <c r="BW1801" s="3"/>
    </row>
    <row r="1802" spans="1:75">
      <c r="A1802" s="1" t="s">
        <v>75</v>
      </c>
      <c r="B1802" s="1" t="s">
        <v>25236</v>
      </c>
      <c r="C1802" s="1" t="s">
        <v>31767</v>
      </c>
      <c r="D1802" s="1" t="s">
        <v>31768</v>
      </c>
      <c r="E1802" s="1"/>
      <c r="F1802" s="1" t="s">
        <v>31769</v>
      </c>
      <c r="G1802" s="1" t="s">
        <v>31770</v>
      </c>
      <c r="H1802" s="1" t="s">
        <v>31771</v>
      </c>
      <c r="I1802" s="1" t="s">
        <v>31772</v>
      </c>
      <c r="J1802" s="1">
        <v>7409662552</v>
      </c>
      <c r="K1802" s="1" t="s">
        <v>84</v>
      </c>
      <c r="L1802" s="1" t="s">
        <v>7764</v>
      </c>
      <c r="M1802" s="1" t="s">
        <v>86</v>
      </c>
      <c r="N1802" s="1" t="s">
        <v>4278</v>
      </c>
      <c r="O1802" s="1" t="s">
        <v>31773</v>
      </c>
      <c r="P1802" s="1" t="s">
        <v>455</v>
      </c>
      <c r="Q1802" s="1" t="s">
        <v>31774</v>
      </c>
      <c r="R1802" s="1" t="s">
        <v>31775</v>
      </c>
      <c r="S1802" s="1">
        <v>9310070950</v>
      </c>
      <c r="T1802" s="1" t="s">
        <v>926</v>
      </c>
      <c r="U1802" s="1" t="s">
        <v>31776</v>
      </c>
      <c r="V1802" s="1">
        <v>9997012077</v>
      </c>
      <c r="W1802" s="1" t="s">
        <v>278</v>
      </c>
      <c r="X1802" s="1" t="s">
        <v>31777</v>
      </c>
      <c r="Y1802" s="1" t="s">
        <v>31778</v>
      </c>
      <c r="Z1802" s="1" t="s">
        <v>544</v>
      </c>
      <c r="AA1802" s="1" t="s">
        <v>31777</v>
      </c>
      <c r="AB1802" s="1" t="s">
        <v>31778</v>
      </c>
      <c r="AC1802" s="1" t="s">
        <v>544</v>
      </c>
      <c r="AD1802" s="1" t="s">
        <v>98</v>
      </c>
      <c r="AE1802" s="1" t="s">
        <v>98</v>
      </c>
      <c r="AF1802" s="1" t="s">
        <v>31779</v>
      </c>
      <c r="AG1802" s="1" t="s">
        <v>2475</v>
      </c>
      <c r="AH1802" s="1" t="s">
        <v>1110</v>
      </c>
      <c r="AI1802" s="1" t="s">
        <v>1111</v>
      </c>
      <c r="AJ1802" s="1">
        <v>49.4</v>
      </c>
      <c r="AK1802" s="1">
        <v>5.2</v>
      </c>
      <c r="AL1802" s="1" t="s">
        <v>31779</v>
      </c>
      <c r="AM1802" s="1" t="s">
        <v>2475</v>
      </c>
      <c r="AN1802" s="1"/>
      <c r="AO1802" s="1" t="s">
        <v>704</v>
      </c>
      <c r="AP1802" s="1" t="s">
        <v>286</v>
      </c>
      <c r="AQ1802" s="1">
        <v>66.4</v>
      </c>
      <c r="AR1802" s="1"/>
      <c r="AS1802" s="1"/>
      <c r="AT1802" s="1"/>
      <c r="AU1802" s="1"/>
      <c r="AV1802" s="1"/>
      <c r="AW1802" s="1"/>
      <c r="AX1802" s="1"/>
      <c r="AY1802" s="1" t="s">
        <v>802</v>
      </c>
      <c r="AZ1802" s="1" t="s">
        <v>31780</v>
      </c>
      <c r="BA1802" s="1"/>
      <c r="BB1802" s="1"/>
      <c r="BC1802" s="1" t="s">
        <v>174</v>
      </c>
      <c r="BD1802" s="1" t="s">
        <v>110</v>
      </c>
      <c r="BE1802" s="1">
        <v>76</v>
      </c>
      <c r="BF1802" s="1"/>
      <c r="BG1802" s="1"/>
      <c r="BH1802" s="1"/>
      <c r="BI1802" s="1"/>
      <c r="BJ1802" s="1"/>
      <c r="BK1802" s="1"/>
      <c r="BL1802" s="1"/>
      <c r="BM1802" s="1"/>
      <c r="BN1802" s="1"/>
      <c r="BO1802" s="1" t="s">
        <v>31781</v>
      </c>
      <c r="BP1802" s="1"/>
      <c r="BQ1802" s="1"/>
      <c r="BR1802" s="1" t="s">
        <v>31782</v>
      </c>
      <c r="BS1802" s="1">
        <v>20</v>
      </c>
      <c r="BT1802" s="1"/>
      <c r="BU1802" s="1" t="str">
        <f>HYPERLINK("https://nconnect.nicmar.ac.in/storage/profile/ProfilePhoto_p2270401_496123.jpg","Download")</f>
        <v>0</v>
      </c>
      <c r="BV1802" s="3"/>
      <c r="BW1802" s="3"/>
    </row>
    <row r="1803" spans="1:75">
      <c r="A1803" s="1" t="s">
        <v>75</v>
      </c>
      <c r="B1803" s="1" t="s">
        <v>25236</v>
      </c>
      <c r="C1803" s="1" t="s">
        <v>31783</v>
      </c>
      <c r="D1803" s="1" t="s">
        <v>8714</v>
      </c>
      <c r="E1803" s="1" t="s">
        <v>27118</v>
      </c>
      <c r="F1803" s="1" t="s">
        <v>31784</v>
      </c>
      <c r="G1803" s="1" t="s">
        <v>31785</v>
      </c>
      <c r="H1803" s="1" t="s">
        <v>31786</v>
      </c>
      <c r="I1803" s="1" t="s">
        <v>31787</v>
      </c>
      <c r="J1803" s="1">
        <v>7043794318</v>
      </c>
      <c r="K1803" s="1" t="s">
        <v>84</v>
      </c>
      <c r="L1803" s="1" t="s">
        <v>31788</v>
      </c>
      <c r="M1803" s="1" t="s">
        <v>86</v>
      </c>
      <c r="N1803" s="1" t="s">
        <v>1027</v>
      </c>
      <c r="O1803" s="1" t="s">
        <v>31789</v>
      </c>
      <c r="P1803" s="1" t="s">
        <v>507</v>
      </c>
      <c r="Q1803" s="1" t="s">
        <v>31790</v>
      </c>
      <c r="R1803" s="1" t="s">
        <v>31791</v>
      </c>
      <c r="S1803" s="1">
        <v>9825070625</v>
      </c>
      <c r="T1803" s="1" t="s">
        <v>839</v>
      </c>
      <c r="U1803" s="1" t="s">
        <v>31792</v>
      </c>
      <c r="V1803" s="1">
        <v>9510015353</v>
      </c>
      <c r="W1803" s="1" t="s">
        <v>161</v>
      </c>
      <c r="X1803" s="1" t="s">
        <v>31793</v>
      </c>
      <c r="Y1803" s="1" t="s">
        <v>8166</v>
      </c>
      <c r="Z1803" s="1" t="s">
        <v>676</v>
      </c>
      <c r="AA1803" s="1" t="s">
        <v>31793</v>
      </c>
      <c r="AB1803" s="1" t="s">
        <v>8166</v>
      </c>
      <c r="AC1803" s="1" t="s">
        <v>676</v>
      </c>
      <c r="AD1803" s="1" t="s">
        <v>98</v>
      </c>
      <c r="AE1803" s="1" t="s">
        <v>98</v>
      </c>
      <c r="AF1803" s="1" t="s">
        <v>31794</v>
      </c>
      <c r="AG1803" s="1" t="s">
        <v>31795</v>
      </c>
      <c r="AH1803" s="1" t="s">
        <v>1214</v>
      </c>
      <c r="AI1803" s="1" t="s">
        <v>102</v>
      </c>
      <c r="AJ1803" s="1">
        <v>53.5</v>
      </c>
      <c r="AK1803" s="1">
        <v>0</v>
      </c>
      <c r="AL1803" s="1"/>
      <c r="AM1803" s="1"/>
      <c r="AN1803" s="1"/>
      <c r="AO1803" s="1"/>
      <c r="AP1803" s="1"/>
      <c r="AQ1803" s="1"/>
      <c r="AR1803" s="1"/>
      <c r="AS1803" s="1" t="s">
        <v>103</v>
      </c>
      <c r="AT1803" s="1" t="s">
        <v>31796</v>
      </c>
      <c r="AU1803" s="1" t="s">
        <v>166</v>
      </c>
      <c r="AV1803" s="1" t="s">
        <v>315</v>
      </c>
      <c r="AW1803" s="1">
        <v>62.3</v>
      </c>
      <c r="AX1803" s="1">
        <v>6.73</v>
      </c>
      <c r="AY1803" s="1" t="s">
        <v>5241</v>
      </c>
      <c r="AZ1803" s="1" t="s">
        <v>31797</v>
      </c>
      <c r="BA1803" s="1"/>
      <c r="BB1803" s="1"/>
      <c r="BC1803" s="1" t="s">
        <v>315</v>
      </c>
      <c r="BD1803" s="1" t="s">
        <v>289</v>
      </c>
      <c r="BE1803" s="1">
        <v>73.7</v>
      </c>
      <c r="BF1803" s="1">
        <v>7.87</v>
      </c>
      <c r="BG1803" s="1"/>
      <c r="BH1803" s="1"/>
      <c r="BI1803" s="1"/>
      <c r="BJ1803" s="1"/>
      <c r="BK1803" s="1"/>
      <c r="BL1803" s="1"/>
      <c r="BM1803" s="1"/>
      <c r="BN1803" s="1"/>
      <c r="BO1803" s="1" t="s">
        <v>369</v>
      </c>
      <c r="BP1803" s="1"/>
      <c r="BQ1803" s="1"/>
      <c r="BR1803" s="1" t="s">
        <v>31798</v>
      </c>
      <c r="BS1803" s="1">
        <v>20</v>
      </c>
      <c r="BT1803" s="1"/>
      <c r="BU1803" s="1" t="str">
        <f>HYPERLINK("https://nconnect.nicmar.ac.in/storage/profile/ProfilePhoto_p2270402_925714.jpg","Download")</f>
        <v>0</v>
      </c>
      <c r="BV1803" s="3"/>
      <c r="BW1803" s="3"/>
    </row>
    <row r="1804" spans="1:75">
      <c r="A1804" s="1" t="s">
        <v>75</v>
      </c>
      <c r="B1804" s="1" t="s">
        <v>25236</v>
      </c>
      <c r="C1804" s="1" t="s">
        <v>31799</v>
      </c>
      <c r="D1804" s="1" t="s">
        <v>31800</v>
      </c>
      <c r="E1804" s="1"/>
      <c r="F1804" s="1" t="s">
        <v>812</v>
      </c>
      <c r="G1804" s="1" t="s">
        <v>31801</v>
      </c>
      <c r="H1804" s="1" t="s">
        <v>31802</v>
      </c>
      <c r="I1804" s="1" t="s">
        <v>31803</v>
      </c>
      <c r="J1804" s="1">
        <v>9551118100</v>
      </c>
      <c r="K1804" s="1" t="s">
        <v>84</v>
      </c>
      <c r="L1804" s="1" t="s">
        <v>22521</v>
      </c>
      <c r="M1804" s="1" t="s">
        <v>86</v>
      </c>
      <c r="N1804" s="1" t="s">
        <v>8020</v>
      </c>
      <c r="O1804" s="1" t="s">
        <v>31804</v>
      </c>
      <c r="P1804" s="1" t="s">
        <v>507</v>
      </c>
      <c r="Q1804" s="1" t="s">
        <v>31805</v>
      </c>
      <c r="R1804" s="1" t="s">
        <v>31806</v>
      </c>
      <c r="S1804" s="1">
        <v>9444418100</v>
      </c>
      <c r="T1804" s="1" t="s">
        <v>31807</v>
      </c>
      <c r="U1804" s="1" t="s">
        <v>31808</v>
      </c>
      <c r="V1804" s="1">
        <v>9840533498</v>
      </c>
      <c r="W1804" s="1" t="s">
        <v>94</v>
      </c>
      <c r="X1804" s="1" t="s">
        <v>31809</v>
      </c>
      <c r="Y1804" s="1" t="s">
        <v>1498</v>
      </c>
      <c r="Z1804" s="1" t="s">
        <v>570</v>
      </c>
      <c r="AA1804" s="1" t="s">
        <v>31809</v>
      </c>
      <c r="AB1804" s="1" t="s">
        <v>1498</v>
      </c>
      <c r="AC1804" s="1" t="s">
        <v>570</v>
      </c>
      <c r="AD1804" s="1" t="s">
        <v>98</v>
      </c>
      <c r="AE1804" s="1" t="s">
        <v>98</v>
      </c>
      <c r="AF1804" s="1" t="s">
        <v>31810</v>
      </c>
      <c r="AG1804" s="1" t="s">
        <v>8637</v>
      </c>
      <c r="AH1804" s="1" t="s">
        <v>166</v>
      </c>
      <c r="AI1804" s="1" t="s">
        <v>1111</v>
      </c>
      <c r="AJ1804" s="1">
        <v>62</v>
      </c>
      <c r="AK1804" s="1">
        <v>6.2</v>
      </c>
      <c r="AL1804" s="1"/>
      <c r="AM1804" s="1"/>
      <c r="AN1804" s="1"/>
      <c r="AO1804" s="1"/>
      <c r="AP1804" s="1"/>
      <c r="AQ1804" s="1"/>
      <c r="AR1804" s="1"/>
      <c r="AS1804" s="1" t="s">
        <v>103</v>
      </c>
      <c r="AT1804" s="1" t="s">
        <v>31811</v>
      </c>
      <c r="AU1804" s="1" t="s">
        <v>167</v>
      </c>
      <c r="AV1804" s="1" t="s">
        <v>313</v>
      </c>
      <c r="AW1804" s="1">
        <v>79</v>
      </c>
      <c r="AX1804" s="1">
        <v>7.9</v>
      </c>
      <c r="AY1804" s="1" t="s">
        <v>21103</v>
      </c>
      <c r="AZ1804" s="1" t="s">
        <v>31812</v>
      </c>
      <c r="BA1804" s="1"/>
      <c r="BB1804" s="1"/>
      <c r="BC1804" s="1" t="s">
        <v>438</v>
      </c>
      <c r="BD1804" s="1" t="s">
        <v>289</v>
      </c>
      <c r="BE1804" s="1">
        <v>82.9</v>
      </c>
      <c r="BF1804" s="1">
        <v>8.29</v>
      </c>
      <c r="BG1804" s="1"/>
      <c r="BH1804" s="1"/>
      <c r="BI1804" s="1"/>
      <c r="BJ1804" s="1"/>
      <c r="BK1804" s="1"/>
      <c r="BL1804" s="1"/>
      <c r="BM1804" s="1"/>
      <c r="BN1804" s="1"/>
      <c r="BO1804" s="1" t="s">
        <v>31813</v>
      </c>
      <c r="BP1804" s="1"/>
      <c r="BQ1804" s="1"/>
      <c r="BR1804" s="1" t="s">
        <v>31814</v>
      </c>
      <c r="BS1804" s="1">
        <v>33</v>
      </c>
      <c r="BT1804" s="1"/>
      <c r="BU1804" s="1" t="str">
        <f>HYPERLINK("https://nconnect.nicmar.ac.in/storage/profile/ProfilePhoto_p2270403_947132.jpg","Download")</f>
        <v>0</v>
      </c>
      <c r="BV1804" s="3"/>
      <c r="BW1804" s="3"/>
    </row>
    <row r="1805" spans="1:75">
      <c r="A1805" s="1" t="s">
        <v>75</v>
      </c>
      <c r="B1805" s="1" t="s">
        <v>25236</v>
      </c>
      <c r="C1805" s="1" t="s">
        <v>31815</v>
      </c>
      <c r="D1805" s="1" t="s">
        <v>6946</v>
      </c>
      <c r="E1805" s="1" t="s">
        <v>31816</v>
      </c>
      <c r="F1805" s="1" t="s">
        <v>876</v>
      </c>
      <c r="G1805" s="1" t="s">
        <v>31817</v>
      </c>
      <c r="H1805" s="1" t="s">
        <v>31818</v>
      </c>
      <c r="I1805" s="1" t="s">
        <v>31819</v>
      </c>
      <c r="J1805" s="1">
        <v>9284199460</v>
      </c>
      <c r="K1805" s="1" t="s">
        <v>84</v>
      </c>
      <c r="L1805" s="1" t="s">
        <v>31820</v>
      </c>
      <c r="M1805" s="1" t="s">
        <v>86</v>
      </c>
      <c r="N1805" s="1" t="s">
        <v>1163</v>
      </c>
      <c r="O1805" s="1"/>
      <c r="P1805" s="1" t="s">
        <v>507</v>
      </c>
      <c r="Q1805" s="1" t="s">
        <v>31821</v>
      </c>
      <c r="R1805" s="1" t="s">
        <v>31822</v>
      </c>
      <c r="S1805" s="1">
        <v>9822409671</v>
      </c>
      <c r="T1805" s="1" t="s">
        <v>1495</v>
      </c>
      <c r="U1805" s="1" t="s">
        <v>31823</v>
      </c>
      <c r="V1805" s="1">
        <v>9552589571</v>
      </c>
      <c r="W1805" s="1" t="s">
        <v>3844</v>
      </c>
      <c r="X1805" s="1" t="s">
        <v>31824</v>
      </c>
      <c r="Y1805" s="1" t="s">
        <v>1989</v>
      </c>
      <c r="Z1805" s="1" t="s">
        <v>97</v>
      </c>
      <c r="AA1805" s="1" t="s">
        <v>31824</v>
      </c>
      <c r="AB1805" s="1" t="s">
        <v>1989</v>
      </c>
      <c r="AC1805" s="1" t="s">
        <v>97</v>
      </c>
      <c r="AD1805" s="1" t="s">
        <v>98</v>
      </c>
      <c r="AE1805" s="1" t="s">
        <v>98</v>
      </c>
      <c r="AF1805" s="1" t="s">
        <v>31825</v>
      </c>
      <c r="AG1805" s="1" t="s">
        <v>15114</v>
      </c>
      <c r="AH1805" s="1" t="s">
        <v>101</v>
      </c>
      <c r="AI1805" s="1" t="s">
        <v>166</v>
      </c>
      <c r="AJ1805" s="1">
        <v>87</v>
      </c>
      <c r="AK1805" s="1"/>
      <c r="AL1805" s="1" t="s">
        <v>31826</v>
      </c>
      <c r="AM1805" s="1" t="s">
        <v>15114</v>
      </c>
      <c r="AN1805" s="1"/>
      <c r="AO1805" s="1" t="s">
        <v>342</v>
      </c>
      <c r="AP1805" s="1" t="s">
        <v>573</v>
      </c>
      <c r="AQ1805" s="1">
        <v>67.69</v>
      </c>
      <c r="AR1805" s="1"/>
      <c r="AS1805" s="1"/>
      <c r="AT1805" s="1"/>
      <c r="AU1805" s="1"/>
      <c r="AV1805" s="1"/>
      <c r="AW1805" s="1"/>
      <c r="AX1805" s="1"/>
      <c r="AY1805" s="1" t="s">
        <v>1038</v>
      </c>
      <c r="AZ1805" s="1" t="s">
        <v>1992</v>
      </c>
      <c r="BA1805" s="1"/>
      <c r="BB1805" s="1"/>
      <c r="BC1805" s="1" t="s">
        <v>230</v>
      </c>
      <c r="BD1805" s="1" t="s">
        <v>847</v>
      </c>
      <c r="BE1805" s="1">
        <v>79.6</v>
      </c>
      <c r="BF1805" s="1">
        <v>8.46</v>
      </c>
      <c r="BG1805" s="1"/>
      <c r="BH1805" s="1"/>
      <c r="BI1805" s="1"/>
      <c r="BJ1805" s="1"/>
      <c r="BK1805" s="1"/>
      <c r="BL1805" s="1"/>
      <c r="BM1805" s="1"/>
      <c r="BN1805" s="1"/>
      <c r="BO1805" s="1" t="s">
        <v>1114</v>
      </c>
      <c r="BP1805" s="1"/>
      <c r="BQ1805" s="1"/>
      <c r="BR1805" s="1" t="s">
        <v>31827</v>
      </c>
      <c r="BS1805" s="1">
        <v>7</v>
      </c>
      <c r="BT1805" s="1"/>
      <c r="BU1805" s="1" t="str">
        <f>HYPERLINK("https://nconnect.nicmar.ac.in/storage/profile/ProfilePhoto_p2270404_526849.jpg","Download")</f>
        <v>0</v>
      </c>
      <c r="BV1805" s="3"/>
      <c r="BW1805" s="3"/>
    </row>
    <row r="1806" spans="1:75">
      <c r="A1806" s="1" t="s">
        <v>75</v>
      </c>
      <c r="B1806" s="1" t="s">
        <v>25236</v>
      </c>
      <c r="C1806" s="1" t="s">
        <v>31828</v>
      </c>
      <c r="D1806" s="1" t="s">
        <v>1294</v>
      </c>
      <c r="E1806" s="1" t="s">
        <v>2560</v>
      </c>
      <c r="F1806" s="1" t="s">
        <v>31829</v>
      </c>
      <c r="G1806" s="1" t="s">
        <v>31830</v>
      </c>
      <c r="H1806" s="1" t="s">
        <v>31831</v>
      </c>
      <c r="I1806" s="1" t="s">
        <v>31832</v>
      </c>
      <c r="J1806" s="1">
        <v>8369118237</v>
      </c>
      <c r="K1806" s="1" t="s">
        <v>84</v>
      </c>
      <c r="L1806" s="1" t="s">
        <v>15828</v>
      </c>
      <c r="M1806" s="1" t="s">
        <v>86</v>
      </c>
      <c r="N1806" s="1" t="s">
        <v>618</v>
      </c>
      <c r="O1806" s="1" t="s">
        <v>31833</v>
      </c>
      <c r="P1806" s="1" t="s">
        <v>481</v>
      </c>
      <c r="Q1806" s="1" t="s">
        <v>31834</v>
      </c>
      <c r="R1806" s="1" t="s">
        <v>31835</v>
      </c>
      <c r="S1806" s="1">
        <v>7506175042</v>
      </c>
      <c r="T1806" s="1" t="s">
        <v>645</v>
      </c>
      <c r="U1806" s="1" t="s">
        <v>31836</v>
      </c>
      <c r="V1806" s="1">
        <v>9833727671</v>
      </c>
      <c r="W1806" s="1" t="s">
        <v>645</v>
      </c>
      <c r="X1806" s="1" t="s">
        <v>31837</v>
      </c>
      <c r="Y1806" s="1" t="s">
        <v>1189</v>
      </c>
      <c r="Z1806" s="1" t="s">
        <v>97</v>
      </c>
      <c r="AA1806" s="1" t="s">
        <v>31838</v>
      </c>
      <c r="AB1806" s="1" t="s">
        <v>1882</v>
      </c>
      <c r="AC1806" s="1" t="s">
        <v>97</v>
      </c>
      <c r="AD1806" s="1" t="s">
        <v>98</v>
      </c>
      <c r="AE1806" s="1" t="s">
        <v>98</v>
      </c>
      <c r="AF1806" s="1" t="s">
        <v>31839</v>
      </c>
      <c r="AG1806" s="1" t="s">
        <v>31840</v>
      </c>
      <c r="AH1806" s="1" t="s">
        <v>101</v>
      </c>
      <c r="AI1806" s="1" t="s">
        <v>102</v>
      </c>
      <c r="AJ1806" s="1">
        <v>83.8</v>
      </c>
      <c r="AK1806" s="1"/>
      <c r="AL1806" s="1"/>
      <c r="AM1806" s="1"/>
      <c r="AN1806" s="1"/>
      <c r="AO1806" s="1"/>
      <c r="AP1806" s="1"/>
      <c r="AQ1806" s="1"/>
      <c r="AR1806" s="1"/>
      <c r="AS1806" s="1" t="s">
        <v>439</v>
      </c>
      <c r="AT1806" s="1" t="s">
        <v>31841</v>
      </c>
      <c r="AU1806" s="1" t="s">
        <v>105</v>
      </c>
      <c r="AV1806" s="1" t="s">
        <v>171</v>
      </c>
      <c r="AW1806" s="1">
        <v>77.86</v>
      </c>
      <c r="AX1806" s="1"/>
      <c r="AY1806" s="1" t="s">
        <v>258</v>
      </c>
      <c r="AZ1806" s="1" t="s">
        <v>31842</v>
      </c>
      <c r="BA1806" s="1"/>
      <c r="BB1806" s="1"/>
      <c r="BC1806" s="1" t="s">
        <v>1065</v>
      </c>
      <c r="BD1806" s="1" t="s">
        <v>847</v>
      </c>
      <c r="BE1806" s="1">
        <v>67.87</v>
      </c>
      <c r="BF1806" s="1">
        <v>7.55</v>
      </c>
      <c r="BG1806" s="1"/>
      <c r="BH1806" s="1"/>
      <c r="BI1806" s="1"/>
      <c r="BJ1806" s="1"/>
      <c r="BK1806" s="1"/>
      <c r="BL1806" s="1"/>
      <c r="BM1806" s="1"/>
      <c r="BN1806" s="1"/>
      <c r="BO1806" s="1" t="s">
        <v>31843</v>
      </c>
      <c r="BP1806" s="1"/>
      <c r="BQ1806" s="1"/>
      <c r="BR1806" s="1" t="s">
        <v>31844</v>
      </c>
      <c r="BS1806" s="1">
        <v>29</v>
      </c>
      <c r="BT1806" s="1"/>
      <c r="BU1806" s="1" t="str">
        <f>HYPERLINK("https://nconnect.nicmar.ac.in/storage/profile/ProfilePhoto_p2270405_139876.jpg","Download")</f>
        <v>0</v>
      </c>
      <c r="BV1806" s="3"/>
      <c r="BW1806" s="3"/>
    </row>
    <row r="1807" spans="1:75">
      <c r="A1807" s="1" t="s">
        <v>75</v>
      </c>
      <c r="B1807" s="1" t="s">
        <v>25236</v>
      </c>
      <c r="C1807" s="1" t="s">
        <v>31845</v>
      </c>
      <c r="D1807" s="1" t="s">
        <v>1020</v>
      </c>
      <c r="E1807" s="1" t="s">
        <v>31846</v>
      </c>
      <c r="F1807" s="1" t="s">
        <v>31847</v>
      </c>
      <c r="G1807" s="1" t="s">
        <v>31848</v>
      </c>
      <c r="H1807" s="1" t="s">
        <v>31849</v>
      </c>
      <c r="I1807" s="1" t="s">
        <v>31850</v>
      </c>
      <c r="J1807" s="1">
        <v>7020645381</v>
      </c>
      <c r="K1807" s="1" t="s">
        <v>84</v>
      </c>
      <c r="L1807" s="1" t="s">
        <v>31851</v>
      </c>
      <c r="M1807" s="1" t="s">
        <v>86</v>
      </c>
      <c r="N1807" s="1" t="s">
        <v>618</v>
      </c>
      <c r="O1807" s="1" t="s">
        <v>31852</v>
      </c>
      <c r="P1807" s="1" t="s">
        <v>455</v>
      </c>
      <c r="Q1807" s="1" t="s">
        <v>31853</v>
      </c>
      <c r="R1807" s="1" t="s">
        <v>31854</v>
      </c>
      <c r="S1807" s="1">
        <v>7020958191</v>
      </c>
      <c r="T1807" s="1" t="s">
        <v>3788</v>
      </c>
      <c r="U1807" s="1" t="s">
        <v>31855</v>
      </c>
      <c r="V1807" s="1">
        <v>7020697092</v>
      </c>
      <c r="W1807" s="1" t="s">
        <v>161</v>
      </c>
      <c r="X1807" s="1" t="s">
        <v>31856</v>
      </c>
      <c r="Y1807" s="1" t="s">
        <v>410</v>
      </c>
      <c r="Z1807" s="1" t="s">
        <v>97</v>
      </c>
      <c r="AA1807" s="1" t="s">
        <v>31856</v>
      </c>
      <c r="AB1807" s="1" t="s">
        <v>410</v>
      </c>
      <c r="AC1807" s="1" t="s">
        <v>97</v>
      </c>
      <c r="AD1807" s="1" t="s">
        <v>98</v>
      </c>
      <c r="AE1807" s="1" t="s">
        <v>98</v>
      </c>
      <c r="AF1807" s="1" t="s">
        <v>31857</v>
      </c>
      <c r="AG1807" s="1" t="s">
        <v>165</v>
      </c>
      <c r="AH1807" s="1" t="s">
        <v>12936</v>
      </c>
      <c r="AI1807" s="1" t="s">
        <v>3285</v>
      </c>
      <c r="AJ1807" s="1">
        <v>85.45</v>
      </c>
      <c r="AK1807" s="1"/>
      <c r="AL1807" s="1"/>
      <c r="AM1807" s="1"/>
      <c r="AN1807" s="1"/>
      <c r="AO1807" s="1"/>
      <c r="AP1807" s="1"/>
      <c r="AQ1807" s="1"/>
      <c r="AR1807" s="1"/>
      <c r="AS1807" s="1" t="s">
        <v>439</v>
      </c>
      <c r="AT1807" s="1" t="s">
        <v>2381</v>
      </c>
      <c r="AU1807" s="1" t="s">
        <v>29187</v>
      </c>
      <c r="AV1807" s="1" t="s">
        <v>101</v>
      </c>
      <c r="AW1807" s="1">
        <v>68</v>
      </c>
      <c r="AX1807" s="1"/>
      <c r="AY1807" s="1" t="s">
        <v>415</v>
      </c>
      <c r="AZ1807" s="1" t="s">
        <v>31858</v>
      </c>
      <c r="BA1807" s="1"/>
      <c r="BB1807" s="1"/>
      <c r="BC1807" s="1" t="s">
        <v>257</v>
      </c>
      <c r="BD1807" s="1" t="s">
        <v>388</v>
      </c>
      <c r="BE1807" s="1">
        <v>75.6</v>
      </c>
      <c r="BF1807" s="1">
        <v>8.31</v>
      </c>
      <c r="BG1807" s="1"/>
      <c r="BH1807" s="1"/>
      <c r="BI1807" s="1"/>
      <c r="BJ1807" s="1"/>
      <c r="BK1807" s="1"/>
      <c r="BL1807" s="1"/>
      <c r="BM1807" s="1"/>
      <c r="BN1807" s="1"/>
      <c r="BO1807" s="1" t="s">
        <v>31859</v>
      </c>
      <c r="BP1807" s="1" t="s">
        <v>31860</v>
      </c>
      <c r="BQ1807" s="1" t="s">
        <v>21121</v>
      </c>
      <c r="BR1807" s="1" t="s">
        <v>31861</v>
      </c>
      <c r="BS1807" s="1">
        <v>7</v>
      </c>
      <c r="BT1807" s="1"/>
      <c r="BU1807" s="1" t="str">
        <f>HYPERLINK("https://nconnect.nicmar.ac.in/storage/profile/ProfilePhoto_p2270407_637941.jpg","Download")</f>
        <v>0</v>
      </c>
      <c r="BV1807" s="3"/>
      <c r="BW1807" s="3"/>
    </row>
    <row r="1808" spans="1:75">
      <c r="A1808" s="1" t="s">
        <v>75</v>
      </c>
      <c r="B1808" s="1" t="s">
        <v>25236</v>
      </c>
      <c r="C1808" s="1" t="s">
        <v>31862</v>
      </c>
      <c r="D1808" s="1" t="s">
        <v>13421</v>
      </c>
      <c r="E1808" s="1" t="s">
        <v>31863</v>
      </c>
      <c r="F1808" s="1" t="s">
        <v>31864</v>
      </c>
      <c r="G1808" s="1" t="s">
        <v>31865</v>
      </c>
      <c r="H1808" s="1" t="s">
        <v>31866</v>
      </c>
      <c r="I1808" s="1" t="s">
        <v>31867</v>
      </c>
      <c r="J1808" s="1">
        <v>9307620977</v>
      </c>
      <c r="K1808" s="1" t="s">
        <v>153</v>
      </c>
      <c r="L1808" s="1" t="s">
        <v>31868</v>
      </c>
      <c r="M1808" s="1" t="s">
        <v>86</v>
      </c>
      <c r="N1808" s="1" t="s">
        <v>27551</v>
      </c>
      <c r="O1808" s="1" t="s">
        <v>31869</v>
      </c>
      <c r="P1808" s="1" t="s">
        <v>455</v>
      </c>
      <c r="Q1808" s="1" t="s">
        <v>31870</v>
      </c>
      <c r="R1808" s="1" t="s">
        <v>31871</v>
      </c>
      <c r="S1808" s="1">
        <v>9623241923</v>
      </c>
      <c r="T1808" s="1" t="s">
        <v>127</v>
      </c>
      <c r="U1808" s="1" t="s">
        <v>31872</v>
      </c>
      <c r="V1808" s="1">
        <v>8767140426</v>
      </c>
      <c r="W1808" s="1" t="s">
        <v>94</v>
      </c>
      <c r="X1808" s="1" t="s">
        <v>31873</v>
      </c>
      <c r="Y1808" s="1" t="s">
        <v>1033</v>
      </c>
      <c r="Z1808" s="1" t="s">
        <v>97</v>
      </c>
      <c r="AA1808" s="1" t="s">
        <v>31873</v>
      </c>
      <c r="AB1808" s="1" t="s">
        <v>1033</v>
      </c>
      <c r="AC1808" s="1" t="s">
        <v>97</v>
      </c>
      <c r="AD1808" s="1" t="s">
        <v>98</v>
      </c>
      <c r="AE1808" s="1" t="s">
        <v>98</v>
      </c>
      <c r="AF1808" s="1" t="s">
        <v>31874</v>
      </c>
      <c r="AG1808" s="1" t="s">
        <v>31875</v>
      </c>
      <c r="AH1808" s="1" t="s">
        <v>1213</v>
      </c>
      <c r="AI1808" s="1" t="s">
        <v>515</v>
      </c>
      <c r="AJ1808" s="1">
        <v>89.6</v>
      </c>
      <c r="AK1808" s="1"/>
      <c r="AL1808" s="1" t="s">
        <v>31876</v>
      </c>
      <c r="AM1808" s="1" t="s">
        <v>31875</v>
      </c>
      <c r="AN1808" s="1"/>
      <c r="AO1808" s="1" t="s">
        <v>166</v>
      </c>
      <c r="AP1808" s="1" t="s">
        <v>517</v>
      </c>
      <c r="AQ1808" s="1">
        <v>63.38</v>
      </c>
      <c r="AR1808" s="1"/>
      <c r="AS1808" s="1"/>
      <c r="AT1808" s="1"/>
      <c r="AU1808" s="1"/>
      <c r="AV1808" s="1"/>
      <c r="AW1808" s="1"/>
      <c r="AX1808" s="1"/>
      <c r="AY1808" s="1" t="s">
        <v>31877</v>
      </c>
      <c r="AZ1808" s="1" t="s">
        <v>31878</v>
      </c>
      <c r="BA1808" s="1"/>
      <c r="BB1808" s="1"/>
      <c r="BC1808" s="1" t="s">
        <v>1396</v>
      </c>
      <c r="BD1808" s="1" t="s">
        <v>1192</v>
      </c>
      <c r="BE1808" s="1">
        <v>62.08</v>
      </c>
      <c r="BF1808" s="1"/>
      <c r="BG1808" s="1"/>
      <c r="BH1808" s="1"/>
      <c r="BI1808" s="1"/>
      <c r="BJ1808" s="1"/>
      <c r="BK1808" s="1"/>
      <c r="BL1808" s="1"/>
      <c r="BM1808" s="1"/>
      <c r="BN1808" s="1"/>
      <c r="BO1808" s="1" t="s">
        <v>31879</v>
      </c>
      <c r="BP1808" s="1"/>
      <c r="BQ1808" s="1"/>
      <c r="BR1808" s="1" t="s">
        <v>31880</v>
      </c>
      <c r="BS1808" s="1">
        <v>36</v>
      </c>
      <c r="BT1808" s="1"/>
      <c r="BU1808" s="1" t="str">
        <f>HYPERLINK("https://nconnect.nicmar.ac.in/storage/profile/ProfilePhoto_p2270408_256184.jpg","Download")</f>
        <v>0</v>
      </c>
      <c r="BV1808" s="3"/>
      <c r="BW1808" s="3"/>
    </row>
    <row r="1809" spans="1:75">
      <c r="A1809" s="1" t="s">
        <v>75</v>
      </c>
      <c r="B1809" s="1" t="s">
        <v>25236</v>
      </c>
      <c r="C1809" s="1" t="s">
        <v>31881</v>
      </c>
      <c r="D1809" s="1" t="s">
        <v>2446</v>
      </c>
      <c r="E1809" s="1" t="s">
        <v>762</v>
      </c>
      <c r="F1809" s="1" t="s">
        <v>241</v>
      </c>
      <c r="G1809" s="1" t="s">
        <v>31882</v>
      </c>
      <c r="H1809" s="1" t="s">
        <v>31883</v>
      </c>
      <c r="I1809" s="1" t="s">
        <v>31884</v>
      </c>
      <c r="J1809" s="1">
        <v>7058255729</v>
      </c>
      <c r="K1809" s="1" t="s">
        <v>84</v>
      </c>
      <c r="L1809" s="1" t="s">
        <v>31885</v>
      </c>
      <c r="M1809" s="1" t="s">
        <v>86</v>
      </c>
      <c r="N1809" s="1" t="s">
        <v>31886</v>
      </c>
      <c r="O1809" s="1" t="s">
        <v>31887</v>
      </c>
      <c r="P1809" s="1" t="s">
        <v>507</v>
      </c>
      <c r="Q1809" s="1" t="s">
        <v>31888</v>
      </c>
      <c r="R1809" s="1" t="s">
        <v>31889</v>
      </c>
      <c r="S1809" s="1">
        <v>9545983031</v>
      </c>
      <c r="T1809" s="1" t="s">
        <v>645</v>
      </c>
      <c r="U1809" s="1" t="s">
        <v>31890</v>
      </c>
      <c r="V1809" s="1">
        <v>9545983031</v>
      </c>
      <c r="W1809" s="1" t="s">
        <v>161</v>
      </c>
      <c r="X1809" s="1" t="s">
        <v>31891</v>
      </c>
      <c r="Y1809" s="1" t="s">
        <v>196</v>
      </c>
      <c r="Z1809" s="1" t="s">
        <v>97</v>
      </c>
      <c r="AA1809" s="1" t="s">
        <v>31891</v>
      </c>
      <c r="AB1809" s="1" t="s">
        <v>196</v>
      </c>
      <c r="AC1809" s="1" t="s">
        <v>97</v>
      </c>
      <c r="AD1809" s="1" t="s">
        <v>98</v>
      </c>
      <c r="AE1809" s="1" t="s">
        <v>98</v>
      </c>
      <c r="AF1809" s="1" t="s">
        <v>28844</v>
      </c>
      <c r="AG1809" s="1" t="s">
        <v>165</v>
      </c>
      <c r="AH1809" s="1" t="s">
        <v>1213</v>
      </c>
      <c r="AI1809" s="1" t="s">
        <v>515</v>
      </c>
      <c r="AJ1809" s="1">
        <v>79.2</v>
      </c>
      <c r="AK1809" s="1">
        <v>0</v>
      </c>
      <c r="AL1809" s="1"/>
      <c r="AM1809" s="1"/>
      <c r="AN1809" s="1"/>
      <c r="AO1809" s="1"/>
      <c r="AP1809" s="1"/>
      <c r="AQ1809" s="1"/>
      <c r="AR1809" s="1"/>
      <c r="AS1809" s="1" t="s">
        <v>103</v>
      </c>
      <c r="AT1809" s="1" t="s">
        <v>31892</v>
      </c>
      <c r="AU1809" s="1" t="s">
        <v>135</v>
      </c>
      <c r="AV1809" s="1" t="s">
        <v>170</v>
      </c>
      <c r="AW1809" s="1">
        <v>69.82</v>
      </c>
      <c r="AX1809" s="1">
        <v>0</v>
      </c>
      <c r="AY1809" s="1" t="s">
        <v>366</v>
      </c>
      <c r="AZ1809" s="1" t="s">
        <v>31893</v>
      </c>
      <c r="BA1809" s="1"/>
      <c r="BB1809" s="1"/>
      <c r="BC1809" s="1" t="s">
        <v>230</v>
      </c>
      <c r="BD1809" s="1" t="s">
        <v>552</v>
      </c>
      <c r="BE1809" s="1">
        <v>65.1</v>
      </c>
      <c r="BF1809" s="1">
        <v>7.26</v>
      </c>
      <c r="BG1809" s="1"/>
      <c r="BH1809" s="1"/>
      <c r="BI1809" s="1"/>
      <c r="BJ1809" s="1"/>
      <c r="BK1809" s="1"/>
      <c r="BL1809" s="1"/>
      <c r="BM1809" s="1"/>
      <c r="BN1809" s="1"/>
      <c r="BO1809" s="1" t="s">
        <v>31894</v>
      </c>
      <c r="BP1809" s="1"/>
      <c r="BQ1809" s="1"/>
      <c r="BR1809" s="1" t="s">
        <v>31895</v>
      </c>
      <c r="BS1809" s="1">
        <v>7</v>
      </c>
      <c r="BT1809" s="1"/>
      <c r="BU1809" s="1" t="str">
        <f>HYPERLINK("https://nconnect.nicmar.ac.in/storage/profile/ProfilePhoto_p2270409_578314.jpg","Download")</f>
        <v>0</v>
      </c>
      <c r="BV1809" s="3"/>
      <c r="BW1809" s="3"/>
    </row>
    <row r="1810" spans="1:75">
      <c r="A1810" s="1" t="s">
        <v>75</v>
      </c>
      <c r="B1810" s="1" t="s">
        <v>25236</v>
      </c>
      <c r="C1810" s="1" t="s">
        <v>31896</v>
      </c>
      <c r="D1810" s="1" t="s">
        <v>4293</v>
      </c>
      <c r="E1810" s="1" t="s">
        <v>31897</v>
      </c>
      <c r="F1810" s="1" t="s">
        <v>1179</v>
      </c>
      <c r="G1810" s="1" t="s">
        <v>31898</v>
      </c>
      <c r="H1810" s="1" t="s">
        <v>31899</v>
      </c>
      <c r="I1810" s="1" t="s">
        <v>31900</v>
      </c>
      <c r="J1810" s="1">
        <v>9764374996</v>
      </c>
      <c r="K1810" s="1" t="s">
        <v>84</v>
      </c>
      <c r="L1810" s="1" t="s">
        <v>31901</v>
      </c>
      <c r="M1810" s="1" t="s">
        <v>86</v>
      </c>
      <c r="N1810" s="1" t="s">
        <v>768</v>
      </c>
      <c r="O1810" s="1" t="s">
        <v>31902</v>
      </c>
      <c r="P1810" s="1" t="s">
        <v>507</v>
      </c>
      <c r="Q1810" s="1" t="s">
        <v>31903</v>
      </c>
      <c r="R1810" s="1" t="s">
        <v>31904</v>
      </c>
      <c r="S1810" s="1">
        <v>9764374996</v>
      </c>
      <c r="T1810" s="1" t="s">
        <v>645</v>
      </c>
      <c r="U1810" s="1" t="s">
        <v>31905</v>
      </c>
      <c r="V1810" s="1">
        <v>8975977388</v>
      </c>
      <c r="W1810" s="1" t="s">
        <v>161</v>
      </c>
      <c r="X1810" s="1" t="s">
        <v>31906</v>
      </c>
      <c r="Y1810" s="1" t="s">
        <v>196</v>
      </c>
      <c r="Z1810" s="1" t="s">
        <v>97</v>
      </c>
      <c r="AA1810" s="1" t="s">
        <v>31906</v>
      </c>
      <c r="AB1810" s="1" t="s">
        <v>196</v>
      </c>
      <c r="AC1810" s="1" t="s">
        <v>97</v>
      </c>
      <c r="AD1810" s="1" t="s">
        <v>98</v>
      </c>
      <c r="AE1810" s="1" t="s">
        <v>98</v>
      </c>
      <c r="AF1810" s="1" t="s">
        <v>31907</v>
      </c>
      <c r="AG1810" s="1" t="s">
        <v>4324</v>
      </c>
      <c r="AH1810" s="1" t="s">
        <v>1213</v>
      </c>
      <c r="AI1810" s="1" t="s">
        <v>1262</v>
      </c>
      <c r="AJ1810" s="1">
        <v>63</v>
      </c>
      <c r="AK1810" s="1"/>
      <c r="AL1810" s="1"/>
      <c r="AM1810" s="1"/>
      <c r="AN1810" s="1"/>
      <c r="AO1810" s="1"/>
      <c r="AP1810" s="1"/>
      <c r="AQ1810" s="1"/>
      <c r="AR1810" s="1"/>
      <c r="AS1810" s="1" t="s">
        <v>103</v>
      </c>
      <c r="AT1810" s="1" t="s">
        <v>31908</v>
      </c>
      <c r="AU1810" s="1" t="s">
        <v>135</v>
      </c>
      <c r="AV1810" s="1" t="s">
        <v>364</v>
      </c>
      <c r="AW1810" s="1">
        <v>67.8</v>
      </c>
      <c r="AX1810" s="1"/>
      <c r="AY1810" s="1" t="s">
        <v>366</v>
      </c>
      <c r="AZ1810" s="1" t="s">
        <v>31909</v>
      </c>
      <c r="BA1810" s="1"/>
      <c r="BB1810" s="1"/>
      <c r="BC1810" s="1" t="s">
        <v>206</v>
      </c>
      <c r="BD1810" s="1" t="s">
        <v>1802</v>
      </c>
      <c r="BE1810" s="1">
        <v>81.8</v>
      </c>
      <c r="BF1810" s="1">
        <v>8.9</v>
      </c>
      <c r="BG1810" s="1"/>
      <c r="BH1810" s="1"/>
      <c r="BI1810" s="1"/>
      <c r="BJ1810" s="1"/>
      <c r="BK1810" s="1"/>
      <c r="BL1810" s="1"/>
      <c r="BM1810" s="1"/>
      <c r="BN1810" s="1"/>
      <c r="BO1810" s="1" t="s">
        <v>31910</v>
      </c>
      <c r="BP1810" s="1"/>
      <c r="BQ1810" s="1"/>
      <c r="BR1810" s="1" t="s">
        <v>31911</v>
      </c>
      <c r="BS1810" s="1">
        <v>8</v>
      </c>
      <c r="BT1810" s="1"/>
      <c r="BU1810" s="1" t="str">
        <f>HYPERLINK("https://nconnect.nicmar.ac.in/storage/profile/ProfilePhoto_p2270410_512964.jpg","Download")</f>
        <v>0</v>
      </c>
      <c r="BV1810" s="3"/>
      <c r="BW1810" s="3"/>
    </row>
    <row r="1811" spans="1:75">
      <c r="A1811" s="1" t="s">
        <v>75</v>
      </c>
      <c r="B1811" s="1" t="s">
        <v>25236</v>
      </c>
      <c r="C1811" s="1" t="s">
        <v>31912</v>
      </c>
      <c r="D1811" s="1" t="s">
        <v>673</v>
      </c>
      <c r="E1811" s="1"/>
      <c r="F1811" s="1" t="s">
        <v>31913</v>
      </c>
      <c r="G1811" s="1" t="s">
        <v>31914</v>
      </c>
      <c r="H1811" s="1" t="s">
        <v>31915</v>
      </c>
      <c r="I1811" s="1" t="s">
        <v>31916</v>
      </c>
      <c r="J1811" s="1">
        <v>9787043613</v>
      </c>
      <c r="K1811" s="1" t="s">
        <v>153</v>
      </c>
      <c r="L1811" s="1" t="s">
        <v>31917</v>
      </c>
      <c r="M1811" s="1" t="s">
        <v>86</v>
      </c>
      <c r="N1811" s="1" t="s">
        <v>31918</v>
      </c>
      <c r="O1811" s="1" t="s">
        <v>31919</v>
      </c>
      <c r="P1811" s="1" t="s">
        <v>507</v>
      </c>
      <c r="Q1811" s="1" t="s">
        <v>31920</v>
      </c>
      <c r="R1811" s="1" t="s">
        <v>31921</v>
      </c>
      <c r="S1811" s="1">
        <v>9443143613</v>
      </c>
      <c r="T1811" s="1" t="s">
        <v>839</v>
      </c>
      <c r="U1811" s="1" t="s">
        <v>31922</v>
      </c>
      <c r="V1811" s="1">
        <v>9487543613</v>
      </c>
      <c r="W1811" s="1" t="s">
        <v>541</v>
      </c>
      <c r="X1811" s="1" t="s">
        <v>31923</v>
      </c>
      <c r="Y1811" s="1" t="s">
        <v>8878</v>
      </c>
      <c r="Z1811" s="1" t="s">
        <v>570</v>
      </c>
      <c r="AA1811" s="1" t="s">
        <v>31923</v>
      </c>
      <c r="AB1811" s="1" t="s">
        <v>8878</v>
      </c>
      <c r="AC1811" s="1" t="s">
        <v>570</v>
      </c>
      <c r="AD1811" s="1" t="s">
        <v>98</v>
      </c>
      <c r="AE1811" s="1" t="s">
        <v>98</v>
      </c>
      <c r="AF1811" s="1" t="s">
        <v>31924</v>
      </c>
      <c r="AG1811" s="1" t="s">
        <v>312</v>
      </c>
      <c r="AH1811" s="1" t="s">
        <v>101</v>
      </c>
      <c r="AI1811" s="1" t="s">
        <v>136</v>
      </c>
      <c r="AJ1811" s="1">
        <v>83.6</v>
      </c>
      <c r="AK1811" s="1">
        <v>8.8</v>
      </c>
      <c r="AL1811" s="1" t="s">
        <v>31924</v>
      </c>
      <c r="AM1811" s="1" t="s">
        <v>312</v>
      </c>
      <c r="AN1811" s="1"/>
      <c r="AO1811" s="1" t="s">
        <v>167</v>
      </c>
      <c r="AP1811" s="1" t="s">
        <v>573</v>
      </c>
      <c r="AQ1811" s="1">
        <v>77</v>
      </c>
      <c r="AR1811" s="1">
        <v>0</v>
      </c>
      <c r="AS1811" s="1"/>
      <c r="AT1811" s="1"/>
      <c r="AU1811" s="1"/>
      <c r="AV1811" s="1"/>
      <c r="AW1811" s="1"/>
      <c r="AX1811" s="1"/>
      <c r="AY1811" s="1" t="s">
        <v>21103</v>
      </c>
      <c r="AZ1811" s="1" t="s">
        <v>31925</v>
      </c>
      <c r="BA1811" s="1"/>
      <c r="BB1811" s="1"/>
      <c r="BC1811" s="1" t="s">
        <v>5535</v>
      </c>
      <c r="BD1811" s="1" t="s">
        <v>521</v>
      </c>
      <c r="BE1811" s="1">
        <v>75</v>
      </c>
      <c r="BF1811" s="1">
        <v>7.51</v>
      </c>
      <c r="BG1811" s="1"/>
      <c r="BH1811" s="1"/>
      <c r="BI1811" s="1"/>
      <c r="BJ1811" s="1"/>
      <c r="BK1811" s="1"/>
      <c r="BL1811" s="1"/>
      <c r="BM1811" s="1"/>
      <c r="BN1811" s="1"/>
      <c r="BO1811" s="1" t="s">
        <v>31926</v>
      </c>
      <c r="BP1811" s="1"/>
      <c r="BQ1811" s="1"/>
      <c r="BR1811" s="1" t="s">
        <v>31927</v>
      </c>
      <c r="BS1811" s="1">
        <v>29</v>
      </c>
      <c r="BT1811" s="1"/>
      <c r="BU1811" s="1" t="str">
        <f>HYPERLINK("https://nconnect.nicmar.ac.in/storage/profile/ProfilePhoto_p2270411_689215.jpg","Download")</f>
        <v>0</v>
      </c>
      <c r="BV1811" s="3"/>
      <c r="BW1811" s="3"/>
    </row>
    <row r="1812" spans="1:75">
      <c r="A1812" s="1" t="s">
        <v>75</v>
      </c>
      <c r="B1812" s="1" t="s">
        <v>25236</v>
      </c>
      <c r="C1812" s="1" t="s">
        <v>31928</v>
      </c>
      <c r="D1812" s="1" t="s">
        <v>31929</v>
      </c>
      <c r="E1812" s="1"/>
      <c r="F1812" s="1" t="s">
        <v>20298</v>
      </c>
      <c r="G1812" s="1" t="s">
        <v>31930</v>
      </c>
      <c r="H1812" s="1" t="s">
        <v>31931</v>
      </c>
      <c r="I1812" s="1" t="s">
        <v>31932</v>
      </c>
      <c r="J1812" s="1">
        <v>9082629368</v>
      </c>
      <c r="K1812" s="1" t="s">
        <v>84</v>
      </c>
      <c r="L1812" s="1" t="s">
        <v>31933</v>
      </c>
      <c r="M1812" s="1" t="s">
        <v>86</v>
      </c>
      <c r="N1812" s="1" t="s">
        <v>1163</v>
      </c>
      <c r="O1812" s="1" t="s">
        <v>31934</v>
      </c>
      <c r="P1812" s="1" t="s">
        <v>481</v>
      </c>
      <c r="Q1812" s="1" t="s">
        <v>31935</v>
      </c>
      <c r="R1812" s="1" t="s">
        <v>31936</v>
      </c>
      <c r="S1812" s="1">
        <v>9820232203</v>
      </c>
      <c r="T1812" s="1" t="s">
        <v>31937</v>
      </c>
      <c r="U1812" s="1" t="s">
        <v>31938</v>
      </c>
      <c r="V1812" s="1">
        <v>9975417700</v>
      </c>
      <c r="W1812" s="1" t="s">
        <v>31939</v>
      </c>
      <c r="X1812" s="1" t="s">
        <v>31940</v>
      </c>
      <c r="Y1812" s="1" t="s">
        <v>2259</v>
      </c>
      <c r="Z1812" s="1" t="s">
        <v>97</v>
      </c>
      <c r="AA1812" s="1" t="s">
        <v>31940</v>
      </c>
      <c r="AB1812" s="1" t="s">
        <v>2259</v>
      </c>
      <c r="AC1812" s="1" t="s">
        <v>97</v>
      </c>
      <c r="AD1812" s="1" t="s">
        <v>98</v>
      </c>
      <c r="AE1812" s="1" t="s">
        <v>98</v>
      </c>
      <c r="AF1812" s="1" t="s">
        <v>1624</v>
      </c>
      <c r="AG1812" s="1" t="s">
        <v>31941</v>
      </c>
      <c r="AH1812" s="1" t="s">
        <v>3770</v>
      </c>
      <c r="AI1812" s="1" t="s">
        <v>3421</v>
      </c>
      <c r="AJ1812" s="1">
        <v>87.4</v>
      </c>
      <c r="AK1812" s="1">
        <v>9.2</v>
      </c>
      <c r="AL1812" s="1" t="s">
        <v>1624</v>
      </c>
      <c r="AM1812" s="1" t="s">
        <v>31941</v>
      </c>
      <c r="AN1812" s="1"/>
      <c r="AO1812" s="1" t="s">
        <v>1214</v>
      </c>
      <c r="AP1812" s="1" t="s">
        <v>136</v>
      </c>
      <c r="AQ1812" s="1">
        <v>85.6</v>
      </c>
      <c r="AR1812" s="1"/>
      <c r="AS1812" s="1"/>
      <c r="AT1812" s="1"/>
      <c r="AU1812" s="1"/>
      <c r="AV1812" s="1"/>
      <c r="AW1812" s="1"/>
      <c r="AX1812" s="1"/>
      <c r="AY1812" s="1" t="s">
        <v>258</v>
      </c>
      <c r="AZ1812" s="1" t="s">
        <v>31942</v>
      </c>
      <c r="BA1812" s="1"/>
      <c r="BB1812" s="1"/>
      <c r="BC1812" s="1" t="s">
        <v>105</v>
      </c>
      <c r="BD1812" s="1" t="s">
        <v>315</v>
      </c>
      <c r="BE1812" s="1">
        <v>69.35</v>
      </c>
      <c r="BF1812" s="1">
        <v>7.75</v>
      </c>
      <c r="BG1812" s="1"/>
      <c r="BH1812" s="1"/>
      <c r="BI1812" s="1"/>
      <c r="BJ1812" s="1"/>
      <c r="BK1812" s="1"/>
      <c r="BL1812" s="1"/>
      <c r="BM1812" s="1"/>
      <c r="BN1812" s="1"/>
      <c r="BO1812" s="1" t="s">
        <v>31943</v>
      </c>
      <c r="BP1812" s="1" t="s">
        <v>31944</v>
      </c>
      <c r="BQ1812" s="1" t="s">
        <v>2213</v>
      </c>
      <c r="BR1812" s="1" t="s">
        <v>31945</v>
      </c>
      <c r="BS1812" s="1">
        <v>10</v>
      </c>
      <c r="BT1812" s="1"/>
      <c r="BU1812" s="1" t="str">
        <f>HYPERLINK("https://nconnect.nicmar.ac.in/storage/profile/ProfilePhoto_p2270412_264158.jpg","Download")</f>
        <v>0</v>
      </c>
      <c r="BV1812" s="3"/>
      <c r="BW1812" s="3"/>
    </row>
    <row r="1813" spans="1:75">
      <c r="A1813" s="1" t="s">
        <v>75</v>
      </c>
      <c r="B1813" s="1" t="s">
        <v>25236</v>
      </c>
      <c r="C1813" s="1" t="s">
        <v>31946</v>
      </c>
      <c r="D1813" s="1" t="s">
        <v>25412</v>
      </c>
      <c r="E1813" s="1" t="s">
        <v>7544</v>
      </c>
      <c r="F1813" s="1" t="s">
        <v>31947</v>
      </c>
      <c r="G1813" s="1" t="s">
        <v>31948</v>
      </c>
      <c r="H1813" s="1" t="s">
        <v>31949</v>
      </c>
      <c r="I1813" s="1" t="s">
        <v>31950</v>
      </c>
      <c r="J1813" s="1">
        <v>9978638399</v>
      </c>
      <c r="K1813" s="1" t="s">
        <v>84</v>
      </c>
      <c r="L1813" s="1" t="s">
        <v>7023</v>
      </c>
      <c r="M1813" s="1" t="s">
        <v>86</v>
      </c>
      <c r="N1813" s="1" t="s">
        <v>1027</v>
      </c>
      <c r="O1813" s="1" t="s">
        <v>31951</v>
      </c>
      <c r="P1813" s="1" t="s">
        <v>455</v>
      </c>
      <c r="Q1813" s="1" t="s">
        <v>31952</v>
      </c>
      <c r="R1813" s="1" t="s">
        <v>31953</v>
      </c>
      <c r="S1813" s="1">
        <v>9825838399</v>
      </c>
      <c r="T1813" s="1" t="s">
        <v>125</v>
      </c>
      <c r="U1813" s="1" t="s">
        <v>31954</v>
      </c>
      <c r="V1813" s="1">
        <v>9825838399</v>
      </c>
      <c r="W1813" s="1" t="s">
        <v>161</v>
      </c>
      <c r="X1813" s="1" t="s">
        <v>31955</v>
      </c>
      <c r="Y1813" s="1" t="s">
        <v>21559</v>
      </c>
      <c r="Z1813" s="1" t="s">
        <v>676</v>
      </c>
      <c r="AA1813" s="1" t="s">
        <v>31955</v>
      </c>
      <c r="AB1813" s="1" t="s">
        <v>21559</v>
      </c>
      <c r="AC1813" s="1" t="s">
        <v>676</v>
      </c>
      <c r="AD1813" s="1" t="s">
        <v>98</v>
      </c>
      <c r="AE1813" s="1" t="s">
        <v>98</v>
      </c>
      <c r="AF1813" s="1" t="s">
        <v>31956</v>
      </c>
      <c r="AG1813" s="1" t="s">
        <v>31957</v>
      </c>
      <c r="AH1813" s="1" t="s">
        <v>102</v>
      </c>
      <c r="AI1813" s="1" t="s">
        <v>1111</v>
      </c>
      <c r="AJ1813" s="1">
        <v>56.5</v>
      </c>
      <c r="AK1813" s="1"/>
      <c r="AL1813" s="1"/>
      <c r="AM1813" s="1"/>
      <c r="AN1813" s="1"/>
      <c r="AO1813" s="1"/>
      <c r="AP1813" s="1"/>
      <c r="AQ1813" s="1"/>
      <c r="AR1813" s="1"/>
      <c r="AS1813" s="1" t="s">
        <v>103</v>
      </c>
      <c r="AT1813" s="1" t="s">
        <v>31958</v>
      </c>
      <c r="AU1813" s="1" t="s">
        <v>139</v>
      </c>
      <c r="AV1813" s="1" t="s">
        <v>313</v>
      </c>
      <c r="AW1813" s="1">
        <v>64.8</v>
      </c>
      <c r="AX1813" s="1">
        <v>6.98</v>
      </c>
      <c r="AY1813" s="1" t="s">
        <v>31959</v>
      </c>
      <c r="AZ1813" s="1" t="s">
        <v>31958</v>
      </c>
      <c r="BA1813" s="1"/>
      <c r="BB1813" s="1"/>
      <c r="BC1813" s="1" t="s">
        <v>206</v>
      </c>
      <c r="BD1813" s="1" t="s">
        <v>632</v>
      </c>
      <c r="BE1813" s="1">
        <v>67.5</v>
      </c>
      <c r="BF1813" s="1">
        <v>7.25</v>
      </c>
      <c r="BG1813" s="1"/>
      <c r="BH1813" s="1"/>
      <c r="BI1813" s="1"/>
      <c r="BJ1813" s="1"/>
      <c r="BK1813" s="1"/>
      <c r="BL1813" s="1"/>
      <c r="BM1813" s="1"/>
      <c r="BN1813" s="1"/>
      <c r="BO1813" s="1" t="s">
        <v>31960</v>
      </c>
      <c r="BP1813" s="1"/>
      <c r="BQ1813" s="1"/>
      <c r="BR1813" s="1" t="s">
        <v>31961</v>
      </c>
      <c r="BS1813" s="1">
        <v>19</v>
      </c>
      <c r="BT1813" s="1"/>
      <c r="BU1813" s="1" t="str">
        <f>HYPERLINK("https://nconnect.nicmar.ac.in/storage/profile/ProfilePhoto_p2270413_341859.jpg","Download")</f>
        <v>0</v>
      </c>
      <c r="BV1813" s="3"/>
      <c r="BW1813" s="3"/>
    </row>
    <row r="1814" spans="1:75">
      <c r="A1814" s="1" t="s">
        <v>75</v>
      </c>
      <c r="B1814" s="1" t="s">
        <v>25236</v>
      </c>
      <c r="C1814" s="1" t="s">
        <v>31962</v>
      </c>
      <c r="D1814" s="1" t="s">
        <v>27195</v>
      </c>
      <c r="E1814" s="1"/>
      <c r="F1814" s="1" t="s">
        <v>31963</v>
      </c>
      <c r="G1814" s="1" t="s">
        <v>31964</v>
      </c>
      <c r="H1814" s="1" t="s">
        <v>31965</v>
      </c>
      <c r="I1814" s="1" t="s">
        <v>31966</v>
      </c>
      <c r="J1814" s="1">
        <v>8123441072</v>
      </c>
      <c r="K1814" s="1" t="s">
        <v>153</v>
      </c>
      <c r="L1814" s="1" t="s">
        <v>31967</v>
      </c>
      <c r="M1814" s="1" t="s">
        <v>86</v>
      </c>
      <c r="N1814" s="1" t="s">
        <v>31968</v>
      </c>
      <c r="O1814" s="1" t="s">
        <v>31969</v>
      </c>
      <c r="P1814" s="1" t="s">
        <v>481</v>
      </c>
      <c r="Q1814" s="1" t="s">
        <v>31970</v>
      </c>
      <c r="R1814" s="1" t="s">
        <v>31971</v>
      </c>
      <c r="S1814" s="1">
        <v>9880049939</v>
      </c>
      <c r="T1814" s="1" t="s">
        <v>3641</v>
      </c>
      <c r="U1814" s="1" t="s">
        <v>31972</v>
      </c>
      <c r="V1814" s="1">
        <v>9880049939</v>
      </c>
      <c r="W1814" s="1" t="s">
        <v>31973</v>
      </c>
      <c r="X1814" s="1" t="s">
        <v>31974</v>
      </c>
      <c r="Y1814" s="1" t="s">
        <v>6871</v>
      </c>
      <c r="Z1814" s="1" t="s">
        <v>1210</v>
      </c>
      <c r="AA1814" s="1" t="s">
        <v>31974</v>
      </c>
      <c r="AB1814" s="1" t="s">
        <v>6871</v>
      </c>
      <c r="AC1814" s="1" t="s">
        <v>1210</v>
      </c>
      <c r="AD1814" s="1" t="s">
        <v>98</v>
      </c>
      <c r="AE1814" s="1" t="s">
        <v>98</v>
      </c>
      <c r="AF1814" s="1" t="s">
        <v>31975</v>
      </c>
      <c r="AG1814" s="1" t="s">
        <v>1946</v>
      </c>
      <c r="AH1814" s="1" t="s">
        <v>3285</v>
      </c>
      <c r="AI1814" s="1" t="s">
        <v>3770</v>
      </c>
      <c r="AJ1814" s="1">
        <v>53.6</v>
      </c>
      <c r="AK1814" s="1"/>
      <c r="AL1814" s="1" t="s">
        <v>31976</v>
      </c>
      <c r="AM1814" s="1" t="s">
        <v>1946</v>
      </c>
      <c r="AN1814" s="1"/>
      <c r="AO1814" s="1" t="s">
        <v>1583</v>
      </c>
      <c r="AP1814" s="1" t="s">
        <v>102</v>
      </c>
      <c r="AQ1814" s="1">
        <v>47.33</v>
      </c>
      <c r="AR1814" s="1"/>
      <c r="AS1814" s="1"/>
      <c r="AT1814" s="1"/>
      <c r="AU1814" s="1"/>
      <c r="AV1814" s="1"/>
      <c r="AW1814" s="1"/>
      <c r="AX1814" s="1"/>
      <c r="AY1814" s="1" t="s">
        <v>31977</v>
      </c>
      <c r="AZ1814" s="1" t="s">
        <v>31978</v>
      </c>
      <c r="BA1814" s="1"/>
      <c r="BB1814" s="1"/>
      <c r="BC1814" s="1" t="s">
        <v>105</v>
      </c>
      <c r="BD1814" s="1" t="s">
        <v>549</v>
      </c>
      <c r="BE1814" s="1">
        <v>53.8</v>
      </c>
      <c r="BF1814" s="1">
        <v>6.13</v>
      </c>
      <c r="BG1814" s="1"/>
      <c r="BH1814" s="1"/>
      <c r="BI1814" s="1"/>
      <c r="BJ1814" s="1"/>
      <c r="BK1814" s="1"/>
      <c r="BL1814" s="1"/>
      <c r="BM1814" s="1"/>
      <c r="BN1814" s="1"/>
      <c r="BO1814" s="1" t="s">
        <v>31979</v>
      </c>
      <c r="BP1814" s="1"/>
      <c r="BQ1814" s="1"/>
      <c r="BR1814" s="1" t="s">
        <v>31980</v>
      </c>
      <c r="BS1814" s="1">
        <v>59</v>
      </c>
      <c r="BT1814" s="1"/>
      <c r="BU1814" s="1" t="str">
        <f>HYPERLINK("https://nconnect.nicmar.ac.in/storage/profile/ProfilePhoto_p2270414_143528.jpg","Download")</f>
        <v>0</v>
      </c>
      <c r="BV1814" s="3"/>
      <c r="BW1814" s="3"/>
    </row>
    <row r="1815" spans="1:75">
      <c r="A1815" s="1" t="s">
        <v>75</v>
      </c>
      <c r="B1815" s="1" t="s">
        <v>25236</v>
      </c>
      <c r="C1815" s="1" t="s">
        <v>31981</v>
      </c>
      <c r="D1815" s="1" t="s">
        <v>5466</v>
      </c>
      <c r="E1815" s="1" t="s">
        <v>1320</v>
      </c>
      <c r="F1815" s="1" t="s">
        <v>20298</v>
      </c>
      <c r="G1815" s="1" t="s">
        <v>31982</v>
      </c>
      <c r="H1815" s="1" t="s">
        <v>31983</v>
      </c>
      <c r="I1815" s="1" t="s">
        <v>31984</v>
      </c>
      <c r="J1815" s="1">
        <v>9693300003</v>
      </c>
      <c r="K1815" s="1" t="s">
        <v>84</v>
      </c>
      <c r="L1815" s="1" t="s">
        <v>13636</v>
      </c>
      <c r="M1815" s="1" t="s">
        <v>86</v>
      </c>
      <c r="N1815" s="1" t="s">
        <v>31985</v>
      </c>
      <c r="O1815" s="1" t="s">
        <v>31986</v>
      </c>
      <c r="P1815" s="1" t="s">
        <v>455</v>
      </c>
      <c r="Q1815" s="1" t="s">
        <v>31987</v>
      </c>
      <c r="R1815" s="1" t="s">
        <v>31988</v>
      </c>
      <c r="S1815" s="1">
        <v>9631812202</v>
      </c>
      <c r="T1815" s="1" t="s">
        <v>645</v>
      </c>
      <c r="U1815" s="1" t="s">
        <v>31989</v>
      </c>
      <c r="V1815" s="1">
        <v>9430136341</v>
      </c>
      <c r="W1815" s="1" t="s">
        <v>161</v>
      </c>
      <c r="X1815" s="1" t="s">
        <v>31990</v>
      </c>
      <c r="Y1815" s="1" t="s">
        <v>8299</v>
      </c>
      <c r="Z1815" s="1" t="s">
        <v>2955</v>
      </c>
      <c r="AA1815" s="1" t="s">
        <v>31990</v>
      </c>
      <c r="AB1815" s="1" t="s">
        <v>8299</v>
      </c>
      <c r="AC1815" s="1" t="s">
        <v>2955</v>
      </c>
      <c r="AD1815" s="1" t="s">
        <v>98</v>
      </c>
      <c r="AE1815" s="1" t="s">
        <v>98</v>
      </c>
      <c r="AF1815" s="1" t="s">
        <v>1060</v>
      </c>
      <c r="AG1815" s="1" t="s">
        <v>31991</v>
      </c>
      <c r="AH1815" s="1" t="s">
        <v>3421</v>
      </c>
      <c r="AI1815" s="1" t="s">
        <v>515</v>
      </c>
      <c r="AJ1815" s="1">
        <v>74.1</v>
      </c>
      <c r="AK1815" s="1">
        <v>7.8</v>
      </c>
      <c r="AL1815" s="1" t="s">
        <v>31992</v>
      </c>
      <c r="AM1815" s="1" t="s">
        <v>31991</v>
      </c>
      <c r="AN1815" s="1"/>
      <c r="AO1815" s="1" t="s">
        <v>1110</v>
      </c>
      <c r="AP1815" s="1" t="s">
        <v>627</v>
      </c>
      <c r="AQ1815" s="1">
        <v>53.6</v>
      </c>
      <c r="AR1815" s="1"/>
      <c r="AS1815" s="1"/>
      <c r="AT1815" s="1"/>
      <c r="AU1815" s="1"/>
      <c r="AV1815" s="1"/>
      <c r="AW1815" s="1"/>
      <c r="AX1815" s="1"/>
      <c r="AY1815" s="1" t="s">
        <v>3625</v>
      </c>
      <c r="AZ1815" s="1" t="s">
        <v>31993</v>
      </c>
      <c r="BA1815" s="1"/>
      <c r="BB1815" s="1"/>
      <c r="BC1815" s="1" t="s">
        <v>230</v>
      </c>
      <c r="BD1815" s="1" t="s">
        <v>549</v>
      </c>
      <c r="BE1815" s="1">
        <v>72.7</v>
      </c>
      <c r="BF1815" s="1">
        <v>8.02</v>
      </c>
      <c r="BG1815" s="1"/>
      <c r="BH1815" s="1"/>
      <c r="BI1815" s="1"/>
      <c r="BJ1815" s="1"/>
      <c r="BK1815" s="1"/>
      <c r="BL1815" s="1"/>
      <c r="BM1815" s="1"/>
      <c r="BN1815" s="1"/>
      <c r="BO1815" s="1" t="s">
        <v>31943</v>
      </c>
      <c r="BP1815" s="1" t="s">
        <v>31994</v>
      </c>
      <c r="BQ1815" s="1" t="s">
        <v>1070</v>
      </c>
      <c r="BR1815" s="1" t="s">
        <v>31995</v>
      </c>
      <c r="BS1815" s="1">
        <v>12</v>
      </c>
      <c r="BT1815" s="1"/>
      <c r="BU1815" s="1" t="str">
        <f>HYPERLINK("https://nconnect.nicmar.ac.in/storage/profile/ProfilePhoto_p2270415_825463.jpg","Download")</f>
        <v>0</v>
      </c>
      <c r="BV1815" s="3"/>
      <c r="BW1815" s="3"/>
    </row>
    <row r="1816" spans="1:75">
      <c r="A1816" s="1" t="s">
        <v>75</v>
      </c>
      <c r="B1816" s="1" t="s">
        <v>25236</v>
      </c>
      <c r="C1816" s="1" t="s">
        <v>31996</v>
      </c>
      <c r="D1816" s="1" t="s">
        <v>31997</v>
      </c>
      <c r="E1816" s="1"/>
      <c r="F1816" s="1" t="s">
        <v>3313</v>
      </c>
      <c r="G1816" s="1" t="s">
        <v>31998</v>
      </c>
      <c r="H1816" s="1" t="s">
        <v>31999</v>
      </c>
      <c r="I1816" s="1" t="s">
        <v>32000</v>
      </c>
      <c r="J1816" s="1">
        <v>7000583998</v>
      </c>
      <c r="K1816" s="1" t="s">
        <v>84</v>
      </c>
      <c r="L1816" s="1" t="s">
        <v>32001</v>
      </c>
      <c r="M1816" s="1" t="s">
        <v>86</v>
      </c>
      <c r="N1816" s="1" t="s">
        <v>32002</v>
      </c>
      <c r="O1816" s="1" t="s">
        <v>32003</v>
      </c>
      <c r="P1816" s="1" t="s">
        <v>481</v>
      </c>
      <c r="Q1816" s="1" t="s">
        <v>32004</v>
      </c>
      <c r="R1816" s="1" t="s">
        <v>32005</v>
      </c>
      <c r="S1816" s="1">
        <v>8319757072</v>
      </c>
      <c r="T1816" s="1" t="s">
        <v>926</v>
      </c>
      <c r="U1816" s="1" t="s">
        <v>32006</v>
      </c>
      <c r="V1816" s="1">
        <v>8319751072</v>
      </c>
      <c r="W1816" s="1" t="s">
        <v>541</v>
      </c>
      <c r="X1816" s="1" t="s">
        <v>32007</v>
      </c>
      <c r="Y1816" s="1" t="s">
        <v>14534</v>
      </c>
      <c r="Z1816" s="1" t="s">
        <v>3419</v>
      </c>
      <c r="AA1816" s="1" t="s">
        <v>32007</v>
      </c>
      <c r="AB1816" s="1" t="s">
        <v>14534</v>
      </c>
      <c r="AC1816" s="1" t="s">
        <v>3419</v>
      </c>
      <c r="AD1816" s="1" t="s">
        <v>98</v>
      </c>
      <c r="AE1816" s="1" t="s">
        <v>98</v>
      </c>
      <c r="AF1816" s="1" t="s">
        <v>32008</v>
      </c>
      <c r="AG1816" s="1" t="s">
        <v>32009</v>
      </c>
      <c r="AH1816" s="1" t="s">
        <v>1262</v>
      </c>
      <c r="AI1816" s="1" t="s">
        <v>136</v>
      </c>
      <c r="AJ1816" s="1">
        <v>64.6</v>
      </c>
      <c r="AK1816" s="1">
        <v>6.8</v>
      </c>
      <c r="AL1816" s="1"/>
      <c r="AM1816" s="1"/>
      <c r="AN1816" s="1"/>
      <c r="AO1816" s="1"/>
      <c r="AP1816" s="1"/>
      <c r="AQ1816" s="1"/>
      <c r="AR1816" s="1"/>
      <c r="AS1816" s="1" t="s">
        <v>103</v>
      </c>
      <c r="AT1816" s="1" t="s">
        <v>32010</v>
      </c>
      <c r="AU1816" s="1" t="s">
        <v>166</v>
      </c>
      <c r="AV1816" s="1" t="s">
        <v>174</v>
      </c>
      <c r="AW1816" s="1">
        <v>73.1</v>
      </c>
      <c r="AX1816" s="1">
        <v>7.31</v>
      </c>
      <c r="AY1816" s="1" t="s">
        <v>32011</v>
      </c>
      <c r="AZ1816" s="1" t="s">
        <v>32012</v>
      </c>
      <c r="BA1816" s="1"/>
      <c r="BB1816" s="1"/>
      <c r="BC1816" s="1" t="s">
        <v>1065</v>
      </c>
      <c r="BD1816" s="1" t="s">
        <v>441</v>
      </c>
      <c r="BE1816" s="1">
        <v>82.2</v>
      </c>
      <c r="BF1816" s="1">
        <v>8.7</v>
      </c>
      <c r="BG1816" s="1"/>
      <c r="BH1816" s="1"/>
      <c r="BI1816" s="1"/>
      <c r="BJ1816" s="1"/>
      <c r="BK1816" s="1"/>
      <c r="BL1816" s="1"/>
      <c r="BM1816" s="1"/>
      <c r="BN1816" s="1"/>
      <c r="BO1816" s="1" t="s">
        <v>32013</v>
      </c>
      <c r="BP1816" s="1"/>
      <c r="BQ1816" s="1"/>
      <c r="BR1816" s="1" t="s">
        <v>32014</v>
      </c>
      <c r="BS1816" s="1">
        <v>38</v>
      </c>
      <c r="BT1816" s="1"/>
      <c r="BU1816" s="1" t="str">
        <f>HYPERLINK("https://nconnect.nicmar.ac.in/storage/profile/ProfilePhoto_p2270417_675823.jpg","Download")</f>
        <v>0</v>
      </c>
      <c r="BV1816" s="3"/>
      <c r="BW1816" s="3"/>
    </row>
    <row r="1817" spans="1:75">
      <c r="A1817" s="1" t="s">
        <v>75</v>
      </c>
      <c r="B1817" s="1" t="s">
        <v>25236</v>
      </c>
      <c r="C1817" s="1" t="s">
        <v>32015</v>
      </c>
      <c r="D1817" s="1" t="s">
        <v>1118</v>
      </c>
      <c r="E1817" s="1" t="s">
        <v>10896</v>
      </c>
      <c r="F1817" s="1" t="s">
        <v>4019</v>
      </c>
      <c r="G1817" s="1" t="s">
        <v>32016</v>
      </c>
      <c r="H1817" s="1" t="s">
        <v>32017</v>
      </c>
      <c r="I1817" s="1" t="s">
        <v>32018</v>
      </c>
      <c r="J1817" s="1">
        <v>7283842990</v>
      </c>
      <c r="K1817" s="1" t="s">
        <v>84</v>
      </c>
      <c r="L1817" s="1" t="s">
        <v>32019</v>
      </c>
      <c r="M1817" s="1" t="s">
        <v>86</v>
      </c>
      <c r="N1817" s="1" t="s">
        <v>27995</v>
      </c>
      <c r="O1817" s="1" t="s">
        <v>32020</v>
      </c>
      <c r="P1817" s="1" t="s">
        <v>507</v>
      </c>
      <c r="Q1817" s="1" t="s">
        <v>32021</v>
      </c>
      <c r="R1817" s="1" t="s">
        <v>32022</v>
      </c>
      <c r="S1817" s="1">
        <v>9558248589</v>
      </c>
      <c r="T1817" s="1" t="s">
        <v>839</v>
      </c>
      <c r="U1817" s="1" t="s">
        <v>32023</v>
      </c>
      <c r="V1817" s="1">
        <v>9099225440</v>
      </c>
      <c r="W1817" s="1" t="s">
        <v>161</v>
      </c>
      <c r="X1817" s="1" t="s">
        <v>32024</v>
      </c>
      <c r="Y1817" s="1" t="s">
        <v>32025</v>
      </c>
      <c r="Z1817" s="1" t="s">
        <v>676</v>
      </c>
      <c r="AA1817" s="1" t="s">
        <v>32026</v>
      </c>
      <c r="AB1817" s="1" t="s">
        <v>2880</v>
      </c>
      <c r="AC1817" s="1" t="s">
        <v>676</v>
      </c>
      <c r="AD1817" s="1" t="s">
        <v>98</v>
      </c>
      <c r="AE1817" s="1" t="s">
        <v>98</v>
      </c>
      <c r="AF1817" s="1" t="s">
        <v>32027</v>
      </c>
      <c r="AG1817" s="1" t="s">
        <v>32028</v>
      </c>
      <c r="AH1817" s="1" t="s">
        <v>101</v>
      </c>
      <c r="AI1817" s="1" t="s">
        <v>102</v>
      </c>
      <c r="AJ1817" s="1">
        <v>56.17</v>
      </c>
      <c r="AK1817" s="1"/>
      <c r="AL1817" s="1"/>
      <c r="AM1817" s="1"/>
      <c r="AN1817" s="1"/>
      <c r="AO1817" s="1"/>
      <c r="AP1817" s="1"/>
      <c r="AQ1817" s="1"/>
      <c r="AR1817" s="1"/>
      <c r="AS1817" s="1" t="s">
        <v>439</v>
      </c>
      <c r="AT1817" s="1" t="s">
        <v>32029</v>
      </c>
      <c r="AU1817" s="1" t="s">
        <v>342</v>
      </c>
      <c r="AV1817" s="1" t="s">
        <v>106</v>
      </c>
      <c r="AW1817" s="1">
        <v>72.7</v>
      </c>
      <c r="AX1817" s="1">
        <v>7.77</v>
      </c>
      <c r="AY1817" s="1" t="s">
        <v>32030</v>
      </c>
      <c r="AZ1817" s="1" t="s">
        <v>32031</v>
      </c>
      <c r="BA1817" s="1"/>
      <c r="BB1817" s="1"/>
      <c r="BC1817" s="1" t="s">
        <v>1065</v>
      </c>
      <c r="BD1817" s="1" t="s">
        <v>845</v>
      </c>
      <c r="BE1817" s="1">
        <v>75.16</v>
      </c>
      <c r="BF1817" s="1">
        <v>7.52</v>
      </c>
      <c r="BG1817" s="1"/>
      <c r="BH1817" s="1"/>
      <c r="BI1817" s="1"/>
      <c r="BJ1817" s="1"/>
      <c r="BK1817" s="1"/>
      <c r="BL1817" s="1"/>
      <c r="BM1817" s="1"/>
      <c r="BN1817" s="1"/>
      <c r="BO1817" s="1" t="s">
        <v>32032</v>
      </c>
      <c r="BP1817" s="1"/>
      <c r="BQ1817" s="1"/>
      <c r="BR1817" s="1" t="s">
        <v>32033</v>
      </c>
      <c r="BS1817" s="1">
        <v>39</v>
      </c>
      <c r="BT1817" s="1"/>
      <c r="BU1817" s="1" t="str">
        <f>HYPERLINK("https://nconnect.nicmar.ac.in/storage/profile/ProfilePhoto_p2270418_386524.jpg","Download")</f>
        <v>0</v>
      </c>
      <c r="BV1817" s="3"/>
      <c r="BW1817" s="3"/>
    </row>
    <row r="1818" spans="1:75">
      <c r="A1818" s="1" t="s">
        <v>75</v>
      </c>
      <c r="B1818" s="1" t="s">
        <v>25236</v>
      </c>
      <c r="C1818" s="1" t="s">
        <v>32034</v>
      </c>
      <c r="D1818" s="1" t="s">
        <v>11436</v>
      </c>
      <c r="E1818" s="1"/>
      <c r="F1818" s="1" t="s">
        <v>32035</v>
      </c>
      <c r="G1818" s="1" t="s">
        <v>32036</v>
      </c>
      <c r="H1818" s="1" t="s">
        <v>32037</v>
      </c>
      <c r="I1818" s="1" t="s">
        <v>32038</v>
      </c>
      <c r="J1818" s="1">
        <v>7018226028</v>
      </c>
      <c r="K1818" s="1" t="s">
        <v>84</v>
      </c>
      <c r="L1818" s="1" t="s">
        <v>32039</v>
      </c>
      <c r="M1818" s="1" t="s">
        <v>86</v>
      </c>
      <c r="N1818" s="1" t="s">
        <v>966</v>
      </c>
      <c r="O1818" s="1" t="s">
        <v>32040</v>
      </c>
      <c r="P1818" s="1" t="s">
        <v>455</v>
      </c>
      <c r="Q1818" s="1" t="s">
        <v>32041</v>
      </c>
      <c r="R1818" s="1" t="s">
        <v>32042</v>
      </c>
      <c r="S1818" s="1">
        <v>9418496708</v>
      </c>
      <c r="T1818" s="1" t="s">
        <v>539</v>
      </c>
      <c r="U1818" s="1" t="s">
        <v>32043</v>
      </c>
      <c r="V1818" s="1">
        <v>7018198274</v>
      </c>
      <c r="W1818" s="1" t="s">
        <v>539</v>
      </c>
      <c r="X1818" s="1" t="s">
        <v>32044</v>
      </c>
      <c r="Y1818" s="1" t="s">
        <v>13280</v>
      </c>
      <c r="Z1818" s="1" t="s">
        <v>2608</v>
      </c>
      <c r="AA1818" s="1" t="s">
        <v>32044</v>
      </c>
      <c r="AB1818" s="1" t="s">
        <v>13280</v>
      </c>
      <c r="AC1818" s="1" t="s">
        <v>2608</v>
      </c>
      <c r="AD1818" s="1" t="s">
        <v>98</v>
      </c>
      <c r="AE1818" s="1" t="s">
        <v>98</v>
      </c>
      <c r="AF1818" s="1" t="s">
        <v>32045</v>
      </c>
      <c r="AG1818" s="1" t="s">
        <v>32046</v>
      </c>
      <c r="AH1818" s="1" t="s">
        <v>1110</v>
      </c>
      <c r="AI1818" s="1" t="s">
        <v>1111</v>
      </c>
      <c r="AJ1818" s="1">
        <v>83.6</v>
      </c>
      <c r="AK1818" s="1"/>
      <c r="AL1818" s="1" t="s">
        <v>32047</v>
      </c>
      <c r="AM1818" s="1" t="s">
        <v>32048</v>
      </c>
      <c r="AN1818" s="1"/>
      <c r="AO1818" s="1" t="s">
        <v>704</v>
      </c>
      <c r="AP1818" s="1" t="s">
        <v>286</v>
      </c>
      <c r="AQ1818" s="1">
        <v>83.8</v>
      </c>
      <c r="AR1818" s="1"/>
      <c r="AS1818" s="1"/>
      <c r="AT1818" s="1"/>
      <c r="AU1818" s="1"/>
      <c r="AV1818" s="1"/>
      <c r="AW1818" s="1"/>
      <c r="AX1818" s="1"/>
      <c r="AY1818" s="1" t="s">
        <v>9026</v>
      </c>
      <c r="AZ1818" s="1" t="s">
        <v>32049</v>
      </c>
      <c r="BA1818" s="1"/>
      <c r="BB1818" s="1"/>
      <c r="BC1818" s="1" t="s">
        <v>174</v>
      </c>
      <c r="BD1818" s="1" t="s">
        <v>632</v>
      </c>
      <c r="BE1818" s="1">
        <v>74</v>
      </c>
      <c r="BF1818" s="1">
        <v>7.47</v>
      </c>
      <c r="BG1818" s="1"/>
      <c r="BH1818" s="1"/>
      <c r="BI1818" s="1"/>
      <c r="BJ1818" s="1"/>
      <c r="BK1818" s="1"/>
      <c r="BL1818" s="1"/>
      <c r="BM1818" s="1"/>
      <c r="BN1818" s="1"/>
      <c r="BO1818" s="1" t="s">
        <v>32050</v>
      </c>
      <c r="BP1818" s="1"/>
      <c r="BQ1818" s="1"/>
      <c r="BR1818" s="1" t="s">
        <v>32051</v>
      </c>
      <c r="BS1818" s="1">
        <v>11</v>
      </c>
      <c r="BT1818" s="1"/>
      <c r="BU1818" s="1" t="str">
        <f>HYPERLINK("https://nconnect.nicmar.ac.in/storage/profile/ProfilePhoto_p2270420_468197.jpg","Download")</f>
        <v>0</v>
      </c>
      <c r="BV1818" s="3"/>
      <c r="BW1818" s="3"/>
    </row>
    <row r="1819" spans="1:75">
      <c r="A1819" s="1" t="s">
        <v>75</v>
      </c>
      <c r="B1819" s="1" t="s">
        <v>25236</v>
      </c>
      <c r="C1819" s="1" t="s">
        <v>32052</v>
      </c>
      <c r="D1819" s="1" t="s">
        <v>32053</v>
      </c>
      <c r="E1819" s="1" t="s">
        <v>32054</v>
      </c>
      <c r="F1819" s="1" t="s">
        <v>1486</v>
      </c>
      <c r="G1819" s="1" t="s">
        <v>32055</v>
      </c>
      <c r="H1819" s="1" t="s">
        <v>32056</v>
      </c>
      <c r="I1819" s="1" t="s">
        <v>32057</v>
      </c>
      <c r="J1819" s="1">
        <v>7995353594</v>
      </c>
      <c r="K1819" s="1" t="s">
        <v>84</v>
      </c>
      <c r="L1819" s="1" t="s">
        <v>32058</v>
      </c>
      <c r="M1819" s="1" t="s">
        <v>86</v>
      </c>
      <c r="N1819" s="1" t="s">
        <v>32059</v>
      </c>
      <c r="O1819" s="1" t="s">
        <v>32060</v>
      </c>
      <c r="P1819" s="1" t="s">
        <v>507</v>
      </c>
      <c r="Q1819" s="1" t="s">
        <v>32061</v>
      </c>
      <c r="R1819" s="1" t="s">
        <v>32062</v>
      </c>
      <c r="S1819" s="1">
        <v>9440894458</v>
      </c>
      <c r="T1819" s="1" t="s">
        <v>32063</v>
      </c>
      <c r="U1819" s="1" t="s">
        <v>32064</v>
      </c>
      <c r="V1819" s="1">
        <v>8096575931</v>
      </c>
      <c r="W1819" s="1" t="s">
        <v>161</v>
      </c>
      <c r="X1819" s="1" t="s">
        <v>32065</v>
      </c>
      <c r="Y1819" s="1" t="s">
        <v>725</v>
      </c>
      <c r="Z1819" s="1" t="s">
        <v>281</v>
      </c>
      <c r="AA1819" s="1" t="s">
        <v>32065</v>
      </c>
      <c r="AB1819" s="1" t="s">
        <v>725</v>
      </c>
      <c r="AC1819" s="1" t="s">
        <v>281</v>
      </c>
      <c r="AD1819" s="1" t="s">
        <v>98</v>
      </c>
      <c r="AE1819" s="1" t="s">
        <v>98</v>
      </c>
      <c r="AF1819" s="1" t="s">
        <v>32066</v>
      </c>
      <c r="AG1819" s="1" t="s">
        <v>32067</v>
      </c>
      <c r="AH1819" s="1" t="s">
        <v>166</v>
      </c>
      <c r="AI1819" s="1" t="s">
        <v>284</v>
      </c>
      <c r="AJ1819" s="1">
        <v>83</v>
      </c>
      <c r="AK1819" s="1">
        <v>8.3</v>
      </c>
      <c r="AL1819" s="1" t="s">
        <v>32068</v>
      </c>
      <c r="AM1819" s="1" t="s">
        <v>32067</v>
      </c>
      <c r="AN1819" s="1"/>
      <c r="AO1819" s="1" t="s">
        <v>167</v>
      </c>
      <c r="AP1819" s="1" t="s">
        <v>286</v>
      </c>
      <c r="AQ1819" s="1">
        <v>86.8</v>
      </c>
      <c r="AR1819" s="1"/>
      <c r="AS1819" s="1"/>
      <c r="AT1819" s="1"/>
      <c r="AU1819" s="1"/>
      <c r="AV1819" s="1"/>
      <c r="AW1819" s="1"/>
      <c r="AX1819" s="1"/>
      <c r="AY1819" s="1" t="s">
        <v>7774</v>
      </c>
      <c r="AZ1819" s="1" t="s">
        <v>32069</v>
      </c>
      <c r="BA1819" s="1"/>
      <c r="BB1819" s="1"/>
      <c r="BC1819" s="1" t="s">
        <v>1065</v>
      </c>
      <c r="BD1819" s="1" t="s">
        <v>289</v>
      </c>
      <c r="BE1819" s="1">
        <v>57.9</v>
      </c>
      <c r="BF1819" s="1">
        <v>6.54</v>
      </c>
      <c r="BG1819" s="1"/>
      <c r="BH1819" s="1"/>
      <c r="BI1819" s="1"/>
      <c r="BJ1819" s="1"/>
      <c r="BK1819" s="1"/>
      <c r="BL1819" s="1"/>
      <c r="BM1819" s="1"/>
      <c r="BN1819" s="1"/>
      <c r="BO1819" s="1" t="s">
        <v>369</v>
      </c>
      <c r="BP1819" s="1"/>
      <c r="BQ1819" s="1"/>
      <c r="BR1819" s="1" t="s">
        <v>32070</v>
      </c>
      <c r="BS1819" s="1">
        <v>33</v>
      </c>
      <c r="BT1819" s="1"/>
      <c r="BU1819" s="1" t="str">
        <f>HYPERLINK("https://nconnect.nicmar.ac.in/storage/profile/ProfilePhoto_p2270421_861735.jpg","Download")</f>
        <v>0</v>
      </c>
      <c r="BV1819" s="3"/>
      <c r="BW1819" s="3"/>
    </row>
    <row r="1820" spans="1:75">
      <c r="A1820" s="1" t="s">
        <v>75</v>
      </c>
      <c r="B1820" s="1" t="s">
        <v>25236</v>
      </c>
      <c r="C1820" s="1" t="s">
        <v>32071</v>
      </c>
      <c r="D1820" s="1" t="s">
        <v>32072</v>
      </c>
      <c r="E1820" s="1" t="s">
        <v>1118</v>
      </c>
      <c r="F1820" s="1" t="s">
        <v>32073</v>
      </c>
      <c r="G1820" s="1" t="s">
        <v>32074</v>
      </c>
      <c r="H1820" s="1" t="s">
        <v>32075</v>
      </c>
      <c r="I1820" s="1" t="s">
        <v>32076</v>
      </c>
      <c r="J1820" s="1">
        <v>9601666402</v>
      </c>
      <c r="K1820" s="1" t="s">
        <v>84</v>
      </c>
      <c r="L1820" s="1" t="s">
        <v>20907</v>
      </c>
      <c r="M1820" s="1" t="s">
        <v>86</v>
      </c>
      <c r="N1820" s="1" t="s">
        <v>32077</v>
      </c>
      <c r="O1820" s="1" t="s">
        <v>32078</v>
      </c>
      <c r="P1820" s="1" t="s">
        <v>507</v>
      </c>
      <c r="Q1820" s="1" t="s">
        <v>32079</v>
      </c>
      <c r="R1820" s="1" t="s">
        <v>32080</v>
      </c>
      <c r="S1820" s="1">
        <v>8780436121</v>
      </c>
      <c r="T1820" s="1" t="s">
        <v>908</v>
      </c>
      <c r="U1820" s="1" t="s">
        <v>32081</v>
      </c>
      <c r="V1820" s="1">
        <v>9724507570</v>
      </c>
      <c r="W1820" s="1" t="s">
        <v>127</v>
      </c>
      <c r="X1820" s="1" t="s">
        <v>32082</v>
      </c>
      <c r="Y1820" s="1" t="s">
        <v>5138</v>
      </c>
      <c r="Z1820" s="1" t="s">
        <v>676</v>
      </c>
      <c r="AA1820" s="1" t="s">
        <v>32082</v>
      </c>
      <c r="AB1820" s="1" t="s">
        <v>5138</v>
      </c>
      <c r="AC1820" s="1" t="s">
        <v>676</v>
      </c>
      <c r="AD1820" s="1" t="s">
        <v>98</v>
      </c>
      <c r="AE1820" s="1" t="s">
        <v>98</v>
      </c>
      <c r="AF1820" s="1" t="s">
        <v>32083</v>
      </c>
      <c r="AG1820" s="1" t="s">
        <v>312</v>
      </c>
      <c r="AH1820" s="1" t="s">
        <v>1110</v>
      </c>
      <c r="AI1820" s="1" t="s">
        <v>1111</v>
      </c>
      <c r="AJ1820" s="1">
        <v>89.3</v>
      </c>
      <c r="AK1820" s="1">
        <v>9.4</v>
      </c>
      <c r="AL1820" s="1" t="s">
        <v>32083</v>
      </c>
      <c r="AM1820" s="1" t="s">
        <v>312</v>
      </c>
      <c r="AN1820" s="1"/>
      <c r="AO1820" s="1" t="s">
        <v>704</v>
      </c>
      <c r="AP1820" s="1" t="s">
        <v>286</v>
      </c>
      <c r="AQ1820" s="1">
        <v>85</v>
      </c>
      <c r="AR1820" s="1"/>
      <c r="AS1820" s="1"/>
      <c r="AT1820" s="1"/>
      <c r="AU1820" s="1"/>
      <c r="AV1820" s="1"/>
      <c r="AW1820" s="1"/>
      <c r="AX1820" s="1"/>
      <c r="AY1820" s="1" t="s">
        <v>32084</v>
      </c>
      <c r="AZ1820" s="1" t="s">
        <v>32085</v>
      </c>
      <c r="BA1820" s="1"/>
      <c r="BB1820" s="1"/>
      <c r="BC1820" s="1" t="s">
        <v>106</v>
      </c>
      <c r="BD1820" s="1" t="s">
        <v>289</v>
      </c>
      <c r="BE1820" s="1">
        <v>86.1</v>
      </c>
      <c r="BF1820" s="1">
        <v>9.11</v>
      </c>
      <c r="BG1820" s="1"/>
      <c r="BH1820" s="1"/>
      <c r="BI1820" s="1"/>
      <c r="BJ1820" s="1"/>
      <c r="BK1820" s="1"/>
      <c r="BL1820" s="1"/>
      <c r="BM1820" s="1"/>
      <c r="BN1820" s="1"/>
      <c r="BO1820" s="1" t="s">
        <v>25445</v>
      </c>
      <c r="BP1820" s="1"/>
      <c r="BQ1820" s="1"/>
      <c r="BR1820" s="1" t="s">
        <v>32086</v>
      </c>
      <c r="BS1820" s="1">
        <v>21</v>
      </c>
      <c r="BT1820" s="1"/>
      <c r="BU1820" s="1" t="str">
        <f>HYPERLINK("https://nconnect.nicmar.ac.in/storage/profile/ProfilePhoto_p2270422_371429.jpg","Download")</f>
        <v>0</v>
      </c>
      <c r="BV1820" s="3"/>
      <c r="BW1820" s="3"/>
    </row>
    <row r="1821" spans="1:75">
      <c r="A1821" s="1" t="s">
        <v>75</v>
      </c>
      <c r="B1821" s="1" t="s">
        <v>25236</v>
      </c>
      <c r="C1821" s="1" t="s">
        <v>32087</v>
      </c>
      <c r="D1821" s="1" t="s">
        <v>6599</v>
      </c>
      <c r="E1821" s="1" t="s">
        <v>5230</v>
      </c>
      <c r="F1821" s="1" t="s">
        <v>350</v>
      </c>
      <c r="G1821" s="1" t="s">
        <v>32088</v>
      </c>
      <c r="H1821" s="1" t="s">
        <v>32089</v>
      </c>
      <c r="I1821" s="1" t="s">
        <v>32090</v>
      </c>
      <c r="J1821" s="1">
        <v>9619203359</v>
      </c>
      <c r="K1821" s="1" t="s">
        <v>84</v>
      </c>
      <c r="L1821" s="1" t="s">
        <v>29148</v>
      </c>
      <c r="M1821" s="1" t="s">
        <v>86</v>
      </c>
      <c r="N1821" s="1" t="s">
        <v>768</v>
      </c>
      <c r="O1821" s="1" t="s">
        <v>32091</v>
      </c>
      <c r="P1821" s="1" t="s">
        <v>455</v>
      </c>
      <c r="Q1821" s="1" t="s">
        <v>32092</v>
      </c>
      <c r="R1821" s="1" t="s">
        <v>5230</v>
      </c>
      <c r="S1821" s="1">
        <v>9821873161</v>
      </c>
      <c r="T1821" s="1" t="s">
        <v>32093</v>
      </c>
      <c r="U1821" s="1" t="s">
        <v>3000</v>
      </c>
      <c r="V1821" s="1">
        <v>7506804554</v>
      </c>
      <c r="W1821" s="1" t="s">
        <v>161</v>
      </c>
      <c r="X1821" s="1" t="s">
        <v>32094</v>
      </c>
      <c r="Y1821" s="1" t="s">
        <v>2259</v>
      </c>
      <c r="Z1821" s="1" t="s">
        <v>97</v>
      </c>
      <c r="AA1821" s="1" t="s">
        <v>32094</v>
      </c>
      <c r="AB1821" s="1" t="s">
        <v>2259</v>
      </c>
      <c r="AC1821" s="1" t="s">
        <v>97</v>
      </c>
      <c r="AD1821" s="1" t="s">
        <v>98</v>
      </c>
      <c r="AE1821" s="1" t="s">
        <v>98</v>
      </c>
      <c r="AF1821" s="1" t="s">
        <v>32095</v>
      </c>
      <c r="AG1821" s="1" t="s">
        <v>996</v>
      </c>
      <c r="AH1821" s="1" t="s">
        <v>2783</v>
      </c>
      <c r="AI1821" s="1" t="s">
        <v>515</v>
      </c>
      <c r="AJ1821" s="1">
        <v>69.4</v>
      </c>
      <c r="AK1821" s="1"/>
      <c r="AL1821" s="1" t="s">
        <v>2263</v>
      </c>
      <c r="AM1821" s="1" t="s">
        <v>996</v>
      </c>
      <c r="AN1821" s="1"/>
      <c r="AO1821" s="1" t="s">
        <v>135</v>
      </c>
      <c r="AP1821" s="1" t="s">
        <v>627</v>
      </c>
      <c r="AQ1821" s="1">
        <v>60.31</v>
      </c>
      <c r="AR1821" s="1"/>
      <c r="AS1821" s="1"/>
      <c r="AT1821" s="1"/>
      <c r="AU1821" s="1"/>
      <c r="AV1821" s="1"/>
      <c r="AW1821" s="1"/>
      <c r="AX1821" s="1"/>
      <c r="AY1821" s="1" t="s">
        <v>258</v>
      </c>
      <c r="AZ1821" s="1" t="s">
        <v>32096</v>
      </c>
      <c r="BA1821" s="1"/>
      <c r="BB1821" s="1"/>
      <c r="BC1821" s="1" t="s">
        <v>139</v>
      </c>
      <c r="BD1821" s="1" t="s">
        <v>289</v>
      </c>
      <c r="BE1821" s="1">
        <v>65.28</v>
      </c>
      <c r="BF1821" s="1">
        <v>7.2</v>
      </c>
      <c r="BG1821" s="1"/>
      <c r="BH1821" s="1"/>
      <c r="BI1821" s="1"/>
      <c r="BJ1821" s="1"/>
      <c r="BK1821" s="1"/>
      <c r="BL1821" s="1"/>
      <c r="BM1821" s="1"/>
      <c r="BN1821" s="1"/>
      <c r="BO1821" s="1" t="s">
        <v>32097</v>
      </c>
      <c r="BP1821" s="1"/>
      <c r="BQ1821" s="1"/>
      <c r="BR1821" s="1" t="s">
        <v>32098</v>
      </c>
      <c r="BS1821" s="1">
        <v>19</v>
      </c>
      <c r="BT1821" s="1"/>
      <c r="BU1821" s="1" t="str">
        <f>HYPERLINK("https://nconnect.nicmar.ac.in/storage/profile/ProfilePhoto_p2270423_156294.jpg","Download")</f>
        <v>0</v>
      </c>
      <c r="BV1821" s="3"/>
      <c r="BW1821" s="3"/>
    </row>
    <row r="1822" spans="1:75">
      <c r="A1822" s="1" t="s">
        <v>75</v>
      </c>
      <c r="B1822" s="1" t="s">
        <v>25236</v>
      </c>
      <c r="C1822" s="1" t="s">
        <v>32099</v>
      </c>
      <c r="D1822" s="1" t="s">
        <v>1046</v>
      </c>
      <c r="E1822" s="1" t="s">
        <v>5004</v>
      </c>
      <c r="F1822" s="1" t="s">
        <v>32100</v>
      </c>
      <c r="G1822" s="1" t="s">
        <v>32101</v>
      </c>
      <c r="H1822" s="1" t="s">
        <v>32102</v>
      </c>
      <c r="I1822" s="1" t="s">
        <v>32103</v>
      </c>
      <c r="J1822" s="1">
        <v>7057905273</v>
      </c>
      <c r="K1822" s="1" t="s">
        <v>84</v>
      </c>
      <c r="L1822" s="1" t="s">
        <v>21890</v>
      </c>
      <c r="M1822" s="1" t="s">
        <v>86</v>
      </c>
      <c r="N1822" s="1" t="s">
        <v>7467</v>
      </c>
      <c r="O1822" s="1" t="s">
        <v>32104</v>
      </c>
      <c r="P1822" s="1" t="s">
        <v>455</v>
      </c>
      <c r="Q1822" s="1" t="s">
        <v>32105</v>
      </c>
      <c r="R1822" s="1" t="s">
        <v>32106</v>
      </c>
      <c r="S1822" s="1">
        <v>9921627353</v>
      </c>
      <c r="T1822" s="1" t="s">
        <v>127</v>
      </c>
      <c r="U1822" s="1" t="s">
        <v>32107</v>
      </c>
      <c r="V1822" s="1">
        <v>9405191303</v>
      </c>
      <c r="W1822" s="1" t="s">
        <v>94</v>
      </c>
      <c r="X1822" s="1" t="s">
        <v>32108</v>
      </c>
      <c r="Y1822" s="1" t="s">
        <v>5659</v>
      </c>
      <c r="Z1822" s="1" t="s">
        <v>97</v>
      </c>
      <c r="AA1822" s="1" t="s">
        <v>32108</v>
      </c>
      <c r="AB1822" s="1" t="s">
        <v>5659</v>
      </c>
      <c r="AC1822" s="1" t="s">
        <v>97</v>
      </c>
      <c r="AD1822" s="1" t="s">
        <v>98</v>
      </c>
      <c r="AE1822" s="1" t="s">
        <v>98</v>
      </c>
      <c r="AF1822" s="1" t="s">
        <v>32109</v>
      </c>
      <c r="AG1822" s="1" t="s">
        <v>32110</v>
      </c>
      <c r="AH1822" s="1" t="s">
        <v>101</v>
      </c>
      <c r="AI1822" s="1" t="s">
        <v>166</v>
      </c>
      <c r="AJ1822" s="1">
        <v>73.8</v>
      </c>
      <c r="AK1822" s="1"/>
      <c r="AL1822" s="1" t="s">
        <v>32111</v>
      </c>
      <c r="AM1822" s="1" t="s">
        <v>32110</v>
      </c>
      <c r="AN1822" s="1"/>
      <c r="AO1822" s="1" t="s">
        <v>167</v>
      </c>
      <c r="AP1822" s="1" t="s">
        <v>573</v>
      </c>
      <c r="AQ1822" s="1">
        <v>77.85</v>
      </c>
      <c r="AR1822" s="1"/>
      <c r="AS1822" s="1"/>
      <c r="AT1822" s="1"/>
      <c r="AU1822" s="1"/>
      <c r="AV1822" s="1"/>
      <c r="AW1822" s="1"/>
      <c r="AX1822" s="1"/>
      <c r="AY1822" s="1" t="s">
        <v>8319</v>
      </c>
      <c r="AZ1822" s="1" t="s">
        <v>32112</v>
      </c>
      <c r="BA1822" s="1"/>
      <c r="BB1822" s="1"/>
      <c r="BC1822" s="1" t="s">
        <v>388</v>
      </c>
      <c r="BD1822" s="1" t="s">
        <v>441</v>
      </c>
      <c r="BE1822" s="1">
        <v>69.7</v>
      </c>
      <c r="BF1822" s="1">
        <v>7.47</v>
      </c>
      <c r="BG1822" s="1"/>
      <c r="BH1822" s="1"/>
      <c r="BI1822" s="1"/>
      <c r="BJ1822" s="1"/>
      <c r="BK1822" s="1"/>
      <c r="BL1822" s="1"/>
      <c r="BM1822" s="1"/>
      <c r="BN1822" s="1"/>
      <c r="BO1822" s="1" t="s">
        <v>6027</v>
      </c>
      <c r="BP1822" s="1"/>
      <c r="BQ1822" s="1"/>
      <c r="BR1822" s="1" t="s">
        <v>32113</v>
      </c>
      <c r="BS1822" s="1">
        <v>38</v>
      </c>
      <c r="BT1822" s="1"/>
      <c r="BU1822" s="1" t="str">
        <f>HYPERLINK("https://nconnect.nicmar.ac.in/storage/profile/ProfilePhoto_p2270424_698357.jpg","Download")</f>
        <v>0</v>
      </c>
      <c r="BV1822" s="3"/>
      <c r="BW1822" s="3"/>
    </row>
    <row r="1823" spans="1:75">
      <c r="A1823" s="1" t="s">
        <v>75</v>
      </c>
      <c r="B1823" s="1" t="s">
        <v>25236</v>
      </c>
      <c r="C1823" s="1" t="s">
        <v>32114</v>
      </c>
      <c r="D1823" s="1" t="s">
        <v>32115</v>
      </c>
      <c r="E1823" s="1" t="s">
        <v>2233</v>
      </c>
      <c r="F1823" s="1" t="s">
        <v>32116</v>
      </c>
      <c r="G1823" s="1" t="s">
        <v>32117</v>
      </c>
      <c r="H1823" s="1" t="s">
        <v>32118</v>
      </c>
      <c r="I1823" s="1" t="s">
        <v>32119</v>
      </c>
      <c r="J1823" s="1">
        <v>9673355991</v>
      </c>
      <c r="K1823" s="1" t="s">
        <v>84</v>
      </c>
      <c r="L1823" s="1" t="s">
        <v>10049</v>
      </c>
      <c r="M1823" s="1" t="s">
        <v>86</v>
      </c>
      <c r="N1823" s="1" t="s">
        <v>32120</v>
      </c>
      <c r="O1823" s="1" t="s">
        <v>32121</v>
      </c>
      <c r="P1823" s="1" t="s">
        <v>455</v>
      </c>
      <c r="Q1823" s="1" t="s">
        <v>32122</v>
      </c>
      <c r="R1823" s="1" t="s">
        <v>32123</v>
      </c>
      <c r="S1823" s="1">
        <v>9822337749</v>
      </c>
      <c r="T1823" s="1" t="s">
        <v>771</v>
      </c>
      <c r="U1823" s="1" t="s">
        <v>32124</v>
      </c>
      <c r="V1823" s="1">
        <v>9923249109</v>
      </c>
      <c r="W1823" s="1" t="s">
        <v>541</v>
      </c>
      <c r="X1823" s="1" t="s">
        <v>32125</v>
      </c>
      <c r="Y1823" s="1" t="s">
        <v>5659</v>
      </c>
      <c r="Z1823" s="1" t="s">
        <v>97</v>
      </c>
      <c r="AA1823" s="1" t="s">
        <v>32125</v>
      </c>
      <c r="AB1823" s="1" t="s">
        <v>5659</v>
      </c>
      <c r="AC1823" s="1" t="s">
        <v>97</v>
      </c>
      <c r="AD1823" s="1" t="s">
        <v>98</v>
      </c>
      <c r="AE1823" s="1" t="s">
        <v>98</v>
      </c>
      <c r="AF1823" s="1" t="s">
        <v>32126</v>
      </c>
      <c r="AG1823" s="1" t="s">
        <v>32127</v>
      </c>
      <c r="AH1823" s="1" t="s">
        <v>101</v>
      </c>
      <c r="AI1823" s="1" t="s">
        <v>166</v>
      </c>
      <c r="AJ1823" s="1">
        <v>88.2</v>
      </c>
      <c r="AK1823" s="1"/>
      <c r="AL1823" s="1" t="s">
        <v>4998</v>
      </c>
      <c r="AM1823" s="1" t="s">
        <v>32127</v>
      </c>
      <c r="AN1823" s="1"/>
      <c r="AO1823" s="1" t="s">
        <v>167</v>
      </c>
      <c r="AP1823" s="1" t="s">
        <v>573</v>
      </c>
      <c r="AQ1823" s="1">
        <v>55.08</v>
      </c>
      <c r="AR1823" s="1"/>
      <c r="AS1823" s="1"/>
      <c r="AT1823" s="1"/>
      <c r="AU1823" s="1"/>
      <c r="AV1823" s="1"/>
      <c r="AW1823" s="1"/>
      <c r="AX1823" s="1"/>
      <c r="AY1823" s="1" t="s">
        <v>32128</v>
      </c>
      <c r="AZ1823" s="1" t="s">
        <v>32129</v>
      </c>
      <c r="BA1823" s="1"/>
      <c r="BB1823" s="1"/>
      <c r="BC1823" s="1" t="s">
        <v>388</v>
      </c>
      <c r="BD1823" s="1" t="s">
        <v>606</v>
      </c>
      <c r="BE1823" s="1">
        <v>69.6</v>
      </c>
      <c r="BF1823" s="1">
        <v>7.46</v>
      </c>
      <c r="BG1823" s="1"/>
      <c r="BH1823" s="1"/>
      <c r="BI1823" s="1"/>
      <c r="BJ1823" s="1"/>
      <c r="BK1823" s="1"/>
      <c r="BL1823" s="1"/>
      <c r="BM1823" s="1"/>
      <c r="BN1823" s="1"/>
      <c r="BO1823" s="1" t="s">
        <v>1114</v>
      </c>
      <c r="BP1823" s="1"/>
      <c r="BQ1823" s="1"/>
      <c r="BR1823" s="1" t="s">
        <v>32130</v>
      </c>
      <c r="BS1823" s="1">
        <v>7</v>
      </c>
      <c r="BT1823" s="1"/>
      <c r="BU1823" s="1" t="str">
        <f>HYPERLINK("https://nconnect.nicmar.ac.in/storage/profile/ProfilePhoto_p2270425_432971.jpg","Download")</f>
        <v>0</v>
      </c>
      <c r="BV1823" s="3"/>
      <c r="BW1823" s="3"/>
    </row>
    <row r="1824" spans="1:75">
      <c r="A1824" s="1" t="s">
        <v>75</v>
      </c>
      <c r="B1824" s="1" t="s">
        <v>25236</v>
      </c>
      <c r="C1824" s="1" t="s">
        <v>32131</v>
      </c>
      <c r="D1824" s="1" t="s">
        <v>32073</v>
      </c>
      <c r="E1824" s="1" t="s">
        <v>875</v>
      </c>
      <c r="F1824" s="1" t="s">
        <v>7461</v>
      </c>
      <c r="G1824" s="1" t="s">
        <v>32132</v>
      </c>
      <c r="H1824" s="1" t="s">
        <v>32133</v>
      </c>
      <c r="I1824" s="1" t="s">
        <v>32134</v>
      </c>
      <c r="J1824" s="1">
        <v>8855057568</v>
      </c>
      <c r="K1824" s="1" t="s">
        <v>84</v>
      </c>
      <c r="L1824" s="1" t="s">
        <v>32135</v>
      </c>
      <c r="M1824" s="1" t="s">
        <v>86</v>
      </c>
      <c r="N1824" s="1" t="s">
        <v>4972</v>
      </c>
      <c r="O1824" s="1" t="s">
        <v>32136</v>
      </c>
      <c r="P1824" s="1" t="s">
        <v>507</v>
      </c>
      <c r="Q1824" s="1" t="s">
        <v>32137</v>
      </c>
      <c r="R1824" s="1" t="s">
        <v>32138</v>
      </c>
      <c r="S1824" s="1">
        <v>8446139293</v>
      </c>
      <c r="T1824" s="1" t="s">
        <v>32139</v>
      </c>
      <c r="U1824" s="1" t="s">
        <v>32140</v>
      </c>
      <c r="V1824" s="1">
        <v>8390324493</v>
      </c>
      <c r="W1824" s="1" t="s">
        <v>541</v>
      </c>
      <c r="X1824" s="1" t="s">
        <v>32141</v>
      </c>
      <c r="Y1824" s="1" t="s">
        <v>196</v>
      </c>
      <c r="Z1824" s="1" t="s">
        <v>97</v>
      </c>
      <c r="AA1824" s="1" t="s">
        <v>32141</v>
      </c>
      <c r="AB1824" s="1" t="s">
        <v>196</v>
      </c>
      <c r="AC1824" s="1" t="s">
        <v>97</v>
      </c>
      <c r="AD1824" s="1" t="s">
        <v>98</v>
      </c>
      <c r="AE1824" s="1" t="s">
        <v>98</v>
      </c>
      <c r="AF1824" s="1" t="s">
        <v>32142</v>
      </c>
      <c r="AG1824" s="1" t="s">
        <v>1968</v>
      </c>
      <c r="AH1824" s="1" t="s">
        <v>101</v>
      </c>
      <c r="AI1824" s="1" t="s">
        <v>166</v>
      </c>
      <c r="AJ1824" s="1">
        <v>78.6</v>
      </c>
      <c r="AK1824" s="1"/>
      <c r="AL1824" s="1"/>
      <c r="AM1824" s="1"/>
      <c r="AN1824" s="1"/>
      <c r="AO1824" s="1"/>
      <c r="AP1824" s="1"/>
      <c r="AQ1824" s="1"/>
      <c r="AR1824" s="1"/>
      <c r="AS1824" s="1" t="s">
        <v>103</v>
      </c>
      <c r="AT1824" s="1" t="s">
        <v>32143</v>
      </c>
      <c r="AU1824" s="1" t="s">
        <v>32144</v>
      </c>
      <c r="AV1824" s="1" t="s">
        <v>106</v>
      </c>
      <c r="AW1824" s="1">
        <v>75.33</v>
      </c>
      <c r="AX1824" s="1"/>
      <c r="AY1824" s="1" t="s">
        <v>366</v>
      </c>
      <c r="AZ1824" s="1" t="s">
        <v>32145</v>
      </c>
      <c r="BA1824" s="1"/>
      <c r="BB1824" s="1"/>
      <c r="BC1824" s="1" t="s">
        <v>1065</v>
      </c>
      <c r="BD1824" s="1" t="s">
        <v>549</v>
      </c>
      <c r="BE1824" s="1">
        <v>74.24</v>
      </c>
      <c r="BF1824" s="1">
        <v>8.27</v>
      </c>
      <c r="BG1824" s="1"/>
      <c r="BH1824" s="1"/>
      <c r="BI1824" s="1"/>
      <c r="BJ1824" s="1"/>
      <c r="BK1824" s="1"/>
      <c r="BL1824" s="1"/>
      <c r="BM1824" s="1"/>
      <c r="BN1824" s="1"/>
      <c r="BO1824" s="1" t="s">
        <v>27163</v>
      </c>
      <c r="BP1824" s="1" t="s">
        <v>32146</v>
      </c>
      <c r="BQ1824" s="1" t="s">
        <v>9405</v>
      </c>
      <c r="BR1824" s="1" t="s">
        <v>32147</v>
      </c>
      <c r="BS1824" s="1">
        <v>7</v>
      </c>
      <c r="BT1824" s="1"/>
      <c r="BU1824" s="1" t="str">
        <f>HYPERLINK("https://nconnect.nicmar.ac.in/storage/profile/ProfilePhoto_p2270428_149275.jpg","Download")</f>
        <v>0</v>
      </c>
      <c r="BV1824" s="3"/>
      <c r="BW1824" s="3"/>
    </row>
    <row r="1825" spans="1:75">
      <c r="A1825" s="1" t="s">
        <v>75</v>
      </c>
      <c r="B1825" s="1" t="s">
        <v>25236</v>
      </c>
      <c r="C1825" s="1" t="s">
        <v>32148</v>
      </c>
      <c r="D1825" s="1" t="s">
        <v>2829</v>
      </c>
      <c r="E1825" s="1" t="s">
        <v>2405</v>
      </c>
      <c r="F1825" s="1" t="s">
        <v>32149</v>
      </c>
      <c r="G1825" s="1" t="s">
        <v>32150</v>
      </c>
      <c r="H1825" s="1" t="s">
        <v>32151</v>
      </c>
      <c r="I1825" s="1" t="s">
        <v>32152</v>
      </c>
      <c r="J1825" s="1">
        <v>7218793161</v>
      </c>
      <c r="K1825" s="1" t="s">
        <v>84</v>
      </c>
      <c r="L1825" s="1" t="s">
        <v>3435</v>
      </c>
      <c r="M1825" s="1" t="s">
        <v>86</v>
      </c>
      <c r="N1825" s="1" t="s">
        <v>32153</v>
      </c>
      <c r="O1825" s="1" t="s">
        <v>32154</v>
      </c>
      <c r="P1825" s="1" t="s">
        <v>507</v>
      </c>
      <c r="Q1825" s="1" t="s">
        <v>32155</v>
      </c>
      <c r="R1825" s="1" t="s">
        <v>32156</v>
      </c>
      <c r="S1825" s="1">
        <v>9850534582</v>
      </c>
      <c r="T1825" s="1" t="s">
        <v>839</v>
      </c>
      <c r="U1825" s="1" t="s">
        <v>32157</v>
      </c>
      <c r="V1825" s="1">
        <v>7744099083</v>
      </c>
      <c r="W1825" s="1" t="s">
        <v>278</v>
      </c>
      <c r="X1825" s="1" t="s">
        <v>32158</v>
      </c>
      <c r="Y1825" s="1" t="s">
        <v>196</v>
      </c>
      <c r="Z1825" s="1" t="s">
        <v>97</v>
      </c>
      <c r="AA1825" s="1" t="s">
        <v>32158</v>
      </c>
      <c r="AB1825" s="1" t="s">
        <v>196</v>
      </c>
      <c r="AC1825" s="1" t="s">
        <v>97</v>
      </c>
      <c r="AD1825" s="1" t="s">
        <v>98</v>
      </c>
      <c r="AE1825" s="1" t="s">
        <v>98</v>
      </c>
      <c r="AF1825" s="1" t="s">
        <v>32159</v>
      </c>
      <c r="AG1825" s="1" t="s">
        <v>13345</v>
      </c>
      <c r="AH1825" s="1" t="s">
        <v>166</v>
      </c>
      <c r="AI1825" s="1" t="s">
        <v>1111</v>
      </c>
      <c r="AJ1825" s="1">
        <v>73.4</v>
      </c>
      <c r="AK1825" s="1"/>
      <c r="AL1825" s="1" t="s">
        <v>32160</v>
      </c>
      <c r="AM1825" s="1" t="s">
        <v>13345</v>
      </c>
      <c r="AN1825" s="1"/>
      <c r="AO1825" s="1" t="s">
        <v>170</v>
      </c>
      <c r="AP1825" s="1" t="s">
        <v>1477</v>
      </c>
      <c r="AQ1825" s="1">
        <v>62.77</v>
      </c>
      <c r="AR1825" s="1"/>
      <c r="AS1825" s="1"/>
      <c r="AT1825" s="1"/>
      <c r="AU1825" s="1"/>
      <c r="AV1825" s="1"/>
      <c r="AW1825" s="1"/>
      <c r="AX1825" s="1"/>
      <c r="AY1825" s="1" t="s">
        <v>8729</v>
      </c>
      <c r="AZ1825" s="1" t="s">
        <v>8730</v>
      </c>
      <c r="BA1825" s="1"/>
      <c r="BB1825" s="1"/>
      <c r="BC1825" s="1" t="s">
        <v>106</v>
      </c>
      <c r="BD1825" s="1" t="s">
        <v>289</v>
      </c>
      <c r="BE1825" s="1">
        <v>69.6</v>
      </c>
      <c r="BF1825" s="1">
        <v>7.71</v>
      </c>
      <c r="BG1825" s="1"/>
      <c r="BH1825" s="1"/>
      <c r="BI1825" s="1"/>
      <c r="BJ1825" s="1"/>
      <c r="BK1825" s="1"/>
      <c r="BL1825" s="1"/>
      <c r="BM1825" s="1"/>
      <c r="BN1825" s="1"/>
      <c r="BO1825" s="1" t="s">
        <v>369</v>
      </c>
      <c r="BP1825" s="1"/>
      <c r="BQ1825" s="1"/>
      <c r="BR1825" s="1" t="s">
        <v>32161</v>
      </c>
      <c r="BS1825" s="1">
        <v>7</v>
      </c>
      <c r="BT1825" s="1"/>
      <c r="BU1825" s="1" t="str">
        <f>HYPERLINK("https://nconnect.nicmar.ac.in/storage/profile/ProfilePhoto_p2270429_685217.jpg","Download")</f>
        <v>0</v>
      </c>
      <c r="BV1825" s="3"/>
      <c r="BW1825" s="3"/>
    </row>
    <row r="1826" spans="1:75">
      <c r="A1826" s="1" t="s">
        <v>75</v>
      </c>
      <c r="B1826" s="1" t="s">
        <v>25236</v>
      </c>
      <c r="C1826" s="1" t="s">
        <v>32162</v>
      </c>
      <c r="D1826" s="1" t="s">
        <v>500</v>
      </c>
      <c r="E1826" s="1" t="s">
        <v>1320</v>
      </c>
      <c r="F1826" s="1" t="s">
        <v>32163</v>
      </c>
      <c r="G1826" s="1" t="s">
        <v>32164</v>
      </c>
      <c r="H1826" s="1" t="s">
        <v>32165</v>
      </c>
      <c r="I1826" s="1" t="s">
        <v>32166</v>
      </c>
      <c r="J1826" s="1">
        <v>7729993376</v>
      </c>
      <c r="K1826" s="1" t="s">
        <v>84</v>
      </c>
      <c r="L1826" s="1" t="s">
        <v>32167</v>
      </c>
      <c r="M1826" s="1" t="s">
        <v>86</v>
      </c>
      <c r="N1826" s="1" t="s">
        <v>1449</v>
      </c>
      <c r="O1826" s="1" t="s">
        <v>32168</v>
      </c>
      <c r="P1826" s="1" t="s">
        <v>455</v>
      </c>
      <c r="Q1826" s="1" t="s">
        <v>32169</v>
      </c>
      <c r="R1826" s="1" t="s">
        <v>32170</v>
      </c>
      <c r="S1826" s="1">
        <v>7729993372</v>
      </c>
      <c r="T1826" s="1" t="s">
        <v>32171</v>
      </c>
      <c r="U1826" s="1" t="s">
        <v>32172</v>
      </c>
      <c r="V1826" s="1">
        <v>7729993372</v>
      </c>
      <c r="W1826" s="1" t="s">
        <v>1577</v>
      </c>
      <c r="X1826" s="1" t="s">
        <v>32173</v>
      </c>
      <c r="Y1826" s="1" t="s">
        <v>3031</v>
      </c>
      <c r="Z1826" s="1" t="s">
        <v>461</v>
      </c>
      <c r="AA1826" s="1" t="s">
        <v>32173</v>
      </c>
      <c r="AB1826" s="1" t="s">
        <v>3031</v>
      </c>
      <c r="AC1826" s="1" t="s">
        <v>461</v>
      </c>
      <c r="AD1826" s="1" t="s">
        <v>98</v>
      </c>
      <c r="AE1826" s="1" t="s">
        <v>98</v>
      </c>
      <c r="AF1826" s="1" t="s">
        <v>32174</v>
      </c>
      <c r="AG1826" s="1" t="s">
        <v>1418</v>
      </c>
      <c r="AH1826" s="1" t="s">
        <v>3923</v>
      </c>
      <c r="AI1826" s="1" t="s">
        <v>3770</v>
      </c>
      <c r="AJ1826" s="1">
        <v>83</v>
      </c>
      <c r="AK1826" s="1">
        <v>8.3</v>
      </c>
      <c r="AL1826" s="1" t="s">
        <v>32175</v>
      </c>
      <c r="AM1826" s="1" t="s">
        <v>1418</v>
      </c>
      <c r="AN1826" s="1"/>
      <c r="AO1826" s="1" t="s">
        <v>1213</v>
      </c>
      <c r="AP1826" s="1" t="s">
        <v>102</v>
      </c>
      <c r="AQ1826" s="1">
        <v>78</v>
      </c>
      <c r="AR1826" s="1">
        <v>0</v>
      </c>
      <c r="AS1826" s="1"/>
      <c r="AT1826" s="1"/>
      <c r="AU1826" s="1"/>
      <c r="AV1826" s="1"/>
      <c r="AW1826" s="1"/>
      <c r="AX1826" s="1"/>
      <c r="AY1826" s="1" t="s">
        <v>3035</v>
      </c>
      <c r="AZ1826" s="1" t="s">
        <v>32176</v>
      </c>
      <c r="BA1826" s="1"/>
      <c r="BB1826" s="1"/>
      <c r="BC1826" s="1" t="s">
        <v>105</v>
      </c>
      <c r="BD1826" s="1" t="s">
        <v>547</v>
      </c>
      <c r="BE1826" s="1">
        <v>67.06</v>
      </c>
      <c r="BF1826" s="1">
        <v>0</v>
      </c>
      <c r="BG1826" s="1"/>
      <c r="BH1826" s="1"/>
      <c r="BI1826" s="1"/>
      <c r="BJ1826" s="1"/>
      <c r="BK1826" s="1"/>
      <c r="BL1826" s="1"/>
      <c r="BM1826" s="1"/>
      <c r="BN1826" s="1"/>
      <c r="BO1826" s="1" t="s">
        <v>32177</v>
      </c>
      <c r="BP1826" s="1" t="s">
        <v>32178</v>
      </c>
      <c r="BQ1826" s="1" t="s">
        <v>4552</v>
      </c>
      <c r="BR1826" s="1" t="s">
        <v>32179</v>
      </c>
      <c r="BS1826" s="1">
        <v>8</v>
      </c>
      <c r="BT1826" s="1"/>
      <c r="BU1826" s="1" t="str">
        <f>HYPERLINK("https://nconnect.nicmar.ac.in/storage/profile/ProfilePhoto_p2270430_874159.jpg","Download")</f>
        <v>0</v>
      </c>
      <c r="BV1826" s="3"/>
      <c r="BW1826" s="3"/>
    </row>
    <row r="1827" spans="1:75">
      <c r="A1827" s="1" t="s">
        <v>75</v>
      </c>
      <c r="B1827" s="1" t="s">
        <v>25236</v>
      </c>
      <c r="C1827" s="1" t="s">
        <v>32180</v>
      </c>
      <c r="D1827" s="1" t="s">
        <v>32181</v>
      </c>
      <c r="E1827" s="1"/>
      <c r="F1827" s="1" t="s">
        <v>1295</v>
      </c>
      <c r="G1827" s="1" t="s">
        <v>32182</v>
      </c>
      <c r="H1827" s="1" t="s">
        <v>32183</v>
      </c>
      <c r="I1827" s="1" t="s">
        <v>32184</v>
      </c>
      <c r="J1827" s="1">
        <v>6362572478</v>
      </c>
      <c r="K1827" s="1" t="s">
        <v>84</v>
      </c>
      <c r="L1827" s="1" t="s">
        <v>8758</v>
      </c>
      <c r="M1827" s="1" t="s">
        <v>86</v>
      </c>
      <c r="N1827" s="1" t="s">
        <v>14464</v>
      </c>
      <c r="O1827" s="1" t="s">
        <v>32185</v>
      </c>
      <c r="P1827" s="1" t="s">
        <v>455</v>
      </c>
      <c r="Q1827" s="1" t="s">
        <v>32186</v>
      </c>
      <c r="R1827" s="1" t="s">
        <v>32187</v>
      </c>
      <c r="S1827" s="1">
        <v>9845048838</v>
      </c>
      <c r="T1827" s="1" t="s">
        <v>92</v>
      </c>
      <c r="U1827" s="1" t="s">
        <v>32188</v>
      </c>
      <c r="V1827" s="1">
        <v>9901363490</v>
      </c>
      <c r="W1827" s="1" t="s">
        <v>541</v>
      </c>
      <c r="X1827" s="1" t="s">
        <v>32189</v>
      </c>
      <c r="Y1827" s="1" t="s">
        <v>3132</v>
      </c>
      <c r="Z1827" s="1" t="s">
        <v>1210</v>
      </c>
      <c r="AA1827" s="1" t="s">
        <v>32189</v>
      </c>
      <c r="AB1827" s="1" t="s">
        <v>3132</v>
      </c>
      <c r="AC1827" s="1" t="s">
        <v>1210</v>
      </c>
      <c r="AD1827" s="1" t="s">
        <v>98</v>
      </c>
      <c r="AE1827" s="1" t="s">
        <v>98</v>
      </c>
      <c r="AF1827" s="1" t="s">
        <v>32190</v>
      </c>
      <c r="AG1827" s="1" t="s">
        <v>1946</v>
      </c>
      <c r="AH1827" s="1" t="s">
        <v>342</v>
      </c>
      <c r="AI1827" s="1" t="s">
        <v>284</v>
      </c>
      <c r="AJ1827" s="1">
        <v>89.44</v>
      </c>
      <c r="AK1827" s="1"/>
      <c r="AL1827" s="1" t="s">
        <v>32190</v>
      </c>
      <c r="AM1827" s="1" t="s">
        <v>1946</v>
      </c>
      <c r="AN1827" s="1"/>
      <c r="AO1827" s="1" t="s">
        <v>1065</v>
      </c>
      <c r="AP1827" s="1" t="s">
        <v>286</v>
      </c>
      <c r="AQ1827" s="1">
        <v>81.83</v>
      </c>
      <c r="AR1827" s="1"/>
      <c r="AS1827" s="1"/>
      <c r="AT1827" s="1"/>
      <c r="AU1827" s="1"/>
      <c r="AV1827" s="1"/>
      <c r="AW1827" s="1"/>
      <c r="AX1827" s="1"/>
      <c r="AY1827" s="1" t="s">
        <v>25302</v>
      </c>
      <c r="AZ1827" s="1" t="s">
        <v>32191</v>
      </c>
      <c r="BA1827" s="1"/>
      <c r="BB1827" s="1"/>
      <c r="BC1827" s="1" t="s">
        <v>1065</v>
      </c>
      <c r="BD1827" s="1" t="s">
        <v>1400</v>
      </c>
      <c r="BE1827" s="1">
        <v>70.7</v>
      </c>
      <c r="BF1827" s="1">
        <v>7.82</v>
      </c>
      <c r="BG1827" s="1"/>
      <c r="BH1827" s="1"/>
      <c r="BI1827" s="1"/>
      <c r="BJ1827" s="1"/>
      <c r="BK1827" s="1"/>
      <c r="BL1827" s="1"/>
      <c r="BM1827" s="1"/>
      <c r="BN1827" s="1"/>
      <c r="BO1827" s="1" t="s">
        <v>32192</v>
      </c>
      <c r="BP1827" s="1"/>
      <c r="BQ1827" s="1"/>
      <c r="BR1827" s="1" t="s">
        <v>32193</v>
      </c>
      <c r="BS1827" s="1">
        <v>7</v>
      </c>
      <c r="BT1827" s="1"/>
      <c r="BU1827" s="1" t="str">
        <f>HYPERLINK("https://nconnect.nicmar.ac.in/storage/profile/ProfilePhoto_p2270431_843695.jpg","Download")</f>
        <v>0</v>
      </c>
      <c r="BV1827" s="3"/>
      <c r="BW1827" s="3"/>
    </row>
    <row r="1828" spans="1:75">
      <c r="A1828" s="1" t="s">
        <v>75</v>
      </c>
      <c r="B1828" s="1" t="s">
        <v>25236</v>
      </c>
      <c r="C1828" s="1" t="s">
        <v>32194</v>
      </c>
      <c r="D1828" s="1" t="s">
        <v>14185</v>
      </c>
      <c r="E1828" s="1" t="s">
        <v>4331</v>
      </c>
      <c r="F1828" s="1" t="s">
        <v>32195</v>
      </c>
      <c r="G1828" s="1" t="s">
        <v>32196</v>
      </c>
      <c r="H1828" s="1" t="s">
        <v>32197</v>
      </c>
      <c r="I1828" s="1" t="s">
        <v>32198</v>
      </c>
      <c r="J1828" s="1">
        <v>7776018657</v>
      </c>
      <c r="K1828" s="1" t="s">
        <v>153</v>
      </c>
      <c r="L1828" s="1" t="s">
        <v>32199</v>
      </c>
      <c r="M1828" s="1" t="s">
        <v>86</v>
      </c>
      <c r="N1828" s="1" t="s">
        <v>2433</v>
      </c>
      <c r="O1828" s="1" t="s">
        <v>32200</v>
      </c>
      <c r="P1828" s="1" t="s">
        <v>455</v>
      </c>
      <c r="Q1828" s="1" t="s">
        <v>32201</v>
      </c>
      <c r="R1828" s="1" t="s">
        <v>32202</v>
      </c>
      <c r="S1828" s="1">
        <v>9921663425</v>
      </c>
      <c r="T1828" s="1" t="s">
        <v>645</v>
      </c>
      <c r="U1828" s="1" t="s">
        <v>32203</v>
      </c>
      <c r="V1828" s="1">
        <v>9763537144</v>
      </c>
      <c r="W1828" s="1" t="s">
        <v>94</v>
      </c>
      <c r="X1828" s="1" t="s">
        <v>32204</v>
      </c>
      <c r="Y1828" s="1" t="s">
        <v>196</v>
      </c>
      <c r="Z1828" s="1" t="s">
        <v>97</v>
      </c>
      <c r="AA1828" s="1" t="s">
        <v>32204</v>
      </c>
      <c r="AB1828" s="1" t="s">
        <v>196</v>
      </c>
      <c r="AC1828" s="1" t="s">
        <v>97</v>
      </c>
      <c r="AD1828" s="1" t="s">
        <v>98</v>
      </c>
      <c r="AE1828" s="1" t="s">
        <v>98</v>
      </c>
      <c r="AF1828" s="1" t="s">
        <v>32205</v>
      </c>
      <c r="AG1828" s="1" t="s">
        <v>629</v>
      </c>
      <c r="AH1828" s="1" t="s">
        <v>133</v>
      </c>
      <c r="AI1828" s="1" t="s">
        <v>1213</v>
      </c>
      <c r="AJ1828" s="1">
        <v>92.55</v>
      </c>
      <c r="AK1828" s="1">
        <v>0</v>
      </c>
      <c r="AL1828" s="1" t="s">
        <v>32206</v>
      </c>
      <c r="AM1828" s="1" t="s">
        <v>629</v>
      </c>
      <c r="AN1828" s="1"/>
      <c r="AO1828" s="1" t="s">
        <v>101</v>
      </c>
      <c r="AP1828" s="1" t="s">
        <v>136</v>
      </c>
      <c r="AQ1828" s="1">
        <v>71.08</v>
      </c>
      <c r="AR1828" s="1">
        <v>0</v>
      </c>
      <c r="AS1828" s="1"/>
      <c r="AT1828" s="1"/>
      <c r="AU1828" s="1"/>
      <c r="AV1828" s="1"/>
      <c r="AW1828" s="1"/>
      <c r="AX1828" s="1"/>
      <c r="AY1828" s="1" t="s">
        <v>366</v>
      </c>
      <c r="AZ1828" s="1" t="s">
        <v>32207</v>
      </c>
      <c r="BA1828" s="1"/>
      <c r="BB1828" s="1"/>
      <c r="BC1828" s="1" t="s">
        <v>105</v>
      </c>
      <c r="BD1828" s="1" t="s">
        <v>977</v>
      </c>
      <c r="BE1828" s="1">
        <v>72.07</v>
      </c>
      <c r="BF1828" s="1">
        <v>7.95</v>
      </c>
      <c r="BG1828" s="1"/>
      <c r="BH1828" s="1"/>
      <c r="BI1828" s="1"/>
      <c r="BJ1828" s="1"/>
      <c r="BK1828" s="1"/>
      <c r="BL1828" s="1"/>
      <c r="BM1828" s="1"/>
      <c r="BN1828" s="1"/>
      <c r="BO1828" s="1" t="s">
        <v>32208</v>
      </c>
      <c r="BP1828" s="1" t="s">
        <v>32209</v>
      </c>
      <c r="BQ1828" s="1" t="s">
        <v>1070</v>
      </c>
      <c r="BR1828" s="1" t="s">
        <v>32210</v>
      </c>
      <c r="BS1828" s="1">
        <v>31</v>
      </c>
      <c r="BT1828" s="1"/>
      <c r="BU1828" s="1" t="str">
        <f>HYPERLINK("https://nconnect.nicmar.ac.in/storage/profile/ProfilePhoto_p2270432_538927.jpg","Download")</f>
        <v>0</v>
      </c>
      <c r="BV1828" s="3"/>
      <c r="BW1828" s="3"/>
    </row>
    <row r="1829" spans="1:75">
      <c r="A1829" s="1" t="s">
        <v>75</v>
      </c>
      <c r="B1829" s="1" t="s">
        <v>25236</v>
      </c>
      <c r="C1829" s="1" t="s">
        <v>32211</v>
      </c>
      <c r="D1829" s="1" t="s">
        <v>4036</v>
      </c>
      <c r="E1829" s="1" t="s">
        <v>1612</v>
      </c>
      <c r="F1829" s="1" t="s">
        <v>6810</v>
      </c>
      <c r="G1829" s="1" t="s">
        <v>32212</v>
      </c>
      <c r="H1829" s="1" t="s">
        <v>32213</v>
      </c>
      <c r="I1829" s="1" t="s">
        <v>32214</v>
      </c>
      <c r="J1829" s="1">
        <v>9689774040</v>
      </c>
      <c r="K1829" s="1" t="s">
        <v>84</v>
      </c>
      <c r="L1829" s="1" t="s">
        <v>32215</v>
      </c>
      <c r="M1829" s="1" t="s">
        <v>86</v>
      </c>
      <c r="N1829" s="1" t="s">
        <v>12660</v>
      </c>
      <c r="O1829" s="1" t="s">
        <v>32216</v>
      </c>
      <c r="P1829" s="1" t="s">
        <v>2062</v>
      </c>
      <c r="Q1829" s="1" t="s">
        <v>32217</v>
      </c>
      <c r="R1829" s="1" t="s">
        <v>32218</v>
      </c>
      <c r="S1829" s="1">
        <v>9422774040</v>
      </c>
      <c r="T1829" s="1" t="s">
        <v>32219</v>
      </c>
      <c r="U1829" s="1" t="s">
        <v>32220</v>
      </c>
      <c r="V1829" s="1">
        <v>9689430869</v>
      </c>
      <c r="W1829" s="1" t="s">
        <v>161</v>
      </c>
      <c r="X1829" s="1" t="s">
        <v>32221</v>
      </c>
      <c r="Y1829" s="1" t="s">
        <v>309</v>
      </c>
      <c r="Z1829" s="1" t="s">
        <v>97</v>
      </c>
      <c r="AA1829" s="1" t="s">
        <v>32221</v>
      </c>
      <c r="AB1829" s="1" t="s">
        <v>309</v>
      </c>
      <c r="AC1829" s="1" t="s">
        <v>97</v>
      </c>
      <c r="AD1829" s="1" t="s">
        <v>98</v>
      </c>
      <c r="AE1829" s="1" t="s">
        <v>98</v>
      </c>
      <c r="AF1829" s="1" t="s">
        <v>13184</v>
      </c>
      <c r="AG1829" s="1" t="s">
        <v>796</v>
      </c>
      <c r="AH1829" s="1" t="s">
        <v>105</v>
      </c>
      <c r="AI1829" s="1" t="s">
        <v>284</v>
      </c>
      <c r="AJ1829" s="1">
        <v>77.9</v>
      </c>
      <c r="AK1829" s="1">
        <v>8.2</v>
      </c>
      <c r="AL1829" s="1" t="s">
        <v>32222</v>
      </c>
      <c r="AM1829" s="1" t="s">
        <v>32223</v>
      </c>
      <c r="AN1829" s="1"/>
      <c r="AO1829" s="1" t="s">
        <v>230</v>
      </c>
      <c r="AP1829" s="1" t="s">
        <v>490</v>
      </c>
      <c r="AQ1829" s="1">
        <v>72</v>
      </c>
      <c r="AR1829" s="1">
        <v>0</v>
      </c>
      <c r="AS1829" s="1"/>
      <c r="AT1829" s="1"/>
      <c r="AU1829" s="1"/>
      <c r="AV1829" s="1"/>
      <c r="AW1829" s="1"/>
      <c r="AX1829" s="1"/>
      <c r="AY1829" s="1" t="s">
        <v>32224</v>
      </c>
      <c r="AZ1829" s="1" t="s">
        <v>32225</v>
      </c>
      <c r="BA1829" s="1"/>
      <c r="BB1829" s="1"/>
      <c r="BC1829" s="1" t="s">
        <v>106</v>
      </c>
      <c r="BD1829" s="1" t="s">
        <v>1802</v>
      </c>
      <c r="BE1829" s="1">
        <v>79.2</v>
      </c>
      <c r="BF1829" s="1">
        <v>8.42</v>
      </c>
      <c r="BG1829" s="1"/>
      <c r="BH1829" s="1"/>
      <c r="BI1829" s="1"/>
      <c r="BJ1829" s="1"/>
      <c r="BK1829" s="1"/>
      <c r="BL1829" s="1"/>
      <c r="BM1829" s="1"/>
      <c r="BN1829" s="1"/>
      <c r="BO1829" s="1" t="s">
        <v>32226</v>
      </c>
      <c r="BP1829" s="1"/>
      <c r="BQ1829" s="1"/>
      <c r="BR1829" s="1" t="s">
        <v>32227</v>
      </c>
      <c r="BS1829" s="1">
        <v>22</v>
      </c>
      <c r="BT1829" s="1"/>
      <c r="BU1829" s="1" t="str">
        <f>HYPERLINK("https://nconnect.nicmar.ac.in/storage/profile/ProfilePhoto_p2270433_756148.jpg","Download")</f>
        <v>0</v>
      </c>
      <c r="BV1829" s="3"/>
      <c r="BW1829" s="3"/>
    </row>
    <row r="1830" spans="1:75">
      <c r="A1830" s="1" t="s">
        <v>75</v>
      </c>
      <c r="B1830" s="1" t="s">
        <v>25236</v>
      </c>
      <c r="C1830" s="1" t="s">
        <v>32228</v>
      </c>
      <c r="D1830" s="1" t="s">
        <v>32229</v>
      </c>
      <c r="E1830" s="1"/>
      <c r="F1830" s="1" t="s">
        <v>27428</v>
      </c>
      <c r="G1830" s="1" t="s">
        <v>32230</v>
      </c>
      <c r="H1830" s="1" t="s">
        <v>32231</v>
      </c>
      <c r="I1830" s="1" t="s">
        <v>32232</v>
      </c>
      <c r="J1830" s="1">
        <v>8754914715</v>
      </c>
      <c r="K1830" s="1" t="s">
        <v>84</v>
      </c>
      <c r="L1830" s="1" t="s">
        <v>26887</v>
      </c>
      <c r="M1830" s="1" t="s">
        <v>86</v>
      </c>
      <c r="N1830" s="1" t="s">
        <v>2356</v>
      </c>
      <c r="O1830" s="1" t="s">
        <v>32233</v>
      </c>
      <c r="P1830" s="1" t="s">
        <v>455</v>
      </c>
      <c r="Q1830" s="1" t="s">
        <v>32234</v>
      </c>
      <c r="R1830" s="1" t="s">
        <v>32235</v>
      </c>
      <c r="S1830" s="1">
        <v>9443141284</v>
      </c>
      <c r="T1830" s="1" t="s">
        <v>839</v>
      </c>
      <c r="U1830" s="1" t="s">
        <v>32236</v>
      </c>
      <c r="V1830" s="1">
        <v>9443836767</v>
      </c>
      <c r="W1830" s="1" t="s">
        <v>541</v>
      </c>
      <c r="X1830" s="1" t="s">
        <v>32237</v>
      </c>
      <c r="Y1830" s="1" t="s">
        <v>8878</v>
      </c>
      <c r="Z1830" s="1" t="s">
        <v>570</v>
      </c>
      <c r="AA1830" s="1" t="s">
        <v>32237</v>
      </c>
      <c r="AB1830" s="1" t="s">
        <v>8878</v>
      </c>
      <c r="AC1830" s="1" t="s">
        <v>570</v>
      </c>
      <c r="AD1830" s="1" t="s">
        <v>98</v>
      </c>
      <c r="AE1830" s="1" t="s">
        <v>98</v>
      </c>
      <c r="AF1830" s="1" t="s">
        <v>32238</v>
      </c>
      <c r="AG1830" s="1" t="s">
        <v>32239</v>
      </c>
      <c r="AH1830" s="1" t="s">
        <v>1214</v>
      </c>
      <c r="AI1830" s="1" t="s">
        <v>102</v>
      </c>
      <c r="AJ1830" s="1">
        <v>85.5</v>
      </c>
      <c r="AK1830" s="1">
        <v>9</v>
      </c>
      <c r="AL1830" s="1" t="s">
        <v>32238</v>
      </c>
      <c r="AM1830" s="1" t="s">
        <v>32239</v>
      </c>
      <c r="AN1830" s="1"/>
      <c r="AO1830" s="1" t="s">
        <v>284</v>
      </c>
      <c r="AP1830" s="1" t="s">
        <v>200</v>
      </c>
      <c r="AQ1830" s="1">
        <v>72.8</v>
      </c>
      <c r="AR1830" s="1">
        <v>0</v>
      </c>
      <c r="AS1830" s="1"/>
      <c r="AT1830" s="1"/>
      <c r="AU1830" s="1"/>
      <c r="AV1830" s="1"/>
      <c r="AW1830" s="1"/>
      <c r="AX1830" s="1"/>
      <c r="AY1830" s="1" t="s">
        <v>576</v>
      </c>
      <c r="AZ1830" s="1" t="s">
        <v>32240</v>
      </c>
      <c r="BA1830" s="1"/>
      <c r="BB1830" s="1"/>
      <c r="BC1830" s="1" t="s">
        <v>5535</v>
      </c>
      <c r="BD1830" s="1" t="s">
        <v>632</v>
      </c>
      <c r="BE1830" s="1">
        <v>72.4</v>
      </c>
      <c r="BF1830" s="1">
        <v>7.24</v>
      </c>
      <c r="BG1830" s="1"/>
      <c r="BH1830" s="1"/>
      <c r="BI1830" s="1"/>
      <c r="BJ1830" s="1"/>
      <c r="BK1830" s="1"/>
      <c r="BL1830" s="1"/>
      <c r="BM1830" s="1"/>
      <c r="BN1830" s="1"/>
      <c r="BO1830" s="1" t="s">
        <v>32241</v>
      </c>
      <c r="BP1830" s="1"/>
      <c r="BQ1830" s="1"/>
      <c r="BR1830" s="1" t="s">
        <v>32242</v>
      </c>
      <c r="BS1830" s="1">
        <v>26</v>
      </c>
      <c r="BT1830" s="1"/>
      <c r="BU1830" s="1" t="str">
        <f>HYPERLINK("https://nconnect.nicmar.ac.in/storage/profile/ProfilePhoto_p2270434_137926.jpg","Download")</f>
        <v>0</v>
      </c>
      <c r="BV1830" s="3"/>
      <c r="BW1830" s="3"/>
    </row>
    <row r="1831" spans="1:75">
      <c r="A1831" s="1" t="s">
        <v>75</v>
      </c>
      <c r="B1831" s="1" t="s">
        <v>25236</v>
      </c>
      <c r="C1831" s="1" t="s">
        <v>32243</v>
      </c>
      <c r="D1831" s="1" t="s">
        <v>32244</v>
      </c>
      <c r="E1831" s="1"/>
      <c r="F1831" s="1" t="s">
        <v>116</v>
      </c>
      <c r="G1831" s="1" t="s">
        <v>32245</v>
      </c>
      <c r="H1831" s="1" t="s">
        <v>32246</v>
      </c>
      <c r="I1831" s="1" t="s">
        <v>32247</v>
      </c>
      <c r="J1831" s="1">
        <v>6369127078</v>
      </c>
      <c r="K1831" s="1" t="s">
        <v>84</v>
      </c>
      <c r="L1831" s="1" t="s">
        <v>32248</v>
      </c>
      <c r="M1831" s="1" t="s">
        <v>86</v>
      </c>
      <c r="N1831" s="1" t="s">
        <v>564</v>
      </c>
      <c r="O1831" s="1" t="s">
        <v>32249</v>
      </c>
      <c r="P1831" s="1" t="s">
        <v>670</v>
      </c>
      <c r="Q1831" s="1" t="s">
        <v>32250</v>
      </c>
      <c r="R1831" s="1" t="s">
        <v>32251</v>
      </c>
      <c r="S1831" s="1">
        <v>9944937943</v>
      </c>
      <c r="T1831" s="1" t="s">
        <v>159</v>
      </c>
      <c r="U1831" s="1" t="s">
        <v>32252</v>
      </c>
      <c r="V1831" s="1">
        <v>8870090811</v>
      </c>
      <c r="W1831" s="1" t="s">
        <v>94</v>
      </c>
      <c r="X1831" s="1" t="s">
        <v>32253</v>
      </c>
      <c r="Y1831" s="1" t="s">
        <v>1864</v>
      </c>
      <c r="Z1831" s="1" t="s">
        <v>570</v>
      </c>
      <c r="AA1831" s="1" t="s">
        <v>32254</v>
      </c>
      <c r="AB1831" s="1" t="s">
        <v>1864</v>
      </c>
      <c r="AC1831" s="1" t="s">
        <v>570</v>
      </c>
      <c r="AD1831" s="1" t="s">
        <v>98</v>
      </c>
      <c r="AE1831" s="1" t="s">
        <v>98</v>
      </c>
      <c r="AF1831" s="1" t="s">
        <v>32255</v>
      </c>
      <c r="AG1831" s="1" t="s">
        <v>32256</v>
      </c>
      <c r="AH1831" s="1" t="s">
        <v>101</v>
      </c>
      <c r="AI1831" s="1" t="s">
        <v>102</v>
      </c>
      <c r="AJ1831" s="1">
        <v>97.8</v>
      </c>
      <c r="AK1831" s="1">
        <v>0</v>
      </c>
      <c r="AL1831" s="1" t="s">
        <v>32255</v>
      </c>
      <c r="AM1831" s="1" t="s">
        <v>32256</v>
      </c>
      <c r="AN1831" s="1"/>
      <c r="AO1831" s="1" t="s">
        <v>167</v>
      </c>
      <c r="AP1831" s="1" t="s">
        <v>200</v>
      </c>
      <c r="AQ1831" s="1">
        <v>90.75</v>
      </c>
      <c r="AR1831" s="1">
        <v>0</v>
      </c>
      <c r="AS1831" s="1"/>
      <c r="AT1831" s="1"/>
      <c r="AU1831" s="1"/>
      <c r="AV1831" s="1"/>
      <c r="AW1831" s="1"/>
      <c r="AX1831" s="1"/>
      <c r="AY1831" s="1" t="s">
        <v>21103</v>
      </c>
      <c r="AZ1831" s="1" t="s">
        <v>32257</v>
      </c>
      <c r="BA1831" s="1"/>
      <c r="BB1831" s="1"/>
      <c r="BC1831" s="1" t="s">
        <v>388</v>
      </c>
      <c r="BD1831" s="1" t="s">
        <v>2304</v>
      </c>
      <c r="BE1831" s="1">
        <v>86.3</v>
      </c>
      <c r="BF1831" s="1">
        <v>8.63</v>
      </c>
      <c r="BG1831" s="1"/>
      <c r="BH1831" s="1"/>
      <c r="BI1831" s="1"/>
      <c r="BJ1831" s="1"/>
      <c r="BK1831" s="1"/>
      <c r="BL1831" s="1"/>
      <c r="BM1831" s="1"/>
      <c r="BN1831" s="1"/>
      <c r="BO1831" s="1" t="s">
        <v>32258</v>
      </c>
      <c r="BP1831" s="1"/>
      <c r="BQ1831" s="1"/>
      <c r="BR1831" s="1" t="s">
        <v>32259</v>
      </c>
      <c r="BS1831" s="1">
        <v>16</v>
      </c>
      <c r="BT1831" s="1"/>
      <c r="BU1831" s="1" t="str">
        <f>HYPERLINK("https://nconnect.nicmar.ac.in/storage/profile/ProfilePhoto_p2270435_635987.jpg","Download")</f>
        <v>0</v>
      </c>
      <c r="BV1831" s="3"/>
      <c r="BW1831" s="3"/>
    </row>
    <row r="1832" spans="1:75">
      <c r="A1832" s="1" t="s">
        <v>75</v>
      </c>
      <c r="B1832" s="1" t="s">
        <v>25236</v>
      </c>
      <c r="C1832" s="1" t="s">
        <v>32260</v>
      </c>
      <c r="D1832" s="1" t="s">
        <v>32261</v>
      </c>
      <c r="E1832" s="1"/>
      <c r="F1832" s="1" t="s">
        <v>1223</v>
      </c>
      <c r="G1832" s="1" t="s">
        <v>32262</v>
      </c>
      <c r="H1832" s="1" t="s">
        <v>32263</v>
      </c>
      <c r="I1832" s="1" t="s">
        <v>32264</v>
      </c>
      <c r="J1832" s="1">
        <v>7550167247</v>
      </c>
      <c r="K1832" s="1" t="s">
        <v>84</v>
      </c>
      <c r="L1832" s="1" t="s">
        <v>32265</v>
      </c>
      <c r="M1832" s="1" t="s">
        <v>86</v>
      </c>
      <c r="N1832" s="1" t="s">
        <v>32266</v>
      </c>
      <c r="O1832" s="1"/>
      <c r="P1832" s="1" t="s">
        <v>1028</v>
      </c>
      <c r="Q1832" s="1" t="s">
        <v>32267</v>
      </c>
      <c r="R1832" s="1" t="s">
        <v>32268</v>
      </c>
      <c r="S1832" s="1">
        <v>9903471744</v>
      </c>
      <c r="T1832" s="1" t="s">
        <v>12009</v>
      </c>
      <c r="U1832" s="1" t="s">
        <v>32269</v>
      </c>
      <c r="V1832" s="1">
        <v>9831207411</v>
      </c>
      <c r="W1832" s="1" t="s">
        <v>541</v>
      </c>
      <c r="X1832" s="1" t="s">
        <v>32270</v>
      </c>
      <c r="Y1832" s="1" t="s">
        <v>3282</v>
      </c>
      <c r="Z1832" s="1" t="s">
        <v>1234</v>
      </c>
      <c r="AA1832" s="1" t="s">
        <v>32270</v>
      </c>
      <c r="AB1832" s="1" t="s">
        <v>3282</v>
      </c>
      <c r="AC1832" s="1" t="s">
        <v>1234</v>
      </c>
      <c r="AD1832" s="1" t="s">
        <v>98</v>
      </c>
      <c r="AE1832" s="1" t="s">
        <v>98</v>
      </c>
      <c r="AF1832" s="1" t="s">
        <v>32271</v>
      </c>
      <c r="AG1832" s="1" t="s">
        <v>32272</v>
      </c>
      <c r="AH1832" s="1" t="s">
        <v>3421</v>
      </c>
      <c r="AI1832" s="1" t="s">
        <v>1262</v>
      </c>
      <c r="AJ1832" s="1">
        <v>85.16</v>
      </c>
      <c r="AK1832" s="1"/>
      <c r="AL1832" s="1" t="s">
        <v>32271</v>
      </c>
      <c r="AM1832" s="1" t="s">
        <v>32272</v>
      </c>
      <c r="AN1832" s="1"/>
      <c r="AO1832" s="1" t="s">
        <v>1110</v>
      </c>
      <c r="AP1832" s="1" t="s">
        <v>627</v>
      </c>
      <c r="AQ1832" s="1">
        <v>71.83</v>
      </c>
      <c r="AR1832" s="1"/>
      <c r="AS1832" s="1"/>
      <c r="AT1832" s="1"/>
      <c r="AU1832" s="1"/>
      <c r="AV1832" s="1"/>
      <c r="AW1832" s="1"/>
      <c r="AX1832" s="1"/>
      <c r="AY1832" s="1" t="s">
        <v>32273</v>
      </c>
      <c r="AZ1832" s="1" t="s">
        <v>32273</v>
      </c>
      <c r="BA1832" s="1"/>
      <c r="BB1832" s="1"/>
      <c r="BC1832" s="1" t="s">
        <v>1396</v>
      </c>
      <c r="BD1832" s="1" t="s">
        <v>417</v>
      </c>
      <c r="BE1832" s="1">
        <v>75.56</v>
      </c>
      <c r="BF1832" s="1">
        <v>6.69</v>
      </c>
      <c r="BG1832" s="1"/>
      <c r="BH1832" s="1"/>
      <c r="BI1832" s="1"/>
      <c r="BJ1832" s="1"/>
      <c r="BK1832" s="1"/>
      <c r="BL1832" s="1"/>
      <c r="BM1832" s="1"/>
      <c r="BN1832" s="1"/>
      <c r="BO1832" s="1" t="s">
        <v>27183</v>
      </c>
      <c r="BP1832" s="1" t="s">
        <v>32274</v>
      </c>
      <c r="BQ1832" s="1" t="s">
        <v>4149</v>
      </c>
      <c r="BR1832" s="1" t="s">
        <v>32275</v>
      </c>
      <c r="BS1832" s="1">
        <v>15</v>
      </c>
      <c r="BT1832" s="1"/>
      <c r="BU1832" s="1" t="str">
        <f>HYPERLINK("https://nconnect.nicmar.ac.in/storage/profile/ProfilePhoto_p2270437_276954.jpg","Download")</f>
        <v>0</v>
      </c>
      <c r="BV1832" s="3"/>
      <c r="BW1832" s="3"/>
    </row>
    <row r="1833" spans="1:75">
      <c r="A1833" s="1" t="s">
        <v>75</v>
      </c>
      <c r="B1833" s="1" t="s">
        <v>25236</v>
      </c>
      <c r="C1833" s="1" t="s">
        <v>32276</v>
      </c>
      <c r="D1833" s="1" t="s">
        <v>7272</v>
      </c>
      <c r="E1833" s="1"/>
      <c r="F1833" s="1" t="s">
        <v>2867</v>
      </c>
      <c r="G1833" s="1" t="s">
        <v>32277</v>
      </c>
      <c r="H1833" s="1" t="s">
        <v>32278</v>
      </c>
      <c r="I1833" s="1" t="s">
        <v>32279</v>
      </c>
      <c r="J1833" s="1">
        <v>8269211293</v>
      </c>
      <c r="K1833" s="1" t="s">
        <v>84</v>
      </c>
      <c r="L1833" s="1" t="s">
        <v>32280</v>
      </c>
      <c r="M1833" s="1" t="s">
        <v>86</v>
      </c>
      <c r="N1833" s="1" t="s">
        <v>355</v>
      </c>
      <c r="O1833" s="1" t="s">
        <v>32281</v>
      </c>
      <c r="P1833" s="1" t="s">
        <v>455</v>
      </c>
      <c r="Q1833" s="1" t="s">
        <v>32282</v>
      </c>
      <c r="R1833" s="1" t="s">
        <v>32283</v>
      </c>
      <c r="S1833" s="1">
        <v>9425007146</v>
      </c>
      <c r="T1833" s="1" t="s">
        <v>159</v>
      </c>
      <c r="U1833" s="1" t="s">
        <v>32284</v>
      </c>
      <c r="V1833" s="1">
        <v>6232667411</v>
      </c>
      <c r="W1833" s="1" t="s">
        <v>94</v>
      </c>
      <c r="X1833" s="1" t="s">
        <v>32285</v>
      </c>
      <c r="Y1833" s="1" t="s">
        <v>7949</v>
      </c>
      <c r="Z1833" s="1" t="s">
        <v>3419</v>
      </c>
      <c r="AA1833" s="1" t="s">
        <v>32285</v>
      </c>
      <c r="AB1833" s="1" t="s">
        <v>7949</v>
      </c>
      <c r="AC1833" s="1" t="s">
        <v>3419</v>
      </c>
      <c r="AD1833" s="1" t="s">
        <v>98</v>
      </c>
      <c r="AE1833" s="1" t="s">
        <v>98</v>
      </c>
      <c r="AF1833" s="1" t="s">
        <v>32286</v>
      </c>
      <c r="AG1833" s="1" t="s">
        <v>32287</v>
      </c>
      <c r="AH1833" s="1" t="s">
        <v>3421</v>
      </c>
      <c r="AI1833" s="1" t="s">
        <v>101</v>
      </c>
      <c r="AJ1833" s="1">
        <v>71.16</v>
      </c>
      <c r="AK1833" s="1">
        <v>0</v>
      </c>
      <c r="AL1833" s="1" t="s">
        <v>32288</v>
      </c>
      <c r="AM1833" s="1" t="s">
        <v>32289</v>
      </c>
      <c r="AN1833" s="1"/>
      <c r="AO1833" s="1" t="s">
        <v>1396</v>
      </c>
      <c r="AP1833" s="1" t="s">
        <v>170</v>
      </c>
      <c r="AQ1833" s="1">
        <v>67.2</v>
      </c>
      <c r="AR1833" s="1">
        <v>0</v>
      </c>
      <c r="AS1833" s="1"/>
      <c r="AT1833" s="1"/>
      <c r="AU1833" s="1"/>
      <c r="AV1833" s="1"/>
      <c r="AW1833" s="1"/>
      <c r="AX1833" s="1"/>
      <c r="AY1833" s="1" t="s">
        <v>32290</v>
      </c>
      <c r="AZ1833" s="1" t="s">
        <v>11432</v>
      </c>
      <c r="BA1833" s="1"/>
      <c r="BB1833" s="1"/>
      <c r="BC1833" s="1" t="s">
        <v>388</v>
      </c>
      <c r="BD1833" s="1" t="s">
        <v>847</v>
      </c>
      <c r="BE1833" s="1">
        <v>72.6</v>
      </c>
      <c r="BF1833" s="1">
        <v>7.26</v>
      </c>
      <c r="BG1833" s="1"/>
      <c r="BH1833" s="1"/>
      <c r="BI1833" s="1"/>
      <c r="BJ1833" s="1"/>
      <c r="BK1833" s="1"/>
      <c r="BL1833" s="1"/>
      <c r="BM1833" s="1"/>
      <c r="BN1833" s="1"/>
      <c r="BO1833" s="1" t="s">
        <v>32291</v>
      </c>
      <c r="BP1833" s="1" t="s">
        <v>32292</v>
      </c>
      <c r="BQ1833" s="1" t="s">
        <v>658</v>
      </c>
      <c r="BR1833" s="1" t="s">
        <v>32293</v>
      </c>
      <c r="BS1833" s="1">
        <v>10</v>
      </c>
      <c r="BT1833" s="1"/>
      <c r="BU1833" s="1" t="str">
        <f>HYPERLINK("https://nconnect.nicmar.ac.in/storage/profile/ProfilePhoto_p2270438_847365.jpg","Download")</f>
        <v>0</v>
      </c>
      <c r="BV1833" s="3"/>
      <c r="BW1833" s="3"/>
    </row>
    <row r="1834" spans="1:75">
      <c r="A1834" s="1" t="s">
        <v>75</v>
      </c>
      <c r="B1834" s="1" t="s">
        <v>25236</v>
      </c>
      <c r="C1834" s="1" t="s">
        <v>32294</v>
      </c>
      <c r="D1834" s="1" t="s">
        <v>32295</v>
      </c>
      <c r="E1834" s="1"/>
      <c r="F1834" s="1" t="s">
        <v>28367</v>
      </c>
      <c r="G1834" s="1" t="s">
        <v>32296</v>
      </c>
      <c r="H1834" s="1" t="s">
        <v>32297</v>
      </c>
      <c r="I1834" s="1" t="s">
        <v>32298</v>
      </c>
      <c r="J1834" s="1">
        <v>9734519479</v>
      </c>
      <c r="K1834" s="1" t="s">
        <v>84</v>
      </c>
      <c r="L1834" s="1" t="s">
        <v>30757</v>
      </c>
      <c r="M1834" s="1" t="s">
        <v>86</v>
      </c>
      <c r="N1834" s="1" t="s">
        <v>10869</v>
      </c>
      <c r="O1834" s="1" t="s">
        <v>32299</v>
      </c>
      <c r="P1834" s="1" t="s">
        <v>507</v>
      </c>
      <c r="Q1834" s="1" t="s">
        <v>32300</v>
      </c>
      <c r="R1834" s="1" t="s">
        <v>32301</v>
      </c>
      <c r="S1834" s="1">
        <v>9732754108</v>
      </c>
      <c r="T1834" s="1" t="s">
        <v>32302</v>
      </c>
      <c r="U1834" s="1" t="s">
        <v>32303</v>
      </c>
      <c r="V1834" s="1">
        <v>9735389440</v>
      </c>
      <c r="W1834" s="1" t="s">
        <v>161</v>
      </c>
      <c r="X1834" s="1" t="s">
        <v>32304</v>
      </c>
      <c r="Y1834" s="1" t="s">
        <v>17357</v>
      </c>
      <c r="Z1834" s="1" t="s">
        <v>1234</v>
      </c>
      <c r="AA1834" s="1" t="s">
        <v>32304</v>
      </c>
      <c r="AB1834" s="1" t="s">
        <v>17357</v>
      </c>
      <c r="AC1834" s="1" t="s">
        <v>1234</v>
      </c>
      <c r="AD1834" s="1" t="s">
        <v>98</v>
      </c>
      <c r="AE1834" s="1" t="s">
        <v>98</v>
      </c>
      <c r="AF1834" s="1" t="s">
        <v>32305</v>
      </c>
      <c r="AG1834" s="1" t="s">
        <v>3284</v>
      </c>
      <c r="AH1834" s="1" t="s">
        <v>801</v>
      </c>
      <c r="AI1834" s="1" t="s">
        <v>2726</v>
      </c>
      <c r="AJ1834" s="1">
        <v>71.71</v>
      </c>
      <c r="AK1834" s="1"/>
      <c r="AL1834" s="1" t="s">
        <v>32306</v>
      </c>
      <c r="AM1834" s="1" t="s">
        <v>3287</v>
      </c>
      <c r="AN1834" s="1"/>
      <c r="AO1834" s="1" t="s">
        <v>134</v>
      </c>
      <c r="AP1834" s="1" t="s">
        <v>1262</v>
      </c>
      <c r="AQ1834" s="1">
        <v>67</v>
      </c>
      <c r="AR1834" s="1"/>
      <c r="AS1834" s="1"/>
      <c r="AT1834" s="1"/>
      <c r="AU1834" s="1"/>
      <c r="AV1834" s="1"/>
      <c r="AW1834" s="1"/>
      <c r="AX1834" s="1"/>
      <c r="AY1834" s="1" t="s">
        <v>32307</v>
      </c>
      <c r="AZ1834" s="1" t="s">
        <v>32308</v>
      </c>
      <c r="BA1834" s="1"/>
      <c r="BB1834" s="1"/>
      <c r="BC1834" s="1" t="s">
        <v>257</v>
      </c>
      <c r="BD1834" s="1" t="s">
        <v>174</v>
      </c>
      <c r="BE1834" s="1">
        <v>69.1</v>
      </c>
      <c r="BF1834" s="1">
        <v>7.66</v>
      </c>
      <c r="BG1834" s="1"/>
      <c r="BH1834" s="1"/>
      <c r="BI1834" s="1"/>
      <c r="BJ1834" s="1"/>
      <c r="BK1834" s="1"/>
      <c r="BL1834" s="1"/>
      <c r="BM1834" s="1"/>
      <c r="BN1834" s="1"/>
      <c r="BO1834" s="1" t="s">
        <v>32309</v>
      </c>
      <c r="BP1834" s="1" t="s">
        <v>32310</v>
      </c>
      <c r="BQ1834" s="1" t="s">
        <v>6652</v>
      </c>
      <c r="BR1834" s="1" t="s">
        <v>32311</v>
      </c>
      <c r="BS1834" s="1">
        <v>9</v>
      </c>
      <c r="BT1834" s="1"/>
      <c r="BU1834" s="1" t="str">
        <f>HYPERLINK("https://nconnect.nicmar.ac.in/storage/profile/ProfilePhoto_p2270439_987153.jpg","Download")</f>
        <v>0</v>
      </c>
      <c r="BV1834" s="3"/>
      <c r="BW1834" s="3"/>
    </row>
    <row r="1835" spans="1:75">
      <c r="A1835" s="1" t="s">
        <v>75</v>
      </c>
      <c r="B1835" s="1" t="s">
        <v>25236</v>
      </c>
      <c r="C1835" s="1" t="s">
        <v>32312</v>
      </c>
      <c r="D1835" s="1" t="s">
        <v>32313</v>
      </c>
      <c r="E1835" s="1" t="s">
        <v>32314</v>
      </c>
      <c r="F1835" s="1" t="s">
        <v>32315</v>
      </c>
      <c r="G1835" s="1" t="s">
        <v>32316</v>
      </c>
      <c r="H1835" s="1" t="s">
        <v>32317</v>
      </c>
      <c r="I1835" s="1" t="s">
        <v>32318</v>
      </c>
      <c r="J1835" s="1">
        <v>9714499626</v>
      </c>
      <c r="K1835" s="1" t="s">
        <v>84</v>
      </c>
      <c r="L1835" s="1" t="s">
        <v>22181</v>
      </c>
      <c r="M1835" s="1" t="s">
        <v>86</v>
      </c>
      <c r="N1835" s="1" t="s">
        <v>20173</v>
      </c>
      <c r="O1835" s="1" t="s">
        <v>32319</v>
      </c>
      <c r="P1835" s="1" t="s">
        <v>507</v>
      </c>
      <c r="Q1835" s="1" t="s">
        <v>32320</v>
      </c>
      <c r="R1835" s="1" t="s">
        <v>32314</v>
      </c>
      <c r="S1835" s="1">
        <v>9898299720</v>
      </c>
      <c r="T1835" s="1" t="s">
        <v>926</v>
      </c>
      <c r="U1835" s="1" t="s">
        <v>32321</v>
      </c>
      <c r="V1835" s="1">
        <v>9429754995</v>
      </c>
      <c r="W1835" s="1" t="s">
        <v>161</v>
      </c>
      <c r="X1835" s="1" t="s">
        <v>32322</v>
      </c>
      <c r="Y1835" s="1" t="s">
        <v>27492</v>
      </c>
      <c r="Z1835" s="1" t="s">
        <v>676</v>
      </c>
      <c r="AA1835" s="1" t="s">
        <v>32322</v>
      </c>
      <c r="AB1835" s="1" t="s">
        <v>27492</v>
      </c>
      <c r="AC1835" s="1" t="s">
        <v>676</v>
      </c>
      <c r="AD1835" s="1" t="s">
        <v>98</v>
      </c>
      <c r="AE1835" s="1" t="s">
        <v>98</v>
      </c>
      <c r="AF1835" s="1" t="s">
        <v>32323</v>
      </c>
      <c r="AG1835" s="1" t="s">
        <v>32324</v>
      </c>
      <c r="AH1835" s="1" t="s">
        <v>342</v>
      </c>
      <c r="AI1835" s="1" t="s">
        <v>627</v>
      </c>
      <c r="AJ1835" s="1">
        <v>81</v>
      </c>
      <c r="AK1835" s="1">
        <v>0</v>
      </c>
      <c r="AL1835" s="1" t="s">
        <v>32323</v>
      </c>
      <c r="AM1835" s="1" t="s">
        <v>31038</v>
      </c>
      <c r="AN1835" s="1"/>
      <c r="AO1835" s="1" t="s">
        <v>170</v>
      </c>
      <c r="AP1835" s="1" t="s">
        <v>171</v>
      </c>
      <c r="AQ1835" s="1">
        <v>74</v>
      </c>
      <c r="AR1835" s="1">
        <v>0</v>
      </c>
      <c r="AS1835" s="1"/>
      <c r="AT1835" s="1"/>
      <c r="AU1835" s="1"/>
      <c r="AV1835" s="1"/>
      <c r="AW1835" s="1"/>
      <c r="AX1835" s="1"/>
      <c r="AY1835" s="1" t="s">
        <v>32325</v>
      </c>
      <c r="AZ1835" s="1" t="s">
        <v>32325</v>
      </c>
      <c r="BA1835" s="1"/>
      <c r="BB1835" s="1"/>
      <c r="BC1835" s="1" t="s">
        <v>174</v>
      </c>
      <c r="BD1835" s="1" t="s">
        <v>521</v>
      </c>
      <c r="BE1835" s="1">
        <v>73.1</v>
      </c>
      <c r="BF1835" s="1">
        <v>8.06</v>
      </c>
      <c r="BG1835" s="1"/>
      <c r="BH1835" s="1"/>
      <c r="BI1835" s="1"/>
      <c r="BJ1835" s="1"/>
      <c r="BK1835" s="1"/>
      <c r="BL1835" s="1"/>
      <c r="BM1835" s="1"/>
      <c r="BN1835" s="1"/>
      <c r="BO1835" s="1" t="s">
        <v>25538</v>
      </c>
      <c r="BP1835" s="1"/>
      <c r="BQ1835" s="1"/>
      <c r="BR1835" s="1" t="s">
        <v>32326</v>
      </c>
      <c r="BS1835" s="1">
        <v>23</v>
      </c>
      <c r="BT1835" s="1"/>
      <c r="BU1835" s="1" t="str">
        <f>HYPERLINK("https://nconnect.nicmar.ac.in/storage/profile/ProfilePhoto_p2270440_914253.jpg","Download")</f>
        <v>0</v>
      </c>
      <c r="BV1835" s="3"/>
      <c r="BW1835" s="3"/>
    </row>
    <row r="1836" spans="1:75">
      <c r="A1836" s="1" t="s">
        <v>75</v>
      </c>
      <c r="B1836" s="1" t="s">
        <v>25236</v>
      </c>
      <c r="C1836" s="1" t="s">
        <v>32327</v>
      </c>
      <c r="D1836" s="1" t="s">
        <v>1320</v>
      </c>
      <c r="E1836" s="1"/>
      <c r="F1836" s="1" t="s">
        <v>29625</v>
      </c>
      <c r="G1836" s="1" t="s">
        <v>32328</v>
      </c>
      <c r="H1836" s="1" t="s">
        <v>32329</v>
      </c>
      <c r="I1836" s="1" t="s">
        <v>32330</v>
      </c>
      <c r="J1836" s="1">
        <v>9628028571</v>
      </c>
      <c r="K1836" s="1" t="s">
        <v>84</v>
      </c>
      <c r="L1836" s="1" t="s">
        <v>32331</v>
      </c>
      <c r="M1836" s="1" t="s">
        <v>86</v>
      </c>
      <c r="N1836" s="1" t="s">
        <v>13145</v>
      </c>
      <c r="O1836" s="1" t="s">
        <v>32332</v>
      </c>
      <c r="P1836" s="1" t="s">
        <v>507</v>
      </c>
      <c r="Q1836" s="1" t="s">
        <v>32333</v>
      </c>
      <c r="R1836" s="1" t="s">
        <v>32334</v>
      </c>
      <c r="S1836" s="1">
        <v>9628288080</v>
      </c>
      <c r="T1836" s="1" t="s">
        <v>32335</v>
      </c>
      <c r="U1836" s="1" t="s">
        <v>32336</v>
      </c>
      <c r="V1836" s="1">
        <v>9451943725</v>
      </c>
      <c r="W1836" s="1" t="s">
        <v>161</v>
      </c>
      <c r="X1836" s="1" t="s">
        <v>32337</v>
      </c>
      <c r="Y1836" s="1" t="s">
        <v>1059</v>
      </c>
      <c r="Z1836" s="1" t="s">
        <v>544</v>
      </c>
      <c r="AA1836" s="1" t="s">
        <v>32338</v>
      </c>
      <c r="AB1836" s="1" t="s">
        <v>196</v>
      </c>
      <c r="AC1836" s="1" t="s">
        <v>97</v>
      </c>
      <c r="AD1836" s="1" t="s">
        <v>98</v>
      </c>
      <c r="AE1836" s="1" t="s">
        <v>98</v>
      </c>
      <c r="AF1836" s="1" t="s">
        <v>32339</v>
      </c>
      <c r="AG1836" s="1" t="s">
        <v>32340</v>
      </c>
      <c r="AH1836" s="1" t="s">
        <v>3770</v>
      </c>
      <c r="AI1836" s="1" t="s">
        <v>1457</v>
      </c>
      <c r="AJ1836" s="1">
        <v>75.66</v>
      </c>
      <c r="AK1836" s="1"/>
      <c r="AL1836" s="1" t="s">
        <v>32341</v>
      </c>
      <c r="AM1836" s="1" t="s">
        <v>32342</v>
      </c>
      <c r="AN1836" s="1"/>
      <c r="AO1836" s="1" t="s">
        <v>1214</v>
      </c>
      <c r="AP1836" s="1" t="s">
        <v>136</v>
      </c>
      <c r="AQ1836" s="1">
        <v>70</v>
      </c>
      <c r="AR1836" s="1"/>
      <c r="AS1836" s="1"/>
      <c r="AT1836" s="1"/>
      <c r="AU1836" s="1"/>
      <c r="AV1836" s="1"/>
      <c r="AW1836" s="1"/>
      <c r="AX1836" s="1"/>
      <c r="AY1836" s="1" t="s">
        <v>366</v>
      </c>
      <c r="AZ1836" s="1" t="s">
        <v>32343</v>
      </c>
      <c r="BA1836" s="1"/>
      <c r="BB1836" s="1"/>
      <c r="BC1836" s="1" t="s">
        <v>139</v>
      </c>
      <c r="BD1836" s="1" t="s">
        <v>175</v>
      </c>
      <c r="BE1836" s="1">
        <v>60.96</v>
      </c>
      <c r="BF1836" s="1">
        <v>6.85</v>
      </c>
      <c r="BG1836" s="1"/>
      <c r="BH1836" s="1"/>
      <c r="BI1836" s="1"/>
      <c r="BJ1836" s="1"/>
      <c r="BK1836" s="1"/>
      <c r="BL1836" s="1"/>
      <c r="BM1836" s="1"/>
      <c r="BN1836" s="1"/>
      <c r="BO1836" s="1" t="s">
        <v>32344</v>
      </c>
      <c r="BP1836" s="1"/>
      <c r="BQ1836" s="1"/>
      <c r="BR1836" s="1" t="s">
        <v>32345</v>
      </c>
      <c r="BS1836" s="1">
        <v>10</v>
      </c>
      <c r="BT1836" s="1"/>
      <c r="BU1836" s="1" t="str">
        <f>HYPERLINK("https://nconnect.nicmar.ac.in/storage/profile/ProfilePhoto_p2270441_473598.jpg","Download")</f>
        <v>0</v>
      </c>
      <c r="BV1836" s="3"/>
      <c r="BW1836" s="3"/>
    </row>
    <row r="1837" spans="1:75">
      <c r="A1837" s="1" t="s">
        <v>75</v>
      </c>
      <c r="B1837" s="1" t="s">
        <v>25236</v>
      </c>
      <c r="C1837" s="1" t="s">
        <v>32346</v>
      </c>
      <c r="D1837" s="1" t="s">
        <v>6030</v>
      </c>
      <c r="E1837" s="1" t="s">
        <v>5771</v>
      </c>
      <c r="F1837" s="1" t="s">
        <v>2233</v>
      </c>
      <c r="G1837" s="1" t="s">
        <v>32347</v>
      </c>
      <c r="H1837" s="1" t="s">
        <v>32348</v>
      </c>
      <c r="I1837" s="1" t="s">
        <v>32349</v>
      </c>
      <c r="J1837" s="1">
        <v>7798415644</v>
      </c>
      <c r="K1837" s="1" t="s">
        <v>84</v>
      </c>
      <c r="L1837" s="1" t="s">
        <v>26081</v>
      </c>
      <c r="M1837" s="1" t="s">
        <v>86</v>
      </c>
      <c r="N1837" s="1" t="s">
        <v>23620</v>
      </c>
      <c r="O1837" s="1" t="s">
        <v>32350</v>
      </c>
      <c r="P1837" s="1" t="s">
        <v>455</v>
      </c>
      <c r="Q1837" s="1" t="s">
        <v>32351</v>
      </c>
      <c r="R1837" s="1" t="s">
        <v>32352</v>
      </c>
      <c r="S1837" s="1">
        <v>9623866464</v>
      </c>
      <c r="T1837" s="1" t="s">
        <v>159</v>
      </c>
      <c r="U1837" s="1" t="s">
        <v>32353</v>
      </c>
      <c r="V1837" s="1">
        <v>9623866464</v>
      </c>
      <c r="W1837" s="1" t="s">
        <v>161</v>
      </c>
      <c r="X1837" s="1" t="s">
        <v>32354</v>
      </c>
      <c r="Y1837" s="1" t="s">
        <v>410</v>
      </c>
      <c r="Z1837" s="1" t="s">
        <v>97</v>
      </c>
      <c r="AA1837" s="1" t="s">
        <v>32354</v>
      </c>
      <c r="AB1837" s="1" t="s">
        <v>410</v>
      </c>
      <c r="AC1837" s="1" t="s">
        <v>97</v>
      </c>
      <c r="AD1837" s="1" t="s">
        <v>98</v>
      </c>
      <c r="AE1837" s="1" t="s">
        <v>98</v>
      </c>
      <c r="AF1837" s="1" t="s">
        <v>32355</v>
      </c>
      <c r="AG1837" s="1" t="s">
        <v>796</v>
      </c>
      <c r="AH1837" s="1" t="s">
        <v>166</v>
      </c>
      <c r="AI1837" s="1" t="s">
        <v>627</v>
      </c>
      <c r="AJ1837" s="1">
        <v>89.3</v>
      </c>
      <c r="AK1837" s="1">
        <v>9.4</v>
      </c>
      <c r="AL1837" s="1" t="s">
        <v>32356</v>
      </c>
      <c r="AM1837" s="1" t="s">
        <v>996</v>
      </c>
      <c r="AN1837" s="1"/>
      <c r="AO1837" s="1" t="s">
        <v>1396</v>
      </c>
      <c r="AP1837" s="1" t="s">
        <v>106</v>
      </c>
      <c r="AQ1837" s="1">
        <v>63.08</v>
      </c>
      <c r="AR1837" s="1">
        <v>0</v>
      </c>
      <c r="AS1837" s="1"/>
      <c r="AT1837" s="1"/>
      <c r="AU1837" s="1"/>
      <c r="AV1837" s="1"/>
      <c r="AW1837" s="1"/>
      <c r="AX1837" s="1"/>
      <c r="AY1837" s="1" t="s">
        <v>5425</v>
      </c>
      <c r="AZ1837" s="1" t="s">
        <v>32357</v>
      </c>
      <c r="BA1837" s="1"/>
      <c r="BB1837" s="1"/>
      <c r="BC1837" s="1" t="s">
        <v>25647</v>
      </c>
      <c r="BD1837" s="1" t="s">
        <v>632</v>
      </c>
      <c r="BE1837" s="1">
        <v>70.1</v>
      </c>
      <c r="BF1837" s="1">
        <v>7.76</v>
      </c>
      <c r="BG1837" s="1"/>
      <c r="BH1837" s="1"/>
      <c r="BI1837" s="1"/>
      <c r="BJ1837" s="1"/>
      <c r="BK1837" s="1"/>
      <c r="BL1837" s="1"/>
      <c r="BM1837" s="1"/>
      <c r="BN1837" s="1"/>
      <c r="BO1837" s="1" t="s">
        <v>32358</v>
      </c>
      <c r="BP1837" s="1"/>
      <c r="BQ1837" s="1"/>
      <c r="BR1837" s="1" t="s">
        <v>32359</v>
      </c>
      <c r="BS1837" s="1">
        <v>24</v>
      </c>
      <c r="BT1837" s="1"/>
      <c r="BU1837" s="1" t="str">
        <f>HYPERLINK("https://nconnect.nicmar.ac.in/storage/profile/ProfilePhoto_p2270442_794651.jpg","Download")</f>
        <v>0</v>
      </c>
      <c r="BV1837" s="3"/>
      <c r="BW1837" s="3"/>
    </row>
    <row r="1838" spans="1:75">
      <c r="A1838" s="1" t="s">
        <v>75</v>
      </c>
      <c r="B1838" s="1" t="s">
        <v>25236</v>
      </c>
      <c r="C1838" s="1" t="s">
        <v>32360</v>
      </c>
      <c r="D1838" s="1" t="s">
        <v>32361</v>
      </c>
      <c r="E1838" s="1" t="s">
        <v>1320</v>
      </c>
      <c r="F1838" s="1" t="s">
        <v>32362</v>
      </c>
      <c r="G1838" s="1" t="s">
        <v>32363</v>
      </c>
      <c r="H1838" s="1" t="s">
        <v>32364</v>
      </c>
      <c r="I1838" s="1" t="s">
        <v>32365</v>
      </c>
      <c r="J1838" s="1">
        <v>9124411860</v>
      </c>
      <c r="K1838" s="1" t="s">
        <v>84</v>
      </c>
      <c r="L1838" s="1" t="s">
        <v>26510</v>
      </c>
      <c r="M1838" s="1" t="s">
        <v>86</v>
      </c>
      <c r="N1838" s="1" t="s">
        <v>881</v>
      </c>
      <c r="O1838" s="1" t="s">
        <v>32366</v>
      </c>
      <c r="P1838" s="1" t="s">
        <v>481</v>
      </c>
      <c r="Q1838" s="1" t="s">
        <v>32367</v>
      </c>
      <c r="R1838" s="1" t="s">
        <v>32368</v>
      </c>
      <c r="S1838" s="1">
        <v>9938480998</v>
      </c>
      <c r="T1838" s="1" t="s">
        <v>4776</v>
      </c>
      <c r="U1838" s="1" t="s">
        <v>32369</v>
      </c>
      <c r="V1838" s="1">
        <v>6370755108</v>
      </c>
      <c r="W1838" s="1" t="s">
        <v>278</v>
      </c>
      <c r="X1838" s="1" t="s">
        <v>32370</v>
      </c>
      <c r="Y1838" s="1" t="s">
        <v>864</v>
      </c>
      <c r="Z1838" s="1" t="s">
        <v>865</v>
      </c>
      <c r="AA1838" s="1" t="s">
        <v>32370</v>
      </c>
      <c r="AB1838" s="1" t="s">
        <v>864</v>
      </c>
      <c r="AC1838" s="1" t="s">
        <v>865</v>
      </c>
      <c r="AD1838" s="1" t="s">
        <v>98</v>
      </c>
      <c r="AE1838" s="1" t="s">
        <v>98</v>
      </c>
      <c r="AF1838" s="1" t="s">
        <v>32371</v>
      </c>
      <c r="AG1838" s="1" t="s">
        <v>775</v>
      </c>
      <c r="AH1838" s="1" t="s">
        <v>3923</v>
      </c>
      <c r="AI1838" s="1" t="s">
        <v>2726</v>
      </c>
      <c r="AJ1838" s="1">
        <v>81.7</v>
      </c>
      <c r="AK1838" s="1">
        <v>8.6</v>
      </c>
      <c r="AL1838" s="1" t="s">
        <v>32372</v>
      </c>
      <c r="AM1838" s="1" t="s">
        <v>775</v>
      </c>
      <c r="AN1838" s="1"/>
      <c r="AO1838" s="1" t="s">
        <v>1213</v>
      </c>
      <c r="AP1838" s="1" t="s">
        <v>1262</v>
      </c>
      <c r="AQ1838" s="1">
        <v>62.34</v>
      </c>
      <c r="AR1838" s="1"/>
      <c r="AS1838" s="1"/>
      <c r="AT1838" s="1"/>
      <c r="AU1838" s="1"/>
      <c r="AV1838" s="1"/>
      <c r="AW1838" s="1"/>
      <c r="AX1838" s="1"/>
      <c r="AY1838" s="1" t="s">
        <v>4962</v>
      </c>
      <c r="AZ1838" s="1" t="s">
        <v>32373</v>
      </c>
      <c r="BA1838" s="1"/>
      <c r="BB1838" s="1"/>
      <c r="BC1838" s="1" t="s">
        <v>135</v>
      </c>
      <c r="BD1838" s="1" t="s">
        <v>13749</v>
      </c>
      <c r="BE1838" s="1">
        <v>70.4</v>
      </c>
      <c r="BF1838" s="1">
        <v>7.04</v>
      </c>
      <c r="BG1838" s="1"/>
      <c r="BH1838" s="1"/>
      <c r="BI1838" s="1"/>
      <c r="BJ1838" s="1"/>
      <c r="BK1838" s="1"/>
      <c r="BL1838" s="1"/>
      <c r="BM1838" s="1"/>
      <c r="BN1838" s="1"/>
      <c r="BO1838" s="1" t="s">
        <v>32374</v>
      </c>
      <c r="BP1838" s="1" t="s">
        <v>32375</v>
      </c>
      <c r="BQ1838" s="1" t="s">
        <v>19293</v>
      </c>
      <c r="BR1838" s="1" t="s">
        <v>32376</v>
      </c>
      <c r="BS1838" s="1">
        <v>11</v>
      </c>
      <c r="BT1838" s="1"/>
      <c r="BU1838" s="1" t="str">
        <f>HYPERLINK("https://nconnect.nicmar.ac.in/storage/profile/ProfilePhoto_p2270443_741985.jpg","Download")</f>
        <v>0</v>
      </c>
      <c r="BV1838" s="3"/>
      <c r="BW1838" s="3"/>
    </row>
    <row r="1839" spans="1:75">
      <c r="A1839" s="1" t="s">
        <v>75</v>
      </c>
      <c r="B1839" s="1" t="s">
        <v>25236</v>
      </c>
      <c r="C1839" s="1" t="s">
        <v>32377</v>
      </c>
      <c r="D1839" s="1" t="s">
        <v>32378</v>
      </c>
      <c r="E1839" s="1"/>
      <c r="F1839" s="1" t="s">
        <v>32379</v>
      </c>
      <c r="G1839" s="1" t="s">
        <v>32380</v>
      </c>
      <c r="H1839" s="1" t="s">
        <v>32381</v>
      </c>
      <c r="I1839" s="1" t="s">
        <v>32382</v>
      </c>
      <c r="J1839" s="1">
        <v>9456058100</v>
      </c>
      <c r="K1839" s="1" t="s">
        <v>84</v>
      </c>
      <c r="L1839" s="1" t="s">
        <v>32383</v>
      </c>
      <c r="M1839" s="1" t="s">
        <v>86</v>
      </c>
      <c r="N1839" s="1" t="s">
        <v>32384</v>
      </c>
      <c r="O1839" s="1"/>
      <c r="P1839" s="1" t="s">
        <v>455</v>
      </c>
      <c r="Q1839" s="1" t="s">
        <v>32385</v>
      </c>
      <c r="R1839" s="1" t="s">
        <v>32386</v>
      </c>
      <c r="S1839" s="1">
        <v>9412783062</v>
      </c>
      <c r="T1839" s="1" t="s">
        <v>32387</v>
      </c>
      <c r="U1839" s="1" t="s">
        <v>32388</v>
      </c>
      <c r="V1839" s="1">
        <v>9412214900</v>
      </c>
      <c r="W1839" s="1" t="s">
        <v>161</v>
      </c>
      <c r="X1839" s="1" t="s">
        <v>32389</v>
      </c>
      <c r="Y1839" s="1" t="s">
        <v>14415</v>
      </c>
      <c r="Z1839" s="1" t="s">
        <v>544</v>
      </c>
      <c r="AA1839" s="1" t="s">
        <v>32390</v>
      </c>
      <c r="AB1839" s="1" t="s">
        <v>1738</v>
      </c>
      <c r="AC1839" s="1" t="s">
        <v>1739</v>
      </c>
      <c r="AD1839" s="1" t="s">
        <v>98</v>
      </c>
      <c r="AE1839" s="1" t="s">
        <v>98</v>
      </c>
      <c r="AF1839" s="1" t="s">
        <v>32391</v>
      </c>
      <c r="AG1839" s="1" t="s">
        <v>32392</v>
      </c>
      <c r="AH1839" s="1" t="s">
        <v>1457</v>
      </c>
      <c r="AI1839" s="1" t="s">
        <v>1214</v>
      </c>
      <c r="AJ1839" s="1">
        <v>64.6</v>
      </c>
      <c r="AK1839" s="1">
        <v>6.8</v>
      </c>
      <c r="AL1839" s="1" t="s">
        <v>32393</v>
      </c>
      <c r="AM1839" s="1" t="s">
        <v>32392</v>
      </c>
      <c r="AN1839" s="1"/>
      <c r="AO1839" s="1" t="s">
        <v>136</v>
      </c>
      <c r="AP1839" s="1" t="s">
        <v>627</v>
      </c>
      <c r="AQ1839" s="1">
        <v>65.66</v>
      </c>
      <c r="AR1839" s="1">
        <v>0</v>
      </c>
      <c r="AS1839" s="1"/>
      <c r="AT1839" s="1"/>
      <c r="AU1839" s="1"/>
      <c r="AV1839" s="1"/>
      <c r="AW1839" s="1"/>
      <c r="AX1839" s="1"/>
      <c r="AY1839" s="1" t="s">
        <v>32394</v>
      </c>
      <c r="AZ1839" s="1" t="s">
        <v>32395</v>
      </c>
      <c r="BA1839" s="1"/>
      <c r="BB1839" s="1"/>
      <c r="BC1839" s="1" t="s">
        <v>139</v>
      </c>
      <c r="BD1839" s="1" t="s">
        <v>1040</v>
      </c>
      <c r="BE1839" s="1">
        <v>65.4</v>
      </c>
      <c r="BF1839" s="1">
        <v>0</v>
      </c>
      <c r="BG1839" s="1"/>
      <c r="BH1839" s="1"/>
      <c r="BI1839" s="1"/>
      <c r="BJ1839" s="1"/>
      <c r="BK1839" s="1"/>
      <c r="BL1839" s="1"/>
      <c r="BM1839" s="1"/>
      <c r="BN1839" s="1"/>
      <c r="BO1839" s="1" t="s">
        <v>32396</v>
      </c>
      <c r="BP1839" s="1" t="s">
        <v>32397</v>
      </c>
      <c r="BQ1839" s="1" t="s">
        <v>757</v>
      </c>
      <c r="BR1839" s="1" t="s">
        <v>32398</v>
      </c>
      <c r="BS1839" s="1">
        <v>18</v>
      </c>
      <c r="BT1839" s="1"/>
      <c r="BU1839" s="1" t="str">
        <f>HYPERLINK("https://nconnect.nicmar.ac.in/storage/profile/ProfilePhoto_p2270444_857462.jpg","Download")</f>
        <v>0</v>
      </c>
      <c r="BV1839" s="3"/>
      <c r="BW1839" s="3"/>
    </row>
    <row r="1840" spans="1:75">
      <c r="A1840" s="1" t="s">
        <v>75</v>
      </c>
      <c r="B1840" s="1" t="s">
        <v>25236</v>
      </c>
      <c r="C1840" s="1" t="s">
        <v>32399</v>
      </c>
      <c r="D1840" s="1" t="s">
        <v>1136</v>
      </c>
      <c r="E1840" s="1" t="s">
        <v>27100</v>
      </c>
      <c r="F1840" s="1" t="s">
        <v>32400</v>
      </c>
      <c r="G1840" s="1" t="s">
        <v>32401</v>
      </c>
      <c r="H1840" s="1" t="s">
        <v>32402</v>
      </c>
      <c r="I1840" s="1" t="s">
        <v>32403</v>
      </c>
      <c r="J1840" s="1">
        <v>8109668900</v>
      </c>
      <c r="K1840" s="1" t="s">
        <v>84</v>
      </c>
      <c r="L1840" s="1" t="s">
        <v>32404</v>
      </c>
      <c r="M1840" s="1" t="s">
        <v>86</v>
      </c>
      <c r="N1840" s="1" t="s">
        <v>8277</v>
      </c>
      <c r="O1840" s="1" t="s">
        <v>32405</v>
      </c>
      <c r="P1840" s="1" t="s">
        <v>481</v>
      </c>
      <c r="Q1840" s="1" t="s">
        <v>32406</v>
      </c>
      <c r="R1840" s="1" t="s">
        <v>32407</v>
      </c>
      <c r="S1840" s="1">
        <v>9827400545</v>
      </c>
      <c r="T1840" s="1" t="s">
        <v>159</v>
      </c>
      <c r="U1840" s="1" t="s">
        <v>32408</v>
      </c>
      <c r="V1840" s="1">
        <v>9827400545</v>
      </c>
      <c r="W1840" s="1" t="s">
        <v>161</v>
      </c>
      <c r="X1840" s="1" t="s">
        <v>32409</v>
      </c>
      <c r="Y1840" s="1" t="s">
        <v>32410</v>
      </c>
      <c r="Z1840" s="1" t="s">
        <v>2933</v>
      </c>
      <c r="AA1840" s="1" t="s">
        <v>32411</v>
      </c>
      <c r="AB1840" s="1" t="s">
        <v>196</v>
      </c>
      <c r="AC1840" s="1" t="s">
        <v>97</v>
      </c>
      <c r="AD1840" s="1" t="s">
        <v>98</v>
      </c>
      <c r="AE1840" s="1" t="s">
        <v>98</v>
      </c>
      <c r="AF1840" s="1" t="s">
        <v>32412</v>
      </c>
      <c r="AG1840" s="1" t="s">
        <v>32413</v>
      </c>
      <c r="AH1840" s="1" t="s">
        <v>23371</v>
      </c>
      <c r="AI1840" s="1" t="s">
        <v>3285</v>
      </c>
      <c r="AJ1840" s="1">
        <v>74.1</v>
      </c>
      <c r="AK1840" s="1">
        <v>7.8</v>
      </c>
      <c r="AL1840" s="1" t="s">
        <v>32414</v>
      </c>
      <c r="AM1840" s="1" t="s">
        <v>32413</v>
      </c>
      <c r="AN1840" s="1"/>
      <c r="AO1840" s="1" t="s">
        <v>3770</v>
      </c>
      <c r="AP1840" s="1" t="s">
        <v>134</v>
      </c>
      <c r="AQ1840" s="1">
        <v>74.2</v>
      </c>
      <c r="AR1840" s="1">
        <v>0</v>
      </c>
      <c r="AS1840" s="1"/>
      <c r="AT1840" s="1"/>
      <c r="AU1840" s="1"/>
      <c r="AV1840" s="1"/>
      <c r="AW1840" s="1"/>
      <c r="AX1840" s="1"/>
      <c r="AY1840" s="1" t="s">
        <v>32415</v>
      </c>
      <c r="AZ1840" s="1" t="s">
        <v>32416</v>
      </c>
      <c r="BA1840" s="1"/>
      <c r="BB1840" s="1"/>
      <c r="BC1840" s="1" t="s">
        <v>804</v>
      </c>
      <c r="BD1840" s="1" t="s">
        <v>170</v>
      </c>
      <c r="BE1840" s="1">
        <v>70.38</v>
      </c>
      <c r="BF1840" s="1">
        <v>7.74</v>
      </c>
      <c r="BG1840" s="1"/>
      <c r="BH1840" s="1"/>
      <c r="BI1840" s="1"/>
      <c r="BJ1840" s="1"/>
      <c r="BK1840" s="1"/>
      <c r="BL1840" s="1"/>
      <c r="BM1840" s="1"/>
      <c r="BN1840" s="1"/>
      <c r="BO1840" s="1" t="s">
        <v>32417</v>
      </c>
      <c r="BP1840" s="1" t="s">
        <v>32418</v>
      </c>
      <c r="BQ1840" s="1" t="s">
        <v>582</v>
      </c>
      <c r="BR1840" s="1" t="s">
        <v>32419</v>
      </c>
      <c r="BS1840" s="1">
        <v>15</v>
      </c>
      <c r="BT1840" s="1"/>
      <c r="BU1840" s="1" t="str">
        <f>HYPERLINK("https://nconnect.nicmar.ac.in/storage/profile/ProfilePhoto_p2270445_283764.jpg","Download")</f>
        <v>0</v>
      </c>
      <c r="BV1840" s="3"/>
      <c r="BW1840" s="3"/>
    </row>
    <row r="1841" spans="1:75">
      <c r="A1841" s="1" t="s">
        <v>75</v>
      </c>
      <c r="B1841" s="1" t="s">
        <v>25236</v>
      </c>
      <c r="C1841" s="1" t="s">
        <v>32420</v>
      </c>
      <c r="D1841" s="1" t="s">
        <v>32421</v>
      </c>
      <c r="E1841" s="1" t="s">
        <v>1669</v>
      </c>
      <c r="F1841" s="1" t="s">
        <v>32422</v>
      </c>
      <c r="G1841" s="1" t="s">
        <v>32423</v>
      </c>
      <c r="H1841" s="1" t="s">
        <v>32424</v>
      </c>
      <c r="I1841" s="1" t="s">
        <v>32425</v>
      </c>
      <c r="J1841" s="1">
        <v>7030094089</v>
      </c>
      <c r="K1841" s="1" t="s">
        <v>84</v>
      </c>
      <c r="L1841" s="1" t="s">
        <v>32426</v>
      </c>
      <c r="M1841" s="1" t="s">
        <v>86</v>
      </c>
      <c r="N1841" s="1" t="s">
        <v>768</v>
      </c>
      <c r="O1841" s="1"/>
      <c r="P1841" s="1" t="s">
        <v>507</v>
      </c>
      <c r="Q1841" s="1" t="s">
        <v>32427</v>
      </c>
      <c r="R1841" s="1" t="s">
        <v>1669</v>
      </c>
      <c r="S1841" s="1">
        <v>9860482000</v>
      </c>
      <c r="T1841" s="1" t="s">
        <v>32428</v>
      </c>
      <c r="U1841" s="1" t="s">
        <v>32429</v>
      </c>
      <c r="V1841" s="1">
        <v>9423109149</v>
      </c>
      <c r="W1841" s="1" t="s">
        <v>127</v>
      </c>
      <c r="X1841" s="1" t="s">
        <v>32430</v>
      </c>
      <c r="Y1841" s="1" t="s">
        <v>410</v>
      </c>
      <c r="Z1841" s="1" t="s">
        <v>97</v>
      </c>
      <c r="AA1841" s="1" t="s">
        <v>32430</v>
      </c>
      <c r="AB1841" s="1" t="s">
        <v>410</v>
      </c>
      <c r="AC1841" s="1" t="s">
        <v>97</v>
      </c>
      <c r="AD1841" s="1" t="s">
        <v>98</v>
      </c>
      <c r="AE1841" s="1" t="s">
        <v>98</v>
      </c>
      <c r="AF1841" s="1" t="s">
        <v>32431</v>
      </c>
      <c r="AG1841" s="1" t="s">
        <v>10683</v>
      </c>
      <c r="AH1841" s="1" t="s">
        <v>166</v>
      </c>
      <c r="AI1841" s="1" t="s">
        <v>627</v>
      </c>
      <c r="AJ1841" s="1">
        <v>76</v>
      </c>
      <c r="AK1841" s="1">
        <v>8</v>
      </c>
      <c r="AL1841" s="1" t="s">
        <v>32432</v>
      </c>
      <c r="AM1841" s="1" t="s">
        <v>10683</v>
      </c>
      <c r="AN1841" s="1"/>
      <c r="AO1841" s="1" t="s">
        <v>388</v>
      </c>
      <c r="AP1841" s="1" t="s">
        <v>106</v>
      </c>
      <c r="AQ1841" s="1">
        <v>72.31</v>
      </c>
      <c r="AR1841" s="1">
        <v>0</v>
      </c>
      <c r="AS1841" s="1"/>
      <c r="AT1841" s="1"/>
      <c r="AU1841" s="1"/>
      <c r="AV1841" s="1"/>
      <c r="AW1841" s="1"/>
      <c r="AX1841" s="1"/>
      <c r="AY1841" s="1" t="s">
        <v>997</v>
      </c>
      <c r="AZ1841" s="1" t="s">
        <v>10683</v>
      </c>
      <c r="BA1841" s="1"/>
      <c r="BB1841" s="1"/>
      <c r="BC1841" s="1" t="s">
        <v>1065</v>
      </c>
      <c r="BD1841" s="1" t="s">
        <v>632</v>
      </c>
      <c r="BE1841" s="1">
        <v>76.1</v>
      </c>
      <c r="BF1841" s="1">
        <v>7.61</v>
      </c>
      <c r="BG1841" s="1"/>
      <c r="BH1841" s="1"/>
      <c r="BI1841" s="1"/>
      <c r="BJ1841" s="1"/>
      <c r="BK1841" s="1"/>
      <c r="BL1841" s="1"/>
      <c r="BM1841" s="1"/>
      <c r="BN1841" s="1"/>
      <c r="BO1841" s="1" t="s">
        <v>30470</v>
      </c>
      <c r="BP1841" s="1"/>
      <c r="BQ1841" s="1"/>
      <c r="BR1841" s="1" t="s">
        <v>32433</v>
      </c>
      <c r="BS1841" s="1">
        <v>33</v>
      </c>
      <c r="BT1841" s="1"/>
      <c r="BU1841" s="1" t="str">
        <f>HYPERLINK("https://nconnect.nicmar.ac.in/storage/profile/ProfilePhoto_p2270446_789521.jpg","Download")</f>
        <v>0</v>
      </c>
      <c r="BV1841" s="3"/>
      <c r="BW1841" s="3"/>
    </row>
    <row r="1842" spans="1:75">
      <c r="A1842" s="1" t="s">
        <v>75</v>
      </c>
      <c r="B1842" s="1" t="s">
        <v>25236</v>
      </c>
      <c r="C1842" s="1" t="s">
        <v>32434</v>
      </c>
      <c r="D1842" s="1" t="s">
        <v>32435</v>
      </c>
      <c r="E1842" s="1"/>
      <c r="F1842" s="1" t="s">
        <v>11697</v>
      </c>
      <c r="G1842" s="1" t="s">
        <v>32436</v>
      </c>
      <c r="H1842" s="1" t="s">
        <v>32437</v>
      </c>
      <c r="I1842" s="1" t="s">
        <v>32438</v>
      </c>
      <c r="J1842" s="1">
        <v>7223025178</v>
      </c>
      <c r="K1842" s="1" t="s">
        <v>84</v>
      </c>
      <c r="L1842" s="1" t="s">
        <v>32439</v>
      </c>
      <c r="M1842" s="1" t="s">
        <v>86</v>
      </c>
      <c r="N1842" s="1" t="s">
        <v>4278</v>
      </c>
      <c r="O1842" s="1" t="s">
        <v>32440</v>
      </c>
      <c r="P1842" s="1" t="s">
        <v>507</v>
      </c>
      <c r="Q1842" s="1" t="s">
        <v>32441</v>
      </c>
      <c r="R1842" s="1" t="s">
        <v>32442</v>
      </c>
      <c r="S1842" s="1">
        <v>9425078218</v>
      </c>
      <c r="T1842" s="1" t="s">
        <v>13867</v>
      </c>
      <c r="U1842" s="1" t="s">
        <v>32443</v>
      </c>
      <c r="V1842" s="1">
        <v>8269675006</v>
      </c>
      <c r="W1842" s="1" t="s">
        <v>278</v>
      </c>
      <c r="X1842" s="1" t="s">
        <v>32444</v>
      </c>
      <c r="Y1842" s="1" t="s">
        <v>10359</v>
      </c>
      <c r="Z1842" s="1" t="s">
        <v>3419</v>
      </c>
      <c r="AA1842" s="1" t="s">
        <v>32445</v>
      </c>
      <c r="AB1842" s="1" t="s">
        <v>196</v>
      </c>
      <c r="AC1842" s="1" t="s">
        <v>97</v>
      </c>
      <c r="AD1842" s="1" t="s">
        <v>98</v>
      </c>
      <c r="AE1842" s="1" t="s">
        <v>98</v>
      </c>
      <c r="AF1842" s="1" t="s">
        <v>32446</v>
      </c>
      <c r="AG1842" s="1" t="s">
        <v>9059</v>
      </c>
      <c r="AH1842" s="1" t="s">
        <v>166</v>
      </c>
      <c r="AI1842" s="1" t="s">
        <v>284</v>
      </c>
      <c r="AJ1842" s="1">
        <v>76</v>
      </c>
      <c r="AK1842" s="1">
        <v>8</v>
      </c>
      <c r="AL1842" s="1" t="s">
        <v>1060</v>
      </c>
      <c r="AM1842" s="1" t="s">
        <v>9059</v>
      </c>
      <c r="AN1842" s="1"/>
      <c r="AO1842" s="1" t="s">
        <v>388</v>
      </c>
      <c r="AP1842" s="1" t="s">
        <v>171</v>
      </c>
      <c r="AQ1842" s="1">
        <v>65</v>
      </c>
      <c r="AR1842" s="1">
        <v>0</v>
      </c>
      <c r="AS1842" s="1"/>
      <c r="AT1842" s="1"/>
      <c r="AU1842" s="1"/>
      <c r="AV1842" s="1"/>
      <c r="AW1842" s="1"/>
      <c r="AX1842" s="1"/>
      <c r="AY1842" s="1" t="s">
        <v>32447</v>
      </c>
      <c r="AZ1842" s="1" t="s">
        <v>32448</v>
      </c>
      <c r="BA1842" s="1"/>
      <c r="BB1842" s="1"/>
      <c r="BC1842" s="1" t="s">
        <v>106</v>
      </c>
      <c r="BD1842" s="1" t="s">
        <v>289</v>
      </c>
      <c r="BE1842" s="1">
        <v>74.8</v>
      </c>
      <c r="BF1842" s="1">
        <v>7.48</v>
      </c>
      <c r="BG1842" s="1"/>
      <c r="BH1842" s="1"/>
      <c r="BI1842" s="1"/>
      <c r="BJ1842" s="1"/>
      <c r="BK1842" s="1"/>
      <c r="BL1842" s="1"/>
      <c r="BM1842" s="1"/>
      <c r="BN1842" s="1"/>
      <c r="BO1842" s="1" t="s">
        <v>32449</v>
      </c>
      <c r="BP1842" s="1"/>
      <c r="BQ1842" s="1"/>
      <c r="BR1842" s="1" t="s">
        <v>32450</v>
      </c>
      <c r="BS1842" s="1">
        <v>42</v>
      </c>
      <c r="BT1842" s="1"/>
      <c r="BU1842" s="1" t="str">
        <f>HYPERLINK("https://nconnect.nicmar.ac.in/storage/profile/ProfilePhoto_p2270447_852716.jpg","Download")</f>
        <v>0</v>
      </c>
      <c r="BV1842" s="3"/>
      <c r="BW1842" s="3"/>
    </row>
    <row r="1843" spans="1:75">
      <c r="A1843" s="1" t="s">
        <v>75</v>
      </c>
      <c r="B1843" s="1" t="s">
        <v>25236</v>
      </c>
      <c r="C1843" s="1" t="s">
        <v>32451</v>
      </c>
      <c r="D1843" s="1" t="s">
        <v>32452</v>
      </c>
      <c r="E1843" s="1"/>
      <c r="F1843" s="1" t="s">
        <v>530</v>
      </c>
      <c r="G1843" s="1" t="s">
        <v>32453</v>
      </c>
      <c r="H1843" s="1" t="s">
        <v>32454</v>
      </c>
      <c r="I1843" s="1" t="s">
        <v>32455</v>
      </c>
      <c r="J1843" s="1">
        <v>8249680955</v>
      </c>
      <c r="K1843" s="1" t="s">
        <v>153</v>
      </c>
      <c r="L1843" s="1" t="s">
        <v>32456</v>
      </c>
      <c r="M1843" s="1" t="s">
        <v>86</v>
      </c>
      <c r="N1843" s="1" t="s">
        <v>13318</v>
      </c>
      <c r="O1843" s="1" t="s">
        <v>32457</v>
      </c>
      <c r="P1843" s="1" t="s">
        <v>507</v>
      </c>
      <c r="Q1843" s="1" t="s">
        <v>32458</v>
      </c>
      <c r="R1843" s="1" t="s">
        <v>32459</v>
      </c>
      <c r="S1843" s="1">
        <v>9438393971</v>
      </c>
      <c r="T1843" s="1" t="s">
        <v>125</v>
      </c>
      <c r="U1843" s="1" t="s">
        <v>32460</v>
      </c>
      <c r="V1843" s="1">
        <v>9937114642</v>
      </c>
      <c r="W1843" s="1" t="s">
        <v>94</v>
      </c>
      <c r="X1843" s="1" t="s">
        <v>32461</v>
      </c>
      <c r="Y1843" s="1" t="s">
        <v>30450</v>
      </c>
      <c r="Z1843" s="1" t="s">
        <v>865</v>
      </c>
      <c r="AA1843" s="1" t="s">
        <v>32461</v>
      </c>
      <c r="AB1843" s="1" t="s">
        <v>30450</v>
      </c>
      <c r="AC1843" s="1" t="s">
        <v>865</v>
      </c>
      <c r="AD1843" s="1" t="s">
        <v>98</v>
      </c>
      <c r="AE1843" s="1" t="s">
        <v>98</v>
      </c>
      <c r="AF1843" s="1" t="s">
        <v>32462</v>
      </c>
      <c r="AG1843" s="1" t="s">
        <v>32463</v>
      </c>
      <c r="AH1843" s="1" t="s">
        <v>1213</v>
      </c>
      <c r="AI1843" s="1" t="s">
        <v>1262</v>
      </c>
      <c r="AJ1843" s="1">
        <v>83.6</v>
      </c>
      <c r="AK1843" s="1">
        <v>8.8</v>
      </c>
      <c r="AL1843" s="1" t="s">
        <v>32462</v>
      </c>
      <c r="AM1843" s="1" t="s">
        <v>32463</v>
      </c>
      <c r="AN1843" s="1"/>
      <c r="AO1843" s="1" t="s">
        <v>166</v>
      </c>
      <c r="AP1843" s="1" t="s">
        <v>627</v>
      </c>
      <c r="AQ1843" s="1">
        <v>62.4</v>
      </c>
      <c r="AR1843" s="1"/>
      <c r="AS1843" s="1"/>
      <c r="AT1843" s="1"/>
      <c r="AU1843" s="1"/>
      <c r="AV1843" s="1"/>
      <c r="AW1843" s="1"/>
      <c r="AX1843" s="1"/>
      <c r="AY1843" s="1" t="s">
        <v>30515</v>
      </c>
      <c r="AZ1843" s="1" t="s">
        <v>32464</v>
      </c>
      <c r="BA1843" s="1"/>
      <c r="BB1843" s="1"/>
      <c r="BC1843" s="1" t="s">
        <v>139</v>
      </c>
      <c r="BD1843" s="1" t="s">
        <v>890</v>
      </c>
      <c r="BE1843" s="1">
        <v>77.1</v>
      </c>
      <c r="BF1843" s="1">
        <v>8.21</v>
      </c>
      <c r="BG1843" s="1"/>
      <c r="BH1843" s="1"/>
      <c r="BI1843" s="1"/>
      <c r="BJ1843" s="1"/>
      <c r="BK1843" s="1"/>
      <c r="BL1843" s="1"/>
      <c r="BM1843" s="1"/>
      <c r="BN1843" s="1"/>
      <c r="BO1843" s="1" t="s">
        <v>32465</v>
      </c>
      <c r="BP1843" s="1"/>
      <c r="BQ1843" s="1"/>
      <c r="BR1843" s="1" t="s">
        <v>32466</v>
      </c>
      <c r="BS1843" s="1">
        <v>16</v>
      </c>
      <c r="BT1843" s="1"/>
      <c r="BU1843" s="1" t="str">
        <f>HYPERLINK("https://nconnect.nicmar.ac.in/storage/profile/ProfilePhoto_p2270448_918265.jpg","Download")</f>
        <v>0</v>
      </c>
      <c r="BV1843" s="3"/>
      <c r="BW1843" s="3"/>
    </row>
    <row r="1844" spans="1:75">
      <c r="A1844" s="1" t="s">
        <v>75</v>
      </c>
      <c r="B1844" s="1" t="s">
        <v>25236</v>
      </c>
      <c r="C1844" s="1" t="s">
        <v>32467</v>
      </c>
      <c r="D1844" s="1" t="s">
        <v>8885</v>
      </c>
      <c r="E1844" s="1"/>
      <c r="F1844" s="1" t="s">
        <v>1320</v>
      </c>
      <c r="G1844" s="1" t="s">
        <v>32468</v>
      </c>
      <c r="H1844" s="1" t="s">
        <v>32469</v>
      </c>
      <c r="I1844" s="1" t="s">
        <v>32470</v>
      </c>
      <c r="J1844" s="1">
        <v>7878593251</v>
      </c>
      <c r="K1844" s="1" t="s">
        <v>84</v>
      </c>
      <c r="L1844" s="1" t="s">
        <v>32471</v>
      </c>
      <c r="M1844" s="1" t="s">
        <v>86</v>
      </c>
      <c r="N1844" s="1" t="s">
        <v>4278</v>
      </c>
      <c r="O1844" s="1" t="s">
        <v>32472</v>
      </c>
      <c r="P1844" s="1" t="s">
        <v>1028</v>
      </c>
      <c r="Q1844" s="1" t="s">
        <v>32473</v>
      </c>
      <c r="R1844" s="1" t="s">
        <v>32474</v>
      </c>
      <c r="S1844" s="1">
        <v>9828393920</v>
      </c>
      <c r="T1844" s="1" t="s">
        <v>3303</v>
      </c>
      <c r="U1844" s="1" t="s">
        <v>32475</v>
      </c>
      <c r="V1844" s="1">
        <v>9983100949</v>
      </c>
      <c r="W1844" s="1" t="s">
        <v>127</v>
      </c>
      <c r="X1844" s="1" t="s">
        <v>32476</v>
      </c>
      <c r="Y1844" s="1" t="s">
        <v>8184</v>
      </c>
      <c r="Z1844" s="1" t="s">
        <v>2153</v>
      </c>
      <c r="AA1844" s="1" t="s">
        <v>32476</v>
      </c>
      <c r="AB1844" s="1" t="s">
        <v>8184</v>
      </c>
      <c r="AC1844" s="1" t="s">
        <v>2153</v>
      </c>
      <c r="AD1844" s="1" t="s">
        <v>98</v>
      </c>
      <c r="AE1844" s="1" t="s">
        <v>98</v>
      </c>
      <c r="AF1844" s="1" t="s">
        <v>32477</v>
      </c>
      <c r="AG1844" s="1" t="s">
        <v>32478</v>
      </c>
      <c r="AH1844" s="1" t="s">
        <v>2157</v>
      </c>
      <c r="AI1844" s="1" t="s">
        <v>2203</v>
      </c>
      <c r="AJ1844" s="1">
        <v>85.8</v>
      </c>
      <c r="AK1844" s="1">
        <v>8.58</v>
      </c>
      <c r="AL1844" s="1" t="s">
        <v>32477</v>
      </c>
      <c r="AM1844" s="1" t="s">
        <v>32478</v>
      </c>
      <c r="AN1844" s="1"/>
      <c r="AO1844" s="1" t="s">
        <v>336</v>
      </c>
      <c r="AP1844" s="1" t="s">
        <v>801</v>
      </c>
      <c r="AQ1844" s="1">
        <v>84.4</v>
      </c>
      <c r="AR1844" s="1">
        <v>8.44</v>
      </c>
      <c r="AS1844" s="1"/>
      <c r="AT1844" s="1"/>
      <c r="AU1844" s="1"/>
      <c r="AV1844" s="1"/>
      <c r="AW1844" s="1"/>
      <c r="AX1844" s="1"/>
      <c r="AY1844" s="1" t="s">
        <v>550</v>
      </c>
      <c r="AZ1844" s="1" t="s">
        <v>32479</v>
      </c>
      <c r="BA1844" s="1"/>
      <c r="BB1844" s="1"/>
      <c r="BC1844" s="1" t="s">
        <v>2726</v>
      </c>
      <c r="BD1844" s="1" t="s">
        <v>4940</v>
      </c>
      <c r="BE1844" s="1">
        <v>79</v>
      </c>
      <c r="BF1844" s="1">
        <v>7.9</v>
      </c>
      <c r="BG1844" s="1"/>
      <c r="BH1844" s="1"/>
      <c r="BI1844" s="1"/>
      <c r="BJ1844" s="1"/>
      <c r="BK1844" s="1"/>
      <c r="BL1844" s="1"/>
      <c r="BM1844" s="1"/>
      <c r="BN1844" s="1"/>
      <c r="BO1844" s="1" t="s">
        <v>1114</v>
      </c>
      <c r="BP1844" s="1" t="s">
        <v>32480</v>
      </c>
      <c r="BQ1844" s="1" t="s">
        <v>32481</v>
      </c>
      <c r="BR1844" s="1" t="s">
        <v>32482</v>
      </c>
      <c r="BS1844" s="1">
        <v>12</v>
      </c>
      <c r="BT1844" s="1"/>
      <c r="BU1844" s="1" t="str">
        <f>HYPERLINK("https://nconnect.nicmar.ac.in/storage/profile/ProfilePhoto_p2270449_387154.jpg","Download")</f>
        <v>0</v>
      </c>
      <c r="BV1844" s="3"/>
      <c r="BW1844" s="3"/>
    </row>
    <row r="1845" spans="1:75">
      <c r="A1845" s="1" t="s">
        <v>75</v>
      </c>
      <c r="B1845" s="1" t="s">
        <v>25236</v>
      </c>
      <c r="C1845" s="1" t="s">
        <v>32483</v>
      </c>
      <c r="D1845" s="1" t="s">
        <v>2097</v>
      </c>
      <c r="E1845" s="1"/>
      <c r="F1845" s="1" t="s">
        <v>5151</v>
      </c>
      <c r="G1845" s="1" t="s">
        <v>32484</v>
      </c>
      <c r="H1845" s="1" t="s">
        <v>32485</v>
      </c>
      <c r="I1845" s="1" t="s">
        <v>32486</v>
      </c>
      <c r="J1845" s="1">
        <v>9981102223</v>
      </c>
      <c r="K1845" s="1" t="s">
        <v>84</v>
      </c>
      <c r="L1845" s="1" t="s">
        <v>32487</v>
      </c>
      <c r="M1845" s="1" t="s">
        <v>86</v>
      </c>
      <c r="N1845" s="1" t="s">
        <v>4278</v>
      </c>
      <c r="O1845" s="1" t="s">
        <v>32488</v>
      </c>
      <c r="P1845" s="1" t="s">
        <v>670</v>
      </c>
      <c r="Q1845" s="1" t="s">
        <v>32489</v>
      </c>
      <c r="R1845" s="1" t="s">
        <v>32490</v>
      </c>
      <c r="S1845" s="1">
        <v>9981104884</v>
      </c>
      <c r="T1845" s="1" t="s">
        <v>330</v>
      </c>
      <c r="U1845" s="1" t="s">
        <v>32491</v>
      </c>
      <c r="V1845" s="1">
        <v>9981104884</v>
      </c>
      <c r="W1845" s="1" t="s">
        <v>278</v>
      </c>
      <c r="X1845" s="1" t="s">
        <v>32492</v>
      </c>
      <c r="Y1845" s="1" t="s">
        <v>5641</v>
      </c>
      <c r="Z1845" s="1" t="s">
        <v>3419</v>
      </c>
      <c r="AA1845" s="1" t="s">
        <v>32492</v>
      </c>
      <c r="AB1845" s="1" t="s">
        <v>5641</v>
      </c>
      <c r="AC1845" s="1" t="s">
        <v>3419</v>
      </c>
      <c r="AD1845" s="1" t="s">
        <v>98</v>
      </c>
      <c r="AE1845" s="1" t="s">
        <v>98</v>
      </c>
      <c r="AF1845" s="1" t="s">
        <v>32493</v>
      </c>
      <c r="AG1845" s="1" t="s">
        <v>32494</v>
      </c>
      <c r="AH1845" s="1" t="s">
        <v>10231</v>
      </c>
      <c r="AI1845" s="1" t="s">
        <v>2203</v>
      </c>
      <c r="AJ1845" s="1">
        <v>79</v>
      </c>
      <c r="AK1845" s="1">
        <v>0</v>
      </c>
      <c r="AL1845" s="1" t="s">
        <v>32493</v>
      </c>
      <c r="AM1845" s="1" t="s">
        <v>32494</v>
      </c>
      <c r="AN1845" s="1"/>
      <c r="AO1845" s="1" t="s">
        <v>23371</v>
      </c>
      <c r="AP1845" s="1" t="s">
        <v>801</v>
      </c>
      <c r="AQ1845" s="1">
        <v>65</v>
      </c>
      <c r="AR1845" s="1">
        <v>0</v>
      </c>
      <c r="AS1845" s="1"/>
      <c r="AT1845" s="1"/>
      <c r="AU1845" s="1"/>
      <c r="AV1845" s="1"/>
      <c r="AW1845" s="1"/>
      <c r="AX1845" s="1"/>
      <c r="AY1845" s="1" t="s">
        <v>2206</v>
      </c>
      <c r="AZ1845" s="1" t="s">
        <v>32495</v>
      </c>
      <c r="BA1845" s="1"/>
      <c r="BB1845" s="1"/>
      <c r="BC1845" s="1" t="s">
        <v>254</v>
      </c>
      <c r="BD1845" s="1" t="s">
        <v>167</v>
      </c>
      <c r="BE1845" s="1">
        <v>79.3</v>
      </c>
      <c r="BF1845" s="1">
        <v>7.93</v>
      </c>
      <c r="BG1845" s="1"/>
      <c r="BH1845" s="1"/>
      <c r="BI1845" s="1"/>
      <c r="BJ1845" s="1"/>
      <c r="BK1845" s="1"/>
      <c r="BL1845" s="1"/>
      <c r="BM1845" s="1"/>
      <c r="BN1845" s="1"/>
      <c r="BO1845" s="1" t="s">
        <v>6027</v>
      </c>
      <c r="BP1845" s="1" t="s">
        <v>32496</v>
      </c>
      <c r="BQ1845" s="1" t="s">
        <v>20984</v>
      </c>
      <c r="BR1845" s="1" t="s">
        <v>32497</v>
      </c>
      <c r="BS1845" s="1">
        <v>11</v>
      </c>
      <c r="BT1845" s="1"/>
      <c r="BU1845" s="1" t="str">
        <f>HYPERLINK("https://nconnect.nicmar.ac.in/storage/profile/ProfilePhoto_p2270450_673985.jpg","Download")</f>
        <v>0</v>
      </c>
      <c r="BV1845" s="3"/>
      <c r="BW1845" s="3"/>
    </row>
    <row r="1846" spans="1:75">
      <c r="A1846" s="1" t="s">
        <v>75</v>
      </c>
      <c r="B1846" s="1" t="s">
        <v>25236</v>
      </c>
      <c r="C1846" s="1" t="s">
        <v>32498</v>
      </c>
      <c r="D1846" s="1" t="s">
        <v>32499</v>
      </c>
      <c r="E1846" s="1" t="s">
        <v>32500</v>
      </c>
      <c r="F1846" s="1" t="s">
        <v>32501</v>
      </c>
      <c r="G1846" s="1" t="s">
        <v>32502</v>
      </c>
      <c r="H1846" s="1" t="s">
        <v>32503</v>
      </c>
      <c r="I1846" s="1" t="s">
        <v>32504</v>
      </c>
      <c r="J1846" s="1">
        <v>7972737168</v>
      </c>
      <c r="K1846" s="1" t="s">
        <v>84</v>
      </c>
      <c r="L1846" s="1" t="s">
        <v>32505</v>
      </c>
      <c r="M1846" s="1" t="s">
        <v>86</v>
      </c>
      <c r="N1846" s="1" t="s">
        <v>16520</v>
      </c>
      <c r="O1846" s="1" t="s">
        <v>32506</v>
      </c>
      <c r="P1846" s="1" t="s">
        <v>2062</v>
      </c>
      <c r="Q1846" s="1" t="s">
        <v>32507</v>
      </c>
      <c r="R1846" s="1" t="s">
        <v>32508</v>
      </c>
      <c r="S1846" s="1">
        <v>9404502794</v>
      </c>
      <c r="T1846" s="1" t="s">
        <v>32509</v>
      </c>
      <c r="U1846" s="1" t="s">
        <v>32510</v>
      </c>
      <c r="V1846" s="1">
        <v>8329505534</v>
      </c>
      <c r="W1846" s="1" t="s">
        <v>1577</v>
      </c>
      <c r="X1846" s="1" t="s">
        <v>32511</v>
      </c>
      <c r="Y1846" s="1" t="s">
        <v>384</v>
      </c>
      <c r="Z1846" s="1" t="s">
        <v>97</v>
      </c>
      <c r="AA1846" s="1" t="s">
        <v>32511</v>
      </c>
      <c r="AB1846" s="1" t="s">
        <v>384</v>
      </c>
      <c r="AC1846" s="1" t="s">
        <v>97</v>
      </c>
      <c r="AD1846" s="1" t="s">
        <v>98</v>
      </c>
      <c r="AE1846" s="1" t="s">
        <v>98</v>
      </c>
      <c r="AF1846" s="1" t="s">
        <v>32512</v>
      </c>
      <c r="AG1846" s="1" t="s">
        <v>32513</v>
      </c>
      <c r="AH1846" s="1" t="s">
        <v>1214</v>
      </c>
      <c r="AI1846" s="1" t="s">
        <v>136</v>
      </c>
      <c r="AJ1846" s="1">
        <v>82.4</v>
      </c>
      <c r="AK1846" s="1">
        <v>9</v>
      </c>
      <c r="AL1846" s="1" t="s">
        <v>32514</v>
      </c>
      <c r="AM1846" s="1" t="s">
        <v>11321</v>
      </c>
      <c r="AN1846" s="1"/>
      <c r="AO1846" s="1" t="s">
        <v>627</v>
      </c>
      <c r="AP1846" s="1" t="s">
        <v>573</v>
      </c>
      <c r="AQ1846" s="1">
        <v>69.54</v>
      </c>
      <c r="AR1846" s="1"/>
      <c r="AS1846" s="1"/>
      <c r="AT1846" s="1"/>
      <c r="AU1846" s="1"/>
      <c r="AV1846" s="1"/>
      <c r="AW1846" s="1"/>
      <c r="AX1846" s="1"/>
      <c r="AY1846" s="1" t="s">
        <v>32515</v>
      </c>
      <c r="AZ1846" s="1" t="s">
        <v>32516</v>
      </c>
      <c r="BA1846" s="1"/>
      <c r="BB1846" s="1"/>
      <c r="BC1846" s="1" t="s">
        <v>388</v>
      </c>
      <c r="BD1846" s="1" t="s">
        <v>549</v>
      </c>
      <c r="BE1846" s="1">
        <v>78.3</v>
      </c>
      <c r="BF1846" s="1">
        <v>8.58</v>
      </c>
      <c r="BG1846" s="1"/>
      <c r="BH1846" s="1"/>
      <c r="BI1846" s="1"/>
      <c r="BJ1846" s="1"/>
      <c r="BK1846" s="1"/>
      <c r="BL1846" s="1"/>
      <c r="BM1846" s="1"/>
      <c r="BN1846" s="1"/>
      <c r="BO1846" s="1" t="s">
        <v>32517</v>
      </c>
      <c r="BP1846" s="1"/>
      <c r="BQ1846" s="1"/>
      <c r="BR1846" s="1" t="s">
        <v>32518</v>
      </c>
      <c r="BS1846" s="1">
        <v>10</v>
      </c>
      <c r="BT1846" s="1"/>
      <c r="BU1846" s="1" t="str">
        <f>HYPERLINK("https://nconnect.nicmar.ac.in/storage/profile/ProfilePhoto_p2270451_724153.jpg","Download")</f>
        <v>0</v>
      </c>
      <c r="BV1846" s="3"/>
      <c r="BW1846" s="3"/>
    </row>
    <row r="1847" spans="1:75">
      <c r="A1847" s="1" t="s">
        <v>75</v>
      </c>
      <c r="B1847" s="1" t="s">
        <v>25236</v>
      </c>
      <c r="C1847" s="1" t="s">
        <v>32519</v>
      </c>
      <c r="D1847" s="1" t="s">
        <v>1505</v>
      </c>
      <c r="E1847" s="1"/>
      <c r="F1847" s="1" t="s">
        <v>32520</v>
      </c>
      <c r="G1847" s="1" t="s">
        <v>32521</v>
      </c>
      <c r="H1847" s="1" t="s">
        <v>32522</v>
      </c>
      <c r="I1847" s="1" t="s">
        <v>32523</v>
      </c>
      <c r="J1847" s="1">
        <v>9660397251</v>
      </c>
      <c r="K1847" s="1" t="s">
        <v>84</v>
      </c>
      <c r="L1847" s="1" t="s">
        <v>28086</v>
      </c>
      <c r="M1847" s="1" t="s">
        <v>86</v>
      </c>
      <c r="N1847" s="1" t="s">
        <v>355</v>
      </c>
      <c r="O1847" s="1"/>
      <c r="P1847" s="1"/>
      <c r="Q1847" s="1" t="s">
        <v>32524</v>
      </c>
      <c r="R1847" s="1" t="s">
        <v>32525</v>
      </c>
      <c r="S1847" s="1">
        <v>9927985703</v>
      </c>
      <c r="T1847" s="1" t="s">
        <v>30639</v>
      </c>
      <c r="U1847" s="1" t="s">
        <v>32526</v>
      </c>
      <c r="V1847" s="1">
        <v>9927985703</v>
      </c>
      <c r="W1847" s="1" t="s">
        <v>94</v>
      </c>
      <c r="X1847" s="1" t="s">
        <v>32527</v>
      </c>
      <c r="Y1847" s="1" t="s">
        <v>18914</v>
      </c>
      <c r="Z1847" s="1" t="s">
        <v>544</v>
      </c>
      <c r="AA1847" s="1" t="s">
        <v>32527</v>
      </c>
      <c r="AB1847" s="1" t="s">
        <v>18914</v>
      </c>
      <c r="AC1847" s="1" t="s">
        <v>544</v>
      </c>
      <c r="AD1847" s="1" t="s">
        <v>98</v>
      </c>
      <c r="AE1847" s="1" t="s">
        <v>98</v>
      </c>
      <c r="AF1847" s="1" t="s">
        <v>32528</v>
      </c>
      <c r="AG1847" s="1" t="s">
        <v>32529</v>
      </c>
      <c r="AH1847" s="1" t="s">
        <v>3421</v>
      </c>
      <c r="AI1847" s="1" t="s">
        <v>515</v>
      </c>
      <c r="AJ1847" s="1">
        <v>83.6</v>
      </c>
      <c r="AK1847" s="1">
        <v>8.8</v>
      </c>
      <c r="AL1847" s="1" t="s">
        <v>32528</v>
      </c>
      <c r="AM1847" s="1" t="s">
        <v>32529</v>
      </c>
      <c r="AN1847" s="1"/>
      <c r="AO1847" s="1" t="s">
        <v>1110</v>
      </c>
      <c r="AP1847" s="1" t="s">
        <v>1111</v>
      </c>
      <c r="AQ1847" s="1">
        <v>80.6</v>
      </c>
      <c r="AR1847" s="1">
        <v>0</v>
      </c>
      <c r="AS1847" s="1"/>
      <c r="AT1847" s="1"/>
      <c r="AU1847" s="1"/>
      <c r="AV1847" s="1"/>
      <c r="AW1847" s="1"/>
      <c r="AX1847" s="1"/>
      <c r="AY1847" s="1" t="s">
        <v>3771</v>
      </c>
      <c r="AZ1847" s="1" t="s">
        <v>3771</v>
      </c>
      <c r="BA1847" s="1"/>
      <c r="BB1847" s="1"/>
      <c r="BC1847" s="1" t="s">
        <v>139</v>
      </c>
      <c r="BD1847" s="1" t="s">
        <v>417</v>
      </c>
      <c r="BE1847" s="1">
        <v>77</v>
      </c>
      <c r="BF1847" s="1">
        <v>7.7</v>
      </c>
      <c r="BG1847" s="1"/>
      <c r="BH1847" s="1"/>
      <c r="BI1847" s="1"/>
      <c r="BJ1847" s="1"/>
      <c r="BK1847" s="1"/>
      <c r="BL1847" s="1"/>
      <c r="BM1847" s="1"/>
      <c r="BN1847" s="1"/>
      <c r="BO1847" s="1" t="s">
        <v>3308</v>
      </c>
      <c r="BP1847" s="1" t="s">
        <v>32530</v>
      </c>
      <c r="BQ1847" s="1" t="s">
        <v>4149</v>
      </c>
      <c r="BR1847" s="1" t="s">
        <v>32531</v>
      </c>
      <c r="BS1847" s="1">
        <v>7</v>
      </c>
      <c r="BT1847" s="1"/>
      <c r="BU1847" s="1" t="str">
        <f>HYPERLINK("https://nconnect.nicmar.ac.in/storage/profile/ProfilePhoto_p2270452_752648.jpg","Download")</f>
        <v>0</v>
      </c>
      <c r="BV1847" s="3"/>
      <c r="BW1847" s="3"/>
    </row>
    <row r="1848" spans="1:75">
      <c r="A1848" s="1" t="s">
        <v>75</v>
      </c>
      <c r="B1848" s="1" t="s">
        <v>25236</v>
      </c>
      <c r="C1848" s="1" t="s">
        <v>32532</v>
      </c>
      <c r="D1848" s="1" t="s">
        <v>31119</v>
      </c>
      <c r="E1848" s="1"/>
      <c r="F1848" s="1" t="s">
        <v>32533</v>
      </c>
      <c r="G1848" s="1" t="s">
        <v>32534</v>
      </c>
      <c r="H1848" s="1" t="s">
        <v>32535</v>
      </c>
      <c r="I1848" s="1" t="s">
        <v>32536</v>
      </c>
      <c r="J1848" s="1">
        <v>7902307295</v>
      </c>
      <c r="K1848" s="1" t="s">
        <v>153</v>
      </c>
      <c r="L1848" s="1" t="s">
        <v>32537</v>
      </c>
      <c r="M1848" s="1" t="s">
        <v>86</v>
      </c>
      <c r="N1848" s="1" t="s">
        <v>7673</v>
      </c>
      <c r="O1848" s="1" t="s">
        <v>32538</v>
      </c>
      <c r="P1848" s="1" t="s">
        <v>507</v>
      </c>
      <c r="Q1848" s="1" t="s">
        <v>32539</v>
      </c>
      <c r="R1848" s="1" t="s">
        <v>32540</v>
      </c>
      <c r="S1848" s="1">
        <v>9895271788</v>
      </c>
      <c r="T1848" s="1" t="s">
        <v>125</v>
      </c>
      <c r="U1848" s="1" t="s">
        <v>32541</v>
      </c>
      <c r="V1848" s="1">
        <v>8547583788</v>
      </c>
      <c r="W1848" s="1" t="s">
        <v>161</v>
      </c>
      <c r="X1848" s="1" t="s">
        <v>32542</v>
      </c>
      <c r="Y1848" s="1" t="s">
        <v>701</v>
      </c>
      <c r="Z1848" s="1" t="s">
        <v>130</v>
      </c>
      <c r="AA1848" s="1" t="s">
        <v>32542</v>
      </c>
      <c r="AB1848" s="1" t="s">
        <v>701</v>
      </c>
      <c r="AC1848" s="1" t="s">
        <v>130</v>
      </c>
      <c r="AD1848" s="1" t="s">
        <v>98</v>
      </c>
      <c r="AE1848" s="1" t="s">
        <v>98</v>
      </c>
      <c r="AF1848" s="1" t="s">
        <v>702</v>
      </c>
      <c r="AG1848" s="1" t="s">
        <v>775</v>
      </c>
      <c r="AH1848" s="1" t="s">
        <v>1213</v>
      </c>
      <c r="AI1848" s="1" t="s">
        <v>1214</v>
      </c>
      <c r="AJ1848" s="1">
        <v>72.2</v>
      </c>
      <c r="AK1848" s="1">
        <v>7.6</v>
      </c>
      <c r="AL1848" s="1" t="s">
        <v>702</v>
      </c>
      <c r="AM1848" s="1" t="s">
        <v>775</v>
      </c>
      <c r="AN1848" s="1"/>
      <c r="AO1848" s="1" t="s">
        <v>1110</v>
      </c>
      <c r="AP1848" s="1" t="s">
        <v>1111</v>
      </c>
      <c r="AQ1848" s="1">
        <v>75.2</v>
      </c>
      <c r="AR1848" s="1">
        <v>7.6</v>
      </c>
      <c r="AS1848" s="1"/>
      <c r="AT1848" s="1"/>
      <c r="AU1848" s="1"/>
      <c r="AV1848" s="1"/>
      <c r="AW1848" s="1"/>
      <c r="AX1848" s="1"/>
      <c r="AY1848" s="1" t="s">
        <v>137</v>
      </c>
      <c r="AZ1848" s="1" t="s">
        <v>32543</v>
      </c>
      <c r="BA1848" s="1"/>
      <c r="BB1848" s="1"/>
      <c r="BC1848" s="1" t="s">
        <v>139</v>
      </c>
      <c r="BD1848" s="1" t="s">
        <v>890</v>
      </c>
      <c r="BE1848" s="1">
        <v>70.7</v>
      </c>
      <c r="BF1848" s="1">
        <v>7.07</v>
      </c>
      <c r="BG1848" s="1"/>
      <c r="BH1848" s="1"/>
      <c r="BI1848" s="1"/>
      <c r="BJ1848" s="1"/>
      <c r="BK1848" s="1"/>
      <c r="BL1848" s="1"/>
      <c r="BM1848" s="1"/>
      <c r="BN1848" s="1"/>
      <c r="BO1848" s="1" t="s">
        <v>32544</v>
      </c>
      <c r="BP1848" s="1" t="s">
        <v>32545</v>
      </c>
      <c r="BQ1848" s="1" t="s">
        <v>2245</v>
      </c>
      <c r="BR1848" s="1" t="s">
        <v>32546</v>
      </c>
      <c r="BS1848" s="1">
        <v>9</v>
      </c>
      <c r="BT1848" s="1"/>
      <c r="BU1848" s="1" t="str">
        <f>HYPERLINK("https://nconnect.nicmar.ac.in/storage/profile/ProfilePhoto_p2270453_734825.jpg","Download")</f>
        <v>0</v>
      </c>
      <c r="BV1848" s="3"/>
      <c r="BW1848" s="3"/>
    </row>
    <row r="1849" spans="1:75">
      <c r="A1849" s="1" t="s">
        <v>75</v>
      </c>
      <c r="B1849" s="1" t="s">
        <v>25236</v>
      </c>
      <c r="C1849" s="1" t="s">
        <v>32547</v>
      </c>
      <c r="D1849" s="1" t="s">
        <v>32548</v>
      </c>
      <c r="E1849" s="1" t="s">
        <v>32549</v>
      </c>
      <c r="F1849" s="1" t="s">
        <v>6636</v>
      </c>
      <c r="G1849" s="1" t="s">
        <v>32550</v>
      </c>
      <c r="H1849" s="1" t="s">
        <v>32551</v>
      </c>
      <c r="I1849" s="1" t="s">
        <v>32552</v>
      </c>
      <c r="J1849" s="1">
        <v>8866582762</v>
      </c>
      <c r="K1849" s="1" t="s">
        <v>84</v>
      </c>
      <c r="L1849" s="1" t="s">
        <v>32553</v>
      </c>
      <c r="M1849" s="1" t="s">
        <v>86</v>
      </c>
      <c r="N1849" s="1" t="s">
        <v>20173</v>
      </c>
      <c r="O1849" s="1" t="s">
        <v>32554</v>
      </c>
      <c r="P1849" s="1" t="s">
        <v>455</v>
      </c>
      <c r="Q1849" s="1" t="s">
        <v>32555</v>
      </c>
      <c r="R1849" s="1" t="s">
        <v>32556</v>
      </c>
      <c r="S1849" s="1">
        <v>9974035241</v>
      </c>
      <c r="T1849" s="1" t="s">
        <v>32557</v>
      </c>
      <c r="U1849" s="1" t="s">
        <v>32558</v>
      </c>
      <c r="V1849" s="1">
        <v>9428685182</v>
      </c>
      <c r="W1849" s="1" t="s">
        <v>161</v>
      </c>
      <c r="X1849" s="1" t="s">
        <v>32559</v>
      </c>
      <c r="Y1849" s="1" t="s">
        <v>2880</v>
      </c>
      <c r="Z1849" s="1" t="s">
        <v>676</v>
      </c>
      <c r="AA1849" s="1" t="s">
        <v>32559</v>
      </c>
      <c r="AB1849" s="1" t="s">
        <v>2880</v>
      </c>
      <c r="AC1849" s="1" t="s">
        <v>676</v>
      </c>
      <c r="AD1849" s="1" t="s">
        <v>98</v>
      </c>
      <c r="AE1849" s="1" t="s">
        <v>98</v>
      </c>
      <c r="AF1849" s="1" t="s">
        <v>32560</v>
      </c>
      <c r="AG1849" s="1" t="s">
        <v>28002</v>
      </c>
      <c r="AH1849" s="1" t="s">
        <v>102</v>
      </c>
      <c r="AI1849" s="1" t="s">
        <v>1111</v>
      </c>
      <c r="AJ1849" s="1">
        <v>79</v>
      </c>
      <c r="AK1849" s="1"/>
      <c r="AL1849" s="1" t="s">
        <v>32561</v>
      </c>
      <c r="AM1849" s="1" t="s">
        <v>28002</v>
      </c>
      <c r="AN1849" s="1"/>
      <c r="AO1849" s="1" t="s">
        <v>200</v>
      </c>
      <c r="AP1849" s="1" t="s">
        <v>286</v>
      </c>
      <c r="AQ1849" s="1">
        <v>63.07</v>
      </c>
      <c r="AR1849" s="1"/>
      <c r="AS1849" s="1"/>
      <c r="AT1849" s="1"/>
      <c r="AU1849" s="1"/>
      <c r="AV1849" s="1"/>
      <c r="AW1849" s="1"/>
      <c r="AX1849" s="1"/>
      <c r="AY1849" s="1" t="s">
        <v>5241</v>
      </c>
      <c r="AZ1849" s="1" t="s">
        <v>32562</v>
      </c>
      <c r="BA1849" s="1"/>
      <c r="BB1849" s="1"/>
      <c r="BC1849" s="1" t="s">
        <v>1065</v>
      </c>
      <c r="BD1849" s="1" t="s">
        <v>289</v>
      </c>
      <c r="BE1849" s="1">
        <v>75.2</v>
      </c>
      <c r="BF1849" s="1">
        <v>8.02</v>
      </c>
      <c r="BG1849" s="1"/>
      <c r="BH1849" s="1"/>
      <c r="BI1849" s="1"/>
      <c r="BJ1849" s="1"/>
      <c r="BK1849" s="1"/>
      <c r="BL1849" s="1"/>
      <c r="BM1849" s="1"/>
      <c r="BN1849" s="1"/>
      <c r="BO1849" s="1" t="s">
        <v>32563</v>
      </c>
      <c r="BP1849" s="1"/>
      <c r="BQ1849" s="1"/>
      <c r="BR1849" s="1" t="s">
        <v>32564</v>
      </c>
      <c r="BS1849" s="1">
        <v>19</v>
      </c>
      <c r="BT1849" s="1"/>
      <c r="BU1849" s="1" t="str">
        <f>HYPERLINK("https://nconnect.nicmar.ac.in/storage/profile/ProfilePhoto_p2270454_921635.jpg","Download")</f>
        <v>0</v>
      </c>
      <c r="BV1849" s="3"/>
      <c r="BW1849" s="3"/>
    </row>
    <row r="1850" spans="1:75">
      <c r="A1850" s="1" t="s">
        <v>75</v>
      </c>
      <c r="B1850" s="1" t="s">
        <v>25236</v>
      </c>
      <c r="C1850" s="1" t="s">
        <v>32565</v>
      </c>
      <c r="D1850" s="1" t="s">
        <v>32566</v>
      </c>
      <c r="E1850" s="1" t="s">
        <v>32567</v>
      </c>
      <c r="F1850" s="1" t="s">
        <v>32568</v>
      </c>
      <c r="G1850" s="1" t="s">
        <v>32569</v>
      </c>
      <c r="H1850" s="1" t="s">
        <v>32570</v>
      </c>
      <c r="I1850" s="1" t="s">
        <v>32571</v>
      </c>
      <c r="J1850" s="1">
        <v>9687343871</v>
      </c>
      <c r="K1850" s="1" t="s">
        <v>84</v>
      </c>
      <c r="L1850" s="1" t="s">
        <v>32572</v>
      </c>
      <c r="M1850" s="1" t="s">
        <v>86</v>
      </c>
      <c r="N1850" s="1" t="s">
        <v>32573</v>
      </c>
      <c r="O1850" s="1" t="s">
        <v>32574</v>
      </c>
      <c r="P1850" s="1" t="s">
        <v>455</v>
      </c>
      <c r="Q1850" s="1" t="s">
        <v>32575</v>
      </c>
      <c r="R1850" s="1" t="s">
        <v>32576</v>
      </c>
      <c r="S1850" s="1">
        <v>9909832054</v>
      </c>
      <c r="T1850" s="1" t="s">
        <v>32577</v>
      </c>
      <c r="U1850" s="1" t="s">
        <v>32578</v>
      </c>
      <c r="V1850" s="1">
        <v>9173213438</v>
      </c>
      <c r="W1850" s="1" t="s">
        <v>161</v>
      </c>
      <c r="X1850" s="1" t="s">
        <v>32579</v>
      </c>
      <c r="Y1850" s="1" t="s">
        <v>2880</v>
      </c>
      <c r="Z1850" s="1" t="s">
        <v>676</v>
      </c>
      <c r="AA1850" s="1" t="s">
        <v>32579</v>
      </c>
      <c r="AB1850" s="1" t="s">
        <v>2880</v>
      </c>
      <c r="AC1850" s="1" t="s">
        <v>676</v>
      </c>
      <c r="AD1850" s="1" t="s">
        <v>98</v>
      </c>
      <c r="AE1850" s="1" t="s">
        <v>98</v>
      </c>
      <c r="AF1850" s="1" t="s">
        <v>32580</v>
      </c>
      <c r="AG1850" s="1" t="s">
        <v>10192</v>
      </c>
      <c r="AH1850" s="1" t="s">
        <v>166</v>
      </c>
      <c r="AI1850" s="1" t="s">
        <v>1111</v>
      </c>
      <c r="AJ1850" s="1">
        <v>80.5</v>
      </c>
      <c r="AK1850" s="1"/>
      <c r="AL1850" s="1" t="s">
        <v>32581</v>
      </c>
      <c r="AM1850" s="1" t="s">
        <v>10192</v>
      </c>
      <c r="AN1850" s="1"/>
      <c r="AO1850" s="1" t="s">
        <v>170</v>
      </c>
      <c r="AP1850" s="1" t="s">
        <v>286</v>
      </c>
      <c r="AQ1850" s="1">
        <v>72.15</v>
      </c>
      <c r="AR1850" s="1"/>
      <c r="AS1850" s="1"/>
      <c r="AT1850" s="1"/>
      <c r="AU1850" s="1"/>
      <c r="AV1850" s="1"/>
      <c r="AW1850" s="1"/>
      <c r="AX1850" s="1"/>
      <c r="AY1850" s="1" t="s">
        <v>31418</v>
      </c>
      <c r="AZ1850" s="1" t="s">
        <v>32582</v>
      </c>
      <c r="BA1850" s="1"/>
      <c r="BB1850" s="1"/>
      <c r="BC1850" s="1" t="s">
        <v>1065</v>
      </c>
      <c r="BD1850" s="1" t="s">
        <v>521</v>
      </c>
      <c r="BE1850" s="1">
        <v>84.44</v>
      </c>
      <c r="BF1850" s="1">
        <v>8.68</v>
      </c>
      <c r="BG1850" s="1"/>
      <c r="BH1850" s="1"/>
      <c r="BI1850" s="1"/>
      <c r="BJ1850" s="1"/>
      <c r="BK1850" s="1"/>
      <c r="BL1850" s="1"/>
      <c r="BM1850" s="1"/>
      <c r="BN1850" s="1"/>
      <c r="BO1850" s="1" t="s">
        <v>27163</v>
      </c>
      <c r="BP1850" s="1"/>
      <c r="BQ1850" s="1"/>
      <c r="BR1850" s="1" t="s">
        <v>32583</v>
      </c>
      <c r="BS1850" s="1">
        <v>22</v>
      </c>
      <c r="BT1850" s="1"/>
      <c r="BU1850" s="1" t="str">
        <f>HYPERLINK("https://nconnect.nicmar.ac.in/storage/profile/ProfilePhoto_p2270455_689317.jpg","Download")</f>
        <v>0</v>
      </c>
      <c r="BV1850" s="3"/>
      <c r="BW1850" s="3"/>
    </row>
    <row r="1851" spans="1:75">
      <c r="A1851" s="1" t="s">
        <v>75</v>
      </c>
      <c r="B1851" s="1" t="s">
        <v>25236</v>
      </c>
      <c r="C1851" s="1" t="s">
        <v>32584</v>
      </c>
      <c r="D1851" s="1" t="s">
        <v>32585</v>
      </c>
      <c r="E1851" s="1" t="s">
        <v>2098</v>
      </c>
      <c r="F1851" s="1" t="s">
        <v>5650</v>
      </c>
      <c r="G1851" s="1" t="s">
        <v>32586</v>
      </c>
      <c r="H1851" s="1" t="s">
        <v>32587</v>
      </c>
      <c r="I1851" s="1" t="s">
        <v>32588</v>
      </c>
      <c r="J1851" s="1">
        <v>9511767126</v>
      </c>
      <c r="K1851" s="1" t="s">
        <v>153</v>
      </c>
      <c r="L1851" s="1" t="s">
        <v>13427</v>
      </c>
      <c r="M1851" s="1" t="s">
        <v>86</v>
      </c>
      <c r="N1851" s="1" t="s">
        <v>903</v>
      </c>
      <c r="O1851" s="1" t="s">
        <v>32589</v>
      </c>
      <c r="P1851" s="1" t="s">
        <v>481</v>
      </c>
      <c r="Q1851" s="1" t="s">
        <v>32590</v>
      </c>
      <c r="R1851" s="1" t="s">
        <v>32591</v>
      </c>
      <c r="S1851" s="1">
        <v>9423539925</v>
      </c>
      <c r="T1851" s="1" t="s">
        <v>908</v>
      </c>
      <c r="U1851" s="1" t="s">
        <v>32592</v>
      </c>
      <c r="V1851" s="1">
        <v>9420007517</v>
      </c>
      <c r="W1851" s="1" t="s">
        <v>127</v>
      </c>
      <c r="X1851" s="1" t="s">
        <v>32593</v>
      </c>
      <c r="Y1851" s="1" t="s">
        <v>910</v>
      </c>
      <c r="Z1851" s="1" t="s">
        <v>97</v>
      </c>
      <c r="AA1851" s="1" t="s">
        <v>32593</v>
      </c>
      <c r="AB1851" s="1" t="s">
        <v>910</v>
      </c>
      <c r="AC1851" s="1" t="s">
        <v>97</v>
      </c>
      <c r="AD1851" s="1" t="s">
        <v>98</v>
      </c>
      <c r="AE1851" s="1" t="s">
        <v>98</v>
      </c>
      <c r="AF1851" s="1" t="s">
        <v>32594</v>
      </c>
      <c r="AG1851" s="1" t="s">
        <v>32595</v>
      </c>
      <c r="AH1851" s="1" t="s">
        <v>1214</v>
      </c>
      <c r="AI1851" s="1" t="s">
        <v>166</v>
      </c>
      <c r="AJ1851" s="1">
        <v>88.8</v>
      </c>
      <c r="AK1851" s="1">
        <v>0</v>
      </c>
      <c r="AL1851" s="1" t="s">
        <v>32596</v>
      </c>
      <c r="AM1851" s="1" t="s">
        <v>32595</v>
      </c>
      <c r="AN1851" s="1"/>
      <c r="AO1851" s="1" t="s">
        <v>167</v>
      </c>
      <c r="AP1851" s="1" t="s">
        <v>573</v>
      </c>
      <c r="AQ1851" s="1">
        <v>71.08</v>
      </c>
      <c r="AR1851" s="1">
        <v>0</v>
      </c>
      <c r="AS1851" s="1"/>
      <c r="AT1851" s="1"/>
      <c r="AU1851" s="1"/>
      <c r="AV1851" s="1"/>
      <c r="AW1851" s="1"/>
      <c r="AX1851" s="1"/>
      <c r="AY1851" s="1" t="s">
        <v>32597</v>
      </c>
      <c r="AZ1851" s="1" t="s">
        <v>32598</v>
      </c>
      <c r="BA1851" s="1"/>
      <c r="BB1851" s="1"/>
      <c r="BC1851" s="1" t="s">
        <v>230</v>
      </c>
      <c r="BD1851" s="1" t="s">
        <v>549</v>
      </c>
      <c r="BE1851" s="1">
        <v>73.1</v>
      </c>
      <c r="BF1851" s="1">
        <v>8.06</v>
      </c>
      <c r="BG1851" s="1"/>
      <c r="BH1851" s="1"/>
      <c r="BI1851" s="1"/>
      <c r="BJ1851" s="1"/>
      <c r="BK1851" s="1"/>
      <c r="BL1851" s="1"/>
      <c r="BM1851" s="1"/>
      <c r="BN1851" s="1"/>
      <c r="BO1851" s="1" t="s">
        <v>32599</v>
      </c>
      <c r="BP1851" s="1"/>
      <c r="BQ1851" s="1"/>
      <c r="BR1851" s="1" t="s">
        <v>32600</v>
      </c>
      <c r="BS1851" s="1">
        <v>116</v>
      </c>
      <c r="BT1851" s="1"/>
      <c r="BU1851" s="1" t="str">
        <f>HYPERLINK("https://nconnect.nicmar.ac.in/storage/profile/ProfilePhoto_p2270456_126543.jpg","Download")</f>
        <v>0</v>
      </c>
      <c r="BV1851" s="3"/>
      <c r="BW1851" s="3"/>
    </row>
    <row r="1852" spans="1:75">
      <c r="A1852" s="1" t="s">
        <v>75</v>
      </c>
      <c r="B1852" s="1" t="s">
        <v>25236</v>
      </c>
      <c r="C1852" s="1" t="s">
        <v>32601</v>
      </c>
      <c r="D1852" s="1" t="s">
        <v>9462</v>
      </c>
      <c r="E1852" s="1" t="s">
        <v>239</v>
      </c>
      <c r="F1852" s="1" t="s">
        <v>32602</v>
      </c>
      <c r="G1852" s="1" t="s">
        <v>32603</v>
      </c>
      <c r="H1852" s="1" t="s">
        <v>32604</v>
      </c>
      <c r="I1852" s="1" t="s">
        <v>32605</v>
      </c>
      <c r="J1852" s="1">
        <v>9890061481</v>
      </c>
      <c r="K1852" s="1" t="s">
        <v>84</v>
      </c>
      <c r="L1852" s="1" t="s">
        <v>32606</v>
      </c>
      <c r="M1852" s="1" t="s">
        <v>86</v>
      </c>
      <c r="N1852" s="1" t="s">
        <v>618</v>
      </c>
      <c r="O1852" s="1" t="s">
        <v>32607</v>
      </c>
      <c r="P1852" s="1" t="s">
        <v>455</v>
      </c>
      <c r="Q1852" s="1" t="s">
        <v>32608</v>
      </c>
      <c r="R1852" s="1" t="s">
        <v>32609</v>
      </c>
      <c r="S1852" s="1">
        <v>8208195867</v>
      </c>
      <c r="T1852" s="1" t="s">
        <v>839</v>
      </c>
      <c r="U1852" s="1" t="s">
        <v>32610</v>
      </c>
      <c r="V1852" s="1">
        <v>7972093126</v>
      </c>
      <c r="W1852" s="1" t="s">
        <v>161</v>
      </c>
      <c r="X1852" s="1" t="s">
        <v>32611</v>
      </c>
      <c r="Y1852" s="1" t="s">
        <v>1033</v>
      </c>
      <c r="Z1852" s="1" t="s">
        <v>97</v>
      </c>
      <c r="AA1852" s="1" t="s">
        <v>32611</v>
      </c>
      <c r="AB1852" s="1" t="s">
        <v>1033</v>
      </c>
      <c r="AC1852" s="1" t="s">
        <v>97</v>
      </c>
      <c r="AD1852" s="1" t="s">
        <v>98</v>
      </c>
      <c r="AE1852" s="1" t="s">
        <v>98</v>
      </c>
      <c r="AF1852" s="1" t="s">
        <v>32612</v>
      </c>
      <c r="AG1852" s="1" t="s">
        <v>32613</v>
      </c>
      <c r="AH1852" s="1" t="s">
        <v>136</v>
      </c>
      <c r="AI1852" s="1" t="s">
        <v>627</v>
      </c>
      <c r="AJ1852" s="1">
        <v>79.8</v>
      </c>
      <c r="AK1852" s="1">
        <v>8.4</v>
      </c>
      <c r="AL1852" s="1" t="s">
        <v>32614</v>
      </c>
      <c r="AM1852" s="1" t="s">
        <v>32615</v>
      </c>
      <c r="AN1852" s="1"/>
      <c r="AO1852" s="1" t="s">
        <v>170</v>
      </c>
      <c r="AP1852" s="1" t="s">
        <v>286</v>
      </c>
      <c r="AQ1852" s="1">
        <v>68.15</v>
      </c>
      <c r="AR1852" s="1">
        <v>0</v>
      </c>
      <c r="AS1852" s="1"/>
      <c r="AT1852" s="1"/>
      <c r="AU1852" s="1"/>
      <c r="AV1852" s="1"/>
      <c r="AW1852" s="1"/>
      <c r="AX1852" s="1"/>
      <c r="AY1852" s="1" t="s">
        <v>32616</v>
      </c>
      <c r="AZ1852" s="1" t="s">
        <v>32616</v>
      </c>
      <c r="BA1852" s="1"/>
      <c r="BB1852" s="1"/>
      <c r="BC1852" s="1" t="s">
        <v>174</v>
      </c>
      <c r="BD1852" s="1" t="s">
        <v>632</v>
      </c>
      <c r="BE1852" s="1">
        <v>75.2</v>
      </c>
      <c r="BF1852" s="1">
        <v>8.27</v>
      </c>
      <c r="BG1852" s="1"/>
      <c r="BH1852" s="1"/>
      <c r="BI1852" s="1"/>
      <c r="BJ1852" s="1"/>
      <c r="BK1852" s="1"/>
      <c r="BL1852" s="1"/>
      <c r="BM1852" s="1"/>
      <c r="BN1852" s="1"/>
      <c r="BO1852" s="1" t="s">
        <v>32617</v>
      </c>
      <c r="BP1852" s="1"/>
      <c r="BQ1852" s="1"/>
      <c r="BR1852" s="1" t="s">
        <v>32618</v>
      </c>
      <c r="BS1852" s="1">
        <v>23</v>
      </c>
      <c r="BT1852" s="1"/>
      <c r="BU1852" s="1" t="str">
        <f>HYPERLINK("https://nconnect.nicmar.ac.in/storage/profile/ProfilePhoto_p2270457_256139.jpg","Download")</f>
        <v>0</v>
      </c>
      <c r="BV1852" s="3"/>
      <c r="BW1852" s="3"/>
    </row>
    <row r="1853" spans="1:75">
      <c r="A1853" s="1" t="s">
        <v>75</v>
      </c>
      <c r="B1853" s="1" t="s">
        <v>25236</v>
      </c>
      <c r="C1853" s="1" t="s">
        <v>32619</v>
      </c>
      <c r="D1853" s="1" t="s">
        <v>32620</v>
      </c>
      <c r="E1853" s="1"/>
      <c r="F1853" s="1" t="s">
        <v>32621</v>
      </c>
      <c r="G1853" s="1" t="s">
        <v>32622</v>
      </c>
      <c r="H1853" s="1" t="s">
        <v>32623</v>
      </c>
      <c r="I1853" s="1" t="s">
        <v>32624</v>
      </c>
      <c r="J1853" s="1">
        <v>7387589008</v>
      </c>
      <c r="K1853" s="1" t="s">
        <v>84</v>
      </c>
      <c r="L1853" s="1" t="s">
        <v>32625</v>
      </c>
      <c r="M1853" s="1" t="s">
        <v>86</v>
      </c>
      <c r="N1853" s="1" t="s">
        <v>4278</v>
      </c>
      <c r="O1853" s="1" t="s">
        <v>32626</v>
      </c>
      <c r="P1853" s="1" t="s">
        <v>1028</v>
      </c>
      <c r="Q1853" s="1" t="s">
        <v>32627</v>
      </c>
      <c r="R1853" s="1" t="s">
        <v>32628</v>
      </c>
      <c r="S1853" s="1">
        <v>9939050337</v>
      </c>
      <c r="T1853" s="1" t="s">
        <v>127</v>
      </c>
      <c r="U1853" s="1" t="s">
        <v>32629</v>
      </c>
      <c r="V1853" s="1">
        <v>9931897954</v>
      </c>
      <c r="W1853" s="1" t="s">
        <v>127</v>
      </c>
      <c r="X1853" s="1" t="s">
        <v>32630</v>
      </c>
      <c r="Y1853" s="1" t="s">
        <v>648</v>
      </c>
      <c r="Z1853" s="1" t="s">
        <v>649</v>
      </c>
      <c r="AA1853" s="1" t="s">
        <v>32630</v>
      </c>
      <c r="AB1853" s="1" t="s">
        <v>648</v>
      </c>
      <c r="AC1853" s="1" t="s">
        <v>649</v>
      </c>
      <c r="AD1853" s="1" t="s">
        <v>98</v>
      </c>
      <c r="AE1853" s="1" t="s">
        <v>98</v>
      </c>
      <c r="AF1853" s="1" t="s">
        <v>32631</v>
      </c>
      <c r="AG1853" s="1" t="s">
        <v>32632</v>
      </c>
      <c r="AH1853" s="1" t="s">
        <v>23371</v>
      </c>
      <c r="AI1853" s="1" t="s">
        <v>3285</v>
      </c>
      <c r="AJ1853" s="1">
        <v>95</v>
      </c>
      <c r="AK1853" s="1">
        <v>10</v>
      </c>
      <c r="AL1853" s="1" t="s">
        <v>32633</v>
      </c>
      <c r="AM1853" s="1" t="s">
        <v>32632</v>
      </c>
      <c r="AN1853" s="1"/>
      <c r="AO1853" s="1" t="s">
        <v>3421</v>
      </c>
      <c r="AP1853" s="1" t="s">
        <v>1262</v>
      </c>
      <c r="AQ1853" s="1">
        <v>69.2</v>
      </c>
      <c r="AR1853" s="1"/>
      <c r="AS1853" s="1" t="s">
        <v>32634</v>
      </c>
      <c r="AT1853" s="1" t="s">
        <v>32635</v>
      </c>
      <c r="AU1853" s="1" t="s">
        <v>3923</v>
      </c>
      <c r="AV1853" s="1" t="s">
        <v>3965</v>
      </c>
      <c r="AW1853" s="1">
        <v>79</v>
      </c>
      <c r="AX1853" s="1"/>
      <c r="AY1853" s="1" t="s">
        <v>366</v>
      </c>
      <c r="AZ1853" s="1" t="s">
        <v>32636</v>
      </c>
      <c r="BA1853" s="1"/>
      <c r="BB1853" s="1"/>
      <c r="BC1853" s="1" t="s">
        <v>101</v>
      </c>
      <c r="BD1853" s="1" t="s">
        <v>174</v>
      </c>
      <c r="BE1853" s="1">
        <v>68.15</v>
      </c>
      <c r="BF1853" s="1"/>
      <c r="BG1853" s="1"/>
      <c r="BH1853" s="1"/>
      <c r="BI1853" s="1"/>
      <c r="BJ1853" s="1"/>
      <c r="BK1853" s="1"/>
      <c r="BL1853" s="1"/>
      <c r="BM1853" s="1"/>
      <c r="BN1853" s="1"/>
      <c r="BO1853" s="1" t="s">
        <v>32637</v>
      </c>
      <c r="BP1853" s="1" t="s">
        <v>32638</v>
      </c>
      <c r="BQ1853" s="1" t="s">
        <v>7108</v>
      </c>
      <c r="BR1853" s="1" t="s">
        <v>32639</v>
      </c>
      <c r="BS1853" s="1">
        <v>11</v>
      </c>
      <c r="BT1853" s="1"/>
      <c r="BU1853" s="1" t="str">
        <f>HYPERLINK("https://nconnect.nicmar.ac.in/storage/profile/ProfilePhoto_p2270458_469123.jpg","Download")</f>
        <v>0</v>
      </c>
      <c r="BV1853" s="3"/>
      <c r="BW1853" s="3"/>
    </row>
    <row r="1854" spans="1:75">
      <c r="A1854" s="1" t="s">
        <v>75</v>
      </c>
      <c r="B1854" s="1" t="s">
        <v>25236</v>
      </c>
      <c r="C1854" s="1" t="s">
        <v>32640</v>
      </c>
      <c r="D1854" s="1" t="s">
        <v>1046</v>
      </c>
      <c r="E1854" s="1" t="s">
        <v>5753</v>
      </c>
      <c r="F1854" s="1" t="s">
        <v>32641</v>
      </c>
      <c r="G1854" s="1" t="s">
        <v>32642</v>
      </c>
      <c r="H1854" s="1" t="s">
        <v>32643</v>
      </c>
      <c r="I1854" s="1" t="s">
        <v>32644</v>
      </c>
      <c r="J1854" s="1">
        <v>8097977892</v>
      </c>
      <c r="K1854" s="1" t="s">
        <v>84</v>
      </c>
      <c r="L1854" s="1" t="s">
        <v>32645</v>
      </c>
      <c r="M1854" s="1" t="s">
        <v>86</v>
      </c>
      <c r="N1854" s="1" t="s">
        <v>4972</v>
      </c>
      <c r="O1854" s="1" t="s">
        <v>32646</v>
      </c>
      <c r="P1854" s="1" t="s">
        <v>481</v>
      </c>
      <c r="Q1854" s="1" t="s">
        <v>32647</v>
      </c>
      <c r="R1854" s="1" t="s">
        <v>5753</v>
      </c>
      <c r="S1854" s="1">
        <v>9769336637</v>
      </c>
      <c r="T1854" s="1" t="s">
        <v>645</v>
      </c>
      <c r="U1854" s="1" t="s">
        <v>32648</v>
      </c>
      <c r="V1854" s="1">
        <v>9594563330</v>
      </c>
      <c r="W1854" s="1" t="s">
        <v>161</v>
      </c>
      <c r="X1854" s="1" t="s">
        <v>32649</v>
      </c>
      <c r="Y1854" s="1" t="s">
        <v>1012</v>
      </c>
      <c r="Z1854" s="1" t="s">
        <v>97</v>
      </c>
      <c r="AA1854" s="1" t="s">
        <v>32649</v>
      </c>
      <c r="AB1854" s="1" t="s">
        <v>1012</v>
      </c>
      <c r="AC1854" s="1" t="s">
        <v>97</v>
      </c>
      <c r="AD1854" s="1" t="s">
        <v>98</v>
      </c>
      <c r="AE1854" s="1" t="s">
        <v>98</v>
      </c>
      <c r="AF1854" s="1" t="s">
        <v>32650</v>
      </c>
      <c r="AG1854" s="1" t="s">
        <v>32651</v>
      </c>
      <c r="AH1854" s="1" t="s">
        <v>133</v>
      </c>
      <c r="AI1854" s="1" t="s">
        <v>1213</v>
      </c>
      <c r="AJ1854" s="1">
        <v>71.45</v>
      </c>
      <c r="AK1854" s="1"/>
      <c r="AL1854" s="1" t="s">
        <v>32652</v>
      </c>
      <c r="AM1854" s="1" t="s">
        <v>32651</v>
      </c>
      <c r="AN1854" s="1"/>
      <c r="AO1854" s="1" t="s">
        <v>101</v>
      </c>
      <c r="AP1854" s="1" t="s">
        <v>102</v>
      </c>
      <c r="AQ1854" s="1">
        <v>53.85</v>
      </c>
      <c r="AR1854" s="1"/>
      <c r="AS1854" s="1"/>
      <c r="AT1854" s="1"/>
      <c r="AU1854" s="1"/>
      <c r="AV1854" s="1"/>
      <c r="AW1854" s="1"/>
      <c r="AX1854" s="1"/>
      <c r="AY1854" s="1" t="s">
        <v>258</v>
      </c>
      <c r="AZ1854" s="1" t="s">
        <v>32653</v>
      </c>
      <c r="BA1854" s="1"/>
      <c r="BB1854" s="1"/>
      <c r="BC1854" s="1" t="s">
        <v>342</v>
      </c>
      <c r="BD1854" s="1" t="s">
        <v>845</v>
      </c>
      <c r="BE1854" s="1">
        <v>57.15</v>
      </c>
      <c r="BF1854" s="1">
        <v>6.5</v>
      </c>
      <c r="BG1854" s="1"/>
      <c r="BH1854" s="1"/>
      <c r="BI1854" s="1"/>
      <c r="BJ1854" s="1"/>
      <c r="BK1854" s="1"/>
      <c r="BL1854" s="1"/>
      <c r="BM1854" s="1"/>
      <c r="BN1854" s="1"/>
      <c r="BO1854" s="1" t="s">
        <v>1114</v>
      </c>
      <c r="BP1854" s="1" t="s">
        <v>32654</v>
      </c>
      <c r="BQ1854" s="1" t="s">
        <v>471</v>
      </c>
      <c r="BR1854" s="1" t="s">
        <v>32655</v>
      </c>
      <c r="BS1854" s="1">
        <v>7</v>
      </c>
      <c r="BT1854" s="1"/>
      <c r="BU1854" s="1" t="str">
        <f>HYPERLINK("https://nconnect.nicmar.ac.in/storage/profile/ProfilePhoto_p2270459_975143.jpg","Download")</f>
        <v>0</v>
      </c>
      <c r="BV1854" s="3"/>
      <c r="BW1854" s="3"/>
    </row>
    <row r="1855" spans="1:75">
      <c r="A1855" s="1" t="s">
        <v>75</v>
      </c>
      <c r="B1855" s="1" t="s">
        <v>25236</v>
      </c>
      <c r="C1855" s="1" t="s">
        <v>32656</v>
      </c>
      <c r="D1855" s="1" t="s">
        <v>115</v>
      </c>
      <c r="E1855" s="1"/>
      <c r="F1855" s="1" t="s">
        <v>1320</v>
      </c>
      <c r="G1855" s="1" t="s">
        <v>32657</v>
      </c>
      <c r="H1855" s="1" t="s">
        <v>32658</v>
      </c>
      <c r="I1855" s="1" t="s">
        <v>32659</v>
      </c>
      <c r="J1855" s="1">
        <v>9572094964</v>
      </c>
      <c r="K1855" s="1" t="s">
        <v>84</v>
      </c>
      <c r="L1855" s="1" t="s">
        <v>32660</v>
      </c>
      <c r="M1855" s="1" t="s">
        <v>86</v>
      </c>
      <c r="N1855" s="1" t="s">
        <v>11423</v>
      </c>
      <c r="O1855" s="1" t="s">
        <v>32661</v>
      </c>
      <c r="P1855" s="1" t="s">
        <v>481</v>
      </c>
      <c r="Q1855" s="1" t="s">
        <v>32662</v>
      </c>
      <c r="R1855" s="1" t="s">
        <v>32663</v>
      </c>
      <c r="S1855" s="1">
        <v>9471100887</v>
      </c>
      <c r="T1855" s="1" t="s">
        <v>7822</v>
      </c>
      <c r="U1855" s="1" t="s">
        <v>32664</v>
      </c>
      <c r="V1855" s="1">
        <v>9572094964</v>
      </c>
      <c r="W1855" s="1" t="s">
        <v>161</v>
      </c>
      <c r="X1855" s="1" t="s">
        <v>32665</v>
      </c>
      <c r="Y1855" s="1" t="s">
        <v>2954</v>
      </c>
      <c r="Z1855" s="1" t="s">
        <v>2955</v>
      </c>
      <c r="AA1855" s="1" t="s">
        <v>32665</v>
      </c>
      <c r="AB1855" s="1" t="s">
        <v>2954</v>
      </c>
      <c r="AC1855" s="1" t="s">
        <v>2955</v>
      </c>
      <c r="AD1855" s="1" t="s">
        <v>98</v>
      </c>
      <c r="AE1855" s="1" t="s">
        <v>98</v>
      </c>
      <c r="AF1855" s="1" t="s">
        <v>32666</v>
      </c>
      <c r="AG1855" s="1" t="s">
        <v>32667</v>
      </c>
      <c r="AH1855" s="1" t="s">
        <v>27825</v>
      </c>
      <c r="AI1855" s="1" t="s">
        <v>1262</v>
      </c>
      <c r="AJ1855" s="1">
        <v>66</v>
      </c>
      <c r="AK1855" s="1">
        <v>6.6</v>
      </c>
      <c r="AL1855" s="1" t="s">
        <v>32668</v>
      </c>
      <c r="AM1855" s="1" t="s">
        <v>32667</v>
      </c>
      <c r="AN1855" s="1"/>
      <c r="AO1855" s="1" t="s">
        <v>166</v>
      </c>
      <c r="AP1855" s="1" t="s">
        <v>627</v>
      </c>
      <c r="AQ1855" s="1">
        <v>68.2</v>
      </c>
      <c r="AR1855" s="1"/>
      <c r="AS1855" s="1"/>
      <c r="AT1855" s="1"/>
      <c r="AU1855" s="1"/>
      <c r="AV1855" s="1"/>
      <c r="AW1855" s="1"/>
      <c r="AX1855" s="1"/>
      <c r="AY1855" s="1" t="s">
        <v>32669</v>
      </c>
      <c r="AZ1855" s="1" t="s">
        <v>32670</v>
      </c>
      <c r="BA1855" s="1"/>
      <c r="BB1855" s="1"/>
      <c r="BC1855" s="1" t="s">
        <v>230</v>
      </c>
      <c r="BD1855" s="1" t="s">
        <v>552</v>
      </c>
      <c r="BE1855" s="1">
        <v>60.5</v>
      </c>
      <c r="BF1855" s="1">
        <v>6.8</v>
      </c>
      <c r="BG1855" s="1"/>
      <c r="BH1855" s="1"/>
      <c r="BI1855" s="1"/>
      <c r="BJ1855" s="1"/>
      <c r="BK1855" s="1"/>
      <c r="BL1855" s="1"/>
      <c r="BM1855" s="1"/>
      <c r="BN1855" s="1"/>
      <c r="BO1855" s="1" t="s">
        <v>28758</v>
      </c>
      <c r="BP1855" s="1"/>
      <c r="BQ1855" s="1"/>
      <c r="BR1855" s="1" t="s">
        <v>32671</v>
      </c>
      <c r="BS1855" s="1">
        <v>13</v>
      </c>
      <c r="BT1855" s="1"/>
      <c r="BU1855" s="1" t="str">
        <f>HYPERLINK("https://nconnect.nicmar.ac.in/storage/profile/ProfilePhoto_p2270460_726814.jpg","Download")</f>
        <v>0</v>
      </c>
      <c r="BV1855" s="3"/>
      <c r="BW1855" s="3"/>
    </row>
    <row r="1856" spans="1:75">
      <c r="A1856" s="1" t="s">
        <v>75</v>
      </c>
      <c r="B1856" s="1" t="s">
        <v>25236</v>
      </c>
      <c r="C1856" s="1" t="s">
        <v>32672</v>
      </c>
      <c r="D1856" s="1" t="s">
        <v>4214</v>
      </c>
      <c r="E1856" s="1" t="s">
        <v>32673</v>
      </c>
      <c r="F1856" s="1" t="s">
        <v>27619</v>
      </c>
      <c r="G1856" s="1" t="s">
        <v>32674</v>
      </c>
      <c r="H1856" s="1" t="s">
        <v>32675</v>
      </c>
      <c r="I1856" s="1" t="s">
        <v>32676</v>
      </c>
      <c r="J1856" s="1">
        <v>7058379897</v>
      </c>
      <c r="K1856" s="1" t="s">
        <v>84</v>
      </c>
      <c r="L1856" s="1" t="s">
        <v>9714</v>
      </c>
      <c r="M1856" s="1" t="s">
        <v>86</v>
      </c>
      <c r="N1856" s="1" t="s">
        <v>618</v>
      </c>
      <c r="O1856" s="1" t="s">
        <v>32677</v>
      </c>
      <c r="P1856" s="1" t="s">
        <v>455</v>
      </c>
      <c r="Q1856" s="1" t="s">
        <v>32678</v>
      </c>
      <c r="R1856" s="1" t="s">
        <v>32679</v>
      </c>
      <c r="S1856" s="1">
        <v>9373511593</v>
      </c>
      <c r="T1856" s="1" t="s">
        <v>645</v>
      </c>
      <c r="U1856" s="1" t="s">
        <v>32680</v>
      </c>
      <c r="V1856" s="1">
        <v>7798357069</v>
      </c>
      <c r="W1856" s="1" t="s">
        <v>541</v>
      </c>
      <c r="X1856" s="1" t="s">
        <v>32681</v>
      </c>
      <c r="Y1856" s="1" t="s">
        <v>910</v>
      </c>
      <c r="Z1856" s="1" t="s">
        <v>97</v>
      </c>
      <c r="AA1856" s="1" t="s">
        <v>32681</v>
      </c>
      <c r="AB1856" s="1" t="s">
        <v>910</v>
      </c>
      <c r="AC1856" s="1" t="s">
        <v>97</v>
      </c>
      <c r="AD1856" s="1" t="s">
        <v>98</v>
      </c>
      <c r="AE1856" s="1" t="s">
        <v>98</v>
      </c>
      <c r="AF1856" s="1" t="s">
        <v>32682</v>
      </c>
      <c r="AG1856" s="1" t="s">
        <v>32683</v>
      </c>
      <c r="AH1856" s="1" t="s">
        <v>1213</v>
      </c>
      <c r="AI1856" s="1" t="s">
        <v>101</v>
      </c>
      <c r="AJ1856" s="1">
        <v>89</v>
      </c>
      <c r="AK1856" s="1"/>
      <c r="AL1856" s="1" t="s">
        <v>32684</v>
      </c>
      <c r="AM1856" s="1" t="s">
        <v>32683</v>
      </c>
      <c r="AN1856" s="1"/>
      <c r="AO1856" s="1" t="s">
        <v>166</v>
      </c>
      <c r="AP1856" s="1" t="s">
        <v>627</v>
      </c>
      <c r="AQ1856" s="1">
        <v>68.46</v>
      </c>
      <c r="AR1856" s="1"/>
      <c r="AS1856" s="1"/>
      <c r="AT1856" s="1"/>
      <c r="AU1856" s="1"/>
      <c r="AV1856" s="1"/>
      <c r="AW1856" s="1"/>
      <c r="AX1856" s="1"/>
      <c r="AY1856" s="1" t="s">
        <v>366</v>
      </c>
      <c r="AZ1856" s="1" t="s">
        <v>32685</v>
      </c>
      <c r="BA1856" s="1"/>
      <c r="BB1856" s="1"/>
      <c r="BC1856" s="1" t="s">
        <v>230</v>
      </c>
      <c r="BD1856" s="1" t="s">
        <v>549</v>
      </c>
      <c r="BE1856" s="1">
        <v>69.08</v>
      </c>
      <c r="BF1856" s="1">
        <v>7.85</v>
      </c>
      <c r="BG1856" s="1"/>
      <c r="BH1856" s="1"/>
      <c r="BI1856" s="1"/>
      <c r="BJ1856" s="1"/>
      <c r="BK1856" s="1"/>
      <c r="BL1856" s="1"/>
      <c r="BM1856" s="1"/>
      <c r="BN1856" s="1"/>
      <c r="BO1856" s="1" t="s">
        <v>32686</v>
      </c>
      <c r="BP1856" s="1" t="s">
        <v>32687</v>
      </c>
      <c r="BQ1856" s="1" t="s">
        <v>1070</v>
      </c>
      <c r="BR1856" s="1" t="s">
        <v>32688</v>
      </c>
      <c r="BS1856" s="1">
        <v>7</v>
      </c>
      <c r="BT1856" s="1"/>
      <c r="BU1856" s="1" t="str">
        <f>HYPERLINK("https://nconnect.nicmar.ac.in/storage/profile/ProfilePhoto_p2270461_483617.jpg","Download")</f>
        <v>0</v>
      </c>
      <c r="BV1856" s="3"/>
      <c r="BW1856" s="3"/>
    </row>
    <row r="1857" spans="1:75">
      <c r="A1857" s="1" t="s">
        <v>75</v>
      </c>
      <c r="B1857" s="1" t="s">
        <v>25236</v>
      </c>
      <c r="C1857" s="1" t="s">
        <v>32689</v>
      </c>
      <c r="D1857" s="1" t="s">
        <v>25582</v>
      </c>
      <c r="E1857" s="1" t="s">
        <v>27118</v>
      </c>
      <c r="F1857" s="1" t="s">
        <v>32690</v>
      </c>
      <c r="G1857" s="1" t="s">
        <v>32691</v>
      </c>
      <c r="H1857" s="1" t="s">
        <v>32692</v>
      </c>
      <c r="I1857" s="1" t="s">
        <v>32693</v>
      </c>
      <c r="J1857" s="1">
        <v>9405050367</v>
      </c>
      <c r="K1857" s="1" t="s">
        <v>84</v>
      </c>
      <c r="L1857" s="1" t="s">
        <v>32694</v>
      </c>
      <c r="M1857" s="1" t="s">
        <v>86</v>
      </c>
      <c r="N1857" s="1" t="s">
        <v>618</v>
      </c>
      <c r="O1857" s="1" t="s">
        <v>32695</v>
      </c>
      <c r="P1857" s="1" t="s">
        <v>1028</v>
      </c>
      <c r="Q1857" s="1" t="s">
        <v>32696</v>
      </c>
      <c r="R1857" s="1" t="s">
        <v>32697</v>
      </c>
      <c r="S1857" s="1">
        <v>9960431115</v>
      </c>
      <c r="T1857" s="1" t="s">
        <v>839</v>
      </c>
      <c r="U1857" s="1" t="s">
        <v>32698</v>
      </c>
      <c r="V1857" s="1">
        <v>9405012094</v>
      </c>
      <c r="W1857" s="1" t="s">
        <v>1678</v>
      </c>
      <c r="X1857" s="1" t="s">
        <v>32699</v>
      </c>
      <c r="Y1857" s="1" t="s">
        <v>309</v>
      </c>
      <c r="Z1857" s="1" t="s">
        <v>97</v>
      </c>
      <c r="AA1857" s="1" t="s">
        <v>32700</v>
      </c>
      <c r="AB1857" s="1" t="s">
        <v>196</v>
      </c>
      <c r="AC1857" s="1" t="s">
        <v>97</v>
      </c>
      <c r="AD1857" s="1" t="s">
        <v>98</v>
      </c>
      <c r="AE1857" s="1" t="s">
        <v>98</v>
      </c>
      <c r="AF1857" s="1" t="s">
        <v>32701</v>
      </c>
      <c r="AG1857" s="1" t="s">
        <v>32702</v>
      </c>
      <c r="AH1857" s="1" t="s">
        <v>1214</v>
      </c>
      <c r="AI1857" s="1" t="s">
        <v>102</v>
      </c>
      <c r="AJ1857" s="1">
        <v>95</v>
      </c>
      <c r="AK1857" s="1">
        <v>10</v>
      </c>
      <c r="AL1857" s="1" t="s">
        <v>32703</v>
      </c>
      <c r="AM1857" s="1" t="s">
        <v>32704</v>
      </c>
      <c r="AN1857" s="1"/>
      <c r="AO1857" s="1" t="s">
        <v>1111</v>
      </c>
      <c r="AP1857" s="1" t="s">
        <v>518</v>
      </c>
      <c r="AQ1857" s="1">
        <v>73.08</v>
      </c>
      <c r="AR1857" s="1"/>
      <c r="AS1857" s="1"/>
      <c r="AT1857" s="1"/>
      <c r="AU1857" s="1"/>
      <c r="AV1857" s="1"/>
      <c r="AW1857" s="1"/>
      <c r="AX1857" s="1"/>
      <c r="AY1857" s="1" t="s">
        <v>32705</v>
      </c>
      <c r="AZ1857" s="1" t="s">
        <v>32705</v>
      </c>
      <c r="BA1857" s="1"/>
      <c r="BB1857" s="1"/>
      <c r="BC1857" s="1" t="s">
        <v>388</v>
      </c>
      <c r="BD1857" s="1" t="s">
        <v>549</v>
      </c>
      <c r="BE1857" s="1">
        <v>77.1</v>
      </c>
      <c r="BF1857" s="1">
        <v>8.46</v>
      </c>
      <c r="BG1857" s="1"/>
      <c r="BH1857" s="1"/>
      <c r="BI1857" s="1"/>
      <c r="BJ1857" s="1"/>
      <c r="BK1857" s="1"/>
      <c r="BL1857" s="1"/>
      <c r="BM1857" s="1"/>
      <c r="BN1857" s="1"/>
      <c r="BO1857" s="1" t="s">
        <v>31813</v>
      </c>
      <c r="BP1857" s="1"/>
      <c r="BQ1857" s="1"/>
      <c r="BR1857" s="1" t="s">
        <v>32706</v>
      </c>
      <c r="BS1857" s="1">
        <v>20</v>
      </c>
      <c r="BT1857" s="1"/>
      <c r="BU1857" s="1" t="str">
        <f>HYPERLINK("https://nconnect.nicmar.ac.in/storage/profile/ProfilePhoto_p2270462_536729.jpg","Download")</f>
        <v>0</v>
      </c>
      <c r="BV1857" s="3"/>
      <c r="BW1857" s="3"/>
    </row>
    <row r="1858" spans="1:75">
      <c r="A1858" s="1" t="s">
        <v>75</v>
      </c>
      <c r="B1858" s="1" t="s">
        <v>25236</v>
      </c>
      <c r="C1858" s="1" t="s">
        <v>32707</v>
      </c>
      <c r="D1858" s="1" t="s">
        <v>1787</v>
      </c>
      <c r="E1858" s="1" t="s">
        <v>32708</v>
      </c>
      <c r="F1858" s="1" t="s">
        <v>32709</v>
      </c>
      <c r="G1858" s="1" t="s">
        <v>32710</v>
      </c>
      <c r="H1858" s="1" t="s">
        <v>32711</v>
      </c>
      <c r="I1858" s="1" t="s">
        <v>32712</v>
      </c>
      <c r="J1858" s="1">
        <v>7021861951</v>
      </c>
      <c r="K1858" s="1" t="s">
        <v>84</v>
      </c>
      <c r="L1858" s="1" t="s">
        <v>32713</v>
      </c>
      <c r="M1858" s="1" t="s">
        <v>86</v>
      </c>
      <c r="N1858" s="1" t="s">
        <v>1163</v>
      </c>
      <c r="O1858" s="1" t="s">
        <v>32714</v>
      </c>
      <c r="P1858" s="1" t="s">
        <v>507</v>
      </c>
      <c r="Q1858" s="1" t="s">
        <v>32715</v>
      </c>
      <c r="R1858" s="1" t="s">
        <v>32708</v>
      </c>
      <c r="S1858" s="1">
        <v>7678035460</v>
      </c>
      <c r="T1858" s="1" t="s">
        <v>645</v>
      </c>
      <c r="U1858" s="1" t="s">
        <v>32716</v>
      </c>
      <c r="V1858" s="1">
        <v>8693802191</v>
      </c>
      <c r="W1858" s="1" t="s">
        <v>161</v>
      </c>
      <c r="X1858" s="1" t="s">
        <v>32717</v>
      </c>
      <c r="Y1858" s="1" t="s">
        <v>1012</v>
      </c>
      <c r="Z1858" s="1" t="s">
        <v>97</v>
      </c>
      <c r="AA1858" s="1" t="s">
        <v>32717</v>
      </c>
      <c r="AB1858" s="1" t="s">
        <v>1012</v>
      </c>
      <c r="AC1858" s="1" t="s">
        <v>97</v>
      </c>
      <c r="AD1858" s="1" t="s">
        <v>98</v>
      </c>
      <c r="AE1858" s="1" t="s">
        <v>98</v>
      </c>
      <c r="AF1858" s="1" t="s">
        <v>32718</v>
      </c>
      <c r="AG1858" s="1" t="s">
        <v>32719</v>
      </c>
      <c r="AH1858" s="1" t="s">
        <v>133</v>
      </c>
      <c r="AI1858" s="1" t="s">
        <v>1457</v>
      </c>
      <c r="AJ1858" s="1">
        <v>84.73</v>
      </c>
      <c r="AK1858" s="1">
        <v>0</v>
      </c>
      <c r="AL1858" s="1"/>
      <c r="AM1858" s="1"/>
      <c r="AN1858" s="1"/>
      <c r="AO1858" s="1"/>
      <c r="AP1858" s="1"/>
      <c r="AQ1858" s="1"/>
      <c r="AR1858" s="1"/>
      <c r="AS1858" s="1" t="s">
        <v>439</v>
      </c>
      <c r="AT1858" s="1" t="s">
        <v>1969</v>
      </c>
      <c r="AU1858" s="1" t="s">
        <v>804</v>
      </c>
      <c r="AV1858" s="1" t="s">
        <v>573</v>
      </c>
      <c r="AW1858" s="1">
        <v>68.4</v>
      </c>
      <c r="AX1858" s="1">
        <v>0</v>
      </c>
      <c r="AY1858" s="1" t="s">
        <v>258</v>
      </c>
      <c r="AZ1858" s="1" t="s">
        <v>32720</v>
      </c>
      <c r="BA1858" s="1"/>
      <c r="BB1858" s="1"/>
      <c r="BC1858" s="1" t="s">
        <v>230</v>
      </c>
      <c r="BD1858" s="1" t="s">
        <v>1647</v>
      </c>
      <c r="BE1858" s="1">
        <v>59.9</v>
      </c>
      <c r="BF1858" s="1">
        <v>6.47</v>
      </c>
      <c r="BG1858" s="1"/>
      <c r="BH1858" s="1"/>
      <c r="BI1858" s="1"/>
      <c r="BJ1858" s="1"/>
      <c r="BK1858" s="1"/>
      <c r="BL1858" s="1"/>
      <c r="BM1858" s="1"/>
      <c r="BN1858" s="1"/>
      <c r="BO1858" s="1" t="s">
        <v>32721</v>
      </c>
      <c r="BP1858" s="1" t="s">
        <v>32722</v>
      </c>
      <c r="BQ1858" s="1" t="s">
        <v>1043</v>
      </c>
      <c r="BR1858" s="1" t="s">
        <v>32723</v>
      </c>
      <c r="BS1858" s="1">
        <v>74</v>
      </c>
      <c r="BT1858" s="1"/>
      <c r="BU1858" s="1" t="str">
        <f>HYPERLINK("https://nconnect.nicmar.ac.in/storage/profile/ProfilePhoto_p2270463_178936.jpg","Download")</f>
        <v>0</v>
      </c>
      <c r="BV1858" s="3"/>
      <c r="BW1858" s="3"/>
    </row>
    <row r="1859" spans="1:75">
      <c r="A1859" s="1" t="s">
        <v>75</v>
      </c>
      <c r="B1859" s="1" t="s">
        <v>25236</v>
      </c>
      <c r="C1859" s="1" t="s">
        <v>32724</v>
      </c>
      <c r="D1859" s="1" t="s">
        <v>6560</v>
      </c>
      <c r="E1859" s="1" t="s">
        <v>32725</v>
      </c>
      <c r="F1859" s="1" t="s">
        <v>32726</v>
      </c>
      <c r="G1859" s="1" t="s">
        <v>32727</v>
      </c>
      <c r="H1859" s="1" t="s">
        <v>32728</v>
      </c>
      <c r="I1859" s="1" t="s">
        <v>32729</v>
      </c>
      <c r="J1859" s="1">
        <v>8999812189</v>
      </c>
      <c r="K1859" s="1" t="s">
        <v>84</v>
      </c>
      <c r="L1859" s="1" t="s">
        <v>26384</v>
      </c>
      <c r="M1859" s="1" t="s">
        <v>86</v>
      </c>
      <c r="N1859" s="1" t="s">
        <v>355</v>
      </c>
      <c r="O1859" s="1" t="s">
        <v>32730</v>
      </c>
      <c r="P1859" s="1"/>
      <c r="Q1859" s="1" t="s">
        <v>32731</v>
      </c>
      <c r="R1859" s="1" t="s">
        <v>32732</v>
      </c>
      <c r="S1859" s="1">
        <v>9423963737</v>
      </c>
      <c r="T1859" s="1" t="s">
        <v>596</v>
      </c>
      <c r="U1859" s="1" t="s">
        <v>32733</v>
      </c>
      <c r="V1859" s="1">
        <v>7020163313</v>
      </c>
      <c r="W1859" s="1" t="s">
        <v>161</v>
      </c>
      <c r="X1859" s="1" t="s">
        <v>32734</v>
      </c>
      <c r="Y1859" s="1" t="s">
        <v>384</v>
      </c>
      <c r="Z1859" s="1" t="s">
        <v>97</v>
      </c>
      <c r="AA1859" s="1" t="s">
        <v>32734</v>
      </c>
      <c r="AB1859" s="1" t="s">
        <v>384</v>
      </c>
      <c r="AC1859" s="1" t="s">
        <v>97</v>
      </c>
      <c r="AD1859" s="1" t="s">
        <v>98</v>
      </c>
      <c r="AE1859" s="1" t="s">
        <v>98</v>
      </c>
      <c r="AF1859" s="1" t="s">
        <v>32735</v>
      </c>
      <c r="AG1859" s="1" t="s">
        <v>32736</v>
      </c>
      <c r="AH1859" s="1" t="s">
        <v>101</v>
      </c>
      <c r="AI1859" s="1" t="s">
        <v>136</v>
      </c>
      <c r="AJ1859" s="1">
        <v>80.6</v>
      </c>
      <c r="AK1859" s="1"/>
      <c r="AL1859" s="1"/>
      <c r="AM1859" s="1"/>
      <c r="AN1859" s="1"/>
      <c r="AO1859" s="1"/>
      <c r="AP1859" s="1"/>
      <c r="AQ1859" s="1"/>
      <c r="AR1859" s="1"/>
      <c r="AS1859" s="1" t="s">
        <v>439</v>
      </c>
      <c r="AT1859" s="1" t="s">
        <v>29776</v>
      </c>
      <c r="AU1859" s="1" t="s">
        <v>105</v>
      </c>
      <c r="AV1859" s="1" t="s">
        <v>106</v>
      </c>
      <c r="AW1859" s="1">
        <v>66.48</v>
      </c>
      <c r="AX1859" s="1"/>
      <c r="AY1859" s="1" t="s">
        <v>17010</v>
      </c>
      <c r="AZ1859" s="1" t="s">
        <v>32737</v>
      </c>
      <c r="BA1859" s="1"/>
      <c r="BB1859" s="1"/>
      <c r="BC1859" s="1" t="s">
        <v>1065</v>
      </c>
      <c r="BD1859" s="1" t="s">
        <v>845</v>
      </c>
      <c r="BE1859" s="1">
        <v>74.4</v>
      </c>
      <c r="BF1859" s="1">
        <v>8.19</v>
      </c>
      <c r="BG1859" s="1"/>
      <c r="BH1859" s="1"/>
      <c r="BI1859" s="1"/>
      <c r="BJ1859" s="1"/>
      <c r="BK1859" s="1"/>
      <c r="BL1859" s="1"/>
      <c r="BM1859" s="1"/>
      <c r="BN1859" s="1"/>
      <c r="BO1859" s="1" t="s">
        <v>32738</v>
      </c>
      <c r="BP1859" s="1" t="s">
        <v>32739</v>
      </c>
      <c r="BQ1859" s="1" t="s">
        <v>1070</v>
      </c>
      <c r="BR1859" s="1" t="s">
        <v>32740</v>
      </c>
      <c r="BS1859" s="1">
        <v>30</v>
      </c>
      <c r="BT1859" s="1"/>
      <c r="BU1859" s="1" t="str">
        <f>HYPERLINK("https://nconnect.nicmar.ac.in/storage/profile/ProfilePhoto_p2270464_198742.jpg","Download")</f>
        <v>0</v>
      </c>
      <c r="BV1859" s="3"/>
      <c r="BW1859" s="3"/>
    </row>
    <row r="1860" spans="1:75">
      <c r="A1860" s="1" t="s">
        <v>75</v>
      </c>
      <c r="B1860" s="1" t="s">
        <v>25236</v>
      </c>
      <c r="C1860" s="1" t="s">
        <v>32741</v>
      </c>
      <c r="D1860" s="1" t="s">
        <v>32742</v>
      </c>
      <c r="E1860" s="1"/>
      <c r="F1860" s="1" t="s">
        <v>961</v>
      </c>
      <c r="G1860" s="1" t="s">
        <v>32743</v>
      </c>
      <c r="H1860" s="1" t="s">
        <v>32744</v>
      </c>
      <c r="I1860" s="1" t="s">
        <v>32745</v>
      </c>
      <c r="J1860" s="1">
        <v>8860504733</v>
      </c>
      <c r="K1860" s="1" t="s">
        <v>84</v>
      </c>
      <c r="L1860" s="1" t="s">
        <v>32746</v>
      </c>
      <c r="M1860" s="1" t="s">
        <v>86</v>
      </c>
      <c r="N1860" s="1" t="s">
        <v>32747</v>
      </c>
      <c r="O1860" s="1"/>
      <c r="P1860" s="1" t="s">
        <v>481</v>
      </c>
      <c r="Q1860" s="1" t="s">
        <v>32748</v>
      </c>
      <c r="R1860" s="1" t="s">
        <v>32749</v>
      </c>
      <c r="S1860" s="1">
        <v>9990731921</v>
      </c>
      <c r="T1860" s="1" t="s">
        <v>382</v>
      </c>
      <c r="U1860" s="1" t="s">
        <v>32750</v>
      </c>
      <c r="V1860" s="1">
        <v>8860504733</v>
      </c>
      <c r="W1860" s="1" t="s">
        <v>278</v>
      </c>
      <c r="X1860" s="1" t="s">
        <v>32751</v>
      </c>
      <c r="Y1860" s="1" t="s">
        <v>32752</v>
      </c>
      <c r="Z1860" s="1" t="s">
        <v>1739</v>
      </c>
      <c r="AA1860" s="1" t="s">
        <v>32753</v>
      </c>
      <c r="AB1860" s="1" t="s">
        <v>196</v>
      </c>
      <c r="AC1860" s="1" t="s">
        <v>97</v>
      </c>
      <c r="AD1860" s="1" t="s">
        <v>98</v>
      </c>
      <c r="AE1860" s="1" t="s">
        <v>98</v>
      </c>
      <c r="AF1860" s="1" t="s">
        <v>32754</v>
      </c>
      <c r="AG1860" s="1" t="s">
        <v>32755</v>
      </c>
      <c r="AH1860" s="1" t="s">
        <v>101</v>
      </c>
      <c r="AI1860" s="1" t="s">
        <v>136</v>
      </c>
      <c r="AJ1860" s="1">
        <v>58.9</v>
      </c>
      <c r="AK1860" s="1">
        <v>6.2</v>
      </c>
      <c r="AL1860" s="1" t="s">
        <v>32756</v>
      </c>
      <c r="AM1860" s="1" t="s">
        <v>32755</v>
      </c>
      <c r="AN1860" s="1"/>
      <c r="AO1860" s="1" t="s">
        <v>704</v>
      </c>
      <c r="AP1860" s="1" t="s">
        <v>490</v>
      </c>
      <c r="AQ1860" s="1">
        <v>64.2</v>
      </c>
      <c r="AR1860" s="1"/>
      <c r="AS1860" s="1"/>
      <c r="AT1860" s="1"/>
      <c r="AU1860" s="1"/>
      <c r="AV1860" s="1"/>
      <c r="AW1860" s="1"/>
      <c r="AX1860" s="1"/>
      <c r="AY1860" s="1" t="s">
        <v>5106</v>
      </c>
      <c r="AZ1860" s="1" t="s">
        <v>32757</v>
      </c>
      <c r="BA1860" s="1"/>
      <c r="BB1860" s="1"/>
      <c r="BC1860" s="1" t="s">
        <v>174</v>
      </c>
      <c r="BD1860" s="1" t="s">
        <v>289</v>
      </c>
      <c r="BE1860" s="1">
        <v>66.5</v>
      </c>
      <c r="BF1860" s="1">
        <v>7</v>
      </c>
      <c r="BG1860" s="1"/>
      <c r="BH1860" s="1"/>
      <c r="BI1860" s="1"/>
      <c r="BJ1860" s="1"/>
      <c r="BK1860" s="1"/>
      <c r="BL1860" s="1"/>
      <c r="BM1860" s="1"/>
      <c r="BN1860" s="1"/>
      <c r="BO1860" s="1" t="s">
        <v>1114</v>
      </c>
      <c r="BP1860" s="1"/>
      <c r="BQ1860" s="1"/>
      <c r="BR1860" s="1" t="s">
        <v>32758</v>
      </c>
      <c r="BS1860" s="1">
        <v>16</v>
      </c>
      <c r="BT1860" s="1"/>
      <c r="BU1860" s="1" t="str">
        <f>HYPERLINK("https://nconnect.nicmar.ac.in/storage/profile/ProfilePhoto_p2270465_215687.jpg","Download")</f>
        <v>0</v>
      </c>
      <c r="BV1860" s="3"/>
      <c r="BW1860" s="3"/>
    </row>
    <row r="1861" spans="1:75">
      <c r="A1861" s="1" t="s">
        <v>75</v>
      </c>
      <c r="B1861" s="1" t="s">
        <v>25236</v>
      </c>
      <c r="C1861" s="1" t="s">
        <v>32759</v>
      </c>
      <c r="D1861" s="1" t="s">
        <v>3684</v>
      </c>
      <c r="E1861" s="1" t="s">
        <v>32760</v>
      </c>
      <c r="F1861" s="1" t="s">
        <v>32761</v>
      </c>
      <c r="G1861" s="1" t="s">
        <v>32762</v>
      </c>
      <c r="H1861" s="1" t="s">
        <v>32763</v>
      </c>
      <c r="I1861" s="1" t="s">
        <v>32764</v>
      </c>
      <c r="J1861" s="1">
        <v>8421093324</v>
      </c>
      <c r="K1861" s="1" t="s">
        <v>84</v>
      </c>
      <c r="L1861" s="1" t="s">
        <v>32765</v>
      </c>
      <c r="M1861" s="1" t="s">
        <v>86</v>
      </c>
      <c r="N1861" s="1" t="s">
        <v>618</v>
      </c>
      <c r="O1861" s="1"/>
      <c r="P1861" s="1" t="s">
        <v>507</v>
      </c>
      <c r="Q1861" s="1" t="s">
        <v>32766</v>
      </c>
      <c r="R1861" s="1" t="s">
        <v>32767</v>
      </c>
      <c r="S1861" s="1">
        <v>9421965335</v>
      </c>
      <c r="T1861" s="1" t="s">
        <v>127</v>
      </c>
      <c r="U1861" s="1" t="s">
        <v>7299</v>
      </c>
      <c r="V1861" s="1">
        <v>7758903939</v>
      </c>
      <c r="W1861" s="1" t="s">
        <v>278</v>
      </c>
      <c r="X1861" s="1" t="s">
        <v>32768</v>
      </c>
      <c r="Y1861" s="1" t="s">
        <v>5083</v>
      </c>
      <c r="Z1861" s="1" t="s">
        <v>97</v>
      </c>
      <c r="AA1861" s="1" t="s">
        <v>32768</v>
      </c>
      <c r="AB1861" s="1" t="s">
        <v>5083</v>
      </c>
      <c r="AC1861" s="1" t="s">
        <v>97</v>
      </c>
      <c r="AD1861" s="1" t="s">
        <v>98</v>
      </c>
      <c r="AE1861" s="1" t="s">
        <v>98</v>
      </c>
      <c r="AF1861" s="1" t="s">
        <v>32769</v>
      </c>
      <c r="AG1861" s="1" t="s">
        <v>32770</v>
      </c>
      <c r="AH1861" s="1" t="s">
        <v>3770</v>
      </c>
      <c r="AI1861" s="1" t="s">
        <v>3421</v>
      </c>
      <c r="AJ1861" s="1">
        <v>77.9</v>
      </c>
      <c r="AK1861" s="1">
        <v>8.2</v>
      </c>
      <c r="AL1861" s="1" t="s">
        <v>32771</v>
      </c>
      <c r="AM1861" s="1" t="s">
        <v>32770</v>
      </c>
      <c r="AN1861" s="1"/>
      <c r="AO1861" s="1" t="s">
        <v>1262</v>
      </c>
      <c r="AP1861" s="1" t="s">
        <v>1110</v>
      </c>
      <c r="AQ1861" s="1">
        <v>59.08</v>
      </c>
      <c r="AR1861" s="1"/>
      <c r="AS1861" s="1"/>
      <c r="AT1861" s="1"/>
      <c r="AU1861" s="1"/>
      <c r="AV1861" s="1"/>
      <c r="AW1861" s="1"/>
      <c r="AX1861" s="1"/>
      <c r="AY1861" s="1" t="s">
        <v>366</v>
      </c>
      <c r="AZ1861" s="1" t="s">
        <v>32772</v>
      </c>
      <c r="BA1861" s="1"/>
      <c r="BB1861" s="1"/>
      <c r="BC1861" s="1" t="s">
        <v>136</v>
      </c>
      <c r="BD1861" s="1" t="s">
        <v>977</v>
      </c>
      <c r="BE1861" s="1">
        <v>58.8</v>
      </c>
      <c r="BF1861" s="1">
        <v>6.51</v>
      </c>
      <c r="BG1861" s="1"/>
      <c r="BH1861" s="1"/>
      <c r="BI1861" s="1"/>
      <c r="BJ1861" s="1"/>
      <c r="BK1861" s="1"/>
      <c r="BL1861" s="1"/>
      <c r="BM1861" s="1"/>
      <c r="BN1861" s="1"/>
      <c r="BO1861" s="1" t="s">
        <v>29954</v>
      </c>
      <c r="BP1861" s="1" t="s">
        <v>32773</v>
      </c>
      <c r="BQ1861" s="1" t="s">
        <v>1152</v>
      </c>
      <c r="BR1861" s="1" t="s">
        <v>32774</v>
      </c>
      <c r="BS1861" s="1">
        <v>7</v>
      </c>
      <c r="BT1861" s="1"/>
      <c r="BU1861" s="1" t="str">
        <f>HYPERLINK("https://nconnect.nicmar.ac.in/storage/profile/ProfilePhoto_p2270466_571423.jpg","Download")</f>
        <v>0</v>
      </c>
      <c r="BV1861" s="3"/>
      <c r="BW1861" s="3"/>
    </row>
    <row r="1862" spans="1:75">
      <c r="A1862" s="1" t="s">
        <v>75</v>
      </c>
      <c r="B1862" s="1" t="s">
        <v>25236</v>
      </c>
      <c r="C1862" s="1" t="s">
        <v>32775</v>
      </c>
      <c r="D1862" s="1" t="s">
        <v>1893</v>
      </c>
      <c r="E1862" s="1" t="s">
        <v>3058</v>
      </c>
      <c r="F1862" s="1" t="s">
        <v>28222</v>
      </c>
      <c r="G1862" s="1" t="s">
        <v>32776</v>
      </c>
      <c r="H1862" s="1" t="s">
        <v>32777</v>
      </c>
      <c r="I1862" s="1" t="s">
        <v>32778</v>
      </c>
      <c r="J1862" s="1">
        <v>7776005816</v>
      </c>
      <c r="K1862" s="1" t="s">
        <v>84</v>
      </c>
      <c r="L1862" s="1" t="s">
        <v>32779</v>
      </c>
      <c r="M1862" s="1" t="s">
        <v>86</v>
      </c>
      <c r="N1862" s="1" t="s">
        <v>768</v>
      </c>
      <c r="O1862" s="1" t="s">
        <v>32780</v>
      </c>
      <c r="P1862" s="1" t="s">
        <v>2684</v>
      </c>
      <c r="Q1862" s="1" t="s">
        <v>32781</v>
      </c>
      <c r="R1862" s="1" t="s">
        <v>32782</v>
      </c>
      <c r="S1862" s="1">
        <v>7744025438</v>
      </c>
      <c r="T1862" s="1" t="s">
        <v>926</v>
      </c>
      <c r="U1862" s="1" t="s">
        <v>32783</v>
      </c>
      <c r="V1862" s="1">
        <v>9403627778</v>
      </c>
      <c r="W1862" s="1" t="s">
        <v>161</v>
      </c>
      <c r="X1862" s="1" t="s">
        <v>32784</v>
      </c>
      <c r="Y1862" s="1" t="s">
        <v>224</v>
      </c>
      <c r="Z1862" s="1" t="s">
        <v>97</v>
      </c>
      <c r="AA1862" s="1" t="s">
        <v>32784</v>
      </c>
      <c r="AB1862" s="1" t="s">
        <v>224</v>
      </c>
      <c r="AC1862" s="1" t="s">
        <v>97</v>
      </c>
      <c r="AD1862" s="1" t="s">
        <v>98</v>
      </c>
      <c r="AE1862" s="1" t="s">
        <v>98</v>
      </c>
      <c r="AF1862" s="1" t="s">
        <v>32785</v>
      </c>
      <c r="AG1862" s="1" t="s">
        <v>32786</v>
      </c>
      <c r="AH1862" s="1" t="s">
        <v>101</v>
      </c>
      <c r="AI1862" s="1" t="s">
        <v>166</v>
      </c>
      <c r="AJ1862" s="1">
        <v>86.6</v>
      </c>
      <c r="AK1862" s="1"/>
      <c r="AL1862" s="1" t="s">
        <v>32787</v>
      </c>
      <c r="AM1862" s="1" t="s">
        <v>32786</v>
      </c>
      <c r="AN1862" s="1"/>
      <c r="AO1862" s="1" t="s">
        <v>627</v>
      </c>
      <c r="AP1862" s="1" t="s">
        <v>573</v>
      </c>
      <c r="AQ1862" s="1">
        <v>72.92</v>
      </c>
      <c r="AR1862" s="1"/>
      <c r="AS1862" s="1"/>
      <c r="AT1862" s="1"/>
      <c r="AU1862" s="1"/>
      <c r="AV1862" s="1"/>
      <c r="AW1862" s="1"/>
      <c r="AX1862" s="1"/>
      <c r="AY1862" s="1" t="s">
        <v>32788</v>
      </c>
      <c r="AZ1862" s="1" t="s">
        <v>32789</v>
      </c>
      <c r="BA1862" s="1"/>
      <c r="BB1862" s="1"/>
      <c r="BC1862" s="1" t="s">
        <v>388</v>
      </c>
      <c r="BD1862" s="1" t="s">
        <v>632</v>
      </c>
      <c r="BE1862" s="1">
        <v>72.5</v>
      </c>
      <c r="BF1862" s="1">
        <v>7.25</v>
      </c>
      <c r="BG1862" s="1"/>
      <c r="BH1862" s="1"/>
      <c r="BI1862" s="1"/>
      <c r="BJ1862" s="1"/>
      <c r="BK1862" s="1"/>
      <c r="BL1862" s="1"/>
      <c r="BM1862" s="1"/>
      <c r="BN1862" s="1"/>
      <c r="BO1862" s="1" t="s">
        <v>32790</v>
      </c>
      <c r="BP1862" s="1"/>
      <c r="BQ1862" s="1"/>
      <c r="BR1862" s="1" t="s">
        <v>32791</v>
      </c>
      <c r="BS1862" s="1">
        <v>29</v>
      </c>
      <c r="BT1862" s="1"/>
      <c r="BU1862" s="1" t="str">
        <f>HYPERLINK("https://nconnect.nicmar.ac.in/storage/profile/ProfilePhoto_p2270467_842571.jpg","Download")</f>
        <v>0</v>
      </c>
      <c r="BV1862" s="3"/>
      <c r="BW1862" s="3"/>
    </row>
    <row r="1863" spans="1:75">
      <c r="A1863" s="1" t="s">
        <v>75</v>
      </c>
      <c r="B1863" s="1" t="s">
        <v>25236</v>
      </c>
      <c r="C1863" s="1" t="s">
        <v>32792</v>
      </c>
      <c r="D1863" s="1" t="s">
        <v>5263</v>
      </c>
      <c r="E1863" s="1" t="s">
        <v>2500</v>
      </c>
      <c r="F1863" s="1" t="s">
        <v>20719</v>
      </c>
      <c r="G1863" s="1" t="s">
        <v>32793</v>
      </c>
      <c r="H1863" s="1" t="s">
        <v>32794</v>
      </c>
      <c r="I1863" s="1" t="s">
        <v>32795</v>
      </c>
      <c r="J1863" s="1">
        <v>9518750977</v>
      </c>
      <c r="K1863" s="1" t="s">
        <v>153</v>
      </c>
      <c r="L1863" s="1" t="s">
        <v>32796</v>
      </c>
      <c r="M1863" s="1" t="s">
        <v>86</v>
      </c>
      <c r="N1863" s="1" t="s">
        <v>3568</v>
      </c>
      <c r="O1863" s="1" t="s">
        <v>32797</v>
      </c>
      <c r="P1863" s="1" t="s">
        <v>507</v>
      </c>
      <c r="Q1863" s="1" t="s">
        <v>32798</v>
      </c>
      <c r="R1863" s="1" t="s">
        <v>32799</v>
      </c>
      <c r="S1863" s="1">
        <v>7414925436</v>
      </c>
      <c r="T1863" s="1" t="s">
        <v>645</v>
      </c>
      <c r="U1863" s="1" t="s">
        <v>32800</v>
      </c>
      <c r="V1863" s="1">
        <v>7414925436</v>
      </c>
      <c r="W1863" s="1" t="s">
        <v>645</v>
      </c>
      <c r="X1863" s="1" t="s">
        <v>32801</v>
      </c>
      <c r="Y1863" s="1" t="s">
        <v>410</v>
      </c>
      <c r="Z1863" s="1" t="s">
        <v>97</v>
      </c>
      <c r="AA1863" s="1" t="s">
        <v>32801</v>
      </c>
      <c r="AB1863" s="1" t="s">
        <v>410</v>
      </c>
      <c r="AC1863" s="1" t="s">
        <v>97</v>
      </c>
      <c r="AD1863" s="1" t="s">
        <v>98</v>
      </c>
      <c r="AE1863" s="1" t="s">
        <v>98</v>
      </c>
      <c r="AF1863" s="1" t="s">
        <v>32802</v>
      </c>
      <c r="AG1863" s="1" t="s">
        <v>4324</v>
      </c>
      <c r="AH1863" s="1" t="s">
        <v>3285</v>
      </c>
      <c r="AI1863" s="1" t="s">
        <v>133</v>
      </c>
      <c r="AJ1863" s="1">
        <v>80.4</v>
      </c>
      <c r="AK1863" s="1">
        <v>0</v>
      </c>
      <c r="AL1863" s="1" t="s">
        <v>32803</v>
      </c>
      <c r="AM1863" s="1" t="s">
        <v>4324</v>
      </c>
      <c r="AN1863" s="1"/>
      <c r="AO1863" s="1" t="s">
        <v>1213</v>
      </c>
      <c r="AP1863" s="1" t="s">
        <v>101</v>
      </c>
      <c r="AQ1863" s="1">
        <v>62.92</v>
      </c>
      <c r="AR1863" s="1">
        <v>0</v>
      </c>
      <c r="AS1863" s="1"/>
      <c r="AT1863" s="1"/>
      <c r="AU1863" s="1"/>
      <c r="AV1863" s="1"/>
      <c r="AW1863" s="1"/>
      <c r="AX1863" s="1"/>
      <c r="AY1863" s="1" t="s">
        <v>27297</v>
      </c>
      <c r="AZ1863" s="1" t="s">
        <v>32804</v>
      </c>
      <c r="BA1863" s="1"/>
      <c r="BB1863" s="1"/>
      <c r="BC1863" s="1" t="s">
        <v>105</v>
      </c>
      <c r="BD1863" s="1" t="s">
        <v>890</v>
      </c>
      <c r="BE1863" s="1">
        <v>69</v>
      </c>
      <c r="BF1863" s="1">
        <v>7.67</v>
      </c>
      <c r="BG1863" s="1"/>
      <c r="BH1863" s="1"/>
      <c r="BI1863" s="1"/>
      <c r="BJ1863" s="1"/>
      <c r="BK1863" s="1"/>
      <c r="BL1863" s="1"/>
      <c r="BM1863" s="1"/>
      <c r="BN1863" s="1"/>
      <c r="BO1863" s="1" t="s">
        <v>31813</v>
      </c>
      <c r="BP1863" s="1"/>
      <c r="BQ1863" s="1"/>
      <c r="BR1863" s="1" t="s">
        <v>32805</v>
      </c>
      <c r="BS1863" s="1">
        <v>68</v>
      </c>
      <c r="BT1863" s="1"/>
      <c r="BU1863" s="1" t="str">
        <f>HYPERLINK("https://nconnect.nicmar.ac.in/storage/profile/ProfilePhoto_p2270468_169234.jpg","Download")</f>
        <v>0</v>
      </c>
      <c r="BV1863" s="3"/>
      <c r="BW1863" s="3"/>
    </row>
    <row r="1864" spans="1:75">
      <c r="A1864" s="1" t="s">
        <v>75</v>
      </c>
      <c r="B1864" s="1" t="s">
        <v>25236</v>
      </c>
      <c r="C1864" s="1" t="s">
        <v>32806</v>
      </c>
      <c r="D1864" s="1" t="s">
        <v>32807</v>
      </c>
      <c r="E1864" s="1"/>
      <c r="F1864" s="1" t="s">
        <v>530</v>
      </c>
      <c r="G1864" s="1" t="s">
        <v>32808</v>
      </c>
      <c r="H1864" s="1" t="s">
        <v>32809</v>
      </c>
      <c r="I1864" s="1" t="s">
        <v>32810</v>
      </c>
      <c r="J1864" s="1">
        <v>9205952376</v>
      </c>
      <c r="K1864" s="1" t="s">
        <v>84</v>
      </c>
      <c r="L1864" s="1" t="s">
        <v>32811</v>
      </c>
      <c r="M1864" s="1" t="s">
        <v>86</v>
      </c>
      <c r="N1864" s="1" t="s">
        <v>1101</v>
      </c>
      <c r="O1864" s="1" t="s">
        <v>32812</v>
      </c>
      <c r="P1864" s="1" t="s">
        <v>670</v>
      </c>
      <c r="Q1864" s="1" t="s">
        <v>32813</v>
      </c>
      <c r="R1864" s="1" t="s">
        <v>32814</v>
      </c>
      <c r="S1864" s="1">
        <v>9560868861</v>
      </c>
      <c r="T1864" s="1" t="s">
        <v>32815</v>
      </c>
      <c r="U1864" s="1" t="s">
        <v>32816</v>
      </c>
      <c r="V1864" s="1">
        <v>9560868861</v>
      </c>
      <c r="W1864" s="1" t="s">
        <v>161</v>
      </c>
      <c r="X1864" s="1" t="s">
        <v>32817</v>
      </c>
      <c r="Y1864" s="1" t="s">
        <v>19101</v>
      </c>
      <c r="Z1864" s="1" t="s">
        <v>7930</v>
      </c>
      <c r="AA1864" s="1" t="s">
        <v>32817</v>
      </c>
      <c r="AB1864" s="1" t="s">
        <v>19101</v>
      </c>
      <c r="AC1864" s="1" t="s">
        <v>7930</v>
      </c>
      <c r="AD1864" s="1" t="s">
        <v>98</v>
      </c>
      <c r="AE1864" s="1" t="s">
        <v>98</v>
      </c>
      <c r="AF1864" s="1" t="s">
        <v>32818</v>
      </c>
      <c r="AG1864" s="1" t="s">
        <v>32819</v>
      </c>
      <c r="AH1864" s="1" t="s">
        <v>2157</v>
      </c>
      <c r="AI1864" s="1" t="s">
        <v>2203</v>
      </c>
      <c r="AJ1864" s="1">
        <v>85</v>
      </c>
      <c r="AK1864" s="1">
        <v>0</v>
      </c>
      <c r="AL1864" s="1" t="s">
        <v>32820</v>
      </c>
      <c r="AM1864" s="1" t="s">
        <v>32821</v>
      </c>
      <c r="AN1864" s="1"/>
      <c r="AO1864" s="1" t="s">
        <v>336</v>
      </c>
      <c r="AP1864" s="1" t="s">
        <v>801</v>
      </c>
      <c r="AQ1864" s="1">
        <v>72.6</v>
      </c>
      <c r="AR1864" s="1">
        <v>0</v>
      </c>
      <c r="AS1864" s="1"/>
      <c r="AT1864" s="1"/>
      <c r="AU1864" s="1"/>
      <c r="AV1864" s="1"/>
      <c r="AW1864" s="1"/>
      <c r="AX1864" s="1"/>
      <c r="AY1864" s="1" t="s">
        <v>8266</v>
      </c>
      <c r="AZ1864" s="1" t="s">
        <v>30646</v>
      </c>
      <c r="BA1864" s="1"/>
      <c r="BB1864" s="1"/>
      <c r="BC1864" s="1" t="s">
        <v>339</v>
      </c>
      <c r="BD1864" s="1" t="s">
        <v>627</v>
      </c>
      <c r="BE1864" s="1">
        <v>74.4</v>
      </c>
      <c r="BF1864" s="1">
        <v>7.44</v>
      </c>
      <c r="BG1864" s="1" t="s">
        <v>32822</v>
      </c>
      <c r="BH1864" s="1" t="s">
        <v>1586</v>
      </c>
      <c r="BI1864" s="1"/>
      <c r="BJ1864" s="1"/>
      <c r="BK1864" s="1" t="s">
        <v>175</v>
      </c>
      <c r="BL1864" s="1" t="s">
        <v>632</v>
      </c>
      <c r="BM1864" s="1">
        <v>84.5</v>
      </c>
      <c r="BN1864" s="1">
        <v>8.45</v>
      </c>
      <c r="BO1864" s="1" t="s">
        <v>32823</v>
      </c>
      <c r="BP1864" s="1" t="s">
        <v>32824</v>
      </c>
      <c r="BQ1864" s="1" t="s">
        <v>582</v>
      </c>
      <c r="BR1864" s="1" t="s">
        <v>32825</v>
      </c>
      <c r="BS1864" s="1">
        <v>18</v>
      </c>
      <c r="BT1864" s="1"/>
      <c r="BU1864" s="1" t="str">
        <f>HYPERLINK("https://nconnect.nicmar.ac.in/storage/profile/ProfilePhoto_p2270469_471962.jpg","Download")</f>
        <v>0</v>
      </c>
      <c r="BV1864" s="3"/>
      <c r="BW1864" s="3"/>
    </row>
    <row r="1865" spans="1:75">
      <c r="A1865" s="1" t="s">
        <v>75</v>
      </c>
      <c r="B1865" s="1" t="s">
        <v>25236</v>
      </c>
      <c r="C1865" s="1" t="s">
        <v>32826</v>
      </c>
      <c r="D1865" s="1" t="s">
        <v>117</v>
      </c>
      <c r="E1865" s="1" t="s">
        <v>32827</v>
      </c>
      <c r="F1865" s="1" t="s">
        <v>32828</v>
      </c>
      <c r="G1865" s="1" t="s">
        <v>32829</v>
      </c>
      <c r="H1865" s="1" t="s">
        <v>32830</v>
      </c>
      <c r="I1865" s="1" t="s">
        <v>32831</v>
      </c>
      <c r="J1865" s="1">
        <v>9028176106</v>
      </c>
      <c r="K1865" s="1" t="s">
        <v>153</v>
      </c>
      <c r="L1865" s="1" t="s">
        <v>32832</v>
      </c>
      <c r="M1865" s="1" t="s">
        <v>86</v>
      </c>
      <c r="N1865" s="1" t="s">
        <v>32833</v>
      </c>
      <c r="O1865" s="1" t="s">
        <v>32834</v>
      </c>
      <c r="P1865" s="1" t="s">
        <v>481</v>
      </c>
      <c r="Q1865" s="1" t="s">
        <v>32835</v>
      </c>
      <c r="R1865" s="1" t="s">
        <v>32836</v>
      </c>
      <c r="S1865" s="1">
        <v>9371093981</v>
      </c>
      <c r="T1865" s="1" t="s">
        <v>839</v>
      </c>
      <c r="U1865" s="1" t="s">
        <v>32837</v>
      </c>
      <c r="V1865" s="1">
        <v>8149492553</v>
      </c>
      <c r="W1865" s="1" t="s">
        <v>541</v>
      </c>
      <c r="X1865" s="1" t="s">
        <v>32838</v>
      </c>
      <c r="Y1865" s="1" t="s">
        <v>196</v>
      </c>
      <c r="Z1865" s="1" t="s">
        <v>97</v>
      </c>
      <c r="AA1865" s="1" t="s">
        <v>32838</v>
      </c>
      <c r="AB1865" s="1" t="s">
        <v>196</v>
      </c>
      <c r="AC1865" s="1" t="s">
        <v>97</v>
      </c>
      <c r="AD1865" s="1" t="s">
        <v>98</v>
      </c>
      <c r="AE1865" s="1" t="s">
        <v>98</v>
      </c>
      <c r="AF1865" s="1" t="s">
        <v>32839</v>
      </c>
      <c r="AG1865" s="1" t="s">
        <v>165</v>
      </c>
      <c r="AH1865" s="1" t="s">
        <v>1971</v>
      </c>
      <c r="AI1865" s="1" t="s">
        <v>1110</v>
      </c>
      <c r="AJ1865" s="1">
        <v>80.4</v>
      </c>
      <c r="AK1865" s="1">
        <v>8.5</v>
      </c>
      <c r="AL1865" s="1" t="s">
        <v>32840</v>
      </c>
      <c r="AM1865" s="1" t="s">
        <v>165</v>
      </c>
      <c r="AN1865" s="1"/>
      <c r="AO1865" s="1" t="s">
        <v>2822</v>
      </c>
      <c r="AP1865" s="1" t="s">
        <v>704</v>
      </c>
      <c r="AQ1865" s="1">
        <v>63.54</v>
      </c>
      <c r="AR1865" s="1">
        <v>6.7</v>
      </c>
      <c r="AS1865" s="1"/>
      <c r="AT1865" s="1"/>
      <c r="AU1865" s="1"/>
      <c r="AV1865" s="1"/>
      <c r="AW1865" s="1"/>
      <c r="AX1865" s="1"/>
      <c r="AY1865" s="1" t="s">
        <v>366</v>
      </c>
      <c r="AZ1865" s="1" t="s">
        <v>32841</v>
      </c>
      <c r="BA1865" s="1"/>
      <c r="BB1865" s="1"/>
      <c r="BC1865" s="1" t="s">
        <v>5535</v>
      </c>
      <c r="BD1865" s="1" t="s">
        <v>632</v>
      </c>
      <c r="BE1865" s="1">
        <v>69.5</v>
      </c>
      <c r="BF1865" s="1">
        <v>7.7</v>
      </c>
      <c r="BG1865" s="1"/>
      <c r="BH1865" s="1"/>
      <c r="BI1865" s="1"/>
      <c r="BJ1865" s="1"/>
      <c r="BK1865" s="1"/>
      <c r="BL1865" s="1"/>
      <c r="BM1865" s="1"/>
      <c r="BN1865" s="1"/>
      <c r="BO1865" s="1" t="s">
        <v>32842</v>
      </c>
      <c r="BP1865" s="1"/>
      <c r="BQ1865" s="1"/>
      <c r="BR1865" s="1" t="s">
        <v>32843</v>
      </c>
      <c r="BS1865" s="1">
        <v>30</v>
      </c>
      <c r="BT1865" s="1"/>
      <c r="BU1865" s="1" t="str">
        <f>HYPERLINK("https://nconnect.nicmar.ac.in/storage/profile/ProfilePhoto_p2270470_423178.jpg","Download")</f>
        <v>0</v>
      </c>
      <c r="BV1865" s="3"/>
      <c r="BW1865" s="3"/>
    </row>
    <row r="1866" spans="1:75">
      <c r="A1866" s="1" t="s">
        <v>75</v>
      </c>
      <c r="B1866" s="1" t="s">
        <v>25236</v>
      </c>
      <c r="C1866" s="1" t="s">
        <v>32844</v>
      </c>
      <c r="D1866" s="1" t="s">
        <v>32845</v>
      </c>
      <c r="E1866" s="1" t="s">
        <v>1020</v>
      </c>
      <c r="F1866" s="1" t="s">
        <v>32846</v>
      </c>
      <c r="G1866" s="1" t="s">
        <v>32847</v>
      </c>
      <c r="H1866" s="1" t="s">
        <v>32848</v>
      </c>
      <c r="I1866" s="1" t="s">
        <v>32849</v>
      </c>
      <c r="J1866" s="1">
        <v>6238991242</v>
      </c>
      <c r="K1866" s="1" t="s">
        <v>84</v>
      </c>
      <c r="L1866" s="1" t="s">
        <v>32850</v>
      </c>
      <c r="M1866" s="1" t="s">
        <v>86</v>
      </c>
      <c r="N1866" s="1" t="s">
        <v>32851</v>
      </c>
      <c r="O1866" s="1" t="s">
        <v>32852</v>
      </c>
      <c r="P1866" s="1" t="s">
        <v>507</v>
      </c>
      <c r="Q1866" s="1" t="s">
        <v>32853</v>
      </c>
      <c r="R1866" s="1" t="s">
        <v>32854</v>
      </c>
      <c r="S1866" s="1">
        <v>9846612244</v>
      </c>
      <c r="T1866" s="1" t="s">
        <v>839</v>
      </c>
      <c r="U1866" s="1" t="s">
        <v>32855</v>
      </c>
      <c r="V1866" s="1">
        <v>9447382003</v>
      </c>
      <c r="W1866" s="1" t="s">
        <v>161</v>
      </c>
      <c r="X1866" s="1" t="s">
        <v>32856</v>
      </c>
      <c r="Y1866" s="1" t="s">
        <v>4916</v>
      </c>
      <c r="Z1866" s="1" t="s">
        <v>130</v>
      </c>
      <c r="AA1866" s="1" t="s">
        <v>32856</v>
      </c>
      <c r="AB1866" s="1" t="s">
        <v>4916</v>
      </c>
      <c r="AC1866" s="1" t="s">
        <v>130</v>
      </c>
      <c r="AD1866" s="1" t="s">
        <v>98</v>
      </c>
      <c r="AE1866" s="1" t="s">
        <v>98</v>
      </c>
      <c r="AF1866" s="1" t="s">
        <v>32857</v>
      </c>
      <c r="AG1866" s="1" t="s">
        <v>28179</v>
      </c>
      <c r="AH1866" s="1" t="s">
        <v>101</v>
      </c>
      <c r="AI1866" s="1" t="s">
        <v>102</v>
      </c>
      <c r="AJ1866" s="1">
        <v>77</v>
      </c>
      <c r="AK1866" s="1"/>
      <c r="AL1866" s="1" t="s">
        <v>32858</v>
      </c>
      <c r="AM1866" s="1" t="s">
        <v>28179</v>
      </c>
      <c r="AN1866" s="1"/>
      <c r="AO1866" s="1" t="s">
        <v>167</v>
      </c>
      <c r="AP1866" s="1" t="s">
        <v>200</v>
      </c>
      <c r="AQ1866" s="1">
        <v>79.56</v>
      </c>
      <c r="AR1866" s="1"/>
      <c r="AS1866" s="1"/>
      <c r="AT1866" s="1"/>
      <c r="AU1866" s="1"/>
      <c r="AV1866" s="1"/>
      <c r="AW1866" s="1"/>
      <c r="AX1866" s="1"/>
      <c r="AY1866" s="1" t="s">
        <v>137</v>
      </c>
      <c r="AZ1866" s="1" t="s">
        <v>32859</v>
      </c>
      <c r="BA1866" s="1"/>
      <c r="BB1866" s="1"/>
      <c r="BC1866" s="1" t="s">
        <v>230</v>
      </c>
      <c r="BD1866" s="1" t="s">
        <v>847</v>
      </c>
      <c r="BE1866" s="1">
        <v>72</v>
      </c>
      <c r="BF1866" s="1">
        <v>7.2</v>
      </c>
      <c r="BG1866" s="1"/>
      <c r="BH1866" s="1"/>
      <c r="BI1866" s="1"/>
      <c r="BJ1866" s="1"/>
      <c r="BK1866" s="1"/>
      <c r="BL1866" s="1"/>
      <c r="BM1866" s="1"/>
      <c r="BN1866" s="1"/>
      <c r="BO1866" s="1" t="s">
        <v>32860</v>
      </c>
      <c r="BP1866" s="1"/>
      <c r="BQ1866" s="1"/>
      <c r="BR1866" s="1" t="s">
        <v>32861</v>
      </c>
      <c r="BS1866" s="1">
        <v>64</v>
      </c>
      <c r="BT1866" s="1"/>
      <c r="BU1866" s="1" t="str">
        <f>HYPERLINK("https://nconnect.nicmar.ac.in/storage/profile/ProfilePhoto_p2270471_913762.jpg","Download")</f>
        <v>0</v>
      </c>
      <c r="BV1866" s="3"/>
      <c r="BW1866" s="3"/>
    </row>
    <row r="1867" spans="1:75">
      <c r="A1867" s="1" t="s">
        <v>75</v>
      </c>
      <c r="B1867" s="1" t="s">
        <v>25236</v>
      </c>
      <c r="C1867" s="1" t="s">
        <v>32862</v>
      </c>
      <c r="D1867" s="1" t="s">
        <v>32863</v>
      </c>
      <c r="E1867" s="1"/>
      <c r="F1867" s="1" t="s">
        <v>11841</v>
      </c>
      <c r="G1867" s="1" t="s">
        <v>32864</v>
      </c>
      <c r="H1867" s="1" t="s">
        <v>32865</v>
      </c>
      <c r="I1867" s="1" t="s">
        <v>32866</v>
      </c>
      <c r="J1867" s="1">
        <v>8527963775</v>
      </c>
      <c r="K1867" s="1" t="s">
        <v>153</v>
      </c>
      <c r="L1867" s="1" t="s">
        <v>32867</v>
      </c>
      <c r="M1867" s="1" t="s">
        <v>86</v>
      </c>
      <c r="N1867" s="1" t="s">
        <v>11846</v>
      </c>
      <c r="O1867" s="1"/>
      <c r="P1867" s="1" t="s">
        <v>455</v>
      </c>
      <c r="Q1867" s="1" t="s">
        <v>32868</v>
      </c>
      <c r="R1867" s="1" t="s">
        <v>32869</v>
      </c>
      <c r="S1867" s="1">
        <v>7011504730</v>
      </c>
      <c r="T1867" s="1" t="s">
        <v>32870</v>
      </c>
      <c r="U1867" s="1" t="s">
        <v>32871</v>
      </c>
      <c r="V1867" s="1">
        <v>9711412068</v>
      </c>
      <c r="W1867" s="1" t="s">
        <v>94</v>
      </c>
      <c r="X1867" s="1" t="s">
        <v>32872</v>
      </c>
      <c r="Y1867" s="1" t="s">
        <v>9226</v>
      </c>
      <c r="Z1867" s="1" t="s">
        <v>1739</v>
      </c>
      <c r="AA1867" s="1" t="s">
        <v>32872</v>
      </c>
      <c r="AB1867" s="1" t="s">
        <v>9226</v>
      </c>
      <c r="AC1867" s="1" t="s">
        <v>1739</v>
      </c>
      <c r="AD1867" s="1" t="s">
        <v>98</v>
      </c>
      <c r="AE1867" s="1" t="s">
        <v>98</v>
      </c>
      <c r="AF1867" s="1" t="s">
        <v>32873</v>
      </c>
      <c r="AG1867" s="1" t="s">
        <v>775</v>
      </c>
      <c r="AH1867" s="1" t="s">
        <v>3923</v>
      </c>
      <c r="AI1867" s="1" t="s">
        <v>3965</v>
      </c>
      <c r="AJ1867" s="1">
        <v>85.5</v>
      </c>
      <c r="AK1867" s="1">
        <v>9</v>
      </c>
      <c r="AL1867" s="1" t="s">
        <v>32873</v>
      </c>
      <c r="AM1867" s="1" t="s">
        <v>775</v>
      </c>
      <c r="AN1867" s="1"/>
      <c r="AO1867" s="1" t="s">
        <v>3421</v>
      </c>
      <c r="AP1867" s="1" t="s">
        <v>1262</v>
      </c>
      <c r="AQ1867" s="1">
        <v>77</v>
      </c>
      <c r="AR1867" s="1"/>
      <c r="AS1867" s="1"/>
      <c r="AT1867" s="1"/>
      <c r="AU1867" s="1"/>
      <c r="AV1867" s="1"/>
      <c r="AW1867" s="1"/>
      <c r="AX1867" s="1"/>
      <c r="AY1867" s="1" t="s">
        <v>6493</v>
      </c>
      <c r="AZ1867" s="1" t="s">
        <v>32874</v>
      </c>
      <c r="BA1867" s="1"/>
      <c r="BB1867" s="1"/>
      <c r="BC1867" s="1" t="s">
        <v>257</v>
      </c>
      <c r="BD1867" s="1" t="s">
        <v>313</v>
      </c>
      <c r="BE1867" s="1">
        <v>70.99</v>
      </c>
      <c r="BF1867" s="1"/>
      <c r="BG1867" s="1"/>
      <c r="BH1867" s="1"/>
      <c r="BI1867" s="1"/>
      <c r="BJ1867" s="1"/>
      <c r="BK1867" s="1"/>
      <c r="BL1867" s="1"/>
      <c r="BM1867" s="1"/>
      <c r="BN1867" s="1"/>
      <c r="BO1867" s="1" t="s">
        <v>32875</v>
      </c>
      <c r="BP1867" s="1" t="s">
        <v>32876</v>
      </c>
      <c r="BQ1867" s="1" t="s">
        <v>345</v>
      </c>
      <c r="BR1867" s="1" t="s">
        <v>32877</v>
      </c>
      <c r="BS1867" s="1">
        <v>46</v>
      </c>
      <c r="BT1867" s="1"/>
      <c r="BU1867" s="1" t="str">
        <f>HYPERLINK("https://nconnect.nicmar.ac.in/storage/profile/ProfilePhoto_p2270472_547683.jpg","Download")</f>
        <v>0</v>
      </c>
      <c r="BV1867" s="3"/>
      <c r="BW1867" s="3"/>
    </row>
    <row r="1868" spans="1:75">
      <c r="A1868" s="1" t="s">
        <v>75</v>
      </c>
      <c r="B1868" s="1" t="s">
        <v>25236</v>
      </c>
      <c r="C1868" s="1" t="s">
        <v>32878</v>
      </c>
      <c r="D1868" s="1" t="s">
        <v>32879</v>
      </c>
      <c r="E1868" s="1" t="s">
        <v>32880</v>
      </c>
      <c r="F1868" s="1" t="s">
        <v>32881</v>
      </c>
      <c r="G1868" s="1" t="s">
        <v>32882</v>
      </c>
      <c r="H1868" s="1" t="s">
        <v>32883</v>
      </c>
      <c r="I1868" s="1" t="s">
        <v>32884</v>
      </c>
      <c r="J1868" s="1">
        <v>8310942695</v>
      </c>
      <c r="K1868" s="1" t="s">
        <v>84</v>
      </c>
      <c r="L1868" s="1" t="s">
        <v>32885</v>
      </c>
      <c r="M1868" s="1" t="s">
        <v>86</v>
      </c>
      <c r="N1868" s="1" t="s">
        <v>1203</v>
      </c>
      <c r="O1868" s="1" t="s">
        <v>32886</v>
      </c>
      <c r="P1868" s="1" t="s">
        <v>507</v>
      </c>
      <c r="Q1868" s="1" t="s">
        <v>32887</v>
      </c>
      <c r="R1868" s="1" t="s">
        <v>32880</v>
      </c>
      <c r="S1868" s="1">
        <v>9481010134</v>
      </c>
      <c r="T1868" s="1" t="s">
        <v>32888</v>
      </c>
      <c r="U1868" s="1" t="s">
        <v>3843</v>
      </c>
      <c r="V1868" s="1">
        <v>9663906773</v>
      </c>
      <c r="W1868" s="1" t="s">
        <v>278</v>
      </c>
      <c r="X1868" s="1" t="s">
        <v>32889</v>
      </c>
      <c r="Y1868" s="1" t="s">
        <v>3011</v>
      </c>
      <c r="Z1868" s="1" t="s">
        <v>1210</v>
      </c>
      <c r="AA1868" s="1" t="s">
        <v>32889</v>
      </c>
      <c r="AB1868" s="1" t="s">
        <v>3011</v>
      </c>
      <c r="AC1868" s="1" t="s">
        <v>1210</v>
      </c>
      <c r="AD1868" s="1" t="s">
        <v>98</v>
      </c>
      <c r="AE1868" s="1" t="s">
        <v>98</v>
      </c>
      <c r="AF1868" s="1" t="s">
        <v>32890</v>
      </c>
      <c r="AG1868" s="1" t="s">
        <v>1946</v>
      </c>
      <c r="AH1868" s="1" t="s">
        <v>1214</v>
      </c>
      <c r="AI1868" s="1" t="s">
        <v>1110</v>
      </c>
      <c r="AJ1868" s="1">
        <v>81.12</v>
      </c>
      <c r="AK1868" s="1"/>
      <c r="AL1868" s="1" t="s">
        <v>32891</v>
      </c>
      <c r="AM1868" s="1" t="s">
        <v>1946</v>
      </c>
      <c r="AN1868" s="1"/>
      <c r="AO1868" s="1" t="s">
        <v>1111</v>
      </c>
      <c r="AP1868" s="1" t="s">
        <v>200</v>
      </c>
      <c r="AQ1868" s="1">
        <v>72.66</v>
      </c>
      <c r="AR1868" s="1"/>
      <c r="AS1868" s="1"/>
      <c r="AT1868" s="1"/>
      <c r="AU1868" s="1"/>
      <c r="AV1868" s="1"/>
      <c r="AW1868" s="1"/>
      <c r="AX1868" s="1"/>
      <c r="AY1868" s="1" t="s">
        <v>32892</v>
      </c>
      <c r="AZ1868" s="1" t="s">
        <v>26541</v>
      </c>
      <c r="BA1868" s="1"/>
      <c r="BB1868" s="1"/>
      <c r="BC1868" s="1" t="s">
        <v>1065</v>
      </c>
      <c r="BD1868" s="1" t="s">
        <v>110</v>
      </c>
      <c r="BE1868" s="1">
        <v>73.1</v>
      </c>
      <c r="BF1868" s="1">
        <v>8.06</v>
      </c>
      <c r="BG1868" s="1"/>
      <c r="BH1868" s="1"/>
      <c r="BI1868" s="1"/>
      <c r="BJ1868" s="1"/>
      <c r="BK1868" s="1"/>
      <c r="BL1868" s="1"/>
      <c r="BM1868" s="1"/>
      <c r="BN1868" s="1"/>
      <c r="BO1868" s="1" t="s">
        <v>32893</v>
      </c>
      <c r="BP1868" s="1"/>
      <c r="BQ1868" s="1"/>
      <c r="BR1868" s="1" t="s">
        <v>32894</v>
      </c>
      <c r="BS1868" s="1">
        <v>15</v>
      </c>
      <c r="BT1868" s="1"/>
      <c r="BU1868" s="1" t="str">
        <f>HYPERLINK("https://nconnect.nicmar.ac.in/storage/profile/ProfilePhoto_p2270473_937856.jpg","Download")</f>
        <v>0</v>
      </c>
      <c r="BV1868" s="3"/>
      <c r="BW1868" s="3"/>
    </row>
    <row r="1869" spans="1:75">
      <c r="A1869" s="1" t="s">
        <v>75</v>
      </c>
      <c r="B1869" s="1" t="s">
        <v>25236</v>
      </c>
      <c r="C1869" s="1" t="s">
        <v>32895</v>
      </c>
      <c r="D1869" s="1" t="s">
        <v>32896</v>
      </c>
      <c r="E1869" s="1" t="s">
        <v>6082</v>
      </c>
      <c r="F1869" s="1" t="s">
        <v>147</v>
      </c>
      <c r="G1869" s="1" t="s">
        <v>32897</v>
      </c>
      <c r="H1869" s="1" t="s">
        <v>32898</v>
      </c>
      <c r="I1869" s="1" t="s">
        <v>32899</v>
      </c>
      <c r="J1869" s="1">
        <v>8446195554</v>
      </c>
      <c r="K1869" s="1" t="s">
        <v>84</v>
      </c>
      <c r="L1869" s="1" t="s">
        <v>1227</v>
      </c>
      <c r="M1869" s="1" t="s">
        <v>86</v>
      </c>
      <c r="N1869" s="1" t="s">
        <v>618</v>
      </c>
      <c r="O1869" s="1"/>
      <c r="P1869" s="1" t="s">
        <v>455</v>
      </c>
      <c r="Q1869" s="1" t="s">
        <v>32900</v>
      </c>
      <c r="R1869" s="1" t="s">
        <v>32901</v>
      </c>
      <c r="S1869" s="1">
        <v>9422069522</v>
      </c>
      <c r="T1869" s="1" t="s">
        <v>926</v>
      </c>
      <c r="U1869" s="1" t="s">
        <v>32902</v>
      </c>
      <c r="V1869" s="1">
        <v>8446195554</v>
      </c>
      <c r="W1869" s="1" t="s">
        <v>541</v>
      </c>
      <c r="X1869" s="1" t="s">
        <v>32903</v>
      </c>
      <c r="Y1869" s="1" t="s">
        <v>1145</v>
      </c>
      <c r="Z1869" s="1" t="s">
        <v>97</v>
      </c>
      <c r="AA1869" s="1" t="s">
        <v>32903</v>
      </c>
      <c r="AB1869" s="1" t="s">
        <v>1145</v>
      </c>
      <c r="AC1869" s="1" t="s">
        <v>97</v>
      </c>
      <c r="AD1869" s="1" t="s">
        <v>98</v>
      </c>
      <c r="AE1869" s="1" t="s">
        <v>98</v>
      </c>
      <c r="AF1869" s="1" t="s">
        <v>32904</v>
      </c>
      <c r="AG1869" s="1" t="s">
        <v>32905</v>
      </c>
      <c r="AH1869" s="1" t="s">
        <v>342</v>
      </c>
      <c r="AI1869" s="1" t="s">
        <v>627</v>
      </c>
      <c r="AJ1869" s="1">
        <v>76.5</v>
      </c>
      <c r="AK1869" s="1"/>
      <c r="AL1869" s="1" t="s">
        <v>32904</v>
      </c>
      <c r="AM1869" s="1" t="s">
        <v>32905</v>
      </c>
      <c r="AN1869" s="1"/>
      <c r="AO1869" s="1" t="s">
        <v>388</v>
      </c>
      <c r="AP1869" s="1" t="s">
        <v>171</v>
      </c>
      <c r="AQ1869" s="1">
        <v>67.2</v>
      </c>
      <c r="AR1869" s="1"/>
      <c r="AS1869" s="1"/>
      <c r="AT1869" s="1"/>
      <c r="AU1869" s="1"/>
      <c r="AV1869" s="1"/>
      <c r="AW1869" s="1"/>
      <c r="AX1869" s="1"/>
      <c r="AY1869" s="1" t="s">
        <v>550</v>
      </c>
      <c r="AZ1869" s="1" t="s">
        <v>32906</v>
      </c>
      <c r="BA1869" s="1"/>
      <c r="BB1869" s="1"/>
      <c r="BC1869" s="1" t="s">
        <v>174</v>
      </c>
      <c r="BD1869" s="1" t="s">
        <v>1400</v>
      </c>
      <c r="BE1869" s="1">
        <v>78</v>
      </c>
      <c r="BF1869" s="1">
        <v>7.8</v>
      </c>
      <c r="BG1869" s="1"/>
      <c r="BH1869" s="1"/>
      <c r="BI1869" s="1"/>
      <c r="BJ1869" s="1"/>
      <c r="BK1869" s="1"/>
      <c r="BL1869" s="1"/>
      <c r="BM1869" s="1"/>
      <c r="BN1869" s="1"/>
      <c r="BO1869" s="1" t="s">
        <v>32907</v>
      </c>
      <c r="BP1869" s="1"/>
      <c r="BQ1869" s="1"/>
      <c r="BR1869" s="1"/>
      <c r="BS1869" s="1"/>
      <c r="BT1869" s="1"/>
      <c r="BU1869" s="1" t="str">
        <f>HYPERLINK("https://nconnect.nicmar.ac.in/storage/profile/ProfilePhoto_p2270474_162489.jpg","Download")</f>
        <v>0</v>
      </c>
      <c r="BV1869" s="3"/>
      <c r="BW1869" s="3"/>
    </row>
    <row r="1870" spans="1:75">
      <c r="A1870" s="1" t="s">
        <v>75</v>
      </c>
      <c r="B1870" s="1" t="s">
        <v>25236</v>
      </c>
      <c r="C1870" s="1" t="s">
        <v>32908</v>
      </c>
      <c r="D1870" s="1" t="s">
        <v>530</v>
      </c>
      <c r="E1870" s="1" t="s">
        <v>32909</v>
      </c>
      <c r="F1870" s="1" t="s">
        <v>11218</v>
      </c>
      <c r="G1870" s="1" t="s">
        <v>32910</v>
      </c>
      <c r="H1870" s="1" t="s">
        <v>32911</v>
      </c>
      <c r="I1870" s="1" t="s">
        <v>32912</v>
      </c>
      <c r="J1870" s="1">
        <v>9320824308</v>
      </c>
      <c r="K1870" s="1" t="s">
        <v>84</v>
      </c>
      <c r="L1870" s="1" t="s">
        <v>20748</v>
      </c>
      <c r="M1870" s="1" t="s">
        <v>86</v>
      </c>
      <c r="N1870" s="1" t="s">
        <v>903</v>
      </c>
      <c r="O1870" s="1" t="s">
        <v>32913</v>
      </c>
      <c r="P1870" s="1" t="s">
        <v>455</v>
      </c>
      <c r="Q1870" s="1" t="s">
        <v>32914</v>
      </c>
      <c r="R1870" s="1" t="s">
        <v>32915</v>
      </c>
      <c r="S1870" s="1">
        <v>9820155487</v>
      </c>
      <c r="T1870" s="1" t="s">
        <v>926</v>
      </c>
      <c r="U1870" s="1" t="s">
        <v>32916</v>
      </c>
      <c r="V1870" s="1">
        <v>9619542436</v>
      </c>
      <c r="W1870" s="1" t="s">
        <v>161</v>
      </c>
      <c r="X1870" s="1" t="s">
        <v>32917</v>
      </c>
      <c r="Y1870" s="1" t="s">
        <v>2259</v>
      </c>
      <c r="Z1870" s="1" t="s">
        <v>97</v>
      </c>
      <c r="AA1870" s="1" t="s">
        <v>32917</v>
      </c>
      <c r="AB1870" s="1" t="s">
        <v>2259</v>
      </c>
      <c r="AC1870" s="1" t="s">
        <v>97</v>
      </c>
      <c r="AD1870" s="1" t="s">
        <v>98</v>
      </c>
      <c r="AE1870" s="1" t="s">
        <v>98</v>
      </c>
      <c r="AF1870" s="1" t="s">
        <v>32918</v>
      </c>
      <c r="AG1870" s="1" t="s">
        <v>32919</v>
      </c>
      <c r="AH1870" s="1" t="s">
        <v>166</v>
      </c>
      <c r="AI1870" s="1" t="s">
        <v>1111</v>
      </c>
      <c r="AJ1870" s="1">
        <v>80.2</v>
      </c>
      <c r="AK1870" s="1">
        <v>0</v>
      </c>
      <c r="AL1870" s="1" t="s">
        <v>32920</v>
      </c>
      <c r="AM1870" s="1" t="s">
        <v>32921</v>
      </c>
      <c r="AN1870" s="1"/>
      <c r="AO1870" s="1" t="s">
        <v>170</v>
      </c>
      <c r="AP1870" s="1" t="s">
        <v>1477</v>
      </c>
      <c r="AQ1870" s="1">
        <v>72.62</v>
      </c>
      <c r="AR1870" s="1">
        <v>0</v>
      </c>
      <c r="AS1870" s="1"/>
      <c r="AT1870" s="1"/>
      <c r="AU1870" s="1"/>
      <c r="AV1870" s="1"/>
      <c r="AW1870" s="1"/>
      <c r="AX1870" s="1"/>
      <c r="AY1870" s="1" t="s">
        <v>680</v>
      </c>
      <c r="AZ1870" s="1" t="s">
        <v>32922</v>
      </c>
      <c r="BA1870" s="1"/>
      <c r="BB1870" s="1"/>
      <c r="BC1870" s="1" t="s">
        <v>1065</v>
      </c>
      <c r="BD1870" s="1" t="s">
        <v>632</v>
      </c>
      <c r="BE1870" s="1">
        <v>70.09</v>
      </c>
      <c r="BF1870" s="1">
        <v>7.85</v>
      </c>
      <c r="BG1870" s="1"/>
      <c r="BH1870" s="1"/>
      <c r="BI1870" s="1"/>
      <c r="BJ1870" s="1"/>
      <c r="BK1870" s="1"/>
      <c r="BL1870" s="1"/>
      <c r="BM1870" s="1"/>
      <c r="BN1870" s="1"/>
      <c r="BO1870" s="1" t="s">
        <v>369</v>
      </c>
      <c r="BP1870" s="1"/>
      <c r="BQ1870" s="1"/>
      <c r="BR1870" s="1" t="s">
        <v>32923</v>
      </c>
      <c r="BS1870" s="1">
        <v>59</v>
      </c>
      <c r="BT1870" s="1"/>
      <c r="BU1870" s="1" t="str">
        <f>HYPERLINK("https://nconnect.nicmar.ac.in/storage/profile/ProfilePhoto_p2270475_865192.jpg","Download")</f>
        <v>0</v>
      </c>
      <c r="BV1870" s="3"/>
      <c r="BW1870" s="3"/>
    </row>
    <row r="1871" spans="1:75">
      <c r="A1871" s="1" t="s">
        <v>75</v>
      </c>
      <c r="B1871" s="1" t="s">
        <v>25236</v>
      </c>
      <c r="C1871" s="1" t="s">
        <v>32924</v>
      </c>
      <c r="D1871" s="1" t="s">
        <v>1095</v>
      </c>
      <c r="E1871" s="1" t="s">
        <v>9856</v>
      </c>
      <c r="F1871" s="1" t="s">
        <v>11754</v>
      </c>
      <c r="G1871" s="1" t="s">
        <v>32925</v>
      </c>
      <c r="H1871" s="1" t="s">
        <v>32926</v>
      </c>
      <c r="I1871" s="1" t="s">
        <v>32927</v>
      </c>
      <c r="J1871" s="1">
        <v>8356923855</v>
      </c>
      <c r="K1871" s="1" t="s">
        <v>84</v>
      </c>
      <c r="L1871" s="1" t="s">
        <v>32928</v>
      </c>
      <c r="M1871" s="1" t="s">
        <v>86</v>
      </c>
      <c r="N1871" s="1" t="s">
        <v>618</v>
      </c>
      <c r="O1871" s="1"/>
      <c r="P1871" s="1" t="s">
        <v>507</v>
      </c>
      <c r="Q1871" s="1" t="s">
        <v>32929</v>
      </c>
      <c r="R1871" s="1" t="s">
        <v>32930</v>
      </c>
      <c r="S1871" s="1">
        <v>7249055486</v>
      </c>
      <c r="T1871" s="1" t="s">
        <v>32931</v>
      </c>
      <c r="U1871" s="1" t="s">
        <v>32932</v>
      </c>
      <c r="V1871" s="1">
        <v>8668870901</v>
      </c>
      <c r="W1871" s="1" t="s">
        <v>541</v>
      </c>
      <c r="X1871" s="1" t="s">
        <v>32933</v>
      </c>
      <c r="Y1871" s="1" t="s">
        <v>1012</v>
      </c>
      <c r="Z1871" s="1" t="s">
        <v>97</v>
      </c>
      <c r="AA1871" s="1" t="s">
        <v>32933</v>
      </c>
      <c r="AB1871" s="1" t="s">
        <v>1012</v>
      </c>
      <c r="AC1871" s="1" t="s">
        <v>97</v>
      </c>
      <c r="AD1871" s="1" t="s">
        <v>98</v>
      </c>
      <c r="AE1871" s="1" t="s">
        <v>98</v>
      </c>
      <c r="AF1871" s="1" t="s">
        <v>32934</v>
      </c>
      <c r="AG1871" s="1" t="s">
        <v>32935</v>
      </c>
      <c r="AH1871" s="1" t="s">
        <v>27648</v>
      </c>
      <c r="AI1871" s="1" t="s">
        <v>2611</v>
      </c>
      <c r="AJ1871" s="1">
        <v>69.2</v>
      </c>
      <c r="AK1871" s="1">
        <v>0</v>
      </c>
      <c r="AL1871" s="1" t="s">
        <v>32936</v>
      </c>
      <c r="AM1871" s="1" t="s">
        <v>32935</v>
      </c>
      <c r="AN1871" s="1"/>
      <c r="AO1871" s="1" t="s">
        <v>3112</v>
      </c>
      <c r="AP1871" s="1" t="s">
        <v>32937</v>
      </c>
      <c r="AQ1871" s="1">
        <v>64.67</v>
      </c>
      <c r="AR1871" s="1">
        <v>0</v>
      </c>
      <c r="AS1871" s="1"/>
      <c r="AT1871" s="1"/>
      <c r="AU1871" s="1"/>
      <c r="AV1871" s="1"/>
      <c r="AW1871" s="1"/>
      <c r="AX1871" s="1"/>
      <c r="AY1871" s="1" t="s">
        <v>680</v>
      </c>
      <c r="AZ1871" s="1" t="s">
        <v>32938</v>
      </c>
      <c r="BA1871" s="1"/>
      <c r="BB1871" s="1"/>
      <c r="BC1871" s="1" t="s">
        <v>30692</v>
      </c>
      <c r="BD1871" s="1" t="s">
        <v>1647</v>
      </c>
      <c r="BE1871" s="1">
        <v>54.94</v>
      </c>
      <c r="BF1871" s="1">
        <v>6.19</v>
      </c>
      <c r="BG1871" s="1"/>
      <c r="BH1871" s="1"/>
      <c r="BI1871" s="1"/>
      <c r="BJ1871" s="1"/>
      <c r="BK1871" s="1"/>
      <c r="BL1871" s="1"/>
      <c r="BM1871" s="1"/>
      <c r="BN1871" s="1"/>
      <c r="BO1871" s="1" t="s">
        <v>369</v>
      </c>
      <c r="BP1871" s="1" t="s">
        <v>32939</v>
      </c>
      <c r="BQ1871" s="1" t="s">
        <v>893</v>
      </c>
      <c r="BR1871" s="1" t="s">
        <v>32940</v>
      </c>
      <c r="BS1871" s="1">
        <v>8</v>
      </c>
      <c r="BT1871" s="1"/>
      <c r="BU1871" s="1" t="str">
        <f>HYPERLINK("https://nconnect.nicmar.ac.in/storage/profile/ProfilePhoto_p2270476_769241.jpg","Download")</f>
        <v>0</v>
      </c>
      <c r="BV1871" s="3"/>
      <c r="BW1871" s="3"/>
    </row>
    <row r="1872" spans="1:75">
      <c r="A1872" s="1" t="s">
        <v>75</v>
      </c>
      <c r="B1872" s="1" t="s">
        <v>25236</v>
      </c>
      <c r="C1872" s="1" t="s">
        <v>32941</v>
      </c>
      <c r="D1872" s="1" t="s">
        <v>398</v>
      </c>
      <c r="E1872" s="1" t="s">
        <v>32942</v>
      </c>
      <c r="F1872" s="1" t="s">
        <v>32943</v>
      </c>
      <c r="G1872" s="1" t="s">
        <v>32944</v>
      </c>
      <c r="H1872" s="1" t="s">
        <v>32945</v>
      </c>
      <c r="I1872" s="1" t="s">
        <v>32946</v>
      </c>
      <c r="J1872" s="1">
        <v>9225128709</v>
      </c>
      <c r="K1872" s="1" t="s">
        <v>153</v>
      </c>
      <c r="L1872" s="1" t="s">
        <v>32947</v>
      </c>
      <c r="M1872" s="1" t="s">
        <v>86</v>
      </c>
      <c r="N1872" s="1" t="s">
        <v>618</v>
      </c>
      <c r="O1872" s="1"/>
      <c r="P1872" s="1" t="s">
        <v>507</v>
      </c>
      <c r="Q1872" s="1" t="s">
        <v>32948</v>
      </c>
      <c r="R1872" s="1" t="s">
        <v>32949</v>
      </c>
      <c r="S1872" s="1">
        <v>9225106900</v>
      </c>
      <c r="T1872" s="1" t="s">
        <v>4486</v>
      </c>
      <c r="U1872" s="1" t="s">
        <v>32950</v>
      </c>
      <c r="V1872" s="1">
        <v>9225106898</v>
      </c>
      <c r="W1872" s="1" t="s">
        <v>541</v>
      </c>
      <c r="X1872" s="1" t="s">
        <v>32951</v>
      </c>
      <c r="Y1872" s="1" t="s">
        <v>910</v>
      </c>
      <c r="Z1872" s="1" t="s">
        <v>97</v>
      </c>
      <c r="AA1872" s="1" t="s">
        <v>32952</v>
      </c>
      <c r="AB1872" s="1" t="s">
        <v>196</v>
      </c>
      <c r="AC1872" s="1" t="s">
        <v>97</v>
      </c>
      <c r="AD1872" s="1" t="s">
        <v>98</v>
      </c>
      <c r="AE1872" s="1" t="s">
        <v>98</v>
      </c>
      <c r="AF1872" s="1" t="s">
        <v>3365</v>
      </c>
      <c r="AG1872" s="1" t="s">
        <v>7366</v>
      </c>
      <c r="AH1872" s="1" t="s">
        <v>133</v>
      </c>
      <c r="AI1872" s="1" t="s">
        <v>3421</v>
      </c>
      <c r="AJ1872" s="1">
        <v>61.27</v>
      </c>
      <c r="AK1872" s="1"/>
      <c r="AL1872" s="1"/>
      <c r="AM1872" s="1"/>
      <c r="AN1872" s="1"/>
      <c r="AO1872" s="1"/>
      <c r="AP1872" s="1"/>
      <c r="AQ1872" s="1"/>
      <c r="AR1872" s="1"/>
      <c r="AS1872" s="1" t="s">
        <v>103</v>
      </c>
      <c r="AT1872" s="1" t="s">
        <v>32953</v>
      </c>
      <c r="AU1872" s="1" t="s">
        <v>804</v>
      </c>
      <c r="AV1872" s="1" t="s">
        <v>547</v>
      </c>
      <c r="AW1872" s="1">
        <v>58.75</v>
      </c>
      <c r="AX1872" s="1"/>
      <c r="AY1872" s="1" t="s">
        <v>32954</v>
      </c>
      <c r="AZ1872" s="1" t="s">
        <v>32955</v>
      </c>
      <c r="BA1872" s="1"/>
      <c r="BB1872" s="1"/>
      <c r="BC1872" s="1" t="s">
        <v>109</v>
      </c>
      <c r="BD1872" s="1" t="s">
        <v>632</v>
      </c>
      <c r="BE1872" s="1">
        <v>61.47</v>
      </c>
      <c r="BF1872" s="1">
        <v>6.43</v>
      </c>
      <c r="BG1872" s="1"/>
      <c r="BH1872" s="1"/>
      <c r="BI1872" s="1"/>
      <c r="BJ1872" s="1"/>
      <c r="BK1872" s="1"/>
      <c r="BL1872" s="1"/>
      <c r="BM1872" s="1"/>
      <c r="BN1872" s="1"/>
      <c r="BO1872" s="1" t="s">
        <v>32956</v>
      </c>
      <c r="BP1872" s="1"/>
      <c r="BQ1872" s="1"/>
      <c r="BR1872" s="1" t="s">
        <v>32957</v>
      </c>
      <c r="BS1872" s="1">
        <v>7</v>
      </c>
      <c r="BT1872" s="1"/>
      <c r="BU1872" s="1" t="str">
        <f>HYPERLINK("https://nconnect.nicmar.ac.in/storage/profile/ProfilePhoto_p2270477_371695.jpg","Download")</f>
        <v>0</v>
      </c>
      <c r="BV1872" s="3"/>
      <c r="BW1872" s="3"/>
    </row>
    <row r="1873" spans="1:75">
      <c r="A1873" s="1" t="s">
        <v>75</v>
      </c>
      <c r="B1873" s="1" t="s">
        <v>25236</v>
      </c>
      <c r="C1873" s="1" t="s">
        <v>32958</v>
      </c>
      <c r="D1873" s="1" t="s">
        <v>32959</v>
      </c>
      <c r="E1873" s="1" t="s">
        <v>32960</v>
      </c>
      <c r="F1873" s="1" t="s">
        <v>7180</v>
      </c>
      <c r="G1873" s="1" t="s">
        <v>32961</v>
      </c>
      <c r="H1873" s="1" t="s">
        <v>32962</v>
      </c>
      <c r="I1873" s="1" t="s">
        <v>32963</v>
      </c>
      <c r="J1873" s="1">
        <v>9426341413</v>
      </c>
      <c r="K1873" s="1" t="s">
        <v>84</v>
      </c>
      <c r="L1873" s="1" t="s">
        <v>9822</v>
      </c>
      <c r="M1873" s="1" t="s">
        <v>86</v>
      </c>
      <c r="N1873" s="1" t="s">
        <v>6641</v>
      </c>
      <c r="O1873" s="1" t="s">
        <v>32964</v>
      </c>
      <c r="P1873" s="1" t="s">
        <v>481</v>
      </c>
      <c r="Q1873" s="1" t="s">
        <v>32965</v>
      </c>
      <c r="R1873" s="1" t="s">
        <v>32960</v>
      </c>
      <c r="S1873" s="1">
        <v>9898512154</v>
      </c>
      <c r="T1873" s="1" t="s">
        <v>3396</v>
      </c>
      <c r="U1873" s="1" t="s">
        <v>32966</v>
      </c>
      <c r="V1873" s="1">
        <v>6352836881</v>
      </c>
      <c r="W1873" s="1" t="s">
        <v>161</v>
      </c>
      <c r="X1873" s="1" t="s">
        <v>32967</v>
      </c>
      <c r="Y1873" s="1" t="s">
        <v>14319</v>
      </c>
      <c r="Z1873" s="1" t="s">
        <v>676</v>
      </c>
      <c r="AA1873" s="1" t="s">
        <v>32967</v>
      </c>
      <c r="AB1873" s="1" t="s">
        <v>14319</v>
      </c>
      <c r="AC1873" s="1" t="s">
        <v>676</v>
      </c>
      <c r="AD1873" s="1" t="s">
        <v>98</v>
      </c>
      <c r="AE1873" s="1" t="s">
        <v>98</v>
      </c>
      <c r="AF1873" s="1" t="s">
        <v>32968</v>
      </c>
      <c r="AG1873" s="1" t="s">
        <v>32969</v>
      </c>
      <c r="AH1873" s="1" t="s">
        <v>166</v>
      </c>
      <c r="AI1873" s="1" t="s">
        <v>1111</v>
      </c>
      <c r="AJ1873" s="1">
        <v>80.67</v>
      </c>
      <c r="AK1873" s="1">
        <v>0</v>
      </c>
      <c r="AL1873" s="1" t="s">
        <v>32970</v>
      </c>
      <c r="AM1873" s="1" t="s">
        <v>32969</v>
      </c>
      <c r="AN1873" s="1"/>
      <c r="AO1873" s="1" t="s">
        <v>704</v>
      </c>
      <c r="AP1873" s="1" t="s">
        <v>286</v>
      </c>
      <c r="AQ1873" s="1">
        <v>73.69</v>
      </c>
      <c r="AR1873" s="1">
        <v>0</v>
      </c>
      <c r="AS1873" s="1"/>
      <c r="AT1873" s="1"/>
      <c r="AU1873" s="1"/>
      <c r="AV1873" s="1"/>
      <c r="AW1873" s="1"/>
      <c r="AX1873" s="1"/>
      <c r="AY1873" s="1" t="s">
        <v>32971</v>
      </c>
      <c r="AZ1873" s="1" t="s">
        <v>32972</v>
      </c>
      <c r="BA1873" s="1"/>
      <c r="BB1873" s="1"/>
      <c r="BC1873" s="1" t="s">
        <v>174</v>
      </c>
      <c r="BD1873" s="1" t="s">
        <v>1400</v>
      </c>
      <c r="BE1873" s="1">
        <v>74.4</v>
      </c>
      <c r="BF1873" s="1">
        <v>7.94</v>
      </c>
      <c r="BG1873" s="1"/>
      <c r="BH1873" s="1"/>
      <c r="BI1873" s="1"/>
      <c r="BJ1873" s="1"/>
      <c r="BK1873" s="1"/>
      <c r="BL1873" s="1"/>
      <c r="BM1873" s="1"/>
      <c r="BN1873" s="1"/>
      <c r="BO1873" s="1" t="s">
        <v>32973</v>
      </c>
      <c r="BP1873" s="1"/>
      <c r="BQ1873" s="1"/>
      <c r="BR1873" s="1" t="s">
        <v>32974</v>
      </c>
      <c r="BS1873" s="1">
        <v>25</v>
      </c>
      <c r="BT1873" s="1"/>
      <c r="BU1873" s="1" t="str">
        <f>HYPERLINK("https://nconnect.nicmar.ac.in/storage/profile/ProfilePhoto_p2270478_742815.jpg","Download")</f>
        <v>0</v>
      </c>
      <c r="BV1873" s="3"/>
      <c r="BW1873" s="3"/>
    </row>
    <row r="1874" spans="1:75">
      <c r="A1874" s="1" t="s">
        <v>75</v>
      </c>
      <c r="B1874" s="1" t="s">
        <v>25236</v>
      </c>
      <c r="C1874" s="1" t="s">
        <v>32975</v>
      </c>
      <c r="D1874" s="1" t="s">
        <v>32976</v>
      </c>
      <c r="E1874" s="1" t="s">
        <v>32977</v>
      </c>
      <c r="F1874" s="1" t="s">
        <v>32978</v>
      </c>
      <c r="G1874" s="1" t="s">
        <v>32979</v>
      </c>
      <c r="H1874" s="1" t="s">
        <v>32980</v>
      </c>
      <c r="I1874" s="1" t="s">
        <v>32981</v>
      </c>
      <c r="J1874" s="1">
        <v>9930157589</v>
      </c>
      <c r="K1874" s="1" t="s">
        <v>84</v>
      </c>
      <c r="L1874" s="1" t="s">
        <v>32982</v>
      </c>
      <c r="M1874" s="1" t="s">
        <v>86</v>
      </c>
      <c r="N1874" s="1" t="s">
        <v>32983</v>
      </c>
      <c r="O1874" s="1"/>
      <c r="P1874" s="1" t="s">
        <v>455</v>
      </c>
      <c r="Q1874" s="1" t="s">
        <v>32984</v>
      </c>
      <c r="R1874" s="1" t="s">
        <v>32985</v>
      </c>
      <c r="S1874" s="1">
        <v>9821431324</v>
      </c>
      <c r="T1874" s="1" t="s">
        <v>4486</v>
      </c>
      <c r="U1874" s="1" t="s">
        <v>32986</v>
      </c>
      <c r="V1874" s="1">
        <v>9768543089</v>
      </c>
      <c r="W1874" s="1" t="s">
        <v>541</v>
      </c>
      <c r="X1874" s="1" t="s">
        <v>32987</v>
      </c>
      <c r="Y1874" s="1" t="s">
        <v>2259</v>
      </c>
      <c r="Z1874" s="1" t="s">
        <v>97</v>
      </c>
      <c r="AA1874" s="1" t="s">
        <v>32987</v>
      </c>
      <c r="AB1874" s="1" t="s">
        <v>2259</v>
      </c>
      <c r="AC1874" s="1" t="s">
        <v>97</v>
      </c>
      <c r="AD1874" s="1" t="s">
        <v>98</v>
      </c>
      <c r="AE1874" s="1" t="s">
        <v>98</v>
      </c>
      <c r="AF1874" s="1" t="s">
        <v>32988</v>
      </c>
      <c r="AG1874" s="1" t="s">
        <v>32989</v>
      </c>
      <c r="AH1874" s="1" t="s">
        <v>9719</v>
      </c>
      <c r="AI1874" s="1" t="s">
        <v>136</v>
      </c>
      <c r="AJ1874" s="1">
        <v>90</v>
      </c>
      <c r="AK1874" s="1"/>
      <c r="AL1874" s="1" t="s">
        <v>32990</v>
      </c>
      <c r="AM1874" s="1" t="s">
        <v>32989</v>
      </c>
      <c r="AN1874" s="1"/>
      <c r="AO1874" s="1" t="s">
        <v>105</v>
      </c>
      <c r="AP1874" s="1" t="s">
        <v>573</v>
      </c>
      <c r="AQ1874" s="1">
        <v>70</v>
      </c>
      <c r="AR1874" s="1"/>
      <c r="AS1874" s="1"/>
      <c r="AT1874" s="1"/>
      <c r="AU1874" s="1"/>
      <c r="AV1874" s="1"/>
      <c r="AW1874" s="1"/>
      <c r="AX1874" s="1"/>
      <c r="AY1874" s="1" t="s">
        <v>680</v>
      </c>
      <c r="AZ1874" s="1" t="s">
        <v>32991</v>
      </c>
      <c r="BA1874" s="1"/>
      <c r="BB1874" s="1"/>
      <c r="BC1874" s="1" t="s">
        <v>230</v>
      </c>
      <c r="BD1874" s="1" t="s">
        <v>845</v>
      </c>
      <c r="BE1874" s="1">
        <v>62.16</v>
      </c>
      <c r="BF1874" s="1">
        <v>6.9</v>
      </c>
      <c r="BG1874" s="1"/>
      <c r="BH1874" s="1"/>
      <c r="BI1874" s="1"/>
      <c r="BJ1874" s="1"/>
      <c r="BK1874" s="1"/>
      <c r="BL1874" s="1"/>
      <c r="BM1874" s="1"/>
      <c r="BN1874" s="1"/>
      <c r="BO1874" s="1" t="s">
        <v>32992</v>
      </c>
      <c r="BP1874" s="1" t="s">
        <v>32993</v>
      </c>
      <c r="BQ1874" s="1" t="s">
        <v>2116</v>
      </c>
      <c r="BR1874" s="1" t="s">
        <v>32994</v>
      </c>
      <c r="BS1874" s="1">
        <v>7</v>
      </c>
      <c r="BT1874" s="1"/>
      <c r="BU1874" s="1" t="str">
        <f>HYPERLINK("https://nconnect.nicmar.ac.in/storage/profile/ProfilePhoto_p2270479_596374.jpg","Download")</f>
        <v>0</v>
      </c>
      <c r="BV1874" s="3"/>
      <c r="BW1874" s="3"/>
    </row>
    <row r="1875" spans="1:75">
      <c r="A1875" s="1" t="s">
        <v>75</v>
      </c>
      <c r="B1875" s="1" t="s">
        <v>25236</v>
      </c>
      <c r="C1875" s="1" t="s">
        <v>32995</v>
      </c>
      <c r="D1875" s="1" t="s">
        <v>7090</v>
      </c>
      <c r="E1875" s="1"/>
      <c r="F1875" s="1" t="s">
        <v>530</v>
      </c>
      <c r="G1875" s="1" t="s">
        <v>32996</v>
      </c>
      <c r="H1875" s="1" t="s">
        <v>32997</v>
      </c>
      <c r="I1875" s="1" t="s">
        <v>32998</v>
      </c>
      <c r="J1875" s="1">
        <v>8400849226</v>
      </c>
      <c r="K1875" s="1" t="s">
        <v>84</v>
      </c>
      <c r="L1875" s="1" t="s">
        <v>32999</v>
      </c>
      <c r="M1875" s="1" t="s">
        <v>86</v>
      </c>
      <c r="N1875" s="1" t="s">
        <v>33000</v>
      </c>
      <c r="O1875" s="1" t="s">
        <v>33001</v>
      </c>
      <c r="P1875" s="1" t="s">
        <v>507</v>
      </c>
      <c r="Q1875" s="1" t="s">
        <v>33002</v>
      </c>
      <c r="R1875" s="1" t="s">
        <v>33003</v>
      </c>
      <c r="S1875" s="1">
        <v>9958711720</v>
      </c>
      <c r="T1875" s="1" t="s">
        <v>159</v>
      </c>
      <c r="U1875" s="1" t="s">
        <v>31204</v>
      </c>
      <c r="V1875" s="1">
        <v>9958711720</v>
      </c>
      <c r="W1875" s="1" t="s">
        <v>278</v>
      </c>
      <c r="X1875" s="1" t="s">
        <v>33004</v>
      </c>
      <c r="Y1875" s="1" t="s">
        <v>15150</v>
      </c>
      <c r="Z1875" s="1" t="s">
        <v>544</v>
      </c>
      <c r="AA1875" s="1" t="s">
        <v>33004</v>
      </c>
      <c r="AB1875" s="1" t="s">
        <v>15150</v>
      </c>
      <c r="AC1875" s="1" t="s">
        <v>544</v>
      </c>
      <c r="AD1875" s="1" t="s">
        <v>98</v>
      </c>
      <c r="AE1875" s="1" t="s">
        <v>98</v>
      </c>
      <c r="AF1875" s="1" t="s">
        <v>33005</v>
      </c>
      <c r="AG1875" s="1" t="s">
        <v>33006</v>
      </c>
      <c r="AH1875" s="1" t="s">
        <v>3112</v>
      </c>
      <c r="AI1875" s="1" t="s">
        <v>7331</v>
      </c>
      <c r="AJ1875" s="1">
        <v>63.5</v>
      </c>
      <c r="AK1875" s="1"/>
      <c r="AL1875" s="1" t="s">
        <v>33005</v>
      </c>
      <c r="AM1875" s="1" t="s">
        <v>33006</v>
      </c>
      <c r="AN1875" s="1"/>
      <c r="AO1875" s="1" t="s">
        <v>10573</v>
      </c>
      <c r="AP1875" s="1" t="s">
        <v>4593</v>
      </c>
      <c r="AQ1875" s="1">
        <v>66.2</v>
      </c>
      <c r="AR1875" s="1"/>
      <c r="AS1875" s="1"/>
      <c r="AT1875" s="1"/>
      <c r="AU1875" s="1"/>
      <c r="AV1875" s="1"/>
      <c r="AW1875" s="1"/>
      <c r="AX1875" s="1"/>
      <c r="AY1875" s="1" t="s">
        <v>33007</v>
      </c>
      <c r="AZ1875" s="1" t="s">
        <v>33008</v>
      </c>
      <c r="BA1875" s="1"/>
      <c r="BB1875" s="1"/>
      <c r="BC1875" s="1" t="s">
        <v>12936</v>
      </c>
      <c r="BD1875" s="1" t="s">
        <v>33009</v>
      </c>
      <c r="BE1875" s="1">
        <v>68.14</v>
      </c>
      <c r="BF1875" s="1"/>
      <c r="BG1875" s="1"/>
      <c r="BH1875" s="1"/>
      <c r="BI1875" s="1"/>
      <c r="BJ1875" s="1"/>
      <c r="BK1875" s="1"/>
      <c r="BL1875" s="1"/>
      <c r="BM1875" s="1"/>
      <c r="BN1875" s="1"/>
      <c r="BO1875" s="1" t="s">
        <v>33010</v>
      </c>
      <c r="BP1875" s="1"/>
      <c r="BQ1875" s="1"/>
      <c r="BR1875" s="1" t="s">
        <v>33011</v>
      </c>
      <c r="BS1875" s="1">
        <v>18</v>
      </c>
      <c r="BT1875" s="1"/>
      <c r="BU1875" s="1" t="str">
        <f>HYPERLINK("https://nconnect.nicmar.ac.in/storage/profile/ProfilePhoto_p2270480_643571.jpg","Download")</f>
        <v>0</v>
      </c>
      <c r="BV1875" s="3"/>
      <c r="BW1875" s="3"/>
    </row>
    <row r="1876" spans="1:75">
      <c r="A1876" s="1" t="s">
        <v>75</v>
      </c>
      <c r="B1876" s="1" t="s">
        <v>25236</v>
      </c>
      <c r="C1876" s="1" t="s">
        <v>33012</v>
      </c>
      <c r="D1876" s="1" t="s">
        <v>33013</v>
      </c>
      <c r="E1876" s="1"/>
      <c r="F1876" s="1" t="s">
        <v>33014</v>
      </c>
      <c r="G1876" s="1" t="s">
        <v>33015</v>
      </c>
      <c r="H1876" s="1" t="s">
        <v>33016</v>
      </c>
      <c r="I1876" s="1" t="s">
        <v>33017</v>
      </c>
      <c r="J1876" s="1">
        <v>7000981766</v>
      </c>
      <c r="K1876" s="1" t="s">
        <v>153</v>
      </c>
      <c r="L1876" s="1" t="s">
        <v>33018</v>
      </c>
      <c r="M1876" s="1" t="s">
        <v>86</v>
      </c>
      <c r="N1876" s="1" t="s">
        <v>33019</v>
      </c>
      <c r="O1876" s="1" t="s">
        <v>33020</v>
      </c>
      <c r="P1876" s="1" t="s">
        <v>455</v>
      </c>
      <c r="Q1876" s="1" t="s">
        <v>33021</v>
      </c>
      <c r="R1876" s="1" t="s">
        <v>33022</v>
      </c>
      <c r="S1876" s="1">
        <v>9425168621</v>
      </c>
      <c r="T1876" s="1" t="s">
        <v>33023</v>
      </c>
      <c r="U1876" s="1" t="s">
        <v>33024</v>
      </c>
      <c r="V1876" s="1">
        <v>9479474466</v>
      </c>
      <c r="W1876" s="1" t="s">
        <v>541</v>
      </c>
      <c r="X1876" s="1" t="s">
        <v>33025</v>
      </c>
      <c r="Y1876" s="1" t="s">
        <v>33026</v>
      </c>
      <c r="Z1876" s="1" t="s">
        <v>3419</v>
      </c>
      <c r="AA1876" s="1" t="s">
        <v>33025</v>
      </c>
      <c r="AB1876" s="1" t="s">
        <v>33026</v>
      </c>
      <c r="AC1876" s="1" t="s">
        <v>3419</v>
      </c>
      <c r="AD1876" s="1" t="s">
        <v>98</v>
      </c>
      <c r="AE1876" s="1" t="s">
        <v>98</v>
      </c>
      <c r="AF1876" s="1" t="s">
        <v>33027</v>
      </c>
      <c r="AG1876" s="1" t="s">
        <v>33028</v>
      </c>
      <c r="AH1876" s="1" t="s">
        <v>3770</v>
      </c>
      <c r="AI1876" s="1" t="s">
        <v>134</v>
      </c>
      <c r="AJ1876" s="1">
        <v>81.7</v>
      </c>
      <c r="AK1876" s="1">
        <v>8.6</v>
      </c>
      <c r="AL1876" s="1" t="s">
        <v>33029</v>
      </c>
      <c r="AM1876" s="1" t="s">
        <v>33030</v>
      </c>
      <c r="AN1876" s="1"/>
      <c r="AO1876" s="1" t="s">
        <v>1214</v>
      </c>
      <c r="AP1876" s="1" t="s">
        <v>136</v>
      </c>
      <c r="AQ1876" s="1">
        <v>74</v>
      </c>
      <c r="AR1876" s="1">
        <v>0</v>
      </c>
      <c r="AS1876" s="1"/>
      <c r="AT1876" s="1"/>
      <c r="AU1876" s="1"/>
      <c r="AV1876" s="1"/>
      <c r="AW1876" s="1"/>
      <c r="AX1876" s="1"/>
      <c r="AY1876" s="1" t="s">
        <v>366</v>
      </c>
      <c r="AZ1876" s="1" t="s">
        <v>33031</v>
      </c>
      <c r="BA1876" s="1"/>
      <c r="BB1876" s="1"/>
      <c r="BC1876" s="1" t="s">
        <v>105</v>
      </c>
      <c r="BD1876" s="1" t="s">
        <v>977</v>
      </c>
      <c r="BE1876" s="1">
        <v>77.6</v>
      </c>
      <c r="BF1876" s="1">
        <v>8.55</v>
      </c>
      <c r="BG1876" s="1"/>
      <c r="BH1876" s="1"/>
      <c r="BI1876" s="1"/>
      <c r="BJ1876" s="1"/>
      <c r="BK1876" s="1"/>
      <c r="BL1876" s="1"/>
      <c r="BM1876" s="1"/>
      <c r="BN1876" s="1"/>
      <c r="BO1876" s="1" t="s">
        <v>33032</v>
      </c>
      <c r="BP1876" s="1" t="s">
        <v>33033</v>
      </c>
      <c r="BQ1876" s="1" t="s">
        <v>1070</v>
      </c>
      <c r="BR1876" s="1" t="s">
        <v>33034</v>
      </c>
      <c r="BS1876" s="1">
        <v>29</v>
      </c>
      <c r="BT1876" s="1"/>
      <c r="BU1876" s="1" t="str">
        <f>HYPERLINK("https://nconnect.nicmar.ac.in/storage/profile/ProfilePhoto_p2270482_925476.jpg","Download")</f>
        <v>0</v>
      </c>
      <c r="BV1876" s="3"/>
      <c r="BW1876" s="3"/>
    </row>
    <row r="1877" spans="1:75">
      <c r="A1877" s="1" t="s">
        <v>75</v>
      </c>
      <c r="B1877" s="1" t="s">
        <v>25236</v>
      </c>
      <c r="C1877" s="1" t="s">
        <v>33035</v>
      </c>
      <c r="D1877" s="1" t="s">
        <v>33036</v>
      </c>
      <c r="E1877" s="1" t="s">
        <v>2273</v>
      </c>
      <c r="F1877" s="1" t="s">
        <v>33037</v>
      </c>
      <c r="G1877" s="1" t="s">
        <v>33038</v>
      </c>
      <c r="H1877" s="1" t="s">
        <v>33039</v>
      </c>
      <c r="I1877" s="1" t="s">
        <v>33040</v>
      </c>
      <c r="J1877" s="1">
        <v>7038584728</v>
      </c>
      <c r="K1877" s="1" t="s">
        <v>84</v>
      </c>
      <c r="L1877" s="1" t="s">
        <v>33041</v>
      </c>
      <c r="M1877" s="1" t="s">
        <v>86</v>
      </c>
      <c r="N1877" s="1" t="s">
        <v>903</v>
      </c>
      <c r="O1877" s="1" t="s">
        <v>13738</v>
      </c>
      <c r="P1877" s="1"/>
      <c r="Q1877" s="1" t="s">
        <v>33042</v>
      </c>
      <c r="R1877" s="1" t="s">
        <v>2273</v>
      </c>
      <c r="S1877" s="1">
        <v>8275299086</v>
      </c>
      <c r="T1877" s="1" t="s">
        <v>3396</v>
      </c>
      <c r="U1877" s="1" t="s">
        <v>7927</v>
      </c>
      <c r="V1877" s="1">
        <v>8275299070</v>
      </c>
      <c r="W1877" s="1" t="s">
        <v>161</v>
      </c>
      <c r="X1877" s="1" t="s">
        <v>33043</v>
      </c>
      <c r="Y1877" s="1" t="s">
        <v>7241</v>
      </c>
      <c r="Z1877" s="1" t="s">
        <v>97</v>
      </c>
      <c r="AA1877" s="1" t="s">
        <v>33043</v>
      </c>
      <c r="AB1877" s="1" t="s">
        <v>7241</v>
      </c>
      <c r="AC1877" s="1" t="s">
        <v>97</v>
      </c>
      <c r="AD1877" s="1" t="s">
        <v>98</v>
      </c>
      <c r="AE1877" s="1" t="s">
        <v>98</v>
      </c>
      <c r="AF1877" s="1" t="s">
        <v>33044</v>
      </c>
      <c r="AG1877" s="1" t="s">
        <v>165</v>
      </c>
      <c r="AH1877" s="1" t="s">
        <v>133</v>
      </c>
      <c r="AI1877" s="1" t="s">
        <v>1457</v>
      </c>
      <c r="AJ1877" s="1">
        <v>58.6</v>
      </c>
      <c r="AK1877" s="1"/>
      <c r="AL1877" s="1" t="s">
        <v>33045</v>
      </c>
      <c r="AM1877" s="1" t="s">
        <v>165</v>
      </c>
      <c r="AN1877" s="1"/>
      <c r="AO1877" s="1" t="s">
        <v>135</v>
      </c>
      <c r="AP1877" s="1" t="s">
        <v>11567</v>
      </c>
      <c r="AQ1877" s="1">
        <v>56.92</v>
      </c>
      <c r="AR1877" s="1"/>
      <c r="AS1877" s="1"/>
      <c r="AT1877" s="1"/>
      <c r="AU1877" s="1"/>
      <c r="AV1877" s="1"/>
      <c r="AW1877" s="1"/>
      <c r="AX1877" s="1"/>
      <c r="AY1877" s="1" t="s">
        <v>415</v>
      </c>
      <c r="AZ1877" s="1" t="s">
        <v>33046</v>
      </c>
      <c r="BA1877" s="1"/>
      <c r="BB1877" s="1"/>
      <c r="BC1877" s="1" t="s">
        <v>342</v>
      </c>
      <c r="BD1877" s="1" t="s">
        <v>175</v>
      </c>
      <c r="BE1877" s="1">
        <v>72.9</v>
      </c>
      <c r="BF1877" s="1">
        <v>8.04</v>
      </c>
      <c r="BG1877" s="1"/>
      <c r="BH1877" s="1"/>
      <c r="BI1877" s="1"/>
      <c r="BJ1877" s="1"/>
      <c r="BK1877" s="1"/>
      <c r="BL1877" s="1"/>
      <c r="BM1877" s="1"/>
      <c r="BN1877" s="1"/>
      <c r="BO1877" s="1" t="s">
        <v>33047</v>
      </c>
      <c r="BP1877" s="1"/>
      <c r="BQ1877" s="1"/>
      <c r="BR1877" s="1" t="s">
        <v>33048</v>
      </c>
      <c r="BS1877" s="1">
        <v>7</v>
      </c>
      <c r="BT1877" s="1"/>
      <c r="BU1877" s="1" t="str">
        <f>HYPERLINK("https://nconnect.nicmar.ac.in/storage/profile/ProfilePhoto_p2270483_374561.jpg","Download")</f>
        <v>0</v>
      </c>
      <c r="BV1877" s="3"/>
      <c r="BW1877" s="3"/>
    </row>
    <row r="1878" spans="1:75">
      <c r="A1878" s="1" t="s">
        <v>75</v>
      </c>
      <c r="B1878" s="1" t="s">
        <v>25236</v>
      </c>
      <c r="C1878" s="1" t="s">
        <v>33049</v>
      </c>
      <c r="D1878" s="1" t="s">
        <v>33050</v>
      </c>
      <c r="E1878" s="1" t="s">
        <v>32585</v>
      </c>
      <c r="F1878" s="1" t="s">
        <v>5753</v>
      </c>
      <c r="G1878" s="1" t="s">
        <v>33051</v>
      </c>
      <c r="H1878" s="1" t="s">
        <v>33052</v>
      </c>
      <c r="I1878" s="1" t="s">
        <v>33053</v>
      </c>
      <c r="J1878" s="1">
        <v>7057798891</v>
      </c>
      <c r="K1878" s="1" t="s">
        <v>153</v>
      </c>
      <c r="L1878" s="1" t="s">
        <v>33054</v>
      </c>
      <c r="M1878" s="1" t="s">
        <v>86</v>
      </c>
      <c r="N1878" s="1" t="s">
        <v>13039</v>
      </c>
      <c r="O1878" s="1"/>
      <c r="P1878" s="1" t="s">
        <v>481</v>
      </c>
      <c r="Q1878" s="1" t="s">
        <v>33055</v>
      </c>
      <c r="R1878" s="1" t="s">
        <v>5753</v>
      </c>
      <c r="S1878" s="1">
        <v>7770006353</v>
      </c>
      <c r="T1878" s="1" t="s">
        <v>926</v>
      </c>
      <c r="U1878" s="1" t="s">
        <v>12059</v>
      </c>
      <c r="V1878" s="1">
        <v>9763385315</v>
      </c>
      <c r="W1878" s="1" t="s">
        <v>161</v>
      </c>
      <c r="X1878" s="1" t="s">
        <v>33056</v>
      </c>
      <c r="Y1878" s="1" t="s">
        <v>910</v>
      </c>
      <c r="Z1878" s="1" t="s">
        <v>97</v>
      </c>
      <c r="AA1878" s="1" t="s">
        <v>33056</v>
      </c>
      <c r="AB1878" s="1" t="s">
        <v>910</v>
      </c>
      <c r="AC1878" s="1" t="s">
        <v>97</v>
      </c>
      <c r="AD1878" s="1" t="s">
        <v>98</v>
      </c>
      <c r="AE1878" s="1" t="s">
        <v>98</v>
      </c>
      <c r="AF1878" s="1" t="s">
        <v>33057</v>
      </c>
      <c r="AG1878" s="1" t="s">
        <v>1968</v>
      </c>
      <c r="AH1878" s="1" t="s">
        <v>1457</v>
      </c>
      <c r="AI1878" s="1" t="s">
        <v>515</v>
      </c>
      <c r="AJ1878" s="1">
        <v>44.4</v>
      </c>
      <c r="AK1878" s="1">
        <v>4.67</v>
      </c>
      <c r="AL1878" s="1"/>
      <c r="AM1878" s="1"/>
      <c r="AN1878" s="1"/>
      <c r="AO1878" s="1"/>
      <c r="AP1878" s="1"/>
      <c r="AQ1878" s="1"/>
      <c r="AR1878" s="1"/>
      <c r="AS1878" s="1" t="s">
        <v>439</v>
      </c>
      <c r="AT1878" s="1" t="s">
        <v>33058</v>
      </c>
      <c r="AU1878" s="1" t="s">
        <v>135</v>
      </c>
      <c r="AV1878" s="1" t="s">
        <v>315</v>
      </c>
      <c r="AW1878" s="1">
        <v>60.55</v>
      </c>
      <c r="AX1878" s="1">
        <v>6.81</v>
      </c>
      <c r="AY1878" s="1" t="s">
        <v>366</v>
      </c>
      <c r="AZ1878" s="1" t="s">
        <v>33059</v>
      </c>
      <c r="BA1878" s="1"/>
      <c r="BB1878" s="1"/>
      <c r="BC1878" s="1" t="s">
        <v>206</v>
      </c>
      <c r="BD1878" s="1" t="s">
        <v>289</v>
      </c>
      <c r="BE1878" s="1">
        <v>87.92</v>
      </c>
      <c r="BF1878" s="1"/>
      <c r="BG1878" s="1"/>
      <c r="BH1878" s="1"/>
      <c r="BI1878" s="1"/>
      <c r="BJ1878" s="1"/>
      <c r="BK1878" s="1"/>
      <c r="BL1878" s="1"/>
      <c r="BM1878" s="1"/>
      <c r="BN1878" s="1"/>
      <c r="BO1878" s="1" t="s">
        <v>369</v>
      </c>
      <c r="BP1878" s="1"/>
      <c r="BQ1878" s="1"/>
      <c r="BR1878" s="1" t="s">
        <v>33060</v>
      </c>
      <c r="BS1878" s="1">
        <v>30</v>
      </c>
      <c r="BT1878" s="1"/>
      <c r="BU1878" s="1" t="str">
        <f>HYPERLINK("https://nconnect.nicmar.ac.in/storage/profile/ProfilePhoto_p2270484_751934.jpg","Download")</f>
        <v>0</v>
      </c>
      <c r="BV1878" s="3"/>
      <c r="BW1878" s="3"/>
    </row>
    <row r="1879" spans="1:75">
      <c r="A1879" s="1" t="s">
        <v>75</v>
      </c>
      <c r="B1879" s="1" t="s">
        <v>25236</v>
      </c>
      <c r="C1879" s="1" t="s">
        <v>33061</v>
      </c>
      <c r="D1879" s="1" t="s">
        <v>33062</v>
      </c>
      <c r="E1879" s="1"/>
      <c r="F1879" s="1" t="s">
        <v>8195</v>
      </c>
      <c r="G1879" s="1" t="s">
        <v>33063</v>
      </c>
      <c r="H1879" s="1" t="s">
        <v>33064</v>
      </c>
      <c r="I1879" s="1" t="s">
        <v>33065</v>
      </c>
      <c r="J1879" s="1">
        <v>9425344104</v>
      </c>
      <c r="K1879" s="1" t="s">
        <v>84</v>
      </c>
      <c r="L1879" s="1" t="s">
        <v>33066</v>
      </c>
      <c r="M1879" s="1" t="s">
        <v>86</v>
      </c>
      <c r="N1879" s="1" t="s">
        <v>8293</v>
      </c>
      <c r="O1879" s="1" t="s">
        <v>33067</v>
      </c>
      <c r="P1879" s="1" t="s">
        <v>455</v>
      </c>
      <c r="Q1879" s="1" t="s">
        <v>33068</v>
      </c>
      <c r="R1879" s="1" t="s">
        <v>33069</v>
      </c>
      <c r="S1879" s="1">
        <v>9425344105</v>
      </c>
      <c r="T1879" s="1" t="s">
        <v>15716</v>
      </c>
      <c r="U1879" s="1" t="s">
        <v>33070</v>
      </c>
      <c r="V1879" s="1">
        <v>9425344105</v>
      </c>
      <c r="W1879" s="1" t="s">
        <v>278</v>
      </c>
      <c r="X1879" s="1" t="s">
        <v>33071</v>
      </c>
      <c r="Y1879" s="1" t="s">
        <v>33072</v>
      </c>
      <c r="Z1879" s="1" t="s">
        <v>3419</v>
      </c>
      <c r="AA1879" s="1" t="s">
        <v>33071</v>
      </c>
      <c r="AB1879" s="1" t="s">
        <v>33072</v>
      </c>
      <c r="AC1879" s="1" t="s">
        <v>3419</v>
      </c>
      <c r="AD1879" s="1" t="s">
        <v>98</v>
      </c>
      <c r="AE1879" s="1" t="s">
        <v>98</v>
      </c>
      <c r="AF1879" s="1" t="s">
        <v>33073</v>
      </c>
      <c r="AG1879" s="1" t="s">
        <v>11430</v>
      </c>
      <c r="AH1879" s="1" t="s">
        <v>12936</v>
      </c>
      <c r="AI1879" s="1" t="s">
        <v>337</v>
      </c>
      <c r="AJ1879" s="1">
        <v>73.17</v>
      </c>
      <c r="AK1879" s="1"/>
      <c r="AL1879" s="1" t="s">
        <v>33074</v>
      </c>
      <c r="AM1879" s="1" t="s">
        <v>11430</v>
      </c>
      <c r="AN1879" s="1"/>
      <c r="AO1879" s="1" t="s">
        <v>254</v>
      </c>
      <c r="AP1879" s="1" t="s">
        <v>1457</v>
      </c>
      <c r="AQ1879" s="1">
        <v>66</v>
      </c>
      <c r="AR1879" s="1"/>
      <c r="AS1879" s="1"/>
      <c r="AT1879" s="1"/>
      <c r="AU1879" s="1"/>
      <c r="AV1879" s="1"/>
      <c r="AW1879" s="1"/>
      <c r="AX1879" s="1"/>
      <c r="AY1879" s="1" t="s">
        <v>2206</v>
      </c>
      <c r="AZ1879" s="1" t="s">
        <v>33075</v>
      </c>
      <c r="BA1879" s="1"/>
      <c r="BB1879" s="1"/>
      <c r="BC1879" s="1" t="s">
        <v>257</v>
      </c>
      <c r="BD1879" s="1" t="s">
        <v>171</v>
      </c>
      <c r="BE1879" s="1">
        <v>67.4</v>
      </c>
      <c r="BF1879" s="1">
        <v>6.74</v>
      </c>
      <c r="BG1879" s="1"/>
      <c r="BH1879" s="1"/>
      <c r="BI1879" s="1"/>
      <c r="BJ1879" s="1"/>
      <c r="BK1879" s="1"/>
      <c r="BL1879" s="1"/>
      <c r="BM1879" s="1"/>
      <c r="BN1879" s="1"/>
      <c r="BO1879" s="1" t="s">
        <v>1114</v>
      </c>
      <c r="BP1879" s="1" t="s">
        <v>33076</v>
      </c>
      <c r="BQ1879" s="1" t="s">
        <v>1357</v>
      </c>
      <c r="BR1879" s="1" t="s">
        <v>33077</v>
      </c>
      <c r="BS1879" s="1">
        <v>9</v>
      </c>
      <c r="BT1879" s="1"/>
      <c r="BU1879" s="1" t="str">
        <f>HYPERLINK("https://nconnect.nicmar.ac.in/storage/profile/ProfilePhoto_p2270485_987231.jpg","Download")</f>
        <v>0</v>
      </c>
      <c r="BV1879" s="3"/>
      <c r="BW1879" s="3"/>
    </row>
    <row r="1880" spans="1:75">
      <c r="A1880" s="1" t="s">
        <v>75</v>
      </c>
      <c r="B1880" s="1" t="s">
        <v>25236</v>
      </c>
      <c r="C1880" s="1" t="s">
        <v>33078</v>
      </c>
      <c r="D1880" s="1" t="s">
        <v>9691</v>
      </c>
      <c r="E1880" s="1" t="s">
        <v>397</v>
      </c>
      <c r="F1880" s="1" t="s">
        <v>33079</v>
      </c>
      <c r="G1880" s="1" t="s">
        <v>33080</v>
      </c>
      <c r="H1880" s="1" t="s">
        <v>33081</v>
      </c>
      <c r="I1880" s="1" t="s">
        <v>33082</v>
      </c>
      <c r="J1880" s="1">
        <v>8888889449</v>
      </c>
      <c r="K1880" s="1" t="s">
        <v>84</v>
      </c>
      <c r="L1880" s="1" t="s">
        <v>33083</v>
      </c>
      <c r="M1880" s="1" t="s">
        <v>86</v>
      </c>
      <c r="N1880" s="1" t="s">
        <v>768</v>
      </c>
      <c r="O1880" s="1" t="s">
        <v>33084</v>
      </c>
      <c r="P1880" s="1" t="s">
        <v>507</v>
      </c>
      <c r="Q1880" s="1" t="s">
        <v>33085</v>
      </c>
      <c r="R1880" s="1" t="s">
        <v>33086</v>
      </c>
      <c r="S1880" s="1">
        <v>7744994786</v>
      </c>
      <c r="T1880" s="1" t="s">
        <v>6971</v>
      </c>
      <c r="U1880" s="1" t="s">
        <v>33087</v>
      </c>
      <c r="V1880" s="1">
        <v>9158171888</v>
      </c>
      <c r="W1880" s="1" t="s">
        <v>278</v>
      </c>
      <c r="X1880" s="1" t="s">
        <v>33088</v>
      </c>
      <c r="Y1880" s="1" t="s">
        <v>410</v>
      </c>
      <c r="Z1880" s="1" t="s">
        <v>97</v>
      </c>
      <c r="AA1880" s="1" t="s">
        <v>33088</v>
      </c>
      <c r="AB1880" s="1" t="s">
        <v>410</v>
      </c>
      <c r="AC1880" s="1" t="s">
        <v>97</v>
      </c>
      <c r="AD1880" s="1" t="s">
        <v>98</v>
      </c>
      <c r="AE1880" s="1" t="s">
        <v>98</v>
      </c>
      <c r="AF1880" s="1" t="s">
        <v>33089</v>
      </c>
      <c r="AG1880" s="1" t="s">
        <v>29776</v>
      </c>
      <c r="AH1880" s="1" t="s">
        <v>342</v>
      </c>
      <c r="AI1880" s="1" t="s">
        <v>1111</v>
      </c>
      <c r="AJ1880" s="1">
        <v>83.6</v>
      </c>
      <c r="AK1880" s="1">
        <v>0</v>
      </c>
      <c r="AL1880" s="1"/>
      <c r="AM1880" s="1"/>
      <c r="AN1880" s="1"/>
      <c r="AO1880" s="1"/>
      <c r="AP1880" s="1"/>
      <c r="AQ1880" s="1"/>
      <c r="AR1880" s="1"/>
      <c r="AS1880" s="1" t="s">
        <v>103</v>
      </c>
      <c r="AT1880" s="1" t="s">
        <v>33090</v>
      </c>
      <c r="AU1880" s="1" t="s">
        <v>139</v>
      </c>
      <c r="AV1880" s="1" t="s">
        <v>315</v>
      </c>
      <c r="AW1880" s="1">
        <v>78.85</v>
      </c>
      <c r="AX1880" s="1">
        <v>0</v>
      </c>
      <c r="AY1880" s="1" t="s">
        <v>33091</v>
      </c>
      <c r="AZ1880" s="1" t="s">
        <v>26393</v>
      </c>
      <c r="BA1880" s="1"/>
      <c r="BB1880" s="1"/>
      <c r="BC1880" s="1" t="s">
        <v>109</v>
      </c>
      <c r="BD1880" s="1" t="s">
        <v>289</v>
      </c>
      <c r="BE1880" s="1">
        <v>73.4</v>
      </c>
      <c r="BF1880" s="1">
        <v>8.09</v>
      </c>
      <c r="BG1880" s="1"/>
      <c r="BH1880" s="1"/>
      <c r="BI1880" s="1"/>
      <c r="BJ1880" s="1"/>
      <c r="BK1880" s="1"/>
      <c r="BL1880" s="1"/>
      <c r="BM1880" s="1"/>
      <c r="BN1880" s="1"/>
      <c r="BO1880" s="1" t="s">
        <v>33092</v>
      </c>
      <c r="BP1880" s="1"/>
      <c r="BQ1880" s="1"/>
      <c r="BR1880" s="1" t="s">
        <v>33093</v>
      </c>
      <c r="BS1880" s="1">
        <v>29</v>
      </c>
      <c r="BT1880" s="1"/>
      <c r="BU1880" s="1" t="str">
        <f>HYPERLINK("https://nconnect.nicmar.ac.in/storage/profile/ProfilePhoto_p2270486_913862.jpg","Download")</f>
        <v>0</v>
      </c>
      <c r="BV1880" s="3"/>
      <c r="BW1880" s="3"/>
    </row>
    <row r="1881" spans="1:75">
      <c r="A1881" s="1" t="s">
        <v>75</v>
      </c>
      <c r="B1881" s="1" t="s">
        <v>25236</v>
      </c>
      <c r="C1881" s="1" t="s">
        <v>33094</v>
      </c>
      <c r="D1881" s="1" t="s">
        <v>33095</v>
      </c>
      <c r="E1881" s="1"/>
      <c r="F1881" s="1" t="s">
        <v>6471</v>
      </c>
      <c r="G1881" s="1" t="s">
        <v>33096</v>
      </c>
      <c r="H1881" s="1" t="s">
        <v>33097</v>
      </c>
      <c r="I1881" s="1" t="s">
        <v>33098</v>
      </c>
      <c r="J1881" s="1">
        <v>7550187805</v>
      </c>
      <c r="K1881" s="1" t="s">
        <v>153</v>
      </c>
      <c r="L1881" s="1" t="s">
        <v>33099</v>
      </c>
      <c r="M1881" s="1" t="s">
        <v>86</v>
      </c>
      <c r="N1881" s="1" t="s">
        <v>4354</v>
      </c>
      <c r="O1881" s="1" t="s">
        <v>33100</v>
      </c>
      <c r="P1881" s="1" t="s">
        <v>1028</v>
      </c>
      <c r="Q1881" s="1" t="s">
        <v>33101</v>
      </c>
      <c r="R1881" s="1" t="s">
        <v>33102</v>
      </c>
      <c r="S1881" s="1">
        <v>9498141326</v>
      </c>
      <c r="T1881" s="1" t="s">
        <v>6713</v>
      </c>
      <c r="U1881" s="1" t="s">
        <v>33103</v>
      </c>
      <c r="V1881" s="1">
        <v>9498104723</v>
      </c>
      <c r="W1881" s="1" t="s">
        <v>6713</v>
      </c>
      <c r="X1881" s="1" t="s">
        <v>33104</v>
      </c>
      <c r="Y1881" s="1" t="s">
        <v>1498</v>
      </c>
      <c r="Z1881" s="1" t="s">
        <v>570</v>
      </c>
      <c r="AA1881" s="1" t="s">
        <v>33104</v>
      </c>
      <c r="AB1881" s="1" t="s">
        <v>1498</v>
      </c>
      <c r="AC1881" s="1" t="s">
        <v>570</v>
      </c>
      <c r="AD1881" s="1" t="s">
        <v>98</v>
      </c>
      <c r="AE1881" s="1" t="s">
        <v>98</v>
      </c>
      <c r="AF1881" s="1" t="s">
        <v>33105</v>
      </c>
      <c r="AG1881" s="1" t="s">
        <v>33106</v>
      </c>
      <c r="AH1881" s="1" t="s">
        <v>1213</v>
      </c>
      <c r="AI1881" s="1" t="s">
        <v>1262</v>
      </c>
      <c r="AJ1881" s="1">
        <v>77.9</v>
      </c>
      <c r="AK1881" s="1">
        <v>8.2</v>
      </c>
      <c r="AL1881" s="1" t="s">
        <v>12394</v>
      </c>
      <c r="AM1881" s="1" t="s">
        <v>33107</v>
      </c>
      <c r="AN1881" s="1"/>
      <c r="AO1881" s="1" t="s">
        <v>166</v>
      </c>
      <c r="AP1881" s="1" t="s">
        <v>627</v>
      </c>
      <c r="AQ1881" s="1">
        <v>89.83</v>
      </c>
      <c r="AR1881" s="1"/>
      <c r="AS1881" s="1"/>
      <c r="AT1881" s="1"/>
      <c r="AU1881" s="1"/>
      <c r="AV1881" s="1"/>
      <c r="AW1881" s="1"/>
      <c r="AX1881" s="1"/>
      <c r="AY1881" s="1" t="s">
        <v>33108</v>
      </c>
      <c r="AZ1881" s="1" t="s">
        <v>33109</v>
      </c>
      <c r="BA1881" s="1"/>
      <c r="BB1881" s="1"/>
      <c r="BC1881" s="1" t="s">
        <v>139</v>
      </c>
      <c r="BD1881" s="1" t="s">
        <v>441</v>
      </c>
      <c r="BE1881" s="1">
        <v>79.3</v>
      </c>
      <c r="BF1881" s="1">
        <v>7.93</v>
      </c>
      <c r="BG1881" s="1"/>
      <c r="BH1881" s="1"/>
      <c r="BI1881" s="1"/>
      <c r="BJ1881" s="1"/>
      <c r="BK1881" s="1"/>
      <c r="BL1881" s="1"/>
      <c r="BM1881" s="1"/>
      <c r="BN1881" s="1"/>
      <c r="BO1881" s="1" t="s">
        <v>33110</v>
      </c>
      <c r="BP1881" s="1"/>
      <c r="BQ1881" s="1"/>
      <c r="BR1881" s="1" t="s">
        <v>33111</v>
      </c>
      <c r="BS1881" s="1">
        <v>46</v>
      </c>
      <c r="BT1881" s="1"/>
      <c r="BU1881" s="1" t="str">
        <f>HYPERLINK("https://nconnect.nicmar.ac.in/storage/profile/ProfilePhoto_p2270487_295186.jpg","Download")</f>
        <v>0</v>
      </c>
      <c r="BV1881" s="3"/>
      <c r="BW1881" s="3"/>
    </row>
    <row r="1882" spans="1:75">
      <c r="A1882" s="1" t="s">
        <v>75</v>
      </c>
      <c r="B1882" s="1" t="s">
        <v>25236</v>
      </c>
      <c r="C1882" s="1" t="s">
        <v>33112</v>
      </c>
      <c r="D1882" s="1" t="s">
        <v>33113</v>
      </c>
      <c r="E1882" s="1"/>
      <c r="F1882" s="1" t="s">
        <v>8499</v>
      </c>
      <c r="G1882" s="1" t="s">
        <v>33114</v>
      </c>
      <c r="H1882" s="1" t="s">
        <v>33115</v>
      </c>
      <c r="I1882" s="1" t="s">
        <v>33116</v>
      </c>
      <c r="J1882" s="1">
        <v>9928584341</v>
      </c>
      <c r="K1882" s="1" t="s">
        <v>84</v>
      </c>
      <c r="L1882" s="1" t="s">
        <v>25258</v>
      </c>
      <c r="M1882" s="1" t="s">
        <v>86</v>
      </c>
      <c r="N1882" s="1" t="s">
        <v>8277</v>
      </c>
      <c r="O1882" s="1"/>
      <c r="P1882" s="1" t="s">
        <v>455</v>
      </c>
      <c r="Q1882" s="1" t="s">
        <v>33117</v>
      </c>
      <c r="R1882" s="1" t="s">
        <v>33118</v>
      </c>
      <c r="S1882" s="1">
        <v>9425394489</v>
      </c>
      <c r="T1882" s="1" t="s">
        <v>926</v>
      </c>
      <c r="U1882" s="1" t="s">
        <v>33119</v>
      </c>
      <c r="V1882" s="1">
        <v>9981941173</v>
      </c>
      <c r="W1882" s="1" t="s">
        <v>161</v>
      </c>
      <c r="X1882" s="1" t="s">
        <v>33120</v>
      </c>
      <c r="Y1882" s="1" t="s">
        <v>33121</v>
      </c>
      <c r="Z1882" s="1" t="s">
        <v>3419</v>
      </c>
      <c r="AA1882" s="1" t="s">
        <v>33120</v>
      </c>
      <c r="AB1882" s="1" t="s">
        <v>33121</v>
      </c>
      <c r="AC1882" s="1" t="s">
        <v>3419</v>
      </c>
      <c r="AD1882" s="1" t="s">
        <v>98</v>
      </c>
      <c r="AE1882" s="1" t="s">
        <v>98</v>
      </c>
      <c r="AF1882" s="1" t="s">
        <v>33122</v>
      </c>
      <c r="AG1882" s="1" t="s">
        <v>33123</v>
      </c>
      <c r="AH1882" s="1" t="s">
        <v>342</v>
      </c>
      <c r="AI1882" s="1" t="s">
        <v>139</v>
      </c>
      <c r="AJ1882" s="1">
        <v>74.1</v>
      </c>
      <c r="AK1882" s="1">
        <v>7.8</v>
      </c>
      <c r="AL1882" s="1" t="s">
        <v>33124</v>
      </c>
      <c r="AM1882" s="1" t="s">
        <v>33125</v>
      </c>
      <c r="AN1882" s="1"/>
      <c r="AO1882" s="1" t="s">
        <v>388</v>
      </c>
      <c r="AP1882" s="1" t="s">
        <v>13749</v>
      </c>
      <c r="AQ1882" s="1">
        <v>90</v>
      </c>
      <c r="AR1882" s="1">
        <v>0</v>
      </c>
      <c r="AS1882" s="1"/>
      <c r="AT1882" s="1"/>
      <c r="AU1882" s="1"/>
      <c r="AV1882" s="1"/>
      <c r="AW1882" s="1"/>
      <c r="AX1882" s="1"/>
      <c r="AY1882" s="1" t="s">
        <v>33126</v>
      </c>
      <c r="AZ1882" s="1" t="s">
        <v>33127</v>
      </c>
      <c r="BA1882" s="1"/>
      <c r="BB1882" s="1"/>
      <c r="BC1882" s="1" t="s">
        <v>1065</v>
      </c>
      <c r="BD1882" s="1" t="s">
        <v>1886</v>
      </c>
      <c r="BE1882" s="1">
        <v>78</v>
      </c>
      <c r="BF1882" s="1">
        <v>7.8</v>
      </c>
      <c r="BG1882" s="1"/>
      <c r="BH1882" s="1"/>
      <c r="BI1882" s="1"/>
      <c r="BJ1882" s="1"/>
      <c r="BK1882" s="1"/>
      <c r="BL1882" s="1"/>
      <c r="BM1882" s="1"/>
      <c r="BN1882" s="1"/>
      <c r="BO1882" s="1" t="s">
        <v>33128</v>
      </c>
      <c r="BP1882" s="1"/>
      <c r="BQ1882" s="1"/>
      <c r="BR1882" s="1" t="s">
        <v>33129</v>
      </c>
      <c r="BS1882" s="1">
        <v>31</v>
      </c>
      <c r="BT1882" s="1"/>
      <c r="BU1882" s="1" t="str">
        <f>HYPERLINK("https://nconnect.nicmar.ac.in/storage/profile/ProfilePhoto_p2270488_768235.jpg","Download")</f>
        <v>0</v>
      </c>
      <c r="BV1882" s="3"/>
      <c r="BW1882" s="3"/>
    </row>
    <row r="1883" spans="1:75">
      <c r="A1883" s="1" t="s">
        <v>75</v>
      </c>
      <c r="B1883" s="1" t="s">
        <v>25236</v>
      </c>
      <c r="C1883" s="1" t="s">
        <v>33130</v>
      </c>
      <c r="D1883" s="1" t="s">
        <v>33131</v>
      </c>
      <c r="E1883" s="1"/>
      <c r="F1883" s="1" t="s">
        <v>33132</v>
      </c>
      <c r="G1883" s="1" t="s">
        <v>33133</v>
      </c>
      <c r="H1883" s="1" t="s">
        <v>33134</v>
      </c>
      <c r="I1883" s="1" t="s">
        <v>33135</v>
      </c>
      <c r="J1883" s="1">
        <v>9748887097</v>
      </c>
      <c r="K1883" s="1" t="s">
        <v>84</v>
      </c>
      <c r="L1883" s="1" t="s">
        <v>33136</v>
      </c>
      <c r="M1883" s="1" t="s">
        <v>86</v>
      </c>
      <c r="N1883" s="1" t="s">
        <v>33137</v>
      </c>
      <c r="O1883" s="1" t="s">
        <v>33138</v>
      </c>
      <c r="P1883" s="1" t="s">
        <v>455</v>
      </c>
      <c r="Q1883" s="1" t="s">
        <v>33139</v>
      </c>
      <c r="R1883" s="1" t="s">
        <v>33140</v>
      </c>
      <c r="S1883" s="1">
        <v>9874397906</v>
      </c>
      <c r="T1883" s="1" t="s">
        <v>645</v>
      </c>
      <c r="U1883" s="1" t="s">
        <v>33141</v>
      </c>
      <c r="V1883" s="1">
        <v>9836590706</v>
      </c>
      <c r="W1883" s="1" t="s">
        <v>278</v>
      </c>
      <c r="X1883" s="1" t="s">
        <v>33142</v>
      </c>
      <c r="Y1883" s="1" t="s">
        <v>3282</v>
      </c>
      <c r="Z1883" s="1" t="s">
        <v>1234</v>
      </c>
      <c r="AA1883" s="1" t="s">
        <v>33142</v>
      </c>
      <c r="AB1883" s="1" t="s">
        <v>3282</v>
      </c>
      <c r="AC1883" s="1" t="s">
        <v>1234</v>
      </c>
      <c r="AD1883" s="1" t="s">
        <v>98</v>
      </c>
      <c r="AE1883" s="1" t="s">
        <v>98</v>
      </c>
      <c r="AF1883" s="1" t="s">
        <v>33143</v>
      </c>
      <c r="AG1883" s="1" t="s">
        <v>33144</v>
      </c>
      <c r="AH1883" s="1" t="s">
        <v>337</v>
      </c>
      <c r="AI1883" s="1" t="s">
        <v>2726</v>
      </c>
      <c r="AJ1883" s="1">
        <v>80.14</v>
      </c>
      <c r="AK1883" s="1">
        <v>0</v>
      </c>
      <c r="AL1883" s="1" t="s">
        <v>33143</v>
      </c>
      <c r="AM1883" s="1" t="s">
        <v>3287</v>
      </c>
      <c r="AN1883" s="1"/>
      <c r="AO1883" s="1" t="s">
        <v>134</v>
      </c>
      <c r="AP1883" s="1" t="s">
        <v>1262</v>
      </c>
      <c r="AQ1883" s="1">
        <v>75.6</v>
      </c>
      <c r="AR1883" s="1">
        <v>0</v>
      </c>
      <c r="AS1883" s="1"/>
      <c r="AT1883" s="1"/>
      <c r="AU1883" s="1"/>
      <c r="AV1883" s="1"/>
      <c r="AW1883" s="1"/>
      <c r="AX1883" s="1"/>
      <c r="AY1883" s="1" t="s">
        <v>3625</v>
      </c>
      <c r="AZ1883" s="1" t="s">
        <v>33145</v>
      </c>
      <c r="BA1883" s="1"/>
      <c r="BB1883" s="1"/>
      <c r="BC1883" s="1" t="s">
        <v>257</v>
      </c>
      <c r="BD1883" s="1" t="s">
        <v>174</v>
      </c>
      <c r="BE1883" s="1">
        <v>76.7</v>
      </c>
      <c r="BF1883" s="1">
        <v>8.42</v>
      </c>
      <c r="BG1883" s="1"/>
      <c r="BH1883" s="1"/>
      <c r="BI1883" s="1"/>
      <c r="BJ1883" s="1"/>
      <c r="BK1883" s="1"/>
      <c r="BL1883" s="1"/>
      <c r="BM1883" s="1"/>
      <c r="BN1883" s="1"/>
      <c r="BO1883" s="1" t="s">
        <v>33146</v>
      </c>
      <c r="BP1883" s="1" t="s">
        <v>33147</v>
      </c>
      <c r="BQ1883" s="1" t="s">
        <v>7108</v>
      </c>
      <c r="BR1883" s="1" t="s">
        <v>33148</v>
      </c>
      <c r="BS1883" s="1">
        <v>13</v>
      </c>
      <c r="BT1883" s="1"/>
      <c r="BU1883" s="1" t="str">
        <f>HYPERLINK("https://nconnect.nicmar.ac.in/storage/profile/ProfilePhoto_p2270489_825396.jpg","Download")</f>
        <v>0</v>
      </c>
      <c r="BV1883" s="3"/>
      <c r="BW1883" s="3"/>
    </row>
    <row r="1884" spans="1:75">
      <c r="A1884" s="1" t="s">
        <v>75</v>
      </c>
      <c r="B1884" s="1" t="s">
        <v>25236</v>
      </c>
      <c r="C1884" s="1" t="s">
        <v>33149</v>
      </c>
      <c r="D1884" s="1" t="s">
        <v>33150</v>
      </c>
      <c r="E1884" s="1"/>
      <c r="F1884" s="1" t="s">
        <v>33151</v>
      </c>
      <c r="G1884" s="1" t="s">
        <v>33152</v>
      </c>
      <c r="H1884" s="1" t="s">
        <v>33153</v>
      </c>
      <c r="I1884" s="1" t="s">
        <v>33154</v>
      </c>
      <c r="J1884" s="1">
        <v>7001990850</v>
      </c>
      <c r="K1884" s="1" t="s">
        <v>84</v>
      </c>
      <c r="L1884" s="1" t="s">
        <v>33155</v>
      </c>
      <c r="M1884" s="1" t="s">
        <v>86</v>
      </c>
      <c r="N1884" s="1" t="s">
        <v>33156</v>
      </c>
      <c r="O1884" s="1" t="s">
        <v>33157</v>
      </c>
      <c r="P1884" s="1" t="s">
        <v>455</v>
      </c>
      <c r="Q1884" s="1" t="s">
        <v>33158</v>
      </c>
      <c r="R1884" s="1" t="s">
        <v>33159</v>
      </c>
      <c r="S1884" s="1">
        <v>9564072324</v>
      </c>
      <c r="T1884" s="1" t="s">
        <v>839</v>
      </c>
      <c r="U1884" s="1" t="s">
        <v>33160</v>
      </c>
      <c r="V1884" s="1">
        <v>8348026834</v>
      </c>
      <c r="W1884" s="1" t="s">
        <v>94</v>
      </c>
      <c r="X1884" s="1" t="s">
        <v>33161</v>
      </c>
      <c r="Y1884" s="1" t="s">
        <v>17357</v>
      </c>
      <c r="Z1884" s="1" t="s">
        <v>1234</v>
      </c>
      <c r="AA1884" s="1" t="s">
        <v>33161</v>
      </c>
      <c r="AB1884" s="1" t="s">
        <v>17357</v>
      </c>
      <c r="AC1884" s="1" t="s">
        <v>1234</v>
      </c>
      <c r="AD1884" s="1" t="s">
        <v>98</v>
      </c>
      <c r="AE1884" s="1" t="s">
        <v>98</v>
      </c>
      <c r="AF1884" s="1" t="s">
        <v>33162</v>
      </c>
      <c r="AG1884" s="1" t="s">
        <v>3284</v>
      </c>
      <c r="AH1884" s="1" t="s">
        <v>3421</v>
      </c>
      <c r="AI1884" s="1" t="s">
        <v>1262</v>
      </c>
      <c r="AJ1884" s="1">
        <v>76.7</v>
      </c>
      <c r="AK1884" s="1">
        <v>0</v>
      </c>
      <c r="AL1884" s="1" t="s">
        <v>33163</v>
      </c>
      <c r="AM1884" s="1" t="s">
        <v>3287</v>
      </c>
      <c r="AN1884" s="1"/>
      <c r="AO1884" s="1" t="s">
        <v>166</v>
      </c>
      <c r="AP1884" s="1" t="s">
        <v>627</v>
      </c>
      <c r="AQ1884" s="1">
        <v>67.4</v>
      </c>
      <c r="AR1884" s="1">
        <v>0</v>
      </c>
      <c r="AS1884" s="1"/>
      <c r="AT1884" s="1"/>
      <c r="AU1884" s="1"/>
      <c r="AV1884" s="1"/>
      <c r="AW1884" s="1"/>
      <c r="AX1884" s="1"/>
      <c r="AY1884" s="1" t="s">
        <v>33164</v>
      </c>
      <c r="AZ1884" s="1" t="s">
        <v>33165</v>
      </c>
      <c r="BA1884" s="1"/>
      <c r="BB1884" s="1"/>
      <c r="BC1884" s="1" t="s">
        <v>139</v>
      </c>
      <c r="BD1884" s="1" t="s">
        <v>2304</v>
      </c>
      <c r="BE1884" s="1">
        <v>63.76</v>
      </c>
      <c r="BF1884" s="1">
        <v>7.1</v>
      </c>
      <c r="BG1884" s="1"/>
      <c r="BH1884" s="1"/>
      <c r="BI1884" s="1"/>
      <c r="BJ1884" s="1"/>
      <c r="BK1884" s="1"/>
      <c r="BL1884" s="1"/>
      <c r="BM1884" s="1"/>
      <c r="BN1884" s="1"/>
      <c r="BO1884" s="1" t="s">
        <v>1114</v>
      </c>
      <c r="BP1884" s="1"/>
      <c r="BQ1884" s="1"/>
      <c r="BR1884" s="1" t="s">
        <v>33166</v>
      </c>
      <c r="BS1884" s="1">
        <v>10</v>
      </c>
      <c r="BT1884" s="1"/>
      <c r="BU1884" s="1" t="str">
        <f>HYPERLINK("https://nconnect.nicmar.ac.in/storage/profile/ProfilePhoto_p2270490_492178.jpg","Download")</f>
        <v>0</v>
      </c>
      <c r="BV1884" s="3"/>
      <c r="BW1884" s="3"/>
    </row>
    <row r="1885" spans="1:75">
      <c r="A1885" s="1" t="s">
        <v>75</v>
      </c>
      <c r="B1885" s="1" t="s">
        <v>25236</v>
      </c>
      <c r="C1885" s="1" t="s">
        <v>33167</v>
      </c>
      <c r="D1885" s="1" t="s">
        <v>33168</v>
      </c>
      <c r="E1885" s="1" t="s">
        <v>29672</v>
      </c>
      <c r="F1885" s="1" t="s">
        <v>9082</v>
      </c>
      <c r="G1885" s="1" t="s">
        <v>33169</v>
      </c>
      <c r="H1885" s="1" t="s">
        <v>33170</v>
      </c>
      <c r="I1885" s="1" t="s">
        <v>33171</v>
      </c>
      <c r="J1885" s="1">
        <v>8888840765</v>
      </c>
      <c r="K1885" s="1" t="s">
        <v>84</v>
      </c>
      <c r="L1885" s="1" t="s">
        <v>33172</v>
      </c>
      <c r="M1885" s="1" t="s">
        <v>86</v>
      </c>
      <c r="N1885" s="1" t="s">
        <v>13516</v>
      </c>
      <c r="O1885" s="1"/>
      <c r="P1885" s="1" t="s">
        <v>455</v>
      </c>
      <c r="Q1885" s="1" t="s">
        <v>33173</v>
      </c>
      <c r="R1885" s="1" t="s">
        <v>33174</v>
      </c>
      <c r="S1885" s="1">
        <v>8888840765</v>
      </c>
      <c r="T1885" s="1" t="s">
        <v>839</v>
      </c>
      <c r="U1885" s="1" t="s">
        <v>33175</v>
      </c>
      <c r="V1885" s="1">
        <v>9923341293</v>
      </c>
      <c r="W1885" s="1" t="s">
        <v>3844</v>
      </c>
      <c r="X1885" s="1" t="s">
        <v>33176</v>
      </c>
      <c r="Y1885" s="1" t="s">
        <v>410</v>
      </c>
      <c r="Z1885" s="1" t="s">
        <v>97</v>
      </c>
      <c r="AA1885" s="1" t="s">
        <v>33177</v>
      </c>
      <c r="AB1885" s="1" t="s">
        <v>196</v>
      </c>
      <c r="AC1885" s="1" t="s">
        <v>97</v>
      </c>
      <c r="AD1885" s="1" t="s">
        <v>98</v>
      </c>
      <c r="AE1885" s="1" t="s">
        <v>98</v>
      </c>
      <c r="AF1885" s="1" t="s">
        <v>33178</v>
      </c>
      <c r="AG1885" s="1" t="s">
        <v>33179</v>
      </c>
      <c r="AH1885" s="1" t="s">
        <v>3285</v>
      </c>
      <c r="AI1885" s="1" t="s">
        <v>133</v>
      </c>
      <c r="AJ1885" s="1">
        <v>66.5</v>
      </c>
      <c r="AK1885" s="1">
        <v>7</v>
      </c>
      <c r="AL1885" s="1" t="s">
        <v>33180</v>
      </c>
      <c r="AM1885" s="1" t="s">
        <v>33179</v>
      </c>
      <c r="AN1885" s="1"/>
      <c r="AO1885" s="1" t="s">
        <v>101</v>
      </c>
      <c r="AP1885" s="1" t="s">
        <v>136</v>
      </c>
      <c r="AQ1885" s="1">
        <v>53.69</v>
      </c>
      <c r="AR1885" s="1"/>
      <c r="AS1885" s="1"/>
      <c r="AT1885" s="1"/>
      <c r="AU1885" s="1"/>
      <c r="AV1885" s="1"/>
      <c r="AW1885" s="1"/>
      <c r="AX1885" s="1"/>
      <c r="AY1885" s="1" t="s">
        <v>415</v>
      </c>
      <c r="AZ1885" s="1" t="s">
        <v>33181</v>
      </c>
      <c r="BA1885" s="1"/>
      <c r="BB1885" s="1"/>
      <c r="BC1885" s="1" t="s">
        <v>166</v>
      </c>
      <c r="BD1885" s="1" t="s">
        <v>441</v>
      </c>
      <c r="BE1885" s="1">
        <v>60.5</v>
      </c>
      <c r="BF1885" s="1">
        <v>6.8</v>
      </c>
      <c r="BG1885" s="1"/>
      <c r="BH1885" s="1"/>
      <c r="BI1885" s="1"/>
      <c r="BJ1885" s="1"/>
      <c r="BK1885" s="1"/>
      <c r="BL1885" s="1"/>
      <c r="BM1885" s="1"/>
      <c r="BN1885" s="1"/>
      <c r="BO1885" s="1" t="s">
        <v>33182</v>
      </c>
      <c r="BP1885" s="1"/>
      <c r="BQ1885" s="1"/>
      <c r="BR1885" s="1" t="s">
        <v>33183</v>
      </c>
      <c r="BS1885" s="1">
        <v>108</v>
      </c>
      <c r="BT1885" s="1"/>
      <c r="BU1885" s="1" t="str">
        <f>HYPERLINK("https://nconnect.nicmar.ac.in/storage/profile/ProfilePhoto_p2270491_785349.jpg","Download")</f>
        <v>0</v>
      </c>
      <c r="BV1885" s="3"/>
      <c r="BW1885" s="3"/>
    </row>
    <row r="1886" spans="1:75">
      <c r="A1886" s="1" t="s">
        <v>75</v>
      </c>
      <c r="B1886" s="1" t="s">
        <v>25236</v>
      </c>
      <c r="C1886" s="1" t="s">
        <v>33184</v>
      </c>
      <c r="D1886" s="1" t="s">
        <v>2309</v>
      </c>
      <c r="E1886" s="1"/>
      <c r="F1886" s="1" t="s">
        <v>27396</v>
      </c>
      <c r="G1886" s="1" t="s">
        <v>33185</v>
      </c>
      <c r="H1886" s="1" t="s">
        <v>33186</v>
      </c>
      <c r="I1886" s="1" t="s">
        <v>33187</v>
      </c>
      <c r="J1886" s="1">
        <v>7000980348</v>
      </c>
      <c r="K1886" s="1" t="s">
        <v>84</v>
      </c>
      <c r="L1886" s="1" t="s">
        <v>13072</v>
      </c>
      <c r="M1886" s="1" t="s">
        <v>86</v>
      </c>
      <c r="N1886" s="1" t="s">
        <v>4278</v>
      </c>
      <c r="O1886" s="1" t="s">
        <v>33188</v>
      </c>
      <c r="P1886" s="1" t="s">
        <v>455</v>
      </c>
      <c r="Q1886" s="1" t="s">
        <v>33189</v>
      </c>
      <c r="R1886" s="1" t="s">
        <v>33190</v>
      </c>
      <c r="S1886" s="1">
        <v>9131672372</v>
      </c>
      <c r="T1886" s="1" t="s">
        <v>33191</v>
      </c>
      <c r="U1886" s="1" t="s">
        <v>33192</v>
      </c>
      <c r="V1886" s="1">
        <v>8959758918</v>
      </c>
      <c r="W1886" s="1" t="s">
        <v>278</v>
      </c>
      <c r="X1886" s="1" t="s">
        <v>33193</v>
      </c>
      <c r="Y1886" s="1" t="s">
        <v>7949</v>
      </c>
      <c r="Z1886" s="1" t="s">
        <v>3419</v>
      </c>
      <c r="AA1886" s="1" t="s">
        <v>33193</v>
      </c>
      <c r="AB1886" s="1" t="s">
        <v>7949</v>
      </c>
      <c r="AC1886" s="1" t="s">
        <v>3419</v>
      </c>
      <c r="AD1886" s="1" t="s">
        <v>98</v>
      </c>
      <c r="AE1886" s="1" t="s">
        <v>98</v>
      </c>
      <c r="AF1886" s="1" t="s">
        <v>33194</v>
      </c>
      <c r="AG1886" s="1" t="s">
        <v>5375</v>
      </c>
      <c r="AH1886" s="1" t="s">
        <v>2203</v>
      </c>
      <c r="AI1886" s="1" t="s">
        <v>336</v>
      </c>
      <c r="AJ1886" s="1">
        <v>68.4</v>
      </c>
      <c r="AK1886" s="1">
        <v>7.2</v>
      </c>
      <c r="AL1886" s="1" t="s">
        <v>33195</v>
      </c>
      <c r="AM1886" s="1" t="s">
        <v>5375</v>
      </c>
      <c r="AN1886" s="1"/>
      <c r="AO1886" s="1" t="s">
        <v>801</v>
      </c>
      <c r="AP1886" s="1" t="s">
        <v>2726</v>
      </c>
      <c r="AQ1886" s="1">
        <v>50.6</v>
      </c>
      <c r="AR1886" s="1"/>
      <c r="AS1886" s="1"/>
      <c r="AT1886" s="1"/>
      <c r="AU1886" s="1"/>
      <c r="AV1886" s="1"/>
      <c r="AW1886" s="1"/>
      <c r="AX1886" s="1"/>
      <c r="AY1886" s="1" t="s">
        <v>2206</v>
      </c>
      <c r="AZ1886" s="1" t="s">
        <v>33196</v>
      </c>
      <c r="BA1886" s="1"/>
      <c r="BB1886" s="1"/>
      <c r="BC1886" s="1" t="s">
        <v>133</v>
      </c>
      <c r="BD1886" s="1" t="s">
        <v>170</v>
      </c>
      <c r="BE1886" s="1">
        <v>68.1</v>
      </c>
      <c r="BF1886" s="1">
        <v>6.81</v>
      </c>
      <c r="BG1886" s="1"/>
      <c r="BH1886" s="1"/>
      <c r="BI1886" s="1"/>
      <c r="BJ1886" s="1"/>
      <c r="BK1886" s="1"/>
      <c r="BL1886" s="1"/>
      <c r="BM1886" s="1"/>
      <c r="BN1886" s="1"/>
      <c r="BO1886" s="1" t="s">
        <v>33197</v>
      </c>
      <c r="BP1886" s="1" t="s">
        <v>33198</v>
      </c>
      <c r="BQ1886" s="1" t="s">
        <v>4944</v>
      </c>
      <c r="BR1886" s="1" t="s">
        <v>33199</v>
      </c>
      <c r="BS1886" s="1">
        <v>7</v>
      </c>
      <c r="BT1886" s="1"/>
      <c r="BU1886" s="1" t="str">
        <f>HYPERLINK("https://nconnect.nicmar.ac.in/storage/profile/ProfilePhoto_p2270492_578496.jpg","Download")</f>
        <v>0</v>
      </c>
      <c r="BV1886" s="3"/>
      <c r="BW1886" s="3"/>
    </row>
    <row r="1887" spans="1:75">
      <c r="A1887" s="1" t="s">
        <v>75</v>
      </c>
      <c r="B1887" s="1" t="s">
        <v>25236</v>
      </c>
      <c r="C1887" s="1" t="s">
        <v>33200</v>
      </c>
      <c r="D1887" s="1" t="s">
        <v>33201</v>
      </c>
      <c r="E1887" s="1"/>
      <c r="F1887" s="1" t="s">
        <v>3910</v>
      </c>
      <c r="G1887" s="1" t="s">
        <v>33202</v>
      </c>
      <c r="H1887" s="1" t="s">
        <v>33203</v>
      </c>
      <c r="I1887" s="1" t="s">
        <v>33204</v>
      </c>
      <c r="J1887" s="1">
        <v>9774127323</v>
      </c>
      <c r="K1887" s="1" t="s">
        <v>153</v>
      </c>
      <c r="L1887" s="1" t="s">
        <v>33205</v>
      </c>
      <c r="M1887" s="1" t="s">
        <v>86</v>
      </c>
      <c r="N1887" s="1" t="s">
        <v>10869</v>
      </c>
      <c r="O1887" s="1" t="s">
        <v>33206</v>
      </c>
      <c r="P1887" s="1" t="s">
        <v>507</v>
      </c>
      <c r="Q1887" s="1" t="s">
        <v>33207</v>
      </c>
      <c r="R1887" s="1" t="s">
        <v>33208</v>
      </c>
      <c r="S1887" s="1">
        <v>8731979379</v>
      </c>
      <c r="T1887" s="1" t="s">
        <v>33209</v>
      </c>
      <c r="U1887" s="1" t="s">
        <v>33210</v>
      </c>
      <c r="V1887" s="1">
        <v>9774026510</v>
      </c>
      <c r="W1887" s="1" t="s">
        <v>33211</v>
      </c>
      <c r="X1887" s="1" t="s">
        <v>33212</v>
      </c>
      <c r="Y1887" s="1" t="s">
        <v>33213</v>
      </c>
      <c r="Z1887" s="1" t="s">
        <v>33214</v>
      </c>
      <c r="AA1887" s="1" t="s">
        <v>33212</v>
      </c>
      <c r="AB1887" s="1" t="s">
        <v>33213</v>
      </c>
      <c r="AC1887" s="1" t="s">
        <v>33214</v>
      </c>
      <c r="AD1887" s="1" t="s">
        <v>98</v>
      </c>
      <c r="AE1887" s="1" t="s">
        <v>98</v>
      </c>
      <c r="AF1887" s="1" t="s">
        <v>33215</v>
      </c>
      <c r="AG1887" s="1" t="s">
        <v>33216</v>
      </c>
      <c r="AH1887" s="1" t="s">
        <v>33217</v>
      </c>
      <c r="AI1887" s="1" t="s">
        <v>2726</v>
      </c>
      <c r="AJ1887" s="1">
        <v>83.28</v>
      </c>
      <c r="AK1887" s="1"/>
      <c r="AL1887" s="1"/>
      <c r="AM1887" s="1"/>
      <c r="AN1887" s="1"/>
      <c r="AO1887" s="1"/>
      <c r="AP1887" s="1"/>
      <c r="AQ1887" s="1"/>
      <c r="AR1887" s="1"/>
      <c r="AS1887" s="1" t="s">
        <v>33218</v>
      </c>
      <c r="AT1887" s="1" t="s">
        <v>33219</v>
      </c>
      <c r="AU1887" s="1" t="s">
        <v>2726</v>
      </c>
      <c r="AV1887" s="1" t="s">
        <v>106</v>
      </c>
      <c r="AW1887" s="1">
        <v>58.1</v>
      </c>
      <c r="AX1887" s="1">
        <v>6.31</v>
      </c>
      <c r="AY1887" s="1" t="s">
        <v>33220</v>
      </c>
      <c r="AZ1887" s="1" t="s">
        <v>33221</v>
      </c>
      <c r="BA1887" s="1"/>
      <c r="BB1887" s="1"/>
      <c r="BC1887" s="1" t="s">
        <v>174</v>
      </c>
      <c r="BD1887" s="1" t="s">
        <v>549</v>
      </c>
      <c r="BE1887" s="1">
        <v>69.4</v>
      </c>
      <c r="BF1887" s="1">
        <v>7.44</v>
      </c>
      <c r="BG1887" s="1"/>
      <c r="BH1887" s="1"/>
      <c r="BI1887" s="1"/>
      <c r="BJ1887" s="1"/>
      <c r="BK1887" s="1"/>
      <c r="BL1887" s="1"/>
      <c r="BM1887" s="1"/>
      <c r="BN1887" s="1"/>
      <c r="BO1887" s="1" t="s">
        <v>33222</v>
      </c>
      <c r="BP1887" s="1"/>
      <c r="BQ1887" s="1"/>
      <c r="BR1887" s="1" t="s">
        <v>33223</v>
      </c>
      <c r="BS1887" s="1">
        <v>7</v>
      </c>
      <c r="BT1887" s="1"/>
      <c r="BU1887" s="1" t="str">
        <f>HYPERLINK("https://nconnect.nicmar.ac.in/storage/profile/ProfilePhoto_p2270493_154836.jpg","Download")</f>
        <v>0</v>
      </c>
      <c r="BV1887" s="3"/>
      <c r="BW1887" s="3"/>
    </row>
    <row r="1888" spans="1:75">
      <c r="A1888" s="1" t="s">
        <v>75</v>
      </c>
      <c r="B1888" s="1" t="s">
        <v>25236</v>
      </c>
      <c r="C1888" s="1" t="s">
        <v>33224</v>
      </c>
      <c r="D1888" s="1" t="s">
        <v>11149</v>
      </c>
      <c r="E1888" s="1"/>
      <c r="F1888" s="1" t="s">
        <v>33225</v>
      </c>
      <c r="G1888" s="1" t="s">
        <v>33226</v>
      </c>
      <c r="H1888" s="1" t="s">
        <v>33227</v>
      </c>
      <c r="I1888" s="1" t="s">
        <v>33228</v>
      </c>
      <c r="J1888" s="1">
        <v>7755046691</v>
      </c>
      <c r="K1888" s="1" t="s">
        <v>84</v>
      </c>
      <c r="L1888" s="1" t="s">
        <v>33229</v>
      </c>
      <c r="M1888" s="1" t="s">
        <v>86</v>
      </c>
      <c r="N1888" s="1" t="s">
        <v>4278</v>
      </c>
      <c r="O1888" s="1"/>
      <c r="P1888" s="1" t="s">
        <v>455</v>
      </c>
      <c r="Q1888" s="1" t="s">
        <v>33230</v>
      </c>
      <c r="R1888" s="1" t="s">
        <v>33231</v>
      </c>
      <c r="S1888" s="1">
        <v>9450656076</v>
      </c>
      <c r="T1888" s="1" t="s">
        <v>159</v>
      </c>
      <c r="U1888" s="1" t="s">
        <v>33232</v>
      </c>
      <c r="V1888" s="1">
        <v>8808340271</v>
      </c>
      <c r="W1888" s="1" t="s">
        <v>161</v>
      </c>
      <c r="X1888" s="1" t="s">
        <v>33233</v>
      </c>
      <c r="Y1888" s="1" t="s">
        <v>33234</v>
      </c>
      <c r="Z1888" s="1" t="s">
        <v>544</v>
      </c>
      <c r="AA1888" s="1" t="s">
        <v>33233</v>
      </c>
      <c r="AB1888" s="1" t="s">
        <v>33234</v>
      </c>
      <c r="AC1888" s="1" t="s">
        <v>544</v>
      </c>
      <c r="AD1888" s="1" t="s">
        <v>98</v>
      </c>
      <c r="AE1888" s="1" t="s">
        <v>98</v>
      </c>
      <c r="AF1888" s="1" t="s">
        <v>33235</v>
      </c>
      <c r="AG1888" s="1" t="s">
        <v>33236</v>
      </c>
      <c r="AH1888" s="1" t="s">
        <v>254</v>
      </c>
      <c r="AI1888" s="1" t="s">
        <v>1457</v>
      </c>
      <c r="AJ1888" s="1">
        <v>63</v>
      </c>
      <c r="AK1888" s="1"/>
      <c r="AL1888" s="1" t="s">
        <v>33237</v>
      </c>
      <c r="AM1888" s="1" t="s">
        <v>12935</v>
      </c>
      <c r="AN1888" s="1"/>
      <c r="AO1888" s="1" t="s">
        <v>135</v>
      </c>
      <c r="AP1888" s="1" t="s">
        <v>102</v>
      </c>
      <c r="AQ1888" s="1">
        <v>60.8</v>
      </c>
      <c r="AR1888" s="1"/>
      <c r="AS1888" s="1"/>
      <c r="AT1888" s="1"/>
      <c r="AU1888" s="1"/>
      <c r="AV1888" s="1"/>
      <c r="AW1888" s="1"/>
      <c r="AX1888" s="1"/>
      <c r="AY1888" s="1" t="s">
        <v>33238</v>
      </c>
      <c r="AZ1888" s="1" t="s">
        <v>33239</v>
      </c>
      <c r="BA1888" s="1"/>
      <c r="BB1888" s="1"/>
      <c r="BC1888" s="1" t="s">
        <v>105</v>
      </c>
      <c r="BD1888" s="1" t="s">
        <v>438</v>
      </c>
      <c r="BE1888" s="1">
        <v>66.14</v>
      </c>
      <c r="BF1888" s="1"/>
      <c r="BG1888" s="1"/>
      <c r="BH1888" s="1"/>
      <c r="BI1888" s="1"/>
      <c r="BJ1888" s="1"/>
      <c r="BK1888" s="1"/>
      <c r="BL1888" s="1"/>
      <c r="BM1888" s="1"/>
      <c r="BN1888" s="1"/>
      <c r="BO1888" s="1" t="s">
        <v>28061</v>
      </c>
      <c r="BP1888" s="1" t="s">
        <v>33240</v>
      </c>
      <c r="BQ1888" s="1" t="s">
        <v>345</v>
      </c>
      <c r="BR1888" s="1" t="s">
        <v>33241</v>
      </c>
      <c r="BS1888" s="1">
        <v>11</v>
      </c>
      <c r="BT1888" s="1"/>
      <c r="BU1888" s="1" t="str">
        <f>HYPERLINK("https://nconnect.nicmar.ac.in/storage/profile/ProfilePhoto_p2270494_235497.jpg","Download")</f>
        <v>0</v>
      </c>
      <c r="BV1888" s="3"/>
      <c r="BW1888" s="3"/>
    </row>
    <row r="1889" spans="1:75">
      <c r="A1889" s="1" t="s">
        <v>75</v>
      </c>
      <c r="B1889" s="1" t="s">
        <v>25236</v>
      </c>
      <c r="C1889" s="1" t="s">
        <v>33242</v>
      </c>
      <c r="D1889" s="1" t="s">
        <v>3684</v>
      </c>
      <c r="E1889" s="1" t="s">
        <v>397</v>
      </c>
      <c r="F1889" s="1" t="s">
        <v>33243</v>
      </c>
      <c r="G1889" s="1" t="s">
        <v>33244</v>
      </c>
      <c r="H1889" s="1" t="s">
        <v>33245</v>
      </c>
      <c r="I1889" s="1" t="s">
        <v>33246</v>
      </c>
      <c r="J1889" s="1">
        <v>8655598053</v>
      </c>
      <c r="K1889" s="1" t="s">
        <v>84</v>
      </c>
      <c r="L1889" s="1" t="s">
        <v>33247</v>
      </c>
      <c r="M1889" s="1" t="s">
        <v>86</v>
      </c>
      <c r="N1889" s="1" t="s">
        <v>768</v>
      </c>
      <c r="O1889" s="1"/>
      <c r="P1889" s="1"/>
      <c r="Q1889" s="1" t="s">
        <v>33248</v>
      </c>
      <c r="R1889" s="1" t="s">
        <v>33249</v>
      </c>
      <c r="S1889" s="1">
        <v>8169779103</v>
      </c>
      <c r="T1889" s="1" t="s">
        <v>33250</v>
      </c>
      <c r="U1889" s="1" t="s">
        <v>33251</v>
      </c>
      <c r="V1889" s="1">
        <v>9221426314</v>
      </c>
      <c r="W1889" s="1" t="s">
        <v>161</v>
      </c>
      <c r="X1889" s="1" t="s">
        <v>33252</v>
      </c>
      <c r="Y1889" s="1" t="s">
        <v>1012</v>
      </c>
      <c r="Z1889" s="1" t="s">
        <v>97</v>
      </c>
      <c r="AA1889" s="1" t="s">
        <v>33252</v>
      </c>
      <c r="AB1889" s="1" t="s">
        <v>1012</v>
      </c>
      <c r="AC1889" s="1" t="s">
        <v>97</v>
      </c>
      <c r="AD1889" s="1" t="s">
        <v>98</v>
      </c>
      <c r="AE1889" s="1" t="s">
        <v>98</v>
      </c>
      <c r="AF1889" s="1" t="s">
        <v>33253</v>
      </c>
      <c r="AG1889" s="1" t="s">
        <v>165</v>
      </c>
      <c r="AH1889" s="1" t="s">
        <v>1213</v>
      </c>
      <c r="AI1889" s="1" t="s">
        <v>515</v>
      </c>
      <c r="AJ1889" s="1">
        <v>61.8</v>
      </c>
      <c r="AK1889" s="1"/>
      <c r="AL1889" s="1" t="s">
        <v>33254</v>
      </c>
      <c r="AM1889" s="1" t="s">
        <v>165</v>
      </c>
      <c r="AN1889" s="1"/>
      <c r="AO1889" s="1" t="s">
        <v>166</v>
      </c>
      <c r="AP1889" s="1" t="s">
        <v>517</v>
      </c>
      <c r="AQ1889" s="1">
        <v>45.69</v>
      </c>
      <c r="AR1889" s="1"/>
      <c r="AS1889" s="1" t="s">
        <v>439</v>
      </c>
      <c r="AT1889" s="1" t="s">
        <v>33255</v>
      </c>
      <c r="AU1889" s="1" t="s">
        <v>167</v>
      </c>
      <c r="AV1889" s="1" t="s">
        <v>313</v>
      </c>
      <c r="AW1889" s="1">
        <v>61.27</v>
      </c>
      <c r="AX1889" s="1"/>
      <c r="AY1889" s="1" t="s">
        <v>31572</v>
      </c>
      <c r="AZ1889" s="1" t="s">
        <v>33256</v>
      </c>
      <c r="BA1889" s="1"/>
      <c r="BB1889" s="1"/>
      <c r="BC1889" s="1" t="s">
        <v>438</v>
      </c>
      <c r="BD1889" s="1" t="s">
        <v>521</v>
      </c>
      <c r="BE1889" s="1">
        <v>74.96</v>
      </c>
      <c r="BF1889" s="1">
        <v>8.33</v>
      </c>
      <c r="BG1889" s="1"/>
      <c r="BH1889" s="1"/>
      <c r="BI1889" s="1"/>
      <c r="BJ1889" s="1"/>
      <c r="BK1889" s="1"/>
      <c r="BL1889" s="1"/>
      <c r="BM1889" s="1"/>
      <c r="BN1889" s="1"/>
      <c r="BO1889" s="1" t="s">
        <v>369</v>
      </c>
      <c r="BP1889" s="1"/>
      <c r="BQ1889" s="1"/>
      <c r="BR1889" s="1" t="s">
        <v>33257</v>
      </c>
      <c r="BS1889" s="1">
        <v>7</v>
      </c>
      <c r="BT1889" s="1"/>
      <c r="BU1889" s="1" t="str">
        <f>HYPERLINK("https://nconnect.nicmar.ac.in/storage/profile/ProfilePhoto_p2270495_749652.jpg","Download")</f>
        <v>0</v>
      </c>
      <c r="BV1889" s="3"/>
      <c r="BW1889" s="3"/>
    </row>
    <row r="1890" spans="1:75">
      <c r="A1890" s="1" t="s">
        <v>75</v>
      </c>
      <c r="B1890" s="1" t="s">
        <v>25236</v>
      </c>
      <c r="C1890" s="1" t="s">
        <v>33258</v>
      </c>
      <c r="D1890" s="1" t="s">
        <v>33259</v>
      </c>
      <c r="E1890" s="1"/>
      <c r="F1890" s="1" t="s">
        <v>2250</v>
      </c>
      <c r="G1890" s="1" t="s">
        <v>33260</v>
      </c>
      <c r="H1890" s="1" t="s">
        <v>33261</v>
      </c>
      <c r="I1890" s="1" t="s">
        <v>33262</v>
      </c>
      <c r="J1890" s="1">
        <v>9634138881</v>
      </c>
      <c r="K1890" s="1" t="s">
        <v>84</v>
      </c>
      <c r="L1890" s="1" t="s">
        <v>33263</v>
      </c>
      <c r="M1890" s="1" t="s">
        <v>86</v>
      </c>
      <c r="N1890" s="1" t="s">
        <v>87</v>
      </c>
      <c r="O1890" s="1" t="s">
        <v>33264</v>
      </c>
      <c r="P1890" s="1" t="s">
        <v>455</v>
      </c>
      <c r="Q1890" s="1" t="s">
        <v>33265</v>
      </c>
      <c r="R1890" s="1" t="s">
        <v>33266</v>
      </c>
      <c r="S1890" s="1">
        <v>9412560482</v>
      </c>
      <c r="T1890" s="1" t="s">
        <v>839</v>
      </c>
      <c r="U1890" s="1" t="s">
        <v>33267</v>
      </c>
      <c r="V1890" s="1">
        <v>9410290382</v>
      </c>
      <c r="W1890" s="1" t="s">
        <v>94</v>
      </c>
      <c r="X1890" s="1" t="s">
        <v>33268</v>
      </c>
      <c r="Y1890" s="1" t="s">
        <v>28737</v>
      </c>
      <c r="Z1890" s="1" t="s">
        <v>544</v>
      </c>
      <c r="AA1890" s="1" t="s">
        <v>33268</v>
      </c>
      <c r="AB1890" s="1" t="s">
        <v>28737</v>
      </c>
      <c r="AC1890" s="1" t="s">
        <v>544</v>
      </c>
      <c r="AD1890" s="1" t="s">
        <v>98</v>
      </c>
      <c r="AE1890" s="1" t="s">
        <v>98</v>
      </c>
      <c r="AF1890" s="1" t="s">
        <v>33269</v>
      </c>
      <c r="AG1890" s="1" t="s">
        <v>33270</v>
      </c>
      <c r="AH1890" s="1" t="s">
        <v>3770</v>
      </c>
      <c r="AI1890" s="1" t="s">
        <v>134</v>
      </c>
      <c r="AJ1890" s="1">
        <v>77.2</v>
      </c>
      <c r="AK1890" s="1"/>
      <c r="AL1890" s="1" t="s">
        <v>33271</v>
      </c>
      <c r="AM1890" s="1" t="s">
        <v>33270</v>
      </c>
      <c r="AN1890" s="1"/>
      <c r="AO1890" s="1" t="s">
        <v>1214</v>
      </c>
      <c r="AP1890" s="1" t="s">
        <v>136</v>
      </c>
      <c r="AQ1890" s="1">
        <v>80.8</v>
      </c>
      <c r="AR1890" s="1"/>
      <c r="AS1890" s="1"/>
      <c r="AT1890" s="1"/>
      <c r="AU1890" s="1"/>
      <c r="AV1890" s="1"/>
      <c r="AW1890" s="1"/>
      <c r="AX1890" s="1"/>
      <c r="AY1890" s="1" t="s">
        <v>14921</v>
      </c>
      <c r="AZ1890" s="1" t="s">
        <v>33272</v>
      </c>
      <c r="BA1890" s="1"/>
      <c r="BB1890" s="1"/>
      <c r="BC1890" s="1" t="s">
        <v>139</v>
      </c>
      <c r="BD1890" s="1" t="s">
        <v>1040</v>
      </c>
      <c r="BE1890" s="1">
        <v>72.9</v>
      </c>
      <c r="BF1890" s="1">
        <v>7.29</v>
      </c>
      <c r="BG1890" s="1"/>
      <c r="BH1890" s="1"/>
      <c r="BI1890" s="1"/>
      <c r="BJ1890" s="1"/>
      <c r="BK1890" s="1"/>
      <c r="BL1890" s="1"/>
      <c r="BM1890" s="1"/>
      <c r="BN1890" s="1"/>
      <c r="BO1890" s="1" t="s">
        <v>33273</v>
      </c>
      <c r="BP1890" s="1"/>
      <c r="BQ1890" s="1"/>
      <c r="BR1890" s="1" t="s">
        <v>33274</v>
      </c>
      <c r="BS1890" s="1">
        <v>21</v>
      </c>
      <c r="BT1890" s="1"/>
      <c r="BU1890" s="1" t="str">
        <f>HYPERLINK("https://nconnect.nicmar.ac.in/storage/profile/ProfilePhoto_p2270496_217935.jpg","Download")</f>
        <v>0</v>
      </c>
      <c r="BV1890" s="3"/>
      <c r="BW1890" s="3"/>
    </row>
    <row r="1891" spans="1:75">
      <c r="A1891" s="1" t="s">
        <v>75</v>
      </c>
      <c r="B1891" s="1" t="s">
        <v>25236</v>
      </c>
      <c r="C1891" s="1" t="s">
        <v>33275</v>
      </c>
      <c r="D1891" s="1" t="s">
        <v>5004</v>
      </c>
      <c r="E1891" s="1" t="s">
        <v>3058</v>
      </c>
      <c r="F1891" s="1" t="s">
        <v>33276</v>
      </c>
      <c r="G1891" s="1" t="s">
        <v>33277</v>
      </c>
      <c r="H1891" s="1" t="s">
        <v>33278</v>
      </c>
      <c r="I1891" s="1" t="s">
        <v>33279</v>
      </c>
      <c r="J1891" s="1">
        <v>9653271110</v>
      </c>
      <c r="K1891" s="1" t="s">
        <v>84</v>
      </c>
      <c r="L1891" s="1" t="s">
        <v>32019</v>
      </c>
      <c r="M1891" s="1" t="s">
        <v>86</v>
      </c>
      <c r="N1891" s="1" t="s">
        <v>33280</v>
      </c>
      <c r="O1891" s="1" t="s">
        <v>33281</v>
      </c>
      <c r="P1891" s="1" t="s">
        <v>455</v>
      </c>
      <c r="Q1891" s="1" t="s">
        <v>33282</v>
      </c>
      <c r="R1891" s="1" t="s">
        <v>33283</v>
      </c>
      <c r="S1891" s="1">
        <v>9323950951</v>
      </c>
      <c r="T1891" s="1" t="s">
        <v>645</v>
      </c>
      <c r="U1891" s="1" t="s">
        <v>33284</v>
      </c>
      <c r="V1891" s="1">
        <v>9320050951</v>
      </c>
      <c r="W1891" s="1" t="s">
        <v>278</v>
      </c>
      <c r="X1891" s="1" t="s">
        <v>33285</v>
      </c>
      <c r="Y1891" s="1" t="s">
        <v>1012</v>
      </c>
      <c r="Z1891" s="1" t="s">
        <v>97</v>
      </c>
      <c r="AA1891" s="1" t="s">
        <v>33285</v>
      </c>
      <c r="AB1891" s="1" t="s">
        <v>1012</v>
      </c>
      <c r="AC1891" s="1" t="s">
        <v>97</v>
      </c>
      <c r="AD1891" s="1" t="s">
        <v>98</v>
      </c>
      <c r="AE1891" s="1" t="s">
        <v>98</v>
      </c>
      <c r="AF1891" s="1" t="s">
        <v>33286</v>
      </c>
      <c r="AG1891" s="1" t="s">
        <v>33287</v>
      </c>
      <c r="AH1891" s="1" t="s">
        <v>135</v>
      </c>
      <c r="AI1891" s="1" t="s">
        <v>342</v>
      </c>
      <c r="AJ1891" s="1">
        <v>83.2</v>
      </c>
      <c r="AK1891" s="1"/>
      <c r="AL1891" s="1" t="s">
        <v>33288</v>
      </c>
      <c r="AM1891" s="1" t="s">
        <v>33287</v>
      </c>
      <c r="AN1891" s="1"/>
      <c r="AO1891" s="1" t="s">
        <v>167</v>
      </c>
      <c r="AP1891" s="1" t="s">
        <v>230</v>
      </c>
      <c r="AQ1891" s="1">
        <v>63.69</v>
      </c>
      <c r="AR1891" s="1"/>
      <c r="AS1891" s="1"/>
      <c r="AT1891" s="1"/>
      <c r="AU1891" s="1"/>
      <c r="AV1891" s="1"/>
      <c r="AW1891" s="1"/>
      <c r="AX1891" s="1"/>
      <c r="AY1891" s="1" t="s">
        <v>680</v>
      </c>
      <c r="AZ1891" s="1" t="s">
        <v>26157</v>
      </c>
      <c r="BA1891" s="1"/>
      <c r="BB1891" s="1"/>
      <c r="BC1891" s="1" t="s">
        <v>230</v>
      </c>
      <c r="BD1891" s="1" t="s">
        <v>845</v>
      </c>
      <c r="BE1891" s="1">
        <v>67.4</v>
      </c>
      <c r="BF1891" s="1"/>
      <c r="BG1891" s="1"/>
      <c r="BH1891" s="1"/>
      <c r="BI1891" s="1"/>
      <c r="BJ1891" s="1"/>
      <c r="BK1891" s="1"/>
      <c r="BL1891" s="1"/>
      <c r="BM1891" s="1"/>
      <c r="BN1891" s="1"/>
      <c r="BO1891" s="1" t="s">
        <v>2267</v>
      </c>
      <c r="BP1891" s="1" t="s">
        <v>33289</v>
      </c>
      <c r="BQ1891" s="1" t="s">
        <v>292</v>
      </c>
      <c r="BR1891" s="1" t="s">
        <v>33290</v>
      </c>
      <c r="BS1891" s="1">
        <v>12</v>
      </c>
      <c r="BT1891" s="1"/>
      <c r="BU1891" s="1" t="str">
        <f>HYPERLINK("https://nconnect.nicmar.ac.in/storage/profile/ProfilePhoto_p2270497_438126.jpg","Download")</f>
        <v>0</v>
      </c>
      <c r="BV1891" s="3"/>
      <c r="BW1891" s="3"/>
    </row>
    <row r="1892" spans="1:75">
      <c r="A1892" s="1" t="s">
        <v>75</v>
      </c>
      <c r="B1892" s="1" t="s">
        <v>25236</v>
      </c>
      <c r="C1892" s="1" t="s">
        <v>33291</v>
      </c>
      <c r="D1892" s="1" t="s">
        <v>33292</v>
      </c>
      <c r="E1892" s="1"/>
      <c r="F1892" s="1" t="s">
        <v>33293</v>
      </c>
      <c r="G1892" s="1" t="s">
        <v>33294</v>
      </c>
      <c r="H1892" s="1" t="s">
        <v>33295</v>
      </c>
      <c r="I1892" s="1" t="s">
        <v>33296</v>
      </c>
      <c r="J1892" s="1">
        <v>8374989049</v>
      </c>
      <c r="K1892" s="1" t="s">
        <v>84</v>
      </c>
      <c r="L1892" s="1" t="s">
        <v>12623</v>
      </c>
      <c r="M1892" s="1" t="s">
        <v>86</v>
      </c>
      <c r="N1892" s="1" t="s">
        <v>4840</v>
      </c>
      <c r="O1892" s="1" t="s">
        <v>33297</v>
      </c>
      <c r="P1892" s="1" t="s">
        <v>507</v>
      </c>
      <c r="Q1892" s="1" t="s">
        <v>33298</v>
      </c>
      <c r="R1892" s="1" t="s">
        <v>33299</v>
      </c>
      <c r="S1892" s="1">
        <v>9440054767</v>
      </c>
      <c r="T1892" s="1" t="s">
        <v>159</v>
      </c>
      <c r="U1892" s="1" t="s">
        <v>33300</v>
      </c>
      <c r="V1892" s="1">
        <v>8374548096</v>
      </c>
      <c r="W1892" s="1" t="s">
        <v>161</v>
      </c>
      <c r="X1892" s="1" t="s">
        <v>33301</v>
      </c>
      <c r="Y1892" s="1" t="s">
        <v>1436</v>
      </c>
      <c r="Z1892" s="1" t="s">
        <v>281</v>
      </c>
      <c r="AA1892" s="1" t="s">
        <v>33301</v>
      </c>
      <c r="AB1892" s="1" t="s">
        <v>1436</v>
      </c>
      <c r="AC1892" s="1" t="s">
        <v>281</v>
      </c>
      <c r="AD1892" s="1" t="s">
        <v>98</v>
      </c>
      <c r="AE1892" s="1" t="s">
        <v>98</v>
      </c>
      <c r="AF1892" s="1" t="s">
        <v>33302</v>
      </c>
      <c r="AG1892" s="1" t="s">
        <v>2341</v>
      </c>
      <c r="AH1892" s="1" t="s">
        <v>342</v>
      </c>
      <c r="AI1892" s="1" t="s">
        <v>284</v>
      </c>
      <c r="AJ1892" s="1">
        <v>92</v>
      </c>
      <c r="AK1892" s="1">
        <v>9.2</v>
      </c>
      <c r="AL1892" s="1"/>
      <c r="AM1892" s="1"/>
      <c r="AN1892" s="1"/>
      <c r="AO1892" s="1"/>
      <c r="AP1892" s="1"/>
      <c r="AQ1892" s="1"/>
      <c r="AR1892" s="1"/>
      <c r="AS1892" s="1" t="s">
        <v>103</v>
      </c>
      <c r="AT1892" s="1" t="s">
        <v>33303</v>
      </c>
      <c r="AU1892" s="1" t="s">
        <v>139</v>
      </c>
      <c r="AV1892" s="1" t="s">
        <v>547</v>
      </c>
      <c r="AW1892" s="1">
        <v>92.95</v>
      </c>
      <c r="AX1892" s="1"/>
      <c r="AY1892" s="1" t="s">
        <v>11536</v>
      </c>
      <c r="AZ1892" s="1" t="s">
        <v>33304</v>
      </c>
      <c r="BA1892" s="1"/>
      <c r="BB1892" s="1"/>
      <c r="BC1892" s="1" t="s">
        <v>438</v>
      </c>
      <c r="BD1892" s="1" t="s">
        <v>632</v>
      </c>
      <c r="BE1892" s="1">
        <v>78.9</v>
      </c>
      <c r="BF1892" s="1">
        <v>7.89</v>
      </c>
      <c r="BG1892" s="1"/>
      <c r="BH1892" s="1"/>
      <c r="BI1892" s="1"/>
      <c r="BJ1892" s="1"/>
      <c r="BK1892" s="1"/>
      <c r="BL1892" s="1"/>
      <c r="BM1892" s="1"/>
      <c r="BN1892" s="1"/>
      <c r="BO1892" s="1" t="s">
        <v>5989</v>
      </c>
      <c r="BP1892" s="1"/>
      <c r="BQ1892" s="1"/>
      <c r="BR1892" s="1" t="s">
        <v>33305</v>
      </c>
      <c r="BS1892" s="1">
        <v>58</v>
      </c>
      <c r="BT1892" s="1"/>
      <c r="BU1892" s="1" t="str">
        <f>HYPERLINK("https://nconnect.nicmar.ac.in/storage/profile/ProfilePhoto_p2270498_956371.jpg","Download")</f>
        <v>0</v>
      </c>
      <c r="BV1892" s="3"/>
      <c r="BW1892" s="3"/>
    </row>
    <row r="1893" spans="1:75">
      <c r="A1893" s="1" t="s">
        <v>75</v>
      </c>
      <c r="B1893" s="1" t="s">
        <v>25236</v>
      </c>
      <c r="C1893" s="1" t="s">
        <v>33306</v>
      </c>
      <c r="D1893" s="1" t="s">
        <v>4766</v>
      </c>
      <c r="E1893" s="1"/>
      <c r="F1893" s="1" t="s">
        <v>33307</v>
      </c>
      <c r="G1893" s="1" t="s">
        <v>33308</v>
      </c>
      <c r="H1893" s="1" t="s">
        <v>33309</v>
      </c>
      <c r="I1893" s="1" t="s">
        <v>33310</v>
      </c>
      <c r="J1893" s="1">
        <v>9131351908</v>
      </c>
      <c r="K1893" s="1" t="s">
        <v>153</v>
      </c>
      <c r="L1893" s="1" t="s">
        <v>33311</v>
      </c>
      <c r="M1893" s="1" t="s">
        <v>86</v>
      </c>
      <c r="N1893" s="1" t="s">
        <v>33312</v>
      </c>
      <c r="O1893" s="1" t="s">
        <v>33313</v>
      </c>
      <c r="P1893" s="1" t="s">
        <v>507</v>
      </c>
      <c r="Q1893" s="1" t="s">
        <v>33314</v>
      </c>
      <c r="R1893" s="1" t="s">
        <v>33315</v>
      </c>
      <c r="S1893" s="1">
        <v>7771029557</v>
      </c>
      <c r="T1893" s="1" t="s">
        <v>926</v>
      </c>
      <c r="U1893" s="1" t="s">
        <v>33316</v>
      </c>
      <c r="V1893" s="1">
        <v>9406165420</v>
      </c>
      <c r="W1893" s="1" t="s">
        <v>161</v>
      </c>
      <c r="X1893" s="1" t="s">
        <v>33317</v>
      </c>
      <c r="Y1893" s="1" t="s">
        <v>2932</v>
      </c>
      <c r="Z1893" s="1" t="s">
        <v>2933</v>
      </c>
      <c r="AA1893" s="1" t="s">
        <v>33317</v>
      </c>
      <c r="AB1893" s="1" t="s">
        <v>2932</v>
      </c>
      <c r="AC1893" s="1" t="s">
        <v>2933</v>
      </c>
      <c r="AD1893" s="1" t="s">
        <v>98</v>
      </c>
      <c r="AE1893" s="1" t="s">
        <v>98</v>
      </c>
      <c r="AF1893" s="1" t="s">
        <v>33318</v>
      </c>
      <c r="AG1893" s="1" t="s">
        <v>33319</v>
      </c>
      <c r="AH1893" s="1" t="s">
        <v>3421</v>
      </c>
      <c r="AI1893" s="1" t="s">
        <v>1262</v>
      </c>
      <c r="AJ1893" s="1">
        <v>70.3</v>
      </c>
      <c r="AK1893" s="1">
        <v>7.4</v>
      </c>
      <c r="AL1893" s="1" t="s">
        <v>33318</v>
      </c>
      <c r="AM1893" s="1" t="s">
        <v>33319</v>
      </c>
      <c r="AN1893" s="1"/>
      <c r="AO1893" s="1" t="s">
        <v>1110</v>
      </c>
      <c r="AP1893" s="1" t="s">
        <v>627</v>
      </c>
      <c r="AQ1893" s="1">
        <v>63.6</v>
      </c>
      <c r="AR1893" s="1">
        <v>0</v>
      </c>
      <c r="AS1893" s="1"/>
      <c r="AT1893" s="1"/>
      <c r="AU1893" s="1"/>
      <c r="AV1893" s="1"/>
      <c r="AW1893" s="1"/>
      <c r="AX1893" s="1"/>
      <c r="AY1893" s="1" t="s">
        <v>33320</v>
      </c>
      <c r="AZ1893" s="1" t="s">
        <v>33321</v>
      </c>
      <c r="BA1893" s="1"/>
      <c r="BB1893" s="1"/>
      <c r="BC1893" s="1" t="s">
        <v>139</v>
      </c>
      <c r="BD1893" s="1" t="s">
        <v>847</v>
      </c>
      <c r="BE1893" s="1">
        <v>86.1</v>
      </c>
      <c r="BF1893" s="1">
        <v>8.61</v>
      </c>
      <c r="BG1893" s="1"/>
      <c r="BH1893" s="1"/>
      <c r="BI1893" s="1"/>
      <c r="BJ1893" s="1"/>
      <c r="BK1893" s="1"/>
      <c r="BL1893" s="1"/>
      <c r="BM1893" s="1"/>
      <c r="BN1893" s="1"/>
      <c r="BO1893" s="1" t="s">
        <v>33322</v>
      </c>
      <c r="BP1893" s="1" t="s">
        <v>33323</v>
      </c>
      <c r="BQ1893" s="1" t="s">
        <v>292</v>
      </c>
      <c r="BR1893" s="1" t="s">
        <v>33324</v>
      </c>
      <c r="BS1893" s="1">
        <v>45</v>
      </c>
      <c r="BT1893" s="1"/>
      <c r="BU1893" s="1" t="str">
        <f>HYPERLINK("https://nconnect.nicmar.ac.in/storage/profile/ProfilePhoto_p2270499_273458.jpg","Download")</f>
        <v>0</v>
      </c>
      <c r="BV1893" s="3"/>
      <c r="BW1893" s="3"/>
    </row>
    <row r="1894" spans="1:75">
      <c r="A1894" s="1" t="s">
        <v>75</v>
      </c>
      <c r="B1894" s="1" t="s">
        <v>25236</v>
      </c>
      <c r="C1894" s="1" t="s">
        <v>33325</v>
      </c>
      <c r="D1894" s="1" t="s">
        <v>12383</v>
      </c>
      <c r="E1894" s="1"/>
      <c r="F1894" s="1" t="s">
        <v>2250</v>
      </c>
      <c r="G1894" s="1" t="s">
        <v>33326</v>
      </c>
      <c r="H1894" s="1" t="s">
        <v>33327</v>
      </c>
      <c r="I1894" s="1" t="s">
        <v>33328</v>
      </c>
      <c r="J1894" s="1">
        <v>8878781778</v>
      </c>
      <c r="K1894" s="1" t="s">
        <v>84</v>
      </c>
      <c r="L1894" s="1" t="s">
        <v>33329</v>
      </c>
      <c r="M1894" s="1" t="s">
        <v>86</v>
      </c>
      <c r="N1894" s="1" t="s">
        <v>13516</v>
      </c>
      <c r="O1894" s="1" t="s">
        <v>33330</v>
      </c>
      <c r="P1894" s="1" t="s">
        <v>481</v>
      </c>
      <c r="Q1894" s="1" t="s">
        <v>33331</v>
      </c>
      <c r="R1894" s="1" t="s">
        <v>33332</v>
      </c>
      <c r="S1894" s="1">
        <v>9425006382</v>
      </c>
      <c r="T1894" s="1" t="s">
        <v>33333</v>
      </c>
      <c r="U1894" s="1" t="s">
        <v>33334</v>
      </c>
      <c r="V1894" s="1">
        <v>9425300393</v>
      </c>
      <c r="W1894" s="1" t="s">
        <v>1577</v>
      </c>
      <c r="X1894" s="1" t="s">
        <v>33335</v>
      </c>
      <c r="Y1894" s="1" t="s">
        <v>7949</v>
      </c>
      <c r="Z1894" s="1" t="s">
        <v>3419</v>
      </c>
      <c r="AA1894" s="1" t="s">
        <v>33336</v>
      </c>
      <c r="AB1894" s="1" t="s">
        <v>196</v>
      </c>
      <c r="AC1894" s="1" t="s">
        <v>97</v>
      </c>
      <c r="AD1894" s="1" t="s">
        <v>98</v>
      </c>
      <c r="AE1894" s="1" t="s">
        <v>98</v>
      </c>
      <c r="AF1894" s="1" t="s">
        <v>33337</v>
      </c>
      <c r="AG1894" s="1" t="s">
        <v>33338</v>
      </c>
      <c r="AH1894" s="1" t="s">
        <v>3421</v>
      </c>
      <c r="AI1894" s="1" t="s">
        <v>1214</v>
      </c>
      <c r="AJ1894" s="1">
        <v>62.7</v>
      </c>
      <c r="AK1894" s="1">
        <v>6.6</v>
      </c>
      <c r="AL1894" s="1" t="s">
        <v>33339</v>
      </c>
      <c r="AM1894" s="1" t="s">
        <v>33338</v>
      </c>
      <c r="AN1894" s="1"/>
      <c r="AO1894" s="1" t="s">
        <v>1110</v>
      </c>
      <c r="AP1894" s="1" t="s">
        <v>284</v>
      </c>
      <c r="AQ1894" s="1">
        <v>65.8</v>
      </c>
      <c r="AR1894" s="1">
        <v>7</v>
      </c>
      <c r="AS1894" s="1"/>
      <c r="AT1894" s="1"/>
      <c r="AU1894" s="1"/>
      <c r="AV1894" s="1"/>
      <c r="AW1894" s="1"/>
      <c r="AX1894" s="1"/>
      <c r="AY1894" s="1" t="s">
        <v>33340</v>
      </c>
      <c r="AZ1894" s="1" t="s">
        <v>33341</v>
      </c>
      <c r="BA1894" s="1"/>
      <c r="BB1894" s="1"/>
      <c r="BC1894" s="1" t="s">
        <v>284</v>
      </c>
      <c r="BD1894" s="1" t="s">
        <v>2304</v>
      </c>
      <c r="BE1894" s="1">
        <v>70.8</v>
      </c>
      <c r="BF1894" s="1">
        <v>7.58</v>
      </c>
      <c r="BG1894" s="1"/>
      <c r="BH1894" s="1"/>
      <c r="BI1894" s="1"/>
      <c r="BJ1894" s="1"/>
      <c r="BK1894" s="1"/>
      <c r="BL1894" s="1"/>
      <c r="BM1894" s="1"/>
      <c r="BN1894" s="1"/>
      <c r="BO1894" s="1" t="s">
        <v>33342</v>
      </c>
      <c r="BP1894" s="1" t="s">
        <v>33343</v>
      </c>
      <c r="BQ1894" s="1" t="s">
        <v>2116</v>
      </c>
      <c r="BR1894" s="1" t="s">
        <v>33344</v>
      </c>
      <c r="BS1894" s="1">
        <v>27</v>
      </c>
      <c r="BT1894" s="1"/>
      <c r="BU1894" s="1" t="str">
        <f>HYPERLINK("https://nconnect.nicmar.ac.in/storage/profile/ProfilePhoto_p2270500_379218.jpg","Download")</f>
        <v>0</v>
      </c>
      <c r="BV1894" s="3"/>
      <c r="BW1894" s="3"/>
    </row>
    <row r="1895" spans="1:75">
      <c r="A1895" s="1" t="s">
        <v>75</v>
      </c>
      <c r="B1895" s="1" t="s">
        <v>25236</v>
      </c>
      <c r="C1895" s="1" t="s">
        <v>33345</v>
      </c>
      <c r="D1895" s="1" t="s">
        <v>6136</v>
      </c>
      <c r="E1895" s="1" t="s">
        <v>5230</v>
      </c>
      <c r="F1895" s="1" t="s">
        <v>33346</v>
      </c>
      <c r="G1895" s="1" t="s">
        <v>33347</v>
      </c>
      <c r="H1895" s="1" t="s">
        <v>33348</v>
      </c>
      <c r="I1895" s="1" t="s">
        <v>33349</v>
      </c>
      <c r="J1895" s="1">
        <v>9158146423</v>
      </c>
      <c r="K1895" s="1" t="s">
        <v>84</v>
      </c>
      <c r="L1895" s="1" t="s">
        <v>33350</v>
      </c>
      <c r="M1895" s="1" t="s">
        <v>86</v>
      </c>
      <c r="N1895" s="1" t="s">
        <v>33351</v>
      </c>
      <c r="O1895" s="1" t="s">
        <v>33352</v>
      </c>
      <c r="P1895" s="1" t="s">
        <v>507</v>
      </c>
      <c r="Q1895" s="1" t="s">
        <v>33353</v>
      </c>
      <c r="R1895" s="1" t="s">
        <v>33354</v>
      </c>
      <c r="S1895" s="1">
        <v>9422090846</v>
      </c>
      <c r="T1895" s="1" t="s">
        <v>839</v>
      </c>
      <c r="U1895" s="1" t="s">
        <v>33355</v>
      </c>
      <c r="V1895" s="1">
        <v>9158146423</v>
      </c>
      <c r="W1895" s="1" t="s">
        <v>278</v>
      </c>
      <c r="X1895" s="1" t="s">
        <v>33356</v>
      </c>
      <c r="Y1895" s="1" t="s">
        <v>4302</v>
      </c>
      <c r="Z1895" s="1" t="s">
        <v>97</v>
      </c>
      <c r="AA1895" s="1" t="s">
        <v>33356</v>
      </c>
      <c r="AB1895" s="1" t="s">
        <v>4302</v>
      </c>
      <c r="AC1895" s="1" t="s">
        <v>97</v>
      </c>
      <c r="AD1895" s="1" t="s">
        <v>98</v>
      </c>
      <c r="AE1895" s="1" t="s">
        <v>98</v>
      </c>
      <c r="AF1895" s="1" t="s">
        <v>1945</v>
      </c>
      <c r="AG1895" s="1" t="s">
        <v>33357</v>
      </c>
      <c r="AH1895" s="1" t="s">
        <v>1213</v>
      </c>
      <c r="AI1895" s="1" t="s">
        <v>1262</v>
      </c>
      <c r="AJ1895" s="1">
        <v>73.4</v>
      </c>
      <c r="AK1895" s="1"/>
      <c r="AL1895" s="1"/>
      <c r="AM1895" s="1"/>
      <c r="AN1895" s="1"/>
      <c r="AO1895" s="1"/>
      <c r="AP1895" s="1"/>
      <c r="AQ1895" s="1"/>
      <c r="AR1895" s="1"/>
      <c r="AS1895" s="1" t="s">
        <v>439</v>
      </c>
      <c r="AT1895" s="1" t="s">
        <v>33358</v>
      </c>
      <c r="AU1895" s="1" t="s">
        <v>101</v>
      </c>
      <c r="AV1895" s="1" t="s">
        <v>313</v>
      </c>
      <c r="AW1895" s="1">
        <v>55.58</v>
      </c>
      <c r="AX1895" s="1"/>
      <c r="AY1895" s="1" t="s">
        <v>680</v>
      </c>
      <c r="AZ1895" s="1" t="s">
        <v>33359</v>
      </c>
      <c r="BA1895" s="1"/>
      <c r="BB1895" s="1"/>
      <c r="BC1895" s="1" t="s">
        <v>438</v>
      </c>
      <c r="BD1895" s="1" t="s">
        <v>632</v>
      </c>
      <c r="BE1895" s="1">
        <v>70.02</v>
      </c>
      <c r="BF1895" s="1">
        <v>7.84</v>
      </c>
      <c r="BG1895" s="1"/>
      <c r="BH1895" s="1"/>
      <c r="BI1895" s="1"/>
      <c r="BJ1895" s="1"/>
      <c r="BK1895" s="1"/>
      <c r="BL1895" s="1"/>
      <c r="BM1895" s="1"/>
      <c r="BN1895" s="1"/>
      <c r="BO1895" s="1" t="s">
        <v>8688</v>
      </c>
      <c r="BP1895" s="1"/>
      <c r="BQ1895" s="1"/>
      <c r="BR1895" s="1" t="s">
        <v>33360</v>
      </c>
      <c r="BS1895" s="1">
        <v>7</v>
      </c>
      <c r="BT1895" s="1"/>
      <c r="BU1895" s="1" t="str">
        <f>HYPERLINK("https://nconnect.nicmar.ac.in/storage/profile/ProfilePhoto_p2270501_945623.jpg","Download")</f>
        <v>0</v>
      </c>
      <c r="BV1895" s="3"/>
      <c r="BW1895" s="3"/>
    </row>
    <row r="1896" spans="1:75">
      <c r="A1896" s="1" t="s">
        <v>75</v>
      </c>
      <c r="B1896" s="1" t="s">
        <v>25236</v>
      </c>
      <c r="C1896" s="1" t="s">
        <v>33361</v>
      </c>
      <c r="D1896" s="1" t="s">
        <v>8789</v>
      </c>
      <c r="E1896" s="1" t="s">
        <v>33362</v>
      </c>
      <c r="F1896" s="1" t="s">
        <v>33363</v>
      </c>
      <c r="G1896" s="1" t="s">
        <v>33364</v>
      </c>
      <c r="H1896" s="1" t="s">
        <v>33365</v>
      </c>
      <c r="I1896" s="1" t="s">
        <v>33366</v>
      </c>
      <c r="J1896" s="1">
        <v>7778824825</v>
      </c>
      <c r="K1896" s="1" t="s">
        <v>84</v>
      </c>
      <c r="L1896" s="1" t="s">
        <v>21145</v>
      </c>
      <c r="M1896" s="1" t="s">
        <v>86</v>
      </c>
      <c r="N1896" s="1" t="s">
        <v>33367</v>
      </c>
      <c r="O1896" s="1" t="s">
        <v>33368</v>
      </c>
      <c r="P1896" s="1" t="s">
        <v>455</v>
      </c>
      <c r="Q1896" s="1" t="s">
        <v>33369</v>
      </c>
      <c r="R1896" s="1" t="s">
        <v>33370</v>
      </c>
      <c r="S1896" s="1">
        <v>9898583672</v>
      </c>
      <c r="T1896" s="1" t="s">
        <v>839</v>
      </c>
      <c r="U1896" s="1" t="s">
        <v>33371</v>
      </c>
      <c r="V1896" s="1">
        <v>9409353538</v>
      </c>
      <c r="W1896" s="1" t="s">
        <v>161</v>
      </c>
      <c r="X1896" s="1" t="s">
        <v>33372</v>
      </c>
      <c r="Y1896" s="1" t="s">
        <v>32025</v>
      </c>
      <c r="Z1896" s="1" t="s">
        <v>676</v>
      </c>
      <c r="AA1896" s="1" t="s">
        <v>33372</v>
      </c>
      <c r="AB1896" s="1" t="s">
        <v>32025</v>
      </c>
      <c r="AC1896" s="1" t="s">
        <v>676</v>
      </c>
      <c r="AD1896" s="1" t="s">
        <v>98</v>
      </c>
      <c r="AE1896" s="1" t="s">
        <v>98</v>
      </c>
      <c r="AF1896" s="1" t="s">
        <v>33373</v>
      </c>
      <c r="AG1896" s="1" t="s">
        <v>33374</v>
      </c>
      <c r="AH1896" s="1" t="s">
        <v>1262</v>
      </c>
      <c r="AI1896" s="1" t="s">
        <v>1110</v>
      </c>
      <c r="AJ1896" s="1">
        <v>75.66</v>
      </c>
      <c r="AK1896" s="1">
        <v>0</v>
      </c>
      <c r="AL1896" s="1" t="s">
        <v>33373</v>
      </c>
      <c r="AM1896" s="1" t="s">
        <v>33374</v>
      </c>
      <c r="AN1896" s="1"/>
      <c r="AO1896" s="1" t="s">
        <v>166</v>
      </c>
      <c r="AP1896" s="1" t="s">
        <v>573</v>
      </c>
      <c r="AQ1896" s="1">
        <v>59.78</v>
      </c>
      <c r="AR1896" s="1">
        <v>0</v>
      </c>
      <c r="AS1896" s="1"/>
      <c r="AT1896" s="1"/>
      <c r="AU1896" s="1"/>
      <c r="AV1896" s="1"/>
      <c r="AW1896" s="1"/>
      <c r="AX1896" s="1"/>
      <c r="AY1896" s="1" t="s">
        <v>31418</v>
      </c>
      <c r="AZ1896" s="1" t="s">
        <v>33375</v>
      </c>
      <c r="BA1896" s="1"/>
      <c r="BB1896" s="1"/>
      <c r="BC1896" s="1" t="s">
        <v>230</v>
      </c>
      <c r="BD1896" s="1" t="s">
        <v>2304</v>
      </c>
      <c r="BE1896" s="1">
        <v>76.6</v>
      </c>
      <c r="BF1896" s="1">
        <v>7.7</v>
      </c>
      <c r="BG1896" s="1"/>
      <c r="BH1896" s="1"/>
      <c r="BI1896" s="1"/>
      <c r="BJ1896" s="1"/>
      <c r="BK1896" s="1"/>
      <c r="BL1896" s="1"/>
      <c r="BM1896" s="1"/>
      <c r="BN1896" s="1"/>
      <c r="BO1896" s="1" t="s">
        <v>33376</v>
      </c>
      <c r="BP1896" s="1" t="s">
        <v>33377</v>
      </c>
      <c r="BQ1896" s="1" t="s">
        <v>1043</v>
      </c>
      <c r="BR1896" s="1" t="s">
        <v>33378</v>
      </c>
      <c r="BS1896" s="1">
        <v>17</v>
      </c>
      <c r="BT1896" s="1"/>
      <c r="BU1896" s="1" t="str">
        <f>HYPERLINK("https://nconnect.nicmar.ac.in/storage/profile/ProfilePhoto_p2270502_217458.jpg","Download")</f>
        <v>0</v>
      </c>
      <c r="BV1896" s="3"/>
      <c r="BW1896" s="3"/>
    </row>
    <row r="1897" spans="1:75">
      <c r="A1897" s="1" t="s">
        <v>75</v>
      </c>
      <c r="B1897" s="1" t="s">
        <v>25236</v>
      </c>
      <c r="C1897" s="1" t="s">
        <v>33379</v>
      </c>
      <c r="D1897" s="1" t="s">
        <v>33380</v>
      </c>
      <c r="E1897" s="1"/>
      <c r="F1897" s="1" t="s">
        <v>587</v>
      </c>
      <c r="G1897" s="1" t="s">
        <v>33381</v>
      </c>
      <c r="H1897" s="1" t="s">
        <v>33382</v>
      </c>
      <c r="I1897" s="1" t="s">
        <v>33383</v>
      </c>
      <c r="J1897" s="1">
        <v>9789233900</v>
      </c>
      <c r="K1897" s="1" t="s">
        <v>153</v>
      </c>
      <c r="L1897" s="1" t="s">
        <v>26044</v>
      </c>
      <c r="M1897" s="1" t="s">
        <v>86</v>
      </c>
      <c r="N1897" s="1" t="s">
        <v>33384</v>
      </c>
      <c r="O1897" s="1" t="s">
        <v>33385</v>
      </c>
      <c r="P1897" s="1" t="s">
        <v>507</v>
      </c>
      <c r="Q1897" s="1" t="s">
        <v>33386</v>
      </c>
      <c r="R1897" s="1" t="s">
        <v>33387</v>
      </c>
      <c r="S1897" s="1">
        <v>9443676146</v>
      </c>
      <c r="T1897" s="1" t="s">
        <v>839</v>
      </c>
      <c r="U1897" s="1" t="s">
        <v>33388</v>
      </c>
      <c r="V1897" s="1">
        <v>8903218958</v>
      </c>
      <c r="W1897" s="1" t="s">
        <v>94</v>
      </c>
      <c r="X1897" s="1" t="s">
        <v>33389</v>
      </c>
      <c r="Y1897" s="1" t="s">
        <v>18215</v>
      </c>
      <c r="Z1897" s="1" t="s">
        <v>570</v>
      </c>
      <c r="AA1897" s="1" t="s">
        <v>33389</v>
      </c>
      <c r="AB1897" s="1" t="s">
        <v>18215</v>
      </c>
      <c r="AC1897" s="1" t="s">
        <v>570</v>
      </c>
      <c r="AD1897" s="1" t="s">
        <v>98</v>
      </c>
      <c r="AE1897" s="1" t="s">
        <v>98</v>
      </c>
      <c r="AF1897" s="1" t="s">
        <v>33390</v>
      </c>
      <c r="AG1897" s="1" t="s">
        <v>33391</v>
      </c>
      <c r="AH1897" s="1" t="s">
        <v>1213</v>
      </c>
      <c r="AI1897" s="1" t="s">
        <v>1262</v>
      </c>
      <c r="AJ1897" s="1">
        <v>95</v>
      </c>
      <c r="AK1897" s="1"/>
      <c r="AL1897" s="1" t="s">
        <v>33390</v>
      </c>
      <c r="AM1897" s="1" t="s">
        <v>33391</v>
      </c>
      <c r="AN1897" s="1"/>
      <c r="AO1897" s="1" t="s">
        <v>166</v>
      </c>
      <c r="AP1897" s="1" t="s">
        <v>627</v>
      </c>
      <c r="AQ1897" s="1">
        <v>88</v>
      </c>
      <c r="AR1897" s="1"/>
      <c r="AS1897" s="1"/>
      <c r="AT1897" s="1"/>
      <c r="AU1897" s="1"/>
      <c r="AV1897" s="1"/>
      <c r="AW1897" s="1"/>
      <c r="AX1897" s="1"/>
      <c r="AY1897" s="1" t="s">
        <v>33392</v>
      </c>
      <c r="AZ1897" s="1" t="s">
        <v>33393</v>
      </c>
      <c r="BA1897" s="1"/>
      <c r="BB1897" s="1"/>
      <c r="BC1897" s="1" t="s">
        <v>139</v>
      </c>
      <c r="BD1897" s="1" t="s">
        <v>2304</v>
      </c>
      <c r="BE1897" s="1">
        <v>85.1</v>
      </c>
      <c r="BF1897" s="1">
        <v>8.51</v>
      </c>
      <c r="BG1897" s="1"/>
      <c r="BH1897" s="1"/>
      <c r="BI1897" s="1"/>
      <c r="BJ1897" s="1"/>
      <c r="BK1897" s="1"/>
      <c r="BL1897" s="1"/>
      <c r="BM1897" s="1"/>
      <c r="BN1897" s="1"/>
      <c r="BO1897" s="1" t="s">
        <v>33394</v>
      </c>
      <c r="BP1897" s="1"/>
      <c r="BQ1897" s="1"/>
      <c r="BR1897" s="1" t="s">
        <v>33395</v>
      </c>
      <c r="BS1897" s="1">
        <v>41</v>
      </c>
      <c r="BT1897" s="1"/>
      <c r="BU1897" s="1" t="str">
        <f>HYPERLINK("https://nconnect.nicmar.ac.in/storage/profile/ProfilePhoto_p2270503_345672.jpg","Download")</f>
        <v>0</v>
      </c>
      <c r="BV1897" s="3"/>
      <c r="BW1897" s="3"/>
    </row>
    <row r="1898" spans="1:75">
      <c r="A1898" s="1" t="s">
        <v>75</v>
      </c>
      <c r="B1898" s="1" t="s">
        <v>25236</v>
      </c>
      <c r="C1898" s="1" t="s">
        <v>33396</v>
      </c>
      <c r="D1898" s="1" t="s">
        <v>940</v>
      </c>
      <c r="E1898" s="1"/>
      <c r="F1898" s="1" t="s">
        <v>33397</v>
      </c>
      <c r="G1898" s="1" t="s">
        <v>33398</v>
      </c>
      <c r="H1898" s="1" t="s">
        <v>33399</v>
      </c>
      <c r="I1898" s="1" t="s">
        <v>33400</v>
      </c>
      <c r="J1898" s="1">
        <v>7026546734</v>
      </c>
      <c r="K1898" s="1" t="s">
        <v>84</v>
      </c>
      <c r="L1898" s="1" t="s">
        <v>26112</v>
      </c>
      <c r="M1898" s="1" t="s">
        <v>86</v>
      </c>
      <c r="N1898" s="1" t="s">
        <v>14464</v>
      </c>
      <c r="O1898" s="1" t="s">
        <v>33401</v>
      </c>
      <c r="P1898" s="1" t="s">
        <v>481</v>
      </c>
      <c r="Q1898" s="1" t="s">
        <v>33402</v>
      </c>
      <c r="R1898" s="1" t="s">
        <v>33403</v>
      </c>
      <c r="S1898" s="1">
        <v>8553527333</v>
      </c>
      <c r="T1898" s="1" t="s">
        <v>4486</v>
      </c>
      <c r="U1898" s="1" t="s">
        <v>32429</v>
      </c>
      <c r="V1898" s="1">
        <v>8123526977</v>
      </c>
      <c r="W1898" s="1" t="s">
        <v>161</v>
      </c>
      <c r="X1898" s="1" t="s">
        <v>33404</v>
      </c>
      <c r="Y1898" s="1" t="s">
        <v>3132</v>
      </c>
      <c r="Z1898" s="1" t="s">
        <v>1210</v>
      </c>
      <c r="AA1898" s="1" t="s">
        <v>33404</v>
      </c>
      <c r="AB1898" s="1" t="s">
        <v>3132</v>
      </c>
      <c r="AC1898" s="1" t="s">
        <v>1210</v>
      </c>
      <c r="AD1898" s="1" t="s">
        <v>98</v>
      </c>
      <c r="AE1898" s="1" t="s">
        <v>98</v>
      </c>
      <c r="AF1898" s="1" t="s">
        <v>33405</v>
      </c>
      <c r="AG1898" s="1" t="s">
        <v>33406</v>
      </c>
      <c r="AH1898" s="1" t="s">
        <v>102</v>
      </c>
      <c r="AI1898" s="1" t="s">
        <v>1111</v>
      </c>
      <c r="AJ1898" s="1">
        <v>90.08</v>
      </c>
      <c r="AK1898" s="1"/>
      <c r="AL1898" s="1" t="s">
        <v>33407</v>
      </c>
      <c r="AM1898" s="1" t="s">
        <v>33408</v>
      </c>
      <c r="AN1898" s="1"/>
      <c r="AO1898" s="1" t="s">
        <v>704</v>
      </c>
      <c r="AP1898" s="1" t="s">
        <v>490</v>
      </c>
      <c r="AQ1898" s="1">
        <v>56.66</v>
      </c>
      <c r="AR1898" s="1"/>
      <c r="AS1898" s="1"/>
      <c r="AT1898" s="1"/>
      <c r="AU1898" s="1"/>
      <c r="AV1898" s="1"/>
      <c r="AW1898" s="1"/>
      <c r="AX1898" s="1"/>
      <c r="AY1898" s="1" t="s">
        <v>1217</v>
      </c>
      <c r="AZ1898" s="1" t="s">
        <v>33409</v>
      </c>
      <c r="BA1898" s="1"/>
      <c r="BB1898" s="1"/>
      <c r="BC1898" s="1" t="s">
        <v>1065</v>
      </c>
      <c r="BD1898" s="1" t="s">
        <v>1400</v>
      </c>
      <c r="BE1898" s="1">
        <v>73.4</v>
      </c>
      <c r="BF1898" s="1">
        <v>8.08</v>
      </c>
      <c r="BG1898" s="1"/>
      <c r="BH1898" s="1"/>
      <c r="BI1898" s="1"/>
      <c r="BJ1898" s="1"/>
      <c r="BK1898" s="1"/>
      <c r="BL1898" s="1"/>
      <c r="BM1898" s="1"/>
      <c r="BN1898" s="1"/>
      <c r="BO1898" s="1" t="s">
        <v>33410</v>
      </c>
      <c r="BP1898" s="1"/>
      <c r="BQ1898" s="1"/>
      <c r="BR1898" s="1" t="s">
        <v>33411</v>
      </c>
      <c r="BS1898" s="1">
        <v>10</v>
      </c>
      <c r="BT1898" s="1"/>
      <c r="BU1898" s="1" t="str">
        <f>HYPERLINK("https://nconnect.nicmar.ac.in/storage/profile/ProfilePhoto_p2270504_278951.jpg","Download")</f>
        <v>0</v>
      </c>
      <c r="BV1898" s="3"/>
      <c r="BW1898" s="3"/>
    </row>
    <row r="1899" spans="1:75">
      <c r="A1899" s="1" t="s">
        <v>75</v>
      </c>
      <c r="B1899" s="1" t="s">
        <v>25236</v>
      </c>
      <c r="C1899" s="1" t="s">
        <v>33412</v>
      </c>
      <c r="D1899" s="1" t="s">
        <v>8361</v>
      </c>
      <c r="E1899" s="1" t="s">
        <v>5466</v>
      </c>
      <c r="F1899" s="1" t="s">
        <v>5940</v>
      </c>
      <c r="G1899" s="1" t="s">
        <v>33413</v>
      </c>
      <c r="H1899" s="1" t="s">
        <v>33414</v>
      </c>
      <c r="I1899" s="1" t="s">
        <v>33415</v>
      </c>
      <c r="J1899" s="1">
        <v>9757069413</v>
      </c>
      <c r="K1899" s="1" t="s">
        <v>84</v>
      </c>
      <c r="L1899" s="1" t="s">
        <v>1655</v>
      </c>
      <c r="M1899" s="1" t="s">
        <v>33416</v>
      </c>
      <c r="N1899" s="1" t="s">
        <v>618</v>
      </c>
      <c r="O1899" s="1" t="s">
        <v>33417</v>
      </c>
      <c r="P1899" s="1" t="s">
        <v>2062</v>
      </c>
      <c r="Q1899" s="1" t="s">
        <v>33418</v>
      </c>
      <c r="R1899" s="1" t="s">
        <v>33419</v>
      </c>
      <c r="S1899" s="1">
        <v>8657464611</v>
      </c>
      <c r="T1899" s="1" t="s">
        <v>125</v>
      </c>
      <c r="U1899" s="1" t="s">
        <v>33420</v>
      </c>
      <c r="V1899" s="1">
        <v>9137312292</v>
      </c>
      <c r="W1899" s="1" t="s">
        <v>161</v>
      </c>
      <c r="X1899" s="1" t="s">
        <v>33421</v>
      </c>
      <c r="Y1899" s="1" t="s">
        <v>2259</v>
      </c>
      <c r="Z1899" s="1" t="s">
        <v>97</v>
      </c>
      <c r="AA1899" s="1" t="s">
        <v>33421</v>
      </c>
      <c r="AB1899" s="1" t="s">
        <v>2259</v>
      </c>
      <c r="AC1899" s="1" t="s">
        <v>97</v>
      </c>
      <c r="AD1899" s="1" t="s">
        <v>98</v>
      </c>
      <c r="AE1899" s="1" t="s">
        <v>98</v>
      </c>
      <c r="AF1899" s="1" t="s">
        <v>33422</v>
      </c>
      <c r="AG1899" s="1" t="s">
        <v>996</v>
      </c>
      <c r="AH1899" s="1" t="s">
        <v>166</v>
      </c>
      <c r="AI1899" s="1" t="s">
        <v>1111</v>
      </c>
      <c r="AJ1899" s="1">
        <v>89.2</v>
      </c>
      <c r="AK1899" s="1"/>
      <c r="AL1899" s="1"/>
      <c r="AM1899" s="1"/>
      <c r="AN1899" s="1"/>
      <c r="AO1899" s="1"/>
      <c r="AP1899" s="1"/>
      <c r="AQ1899" s="1"/>
      <c r="AR1899" s="1"/>
      <c r="AS1899" s="1" t="s">
        <v>103</v>
      </c>
      <c r="AT1899" s="1" t="s">
        <v>33423</v>
      </c>
      <c r="AU1899" s="1" t="s">
        <v>139</v>
      </c>
      <c r="AV1899" s="1" t="s">
        <v>438</v>
      </c>
      <c r="AW1899" s="1">
        <v>82.1</v>
      </c>
      <c r="AX1899" s="1"/>
      <c r="AY1899" s="1" t="s">
        <v>680</v>
      </c>
      <c r="AZ1899" s="1" t="s">
        <v>33424</v>
      </c>
      <c r="BA1899" s="1"/>
      <c r="BB1899" s="1"/>
      <c r="BC1899" s="1" t="s">
        <v>206</v>
      </c>
      <c r="BD1899" s="1" t="s">
        <v>110</v>
      </c>
      <c r="BE1899" s="1">
        <v>78.4</v>
      </c>
      <c r="BF1899" s="1">
        <v>9.04</v>
      </c>
      <c r="BG1899" s="1"/>
      <c r="BH1899" s="1"/>
      <c r="BI1899" s="1"/>
      <c r="BJ1899" s="1"/>
      <c r="BK1899" s="1"/>
      <c r="BL1899" s="1"/>
      <c r="BM1899" s="1"/>
      <c r="BN1899" s="1"/>
      <c r="BO1899" s="1" t="s">
        <v>1114</v>
      </c>
      <c r="BP1899" s="1"/>
      <c r="BQ1899" s="1"/>
      <c r="BR1899" s="1" t="s">
        <v>33425</v>
      </c>
      <c r="BS1899" s="1">
        <v>11</v>
      </c>
      <c r="BT1899" s="1"/>
      <c r="BU1899" s="1" t="str">
        <f>HYPERLINK("https://nconnect.nicmar.ac.in/storage/profile/ProfilePhoto_p2270505_762938.jpg","Download")</f>
        <v>0</v>
      </c>
      <c r="BV1899" s="3"/>
      <c r="BW1899" s="3"/>
    </row>
    <row r="1900" spans="1:75">
      <c r="A1900" s="1" t="s">
        <v>75</v>
      </c>
      <c r="B1900" s="1" t="s">
        <v>25236</v>
      </c>
      <c r="C1900" s="1" t="s">
        <v>33426</v>
      </c>
      <c r="D1900" s="1" t="s">
        <v>8789</v>
      </c>
      <c r="E1900" s="1" t="s">
        <v>1612</v>
      </c>
      <c r="F1900" s="1" t="s">
        <v>33346</v>
      </c>
      <c r="G1900" s="1" t="s">
        <v>33427</v>
      </c>
      <c r="H1900" s="1" t="s">
        <v>33428</v>
      </c>
      <c r="I1900" s="1" t="s">
        <v>33429</v>
      </c>
      <c r="J1900" s="1">
        <v>9867988822</v>
      </c>
      <c r="K1900" s="1" t="s">
        <v>84</v>
      </c>
      <c r="L1900" s="1" t="s">
        <v>24608</v>
      </c>
      <c r="M1900" s="1" t="s">
        <v>86</v>
      </c>
      <c r="N1900" s="1" t="s">
        <v>33430</v>
      </c>
      <c r="O1900" s="1"/>
      <c r="P1900" s="1" t="s">
        <v>507</v>
      </c>
      <c r="Q1900" s="1" t="s">
        <v>33431</v>
      </c>
      <c r="R1900" s="1" t="s">
        <v>33432</v>
      </c>
      <c r="S1900" s="1">
        <v>8097527509</v>
      </c>
      <c r="T1900" s="1" t="s">
        <v>839</v>
      </c>
      <c r="U1900" s="1" t="s">
        <v>33433</v>
      </c>
      <c r="V1900" s="1">
        <v>9892119005</v>
      </c>
      <c r="W1900" s="1" t="s">
        <v>278</v>
      </c>
      <c r="X1900" s="1" t="s">
        <v>33434</v>
      </c>
      <c r="Y1900" s="1" t="s">
        <v>2259</v>
      </c>
      <c r="Z1900" s="1" t="s">
        <v>97</v>
      </c>
      <c r="AA1900" s="1" t="s">
        <v>33434</v>
      </c>
      <c r="AB1900" s="1" t="s">
        <v>2259</v>
      </c>
      <c r="AC1900" s="1" t="s">
        <v>97</v>
      </c>
      <c r="AD1900" s="1" t="s">
        <v>98</v>
      </c>
      <c r="AE1900" s="1" t="s">
        <v>98</v>
      </c>
      <c r="AF1900" s="1" t="s">
        <v>33435</v>
      </c>
      <c r="AG1900" s="1" t="s">
        <v>33436</v>
      </c>
      <c r="AH1900" s="1" t="s">
        <v>135</v>
      </c>
      <c r="AI1900" s="1" t="s">
        <v>102</v>
      </c>
      <c r="AJ1900" s="1">
        <v>68.8</v>
      </c>
      <c r="AK1900" s="1"/>
      <c r="AL1900" s="1" t="s">
        <v>33437</v>
      </c>
      <c r="AM1900" s="1" t="s">
        <v>33436</v>
      </c>
      <c r="AN1900" s="1"/>
      <c r="AO1900" s="1" t="s">
        <v>388</v>
      </c>
      <c r="AP1900" s="1" t="s">
        <v>1477</v>
      </c>
      <c r="AQ1900" s="1">
        <v>58.77</v>
      </c>
      <c r="AR1900" s="1"/>
      <c r="AS1900" s="1"/>
      <c r="AT1900" s="1"/>
      <c r="AU1900" s="1"/>
      <c r="AV1900" s="1"/>
      <c r="AW1900" s="1"/>
      <c r="AX1900" s="1"/>
      <c r="AY1900" s="1" t="s">
        <v>680</v>
      </c>
      <c r="AZ1900" s="1" t="s">
        <v>2266</v>
      </c>
      <c r="BA1900" s="1"/>
      <c r="BB1900" s="1"/>
      <c r="BC1900" s="1" t="s">
        <v>17163</v>
      </c>
      <c r="BD1900" s="1" t="s">
        <v>1886</v>
      </c>
      <c r="BE1900" s="1">
        <v>68.24</v>
      </c>
      <c r="BF1900" s="1">
        <v>7.6</v>
      </c>
      <c r="BG1900" s="1"/>
      <c r="BH1900" s="1"/>
      <c r="BI1900" s="1"/>
      <c r="BJ1900" s="1"/>
      <c r="BK1900" s="1"/>
      <c r="BL1900" s="1"/>
      <c r="BM1900" s="1"/>
      <c r="BN1900" s="1"/>
      <c r="BO1900" s="1" t="s">
        <v>33438</v>
      </c>
      <c r="BP1900" s="1"/>
      <c r="BQ1900" s="1"/>
      <c r="BR1900" s="1" t="s">
        <v>33439</v>
      </c>
      <c r="BS1900" s="1">
        <v>59</v>
      </c>
      <c r="BT1900" s="1"/>
      <c r="BU1900" s="1" t="str">
        <f>HYPERLINK("https://nconnect.nicmar.ac.in/storage/profile/ProfilePhoto_p2270506_269185.jpg","Download")</f>
        <v>0</v>
      </c>
      <c r="BV1900" s="3"/>
      <c r="BW1900" s="3"/>
    </row>
    <row r="1901" spans="1:75">
      <c r="A1901" s="1" t="s">
        <v>75</v>
      </c>
      <c r="B1901" s="1" t="s">
        <v>25236</v>
      </c>
      <c r="C1901" s="1" t="s">
        <v>33440</v>
      </c>
      <c r="D1901" s="1" t="s">
        <v>33441</v>
      </c>
      <c r="E1901" s="1"/>
      <c r="F1901" s="1" t="s">
        <v>784</v>
      </c>
      <c r="G1901" s="1" t="s">
        <v>33442</v>
      </c>
      <c r="H1901" s="1" t="s">
        <v>33443</v>
      </c>
      <c r="I1901" s="1" t="s">
        <v>33444</v>
      </c>
      <c r="J1901" s="1">
        <v>9066058468</v>
      </c>
      <c r="K1901" s="1" t="s">
        <v>153</v>
      </c>
      <c r="L1901" s="1" t="s">
        <v>33445</v>
      </c>
      <c r="M1901" s="1" t="s">
        <v>86</v>
      </c>
      <c r="N1901" s="1" t="s">
        <v>4278</v>
      </c>
      <c r="O1901" s="1" t="s">
        <v>25912</v>
      </c>
      <c r="P1901" s="1" t="s">
        <v>507</v>
      </c>
      <c r="Q1901" s="1" t="s">
        <v>33446</v>
      </c>
      <c r="R1901" s="1" t="s">
        <v>33447</v>
      </c>
      <c r="S1901" s="1">
        <v>9066058468</v>
      </c>
      <c r="T1901" s="1" t="s">
        <v>33448</v>
      </c>
      <c r="U1901" s="1" t="s">
        <v>33449</v>
      </c>
      <c r="V1901" s="1">
        <v>8987207720</v>
      </c>
      <c r="W1901" s="1" t="s">
        <v>541</v>
      </c>
      <c r="X1901" s="1" t="s">
        <v>33450</v>
      </c>
      <c r="Y1901" s="1" t="s">
        <v>648</v>
      </c>
      <c r="Z1901" s="1" t="s">
        <v>649</v>
      </c>
      <c r="AA1901" s="1" t="s">
        <v>33450</v>
      </c>
      <c r="AB1901" s="1" t="s">
        <v>648</v>
      </c>
      <c r="AC1901" s="1" t="s">
        <v>649</v>
      </c>
      <c r="AD1901" s="1" t="s">
        <v>98</v>
      </c>
      <c r="AE1901" s="1" t="s">
        <v>98</v>
      </c>
      <c r="AF1901" s="1" t="s">
        <v>1624</v>
      </c>
      <c r="AG1901" s="1" t="s">
        <v>33451</v>
      </c>
      <c r="AH1901" s="1" t="s">
        <v>3770</v>
      </c>
      <c r="AI1901" s="1" t="s">
        <v>1457</v>
      </c>
      <c r="AJ1901" s="1">
        <v>93.1</v>
      </c>
      <c r="AK1901" s="1">
        <v>9.8</v>
      </c>
      <c r="AL1901" s="1" t="s">
        <v>1624</v>
      </c>
      <c r="AM1901" s="1" t="s">
        <v>33451</v>
      </c>
      <c r="AN1901" s="1"/>
      <c r="AO1901" s="1" t="s">
        <v>1214</v>
      </c>
      <c r="AP1901" s="1" t="s">
        <v>102</v>
      </c>
      <c r="AQ1901" s="1">
        <v>86</v>
      </c>
      <c r="AR1901" s="1"/>
      <c r="AS1901" s="1"/>
      <c r="AT1901" s="1"/>
      <c r="AU1901" s="1"/>
      <c r="AV1901" s="1"/>
      <c r="AW1901" s="1"/>
      <c r="AX1901" s="1"/>
      <c r="AY1901" s="1" t="s">
        <v>4616</v>
      </c>
      <c r="AZ1901" s="1" t="s">
        <v>33452</v>
      </c>
      <c r="BA1901" s="1"/>
      <c r="BB1901" s="1"/>
      <c r="BC1901" s="1" t="s">
        <v>105</v>
      </c>
      <c r="BD1901" s="1" t="s">
        <v>313</v>
      </c>
      <c r="BE1901" s="1">
        <v>80.3</v>
      </c>
      <c r="BF1901" s="1">
        <v>8.78</v>
      </c>
      <c r="BG1901" s="1"/>
      <c r="BH1901" s="1"/>
      <c r="BI1901" s="1"/>
      <c r="BJ1901" s="1"/>
      <c r="BK1901" s="1"/>
      <c r="BL1901" s="1"/>
      <c r="BM1901" s="1"/>
      <c r="BN1901" s="1"/>
      <c r="BO1901" s="1" t="s">
        <v>1114</v>
      </c>
      <c r="BP1901" s="1"/>
      <c r="BQ1901" s="1"/>
      <c r="BR1901" s="1" t="s">
        <v>33453</v>
      </c>
      <c r="BS1901" s="1">
        <v>13</v>
      </c>
      <c r="BT1901" s="1"/>
      <c r="BU1901" s="1" t="str">
        <f>HYPERLINK("https://nconnect.nicmar.ac.in/storage/profile/ProfilePhoto_p2270507_954673.jpg","Download")</f>
        <v>0</v>
      </c>
      <c r="BV1901" s="3"/>
      <c r="BW1901" s="3"/>
    </row>
    <row r="1902" spans="1:75">
      <c r="A1902" s="1" t="s">
        <v>75</v>
      </c>
      <c r="B1902" s="1" t="s">
        <v>25236</v>
      </c>
      <c r="C1902" s="1" t="s">
        <v>33454</v>
      </c>
      <c r="D1902" s="1" t="s">
        <v>784</v>
      </c>
      <c r="E1902" s="1" t="s">
        <v>9295</v>
      </c>
      <c r="F1902" s="1" t="s">
        <v>33455</v>
      </c>
      <c r="G1902" s="1" t="s">
        <v>33456</v>
      </c>
      <c r="H1902" s="1" t="s">
        <v>33457</v>
      </c>
      <c r="I1902" s="1" t="s">
        <v>33458</v>
      </c>
      <c r="J1902" s="1">
        <v>8605985558</v>
      </c>
      <c r="K1902" s="1" t="s">
        <v>84</v>
      </c>
      <c r="L1902" s="1" t="s">
        <v>33459</v>
      </c>
      <c r="M1902" s="1" t="s">
        <v>86</v>
      </c>
      <c r="N1902" s="1" t="s">
        <v>618</v>
      </c>
      <c r="O1902" s="1"/>
      <c r="P1902" s="1" t="s">
        <v>507</v>
      </c>
      <c r="Q1902" s="1" t="s">
        <v>33460</v>
      </c>
      <c r="R1902" s="1" t="s">
        <v>33461</v>
      </c>
      <c r="S1902" s="1">
        <v>9420866846</v>
      </c>
      <c r="T1902" s="1" t="s">
        <v>33462</v>
      </c>
      <c r="U1902" s="1" t="s">
        <v>33463</v>
      </c>
      <c r="V1902" s="1">
        <v>9766117870</v>
      </c>
      <c r="W1902" s="1" t="s">
        <v>127</v>
      </c>
      <c r="X1902" s="1" t="s">
        <v>33464</v>
      </c>
      <c r="Y1902" s="1" t="s">
        <v>410</v>
      </c>
      <c r="Z1902" s="1" t="s">
        <v>97</v>
      </c>
      <c r="AA1902" s="1" t="s">
        <v>33464</v>
      </c>
      <c r="AB1902" s="1" t="s">
        <v>410</v>
      </c>
      <c r="AC1902" s="1" t="s">
        <v>97</v>
      </c>
      <c r="AD1902" s="1" t="s">
        <v>98</v>
      </c>
      <c r="AE1902" s="1" t="s">
        <v>98</v>
      </c>
      <c r="AF1902" s="1" t="s">
        <v>33465</v>
      </c>
      <c r="AG1902" s="1" t="s">
        <v>8948</v>
      </c>
      <c r="AH1902" s="1" t="s">
        <v>3285</v>
      </c>
      <c r="AI1902" s="1" t="s">
        <v>3965</v>
      </c>
      <c r="AJ1902" s="1">
        <v>83.45</v>
      </c>
      <c r="AK1902" s="1"/>
      <c r="AL1902" s="1" t="s">
        <v>33466</v>
      </c>
      <c r="AM1902" s="1" t="s">
        <v>8948</v>
      </c>
      <c r="AN1902" s="1"/>
      <c r="AO1902" s="1" t="s">
        <v>1213</v>
      </c>
      <c r="AP1902" s="1" t="s">
        <v>3967</v>
      </c>
      <c r="AQ1902" s="1">
        <v>56</v>
      </c>
      <c r="AR1902" s="1"/>
      <c r="AS1902" s="1"/>
      <c r="AT1902" s="1"/>
      <c r="AU1902" s="1"/>
      <c r="AV1902" s="1"/>
      <c r="AW1902" s="1"/>
      <c r="AX1902" s="1"/>
      <c r="AY1902" s="1" t="s">
        <v>415</v>
      </c>
      <c r="AZ1902" s="1" t="s">
        <v>33467</v>
      </c>
      <c r="BA1902" s="1"/>
      <c r="BB1902" s="1"/>
      <c r="BC1902" s="1" t="s">
        <v>101</v>
      </c>
      <c r="BD1902" s="1" t="s">
        <v>106</v>
      </c>
      <c r="BE1902" s="1">
        <v>65.2</v>
      </c>
      <c r="BF1902" s="1">
        <v>7.27</v>
      </c>
      <c r="BG1902" s="1"/>
      <c r="BH1902" s="1"/>
      <c r="BI1902" s="1"/>
      <c r="BJ1902" s="1"/>
      <c r="BK1902" s="1"/>
      <c r="BL1902" s="1"/>
      <c r="BM1902" s="1"/>
      <c r="BN1902" s="1"/>
      <c r="BO1902" s="1" t="s">
        <v>2267</v>
      </c>
      <c r="BP1902" s="1" t="s">
        <v>33468</v>
      </c>
      <c r="BQ1902" s="1" t="s">
        <v>345</v>
      </c>
      <c r="BR1902" s="1" t="s">
        <v>33469</v>
      </c>
      <c r="BS1902" s="1">
        <v>7</v>
      </c>
      <c r="BT1902" s="1"/>
      <c r="BU1902" s="1" t="str">
        <f>HYPERLINK("https://nconnect.nicmar.ac.in/storage/profile/ProfilePhoto_p2270508_789652.jpg","Download")</f>
        <v>0</v>
      </c>
      <c r="BV1902" s="3"/>
      <c r="BW1902" s="3"/>
    </row>
    <row r="1903" spans="1:75">
      <c r="A1903" s="1" t="s">
        <v>75</v>
      </c>
      <c r="B1903" s="1" t="s">
        <v>25236</v>
      </c>
      <c r="C1903" s="1" t="s">
        <v>33470</v>
      </c>
      <c r="D1903" s="1" t="s">
        <v>8156</v>
      </c>
      <c r="E1903" s="1"/>
      <c r="F1903" s="1" t="s">
        <v>33471</v>
      </c>
      <c r="G1903" s="1" t="s">
        <v>33472</v>
      </c>
      <c r="H1903" s="1" t="s">
        <v>33473</v>
      </c>
      <c r="I1903" s="1" t="s">
        <v>33474</v>
      </c>
      <c r="J1903" s="1">
        <v>8130813450</v>
      </c>
      <c r="K1903" s="1" t="s">
        <v>84</v>
      </c>
      <c r="L1903" s="1" t="s">
        <v>17172</v>
      </c>
      <c r="M1903" s="1" t="s">
        <v>86</v>
      </c>
      <c r="N1903" s="1" t="s">
        <v>355</v>
      </c>
      <c r="O1903" s="1" t="s">
        <v>33475</v>
      </c>
      <c r="P1903" s="1"/>
      <c r="Q1903" s="1" t="s">
        <v>33476</v>
      </c>
      <c r="R1903" s="1" t="s">
        <v>33477</v>
      </c>
      <c r="S1903" s="1">
        <v>9871420450</v>
      </c>
      <c r="T1903" s="1" t="s">
        <v>4776</v>
      </c>
      <c r="U1903" s="1" t="s">
        <v>33478</v>
      </c>
      <c r="V1903" s="1">
        <v>9811630450</v>
      </c>
      <c r="W1903" s="1" t="s">
        <v>161</v>
      </c>
      <c r="X1903" s="1" t="s">
        <v>33479</v>
      </c>
      <c r="Y1903" s="1" t="s">
        <v>25440</v>
      </c>
      <c r="Z1903" s="1" t="s">
        <v>1739</v>
      </c>
      <c r="AA1903" s="1" t="s">
        <v>33479</v>
      </c>
      <c r="AB1903" s="1" t="s">
        <v>25440</v>
      </c>
      <c r="AC1903" s="1" t="s">
        <v>1739</v>
      </c>
      <c r="AD1903" s="1" t="s">
        <v>98</v>
      </c>
      <c r="AE1903" s="1" t="s">
        <v>98</v>
      </c>
      <c r="AF1903" s="1" t="s">
        <v>33480</v>
      </c>
      <c r="AG1903" s="1" t="s">
        <v>2475</v>
      </c>
      <c r="AH1903" s="1" t="s">
        <v>1214</v>
      </c>
      <c r="AI1903" s="1" t="s">
        <v>102</v>
      </c>
      <c r="AJ1903" s="1">
        <v>74.1</v>
      </c>
      <c r="AK1903" s="1">
        <v>7.8</v>
      </c>
      <c r="AL1903" s="1" t="s">
        <v>33480</v>
      </c>
      <c r="AM1903" s="1" t="s">
        <v>2475</v>
      </c>
      <c r="AN1903" s="1"/>
      <c r="AO1903" s="1" t="s">
        <v>284</v>
      </c>
      <c r="AP1903" s="1" t="s">
        <v>286</v>
      </c>
      <c r="AQ1903" s="1">
        <v>48.1</v>
      </c>
      <c r="AR1903" s="1"/>
      <c r="AS1903" s="1"/>
      <c r="AT1903" s="1"/>
      <c r="AU1903" s="1"/>
      <c r="AV1903" s="1"/>
      <c r="AW1903" s="1"/>
      <c r="AX1903" s="1"/>
      <c r="AY1903" s="1" t="s">
        <v>10309</v>
      </c>
      <c r="AZ1903" s="1" t="s">
        <v>33481</v>
      </c>
      <c r="BA1903" s="1"/>
      <c r="BB1903" s="1"/>
      <c r="BC1903" s="1" t="s">
        <v>1065</v>
      </c>
      <c r="BD1903" s="1" t="s">
        <v>110</v>
      </c>
      <c r="BE1903" s="1">
        <v>70.79</v>
      </c>
      <c r="BF1903" s="1">
        <v>8.04</v>
      </c>
      <c r="BG1903" s="1"/>
      <c r="BH1903" s="1"/>
      <c r="BI1903" s="1"/>
      <c r="BJ1903" s="1"/>
      <c r="BK1903" s="1"/>
      <c r="BL1903" s="1"/>
      <c r="BM1903" s="1"/>
      <c r="BN1903" s="1"/>
      <c r="BO1903" s="1" t="s">
        <v>1114</v>
      </c>
      <c r="BP1903" s="1"/>
      <c r="BQ1903" s="1"/>
      <c r="BR1903" s="1" t="s">
        <v>33482</v>
      </c>
      <c r="BS1903" s="1">
        <v>7</v>
      </c>
      <c r="BT1903" s="1"/>
      <c r="BU1903" s="1" t="str">
        <f>HYPERLINK("https://nconnect.nicmar.ac.in/storage/profile/ProfilePhoto_p2270509_931674.jpg","Download")</f>
        <v>0</v>
      </c>
      <c r="BV1903" s="3"/>
      <c r="BW1903" s="3"/>
    </row>
    <row r="1904" spans="1:75">
      <c r="A1904" s="1" t="s">
        <v>75</v>
      </c>
      <c r="B1904" s="1" t="s">
        <v>25236</v>
      </c>
      <c r="C1904" s="1" t="s">
        <v>33483</v>
      </c>
      <c r="D1904" s="1" t="s">
        <v>3545</v>
      </c>
      <c r="E1904" s="1" t="s">
        <v>5753</v>
      </c>
      <c r="F1904" s="1" t="s">
        <v>1179</v>
      </c>
      <c r="G1904" s="1" t="s">
        <v>33484</v>
      </c>
      <c r="H1904" s="1" t="s">
        <v>33485</v>
      </c>
      <c r="I1904" s="1" t="s">
        <v>33486</v>
      </c>
      <c r="J1904" s="1">
        <v>9604546816</v>
      </c>
      <c r="K1904" s="1" t="s">
        <v>84</v>
      </c>
      <c r="L1904" s="1" t="s">
        <v>13495</v>
      </c>
      <c r="M1904" s="1" t="s">
        <v>86</v>
      </c>
      <c r="N1904" s="1" t="s">
        <v>13516</v>
      </c>
      <c r="O1904" s="1" t="s">
        <v>33487</v>
      </c>
      <c r="P1904" s="1" t="s">
        <v>455</v>
      </c>
      <c r="Q1904" s="1" t="s">
        <v>33488</v>
      </c>
      <c r="R1904" s="1" t="s">
        <v>33489</v>
      </c>
      <c r="S1904" s="1">
        <v>9922812411</v>
      </c>
      <c r="T1904" s="1" t="s">
        <v>159</v>
      </c>
      <c r="U1904" s="1" t="s">
        <v>3000</v>
      </c>
      <c r="V1904" s="1">
        <v>8975015670</v>
      </c>
      <c r="W1904" s="1" t="s">
        <v>33490</v>
      </c>
      <c r="X1904" s="1" t="s">
        <v>33491</v>
      </c>
      <c r="Y1904" s="1" t="s">
        <v>5181</v>
      </c>
      <c r="Z1904" s="1" t="s">
        <v>97</v>
      </c>
      <c r="AA1904" s="1" t="s">
        <v>33491</v>
      </c>
      <c r="AB1904" s="1" t="s">
        <v>5181</v>
      </c>
      <c r="AC1904" s="1" t="s">
        <v>97</v>
      </c>
      <c r="AD1904" s="1" t="s">
        <v>98</v>
      </c>
      <c r="AE1904" s="1" t="s">
        <v>98</v>
      </c>
      <c r="AF1904" s="1" t="s">
        <v>33492</v>
      </c>
      <c r="AG1904" s="1" t="s">
        <v>4090</v>
      </c>
      <c r="AH1904" s="1" t="s">
        <v>102</v>
      </c>
      <c r="AI1904" s="1" t="s">
        <v>1111</v>
      </c>
      <c r="AJ1904" s="1">
        <v>81.6</v>
      </c>
      <c r="AK1904" s="1"/>
      <c r="AL1904" s="1" t="s">
        <v>33493</v>
      </c>
      <c r="AM1904" s="1" t="s">
        <v>4090</v>
      </c>
      <c r="AN1904" s="1"/>
      <c r="AO1904" s="1" t="s">
        <v>170</v>
      </c>
      <c r="AP1904" s="1" t="s">
        <v>1477</v>
      </c>
      <c r="AQ1904" s="1">
        <v>64.31</v>
      </c>
      <c r="AR1904" s="1"/>
      <c r="AS1904" s="1"/>
      <c r="AT1904" s="1"/>
      <c r="AU1904" s="1"/>
      <c r="AV1904" s="1"/>
      <c r="AW1904" s="1"/>
      <c r="AX1904" s="1"/>
      <c r="AY1904" s="1" t="s">
        <v>1887</v>
      </c>
      <c r="AZ1904" s="1" t="s">
        <v>33494</v>
      </c>
      <c r="BA1904" s="1"/>
      <c r="BB1904" s="1"/>
      <c r="BC1904" s="1" t="s">
        <v>1065</v>
      </c>
      <c r="BD1904" s="1" t="s">
        <v>289</v>
      </c>
      <c r="BE1904" s="1">
        <v>67.1</v>
      </c>
      <c r="BF1904" s="1">
        <v>7.46</v>
      </c>
      <c r="BG1904" s="1"/>
      <c r="BH1904" s="1"/>
      <c r="BI1904" s="1"/>
      <c r="BJ1904" s="1"/>
      <c r="BK1904" s="1"/>
      <c r="BL1904" s="1"/>
      <c r="BM1904" s="1"/>
      <c r="BN1904" s="1"/>
      <c r="BO1904" s="1" t="s">
        <v>3508</v>
      </c>
      <c r="BP1904" s="1"/>
      <c r="BQ1904" s="1"/>
      <c r="BR1904" s="1" t="s">
        <v>33495</v>
      </c>
      <c r="BS1904" s="1">
        <v>28</v>
      </c>
      <c r="BT1904" s="1"/>
      <c r="BU1904" s="1" t="str">
        <f>HYPERLINK("https://nconnect.nicmar.ac.in/storage/profile/ProfilePhoto_p2270510_613857.jpg","Download")</f>
        <v>0</v>
      </c>
      <c r="BV1904" s="3"/>
      <c r="BW1904" s="3"/>
    </row>
    <row r="1905" spans="1:75">
      <c r="A1905" s="1" t="s">
        <v>75</v>
      </c>
      <c r="B1905" s="1" t="s">
        <v>25236</v>
      </c>
      <c r="C1905" s="1" t="s">
        <v>33496</v>
      </c>
      <c r="D1905" s="1" t="s">
        <v>3974</v>
      </c>
      <c r="E1905" s="1"/>
      <c r="F1905" s="1" t="s">
        <v>33497</v>
      </c>
      <c r="G1905" s="1" t="s">
        <v>33498</v>
      </c>
      <c r="H1905" s="1" t="s">
        <v>33499</v>
      </c>
      <c r="I1905" s="1" t="s">
        <v>33500</v>
      </c>
      <c r="J1905" s="1">
        <v>8310097425</v>
      </c>
      <c r="K1905" s="1" t="s">
        <v>153</v>
      </c>
      <c r="L1905" s="1" t="s">
        <v>27659</v>
      </c>
      <c r="M1905" s="1" t="s">
        <v>86</v>
      </c>
      <c r="N1905" s="1" t="s">
        <v>33501</v>
      </c>
      <c r="O1905" s="1" t="s">
        <v>33502</v>
      </c>
      <c r="P1905" s="1" t="s">
        <v>507</v>
      </c>
      <c r="Q1905" s="1" t="s">
        <v>33503</v>
      </c>
      <c r="R1905" s="1" t="s">
        <v>33504</v>
      </c>
      <c r="S1905" s="1">
        <v>9972045075</v>
      </c>
      <c r="T1905" s="1" t="s">
        <v>6160</v>
      </c>
      <c r="U1905" s="1" t="s">
        <v>33505</v>
      </c>
      <c r="V1905" s="1">
        <v>9972045072</v>
      </c>
      <c r="W1905" s="1" t="s">
        <v>94</v>
      </c>
      <c r="X1905" s="1" t="s">
        <v>33506</v>
      </c>
      <c r="Y1905" s="1" t="s">
        <v>3132</v>
      </c>
      <c r="Z1905" s="1" t="s">
        <v>1210</v>
      </c>
      <c r="AA1905" s="1" t="s">
        <v>33506</v>
      </c>
      <c r="AB1905" s="1" t="s">
        <v>3132</v>
      </c>
      <c r="AC1905" s="1" t="s">
        <v>1210</v>
      </c>
      <c r="AD1905" s="1" t="s">
        <v>98</v>
      </c>
      <c r="AE1905" s="1" t="s">
        <v>98</v>
      </c>
      <c r="AF1905" s="1" t="s">
        <v>33507</v>
      </c>
      <c r="AG1905" s="1" t="s">
        <v>775</v>
      </c>
      <c r="AH1905" s="1" t="s">
        <v>4593</v>
      </c>
      <c r="AI1905" s="1" t="s">
        <v>3965</v>
      </c>
      <c r="AJ1905" s="1">
        <v>83.6</v>
      </c>
      <c r="AK1905" s="1">
        <v>8.8</v>
      </c>
      <c r="AL1905" s="1" t="s">
        <v>33508</v>
      </c>
      <c r="AM1905" s="1" t="s">
        <v>775</v>
      </c>
      <c r="AN1905" s="1"/>
      <c r="AO1905" s="1" t="s">
        <v>25321</v>
      </c>
      <c r="AP1905" s="1" t="s">
        <v>515</v>
      </c>
      <c r="AQ1905" s="1">
        <v>59.83</v>
      </c>
      <c r="AR1905" s="1"/>
      <c r="AS1905" s="1"/>
      <c r="AT1905" s="1"/>
      <c r="AU1905" s="1"/>
      <c r="AV1905" s="1"/>
      <c r="AW1905" s="1"/>
      <c r="AX1905" s="1"/>
      <c r="AY1905" s="1" t="s">
        <v>731</v>
      </c>
      <c r="AZ1905" s="1" t="s">
        <v>33509</v>
      </c>
      <c r="BA1905" s="1"/>
      <c r="BB1905" s="1"/>
      <c r="BC1905" s="1" t="s">
        <v>257</v>
      </c>
      <c r="BD1905" s="1" t="s">
        <v>438</v>
      </c>
      <c r="BE1905" s="1">
        <v>59.96</v>
      </c>
      <c r="BF1905" s="1"/>
      <c r="BG1905" s="1"/>
      <c r="BH1905" s="1"/>
      <c r="BI1905" s="1"/>
      <c r="BJ1905" s="1"/>
      <c r="BK1905" s="1"/>
      <c r="BL1905" s="1"/>
      <c r="BM1905" s="1"/>
      <c r="BN1905" s="1"/>
      <c r="BO1905" s="1" t="s">
        <v>33510</v>
      </c>
      <c r="BP1905" s="1" t="s">
        <v>33511</v>
      </c>
      <c r="BQ1905" s="1" t="s">
        <v>582</v>
      </c>
      <c r="BR1905" s="1" t="s">
        <v>33512</v>
      </c>
      <c r="BS1905" s="1">
        <v>23</v>
      </c>
      <c r="BT1905" s="1"/>
      <c r="BU1905" s="1" t="str">
        <f>HYPERLINK("https://nconnect.nicmar.ac.in/storage/profile/ProfilePhoto_p2270511_239186.jpg","Download")</f>
        <v>0</v>
      </c>
      <c r="BV1905" s="3"/>
      <c r="BW1905" s="3"/>
    </row>
    <row r="1906" spans="1:75">
      <c r="A1906" s="1" t="s">
        <v>75</v>
      </c>
      <c r="B1906" s="1" t="s">
        <v>25236</v>
      </c>
      <c r="C1906" s="1" t="s">
        <v>33513</v>
      </c>
      <c r="D1906" s="1" t="s">
        <v>3778</v>
      </c>
      <c r="E1906" s="1" t="s">
        <v>33514</v>
      </c>
      <c r="F1906" s="1" t="s">
        <v>33515</v>
      </c>
      <c r="G1906" s="1" t="s">
        <v>33516</v>
      </c>
      <c r="H1906" s="1" t="s">
        <v>33517</v>
      </c>
      <c r="I1906" s="1" t="s">
        <v>33518</v>
      </c>
      <c r="J1906" s="1">
        <v>8897993369</v>
      </c>
      <c r="K1906" s="1" t="s">
        <v>84</v>
      </c>
      <c r="L1906" s="1" t="s">
        <v>33519</v>
      </c>
      <c r="M1906" s="1" t="s">
        <v>86</v>
      </c>
      <c r="N1906" s="1" t="s">
        <v>4840</v>
      </c>
      <c r="O1906" s="1" t="s">
        <v>33520</v>
      </c>
      <c r="P1906" s="1" t="s">
        <v>481</v>
      </c>
      <c r="Q1906" s="1" t="s">
        <v>33521</v>
      </c>
      <c r="R1906" s="1" t="s">
        <v>33522</v>
      </c>
      <c r="S1906" s="1">
        <v>9989887347</v>
      </c>
      <c r="T1906" s="1" t="s">
        <v>6733</v>
      </c>
      <c r="U1906" s="1" t="s">
        <v>33523</v>
      </c>
      <c r="V1906" s="1">
        <v>9989299622</v>
      </c>
      <c r="W1906" s="1" t="s">
        <v>278</v>
      </c>
      <c r="X1906" s="1" t="s">
        <v>33524</v>
      </c>
      <c r="Y1906" s="1" t="s">
        <v>2632</v>
      </c>
      <c r="Z1906" s="1" t="s">
        <v>461</v>
      </c>
      <c r="AA1906" s="1" t="s">
        <v>33524</v>
      </c>
      <c r="AB1906" s="1" t="s">
        <v>2632</v>
      </c>
      <c r="AC1906" s="1" t="s">
        <v>461</v>
      </c>
      <c r="AD1906" s="1" t="s">
        <v>98</v>
      </c>
      <c r="AE1906" s="1" t="s">
        <v>98</v>
      </c>
      <c r="AF1906" s="1" t="s">
        <v>31690</v>
      </c>
      <c r="AG1906" s="1" t="s">
        <v>33525</v>
      </c>
      <c r="AH1906" s="1" t="s">
        <v>1213</v>
      </c>
      <c r="AI1906" s="1" t="s">
        <v>1214</v>
      </c>
      <c r="AJ1906" s="1">
        <v>62</v>
      </c>
      <c r="AK1906" s="1"/>
      <c r="AL1906" s="1" t="s">
        <v>33526</v>
      </c>
      <c r="AM1906" s="1" t="s">
        <v>33525</v>
      </c>
      <c r="AN1906" s="1"/>
      <c r="AO1906" s="1" t="s">
        <v>1262</v>
      </c>
      <c r="AP1906" s="1" t="s">
        <v>284</v>
      </c>
      <c r="AQ1906" s="1">
        <v>66.8</v>
      </c>
      <c r="AR1906" s="1"/>
      <c r="AS1906" s="1"/>
      <c r="AT1906" s="1"/>
      <c r="AU1906" s="1"/>
      <c r="AV1906" s="1"/>
      <c r="AW1906" s="1"/>
      <c r="AX1906" s="1"/>
      <c r="AY1906" s="1" t="s">
        <v>1823</v>
      </c>
      <c r="AZ1906" s="1" t="s">
        <v>29652</v>
      </c>
      <c r="BA1906" s="1"/>
      <c r="BB1906" s="1"/>
      <c r="BC1906" s="1" t="s">
        <v>167</v>
      </c>
      <c r="BD1906" s="1" t="s">
        <v>1647</v>
      </c>
      <c r="BE1906" s="1">
        <v>61</v>
      </c>
      <c r="BF1906" s="1">
        <v>6.14</v>
      </c>
      <c r="BG1906" s="1"/>
      <c r="BH1906" s="1"/>
      <c r="BI1906" s="1"/>
      <c r="BJ1906" s="1"/>
      <c r="BK1906" s="1"/>
      <c r="BL1906" s="1"/>
      <c r="BM1906" s="1"/>
      <c r="BN1906" s="1"/>
      <c r="BO1906" s="1" t="s">
        <v>369</v>
      </c>
      <c r="BP1906" s="1" t="s">
        <v>33527</v>
      </c>
      <c r="BQ1906" s="1" t="s">
        <v>1070</v>
      </c>
      <c r="BR1906" s="1" t="s">
        <v>33528</v>
      </c>
      <c r="BS1906" s="1">
        <v>11</v>
      </c>
      <c r="BT1906" s="1"/>
      <c r="BU1906" s="1" t="str">
        <f>HYPERLINK("https://nconnect.nicmar.ac.in/storage/profile/ProfilePhoto_p2270512_728631.jpg","Download")</f>
        <v>0</v>
      </c>
      <c r="BV1906" s="3"/>
      <c r="BW1906" s="3"/>
    </row>
    <row r="1907" spans="1:75">
      <c r="A1907" s="1" t="s">
        <v>75</v>
      </c>
      <c r="B1907" s="1" t="s">
        <v>25236</v>
      </c>
      <c r="C1907" s="1" t="s">
        <v>33529</v>
      </c>
      <c r="D1907" s="1" t="s">
        <v>33530</v>
      </c>
      <c r="E1907" s="1"/>
      <c r="F1907" s="1" t="s">
        <v>11506</v>
      </c>
      <c r="G1907" s="1" t="s">
        <v>33531</v>
      </c>
      <c r="H1907" s="1" t="s">
        <v>33532</v>
      </c>
      <c r="I1907" s="1" t="s">
        <v>33533</v>
      </c>
      <c r="J1907" s="1">
        <v>9447045064</v>
      </c>
      <c r="K1907" s="1" t="s">
        <v>84</v>
      </c>
      <c r="L1907" s="1" t="s">
        <v>29783</v>
      </c>
      <c r="M1907" s="1" t="s">
        <v>86</v>
      </c>
      <c r="N1907" s="1" t="s">
        <v>1300</v>
      </c>
      <c r="O1907" s="1" t="s">
        <v>33534</v>
      </c>
      <c r="P1907" s="1" t="s">
        <v>481</v>
      </c>
      <c r="Q1907" s="1" t="s">
        <v>33535</v>
      </c>
      <c r="R1907" s="1" t="s">
        <v>33536</v>
      </c>
      <c r="S1907" s="1">
        <v>9495170332</v>
      </c>
      <c r="T1907" s="1" t="s">
        <v>22979</v>
      </c>
      <c r="U1907" s="1" t="s">
        <v>33537</v>
      </c>
      <c r="V1907" s="1">
        <v>9495170332</v>
      </c>
      <c r="W1907" s="1" t="s">
        <v>127</v>
      </c>
      <c r="X1907" s="1" t="s">
        <v>33538</v>
      </c>
      <c r="Y1907" s="1" t="s">
        <v>1307</v>
      </c>
      <c r="Z1907" s="1" t="s">
        <v>130</v>
      </c>
      <c r="AA1907" s="1" t="s">
        <v>33538</v>
      </c>
      <c r="AB1907" s="1" t="s">
        <v>1307</v>
      </c>
      <c r="AC1907" s="1" t="s">
        <v>130</v>
      </c>
      <c r="AD1907" s="1" t="s">
        <v>98</v>
      </c>
      <c r="AE1907" s="1" t="s">
        <v>98</v>
      </c>
      <c r="AF1907" s="1" t="s">
        <v>33539</v>
      </c>
      <c r="AG1907" s="1" t="s">
        <v>705</v>
      </c>
      <c r="AH1907" s="1" t="s">
        <v>1213</v>
      </c>
      <c r="AI1907" s="1" t="s">
        <v>515</v>
      </c>
      <c r="AJ1907" s="1">
        <v>77.9</v>
      </c>
      <c r="AK1907" s="1">
        <v>8.2</v>
      </c>
      <c r="AL1907" s="1" t="s">
        <v>33540</v>
      </c>
      <c r="AM1907" s="1" t="s">
        <v>33541</v>
      </c>
      <c r="AN1907" s="1"/>
      <c r="AO1907" s="1" t="s">
        <v>166</v>
      </c>
      <c r="AP1907" s="1" t="s">
        <v>1111</v>
      </c>
      <c r="AQ1907" s="1">
        <v>92.17</v>
      </c>
      <c r="AR1907" s="1"/>
      <c r="AS1907" s="1"/>
      <c r="AT1907" s="1"/>
      <c r="AU1907" s="1"/>
      <c r="AV1907" s="1"/>
      <c r="AW1907" s="1"/>
      <c r="AX1907" s="1"/>
      <c r="AY1907" s="1" t="s">
        <v>604</v>
      </c>
      <c r="AZ1907" s="1" t="s">
        <v>33542</v>
      </c>
      <c r="BA1907" s="1"/>
      <c r="BB1907" s="1"/>
      <c r="BC1907" s="1" t="s">
        <v>139</v>
      </c>
      <c r="BD1907" s="1" t="s">
        <v>1647</v>
      </c>
      <c r="BE1907" s="1">
        <v>70.8</v>
      </c>
      <c r="BF1907" s="1">
        <v>7.08</v>
      </c>
      <c r="BG1907" s="1"/>
      <c r="BH1907" s="1"/>
      <c r="BI1907" s="1"/>
      <c r="BJ1907" s="1"/>
      <c r="BK1907" s="1"/>
      <c r="BL1907" s="1"/>
      <c r="BM1907" s="1"/>
      <c r="BN1907" s="1"/>
      <c r="BO1907" s="1" t="s">
        <v>33543</v>
      </c>
      <c r="BP1907" s="1" t="s">
        <v>33544</v>
      </c>
      <c r="BQ1907" s="1" t="s">
        <v>9405</v>
      </c>
      <c r="BR1907" s="1" t="s">
        <v>33545</v>
      </c>
      <c r="BS1907" s="1">
        <v>7</v>
      </c>
      <c r="BT1907" s="1"/>
      <c r="BU1907" s="1" t="str">
        <f>HYPERLINK("https://nconnect.nicmar.ac.in/storage/profile/ProfilePhoto_p2270513_124938.jpg","Download")</f>
        <v>0</v>
      </c>
      <c r="BV1907" s="3"/>
      <c r="BW1907" s="3"/>
    </row>
    <row r="1908" spans="1:75">
      <c r="A1908" s="1" t="s">
        <v>75</v>
      </c>
      <c r="B1908" s="1" t="s">
        <v>25236</v>
      </c>
      <c r="C1908" s="1" t="s">
        <v>33546</v>
      </c>
      <c r="D1908" s="1" t="s">
        <v>33547</v>
      </c>
      <c r="E1908" s="1" t="s">
        <v>33548</v>
      </c>
      <c r="F1908" s="1" t="s">
        <v>33549</v>
      </c>
      <c r="G1908" s="1" t="s">
        <v>33550</v>
      </c>
      <c r="H1908" s="1" t="s">
        <v>33551</v>
      </c>
      <c r="I1908" s="1" t="s">
        <v>33552</v>
      </c>
      <c r="J1908" s="1">
        <v>8849095841</v>
      </c>
      <c r="K1908" s="1" t="s">
        <v>84</v>
      </c>
      <c r="L1908" s="1" t="s">
        <v>4752</v>
      </c>
      <c r="M1908" s="1" t="s">
        <v>86</v>
      </c>
      <c r="N1908" s="1" t="s">
        <v>7185</v>
      </c>
      <c r="O1908" s="1" t="s">
        <v>33553</v>
      </c>
      <c r="P1908" s="1" t="s">
        <v>455</v>
      </c>
      <c r="Q1908" s="1" t="s">
        <v>33554</v>
      </c>
      <c r="R1908" s="1" t="s">
        <v>33555</v>
      </c>
      <c r="S1908" s="1">
        <v>9898629706</v>
      </c>
      <c r="T1908" s="1" t="s">
        <v>926</v>
      </c>
      <c r="U1908" s="1" t="s">
        <v>33556</v>
      </c>
      <c r="V1908" s="1">
        <v>9173688892</v>
      </c>
      <c r="W1908" s="1" t="s">
        <v>278</v>
      </c>
      <c r="X1908" s="1" t="s">
        <v>33557</v>
      </c>
      <c r="Y1908" s="1" t="s">
        <v>33558</v>
      </c>
      <c r="Z1908" s="1" t="s">
        <v>676</v>
      </c>
      <c r="AA1908" s="1" t="s">
        <v>33557</v>
      </c>
      <c r="AB1908" s="1" t="s">
        <v>33558</v>
      </c>
      <c r="AC1908" s="1" t="s">
        <v>676</v>
      </c>
      <c r="AD1908" s="1" t="s">
        <v>98</v>
      </c>
      <c r="AE1908" s="1" t="s">
        <v>98</v>
      </c>
      <c r="AF1908" s="1" t="s">
        <v>33559</v>
      </c>
      <c r="AG1908" s="1" t="s">
        <v>33560</v>
      </c>
      <c r="AH1908" s="1" t="s">
        <v>342</v>
      </c>
      <c r="AI1908" s="1" t="s">
        <v>284</v>
      </c>
      <c r="AJ1908" s="1">
        <v>75</v>
      </c>
      <c r="AK1908" s="1">
        <v>0</v>
      </c>
      <c r="AL1908" s="1" t="s">
        <v>33561</v>
      </c>
      <c r="AM1908" s="1" t="s">
        <v>33560</v>
      </c>
      <c r="AN1908" s="1"/>
      <c r="AO1908" s="1" t="s">
        <v>388</v>
      </c>
      <c r="AP1908" s="1" t="s">
        <v>490</v>
      </c>
      <c r="AQ1908" s="1">
        <v>56</v>
      </c>
      <c r="AR1908" s="1">
        <v>0</v>
      </c>
      <c r="AS1908" s="1"/>
      <c r="AT1908" s="1"/>
      <c r="AU1908" s="1"/>
      <c r="AV1908" s="1"/>
      <c r="AW1908" s="1"/>
      <c r="AX1908" s="1"/>
      <c r="AY1908" s="1" t="s">
        <v>25356</v>
      </c>
      <c r="AZ1908" s="1" t="s">
        <v>33562</v>
      </c>
      <c r="BA1908" s="1"/>
      <c r="BB1908" s="1"/>
      <c r="BC1908" s="1" t="s">
        <v>1065</v>
      </c>
      <c r="BD1908" s="1" t="s">
        <v>521</v>
      </c>
      <c r="BE1908" s="1">
        <v>77.5</v>
      </c>
      <c r="BF1908" s="1">
        <v>8.25</v>
      </c>
      <c r="BG1908" s="1"/>
      <c r="BH1908" s="1"/>
      <c r="BI1908" s="1"/>
      <c r="BJ1908" s="1"/>
      <c r="BK1908" s="1"/>
      <c r="BL1908" s="1"/>
      <c r="BM1908" s="1"/>
      <c r="BN1908" s="1"/>
      <c r="BO1908" s="1" t="s">
        <v>33563</v>
      </c>
      <c r="BP1908" s="1"/>
      <c r="BQ1908" s="1"/>
      <c r="BR1908" s="1" t="s">
        <v>33564</v>
      </c>
      <c r="BS1908" s="1">
        <v>7</v>
      </c>
      <c r="BT1908" s="1"/>
      <c r="BU1908" s="1" t="str">
        <f>HYPERLINK("https://nconnect.nicmar.ac.in/storage/profile/ProfilePhoto_p2270515_148259.jpg","Download")</f>
        <v>0</v>
      </c>
      <c r="BV1908" s="3"/>
      <c r="BW1908" s="3"/>
    </row>
    <row r="1909" spans="1:75">
      <c r="A1909" s="1" t="s">
        <v>75</v>
      </c>
      <c r="B1909" s="1" t="s">
        <v>25236</v>
      </c>
      <c r="C1909" s="1" t="s">
        <v>33565</v>
      </c>
      <c r="D1909" s="1" t="s">
        <v>13139</v>
      </c>
      <c r="E1909" s="1" t="s">
        <v>812</v>
      </c>
      <c r="F1909" s="1" t="s">
        <v>32195</v>
      </c>
      <c r="G1909" s="1" t="s">
        <v>33566</v>
      </c>
      <c r="H1909" s="1" t="s">
        <v>33567</v>
      </c>
      <c r="I1909" s="1" t="s">
        <v>33568</v>
      </c>
      <c r="J1909" s="1">
        <v>9743434036</v>
      </c>
      <c r="K1909" s="1" t="s">
        <v>84</v>
      </c>
      <c r="L1909" s="1" t="s">
        <v>7057</v>
      </c>
      <c r="M1909" s="1" t="s">
        <v>86</v>
      </c>
      <c r="N1909" s="1" t="s">
        <v>33569</v>
      </c>
      <c r="O1909" s="1"/>
      <c r="P1909" s="1" t="s">
        <v>670</v>
      </c>
      <c r="Q1909" s="1" t="s">
        <v>33570</v>
      </c>
      <c r="R1909" s="1" t="s">
        <v>33571</v>
      </c>
      <c r="S1909" s="1">
        <v>9482604746</v>
      </c>
      <c r="T1909" s="1" t="s">
        <v>33572</v>
      </c>
      <c r="U1909" s="1" t="s">
        <v>33573</v>
      </c>
      <c r="V1909" s="1">
        <v>9481480241</v>
      </c>
      <c r="W1909" s="1" t="s">
        <v>33574</v>
      </c>
      <c r="X1909" s="1" t="s">
        <v>33575</v>
      </c>
      <c r="Y1909" s="1" t="s">
        <v>3132</v>
      </c>
      <c r="Z1909" s="1" t="s">
        <v>1210</v>
      </c>
      <c r="AA1909" s="1" t="s">
        <v>33575</v>
      </c>
      <c r="AB1909" s="1" t="s">
        <v>3132</v>
      </c>
      <c r="AC1909" s="1" t="s">
        <v>1210</v>
      </c>
      <c r="AD1909" s="1" t="s">
        <v>98</v>
      </c>
      <c r="AE1909" s="1" t="s">
        <v>98</v>
      </c>
      <c r="AF1909" s="1" t="s">
        <v>33576</v>
      </c>
      <c r="AG1909" s="1" t="s">
        <v>33577</v>
      </c>
      <c r="AH1909" s="1" t="s">
        <v>27648</v>
      </c>
      <c r="AI1909" s="1" t="s">
        <v>136</v>
      </c>
      <c r="AJ1909" s="1">
        <v>62.7</v>
      </c>
      <c r="AK1909" s="1">
        <v>7</v>
      </c>
      <c r="AL1909" s="1" t="s">
        <v>33578</v>
      </c>
      <c r="AM1909" s="1" t="s">
        <v>33577</v>
      </c>
      <c r="AN1909" s="1"/>
      <c r="AO1909" s="1" t="s">
        <v>102</v>
      </c>
      <c r="AP1909" s="1" t="s">
        <v>573</v>
      </c>
      <c r="AQ1909" s="1">
        <v>64.62</v>
      </c>
      <c r="AR1909" s="1">
        <v>6</v>
      </c>
      <c r="AS1909" s="1"/>
      <c r="AT1909" s="1"/>
      <c r="AU1909" s="1"/>
      <c r="AV1909" s="1"/>
      <c r="AW1909" s="1"/>
      <c r="AX1909" s="1"/>
      <c r="AY1909" s="1" t="s">
        <v>33579</v>
      </c>
      <c r="AZ1909" s="1" t="s">
        <v>33580</v>
      </c>
      <c r="BA1909" s="1"/>
      <c r="BB1909" s="1"/>
      <c r="BC1909" s="1" t="s">
        <v>230</v>
      </c>
      <c r="BD1909" s="1" t="s">
        <v>110</v>
      </c>
      <c r="BE1909" s="1">
        <v>59.7</v>
      </c>
      <c r="BF1909" s="1">
        <v>7</v>
      </c>
      <c r="BG1909" s="1"/>
      <c r="BH1909" s="1"/>
      <c r="BI1909" s="1"/>
      <c r="BJ1909" s="1"/>
      <c r="BK1909" s="1"/>
      <c r="BL1909" s="1"/>
      <c r="BM1909" s="1"/>
      <c r="BN1909" s="1"/>
      <c r="BO1909" s="1" t="s">
        <v>33581</v>
      </c>
      <c r="BP1909" s="1"/>
      <c r="BQ1909" s="1"/>
      <c r="BR1909" s="1" t="s">
        <v>33582</v>
      </c>
      <c r="BS1909" s="1">
        <v>22</v>
      </c>
      <c r="BT1909" s="1"/>
      <c r="BU1909" s="1" t="str">
        <f>HYPERLINK("https://nconnect.nicmar.ac.in/storage/profile/ProfilePhoto_p2270516_985173.jpg","Download")</f>
        <v>0</v>
      </c>
      <c r="BV1909" s="3"/>
      <c r="BW1909" s="3"/>
    </row>
    <row r="1910" spans="1:75">
      <c r="A1910" s="1" t="s">
        <v>75</v>
      </c>
      <c r="B1910" s="1" t="s">
        <v>25236</v>
      </c>
      <c r="C1910" s="1" t="s">
        <v>33583</v>
      </c>
      <c r="D1910" s="1" t="s">
        <v>7798</v>
      </c>
      <c r="E1910" s="1"/>
      <c r="F1910" s="1" t="s">
        <v>33584</v>
      </c>
      <c r="G1910" s="1" t="s">
        <v>33585</v>
      </c>
      <c r="H1910" s="1" t="s">
        <v>33586</v>
      </c>
      <c r="I1910" s="1" t="s">
        <v>33587</v>
      </c>
      <c r="J1910" s="1">
        <v>9519542632</v>
      </c>
      <c r="K1910" s="1" t="s">
        <v>84</v>
      </c>
      <c r="L1910" s="1" t="s">
        <v>33588</v>
      </c>
      <c r="M1910" s="1" t="s">
        <v>86</v>
      </c>
      <c r="N1910" s="1" t="s">
        <v>33589</v>
      </c>
      <c r="O1910" s="1" t="s">
        <v>33590</v>
      </c>
      <c r="P1910" s="1"/>
      <c r="Q1910" s="1" t="s">
        <v>33591</v>
      </c>
      <c r="R1910" s="1" t="s">
        <v>33592</v>
      </c>
      <c r="S1910" s="1">
        <v>8887564860</v>
      </c>
      <c r="T1910" s="1" t="s">
        <v>33593</v>
      </c>
      <c r="U1910" s="1" t="s">
        <v>33594</v>
      </c>
      <c r="V1910" s="1">
        <v>7880465302</v>
      </c>
      <c r="W1910" s="1" t="s">
        <v>278</v>
      </c>
      <c r="X1910" s="1" t="s">
        <v>33595</v>
      </c>
      <c r="Y1910" s="1" t="s">
        <v>14449</v>
      </c>
      <c r="Z1910" s="1" t="s">
        <v>544</v>
      </c>
      <c r="AA1910" s="1" t="s">
        <v>33595</v>
      </c>
      <c r="AB1910" s="1" t="s">
        <v>14449</v>
      </c>
      <c r="AC1910" s="1" t="s">
        <v>544</v>
      </c>
      <c r="AD1910" s="1" t="s">
        <v>98</v>
      </c>
      <c r="AE1910" s="1" t="s">
        <v>98</v>
      </c>
      <c r="AF1910" s="1" t="s">
        <v>33596</v>
      </c>
      <c r="AG1910" s="1" t="s">
        <v>33597</v>
      </c>
      <c r="AH1910" s="1" t="s">
        <v>1214</v>
      </c>
      <c r="AI1910" s="1" t="s">
        <v>102</v>
      </c>
      <c r="AJ1910" s="1">
        <v>60.8</v>
      </c>
      <c r="AK1910" s="1">
        <v>6.4</v>
      </c>
      <c r="AL1910" s="1" t="s">
        <v>33598</v>
      </c>
      <c r="AM1910" s="1" t="s">
        <v>33597</v>
      </c>
      <c r="AN1910" s="1"/>
      <c r="AO1910" s="1" t="s">
        <v>1396</v>
      </c>
      <c r="AP1910" s="1" t="s">
        <v>388</v>
      </c>
      <c r="AQ1910" s="1">
        <v>71.6</v>
      </c>
      <c r="AR1910" s="1"/>
      <c r="AS1910" s="1"/>
      <c r="AT1910" s="1"/>
      <c r="AU1910" s="1"/>
      <c r="AV1910" s="1"/>
      <c r="AW1910" s="1"/>
      <c r="AX1910" s="1"/>
      <c r="AY1910" s="1" t="s">
        <v>33599</v>
      </c>
      <c r="AZ1910" s="1" t="s">
        <v>33600</v>
      </c>
      <c r="BA1910" s="1"/>
      <c r="BB1910" s="1"/>
      <c r="BC1910" s="1" t="s">
        <v>174</v>
      </c>
      <c r="BD1910" s="1" t="s">
        <v>110</v>
      </c>
      <c r="BE1910" s="1">
        <v>66.1</v>
      </c>
      <c r="BF1910" s="1">
        <v>6.61</v>
      </c>
      <c r="BG1910" s="1"/>
      <c r="BH1910" s="1"/>
      <c r="BI1910" s="1"/>
      <c r="BJ1910" s="1"/>
      <c r="BK1910" s="1"/>
      <c r="BL1910" s="1"/>
      <c r="BM1910" s="1"/>
      <c r="BN1910" s="1"/>
      <c r="BO1910" s="1" t="s">
        <v>10174</v>
      </c>
      <c r="BP1910" s="1"/>
      <c r="BQ1910" s="1"/>
      <c r="BR1910" s="1" t="s">
        <v>33601</v>
      </c>
      <c r="BS1910" s="1">
        <v>12</v>
      </c>
      <c r="BT1910" s="1"/>
      <c r="BU1910" s="1" t="str">
        <f>HYPERLINK("https://nconnect.nicmar.ac.in/storage/profile/ProfilePhoto_p2270517_915827.jpg","Download")</f>
        <v>0</v>
      </c>
      <c r="BV1910" s="3"/>
      <c r="BW1910" s="3"/>
    </row>
    <row r="1911" spans="1:75">
      <c r="A1911" s="1" t="s">
        <v>75</v>
      </c>
      <c r="B1911" s="1" t="s">
        <v>25236</v>
      </c>
      <c r="C1911" s="1" t="s">
        <v>33602</v>
      </c>
      <c r="D1911" s="1" t="s">
        <v>33603</v>
      </c>
      <c r="E1911" s="1"/>
      <c r="F1911" s="1" t="s">
        <v>33604</v>
      </c>
      <c r="G1911" s="1" t="s">
        <v>33605</v>
      </c>
      <c r="H1911" s="1" t="s">
        <v>33606</v>
      </c>
      <c r="I1911" s="1" t="s">
        <v>33607</v>
      </c>
      <c r="J1911" s="1">
        <v>8708603530</v>
      </c>
      <c r="K1911" s="1" t="s">
        <v>84</v>
      </c>
      <c r="L1911" s="1" t="s">
        <v>33608</v>
      </c>
      <c r="M1911" s="1" t="s">
        <v>86</v>
      </c>
      <c r="N1911" s="1" t="s">
        <v>4278</v>
      </c>
      <c r="O1911" s="1" t="s">
        <v>33609</v>
      </c>
      <c r="P1911" s="1" t="s">
        <v>507</v>
      </c>
      <c r="Q1911" s="1" t="s">
        <v>33610</v>
      </c>
      <c r="R1911" s="1" t="s">
        <v>33611</v>
      </c>
      <c r="S1911" s="1">
        <v>9215621004</v>
      </c>
      <c r="T1911" s="1" t="s">
        <v>926</v>
      </c>
      <c r="U1911" s="1" t="s">
        <v>33612</v>
      </c>
      <c r="V1911" s="1">
        <v>9255527566</v>
      </c>
      <c r="W1911" s="1" t="s">
        <v>161</v>
      </c>
      <c r="X1911" s="1" t="s">
        <v>33613</v>
      </c>
      <c r="Y1911" s="1" t="s">
        <v>15170</v>
      </c>
      <c r="Z1911" s="1" t="s">
        <v>1700</v>
      </c>
      <c r="AA1911" s="1" t="s">
        <v>33613</v>
      </c>
      <c r="AB1911" s="1" t="s">
        <v>15170</v>
      </c>
      <c r="AC1911" s="1" t="s">
        <v>1700</v>
      </c>
      <c r="AD1911" s="1" t="s">
        <v>98</v>
      </c>
      <c r="AE1911" s="1" t="s">
        <v>98</v>
      </c>
      <c r="AF1911" s="1" t="s">
        <v>33614</v>
      </c>
      <c r="AG1911" s="1" t="s">
        <v>312</v>
      </c>
      <c r="AH1911" s="1" t="s">
        <v>1214</v>
      </c>
      <c r="AI1911" s="1" t="s">
        <v>136</v>
      </c>
      <c r="AJ1911" s="1">
        <v>93.1</v>
      </c>
      <c r="AK1911" s="1">
        <v>9.8</v>
      </c>
      <c r="AL1911" s="1" t="s">
        <v>33614</v>
      </c>
      <c r="AM1911" s="1" t="s">
        <v>312</v>
      </c>
      <c r="AN1911" s="1"/>
      <c r="AO1911" s="1" t="s">
        <v>284</v>
      </c>
      <c r="AP1911" s="1" t="s">
        <v>573</v>
      </c>
      <c r="AQ1911" s="1">
        <v>78.2</v>
      </c>
      <c r="AR1911" s="1"/>
      <c r="AS1911" s="1"/>
      <c r="AT1911" s="1"/>
      <c r="AU1911" s="1"/>
      <c r="AV1911" s="1"/>
      <c r="AW1911" s="1"/>
      <c r="AX1911" s="1"/>
      <c r="AY1911" s="1" t="s">
        <v>33615</v>
      </c>
      <c r="AZ1911" s="1" t="s">
        <v>33616</v>
      </c>
      <c r="BA1911" s="1"/>
      <c r="BB1911" s="1"/>
      <c r="BC1911" s="1" t="s">
        <v>230</v>
      </c>
      <c r="BD1911" s="1" t="s">
        <v>847</v>
      </c>
      <c r="BE1911" s="1">
        <v>89.3</v>
      </c>
      <c r="BF1911" s="1">
        <v>8.93</v>
      </c>
      <c r="BG1911" s="1"/>
      <c r="BH1911" s="1"/>
      <c r="BI1911" s="1"/>
      <c r="BJ1911" s="1"/>
      <c r="BK1911" s="1"/>
      <c r="BL1911" s="1"/>
      <c r="BM1911" s="1"/>
      <c r="BN1911" s="1"/>
      <c r="BO1911" s="1" t="s">
        <v>32309</v>
      </c>
      <c r="BP1911" s="1" t="s">
        <v>33617</v>
      </c>
      <c r="BQ1911" s="1" t="s">
        <v>471</v>
      </c>
      <c r="BR1911" s="1" t="s">
        <v>33618</v>
      </c>
      <c r="BS1911" s="1">
        <v>27</v>
      </c>
      <c r="BT1911" s="1"/>
      <c r="BU1911" s="1" t="str">
        <f>HYPERLINK("https://nconnect.nicmar.ac.in/storage/profile/ProfilePhoto_p2270518_831659.jpg","Download")</f>
        <v>0</v>
      </c>
      <c r="BV1911" s="3"/>
      <c r="BW1911" s="3"/>
    </row>
    <row r="1912" spans="1:75">
      <c r="A1912" s="1" t="s">
        <v>75</v>
      </c>
      <c r="B1912" s="1" t="s">
        <v>25236</v>
      </c>
      <c r="C1912" s="1" t="s">
        <v>33619</v>
      </c>
      <c r="D1912" s="1" t="s">
        <v>33620</v>
      </c>
      <c r="E1912" s="1" t="s">
        <v>1853</v>
      </c>
      <c r="F1912" s="1" t="s">
        <v>7866</v>
      </c>
      <c r="G1912" s="1" t="s">
        <v>33621</v>
      </c>
      <c r="H1912" s="1" t="s">
        <v>33622</v>
      </c>
      <c r="I1912" s="1" t="s">
        <v>33623</v>
      </c>
      <c r="J1912" s="1">
        <v>8660855219</v>
      </c>
      <c r="K1912" s="1" t="s">
        <v>84</v>
      </c>
      <c r="L1912" s="1" t="s">
        <v>33624</v>
      </c>
      <c r="M1912" s="1" t="s">
        <v>86</v>
      </c>
      <c r="N1912" s="1" t="s">
        <v>1203</v>
      </c>
      <c r="O1912" s="1" t="s">
        <v>33625</v>
      </c>
      <c r="P1912" s="1" t="s">
        <v>455</v>
      </c>
      <c r="Q1912" s="1" t="s">
        <v>33626</v>
      </c>
      <c r="R1912" s="1" t="s">
        <v>5753</v>
      </c>
      <c r="S1912" s="1">
        <v>9341251922</v>
      </c>
      <c r="T1912" s="1" t="s">
        <v>7713</v>
      </c>
      <c r="U1912" s="1" t="s">
        <v>33627</v>
      </c>
      <c r="V1912" s="1">
        <v>8217205263</v>
      </c>
      <c r="W1912" s="1" t="s">
        <v>161</v>
      </c>
      <c r="X1912" s="1" t="s">
        <v>33628</v>
      </c>
      <c r="Y1912" s="1" t="s">
        <v>3132</v>
      </c>
      <c r="Z1912" s="1" t="s">
        <v>1210</v>
      </c>
      <c r="AA1912" s="1" t="s">
        <v>33628</v>
      </c>
      <c r="AB1912" s="1" t="s">
        <v>3132</v>
      </c>
      <c r="AC1912" s="1" t="s">
        <v>1210</v>
      </c>
      <c r="AD1912" s="1" t="s">
        <v>98</v>
      </c>
      <c r="AE1912" s="1" t="s">
        <v>98</v>
      </c>
      <c r="AF1912" s="1" t="s">
        <v>33629</v>
      </c>
      <c r="AG1912" s="1" t="s">
        <v>33630</v>
      </c>
      <c r="AH1912" s="1" t="s">
        <v>166</v>
      </c>
      <c r="AI1912" s="1" t="s">
        <v>627</v>
      </c>
      <c r="AJ1912" s="1">
        <v>64.6</v>
      </c>
      <c r="AK1912" s="1">
        <v>6.8</v>
      </c>
      <c r="AL1912" s="1" t="s">
        <v>4614</v>
      </c>
      <c r="AM1912" s="1" t="s">
        <v>1216</v>
      </c>
      <c r="AN1912" s="1"/>
      <c r="AO1912" s="1" t="s">
        <v>388</v>
      </c>
      <c r="AP1912" s="1" t="s">
        <v>171</v>
      </c>
      <c r="AQ1912" s="1">
        <v>79.17</v>
      </c>
      <c r="AR1912" s="1">
        <v>8.66</v>
      </c>
      <c r="AS1912" s="1"/>
      <c r="AT1912" s="1"/>
      <c r="AU1912" s="1"/>
      <c r="AV1912" s="1"/>
      <c r="AW1912" s="1"/>
      <c r="AX1912" s="1"/>
      <c r="AY1912" s="1" t="s">
        <v>1217</v>
      </c>
      <c r="AZ1912" s="1" t="s">
        <v>33631</v>
      </c>
      <c r="BA1912" s="1"/>
      <c r="BB1912" s="1"/>
      <c r="BC1912" s="1" t="s">
        <v>1065</v>
      </c>
      <c r="BD1912" s="1" t="s">
        <v>1400</v>
      </c>
      <c r="BE1912" s="1">
        <v>77.6</v>
      </c>
      <c r="BF1912" s="1">
        <v>8.51</v>
      </c>
      <c r="BG1912" s="1"/>
      <c r="BH1912" s="1"/>
      <c r="BI1912" s="1"/>
      <c r="BJ1912" s="1"/>
      <c r="BK1912" s="1"/>
      <c r="BL1912" s="1"/>
      <c r="BM1912" s="1"/>
      <c r="BN1912" s="1"/>
      <c r="BO1912" s="1" t="s">
        <v>33632</v>
      </c>
      <c r="BP1912" s="1"/>
      <c r="BQ1912" s="1"/>
      <c r="BR1912" s="1" t="s">
        <v>33633</v>
      </c>
      <c r="BS1912" s="1">
        <v>11</v>
      </c>
      <c r="BT1912" s="1"/>
      <c r="BU1912" s="1" t="str">
        <f>HYPERLINK("https://nconnect.nicmar.ac.in/storage/profile/ProfilePhoto_p2270519_579623.jpg","Download")</f>
        <v>0</v>
      </c>
      <c r="BV1912" s="3"/>
      <c r="BW1912" s="3"/>
    </row>
    <row r="1913" spans="1:75">
      <c r="A1913" s="1" t="s">
        <v>75</v>
      </c>
      <c r="B1913" s="1" t="s">
        <v>25236</v>
      </c>
      <c r="C1913" s="1" t="s">
        <v>33634</v>
      </c>
      <c r="D1913" s="1" t="s">
        <v>33635</v>
      </c>
      <c r="E1913" s="1"/>
      <c r="F1913" s="1" t="s">
        <v>27166</v>
      </c>
      <c r="G1913" s="1" t="s">
        <v>33636</v>
      </c>
      <c r="H1913" s="1" t="s">
        <v>33637</v>
      </c>
      <c r="I1913" s="1" t="s">
        <v>33638</v>
      </c>
      <c r="J1913" s="1">
        <v>9647538900</v>
      </c>
      <c r="K1913" s="1" t="s">
        <v>84</v>
      </c>
      <c r="L1913" s="1" t="s">
        <v>33639</v>
      </c>
      <c r="M1913" s="1" t="s">
        <v>86</v>
      </c>
      <c r="N1913" s="1" t="s">
        <v>10869</v>
      </c>
      <c r="O1913" s="1" t="s">
        <v>33640</v>
      </c>
      <c r="P1913" s="1" t="s">
        <v>507</v>
      </c>
      <c r="Q1913" s="1" t="s">
        <v>33641</v>
      </c>
      <c r="R1913" s="1" t="s">
        <v>33642</v>
      </c>
      <c r="S1913" s="1">
        <v>7001922972</v>
      </c>
      <c r="T1913" s="1" t="s">
        <v>839</v>
      </c>
      <c r="U1913" s="1" t="s">
        <v>33643</v>
      </c>
      <c r="V1913" s="1">
        <v>8900749200</v>
      </c>
      <c r="W1913" s="1" t="s">
        <v>839</v>
      </c>
      <c r="X1913" s="1" t="s">
        <v>33644</v>
      </c>
      <c r="Y1913" s="1" t="s">
        <v>14936</v>
      </c>
      <c r="Z1913" s="1" t="s">
        <v>1234</v>
      </c>
      <c r="AA1913" s="1" t="s">
        <v>33644</v>
      </c>
      <c r="AB1913" s="1" t="s">
        <v>14936</v>
      </c>
      <c r="AC1913" s="1" t="s">
        <v>1234</v>
      </c>
      <c r="AD1913" s="1" t="s">
        <v>98</v>
      </c>
      <c r="AE1913" s="1" t="s">
        <v>98</v>
      </c>
      <c r="AF1913" s="1" t="s">
        <v>33645</v>
      </c>
      <c r="AG1913" s="1" t="s">
        <v>3284</v>
      </c>
      <c r="AH1913" s="1" t="s">
        <v>2203</v>
      </c>
      <c r="AI1913" s="1" t="s">
        <v>336</v>
      </c>
      <c r="AJ1913" s="1">
        <v>61.37</v>
      </c>
      <c r="AK1913" s="1"/>
      <c r="AL1913" s="1"/>
      <c r="AM1913" s="1"/>
      <c r="AN1913" s="1"/>
      <c r="AO1913" s="1" t="s">
        <v>2726</v>
      </c>
      <c r="AP1913" s="1" t="s">
        <v>134</v>
      </c>
      <c r="AQ1913" s="1"/>
      <c r="AR1913" s="1"/>
      <c r="AS1913" s="1" t="s">
        <v>439</v>
      </c>
      <c r="AT1913" s="1" t="s">
        <v>33646</v>
      </c>
      <c r="AU1913" s="1" t="s">
        <v>257</v>
      </c>
      <c r="AV1913" s="1" t="s">
        <v>230</v>
      </c>
      <c r="AW1913" s="1">
        <v>78.6</v>
      </c>
      <c r="AX1913" s="1">
        <v>8.2</v>
      </c>
      <c r="AY1913" s="1" t="s">
        <v>3625</v>
      </c>
      <c r="AZ1913" s="1" t="s">
        <v>33647</v>
      </c>
      <c r="BA1913" s="1"/>
      <c r="BB1913" s="1"/>
      <c r="BC1913" s="1" t="s">
        <v>109</v>
      </c>
      <c r="BD1913" s="1" t="s">
        <v>289</v>
      </c>
      <c r="BE1913" s="1">
        <v>84.8</v>
      </c>
      <c r="BF1913" s="1">
        <v>9.23</v>
      </c>
      <c r="BG1913" s="1"/>
      <c r="BH1913" s="1"/>
      <c r="BI1913" s="1"/>
      <c r="BJ1913" s="1"/>
      <c r="BK1913" s="1"/>
      <c r="BL1913" s="1"/>
      <c r="BM1913" s="1"/>
      <c r="BN1913" s="1"/>
      <c r="BO1913" s="1" t="s">
        <v>33648</v>
      </c>
      <c r="BP1913" s="1" t="s">
        <v>33649</v>
      </c>
      <c r="BQ1913" s="1" t="s">
        <v>1152</v>
      </c>
      <c r="BR1913" s="1" t="s">
        <v>33650</v>
      </c>
      <c r="BS1913" s="1">
        <v>9</v>
      </c>
      <c r="BT1913" s="1"/>
      <c r="BU1913" s="1" t="str">
        <f>HYPERLINK("https://nconnect.nicmar.ac.in/storage/profile/ProfilePhoto_p2270520_169452.jpg","Download")</f>
        <v>0</v>
      </c>
      <c r="BV1913" s="3"/>
      <c r="BW1913" s="3"/>
    </row>
    <row r="1914" spans="1:75">
      <c r="A1914" s="1" t="s">
        <v>75</v>
      </c>
      <c r="B1914" s="1" t="s">
        <v>25236</v>
      </c>
      <c r="C1914" s="1" t="s">
        <v>33651</v>
      </c>
      <c r="D1914" s="1" t="s">
        <v>33652</v>
      </c>
      <c r="E1914" s="1" t="s">
        <v>500</v>
      </c>
      <c r="F1914" s="1" t="s">
        <v>33653</v>
      </c>
      <c r="G1914" s="1" t="s">
        <v>33654</v>
      </c>
      <c r="H1914" s="1" t="s">
        <v>33655</v>
      </c>
      <c r="I1914" s="1" t="s">
        <v>33656</v>
      </c>
      <c r="J1914" s="1">
        <v>9152456457</v>
      </c>
      <c r="K1914" s="1" t="s">
        <v>84</v>
      </c>
      <c r="L1914" s="1" t="s">
        <v>32553</v>
      </c>
      <c r="M1914" s="1" t="s">
        <v>86</v>
      </c>
      <c r="N1914" s="1" t="s">
        <v>3568</v>
      </c>
      <c r="O1914" s="1" t="s">
        <v>33657</v>
      </c>
      <c r="P1914" s="1" t="s">
        <v>481</v>
      </c>
      <c r="Q1914" s="1" t="s">
        <v>33658</v>
      </c>
      <c r="R1914" s="1" t="s">
        <v>33659</v>
      </c>
      <c r="S1914" s="1">
        <v>9869329915</v>
      </c>
      <c r="T1914" s="1" t="s">
        <v>1495</v>
      </c>
      <c r="U1914" s="1" t="s">
        <v>33660</v>
      </c>
      <c r="V1914" s="1">
        <v>8657650199</v>
      </c>
      <c r="W1914" s="1" t="s">
        <v>161</v>
      </c>
      <c r="X1914" s="1" t="s">
        <v>33661</v>
      </c>
      <c r="Y1914" s="1" t="s">
        <v>1012</v>
      </c>
      <c r="Z1914" s="1" t="s">
        <v>97</v>
      </c>
      <c r="AA1914" s="1" t="s">
        <v>33661</v>
      </c>
      <c r="AB1914" s="1" t="s">
        <v>1012</v>
      </c>
      <c r="AC1914" s="1" t="s">
        <v>97</v>
      </c>
      <c r="AD1914" s="1" t="s">
        <v>98</v>
      </c>
      <c r="AE1914" s="1" t="s">
        <v>98</v>
      </c>
      <c r="AF1914" s="1" t="s">
        <v>10515</v>
      </c>
      <c r="AG1914" s="1" t="s">
        <v>33662</v>
      </c>
      <c r="AH1914" s="1" t="s">
        <v>166</v>
      </c>
      <c r="AI1914" s="1" t="s">
        <v>1111</v>
      </c>
      <c r="AJ1914" s="1">
        <v>82.6</v>
      </c>
      <c r="AK1914" s="1"/>
      <c r="AL1914" s="1" t="s">
        <v>33663</v>
      </c>
      <c r="AM1914" s="1" t="s">
        <v>33662</v>
      </c>
      <c r="AN1914" s="1"/>
      <c r="AO1914" s="1" t="s">
        <v>388</v>
      </c>
      <c r="AP1914" s="1" t="s">
        <v>106</v>
      </c>
      <c r="AQ1914" s="1">
        <v>63.23</v>
      </c>
      <c r="AR1914" s="1"/>
      <c r="AS1914" s="1"/>
      <c r="AT1914" s="1"/>
      <c r="AU1914" s="1"/>
      <c r="AV1914" s="1"/>
      <c r="AW1914" s="1"/>
      <c r="AX1914" s="1"/>
      <c r="AY1914" s="1" t="s">
        <v>680</v>
      </c>
      <c r="AZ1914" s="1" t="s">
        <v>33664</v>
      </c>
      <c r="BA1914" s="1"/>
      <c r="BB1914" s="1"/>
      <c r="BC1914" s="1" t="s">
        <v>1065</v>
      </c>
      <c r="BD1914" s="1" t="s">
        <v>289</v>
      </c>
      <c r="BE1914" s="1">
        <v>72.23</v>
      </c>
      <c r="BF1914" s="1">
        <v>8.14</v>
      </c>
      <c r="BG1914" s="1"/>
      <c r="BH1914" s="1"/>
      <c r="BI1914" s="1"/>
      <c r="BJ1914" s="1"/>
      <c r="BK1914" s="1"/>
      <c r="BL1914" s="1"/>
      <c r="BM1914" s="1"/>
      <c r="BN1914" s="1"/>
      <c r="BO1914" s="1" t="s">
        <v>10174</v>
      </c>
      <c r="BP1914" s="1"/>
      <c r="BQ1914" s="1"/>
      <c r="BR1914" s="1" t="s">
        <v>33665</v>
      </c>
      <c r="BS1914" s="1">
        <v>16</v>
      </c>
      <c r="BT1914" s="1"/>
      <c r="BU1914" s="1" t="str">
        <f>HYPERLINK("https://nconnect.nicmar.ac.in/storage/profile/ProfilePhoto_p2270521_265783.jpg","Download")</f>
        <v>0</v>
      </c>
      <c r="BV1914" s="3"/>
      <c r="BW1914" s="3"/>
    </row>
    <row r="1915" spans="1:75">
      <c r="A1915" s="1" t="s">
        <v>75</v>
      </c>
      <c r="B1915" s="1" t="s">
        <v>25236</v>
      </c>
      <c r="C1915" s="1" t="s">
        <v>33666</v>
      </c>
      <c r="D1915" s="1" t="s">
        <v>530</v>
      </c>
      <c r="E1915" s="1" t="s">
        <v>1294</v>
      </c>
      <c r="F1915" s="1" t="s">
        <v>149</v>
      </c>
      <c r="G1915" s="1" t="s">
        <v>33667</v>
      </c>
      <c r="H1915" s="1" t="s">
        <v>33668</v>
      </c>
      <c r="I1915" s="1" t="s">
        <v>33669</v>
      </c>
      <c r="J1915" s="1">
        <v>6351534684</v>
      </c>
      <c r="K1915" s="1" t="s">
        <v>84</v>
      </c>
      <c r="L1915" s="1" t="s">
        <v>33670</v>
      </c>
      <c r="M1915" s="1" t="s">
        <v>86</v>
      </c>
      <c r="N1915" s="1" t="s">
        <v>20173</v>
      </c>
      <c r="O1915" s="1" t="s">
        <v>33671</v>
      </c>
      <c r="P1915" s="1" t="s">
        <v>1028</v>
      </c>
      <c r="Q1915" s="1" t="s">
        <v>33672</v>
      </c>
      <c r="R1915" s="1" t="s">
        <v>33673</v>
      </c>
      <c r="S1915" s="1">
        <v>9727779272</v>
      </c>
      <c r="T1915" s="1" t="s">
        <v>33674</v>
      </c>
      <c r="U1915" s="1" t="s">
        <v>33675</v>
      </c>
      <c r="V1915" s="1">
        <v>8200462085</v>
      </c>
      <c r="W1915" s="1" t="s">
        <v>161</v>
      </c>
      <c r="X1915" s="1" t="s">
        <v>33676</v>
      </c>
      <c r="Y1915" s="1" t="s">
        <v>33677</v>
      </c>
      <c r="Z1915" s="1" t="s">
        <v>676</v>
      </c>
      <c r="AA1915" s="1" t="s">
        <v>33676</v>
      </c>
      <c r="AB1915" s="1" t="s">
        <v>33677</v>
      </c>
      <c r="AC1915" s="1" t="s">
        <v>676</v>
      </c>
      <c r="AD1915" s="1" t="s">
        <v>98</v>
      </c>
      <c r="AE1915" s="1" t="s">
        <v>98</v>
      </c>
      <c r="AF1915" s="1" t="s">
        <v>33678</v>
      </c>
      <c r="AG1915" s="1" t="s">
        <v>33679</v>
      </c>
      <c r="AH1915" s="1" t="s">
        <v>342</v>
      </c>
      <c r="AI1915" s="1" t="s">
        <v>1111</v>
      </c>
      <c r="AJ1915" s="1">
        <v>80</v>
      </c>
      <c r="AK1915" s="1">
        <v>0</v>
      </c>
      <c r="AL1915" s="1" t="s">
        <v>33680</v>
      </c>
      <c r="AM1915" s="1" t="s">
        <v>33679</v>
      </c>
      <c r="AN1915" s="1"/>
      <c r="AO1915" s="1" t="s">
        <v>388</v>
      </c>
      <c r="AP1915" s="1" t="s">
        <v>286</v>
      </c>
      <c r="AQ1915" s="1">
        <v>62.61</v>
      </c>
      <c r="AR1915" s="1">
        <v>0</v>
      </c>
      <c r="AS1915" s="1"/>
      <c r="AT1915" s="1"/>
      <c r="AU1915" s="1"/>
      <c r="AV1915" s="1"/>
      <c r="AW1915" s="1"/>
      <c r="AX1915" s="1"/>
      <c r="AY1915" s="1" t="s">
        <v>25356</v>
      </c>
      <c r="AZ1915" s="1" t="s">
        <v>33681</v>
      </c>
      <c r="BA1915" s="1"/>
      <c r="BB1915" s="1"/>
      <c r="BC1915" s="1" t="s">
        <v>174</v>
      </c>
      <c r="BD1915" s="1" t="s">
        <v>521</v>
      </c>
      <c r="BE1915" s="1">
        <v>76.7</v>
      </c>
      <c r="BF1915" s="1">
        <v>8.17</v>
      </c>
      <c r="BG1915" s="1"/>
      <c r="BH1915" s="1"/>
      <c r="BI1915" s="1"/>
      <c r="BJ1915" s="1"/>
      <c r="BK1915" s="1"/>
      <c r="BL1915" s="1"/>
      <c r="BM1915" s="1"/>
      <c r="BN1915" s="1"/>
      <c r="BO1915" s="1" t="s">
        <v>33682</v>
      </c>
      <c r="BP1915" s="1"/>
      <c r="BQ1915" s="1"/>
      <c r="BR1915" s="1" t="s">
        <v>33683</v>
      </c>
      <c r="BS1915" s="1">
        <v>7</v>
      </c>
      <c r="BT1915" s="1"/>
      <c r="BU1915" s="1" t="str">
        <f>HYPERLINK("https://nconnect.nicmar.ac.in/storage/profile/ProfilePhoto_p2270522_451823.jpg","Download")</f>
        <v>0</v>
      </c>
      <c r="BV1915" s="3"/>
      <c r="BW1915" s="3"/>
    </row>
    <row r="1916" spans="1:75">
      <c r="A1916" s="1" t="s">
        <v>75</v>
      </c>
      <c r="B1916" s="1" t="s">
        <v>25236</v>
      </c>
      <c r="C1916" s="1" t="s">
        <v>33684</v>
      </c>
      <c r="D1916" s="1" t="s">
        <v>26127</v>
      </c>
      <c r="E1916" s="1" t="s">
        <v>33685</v>
      </c>
      <c r="F1916" s="1" t="s">
        <v>33686</v>
      </c>
      <c r="G1916" s="1" t="s">
        <v>33687</v>
      </c>
      <c r="H1916" s="1" t="s">
        <v>33688</v>
      </c>
      <c r="I1916" s="1" t="s">
        <v>33689</v>
      </c>
      <c r="J1916" s="1">
        <v>9998332780</v>
      </c>
      <c r="K1916" s="1" t="s">
        <v>84</v>
      </c>
      <c r="L1916" s="1" t="s">
        <v>12774</v>
      </c>
      <c r="M1916" s="1" t="s">
        <v>86</v>
      </c>
      <c r="N1916" s="1" t="s">
        <v>20173</v>
      </c>
      <c r="O1916" s="1" t="s">
        <v>33690</v>
      </c>
      <c r="P1916" s="1" t="s">
        <v>507</v>
      </c>
      <c r="Q1916" s="1" t="s">
        <v>33691</v>
      </c>
      <c r="R1916" s="1" t="s">
        <v>33686</v>
      </c>
      <c r="S1916" s="1">
        <v>9824468594</v>
      </c>
      <c r="T1916" s="1" t="s">
        <v>7822</v>
      </c>
      <c r="U1916" s="1" t="s">
        <v>33692</v>
      </c>
      <c r="V1916" s="1">
        <v>8140241602</v>
      </c>
      <c r="W1916" s="1" t="s">
        <v>161</v>
      </c>
      <c r="X1916" s="1" t="s">
        <v>33693</v>
      </c>
      <c r="Y1916" s="1" t="s">
        <v>27492</v>
      </c>
      <c r="Z1916" s="1" t="s">
        <v>676</v>
      </c>
      <c r="AA1916" s="1" t="s">
        <v>33693</v>
      </c>
      <c r="AB1916" s="1" t="s">
        <v>27492</v>
      </c>
      <c r="AC1916" s="1" t="s">
        <v>676</v>
      </c>
      <c r="AD1916" s="1" t="s">
        <v>98</v>
      </c>
      <c r="AE1916" s="1" t="s">
        <v>98</v>
      </c>
      <c r="AF1916" s="1" t="s">
        <v>33694</v>
      </c>
      <c r="AG1916" s="1" t="s">
        <v>33695</v>
      </c>
      <c r="AH1916" s="1" t="s">
        <v>166</v>
      </c>
      <c r="AI1916" s="1" t="s">
        <v>1111</v>
      </c>
      <c r="AJ1916" s="1">
        <v>73</v>
      </c>
      <c r="AK1916" s="1">
        <v>0</v>
      </c>
      <c r="AL1916" s="1" t="s">
        <v>33696</v>
      </c>
      <c r="AM1916" s="1" t="s">
        <v>33695</v>
      </c>
      <c r="AN1916" s="1"/>
      <c r="AO1916" s="1" t="s">
        <v>170</v>
      </c>
      <c r="AP1916" s="1" t="s">
        <v>286</v>
      </c>
      <c r="AQ1916" s="1">
        <v>55.54</v>
      </c>
      <c r="AR1916" s="1">
        <v>0</v>
      </c>
      <c r="AS1916" s="1"/>
      <c r="AT1916" s="1"/>
      <c r="AU1916" s="1"/>
      <c r="AV1916" s="1"/>
      <c r="AW1916" s="1"/>
      <c r="AX1916" s="1"/>
      <c r="AY1916" s="1" t="s">
        <v>25356</v>
      </c>
      <c r="AZ1916" s="1" t="s">
        <v>33697</v>
      </c>
      <c r="BA1916" s="1"/>
      <c r="BB1916" s="1"/>
      <c r="BC1916" s="1" t="s">
        <v>174</v>
      </c>
      <c r="BD1916" s="1" t="s">
        <v>632</v>
      </c>
      <c r="BE1916" s="1">
        <v>76.6</v>
      </c>
      <c r="BF1916" s="1">
        <v>8.16</v>
      </c>
      <c r="BG1916" s="1"/>
      <c r="BH1916" s="1"/>
      <c r="BI1916" s="1"/>
      <c r="BJ1916" s="1"/>
      <c r="BK1916" s="1"/>
      <c r="BL1916" s="1"/>
      <c r="BM1916" s="1"/>
      <c r="BN1916" s="1"/>
      <c r="BO1916" s="1" t="s">
        <v>1114</v>
      </c>
      <c r="BP1916" s="1"/>
      <c r="BQ1916" s="1"/>
      <c r="BR1916" s="1" t="s">
        <v>33698</v>
      </c>
      <c r="BS1916" s="1">
        <v>7</v>
      </c>
      <c r="BT1916" s="1"/>
      <c r="BU1916" s="1" t="str">
        <f>HYPERLINK("https://nconnect.nicmar.ac.in/storage/profile/ProfilePhoto_p2270523_912475.jpg","Download")</f>
        <v>0</v>
      </c>
      <c r="BV1916" s="3"/>
      <c r="BW1916" s="3"/>
    </row>
    <row r="1917" spans="1:75">
      <c r="A1917" s="1" t="s">
        <v>75</v>
      </c>
      <c r="B1917" s="1" t="s">
        <v>25236</v>
      </c>
      <c r="C1917" s="1" t="s">
        <v>33699</v>
      </c>
      <c r="D1917" s="1" t="s">
        <v>33700</v>
      </c>
      <c r="E1917" s="1" t="s">
        <v>10634</v>
      </c>
      <c r="F1917" s="1" t="s">
        <v>6082</v>
      </c>
      <c r="G1917" s="1" t="s">
        <v>33701</v>
      </c>
      <c r="H1917" s="1" t="s">
        <v>33702</v>
      </c>
      <c r="I1917" s="1" t="s">
        <v>33703</v>
      </c>
      <c r="J1917" s="1">
        <v>8329092709</v>
      </c>
      <c r="K1917" s="1" t="s">
        <v>84</v>
      </c>
      <c r="L1917" s="1" t="s">
        <v>33704</v>
      </c>
      <c r="M1917" s="1" t="s">
        <v>86</v>
      </c>
      <c r="N1917" s="1" t="s">
        <v>768</v>
      </c>
      <c r="O1917" s="1" t="s">
        <v>33705</v>
      </c>
      <c r="P1917" s="1" t="s">
        <v>455</v>
      </c>
      <c r="Q1917" s="1" t="s">
        <v>33706</v>
      </c>
      <c r="R1917" s="1" t="s">
        <v>33707</v>
      </c>
      <c r="S1917" s="1">
        <v>9422119009</v>
      </c>
      <c r="T1917" s="1" t="s">
        <v>839</v>
      </c>
      <c r="U1917" s="1" t="s">
        <v>33708</v>
      </c>
      <c r="V1917" s="1">
        <v>9767793777</v>
      </c>
      <c r="W1917" s="1" t="s">
        <v>839</v>
      </c>
      <c r="X1917" s="1" t="s">
        <v>33709</v>
      </c>
      <c r="Y1917" s="1" t="s">
        <v>410</v>
      </c>
      <c r="Z1917" s="1" t="s">
        <v>97</v>
      </c>
      <c r="AA1917" s="1" t="s">
        <v>33709</v>
      </c>
      <c r="AB1917" s="1" t="s">
        <v>410</v>
      </c>
      <c r="AC1917" s="1" t="s">
        <v>97</v>
      </c>
      <c r="AD1917" s="1" t="s">
        <v>98</v>
      </c>
      <c r="AE1917" s="1" t="s">
        <v>98</v>
      </c>
      <c r="AF1917" s="1" t="s">
        <v>33710</v>
      </c>
      <c r="AG1917" s="1" t="s">
        <v>33711</v>
      </c>
      <c r="AH1917" s="1" t="s">
        <v>134</v>
      </c>
      <c r="AI1917" s="1" t="s">
        <v>101</v>
      </c>
      <c r="AJ1917" s="1">
        <v>74.2</v>
      </c>
      <c r="AK1917" s="1"/>
      <c r="AL1917" s="1" t="s">
        <v>33712</v>
      </c>
      <c r="AM1917" s="1" t="s">
        <v>33711</v>
      </c>
      <c r="AN1917" s="1"/>
      <c r="AO1917" s="1" t="s">
        <v>166</v>
      </c>
      <c r="AP1917" s="1" t="s">
        <v>284</v>
      </c>
      <c r="AQ1917" s="1">
        <v>59.38</v>
      </c>
      <c r="AR1917" s="1"/>
      <c r="AS1917" s="1"/>
      <c r="AT1917" s="1"/>
      <c r="AU1917" s="1"/>
      <c r="AV1917" s="1"/>
      <c r="AW1917" s="1"/>
      <c r="AX1917" s="1"/>
      <c r="AY1917" s="1" t="s">
        <v>26339</v>
      </c>
      <c r="AZ1917" s="1" t="s">
        <v>33713</v>
      </c>
      <c r="BA1917" s="1"/>
      <c r="BB1917" s="1"/>
      <c r="BC1917" s="1" t="s">
        <v>139</v>
      </c>
      <c r="BD1917" s="1" t="s">
        <v>1192</v>
      </c>
      <c r="BE1917" s="1">
        <v>61.3</v>
      </c>
      <c r="BF1917" s="1">
        <v>6.88</v>
      </c>
      <c r="BG1917" s="1"/>
      <c r="BH1917" s="1"/>
      <c r="BI1917" s="1"/>
      <c r="BJ1917" s="1"/>
      <c r="BK1917" s="1"/>
      <c r="BL1917" s="1"/>
      <c r="BM1917" s="1"/>
      <c r="BN1917" s="1"/>
      <c r="BO1917" s="1" t="s">
        <v>33714</v>
      </c>
      <c r="BP1917" s="1" t="s">
        <v>33715</v>
      </c>
      <c r="BQ1917" s="1" t="s">
        <v>1070</v>
      </c>
      <c r="BR1917" s="1" t="s">
        <v>33716</v>
      </c>
      <c r="BS1917" s="1">
        <v>32</v>
      </c>
      <c r="BT1917" s="1"/>
      <c r="BU1917" s="1" t="str">
        <f>HYPERLINK("https://nconnect.nicmar.ac.in/storage/profile/ProfilePhoto_p2270524_918745.jpg","Download")</f>
        <v>0</v>
      </c>
      <c r="BV1917" s="3"/>
      <c r="BW1917" s="3"/>
    </row>
    <row r="1918" spans="1:75">
      <c r="A1918" s="1" t="s">
        <v>75</v>
      </c>
      <c r="B1918" s="1" t="s">
        <v>25236</v>
      </c>
      <c r="C1918" s="1" t="s">
        <v>33717</v>
      </c>
      <c r="D1918" s="1" t="s">
        <v>33718</v>
      </c>
      <c r="E1918" s="1"/>
      <c r="F1918" s="1" t="s">
        <v>32315</v>
      </c>
      <c r="G1918" s="1" t="s">
        <v>33719</v>
      </c>
      <c r="H1918" s="1" t="s">
        <v>33720</v>
      </c>
      <c r="I1918" s="1" t="s">
        <v>33721</v>
      </c>
      <c r="J1918" s="1">
        <v>7091703062</v>
      </c>
      <c r="K1918" s="1" t="s">
        <v>84</v>
      </c>
      <c r="L1918" s="1" t="s">
        <v>33722</v>
      </c>
      <c r="M1918" s="1" t="s">
        <v>86</v>
      </c>
      <c r="N1918" s="1" t="s">
        <v>33723</v>
      </c>
      <c r="O1918" s="1" t="s">
        <v>33724</v>
      </c>
      <c r="P1918" s="1" t="s">
        <v>507</v>
      </c>
      <c r="Q1918" s="1" t="s">
        <v>33725</v>
      </c>
      <c r="R1918" s="1" t="s">
        <v>33726</v>
      </c>
      <c r="S1918" s="1">
        <v>7543019190</v>
      </c>
      <c r="T1918" s="1" t="s">
        <v>2005</v>
      </c>
      <c r="U1918" s="1" t="s">
        <v>33727</v>
      </c>
      <c r="V1918" s="1">
        <v>7543019190</v>
      </c>
      <c r="W1918" s="1" t="s">
        <v>161</v>
      </c>
      <c r="X1918" s="1" t="s">
        <v>33728</v>
      </c>
      <c r="Y1918" s="1" t="s">
        <v>648</v>
      </c>
      <c r="Z1918" s="1" t="s">
        <v>649</v>
      </c>
      <c r="AA1918" s="1" t="s">
        <v>33728</v>
      </c>
      <c r="AB1918" s="1" t="s">
        <v>648</v>
      </c>
      <c r="AC1918" s="1" t="s">
        <v>649</v>
      </c>
      <c r="AD1918" s="1" t="s">
        <v>98</v>
      </c>
      <c r="AE1918" s="1" t="s">
        <v>98</v>
      </c>
      <c r="AF1918" s="1" t="s">
        <v>33729</v>
      </c>
      <c r="AG1918" s="1" t="s">
        <v>775</v>
      </c>
      <c r="AH1918" s="1" t="s">
        <v>23371</v>
      </c>
      <c r="AI1918" s="1" t="s">
        <v>801</v>
      </c>
      <c r="AJ1918" s="1">
        <v>74.1</v>
      </c>
      <c r="AK1918" s="1">
        <v>7.8</v>
      </c>
      <c r="AL1918" s="1"/>
      <c r="AM1918" s="1"/>
      <c r="AN1918" s="1"/>
      <c r="AO1918" s="1"/>
      <c r="AP1918" s="1"/>
      <c r="AQ1918" s="1"/>
      <c r="AR1918" s="1"/>
      <c r="AS1918" s="1" t="s">
        <v>439</v>
      </c>
      <c r="AT1918" s="1" t="s">
        <v>33730</v>
      </c>
      <c r="AU1918" s="1" t="s">
        <v>25321</v>
      </c>
      <c r="AV1918" s="1" t="s">
        <v>167</v>
      </c>
      <c r="AW1918" s="1">
        <v>63.52</v>
      </c>
      <c r="AX1918" s="1">
        <v>0</v>
      </c>
      <c r="AY1918" s="1" t="s">
        <v>3625</v>
      </c>
      <c r="AZ1918" s="1" t="s">
        <v>33731</v>
      </c>
      <c r="BA1918" s="1"/>
      <c r="BB1918" s="1"/>
      <c r="BC1918" s="1" t="s">
        <v>139</v>
      </c>
      <c r="BD1918" s="1" t="s">
        <v>315</v>
      </c>
      <c r="BE1918" s="1">
        <v>74.8</v>
      </c>
      <c r="BF1918" s="1">
        <v>0</v>
      </c>
      <c r="BG1918" s="1"/>
      <c r="BH1918" s="1"/>
      <c r="BI1918" s="1"/>
      <c r="BJ1918" s="1"/>
      <c r="BK1918" s="1"/>
      <c r="BL1918" s="1"/>
      <c r="BM1918" s="1"/>
      <c r="BN1918" s="1"/>
      <c r="BO1918" s="1" t="s">
        <v>6027</v>
      </c>
      <c r="BP1918" s="1"/>
      <c r="BQ1918" s="1"/>
      <c r="BR1918" s="1" t="s">
        <v>33732</v>
      </c>
      <c r="BS1918" s="1">
        <v>11</v>
      </c>
      <c r="BT1918" s="1"/>
      <c r="BU1918" s="1" t="str">
        <f>HYPERLINK("https://nconnect.nicmar.ac.in/storage/profile/ProfilePhoto_p2270525_634859.jpg","Download")</f>
        <v>0</v>
      </c>
      <c r="BV1918" s="3"/>
      <c r="BW1918" s="3"/>
    </row>
    <row r="1919" spans="1:75">
      <c r="A1919" s="1" t="s">
        <v>75</v>
      </c>
      <c r="B1919" s="1" t="s">
        <v>25236</v>
      </c>
      <c r="C1919" s="1" t="s">
        <v>33733</v>
      </c>
      <c r="D1919" s="1" t="s">
        <v>11460</v>
      </c>
      <c r="E1919" s="1"/>
      <c r="F1919" s="1" t="s">
        <v>33734</v>
      </c>
      <c r="G1919" s="1" t="s">
        <v>33735</v>
      </c>
      <c r="H1919" s="1" t="s">
        <v>33736</v>
      </c>
      <c r="I1919" s="1" t="s">
        <v>33737</v>
      </c>
      <c r="J1919" s="1">
        <v>9446991955</v>
      </c>
      <c r="K1919" s="1" t="s">
        <v>153</v>
      </c>
      <c r="L1919" s="1" t="s">
        <v>33738</v>
      </c>
      <c r="M1919" s="1" t="s">
        <v>86</v>
      </c>
      <c r="N1919" s="1" t="s">
        <v>33739</v>
      </c>
      <c r="O1919" s="1" t="s">
        <v>33740</v>
      </c>
      <c r="P1919" s="1" t="s">
        <v>481</v>
      </c>
      <c r="Q1919" s="1" t="s">
        <v>33741</v>
      </c>
      <c r="R1919" s="1" t="s">
        <v>33742</v>
      </c>
      <c r="S1919" s="1">
        <v>9446033033</v>
      </c>
      <c r="T1919" s="1" t="s">
        <v>33743</v>
      </c>
      <c r="U1919" s="1" t="s">
        <v>33744</v>
      </c>
      <c r="V1919" s="1">
        <v>9446022022</v>
      </c>
      <c r="W1919" s="1" t="s">
        <v>33745</v>
      </c>
      <c r="X1919" s="1" t="s">
        <v>33746</v>
      </c>
      <c r="Y1919" s="1" t="s">
        <v>3190</v>
      </c>
      <c r="Z1919" s="1" t="s">
        <v>130</v>
      </c>
      <c r="AA1919" s="1" t="s">
        <v>33746</v>
      </c>
      <c r="AB1919" s="1" t="s">
        <v>3190</v>
      </c>
      <c r="AC1919" s="1" t="s">
        <v>130</v>
      </c>
      <c r="AD1919" s="1" t="s">
        <v>98</v>
      </c>
      <c r="AE1919" s="1" t="s">
        <v>98</v>
      </c>
      <c r="AF1919" s="1" t="s">
        <v>33747</v>
      </c>
      <c r="AG1919" s="1" t="s">
        <v>2181</v>
      </c>
      <c r="AH1919" s="1" t="s">
        <v>3770</v>
      </c>
      <c r="AI1919" s="1" t="s">
        <v>1457</v>
      </c>
      <c r="AJ1919" s="1">
        <v>91.83</v>
      </c>
      <c r="AK1919" s="1"/>
      <c r="AL1919" s="1" t="s">
        <v>33747</v>
      </c>
      <c r="AM1919" s="1" t="s">
        <v>2181</v>
      </c>
      <c r="AN1919" s="1"/>
      <c r="AO1919" s="1" t="s">
        <v>1214</v>
      </c>
      <c r="AP1919" s="1" t="s">
        <v>102</v>
      </c>
      <c r="AQ1919" s="1">
        <v>85.8</v>
      </c>
      <c r="AR1919" s="1"/>
      <c r="AS1919" s="1"/>
      <c r="AT1919" s="1"/>
      <c r="AU1919" s="1"/>
      <c r="AV1919" s="1"/>
      <c r="AW1919" s="1"/>
      <c r="AX1919" s="1"/>
      <c r="AY1919" s="1" t="s">
        <v>137</v>
      </c>
      <c r="AZ1919" s="1" t="s">
        <v>33748</v>
      </c>
      <c r="BA1919" s="1"/>
      <c r="BB1919" s="1"/>
      <c r="BC1919" s="1" t="s">
        <v>105</v>
      </c>
      <c r="BD1919" s="1" t="s">
        <v>313</v>
      </c>
      <c r="BE1919" s="1">
        <v>84.2</v>
      </c>
      <c r="BF1919" s="1">
        <v>8.42</v>
      </c>
      <c r="BG1919" s="1"/>
      <c r="BH1919" s="1"/>
      <c r="BI1919" s="1"/>
      <c r="BJ1919" s="1"/>
      <c r="BK1919" s="1"/>
      <c r="BL1919" s="1"/>
      <c r="BM1919" s="1"/>
      <c r="BN1919" s="1"/>
      <c r="BO1919" s="1" t="s">
        <v>33749</v>
      </c>
      <c r="BP1919" s="1" t="s">
        <v>33750</v>
      </c>
      <c r="BQ1919" s="1" t="s">
        <v>2577</v>
      </c>
      <c r="BR1919" s="1" t="s">
        <v>33751</v>
      </c>
      <c r="BS1919" s="1">
        <v>39</v>
      </c>
      <c r="BT1919" s="1"/>
      <c r="BU1919" s="1" t="str">
        <f>HYPERLINK("https://nconnect.nicmar.ac.in/storage/profile/ProfilePhoto_p2270526_249687.jpg","Download")</f>
        <v>0</v>
      </c>
      <c r="BV1919" s="3"/>
      <c r="BW1919" s="3"/>
    </row>
    <row r="1920" spans="1:75">
      <c r="A1920" s="1" t="s">
        <v>75</v>
      </c>
      <c r="B1920" s="1" t="s">
        <v>25236</v>
      </c>
      <c r="C1920" s="1" t="s">
        <v>33752</v>
      </c>
      <c r="D1920" s="1" t="s">
        <v>33753</v>
      </c>
      <c r="E1920" s="1" t="s">
        <v>33754</v>
      </c>
      <c r="F1920" s="1" t="s">
        <v>33755</v>
      </c>
      <c r="G1920" s="1" t="s">
        <v>33756</v>
      </c>
      <c r="H1920" s="1" t="s">
        <v>33757</v>
      </c>
      <c r="I1920" s="1" t="s">
        <v>33758</v>
      </c>
      <c r="J1920" s="1">
        <v>9145627080</v>
      </c>
      <c r="K1920" s="1" t="s">
        <v>84</v>
      </c>
      <c r="L1920" s="1" t="s">
        <v>6407</v>
      </c>
      <c r="M1920" s="1" t="s">
        <v>86</v>
      </c>
      <c r="N1920" s="1" t="s">
        <v>33759</v>
      </c>
      <c r="O1920" s="1" t="s">
        <v>33760</v>
      </c>
      <c r="P1920" s="1" t="s">
        <v>455</v>
      </c>
      <c r="Q1920" s="1" t="s">
        <v>33761</v>
      </c>
      <c r="R1920" s="1" t="s">
        <v>33762</v>
      </c>
      <c r="S1920" s="1">
        <v>9970003514</v>
      </c>
      <c r="T1920" s="1" t="s">
        <v>33763</v>
      </c>
      <c r="U1920" s="1" t="s">
        <v>33764</v>
      </c>
      <c r="V1920" s="1">
        <v>9657500786</v>
      </c>
      <c r="W1920" s="1" t="s">
        <v>278</v>
      </c>
      <c r="X1920" s="1" t="s">
        <v>33765</v>
      </c>
      <c r="Y1920" s="1" t="s">
        <v>1012</v>
      </c>
      <c r="Z1920" s="1" t="s">
        <v>97</v>
      </c>
      <c r="AA1920" s="1" t="s">
        <v>33765</v>
      </c>
      <c r="AB1920" s="1" t="s">
        <v>1012</v>
      </c>
      <c r="AC1920" s="1" t="s">
        <v>97</v>
      </c>
      <c r="AD1920" s="1" t="s">
        <v>98</v>
      </c>
      <c r="AE1920" s="1" t="s">
        <v>98</v>
      </c>
      <c r="AF1920" s="1" t="s">
        <v>33766</v>
      </c>
      <c r="AG1920" s="1" t="s">
        <v>165</v>
      </c>
      <c r="AH1920" s="1" t="s">
        <v>101</v>
      </c>
      <c r="AI1920" s="1" t="s">
        <v>102</v>
      </c>
      <c r="AJ1920" s="1">
        <v>62.6</v>
      </c>
      <c r="AK1920" s="1">
        <v>0</v>
      </c>
      <c r="AL1920" s="1"/>
      <c r="AM1920" s="1"/>
      <c r="AN1920" s="1"/>
      <c r="AO1920" s="1"/>
      <c r="AP1920" s="1"/>
      <c r="AQ1920" s="1"/>
      <c r="AR1920" s="1"/>
      <c r="AS1920" s="1" t="s">
        <v>103</v>
      </c>
      <c r="AT1920" s="1" t="s">
        <v>33767</v>
      </c>
      <c r="AU1920" s="1" t="s">
        <v>342</v>
      </c>
      <c r="AV1920" s="1" t="s">
        <v>438</v>
      </c>
      <c r="AW1920" s="1">
        <v>78.48</v>
      </c>
      <c r="AX1920" s="1">
        <v>0</v>
      </c>
      <c r="AY1920" s="1" t="s">
        <v>366</v>
      </c>
      <c r="AZ1920" s="1" t="s">
        <v>33768</v>
      </c>
      <c r="BA1920" s="1"/>
      <c r="BB1920" s="1"/>
      <c r="BC1920" s="1" t="s">
        <v>315</v>
      </c>
      <c r="BD1920" s="1" t="s">
        <v>110</v>
      </c>
      <c r="BE1920" s="1">
        <v>75.2</v>
      </c>
      <c r="BF1920" s="1">
        <v>8.35</v>
      </c>
      <c r="BG1920" s="1"/>
      <c r="BH1920" s="1"/>
      <c r="BI1920" s="1"/>
      <c r="BJ1920" s="1"/>
      <c r="BK1920" s="1"/>
      <c r="BL1920" s="1"/>
      <c r="BM1920" s="1"/>
      <c r="BN1920" s="1"/>
      <c r="BO1920" s="1" t="s">
        <v>1114</v>
      </c>
      <c r="BP1920" s="1"/>
      <c r="BQ1920" s="1"/>
      <c r="BR1920" s="1" t="s">
        <v>33769</v>
      </c>
      <c r="BS1920" s="1">
        <v>7</v>
      </c>
      <c r="BT1920" s="1"/>
      <c r="BU1920" s="1" t="str">
        <f>HYPERLINK("https://nconnect.nicmar.ac.in/storage/profile/ProfilePhoto_p2270527_475832.jpg","Download")</f>
        <v>0</v>
      </c>
      <c r="BV1920" s="3"/>
      <c r="BW1920" s="3"/>
    </row>
    <row r="1921" spans="1:75">
      <c r="A1921" s="1" t="s">
        <v>75</v>
      </c>
      <c r="B1921" s="1" t="s">
        <v>25236</v>
      </c>
      <c r="C1921" s="1" t="s">
        <v>33770</v>
      </c>
      <c r="D1921" s="1" t="s">
        <v>940</v>
      </c>
      <c r="E1921" s="1" t="s">
        <v>4646</v>
      </c>
      <c r="F1921" s="1" t="s">
        <v>33771</v>
      </c>
      <c r="G1921" s="1" t="s">
        <v>33772</v>
      </c>
      <c r="H1921" s="1" t="s">
        <v>33773</v>
      </c>
      <c r="I1921" s="1" t="s">
        <v>33774</v>
      </c>
      <c r="J1921" s="1">
        <v>9765244900</v>
      </c>
      <c r="K1921" s="1" t="s">
        <v>84</v>
      </c>
      <c r="L1921" s="1" t="s">
        <v>2968</v>
      </c>
      <c r="M1921" s="1" t="s">
        <v>86</v>
      </c>
      <c r="N1921" s="1" t="s">
        <v>768</v>
      </c>
      <c r="O1921" s="1" t="s">
        <v>33775</v>
      </c>
      <c r="P1921" s="1" t="s">
        <v>5904</v>
      </c>
      <c r="Q1921" s="1" t="s">
        <v>33776</v>
      </c>
      <c r="R1921" s="1" t="s">
        <v>33777</v>
      </c>
      <c r="S1921" s="1">
        <v>9765961609</v>
      </c>
      <c r="T1921" s="1" t="s">
        <v>839</v>
      </c>
      <c r="U1921" s="1" t="s">
        <v>33778</v>
      </c>
      <c r="V1921" s="1">
        <v>9595547622</v>
      </c>
      <c r="W1921" s="1" t="s">
        <v>94</v>
      </c>
      <c r="X1921" s="1" t="s">
        <v>33779</v>
      </c>
      <c r="Y1921" s="1" t="s">
        <v>163</v>
      </c>
      <c r="Z1921" s="1" t="s">
        <v>97</v>
      </c>
      <c r="AA1921" s="1" t="s">
        <v>33779</v>
      </c>
      <c r="AB1921" s="1" t="s">
        <v>163</v>
      </c>
      <c r="AC1921" s="1" t="s">
        <v>97</v>
      </c>
      <c r="AD1921" s="1" t="s">
        <v>98</v>
      </c>
      <c r="AE1921" s="1" t="s">
        <v>98</v>
      </c>
      <c r="AF1921" s="1" t="s">
        <v>33780</v>
      </c>
      <c r="AG1921" s="1" t="s">
        <v>165</v>
      </c>
      <c r="AH1921" s="1" t="s">
        <v>101</v>
      </c>
      <c r="AI1921" s="1" t="s">
        <v>166</v>
      </c>
      <c r="AJ1921" s="1">
        <v>78.4</v>
      </c>
      <c r="AK1921" s="1"/>
      <c r="AL1921" s="1"/>
      <c r="AM1921" s="1"/>
      <c r="AN1921" s="1"/>
      <c r="AO1921" s="1"/>
      <c r="AP1921" s="1"/>
      <c r="AQ1921" s="1"/>
      <c r="AR1921" s="1"/>
      <c r="AS1921" s="1" t="s">
        <v>439</v>
      </c>
      <c r="AT1921" s="1" t="s">
        <v>33781</v>
      </c>
      <c r="AU1921" s="1" t="s">
        <v>342</v>
      </c>
      <c r="AV1921" s="1" t="s">
        <v>1065</v>
      </c>
      <c r="AW1921" s="1">
        <v>67.64</v>
      </c>
      <c r="AX1921" s="1"/>
      <c r="AY1921" s="1" t="s">
        <v>107</v>
      </c>
      <c r="AZ1921" s="1" t="s">
        <v>33782</v>
      </c>
      <c r="BA1921" s="1"/>
      <c r="BB1921" s="1"/>
      <c r="BC1921" s="1" t="s">
        <v>17163</v>
      </c>
      <c r="BD1921" s="1" t="s">
        <v>1400</v>
      </c>
      <c r="BE1921" s="1">
        <v>82.4</v>
      </c>
      <c r="BF1921" s="1">
        <v>8.74</v>
      </c>
      <c r="BG1921" s="1"/>
      <c r="BH1921" s="1"/>
      <c r="BI1921" s="1"/>
      <c r="BJ1921" s="1"/>
      <c r="BK1921" s="1"/>
      <c r="BL1921" s="1"/>
      <c r="BM1921" s="1"/>
      <c r="BN1921" s="1"/>
      <c r="BO1921" s="1" t="s">
        <v>33783</v>
      </c>
      <c r="BP1921" s="1"/>
      <c r="BQ1921" s="1"/>
      <c r="BR1921" s="1" t="s">
        <v>33784</v>
      </c>
      <c r="BS1921" s="1">
        <v>7</v>
      </c>
      <c r="BT1921" s="1"/>
      <c r="BU1921" s="1" t="str">
        <f>HYPERLINK("https://nconnect.nicmar.ac.in/storage/profile/ProfilePhoto_p2270528_613875.jpg","Download")</f>
        <v>0</v>
      </c>
      <c r="BV1921" s="3"/>
      <c r="BW1921" s="3"/>
    </row>
    <row r="1922" spans="1:75">
      <c r="A1922" s="1" t="s">
        <v>75</v>
      </c>
      <c r="B1922" s="1" t="s">
        <v>25236</v>
      </c>
      <c r="C1922" s="1" t="s">
        <v>33785</v>
      </c>
      <c r="D1922" s="1" t="s">
        <v>26471</v>
      </c>
      <c r="E1922" s="1" t="s">
        <v>3910</v>
      </c>
      <c r="F1922" s="1" t="s">
        <v>26564</v>
      </c>
      <c r="G1922" s="1" t="s">
        <v>33786</v>
      </c>
      <c r="H1922" s="1" t="s">
        <v>33787</v>
      </c>
      <c r="I1922" s="1" t="s">
        <v>33788</v>
      </c>
      <c r="J1922" s="1">
        <v>8073581849</v>
      </c>
      <c r="K1922" s="1" t="s">
        <v>84</v>
      </c>
      <c r="L1922" s="1" t="s">
        <v>33789</v>
      </c>
      <c r="M1922" s="1" t="s">
        <v>86</v>
      </c>
      <c r="N1922" s="1" t="s">
        <v>33790</v>
      </c>
      <c r="O1922" s="1" t="s">
        <v>33791</v>
      </c>
      <c r="P1922" s="1" t="s">
        <v>455</v>
      </c>
      <c r="Q1922" s="1" t="s">
        <v>33792</v>
      </c>
      <c r="R1922" s="1" t="s">
        <v>33793</v>
      </c>
      <c r="S1922" s="1">
        <v>9686243456</v>
      </c>
      <c r="T1922" s="1" t="s">
        <v>33794</v>
      </c>
      <c r="U1922" s="1" t="s">
        <v>33795</v>
      </c>
      <c r="V1922" s="1">
        <v>9945614707</v>
      </c>
      <c r="W1922" s="1" t="s">
        <v>278</v>
      </c>
      <c r="X1922" s="1" t="s">
        <v>33796</v>
      </c>
      <c r="Y1922" s="1" t="s">
        <v>1209</v>
      </c>
      <c r="Z1922" s="1" t="s">
        <v>1210</v>
      </c>
      <c r="AA1922" s="1" t="s">
        <v>33796</v>
      </c>
      <c r="AB1922" s="1" t="s">
        <v>1209</v>
      </c>
      <c r="AC1922" s="1" t="s">
        <v>1210</v>
      </c>
      <c r="AD1922" s="1" t="s">
        <v>98</v>
      </c>
      <c r="AE1922" s="1" t="s">
        <v>98</v>
      </c>
      <c r="AF1922" s="1" t="s">
        <v>33797</v>
      </c>
      <c r="AG1922" s="1" t="s">
        <v>33798</v>
      </c>
      <c r="AH1922" s="1" t="s">
        <v>1213</v>
      </c>
      <c r="AI1922" s="1" t="s">
        <v>1111</v>
      </c>
      <c r="AJ1922" s="1">
        <v>62.7</v>
      </c>
      <c r="AK1922" s="1">
        <v>6.6</v>
      </c>
      <c r="AL1922" s="1" t="s">
        <v>33799</v>
      </c>
      <c r="AM1922" s="1" t="s">
        <v>12550</v>
      </c>
      <c r="AN1922" s="1"/>
      <c r="AO1922" s="1" t="s">
        <v>167</v>
      </c>
      <c r="AP1922" s="1" t="s">
        <v>286</v>
      </c>
      <c r="AQ1922" s="1">
        <v>80</v>
      </c>
      <c r="AR1922" s="1"/>
      <c r="AS1922" s="1"/>
      <c r="AT1922" s="1"/>
      <c r="AU1922" s="1"/>
      <c r="AV1922" s="1"/>
      <c r="AW1922" s="1"/>
      <c r="AX1922" s="1"/>
      <c r="AY1922" s="1" t="s">
        <v>4012</v>
      </c>
      <c r="AZ1922" s="1" t="s">
        <v>33800</v>
      </c>
      <c r="BA1922" s="1"/>
      <c r="BB1922" s="1"/>
      <c r="BC1922" s="1" t="s">
        <v>1065</v>
      </c>
      <c r="BD1922" s="1" t="s">
        <v>1400</v>
      </c>
      <c r="BE1922" s="1">
        <v>64.7</v>
      </c>
      <c r="BF1922" s="1">
        <v>7.22</v>
      </c>
      <c r="BG1922" s="1"/>
      <c r="BH1922" s="1"/>
      <c r="BI1922" s="1"/>
      <c r="BJ1922" s="1"/>
      <c r="BK1922" s="1"/>
      <c r="BL1922" s="1"/>
      <c r="BM1922" s="1"/>
      <c r="BN1922" s="1"/>
      <c r="BO1922" s="1" t="s">
        <v>25516</v>
      </c>
      <c r="BP1922" s="1"/>
      <c r="BQ1922" s="1"/>
      <c r="BR1922" s="1" t="s">
        <v>33801</v>
      </c>
      <c r="BS1922" s="1">
        <v>7</v>
      </c>
      <c r="BT1922" s="1"/>
      <c r="BU1922" s="1" t="str">
        <f>HYPERLINK("https://nconnect.nicmar.ac.in/storage/profile/ProfilePhoto_p2270529_537168.jpg","Download")</f>
        <v>0</v>
      </c>
      <c r="BV1922" s="3"/>
      <c r="BW1922" s="3"/>
    </row>
    <row r="1923" spans="1:75">
      <c r="A1923" s="1" t="s">
        <v>75</v>
      </c>
      <c r="B1923" s="1" t="s">
        <v>25236</v>
      </c>
      <c r="C1923" s="1" t="s">
        <v>33802</v>
      </c>
      <c r="D1923" s="1" t="s">
        <v>28834</v>
      </c>
      <c r="E1923" s="1" t="s">
        <v>5004</v>
      </c>
      <c r="F1923" s="1" t="s">
        <v>33803</v>
      </c>
      <c r="G1923" s="1" t="s">
        <v>33804</v>
      </c>
      <c r="H1923" s="1" t="s">
        <v>33805</v>
      </c>
      <c r="I1923" s="1" t="s">
        <v>33806</v>
      </c>
      <c r="J1923" s="1">
        <v>9326495584</v>
      </c>
      <c r="K1923" s="1" t="s">
        <v>153</v>
      </c>
      <c r="L1923" s="1" t="s">
        <v>7296</v>
      </c>
      <c r="M1923" s="1" t="s">
        <v>86</v>
      </c>
      <c r="N1923" s="1" t="s">
        <v>618</v>
      </c>
      <c r="O1923" s="1" t="s">
        <v>33807</v>
      </c>
      <c r="P1923" s="1" t="s">
        <v>481</v>
      </c>
      <c r="Q1923" s="1" t="s">
        <v>33808</v>
      </c>
      <c r="R1923" s="1" t="s">
        <v>33809</v>
      </c>
      <c r="S1923" s="1">
        <v>9820149940</v>
      </c>
      <c r="T1923" s="1" t="s">
        <v>2128</v>
      </c>
      <c r="U1923" s="1" t="s">
        <v>33810</v>
      </c>
      <c r="V1923" s="1">
        <v>8108084861</v>
      </c>
      <c r="W1923" s="1" t="s">
        <v>33811</v>
      </c>
      <c r="X1923" s="1" t="s">
        <v>33812</v>
      </c>
      <c r="Y1923" s="1" t="s">
        <v>1012</v>
      </c>
      <c r="Z1923" s="1" t="s">
        <v>97</v>
      </c>
      <c r="AA1923" s="1" t="s">
        <v>33812</v>
      </c>
      <c r="AB1923" s="1" t="s">
        <v>1012</v>
      </c>
      <c r="AC1923" s="1" t="s">
        <v>97</v>
      </c>
      <c r="AD1923" s="1" t="s">
        <v>98</v>
      </c>
      <c r="AE1923" s="1" t="s">
        <v>98</v>
      </c>
      <c r="AF1923" s="1" t="s">
        <v>33813</v>
      </c>
      <c r="AG1923" s="1" t="s">
        <v>165</v>
      </c>
      <c r="AH1923" s="1" t="s">
        <v>166</v>
      </c>
      <c r="AI1923" s="1" t="s">
        <v>1111</v>
      </c>
      <c r="AJ1923" s="1">
        <v>88</v>
      </c>
      <c r="AK1923" s="1"/>
      <c r="AL1923" s="1" t="s">
        <v>33814</v>
      </c>
      <c r="AM1923" s="1" t="s">
        <v>165</v>
      </c>
      <c r="AN1923" s="1"/>
      <c r="AO1923" s="1" t="s">
        <v>170</v>
      </c>
      <c r="AP1923" s="1" t="s">
        <v>1477</v>
      </c>
      <c r="AQ1923" s="1">
        <v>73.08</v>
      </c>
      <c r="AR1923" s="1"/>
      <c r="AS1923" s="1"/>
      <c r="AT1923" s="1"/>
      <c r="AU1923" s="1"/>
      <c r="AV1923" s="1"/>
      <c r="AW1923" s="1"/>
      <c r="AX1923" s="1"/>
      <c r="AY1923" s="1" t="s">
        <v>680</v>
      </c>
      <c r="AZ1923" s="1" t="s">
        <v>33815</v>
      </c>
      <c r="BA1923" s="1"/>
      <c r="BB1923" s="1"/>
      <c r="BC1923" s="1" t="s">
        <v>1065</v>
      </c>
      <c r="BD1923" s="1" t="s">
        <v>110</v>
      </c>
      <c r="BE1923" s="1">
        <v>75.34</v>
      </c>
      <c r="BF1923" s="1">
        <v>8.56</v>
      </c>
      <c r="BG1923" s="1"/>
      <c r="BH1923" s="1"/>
      <c r="BI1923" s="1"/>
      <c r="BJ1923" s="1"/>
      <c r="BK1923" s="1"/>
      <c r="BL1923" s="1"/>
      <c r="BM1923" s="1"/>
      <c r="BN1923" s="1"/>
      <c r="BO1923" s="1" t="s">
        <v>6027</v>
      </c>
      <c r="BP1923" s="1"/>
      <c r="BQ1923" s="1"/>
      <c r="BR1923" s="1" t="s">
        <v>33816</v>
      </c>
      <c r="BS1923" s="1">
        <v>7</v>
      </c>
      <c r="BT1923" s="1"/>
      <c r="BU1923" s="1" t="str">
        <f>HYPERLINK("https://nconnect.nicmar.ac.in/storage/profile/ProfilePhoto_p2270530_963785.jpg","Download")</f>
        <v>0</v>
      </c>
      <c r="BV1923" s="3"/>
      <c r="BW1923" s="3"/>
    </row>
    <row r="1924" spans="1:75">
      <c r="A1924" s="1" t="s">
        <v>75</v>
      </c>
      <c r="B1924" s="1" t="s">
        <v>25236</v>
      </c>
      <c r="C1924" s="1" t="s">
        <v>33817</v>
      </c>
      <c r="D1924" s="1" t="s">
        <v>33818</v>
      </c>
      <c r="E1924" s="1" t="s">
        <v>33819</v>
      </c>
      <c r="F1924" s="1" t="s">
        <v>8140</v>
      </c>
      <c r="G1924" s="1" t="s">
        <v>33820</v>
      </c>
      <c r="H1924" s="1" t="s">
        <v>33821</v>
      </c>
      <c r="I1924" s="1" t="s">
        <v>33822</v>
      </c>
      <c r="J1924" s="1">
        <v>8007076608</v>
      </c>
      <c r="K1924" s="1" t="s">
        <v>84</v>
      </c>
      <c r="L1924" s="1" t="s">
        <v>33823</v>
      </c>
      <c r="M1924" s="1" t="s">
        <v>86</v>
      </c>
      <c r="N1924" s="1" t="s">
        <v>618</v>
      </c>
      <c r="O1924" s="1"/>
      <c r="P1924" s="1" t="s">
        <v>2684</v>
      </c>
      <c r="Q1924" s="1" t="s">
        <v>33824</v>
      </c>
      <c r="R1924" s="1" t="s">
        <v>33825</v>
      </c>
      <c r="S1924" s="1">
        <v>9890411695</v>
      </c>
      <c r="T1924" s="1" t="s">
        <v>33826</v>
      </c>
      <c r="U1924" s="1" t="s">
        <v>33827</v>
      </c>
      <c r="V1924" s="1">
        <v>9637755035</v>
      </c>
      <c r="W1924" s="1" t="s">
        <v>13182</v>
      </c>
      <c r="X1924" s="1" t="s">
        <v>33828</v>
      </c>
      <c r="Y1924" s="1" t="s">
        <v>624</v>
      </c>
      <c r="Z1924" s="1" t="s">
        <v>97</v>
      </c>
      <c r="AA1924" s="1" t="s">
        <v>33828</v>
      </c>
      <c r="AB1924" s="1" t="s">
        <v>624</v>
      </c>
      <c r="AC1924" s="1" t="s">
        <v>97</v>
      </c>
      <c r="AD1924" s="1" t="s">
        <v>98</v>
      </c>
      <c r="AE1924" s="1" t="s">
        <v>98</v>
      </c>
      <c r="AF1924" s="1" t="s">
        <v>33829</v>
      </c>
      <c r="AG1924" s="1" t="s">
        <v>13343</v>
      </c>
      <c r="AH1924" s="1" t="s">
        <v>135</v>
      </c>
      <c r="AI1924" s="1" t="s">
        <v>136</v>
      </c>
      <c r="AJ1924" s="1">
        <v>77.09</v>
      </c>
      <c r="AK1924" s="1">
        <v>8.2</v>
      </c>
      <c r="AL1924" s="1" t="s">
        <v>33830</v>
      </c>
      <c r="AM1924" s="1" t="s">
        <v>12012</v>
      </c>
      <c r="AN1924" s="1"/>
      <c r="AO1924" s="1" t="s">
        <v>388</v>
      </c>
      <c r="AP1924" s="1" t="s">
        <v>171</v>
      </c>
      <c r="AQ1924" s="1">
        <v>61.85</v>
      </c>
      <c r="AR1924" s="1"/>
      <c r="AS1924" s="1"/>
      <c r="AT1924" s="1"/>
      <c r="AU1924" s="1"/>
      <c r="AV1924" s="1"/>
      <c r="AW1924" s="1"/>
      <c r="AX1924" s="1"/>
      <c r="AY1924" s="1" t="s">
        <v>415</v>
      </c>
      <c r="AZ1924" s="1" t="s">
        <v>33831</v>
      </c>
      <c r="BA1924" s="1"/>
      <c r="BB1924" s="1"/>
      <c r="BC1924" s="1" t="s">
        <v>174</v>
      </c>
      <c r="BD1924" s="1" t="s">
        <v>1400</v>
      </c>
      <c r="BE1924" s="1">
        <v>77.06</v>
      </c>
      <c r="BF1924" s="1">
        <v>8.51</v>
      </c>
      <c r="BG1924" s="1"/>
      <c r="BH1924" s="1"/>
      <c r="BI1924" s="1"/>
      <c r="BJ1924" s="1"/>
      <c r="BK1924" s="1"/>
      <c r="BL1924" s="1"/>
      <c r="BM1924" s="1"/>
      <c r="BN1924" s="1"/>
      <c r="BO1924" s="1" t="s">
        <v>369</v>
      </c>
      <c r="BP1924" s="1"/>
      <c r="BQ1924" s="1"/>
      <c r="BR1924" s="1" t="s">
        <v>33832</v>
      </c>
      <c r="BS1924" s="1">
        <v>7</v>
      </c>
      <c r="BT1924" s="1"/>
      <c r="BU1924" s="1" t="str">
        <f>HYPERLINK("https://nconnect.nicmar.ac.in/storage/profile/ProfilePhoto_p2270531_263715.jpg","Download")</f>
        <v>0</v>
      </c>
      <c r="BV1924" s="3"/>
      <c r="BW1924" s="3"/>
    </row>
    <row r="1925" spans="1:75">
      <c r="A1925" s="1" t="s">
        <v>75</v>
      </c>
      <c r="B1925" s="1" t="s">
        <v>25236</v>
      </c>
      <c r="C1925" s="1" t="s">
        <v>33833</v>
      </c>
      <c r="D1925" s="1" t="s">
        <v>761</v>
      </c>
      <c r="E1925" s="1" t="s">
        <v>1021</v>
      </c>
      <c r="F1925" s="1" t="s">
        <v>26974</v>
      </c>
      <c r="G1925" s="1" t="s">
        <v>33834</v>
      </c>
      <c r="H1925" s="1" t="s">
        <v>33835</v>
      </c>
      <c r="I1925" s="1" t="s">
        <v>33836</v>
      </c>
      <c r="J1925" s="1">
        <v>9920604169</v>
      </c>
      <c r="K1925" s="1" t="s">
        <v>84</v>
      </c>
      <c r="L1925" s="1" t="s">
        <v>8123</v>
      </c>
      <c r="M1925" s="1" t="s">
        <v>86</v>
      </c>
      <c r="N1925" s="1" t="s">
        <v>768</v>
      </c>
      <c r="O1925" s="1" t="s">
        <v>33837</v>
      </c>
      <c r="P1925" s="1" t="s">
        <v>455</v>
      </c>
      <c r="Q1925" s="1" t="s">
        <v>33838</v>
      </c>
      <c r="R1925" s="1" t="s">
        <v>33839</v>
      </c>
      <c r="S1925" s="1">
        <v>9819114557</v>
      </c>
      <c r="T1925" s="1" t="s">
        <v>645</v>
      </c>
      <c r="U1925" s="1" t="s">
        <v>33840</v>
      </c>
      <c r="V1925" s="1">
        <v>9757346463</v>
      </c>
      <c r="W1925" s="1" t="s">
        <v>161</v>
      </c>
      <c r="X1925" s="1" t="s">
        <v>33841</v>
      </c>
      <c r="Y1925" s="1" t="s">
        <v>1882</v>
      </c>
      <c r="Z1925" s="1" t="s">
        <v>97</v>
      </c>
      <c r="AA1925" s="1" t="s">
        <v>33841</v>
      </c>
      <c r="AB1925" s="1" t="s">
        <v>1882</v>
      </c>
      <c r="AC1925" s="1" t="s">
        <v>97</v>
      </c>
      <c r="AD1925" s="1" t="s">
        <v>98</v>
      </c>
      <c r="AE1925" s="1" t="s">
        <v>98</v>
      </c>
      <c r="AF1925" s="1" t="s">
        <v>33842</v>
      </c>
      <c r="AG1925" s="1" t="s">
        <v>33843</v>
      </c>
      <c r="AH1925" s="1" t="s">
        <v>27881</v>
      </c>
      <c r="AI1925" s="1" t="s">
        <v>167</v>
      </c>
      <c r="AJ1925" s="1">
        <v>81.6</v>
      </c>
      <c r="AK1925" s="1"/>
      <c r="AL1925" s="1" t="s">
        <v>33844</v>
      </c>
      <c r="AM1925" s="1" t="s">
        <v>33845</v>
      </c>
      <c r="AN1925" s="1"/>
      <c r="AO1925" s="1" t="s">
        <v>139</v>
      </c>
      <c r="AP1925" s="1" t="s">
        <v>171</v>
      </c>
      <c r="AQ1925" s="1">
        <v>64.77</v>
      </c>
      <c r="AR1925" s="1"/>
      <c r="AS1925" s="1"/>
      <c r="AT1925" s="1"/>
      <c r="AU1925" s="1"/>
      <c r="AV1925" s="1"/>
      <c r="AW1925" s="1"/>
      <c r="AX1925" s="1"/>
      <c r="AY1925" s="1" t="s">
        <v>258</v>
      </c>
      <c r="AZ1925" s="1" t="s">
        <v>2266</v>
      </c>
      <c r="BA1925" s="1"/>
      <c r="BB1925" s="1"/>
      <c r="BC1925" s="1" t="s">
        <v>1065</v>
      </c>
      <c r="BD1925" s="1" t="s">
        <v>289</v>
      </c>
      <c r="BE1925" s="1">
        <v>78.3</v>
      </c>
      <c r="BF1925" s="1">
        <v>8.96</v>
      </c>
      <c r="BG1925" s="1"/>
      <c r="BH1925" s="1"/>
      <c r="BI1925" s="1"/>
      <c r="BJ1925" s="1"/>
      <c r="BK1925" s="1"/>
      <c r="BL1925" s="1"/>
      <c r="BM1925" s="1"/>
      <c r="BN1925" s="1"/>
      <c r="BO1925" s="1" t="s">
        <v>1114</v>
      </c>
      <c r="BP1925" s="1"/>
      <c r="BQ1925" s="1"/>
      <c r="BR1925" s="1" t="s">
        <v>33846</v>
      </c>
      <c r="BS1925" s="1">
        <v>12</v>
      </c>
      <c r="BT1925" s="1"/>
      <c r="BU1925" s="1" t="str">
        <f>HYPERLINK("https://nconnect.nicmar.ac.in/storage/profile/ProfilePhoto_p2270532_678952.jpg","Download")</f>
        <v>0</v>
      </c>
      <c r="BV1925" s="3"/>
      <c r="BW1925" s="3"/>
    </row>
    <row r="1926" spans="1:75">
      <c r="A1926" s="1" t="s">
        <v>75</v>
      </c>
      <c r="B1926" s="1" t="s">
        <v>25236</v>
      </c>
      <c r="C1926" s="1" t="s">
        <v>33847</v>
      </c>
      <c r="D1926" s="1" t="s">
        <v>5994</v>
      </c>
      <c r="E1926" s="1" t="s">
        <v>116</v>
      </c>
      <c r="F1926" s="1" t="s">
        <v>117</v>
      </c>
      <c r="G1926" s="1" t="s">
        <v>33848</v>
      </c>
      <c r="H1926" s="1" t="s">
        <v>33849</v>
      </c>
      <c r="I1926" s="1" t="s">
        <v>33850</v>
      </c>
      <c r="J1926" s="1">
        <v>7676647144</v>
      </c>
      <c r="K1926" s="1" t="s">
        <v>153</v>
      </c>
      <c r="L1926" s="1" t="s">
        <v>29783</v>
      </c>
      <c r="M1926" s="1" t="s">
        <v>86</v>
      </c>
      <c r="N1926" s="1" t="s">
        <v>1300</v>
      </c>
      <c r="O1926" s="1"/>
      <c r="P1926" s="1" t="s">
        <v>1028</v>
      </c>
      <c r="Q1926" s="1" t="s">
        <v>33851</v>
      </c>
      <c r="R1926" s="1" t="s">
        <v>33852</v>
      </c>
      <c r="S1926" s="1">
        <v>8547491587</v>
      </c>
      <c r="T1926" s="1" t="s">
        <v>839</v>
      </c>
      <c r="U1926" s="1" t="s">
        <v>33853</v>
      </c>
      <c r="V1926" s="1">
        <v>9633752599</v>
      </c>
      <c r="W1926" s="1" t="s">
        <v>278</v>
      </c>
      <c r="X1926" s="1" t="s">
        <v>33854</v>
      </c>
      <c r="Y1926" s="1" t="s">
        <v>3190</v>
      </c>
      <c r="Z1926" s="1" t="s">
        <v>130</v>
      </c>
      <c r="AA1926" s="1" t="s">
        <v>33854</v>
      </c>
      <c r="AB1926" s="1" t="s">
        <v>3190</v>
      </c>
      <c r="AC1926" s="1" t="s">
        <v>130</v>
      </c>
      <c r="AD1926" s="1" t="s">
        <v>98</v>
      </c>
      <c r="AE1926" s="1" t="s">
        <v>98</v>
      </c>
      <c r="AF1926" s="1" t="s">
        <v>33855</v>
      </c>
      <c r="AG1926" s="1" t="s">
        <v>33856</v>
      </c>
      <c r="AH1926" s="1" t="s">
        <v>134</v>
      </c>
      <c r="AI1926" s="1" t="s">
        <v>515</v>
      </c>
      <c r="AJ1926" s="1">
        <v>88</v>
      </c>
      <c r="AK1926" s="1">
        <v>0</v>
      </c>
      <c r="AL1926" s="1" t="s">
        <v>33855</v>
      </c>
      <c r="AM1926" s="1" t="s">
        <v>33856</v>
      </c>
      <c r="AN1926" s="1"/>
      <c r="AO1926" s="1" t="s">
        <v>136</v>
      </c>
      <c r="AP1926" s="1" t="s">
        <v>284</v>
      </c>
      <c r="AQ1926" s="1">
        <v>77</v>
      </c>
      <c r="AR1926" s="1">
        <v>0</v>
      </c>
      <c r="AS1926" s="1"/>
      <c r="AT1926" s="1"/>
      <c r="AU1926" s="1"/>
      <c r="AV1926" s="1"/>
      <c r="AW1926" s="1"/>
      <c r="AX1926" s="1"/>
      <c r="AY1926" s="1" t="s">
        <v>137</v>
      </c>
      <c r="AZ1926" s="1" t="s">
        <v>33857</v>
      </c>
      <c r="BA1926" s="1"/>
      <c r="BB1926" s="1"/>
      <c r="BC1926" s="1" t="s">
        <v>1396</v>
      </c>
      <c r="BD1926" s="1" t="s">
        <v>140</v>
      </c>
      <c r="BE1926" s="1">
        <v>64.8</v>
      </c>
      <c r="BF1926" s="1">
        <v>6.48</v>
      </c>
      <c r="BG1926" s="1"/>
      <c r="BH1926" s="1"/>
      <c r="BI1926" s="1"/>
      <c r="BJ1926" s="1"/>
      <c r="BK1926" s="1"/>
      <c r="BL1926" s="1"/>
      <c r="BM1926" s="1"/>
      <c r="BN1926" s="1"/>
      <c r="BO1926" s="1" t="s">
        <v>33858</v>
      </c>
      <c r="BP1926" s="1"/>
      <c r="BQ1926" s="1"/>
      <c r="BR1926" s="1" t="s">
        <v>33859</v>
      </c>
      <c r="BS1926" s="1">
        <v>41</v>
      </c>
      <c r="BT1926" s="1"/>
      <c r="BU1926" s="1" t="str">
        <f>HYPERLINK("https://nconnect.nicmar.ac.in/storage/profile/ProfilePhoto_p2270533_412859.jpg","Download")</f>
        <v>0</v>
      </c>
      <c r="BV1926" s="3"/>
      <c r="BW1926" s="3"/>
    </row>
    <row r="1927" spans="1:75">
      <c r="A1927" s="1" t="s">
        <v>75</v>
      </c>
      <c r="B1927" s="1" t="s">
        <v>25236</v>
      </c>
      <c r="C1927" s="1" t="s">
        <v>33860</v>
      </c>
      <c r="D1927" s="1" t="s">
        <v>5752</v>
      </c>
      <c r="E1927" s="1" t="s">
        <v>28115</v>
      </c>
      <c r="F1927" s="1" t="s">
        <v>33861</v>
      </c>
      <c r="G1927" s="1" t="s">
        <v>33862</v>
      </c>
      <c r="H1927" s="1" t="s">
        <v>33863</v>
      </c>
      <c r="I1927" s="1" t="s">
        <v>33864</v>
      </c>
      <c r="J1927" s="1">
        <v>9619782826</v>
      </c>
      <c r="K1927" s="1" t="s">
        <v>84</v>
      </c>
      <c r="L1927" s="1" t="s">
        <v>8090</v>
      </c>
      <c r="M1927" s="1" t="s">
        <v>86</v>
      </c>
      <c r="N1927" s="1" t="s">
        <v>618</v>
      </c>
      <c r="O1927" s="1" t="s">
        <v>33865</v>
      </c>
      <c r="P1927" s="1" t="s">
        <v>455</v>
      </c>
      <c r="Q1927" s="1" t="s">
        <v>33866</v>
      </c>
      <c r="R1927" s="1" t="s">
        <v>33867</v>
      </c>
      <c r="S1927" s="1">
        <v>9820103657</v>
      </c>
      <c r="T1927" s="1" t="s">
        <v>125</v>
      </c>
      <c r="U1927" s="1" t="s">
        <v>33868</v>
      </c>
      <c r="V1927" s="1">
        <v>9323446504</v>
      </c>
      <c r="W1927" s="1" t="s">
        <v>161</v>
      </c>
      <c r="X1927" s="1" t="s">
        <v>33869</v>
      </c>
      <c r="Y1927" s="1" t="s">
        <v>1189</v>
      </c>
      <c r="Z1927" s="1" t="s">
        <v>97</v>
      </c>
      <c r="AA1927" s="1" t="s">
        <v>33869</v>
      </c>
      <c r="AB1927" s="1" t="s">
        <v>1189</v>
      </c>
      <c r="AC1927" s="1" t="s">
        <v>97</v>
      </c>
      <c r="AD1927" s="1" t="s">
        <v>98</v>
      </c>
      <c r="AE1927" s="1" t="s">
        <v>98</v>
      </c>
      <c r="AF1927" s="1" t="s">
        <v>24232</v>
      </c>
      <c r="AG1927" s="1" t="s">
        <v>312</v>
      </c>
      <c r="AH1927" s="1" t="s">
        <v>1213</v>
      </c>
      <c r="AI1927" s="1" t="s">
        <v>515</v>
      </c>
      <c r="AJ1927" s="1">
        <v>89.3</v>
      </c>
      <c r="AK1927" s="1">
        <v>9.4</v>
      </c>
      <c r="AL1927" s="1" t="s">
        <v>24232</v>
      </c>
      <c r="AM1927" s="1" t="s">
        <v>312</v>
      </c>
      <c r="AN1927" s="1"/>
      <c r="AO1927" s="1" t="s">
        <v>1110</v>
      </c>
      <c r="AP1927" s="1" t="s">
        <v>1111</v>
      </c>
      <c r="AQ1927" s="1">
        <v>71</v>
      </c>
      <c r="AR1927" s="1">
        <v>0</v>
      </c>
      <c r="AS1927" s="1"/>
      <c r="AT1927" s="1"/>
      <c r="AU1927" s="1"/>
      <c r="AV1927" s="1"/>
      <c r="AW1927" s="1"/>
      <c r="AX1927" s="1"/>
      <c r="AY1927" s="1" t="s">
        <v>680</v>
      </c>
      <c r="AZ1927" s="1" t="s">
        <v>9274</v>
      </c>
      <c r="BA1927" s="1"/>
      <c r="BB1927" s="1"/>
      <c r="BC1927" s="1" t="s">
        <v>139</v>
      </c>
      <c r="BD1927" s="1" t="s">
        <v>233</v>
      </c>
      <c r="BE1927" s="1">
        <v>60.84</v>
      </c>
      <c r="BF1927" s="1">
        <v>6.88</v>
      </c>
      <c r="BG1927" s="1"/>
      <c r="BH1927" s="1"/>
      <c r="BI1927" s="1"/>
      <c r="BJ1927" s="1"/>
      <c r="BK1927" s="1"/>
      <c r="BL1927" s="1"/>
      <c r="BM1927" s="1"/>
      <c r="BN1927" s="1"/>
      <c r="BO1927" s="1" t="s">
        <v>33870</v>
      </c>
      <c r="BP1927" s="1"/>
      <c r="BQ1927" s="1"/>
      <c r="BR1927" s="1" t="s">
        <v>33871</v>
      </c>
      <c r="BS1927" s="1">
        <v>74</v>
      </c>
      <c r="BT1927" s="1"/>
      <c r="BU1927" s="1" t="str">
        <f>HYPERLINK("https://nconnect.nicmar.ac.in/storage/profile/ProfilePhoto_p2270534_962745.jpg","Download")</f>
        <v>0</v>
      </c>
      <c r="BV1927" s="3"/>
      <c r="BW1927" s="3"/>
    </row>
    <row r="1928" spans="1:75">
      <c r="A1928" s="1" t="s">
        <v>75</v>
      </c>
      <c r="B1928" s="1" t="s">
        <v>25236</v>
      </c>
      <c r="C1928" s="1" t="s">
        <v>33872</v>
      </c>
      <c r="D1928" s="1" t="s">
        <v>1179</v>
      </c>
      <c r="E1928" s="1" t="s">
        <v>33873</v>
      </c>
      <c r="F1928" s="1" t="s">
        <v>8974</v>
      </c>
      <c r="G1928" s="1" t="s">
        <v>33874</v>
      </c>
      <c r="H1928" s="1" t="s">
        <v>33875</v>
      </c>
      <c r="I1928" s="1" t="s">
        <v>33876</v>
      </c>
      <c r="J1928" s="1">
        <v>8805606307</v>
      </c>
      <c r="K1928" s="1" t="s">
        <v>84</v>
      </c>
      <c r="L1928" s="1" t="s">
        <v>31868</v>
      </c>
      <c r="M1928" s="1" t="s">
        <v>86</v>
      </c>
      <c r="N1928" s="1" t="s">
        <v>3568</v>
      </c>
      <c r="O1928" s="1" t="s">
        <v>33877</v>
      </c>
      <c r="P1928" s="1" t="s">
        <v>455</v>
      </c>
      <c r="Q1928" s="1" t="s">
        <v>33878</v>
      </c>
      <c r="R1928" s="1" t="s">
        <v>8974</v>
      </c>
      <c r="S1928" s="1">
        <v>9326394146</v>
      </c>
      <c r="T1928" s="1" t="s">
        <v>839</v>
      </c>
      <c r="U1928" s="1" t="s">
        <v>33879</v>
      </c>
      <c r="V1928" s="1">
        <v>9370294146</v>
      </c>
      <c r="W1928" s="1" t="s">
        <v>4695</v>
      </c>
      <c r="X1928" s="1" t="s">
        <v>33880</v>
      </c>
      <c r="Y1928" s="1" t="s">
        <v>910</v>
      </c>
      <c r="Z1928" s="1" t="s">
        <v>97</v>
      </c>
      <c r="AA1928" s="1" t="s">
        <v>33880</v>
      </c>
      <c r="AB1928" s="1" t="s">
        <v>910</v>
      </c>
      <c r="AC1928" s="1" t="s">
        <v>97</v>
      </c>
      <c r="AD1928" s="1" t="s">
        <v>98</v>
      </c>
      <c r="AE1928" s="1" t="s">
        <v>98</v>
      </c>
      <c r="AF1928" s="1" t="s">
        <v>33881</v>
      </c>
      <c r="AG1928" s="1" t="s">
        <v>165</v>
      </c>
      <c r="AH1928" s="1" t="s">
        <v>1213</v>
      </c>
      <c r="AI1928" s="1" t="s">
        <v>101</v>
      </c>
      <c r="AJ1928" s="1">
        <v>77.2</v>
      </c>
      <c r="AK1928" s="1"/>
      <c r="AL1928" s="1"/>
      <c r="AM1928" s="1"/>
      <c r="AN1928" s="1"/>
      <c r="AO1928" s="1"/>
      <c r="AP1928" s="1"/>
      <c r="AQ1928" s="1"/>
      <c r="AR1928" s="1"/>
      <c r="AS1928" s="1" t="s">
        <v>103</v>
      </c>
      <c r="AT1928" s="1" t="s">
        <v>10841</v>
      </c>
      <c r="AU1928" s="1" t="s">
        <v>257</v>
      </c>
      <c r="AV1928" s="1" t="s">
        <v>33882</v>
      </c>
      <c r="AW1928" s="1">
        <v>68.79</v>
      </c>
      <c r="AX1928" s="1"/>
      <c r="AY1928" s="1" t="s">
        <v>366</v>
      </c>
      <c r="AZ1928" s="1" t="s">
        <v>33883</v>
      </c>
      <c r="BA1928" s="1"/>
      <c r="BB1928" s="1"/>
      <c r="BC1928" s="1" t="s">
        <v>1065</v>
      </c>
      <c r="BD1928" s="1" t="s">
        <v>549</v>
      </c>
      <c r="BE1928" s="1">
        <v>73.83</v>
      </c>
      <c r="BF1928" s="1">
        <v>8.39</v>
      </c>
      <c r="BG1928" s="1"/>
      <c r="BH1928" s="1"/>
      <c r="BI1928" s="1"/>
      <c r="BJ1928" s="1"/>
      <c r="BK1928" s="1"/>
      <c r="BL1928" s="1"/>
      <c r="BM1928" s="1"/>
      <c r="BN1928" s="1"/>
      <c r="BO1928" s="1" t="s">
        <v>33884</v>
      </c>
      <c r="BP1928" s="1" t="s">
        <v>33885</v>
      </c>
      <c r="BQ1928" s="1" t="s">
        <v>2093</v>
      </c>
      <c r="BR1928" s="1" t="s">
        <v>33886</v>
      </c>
      <c r="BS1928" s="1">
        <v>7</v>
      </c>
      <c r="BT1928" s="1"/>
      <c r="BU1928" s="1" t="str">
        <f>HYPERLINK("https://nconnect.nicmar.ac.in/storage/profile/ProfilePhoto_p2270536_695821.jpg","Download")</f>
        <v>0</v>
      </c>
      <c r="BV1928" s="3"/>
      <c r="BW1928" s="3"/>
    </row>
    <row r="1929" spans="1:75">
      <c r="A1929" s="1" t="s">
        <v>75</v>
      </c>
      <c r="B1929" s="1" t="s">
        <v>25236</v>
      </c>
      <c r="C1929" s="1" t="s">
        <v>33887</v>
      </c>
      <c r="D1929" s="1" t="s">
        <v>3545</v>
      </c>
      <c r="E1929" s="1"/>
      <c r="F1929" s="1" t="s">
        <v>6100</v>
      </c>
      <c r="G1929" s="1" t="s">
        <v>33888</v>
      </c>
      <c r="H1929" s="1" t="s">
        <v>33889</v>
      </c>
      <c r="I1929" s="1" t="s">
        <v>33890</v>
      </c>
      <c r="J1929" s="1">
        <v>8439051535</v>
      </c>
      <c r="K1929" s="1" t="s">
        <v>84</v>
      </c>
      <c r="L1929" s="1" t="s">
        <v>7023</v>
      </c>
      <c r="M1929" s="1" t="s">
        <v>86</v>
      </c>
      <c r="N1929" s="1" t="s">
        <v>8293</v>
      </c>
      <c r="O1929" s="1" t="s">
        <v>33891</v>
      </c>
      <c r="P1929" s="1" t="s">
        <v>481</v>
      </c>
      <c r="Q1929" s="1" t="s">
        <v>33892</v>
      </c>
      <c r="R1929" s="1" t="s">
        <v>33893</v>
      </c>
      <c r="S1929" s="1">
        <v>9760051535</v>
      </c>
      <c r="T1929" s="1" t="s">
        <v>839</v>
      </c>
      <c r="U1929" s="1" t="s">
        <v>33894</v>
      </c>
      <c r="V1929" s="1">
        <v>9760051535</v>
      </c>
      <c r="W1929" s="1" t="s">
        <v>278</v>
      </c>
      <c r="X1929" s="1" t="s">
        <v>33895</v>
      </c>
      <c r="Y1929" s="1" t="s">
        <v>19101</v>
      </c>
      <c r="Z1929" s="1" t="s">
        <v>7930</v>
      </c>
      <c r="AA1929" s="1" t="s">
        <v>33895</v>
      </c>
      <c r="AB1929" s="1" t="s">
        <v>19101</v>
      </c>
      <c r="AC1929" s="1" t="s">
        <v>7930</v>
      </c>
      <c r="AD1929" s="1" t="s">
        <v>98</v>
      </c>
      <c r="AE1929" s="1" t="s">
        <v>98</v>
      </c>
      <c r="AF1929" s="1" t="s">
        <v>33896</v>
      </c>
      <c r="AG1929" s="1" t="s">
        <v>796</v>
      </c>
      <c r="AH1929" s="1" t="s">
        <v>1110</v>
      </c>
      <c r="AI1929" s="1" t="s">
        <v>284</v>
      </c>
      <c r="AJ1929" s="1">
        <v>72.2</v>
      </c>
      <c r="AK1929" s="1">
        <v>7.6</v>
      </c>
      <c r="AL1929" s="1" t="s">
        <v>33896</v>
      </c>
      <c r="AM1929" s="1" t="s">
        <v>796</v>
      </c>
      <c r="AN1929" s="1"/>
      <c r="AO1929" s="1" t="s">
        <v>704</v>
      </c>
      <c r="AP1929" s="1" t="s">
        <v>490</v>
      </c>
      <c r="AQ1929" s="1">
        <v>63</v>
      </c>
      <c r="AR1929" s="1"/>
      <c r="AS1929" s="1"/>
      <c r="AT1929" s="1"/>
      <c r="AU1929" s="1"/>
      <c r="AV1929" s="1"/>
      <c r="AW1929" s="1"/>
      <c r="AX1929" s="1"/>
      <c r="AY1929" s="1" t="s">
        <v>3771</v>
      </c>
      <c r="AZ1929" s="1" t="s">
        <v>33897</v>
      </c>
      <c r="BA1929" s="1"/>
      <c r="BB1929" s="1"/>
      <c r="BC1929" s="1" t="s">
        <v>1065</v>
      </c>
      <c r="BD1929" s="1" t="s">
        <v>110</v>
      </c>
      <c r="BE1929" s="1">
        <v>72.5</v>
      </c>
      <c r="BF1929" s="1">
        <v>7.23</v>
      </c>
      <c r="BG1929" s="1"/>
      <c r="BH1929" s="1"/>
      <c r="BI1929" s="1"/>
      <c r="BJ1929" s="1"/>
      <c r="BK1929" s="1"/>
      <c r="BL1929" s="1"/>
      <c r="BM1929" s="1"/>
      <c r="BN1929" s="1"/>
      <c r="BO1929" s="1" t="s">
        <v>33898</v>
      </c>
      <c r="BP1929" s="1"/>
      <c r="BQ1929" s="1"/>
      <c r="BR1929" s="1" t="s">
        <v>33899</v>
      </c>
      <c r="BS1929" s="1">
        <v>68</v>
      </c>
      <c r="BT1929" s="1"/>
      <c r="BU1929" s="1" t="str">
        <f>HYPERLINK("https://nconnect.nicmar.ac.in/storage/profile/ProfilePhoto_p2270537_263174.jpg","Download")</f>
        <v>0</v>
      </c>
      <c r="BV1929" s="3"/>
      <c r="BW1929" s="3"/>
    </row>
    <row r="1930" spans="1:75">
      <c r="A1930" s="1" t="s">
        <v>75</v>
      </c>
      <c r="B1930" s="1" t="s">
        <v>25236</v>
      </c>
      <c r="C1930" s="1" t="s">
        <v>33900</v>
      </c>
      <c r="D1930" s="1" t="s">
        <v>33901</v>
      </c>
      <c r="E1930" s="1" t="s">
        <v>4310</v>
      </c>
      <c r="F1930" s="1" t="s">
        <v>33902</v>
      </c>
      <c r="G1930" s="1" t="s">
        <v>33903</v>
      </c>
      <c r="H1930" s="1" t="s">
        <v>33904</v>
      </c>
      <c r="I1930" s="1" t="s">
        <v>33905</v>
      </c>
      <c r="J1930" s="1">
        <v>9028017788</v>
      </c>
      <c r="K1930" s="1" t="s">
        <v>84</v>
      </c>
      <c r="L1930" s="1" t="s">
        <v>11187</v>
      </c>
      <c r="M1930" s="1" t="s">
        <v>86</v>
      </c>
      <c r="N1930" s="1" t="s">
        <v>1163</v>
      </c>
      <c r="O1930" s="1" t="s">
        <v>33906</v>
      </c>
      <c r="P1930" s="1" t="s">
        <v>455</v>
      </c>
      <c r="Q1930" s="1" t="s">
        <v>33907</v>
      </c>
      <c r="R1930" s="1" t="s">
        <v>33908</v>
      </c>
      <c r="S1930" s="1">
        <v>9822043392</v>
      </c>
      <c r="T1930" s="1" t="s">
        <v>839</v>
      </c>
      <c r="U1930" s="1" t="s">
        <v>33909</v>
      </c>
      <c r="V1930" s="1">
        <v>7722043392</v>
      </c>
      <c r="W1930" s="1" t="s">
        <v>161</v>
      </c>
      <c r="X1930" s="1" t="s">
        <v>33910</v>
      </c>
      <c r="Y1930" s="1" t="s">
        <v>196</v>
      </c>
      <c r="Z1930" s="1" t="s">
        <v>97</v>
      </c>
      <c r="AA1930" s="1" t="s">
        <v>33910</v>
      </c>
      <c r="AB1930" s="1" t="s">
        <v>196</v>
      </c>
      <c r="AC1930" s="1" t="s">
        <v>97</v>
      </c>
      <c r="AD1930" s="1" t="s">
        <v>98</v>
      </c>
      <c r="AE1930" s="1" t="s">
        <v>98</v>
      </c>
      <c r="AF1930" s="1" t="s">
        <v>33911</v>
      </c>
      <c r="AG1930" s="1" t="s">
        <v>165</v>
      </c>
      <c r="AH1930" s="1" t="s">
        <v>166</v>
      </c>
      <c r="AI1930" s="1" t="s">
        <v>1111</v>
      </c>
      <c r="AJ1930" s="1">
        <v>87.8</v>
      </c>
      <c r="AK1930" s="1">
        <v>0</v>
      </c>
      <c r="AL1930" s="1" t="s">
        <v>33912</v>
      </c>
      <c r="AM1930" s="1" t="s">
        <v>165</v>
      </c>
      <c r="AN1930" s="1"/>
      <c r="AO1930" s="1" t="s">
        <v>170</v>
      </c>
      <c r="AP1930" s="1" t="s">
        <v>1477</v>
      </c>
      <c r="AQ1930" s="1">
        <v>72</v>
      </c>
      <c r="AR1930" s="1">
        <v>0</v>
      </c>
      <c r="AS1930" s="1"/>
      <c r="AT1930" s="1"/>
      <c r="AU1930" s="1"/>
      <c r="AV1930" s="1"/>
      <c r="AW1930" s="1"/>
      <c r="AX1930" s="1"/>
      <c r="AY1930" s="1" t="s">
        <v>7557</v>
      </c>
      <c r="AZ1930" s="1" t="s">
        <v>33913</v>
      </c>
      <c r="BA1930" s="1"/>
      <c r="BB1930" s="1"/>
      <c r="BC1930" s="1" t="s">
        <v>174</v>
      </c>
      <c r="BD1930" s="1" t="s">
        <v>110</v>
      </c>
      <c r="BE1930" s="1">
        <v>73.5</v>
      </c>
      <c r="BF1930" s="1">
        <v>8.1</v>
      </c>
      <c r="BG1930" s="1"/>
      <c r="BH1930" s="1"/>
      <c r="BI1930" s="1"/>
      <c r="BJ1930" s="1"/>
      <c r="BK1930" s="1"/>
      <c r="BL1930" s="1"/>
      <c r="BM1930" s="1"/>
      <c r="BN1930" s="1"/>
      <c r="BO1930" s="1" t="s">
        <v>33914</v>
      </c>
      <c r="BP1930" s="1"/>
      <c r="BQ1930" s="1"/>
      <c r="BR1930" s="1" t="s">
        <v>33915</v>
      </c>
      <c r="BS1930" s="1">
        <v>22</v>
      </c>
      <c r="BT1930" s="1"/>
      <c r="BU1930" s="1" t="str">
        <f>HYPERLINK("https://nconnect.nicmar.ac.in/storage/profile/ProfilePhoto_p2270538_719328.jpg","Download")</f>
        <v>0</v>
      </c>
      <c r="BV1930" s="3"/>
      <c r="BW1930" s="3"/>
    </row>
    <row r="1931" spans="1:75">
      <c r="A1931" s="1" t="s">
        <v>75</v>
      </c>
      <c r="B1931" s="1" t="s">
        <v>25236</v>
      </c>
      <c r="C1931" s="1" t="s">
        <v>33916</v>
      </c>
      <c r="D1931" s="1" t="s">
        <v>761</v>
      </c>
      <c r="E1931" s="1" t="s">
        <v>33917</v>
      </c>
      <c r="F1931" s="1" t="s">
        <v>33918</v>
      </c>
      <c r="G1931" s="1" t="s">
        <v>33919</v>
      </c>
      <c r="H1931" s="1" t="s">
        <v>33920</v>
      </c>
      <c r="I1931" s="1" t="s">
        <v>33921</v>
      </c>
      <c r="J1931" s="1">
        <v>8605414694</v>
      </c>
      <c r="K1931" s="1" t="s">
        <v>84</v>
      </c>
      <c r="L1931" s="1" t="s">
        <v>33922</v>
      </c>
      <c r="M1931" s="1" t="s">
        <v>86</v>
      </c>
      <c r="N1931" s="1" t="s">
        <v>7467</v>
      </c>
      <c r="O1931" s="1" t="s">
        <v>33923</v>
      </c>
      <c r="P1931" s="1" t="s">
        <v>455</v>
      </c>
      <c r="Q1931" s="1" t="s">
        <v>33924</v>
      </c>
      <c r="R1931" s="1" t="s">
        <v>33925</v>
      </c>
      <c r="S1931" s="1">
        <v>7507507282</v>
      </c>
      <c r="T1931" s="1" t="s">
        <v>221</v>
      </c>
      <c r="U1931" s="1" t="s">
        <v>33926</v>
      </c>
      <c r="V1931" s="1">
        <v>8857888075</v>
      </c>
      <c r="W1931" s="1" t="s">
        <v>161</v>
      </c>
      <c r="X1931" s="1" t="s">
        <v>33927</v>
      </c>
      <c r="Y1931" s="1" t="s">
        <v>410</v>
      </c>
      <c r="Z1931" s="1" t="s">
        <v>97</v>
      </c>
      <c r="AA1931" s="1" t="s">
        <v>33927</v>
      </c>
      <c r="AB1931" s="1" t="s">
        <v>410</v>
      </c>
      <c r="AC1931" s="1" t="s">
        <v>97</v>
      </c>
      <c r="AD1931" s="1" t="s">
        <v>98</v>
      </c>
      <c r="AE1931" s="1" t="s">
        <v>98</v>
      </c>
      <c r="AF1931" s="1" t="s">
        <v>33928</v>
      </c>
      <c r="AG1931" s="1" t="s">
        <v>33929</v>
      </c>
      <c r="AH1931" s="1" t="s">
        <v>1214</v>
      </c>
      <c r="AI1931" s="1" t="s">
        <v>102</v>
      </c>
      <c r="AJ1931" s="1">
        <v>91.2</v>
      </c>
      <c r="AK1931" s="1">
        <v>9.6</v>
      </c>
      <c r="AL1931" s="1" t="s">
        <v>33930</v>
      </c>
      <c r="AM1931" s="1" t="s">
        <v>33929</v>
      </c>
      <c r="AN1931" s="1"/>
      <c r="AO1931" s="1" t="s">
        <v>1396</v>
      </c>
      <c r="AP1931" s="1" t="s">
        <v>518</v>
      </c>
      <c r="AQ1931" s="1">
        <v>69.23</v>
      </c>
      <c r="AR1931" s="1"/>
      <c r="AS1931" s="1"/>
      <c r="AT1931" s="1"/>
      <c r="AU1931" s="1"/>
      <c r="AV1931" s="1"/>
      <c r="AW1931" s="1"/>
      <c r="AX1931" s="1"/>
      <c r="AY1931" s="1" t="s">
        <v>366</v>
      </c>
      <c r="AZ1931" s="1" t="s">
        <v>33931</v>
      </c>
      <c r="BA1931" s="1"/>
      <c r="BB1931" s="1"/>
      <c r="BC1931" s="1" t="s">
        <v>230</v>
      </c>
      <c r="BD1931" s="1" t="s">
        <v>2304</v>
      </c>
      <c r="BE1931" s="1">
        <v>68.1</v>
      </c>
      <c r="BF1931" s="1">
        <v>7.56</v>
      </c>
      <c r="BG1931" s="1"/>
      <c r="BH1931" s="1"/>
      <c r="BI1931" s="1"/>
      <c r="BJ1931" s="1"/>
      <c r="BK1931" s="1"/>
      <c r="BL1931" s="1"/>
      <c r="BM1931" s="1"/>
      <c r="BN1931" s="1"/>
      <c r="BO1931" s="1" t="s">
        <v>369</v>
      </c>
      <c r="BP1931" s="1"/>
      <c r="BQ1931" s="1"/>
      <c r="BR1931" s="1" t="s">
        <v>33932</v>
      </c>
      <c r="BS1931" s="1">
        <v>7</v>
      </c>
      <c r="BT1931" s="1"/>
      <c r="BU1931" s="1" t="str">
        <f>HYPERLINK("https://nconnect.nicmar.ac.in/storage/profile/ProfilePhoto_p2270539_418357.jpg","Download")</f>
        <v>0</v>
      </c>
      <c r="BV1931" s="3"/>
      <c r="BW1931" s="3"/>
    </row>
    <row r="1932" spans="1:75">
      <c r="A1932" s="1" t="s">
        <v>75</v>
      </c>
      <c r="B1932" s="1" t="s">
        <v>25236</v>
      </c>
      <c r="C1932" s="1" t="s">
        <v>33933</v>
      </c>
      <c r="D1932" s="1" t="s">
        <v>1525</v>
      </c>
      <c r="E1932" s="1" t="s">
        <v>30565</v>
      </c>
      <c r="F1932" s="1" t="s">
        <v>8361</v>
      </c>
      <c r="G1932" s="1" t="s">
        <v>33934</v>
      </c>
      <c r="H1932" s="1" t="s">
        <v>33935</v>
      </c>
      <c r="I1932" s="1" t="s">
        <v>33936</v>
      </c>
      <c r="J1932" s="1">
        <v>7414925436</v>
      </c>
      <c r="K1932" s="1" t="s">
        <v>84</v>
      </c>
      <c r="L1932" s="1" t="s">
        <v>33704</v>
      </c>
      <c r="M1932" s="1" t="s">
        <v>86</v>
      </c>
      <c r="N1932" s="1" t="s">
        <v>3568</v>
      </c>
      <c r="O1932" s="1"/>
      <c r="P1932" s="1" t="s">
        <v>507</v>
      </c>
      <c r="Q1932" s="1" t="s">
        <v>33937</v>
      </c>
      <c r="R1932" s="1" t="s">
        <v>33938</v>
      </c>
      <c r="S1932" s="1">
        <v>8999804413</v>
      </c>
      <c r="T1932" s="1" t="s">
        <v>839</v>
      </c>
      <c r="U1932" s="1" t="s">
        <v>33939</v>
      </c>
      <c r="V1932" s="1">
        <v>8600110377</v>
      </c>
      <c r="W1932" s="1" t="s">
        <v>839</v>
      </c>
      <c r="X1932" s="1" t="s">
        <v>33940</v>
      </c>
      <c r="Y1932" s="1" t="s">
        <v>196</v>
      </c>
      <c r="Z1932" s="1" t="s">
        <v>97</v>
      </c>
      <c r="AA1932" s="1" t="s">
        <v>33940</v>
      </c>
      <c r="AB1932" s="1" t="s">
        <v>196</v>
      </c>
      <c r="AC1932" s="1" t="s">
        <v>97</v>
      </c>
      <c r="AD1932" s="1" t="s">
        <v>98</v>
      </c>
      <c r="AE1932" s="1" t="s">
        <v>98</v>
      </c>
      <c r="AF1932" s="1" t="s">
        <v>33941</v>
      </c>
      <c r="AG1932" s="1" t="s">
        <v>4324</v>
      </c>
      <c r="AH1932" s="1" t="s">
        <v>1602</v>
      </c>
      <c r="AI1932" s="1" t="s">
        <v>1213</v>
      </c>
      <c r="AJ1932" s="1">
        <v>71.45</v>
      </c>
      <c r="AK1932" s="1">
        <v>0</v>
      </c>
      <c r="AL1932" s="1" t="s">
        <v>33942</v>
      </c>
      <c r="AM1932" s="1" t="s">
        <v>4324</v>
      </c>
      <c r="AN1932" s="1"/>
      <c r="AO1932" s="1" t="s">
        <v>1583</v>
      </c>
      <c r="AP1932" s="1" t="s">
        <v>166</v>
      </c>
      <c r="AQ1932" s="1">
        <v>46.62</v>
      </c>
      <c r="AR1932" s="1">
        <v>0</v>
      </c>
      <c r="AS1932" s="1"/>
      <c r="AT1932" s="1"/>
      <c r="AU1932" s="1"/>
      <c r="AV1932" s="1"/>
      <c r="AW1932" s="1"/>
      <c r="AX1932" s="1"/>
      <c r="AY1932" s="1" t="s">
        <v>27297</v>
      </c>
      <c r="AZ1932" s="1" t="s">
        <v>32804</v>
      </c>
      <c r="BA1932" s="1"/>
      <c r="BB1932" s="1"/>
      <c r="BC1932" s="1" t="s">
        <v>105</v>
      </c>
      <c r="BD1932" s="1" t="s">
        <v>1040</v>
      </c>
      <c r="BE1932" s="1">
        <v>55.7</v>
      </c>
      <c r="BF1932" s="1">
        <v>6.32</v>
      </c>
      <c r="BG1932" s="1"/>
      <c r="BH1932" s="1"/>
      <c r="BI1932" s="1"/>
      <c r="BJ1932" s="1"/>
      <c r="BK1932" s="1"/>
      <c r="BL1932" s="1"/>
      <c r="BM1932" s="1"/>
      <c r="BN1932" s="1"/>
      <c r="BO1932" s="1" t="s">
        <v>25445</v>
      </c>
      <c r="BP1932" s="1"/>
      <c r="BQ1932" s="1"/>
      <c r="BR1932" s="1" t="s">
        <v>33943</v>
      </c>
      <c r="BS1932" s="1">
        <v>54</v>
      </c>
      <c r="BT1932" s="1"/>
      <c r="BU1932" s="1" t="str">
        <f>HYPERLINK("https://nconnect.nicmar.ac.in/storage/profile/ProfilePhoto_p2270541_768314.jpg","Download")</f>
        <v>0</v>
      </c>
      <c r="BV1932" s="3"/>
      <c r="BW1932" s="3"/>
    </row>
    <row r="1933" spans="1:75">
      <c r="A1933" s="1" t="s">
        <v>75</v>
      </c>
      <c r="B1933" s="1" t="s">
        <v>25236</v>
      </c>
      <c r="C1933" s="1" t="s">
        <v>33944</v>
      </c>
      <c r="D1933" s="1" t="s">
        <v>33945</v>
      </c>
      <c r="E1933" s="1"/>
      <c r="F1933" s="1" t="s">
        <v>33946</v>
      </c>
      <c r="G1933" s="1" t="s">
        <v>33947</v>
      </c>
      <c r="H1933" s="1" t="s">
        <v>33948</v>
      </c>
      <c r="I1933" s="1" t="s">
        <v>33949</v>
      </c>
      <c r="J1933" s="1">
        <v>8106540835</v>
      </c>
      <c r="K1933" s="1" t="s">
        <v>153</v>
      </c>
      <c r="L1933" s="1" t="s">
        <v>2565</v>
      </c>
      <c r="M1933" s="1" t="s">
        <v>86</v>
      </c>
      <c r="N1933" s="1" t="s">
        <v>33950</v>
      </c>
      <c r="O1933" s="1" t="s">
        <v>33951</v>
      </c>
      <c r="P1933" s="1" t="s">
        <v>455</v>
      </c>
      <c r="Q1933" s="1" t="s">
        <v>33952</v>
      </c>
      <c r="R1933" s="1" t="s">
        <v>33953</v>
      </c>
      <c r="S1933" s="1">
        <v>9490075375</v>
      </c>
      <c r="T1933" s="1" t="s">
        <v>33954</v>
      </c>
      <c r="U1933" s="1" t="s">
        <v>33955</v>
      </c>
      <c r="V1933" s="1">
        <v>9493426190</v>
      </c>
      <c r="W1933" s="1" t="s">
        <v>33956</v>
      </c>
      <c r="X1933" s="1" t="s">
        <v>33957</v>
      </c>
      <c r="Y1933" s="1" t="s">
        <v>1454</v>
      </c>
      <c r="Z1933" s="1" t="s">
        <v>281</v>
      </c>
      <c r="AA1933" s="1" t="s">
        <v>33957</v>
      </c>
      <c r="AB1933" s="1" t="s">
        <v>1454</v>
      </c>
      <c r="AC1933" s="1" t="s">
        <v>281</v>
      </c>
      <c r="AD1933" s="1" t="s">
        <v>98</v>
      </c>
      <c r="AE1933" s="1" t="s">
        <v>98</v>
      </c>
      <c r="AF1933" s="1" t="s">
        <v>3792</v>
      </c>
      <c r="AG1933" s="1" t="s">
        <v>1310</v>
      </c>
      <c r="AH1933" s="1" t="s">
        <v>166</v>
      </c>
      <c r="AI1933" s="1" t="s">
        <v>284</v>
      </c>
      <c r="AJ1933" s="1">
        <v>82</v>
      </c>
      <c r="AK1933" s="1">
        <v>0</v>
      </c>
      <c r="AL1933" s="1" t="s">
        <v>1843</v>
      </c>
      <c r="AM1933" s="1" t="s">
        <v>33958</v>
      </c>
      <c r="AN1933" s="1"/>
      <c r="AO1933" s="1" t="s">
        <v>170</v>
      </c>
      <c r="AP1933" s="1" t="s">
        <v>490</v>
      </c>
      <c r="AQ1933" s="1">
        <v>85.3</v>
      </c>
      <c r="AR1933" s="1">
        <v>0</v>
      </c>
      <c r="AS1933" s="1"/>
      <c r="AT1933" s="1"/>
      <c r="AU1933" s="1"/>
      <c r="AV1933" s="1"/>
      <c r="AW1933" s="1"/>
      <c r="AX1933" s="1"/>
      <c r="AY1933" s="1" t="s">
        <v>33959</v>
      </c>
      <c r="AZ1933" s="1" t="s">
        <v>33960</v>
      </c>
      <c r="BA1933" s="1"/>
      <c r="BB1933" s="1"/>
      <c r="BC1933" s="1" t="s">
        <v>1065</v>
      </c>
      <c r="BD1933" s="1" t="s">
        <v>632</v>
      </c>
      <c r="BE1933" s="1">
        <v>66.1</v>
      </c>
      <c r="BF1933" s="1">
        <v>7.36</v>
      </c>
      <c r="BG1933" s="1"/>
      <c r="BH1933" s="1"/>
      <c r="BI1933" s="1"/>
      <c r="BJ1933" s="1"/>
      <c r="BK1933" s="1"/>
      <c r="BL1933" s="1"/>
      <c r="BM1933" s="1"/>
      <c r="BN1933" s="1"/>
      <c r="BO1933" s="1" t="s">
        <v>33961</v>
      </c>
      <c r="BP1933" s="1"/>
      <c r="BQ1933" s="1"/>
      <c r="BR1933" s="1" t="s">
        <v>33962</v>
      </c>
      <c r="BS1933" s="1">
        <v>7</v>
      </c>
      <c r="BT1933" s="1"/>
      <c r="BU1933" s="1" t="str">
        <f>HYPERLINK("https://nconnect.nicmar.ac.in/storage/profile/ProfilePhoto_p2270542_962174.jpg","Download")</f>
        <v>0</v>
      </c>
      <c r="BV1933" s="3"/>
      <c r="BW1933" s="3"/>
    </row>
    <row r="1934" spans="1:75">
      <c r="A1934" s="1" t="s">
        <v>75</v>
      </c>
      <c r="B1934" s="1" t="s">
        <v>25236</v>
      </c>
      <c r="C1934" s="1" t="s">
        <v>33963</v>
      </c>
      <c r="D1934" s="1" t="s">
        <v>26253</v>
      </c>
      <c r="E1934" s="1" t="s">
        <v>33964</v>
      </c>
      <c r="F1934" s="1" t="s">
        <v>33965</v>
      </c>
      <c r="G1934" s="1" t="s">
        <v>33966</v>
      </c>
      <c r="H1934" s="1" t="s">
        <v>33967</v>
      </c>
      <c r="I1934" s="1" t="s">
        <v>33968</v>
      </c>
      <c r="J1934" s="1">
        <v>9967692684</v>
      </c>
      <c r="K1934" s="1" t="s">
        <v>153</v>
      </c>
      <c r="L1934" s="1" t="s">
        <v>25911</v>
      </c>
      <c r="M1934" s="1" t="s">
        <v>86</v>
      </c>
      <c r="N1934" s="1" t="s">
        <v>903</v>
      </c>
      <c r="O1934" s="1" t="s">
        <v>33969</v>
      </c>
      <c r="P1934" s="1" t="s">
        <v>455</v>
      </c>
      <c r="Q1934" s="1" t="s">
        <v>33970</v>
      </c>
      <c r="R1934" s="1" t="s">
        <v>33964</v>
      </c>
      <c r="S1934" s="1">
        <v>9969810471</v>
      </c>
      <c r="T1934" s="1" t="s">
        <v>125</v>
      </c>
      <c r="U1934" s="1" t="s">
        <v>33971</v>
      </c>
      <c r="V1934" s="1">
        <v>8879397491</v>
      </c>
      <c r="W1934" s="1" t="s">
        <v>161</v>
      </c>
      <c r="X1934" s="1" t="s">
        <v>33972</v>
      </c>
      <c r="Y1934" s="1" t="s">
        <v>1012</v>
      </c>
      <c r="Z1934" s="1" t="s">
        <v>97</v>
      </c>
      <c r="AA1934" s="1" t="s">
        <v>33973</v>
      </c>
      <c r="AB1934" s="1" t="s">
        <v>1012</v>
      </c>
      <c r="AC1934" s="1" t="s">
        <v>97</v>
      </c>
      <c r="AD1934" s="1" t="s">
        <v>98</v>
      </c>
      <c r="AE1934" s="1" t="s">
        <v>98</v>
      </c>
      <c r="AF1934" s="1" t="s">
        <v>1557</v>
      </c>
      <c r="AG1934" s="1" t="s">
        <v>33974</v>
      </c>
      <c r="AH1934" s="1" t="s">
        <v>101</v>
      </c>
      <c r="AI1934" s="1" t="s">
        <v>102</v>
      </c>
      <c r="AJ1934" s="1">
        <v>90.6</v>
      </c>
      <c r="AK1934" s="1">
        <v>0</v>
      </c>
      <c r="AL1934" s="1"/>
      <c r="AM1934" s="1"/>
      <c r="AN1934" s="1"/>
      <c r="AO1934" s="1"/>
      <c r="AP1934" s="1"/>
      <c r="AQ1934" s="1"/>
      <c r="AR1934" s="1"/>
      <c r="AS1934" s="1" t="s">
        <v>103</v>
      </c>
      <c r="AT1934" s="1" t="s">
        <v>33975</v>
      </c>
      <c r="AU1934" s="1" t="s">
        <v>105</v>
      </c>
      <c r="AV1934" s="1" t="s">
        <v>174</v>
      </c>
      <c r="AW1934" s="1">
        <v>88.06</v>
      </c>
      <c r="AX1934" s="1">
        <v>0</v>
      </c>
      <c r="AY1934" s="1" t="s">
        <v>680</v>
      </c>
      <c r="AZ1934" s="1" t="s">
        <v>28498</v>
      </c>
      <c r="BA1934" s="1"/>
      <c r="BB1934" s="1"/>
      <c r="BC1934" s="1" t="s">
        <v>1065</v>
      </c>
      <c r="BD1934" s="1" t="s">
        <v>549</v>
      </c>
      <c r="BE1934" s="1">
        <v>84.26</v>
      </c>
      <c r="BF1934" s="1">
        <v>9.42</v>
      </c>
      <c r="BG1934" s="1"/>
      <c r="BH1934" s="1"/>
      <c r="BI1934" s="1"/>
      <c r="BJ1934" s="1"/>
      <c r="BK1934" s="1"/>
      <c r="BL1934" s="1"/>
      <c r="BM1934" s="1"/>
      <c r="BN1934" s="1"/>
      <c r="BO1934" s="1" t="s">
        <v>33976</v>
      </c>
      <c r="BP1934" s="1"/>
      <c r="BQ1934" s="1"/>
      <c r="BR1934" s="1" t="s">
        <v>33977</v>
      </c>
      <c r="BS1934" s="1">
        <v>16</v>
      </c>
      <c r="BT1934" s="1"/>
      <c r="BU1934" s="1" t="str">
        <f>HYPERLINK("https://nconnect.nicmar.ac.in/storage/profile/ProfilePhoto_p2270543_821769.jpg","Download")</f>
        <v>0</v>
      </c>
      <c r="BV1934" s="3"/>
      <c r="BW1934" s="3"/>
    </row>
    <row r="1935" spans="1:75">
      <c r="A1935" s="1" t="s">
        <v>75</v>
      </c>
      <c r="B1935" s="1" t="s">
        <v>25236</v>
      </c>
      <c r="C1935" s="1" t="s">
        <v>33978</v>
      </c>
      <c r="D1935" s="1" t="s">
        <v>33979</v>
      </c>
      <c r="E1935" s="1" t="s">
        <v>33980</v>
      </c>
      <c r="F1935" s="1" t="s">
        <v>33981</v>
      </c>
      <c r="G1935" s="1" t="s">
        <v>33982</v>
      </c>
      <c r="H1935" s="1" t="s">
        <v>33983</v>
      </c>
      <c r="I1935" s="1" t="s">
        <v>33984</v>
      </c>
      <c r="J1935" s="1">
        <v>9423428943</v>
      </c>
      <c r="K1935" s="1" t="s">
        <v>153</v>
      </c>
      <c r="L1935" s="1" t="s">
        <v>33985</v>
      </c>
      <c r="M1935" s="1" t="s">
        <v>86</v>
      </c>
      <c r="N1935" s="1" t="s">
        <v>768</v>
      </c>
      <c r="O1935" s="1"/>
      <c r="P1935" s="1" t="s">
        <v>507</v>
      </c>
      <c r="Q1935" s="1" t="s">
        <v>33986</v>
      </c>
      <c r="R1935" s="1" t="s">
        <v>33987</v>
      </c>
      <c r="S1935" s="1">
        <v>9423150874</v>
      </c>
      <c r="T1935" s="1" t="s">
        <v>839</v>
      </c>
      <c r="U1935" s="1" t="s">
        <v>33988</v>
      </c>
      <c r="V1935" s="1">
        <v>9423151847</v>
      </c>
      <c r="W1935" s="1" t="s">
        <v>161</v>
      </c>
      <c r="X1935" s="1" t="s">
        <v>33989</v>
      </c>
      <c r="Y1935" s="1" t="s">
        <v>333</v>
      </c>
      <c r="Z1935" s="1" t="s">
        <v>97</v>
      </c>
      <c r="AA1935" s="1" t="s">
        <v>33989</v>
      </c>
      <c r="AB1935" s="1" t="s">
        <v>333</v>
      </c>
      <c r="AC1935" s="1" t="s">
        <v>97</v>
      </c>
      <c r="AD1935" s="1" t="s">
        <v>98</v>
      </c>
      <c r="AE1935" s="1" t="s">
        <v>98</v>
      </c>
      <c r="AF1935" s="1" t="s">
        <v>33990</v>
      </c>
      <c r="AG1935" s="1" t="s">
        <v>33991</v>
      </c>
      <c r="AH1935" s="1" t="s">
        <v>1213</v>
      </c>
      <c r="AI1935" s="1" t="s">
        <v>515</v>
      </c>
      <c r="AJ1935" s="1">
        <v>84.8</v>
      </c>
      <c r="AK1935" s="1">
        <v>0</v>
      </c>
      <c r="AL1935" s="1" t="s">
        <v>33992</v>
      </c>
      <c r="AM1935" s="1" t="s">
        <v>33991</v>
      </c>
      <c r="AN1935" s="1"/>
      <c r="AO1935" s="1" t="s">
        <v>166</v>
      </c>
      <c r="AP1935" s="1" t="s">
        <v>517</v>
      </c>
      <c r="AQ1935" s="1">
        <v>66.46</v>
      </c>
      <c r="AR1935" s="1">
        <v>0</v>
      </c>
      <c r="AS1935" s="1"/>
      <c r="AT1935" s="1"/>
      <c r="AU1935" s="1"/>
      <c r="AV1935" s="1"/>
      <c r="AW1935" s="1"/>
      <c r="AX1935" s="1"/>
      <c r="AY1935" s="1" t="s">
        <v>997</v>
      </c>
      <c r="AZ1935" s="1" t="s">
        <v>33993</v>
      </c>
      <c r="BA1935" s="1"/>
      <c r="BB1935" s="1"/>
      <c r="BC1935" s="1" t="s">
        <v>139</v>
      </c>
      <c r="BD1935" s="1" t="s">
        <v>289</v>
      </c>
      <c r="BE1935" s="1">
        <v>69.3</v>
      </c>
      <c r="BF1935" s="1">
        <v>7.68</v>
      </c>
      <c r="BG1935" s="1"/>
      <c r="BH1935" s="1"/>
      <c r="BI1935" s="1"/>
      <c r="BJ1935" s="1"/>
      <c r="BK1935" s="1"/>
      <c r="BL1935" s="1"/>
      <c r="BM1935" s="1"/>
      <c r="BN1935" s="1"/>
      <c r="BO1935" s="1" t="s">
        <v>33994</v>
      </c>
      <c r="BP1935" s="1"/>
      <c r="BQ1935" s="1"/>
      <c r="BR1935" s="1" t="s">
        <v>33995</v>
      </c>
      <c r="BS1935" s="1">
        <v>50</v>
      </c>
      <c r="BT1935" s="1"/>
      <c r="BU1935" s="1" t="str">
        <f>HYPERLINK("https://nconnect.nicmar.ac.in/storage/profile/ProfilePhoto_p2270544_534786.jpg","Download")</f>
        <v>0</v>
      </c>
      <c r="BV1935" s="3"/>
      <c r="BW1935" s="3"/>
    </row>
    <row r="1936" spans="1:75">
      <c r="A1936" s="1" t="s">
        <v>75</v>
      </c>
      <c r="B1936" s="1" t="s">
        <v>25236</v>
      </c>
      <c r="C1936" s="1" t="s">
        <v>33996</v>
      </c>
      <c r="D1936" s="1" t="s">
        <v>33997</v>
      </c>
      <c r="E1936" s="1" t="s">
        <v>4646</v>
      </c>
      <c r="F1936" s="1" t="s">
        <v>13878</v>
      </c>
      <c r="G1936" s="1" t="s">
        <v>33998</v>
      </c>
      <c r="H1936" s="1" t="s">
        <v>33999</v>
      </c>
      <c r="I1936" s="1" t="s">
        <v>34000</v>
      </c>
      <c r="J1936" s="1">
        <v>7620935472</v>
      </c>
      <c r="K1936" s="1" t="s">
        <v>153</v>
      </c>
      <c r="L1936" s="1" t="s">
        <v>5471</v>
      </c>
      <c r="M1936" s="1" t="s">
        <v>86</v>
      </c>
      <c r="N1936" s="1" t="s">
        <v>13689</v>
      </c>
      <c r="O1936" s="1" t="s">
        <v>34001</v>
      </c>
      <c r="P1936" s="1" t="s">
        <v>481</v>
      </c>
      <c r="Q1936" s="1" t="s">
        <v>34002</v>
      </c>
      <c r="R1936" s="1" t="s">
        <v>34003</v>
      </c>
      <c r="S1936" s="1">
        <v>9011702380</v>
      </c>
      <c r="T1936" s="1" t="s">
        <v>4223</v>
      </c>
      <c r="U1936" s="1" t="s">
        <v>34004</v>
      </c>
      <c r="V1936" s="1">
        <v>8087812478</v>
      </c>
      <c r="W1936" s="1" t="s">
        <v>94</v>
      </c>
      <c r="X1936" s="1" t="s">
        <v>34005</v>
      </c>
      <c r="Y1936" s="1" t="s">
        <v>163</v>
      </c>
      <c r="Z1936" s="1" t="s">
        <v>97</v>
      </c>
      <c r="AA1936" s="1" t="s">
        <v>34005</v>
      </c>
      <c r="AB1936" s="1" t="s">
        <v>163</v>
      </c>
      <c r="AC1936" s="1" t="s">
        <v>97</v>
      </c>
      <c r="AD1936" s="1" t="s">
        <v>98</v>
      </c>
      <c r="AE1936" s="1" t="s">
        <v>98</v>
      </c>
      <c r="AF1936" s="1" t="s">
        <v>34006</v>
      </c>
      <c r="AG1936" s="1" t="s">
        <v>13345</v>
      </c>
      <c r="AH1936" s="1" t="s">
        <v>166</v>
      </c>
      <c r="AI1936" s="1" t="s">
        <v>1111</v>
      </c>
      <c r="AJ1936" s="1">
        <v>85.2</v>
      </c>
      <c r="AK1936" s="1"/>
      <c r="AL1936" s="1" t="s">
        <v>11747</v>
      </c>
      <c r="AM1936" s="1" t="s">
        <v>13345</v>
      </c>
      <c r="AN1936" s="1"/>
      <c r="AO1936" s="1" t="s">
        <v>170</v>
      </c>
      <c r="AP1936" s="1" t="s">
        <v>1477</v>
      </c>
      <c r="AQ1936" s="1">
        <v>63.69</v>
      </c>
      <c r="AR1936" s="1"/>
      <c r="AS1936" s="1"/>
      <c r="AT1936" s="1"/>
      <c r="AU1936" s="1"/>
      <c r="AV1936" s="1"/>
      <c r="AW1936" s="1"/>
      <c r="AX1936" s="1"/>
      <c r="AY1936" s="1" t="s">
        <v>107</v>
      </c>
      <c r="AZ1936" s="1" t="s">
        <v>34007</v>
      </c>
      <c r="BA1936" s="1"/>
      <c r="BB1936" s="1"/>
      <c r="BC1936" s="1" t="s">
        <v>1065</v>
      </c>
      <c r="BD1936" s="1" t="s">
        <v>110</v>
      </c>
      <c r="BE1936" s="1">
        <v>85.5</v>
      </c>
      <c r="BF1936" s="1">
        <v>9.05</v>
      </c>
      <c r="BG1936" s="1"/>
      <c r="BH1936" s="1"/>
      <c r="BI1936" s="1"/>
      <c r="BJ1936" s="1"/>
      <c r="BK1936" s="1"/>
      <c r="BL1936" s="1"/>
      <c r="BM1936" s="1"/>
      <c r="BN1936" s="1"/>
      <c r="BO1936" s="1" t="s">
        <v>1114</v>
      </c>
      <c r="BP1936" s="1"/>
      <c r="BQ1936" s="1"/>
      <c r="BR1936" s="1" t="s">
        <v>34008</v>
      </c>
      <c r="BS1936" s="1">
        <v>28</v>
      </c>
      <c r="BT1936" s="1"/>
      <c r="BU1936" s="1" t="str">
        <f>HYPERLINK("https://nconnect.nicmar.ac.in/storage/profile/ProfilePhoto_p2270545_157428.jpg","Download")</f>
        <v>0</v>
      </c>
      <c r="BV1936" s="3"/>
      <c r="BW1936" s="3"/>
    </row>
    <row r="1937" spans="1:75">
      <c r="A1937" s="1" t="s">
        <v>75</v>
      </c>
      <c r="B1937" s="1" t="s">
        <v>25236</v>
      </c>
      <c r="C1937" s="1" t="s">
        <v>34009</v>
      </c>
      <c r="D1937" s="1" t="s">
        <v>3493</v>
      </c>
      <c r="E1937" s="1" t="s">
        <v>1320</v>
      </c>
      <c r="F1937" s="1" t="s">
        <v>28313</v>
      </c>
      <c r="G1937" s="1" t="s">
        <v>34010</v>
      </c>
      <c r="H1937" s="1" t="s">
        <v>34011</v>
      </c>
      <c r="I1937" s="1" t="s">
        <v>34012</v>
      </c>
      <c r="J1937" s="1">
        <v>9692532372</v>
      </c>
      <c r="K1937" s="1" t="s">
        <v>84</v>
      </c>
      <c r="L1937" s="1" t="s">
        <v>34013</v>
      </c>
      <c r="M1937" s="1" t="s">
        <v>86</v>
      </c>
      <c r="N1937" s="1" t="s">
        <v>8293</v>
      </c>
      <c r="O1937" s="1" t="s">
        <v>34014</v>
      </c>
      <c r="P1937" s="1" t="s">
        <v>507</v>
      </c>
      <c r="Q1937" s="1" t="s">
        <v>34015</v>
      </c>
      <c r="R1937" s="1" t="s">
        <v>34016</v>
      </c>
      <c r="S1937" s="1">
        <v>9334142743</v>
      </c>
      <c r="T1937" s="1" t="s">
        <v>34017</v>
      </c>
      <c r="U1937" s="1" t="s">
        <v>34018</v>
      </c>
      <c r="V1937" s="1">
        <v>9304513813</v>
      </c>
      <c r="W1937" s="1" t="s">
        <v>278</v>
      </c>
      <c r="X1937" s="1" t="s">
        <v>34019</v>
      </c>
      <c r="Y1937" s="1" t="s">
        <v>648</v>
      </c>
      <c r="Z1937" s="1" t="s">
        <v>649</v>
      </c>
      <c r="AA1937" s="1" t="s">
        <v>34019</v>
      </c>
      <c r="AB1937" s="1" t="s">
        <v>648</v>
      </c>
      <c r="AC1937" s="1" t="s">
        <v>649</v>
      </c>
      <c r="AD1937" s="1" t="s">
        <v>98</v>
      </c>
      <c r="AE1937" s="1" t="s">
        <v>98</v>
      </c>
      <c r="AF1937" s="1" t="s">
        <v>34020</v>
      </c>
      <c r="AG1937" s="1" t="s">
        <v>34021</v>
      </c>
      <c r="AH1937" s="1" t="s">
        <v>3770</v>
      </c>
      <c r="AI1937" s="1" t="s">
        <v>134</v>
      </c>
      <c r="AJ1937" s="1">
        <v>69.33</v>
      </c>
      <c r="AK1937" s="1"/>
      <c r="AL1937" s="1" t="s">
        <v>34020</v>
      </c>
      <c r="AM1937" s="1" t="s">
        <v>34022</v>
      </c>
      <c r="AN1937" s="1"/>
      <c r="AO1937" s="1" t="s">
        <v>1214</v>
      </c>
      <c r="AP1937" s="1" t="s">
        <v>136</v>
      </c>
      <c r="AQ1937" s="1">
        <v>62</v>
      </c>
      <c r="AR1937" s="1"/>
      <c r="AS1937" s="1"/>
      <c r="AT1937" s="1"/>
      <c r="AU1937" s="1"/>
      <c r="AV1937" s="1"/>
      <c r="AW1937" s="1"/>
      <c r="AX1937" s="1"/>
      <c r="AY1937" s="1" t="s">
        <v>4962</v>
      </c>
      <c r="AZ1937" s="1" t="s">
        <v>34023</v>
      </c>
      <c r="BA1937" s="1"/>
      <c r="BB1937" s="1"/>
      <c r="BC1937" s="1" t="s">
        <v>342</v>
      </c>
      <c r="BD1937" s="1" t="s">
        <v>313</v>
      </c>
      <c r="BE1937" s="1">
        <v>69.6</v>
      </c>
      <c r="BF1937" s="1">
        <v>6.96</v>
      </c>
      <c r="BG1937" s="1"/>
      <c r="BH1937" s="1"/>
      <c r="BI1937" s="1"/>
      <c r="BJ1937" s="1"/>
      <c r="BK1937" s="1"/>
      <c r="BL1937" s="1"/>
      <c r="BM1937" s="1"/>
      <c r="BN1937" s="1"/>
      <c r="BO1937" s="1" t="s">
        <v>34024</v>
      </c>
      <c r="BP1937" s="1" t="s">
        <v>34025</v>
      </c>
      <c r="BQ1937" s="1" t="s">
        <v>582</v>
      </c>
      <c r="BR1937" s="1" t="s">
        <v>34026</v>
      </c>
      <c r="BS1937" s="1">
        <v>26</v>
      </c>
      <c r="BT1937" s="1"/>
      <c r="BU1937" s="1" t="str">
        <f>HYPERLINK("https://nconnect.nicmar.ac.in/storage/profile/ProfilePhoto_p2270546_916527.jpg","Download")</f>
        <v>0</v>
      </c>
      <c r="BV1937" s="3"/>
      <c r="BW1937" s="3"/>
    </row>
    <row r="1938" spans="1:75">
      <c r="A1938" s="1" t="s">
        <v>75</v>
      </c>
      <c r="B1938" s="1" t="s">
        <v>25236</v>
      </c>
      <c r="C1938" s="1" t="s">
        <v>34027</v>
      </c>
      <c r="D1938" s="1" t="s">
        <v>34028</v>
      </c>
      <c r="E1938" s="1" t="s">
        <v>5482</v>
      </c>
      <c r="F1938" s="1" t="s">
        <v>1464</v>
      </c>
      <c r="G1938" s="1" t="s">
        <v>34029</v>
      </c>
      <c r="H1938" s="1" t="s">
        <v>34030</v>
      </c>
      <c r="I1938" s="1" t="s">
        <v>34031</v>
      </c>
      <c r="J1938" s="1">
        <v>7276549973</v>
      </c>
      <c r="K1938" s="1" t="s">
        <v>84</v>
      </c>
      <c r="L1938" s="1" t="s">
        <v>31322</v>
      </c>
      <c r="M1938" s="1" t="s">
        <v>86</v>
      </c>
      <c r="N1938" s="1" t="s">
        <v>9990</v>
      </c>
      <c r="O1938" s="1" t="s">
        <v>34032</v>
      </c>
      <c r="P1938" s="1" t="s">
        <v>507</v>
      </c>
      <c r="Q1938" s="1" t="s">
        <v>34033</v>
      </c>
      <c r="R1938" s="1" t="s">
        <v>34034</v>
      </c>
      <c r="S1938" s="1">
        <v>9422304328</v>
      </c>
      <c r="T1938" s="1" t="s">
        <v>926</v>
      </c>
      <c r="U1938" s="1" t="s">
        <v>34035</v>
      </c>
      <c r="V1938" s="1">
        <v>9422317255</v>
      </c>
      <c r="W1938" s="1" t="s">
        <v>161</v>
      </c>
      <c r="X1938" s="1" t="s">
        <v>34036</v>
      </c>
      <c r="Y1938" s="1" t="s">
        <v>196</v>
      </c>
      <c r="Z1938" s="1" t="s">
        <v>97</v>
      </c>
      <c r="AA1938" s="1" t="s">
        <v>34036</v>
      </c>
      <c r="AB1938" s="1" t="s">
        <v>196</v>
      </c>
      <c r="AC1938" s="1" t="s">
        <v>97</v>
      </c>
      <c r="AD1938" s="1" t="s">
        <v>98</v>
      </c>
      <c r="AE1938" s="1" t="s">
        <v>98</v>
      </c>
      <c r="AF1938" s="1" t="s">
        <v>34037</v>
      </c>
      <c r="AG1938" s="1" t="s">
        <v>1968</v>
      </c>
      <c r="AH1938" s="1" t="s">
        <v>101</v>
      </c>
      <c r="AI1938" s="1" t="s">
        <v>1110</v>
      </c>
      <c r="AJ1938" s="1">
        <v>77</v>
      </c>
      <c r="AK1938" s="1"/>
      <c r="AL1938" s="1"/>
      <c r="AM1938" s="1"/>
      <c r="AN1938" s="1"/>
      <c r="AO1938" s="1"/>
      <c r="AP1938" s="1"/>
      <c r="AQ1938" s="1"/>
      <c r="AR1938" s="1"/>
      <c r="AS1938" s="1" t="s">
        <v>103</v>
      </c>
      <c r="AT1938" s="1" t="s">
        <v>30242</v>
      </c>
      <c r="AU1938" s="1" t="s">
        <v>342</v>
      </c>
      <c r="AV1938" s="1" t="s">
        <v>106</v>
      </c>
      <c r="AW1938" s="1">
        <v>72.55</v>
      </c>
      <c r="AX1938" s="1"/>
      <c r="AY1938" s="1" t="s">
        <v>366</v>
      </c>
      <c r="AZ1938" s="1" t="s">
        <v>34038</v>
      </c>
      <c r="BA1938" s="1"/>
      <c r="BB1938" s="1"/>
      <c r="BC1938" s="1" t="s">
        <v>1065</v>
      </c>
      <c r="BD1938" s="1" t="s">
        <v>549</v>
      </c>
      <c r="BE1938" s="1">
        <v>74.12</v>
      </c>
      <c r="BF1938" s="1">
        <v>8.26</v>
      </c>
      <c r="BG1938" s="1"/>
      <c r="BH1938" s="1"/>
      <c r="BI1938" s="1"/>
      <c r="BJ1938" s="1"/>
      <c r="BK1938" s="1"/>
      <c r="BL1938" s="1"/>
      <c r="BM1938" s="1"/>
      <c r="BN1938" s="1"/>
      <c r="BO1938" s="1" t="s">
        <v>25516</v>
      </c>
      <c r="BP1938" s="1"/>
      <c r="BQ1938" s="1"/>
      <c r="BR1938" s="1" t="s">
        <v>34039</v>
      </c>
      <c r="BS1938" s="1">
        <v>63</v>
      </c>
      <c r="BT1938" s="1"/>
      <c r="BU1938" s="1" t="str">
        <f>HYPERLINK("https://nconnect.nicmar.ac.in/storage/profile/ProfilePhoto_p2270547_814527.jpg","Download")</f>
        <v>0</v>
      </c>
      <c r="BV1938" s="3"/>
      <c r="BW1938" s="3"/>
    </row>
    <row r="1939" spans="1:75">
      <c r="A1939" s="1" t="s">
        <v>75</v>
      </c>
      <c r="B1939" s="1" t="s">
        <v>25236</v>
      </c>
      <c r="C1939" s="1" t="s">
        <v>34040</v>
      </c>
      <c r="D1939" s="1" t="s">
        <v>13421</v>
      </c>
      <c r="E1939" s="1" t="s">
        <v>5753</v>
      </c>
      <c r="F1939" s="1" t="s">
        <v>34041</v>
      </c>
      <c r="G1939" s="1" t="s">
        <v>34042</v>
      </c>
      <c r="H1939" s="1" t="s">
        <v>34043</v>
      </c>
      <c r="I1939" s="1" t="s">
        <v>34044</v>
      </c>
      <c r="J1939" s="1">
        <v>9403488075</v>
      </c>
      <c r="K1939" s="1" t="s">
        <v>153</v>
      </c>
      <c r="L1939" s="1" t="s">
        <v>18173</v>
      </c>
      <c r="M1939" s="1" t="s">
        <v>86</v>
      </c>
      <c r="N1939" s="1" t="s">
        <v>34045</v>
      </c>
      <c r="O1939" s="1" t="s">
        <v>34046</v>
      </c>
      <c r="P1939" s="1" t="s">
        <v>507</v>
      </c>
      <c r="Q1939" s="1" t="s">
        <v>34047</v>
      </c>
      <c r="R1939" s="1" t="s">
        <v>34048</v>
      </c>
      <c r="S1939" s="1">
        <v>9096661970</v>
      </c>
      <c r="T1939" s="1" t="s">
        <v>34049</v>
      </c>
      <c r="U1939" s="1" t="s">
        <v>34050</v>
      </c>
      <c r="V1939" s="1">
        <v>9028572441</v>
      </c>
      <c r="W1939" s="1" t="s">
        <v>1257</v>
      </c>
      <c r="X1939" s="1" t="s">
        <v>34051</v>
      </c>
      <c r="Y1939" s="1" t="s">
        <v>5659</v>
      </c>
      <c r="Z1939" s="1" t="s">
        <v>97</v>
      </c>
      <c r="AA1939" s="1" t="s">
        <v>34051</v>
      </c>
      <c r="AB1939" s="1" t="s">
        <v>5659</v>
      </c>
      <c r="AC1939" s="1" t="s">
        <v>97</v>
      </c>
      <c r="AD1939" s="1" t="s">
        <v>98</v>
      </c>
      <c r="AE1939" s="1" t="s">
        <v>98</v>
      </c>
      <c r="AF1939" s="1" t="s">
        <v>8856</v>
      </c>
      <c r="AG1939" s="1" t="s">
        <v>996</v>
      </c>
      <c r="AH1939" s="1" t="s">
        <v>101</v>
      </c>
      <c r="AI1939" s="1" t="s">
        <v>166</v>
      </c>
      <c r="AJ1939" s="1">
        <v>75</v>
      </c>
      <c r="AK1939" s="1"/>
      <c r="AL1939" s="1" t="s">
        <v>34052</v>
      </c>
      <c r="AM1939" s="1" t="s">
        <v>996</v>
      </c>
      <c r="AN1939" s="1"/>
      <c r="AO1939" s="1" t="s">
        <v>167</v>
      </c>
      <c r="AP1939" s="1" t="s">
        <v>704</v>
      </c>
      <c r="AQ1939" s="1">
        <v>60.46</v>
      </c>
      <c r="AR1939" s="1">
        <v>0</v>
      </c>
      <c r="AS1939" s="1"/>
      <c r="AT1939" s="1"/>
      <c r="AU1939" s="1"/>
      <c r="AV1939" s="1"/>
      <c r="AW1939" s="1"/>
      <c r="AX1939" s="1"/>
      <c r="AY1939" s="1" t="s">
        <v>366</v>
      </c>
      <c r="AZ1939" s="1" t="s">
        <v>34053</v>
      </c>
      <c r="BA1939" s="1"/>
      <c r="BB1939" s="1"/>
      <c r="BC1939" s="1" t="s">
        <v>230</v>
      </c>
      <c r="BD1939" s="1" t="s">
        <v>110</v>
      </c>
      <c r="BE1939" s="1">
        <v>73.8</v>
      </c>
      <c r="BF1939" s="1">
        <v>8.13</v>
      </c>
      <c r="BG1939" s="1"/>
      <c r="BH1939" s="1"/>
      <c r="BI1939" s="1"/>
      <c r="BJ1939" s="1"/>
      <c r="BK1939" s="1"/>
      <c r="BL1939" s="1"/>
      <c r="BM1939" s="1"/>
      <c r="BN1939" s="1"/>
      <c r="BO1939" s="1" t="s">
        <v>34054</v>
      </c>
      <c r="BP1939" s="1"/>
      <c r="BQ1939" s="1"/>
      <c r="BR1939" s="1" t="s">
        <v>34055</v>
      </c>
      <c r="BS1939" s="1">
        <v>7</v>
      </c>
      <c r="BT1939" s="1"/>
      <c r="BU1939" s="1" t="str">
        <f>HYPERLINK("https://nconnect.nicmar.ac.in/storage/profile/ProfilePhoto_p2270548_852936.jpg","Download")</f>
        <v>0</v>
      </c>
      <c r="BV1939" s="3"/>
      <c r="BW1939" s="3"/>
    </row>
    <row r="1940" spans="1:75">
      <c r="A1940" s="1" t="s">
        <v>75</v>
      </c>
      <c r="B1940" s="1" t="s">
        <v>25236</v>
      </c>
      <c r="C1940" s="1" t="s">
        <v>34056</v>
      </c>
      <c r="D1940" s="1" t="s">
        <v>34057</v>
      </c>
      <c r="E1940" s="1"/>
      <c r="F1940" s="1" t="s">
        <v>241</v>
      </c>
      <c r="G1940" s="1" t="s">
        <v>34058</v>
      </c>
      <c r="H1940" s="1" t="s">
        <v>34059</v>
      </c>
      <c r="I1940" s="1" t="s">
        <v>34060</v>
      </c>
      <c r="J1940" s="1">
        <v>7566592099</v>
      </c>
      <c r="K1940" s="1" t="s">
        <v>84</v>
      </c>
      <c r="L1940" s="1" t="s">
        <v>34061</v>
      </c>
      <c r="M1940" s="1" t="s">
        <v>86</v>
      </c>
      <c r="N1940" s="1" t="s">
        <v>16604</v>
      </c>
      <c r="O1940" s="1" t="s">
        <v>34062</v>
      </c>
      <c r="P1940" s="1" t="s">
        <v>507</v>
      </c>
      <c r="Q1940" s="1" t="s">
        <v>34063</v>
      </c>
      <c r="R1940" s="1" t="s">
        <v>34064</v>
      </c>
      <c r="S1940" s="1">
        <v>7477016215</v>
      </c>
      <c r="T1940" s="1" t="s">
        <v>3693</v>
      </c>
      <c r="U1940" s="1" t="s">
        <v>34065</v>
      </c>
      <c r="V1940" s="1">
        <v>7987043903</v>
      </c>
      <c r="W1940" s="1" t="s">
        <v>278</v>
      </c>
      <c r="X1940" s="1" t="s">
        <v>34066</v>
      </c>
      <c r="Y1940" s="1" t="s">
        <v>5641</v>
      </c>
      <c r="Z1940" s="1" t="s">
        <v>3419</v>
      </c>
      <c r="AA1940" s="1" t="s">
        <v>34066</v>
      </c>
      <c r="AB1940" s="1" t="s">
        <v>5641</v>
      </c>
      <c r="AC1940" s="1" t="s">
        <v>3419</v>
      </c>
      <c r="AD1940" s="1" t="s">
        <v>98</v>
      </c>
      <c r="AE1940" s="1" t="s">
        <v>98</v>
      </c>
      <c r="AF1940" s="1" t="s">
        <v>34067</v>
      </c>
      <c r="AG1940" s="1" t="s">
        <v>34068</v>
      </c>
      <c r="AH1940" s="1" t="s">
        <v>342</v>
      </c>
      <c r="AI1940" s="1" t="s">
        <v>627</v>
      </c>
      <c r="AJ1940" s="1">
        <v>56.33</v>
      </c>
      <c r="AK1940" s="1"/>
      <c r="AL1940" s="1" t="s">
        <v>34067</v>
      </c>
      <c r="AM1940" s="1" t="s">
        <v>34068</v>
      </c>
      <c r="AN1940" s="1"/>
      <c r="AO1940" s="1" t="s">
        <v>388</v>
      </c>
      <c r="AP1940" s="1" t="s">
        <v>171</v>
      </c>
      <c r="AQ1940" s="1">
        <v>55</v>
      </c>
      <c r="AR1940" s="1"/>
      <c r="AS1940" s="1"/>
      <c r="AT1940" s="1"/>
      <c r="AU1940" s="1"/>
      <c r="AV1940" s="1"/>
      <c r="AW1940" s="1"/>
      <c r="AX1940" s="1"/>
      <c r="AY1940" s="1" t="s">
        <v>34069</v>
      </c>
      <c r="AZ1940" s="1" t="s">
        <v>34070</v>
      </c>
      <c r="BA1940" s="1"/>
      <c r="BB1940" s="1"/>
      <c r="BC1940" s="1" t="s">
        <v>1065</v>
      </c>
      <c r="BD1940" s="1" t="s">
        <v>1400</v>
      </c>
      <c r="BE1940" s="1">
        <v>71.3</v>
      </c>
      <c r="BF1940" s="1">
        <v>7.13</v>
      </c>
      <c r="BG1940" s="1"/>
      <c r="BH1940" s="1"/>
      <c r="BI1940" s="1"/>
      <c r="BJ1940" s="1"/>
      <c r="BK1940" s="1"/>
      <c r="BL1940" s="1"/>
      <c r="BM1940" s="1"/>
      <c r="BN1940" s="1"/>
      <c r="BO1940" s="1" t="s">
        <v>369</v>
      </c>
      <c r="BP1940" s="1"/>
      <c r="BQ1940" s="1"/>
      <c r="BR1940" s="1" t="s">
        <v>34071</v>
      </c>
      <c r="BS1940" s="1">
        <v>20</v>
      </c>
      <c r="BT1940" s="1"/>
      <c r="BU1940" s="1" t="str">
        <f>HYPERLINK("https://nconnect.nicmar.ac.in/storage/profile/ProfilePhoto_p2270549_267194.jpg","Download")</f>
        <v>0</v>
      </c>
      <c r="BV1940" s="3"/>
      <c r="BW1940" s="3"/>
    </row>
    <row r="1941" spans="1:75">
      <c r="A1941" s="1" t="s">
        <v>75</v>
      </c>
      <c r="B1941" s="1" t="s">
        <v>25236</v>
      </c>
      <c r="C1941" s="1" t="s">
        <v>34072</v>
      </c>
      <c r="D1941" s="1" t="s">
        <v>34073</v>
      </c>
      <c r="E1941" s="1"/>
      <c r="F1941" s="1" t="s">
        <v>26866</v>
      </c>
      <c r="G1941" s="1" t="s">
        <v>34074</v>
      </c>
      <c r="H1941" s="1" t="s">
        <v>34075</v>
      </c>
      <c r="I1941" s="1" t="s">
        <v>34076</v>
      </c>
      <c r="J1941" s="1">
        <v>9593834498</v>
      </c>
      <c r="K1941" s="1" t="s">
        <v>84</v>
      </c>
      <c r="L1941" s="1" t="s">
        <v>34077</v>
      </c>
      <c r="M1941" s="1" t="s">
        <v>86</v>
      </c>
      <c r="N1941" s="1" t="s">
        <v>34078</v>
      </c>
      <c r="O1941" s="1" t="s">
        <v>34079</v>
      </c>
      <c r="P1941" s="1" t="s">
        <v>455</v>
      </c>
      <c r="Q1941" s="1" t="s">
        <v>34080</v>
      </c>
      <c r="R1941" s="1" t="s">
        <v>34081</v>
      </c>
      <c r="S1941" s="1">
        <v>9474078787</v>
      </c>
      <c r="T1941" s="1" t="s">
        <v>839</v>
      </c>
      <c r="U1941" s="1" t="s">
        <v>34082</v>
      </c>
      <c r="V1941" s="1">
        <v>6295056435</v>
      </c>
      <c r="W1941" s="1" t="s">
        <v>161</v>
      </c>
      <c r="X1941" s="1" t="s">
        <v>34083</v>
      </c>
      <c r="Y1941" s="1" t="s">
        <v>34084</v>
      </c>
      <c r="Z1941" s="1" t="s">
        <v>1234</v>
      </c>
      <c r="AA1941" s="1" t="s">
        <v>34083</v>
      </c>
      <c r="AB1941" s="1" t="s">
        <v>34084</v>
      </c>
      <c r="AC1941" s="1" t="s">
        <v>1234</v>
      </c>
      <c r="AD1941" s="1" t="s">
        <v>98</v>
      </c>
      <c r="AE1941" s="1" t="s">
        <v>98</v>
      </c>
      <c r="AF1941" s="1" t="s">
        <v>34085</v>
      </c>
      <c r="AG1941" s="1" t="s">
        <v>34086</v>
      </c>
      <c r="AH1941" s="1" t="s">
        <v>1214</v>
      </c>
      <c r="AI1941" s="1" t="s">
        <v>136</v>
      </c>
      <c r="AJ1941" s="1">
        <v>70.8</v>
      </c>
      <c r="AK1941" s="1"/>
      <c r="AL1941" s="1" t="s">
        <v>34087</v>
      </c>
      <c r="AM1941" s="1" t="s">
        <v>25554</v>
      </c>
      <c r="AN1941" s="1"/>
      <c r="AO1941" s="1" t="s">
        <v>1111</v>
      </c>
      <c r="AP1941" s="1" t="s">
        <v>573</v>
      </c>
      <c r="AQ1941" s="1">
        <v>66.6</v>
      </c>
      <c r="AR1941" s="1"/>
      <c r="AS1941" s="1"/>
      <c r="AT1941" s="1"/>
      <c r="AU1941" s="1"/>
      <c r="AV1941" s="1"/>
      <c r="AW1941" s="1"/>
      <c r="AX1941" s="1"/>
      <c r="AY1941" s="1" t="s">
        <v>25745</v>
      </c>
      <c r="AZ1941" s="1" t="s">
        <v>34088</v>
      </c>
      <c r="BA1941" s="1"/>
      <c r="BB1941" s="1"/>
      <c r="BC1941" s="1" t="s">
        <v>388</v>
      </c>
      <c r="BD1941" s="1" t="s">
        <v>549</v>
      </c>
      <c r="BE1941" s="1">
        <v>71</v>
      </c>
      <c r="BF1941" s="1">
        <v>7.85</v>
      </c>
      <c r="BG1941" s="1"/>
      <c r="BH1941" s="1"/>
      <c r="BI1941" s="1"/>
      <c r="BJ1941" s="1"/>
      <c r="BK1941" s="1"/>
      <c r="BL1941" s="1"/>
      <c r="BM1941" s="1"/>
      <c r="BN1941" s="1"/>
      <c r="BO1941" s="1" t="s">
        <v>25798</v>
      </c>
      <c r="BP1941" s="1"/>
      <c r="BQ1941" s="1"/>
      <c r="BR1941" s="1" t="s">
        <v>34089</v>
      </c>
      <c r="BS1941" s="1">
        <v>7</v>
      </c>
      <c r="BT1941" s="1"/>
      <c r="BU1941" s="1" t="str">
        <f>HYPERLINK("https://nconnect.nicmar.ac.in/storage/profile/ProfilePhoto_p2270550_192864.jpg","Download")</f>
        <v>0</v>
      </c>
      <c r="BV1941" s="3"/>
      <c r="BW1941" s="3"/>
    </row>
    <row r="1942" spans="1:75">
      <c r="A1942" s="1" t="s">
        <v>75</v>
      </c>
      <c r="B1942" s="1" t="s">
        <v>25236</v>
      </c>
      <c r="C1942" s="1" t="s">
        <v>34090</v>
      </c>
      <c r="D1942" s="1" t="s">
        <v>34091</v>
      </c>
      <c r="E1942" s="1" t="s">
        <v>7272</v>
      </c>
      <c r="F1942" s="1" t="s">
        <v>34092</v>
      </c>
      <c r="G1942" s="1" t="s">
        <v>34093</v>
      </c>
      <c r="H1942" s="1" t="s">
        <v>34094</v>
      </c>
      <c r="I1942" s="1" t="s">
        <v>34095</v>
      </c>
      <c r="J1942" s="1">
        <v>8605586648</v>
      </c>
      <c r="K1942" s="1" t="s">
        <v>84</v>
      </c>
      <c r="L1942" s="1" t="s">
        <v>34096</v>
      </c>
      <c r="M1942" s="1" t="s">
        <v>86</v>
      </c>
      <c r="N1942" s="1" t="s">
        <v>4972</v>
      </c>
      <c r="O1942" s="1" t="s">
        <v>34097</v>
      </c>
      <c r="P1942" s="1" t="s">
        <v>507</v>
      </c>
      <c r="Q1942" s="1" t="s">
        <v>34098</v>
      </c>
      <c r="R1942" s="1" t="s">
        <v>34099</v>
      </c>
      <c r="S1942" s="1">
        <v>9834327576</v>
      </c>
      <c r="T1942" s="1" t="s">
        <v>926</v>
      </c>
      <c r="U1942" s="1" t="s">
        <v>34100</v>
      </c>
      <c r="V1942" s="1">
        <v>8668987708</v>
      </c>
      <c r="W1942" s="1" t="s">
        <v>161</v>
      </c>
      <c r="X1942" s="1" t="s">
        <v>34101</v>
      </c>
      <c r="Y1942" s="1" t="s">
        <v>5030</v>
      </c>
      <c r="Z1942" s="1" t="s">
        <v>97</v>
      </c>
      <c r="AA1942" s="1" t="s">
        <v>34102</v>
      </c>
      <c r="AB1942" s="1" t="s">
        <v>196</v>
      </c>
      <c r="AC1942" s="1" t="s">
        <v>97</v>
      </c>
      <c r="AD1942" s="1" t="s">
        <v>98</v>
      </c>
      <c r="AE1942" s="1" t="s">
        <v>98</v>
      </c>
      <c r="AF1942" s="1" t="s">
        <v>34103</v>
      </c>
      <c r="AG1942" s="1" t="s">
        <v>34104</v>
      </c>
      <c r="AH1942" s="1" t="s">
        <v>2783</v>
      </c>
      <c r="AI1942" s="1" t="s">
        <v>102</v>
      </c>
      <c r="AJ1942" s="1">
        <v>80.83</v>
      </c>
      <c r="AK1942" s="1"/>
      <c r="AL1942" s="1" t="s">
        <v>34105</v>
      </c>
      <c r="AM1942" s="1" t="s">
        <v>34106</v>
      </c>
      <c r="AN1942" s="1"/>
      <c r="AO1942" s="1" t="s">
        <v>342</v>
      </c>
      <c r="AP1942" s="1" t="s">
        <v>200</v>
      </c>
      <c r="AQ1942" s="1">
        <v>71.69</v>
      </c>
      <c r="AR1942" s="1"/>
      <c r="AS1942" s="1"/>
      <c r="AT1942" s="1"/>
      <c r="AU1942" s="1"/>
      <c r="AV1942" s="1"/>
      <c r="AW1942" s="1"/>
      <c r="AX1942" s="1"/>
      <c r="AY1942" s="1" t="s">
        <v>34107</v>
      </c>
      <c r="AZ1942" s="1" t="s">
        <v>34108</v>
      </c>
      <c r="BA1942" s="1"/>
      <c r="BB1942" s="1"/>
      <c r="BC1942" s="1" t="s">
        <v>5535</v>
      </c>
      <c r="BD1942" s="1" t="s">
        <v>289</v>
      </c>
      <c r="BE1942" s="1">
        <v>85.46</v>
      </c>
      <c r="BF1942" s="1"/>
      <c r="BG1942" s="1"/>
      <c r="BH1942" s="1"/>
      <c r="BI1942" s="1"/>
      <c r="BJ1942" s="1"/>
      <c r="BK1942" s="1"/>
      <c r="BL1942" s="1"/>
      <c r="BM1942" s="1"/>
      <c r="BN1942" s="1"/>
      <c r="BO1942" s="1" t="s">
        <v>34109</v>
      </c>
      <c r="BP1942" s="1"/>
      <c r="BQ1942" s="1"/>
      <c r="BR1942" s="1" t="s">
        <v>34110</v>
      </c>
      <c r="BS1942" s="1">
        <v>44</v>
      </c>
      <c r="BT1942" s="1"/>
      <c r="BU1942" s="1" t="str">
        <f>HYPERLINK("https://nconnect.nicmar.ac.in/storage/profile/ProfilePhoto_p2270551_671592.jpg","Download")</f>
        <v>0</v>
      </c>
      <c r="BV1942" s="3"/>
      <c r="BW1942" s="3"/>
    </row>
    <row r="1943" spans="1:75">
      <c r="A1943" s="1" t="s">
        <v>75</v>
      </c>
      <c r="B1943" s="1" t="s">
        <v>25236</v>
      </c>
      <c r="C1943" s="1" t="s">
        <v>34111</v>
      </c>
      <c r="D1943" s="1" t="s">
        <v>1525</v>
      </c>
      <c r="E1943" s="1" t="s">
        <v>34112</v>
      </c>
      <c r="F1943" s="1" t="s">
        <v>1179</v>
      </c>
      <c r="G1943" s="1" t="s">
        <v>34113</v>
      </c>
      <c r="H1943" s="1" t="s">
        <v>34114</v>
      </c>
      <c r="I1943" s="1" t="s">
        <v>34115</v>
      </c>
      <c r="J1943" s="1">
        <v>9096703900</v>
      </c>
      <c r="K1943" s="1" t="s">
        <v>84</v>
      </c>
      <c r="L1943" s="1" t="s">
        <v>34116</v>
      </c>
      <c r="M1943" s="1" t="s">
        <v>86</v>
      </c>
      <c r="N1943" s="1" t="s">
        <v>768</v>
      </c>
      <c r="O1943" s="1" t="s">
        <v>34117</v>
      </c>
      <c r="P1943" s="1" t="s">
        <v>507</v>
      </c>
      <c r="Q1943" s="1" t="s">
        <v>34118</v>
      </c>
      <c r="R1943" s="1" t="s">
        <v>34112</v>
      </c>
      <c r="S1943" s="1">
        <v>9029222354</v>
      </c>
      <c r="T1943" s="1" t="s">
        <v>159</v>
      </c>
      <c r="U1943" s="1" t="s">
        <v>306</v>
      </c>
      <c r="V1943" s="1">
        <v>8956375900</v>
      </c>
      <c r="W1943" s="1" t="s">
        <v>161</v>
      </c>
      <c r="X1943" s="1" t="s">
        <v>34119</v>
      </c>
      <c r="Y1943" s="1" t="s">
        <v>1033</v>
      </c>
      <c r="Z1943" s="1" t="s">
        <v>97</v>
      </c>
      <c r="AA1943" s="1" t="s">
        <v>34119</v>
      </c>
      <c r="AB1943" s="1" t="s">
        <v>1033</v>
      </c>
      <c r="AC1943" s="1" t="s">
        <v>97</v>
      </c>
      <c r="AD1943" s="1" t="s">
        <v>98</v>
      </c>
      <c r="AE1943" s="1" t="s">
        <v>98</v>
      </c>
      <c r="AF1943" s="1" t="s">
        <v>34120</v>
      </c>
      <c r="AG1943" s="1" t="s">
        <v>629</v>
      </c>
      <c r="AH1943" s="1" t="s">
        <v>133</v>
      </c>
      <c r="AI1943" s="1" t="s">
        <v>1457</v>
      </c>
      <c r="AJ1943" s="1">
        <v>90.2</v>
      </c>
      <c r="AK1943" s="1"/>
      <c r="AL1943" s="1"/>
      <c r="AM1943" s="1"/>
      <c r="AN1943" s="1"/>
      <c r="AO1943" s="1"/>
      <c r="AP1943" s="1"/>
      <c r="AQ1943" s="1"/>
      <c r="AR1943" s="1"/>
      <c r="AS1943" s="1" t="s">
        <v>439</v>
      </c>
      <c r="AT1943" s="1" t="s">
        <v>9455</v>
      </c>
      <c r="AU1943" s="1" t="s">
        <v>804</v>
      </c>
      <c r="AV1943" s="1" t="s">
        <v>167</v>
      </c>
      <c r="AW1943" s="1">
        <v>72.48</v>
      </c>
      <c r="AX1943" s="1"/>
      <c r="AY1943" s="1" t="s">
        <v>34121</v>
      </c>
      <c r="AZ1943" s="1" t="s">
        <v>34122</v>
      </c>
      <c r="BA1943" s="1"/>
      <c r="BB1943" s="1"/>
      <c r="BC1943" s="1" t="s">
        <v>14379</v>
      </c>
      <c r="BD1943" s="1" t="s">
        <v>313</v>
      </c>
      <c r="BE1943" s="1">
        <v>58.7</v>
      </c>
      <c r="BF1943" s="1">
        <v>6.49</v>
      </c>
      <c r="BG1943" s="1"/>
      <c r="BH1943" s="1"/>
      <c r="BI1943" s="1"/>
      <c r="BJ1943" s="1"/>
      <c r="BK1943" s="1"/>
      <c r="BL1943" s="1"/>
      <c r="BM1943" s="1"/>
      <c r="BN1943" s="1"/>
      <c r="BO1943" s="1" t="s">
        <v>29954</v>
      </c>
      <c r="BP1943" s="1"/>
      <c r="BQ1943" s="1"/>
      <c r="BR1943" s="1" t="s">
        <v>34123</v>
      </c>
      <c r="BS1943" s="1">
        <v>7</v>
      </c>
      <c r="BT1943" s="1"/>
      <c r="BU1943" s="1" t="str">
        <f>HYPERLINK("https://nconnect.nicmar.ac.in/storage/profile/ProfilePhoto_p2270552_568237.jpg","Download")</f>
        <v>0</v>
      </c>
      <c r="BV1943" s="3"/>
      <c r="BW1943" s="3"/>
    </row>
    <row r="1944" spans="1:75">
      <c r="A1944" s="1" t="s">
        <v>75</v>
      </c>
      <c r="B1944" s="1" t="s">
        <v>25236</v>
      </c>
      <c r="C1944" s="1" t="s">
        <v>34124</v>
      </c>
      <c r="D1944" s="1" t="s">
        <v>26108</v>
      </c>
      <c r="E1944" s="1"/>
      <c r="F1944" s="1" t="s">
        <v>32073</v>
      </c>
      <c r="G1944" s="1" t="s">
        <v>34125</v>
      </c>
      <c r="H1944" s="1" t="s">
        <v>34126</v>
      </c>
      <c r="I1944" s="1" t="s">
        <v>34127</v>
      </c>
      <c r="J1944" s="1">
        <v>7045863510</v>
      </c>
      <c r="K1944" s="1" t="s">
        <v>153</v>
      </c>
      <c r="L1944" s="1" t="s">
        <v>33247</v>
      </c>
      <c r="M1944" s="1" t="s">
        <v>86</v>
      </c>
      <c r="N1944" s="1" t="s">
        <v>1101</v>
      </c>
      <c r="O1944" s="1"/>
      <c r="P1944" s="1" t="s">
        <v>507</v>
      </c>
      <c r="Q1944" s="1" t="s">
        <v>34128</v>
      </c>
      <c r="R1944" s="1" t="s">
        <v>34129</v>
      </c>
      <c r="S1944" s="1">
        <v>9413356661</v>
      </c>
      <c r="T1944" s="1" t="s">
        <v>926</v>
      </c>
      <c r="U1944" s="1" t="s">
        <v>34130</v>
      </c>
      <c r="V1944" s="1">
        <v>7014365003</v>
      </c>
      <c r="W1944" s="1" t="s">
        <v>161</v>
      </c>
      <c r="X1944" s="1" t="s">
        <v>34131</v>
      </c>
      <c r="Y1944" s="1" t="s">
        <v>2974</v>
      </c>
      <c r="Z1944" s="1" t="s">
        <v>2153</v>
      </c>
      <c r="AA1944" s="1" t="s">
        <v>34131</v>
      </c>
      <c r="AB1944" s="1" t="s">
        <v>2974</v>
      </c>
      <c r="AC1944" s="1" t="s">
        <v>2153</v>
      </c>
      <c r="AD1944" s="1" t="s">
        <v>98</v>
      </c>
      <c r="AE1944" s="1" t="s">
        <v>98</v>
      </c>
      <c r="AF1944" s="1" t="s">
        <v>34132</v>
      </c>
      <c r="AG1944" s="1" t="s">
        <v>34133</v>
      </c>
      <c r="AH1944" s="1" t="s">
        <v>1213</v>
      </c>
      <c r="AI1944" s="1" t="s">
        <v>1262</v>
      </c>
      <c r="AJ1944" s="1">
        <v>91.2</v>
      </c>
      <c r="AK1944" s="1">
        <v>9.6</v>
      </c>
      <c r="AL1944" s="1" t="s">
        <v>34132</v>
      </c>
      <c r="AM1944" s="1" t="s">
        <v>34133</v>
      </c>
      <c r="AN1944" s="1"/>
      <c r="AO1944" s="1" t="s">
        <v>166</v>
      </c>
      <c r="AP1944" s="1" t="s">
        <v>627</v>
      </c>
      <c r="AQ1944" s="1">
        <v>85</v>
      </c>
      <c r="AR1944" s="1"/>
      <c r="AS1944" s="1"/>
      <c r="AT1944" s="1"/>
      <c r="AU1944" s="1"/>
      <c r="AV1944" s="1"/>
      <c r="AW1944" s="1"/>
      <c r="AX1944" s="1"/>
      <c r="AY1944" s="1" t="s">
        <v>258</v>
      </c>
      <c r="AZ1944" s="1" t="s">
        <v>34134</v>
      </c>
      <c r="BA1944" s="1"/>
      <c r="BB1944" s="1"/>
      <c r="BC1944" s="1" t="s">
        <v>1396</v>
      </c>
      <c r="BD1944" s="1" t="s">
        <v>847</v>
      </c>
      <c r="BE1944" s="1">
        <v>61.06</v>
      </c>
      <c r="BF1944" s="1"/>
      <c r="BG1944" s="1"/>
      <c r="BH1944" s="1"/>
      <c r="BI1944" s="1"/>
      <c r="BJ1944" s="1"/>
      <c r="BK1944" s="1"/>
      <c r="BL1944" s="1"/>
      <c r="BM1944" s="1"/>
      <c r="BN1944" s="1"/>
      <c r="BO1944" s="1" t="s">
        <v>34135</v>
      </c>
      <c r="BP1944" s="1" t="s">
        <v>34136</v>
      </c>
      <c r="BQ1944" s="1" t="s">
        <v>9405</v>
      </c>
      <c r="BR1944" s="1" t="s">
        <v>34137</v>
      </c>
      <c r="BS1944" s="1">
        <v>30</v>
      </c>
      <c r="BT1944" s="1"/>
      <c r="BU1944" s="1" t="str">
        <f>HYPERLINK("https://nconnect.nicmar.ac.in/storage/profile/ProfilePhoto_p2270553_426971.jpg","Download")</f>
        <v>0</v>
      </c>
      <c r="BV1944" s="3"/>
      <c r="BW1944" s="3"/>
    </row>
    <row r="1945" spans="1:75">
      <c r="A1945" s="1" t="s">
        <v>75</v>
      </c>
      <c r="B1945" s="1" t="s">
        <v>25236</v>
      </c>
      <c r="C1945" s="1" t="s">
        <v>34138</v>
      </c>
      <c r="D1945" s="1" t="s">
        <v>34139</v>
      </c>
      <c r="E1945" s="1" t="s">
        <v>34140</v>
      </c>
      <c r="F1945" s="1" t="s">
        <v>34141</v>
      </c>
      <c r="G1945" s="1" t="s">
        <v>34142</v>
      </c>
      <c r="H1945" s="1" t="s">
        <v>34143</v>
      </c>
      <c r="I1945" s="1" t="s">
        <v>34144</v>
      </c>
      <c r="J1945" s="1">
        <v>7020133739</v>
      </c>
      <c r="K1945" s="1" t="s">
        <v>84</v>
      </c>
      <c r="L1945" s="1" t="s">
        <v>21112</v>
      </c>
      <c r="M1945" s="1" t="s">
        <v>86</v>
      </c>
      <c r="N1945" s="1" t="s">
        <v>12204</v>
      </c>
      <c r="O1945" s="1" t="s">
        <v>34145</v>
      </c>
      <c r="P1945" s="1" t="s">
        <v>507</v>
      </c>
      <c r="Q1945" s="1" t="s">
        <v>34146</v>
      </c>
      <c r="R1945" s="1" t="s">
        <v>34141</v>
      </c>
      <c r="S1945" s="1">
        <v>9423292433</v>
      </c>
      <c r="T1945" s="1" t="s">
        <v>3788</v>
      </c>
      <c r="U1945" s="1" t="s">
        <v>34147</v>
      </c>
      <c r="V1945" s="1">
        <v>9420612482</v>
      </c>
      <c r="W1945" s="1" t="s">
        <v>161</v>
      </c>
      <c r="X1945" s="1" t="s">
        <v>34148</v>
      </c>
      <c r="Y1945" s="1" t="s">
        <v>3538</v>
      </c>
      <c r="Z1945" s="1" t="s">
        <v>97</v>
      </c>
      <c r="AA1945" s="1" t="s">
        <v>34148</v>
      </c>
      <c r="AB1945" s="1" t="s">
        <v>3538</v>
      </c>
      <c r="AC1945" s="1" t="s">
        <v>97</v>
      </c>
      <c r="AD1945" s="1" t="s">
        <v>98</v>
      </c>
      <c r="AE1945" s="1" t="s">
        <v>98</v>
      </c>
      <c r="AF1945" s="1" t="s">
        <v>34149</v>
      </c>
      <c r="AG1945" s="1" t="s">
        <v>165</v>
      </c>
      <c r="AH1945" s="1" t="s">
        <v>133</v>
      </c>
      <c r="AI1945" s="1" t="s">
        <v>1213</v>
      </c>
      <c r="AJ1945" s="1">
        <v>92.55</v>
      </c>
      <c r="AK1945" s="1"/>
      <c r="AL1945" s="1"/>
      <c r="AM1945" s="1"/>
      <c r="AN1945" s="1"/>
      <c r="AO1945" s="1"/>
      <c r="AP1945" s="1"/>
      <c r="AQ1945" s="1"/>
      <c r="AR1945" s="1"/>
      <c r="AS1945" s="1" t="s">
        <v>439</v>
      </c>
      <c r="AT1945" s="1" t="s">
        <v>34150</v>
      </c>
      <c r="AU1945" s="1" t="s">
        <v>804</v>
      </c>
      <c r="AV1945" s="1" t="s">
        <v>167</v>
      </c>
      <c r="AW1945" s="1">
        <v>82.24</v>
      </c>
      <c r="AX1945" s="1"/>
      <c r="AY1945" s="1" t="s">
        <v>258</v>
      </c>
      <c r="AZ1945" s="1" t="s">
        <v>34151</v>
      </c>
      <c r="BA1945" s="1"/>
      <c r="BB1945" s="1"/>
      <c r="BC1945" s="1" t="s">
        <v>139</v>
      </c>
      <c r="BD1945" s="1" t="s">
        <v>315</v>
      </c>
      <c r="BE1945" s="1">
        <v>60.56</v>
      </c>
      <c r="BF1945" s="1">
        <v>6.84</v>
      </c>
      <c r="BG1945" s="1"/>
      <c r="BH1945" s="1"/>
      <c r="BI1945" s="1"/>
      <c r="BJ1945" s="1"/>
      <c r="BK1945" s="1"/>
      <c r="BL1945" s="1"/>
      <c r="BM1945" s="1"/>
      <c r="BN1945" s="1"/>
      <c r="BO1945" s="1" t="s">
        <v>34152</v>
      </c>
      <c r="BP1945" s="1" t="s">
        <v>34153</v>
      </c>
      <c r="BQ1945" s="1" t="s">
        <v>345</v>
      </c>
      <c r="BR1945" s="1" t="s">
        <v>34154</v>
      </c>
      <c r="BS1945" s="1">
        <v>7</v>
      </c>
      <c r="BT1945" s="1"/>
      <c r="BU1945" s="1" t="str">
        <f>HYPERLINK("https://nconnect.nicmar.ac.in/storage/profile/ProfilePhoto_p2270554_674295.jpg","Download")</f>
        <v>0</v>
      </c>
      <c r="BV1945" s="3"/>
      <c r="BW1945" s="3"/>
    </row>
    <row r="1946" spans="1:75">
      <c r="A1946" s="1" t="s">
        <v>75</v>
      </c>
      <c r="B1946" s="1" t="s">
        <v>25236</v>
      </c>
      <c r="C1946" s="1" t="s">
        <v>34155</v>
      </c>
      <c r="D1946" s="1" t="s">
        <v>13124</v>
      </c>
      <c r="E1946" s="1" t="s">
        <v>34156</v>
      </c>
      <c r="F1946" s="1" t="s">
        <v>34157</v>
      </c>
      <c r="G1946" s="1" t="s">
        <v>34158</v>
      </c>
      <c r="H1946" s="1" t="s">
        <v>34159</v>
      </c>
      <c r="I1946" s="1" t="s">
        <v>34160</v>
      </c>
      <c r="J1946" s="1">
        <v>9403613016</v>
      </c>
      <c r="K1946" s="1" t="s">
        <v>84</v>
      </c>
      <c r="L1946" s="1" t="s">
        <v>34161</v>
      </c>
      <c r="M1946" s="1" t="s">
        <v>86</v>
      </c>
      <c r="N1946" s="1" t="s">
        <v>2298</v>
      </c>
      <c r="O1946" s="1" t="s">
        <v>34162</v>
      </c>
      <c r="P1946" s="1" t="s">
        <v>1028</v>
      </c>
      <c r="Q1946" s="1" t="s">
        <v>34163</v>
      </c>
      <c r="R1946" s="1" t="s">
        <v>34164</v>
      </c>
      <c r="S1946" s="1">
        <v>9421721881</v>
      </c>
      <c r="T1946" s="1" t="s">
        <v>34165</v>
      </c>
      <c r="U1946" s="1" t="s">
        <v>34166</v>
      </c>
      <c r="V1946" s="1">
        <v>7020037859</v>
      </c>
      <c r="W1946" s="1" t="s">
        <v>278</v>
      </c>
      <c r="X1946" s="1" t="s">
        <v>34167</v>
      </c>
      <c r="Y1946" s="1" t="s">
        <v>5083</v>
      </c>
      <c r="Z1946" s="1" t="s">
        <v>97</v>
      </c>
      <c r="AA1946" s="1" t="s">
        <v>34167</v>
      </c>
      <c r="AB1946" s="1" t="s">
        <v>5083</v>
      </c>
      <c r="AC1946" s="1" t="s">
        <v>97</v>
      </c>
      <c r="AD1946" s="1" t="s">
        <v>98</v>
      </c>
      <c r="AE1946" s="1" t="s">
        <v>98</v>
      </c>
      <c r="AF1946" s="1" t="s">
        <v>34168</v>
      </c>
      <c r="AG1946" s="1" t="s">
        <v>34169</v>
      </c>
      <c r="AH1946" s="1" t="s">
        <v>166</v>
      </c>
      <c r="AI1946" s="1" t="s">
        <v>1111</v>
      </c>
      <c r="AJ1946" s="1">
        <v>65.4</v>
      </c>
      <c r="AK1946" s="1"/>
      <c r="AL1946" s="1"/>
      <c r="AM1946" s="1"/>
      <c r="AN1946" s="1"/>
      <c r="AO1946" s="1"/>
      <c r="AP1946" s="1"/>
      <c r="AQ1946" s="1"/>
      <c r="AR1946" s="1"/>
      <c r="AS1946" s="1" t="s">
        <v>103</v>
      </c>
      <c r="AT1946" s="1" t="s">
        <v>34170</v>
      </c>
      <c r="AU1946" s="1" t="s">
        <v>284</v>
      </c>
      <c r="AV1946" s="1" t="s">
        <v>313</v>
      </c>
      <c r="AW1946" s="1">
        <v>66.73</v>
      </c>
      <c r="AX1946" s="1"/>
      <c r="AY1946" s="1" t="s">
        <v>340</v>
      </c>
      <c r="AZ1946" s="1" t="s">
        <v>34171</v>
      </c>
      <c r="BA1946" s="1"/>
      <c r="BB1946" s="1"/>
      <c r="BC1946" s="1" t="s">
        <v>206</v>
      </c>
      <c r="BD1946" s="1" t="s">
        <v>1400</v>
      </c>
      <c r="BE1946" s="1">
        <v>77.77</v>
      </c>
      <c r="BF1946" s="1"/>
      <c r="BG1946" s="1"/>
      <c r="BH1946" s="1"/>
      <c r="BI1946" s="1"/>
      <c r="BJ1946" s="1"/>
      <c r="BK1946" s="1"/>
      <c r="BL1946" s="1"/>
      <c r="BM1946" s="1"/>
      <c r="BN1946" s="1"/>
      <c r="BO1946" s="1" t="s">
        <v>1114</v>
      </c>
      <c r="BP1946" s="1"/>
      <c r="BQ1946" s="1"/>
      <c r="BR1946" s="1" t="s">
        <v>34172</v>
      </c>
      <c r="BS1946" s="1">
        <v>7</v>
      </c>
      <c r="BT1946" s="1"/>
      <c r="BU1946" s="1" t="str">
        <f>HYPERLINK("https://nconnect.nicmar.ac.in/storage/profile/ProfilePhoto_p2270555_765428.jpg","Download")</f>
        <v>0</v>
      </c>
      <c r="BV1946" s="3"/>
      <c r="BW1946" s="3"/>
    </row>
    <row r="1947" spans="1:75">
      <c r="A1947" s="1" t="s">
        <v>75</v>
      </c>
      <c r="B1947" s="1" t="s">
        <v>25236</v>
      </c>
      <c r="C1947" s="1" t="s">
        <v>34173</v>
      </c>
      <c r="D1947" s="1" t="s">
        <v>876</v>
      </c>
      <c r="E1947" s="1" t="s">
        <v>34174</v>
      </c>
      <c r="F1947" s="1" t="s">
        <v>5171</v>
      </c>
      <c r="G1947" s="1" t="s">
        <v>34175</v>
      </c>
      <c r="H1947" s="1" t="s">
        <v>34176</v>
      </c>
      <c r="I1947" s="1" t="s">
        <v>34177</v>
      </c>
      <c r="J1947" s="1">
        <v>9373526010</v>
      </c>
      <c r="K1947" s="1" t="s">
        <v>84</v>
      </c>
      <c r="L1947" s="1" t="s">
        <v>6763</v>
      </c>
      <c r="M1947" s="1" t="s">
        <v>86</v>
      </c>
      <c r="N1947" s="1" t="s">
        <v>1163</v>
      </c>
      <c r="O1947" s="1" t="s">
        <v>34178</v>
      </c>
      <c r="P1947" s="1" t="s">
        <v>481</v>
      </c>
      <c r="Q1947" s="1" t="s">
        <v>34179</v>
      </c>
      <c r="R1947" s="1" t="s">
        <v>34180</v>
      </c>
      <c r="S1947" s="1">
        <v>9422373710</v>
      </c>
      <c r="T1947" s="1" t="s">
        <v>4654</v>
      </c>
      <c r="U1947" s="1" t="s">
        <v>34181</v>
      </c>
      <c r="V1947" s="1">
        <v>9421968940</v>
      </c>
      <c r="W1947" s="1" t="s">
        <v>17617</v>
      </c>
      <c r="X1947" s="1" t="s">
        <v>34182</v>
      </c>
      <c r="Y1947" s="1" t="s">
        <v>6128</v>
      </c>
      <c r="Z1947" s="1" t="s">
        <v>97</v>
      </c>
      <c r="AA1947" s="1" t="s">
        <v>34183</v>
      </c>
      <c r="AB1947" s="1" t="s">
        <v>196</v>
      </c>
      <c r="AC1947" s="1" t="s">
        <v>97</v>
      </c>
      <c r="AD1947" s="1" t="s">
        <v>98</v>
      </c>
      <c r="AE1947" s="1" t="s">
        <v>98</v>
      </c>
      <c r="AF1947" s="1" t="s">
        <v>34184</v>
      </c>
      <c r="AG1947" s="1" t="s">
        <v>165</v>
      </c>
      <c r="AH1947" s="1" t="s">
        <v>1214</v>
      </c>
      <c r="AI1947" s="1" t="s">
        <v>102</v>
      </c>
      <c r="AJ1947" s="1">
        <v>82</v>
      </c>
      <c r="AK1947" s="1">
        <v>8.6</v>
      </c>
      <c r="AL1947" s="1" t="s">
        <v>34185</v>
      </c>
      <c r="AM1947" s="1" t="s">
        <v>165</v>
      </c>
      <c r="AN1947" s="1"/>
      <c r="AO1947" s="1" t="s">
        <v>284</v>
      </c>
      <c r="AP1947" s="1" t="s">
        <v>518</v>
      </c>
      <c r="AQ1947" s="1">
        <v>56.31</v>
      </c>
      <c r="AR1947" s="1">
        <v>5.9</v>
      </c>
      <c r="AS1947" s="1" t="s">
        <v>103</v>
      </c>
      <c r="AT1947" s="1" t="s">
        <v>34186</v>
      </c>
      <c r="AU1947" s="1" t="s">
        <v>170</v>
      </c>
      <c r="AV1947" s="1" t="s">
        <v>438</v>
      </c>
      <c r="AW1947" s="1">
        <v>64</v>
      </c>
      <c r="AX1947" s="1">
        <v>6.5</v>
      </c>
      <c r="AY1947" s="1" t="s">
        <v>680</v>
      </c>
      <c r="AZ1947" s="1" t="s">
        <v>34186</v>
      </c>
      <c r="BA1947" s="1"/>
      <c r="BB1947" s="1"/>
      <c r="BC1947" s="1" t="s">
        <v>315</v>
      </c>
      <c r="BD1947" s="1" t="s">
        <v>110</v>
      </c>
      <c r="BE1947" s="1">
        <v>68.18</v>
      </c>
      <c r="BF1947" s="1">
        <v>7.6</v>
      </c>
      <c r="BG1947" s="1"/>
      <c r="BH1947" s="1"/>
      <c r="BI1947" s="1"/>
      <c r="BJ1947" s="1"/>
      <c r="BK1947" s="1"/>
      <c r="BL1947" s="1"/>
      <c r="BM1947" s="1"/>
      <c r="BN1947" s="1"/>
      <c r="BO1947" s="1" t="s">
        <v>28758</v>
      </c>
      <c r="BP1947" s="1"/>
      <c r="BQ1947" s="1"/>
      <c r="BR1947" s="1" t="s">
        <v>34187</v>
      </c>
      <c r="BS1947" s="1">
        <v>23</v>
      </c>
      <c r="BT1947" s="1"/>
      <c r="BU1947" s="1" t="str">
        <f>HYPERLINK("https://nconnect.nicmar.ac.in/storage/profile/ProfilePhoto_p2270556_184279.jpg","Download")</f>
        <v>0</v>
      </c>
      <c r="BV1947" s="3"/>
      <c r="BW1947" s="3"/>
    </row>
    <row r="1948" spans="1:75">
      <c r="A1948" s="1" t="s">
        <v>75</v>
      </c>
      <c r="B1948" s="1" t="s">
        <v>25236</v>
      </c>
      <c r="C1948" s="1" t="s">
        <v>34188</v>
      </c>
      <c r="D1948" s="1" t="s">
        <v>34189</v>
      </c>
      <c r="E1948" s="1" t="s">
        <v>1787</v>
      </c>
      <c r="F1948" s="1" t="s">
        <v>1769</v>
      </c>
      <c r="G1948" s="1" t="s">
        <v>34190</v>
      </c>
      <c r="H1948" s="1" t="s">
        <v>34191</v>
      </c>
      <c r="I1948" s="1" t="s">
        <v>34192</v>
      </c>
      <c r="J1948" s="1">
        <v>7507284077</v>
      </c>
      <c r="K1948" s="1" t="s">
        <v>84</v>
      </c>
      <c r="L1948" s="1" t="s">
        <v>34193</v>
      </c>
      <c r="M1948" s="1" t="s">
        <v>86</v>
      </c>
      <c r="N1948" s="1" t="s">
        <v>903</v>
      </c>
      <c r="O1948" s="1"/>
      <c r="P1948" s="1" t="s">
        <v>507</v>
      </c>
      <c r="Q1948" s="1" t="s">
        <v>34194</v>
      </c>
      <c r="R1948" s="1" t="s">
        <v>1769</v>
      </c>
      <c r="S1948" s="1">
        <v>7507284077</v>
      </c>
      <c r="T1948" s="1" t="s">
        <v>926</v>
      </c>
      <c r="U1948" s="1" t="s">
        <v>34195</v>
      </c>
      <c r="V1948" s="1">
        <v>7507284077</v>
      </c>
      <c r="W1948" s="1" t="s">
        <v>161</v>
      </c>
      <c r="X1948" s="1" t="s">
        <v>34196</v>
      </c>
      <c r="Y1948" s="1" t="s">
        <v>910</v>
      </c>
      <c r="Z1948" s="1" t="s">
        <v>97</v>
      </c>
      <c r="AA1948" s="1" t="s">
        <v>34196</v>
      </c>
      <c r="AB1948" s="1" t="s">
        <v>910</v>
      </c>
      <c r="AC1948" s="1" t="s">
        <v>97</v>
      </c>
      <c r="AD1948" s="1" t="s">
        <v>98</v>
      </c>
      <c r="AE1948" s="1" t="s">
        <v>98</v>
      </c>
      <c r="AF1948" s="1" t="s">
        <v>7553</v>
      </c>
      <c r="AG1948" s="1" t="s">
        <v>912</v>
      </c>
      <c r="AH1948" s="1" t="s">
        <v>1110</v>
      </c>
      <c r="AI1948" s="1" t="s">
        <v>167</v>
      </c>
      <c r="AJ1948" s="1">
        <v>89.3</v>
      </c>
      <c r="AK1948" s="1">
        <v>9.4</v>
      </c>
      <c r="AL1948" s="1" t="s">
        <v>34197</v>
      </c>
      <c r="AM1948" s="1" t="s">
        <v>912</v>
      </c>
      <c r="AN1948" s="1"/>
      <c r="AO1948" s="1" t="s">
        <v>388</v>
      </c>
      <c r="AP1948" s="1" t="s">
        <v>286</v>
      </c>
      <c r="AQ1948" s="1">
        <v>73.23</v>
      </c>
      <c r="AR1948" s="1"/>
      <c r="AS1948" s="1"/>
      <c r="AT1948" s="1"/>
      <c r="AU1948" s="1"/>
      <c r="AV1948" s="1"/>
      <c r="AW1948" s="1"/>
      <c r="AX1948" s="1"/>
      <c r="AY1948" s="1" t="s">
        <v>366</v>
      </c>
      <c r="AZ1948" s="1" t="s">
        <v>13345</v>
      </c>
      <c r="BA1948" s="1"/>
      <c r="BB1948" s="1"/>
      <c r="BC1948" s="1" t="s">
        <v>174</v>
      </c>
      <c r="BD1948" s="1" t="s">
        <v>1400</v>
      </c>
      <c r="BE1948" s="1">
        <v>77.52</v>
      </c>
      <c r="BF1948" s="1">
        <v>8.81</v>
      </c>
      <c r="BG1948" s="1"/>
      <c r="BH1948" s="1"/>
      <c r="BI1948" s="1"/>
      <c r="BJ1948" s="1"/>
      <c r="BK1948" s="1"/>
      <c r="BL1948" s="1"/>
      <c r="BM1948" s="1"/>
      <c r="BN1948" s="1"/>
      <c r="BO1948" s="1" t="s">
        <v>1114</v>
      </c>
      <c r="BP1948" s="1"/>
      <c r="BQ1948" s="1"/>
      <c r="BR1948" s="1" t="s">
        <v>34198</v>
      </c>
      <c r="BS1948" s="1">
        <v>7</v>
      </c>
      <c r="BT1948" s="1"/>
      <c r="BU1948" s="1" t="str">
        <f>HYPERLINK("https://nconnect.nicmar.ac.in/storage/profile/ProfilePhoto_p2270557_623749.jpg","Download")</f>
        <v>0</v>
      </c>
      <c r="BV1948" s="3"/>
      <c r="BW1948" s="3"/>
    </row>
    <row r="1949" spans="1:75">
      <c r="A1949" s="1" t="s">
        <v>75</v>
      </c>
      <c r="B1949" s="1" t="s">
        <v>25236</v>
      </c>
      <c r="C1949" s="1" t="s">
        <v>34199</v>
      </c>
      <c r="D1949" s="1" t="s">
        <v>34200</v>
      </c>
      <c r="E1949" s="1" t="s">
        <v>34201</v>
      </c>
      <c r="F1949" s="1" t="s">
        <v>34202</v>
      </c>
      <c r="G1949" s="1" t="s">
        <v>34203</v>
      </c>
      <c r="H1949" s="1" t="s">
        <v>34204</v>
      </c>
      <c r="I1949" s="1" t="s">
        <v>34205</v>
      </c>
      <c r="J1949" s="1">
        <v>6301343617</v>
      </c>
      <c r="K1949" s="1" t="s">
        <v>84</v>
      </c>
      <c r="L1949" s="1" t="s">
        <v>26783</v>
      </c>
      <c r="M1949" s="1" t="s">
        <v>86</v>
      </c>
      <c r="N1949" s="1" t="s">
        <v>22216</v>
      </c>
      <c r="O1949" s="1" t="s">
        <v>34206</v>
      </c>
      <c r="P1949" s="1" t="s">
        <v>455</v>
      </c>
      <c r="Q1949" s="1" t="s">
        <v>34207</v>
      </c>
      <c r="R1949" s="1" t="s">
        <v>34208</v>
      </c>
      <c r="S1949" s="1">
        <v>9390879293</v>
      </c>
      <c r="T1949" s="1" t="s">
        <v>4776</v>
      </c>
      <c r="U1949" s="1" t="s">
        <v>34209</v>
      </c>
      <c r="V1949" s="1">
        <v>8639119339</v>
      </c>
      <c r="W1949" s="1" t="s">
        <v>127</v>
      </c>
      <c r="X1949" s="1" t="s">
        <v>34210</v>
      </c>
      <c r="Y1949" s="1" t="s">
        <v>12907</v>
      </c>
      <c r="Z1949" s="1" t="s">
        <v>281</v>
      </c>
      <c r="AA1949" s="1" t="s">
        <v>34210</v>
      </c>
      <c r="AB1949" s="1" t="s">
        <v>12907</v>
      </c>
      <c r="AC1949" s="1" t="s">
        <v>281</v>
      </c>
      <c r="AD1949" s="1" t="s">
        <v>98</v>
      </c>
      <c r="AE1949" s="1" t="s">
        <v>98</v>
      </c>
      <c r="AF1949" s="1" t="s">
        <v>34211</v>
      </c>
      <c r="AG1949" s="1" t="s">
        <v>796</v>
      </c>
      <c r="AH1949" s="1" t="s">
        <v>1110</v>
      </c>
      <c r="AI1949" s="1" t="s">
        <v>627</v>
      </c>
      <c r="AJ1949" s="1">
        <v>83.6</v>
      </c>
      <c r="AK1949" s="1">
        <v>8.8</v>
      </c>
      <c r="AL1949" s="1" t="s">
        <v>34212</v>
      </c>
      <c r="AM1949" s="1" t="s">
        <v>796</v>
      </c>
      <c r="AN1949" s="1"/>
      <c r="AO1949" s="1" t="s">
        <v>170</v>
      </c>
      <c r="AP1949" s="1" t="s">
        <v>171</v>
      </c>
      <c r="AQ1949" s="1">
        <v>77.92</v>
      </c>
      <c r="AR1949" s="1">
        <v>0</v>
      </c>
      <c r="AS1949" s="1"/>
      <c r="AT1949" s="1"/>
      <c r="AU1949" s="1"/>
      <c r="AV1949" s="1"/>
      <c r="AW1949" s="1"/>
      <c r="AX1949" s="1"/>
      <c r="AY1949" s="1" t="s">
        <v>3094</v>
      </c>
      <c r="AZ1949" s="1" t="s">
        <v>18827</v>
      </c>
      <c r="BA1949" s="1"/>
      <c r="BB1949" s="1"/>
      <c r="BC1949" s="1" t="s">
        <v>1065</v>
      </c>
      <c r="BD1949" s="1" t="s">
        <v>1400</v>
      </c>
      <c r="BE1949" s="1">
        <v>61.2</v>
      </c>
      <c r="BF1949" s="1">
        <v>6.62</v>
      </c>
      <c r="BG1949" s="1"/>
      <c r="BH1949" s="1"/>
      <c r="BI1949" s="1"/>
      <c r="BJ1949" s="1"/>
      <c r="BK1949" s="1"/>
      <c r="BL1949" s="1"/>
      <c r="BM1949" s="1"/>
      <c r="BN1949" s="1"/>
      <c r="BO1949" s="1" t="s">
        <v>34213</v>
      </c>
      <c r="BP1949" s="1"/>
      <c r="BQ1949" s="1"/>
      <c r="BR1949" s="1" t="s">
        <v>34214</v>
      </c>
      <c r="BS1949" s="1">
        <v>25</v>
      </c>
      <c r="BT1949" s="1"/>
      <c r="BU1949" s="1" t="str">
        <f>HYPERLINK("https://nconnect.nicmar.ac.in/storage/profile/ProfilePhoto_p2270558_924375.jpg","Download")</f>
        <v>0</v>
      </c>
      <c r="BV1949" s="3"/>
      <c r="BW1949" s="3"/>
    </row>
    <row r="1950" spans="1:75">
      <c r="A1950" s="1" t="s">
        <v>75</v>
      </c>
      <c r="B1950" s="1" t="s">
        <v>25236</v>
      </c>
      <c r="C1950" s="1" t="s">
        <v>34215</v>
      </c>
      <c r="D1950" s="1" t="s">
        <v>25238</v>
      </c>
      <c r="E1950" s="1"/>
      <c r="F1950" s="1" t="s">
        <v>34216</v>
      </c>
      <c r="G1950" s="1" t="s">
        <v>34217</v>
      </c>
      <c r="H1950" s="1" t="s">
        <v>34218</v>
      </c>
      <c r="I1950" s="1" t="s">
        <v>34219</v>
      </c>
      <c r="J1950" s="1">
        <v>9544022381</v>
      </c>
      <c r="K1950" s="1" t="s">
        <v>84</v>
      </c>
      <c r="L1950" s="1" t="s">
        <v>34220</v>
      </c>
      <c r="M1950" s="1" t="s">
        <v>86</v>
      </c>
      <c r="N1950" s="1" t="s">
        <v>34221</v>
      </c>
      <c r="O1950" s="1" t="s">
        <v>34222</v>
      </c>
      <c r="P1950" s="1" t="s">
        <v>507</v>
      </c>
      <c r="Q1950" s="1" t="s">
        <v>34223</v>
      </c>
      <c r="R1950" s="1" t="s">
        <v>34224</v>
      </c>
      <c r="S1950" s="1">
        <v>9847322048</v>
      </c>
      <c r="T1950" s="1" t="s">
        <v>9700</v>
      </c>
      <c r="U1950" s="1" t="s">
        <v>34225</v>
      </c>
      <c r="V1950" s="1">
        <v>9447722048</v>
      </c>
      <c r="W1950" s="1" t="s">
        <v>94</v>
      </c>
      <c r="X1950" s="1" t="s">
        <v>34226</v>
      </c>
      <c r="Y1950" s="1" t="s">
        <v>701</v>
      </c>
      <c r="Z1950" s="1" t="s">
        <v>130</v>
      </c>
      <c r="AA1950" s="1" t="s">
        <v>34226</v>
      </c>
      <c r="AB1950" s="1" t="s">
        <v>701</v>
      </c>
      <c r="AC1950" s="1" t="s">
        <v>130</v>
      </c>
      <c r="AD1950" s="1" t="s">
        <v>98</v>
      </c>
      <c r="AE1950" s="1" t="s">
        <v>98</v>
      </c>
      <c r="AF1950" s="1" t="s">
        <v>34227</v>
      </c>
      <c r="AG1950" s="1" t="s">
        <v>34228</v>
      </c>
      <c r="AH1950" s="1" t="s">
        <v>133</v>
      </c>
      <c r="AI1950" s="1" t="s">
        <v>134</v>
      </c>
      <c r="AJ1950" s="1">
        <v>95</v>
      </c>
      <c r="AK1950" s="1">
        <v>10</v>
      </c>
      <c r="AL1950" s="1" t="s">
        <v>34229</v>
      </c>
      <c r="AM1950" s="1" t="s">
        <v>34228</v>
      </c>
      <c r="AN1950" s="1"/>
      <c r="AO1950" s="1" t="s">
        <v>101</v>
      </c>
      <c r="AP1950" s="1" t="s">
        <v>166</v>
      </c>
      <c r="AQ1950" s="1">
        <v>89.4</v>
      </c>
      <c r="AR1950" s="1">
        <v>0</v>
      </c>
      <c r="AS1950" s="1"/>
      <c r="AT1950" s="1"/>
      <c r="AU1950" s="1"/>
      <c r="AV1950" s="1"/>
      <c r="AW1950" s="1"/>
      <c r="AX1950" s="1"/>
      <c r="AY1950" s="1" t="s">
        <v>34230</v>
      </c>
      <c r="AZ1950" s="1" t="s">
        <v>34231</v>
      </c>
      <c r="BA1950" s="1"/>
      <c r="BB1950" s="1"/>
      <c r="BC1950" s="1" t="s">
        <v>105</v>
      </c>
      <c r="BD1950" s="1" t="s">
        <v>233</v>
      </c>
      <c r="BE1950" s="1">
        <v>66.9</v>
      </c>
      <c r="BF1950" s="1"/>
      <c r="BG1950" s="1"/>
      <c r="BH1950" s="1"/>
      <c r="BI1950" s="1"/>
      <c r="BJ1950" s="1"/>
      <c r="BK1950" s="1"/>
      <c r="BL1950" s="1"/>
      <c r="BM1950" s="1"/>
      <c r="BN1950" s="1"/>
      <c r="BO1950" s="1" t="s">
        <v>849</v>
      </c>
      <c r="BP1950" s="1" t="s">
        <v>34232</v>
      </c>
      <c r="BQ1950" s="1" t="s">
        <v>1043</v>
      </c>
      <c r="BR1950" s="1" t="s">
        <v>34233</v>
      </c>
      <c r="BS1950" s="1">
        <v>33</v>
      </c>
      <c r="BT1950" s="1"/>
      <c r="BU1950" s="1" t="str">
        <f>HYPERLINK("https://nconnect.nicmar.ac.in/storage/profile/ProfilePhoto_p2270559_163948.jpg","Download")</f>
        <v>0</v>
      </c>
      <c r="BV1950" s="3"/>
      <c r="BW1950" s="3"/>
    </row>
    <row r="1951" spans="1:75">
      <c r="A1951" s="1" t="s">
        <v>75</v>
      </c>
      <c r="B1951" s="1" t="s">
        <v>25236</v>
      </c>
      <c r="C1951" s="1" t="s">
        <v>34234</v>
      </c>
      <c r="D1951" s="1" t="s">
        <v>34235</v>
      </c>
      <c r="E1951" s="1" t="s">
        <v>9208</v>
      </c>
      <c r="F1951" s="1" t="s">
        <v>4037</v>
      </c>
      <c r="G1951" s="1" t="s">
        <v>34236</v>
      </c>
      <c r="H1951" s="1" t="s">
        <v>34237</v>
      </c>
      <c r="I1951" s="1" t="s">
        <v>34238</v>
      </c>
      <c r="J1951" s="1">
        <v>9390094414</v>
      </c>
      <c r="K1951" s="1" t="s">
        <v>153</v>
      </c>
      <c r="L1951" s="1" t="s">
        <v>34239</v>
      </c>
      <c r="M1951" s="1" t="s">
        <v>86</v>
      </c>
      <c r="N1951" s="1" t="s">
        <v>34240</v>
      </c>
      <c r="O1951" s="1" t="s">
        <v>34241</v>
      </c>
      <c r="P1951" s="1" t="s">
        <v>507</v>
      </c>
      <c r="Q1951" s="1" t="s">
        <v>34242</v>
      </c>
      <c r="R1951" s="1" t="s">
        <v>34243</v>
      </c>
      <c r="S1951" s="1">
        <v>9676052698</v>
      </c>
      <c r="T1951" s="1" t="s">
        <v>34244</v>
      </c>
      <c r="U1951" s="1" t="s">
        <v>34245</v>
      </c>
      <c r="V1951" s="1">
        <v>9441057154</v>
      </c>
      <c r="W1951" s="1" t="s">
        <v>278</v>
      </c>
      <c r="X1951" s="1" t="s">
        <v>34246</v>
      </c>
      <c r="Y1951" s="1" t="s">
        <v>1436</v>
      </c>
      <c r="Z1951" s="1" t="s">
        <v>281</v>
      </c>
      <c r="AA1951" s="1" t="s">
        <v>34247</v>
      </c>
      <c r="AB1951" s="1" t="s">
        <v>1454</v>
      </c>
      <c r="AC1951" s="1" t="s">
        <v>281</v>
      </c>
      <c r="AD1951" s="1" t="s">
        <v>98</v>
      </c>
      <c r="AE1951" s="1" t="s">
        <v>98</v>
      </c>
      <c r="AF1951" s="1" t="s">
        <v>6164</v>
      </c>
      <c r="AG1951" s="1" t="s">
        <v>34248</v>
      </c>
      <c r="AH1951" s="1" t="s">
        <v>342</v>
      </c>
      <c r="AI1951" s="1" t="s">
        <v>627</v>
      </c>
      <c r="AJ1951" s="1">
        <v>87</v>
      </c>
      <c r="AK1951" s="1">
        <v>8.7</v>
      </c>
      <c r="AL1951" s="1" t="s">
        <v>34249</v>
      </c>
      <c r="AM1951" s="1" t="s">
        <v>34248</v>
      </c>
      <c r="AN1951" s="1"/>
      <c r="AO1951" s="1" t="s">
        <v>139</v>
      </c>
      <c r="AP1951" s="1" t="s">
        <v>490</v>
      </c>
      <c r="AQ1951" s="1">
        <v>67.3</v>
      </c>
      <c r="AR1951" s="1">
        <v>6.73</v>
      </c>
      <c r="AS1951" s="1"/>
      <c r="AT1951" s="1"/>
      <c r="AU1951" s="1"/>
      <c r="AV1951" s="1"/>
      <c r="AW1951" s="1"/>
      <c r="AX1951" s="1"/>
      <c r="AY1951" s="1" t="s">
        <v>11536</v>
      </c>
      <c r="AZ1951" s="1" t="s">
        <v>34250</v>
      </c>
      <c r="BA1951" s="1"/>
      <c r="BB1951" s="1"/>
      <c r="BC1951" s="1" t="s">
        <v>106</v>
      </c>
      <c r="BD1951" s="1" t="s">
        <v>632</v>
      </c>
      <c r="BE1951" s="1">
        <v>56.2</v>
      </c>
      <c r="BF1951" s="1">
        <v>5.62</v>
      </c>
      <c r="BG1951" s="1"/>
      <c r="BH1951" s="1"/>
      <c r="BI1951" s="1"/>
      <c r="BJ1951" s="1"/>
      <c r="BK1951" s="1"/>
      <c r="BL1951" s="1"/>
      <c r="BM1951" s="1"/>
      <c r="BN1951" s="1"/>
      <c r="BO1951" s="1" t="s">
        <v>34251</v>
      </c>
      <c r="BP1951" s="1"/>
      <c r="BQ1951" s="1"/>
      <c r="BR1951" s="1" t="s">
        <v>34252</v>
      </c>
      <c r="BS1951" s="1">
        <v>9</v>
      </c>
      <c r="BT1951" s="1"/>
      <c r="BU1951" s="1" t="str">
        <f>HYPERLINK("https://nconnect.nicmar.ac.in/storage/profile/ProfilePhoto_p2270560_842569.jpg","Download")</f>
        <v>0</v>
      </c>
      <c r="BV1951" s="3"/>
      <c r="BW1951" s="3"/>
    </row>
    <row r="1952" spans="1:75">
      <c r="A1952" s="1" t="s">
        <v>75</v>
      </c>
      <c r="B1952" s="1" t="s">
        <v>25236</v>
      </c>
      <c r="C1952" s="1" t="s">
        <v>34253</v>
      </c>
      <c r="D1952" s="1" t="s">
        <v>1769</v>
      </c>
      <c r="E1952" s="1"/>
      <c r="F1952" s="1" t="s">
        <v>1096</v>
      </c>
      <c r="G1952" s="1" t="s">
        <v>34254</v>
      </c>
      <c r="H1952" s="1" t="s">
        <v>34255</v>
      </c>
      <c r="I1952" s="1" t="s">
        <v>34256</v>
      </c>
      <c r="J1952" s="1">
        <v>8789445442</v>
      </c>
      <c r="K1952" s="1" t="s">
        <v>84</v>
      </c>
      <c r="L1952" s="1" t="s">
        <v>5503</v>
      </c>
      <c r="M1952" s="1" t="s">
        <v>86</v>
      </c>
      <c r="N1952" s="1" t="s">
        <v>4278</v>
      </c>
      <c r="O1952" s="1" t="s">
        <v>34257</v>
      </c>
      <c r="P1952" s="1" t="s">
        <v>2062</v>
      </c>
      <c r="Q1952" s="1" t="s">
        <v>34258</v>
      </c>
      <c r="R1952" s="1" t="s">
        <v>34259</v>
      </c>
      <c r="S1952" s="1">
        <v>9431072096</v>
      </c>
      <c r="T1952" s="1" t="s">
        <v>34260</v>
      </c>
      <c r="U1952" s="1" t="s">
        <v>34261</v>
      </c>
      <c r="V1952" s="1">
        <v>9470638810</v>
      </c>
      <c r="W1952" s="1" t="s">
        <v>278</v>
      </c>
      <c r="X1952" s="1" t="s">
        <v>34262</v>
      </c>
      <c r="Y1952" s="1" t="s">
        <v>34263</v>
      </c>
      <c r="Z1952" s="1" t="s">
        <v>649</v>
      </c>
      <c r="AA1952" s="1" t="s">
        <v>34262</v>
      </c>
      <c r="AB1952" s="1" t="s">
        <v>34263</v>
      </c>
      <c r="AC1952" s="1" t="s">
        <v>649</v>
      </c>
      <c r="AD1952" s="1" t="s">
        <v>98</v>
      </c>
      <c r="AE1952" s="1" t="s">
        <v>98</v>
      </c>
      <c r="AF1952" s="1" t="s">
        <v>34264</v>
      </c>
      <c r="AG1952" s="1" t="s">
        <v>34022</v>
      </c>
      <c r="AH1952" s="1" t="s">
        <v>3965</v>
      </c>
      <c r="AI1952" s="1" t="s">
        <v>1457</v>
      </c>
      <c r="AJ1952" s="1">
        <v>79.8</v>
      </c>
      <c r="AK1952" s="1">
        <v>8.4</v>
      </c>
      <c r="AL1952" s="1" t="s">
        <v>34265</v>
      </c>
      <c r="AM1952" s="1" t="s">
        <v>34022</v>
      </c>
      <c r="AN1952" s="1"/>
      <c r="AO1952" s="1" t="s">
        <v>3421</v>
      </c>
      <c r="AP1952" s="1" t="s">
        <v>102</v>
      </c>
      <c r="AQ1952" s="1">
        <v>78.2</v>
      </c>
      <c r="AR1952" s="1"/>
      <c r="AS1952" s="1"/>
      <c r="AT1952" s="1"/>
      <c r="AU1952" s="1"/>
      <c r="AV1952" s="1"/>
      <c r="AW1952" s="1"/>
      <c r="AX1952" s="1"/>
      <c r="AY1952" s="1" t="s">
        <v>8605</v>
      </c>
      <c r="AZ1952" s="1" t="s">
        <v>34266</v>
      </c>
      <c r="BA1952" s="1"/>
      <c r="BB1952" s="1"/>
      <c r="BC1952" s="1" t="s">
        <v>1396</v>
      </c>
      <c r="BD1952" s="1" t="s">
        <v>847</v>
      </c>
      <c r="BE1952" s="1">
        <v>69.7</v>
      </c>
      <c r="BF1952" s="1">
        <v>6.97</v>
      </c>
      <c r="BG1952" s="1"/>
      <c r="BH1952" s="1"/>
      <c r="BI1952" s="1"/>
      <c r="BJ1952" s="1"/>
      <c r="BK1952" s="1"/>
      <c r="BL1952" s="1"/>
      <c r="BM1952" s="1"/>
      <c r="BN1952" s="1"/>
      <c r="BO1952" s="1" t="s">
        <v>1114</v>
      </c>
      <c r="BP1952" s="1"/>
      <c r="BQ1952" s="1"/>
      <c r="BR1952" s="1" t="s">
        <v>34267</v>
      </c>
      <c r="BS1952" s="1">
        <v>24</v>
      </c>
      <c r="BT1952" s="1"/>
      <c r="BU1952" s="1" t="str">
        <f>HYPERLINK("https://nconnect.nicmar.ac.in/storage/profile/ProfilePhoto_p2270561_931478.jpg","Download")</f>
        <v>0</v>
      </c>
      <c r="BV1952" s="3"/>
      <c r="BW1952" s="3"/>
    </row>
    <row r="1953" spans="1:75">
      <c r="A1953" s="1" t="s">
        <v>75</v>
      </c>
      <c r="B1953" s="1" t="s">
        <v>25236</v>
      </c>
      <c r="C1953" s="1" t="s">
        <v>34268</v>
      </c>
      <c r="D1953" s="1" t="s">
        <v>10399</v>
      </c>
      <c r="E1953" s="1"/>
      <c r="F1953" s="1" t="s">
        <v>2250</v>
      </c>
      <c r="G1953" s="1" t="s">
        <v>34269</v>
      </c>
      <c r="H1953" s="1" t="s">
        <v>34270</v>
      </c>
      <c r="I1953" s="1" t="s">
        <v>34271</v>
      </c>
      <c r="J1953" s="1">
        <v>9797598261</v>
      </c>
      <c r="K1953" s="1" t="s">
        <v>84</v>
      </c>
      <c r="L1953" s="1" t="s">
        <v>34272</v>
      </c>
      <c r="M1953" s="1" t="s">
        <v>155</v>
      </c>
      <c r="N1953" s="1" t="s">
        <v>34273</v>
      </c>
      <c r="O1953" s="1" t="s">
        <v>34274</v>
      </c>
      <c r="P1953" s="1" t="s">
        <v>507</v>
      </c>
      <c r="Q1953" s="1" t="s">
        <v>34275</v>
      </c>
      <c r="R1953" s="1" t="s">
        <v>34276</v>
      </c>
      <c r="S1953" s="1">
        <v>9419144383</v>
      </c>
      <c r="T1953" s="1" t="s">
        <v>1620</v>
      </c>
      <c r="U1953" s="1" t="s">
        <v>34277</v>
      </c>
      <c r="V1953" s="1">
        <v>9419146016</v>
      </c>
      <c r="W1953" s="1" t="s">
        <v>541</v>
      </c>
      <c r="X1953" s="1" t="s">
        <v>34278</v>
      </c>
      <c r="Y1953" s="1" t="s">
        <v>8895</v>
      </c>
      <c r="Z1953" s="1" t="s">
        <v>8896</v>
      </c>
      <c r="AA1953" s="1" t="s">
        <v>34279</v>
      </c>
      <c r="AB1953" s="1" t="s">
        <v>196</v>
      </c>
      <c r="AC1953" s="1" t="s">
        <v>97</v>
      </c>
      <c r="AD1953" s="1" t="s">
        <v>98</v>
      </c>
      <c r="AE1953" s="1" t="s">
        <v>98</v>
      </c>
      <c r="AF1953" s="1" t="s">
        <v>34280</v>
      </c>
      <c r="AG1953" s="1" t="s">
        <v>312</v>
      </c>
      <c r="AH1953" s="1" t="s">
        <v>34281</v>
      </c>
      <c r="AI1953" s="1" t="s">
        <v>33217</v>
      </c>
      <c r="AJ1953" s="1">
        <v>77.2</v>
      </c>
      <c r="AK1953" s="1"/>
      <c r="AL1953" s="1" t="s">
        <v>34282</v>
      </c>
      <c r="AM1953" s="1" t="s">
        <v>34283</v>
      </c>
      <c r="AN1953" s="1"/>
      <c r="AO1953" s="1" t="s">
        <v>34284</v>
      </c>
      <c r="AP1953" s="1" t="s">
        <v>34285</v>
      </c>
      <c r="AQ1953" s="1">
        <v>70.5</v>
      </c>
      <c r="AR1953" s="1"/>
      <c r="AS1953" s="1"/>
      <c r="AT1953" s="1"/>
      <c r="AU1953" s="1"/>
      <c r="AV1953" s="1"/>
      <c r="AW1953" s="1"/>
      <c r="AX1953" s="1"/>
      <c r="AY1953" s="1" t="s">
        <v>34286</v>
      </c>
      <c r="AZ1953" s="1" t="s">
        <v>34286</v>
      </c>
      <c r="BA1953" s="1"/>
      <c r="BB1953" s="1"/>
      <c r="BC1953" s="1" t="s">
        <v>34287</v>
      </c>
      <c r="BD1953" s="1" t="s">
        <v>3112</v>
      </c>
      <c r="BE1953" s="1">
        <v>84</v>
      </c>
      <c r="BF1953" s="1">
        <v>8.4</v>
      </c>
      <c r="BG1953" s="1"/>
      <c r="BH1953" s="1"/>
      <c r="BI1953" s="1"/>
      <c r="BJ1953" s="1"/>
      <c r="BK1953" s="1"/>
      <c r="BL1953" s="1"/>
      <c r="BM1953" s="1"/>
      <c r="BN1953" s="1"/>
      <c r="BO1953" s="1" t="s">
        <v>34288</v>
      </c>
      <c r="BP1953" s="1" t="s">
        <v>34289</v>
      </c>
      <c r="BQ1953" s="1" t="s">
        <v>34290</v>
      </c>
      <c r="BR1953" s="1" t="s">
        <v>34291</v>
      </c>
      <c r="BS1953" s="1">
        <v>7</v>
      </c>
      <c r="BT1953" s="1"/>
      <c r="BU1953" s="1" t="str">
        <f>HYPERLINK("https://nconnect.nicmar.ac.in/storage/profile/ProfilePhoto_p2270562_642875.jpg","Download")</f>
        <v>0</v>
      </c>
      <c r="BV1953" s="3"/>
      <c r="BW1953" s="3"/>
    </row>
    <row r="1954" spans="1:75">
      <c r="A1954" s="1" t="s">
        <v>75</v>
      </c>
      <c r="B1954" s="1" t="s">
        <v>25236</v>
      </c>
      <c r="C1954" s="1" t="s">
        <v>34292</v>
      </c>
      <c r="D1954" s="1" t="s">
        <v>34293</v>
      </c>
      <c r="E1954" s="1"/>
      <c r="F1954" s="1" t="s">
        <v>1487</v>
      </c>
      <c r="G1954" s="1" t="s">
        <v>34294</v>
      </c>
      <c r="H1954" s="1" t="s">
        <v>34295</v>
      </c>
      <c r="I1954" s="1" t="s">
        <v>34296</v>
      </c>
      <c r="J1954" s="1">
        <v>9788836587</v>
      </c>
      <c r="K1954" s="1" t="s">
        <v>153</v>
      </c>
      <c r="L1954" s="1" t="s">
        <v>28521</v>
      </c>
      <c r="M1954" s="1" t="s">
        <v>86</v>
      </c>
      <c r="N1954" s="1" t="s">
        <v>11611</v>
      </c>
      <c r="O1954" s="1" t="s">
        <v>34297</v>
      </c>
      <c r="P1954" s="1" t="s">
        <v>455</v>
      </c>
      <c r="Q1954" s="1" t="s">
        <v>34298</v>
      </c>
      <c r="R1954" s="1" t="s">
        <v>34299</v>
      </c>
      <c r="S1954" s="1">
        <v>9788836742</v>
      </c>
      <c r="T1954" s="1" t="s">
        <v>8023</v>
      </c>
      <c r="U1954" s="1" t="s">
        <v>34300</v>
      </c>
      <c r="V1954" s="1">
        <v>8668169801</v>
      </c>
      <c r="W1954" s="1" t="s">
        <v>541</v>
      </c>
      <c r="X1954" s="1" t="s">
        <v>34301</v>
      </c>
      <c r="Y1954" s="1" t="s">
        <v>8878</v>
      </c>
      <c r="Z1954" s="1" t="s">
        <v>570</v>
      </c>
      <c r="AA1954" s="1" t="s">
        <v>34301</v>
      </c>
      <c r="AB1954" s="1" t="s">
        <v>8878</v>
      </c>
      <c r="AC1954" s="1" t="s">
        <v>570</v>
      </c>
      <c r="AD1954" s="1" t="s">
        <v>98</v>
      </c>
      <c r="AE1954" s="1" t="s">
        <v>98</v>
      </c>
      <c r="AF1954" s="1" t="s">
        <v>34302</v>
      </c>
      <c r="AG1954" s="1" t="s">
        <v>34303</v>
      </c>
      <c r="AH1954" s="1" t="s">
        <v>101</v>
      </c>
      <c r="AI1954" s="1" t="s">
        <v>102</v>
      </c>
      <c r="AJ1954" s="1">
        <v>98.8</v>
      </c>
      <c r="AK1954" s="1">
        <v>0</v>
      </c>
      <c r="AL1954" s="1" t="s">
        <v>34304</v>
      </c>
      <c r="AM1954" s="1" t="s">
        <v>34303</v>
      </c>
      <c r="AN1954" s="1"/>
      <c r="AO1954" s="1" t="s">
        <v>167</v>
      </c>
      <c r="AP1954" s="1" t="s">
        <v>200</v>
      </c>
      <c r="AQ1954" s="1">
        <v>90.4</v>
      </c>
      <c r="AR1954" s="1">
        <v>0</v>
      </c>
      <c r="AS1954" s="1"/>
      <c r="AT1954" s="1"/>
      <c r="AU1954" s="1"/>
      <c r="AV1954" s="1"/>
      <c r="AW1954" s="1"/>
      <c r="AX1954" s="1"/>
      <c r="AY1954" s="1" t="s">
        <v>576</v>
      </c>
      <c r="AZ1954" s="1" t="s">
        <v>4365</v>
      </c>
      <c r="BA1954" s="1"/>
      <c r="BB1954" s="1"/>
      <c r="BC1954" s="1" t="s">
        <v>1065</v>
      </c>
      <c r="BD1954" s="1" t="s">
        <v>632</v>
      </c>
      <c r="BE1954" s="1">
        <v>90.4</v>
      </c>
      <c r="BF1954" s="1">
        <v>9.04</v>
      </c>
      <c r="BG1954" s="1"/>
      <c r="BH1954" s="1"/>
      <c r="BI1954" s="1"/>
      <c r="BJ1954" s="1"/>
      <c r="BK1954" s="1"/>
      <c r="BL1954" s="1"/>
      <c r="BM1954" s="1"/>
      <c r="BN1954" s="1"/>
      <c r="BO1954" s="1" t="s">
        <v>1114</v>
      </c>
      <c r="BP1954" s="1"/>
      <c r="BQ1954" s="1"/>
      <c r="BR1954" s="1" t="s">
        <v>34305</v>
      </c>
      <c r="BS1954" s="1">
        <v>15</v>
      </c>
      <c r="BT1954" s="1"/>
      <c r="BU1954" s="1" t="str">
        <f>HYPERLINK("https://nconnect.nicmar.ac.in/storage/profile/ProfilePhoto_p2270563_538697.jpg","Download")</f>
        <v>0</v>
      </c>
      <c r="BV1954" s="3"/>
      <c r="BW1954" s="3"/>
    </row>
    <row r="1955" spans="1:75">
      <c r="A1955" s="1" t="s">
        <v>75</v>
      </c>
      <c r="B1955" s="1" t="s">
        <v>25236</v>
      </c>
      <c r="C1955" s="1" t="s">
        <v>34306</v>
      </c>
      <c r="D1955" s="1" t="s">
        <v>11668</v>
      </c>
      <c r="E1955" s="1"/>
      <c r="F1955" s="1" t="s">
        <v>1320</v>
      </c>
      <c r="G1955" s="1" t="s">
        <v>34307</v>
      </c>
      <c r="H1955" s="1" t="s">
        <v>34308</v>
      </c>
      <c r="I1955" s="1" t="s">
        <v>34309</v>
      </c>
      <c r="J1955" s="1">
        <v>9810616442</v>
      </c>
      <c r="K1955" s="1" t="s">
        <v>84</v>
      </c>
      <c r="L1955" s="1" t="s">
        <v>34310</v>
      </c>
      <c r="M1955" s="1" t="s">
        <v>86</v>
      </c>
      <c r="N1955" s="1" t="s">
        <v>246</v>
      </c>
      <c r="O1955" s="1" t="s">
        <v>34311</v>
      </c>
      <c r="P1955" s="1" t="s">
        <v>507</v>
      </c>
      <c r="Q1955" s="1" t="s">
        <v>34312</v>
      </c>
      <c r="R1955" s="1" t="s">
        <v>34313</v>
      </c>
      <c r="S1955" s="1">
        <v>9835469152</v>
      </c>
      <c r="T1955" s="1" t="s">
        <v>3188</v>
      </c>
      <c r="U1955" s="1" t="s">
        <v>34314</v>
      </c>
      <c r="V1955" s="1">
        <v>9386890450</v>
      </c>
      <c r="W1955" s="1" t="s">
        <v>3188</v>
      </c>
      <c r="X1955" s="1" t="s">
        <v>34315</v>
      </c>
      <c r="Y1955" s="1" t="s">
        <v>648</v>
      </c>
      <c r="Z1955" s="1" t="s">
        <v>649</v>
      </c>
      <c r="AA1955" s="1" t="s">
        <v>34315</v>
      </c>
      <c r="AB1955" s="1" t="s">
        <v>648</v>
      </c>
      <c r="AC1955" s="1" t="s">
        <v>649</v>
      </c>
      <c r="AD1955" s="1" t="s">
        <v>98</v>
      </c>
      <c r="AE1955" s="1" t="s">
        <v>98</v>
      </c>
      <c r="AF1955" s="1" t="s">
        <v>34316</v>
      </c>
      <c r="AG1955" s="1" t="s">
        <v>3306</v>
      </c>
      <c r="AH1955" s="1" t="s">
        <v>3965</v>
      </c>
      <c r="AI1955" s="1" t="s">
        <v>1457</v>
      </c>
      <c r="AJ1955" s="1">
        <v>60.4</v>
      </c>
      <c r="AK1955" s="1"/>
      <c r="AL1955" s="1" t="s">
        <v>34317</v>
      </c>
      <c r="AM1955" s="1" t="s">
        <v>3306</v>
      </c>
      <c r="AN1955" s="1"/>
      <c r="AO1955" s="1" t="s">
        <v>515</v>
      </c>
      <c r="AP1955" s="1" t="s">
        <v>102</v>
      </c>
      <c r="AQ1955" s="1">
        <v>73.4</v>
      </c>
      <c r="AR1955" s="1"/>
      <c r="AS1955" s="1"/>
      <c r="AT1955" s="1"/>
      <c r="AU1955" s="1"/>
      <c r="AV1955" s="1"/>
      <c r="AW1955" s="1"/>
      <c r="AX1955" s="1"/>
      <c r="AY1955" s="1" t="s">
        <v>34318</v>
      </c>
      <c r="AZ1955" s="1" t="s">
        <v>34319</v>
      </c>
      <c r="BA1955" s="1"/>
      <c r="BB1955" s="1"/>
      <c r="BC1955" s="1" t="s">
        <v>4231</v>
      </c>
      <c r="BD1955" s="1" t="s">
        <v>109</v>
      </c>
      <c r="BE1955" s="1">
        <v>67</v>
      </c>
      <c r="BF1955" s="1">
        <v>6.7</v>
      </c>
      <c r="BG1955" s="1"/>
      <c r="BH1955" s="1"/>
      <c r="BI1955" s="1"/>
      <c r="BJ1955" s="1"/>
      <c r="BK1955" s="1"/>
      <c r="BL1955" s="1"/>
      <c r="BM1955" s="1"/>
      <c r="BN1955" s="1"/>
      <c r="BO1955" s="1" t="s">
        <v>34320</v>
      </c>
      <c r="BP1955" s="1" t="s">
        <v>34321</v>
      </c>
      <c r="BQ1955" s="1" t="s">
        <v>345</v>
      </c>
      <c r="BR1955" s="1" t="s">
        <v>34322</v>
      </c>
      <c r="BS1955" s="1">
        <v>7</v>
      </c>
      <c r="BT1955" s="1"/>
      <c r="BU1955" s="1" t="str">
        <f>HYPERLINK("https://nconnect.nicmar.ac.in/storage/profile/ProfilePhoto_p2270564_921463.jpg","Download")</f>
        <v>0</v>
      </c>
      <c r="BV1955" s="3"/>
      <c r="BW1955" s="3"/>
    </row>
    <row r="1956" spans="1:75">
      <c r="A1956" s="1" t="s">
        <v>75</v>
      </c>
      <c r="B1956" s="1" t="s">
        <v>25236</v>
      </c>
      <c r="C1956" s="1" t="s">
        <v>34323</v>
      </c>
      <c r="D1956" s="1" t="s">
        <v>34324</v>
      </c>
      <c r="E1956" s="1"/>
      <c r="F1956" s="1" t="s">
        <v>3998</v>
      </c>
      <c r="G1956" s="1" t="s">
        <v>34325</v>
      </c>
      <c r="H1956" s="1" t="s">
        <v>34326</v>
      </c>
      <c r="I1956" s="1" t="s">
        <v>34327</v>
      </c>
      <c r="J1956" s="1">
        <v>8220655335</v>
      </c>
      <c r="K1956" s="1" t="s">
        <v>84</v>
      </c>
      <c r="L1956" s="1" t="s">
        <v>34328</v>
      </c>
      <c r="M1956" s="1" t="s">
        <v>86</v>
      </c>
      <c r="N1956" s="1" t="s">
        <v>34329</v>
      </c>
      <c r="O1956" s="1"/>
      <c r="P1956" s="1" t="s">
        <v>1028</v>
      </c>
      <c r="Q1956" s="1" t="s">
        <v>34330</v>
      </c>
      <c r="R1956" s="1" t="s">
        <v>34331</v>
      </c>
      <c r="S1956" s="1">
        <v>9444081304</v>
      </c>
      <c r="T1956" s="1" t="s">
        <v>159</v>
      </c>
      <c r="U1956" s="1" t="s">
        <v>34332</v>
      </c>
      <c r="V1956" s="1">
        <v>9962244773</v>
      </c>
      <c r="W1956" s="1" t="s">
        <v>278</v>
      </c>
      <c r="X1956" s="1" t="s">
        <v>34333</v>
      </c>
      <c r="Y1956" s="1" t="s">
        <v>1498</v>
      </c>
      <c r="Z1956" s="1" t="s">
        <v>570</v>
      </c>
      <c r="AA1956" s="1" t="s">
        <v>34333</v>
      </c>
      <c r="AB1956" s="1" t="s">
        <v>1498</v>
      </c>
      <c r="AC1956" s="1" t="s">
        <v>570</v>
      </c>
      <c r="AD1956" s="1" t="s">
        <v>98</v>
      </c>
      <c r="AE1956" s="1" t="s">
        <v>98</v>
      </c>
      <c r="AF1956" s="1" t="s">
        <v>34334</v>
      </c>
      <c r="AG1956" s="1" t="s">
        <v>34335</v>
      </c>
      <c r="AH1956" s="1" t="s">
        <v>166</v>
      </c>
      <c r="AI1956" s="1" t="s">
        <v>284</v>
      </c>
      <c r="AJ1956" s="1">
        <v>89.6</v>
      </c>
      <c r="AK1956" s="1">
        <v>0</v>
      </c>
      <c r="AL1956" s="1" t="s">
        <v>34336</v>
      </c>
      <c r="AM1956" s="1" t="s">
        <v>34335</v>
      </c>
      <c r="AN1956" s="1"/>
      <c r="AO1956" s="1" t="s">
        <v>170</v>
      </c>
      <c r="AP1956" s="1" t="s">
        <v>490</v>
      </c>
      <c r="AQ1956" s="1">
        <v>74.5</v>
      </c>
      <c r="AR1956" s="1">
        <v>0</v>
      </c>
      <c r="AS1956" s="1"/>
      <c r="AT1956" s="1"/>
      <c r="AU1956" s="1"/>
      <c r="AV1956" s="1"/>
      <c r="AW1956" s="1"/>
      <c r="AX1956" s="1"/>
      <c r="AY1956" s="1" t="s">
        <v>576</v>
      </c>
      <c r="AZ1956" s="1" t="s">
        <v>34337</v>
      </c>
      <c r="BA1956" s="1"/>
      <c r="BB1956" s="1"/>
      <c r="BC1956" s="1" t="s">
        <v>106</v>
      </c>
      <c r="BD1956" s="1" t="s">
        <v>521</v>
      </c>
      <c r="BE1956" s="1">
        <v>81</v>
      </c>
      <c r="BF1956" s="1">
        <v>8.11</v>
      </c>
      <c r="BG1956" s="1"/>
      <c r="BH1956" s="1"/>
      <c r="BI1956" s="1"/>
      <c r="BJ1956" s="1"/>
      <c r="BK1956" s="1"/>
      <c r="BL1956" s="1"/>
      <c r="BM1956" s="1"/>
      <c r="BN1956" s="1"/>
      <c r="BO1956" s="1" t="s">
        <v>2267</v>
      </c>
      <c r="BP1956" s="1"/>
      <c r="BQ1956" s="1"/>
      <c r="BR1956" s="1" t="s">
        <v>34338</v>
      </c>
      <c r="BS1956" s="1">
        <v>9</v>
      </c>
      <c r="BT1956" s="1"/>
      <c r="BU1956" s="1" t="str">
        <f>HYPERLINK("https://nconnect.nicmar.ac.in/storage/profile/ProfilePhoto_p2270565_589164.jpg","Download")</f>
        <v>0</v>
      </c>
      <c r="BV1956" s="3"/>
      <c r="BW1956" s="3"/>
    </row>
    <row r="1957" spans="1:75">
      <c r="A1957" s="1" t="s">
        <v>75</v>
      </c>
      <c r="B1957" s="1" t="s">
        <v>25236</v>
      </c>
      <c r="C1957" s="1" t="s">
        <v>34339</v>
      </c>
      <c r="D1957" s="1" t="s">
        <v>1444</v>
      </c>
      <c r="E1957" s="1"/>
      <c r="F1957" s="1" t="s">
        <v>1320</v>
      </c>
      <c r="G1957" s="1" t="s">
        <v>34340</v>
      </c>
      <c r="H1957" s="1" t="s">
        <v>34341</v>
      </c>
      <c r="I1957" s="1" t="s">
        <v>34342</v>
      </c>
      <c r="J1957" s="1">
        <v>9885672927</v>
      </c>
      <c r="K1957" s="1" t="s">
        <v>84</v>
      </c>
      <c r="L1957" s="1" t="s">
        <v>31357</v>
      </c>
      <c r="M1957" s="1" t="s">
        <v>86</v>
      </c>
      <c r="N1957" s="1" t="s">
        <v>3083</v>
      </c>
      <c r="O1957" s="1" t="s">
        <v>34343</v>
      </c>
      <c r="P1957" s="1" t="s">
        <v>455</v>
      </c>
      <c r="Q1957" s="1" t="s">
        <v>34344</v>
      </c>
      <c r="R1957" s="1" t="s">
        <v>34345</v>
      </c>
      <c r="S1957" s="1">
        <v>9989232155</v>
      </c>
      <c r="T1957" s="1" t="s">
        <v>839</v>
      </c>
      <c r="U1957" s="1" t="s">
        <v>34346</v>
      </c>
      <c r="V1957" s="1">
        <v>9705702727</v>
      </c>
      <c r="W1957" s="1" t="s">
        <v>278</v>
      </c>
      <c r="X1957" s="1" t="s">
        <v>34347</v>
      </c>
      <c r="Y1957" s="1" t="s">
        <v>3031</v>
      </c>
      <c r="Z1957" s="1" t="s">
        <v>461</v>
      </c>
      <c r="AA1957" s="1" t="s">
        <v>34347</v>
      </c>
      <c r="AB1957" s="1" t="s">
        <v>3031</v>
      </c>
      <c r="AC1957" s="1" t="s">
        <v>461</v>
      </c>
      <c r="AD1957" s="1" t="s">
        <v>98</v>
      </c>
      <c r="AE1957" s="1" t="s">
        <v>98</v>
      </c>
      <c r="AF1957" s="1" t="s">
        <v>34348</v>
      </c>
      <c r="AG1957" s="1" t="s">
        <v>34349</v>
      </c>
      <c r="AH1957" s="1" t="s">
        <v>101</v>
      </c>
      <c r="AI1957" s="1" t="s">
        <v>102</v>
      </c>
      <c r="AJ1957" s="1">
        <v>85.5</v>
      </c>
      <c r="AK1957" s="1">
        <v>9</v>
      </c>
      <c r="AL1957" s="1" t="s">
        <v>2342</v>
      </c>
      <c r="AM1957" s="1" t="s">
        <v>34349</v>
      </c>
      <c r="AN1957" s="1"/>
      <c r="AO1957" s="1" t="s">
        <v>166</v>
      </c>
      <c r="AP1957" s="1" t="s">
        <v>200</v>
      </c>
      <c r="AQ1957" s="1">
        <v>96.2</v>
      </c>
      <c r="AR1957" s="1"/>
      <c r="AS1957" s="1"/>
      <c r="AT1957" s="1"/>
      <c r="AU1957" s="1"/>
      <c r="AV1957" s="1"/>
      <c r="AW1957" s="1"/>
      <c r="AX1957" s="1"/>
      <c r="AY1957" s="1" t="s">
        <v>3035</v>
      </c>
      <c r="AZ1957" s="1" t="s">
        <v>34350</v>
      </c>
      <c r="BA1957" s="1"/>
      <c r="BB1957" s="1"/>
      <c r="BC1957" s="1" t="s">
        <v>388</v>
      </c>
      <c r="BD1957" s="1" t="s">
        <v>632</v>
      </c>
      <c r="BE1957" s="1">
        <v>60.97</v>
      </c>
      <c r="BF1957" s="1">
        <v>6.03</v>
      </c>
      <c r="BG1957" s="1"/>
      <c r="BH1957" s="1"/>
      <c r="BI1957" s="1"/>
      <c r="BJ1957" s="1"/>
      <c r="BK1957" s="1"/>
      <c r="BL1957" s="1"/>
      <c r="BM1957" s="1"/>
      <c r="BN1957" s="1"/>
      <c r="BO1957" s="1" t="s">
        <v>1114</v>
      </c>
      <c r="BP1957" s="1"/>
      <c r="BQ1957" s="1"/>
      <c r="BR1957" s="1" t="s">
        <v>34351</v>
      </c>
      <c r="BS1957" s="1">
        <v>18</v>
      </c>
      <c r="BT1957" s="1"/>
      <c r="BU1957" s="1" t="str">
        <f>HYPERLINK("https://nconnect.nicmar.ac.in/storage/profile/ProfilePhoto_p2270566_574613.jpg","Download")</f>
        <v>0</v>
      </c>
      <c r="BV1957" s="3"/>
      <c r="BW1957" s="3"/>
    </row>
    <row r="1958" spans="1:75">
      <c r="A1958" s="1" t="s">
        <v>75</v>
      </c>
      <c r="B1958" s="1" t="s">
        <v>25236</v>
      </c>
      <c r="C1958" s="1" t="s">
        <v>34352</v>
      </c>
      <c r="D1958" s="1" t="s">
        <v>34353</v>
      </c>
      <c r="E1958" s="1" t="s">
        <v>1525</v>
      </c>
      <c r="F1958" s="1" t="s">
        <v>34354</v>
      </c>
      <c r="G1958" s="1" t="s">
        <v>34355</v>
      </c>
      <c r="H1958" s="1" t="s">
        <v>34356</v>
      </c>
      <c r="I1958" s="1" t="s">
        <v>34357</v>
      </c>
      <c r="J1958" s="1">
        <v>9307628218</v>
      </c>
      <c r="K1958" s="1" t="s">
        <v>84</v>
      </c>
      <c r="L1958" s="1" t="s">
        <v>3614</v>
      </c>
      <c r="M1958" s="1" t="s">
        <v>86</v>
      </c>
      <c r="N1958" s="1" t="s">
        <v>618</v>
      </c>
      <c r="O1958" s="1" t="s">
        <v>34358</v>
      </c>
      <c r="P1958" s="1" t="s">
        <v>481</v>
      </c>
      <c r="Q1958" s="1" t="s">
        <v>34359</v>
      </c>
      <c r="R1958" s="1" t="s">
        <v>34360</v>
      </c>
      <c r="S1958" s="1">
        <v>9970794969</v>
      </c>
      <c r="T1958" s="1" t="s">
        <v>645</v>
      </c>
      <c r="U1958" s="1" t="s">
        <v>34361</v>
      </c>
      <c r="V1958" s="1">
        <v>9689149410</v>
      </c>
      <c r="W1958" s="1" t="s">
        <v>4695</v>
      </c>
      <c r="X1958" s="1" t="s">
        <v>34362</v>
      </c>
      <c r="Y1958" s="1" t="s">
        <v>196</v>
      </c>
      <c r="Z1958" s="1" t="s">
        <v>97</v>
      </c>
      <c r="AA1958" s="1" t="s">
        <v>34362</v>
      </c>
      <c r="AB1958" s="1" t="s">
        <v>196</v>
      </c>
      <c r="AC1958" s="1" t="s">
        <v>97</v>
      </c>
      <c r="AD1958" s="1" t="s">
        <v>98</v>
      </c>
      <c r="AE1958" s="1" t="s">
        <v>98</v>
      </c>
      <c r="AF1958" s="1" t="s">
        <v>34363</v>
      </c>
      <c r="AG1958" s="1" t="s">
        <v>996</v>
      </c>
      <c r="AH1958" s="1" t="s">
        <v>166</v>
      </c>
      <c r="AI1958" s="1" t="s">
        <v>627</v>
      </c>
      <c r="AJ1958" s="1">
        <v>76</v>
      </c>
      <c r="AK1958" s="1"/>
      <c r="AL1958" s="1" t="s">
        <v>34364</v>
      </c>
      <c r="AM1958" s="1" t="s">
        <v>996</v>
      </c>
      <c r="AN1958" s="1"/>
      <c r="AO1958" s="1" t="s">
        <v>170</v>
      </c>
      <c r="AP1958" s="1" t="s">
        <v>171</v>
      </c>
      <c r="AQ1958" s="1">
        <v>79.23</v>
      </c>
      <c r="AR1958" s="1"/>
      <c r="AS1958" s="1"/>
      <c r="AT1958" s="1"/>
      <c r="AU1958" s="1"/>
      <c r="AV1958" s="1"/>
      <c r="AW1958" s="1"/>
      <c r="AX1958" s="1"/>
      <c r="AY1958" s="1" t="s">
        <v>366</v>
      </c>
      <c r="AZ1958" s="1" t="s">
        <v>34365</v>
      </c>
      <c r="BA1958" s="1"/>
      <c r="BB1958" s="1"/>
      <c r="BC1958" s="1" t="s">
        <v>106</v>
      </c>
      <c r="BD1958" s="1" t="s">
        <v>632</v>
      </c>
      <c r="BE1958" s="1">
        <v>76.45</v>
      </c>
      <c r="BF1958" s="1">
        <v>8.59</v>
      </c>
      <c r="BG1958" s="1"/>
      <c r="BH1958" s="1"/>
      <c r="BI1958" s="1"/>
      <c r="BJ1958" s="1"/>
      <c r="BK1958" s="1"/>
      <c r="BL1958" s="1"/>
      <c r="BM1958" s="1"/>
      <c r="BN1958" s="1"/>
      <c r="BO1958" s="1" t="s">
        <v>34366</v>
      </c>
      <c r="BP1958" s="1"/>
      <c r="BQ1958" s="1"/>
      <c r="BR1958" s="1" t="s">
        <v>34367</v>
      </c>
      <c r="BS1958" s="1">
        <v>7</v>
      </c>
      <c r="BT1958" s="1"/>
      <c r="BU1958" s="1" t="str">
        <f>HYPERLINK("https://nconnect.nicmar.ac.in/storage/profile/ProfilePhoto_p2270567_984653.jpg","Download")</f>
        <v>0</v>
      </c>
      <c r="BV1958" s="3"/>
      <c r="BW1958" s="3"/>
    </row>
    <row r="1959" spans="1:75">
      <c r="A1959" s="1" t="s">
        <v>75</v>
      </c>
      <c r="B1959" s="1" t="s">
        <v>25236</v>
      </c>
      <c r="C1959" s="1" t="s">
        <v>34368</v>
      </c>
      <c r="D1959" s="1" t="s">
        <v>1769</v>
      </c>
      <c r="E1959" s="1" t="s">
        <v>1669</v>
      </c>
      <c r="F1959" s="1" t="s">
        <v>34369</v>
      </c>
      <c r="G1959" s="1" t="s">
        <v>34370</v>
      </c>
      <c r="H1959" s="1" t="s">
        <v>34371</v>
      </c>
      <c r="I1959" s="1" t="s">
        <v>34372</v>
      </c>
      <c r="J1959" s="1">
        <v>7507895574</v>
      </c>
      <c r="K1959" s="1" t="s">
        <v>84</v>
      </c>
      <c r="L1959" s="1" t="s">
        <v>34373</v>
      </c>
      <c r="M1959" s="1" t="s">
        <v>86</v>
      </c>
      <c r="N1959" s="1" t="s">
        <v>768</v>
      </c>
      <c r="O1959" s="1" t="s">
        <v>34374</v>
      </c>
      <c r="P1959" s="1" t="s">
        <v>455</v>
      </c>
      <c r="Q1959" s="1" t="s">
        <v>34375</v>
      </c>
      <c r="R1959" s="1" t="s">
        <v>1669</v>
      </c>
      <c r="S1959" s="1">
        <v>8888625850</v>
      </c>
      <c r="T1959" s="1" t="s">
        <v>645</v>
      </c>
      <c r="U1959" s="1" t="s">
        <v>31185</v>
      </c>
      <c r="V1959" s="1">
        <v>7058372605</v>
      </c>
      <c r="W1959" s="1" t="s">
        <v>161</v>
      </c>
      <c r="X1959" s="1" t="s">
        <v>34376</v>
      </c>
      <c r="Y1959" s="1" t="s">
        <v>624</v>
      </c>
      <c r="Z1959" s="1" t="s">
        <v>97</v>
      </c>
      <c r="AA1959" s="1" t="s">
        <v>34376</v>
      </c>
      <c r="AB1959" s="1" t="s">
        <v>624</v>
      </c>
      <c r="AC1959" s="1" t="s">
        <v>97</v>
      </c>
      <c r="AD1959" s="1" t="s">
        <v>98</v>
      </c>
      <c r="AE1959" s="1" t="s">
        <v>98</v>
      </c>
      <c r="AF1959" s="1" t="s">
        <v>34377</v>
      </c>
      <c r="AG1959" s="1" t="s">
        <v>34378</v>
      </c>
      <c r="AH1959" s="1" t="s">
        <v>1110</v>
      </c>
      <c r="AI1959" s="1" t="s">
        <v>627</v>
      </c>
      <c r="AJ1959" s="1">
        <v>73</v>
      </c>
      <c r="AK1959" s="1"/>
      <c r="AL1959" s="1" t="s">
        <v>34379</v>
      </c>
      <c r="AM1959" s="1" t="s">
        <v>34378</v>
      </c>
      <c r="AN1959" s="1"/>
      <c r="AO1959" s="1" t="s">
        <v>388</v>
      </c>
      <c r="AP1959" s="1" t="s">
        <v>171</v>
      </c>
      <c r="AQ1959" s="1">
        <v>61.85</v>
      </c>
      <c r="AR1959" s="1"/>
      <c r="AS1959" s="1"/>
      <c r="AT1959" s="1"/>
      <c r="AU1959" s="1"/>
      <c r="AV1959" s="1"/>
      <c r="AW1959" s="1"/>
      <c r="AX1959" s="1"/>
      <c r="AY1959" s="1" t="s">
        <v>340</v>
      </c>
      <c r="AZ1959" s="1" t="s">
        <v>34380</v>
      </c>
      <c r="BA1959" s="1"/>
      <c r="BB1959" s="1"/>
      <c r="BC1959" s="1" t="s">
        <v>174</v>
      </c>
      <c r="BD1959" s="1" t="s">
        <v>1802</v>
      </c>
      <c r="BE1959" s="1">
        <v>69.2</v>
      </c>
      <c r="BF1959" s="1">
        <v>7.67</v>
      </c>
      <c r="BG1959" s="1"/>
      <c r="BH1959" s="1"/>
      <c r="BI1959" s="1"/>
      <c r="BJ1959" s="1"/>
      <c r="BK1959" s="1"/>
      <c r="BL1959" s="1"/>
      <c r="BM1959" s="1"/>
      <c r="BN1959" s="1"/>
      <c r="BO1959" s="1" t="s">
        <v>10174</v>
      </c>
      <c r="BP1959" s="1"/>
      <c r="BQ1959" s="1"/>
      <c r="BR1959" s="1" t="s">
        <v>34381</v>
      </c>
      <c r="BS1959" s="1">
        <v>18</v>
      </c>
      <c r="BT1959" s="1"/>
      <c r="BU1959" s="1" t="str">
        <f>HYPERLINK("https://nconnect.nicmar.ac.in/storage/profile/ProfilePhoto_p2270568_183967.jpg","Download")</f>
        <v>0</v>
      </c>
      <c r="BV1959" s="3"/>
      <c r="BW1959" s="3"/>
    </row>
    <row r="1960" spans="1:75">
      <c r="A1960" s="1" t="s">
        <v>75</v>
      </c>
      <c r="B1960" s="1" t="s">
        <v>25236</v>
      </c>
      <c r="C1960" s="1" t="s">
        <v>34382</v>
      </c>
      <c r="D1960" s="1" t="s">
        <v>1119</v>
      </c>
      <c r="E1960" s="1"/>
      <c r="F1960" s="1" t="s">
        <v>31457</v>
      </c>
      <c r="G1960" s="1" t="s">
        <v>34383</v>
      </c>
      <c r="H1960" s="1" t="s">
        <v>34384</v>
      </c>
      <c r="I1960" s="1" t="s">
        <v>34385</v>
      </c>
      <c r="J1960" s="1">
        <v>7602191516</v>
      </c>
      <c r="K1960" s="1" t="s">
        <v>84</v>
      </c>
      <c r="L1960" s="1" t="s">
        <v>34386</v>
      </c>
      <c r="M1960" s="1" t="s">
        <v>86</v>
      </c>
      <c r="N1960" s="1" t="s">
        <v>34387</v>
      </c>
      <c r="O1960" s="1" t="s">
        <v>34388</v>
      </c>
      <c r="P1960" s="1" t="s">
        <v>455</v>
      </c>
      <c r="Q1960" s="1" t="s">
        <v>34389</v>
      </c>
      <c r="R1960" s="1" t="s">
        <v>34390</v>
      </c>
      <c r="S1960" s="1">
        <v>8637023791</v>
      </c>
      <c r="T1960" s="1" t="s">
        <v>926</v>
      </c>
      <c r="U1960" s="1" t="s">
        <v>34391</v>
      </c>
      <c r="V1960" s="1">
        <v>6295343389</v>
      </c>
      <c r="W1960" s="1" t="s">
        <v>3088</v>
      </c>
      <c r="X1960" s="1" t="s">
        <v>34392</v>
      </c>
      <c r="Y1960" s="1" t="s">
        <v>34393</v>
      </c>
      <c r="Z1960" s="1" t="s">
        <v>1234</v>
      </c>
      <c r="AA1960" s="1" t="s">
        <v>34392</v>
      </c>
      <c r="AB1960" s="1" t="s">
        <v>34393</v>
      </c>
      <c r="AC1960" s="1" t="s">
        <v>1234</v>
      </c>
      <c r="AD1960" s="1" t="s">
        <v>98</v>
      </c>
      <c r="AE1960" s="1" t="s">
        <v>98</v>
      </c>
      <c r="AF1960" s="1" t="s">
        <v>34394</v>
      </c>
      <c r="AG1960" s="1" t="s">
        <v>34395</v>
      </c>
      <c r="AH1960" s="1" t="s">
        <v>2726</v>
      </c>
      <c r="AI1960" s="1" t="s">
        <v>134</v>
      </c>
      <c r="AJ1960" s="1">
        <v>63.85</v>
      </c>
      <c r="AK1960" s="1"/>
      <c r="AL1960" s="1" t="s">
        <v>34396</v>
      </c>
      <c r="AM1960" s="1" t="s">
        <v>34395</v>
      </c>
      <c r="AN1960" s="1"/>
      <c r="AO1960" s="1" t="s">
        <v>136</v>
      </c>
      <c r="AP1960" s="1" t="s">
        <v>627</v>
      </c>
      <c r="AQ1960" s="1">
        <v>62</v>
      </c>
      <c r="AR1960" s="1"/>
      <c r="AS1960" s="1" t="s">
        <v>103</v>
      </c>
      <c r="AT1960" s="1" t="s">
        <v>34397</v>
      </c>
      <c r="AU1960" s="1" t="s">
        <v>139</v>
      </c>
      <c r="AV1960" s="1" t="s">
        <v>206</v>
      </c>
      <c r="AW1960" s="1">
        <v>78.1</v>
      </c>
      <c r="AX1960" s="1">
        <v>8</v>
      </c>
      <c r="AY1960" s="1" t="s">
        <v>34398</v>
      </c>
      <c r="AZ1960" s="1" t="s">
        <v>34399</v>
      </c>
      <c r="BA1960" s="1"/>
      <c r="BB1960" s="1"/>
      <c r="BC1960" s="1" t="s">
        <v>206</v>
      </c>
      <c r="BD1960" s="1" t="s">
        <v>1400</v>
      </c>
      <c r="BE1960" s="1">
        <v>77.5</v>
      </c>
      <c r="BF1960" s="1">
        <v>8.5</v>
      </c>
      <c r="BG1960" s="1"/>
      <c r="BH1960" s="1"/>
      <c r="BI1960" s="1"/>
      <c r="BJ1960" s="1"/>
      <c r="BK1960" s="1"/>
      <c r="BL1960" s="1"/>
      <c r="BM1960" s="1"/>
      <c r="BN1960" s="1"/>
      <c r="BO1960" s="1" t="s">
        <v>734</v>
      </c>
      <c r="BP1960" s="1"/>
      <c r="BQ1960" s="1"/>
      <c r="BR1960" s="1" t="s">
        <v>34400</v>
      </c>
      <c r="BS1960" s="1">
        <v>9</v>
      </c>
      <c r="BT1960" s="1"/>
      <c r="BU1960" s="1" t="str">
        <f>HYPERLINK("https://nconnect.nicmar.ac.in/storage/profile/ProfilePhoto_p2270569_813745.jpg","Download")</f>
        <v>0</v>
      </c>
      <c r="BV1960" s="3"/>
      <c r="BW1960" s="3"/>
    </row>
    <row r="1961" spans="1:75">
      <c r="A1961" s="1" t="s">
        <v>75</v>
      </c>
      <c r="B1961" s="1" t="s">
        <v>25236</v>
      </c>
      <c r="C1961" s="1" t="s">
        <v>34401</v>
      </c>
      <c r="D1961" s="1" t="s">
        <v>761</v>
      </c>
      <c r="E1961" s="1" t="s">
        <v>1997</v>
      </c>
      <c r="F1961" s="1" t="s">
        <v>34402</v>
      </c>
      <c r="G1961" s="1" t="s">
        <v>34403</v>
      </c>
      <c r="H1961" s="1" t="s">
        <v>34404</v>
      </c>
      <c r="I1961" s="1" t="s">
        <v>34405</v>
      </c>
      <c r="J1961" s="1">
        <v>8830542486</v>
      </c>
      <c r="K1961" s="1" t="s">
        <v>84</v>
      </c>
      <c r="L1961" s="1" t="s">
        <v>27798</v>
      </c>
      <c r="M1961" s="1" t="s">
        <v>86</v>
      </c>
      <c r="N1961" s="1" t="s">
        <v>5472</v>
      </c>
      <c r="O1961" s="1" t="s">
        <v>34406</v>
      </c>
      <c r="P1961" s="1" t="s">
        <v>2062</v>
      </c>
      <c r="Q1961" s="1" t="s">
        <v>34407</v>
      </c>
      <c r="R1961" s="1" t="s">
        <v>34408</v>
      </c>
      <c r="S1961" s="1">
        <v>8087169282</v>
      </c>
      <c r="T1961" s="1" t="s">
        <v>34409</v>
      </c>
      <c r="U1961" s="1" t="s">
        <v>34410</v>
      </c>
      <c r="V1961" s="1">
        <v>9284536134</v>
      </c>
      <c r="W1961" s="1" t="s">
        <v>161</v>
      </c>
      <c r="X1961" s="1" t="s">
        <v>34411</v>
      </c>
      <c r="Y1961" s="1" t="s">
        <v>410</v>
      </c>
      <c r="Z1961" s="1" t="s">
        <v>97</v>
      </c>
      <c r="AA1961" s="1" t="s">
        <v>34411</v>
      </c>
      <c r="AB1961" s="1" t="s">
        <v>410</v>
      </c>
      <c r="AC1961" s="1" t="s">
        <v>97</v>
      </c>
      <c r="AD1961" s="1" t="s">
        <v>98</v>
      </c>
      <c r="AE1961" s="1" t="s">
        <v>98</v>
      </c>
      <c r="AF1961" s="1" t="s">
        <v>34412</v>
      </c>
      <c r="AG1961" s="1" t="s">
        <v>29776</v>
      </c>
      <c r="AH1961" s="1" t="s">
        <v>342</v>
      </c>
      <c r="AI1961" s="1" t="s">
        <v>627</v>
      </c>
      <c r="AJ1961" s="1">
        <v>70.3</v>
      </c>
      <c r="AK1961" s="1">
        <v>7.4</v>
      </c>
      <c r="AL1961" s="1"/>
      <c r="AM1961" s="1"/>
      <c r="AN1961" s="1"/>
      <c r="AO1961" s="1"/>
      <c r="AP1961" s="1"/>
      <c r="AQ1961" s="1"/>
      <c r="AR1961" s="1"/>
      <c r="AS1961" s="1" t="s">
        <v>439</v>
      </c>
      <c r="AT1961" s="1" t="s">
        <v>34413</v>
      </c>
      <c r="AU1961" s="1" t="s">
        <v>167</v>
      </c>
      <c r="AV1961" s="1" t="s">
        <v>313</v>
      </c>
      <c r="AW1961" s="1">
        <v>75.38</v>
      </c>
      <c r="AX1961" s="1"/>
      <c r="AY1961" s="1" t="s">
        <v>415</v>
      </c>
      <c r="AZ1961" s="1" t="s">
        <v>34414</v>
      </c>
      <c r="BA1961" s="1"/>
      <c r="BB1961" s="1"/>
      <c r="BC1961" s="1" t="s">
        <v>315</v>
      </c>
      <c r="BD1961" s="1" t="s">
        <v>1400</v>
      </c>
      <c r="BE1961" s="1">
        <v>79.51</v>
      </c>
      <c r="BF1961" s="1">
        <v>8.37</v>
      </c>
      <c r="BG1961" s="1"/>
      <c r="BH1961" s="1"/>
      <c r="BI1961" s="1"/>
      <c r="BJ1961" s="1"/>
      <c r="BK1961" s="1"/>
      <c r="BL1961" s="1"/>
      <c r="BM1961" s="1"/>
      <c r="BN1961" s="1"/>
      <c r="BO1961" s="1" t="s">
        <v>1114</v>
      </c>
      <c r="BP1961" s="1"/>
      <c r="BQ1961" s="1"/>
      <c r="BR1961" s="1" t="s">
        <v>34415</v>
      </c>
      <c r="BS1961" s="1">
        <v>7</v>
      </c>
      <c r="BT1961" s="1"/>
      <c r="BU1961" s="1" t="str">
        <f>HYPERLINK("https://nconnect.nicmar.ac.in/storage/profile/ProfilePhoto_p2270570_357146.jpg","Download")</f>
        <v>0</v>
      </c>
      <c r="BV1961" s="3"/>
      <c r="BW1961" s="3"/>
    </row>
    <row r="1962" spans="1:75">
      <c r="A1962" s="1" t="s">
        <v>75</v>
      </c>
      <c r="B1962" s="1" t="s">
        <v>25236</v>
      </c>
      <c r="C1962" s="1" t="s">
        <v>34416</v>
      </c>
      <c r="D1962" s="1" t="s">
        <v>9818</v>
      </c>
      <c r="E1962" s="1" t="s">
        <v>2233</v>
      </c>
      <c r="F1962" s="1" t="s">
        <v>1872</v>
      </c>
      <c r="G1962" s="1" t="s">
        <v>34417</v>
      </c>
      <c r="H1962" s="1" t="s">
        <v>34418</v>
      </c>
      <c r="I1962" s="1" t="s">
        <v>34419</v>
      </c>
      <c r="J1962" s="1">
        <v>8605157289</v>
      </c>
      <c r="K1962" s="1" t="s">
        <v>84</v>
      </c>
      <c r="L1962" s="1" t="s">
        <v>34420</v>
      </c>
      <c r="M1962" s="1" t="s">
        <v>86</v>
      </c>
      <c r="N1962" s="1" t="s">
        <v>3568</v>
      </c>
      <c r="O1962" s="1" t="s">
        <v>34421</v>
      </c>
      <c r="P1962" s="1" t="s">
        <v>1028</v>
      </c>
      <c r="Q1962" s="1" t="s">
        <v>34422</v>
      </c>
      <c r="R1962" s="1" t="s">
        <v>2233</v>
      </c>
      <c r="S1962" s="1">
        <v>9822256893</v>
      </c>
      <c r="T1962" s="1" t="s">
        <v>839</v>
      </c>
      <c r="U1962" s="1" t="s">
        <v>3000</v>
      </c>
      <c r="V1962" s="1">
        <v>9604661769</v>
      </c>
      <c r="W1962" s="1" t="s">
        <v>161</v>
      </c>
      <c r="X1962" s="1" t="s">
        <v>34423</v>
      </c>
      <c r="Y1962" s="1" t="s">
        <v>196</v>
      </c>
      <c r="Z1962" s="1" t="s">
        <v>97</v>
      </c>
      <c r="AA1962" s="1" t="s">
        <v>34423</v>
      </c>
      <c r="AB1962" s="1" t="s">
        <v>196</v>
      </c>
      <c r="AC1962" s="1" t="s">
        <v>97</v>
      </c>
      <c r="AD1962" s="1" t="s">
        <v>98</v>
      </c>
      <c r="AE1962" s="1" t="s">
        <v>98</v>
      </c>
      <c r="AF1962" s="1" t="s">
        <v>34424</v>
      </c>
      <c r="AG1962" s="1" t="s">
        <v>34425</v>
      </c>
      <c r="AH1962" s="1" t="s">
        <v>166</v>
      </c>
      <c r="AI1962" s="1" t="s">
        <v>167</v>
      </c>
      <c r="AJ1962" s="1">
        <v>86</v>
      </c>
      <c r="AK1962" s="1"/>
      <c r="AL1962" s="1" t="s">
        <v>34426</v>
      </c>
      <c r="AM1962" s="1" t="s">
        <v>34425</v>
      </c>
      <c r="AN1962" s="1"/>
      <c r="AO1962" s="1" t="s">
        <v>170</v>
      </c>
      <c r="AP1962" s="1" t="s">
        <v>106</v>
      </c>
      <c r="AQ1962" s="1">
        <v>62.92</v>
      </c>
      <c r="AR1962" s="1"/>
      <c r="AS1962" s="1"/>
      <c r="AT1962" s="1"/>
      <c r="AU1962" s="1"/>
      <c r="AV1962" s="1"/>
      <c r="AW1962" s="1"/>
      <c r="AX1962" s="1"/>
      <c r="AY1962" s="1" t="s">
        <v>366</v>
      </c>
      <c r="AZ1962" s="1" t="s">
        <v>34427</v>
      </c>
      <c r="BA1962" s="1"/>
      <c r="BB1962" s="1"/>
      <c r="BC1962" s="1" t="s">
        <v>1065</v>
      </c>
      <c r="BD1962" s="1" t="s">
        <v>1400</v>
      </c>
      <c r="BE1962" s="1">
        <v>74.7</v>
      </c>
      <c r="BF1962" s="1">
        <v>8.22</v>
      </c>
      <c r="BG1962" s="1"/>
      <c r="BH1962" s="1"/>
      <c r="BI1962" s="1"/>
      <c r="BJ1962" s="1"/>
      <c r="BK1962" s="1"/>
      <c r="BL1962" s="1"/>
      <c r="BM1962" s="1"/>
      <c r="BN1962" s="1"/>
      <c r="BO1962" s="1" t="s">
        <v>34428</v>
      </c>
      <c r="BP1962" s="1"/>
      <c r="BQ1962" s="1"/>
      <c r="BR1962" s="1" t="s">
        <v>34429</v>
      </c>
      <c r="BS1962" s="1">
        <v>22</v>
      </c>
      <c r="BT1962" s="1"/>
      <c r="BU1962" s="1" t="str">
        <f>HYPERLINK("https://nconnect.nicmar.ac.in/storage/profile/ProfilePhoto_p2270571_259471.jpg","Download")</f>
        <v>0</v>
      </c>
      <c r="BV1962" s="3"/>
      <c r="BW1962" s="3"/>
    </row>
    <row r="1963" spans="1:75">
      <c r="A1963" s="1" t="s">
        <v>75</v>
      </c>
      <c r="B1963" s="1" t="s">
        <v>25236</v>
      </c>
      <c r="C1963" s="1" t="s">
        <v>34430</v>
      </c>
      <c r="D1963" s="1" t="s">
        <v>34431</v>
      </c>
      <c r="E1963" s="1" t="s">
        <v>7544</v>
      </c>
      <c r="F1963" s="1" t="s">
        <v>7372</v>
      </c>
      <c r="G1963" s="1" t="s">
        <v>34432</v>
      </c>
      <c r="H1963" s="1" t="s">
        <v>34433</v>
      </c>
      <c r="I1963" s="1" t="s">
        <v>34434</v>
      </c>
      <c r="J1963" s="1">
        <v>9422518184</v>
      </c>
      <c r="K1963" s="1" t="s">
        <v>84</v>
      </c>
      <c r="L1963" s="1" t="s">
        <v>30928</v>
      </c>
      <c r="M1963" s="1" t="s">
        <v>86</v>
      </c>
      <c r="N1963" s="1" t="s">
        <v>5133</v>
      </c>
      <c r="O1963" s="1" t="s">
        <v>34435</v>
      </c>
      <c r="P1963" s="1" t="s">
        <v>507</v>
      </c>
      <c r="Q1963" s="1" t="s">
        <v>34436</v>
      </c>
      <c r="R1963" s="1" t="s">
        <v>34437</v>
      </c>
      <c r="S1963" s="1">
        <v>9422009768</v>
      </c>
      <c r="T1963" s="1" t="s">
        <v>839</v>
      </c>
      <c r="U1963" s="1" t="s">
        <v>34438</v>
      </c>
      <c r="V1963" s="1">
        <v>9422304497</v>
      </c>
      <c r="W1963" s="1" t="s">
        <v>161</v>
      </c>
      <c r="X1963" s="1" t="s">
        <v>34439</v>
      </c>
      <c r="Y1963" s="1" t="s">
        <v>196</v>
      </c>
      <c r="Z1963" s="1" t="s">
        <v>97</v>
      </c>
      <c r="AA1963" s="1" t="s">
        <v>34439</v>
      </c>
      <c r="AB1963" s="1" t="s">
        <v>196</v>
      </c>
      <c r="AC1963" s="1" t="s">
        <v>97</v>
      </c>
      <c r="AD1963" s="1" t="s">
        <v>98</v>
      </c>
      <c r="AE1963" s="1" t="s">
        <v>98</v>
      </c>
      <c r="AF1963" s="1" t="s">
        <v>34440</v>
      </c>
      <c r="AG1963" s="1" t="s">
        <v>17617</v>
      </c>
      <c r="AH1963" s="1" t="s">
        <v>3770</v>
      </c>
      <c r="AI1963" s="1" t="s">
        <v>1457</v>
      </c>
      <c r="AJ1963" s="1">
        <v>73.27</v>
      </c>
      <c r="AK1963" s="1"/>
      <c r="AL1963" s="1"/>
      <c r="AM1963" s="1"/>
      <c r="AN1963" s="1"/>
      <c r="AO1963" s="1"/>
      <c r="AP1963" s="1"/>
      <c r="AQ1963" s="1"/>
      <c r="AR1963" s="1"/>
      <c r="AS1963" s="1" t="s">
        <v>103</v>
      </c>
      <c r="AT1963" s="1" t="s">
        <v>34441</v>
      </c>
      <c r="AU1963" s="1" t="s">
        <v>804</v>
      </c>
      <c r="AV1963" s="1" t="s">
        <v>5442</v>
      </c>
      <c r="AW1963" s="1">
        <v>61.7</v>
      </c>
      <c r="AX1963" s="1"/>
      <c r="AY1963" s="1" t="s">
        <v>34442</v>
      </c>
      <c r="AZ1963" s="1" t="s">
        <v>34443</v>
      </c>
      <c r="BA1963" s="1"/>
      <c r="BB1963" s="1"/>
      <c r="BC1963" s="1" t="s">
        <v>230</v>
      </c>
      <c r="BD1963" s="1" t="s">
        <v>977</v>
      </c>
      <c r="BE1963" s="1">
        <v>62.1</v>
      </c>
      <c r="BF1963" s="1">
        <v>6.46</v>
      </c>
      <c r="BG1963" s="1"/>
      <c r="BH1963" s="1"/>
      <c r="BI1963" s="1"/>
      <c r="BJ1963" s="1"/>
      <c r="BK1963" s="1"/>
      <c r="BL1963" s="1"/>
      <c r="BM1963" s="1"/>
      <c r="BN1963" s="1"/>
      <c r="BO1963" s="1" t="s">
        <v>34444</v>
      </c>
      <c r="BP1963" s="1" t="s">
        <v>34445</v>
      </c>
      <c r="BQ1963" s="1" t="s">
        <v>1152</v>
      </c>
      <c r="BR1963" s="1" t="s">
        <v>34446</v>
      </c>
      <c r="BS1963" s="1">
        <v>33</v>
      </c>
      <c r="BT1963" s="1"/>
      <c r="BU1963" s="1" t="str">
        <f>HYPERLINK("https://nconnect.nicmar.ac.in/storage/profile/ProfilePhoto_p2270572_137684.jpg","Download")</f>
        <v>0</v>
      </c>
      <c r="BV1963" s="3"/>
      <c r="BW1963" s="3"/>
    </row>
    <row r="1964" spans="1:75">
      <c r="A1964" s="1" t="s">
        <v>75</v>
      </c>
      <c r="B1964" s="1" t="s">
        <v>25236</v>
      </c>
      <c r="C1964" s="1" t="s">
        <v>34447</v>
      </c>
      <c r="D1964" s="1" t="s">
        <v>5092</v>
      </c>
      <c r="E1964" s="1"/>
      <c r="F1964" s="1" t="s">
        <v>28902</v>
      </c>
      <c r="G1964" s="1" t="s">
        <v>34448</v>
      </c>
      <c r="H1964" s="1" t="s">
        <v>34449</v>
      </c>
      <c r="I1964" s="1" t="s">
        <v>34450</v>
      </c>
      <c r="J1964" s="1">
        <v>8769387878</v>
      </c>
      <c r="K1964" s="1" t="s">
        <v>84</v>
      </c>
      <c r="L1964" s="1" t="s">
        <v>34451</v>
      </c>
      <c r="M1964" s="1" t="s">
        <v>86</v>
      </c>
      <c r="N1964" s="1" t="s">
        <v>34452</v>
      </c>
      <c r="O1964" s="1" t="s">
        <v>34453</v>
      </c>
      <c r="P1964" s="1" t="s">
        <v>1028</v>
      </c>
      <c r="Q1964" s="1" t="s">
        <v>34454</v>
      </c>
      <c r="R1964" s="1" t="s">
        <v>34455</v>
      </c>
      <c r="S1964" s="1">
        <v>9828715165</v>
      </c>
      <c r="T1964" s="1" t="s">
        <v>1552</v>
      </c>
      <c r="U1964" s="1" t="s">
        <v>34456</v>
      </c>
      <c r="V1964" s="1">
        <v>9460451070</v>
      </c>
      <c r="W1964" s="1" t="s">
        <v>161</v>
      </c>
      <c r="X1964" s="1" t="s">
        <v>34457</v>
      </c>
      <c r="Y1964" s="1" t="s">
        <v>21151</v>
      </c>
      <c r="Z1964" s="1" t="s">
        <v>2153</v>
      </c>
      <c r="AA1964" s="1" t="s">
        <v>34457</v>
      </c>
      <c r="AB1964" s="1" t="s">
        <v>21151</v>
      </c>
      <c r="AC1964" s="1" t="s">
        <v>2153</v>
      </c>
      <c r="AD1964" s="1" t="s">
        <v>98</v>
      </c>
      <c r="AE1964" s="1" t="s">
        <v>98</v>
      </c>
      <c r="AF1964" s="1" t="s">
        <v>34458</v>
      </c>
      <c r="AG1964" s="1" t="s">
        <v>34459</v>
      </c>
      <c r="AH1964" s="1" t="s">
        <v>3421</v>
      </c>
      <c r="AI1964" s="1" t="s">
        <v>1262</v>
      </c>
      <c r="AJ1964" s="1">
        <v>68.4</v>
      </c>
      <c r="AK1964" s="1">
        <v>7.2</v>
      </c>
      <c r="AL1964" s="1" t="s">
        <v>34460</v>
      </c>
      <c r="AM1964" s="1" t="s">
        <v>34459</v>
      </c>
      <c r="AN1964" s="1"/>
      <c r="AO1964" s="1" t="s">
        <v>1110</v>
      </c>
      <c r="AP1964" s="1" t="s">
        <v>627</v>
      </c>
      <c r="AQ1964" s="1">
        <v>52</v>
      </c>
      <c r="AR1964" s="1"/>
      <c r="AS1964" s="1"/>
      <c r="AT1964" s="1"/>
      <c r="AU1964" s="1"/>
      <c r="AV1964" s="1"/>
      <c r="AW1964" s="1"/>
      <c r="AX1964" s="1"/>
      <c r="AY1964" s="1" t="s">
        <v>28974</v>
      </c>
      <c r="AZ1964" s="1" t="s">
        <v>34461</v>
      </c>
      <c r="BA1964" s="1"/>
      <c r="BB1964" s="1"/>
      <c r="BC1964" s="1" t="s">
        <v>230</v>
      </c>
      <c r="BD1964" s="1" t="s">
        <v>606</v>
      </c>
      <c r="BE1964" s="1">
        <v>74.74</v>
      </c>
      <c r="BF1964" s="1">
        <v>8.22</v>
      </c>
      <c r="BG1964" s="1"/>
      <c r="BH1964" s="1"/>
      <c r="BI1964" s="1"/>
      <c r="BJ1964" s="1"/>
      <c r="BK1964" s="1"/>
      <c r="BL1964" s="1"/>
      <c r="BM1964" s="1"/>
      <c r="BN1964" s="1"/>
      <c r="BO1964" s="1" t="s">
        <v>1114</v>
      </c>
      <c r="BP1964" s="1" t="s">
        <v>34462</v>
      </c>
      <c r="BQ1964" s="1" t="s">
        <v>2577</v>
      </c>
      <c r="BR1964" s="1" t="s">
        <v>34463</v>
      </c>
      <c r="BS1964" s="1">
        <v>13</v>
      </c>
      <c r="BT1964" s="1"/>
      <c r="BU1964" s="1" t="str">
        <f>HYPERLINK("https://nconnect.nicmar.ac.in/storage/profile/ProfilePhoto_p2270573_764295.jpg","Download")</f>
        <v>0</v>
      </c>
      <c r="BV1964" s="3"/>
      <c r="BW1964" s="3"/>
    </row>
    <row r="1965" spans="1:75">
      <c r="A1965" s="1" t="s">
        <v>75</v>
      </c>
      <c r="B1965" s="1" t="s">
        <v>25236</v>
      </c>
      <c r="C1965" s="1" t="s">
        <v>34464</v>
      </c>
      <c r="D1965" s="1" t="s">
        <v>10043</v>
      </c>
      <c r="E1965" s="1" t="s">
        <v>9424</v>
      </c>
      <c r="F1965" s="1" t="s">
        <v>34465</v>
      </c>
      <c r="G1965" s="1" t="s">
        <v>34466</v>
      </c>
      <c r="H1965" s="1" t="s">
        <v>34467</v>
      </c>
      <c r="I1965" s="1" t="s">
        <v>34468</v>
      </c>
      <c r="J1965" s="1">
        <v>8208221966</v>
      </c>
      <c r="K1965" s="1" t="s">
        <v>84</v>
      </c>
      <c r="L1965" s="1" t="s">
        <v>34469</v>
      </c>
      <c r="M1965" s="1" t="s">
        <v>86</v>
      </c>
      <c r="N1965" s="1" t="s">
        <v>618</v>
      </c>
      <c r="O1965" s="1" t="s">
        <v>34470</v>
      </c>
      <c r="P1965" s="1" t="s">
        <v>481</v>
      </c>
      <c r="Q1965" s="1" t="s">
        <v>34471</v>
      </c>
      <c r="R1965" s="1" t="s">
        <v>34472</v>
      </c>
      <c r="S1965" s="1">
        <v>9373103773</v>
      </c>
      <c r="T1965" s="1" t="s">
        <v>382</v>
      </c>
      <c r="U1965" s="1" t="s">
        <v>34473</v>
      </c>
      <c r="V1965" s="1">
        <v>9923620199</v>
      </c>
      <c r="W1965" s="1" t="s">
        <v>161</v>
      </c>
      <c r="X1965" s="1" t="s">
        <v>34474</v>
      </c>
      <c r="Y1965" s="1" t="s">
        <v>410</v>
      </c>
      <c r="Z1965" s="1" t="s">
        <v>97</v>
      </c>
      <c r="AA1965" s="1" t="s">
        <v>34474</v>
      </c>
      <c r="AB1965" s="1" t="s">
        <v>410</v>
      </c>
      <c r="AC1965" s="1" t="s">
        <v>97</v>
      </c>
      <c r="AD1965" s="1" t="s">
        <v>98</v>
      </c>
      <c r="AE1965" s="1" t="s">
        <v>98</v>
      </c>
      <c r="AF1965" s="1" t="s">
        <v>34475</v>
      </c>
      <c r="AG1965" s="1" t="s">
        <v>7556</v>
      </c>
      <c r="AH1965" s="1" t="s">
        <v>1213</v>
      </c>
      <c r="AI1965" s="1" t="s">
        <v>515</v>
      </c>
      <c r="AJ1965" s="1">
        <v>70</v>
      </c>
      <c r="AK1965" s="1"/>
      <c r="AL1965" s="1" t="s">
        <v>34475</v>
      </c>
      <c r="AM1965" s="1" t="s">
        <v>7556</v>
      </c>
      <c r="AN1965" s="1"/>
      <c r="AO1965" s="1" t="s">
        <v>166</v>
      </c>
      <c r="AP1965" s="1" t="s">
        <v>517</v>
      </c>
      <c r="AQ1965" s="1">
        <v>65.85</v>
      </c>
      <c r="AR1965" s="1"/>
      <c r="AS1965" s="1"/>
      <c r="AT1965" s="1"/>
      <c r="AU1965" s="1"/>
      <c r="AV1965" s="1"/>
      <c r="AW1965" s="1"/>
      <c r="AX1965" s="1"/>
      <c r="AY1965" s="1" t="s">
        <v>997</v>
      </c>
      <c r="AZ1965" s="1" t="s">
        <v>29776</v>
      </c>
      <c r="BA1965" s="1"/>
      <c r="BB1965" s="1"/>
      <c r="BC1965" s="1" t="s">
        <v>139</v>
      </c>
      <c r="BD1965" s="1" t="s">
        <v>175</v>
      </c>
      <c r="BE1965" s="1">
        <v>78.6</v>
      </c>
      <c r="BF1965" s="1">
        <v>8.61</v>
      </c>
      <c r="BG1965" s="1"/>
      <c r="BH1965" s="1"/>
      <c r="BI1965" s="1"/>
      <c r="BJ1965" s="1"/>
      <c r="BK1965" s="1"/>
      <c r="BL1965" s="1"/>
      <c r="BM1965" s="1"/>
      <c r="BN1965" s="1"/>
      <c r="BO1965" s="1" t="s">
        <v>34476</v>
      </c>
      <c r="BP1965" s="1"/>
      <c r="BQ1965" s="1"/>
      <c r="BR1965" s="1" t="s">
        <v>34477</v>
      </c>
      <c r="BS1965" s="1">
        <v>22</v>
      </c>
      <c r="BT1965" s="1"/>
      <c r="BU1965" s="1" t="str">
        <f>HYPERLINK("https://nconnect.nicmar.ac.in/storage/profile/ProfilePhoto_p2270574_524986.jpg","Download")</f>
        <v>0</v>
      </c>
      <c r="BV1965" s="3"/>
      <c r="BW1965" s="3"/>
    </row>
    <row r="1966" spans="1:75">
      <c r="A1966" s="1" t="s">
        <v>75</v>
      </c>
      <c r="B1966" s="1" t="s">
        <v>25236</v>
      </c>
      <c r="C1966" s="1" t="s">
        <v>34478</v>
      </c>
      <c r="D1966" s="1" t="s">
        <v>34479</v>
      </c>
      <c r="E1966" s="1" t="s">
        <v>34480</v>
      </c>
      <c r="F1966" s="1" t="s">
        <v>20829</v>
      </c>
      <c r="G1966" s="1" t="s">
        <v>34481</v>
      </c>
      <c r="H1966" s="1" t="s">
        <v>34482</v>
      </c>
      <c r="I1966" s="1" t="s">
        <v>34483</v>
      </c>
      <c r="J1966" s="1">
        <v>9408093734</v>
      </c>
      <c r="K1966" s="1" t="s">
        <v>153</v>
      </c>
      <c r="L1966" s="1" t="s">
        <v>34484</v>
      </c>
      <c r="M1966" s="1" t="s">
        <v>86</v>
      </c>
      <c r="N1966" s="1" t="s">
        <v>5351</v>
      </c>
      <c r="O1966" s="1" t="s">
        <v>34485</v>
      </c>
      <c r="P1966" s="1" t="s">
        <v>507</v>
      </c>
      <c r="Q1966" s="1" t="s">
        <v>34486</v>
      </c>
      <c r="R1966" s="1" t="s">
        <v>34487</v>
      </c>
      <c r="S1966" s="1">
        <v>9724315597</v>
      </c>
      <c r="T1966" s="1" t="s">
        <v>125</v>
      </c>
      <c r="U1966" s="1" t="s">
        <v>34488</v>
      </c>
      <c r="V1966" s="1">
        <v>9426376630</v>
      </c>
      <c r="W1966" s="1" t="s">
        <v>161</v>
      </c>
      <c r="X1966" s="1" t="s">
        <v>34489</v>
      </c>
      <c r="Y1966" s="1" t="s">
        <v>2880</v>
      </c>
      <c r="Z1966" s="1" t="s">
        <v>676</v>
      </c>
      <c r="AA1966" s="1" t="s">
        <v>34489</v>
      </c>
      <c r="AB1966" s="1" t="s">
        <v>2880</v>
      </c>
      <c r="AC1966" s="1" t="s">
        <v>676</v>
      </c>
      <c r="AD1966" s="1" t="s">
        <v>98</v>
      </c>
      <c r="AE1966" s="1" t="s">
        <v>98</v>
      </c>
      <c r="AF1966" s="1" t="s">
        <v>34490</v>
      </c>
      <c r="AG1966" s="1" t="s">
        <v>31038</v>
      </c>
      <c r="AH1966" s="1" t="s">
        <v>133</v>
      </c>
      <c r="AI1966" s="1" t="s">
        <v>1457</v>
      </c>
      <c r="AJ1966" s="1">
        <v>73.66</v>
      </c>
      <c r="AK1966" s="1">
        <v>0</v>
      </c>
      <c r="AL1966" s="1" t="s">
        <v>34490</v>
      </c>
      <c r="AM1966" s="1" t="s">
        <v>31038</v>
      </c>
      <c r="AN1966" s="1"/>
      <c r="AO1966" s="1" t="s">
        <v>101</v>
      </c>
      <c r="AP1966" s="1" t="s">
        <v>102</v>
      </c>
      <c r="AQ1966" s="1">
        <v>61.6</v>
      </c>
      <c r="AR1966" s="1"/>
      <c r="AS1966" s="1"/>
      <c r="AT1966" s="1"/>
      <c r="AU1966" s="1"/>
      <c r="AV1966" s="1"/>
      <c r="AW1966" s="1"/>
      <c r="AX1966" s="1"/>
      <c r="AY1966" s="1" t="s">
        <v>34491</v>
      </c>
      <c r="AZ1966" s="1" t="s">
        <v>34492</v>
      </c>
      <c r="BA1966" s="1"/>
      <c r="BB1966" s="1"/>
      <c r="BC1966" s="1" t="s">
        <v>105</v>
      </c>
      <c r="BD1966" s="1" t="s">
        <v>313</v>
      </c>
      <c r="BE1966" s="1">
        <v>88.9</v>
      </c>
      <c r="BF1966" s="1">
        <v>8.89</v>
      </c>
      <c r="BG1966" s="1"/>
      <c r="BH1966" s="1"/>
      <c r="BI1966" s="1"/>
      <c r="BJ1966" s="1"/>
      <c r="BK1966" s="1"/>
      <c r="BL1966" s="1"/>
      <c r="BM1966" s="1"/>
      <c r="BN1966" s="1"/>
      <c r="BO1966" s="1" t="s">
        <v>1114</v>
      </c>
      <c r="BP1966" s="1" t="s">
        <v>34493</v>
      </c>
      <c r="BQ1966" s="1" t="s">
        <v>8010</v>
      </c>
      <c r="BR1966" s="1" t="s">
        <v>34494</v>
      </c>
      <c r="BS1966" s="1">
        <v>10</v>
      </c>
      <c r="BT1966" s="1"/>
      <c r="BU1966" s="1" t="str">
        <f>HYPERLINK("https://nconnect.nicmar.ac.in/storage/profile/ProfilePhoto_p2270575_583647.jpg","Download")</f>
        <v>0</v>
      </c>
      <c r="BV1966" s="3"/>
      <c r="BW1966" s="3"/>
    </row>
    <row r="1967" spans="1:75">
      <c r="A1967" s="1" t="s">
        <v>75</v>
      </c>
      <c r="B1967" s="1" t="s">
        <v>25236</v>
      </c>
      <c r="C1967" s="1" t="s">
        <v>34495</v>
      </c>
      <c r="D1967" s="1" t="s">
        <v>34496</v>
      </c>
      <c r="E1967" s="1"/>
      <c r="F1967" s="1" t="s">
        <v>34497</v>
      </c>
      <c r="G1967" s="1" t="s">
        <v>34498</v>
      </c>
      <c r="H1967" s="1" t="s">
        <v>34499</v>
      </c>
      <c r="I1967" s="1" t="s">
        <v>34500</v>
      </c>
      <c r="J1967" s="1">
        <v>9965124139</v>
      </c>
      <c r="K1967" s="1" t="s">
        <v>84</v>
      </c>
      <c r="L1967" s="1" t="s">
        <v>34501</v>
      </c>
      <c r="M1967" s="1" t="s">
        <v>86</v>
      </c>
      <c r="N1967" s="1" t="s">
        <v>34502</v>
      </c>
      <c r="O1967" s="1" t="s">
        <v>34503</v>
      </c>
      <c r="P1967" s="1" t="s">
        <v>481</v>
      </c>
      <c r="Q1967" s="1" t="s">
        <v>34504</v>
      </c>
      <c r="R1967" s="1" t="s">
        <v>34505</v>
      </c>
      <c r="S1967" s="1">
        <v>9842464603</v>
      </c>
      <c r="T1967" s="1" t="s">
        <v>92</v>
      </c>
      <c r="U1967" s="1" t="s">
        <v>34506</v>
      </c>
      <c r="V1967" s="1">
        <v>9578964603</v>
      </c>
      <c r="W1967" s="1" t="s">
        <v>541</v>
      </c>
      <c r="X1967" s="1" t="s">
        <v>34507</v>
      </c>
      <c r="Y1967" s="1" t="s">
        <v>8878</v>
      </c>
      <c r="Z1967" s="1" t="s">
        <v>570</v>
      </c>
      <c r="AA1967" s="1" t="s">
        <v>34507</v>
      </c>
      <c r="AB1967" s="1" t="s">
        <v>8878</v>
      </c>
      <c r="AC1967" s="1" t="s">
        <v>570</v>
      </c>
      <c r="AD1967" s="1" t="s">
        <v>98</v>
      </c>
      <c r="AE1967" s="1" t="s">
        <v>98</v>
      </c>
      <c r="AF1967" s="1" t="s">
        <v>34508</v>
      </c>
      <c r="AG1967" s="1" t="s">
        <v>34509</v>
      </c>
      <c r="AH1967" s="1" t="s">
        <v>1262</v>
      </c>
      <c r="AI1967" s="1" t="s">
        <v>102</v>
      </c>
      <c r="AJ1967" s="1">
        <v>77.9</v>
      </c>
      <c r="AK1967" s="1">
        <v>8.2</v>
      </c>
      <c r="AL1967" s="1" t="s">
        <v>34510</v>
      </c>
      <c r="AM1967" s="1" t="s">
        <v>34509</v>
      </c>
      <c r="AN1967" s="1"/>
      <c r="AO1967" s="1" t="s">
        <v>627</v>
      </c>
      <c r="AP1967" s="1" t="s">
        <v>573</v>
      </c>
      <c r="AQ1967" s="1">
        <v>70.2</v>
      </c>
      <c r="AR1967" s="1"/>
      <c r="AS1967" s="1"/>
      <c r="AT1967" s="1"/>
      <c r="AU1967" s="1"/>
      <c r="AV1967" s="1"/>
      <c r="AW1967" s="1"/>
      <c r="AX1967" s="1"/>
      <c r="AY1967" s="1" t="s">
        <v>576</v>
      </c>
      <c r="AZ1967" s="1" t="s">
        <v>34511</v>
      </c>
      <c r="BA1967" s="1"/>
      <c r="BB1967" s="1"/>
      <c r="BC1967" s="1" t="s">
        <v>170</v>
      </c>
      <c r="BD1967" s="1" t="s">
        <v>2304</v>
      </c>
      <c r="BE1967" s="1">
        <v>80.7</v>
      </c>
      <c r="BF1967" s="1"/>
      <c r="BG1967" s="1"/>
      <c r="BH1967" s="1"/>
      <c r="BI1967" s="1"/>
      <c r="BJ1967" s="1"/>
      <c r="BK1967" s="1"/>
      <c r="BL1967" s="1"/>
      <c r="BM1967" s="1"/>
      <c r="BN1967" s="1"/>
      <c r="BO1967" s="1" t="s">
        <v>34512</v>
      </c>
      <c r="BP1967" s="1" t="s">
        <v>34513</v>
      </c>
      <c r="BQ1967" s="1" t="s">
        <v>2116</v>
      </c>
      <c r="BR1967" s="1" t="s">
        <v>34514</v>
      </c>
      <c r="BS1967" s="1">
        <v>12</v>
      </c>
      <c r="BT1967" s="1"/>
      <c r="BU1967" s="1" t="str">
        <f>HYPERLINK("https://nconnect.nicmar.ac.in/storage/profile/ProfilePhoto_p2270576_578642.jpg","Download")</f>
        <v>0</v>
      </c>
      <c r="BV1967" s="3"/>
      <c r="BW1967" s="3"/>
    </row>
    <row r="1968" spans="1:75">
      <c r="A1968" s="1" t="s">
        <v>75</v>
      </c>
      <c r="B1968" s="1" t="s">
        <v>25236</v>
      </c>
      <c r="C1968" s="1" t="s">
        <v>34515</v>
      </c>
      <c r="D1968" s="1" t="s">
        <v>761</v>
      </c>
      <c r="E1968" s="1" t="s">
        <v>34516</v>
      </c>
      <c r="F1968" s="1" t="s">
        <v>34517</v>
      </c>
      <c r="G1968" s="1" t="s">
        <v>34518</v>
      </c>
      <c r="H1968" s="1" t="s">
        <v>34519</v>
      </c>
      <c r="I1968" s="1" t="s">
        <v>34520</v>
      </c>
      <c r="J1968" s="1">
        <v>9518338871</v>
      </c>
      <c r="K1968" s="1" t="s">
        <v>84</v>
      </c>
      <c r="L1968" s="1" t="s">
        <v>767</v>
      </c>
      <c r="M1968" s="1" t="s">
        <v>86</v>
      </c>
      <c r="N1968" s="1" t="s">
        <v>34521</v>
      </c>
      <c r="O1968" s="1" t="s">
        <v>34522</v>
      </c>
      <c r="P1968" s="1" t="s">
        <v>507</v>
      </c>
      <c r="Q1968" s="1" t="s">
        <v>34523</v>
      </c>
      <c r="R1968" s="1" t="s">
        <v>34516</v>
      </c>
      <c r="S1968" s="1">
        <v>9421416761</v>
      </c>
      <c r="T1968" s="1" t="s">
        <v>7822</v>
      </c>
      <c r="U1968" s="1" t="s">
        <v>2178</v>
      </c>
      <c r="V1968" s="1">
        <v>9168981008</v>
      </c>
      <c r="W1968" s="1" t="s">
        <v>161</v>
      </c>
      <c r="X1968" s="1" t="s">
        <v>34524</v>
      </c>
      <c r="Y1968" s="1" t="s">
        <v>96</v>
      </c>
      <c r="Z1968" s="1" t="s">
        <v>97</v>
      </c>
      <c r="AA1968" s="1" t="s">
        <v>34524</v>
      </c>
      <c r="AB1968" s="1" t="s">
        <v>96</v>
      </c>
      <c r="AC1968" s="1" t="s">
        <v>97</v>
      </c>
      <c r="AD1968" s="1" t="s">
        <v>98</v>
      </c>
      <c r="AE1968" s="1" t="s">
        <v>98</v>
      </c>
      <c r="AF1968" s="1" t="s">
        <v>34525</v>
      </c>
      <c r="AG1968" s="1" t="s">
        <v>27060</v>
      </c>
      <c r="AH1968" s="1" t="s">
        <v>136</v>
      </c>
      <c r="AI1968" s="1" t="s">
        <v>627</v>
      </c>
      <c r="AJ1968" s="1">
        <v>81.7</v>
      </c>
      <c r="AK1968" s="1">
        <v>8.6</v>
      </c>
      <c r="AL1968" s="1" t="s">
        <v>34526</v>
      </c>
      <c r="AM1968" s="1" t="s">
        <v>27060</v>
      </c>
      <c r="AN1968" s="1"/>
      <c r="AO1968" s="1" t="s">
        <v>704</v>
      </c>
      <c r="AP1968" s="1" t="s">
        <v>171</v>
      </c>
      <c r="AQ1968" s="1">
        <v>78</v>
      </c>
      <c r="AR1968" s="1"/>
      <c r="AS1968" s="1"/>
      <c r="AT1968" s="1"/>
      <c r="AU1968" s="1"/>
      <c r="AV1968" s="1"/>
      <c r="AW1968" s="1"/>
      <c r="AX1968" s="1"/>
      <c r="AY1968" s="1" t="s">
        <v>34527</v>
      </c>
      <c r="AZ1968" s="1" t="s">
        <v>34527</v>
      </c>
      <c r="BA1968" s="1"/>
      <c r="BB1968" s="1"/>
      <c r="BC1968" s="1" t="s">
        <v>1065</v>
      </c>
      <c r="BD1968" s="1" t="s">
        <v>1400</v>
      </c>
      <c r="BE1968" s="1">
        <v>85.65</v>
      </c>
      <c r="BF1968" s="1">
        <v>8.96</v>
      </c>
      <c r="BG1968" s="1"/>
      <c r="BH1968" s="1"/>
      <c r="BI1968" s="1"/>
      <c r="BJ1968" s="1"/>
      <c r="BK1968" s="1"/>
      <c r="BL1968" s="1"/>
      <c r="BM1968" s="1"/>
      <c r="BN1968" s="1"/>
      <c r="BO1968" s="1" t="s">
        <v>34528</v>
      </c>
      <c r="BP1968" s="1"/>
      <c r="BQ1968" s="1"/>
      <c r="BR1968" s="1" t="s">
        <v>34529</v>
      </c>
      <c r="BS1968" s="1">
        <v>20</v>
      </c>
      <c r="BT1968" s="1"/>
      <c r="BU1968" s="1" t="str">
        <f>HYPERLINK("https://nconnect.nicmar.ac.in/storage/profile/ProfilePhoto_p2270577_137692.jpg","Download")</f>
        <v>0</v>
      </c>
      <c r="BV1968" s="3"/>
      <c r="BW1968" s="3"/>
    </row>
    <row r="1969" spans="1:75">
      <c r="A1969" s="1" t="s">
        <v>75</v>
      </c>
      <c r="B1969" s="1" t="s">
        <v>25236</v>
      </c>
      <c r="C1969" s="1" t="s">
        <v>34530</v>
      </c>
      <c r="D1969" s="1" t="s">
        <v>34531</v>
      </c>
      <c r="E1969" s="1" t="s">
        <v>34532</v>
      </c>
      <c r="F1969" s="1" t="s">
        <v>34533</v>
      </c>
      <c r="G1969" s="1" t="s">
        <v>34534</v>
      </c>
      <c r="H1969" s="1" t="s">
        <v>34535</v>
      </c>
      <c r="I1969" s="1" t="s">
        <v>34536</v>
      </c>
      <c r="J1969" s="1">
        <v>8329220977</v>
      </c>
      <c r="K1969" s="1" t="s">
        <v>84</v>
      </c>
      <c r="L1969" s="1" t="s">
        <v>34537</v>
      </c>
      <c r="M1969" s="1" t="s">
        <v>86</v>
      </c>
      <c r="N1969" s="1" t="s">
        <v>2988</v>
      </c>
      <c r="O1969" s="1" t="s">
        <v>34538</v>
      </c>
      <c r="P1969" s="1" t="s">
        <v>455</v>
      </c>
      <c r="Q1969" s="1" t="s">
        <v>34539</v>
      </c>
      <c r="R1969" s="1" t="s">
        <v>34540</v>
      </c>
      <c r="S1969" s="1">
        <v>9371393969</v>
      </c>
      <c r="T1969" s="1" t="s">
        <v>125</v>
      </c>
      <c r="U1969" s="1" t="s">
        <v>34541</v>
      </c>
      <c r="V1969" s="1">
        <v>9371393969</v>
      </c>
      <c r="W1969" s="1" t="s">
        <v>161</v>
      </c>
      <c r="X1969" s="1" t="s">
        <v>34542</v>
      </c>
      <c r="Y1969" s="1" t="s">
        <v>14745</v>
      </c>
      <c r="Z1969" s="1" t="s">
        <v>97</v>
      </c>
      <c r="AA1969" s="1" t="s">
        <v>34542</v>
      </c>
      <c r="AB1969" s="1" t="s">
        <v>14745</v>
      </c>
      <c r="AC1969" s="1" t="s">
        <v>97</v>
      </c>
      <c r="AD1969" s="1" t="s">
        <v>98</v>
      </c>
      <c r="AE1969" s="1" t="s">
        <v>98</v>
      </c>
      <c r="AF1969" s="1" t="s">
        <v>34543</v>
      </c>
      <c r="AG1969" s="1" t="s">
        <v>34544</v>
      </c>
      <c r="AH1969" s="1" t="s">
        <v>289</v>
      </c>
      <c r="AI1969" s="1" t="s">
        <v>797</v>
      </c>
      <c r="AJ1969" s="1">
        <v>70.3</v>
      </c>
      <c r="AK1969" s="1"/>
      <c r="AL1969" s="1" t="s">
        <v>34545</v>
      </c>
      <c r="AM1969" s="1" t="s">
        <v>34544</v>
      </c>
      <c r="AN1969" s="1"/>
      <c r="AO1969" s="1" t="s">
        <v>7331</v>
      </c>
      <c r="AP1969" s="1" t="s">
        <v>799</v>
      </c>
      <c r="AQ1969" s="1">
        <v>52.33</v>
      </c>
      <c r="AR1969" s="1"/>
      <c r="AS1969" s="1"/>
      <c r="AT1969" s="1"/>
      <c r="AU1969" s="1"/>
      <c r="AV1969" s="1"/>
      <c r="AW1969" s="1"/>
      <c r="AX1969" s="1"/>
      <c r="AY1969" s="1" t="s">
        <v>34546</v>
      </c>
      <c r="AZ1969" s="1" t="s">
        <v>34546</v>
      </c>
      <c r="BA1969" s="1"/>
      <c r="BB1969" s="1"/>
      <c r="BC1969" s="1" t="s">
        <v>339</v>
      </c>
      <c r="BD1969" s="1" t="s">
        <v>14379</v>
      </c>
      <c r="BE1969" s="1">
        <v>64.5</v>
      </c>
      <c r="BF1969" s="1">
        <v>6.45</v>
      </c>
      <c r="BG1969" s="1" t="s">
        <v>34547</v>
      </c>
      <c r="BH1969" s="1" t="s">
        <v>1062</v>
      </c>
      <c r="BI1969" s="1"/>
      <c r="BJ1969" s="1"/>
      <c r="BK1969" s="1" t="s">
        <v>33882</v>
      </c>
      <c r="BL1969" s="1" t="s">
        <v>364</v>
      </c>
      <c r="BM1969" s="1">
        <v>67.7</v>
      </c>
      <c r="BN1969" s="1">
        <v>6.77</v>
      </c>
      <c r="BO1969" s="1" t="s">
        <v>34548</v>
      </c>
      <c r="BP1969" s="1" t="s">
        <v>34549</v>
      </c>
      <c r="BQ1969" s="1" t="s">
        <v>8010</v>
      </c>
      <c r="BR1969" s="1" t="s">
        <v>34550</v>
      </c>
      <c r="BS1969" s="1">
        <v>43</v>
      </c>
      <c r="BT1969" s="1"/>
      <c r="BU1969" s="1" t="str">
        <f>HYPERLINK("https://nconnect.nicmar.ac.in/storage/profile/ProfilePhoto_p2270578_569137.jpg","Download")</f>
        <v>0</v>
      </c>
      <c r="BV1969" s="3"/>
      <c r="BW1969" s="3"/>
    </row>
    <row r="1970" spans="1:75">
      <c r="A1970" s="1" t="s">
        <v>75</v>
      </c>
      <c r="B1970" s="1" t="s">
        <v>25236</v>
      </c>
      <c r="C1970" s="1" t="s">
        <v>34551</v>
      </c>
      <c r="D1970" s="1" t="s">
        <v>34552</v>
      </c>
      <c r="E1970" s="1" t="s">
        <v>9424</v>
      </c>
      <c r="F1970" s="1" t="s">
        <v>34553</v>
      </c>
      <c r="G1970" s="1" t="s">
        <v>34554</v>
      </c>
      <c r="H1970" s="1" t="s">
        <v>34555</v>
      </c>
      <c r="I1970" s="1" t="s">
        <v>34556</v>
      </c>
      <c r="J1970" s="1">
        <v>8452094991</v>
      </c>
      <c r="K1970" s="1" t="s">
        <v>153</v>
      </c>
      <c r="L1970" s="1" t="s">
        <v>34557</v>
      </c>
      <c r="M1970" s="1" t="s">
        <v>86</v>
      </c>
      <c r="N1970" s="1" t="s">
        <v>34558</v>
      </c>
      <c r="O1970" s="1" t="s">
        <v>34559</v>
      </c>
      <c r="P1970" s="1" t="s">
        <v>455</v>
      </c>
      <c r="Q1970" s="1" t="s">
        <v>34560</v>
      </c>
      <c r="R1970" s="1" t="s">
        <v>34561</v>
      </c>
      <c r="S1970" s="1">
        <v>9619066529</v>
      </c>
      <c r="T1970" s="1" t="s">
        <v>839</v>
      </c>
      <c r="U1970" s="1" t="s">
        <v>34562</v>
      </c>
      <c r="V1970" s="1">
        <v>8452094991</v>
      </c>
      <c r="W1970" s="1" t="s">
        <v>161</v>
      </c>
      <c r="X1970" s="1" t="s">
        <v>34563</v>
      </c>
      <c r="Y1970" s="1" t="s">
        <v>1012</v>
      </c>
      <c r="Z1970" s="1" t="s">
        <v>97</v>
      </c>
      <c r="AA1970" s="1" t="s">
        <v>34563</v>
      </c>
      <c r="AB1970" s="1" t="s">
        <v>1012</v>
      </c>
      <c r="AC1970" s="1" t="s">
        <v>97</v>
      </c>
      <c r="AD1970" s="1" t="s">
        <v>98</v>
      </c>
      <c r="AE1970" s="1" t="s">
        <v>98</v>
      </c>
      <c r="AF1970" s="1" t="s">
        <v>34564</v>
      </c>
      <c r="AG1970" s="1" t="s">
        <v>775</v>
      </c>
      <c r="AH1970" s="1" t="s">
        <v>101</v>
      </c>
      <c r="AI1970" s="1" t="s">
        <v>136</v>
      </c>
      <c r="AJ1970" s="1">
        <v>79.8</v>
      </c>
      <c r="AK1970" s="1">
        <v>8.4</v>
      </c>
      <c r="AL1970" s="1" t="s">
        <v>34565</v>
      </c>
      <c r="AM1970" s="1" t="s">
        <v>775</v>
      </c>
      <c r="AN1970" s="1"/>
      <c r="AO1970" s="1" t="s">
        <v>167</v>
      </c>
      <c r="AP1970" s="1" t="s">
        <v>518</v>
      </c>
      <c r="AQ1970" s="1">
        <v>65.54</v>
      </c>
      <c r="AR1970" s="1">
        <v>6.8</v>
      </c>
      <c r="AS1970" s="1"/>
      <c r="AT1970" s="1"/>
      <c r="AU1970" s="1"/>
      <c r="AV1970" s="1"/>
      <c r="AW1970" s="1"/>
      <c r="AX1970" s="1"/>
      <c r="AY1970" s="1" t="s">
        <v>680</v>
      </c>
      <c r="AZ1970" s="1" t="s">
        <v>34566</v>
      </c>
      <c r="BA1970" s="1"/>
      <c r="BB1970" s="1"/>
      <c r="BC1970" s="1" t="s">
        <v>388</v>
      </c>
      <c r="BD1970" s="1" t="s">
        <v>632</v>
      </c>
      <c r="BE1970" s="1">
        <v>69.2</v>
      </c>
      <c r="BF1970" s="1">
        <v>7.73</v>
      </c>
      <c r="BG1970" s="1"/>
      <c r="BH1970" s="1"/>
      <c r="BI1970" s="1"/>
      <c r="BJ1970" s="1"/>
      <c r="BK1970" s="1"/>
      <c r="BL1970" s="1"/>
      <c r="BM1970" s="1"/>
      <c r="BN1970" s="1"/>
      <c r="BO1970" s="1" t="s">
        <v>34567</v>
      </c>
      <c r="BP1970" s="1"/>
      <c r="BQ1970" s="1"/>
      <c r="BR1970" s="1" t="s">
        <v>34568</v>
      </c>
      <c r="BS1970" s="1">
        <v>28</v>
      </c>
      <c r="BT1970" s="1"/>
      <c r="BU1970" s="1" t="str">
        <f>HYPERLINK("https://nconnect.nicmar.ac.in/storage/profile/ProfilePhoto_p2270579_749651.jpg","Download")</f>
        <v>0</v>
      </c>
      <c r="BV1970" s="3"/>
      <c r="BW1970" s="3"/>
    </row>
    <row r="1971" spans="1:75">
      <c r="A1971" s="1" t="s">
        <v>75</v>
      </c>
      <c r="B1971" s="1" t="s">
        <v>25236</v>
      </c>
      <c r="C1971" s="1" t="s">
        <v>34569</v>
      </c>
      <c r="D1971" s="1" t="s">
        <v>34570</v>
      </c>
      <c r="E1971" s="1"/>
      <c r="F1971" s="1" t="s">
        <v>33397</v>
      </c>
      <c r="G1971" s="1" t="s">
        <v>34571</v>
      </c>
      <c r="H1971" s="1" t="s">
        <v>34572</v>
      </c>
      <c r="I1971" s="1" t="s">
        <v>34573</v>
      </c>
      <c r="J1971" s="1">
        <v>8867516869</v>
      </c>
      <c r="K1971" s="1" t="s">
        <v>153</v>
      </c>
      <c r="L1971" s="1" t="s">
        <v>34574</v>
      </c>
      <c r="M1971" s="1" t="s">
        <v>86</v>
      </c>
      <c r="N1971" s="1" t="s">
        <v>34575</v>
      </c>
      <c r="O1971" s="1" t="s">
        <v>34576</v>
      </c>
      <c r="P1971" s="1" t="s">
        <v>455</v>
      </c>
      <c r="Q1971" s="1" t="s">
        <v>34577</v>
      </c>
      <c r="R1971" s="1" t="s">
        <v>34578</v>
      </c>
      <c r="S1971" s="1">
        <v>9886941850</v>
      </c>
      <c r="T1971" s="1" t="s">
        <v>34579</v>
      </c>
      <c r="U1971" s="1" t="s">
        <v>34580</v>
      </c>
      <c r="V1971" s="1">
        <v>9036757321</v>
      </c>
      <c r="W1971" s="1" t="s">
        <v>4695</v>
      </c>
      <c r="X1971" s="1" t="s">
        <v>34581</v>
      </c>
      <c r="Y1971" s="1" t="s">
        <v>3132</v>
      </c>
      <c r="Z1971" s="1" t="s">
        <v>1210</v>
      </c>
      <c r="AA1971" s="1" t="s">
        <v>34581</v>
      </c>
      <c r="AB1971" s="1" t="s">
        <v>3132</v>
      </c>
      <c r="AC1971" s="1" t="s">
        <v>1210</v>
      </c>
      <c r="AD1971" s="1" t="s">
        <v>98</v>
      </c>
      <c r="AE1971" s="1" t="s">
        <v>98</v>
      </c>
      <c r="AF1971" s="1" t="s">
        <v>34582</v>
      </c>
      <c r="AG1971" s="1" t="s">
        <v>34583</v>
      </c>
      <c r="AH1971" s="1" t="s">
        <v>101</v>
      </c>
      <c r="AI1971" s="1" t="s">
        <v>1110</v>
      </c>
      <c r="AJ1971" s="1">
        <v>85.12</v>
      </c>
      <c r="AK1971" s="1"/>
      <c r="AL1971" s="1" t="s">
        <v>34584</v>
      </c>
      <c r="AM1971" s="1" t="s">
        <v>34583</v>
      </c>
      <c r="AN1971" s="1"/>
      <c r="AO1971" s="1" t="s">
        <v>166</v>
      </c>
      <c r="AP1971" s="1" t="s">
        <v>200</v>
      </c>
      <c r="AQ1971" s="1">
        <v>76.33</v>
      </c>
      <c r="AR1971" s="1"/>
      <c r="AS1971" s="1"/>
      <c r="AT1971" s="1"/>
      <c r="AU1971" s="1"/>
      <c r="AV1971" s="1"/>
      <c r="AW1971" s="1"/>
      <c r="AX1971" s="1"/>
      <c r="AY1971" s="1" t="s">
        <v>34585</v>
      </c>
      <c r="AZ1971" s="1" t="s">
        <v>1217</v>
      </c>
      <c r="BA1971" s="1"/>
      <c r="BB1971" s="1"/>
      <c r="BC1971" s="1" t="s">
        <v>230</v>
      </c>
      <c r="BD1971" s="1" t="s">
        <v>549</v>
      </c>
      <c r="BE1971" s="1">
        <v>76</v>
      </c>
      <c r="BF1971" s="1">
        <v>8</v>
      </c>
      <c r="BG1971" s="1"/>
      <c r="BH1971" s="1"/>
      <c r="BI1971" s="1"/>
      <c r="BJ1971" s="1"/>
      <c r="BK1971" s="1"/>
      <c r="BL1971" s="1"/>
      <c r="BM1971" s="1"/>
      <c r="BN1971" s="1"/>
      <c r="BO1971" s="1" t="s">
        <v>1826</v>
      </c>
      <c r="BP1971" s="1" t="s">
        <v>34586</v>
      </c>
      <c r="BQ1971" s="1" t="s">
        <v>1070</v>
      </c>
      <c r="BR1971" s="1" t="s">
        <v>34587</v>
      </c>
      <c r="BS1971" s="1">
        <v>16</v>
      </c>
      <c r="BT1971" s="1"/>
      <c r="BU1971" s="1" t="str">
        <f>HYPERLINK("https://nconnect.nicmar.ac.in/storage/profile/ProfilePhoto_p2270580_123647.jpg","Download")</f>
        <v>0</v>
      </c>
      <c r="BV1971" s="3"/>
      <c r="BW1971" s="3"/>
    </row>
    <row r="1972" spans="1:75">
      <c r="A1972" s="1" t="s">
        <v>75</v>
      </c>
      <c r="B1972" s="1" t="s">
        <v>25236</v>
      </c>
      <c r="C1972" s="1" t="s">
        <v>34588</v>
      </c>
      <c r="D1972" s="1" t="s">
        <v>1118</v>
      </c>
      <c r="E1972" s="1"/>
      <c r="F1972" s="1" t="s">
        <v>34589</v>
      </c>
      <c r="G1972" s="1" t="s">
        <v>34590</v>
      </c>
      <c r="H1972" s="1" t="s">
        <v>34591</v>
      </c>
      <c r="I1972" s="1" t="s">
        <v>34592</v>
      </c>
      <c r="J1972" s="1">
        <v>7898490058</v>
      </c>
      <c r="K1972" s="1" t="s">
        <v>84</v>
      </c>
      <c r="L1972" s="1" t="s">
        <v>34593</v>
      </c>
      <c r="M1972" s="1" t="s">
        <v>86</v>
      </c>
      <c r="N1972" s="1" t="s">
        <v>34594</v>
      </c>
      <c r="O1972" s="1"/>
      <c r="P1972" s="1" t="s">
        <v>481</v>
      </c>
      <c r="Q1972" s="1" t="s">
        <v>34595</v>
      </c>
      <c r="R1972" s="1" t="s">
        <v>34596</v>
      </c>
      <c r="S1972" s="1">
        <v>7000140499</v>
      </c>
      <c r="T1972" s="1" t="s">
        <v>32428</v>
      </c>
      <c r="U1972" s="1" t="s">
        <v>34597</v>
      </c>
      <c r="V1972" s="1">
        <v>9424271740</v>
      </c>
      <c r="W1972" s="1" t="s">
        <v>34598</v>
      </c>
      <c r="X1972" s="1" t="s">
        <v>34599</v>
      </c>
      <c r="Y1972" s="1" t="s">
        <v>34600</v>
      </c>
      <c r="Z1972" s="1" t="s">
        <v>2933</v>
      </c>
      <c r="AA1972" s="1" t="s">
        <v>34599</v>
      </c>
      <c r="AB1972" s="1" t="s">
        <v>34600</v>
      </c>
      <c r="AC1972" s="1" t="s">
        <v>2933</v>
      </c>
      <c r="AD1972" s="1" t="s">
        <v>98</v>
      </c>
      <c r="AE1972" s="1" t="s">
        <v>98</v>
      </c>
      <c r="AF1972" s="1" t="s">
        <v>11394</v>
      </c>
      <c r="AG1972" s="1" t="s">
        <v>34601</v>
      </c>
      <c r="AH1972" s="1" t="s">
        <v>1110</v>
      </c>
      <c r="AI1972" s="1" t="s">
        <v>1111</v>
      </c>
      <c r="AJ1972" s="1">
        <v>87.4</v>
      </c>
      <c r="AK1972" s="1">
        <v>9.2</v>
      </c>
      <c r="AL1972" s="1" t="s">
        <v>34602</v>
      </c>
      <c r="AM1972" s="1" t="s">
        <v>34601</v>
      </c>
      <c r="AN1972" s="1"/>
      <c r="AO1972" s="1" t="s">
        <v>139</v>
      </c>
      <c r="AP1972" s="1" t="s">
        <v>286</v>
      </c>
      <c r="AQ1972" s="1">
        <v>71.8</v>
      </c>
      <c r="AR1972" s="1"/>
      <c r="AS1972" s="1"/>
      <c r="AT1972" s="1"/>
      <c r="AU1972" s="1"/>
      <c r="AV1972" s="1"/>
      <c r="AW1972" s="1"/>
      <c r="AX1972" s="1"/>
      <c r="AY1972" s="1" t="s">
        <v>34603</v>
      </c>
      <c r="AZ1972" s="1" t="s">
        <v>5106</v>
      </c>
      <c r="BA1972" s="1"/>
      <c r="BB1972" s="1"/>
      <c r="BC1972" s="1" t="s">
        <v>1065</v>
      </c>
      <c r="BD1972" s="1" t="s">
        <v>632</v>
      </c>
      <c r="BE1972" s="1">
        <v>85</v>
      </c>
      <c r="BF1972" s="1">
        <v>8.5</v>
      </c>
      <c r="BG1972" s="1"/>
      <c r="BH1972" s="1"/>
      <c r="BI1972" s="1"/>
      <c r="BJ1972" s="1"/>
      <c r="BK1972" s="1"/>
      <c r="BL1972" s="1"/>
      <c r="BM1972" s="1"/>
      <c r="BN1972" s="1"/>
      <c r="BO1972" s="1" t="s">
        <v>34604</v>
      </c>
      <c r="BP1972" s="1"/>
      <c r="BQ1972" s="1"/>
      <c r="BR1972" s="1" t="s">
        <v>34605</v>
      </c>
      <c r="BS1972" s="1">
        <v>50</v>
      </c>
      <c r="BT1972" s="1"/>
      <c r="BU1972" s="1" t="str">
        <f>HYPERLINK("https://nconnect.nicmar.ac.in/storage/profile/ProfilePhoto_p2270581_891253.jpg","Download")</f>
        <v>0</v>
      </c>
      <c r="BV1972" s="3"/>
      <c r="BW1972" s="3"/>
    </row>
    <row r="1973" spans="1:75">
      <c r="A1973" s="1" t="s">
        <v>75</v>
      </c>
      <c r="B1973" s="1" t="s">
        <v>25236</v>
      </c>
      <c r="C1973" s="1" t="s">
        <v>34606</v>
      </c>
      <c r="D1973" s="1" t="s">
        <v>34607</v>
      </c>
      <c r="E1973" s="1" t="s">
        <v>2500</v>
      </c>
      <c r="F1973" s="1" t="s">
        <v>34608</v>
      </c>
      <c r="G1973" s="1" t="s">
        <v>34609</v>
      </c>
      <c r="H1973" s="1" t="s">
        <v>34610</v>
      </c>
      <c r="I1973" s="1" t="s">
        <v>34611</v>
      </c>
      <c r="J1973" s="1">
        <v>8976145358</v>
      </c>
      <c r="K1973" s="1" t="s">
        <v>84</v>
      </c>
      <c r="L1973" s="1" t="s">
        <v>34612</v>
      </c>
      <c r="M1973" s="1" t="s">
        <v>86</v>
      </c>
      <c r="N1973" s="1" t="s">
        <v>768</v>
      </c>
      <c r="O1973" s="1"/>
      <c r="P1973" s="1" t="s">
        <v>507</v>
      </c>
      <c r="Q1973" s="1" t="s">
        <v>34613</v>
      </c>
      <c r="R1973" s="1" t="s">
        <v>34614</v>
      </c>
      <c r="S1973" s="1">
        <v>8369221978</v>
      </c>
      <c r="T1973" s="1" t="s">
        <v>645</v>
      </c>
      <c r="U1973" s="1" t="s">
        <v>34615</v>
      </c>
      <c r="V1973" s="1">
        <v>9869032218</v>
      </c>
      <c r="W1973" s="1" t="s">
        <v>645</v>
      </c>
      <c r="X1973" s="1" t="s">
        <v>34616</v>
      </c>
      <c r="Y1973" s="1" t="s">
        <v>1882</v>
      </c>
      <c r="Z1973" s="1" t="s">
        <v>97</v>
      </c>
      <c r="AA1973" s="1" t="s">
        <v>34616</v>
      </c>
      <c r="AB1973" s="1" t="s">
        <v>1882</v>
      </c>
      <c r="AC1973" s="1" t="s">
        <v>97</v>
      </c>
      <c r="AD1973" s="1" t="s">
        <v>98</v>
      </c>
      <c r="AE1973" s="1" t="s">
        <v>98</v>
      </c>
      <c r="AF1973" s="1" t="s">
        <v>34617</v>
      </c>
      <c r="AG1973" s="1" t="s">
        <v>629</v>
      </c>
      <c r="AH1973" s="1" t="s">
        <v>166</v>
      </c>
      <c r="AI1973" s="1" t="s">
        <v>167</v>
      </c>
      <c r="AJ1973" s="1">
        <v>81.2</v>
      </c>
      <c r="AK1973" s="1"/>
      <c r="AL1973" s="1"/>
      <c r="AM1973" s="1"/>
      <c r="AN1973" s="1"/>
      <c r="AO1973" s="1"/>
      <c r="AP1973" s="1"/>
      <c r="AQ1973" s="1"/>
      <c r="AR1973" s="1"/>
      <c r="AS1973" s="1" t="s">
        <v>439</v>
      </c>
      <c r="AT1973" s="1" t="s">
        <v>34618</v>
      </c>
      <c r="AU1973" s="1" t="s">
        <v>139</v>
      </c>
      <c r="AV1973" s="1" t="s">
        <v>438</v>
      </c>
      <c r="AW1973" s="1">
        <v>75.82</v>
      </c>
      <c r="AX1973" s="1"/>
      <c r="AY1973" s="1" t="s">
        <v>680</v>
      </c>
      <c r="AZ1973" s="1" t="s">
        <v>34619</v>
      </c>
      <c r="BA1973" s="1"/>
      <c r="BB1973" s="1"/>
      <c r="BC1973" s="1" t="s">
        <v>206</v>
      </c>
      <c r="BD1973" s="1" t="s">
        <v>1400</v>
      </c>
      <c r="BE1973" s="1">
        <v>67.68</v>
      </c>
      <c r="BF1973" s="1">
        <v>7.62</v>
      </c>
      <c r="BG1973" s="1"/>
      <c r="BH1973" s="1"/>
      <c r="BI1973" s="1"/>
      <c r="BJ1973" s="1"/>
      <c r="BK1973" s="1"/>
      <c r="BL1973" s="1"/>
      <c r="BM1973" s="1"/>
      <c r="BN1973" s="1"/>
      <c r="BO1973" s="1" t="s">
        <v>34620</v>
      </c>
      <c r="BP1973" s="1"/>
      <c r="BQ1973" s="1"/>
      <c r="BR1973" s="1" t="s">
        <v>34621</v>
      </c>
      <c r="BS1973" s="1">
        <v>59</v>
      </c>
      <c r="BT1973" s="1"/>
      <c r="BU1973" s="1" t="str">
        <f>HYPERLINK("https://nconnect.nicmar.ac.in/storage/profile/ProfilePhoto_p2270582_562789.jpg","Download")</f>
        <v>0</v>
      </c>
      <c r="BV1973" s="3"/>
      <c r="BW1973" s="3"/>
    </row>
    <row r="1974" spans="1:75">
      <c r="A1974" s="1" t="s">
        <v>75</v>
      </c>
      <c r="B1974" s="1" t="s">
        <v>25236</v>
      </c>
      <c r="C1974" s="1" t="s">
        <v>34622</v>
      </c>
      <c r="D1974" s="1" t="s">
        <v>1425</v>
      </c>
      <c r="E1974" s="1"/>
      <c r="F1974" s="1" t="s">
        <v>116</v>
      </c>
      <c r="G1974" s="1" t="s">
        <v>34623</v>
      </c>
      <c r="H1974" s="1" t="s">
        <v>34624</v>
      </c>
      <c r="I1974" s="1" t="s">
        <v>34625</v>
      </c>
      <c r="J1974" s="1">
        <v>7293365899</v>
      </c>
      <c r="K1974" s="1" t="s">
        <v>84</v>
      </c>
      <c r="L1974" s="1" t="s">
        <v>32832</v>
      </c>
      <c r="M1974" s="1" t="s">
        <v>86</v>
      </c>
      <c r="N1974" s="1" t="s">
        <v>34626</v>
      </c>
      <c r="O1974" s="1" t="s">
        <v>34627</v>
      </c>
      <c r="P1974" s="1" t="s">
        <v>455</v>
      </c>
      <c r="Q1974" s="1" t="s">
        <v>34628</v>
      </c>
      <c r="R1974" s="1" t="s">
        <v>34629</v>
      </c>
      <c r="S1974" s="1">
        <v>9495351501</v>
      </c>
      <c r="T1974" s="1" t="s">
        <v>34630</v>
      </c>
      <c r="U1974" s="1" t="s">
        <v>34631</v>
      </c>
      <c r="V1974" s="1">
        <v>8075962977</v>
      </c>
      <c r="W1974" s="1" t="s">
        <v>127</v>
      </c>
      <c r="X1974" s="1" t="s">
        <v>34632</v>
      </c>
      <c r="Y1974" s="1" t="s">
        <v>4916</v>
      </c>
      <c r="Z1974" s="1" t="s">
        <v>130</v>
      </c>
      <c r="AA1974" s="1" t="s">
        <v>34632</v>
      </c>
      <c r="AB1974" s="1" t="s">
        <v>4916</v>
      </c>
      <c r="AC1974" s="1" t="s">
        <v>130</v>
      </c>
      <c r="AD1974" s="1" t="s">
        <v>98</v>
      </c>
      <c r="AE1974" s="1" t="s">
        <v>98</v>
      </c>
      <c r="AF1974" s="1" t="s">
        <v>34633</v>
      </c>
      <c r="AG1974" s="1" t="s">
        <v>34634</v>
      </c>
      <c r="AH1974" s="1" t="s">
        <v>101</v>
      </c>
      <c r="AI1974" s="1" t="s">
        <v>1110</v>
      </c>
      <c r="AJ1974" s="1">
        <v>72.2</v>
      </c>
      <c r="AK1974" s="1">
        <v>7.6</v>
      </c>
      <c r="AL1974" s="1" t="s">
        <v>34635</v>
      </c>
      <c r="AM1974" s="1" t="s">
        <v>34634</v>
      </c>
      <c r="AN1974" s="1"/>
      <c r="AO1974" s="1" t="s">
        <v>2822</v>
      </c>
      <c r="AP1974" s="1" t="s">
        <v>200</v>
      </c>
      <c r="AQ1974" s="1">
        <v>66.5</v>
      </c>
      <c r="AR1974" s="1">
        <v>0</v>
      </c>
      <c r="AS1974" s="1"/>
      <c r="AT1974" s="1"/>
      <c r="AU1974" s="1"/>
      <c r="AV1974" s="1"/>
      <c r="AW1974" s="1"/>
      <c r="AX1974" s="1"/>
      <c r="AY1974" s="1" t="s">
        <v>576</v>
      </c>
      <c r="AZ1974" s="1" t="s">
        <v>34636</v>
      </c>
      <c r="BA1974" s="1"/>
      <c r="BB1974" s="1"/>
      <c r="BC1974" s="1" t="s">
        <v>230</v>
      </c>
      <c r="BD1974" s="1" t="s">
        <v>2304</v>
      </c>
      <c r="BE1974" s="1">
        <v>75.7</v>
      </c>
      <c r="BF1974" s="1">
        <v>7.57</v>
      </c>
      <c r="BG1974" s="1"/>
      <c r="BH1974" s="1"/>
      <c r="BI1974" s="1"/>
      <c r="BJ1974" s="1"/>
      <c r="BK1974" s="1"/>
      <c r="BL1974" s="1"/>
      <c r="BM1974" s="1"/>
      <c r="BN1974" s="1"/>
      <c r="BO1974" s="1" t="s">
        <v>34637</v>
      </c>
      <c r="BP1974" s="1" t="s">
        <v>34638</v>
      </c>
      <c r="BQ1974" s="1" t="s">
        <v>2093</v>
      </c>
      <c r="BR1974" s="1" t="s">
        <v>34639</v>
      </c>
      <c r="BS1974" s="1">
        <v>55</v>
      </c>
      <c r="BT1974" s="1"/>
      <c r="BU1974" s="1" t="str">
        <f>HYPERLINK("https://nconnect.nicmar.ac.in/storage/profile/ProfilePhoto_p2270583_156738.jpg","Download")</f>
        <v>0</v>
      </c>
      <c r="BV1974" s="3"/>
      <c r="BW1974" s="3"/>
    </row>
    <row r="1975" spans="1:75">
      <c r="A1975" s="1" t="s">
        <v>75</v>
      </c>
      <c r="B1975" s="1" t="s">
        <v>25236</v>
      </c>
      <c r="C1975" s="1" t="s">
        <v>34640</v>
      </c>
      <c r="D1975" s="1" t="s">
        <v>34641</v>
      </c>
      <c r="E1975" s="1" t="s">
        <v>4215</v>
      </c>
      <c r="F1975" s="1" t="s">
        <v>34642</v>
      </c>
      <c r="G1975" s="1" t="s">
        <v>34643</v>
      </c>
      <c r="H1975" s="1" t="s">
        <v>34644</v>
      </c>
      <c r="I1975" s="1" t="s">
        <v>34645</v>
      </c>
      <c r="J1975" s="1">
        <v>9619175262</v>
      </c>
      <c r="K1975" s="1" t="s">
        <v>84</v>
      </c>
      <c r="L1975" s="1" t="s">
        <v>25855</v>
      </c>
      <c r="M1975" s="1" t="s">
        <v>86</v>
      </c>
      <c r="N1975" s="1" t="s">
        <v>3568</v>
      </c>
      <c r="O1975" s="1"/>
      <c r="P1975" s="1" t="s">
        <v>507</v>
      </c>
      <c r="Q1975" s="1" t="s">
        <v>34646</v>
      </c>
      <c r="R1975" s="1" t="s">
        <v>34647</v>
      </c>
      <c r="S1975" s="1">
        <v>9757307161</v>
      </c>
      <c r="T1975" s="1" t="s">
        <v>645</v>
      </c>
      <c r="U1975" s="1" t="s">
        <v>34648</v>
      </c>
      <c r="V1975" s="1">
        <v>9323246147</v>
      </c>
      <c r="W1975" s="1" t="s">
        <v>161</v>
      </c>
      <c r="X1975" s="1" t="s">
        <v>34649</v>
      </c>
      <c r="Y1975" s="1" t="s">
        <v>1882</v>
      </c>
      <c r="Z1975" s="1" t="s">
        <v>97</v>
      </c>
      <c r="AA1975" s="1" t="s">
        <v>34649</v>
      </c>
      <c r="AB1975" s="1" t="s">
        <v>1882</v>
      </c>
      <c r="AC1975" s="1" t="s">
        <v>97</v>
      </c>
      <c r="AD1975" s="1" t="s">
        <v>98</v>
      </c>
      <c r="AE1975" s="1" t="s">
        <v>98</v>
      </c>
      <c r="AF1975" s="1" t="s">
        <v>34650</v>
      </c>
      <c r="AG1975" s="1" t="s">
        <v>165</v>
      </c>
      <c r="AH1975" s="1" t="s">
        <v>101</v>
      </c>
      <c r="AI1975" s="1" t="s">
        <v>102</v>
      </c>
      <c r="AJ1975" s="1">
        <v>60.8</v>
      </c>
      <c r="AK1975" s="1"/>
      <c r="AL1975" s="1"/>
      <c r="AM1975" s="1"/>
      <c r="AN1975" s="1"/>
      <c r="AO1975" s="1"/>
      <c r="AP1975" s="1"/>
      <c r="AQ1975" s="1"/>
      <c r="AR1975" s="1"/>
      <c r="AS1975" s="1" t="s">
        <v>439</v>
      </c>
      <c r="AT1975" s="1" t="s">
        <v>34651</v>
      </c>
      <c r="AU1975" s="1" t="s">
        <v>105</v>
      </c>
      <c r="AV1975" s="1" t="s">
        <v>106</v>
      </c>
      <c r="AW1975" s="1">
        <v>62.06</v>
      </c>
      <c r="AX1975" s="1"/>
      <c r="AY1975" s="1" t="s">
        <v>258</v>
      </c>
      <c r="AZ1975" s="1" t="s">
        <v>34652</v>
      </c>
      <c r="BA1975" s="1"/>
      <c r="BB1975" s="1"/>
      <c r="BC1975" s="1" t="s">
        <v>109</v>
      </c>
      <c r="BD1975" s="1" t="s">
        <v>1400</v>
      </c>
      <c r="BE1975" s="1">
        <v>67.92</v>
      </c>
      <c r="BF1975" s="1"/>
      <c r="BG1975" s="1"/>
      <c r="BH1975" s="1"/>
      <c r="BI1975" s="1"/>
      <c r="BJ1975" s="1"/>
      <c r="BK1975" s="1"/>
      <c r="BL1975" s="1"/>
      <c r="BM1975" s="1"/>
      <c r="BN1975" s="1"/>
      <c r="BO1975" s="1" t="s">
        <v>1114</v>
      </c>
      <c r="BP1975" s="1"/>
      <c r="BQ1975" s="1"/>
      <c r="BR1975" s="1" t="s">
        <v>34653</v>
      </c>
      <c r="BS1975" s="1">
        <v>7</v>
      </c>
      <c r="BT1975" s="1"/>
      <c r="BU1975" s="1" t="str">
        <f>HYPERLINK("https://nconnect.nicmar.ac.in/storage/profile/ProfilePhoto_p2270584_731496.jpg","Download")</f>
        <v>0</v>
      </c>
      <c r="BV1975" s="3"/>
      <c r="BW1975" s="3"/>
    </row>
    <row r="1976" spans="1:75">
      <c r="A1976" s="1" t="s">
        <v>75</v>
      </c>
      <c r="B1976" s="1" t="s">
        <v>25236</v>
      </c>
      <c r="C1976" s="1" t="s">
        <v>34654</v>
      </c>
      <c r="D1976" s="1" t="s">
        <v>3891</v>
      </c>
      <c r="E1976" s="1"/>
      <c r="F1976" s="1" t="s">
        <v>2250</v>
      </c>
      <c r="G1976" s="1" t="s">
        <v>34655</v>
      </c>
      <c r="H1976" s="1" t="s">
        <v>34656</v>
      </c>
      <c r="I1976" s="1" t="s">
        <v>34657</v>
      </c>
      <c r="J1976" s="1">
        <v>8005523930</v>
      </c>
      <c r="K1976" s="1" t="s">
        <v>84</v>
      </c>
      <c r="L1976" s="1" t="s">
        <v>34658</v>
      </c>
      <c r="M1976" s="1" t="s">
        <v>86</v>
      </c>
      <c r="N1976" s="1" t="s">
        <v>1101</v>
      </c>
      <c r="O1976" s="1" t="s">
        <v>34659</v>
      </c>
      <c r="P1976" s="1" t="s">
        <v>507</v>
      </c>
      <c r="Q1976" s="1" t="s">
        <v>34660</v>
      </c>
      <c r="R1976" s="1" t="s">
        <v>34661</v>
      </c>
      <c r="S1976" s="1">
        <v>9425167138</v>
      </c>
      <c r="T1976" s="1" t="s">
        <v>32428</v>
      </c>
      <c r="U1976" s="1" t="s">
        <v>34662</v>
      </c>
      <c r="V1976" s="1">
        <v>9098695608</v>
      </c>
      <c r="W1976" s="1" t="s">
        <v>34663</v>
      </c>
      <c r="X1976" s="1" t="s">
        <v>34664</v>
      </c>
      <c r="Y1976" s="1" t="s">
        <v>34665</v>
      </c>
      <c r="Z1976" s="1" t="s">
        <v>3419</v>
      </c>
      <c r="AA1976" s="1" t="s">
        <v>34664</v>
      </c>
      <c r="AB1976" s="1" t="s">
        <v>34665</v>
      </c>
      <c r="AC1976" s="1" t="s">
        <v>3419</v>
      </c>
      <c r="AD1976" s="1" t="s">
        <v>98</v>
      </c>
      <c r="AE1976" s="1" t="s">
        <v>98</v>
      </c>
      <c r="AF1976" s="1" t="s">
        <v>25881</v>
      </c>
      <c r="AG1976" s="1" t="s">
        <v>34666</v>
      </c>
      <c r="AH1976" s="1" t="s">
        <v>101</v>
      </c>
      <c r="AI1976" s="1" t="s">
        <v>136</v>
      </c>
      <c r="AJ1976" s="1">
        <v>85.5</v>
      </c>
      <c r="AK1976" s="1">
        <v>9</v>
      </c>
      <c r="AL1976" s="1" t="s">
        <v>25881</v>
      </c>
      <c r="AM1976" s="1" t="s">
        <v>34666</v>
      </c>
      <c r="AN1976" s="1"/>
      <c r="AO1976" s="1" t="s">
        <v>167</v>
      </c>
      <c r="AP1976" s="1" t="s">
        <v>573</v>
      </c>
      <c r="AQ1976" s="1">
        <v>66.2</v>
      </c>
      <c r="AR1976" s="1">
        <v>0</v>
      </c>
      <c r="AS1976" s="1"/>
      <c r="AT1976" s="1"/>
      <c r="AU1976" s="1"/>
      <c r="AV1976" s="1"/>
      <c r="AW1976" s="1"/>
      <c r="AX1976" s="1"/>
      <c r="AY1976" s="1" t="s">
        <v>34667</v>
      </c>
      <c r="AZ1976" s="1" t="s">
        <v>27558</v>
      </c>
      <c r="BA1976" s="1"/>
      <c r="BB1976" s="1"/>
      <c r="BC1976" s="1" t="s">
        <v>230</v>
      </c>
      <c r="BD1976" s="1" t="s">
        <v>549</v>
      </c>
      <c r="BE1976" s="1">
        <v>81.9</v>
      </c>
      <c r="BF1976" s="1">
        <v>8.19</v>
      </c>
      <c r="BG1976" s="1"/>
      <c r="BH1976" s="1"/>
      <c r="BI1976" s="1"/>
      <c r="BJ1976" s="1"/>
      <c r="BK1976" s="1"/>
      <c r="BL1976" s="1"/>
      <c r="BM1976" s="1"/>
      <c r="BN1976" s="1"/>
      <c r="BO1976" s="1" t="s">
        <v>34668</v>
      </c>
      <c r="BP1976" s="1"/>
      <c r="BQ1976" s="1"/>
      <c r="BR1976" s="1" t="s">
        <v>34669</v>
      </c>
      <c r="BS1976" s="1">
        <v>120</v>
      </c>
      <c r="BT1976" s="1"/>
      <c r="BU1976" s="1" t="str">
        <f>HYPERLINK("https://nconnect.nicmar.ac.in/storage/profile/ProfilePhoto_p2270585_645329.jpg","Download")</f>
        <v>0</v>
      </c>
      <c r="BV1976" s="3"/>
      <c r="BW1976" s="3"/>
    </row>
    <row r="1977" spans="1:75">
      <c r="A1977" s="1" t="s">
        <v>75</v>
      </c>
      <c r="B1977" s="1" t="s">
        <v>25236</v>
      </c>
      <c r="C1977" s="1" t="s">
        <v>34670</v>
      </c>
      <c r="D1977" s="1" t="s">
        <v>10414</v>
      </c>
      <c r="E1977" s="1"/>
      <c r="F1977" s="1" t="s">
        <v>5151</v>
      </c>
      <c r="G1977" s="1" t="s">
        <v>34671</v>
      </c>
      <c r="H1977" s="1" t="s">
        <v>34672</v>
      </c>
      <c r="I1977" s="1" t="s">
        <v>34673</v>
      </c>
      <c r="J1977" s="1">
        <v>7988793804</v>
      </c>
      <c r="K1977" s="1" t="s">
        <v>84</v>
      </c>
      <c r="L1977" s="1" t="s">
        <v>34674</v>
      </c>
      <c r="M1977" s="1" t="s">
        <v>86</v>
      </c>
      <c r="N1977" s="1" t="s">
        <v>355</v>
      </c>
      <c r="O1977" s="1" t="s">
        <v>34675</v>
      </c>
      <c r="P1977" s="1" t="s">
        <v>481</v>
      </c>
      <c r="Q1977" s="1" t="s">
        <v>34676</v>
      </c>
      <c r="R1977" s="1" t="s">
        <v>34677</v>
      </c>
      <c r="S1977" s="1">
        <v>9911176224</v>
      </c>
      <c r="T1977" s="1" t="s">
        <v>839</v>
      </c>
      <c r="U1977" s="1" t="s">
        <v>34678</v>
      </c>
      <c r="V1977" s="1">
        <v>7982245945</v>
      </c>
      <c r="W1977" s="1" t="s">
        <v>161</v>
      </c>
      <c r="X1977" s="1" t="s">
        <v>34679</v>
      </c>
      <c r="Y1977" s="1" t="s">
        <v>9226</v>
      </c>
      <c r="Z1977" s="1" t="s">
        <v>1739</v>
      </c>
      <c r="AA1977" s="1" t="s">
        <v>34679</v>
      </c>
      <c r="AB1977" s="1" t="s">
        <v>9226</v>
      </c>
      <c r="AC1977" s="1" t="s">
        <v>1739</v>
      </c>
      <c r="AD1977" s="1" t="s">
        <v>98</v>
      </c>
      <c r="AE1977" s="1" t="s">
        <v>98</v>
      </c>
      <c r="AF1977" s="1" t="s">
        <v>34680</v>
      </c>
      <c r="AG1977" s="1" t="s">
        <v>32048</v>
      </c>
      <c r="AH1977" s="1" t="s">
        <v>3770</v>
      </c>
      <c r="AI1977" s="1" t="s">
        <v>1457</v>
      </c>
      <c r="AJ1977" s="1">
        <v>63.2</v>
      </c>
      <c r="AK1977" s="1"/>
      <c r="AL1977" s="1" t="s">
        <v>34681</v>
      </c>
      <c r="AM1977" s="1" t="s">
        <v>32048</v>
      </c>
      <c r="AN1977" s="1"/>
      <c r="AO1977" s="1" t="s">
        <v>515</v>
      </c>
      <c r="AP1977" s="1" t="s">
        <v>102</v>
      </c>
      <c r="AQ1977" s="1">
        <v>73.4</v>
      </c>
      <c r="AR1977" s="1"/>
      <c r="AS1977" s="1"/>
      <c r="AT1977" s="1"/>
      <c r="AU1977" s="1"/>
      <c r="AV1977" s="1"/>
      <c r="AW1977" s="1"/>
      <c r="AX1977" s="1"/>
      <c r="AY1977" s="1" t="s">
        <v>34682</v>
      </c>
      <c r="AZ1977" s="1" t="s">
        <v>34683</v>
      </c>
      <c r="BA1977" s="1"/>
      <c r="BB1977" s="1"/>
      <c r="BC1977" s="1" t="s">
        <v>105</v>
      </c>
      <c r="BD1977" s="1" t="s">
        <v>313</v>
      </c>
      <c r="BE1977" s="1">
        <v>65.3</v>
      </c>
      <c r="BF1977" s="1"/>
      <c r="BG1977" s="1"/>
      <c r="BH1977" s="1"/>
      <c r="BI1977" s="1"/>
      <c r="BJ1977" s="1"/>
      <c r="BK1977" s="1"/>
      <c r="BL1977" s="1"/>
      <c r="BM1977" s="1"/>
      <c r="BN1977" s="1"/>
      <c r="BO1977" s="1" t="s">
        <v>34684</v>
      </c>
      <c r="BP1977" s="1" t="s">
        <v>34685</v>
      </c>
      <c r="BQ1977" s="1" t="s">
        <v>10925</v>
      </c>
      <c r="BR1977" s="1" t="s">
        <v>34686</v>
      </c>
      <c r="BS1977" s="1">
        <v>35</v>
      </c>
      <c r="BT1977" s="1"/>
      <c r="BU1977" s="1" t="str">
        <f>HYPERLINK("https://nconnect.nicmar.ac.in/storage/profile/ProfilePhoto_p2270586_814739.jpg","Download")</f>
        <v>0</v>
      </c>
      <c r="BV1977" s="3"/>
      <c r="BW1977" s="3"/>
    </row>
    <row r="1978" spans="1:75">
      <c r="A1978" s="1" t="s">
        <v>75</v>
      </c>
      <c r="B1978" s="1" t="s">
        <v>25236</v>
      </c>
      <c r="C1978" s="1" t="s">
        <v>34687</v>
      </c>
      <c r="D1978" s="1" t="s">
        <v>34688</v>
      </c>
      <c r="E1978" s="1" t="s">
        <v>32708</v>
      </c>
      <c r="F1978" s="1" t="s">
        <v>34689</v>
      </c>
      <c r="G1978" s="1" t="s">
        <v>34690</v>
      </c>
      <c r="H1978" s="1" t="s">
        <v>34691</v>
      </c>
      <c r="I1978" s="1" t="s">
        <v>34692</v>
      </c>
      <c r="J1978" s="1">
        <v>8108574215</v>
      </c>
      <c r="K1978" s="1" t="s">
        <v>84</v>
      </c>
      <c r="L1978" s="1" t="s">
        <v>34693</v>
      </c>
      <c r="M1978" s="1" t="s">
        <v>86</v>
      </c>
      <c r="N1978" s="1" t="s">
        <v>618</v>
      </c>
      <c r="O1978" s="1" t="s">
        <v>34694</v>
      </c>
      <c r="P1978" s="1" t="s">
        <v>670</v>
      </c>
      <c r="Q1978" s="1" t="s">
        <v>34695</v>
      </c>
      <c r="R1978" s="1" t="s">
        <v>34696</v>
      </c>
      <c r="S1978" s="1">
        <v>9821230644</v>
      </c>
      <c r="T1978" s="1" t="s">
        <v>34697</v>
      </c>
      <c r="U1978" s="1" t="s">
        <v>34698</v>
      </c>
      <c r="V1978" s="1">
        <v>9987760654</v>
      </c>
      <c r="W1978" s="1" t="s">
        <v>278</v>
      </c>
      <c r="X1978" s="1" t="s">
        <v>34699</v>
      </c>
      <c r="Y1978" s="1" t="s">
        <v>1012</v>
      </c>
      <c r="Z1978" s="1" t="s">
        <v>97</v>
      </c>
      <c r="AA1978" s="1" t="s">
        <v>34699</v>
      </c>
      <c r="AB1978" s="1" t="s">
        <v>1012</v>
      </c>
      <c r="AC1978" s="1" t="s">
        <v>97</v>
      </c>
      <c r="AD1978" s="1" t="s">
        <v>98</v>
      </c>
      <c r="AE1978" s="1" t="s">
        <v>98</v>
      </c>
      <c r="AF1978" s="1" t="s">
        <v>34700</v>
      </c>
      <c r="AG1978" s="1" t="s">
        <v>34701</v>
      </c>
      <c r="AH1978" s="1" t="s">
        <v>101</v>
      </c>
      <c r="AI1978" s="1" t="s">
        <v>166</v>
      </c>
      <c r="AJ1978" s="1">
        <v>82.4</v>
      </c>
      <c r="AK1978" s="1"/>
      <c r="AL1978" s="1" t="s">
        <v>34702</v>
      </c>
      <c r="AM1978" s="1" t="s">
        <v>34701</v>
      </c>
      <c r="AN1978" s="1"/>
      <c r="AO1978" s="1" t="s">
        <v>627</v>
      </c>
      <c r="AP1978" s="1" t="s">
        <v>573</v>
      </c>
      <c r="AQ1978" s="1">
        <v>70.62</v>
      </c>
      <c r="AR1978" s="1"/>
      <c r="AS1978" s="1"/>
      <c r="AT1978" s="1"/>
      <c r="AU1978" s="1"/>
      <c r="AV1978" s="1"/>
      <c r="AW1978" s="1"/>
      <c r="AX1978" s="1"/>
      <c r="AY1978" s="1" t="s">
        <v>680</v>
      </c>
      <c r="AZ1978" s="1" t="s">
        <v>2266</v>
      </c>
      <c r="BA1978" s="1"/>
      <c r="BB1978" s="1"/>
      <c r="BC1978" s="1" t="s">
        <v>388</v>
      </c>
      <c r="BD1978" s="1" t="s">
        <v>845</v>
      </c>
      <c r="BE1978" s="1">
        <v>73.72</v>
      </c>
      <c r="BF1978" s="1">
        <v>8.34</v>
      </c>
      <c r="BG1978" s="1"/>
      <c r="BH1978" s="1"/>
      <c r="BI1978" s="1"/>
      <c r="BJ1978" s="1"/>
      <c r="BK1978" s="1"/>
      <c r="BL1978" s="1"/>
      <c r="BM1978" s="1"/>
      <c r="BN1978" s="1"/>
      <c r="BO1978" s="1" t="s">
        <v>34703</v>
      </c>
      <c r="BP1978" s="1" t="s">
        <v>34704</v>
      </c>
      <c r="BQ1978" s="1" t="s">
        <v>292</v>
      </c>
      <c r="BR1978" s="1" t="s">
        <v>34705</v>
      </c>
      <c r="BS1978" s="1">
        <v>16</v>
      </c>
      <c r="BT1978" s="1"/>
      <c r="BU1978" s="1" t="str">
        <f>HYPERLINK("https://nconnect.nicmar.ac.in/storage/profile/ProfilePhoto_p2270587_463175.jpg","Download")</f>
        <v>0</v>
      </c>
      <c r="BV1978" s="3"/>
      <c r="BW1978" s="3"/>
    </row>
    <row r="1979" spans="1:75">
      <c r="A1979" s="1" t="s">
        <v>75</v>
      </c>
      <c r="B1979" s="1" t="s">
        <v>25236</v>
      </c>
      <c r="C1979" s="1" t="s">
        <v>34706</v>
      </c>
      <c r="D1979" s="1" t="s">
        <v>3545</v>
      </c>
      <c r="E1979" s="1" t="s">
        <v>34707</v>
      </c>
      <c r="F1979" s="1" t="s">
        <v>1179</v>
      </c>
      <c r="G1979" s="1" t="s">
        <v>34708</v>
      </c>
      <c r="H1979" s="1" t="s">
        <v>34709</v>
      </c>
      <c r="I1979" s="1" t="s">
        <v>34710</v>
      </c>
      <c r="J1979" s="1">
        <v>9922235760</v>
      </c>
      <c r="K1979" s="1" t="s">
        <v>84</v>
      </c>
      <c r="L1979" s="1" t="s">
        <v>24608</v>
      </c>
      <c r="M1979" s="1" t="s">
        <v>86</v>
      </c>
      <c r="N1979" s="1" t="s">
        <v>618</v>
      </c>
      <c r="O1979" s="1" t="s">
        <v>34711</v>
      </c>
      <c r="P1979" s="1" t="s">
        <v>481</v>
      </c>
      <c r="Q1979" s="1" t="s">
        <v>34712</v>
      </c>
      <c r="R1979" s="1" t="s">
        <v>34713</v>
      </c>
      <c r="S1979" s="1">
        <v>9326791008</v>
      </c>
      <c r="T1979" s="1" t="s">
        <v>34714</v>
      </c>
      <c r="U1979" s="1" t="s">
        <v>34715</v>
      </c>
      <c r="V1979" s="1">
        <v>9922235760</v>
      </c>
      <c r="W1979" s="1" t="s">
        <v>34716</v>
      </c>
      <c r="X1979" s="1" t="s">
        <v>34717</v>
      </c>
      <c r="Y1979" s="1" t="s">
        <v>1033</v>
      </c>
      <c r="Z1979" s="1" t="s">
        <v>97</v>
      </c>
      <c r="AA1979" s="1" t="s">
        <v>34717</v>
      </c>
      <c r="AB1979" s="1" t="s">
        <v>1033</v>
      </c>
      <c r="AC1979" s="1" t="s">
        <v>97</v>
      </c>
      <c r="AD1979" s="1" t="s">
        <v>98</v>
      </c>
      <c r="AE1979" s="1" t="s">
        <v>98</v>
      </c>
      <c r="AF1979" s="1" t="s">
        <v>34718</v>
      </c>
      <c r="AG1979" s="1" t="s">
        <v>2670</v>
      </c>
      <c r="AH1979" s="1" t="s">
        <v>102</v>
      </c>
      <c r="AI1979" s="1" t="s">
        <v>1111</v>
      </c>
      <c r="AJ1979" s="1">
        <v>73.6</v>
      </c>
      <c r="AK1979" s="1"/>
      <c r="AL1979" s="1"/>
      <c r="AM1979" s="1"/>
      <c r="AN1979" s="1"/>
      <c r="AO1979" s="1"/>
      <c r="AP1979" s="1"/>
      <c r="AQ1979" s="1"/>
      <c r="AR1979" s="1"/>
      <c r="AS1979" s="1" t="s">
        <v>103</v>
      </c>
      <c r="AT1979" s="1" t="s">
        <v>34719</v>
      </c>
      <c r="AU1979" s="1" t="s">
        <v>167</v>
      </c>
      <c r="AV1979" s="1" t="s">
        <v>438</v>
      </c>
      <c r="AW1979" s="1">
        <v>65.82</v>
      </c>
      <c r="AX1979" s="1"/>
      <c r="AY1979" s="1" t="s">
        <v>32616</v>
      </c>
      <c r="AZ1979" s="1" t="s">
        <v>32616</v>
      </c>
      <c r="BA1979" s="1"/>
      <c r="BB1979" s="1"/>
      <c r="BC1979" s="1" t="s">
        <v>206</v>
      </c>
      <c r="BD1979" s="1" t="s">
        <v>289</v>
      </c>
      <c r="BE1979" s="1">
        <v>59</v>
      </c>
      <c r="BF1979" s="1">
        <v>6.65</v>
      </c>
      <c r="BG1979" s="1"/>
      <c r="BH1979" s="1"/>
      <c r="BI1979" s="1"/>
      <c r="BJ1979" s="1"/>
      <c r="BK1979" s="1"/>
      <c r="BL1979" s="1"/>
      <c r="BM1979" s="1"/>
      <c r="BN1979" s="1"/>
      <c r="BO1979" s="1" t="s">
        <v>849</v>
      </c>
      <c r="BP1979" s="1"/>
      <c r="BQ1979" s="1"/>
      <c r="BR1979" s="1" t="s">
        <v>34720</v>
      </c>
      <c r="BS1979" s="1">
        <v>24</v>
      </c>
      <c r="BT1979" s="1"/>
      <c r="BU1979" s="1" t="str">
        <f>HYPERLINK("https://nconnect.nicmar.ac.in/storage/profile/ProfilePhoto_p2270588_175629.jpg","Download")</f>
        <v>0</v>
      </c>
      <c r="BV1979" s="3"/>
      <c r="BW1979" s="3"/>
    </row>
    <row r="1980" spans="1:75">
      <c r="A1980" s="1" t="s">
        <v>75</v>
      </c>
      <c r="B1980" s="1" t="s">
        <v>25236</v>
      </c>
      <c r="C1980" s="1" t="s">
        <v>34721</v>
      </c>
      <c r="D1980" s="1" t="s">
        <v>6137</v>
      </c>
      <c r="E1980" s="1" t="s">
        <v>13421</v>
      </c>
      <c r="F1980" s="1" t="s">
        <v>7510</v>
      </c>
      <c r="G1980" s="1" t="s">
        <v>34722</v>
      </c>
      <c r="H1980" s="1" t="s">
        <v>34723</v>
      </c>
      <c r="I1980" s="1" t="s">
        <v>34724</v>
      </c>
      <c r="J1980" s="1">
        <v>9921286230</v>
      </c>
      <c r="K1980" s="1" t="s">
        <v>153</v>
      </c>
      <c r="L1980" s="1" t="s">
        <v>34725</v>
      </c>
      <c r="M1980" s="1" t="s">
        <v>86</v>
      </c>
      <c r="N1980" s="1" t="s">
        <v>34726</v>
      </c>
      <c r="O1980" s="1" t="s">
        <v>34727</v>
      </c>
      <c r="P1980" s="1" t="s">
        <v>455</v>
      </c>
      <c r="Q1980" s="1" t="s">
        <v>34728</v>
      </c>
      <c r="R1980" s="1" t="s">
        <v>34729</v>
      </c>
      <c r="S1980" s="1">
        <v>8482885855</v>
      </c>
      <c r="T1980" s="1" t="s">
        <v>839</v>
      </c>
      <c r="U1980" s="1" t="s">
        <v>34730</v>
      </c>
      <c r="V1980" s="1">
        <v>8482885855</v>
      </c>
      <c r="W1980" s="1" t="s">
        <v>839</v>
      </c>
      <c r="X1980" s="1" t="s">
        <v>34731</v>
      </c>
      <c r="Y1980" s="1" t="s">
        <v>410</v>
      </c>
      <c r="Z1980" s="1" t="s">
        <v>97</v>
      </c>
      <c r="AA1980" s="1" t="s">
        <v>34731</v>
      </c>
      <c r="AB1980" s="1" t="s">
        <v>410</v>
      </c>
      <c r="AC1980" s="1" t="s">
        <v>97</v>
      </c>
      <c r="AD1980" s="1" t="s">
        <v>98</v>
      </c>
      <c r="AE1980" s="1" t="s">
        <v>98</v>
      </c>
      <c r="AF1980" s="1" t="s">
        <v>34732</v>
      </c>
      <c r="AG1980" s="1" t="s">
        <v>10683</v>
      </c>
      <c r="AH1980" s="1" t="s">
        <v>9719</v>
      </c>
      <c r="AI1980" s="1" t="s">
        <v>1457</v>
      </c>
      <c r="AJ1980" s="1">
        <v>86</v>
      </c>
      <c r="AK1980" s="1"/>
      <c r="AL1980" s="1" t="s">
        <v>34733</v>
      </c>
      <c r="AM1980" s="1" t="s">
        <v>10683</v>
      </c>
      <c r="AN1980" s="1"/>
      <c r="AO1980" s="1" t="s">
        <v>101</v>
      </c>
      <c r="AP1980" s="1" t="s">
        <v>11567</v>
      </c>
      <c r="AQ1980" s="1">
        <v>68.46</v>
      </c>
      <c r="AR1980" s="1"/>
      <c r="AS1980" s="1"/>
      <c r="AT1980" s="1"/>
      <c r="AU1980" s="1"/>
      <c r="AV1980" s="1"/>
      <c r="AW1980" s="1"/>
      <c r="AX1980" s="1"/>
      <c r="AY1980" s="1" t="s">
        <v>9545</v>
      </c>
      <c r="AZ1980" s="1" t="s">
        <v>34734</v>
      </c>
      <c r="BA1980" s="1"/>
      <c r="BB1980" s="1"/>
      <c r="BC1980" s="1" t="s">
        <v>170</v>
      </c>
      <c r="BD1980" s="1" t="s">
        <v>388</v>
      </c>
      <c r="BE1980" s="1">
        <v>81.43</v>
      </c>
      <c r="BF1980" s="1">
        <v>7.82</v>
      </c>
      <c r="BG1980" s="1"/>
      <c r="BH1980" s="1"/>
      <c r="BI1980" s="1"/>
      <c r="BJ1980" s="1"/>
      <c r="BK1980" s="1"/>
      <c r="BL1980" s="1"/>
      <c r="BM1980" s="1"/>
      <c r="BN1980" s="1"/>
      <c r="BO1980" s="1" t="s">
        <v>34735</v>
      </c>
      <c r="BP1980" s="1" t="s">
        <v>34736</v>
      </c>
      <c r="BQ1980" s="1" t="s">
        <v>9405</v>
      </c>
      <c r="BR1980" s="1" t="s">
        <v>34737</v>
      </c>
      <c r="BS1980" s="1">
        <v>24</v>
      </c>
      <c r="BT1980" s="1"/>
      <c r="BU1980" s="1" t="str">
        <f>HYPERLINK("https://nconnect.nicmar.ac.in/storage/profile/ProfilePhoto_p2270589_741392.jpg","Download")</f>
        <v>0</v>
      </c>
      <c r="BV1980" s="3"/>
      <c r="BW1980" s="3"/>
    </row>
    <row r="1981" spans="1:75">
      <c r="A1981" s="1" t="s">
        <v>75</v>
      </c>
      <c r="B1981" s="1" t="s">
        <v>25236</v>
      </c>
      <c r="C1981" s="1" t="s">
        <v>34738</v>
      </c>
      <c r="D1981" s="1" t="s">
        <v>2097</v>
      </c>
      <c r="E1981" s="1" t="s">
        <v>1464</v>
      </c>
      <c r="F1981" s="1" t="s">
        <v>10635</v>
      </c>
      <c r="G1981" s="1" t="s">
        <v>34739</v>
      </c>
      <c r="H1981" s="1" t="s">
        <v>34740</v>
      </c>
      <c r="I1981" s="1" t="s">
        <v>34741</v>
      </c>
      <c r="J1981" s="1">
        <v>8850126845</v>
      </c>
      <c r="K1981" s="1" t="s">
        <v>84</v>
      </c>
      <c r="L1981" s="1" t="s">
        <v>7764</v>
      </c>
      <c r="M1981" s="1" t="s">
        <v>86</v>
      </c>
      <c r="N1981" s="1" t="s">
        <v>13516</v>
      </c>
      <c r="O1981" s="1" t="s">
        <v>34742</v>
      </c>
      <c r="P1981" s="1" t="s">
        <v>481</v>
      </c>
      <c r="Q1981" s="1" t="s">
        <v>34743</v>
      </c>
      <c r="R1981" s="1" t="s">
        <v>34744</v>
      </c>
      <c r="S1981" s="1">
        <v>7718029525</v>
      </c>
      <c r="T1981" s="1" t="s">
        <v>9878</v>
      </c>
      <c r="U1981" s="1" t="s">
        <v>34745</v>
      </c>
      <c r="V1981" s="1">
        <v>7718029525</v>
      </c>
      <c r="W1981" s="1" t="s">
        <v>645</v>
      </c>
      <c r="X1981" s="1" t="s">
        <v>34746</v>
      </c>
      <c r="Y1981" s="1" t="s">
        <v>1882</v>
      </c>
      <c r="Z1981" s="1" t="s">
        <v>97</v>
      </c>
      <c r="AA1981" s="1" t="s">
        <v>34746</v>
      </c>
      <c r="AB1981" s="1" t="s">
        <v>1882</v>
      </c>
      <c r="AC1981" s="1" t="s">
        <v>97</v>
      </c>
      <c r="AD1981" s="1" t="s">
        <v>98</v>
      </c>
      <c r="AE1981" s="1" t="s">
        <v>98</v>
      </c>
      <c r="AF1981" s="1" t="s">
        <v>34747</v>
      </c>
      <c r="AG1981" s="1" t="s">
        <v>1968</v>
      </c>
      <c r="AH1981" s="1" t="s">
        <v>166</v>
      </c>
      <c r="AI1981" s="1" t="s">
        <v>167</v>
      </c>
      <c r="AJ1981" s="1">
        <v>73.2</v>
      </c>
      <c r="AK1981" s="1"/>
      <c r="AL1981" s="1"/>
      <c r="AM1981" s="1"/>
      <c r="AN1981" s="1"/>
      <c r="AO1981" s="1"/>
      <c r="AP1981" s="1"/>
      <c r="AQ1981" s="1"/>
      <c r="AR1981" s="1"/>
      <c r="AS1981" s="1" t="s">
        <v>439</v>
      </c>
      <c r="AT1981" s="1" t="s">
        <v>34748</v>
      </c>
      <c r="AU1981" s="1" t="s">
        <v>139</v>
      </c>
      <c r="AV1981" s="1" t="s">
        <v>438</v>
      </c>
      <c r="AW1981" s="1">
        <v>68.36</v>
      </c>
      <c r="AX1981" s="1"/>
      <c r="AY1981" s="1" t="s">
        <v>258</v>
      </c>
      <c r="AZ1981" s="1" t="s">
        <v>26157</v>
      </c>
      <c r="BA1981" s="1"/>
      <c r="BB1981" s="1"/>
      <c r="BC1981" s="1" t="s">
        <v>206</v>
      </c>
      <c r="BD1981" s="1" t="s">
        <v>1400</v>
      </c>
      <c r="BE1981" s="1">
        <v>71.9</v>
      </c>
      <c r="BF1981" s="1">
        <v>8.02</v>
      </c>
      <c r="BG1981" s="1"/>
      <c r="BH1981" s="1"/>
      <c r="BI1981" s="1"/>
      <c r="BJ1981" s="1"/>
      <c r="BK1981" s="1"/>
      <c r="BL1981" s="1"/>
      <c r="BM1981" s="1"/>
      <c r="BN1981" s="1"/>
      <c r="BO1981" s="1" t="s">
        <v>34620</v>
      </c>
      <c r="BP1981" s="1"/>
      <c r="BQ1981" s="1"/>
      <c r="BR1981" s="1" t="s">
        <v>34749</v>
      </c>
      <c r="BS1981" s="1">
        <v>7</v>
      </c>
      <c r="BT1981" s="1"/>
      <c r="BU1981" s="1" t="str">
        <f>HYPERLINK("https://nconnect.nicmar.ac.in/storage/profile/ProfilePhoto_p2270590_861749.jpg","Download")</f>
        <v>0</v>
      </c>
      <c r="BV1981" s="3"/>
      <c r="BW1981" s="3"/>
    </row>
    <row r="1982" spans="1:75">
      <c r="A1982" s="1" t="s">
        <v>75</v>
      </c>
      <c r="B1982" s="1" t="s">
        <v>25236</v>
      </c>
      <c r="C1982" s="1" t="s">
        <v>34750</v>
      </c>
      <c r="D1982" s="1" t="s">
        <v>12804</v>
      </c>
      <c r="E1982" s="1" t="s">
        <v>530</v>
      </c>
      <c r="F1982" s="1" t="s">
        <v>5151</v>
      </c>
      <c r="G1982" s="1" t="s">
        <v>34751</v>
      </c>
      <c r="H1982" s="1" t="s">
        <v>34752</v>
      </c>
      <c r="I1982" s="1" t="s">
        <v>34753</v>
      </c>
      <c r="J1982" s="1">
        <v>8989473667</v>
      </c>
      <c r="K1982" s="1" t="s">
        <v>84</v>
      </c>
      <c r="L1982" s="1" t="s">
        <v>34754</v>
      </c>
      <c r="M1982" s="1" t="s">
        <v>86</v>
      </c>
      <c r="N1982" s="1" t="s">
        <v>355</v>
      </c>
      <c r="O1982" s="1" t="s">
        <v>33138</v>
      </c>
      <c r="P1982" s="1" t="s">
        <v>455</v>
      </c>
      <c r="Q1982" s="1" t="s">
        <v>34755</v>
      </c>
      <c r="R1982" s="1" t="s">
        <v>34756</v>
      </c>
      <c r="S1982" s="1">
        <v>9425111259</v>
      </c>
      <c r="T1982" s="1" t="s">
        <v>34757</v>
      </c>
      <c r="U1982" s="1" t="s">
        <v>34758</v>
      </c>
      <c r="V1982" s="1">
        <v>9425112158</v>
      </c>
      <c r="W1982" s="1" t="s">
        <v>94</v>
      </c>
      <c r="X1982" s="1" t="s">
        <v>34759</v>
      </c>
      <c r="Y1982" s="1" t="s">
        <v>5219</v>
      </c>
      <c r="Z1982" s="1" t="s">
        <v>3419</v>
      </c>
      <c r="AA1982" s="1" t="s">
        <v>34759</v>
      </c>
      <c r="AB1982" s="1" t="s">
        <v>5219</v>
      </c>
      <c r="AC1982" s="1" t="s">
        <v>3419</v>
      </c>
      <c r="AD1982" s="1" t="s">
        <v>98</v>
      </c>
      <c r="AE1982" s="1" t="s">
        <v>98</v>
      </c>
      <c r="AF1982" s="1" t="s">
        <v>34760</v>
      </c>
      <c r="AG1982" s="1" t="s">
        <v>34761</v>
      </c>
      <c r="AH1982" s="1" t="s">
        <v>17360</v>
      </c>
      <c r="AI1982" s="1" t="s">
        <v>34762</v>
      </c>
      <c r="AJ1982" s="1">
        <v>68</v>
      </c>
      <c r="AK1982" s="1">
        <v>7.2</v>
      </c>
      <c r="AL1982" s="1"/>
      <c r="AM1982" s="1"/>
      <c r="AN1982" s="1"/>
      <c r="AO1982" s="1"/>
      <c r="AP1982" s="1"/>
      <c r="AQ1982" s="1"/>
      <c r="AR1982" s="1"/>
      <c r="AS1982" s="1" t="s">
        <v>439</v>
      </c>
      <c r="AT1982" s="1" t="s">
        <v>34763</v>
      </c>
      <c r="AU1982" s="1" t="s">
        <v>139</v>
      </c>
      <c r="AV1982" s="1" t="s">
        <v>313</v>
      </c>
      <c r="AW1982" s="1">
        <v>64.73</v>
      </c>
      <c r="AX1982" s="1">
        <v>6.5</v>
      </c>
      <c r="AY1982" s="1" t="s">
        <v>34764</v>
      </c>
      <c r="AZ1982" s="1" t="s">
        <v>34764</v>
      </c>
      <c r="BA1982" s="1"/>
      <c r="BB1982" s="1"/>
      <c r="BC1982" s="1" t="s">
        <v>206</v>
      </c>
      <c r="BD1982" s="1" t="s">
        <v>632</v>
      </c>
      <c r="BE1982" s="1">
        <v>77</v>
      </c>
      <c r="BF1982" s="1">
        <v>7.79</v>
      </c>
      <c r="BG1982" s="1"/>
      <c r="BH1982" s="1"/>
      <c r="BI1982" s="1"/>
      <c r="BJ1982" s="1"/>
      <c r="BK1982" s="1"/>
      <c r="BL1982" s="1"/>
      <c r="BM1982" s="1"/>
      <c r="BN1982" s="1"/>
      <c r="BO1982" s="1" t="s">
        <v>34765</v>
      </c>
      <c r="BP1982" s="1"/>
      <c r="BQ1982" s="1"/>
      <c r="BR1982" s="1" t="s">
        <v>34766</v>
      </c>
      <c r="BS1982" s="1">
        <v>54</v>
      </c>
      <c r="BT1982" s="1"/>
      <c r="BU1982" s="1" t="str">
        <f>HYPERLINK("https://nconnect.nicmar.ac.in/storage/profile/ProfilePhoto_p2270591_183946.jpg","Download")</f>
        <v>0</v>
      </c>
      <c r="BV1982" s="3"/>
      <c r="BW1982" s="3"/>
    </row>
    <row r="1983" spans="1:75">
      <c r="A1983" s="1" t="s">
        <v>75</v>
      </c>
      <c r="B1983" s="1" t="s">
        <v>25236</v>
      </c>
      <c r="C1983" s="1" t="s">
        <v>34767</v>
      </c>
      <c r="D1983" s="1" t="s">
        <v>2500</v>
      </c>
      <c r="E1983" s="1" t="s">
        <v>34768</v>
      </c>
      <c r="F1983" s="1" t="s">
        <v>6332</v>
      </c>
      <c r="G1983" s="1" t="s">
        <v>34769</v>
      </c>
      <c r="H1983" s="1" t="s">
        <v>34770</v>
      </c>
      <c r="I1983" s="1" t="s">
        <v>34771</v>
      </c>
      <c r="J1983" s="1">
        <v>7030084400</v>
      </c>
      <c r="K1983" s="1" t="s">
        <v>84</v>
      </c>
      <c r="L1983" s="1" t="s">
        <v>34772</v>
      </c>
      <c r="M1983" s="1" t="s">
        <v>86</v>
      </c>
      <c r="N1983" s="1" t="s">
        <v>768</v>
      </c>
      <c r="O1983" s="1" t="s">
        <v>34773</v>
      </c>
      <c r="P1983" s="1" t="s">
        <v>455</v>
      </c>
      <c r="Q1983" s="1" t="s">
        <v>34774</v>
      </c>
      <c r="R1983" s="1" t="s">
        <v>34775</v>
      </c>
      <c r="S1983" s="1">
        <v>9604924950</v>
      </c>
      <c r="T1983" s="1" t="s">
        <v>159</v>
      </c>
      <c r="U1983" s="1" t="s">
        <v>34776</v>
      </c>
      <c r="V1983" s="1">
        <v>9405959628</v>
      </c>
      <c r="W1983" s="1" t="s">
        <v>278</v>
      </c>
      <c r="X1983" s="1" t="s">
        <v>34777</v>
      </c>
      <c r="Y1983" s="1" t="s">
        <v>5181</v>
      </c>
      <c r="Z1983" s="1" t="s">
        <v>97</v>
      </c>
      <c r="AA1983" s="1" t="s">
        <v>34777</v>
      </c>
      <c r="AB1983" s="1" t="s">
        <v>5181</v>
      </c>
      <c r="AC1983" s="1" t="s">
        <v>97</v>
      </c>
      <c r="AD1983" s="1" t="s">
        <v>98</v>
      </c>
      <c r="AE1983" s="1" t="s">
        <v>98</v>
      </c>
      <c r="AF1983" s="1" t="s">
        <v>34778</v>
      </c>
      <c r="AG1983" s="1" t="s">
        <v>165</v>
      </c>
      <c r="AH1983" s="1" t="s">
        <v>133</v>
      </c>
      <c r="AI1983" s="1" t="s">
        <v>1457</v>
      </c>
      <c r="AJ1983" s="1">
        <v>73.8</v>
      </c>
      <c r="AK1983" s="1"/>
      <c r="AL1983" s="1" t="s">
        <v>34779</v>
      </c>
      <c r="AM1983" s="1" t="s">
        <v>165</v>
      </c>
      <c r="AN1983" s="1"/>
      <c r="AO1983" s="1" t="s">
        <v>101</v>
      </c>
      <c r="AP1983" s="1" t="s">
        <v>11567</v>
      </c>
      <c r="AQ1983" s="1">
        <v>52.31</v>
      </c>
      <c r="AR1983" s="1"/>
      <c r="AS1983" s="1" t="s">
        <v>103</v>
      </c>
      <c r="AT1983" s="1" t="s">
        <v>34780</v>
      </c>
      <c r="AU1983" s="1" t="s">
        <v>105</v>
      </c>
      <c r="AV1983" s="1" t="s">
        <v>171</v>
      </c>
      <c r="AW1983" s="1">
        <v>66.06</v>
      </c>
      <c r="AX1983" s="1"/>
      <c r="AY1983" s="1" t="s">
        <v>8319</v>
      </c>
      <c r="AZ1983" s="1" t="s">
        <v>31745</v>
      </c>
      <c r="BA1983" s="1"/>
      <c r="BB1983" s="1"/>
      <c r="BC1983" s="1" t="s">
        <v>1065</v>
      </c>
      <c r="BD1983" s="1" t="s">
        <v>441</v>
      </c>
      <c r="BE1983" s="1">
        <v>71.6</v>
      </c>
      <c r="BF1983" s="1">
        <v>7.66</v>
      </c>
      <c r="BG1983" s="1"/>
      <c r="BH1983" s="1"/>
      <c r="BI1983" s="1"/>
      <c r="BJ1983" s="1"/>
      <c r="BK1983" s="1"/>
      <c r="BL1983" s="1"/>
      <c r="BM1983" s="1"/>
      <c r="BN1983" s="1"/>
      <c r="BO1983" s="1" t="s">
        <v>849</v>
      </c>
      <c r="BP1983" s="1" t="s">
        <v>34781</v>
      </c>
      <c r="BQ1983" s="1" t="s">
        <v>2245</v>
      </c>
      <c r="BR1983" s="1" t="s">
        <v>34782</v>
      </c>
      <c r="BS1983" s="1">
        <v>7</v>
      </c>
      <c r="BT1983" s="1"/>
      <c r="BU1983" s="1" t="str">
        <f>HYPERLINK("https://nconnect.nicmar.ac.in/storage/profile/ProfilePhoto_p2270592_156382.jpg","Download")</f>
        <v>0</v>
      </c>
      <c r="BV1983" s="3"/>
      <c r="BW1983" s="3"/>
    </row>
    <row r="1984" spans="1:75">
      <c r="A1984" s="1" t="s">
        <v>75</v>
      </c>
      <c r="B1984" s="1" t="s">
        <v>25236</v>
      </c>
      <c r="C1984" s="1" t="s">
        <v>34783</v>
      </c>
      <c r="D1984" s="1" t="s">
        <v>2076</v>
      </c>
      <c r="E1984" s="1"/>
      <c r="F1984" s="1" t="s">
        <v>1872</v>
      </c>
      <c r="G1984" s="1" t="s">
        <v>34784</v>
      </c>
      <c r="H1984" s="1" t="s">
        <v>34785</v>
      </c>
      <c r="I1984" s="1" t="s">
        <v>34786</v>
      </c>
      <c r="J1984" s="1">
        <v>9424539570</v>
      </c>
      <c r="K1984" s="1" t="s">
        <v>84</v>
      </c>
      <c r="L1984" s="1" t="s">
        <v>34787</v>
      </c>
      <c r="M1984" s="1" t="s">
        <v>86</v>
      </c>
      <c r="N1984" s="1" t="s">
        <v>10675</v>
      </c>
      <c r="O1984" s="1" t="s">
        <v>34788</v>
      </c>
      <c r="P1984" s="1" t="s">
        <v>481</v>
      </c>
      <c r="Q1984" s="1" t="s">
        <v>34789</v>
      </c>
      <c r="R1984" s="1" t="s">
        <v>8157</v>
      </c>
      <c r="S1984" s="1">
        <v>9329640291</v>
      </c>
      <c r="T1984" s="1" t="s">
        <v>5065</v>
      </c>
      <c r="U1984" s="1" t="s">
        <v>2567</v>
      </c>
      <c r="V1984" s="1">
        <v>8871414427</v>
      </c>
      <c r="W1984" s="1" t="s">
        <v>34790</v>
      </c>
      <c r="X1984" s="1" t="s">
        <v>34791</v>
      </c>
      <c r="Y1984" s="1" t="s">
        <v>8001</v>
      </c>
      <c r="Z1984" s="1" t="s">
        <v>3419</v>
      </c>
      <c r="AA1984" s="1" t="s">
        <v>34791</v>
      </c>
      <c r="AB1984" s="1" t="s">
        <v>8001</v>
      </c>
      <c r="AC1984" s="1" t="s">
        <v>3419</v>
      </c>
      <c r="AD1984" s="1" t="s">
        <v>98</v>
      </c>
      <c r="AE1984" s="1" t="s">
        <v>98</v>
      </c>
      <c r="AF1984" s="1" t="s">
        <v>34792</v>
      </c>
      <c r="AG1984" s="1" t="s">
        <v>34793</v>
      </c>
      <c r="AH1984" s="1" t="s">
        <v>34794</v>
      </c>
      <c r="AI1984" s="1" t="s">
        <v>29970</v>
      </c>
      <c r="AJ1984" s="1">
        <v>76</v>
      </c>
      <c r="AK1984" s="1">
        <v>8</v>
      </c>
      <c r="AL1984" s="1" t="s">
        <v>34792</v>
      </c>
      <c r="AM1984" s="1" t="s">
        <v>34795</v>
      </c>
      <c r="AN1984" s="1"/>
      <c r="AO1984" s="1" t="s">
        <v>134</v>
      </c>
      <c r="AP1984" s="1" t="s">
        <v>101</v>
      </c>
      <c r="AQ1984" s="1">
        <v>53</v>
      </c>
      <c r="AR1984" s="1"/>
      <c r="AS1984" s="1"/>
      <c r="AT1984" s="1"/>
      <c r="AU1984" s="1"/>
      <c r="AV1984" s="1"/>
      <c r="AW1984" s="1"/>
      <c r="AX1984" s="1"/>
      <c r="AY1984" s="1" t="s">
        <v>34796</v>
      </c>
      <c r="AZ1984" s="1" t="s">
        <v>34797</v>
      </c>
      <c r="BA1984" s="1"/>
      <c r="BB1984" s="1"/>
      <c r="BC1984" s="1" t="s">
        <v>257</v>
      </c>
      <c r="BD1984" s="1" t="s">
        <v>34798</v>
      </c>
      <c r="BE1984" s="1">
        <v>75.2</v>
      </c>
      <c r="BF1984" s="1">
        <v>7.61</v>
      </c>
      <c r="BG1984" s="1"/>
      <c r="BH1984" s="1"/>
      <c r="BI1984" s="1"/>
      <c r="BJ1984" s="1"/>
      <c r="BK1984" s="1"/>
      <c r="BL1984" s="1"/>
      <c r="BM1984" s="1"/>
      <c r="BN1984" s="1"/>
      <c r="BO1984" s="1" t="s">
        <v>1114</v>
      </c>
      <c r="BP1984" s="1"/>
      <c r="BQ1984" s="1"/>
      <c r="BR1984" s="1" t="s">
        <v>34799</v>
      </c>
      <c r="BS1984" s="1">
        <v>11</v>
      </c>
      <c r="BT1984" s="1"/>
      <c r="BU1984" s="1" t="str">
        <f>HYPERLINK("https://nconnect.nicmar.ac.in/storage/profile/ProfilePhoto_p2270593_258364.jpg","Download")</f>
        <v>0</v>
      </c>
      <c r="BV1984" s="3"/>
      <c r="BW1984" s="3"/>
    </row>
    <row r="1985" spans="1:75">
      <c r="A1985" s="1" t="s">
        <v>75</v>
      </c>
      <c r="B1985" s="1" t="s">
        <v>25236</v>
      </c>
      <c r="C1985" s="1" t="s">
        <v>34800</v>
      </c>
      <c r="D1985" s="1" t="s">
        <v>34801</v>
      </c>
      <c r="E1985" s="1"/>
      <c r="F1985" s="1" t="s">
        <v>34802</v>
      </c>
      <c r="G1985" s="1" t="s">
        <v>34803</v>
      </c>
      <c r="H1985" s="1" t="s">
        <v>34804</v>
      </c>
      <c r="I1985" s="1" t="s">
        <v>34805</v>
      </c>
      <c r="J1985" s="1">
        <v>8848027282</v>
      </c>
      <c r="K1985" s="1" t="s">
        <v>153</v>
      </c>
      <c r="L1985" s="1" t="s">
        <v>34806</v>
      </c>
      <c r="M1985" s="1" t="s">
        <v>86</v>
      </c>
      <c r="N1985" s="1" t="s">
        <v>7058</v>
      </c>
      <c r="O1985" s="1" t="s">
        <v>34807</v>
      </c>
      <c r="P1985" s="1" t="s">
        <v>507</v>
      </c>
      <c r="Q1985" s="1" t="s">
        <v>34808</v>
      </c>
      <c r="R1985" s="1" t="s">
        <v>34809</v>
      </c>
      <c r="S1985" s="1">
        <v>9605132722</v>
      </c>
      <c r="T1985" s="1" t="s">
        <v>4693</v>
      </c>
      <c r="U1985" s="1" t="s">
        <v>34810</v>
      </c>
      <c r="V1985" s="1">
        <v>9947829424</v>
      </c>
      <c r="W1985" s="1" t="s">
        <v>34811</v>
      </c>
      <c r="X1985" s="1" t="s">
        <v>34812</v>
      </c>
      <c r="Y1985" s="1" t="s">
        <v>1307</v>
      </c>
      <c r="Z1985" s="1" t="s">
        <v>130</v>
      </c>
      <c r="AA1985" s="1" t="s">
        <v>34812</v>
      </c>
      <c r="AB1985" s="1" t="s">
        <v>1307</v>
      </c>
      <c r="AC1985" s="1" t="s">
        <v>130</v>
      </c>
      <c r="AD1985" s="1" t="s">
        <v>98</v>
      </c>
      <c r="AE1985" s="1" t="s">
        <v>98</v>
      </c>
      <c r="AF1985" s="1" t="s">
        <v>34813</v>
      </c>
      <c r="AG1985" s="1" t="s">
        <v>3192</v>
      </c>
      <c r="AH1985" s="1" t="s">
        <v>101</v>
      </c>
      <c r="AI1985" s="1" t="s">
        <v>136</v>
      </c>
      <c r="AJ1985" s="1">
        <v>100</v>
      </c>
      <c r="AK1985" s="1"/>
      <c r="AL1985" s="1" t="s">
        <v>34814</v>
      </c>
      <c r="AM1985" s="1" t="s">
        <v>3192</v>
      </c>
      <c r="AN1985" s="1"/>
      <c r="AO1985" s="1" t="s">
        <v>342</v>
      </c>
      <c r="AP1985" s="1" t="s">
        <v>573</v>
      </c>
      <c r="AQ1985" s="1">
        <v>93.8</v>
      </c>
      <c r="AR1985" s="1"/>
      <c r="AS1985" s="1"/>
      <c r="AT1985" s="1"/>
      <c r="AU1985" s="1"/>
      <c r="AV1985" s="1"/>
      <c r="AW1985" s="1"/>
      <c r="AX1985" s="1"/>
      <c r="AY1985" s="1" t="s">
        <v>137</v>
      </c>
      <c r="AZ1985" s="1" t="s">
        <v>34815</v>
      </c>
      <c r="BA1985" s="1"/>
      <c r="BB1985" s="1"/>
      <c r="BC1985" s="1" t="s">
        <v>1065</v>
      </c>
      <c r="BD1985" s="1" t="s">
        <v>110</v>
      </c>
      <c r="BE1985" s="1">
        <v>84.4</v>
      </c>
      <c r="BF1985" s="1">
        <v>8.44</v>
      </c>
      <c r="BG1985" s="1"/>
      <c r="BH1985" s="1"/>
      <c r="BI1985" s="1"/>
      <c r="BJ1985" s="1"/>
      <c r="BK1985" s="1"/>
      <c r="BL1985" s="1"/>
      <c r="BM1985" s="1"/>
      <c r="BN1985" s="1"/>
      <c r="BO1985" s="1" t="s">
        <v>34816</v>
      </c>
      <c r="BP1985" s="1"/>
      <c r="BQ1985" s="1"/>
      <c r="BR1985" s="1" t="s">
        <v>34817</v>
      </c>
      <c r="BS1985" s="1">
        <v>9</v>
      </c>
      <c r="BT1985" s="1"/>
      <c r="BU1985" s="1" t="str">
        <f>HYPERLINK("https://nconnect.nicmar.ac.in/storage/profile/ProfilePhoto_p2270594_764139.jpg","Download")</f>
        <v>0</v>
      </c>
      <c r="BV1985" s="3"/>
      <c r="BW1985" s="3"/>
    </row>
    <row r="1986" spans="1:75">
      <c r="A1986" s="1" t="s">
        <v>75</v>
      </c>
      <c r="B1986" s="1" t="s">
        <v>25236</v>
      </c>
      <c r="C1986" s="1" t="s">
        <v>34818</v>
      </c>
      <c r="D1986" s="1" t="s">
        <v>34819</v>
      </c>
      <c r="E1986" s="1" t="s">
        <v>34820</v>
      </c>
      <c r="F1986" s="1" t="s">
        <v>34821</v>
      </c>
      <c r="G1986" s="1" t="s">
        <v>34822</v>
      </c>
      <c r="H1986" s="1" t="s">
        <v>34823</v>
      </c>
      <c r="I1986" s="1" t="s">
        <v>34824</v>
      </c>
      <c r="J1986" s="1">
        <v>9923052910</v>
      </c>
      <c r="K1986" s="1" t="s">
        <v>84</v>
      </c>
      <c r="L1986" s="1" t="s">
        <v>28714</v>
      </c>
      <c r="M1986" s="1" t="s">
        <v>86</v>
      </c>
      <c r="N1986" s="1" t="s">
        <v>34825</v>
      </c>
      <c r="O1986" s="1" t="s">
        <v>34826</v>
      </c>
      <c r="P1986" s="1" t="s">
        <v>481</v>
      </c>
      <c r="Q1986" s="1" t="s">
        <v>34827</v>
      </c>
      <c r="R1986" s="1" t="s">
        <v>34828</v>
      </c>
      <c r="S1986" s="1">
        <v>7821065838</v>
      </c>
      <c r="T1986" s="1" t="s">
        <v>839</v>
      </c>
      <c r="U1986" s="1" t="s">
        <v>34829</v>
      </c>
      <c r="V1986" s="1">
        <v>9371022829</v>
      </c>
      <c r="W1986" s="1" t="s">
        <v>127</v>
      </c>
      <c r="X1986" s="1" t="s">
        <v>34830</v>
      </c>
      <c r="Y1986" s="1" t="s">
        <v>410</v>
      </c>
      <c r="Z1986" s="1" t="s">
        <v>97</v>
      </c>
      <c r="AA1986" s="1" t="s">
        <v>34830</v>
      </c>
      <c r="AB1986" s="1" t="s">
        <v>410</v>
      </c>
      <c r="AC1986" s="1" t="s">
        <v>97</v>
      </c>
      <c r="AD1986" s="1" t="s">
        <v>98</v>
      </c>
      <c r="AE1986" s="1" t="s">
        <v>98</v>
      </c>
      <c r="AF1986" s="1" t="s">
        <v>34831</v>
      </c>
      <c r="AG1986" s="1" t="s">
        <v>312</v>
      </c>
      <c r="AH1986" s="1" t="s">
        <v>101</v>
      </c>
      <c r="AI1986" s="1" t="s">
        <v>166</v>
      </c>
      <c r="AJ1986" s="1">
        <v>74.1</v>
      </c>
      <c r="AK1986" s="1">
        <v>7.8</v>
      </c>
      <c r="AL1986" s="1" t="s">
        <v>34832</v>
      </c>
      <c r="AM1986" s="1" t="s">
        <v>312</v>
      </c>
      <c r="AN1986" s="1"/>
      <c r="AO1986" s="1" t="s">
        <v>167</v>
      </c>
      <c r="AP1986" s="1" t="s">
        <v>573</v>
      </c>
      <c r="AQ1986" s="1">
        <v>68.46</v>
      </c>
      <c r="AR1986" s="1"/>
      <c r="AS1986" s="1"/>
      <c r="AT1986" s="1"/>
      <c r="AU1986" s="1"/>
      <c r="AV1986" s="1"/>
      <c r="AW1986" s="1"/>
      <c r="AX1986" s="1"/>
      <c r="AY1986" s="1" t="s">
        <v>5425</v>
      </c>
      <c r="AZ1986" s="1" t="s">
        <v>34833</v>
      </c>
      <c r="BA1986" s="1"/>
      <c r="BB1986" s="1"/>
      <c r="BC1986" s="1" t="s">
        <v>230</v>
      </c>
      <c r="BD1986" s="1" t="s">
        <v>549</v>
      </c>
      <c r="BE1986" s="1">
        <v>63.3</v>
      </c>
      <c r="BF1986" s="1">
        <v>7.08</v>
      </c>
      <c r="BG1986" s="1"/>
      <c r="BH1986" s="1"/>
      <c r="BI1986" s="1"/>
      <c r="BJ1986" s="1"/>
      <c r="BK1986" s="1"/>
      <c r="BL1986" s="1"/>
      <c r="BM1986" s="1"/>
      <c r="BN1986" s="1"/>
      <c r="BO1986" s="1" t="s">
        <v>34834</v>
      </c>
      <c r="BP1986" s="1"/>
      <c r="BQ1986" s="1"/>
      <c r="BR1986" s="1" t="s">
        <v>34835</v>
      </c>
      <c r="BS1986" s="1">
        <v>38</v>
      </c>
      <c r="BT1986" s="1"/>
      <c r="BU1986" s="1" t="str">
        <f>HYPERLINK("https://nconnect.nicmar.ac.in/storage/profile/ProfilePhoto_p2270595_549261.jpg","Download")</f>
        <v>0</v>
      </c>
      <c r="BV1986" s="3"/>
      <c r="BW1986" s="3"/>
    </row>
    <row r="1987" spans="1:75">
      <c r="A1987" s="1" t="s">
        <v>75</v>
      </c>
      <c r="B1987" s="1" t="s">
        <v>25236</v>
      </c>
      <c r="C1987" s="1" t="s">
        <v>34836</v>
      </c>
      <c r="D1987" s="1" t="s">
        <v>19829</v>
      </c>
      <c r="E1987" s="1"/>
      <c r="F1987" s="1" t="s">
        <v>34837</v>
      </c>
      <c r="G1987" s="1" t="s">
        <v>34838</v>
      </c>
      <c r="H1987" s="1" t="s">
        <v>34839</v>
      </c>
      <c r="I1987" s="1" t="s">
        <v>34840</v>
      </c>
      <c r="J1987" s="1">
        <v>7354701109</v>
      </c>
      <c r="K1987" s="1" t="s">
        <v>153</v>
      </c>
      <c r="L1987" s="1" t="s">
        <v>26330</v>
      </c>
      <c r="M1987" s="1" t="s">
        <v>86</v>
      </c>
      <c r="N1987" s="1" t="s">
        <v>34841</v>
      </c>
      <c r="O1987" s="1"/>
      <c r="P1987" s="1" t="s">
        <v>507</v>
      </c>
      <c r="Q1987" s="1" t="s">
        <v>34842</v>
      </c>
      <c r="R1987" s="1" t="s">
        <v>34843</v>
      </c>
      <c r="S1987" s="1">
        <v>7415933366</v>
      </c>
      <c r="T1987" s="1" t="s">
        <v>3360</v>
      </c>
      <c r="U1987" s="1" t="s">
        <v>34844</v>
      </c>
      <c r="V1987" s="1">
        <v>9425204928</v>
      </c>
      <c r="W1987" s="1" t="s">
        <v>161</v>
      </c>
      <c r="X1987" s="1" t="s">
        <v>34845</v>
      </c>
      <c r="Y1987" s="1" t="s">
        <v>7949</v>
      </c>
      <c r="Z1987" s="1" t="s">
        <v>3419</v>
      </c>
      <c r="AA1987" s="1" t="s">
        <v>34845</v>
      </c>
      <c r="AB1987" s="1" t="s">
        <v>7949</v>
      </c>
      <c r="AC1987" s="1" t="s">
        <v>3419</v>
      </c>
      <c r="AD1987" s="1" t="s">
        <v>98</v>
      </c>
      <c r="AE1987" s="1" t="s">
        <v>98</v>
      </c>
      <c r="AF1987" s="1" t="s">
        <v>34846</v>
      </c>
      <c r="AG1987" s="1" t="s">
        <v>34847</v>
      </c>
      <c r="AH1987" s="1" t="s">
        <v>3421</v>
      </c>
      <c r="AI1987" s="1" t="s">
        <v>515</v>
      </c>
      <c r="AJ1987" s="1">
        <v>83.6</v>
      </c>
      <c r="AK1987" s="1">
        <v>8.8</v>
      </c>
      <c r="AL1987" s="1" t="s">
        <v>34846</v>
      </c>
      <c r="AM1987" s="1" t="s">
        <v>34847</v>
      </c>
      <c r="AN1987" s="1"/>
      <c r="AO1987" s="1" t="s">
        <v>1110</v>
      </c>
      <c r="AP1987" s="1" t="s">
        <v>1111</v>
      </c>
      <c r="AQ1987" s="1">
        <v>78.4</v>
      </c>
      <c r="AR1987" s="1"/>
      <c r="AS1987" s="1"/>
      <c r="AT1987" s="1"/>
      <c r="AU1987" s="1"/>
      <c r="AV1987" s="1"/>
      <c r="AW1987" s="1"/>
      <c r="AX1987" s="1"/>
      <c r="AY1987" s="1" t="s">
        <v>34848</v>
      </c>
      <c r="AZ1987" s="1" t="s">
        <v>34848</v>
      </c>
      <c r="BA1987" s="1"/>
      <c r="BB1987" s="1"/>
      <c r="BC1987" s="1" t="s">
        <v>139</v>
      </c>
      <c r="BD1987" s="1" t="s">
        <v>847</v>
      </c>
      <c r="BE1987" s="1">
        <v>88.1</v>
      </c>
      <c r="BF1987" s="1">
        <v>8.81</v>
      </c>
      <c r="BG1987" s="1"/>
      <c r="BH1987" s="1"/>
      <c r="BI1987" s="1"/>
      <c r="BJ1987" s="1"/>
      <c r="BK1987" s="1"/>
      <c r="BL1987" s="1"/>
      <c r="BM1987" s="1"/>
      <c r="BN1987" s="1"/>
      <c r="BO1987" s="1" t="s">
        <v>34849</v>
      </c>
      <c r="BP1987" s="1" t="s">
        <v>34850</v>
      </c>
      <c r="BQ1987" s="1" t="s">
        <v>292</v>
      </c>
      <c r="BR1987" s="1" t="s">
        <v>34851</v>
      </c>
      <c r="BS1987" s="1">
        <v>28</v>
      </c>
      <c r="BT1987" s="1"/>
      <c r="BU1987" s="1" t="str">
        <f>HYPERLINK("https://nconnect.nicmar.ac.in/storage/profile/ProfilePhoto_p2270597_349712.jpg","Download")</f>
        <v>0</v>
      </c>
      <c r="BV1987" s="3"/>
      <c r="BW1987" s="3"/>
    </row>
    <row r="1988" spans="1:75">
      <c r="A1988" s="1" t="s">
        <v>75</v>
      </c>
      <c r="B1988" s="1" t="s">
        <v>25236</v>
      </c>
      <c r="C1988" s="1" t="s">
        <v>34852</v>
      </c>
      <c r="D1988" s="1" t="s">
        <v>34853</v>
      </c>
      <c r="E1988" s="1"/>
      <c r="F1988" s="1" t="s">
        <v>116</v>
      </c>
      <c r="G1988" s="1" t="s">
        <v>34854</v>
      </c>
      <c r="H1988" s="1" t="s">
        <v>34855</v>
      </c>
      <c r="I1988" s="1" t="s">
        <v>34856</v>
      </c>
      <c r="J1988" s="1">
        <v>9620409096</v>
      </c>
      <c r="K1988" s="1" t="s">
        <v>153</v>
      </c>
      <c r="L1988" s="1" t="s">
        <v>28170</v>
      </c>
      <c r="M1988" s="1" t="s">
        <v>86</v>
      </c>
      <c r="N1988" s="1" t="s">
        <v>34857</v>
      </c>
      <c r="O1988" s="1"/>
      <c r="P1988" s="1" t="s">
        <v>455</v>
      </c>
      <c r="Q1988" s="1" t="s">
        <v>34858</v>
      </c>
      <c r="R1988" s="1" t="s">
        <v>34859</v>
      </c>
      <c r="S1988" s="1">
        <v>9844126653</v>
      </c>
      <c r="T1988" s="1" t="s">
        <v>1552</v>
      </c>
      <c r="U1988" s="1" t="s">
        <v>34860</v>
      </c>
      <c r="V1988" s="1">
        <v>9886603868</v>
      </c>
      <c r="W1988" s="1" t="s">
        <v>541</v>
      </c>
      <c r="X1988" s="1" t="s">
        <v>34861</v>
      </c>
      <c r="Y1988" s="1" t="s">
        <v>3132</v>
      </c>
      <c r="Z1988" s="1" t="s">
        <v>1210</v>
      </c>
      <c r="AA1988" s="1" t="s">
        <v>34861</v>
      </c>
      <c r="AB1988" s="1" t="s">
        <v>3132</v>
      </c>
      <c r="AC1988" s="1" t="s">
        <v>1210</v>
      </c>
      <c r="AD1988" s="1" t="s">
        <v>98</v>
      </c>
      <c r="AE1988" s="1" t="s">
        <v>98</v>
      </c>
      <c r="AF1988" s="1" t="s">
        <v>34862</v>
      </c>
      <c r="AG1988" s="1" t="s">
        <v>11124</v>
      </c>
      <c r="AH1988" s="1" t="s">
        <v>101</v>
      </c>
      <c r="AI1988" s="1" t="s">
        <v>1110</v>
      </c>
      <c r="AJ1988" s="1">
        <v>80.32</v>
      </c>
      <c r="AK1988" s="1"/>
      <c r="AL1988" s="1" t="s">
        <v>34863</v>
      </c>
      <c r="AM1988" s="1" t="s">
        <v>11124</v>
      </c>
      <c r="AN1988" s="1"/>
      <c r="AO1988" s="1" t="s">
        <v>166</v>
      </c>
      <c r="AP1988" s="1" t="s">
        <v>200</v>
      </c>
      <c r="AQ1988" s="1">
        <v>79.66</v>
      </c>
      <c r="AR1988" s="1"/>
      <c r="AS1988" s="1"/>
      <c r="AT1988" s="1"/>
      <c r="AU1988" s="1"/>
      <c r="AV1988" s="1"/>
      <c r="AW1988" s="1"/>
      <c r="AX1988" s="1"/>
      <c r="AY1988" s="1" t="s">
        <v>25302</v>
      </c>
      <c r="AZ1988" s="1" t="s">
        <v>34864</v>
      </c>
      <c r="BA1988" s="1"/>
      <c r="BB1988" s="1"/>
      <c r="BC1988" s="1" t="s">
        <v>230</v>
      </c>
      <c r="BD1988" s="1" t="s">
        <v>289</v>
      </c>
      <c r="BE1988" s="1">
        <v>64.2</v>
      </c>
      <c r="BF1988" s="1">
        <v>7.17</v>
      </c>
      <c r="BG1988" s="1"/>
      <c r="BH1988" s="1"/>
      <c r="BI1988" s="1"/>
      <c r="BJ1988" s="1"/>
      <c r="BK1988" s="1"/>
      <c r="BL1988" s="1"/>
      <c r="BM1988" s="1"/>
      <c r="BN1988" s="1"/>
      <c r="BO1988" s="1" t="s">
        <v>34865</v>
      </c>
      <c r="BP1988" s="1"/>
      <c r="BQ1988" s="1"/>
      <c r="BR1988" s="1" t="s">
        <v>34866</v>
      </c>
      <c r="BS1988" s="1">
        <v>24</v>
      </c>
      <c r="BT1988" s="1"/>
      <c r="BU1988" s="1" t="str">
        <f>HYPERLINK("https://nconnect.nicmar.ac.in/storage/profile/ProfilePhoto_p2270598_617385.jpg","Download")</f>
        <v>0</v>
      </c>
      <c r="BV1988" s="3"/>
      <c r="BW1988" s="3"/>
    </row>
    <row r="1989" spans="1:75">
      <c r="A1989" s="1" t="s">
        <v>75</v>
      </c>
      <c r="B1989" s="1" t="s">
        <v>25236</v>
      </c>
      <c r="C1989" s="1" t="s">
        <v>34867</v>
      </c>
      <c r="D1989" s="1" t="s">
        <v>34868</v>
      </c>
      <c r="E1989" s="1"/>
      <c r="F1989" s="1" t="s">
        <v>34869</v>
      </c>
      <c r="G1989" s="1" t="s">
        <v>34870</v>
      </c>
      <c r="H1989" s="1" t="s">
        <v>34871</v>
      </c>
      <c r="I1989" s="1" t="s">
        <v>34872</v>
      </c>
      <c r="J1989" s="1">
        <v>9600063593</v>
      </c>
      <c r="K1989" s="1" t="s">
        <v>84</v>
      </c>
      <c r="L1989" s="1" t="s">
        <v>34873</v>
      </c>
      <c r="M1989" s="1" t="s">
        <v>86</v>
      </c>
      <c r="N1989" s="1" t="s">
        <v>34874</v>
      </c>
      <c r="O1989" s="1"/>
      <c r="P1989" s="1" t="s">
        <v>481</v>
      </c>
      <c r="Q1989" s="1" t="s">
        <v>34875</v>
      </c>
      <c r="R1989" s="1" t="s">
        <v>34876</v>
      </c>
      <c r="S1989" s="1">
        <v>9444240707</v>
      </c>
      <c r="T1989" s="1" t="s">
        <v>34877</v>
      </c>
      <c r="U1989" s="1" t="s">
        <v>34878</v>
      </c>
      <c r="V1989" s="1">
        <v>9444240707</v>
      </c>
      <c r="W1989" s="1" t="s">
        <v>278</v>
      </c>
      <c r="X1989" s="1" t="s">
        <v>34879</v>
      </c>
      <c r="Y1989" s="1" t="s">
        <v>1498</v>
      </c>
      <c r="Z1989" s="1" t="s">
        <v>570</v>
      </c>
      <c r="AA1989" s="1" t="s">
        <v>34879</v>
      </c>
      <c r="AB1989" s="1" t="s">
        <v>1498</v>
      </c>
      <c r="AC1989" s="1" t="s">
        <v>570</v>
      </c>
      <c r="AD1989" s="1" t="s">
        <v>98</v>
      </c>
      <c r="AE1989" s="1" t="s">
        <v>98</v>
      </c>
      <c r="AF1989" s="1" t="s">
        <v>34880</v>
      </c>
      <c r="AG1989" s="1" t="s">
        <v>29514</v>
      </c>
      <c r="AH1989" s="1" t="s">
        <v>135</v>
      </c>
      <c r="AI1989" s="1" t="s">
        <v>102</v>
      </c>
      <c r="AJ1989" s="1">
        <v>76</v>
      </c>
      <c r="AK1989" s="1"/>
      <c r="AL1989" s="1" t="s">
        <v>34880</v>
      </c>
      <c r="AM1989" s="1" t="s">
        <v>29514</v>
      </c>
      <c r="AN1989" s="1"/>
      <c r="AO1989" s="1" t="s">
        <v>1396</v>
      </c>
      <c r="AP1989" s="1" t="s">
        <v>200</v>
      </c>
      <c r="AQ1989" s="1">
        <v>59</v>
      </c>
      <c r="AR1989" s="1"/>
      <c r="AS1989" s="1"/>
      <c r="AT1989" s="1"/>
      <c r="AU1989" s="1"/>
      <c r="AV1989" s="1"/>
      <c r="AW1989" s="1"/>
      <c r="AX1989" s="1"/>
      <c r="AY1989" s="1" t="s">
        <v>34881</v>
      </c>
      <c r="AZ1989" s="1" t="s">
        <v>29514</v>
      </c>
      <c r="BA1989" s="1"/>
      <c r="BB1989" s="1"/>
      <c r="BC1989" s="1" t="s">
        <v>573</v>
      </c>
      <c r="BD1989" s="1" t="s">
        <v>289</v>
      </c>
      <c r="BE1989" s="1">
        <v>66.1</v>
      </c>
      <c r="BF1989" s="1">
        <v>6.78</v>
      </c>
      <c r="BG1989" s="1"/>
      <c r="BH1989" s="1"/>
      <c r="BI1989" s="1"/>
      <c r="BJ1989" s="1"/>
      <c r="BK1989" s="1"/>
      <c r="BL1989" s="1"/>
      <c r="BM1989" s="1"/>
      <c r="BN1989" s="1"/>
      <c r="BO1989" s="1" t="s">
        <v>34882</v>
      </c>
      <c r="BP1989" s="1"/>
      <c r="BQ1989" s="1"/>
      <c r="BR1989" s="1" t="s">
        <v>34883</v>
      </c>
      <c r="BS1989" s="1">
        <v>25</v>
      </c>
      <c r="BT1989" s="1"/>
      <c r="BU1989" s="1" t="str">
        <f>HYPERLINK("https://nconnect.nicmar.ac.in/storage/profile/ProfilePhoto_p2270599_943156.jpg","Download")</f>
        <v>0</v>
      </c>
      <c r="BV1989" s="3"/>
      <c r="BW1989" s="3"/>
    </row>
    <row r="1990" spans="1:75">
      <c r="A1990" s="1" t="s">
        <v>75</v>
      </c>
      <c r="B1990" s="1" t="s">
        <v>25236</v>
      </c>
      <c r="C1990" s="1" t="s">
        <v>34884</v>
      </c>
      <c r="D1990" s="1" t="s">
        <v>4820</v>
      </c>
      <c r="E1990" s="1" t="s">
        <v>12383</v>
      </c>
      <c r="F1990" s="1" t="s">
        <v>34885</v>
      </c>
      <c r="G1990" s="1" t="s">
        <v>34886</v>
      </c>
      <c r="H1990" s="1" t="s">
        <v>34887</v>
      </c>
      <c r="I1990" s="1" t="s">
        <v>34888</v>
      </c>
      <c r="J1990" s="1">
        <v>9545278959</v>
      </c>
      <c r="K1990" s="1" t="s">
        <v>84</v>
      </c>
      <c r="L1990" s="1" t="s">
        <v>34889</v>
      </c>
      <c r="M1990" s="1" t="s">
        <v>86</v>
      </c>
      <c r="N1990" s="1" t="s">
        <v>34890</v>
      </c>
      <c r="O1990" s="1" t="s">
        <v>34891</v>
      </c>
      <c r="P1990" s="1" t="s">
        <v>1028</v>
      </c>
      <c r="Q1990" s="1" t="s">
        <v>34892</v>
      </c>
      <c r="R1990" s="1" t="s">
        <v>34893</v>
      </c>
      <c r="S1990" s="1">
        <v>9860139425</v>
      </c>
      <c r="T1990" s="1" t="s">
        <v>839</v>
      </c>
      <c r="U1990" s="1" t="s">
        <v>34894</v>
      </c>
      <c r="V1990" s="1">
        <v>9421040663</v>
      </c>
      <c r="W1990" s="1" t="s">
        <v>278</v>
      </c>
      <c r="X1990" s="1" t="s">
        <v>34895</v>
      </c>
      <c r="Y1990" s="1" t="s">
        <v>196</v>
      </c>
      <c r="Z1990" s="1" t="s">
        <v>97</v>
      </c>
      <c r="AA1990" s="1" t="s">
        <v>34895</v>
      </c>
      <c r="AB1990" s="1" t="s">
        <v>196</v>
      </c>
      <c r="AC1990" s="1" t="s">
        <v>97</v>
      </c>
      <c r="AD1990" s="1" t="s">
        <v>98</v>
      </c>
      <c r="AE1990" s="1" t="s">
        <v>98</v>
      </c>
      <c r="AF1990" s="1" t="s">
        <v>34896</v>
      </c>
      <c r="AG1990" s="1" t="s">
        <v>629</v>
      </c>
      <c r="AH1990" s="1" t="s">
        <v>133</v>
      </c>
      <c r="AI1990" s="1" t="s">
        <v>1457</v>
      </c>
      <c r="AJ1990" s="1">
        <v>74.4</v>
      </c>
      <c r="AK1990" s="1"/>
      <c r="AL1990" s="1"/>
      <c r="AM1990" s="1"/>
      <c r="AN1990" s="1"/>
      <c r="AO1990" s="1"/>
      <c r="AP1990" s="1"/>
      <c r="AQ1990" s="1"/>
      <c r="AR1990" s="1"/>
      <c r="AS1990" s="1" t="s">
        <v>103</v>
      </c>
      <c r="AT1990" s="1" t="s">
        <v>34897</v>
      </c>
      <c r="AU1990" s="1" t="s">
        <v>804</v>
      </c>
      <c r="AV1990" s="1" t="s">
        <v>167</v>
      </c>
      <c r="AW1990" s="1">
        <v>70.61</v>
      </c>
      <c r="AX1990" s="1"/>
      <c r="AY1990" s="1" t="s">
        <v>366</v>
      </c>
      <c r="AZ1990" s="1" t="s">
        <v>34898</v>
      </c>
      <c r="BA1990" s="1"/>
      <c r="BB1990" s="1"/>
      <c r="BC1990" s="1" t="s">
        <v>139</v>
      </c>
      <c r="BD1990" s="1" t="s">
        <v>315</v>
      </c>
      <c r="BE1990" s="1">
        <v>60.3</v>
      </c>
      <c r="BF1990" s="1">
        <v>7.43</v>
      </c>
      <c r="BG1990" s="1"/>
      <c r="BH1990" s="1"/>
      <c r="BI1990" s="1"/>
      <c r="BJ1990" s="1"/>
      <c r="BK1990" s="1"/>
      <c r="BL1990" s="1"/>
      <c r="BM1990" s="1"/>
      <c r="BN1990" s="1"/>
      <c r="BO1990" s="1" t="s">
        <v>1114</v>
      </c>
      <c r="BP1990" s="1" t="s">
        <v>34899</v>
      </c>
      <c r="BQ1990" s="1" t="s">
        <v>6365</v>
      </c>
      <c r="BR1990" s="1" t="s">
        <v>34900</v>
      </c>
      <c r="BS1990" s="1">
        <v>7</v>
      </c>
      <c r="BT1990" s="1"/>
      <c r="BU1990" s="1" t="str">
        <f>HYPERLINK("https://nconnect.nicmar.ac.in/storage/profile/ProfilePhoto_p2270600_736142.jpg","Download")</f>
        <v>0</v>
      </c>
      <c r="BV1990" s="3"/>
      <c r="BW1990" s="3"/>
    </row>
    <row r="1991" spans="1:75">
      <c r="A1991" s="1" t="s">
        <v>75</v>
      </c>
      <c r="B1991" s="1" t="s">
        <v>25236</v>
      </c>
      <c r="C1991" s="1" t="s">
        <v>34901</v>
      </c>
      <c r="D1991" s="1" t="s">
        <v>1179</v>
      </c>
      <c r="E1991" s="1" t="s">
        <v>5482</v>
      </c>
      <c r="F1991" s="1" t="s">
        <v>34902</v>
      </c>
      <c r="G1991" s="1" t="s">
        <v>34903</v>
      </c>
      <c r="H1991" s="1" t="s">
        <v>34904</v>
      </c>
      <c r="I1991" s="1" t="s">
        <v>34905</v>
      </c>
      <c r="J1991" s="1">
        <v>7507921772</v>
      </c>
      <c r="K1991" s="1" t="s">
        <v>84</v>
      </c>
      <c r="L1991" s="1" t="s">
        <v>34906</v>
      </c>
      <c r="M1991" s="1" t="s">
        <v>86</v>
      </c>
      <c r="N1991" s="1" t="s">
        <v>2433</v>
      </c>
      <c r="O1991" s="1" t="s">
        <v>34907</v>
      </c>
      <c r="P1991" s="1" t="s">
        <v>507</v>
      </c>
      <c r="Q1991" s="1" t="s">
        <v>34908</v>
      </c>
      <c r="R1991" s="1" t="s">
        <v>34909</v>
      </c>
      <c r="S1991" s="1">
        <v>8806772111</v>
      </c>
      <c r="T1991" s="1" t="s">
        <v>34910</v>
      </c>
      <c r="U1991" s="1" t="s">
        <v>9975</v>
      </c>
      <c r="V1991" s="1">
        <v>9049144371</v>
      </c>
      <c r="W1991" s="1" t="s">
        <v>161</v>
      </c>
      <c r="X1991" s="1" t="s">
        <v>34911</v>
      </c>
      <c r="Y1991" s="1" t="s">
        <v>196</v>
      </c>
      <c r="Z1991" s="1" t="s">
        <v>97</v>
      </c>
      <c r="AA1991" s="1" t="s">
        <v>34911</v>
      </c>
      <c r="AB1991" s="1" t="s">
        <v>196</v>
      </c>
      <c r="AC1991" s="1" t="s">
        <v>97</v>
      </c>
      <c r="AD1991" s="1" t="s">
        <v>98</v>
      </c>
      <c r="AE1991" s="1" t="s">
        <v>98</v>
      </c>
      <c r="AF1991" s="1" t="s">
        <v>34912</v>
      </c>
      <c r="AG1991" s="1" t="s">
        <v>165</v>
      </c>
      <c r="AH1991" s="1" t="s">
        <v>101</v>
      </c>
      <c r="AI1991" s="1" t="s">
        <v>102</v>
      </c>
      <c r="AJ1991" s="1">
        <v>87.2</v>
      </c>
      <c r="AK1991" s="1">
        <v>0</v>
      </c>
      <c r="AL1991" s="1" t="s">
        <v>34913</v>
      </c>
      <c r="AM1991" s="1" t="s">
        <v>165</v>
      </c>
      <c r="AN1991" s="1"/>
      <c r="AO1991" s="1" t="s">
        <v>167</v>
      </c>
      <c r="AP1991" s="1" t="s">
        <v>518</v>
      </c>
      <c r="AQ1991" s="1">
        <v>68.46</v>
      </c>
      <c r="AR1991" s="1">
        <v>0</v>
      </c>
      <c r="AS1991" s="1"/>
      <c r="AT1991" s="1"/>
      <c r="AU1991" s="1"/>
      <c r="AV1991" s="1"/>
      <c r="AW1991" s="1"/>
      <c r="AX1991" s="1"/>
      <c r="AY1991" s="1" t="s">
        <v>366</v>
      </c>
      <c r="AZ1991" s="1" t="s">
        <v>8080</v>
      </c>
      <c r="BA1991" s="1"/>
      <c r="BB1991" s="1"/>
      <c r="BC1991" s="1" t="s">
        <v>230</v>
      </c>
      <c r="BD1991" s="1" t="s">
        <v>845</v>
      </c>
      <c r="BE1991" s="1">
        <v>67.93</v>
      </c>
      <c r="BF1991" s="1">
        <v>7.72</v>
      </c>
      <c r="BG1991" s="1"/>
      <c r="BH1991" s="1"/>
      <c r="BI1991" s="1"/>
      <c r="BJ1991" s="1"/>
      <c r="BK1991" s="1"/>
      <c r="BL1991" s="1"/>
      <c r="BM1991" s="1"/>
      <c r="BN1991" s="1"/>
      <c r="BO1991" s="1" t="s">
        <v>34914</v>
      </c>
      <c r="BP1991" s="1"/>
      <c r="BQ1991" s="1"/>
      <c r="BR1991" s="1" t="s">
        <v>34915</v>
      </c>
      <c r="BS1991" s="1">
        <v>58</v>
      </c>
      <c r="BT1991" s="1"/>
      <c r="BU1991" s="1" t="str">
        <f>HYPERLINK("https://nconnect.nicmar.ac.in/storage/profile/ProfilePhoto_p2270601_472158.jpg","Download")</f>
        <v>0</v>
      </c>
      <c r="BV1991" s="3"/>
      <c r="BW1991" s="3"/>
    </row>
    <row r="1992" spans="1:75">
      <c r="A1992" s="1" t="s">
        <v>75</v>
      </c>
      <c r="B1992" s="1" t="s">
        <v>25236</v>
      </c>
      <c r="C1992" s="1" t="s">
        <v>34916</v>
      </c>
      <c r="D1992" s="1" t="s">
        <v>7018</v>
      </c>
      <c r="E1992" s="1" t="s">
        <v>30047</v>
      </c>
      <c r="F1992" s="1" t="s">
        <v>34917</v>
      </c>
      <c r="G1992" s="1" t="s">
        <v>34918</v>
      </c>
      <c r="H1992" s="1" t="s">
        <v>34919</v>
      </c>
      <c r="I1992" s="1" t="s">
        <v>34920</v>
      </c>
      <c r="J1992" s="1">
        <v>8390008396</v>
      </c>
      <c r="K1992" s="1" t="s">
        <v>84</v>
      </c>
      <c r="L1992" s="1" t="s">
        <v>34921</v>
      </c>
      <c r="M1992" s="1" t="s">
        <v>86</v>
      </c>
      <c r="N1992" s="1" t="s">
        <v>8520</v>
      </c>
      <c r="O1992" s="1" t="s">
        <v>34922</v>
      </c>
      <c r="P1992" s="1" t="s">
        <v>455</v>
      </c>
      <c r="Q1992" s="1" t="s">
        <v>34923</v>
      </c>
      <c r="R1992" s="1" t="s">
        <v>30047</v>
      </c>
      <c r="S1992" s="1">
        <v>7385102221</v>
      </c>
      <c r="T1992" s="1" t="s">
        <v>92</v>
      </c>
      <c r="U1992" s="1" t="s">
        <v>3570</v>
      </c>
      <c r="V1992" s="1">
        <v>9421852754</v>
      </c>
      <c r="W1992" s="1" t="s">
        <v>278</v>
      </c>
      <c r="X1992" s="1" t="s">
        <v>34924</v>
      </c>
      <c r="Y1992" s="1" t="s">
        <v>5083</v>
      </c>
      <c r="Z1992" s="1" t="s">
        <v>97</v>
      </c>
      <c r="AA1992" s="1" t="s">
        <v>34925</v>
      </c>
      <c r="AB1992" s="1" t="s">
        <v>196</v>
      </c>
      <c r="AC1992" s="1" t="s">
        <v>97</v>
      </c>
      <c r="AD1992" s="1" t="s">
        <v>98</v>
      </c>
      <c r="AE1992" s="1" t="s">
        <v>98</v>
      </c>
      <c r="AF1992" s="1" t="s">
        <v>34926</v>
      </c>
      <c r="AG1992" s="1" t="s">
        <v>25554</v>
      </c>
      <c r="AH1992" s="1" t="s">
        <v>166</v>
      </c>
      <c r="AI1992" s="1" t="s">
        <v>627</v>
      </c>
      <c r="AJ1992" s="1">
        <v>78.33</v>
      </c>
      <c r="AK1992" s="1">
        <v>8.3</v>
      </c>
      <c r="AL1992" s="1" t="s">
        <v>34927</v>
      </c>
      <c r="AM1992" s="1" t="s">
        <v>11321</v>
      </c>
      <c r="AN1992" s="1"/>
      <c r="AO1992" s="1" t="s">
        <v>170</v>
      </c>
      <c r="AP1992" s="1" t="s">
        <v>1477</v>
      </c>
      <c r="AQ1992" s="1">
        <v>62.46</v>
      </c>
      <c r="AR1992" s="1"/>
      <c r="AS1992" s="1"/>
      <c r="AT1992" s="1"/>
      <c r="AU1992" s="1"/>
      <c r="AV1992" s="1"/>
      <c r="AW1992" s="1"/>
      <c r="AX1992" s="1"/>
      <c r="AY1992" s="1" t="s">
        <v>10273</v>
      </c>
      <c r="AZ1992" s="1" t="s">
        <v>34928</v>
      </c>
      <c r="BA1992" s="1"/>
      <c r="BB1992" s="1"/>
      <c r="BC1992" s="1" t="s">
        <v>106</v>
      </c>
      <c r="BD1992" s="1" t="s">
        <v>1400</v>
      </c>
      <c r="BE1992" s="1">
        <v>75.52</v>
      </c>
      <c r="BF1992" s="1">
        <v>7.9</v>
      </c>
      <c r="BG1992" s="1"/>
      <c r="BH1992" s="1"/>
      <c r="BI1992" s="1"/>
      <c r="BJ1992" s="1"/>
      <c r="BK1992" s="1"/>
      <c r="BL1992" s="1"/>
      <c r="BM1992" s="1"/>
      <c r="BN1992" s="1"/>
      <c r="BO1992" s="1" t="s">
        <v>34929</v>
      </c>
      <c r="BP1992" s="1"/>
      <c r="BQ1992" s="1"/>
      <c r="BR1992" s="1" t="s">
        <v>34930</v>
      </c>
      <c r="BS1992" s="1">
        <v>26</v>
      </c>
      <c r="BT1992" s="1"/>
      <c r="BU1992" s="1" t="str">
        <f>HYPERLINK("https://nconnect.nicmar.ac.in/storage/profile/ProfilePhoto_p2270602_924853.jpg","Download")</f>
        <v>0</v>
      </c>
      <c r="BV1992" s="3"/>
      <c r="BW1992" s="3"/>
    </row>
    <row r="1993" spans="1:75">
      <c r="A1993" s="1" t="s">
        <v>75</v>
      </c>
      <c r="B1993" s="1" t="s">
        <v>25236</v>
      </c>
      <c r="C1993" s="1" t="s">
        <v>34931</v>
      </c>
      <c r="D1993" s="1" t="s">
        <v>34533</v>
      </c>
      <c r="E1993" s="1" t="s">
        <v>5466</v>
      </c>
      <c r="F1993" s="1" t="s">
        <v>3042</v>
      </c>
      <c r="G1993" s="1" t="s">
        <v>34932</v>
      </c>
      <c r="H1993" s="1" t="s">
        <v>34933</v>
      </c>
      <c r="I1993" s="1" t="s">
        <v>34934</v>
      </c>
      <c r="J1993" s="1">
        <v>7620663496</v>
      </c>
      <c r="K1993" s="1" t="s">
        <v>84</v>
      </c>
      <c r="L1993" s="1" t="s">
        <v>5982</v>
      </c>
      <c r="M1993" s="1" t="s">
        <v>86</v>
      </c>
      <c r="N1993" s="1" t="s">
        <v>4972</v>
      </c>
      <c r="O1993" s="1"/>
      <c r="P1993" s="1" t="s">
        <v>507</v>
      </c>
      <c r="Q1993" s="1" t="s">
        <v>34935</v>
      </c>
      <c r="R1993" s="1" t="s">
        <v>34936</v>
      </c>
      <c r="S1993" s="1">
        <v>8383811940</v>
      </c>
      <c r="T1993" s="1" t="s">
        <v>159</v>
      </c>
      <c r="U1993" s="1" t="s">
        <v>34937</v>
      </c>
      <c r="V1993" s="1">
        <v>8383811940</v>
      </c>
      <c r="W1993" s="1" t="s">
        <v>161</v>
      </c>
      <c r="X1993" s="1" t="s">
        <v>34938</v>
      </c>
      <c r="Y1993" s="1" t="s">
        <v>224</v>
      </c>
      <c r="Z1993" s="1" t="s">
        <v>97</v>
      </c>
      <c r="AA1993" s="1" t="s">
        <v>34938</v>
      </c>
      <c r="AB1993" s="1" t="s">
        <v>224</v>
      </c>
      <c r="AC1993" s="1" t="s">
        <v>97</v>
      </c>
      <c r="AD1993" s="1" t="s">
        <v>98</v>
      </c>
      <c r="AE1993" s="1" t="s">
        <v>98</v>
      </c>
      <c r="AF1993" s="1" t="s">
        <v>34939</v>
      </c>
      <c r="AG1993" s="1" t="s">
        <v>34940</v>
      </c>
      <c r="AH1993" s="1" t="s">
        <v>101</v>
      </c>
      <c r="AI1993" s="1" t="s">
        <v>166</v>
      </c>
      <c r="AJ1993" s="1">
        <v>77.2</v>
      </c>
      <c r="AK1993" s="1">
        <v>0</v>
      </c>
      <c r="AL1993" s="1"/>
      <c r="AM1993" s="1"/>
      <c r="AN1993" s="1"/>
      <c r="AO1993" s="1"/>
      <c r="AP1993" s="1"/>
      <c r="AQ1993" s="1"/>
      <c r="AR1993" s="1"/>
      <c r="AS1993" s="1" t="s">
        <v>255</v>
      </c>
      <c r="AT1993" s="1" t="s">
        <v>34941</v>
      </c>
      <c r="AU1993" s="1" t="s">
        <v>105</v>
      </c>
      <c r="AV1993" s="1" t="s">
        <v>106</v>
      </c>
      <c r="AW1993" s="1">
        <v>82.41</v>
      </c>
      <c r="AX1993" s="1">
        <v>0</v>
      </c>
      <c r="AY1993" s="1" t="s">
        <v>340</v>
      </c>
      <c r="AZ1993" s="1" t="s">
        <v>34942</v>
      </c>
      <c r="BA1993" s="1"/>
      <c r="BB1993" s="1"/>
      <c r="BC1993" s="1" t="s">
        <v>17163</v>
      </c>
      <c r="BD1993" s="1" t="s">
        <v>845</v>
      </c>
      <c r="BE1993" s="1">
        <v>89.4</v>
      </c>
      <c r="BF1993" s="1">
        <v>9.67</v>
      </c>
      <c r="BG1993" s="1"/>
      <c r="BH1993" s="1"/>
      <c r="BI1993" s="1"/>
      <c r="BJ1993" s="1"/>
      <c r="BK1993" s="1"/>
      <c r="BL1993" s="1"/>
      <c r="BM1993" s="1"/>
      <c r="BN1993" s="1"/>
      <c r="BO1993" s="1" t="s">
        <v>34943</v>
      </c>
      <c r="BP1993" s="1" t="s">
        <v>34944</v>
      </c>
      <c r="BQ1993" s="1" t="s">
        <v>1070</v>
      </c>
      <c r="BR1993" s="1" t="s">
        <v>34945</v>
      </c>
      <c r="BS1993" s="1">
        <v>33</v>
      </c>
      <c r="BT1993" s="1"/>
      <c r="BU1993" s="1" t="str">
        <f>HYPERLINK("https://nconnect.nicmar.ac.in/storage/profile/ProfilePhoto_P2270603_578123.jpg","Download")</f>
        <v>0</v>
      </c>
      <c r="BV1993" s="3"/>
      <c r="BW1993" s="3"/>
    </row>
    <row r="1994" spans="1:75">
      <c r="A1994" s="1" t="s">
        <v>75</v>
      </c>
      <c r="B1994" s="1" t="s">
        <v>25236</v>
      </c>
      <c r="C1994" s="1" t="s">
        <v>34946</v>
      </c>
      <c r="D1994" s="1" t="s">
        <v>27954</v>
      </c>
      <c r="E1994" s="1" t="s">
        <v>4646</v>
      </c>
      <c r="F1994" s="1" t="s">
        <v>1179</v>
      </c>
      <c r="G1994" s="1" t="s">
        <v>34947</v>
      </c>
      <c r="H1994" s="1" t="s">
        <v>34948</v>
      </c>
      <c r="I1994" s="1" t="s">
        <v>34949</v>
      </c>
      <c r="J1994" s="1">
        <v>8329987962</v>
      </c>
      <c r="K1994" s="1" t="s">
        <v>84</v>
      </c>
      <c r="L1994" s="1" t="s">
        <v>27994</v>
      </c>
      <c r="M1994" s="1" t="s">
        <v>86</v>
      </c>
      <c r="N1994" s="1" t="s">
        <v>34950</v>
      </c>
      <c r="O1994" s="1"/>
      <c r="P1994" s="1" t="s">
        <v>455</v>
      </c>
      <c r="Q1994" s="1" t="s">
        <v>34951</v>
      </c>
      <c r="R1994" s="1" t="s">
        <v>34952</v>
      </c>
      <c r="S1994" s="1">
        <v>9405555791</v>
      </c>
      <c r="T1994" s="1" t="s">
        <v>4486</v>
      </c>
      <c r="U1994" s="1" t="s">
        <v>34953</v>
      </c>
      <c r="V1994" s="1">
        <v>9403571151</v>
      </c>
      <c r="W1994" s="1" t="s">
        <v>161</v>
      </c>
      <c r="X1994" s="1" t="s">
        <v>34954</v>
      </c>
      <c r="Y1994" s="1" t="s">
        <v>1033</v>
      </c>
      <c r="Z1994" s="1" t="s">
        <v>97</v>
      </c>
      <c r="AA1994" s="1" t="s">
        <v>34954</v>
      </c>
      <c r="AB1994" s="1" t="s">
        <v>1033</v>
      </c>
      <c r="AC1994" s="1" t="s">
        <v>97</v>
      </c>
      <c r="AD1994" s="1" t="s">
        <v>98</v>
      </c>
      <c r="AE1994" s="1" t="s">
        <v>98</v>
      </c>
      <c r="AF1994" s="1" t="s">
        <v>34955</v>
      </c>
      <c r="AG1994" s="1" t="s">
        <v>1312</v>
      </c>
      <c r="AH1994" s="1" t="s">
        <v>1213</v>
      </c>
      <c r="AI1994" s="1" t="s">
        <v>515</v>
      </c>
      <c r="AJ1994" s="1">
        <v>82.8</v>
      </c>
      <c r="AK1994" s="1"/>
      <c r="AL1994" s="1" t="s">
        <v>34956</v>
      </c>
      <c r="AM1994" s="1" t="s">
        <v>1312</v>
      </c>
      <c r="AN1994" s="1"/>
      <c r="AO1994" s="1" t="s">
        <v>257</v>
      </c>
      <c r="AP1994" s="1" t="s">
        <v>1111</v>
      </c>
      <c r="AQ1994" s="1">
        <v>53.08</v>
      </c>
      <c r="AR1994" s="1"/>
      <c r="AS1994" s="1" t="s">
        <v>439</v>
      </c>
      <c r="AT1994" s="1" t="s">
        <v>34957</v>
      </c>
      <c r="AU1994" s="1" t="s">
        <v>139</v>
      </c>
      <c r="AV1994" s="1" t="s">
        <v>286</v>
      </c>
      <c r="AW1994" s="1">
        <v>69.88</v>
      </c>
      <c r="AX1994" s="1"/>
      <c r="AY1994" s="1" t="s">
        <v>32616</v>
      </c>
      <c r="AZ1994" s="1" t="s">
        <v>32616</v>
      </c>
      <c r="BA1994" s="1"/>
      <c r="BB1994" s="1"/>
      <c r="BC1994" s="1" t="s">
        <v>1065</v>
      </c>
      <c r="BD1994" s="1" t="s">
        <v>1192</v>
      </c>
      <c r="BE1994" s="1">
        <v>60.9</v>
      </c>
      <c r="BF1994" s="1">
        <v>6.84</v>
      </c>
      <c r="BG1994" s="1"/>
      <c r="BH1994" s="1"/>
      <c r="BI1994" s="1"/>
      <c r="BJ1994" s="1"/>
      <c r="BK1994" s="1"/>
      <c r="BL1994" s="1"/>
      <c r="BM1994" s="1"/>
      <c r="BN1994" s="1"/>
      <c r="BO1994" s="1" t="s">
        <v>369</v>
      </c>
      <c r="BP1994" s="1"/>
      <c r="BQ1994" s="1"/>
      <c r="BR1994" s="1" t="s">
        <v>34958</v>
      </c>
      <c r="BS1994" s="1">
        <v>13</v>
      </c>
      <c r="BT1994" s="1"/>
      <c r="BU1994" s="1" t="str">
        <f>HYPERLINK("https://nconnect.nicmar.ac.in/storage/profile/ProfilePhoto_P2270604_712548.jpg","Download")</f>
        <v>0</v>
      </c>
      <c r="BV1994" s="3"/>
      <c r="BW1994" s="3"/>
    </row>
    <row r="1995" spans="1:75">
      <c r="A1995" s="1" t="s">
        <v>75</v>
      </c>
      <c r="B1995" s="1" t="s">
        <v>25236</v>
      </c>
      <c r="C1995" s="1" t="s">
        <v>34959</v>
      </c>
      <c r="D1995" s="1" t="s">
        <v>1337</v>
      </c>
      <c r="E1995" s="1" t="s">
        <v>457</v>
      </c>
      <c r="F1995" s="1" t="s">
        <v>34960</v>
      </c>
      <c r="G1995" s="1" t="s">
        <v>34961</v>
      </c>
      <c r="H1995" s="1" t="s">
        <v>34962</v>
      </c>
      <c r="I1995" s="1" t="s">
        <v>34963</v>
      </c>
      <c r="J1995" s="1">
        <v>9611484889</v>
      </c>
      <c r="K1995" s="1" t="s">
        <v>84</v>
      </c>
      <c r="L1995" s="1" t="s">
        <v>34964</v>
      </c>
      <c r="M1995" s="1" t="s">
        <v>86</v>
      </c>
      <c r="N1995" s="1" t="s">
        <v>34965</v>
      </c>
      <c r="O1995" s="1" t="s">
        <v>34966</v>
      </c>
      <c r="P1995" s="1" t="s">
        <v>455</v>
      </c>
      <c r="Q1995" s="1" t="s">
        <v>34967</v>
      </c>
      <c r="R1995" s="1" t="s">
        <v>34968</v>
      </c>
      <c r="S1995" s="1">
        <v>9591415235</v>
      </c>
      <c r="T1995" s="1" t="s">
        <v>382</v>
      </c>
      <c r="U1995" s="1" t="s">
        <v>34969</v>
      </c>
      <c r="V1995" s="1">
        <v>7760212792</v>
      </c>
      <c r="W1995" s="1" t="s">
        <v>161</v>
      </c>
      <c r="X1995" s="1" t="s">
        <v>34970</v>
      </c>
      <c r="Y1995" s="1" t="s">
        <v>6871</v>
      </c>
      <c r="Z1995" s="1" t="s">
        <v>1210</v>
      </c>
      <c r="AA1995" s="1" t="s">
        <v>34970</v>
      </c>
      <c r="AB1995" s="1" t="s">
        <v>6871</v>
      </c>
      <c r="AC1995" s="1" t="s">
        <v>1210</v>
      </c>
      <c r="AD1995" s="1" t="s">
        <v>98</v>
      </c>
      <c r="AE1995" s="1" t="s">
        <v>98</v>
      </c>
      <c r="AF1995" s="1" t="s">
        <v>34971</v>
      </c>
      <c r="AG1995" s="1" t="s">
        <v>34972</v>
      </c>
      <c r="AH1995" s="1" t="s">
        <v>1214</v>
      </c>
      <c r="AI1995" s="1" t="s">
        <v>136</v>
      </c>
      <c r="AJ1995" s="1">
        <v>66.5</v>
      </c>
      <c r="AK1995" s="1">
        <v>7</v>
      </c>
      <c r="AL1995" s="1" t="s">
        <v>34973</v>
      </c>
      <c r="AM1995" s="1" t="s">
        <v>12550</v>
      </c>
      <c r="AN1995" s="1"/>
      <c r="AO1995" s="1" t="s">
        <v>627</v>
      </c>
      <c r="AP1995" s="1" t="s">
        <v>170</v>
      </c>
      <c r="AQ1995" s="1">
        <v>70.33</v>
      </c>
      <c r="AR1995" s="1">
        <v>0</v>
      </c>
      <c r="AS1995" s="1"/>
      <c r="AT1995" s="1"/>
      <c r="AU1995" s="1"/>
      <c r="AV1995" s="1"/>
      <c r="AW1995" s="1"/>
      <c r="AX1995" s="1"/>
      <c r="AY1995" s="1" t="s">
        <v>34974</v>
      </c>
      <c r="AZ1995" s="1" t="s">
        <v>34975</v>
      </c>
      <c r="BA1995" s="1"/>
      <c r="BB1995" s="1"/>
      <c r="BC1995" s="1" t="s">
        <v>230</v>
      </c>
      <c r="BD1995" s="1" t="s">
        <v>441</v>
      </c>
      <c r="BE1995" s="1">
        <v>60</v>
      </c>
      <c r="BF1995" s="1">
        <v>6.75</v>
      </c>
      <c r="BG1995" s="1"/>
      <c r="BH1995" s="1"/>
      <c r="BI1995" s="1"/>
      <c r="BJ1995" s="1"/>
      <c r="BK1995" s="1"/>
      <c r="BL1995" s="1"/>
      <c r="BM1995" s="1"/>
      <c r="BN1995" s="1"/>
      <c r="BO1995" s="1" t="s">
        <v>28957</v>
      </c>
      <c r="BP1995" s="1"/>
      <c r="BQ1995" s="1"/>
      <c r="BR1995" s="1" t="s">
        <v>34976</v>
      </c>
      <c r="BS1995" s="1">
        <v>16</v>
      </c>
      <c r="BT1995" s="1"/>
      <c r="BU1995" s="1" t="str">
        <f>HYPERLINK("https://nconnect.nicmar.ac.in/storage/profile/ProfilePhoto_p2270008_876423.jpg","Download")</f>
        <v>0</v>
      </c>
      <c r="BV1995" s="3"/>
      <c r="BW1995" s="3"/>
    </row>
    <row r="1996" spans="1:75">
      <c r="A1996" s="1" t="s">
        <v>75</v>
      </c>
      <c r="B1996" s="1" t="s">
        <v>25236</v>
      </c>
      <c r="C1996" s="1" t="s">
        <v>34977</v>
      </c>
      <c r="D1996" s="1" t="s">
        <v>239</v>
      </c>
      <c r="E1996" s="1"/>
      <c r="F1996" s="1" t="s">
        <v>34978</v>
      </c>
      <c r="G1996" s="1" t="s">
        <v>34979</v>
      </c>
      <c r="H1996" s="1" t="s">
        <v>34980</v>
      </c>
      <c r="I1996" s="1" t="s">
        <v>34981</v>
      </c>
      <c r="J1996" s="1">
        <v>8593850425</v>
      </c>
      <c r="K1996" s="1" t="s">
        <v>84</v>
      </c>
      <c r="L1996" s="1" t="s">
        <v>34982</v>
      </c>
      <c r="M1996" s="1" t="s">
        <v>86</v>
      </c>
      <c r="N1996" s="1" t="s">
        <v>34983</v>
      </c>
      <c r="O1996" s="1" t="s">
        <v>34984</v>
      </c>
      <c r="P1996" s="1" t="s">
        <v>507</v>
      </c>
      <c r="Q1996" s="1" t="s">
        <v>34985</v>
      </c>
      <c r="R1996" s="1" t="s">
        <v>34986</v>
      </c>
      <c r="S1996" s="1">
        <v>9495190714</v>
      </c>
      <c r="T1996" s="1" t="s">
        <v>34987</v>
      </c>
      <c r="U1996" s="1" t="s">
        <v>34988</v>
      </c>
      <c r="V1996" s="1">
        <v>9446721680</v>
      </c>
      <c r="W1996" s="1" t="s">
        <v>34989</v>
      </c>
      <c r="X1996" s="1" t="s">
        <v>34990</v>
      </c>
      <c r="Y1996" s="1" t="s">
        <v>1283</v>
      </c>
      <c r="Z1996" s="1" t="s">
        <v>130</v>
      </c>
      <c r="AA1996" s="1" t="s">
        <v>34990</v>
      </c>
      <c r="AB1996" s="1" t="s">
        <v>1283</v>
      </c>
      <c r="AC1996" s="1" t="s">
        <v>130</v>
      </c>
      <c r="AD1996" s="1" t="s">
        <v>98</v>
      </c>
      <c r="AE1996" s="1" t="s">
        <v>98</v>
      </c>
      <c r="AF1996" s="1" t="s">
        <v>34991</v>
      </c>
      <c r="AG1996" s="1" t="s">
        <v>34992</v>
      </c>
      <c r="AH1996" s="1" t="s">
        <v>133</v>
      </c>
      <c r="AI1996" s="1" t="s">
        <v>3421</v>
      </c>
      <c r="AJ1996" s="1">
        <v>83</v>
      </c>
      <c r="AK1996" s="1"/>
      <c r="AL1996" s="1" t="s">
        <v>34993</v>
      </c>
      <c r="AM1996" s="1" t="s">
        <v>34992</v>
      </c>
      <c r="AN1996" s="1"/>
      <c r="AO1996" s="1" t="s">
        <v>1262</v>
      </c>
      <c r="AP1996" s="1" t="s">
        <v>136</v>
      </c>
      <c r="AQ1996" s="1">
        <v>87.08</v>
      </c>
      <c r="AR1996" s="1"/>
      <c r="AS1996" s="1"/>
      <c r="AT1996" s="1"/>
      <c r="AU1996" s="1"/>
      <c r="AV1996" s="1"/>
      <c r="AW1996" s="1"/>
      <c r="AX1996" s="1"/>
      <c r="AY1996" s="1" t="s">
        <v>137</v>
      </c>
      <c r="AZ1996" s="1" t="s">
        <v>34994</v>
      </c>
      <c r="BA1996" s="1"/>
      <c r="BB1996" s="1"/>
      <c r="BC1996" s="1" t="s">
        <v>32144</v>
      </c>
      <c r="BD1996" s="1" t="s">
        <v>13133</v>
      </c>
      <c r="BE1996" s="1">
        <v>64.8</v>
      </c>
      <c r="BF1996" s="1">
        <v>6.48</v>
      </c>
      <c r="BG1996" s="1"/>
      <c r="BH1996" s="1"/>
      <c r="BI1996" s="1"/>
      <c r="BJ1996" s="1"/>
      <c r="BK1996" s="1"/>
      <c r="BL1996" s="1"/>
      <c r="BM1996" s="1"/>
      <c r="BN1996" s="1"/>
      <c r="BO1996" s="1" t="s">
        <v>34995</v>
      </c>
      <c r="BP1996" s="1" t="s">
        <v>34996</v>
      </c>
      <c r="BQ1996" s="1" t="s">
        <v>2326</v>
      </c>
      <c r="BR1996" s="1" t="s">
        <v>34997</v>
      </c>
      <c r="BS1996" s="1">
        <v>7</v>
      </c>
      <c r="BT1996" s="1"/>
      <c r="BU1996" s="1" t="str">
        <f>HYPERLINK("https://nconnect.nicmar.ac.in/storage/profile/ProfilePhoto_p2270218_491856.jpg","Download")</f>
        <v>0</v>
      </c>
      <c r="BV1996" s="3"/>
      <c r="BW1996" s="3"/>
    </row>
    <row r="1997" spans="1:75">
      <c r="A1997" s="1" t="s">
        <v>75</v>
      </c>
      <c r="B1997" s="1" t="s">
        <v>25236</v>
      </c>
      <c r="C1997" s="1" t="s">
        <v>34998</v>
      </c>
      <c r="D1997" s="1" t="s">
        <v>34999</v>
      </c>
      <c r="E1997" s="1"/>
      <c r="F1997" s="1" t="s">
        <v>35000</v>
      </c>
      <c r="G1997" s="1" t="s">
        <v>35001</v>
      </c>
      <c r="H1997" s="1" t="s">
        <v>35002</v>
      </c>
      <c r="I1997" s="1" t="s">
        <v>35003</v>
      </c>
      <c r="J1997" s="1">
        <v>8320354607</v>
      </c>
      <c r="K1997" s="1" t="s">
        <v>84</v>
      </c>
      <c r="L1997" s="1" t="s">
        <v>35004</v>
      </c>
      <c r="M1997" s="1" t="s">
        <v>86</v>
      </c>
      <c r="N1997" s="1" t="s">
        <v>27995</v>
      </c>
      <c r="O1997" s="1" t="s">
        <v>35005</v>
      </c>
      <c r="P1997" s="1" t="s">
        <v>455</v>
      </c>
      <c r="Q1997" s="1" t="s">
        <v>35006</v>
      </c>
      <c r="R1997" s="1" t="s">
        <v>35007</v>
      </c>
      <c r="S1997" s="1">
        <v>8320441277</v>
      </c>
      <c r="T1997" s="1" t="s">
        <v>221</v>
      </c>
      <c r="U1997" s="1" t="s">
        <v>35008</v>
      </c>
      <c r="V1997" s="1">
        <v>7778846581</v>
      </c>
      <c r="W1997" s="1" t="s">
        <v>541</v>
      </c>
      <c r="X1997" s="1" t="s">
        <v>35009</v>
      </c>
      <c r="Y1997" s="1" t="s">
        <v>13481</v>
      </c>
      <c r="Z1997" s="1" t="s">
        <v>676</v>
      </c>
      <c r="AA1997" s="1" t="s">
        <v>35009</v>
      </c>
      <c r="AB1997" s="1" t="s">
        <v>13481</v>
      </c>
      <c r="AC1997" s="1" t="s">
        <v>676</v>
      </c>
      <c r="AD1997" s="1" t="s">
        <v>98</v>
      </c>
      <c r="AE1997" s="1" t="s">
        <v>98</v>
      </c>
      <c r="AF1997" s="1" t="s">
        <v>1060</v>
      </c>
      <c r="AG1997" s="1" t="s">
        <v>25554</v>
      </c>
      <c r="AH1997" s="1" t="s">
        <v>1110</v>
      </c>
      <c r="AI1997" s="1" t="s">
        <v>284</v>
      </c>
      <c r="AJ1997" s="1">
        <v>57</v>
      </c>
      <c r="AK1997" s="1">
        <v>6</v>
      </c>
      <c r="AL1997" s="1" t="s">
        <v>1060</v>
      </c>
      <c r="AM1997" s="1" t="s">
        <v>25554</v>
      </c>
      <c r="AN1997" s="1"/>
      <c r="AO1997" s="1" t="s">
        <v>704</v>
      </c>
      <c r="AP1997" s="1" t="s">
        <v>490</v>
      </c>
      <c r="AQ1997" s="1">
        <v>53</v>
      </c>
      <c r="AR1997" s="1">
        <v>5.6</v>
      </c>
      <c r="AS1997" s="1"/>
      <c r="AT1997" s="1"/>
      <c r="AU1997" s="1"/>
      <c r="AV1997" s="1"/>
      <c r="AW1997" s="1"/>
      <c r="AX1997" s="1"/>
      <c r="AY1997" s="1" t="s">
        <v>5241</v>
      </c>
      <c r="AZ1997" s="1" t="s">
        <v>35010</v>
      </c>
      <c r="BA1997" s="1"/>
      <c r="BB1997" s="1"/>
      <c r="BC1997" s="1" t="s">
        <v>1065</v>
      </c>
      <c r="BD1997" s="1" t="s">
        <v>632</v>
      </c>
      <c r="BE1997" s="1">
        <v>75.62</v>
      </c>
      <c r="BF1997" s="1">
        <v>7.96</v>
      </c>
      <c r="BG1997" s="1"/>
      <c r="BH1997" s="1"/>
      <c r="BI1997" s="1"/>
      <c r="BJ1997" s="1"/>
      <c r="BK1997" s="1"/>
      <c r="BL1997" s="1"/>
      <c r="BM1997" s="1"/>
      <c r="BN1997" s="1"/>
      <c r="BO1997" s="1" t="s">
        <v>1114</v>
      </c>
      <c r="BP1997" s="1"/>
      <c r="BQ1997" s="1"/>
      <c r="BR1997" s="1" t="s">
        <v>35011</v>
      </c>
      <c r="BS1997" s="1">
        <v>20</v>
      </c>
      <c r="BT1997" s="1"/>
      <c r="BU1997" s="1" t="str">
        <f>HYPERLINK("https://nconnect.nicmar.ac.in/storage/profile/ProfilePhoto_p2270378_716549.jpg","Download")</f>
        <v>0</v>
      </c>
      <c r="BV1997" s="3"/>
      <c r="BW1997" s="3"/>
    </row>
    <row r="1998" spans="1:75">
      <c r="A1998" s="1" t="s">
        <v>75</v>
      </c>
      <c r="B1998" s="1" t="s">
        <v>25236</v>
      </c>
      <c r="C1998" s="1" t="s">
        <v>35012</v>
      </c>
      <c r="D1998" s="1" t="s">
        <v>1294</v>
      </c>
      <c r="E1998" s="1" t="s">
        <v>35013</v>
      </c>
      <c r="F1998" s="1" t="s">
        <v>35014</v>
      </c>
      <c r="G1998" s="1" t="s">
        <v>35015</v>
      </c>
      <c r="H1998" s="1" t="s">
        <v>35016</v>
      </c>
      <c r="I1998" s="1" t="s">
        <v>35017</v>
      </c>
      <c r="J1998" s="1">
        <v>8390338861</v>
      </c>
      <c r="K1998" s="1" t="s">
        <v>84</v>
      </c>
      <c r="L1998" s="1" t="s">
        <v>8217</v>
      </c>
      <c r="M1998" s="1" t="s">
        <v>86</v>
      </c>
      <c r="N1998" s="1" t="s">
        <v>11315</v>
      </c>
      <c r="O1998" s="1" t="s">
        <v>35018</v>
      </c>
      <c r="P1998" s="1" t="s">
        <v>455</v>
      </c>
      <c r="Q1998" s="1" t="s">
        <v>35019</v>
      </c>
      <c r="R1998" s="1" t="s">
        <v>35013</v>
      </c>
      <c r="S1998" s="1">
        <v>9422066861</v>
      </c>
      <c r="T1998" s="1" t="s">
        <v>926</v>
      </c>
      <c r="U1998" s="1" t="s">
        <v>35020</v>
      </c>
      <c r="V1998" s="1">
        <v>9420490691</v>
      </c>
      <c r="W1998" s="1" t="s">
        <v>161</v>
      </c>
      <c r="X1998" s="1" t="s">
        <v>35021</v>
      </c>
      <c r="Y1998" s="1" t="s">
        <v>163</v>
      </c>
      <c r="Z1998" s="1" t="s">
        <v>97</v>
      </c>
      <c r="AA1998" s="1" t="s">
        <v>35021</v>
      </c>
      <c r="AB1998" s="1" t="s">
        <v>163</v>
      </c>
      <c r="AC1998" s="1" t="s">
        <v>97</v>
      </c>
      <c r="AD1998" s="1" t="s">
        <v>98</v>
      </c>
      <c r="AE1998" s="1" t="s">
        <v>98</v>
      </c>
      <c r="AF1998" s="1" t="s">
        <v>35022</v>
      </c>
      <c r="AG1998" s="1" t="s">
        <v>165</v>
      </c>
      <c r="AH1998" s="1" t="s">
        <v>166</v>
      </c>
      <c r="AI1998" s="1" t="s">
        <v>167</v>
      </c>
      <c r="AJ1998" s="1">
        <v>85</v>
      </c>
      <c r="AK1998" s="1"/>
      <c r="AL1998" s="1"/>
      <c r="AM1998" s="1"/>
      <c r="AN1998" s="1"/>
      <c r="AO1998" s="1"/>
      <c r="AP1998" s="1"/>
      <c r="AQ1998" s="1"/>
      <c r="AR1998" s="1"/>
      <c r="AS1998" s="1" t="s">
        <v>439</v>
      </c>
      <c r="AT1998" s="1" t="s">
        <v>35023</v>
      </c>
      <c r="AU1998" s="1" t="s">
        <v>139</v>
      </c>
      <c r="AV1998" s="1" t="s">
        <v>313</v>
      </c>
      <c r="AW1998" s="1">
        <v>87.27</v>
      </c>
      <c r="AX1998" s="1"/>
      <c r="AY1998" s="1" t="s">
        <v>366</v>
      </c>
      <c r="AZ1998" s="1" t="s">
        <v>35024</v>
      </c>
      <c r="BA1998" s="1"/>
      <c r="BB1998" s="1"/>
      <c r="BC1998" s="1" t="s">
        <v>206</v>
      </c>
      <c r="BD1998" s="1" t="s">
        <v>289</v>
      </c>
      <c r="BE1998" s="1">
        <v>88.52</v>
      </c>
      <c r="BF1998" s="1">
        <v>9.46</v>
      </c>
      <c r="BG1998" s="1"/>
      <c r="BH1998" s="1"/>
      <c r="BI1998" s="1"/>
      <c r="BJ1998" s="1"/>
      <c r="BK1998" s="1"/>
      <c r="BL1998" s="1"/>
      <c r="BM1998" s="1"/>
      <c r="BN1998" s="1"/>
      <c r="BO1998" s="1" t="s">
        <v>35025</v>
      </c>
      <c r="BP1998" s="1"/>
      <c r="BQ1998" s="1"/>
      <c r="BR1998" s="1" t="s">
        <v>35026</v>
      </c>
      <c r="BS1998" s="1">
        <v>7</v>
      </c>
      <c r="BT1998" s="1"/>
      <c r="BU1998" s="1" t="str">
        <f>HYPERLINK("https://nconnect.nicmar.ac.in/storage/profile/ProfilePhoto_p2270406_928763.jpg","Download")</f>
        <v>0</v>
      </c>
      <c r="BV1998" s="3"/>
      <c r="BW1998" s="3"/>
    </row>
    <row r="1999" spans="1:75">
      <c r="A1999" s="1" t="s">
        <v>75</v>
      </c>
      <c r="B1999" s="1" t="s">
        <v>25236</v>
      </c>
      <c r="C1999" s="1" t="s">
        <v>35027</v>
      </c>
      <c r="D1999" s="1" t="s">
        <v>17266</v>
      </c>
      <c r="E1999" s="1"/>
      <c r="F1999" s="1" t="s">
        <v>30716</v>
      </c>
      <c r="G1999" s="1" t="s">
        <v>35028</v>
      </c>
      <c r="H1999" s="1" t="s">
        <v>35029</v>
      </c>
      <c r="I1999" s="1" t="s">
        <v>35030</v>
      </c>
      <c r="J1999" s="1">
        <v>8660462532</v>
      </c>
      <c r="K1999" s="1" t="s">
        <v>84</v>
      </c>
      <c r="L1999" s="1" t="s">
        <v>25486</v>
      </c>
      <c r="M1999" s="1" t="s">
        <v>86</v>
      </c>
      <c r="N1999" s="1" t="s">
        <v>35031</v>
      </c>
      <c r="O1999" s="1" t="s">
        <v>35032</v>
      </c>
      <c r="P1999" s="1" t="s">
        <v>1028</v>
      </c>
      <c r="Q1999" s="1" t="s">
        <v>35033</v>
      </c>
      <c r="R1999" s="1" t="s">
        <v>35034</v>
      </c>
      <c r="S1999" s="1">
        <v>8660462532</v>
      </c>
      <c r="T1999" s="1" t="s">
        <v>22979</v>
      </c>
      <c r="U1999" s="1" t="s">
        <v>35035</v>
      </c>
      <c r="V1999" s="1">
        <v>9535292210</v>
      </c>
      <c r="W1999" s="1" t="s">
        <v>35036</v>
      </c>
      <c r="X1999" s="1" t="s">
        <v>35037</v>
      </c>
      <c r="Y1999" s="1" t="s">
        <v>3132</v>
      </c>
      <c r="Z1999" s="1" t="s">
        <v>1210</v>
      </c>
      <c r="AA1999" s="1" t="s">
        <v>35037</v>
      </c>
      <c r="AB1999" s="1" t="s">
        <v>3132</v>
      </c>
      <c r="AC1999" s="1" t="s">
        <v>1210</v>
      </c>
      <c r="AD1999" s="1" t="s">
        <v>98</v>
      </c>
      <c r="AE1999" s="1" t="s">
        <v>98</v>
      </c>
      <c r="AF1999" s="1" t="s">
        <v>35038</v>
      </c>
      <c r="AG1999" s="1" t="s">
        <v>1946</v>
      </c>
      <c r="AH1999" s="1" t="s">
        <v>136</v>
      </c>
      <c r="AI1999" s="1" t="s">
        <v>627</v>
      </c>
      <c r="AJ1999" s="1">
        <v>86.24</v>
      </c>
      <c r="AK1999" s="1">
        <v>0</v>
      </c>
      <c r="AL1999" s="1" t="s">
        <v>35039</v>
      </c>
      <c r="AM1999" s="1" t="s">
        <v>1946</v>
      </c>
      <c r="AN1999" s="1"/>
      <c r="AO1999" s="1" t="s">
        <v>170</v>
      </c>
      <c r="AP1999" s="1" t="s">
        <v>171</v>
      </c>
      <c r="AQ1999" s="1">
        <v>80.33</v>
      </c>
      <c r="AR1999" s="1">
        <v>0</v>
      </c>
      <c r="AS1999" s="1"/>
      <c r="AT1999" s="1"/>
      <c r="AU1999" s="1"/>
      <c r="AV1999" s="1"/>
      <c r="AW1999" s="1"/>
      <c r="AX1999" s="1"/>
      <c r="AY1999" s="1" t="s">
        <v>35040</v>
      </c>
      <c r="AZ1999" s="1" t="s">
        <v>35041</v>
      </c>
      <c r="BA1999" s="1"/>
      <c r="BB1999" s="1"/>
      <c r="BC1999" s="1" t="s">
        <v>106</v>
      </c>
      <c r="BD1999" s="1" t="s">
        <v>632</v>
      </c>
      <c r="BE1999" s="1">
        <v>68.4</v>
      </c>
      <c r="BF1999" s="1">
        <v>7.59</v>
      </c>
      <c r="BG1999" s="1"/>
      <c r="BH1999" s="1"/>
      <c r="BI1999" s="1"/>
      <c r="BJ1999" s="1"/>
      <c r="BK1999" s="1"/>
      <c r="BL1999" s="1"/>
      <c r="BM1999" s="1"/>
      <c r="BN1999" s="1"/>
      <c r="BO1999" s="1" t="s">
        <v>35042</v>
      </c>
      <c r="BP1999" s="1"/>
      <c r="BQ1999" s="1"/>
      <c r="BR1999" s="1" t="s">
        <v>35043</v>
      </c>
      <c r="BS1999" s="1">
        <v>-24</v>
      </c>
      <c r="BT1999" s="1"/>
      <c r="BU1999" s="1" t="str">
        <f>HYPERLINK("https://nconnect.nicmar.ac.in/storage/profile/ProfilePhoto_p2270481_835761.jpg","Download")</f>
        <v>0</v>
      </c>
      <c r="BV1999" s="3"/>
      <c r="BW1999" s="3"/>
    </row>
    <row r="2000" spans="1:75">
      <c r="A2000" s="1" t="s">
        <v>75</v>
      </c>
      <c r="B2000" s="1" t="s">
        <v>25236</v>
      </c>
      <c r="C2000" s="1"/>
      <c r="D2000" s="1" t="s">
        <v>3350</v>
      </c>
      <c r="E2000" s="1" t="s">
        <v>35044</v>
      </c>
      <c r="F2000" s="1" t="s">
        <v>35045</v>
      </c>
      <c r="G2000" s="1" t="s">
        <v>35046</v>
      </c>
      <c r="H2000" s="1" t="s">
        <v>35047</v>
      </c>
      <c r="I2000" s="1" t="s">
        <v>35048</v>
      </c>
      <c r="J2000" s="1">
        <v>9511809628</v>
      </c>
      <c r="K2000" s="1" t="s">
        <v>84</v>
      </c>
      <c r="L2000" s="1" t="s">
        <v>35049</v>
      </c>
      <c r="M2000" s="1" t="s">
        <v>86</v>
      </c>
      <c r="N2000" s="1" t="s">
        <v>618</v>
      </c>
      <c r="O2000" s="1" t="s">
        <v>18454</v>
      </c>
      <c r="P2000" s="1" t="s">
        <v>507</v>
      </c>
      <c r="Q2000" s="1" t="s">
        <v>35050</v>
      </c>
      <c r="R2000" s="1" t="s">
        <v>35051</v>
      </c>
      <c r="S2000" s="1">
        <v>9404578876</v>
      </c>
      <c r="T2000" s="1" t="s">
        <v>26424</v>
      </c>
      <c r="U2000" s="1" t="s">
        <v>35052</v>
      </c>
      <c r="V2000" s="1">
        <v>9421715666</v>
      </c>
      <c r="W2000" s="1" t="s">
        <v>9122</v>
      </c>
      <c r="X2000" s="1" t="s">
        <v>35053</v>
      </c>
      <c r="Y2000" s="1" t="s">
        <v>7241</v>
      </c>
      <c r="Z2000" s="1" t="s">
        <v>97</v>
      </c>
      <c r="AA2000" s="1" t="s">
        <v>35053</v>
      </c>
      <c r="AB2000" s="1" t="s">
        <v>7241</v>
      </c>
      <c r="AC2000" s="1" t="s">
        <v>97</v>
      </c>
      <c r="AD2000" s="1" t="s">
        <v>98</v>
      </c>
      <c r="AE2000" s="1" t="s">
        <v>98</v>
      </c>
      <c r="AF2000" s="1" t="s">
        <v>33928</v>
      </c>
      <c r="AG2000" s="1" t="s">
        <v>33929</v>
      </c>
      <c r="AH2000" s="1" t="s">
        <v>1214</v>
      </c>
      <c r="AI2000" s="1" t="s">
        <v>136</v>
      </c>
      <c r="AJ2000" s="1">
        <v>74.1</v>
      </c>
      <c r="AK2000" s="1">
        <v>7.8</v>
      </c>
      <c r="AL2000" s="1" t="s">
        <v>35054</v>
      </c>
      <c r="AM2000" s="1" t="s">
        <v>33929</v>
      </c>
      <c r="AN2000" s="1"/>
      <c r="AO2000" s="1" t="s">
        <v>342</v>
      </c>
      <c r="AP2000" s="1" t="s">
        <v>170</v>
      </c>
      <c r="AQ2000" s="1">
        <v>60.3</v>
      </c>
      <c r="AR2000" s="1"/>
      <c r="AS2000" s="1"/>
      <c r="AT2000" s="1"/>
      <c r="AU2000" s="1"/>
      <c r="AV2000" s="1"/>
      <c r="AW2000" s="1"/>
      <c r="AX2000" s="1"/>
      <c r="AY2000" s="1" t="s">
        <v>366</v>
      </c>
      <c r="AZ2000" s="1" t="s">
        <v>35055</v>
      </c>
      <c r="BA2000" s="1"/>
      <c r="BB2000" s="1"/>
      <c r="BC2000" s="1" t="s">
        <v>230</v>
      </c>
      <c r="BD2000" s="1" t="s">
        <v>549</v>
      </c>
      <c r="BE2000" s="1">
        <v>62</v>
      </c>
      <c r="BF2000" s="1">
        <v>7.08</v>
      </c>
      <c r="BG2000" s="1"/>
      <c r="BH2000" s="1"/>
      <c r="BI2000" s="1"/>
      <c r="BJ2000" s="1"/>
      <c r="BK2000" s="1"/>
      <c r="BL2000" s="1"/>
      <c r="BM2000" s="1"/>
      <c r="BN2000" s="1"/>
      <c r="BO2000" s="1" t="s">
        <v>1114</v>
      </c>
      <c r="BP2000" s="1"/>
      <c r="BQ2000" s="1"/>
      <c r="BR2000" s="1"/>
      <c r="BS2000" s="1"/>
      <c r="BT2000" s="1"/>
      <c r="BU2000" s="1" t="str">
        <f>HYPERLINK("https://nconnect.nicmar.ac.in/storage/profile/ProfilePhoto_p2270268_725981.jpg","Download")</f>
        <v>0</v>
      </c>
      <c r="BV2000" s="3"/>
      <c r="BW2000" s="3"/>
    </row>
    <row r="2001" spans="1:75">
      <c r="A2001" s="1" t="s">
        <v>75</v>
      </c>
      <c r="B2001" s="1" t="s">
        <v>25236</v>
      </c>
      <c r="C2001" s="1" t="s">
        <v>35056</v>
      </c>
      <c r="D2001" s="1" t="s">
        <v>6726</v>
      </c>
      <c r="E2001" s="1" t="s">
        <v>35057</v>
      </c>
      <c r="F2001" s="1" t="s">
        <v>12417</v>
      </c>
      <c r="G2001" s="1" t="s">
        <v>35058</v>
      </c>
      <c r="H2001" s="1" t="s">
        <v>35059</v>
      </c>
      <c r="I2001" s="1" t="s">
        <v>35060</v>
      </c>
      <c r="J2001" s="1">
        <v>8169639185</v>
      </c>
      <c r="K2001" s="1" t="s">
        <v>153</v>
      </c>
      <c r="L2001" s="1" t="s">
        <v>35061</v>
      </c>
      <c r="M2001" s="1" t="s">
        <v>86</v>
      </c>
      <c r="N2001" s="1" t="s">
        <v>35062</v>
      </c>
      <c r="O2001" s="1" t="s">
        <v>35063</v>
      </c>
      <c r="P2001" s="1" t="s">
        <v>455</v>
      </c>
      <c r="Q2001" s="1" t="s">
        <v>35064</v>
      </c>
      <c r="R2001" s="1" t="s">
        <v>35057</v>
      </c>
      <c r="S2001" s="1">
        <v>9768460422</v>
      </c>
      <c r="T2001" s="1" t="s">
        <v>771</v>
      </c>
      <c r="U2001" s="1" t="s">
        <v>35065</v>
      </c>
      <c r="V2001" s="1">
        <v>9699877787</v>
      </c>
      <c r="W2001" s="1" t="s">
        <v>541</v>
      </c>
      <c r="X2001" s="1" t="s">
        <v>35066</v>
      </c>
      <c r="Y2001" s="1" t="s">
        <v>1012</v>
      </c>
      <c r="Z2001" s="1" t="s">
        <v>97</v>
      </c>
      <c r="AA2001" s="1" t="s">
        <v>35066</v>
      </c>
      <c r="AB2001" s="1" t="s">
        <v>1012</v>
      </c>
      <c r="AC2001" s="1" t="s">
        <v>97</v>
      </c>
      <c r="AD2001" s="1" t="s">
        <v>98</v>
      </c>
      <c r="AE2001" s="1" t="s">
        <v>98</v>
      </c>
      <c r="AF2001" s="1" t="s">
        <v>35067</v>
      </c>
      <c r="AG2001" s="1" t="s">
        <v>5912</v>
      </c>
      <c r="AH2001" s="1" t="s">
        <v>7331</v>
      </c>
      <c r="AI2001" s="1" t="s">
        <v>10573</v>
      </c>
      <c r="AJ2001" s="1">
        <v>82.46</v>
      </c>
      <c r="AK2001" s="1"/>
      <c r="AL2001" s="1" t="s">
        <v>35068</v>
      </c>
      <c r="AM2001" s="1" t="s">
        <v>5912</v>
      </c>
      <c r="AN2001" s="1"/>
      <c r="AO2001" s="1" t="s">
        <v>4593</v>
      </c>
      <c r="AP2001" s="1" t="s">
        <v>3285</v>
      </c>
      <c r="AQ2001" s="1">
        <v>58.83</v>
      </c>
      <c r="AR2001" s="1"/>
      <c r="AS2001" s="1" t="s">
        <v>103</v>
      </c>
      <c r="AT2001" s="1" t="s">
        <v>35069</v>
      </c>
      <c r="AU2001" s="1" t="s">
        <v>254</v>
      </c>
      <c r="AV2001" s="1" t="s">
        <v>166</v>
      </c>
      <c r="AW2001" s="1">
        <v>83.92</v>
      </c>
      <c r="AX2001" s="1"/>
      <c r="AY2001" s="1" t="s">
        <v>680</v>
      </c>
      <c r="AZ2001" s="1" t="s">
        <v>35070</v>
      </c>
      <c r="BA2001" s="1"/>
      <c r="BB2001" s="1"/>
      <c r="BC2001" s="1" t="s">
        <v>166</v>
      </c>
      <c r="BD2001" s="1" t="s">
        <v>174</v>
      </c>
      <c r="BE2001" s="1">
        <v>66.39</v>
      </c>
      <c r="BF2001" s="1">
        <v>7.35</v>
      </c>
      <c r="BG2001" s="1"/>
      <c r="BH2001" s="1"/>
      <c r="BI2001" s="1"/>
      <c r="BJ2001" s="1"/>
      <c r="BK2001" s="1"/>
      <c r="BL2001" s="1"/>
      <c r="BM2001" s="1"/>
      <c r="BN2001" s="1"/>
      <c r="BO2001" s="1" t="s">
        <v>35071</v>
      </c>
      <c r="BP2001" s="1" t="s">
        <v>35072</v>
      </c>
      <c r="BQ2001" s="1" t="s">
        <v>8862</v>
      </c>
      <c r="BR2001" s="1" t="s">
        <v>35073</v>
      </c>
      <c r="BS2001" s="1">
        <v>49</v>
      </c>
      <c r="BT2001" s="1"/>
      <c r="BU2001" s="1" t="str">
        <f>HYPERLINK("https://nconnect.nicmar.ac.in/storage/profile/ProfilePhoto_p2270535_257168.jpg","Download")</f>
        <v>0</v>
      </c>
      <c r="BV2001" s="3"/>
      <c r="BW2001" s="3"/>
    </row>
    <row r="2002" spans="1:75">
      <c r="A2002" s="1" t="s">
        <v>35074</v>
      </c>
      <c r="B2002" s="1" t="s">
        <v>76</v>
      </c>
      <c r="C2002" s="1" t="s">
        <v>35075</v>
      </c>
      <c r="D2002" s="1" t="s">
        <v>9134</v>
      </c>
      <c r="E2002" s="1" t="s">
        <v>35076</v>
      </c>
      <c r="F2002" s="1" t="s">
        <v>35077</v>
      </c>
      <c r="G2002" s="1" t="s">
        <v>35078</v>
      </c>
      <c r="H2002" s="1" t="s">
        <v>35079</v>
      </c>
      <c r="I2002" s="1" t="s">
        <v>35080</v>
      </c>
      <c r="J2002" s="1">
        <v>9359660562</v>
      </c>
      <c r="K2002" s="1" t="s">
        <v>84</v>
      </c>
      <c r="L2002" s="1" t="s">
        <v>25187</v>
      </c>
      <c r="M2002" s="1" t="s">
        <v>86</v>
      </c>
      <c r="N2002" s="1" t="s">
        <v>156</v>
      </c>
      <c r="O2002" s="1" t="s">
        <v>35081</v>
      </c>
      <c r="P2002" s="1" t="s">
        <v>89</v>
      </c>
      <c r="Q2002" s="1" t="s">
        <v>35082</v>
      </c>
      <c r="R2002" s="1" t="s">
        <v>35083</v>
      </c>
      <c r="S2002" s="1">
        <v>7972815434</v>
      </c>
      <c r="T2002" s="1" t="s">
        <v>35084</v>
      </c>
      <c r="U2002" s="1" t="s">
        <v>35085</v>
      </c>
      <c r="V2002" s="1">
        <v>7083865742</v>
      </c>
      <c r="W2002" s="1" t="s">
        <v>161</v>
      </c>
      <c r="X2002" s="1" t="s">
        <v>35086</v>
      </c>
      <c r="Y2002" s="1" t="s">
        <v>5584</v>
      </c>
      <c r="Z2002" s="1" t="s">
        <v>97</v>
      </c>
      <c r="AA2002" s="1" t="s">
        <v>35087</v>
      </c>
      <c r="AB2002" s="1" t="s">
        <v>5584</v>
      </c>
      <c r="AC2002" s="1" t="s">
        <v>97</v>
      </c>
      <c r="AD2002" s="1" t="s">
        <v>98</v>
      </c>
      <c r="AE2002" s="1" t="s">
        <v>98</v>
      </c>
      <c r="AF2002" s="1" t="s">
        <v>35088</v>
      </c>
      <c r="AG2002" s="1" t="s">
        <v>35089</v>
      </c>
      <c r="AH2002" s="1" t="s">
        <v>342</v>
      </c>
      <c r="AI2002" s="1" t="s">
        <v>1111</v>
      </c>
      <c r="AJ2002" s="1">
        <v>84.4</v>
      </c>
      <c r="AK2002" s="1"/>
      <c r="AL2002" s="1" t="s">
        <v>35090</v>
      </c>
      <c r="AM2002" s="1" t="s">
        <v>27230</v>
      </c>
      <c r="AN2002" s="1"/>
      <c r="AO2002" s="1" t="s">
        <v>230</v>
      </c>
      <c r="AP2002" s="1" t="s">
        <v>106</v>
      </c>
      <c r="AQ2002" s="1">
        <v>64.77</v>
      </c>
      <c r="AR2002" s="1"/>
      <c r="AS2002" s="1"/>
      <c r="AT2002" s="1"/>
      <c r="AU2002" s="1"/>
      <c r="AV2002" s="1"/>
      <c r="AW2002" s="1"/>
      <c r="AX2002" s="1"/>
      <c r="AY2002" s="1" t="s">
        <v>415</v>
      </c>
      <c r="AZ2002" s="1" t="s">
        <v>35091</v>
      </c>
      <c r="BA2002" s="1"/>
      <c r="BB2002" s="1"/>
      <c r="BC2002" s="1" t="s">
        <v>17163</v>
      </c>
      <c r="BD2002" s="1" t="s">
        <v>521</v>
      </c>
      <c r="BE2002" s="1">
        <v>81.2</v>
      </c>
      <c r="BF2002" s="1">
        <v>8.87</v>
      </c>
      <c r="BG2002" s="1"/>
      <c r="BH2002" s="1"/>
      <c r="BI2002" s="1"/>
      <c r="BJ2002" s="1"/>
      <c r="BK2002" s="1"/>
      <c r="BL2002" s="1"/>
      <c r="BM2002" s="1"/>
      <c r="BN2002" s="1"/>
      <c r="BO2002" s="1" t="s">
        <v>35092</v>
      </c>
      <c r="BP2002" s="1"/>
      <c r="BQ2002" s="1"/>
      <c r="BR2002" s="1" t="s">
        <v>35093</v>
      </c>
      <c r="BS2002" s="1">
        <v>7</v>
      </c>
      <c r="BT2002" s="1"/>
      <c r="BU2002" s="1" t="str">
        <f>HYPERLINK("https://nconnect.nicmar.ac.in/storage/profile/6a1ff84bd9c64.png","Download")</f>
        <v>0</v>
      </c>
      <c r="BV2002" s="3"/>
      <c r="BW2002" s="3"/>
    </row>
    <row r="2003" spans="1:75">
      <c r="A2003" s="1" t="s">
        <v>35074</v>
      </c>
      <c r="B2003" s="1" t="s">
        <v>76</v>
      </c>
      <c r="C2003" s="1" t="s">
        <v>35094</v>
      </c>
      <c r="D2003" s="1" t="s">
        <v>35095</v>
      </c>
      <c r="E2003" s="1" t="s">
        <v>11239</v>
      </c>
      <c r="F2003" s="1" t="s">
        <v>186</v>
      </c>
      <c r="G2003" s="1" t="s">
        <v>35096</v>
      </c>
      <c r="H2003" s="1" t="s">
        <v>35097</v>
      </c>
      <c r="I2003" s="1" t="s">
        <v>35097</v>
      </c>
      <c r="J2003" s="1">
        <v>7709412149</v>
      </c>
      <c r="K2003" s="1" t="s">
        <v>84</v>
      </c>
      <c r="L2003" s="1" t="s">
        <v>35098</v>
      </c>
      <c r="M2003" s="1" t="s">
        <v>86</v>
      </c>
      <c r="N2003" s="1" t="s">
        <v>4857</v>
      </c>
      <c r="O2003" s="1" t="s">
        <v>88</v>
      </c>
      <c r="P2003" s="1" t="s">
        <v>122</v>
      </c>
      <c r="Q2003" s="1" t="s">
        <v>35099</v>
      </c>
      <c r="R2003" s="1" t="s">
        <v>186</v>
      </c>
      <c r="S2003" s="1">
        <v>9421586137</v>
      </c>
      <c r="T2003" s="1" t="s">
        <v>125</v>
      </c>
      <c r="U2003" s="1" t="s">
        <v>306</v>
      </c>
      <c r="V2003" s="1">
        <v>7756878059</v>
      </c>
      <c r="W2003" s="1" t="s">
        <v>94</v>
      </c>
      <c r="X2003" s="1" t="s">
        <v>35100</v>
      </c>
      <c r="Y2003" s="1" t="s">
        <v>163</v>
      </c>
      <c r="Z2003" s="1" t="s">
        <v>97</v>
      </c>
      <c r="AA2003" s="1" t="s">
        <v>35100</v>
      </c>
      <c r="AB2003" s="1" t="s">
        <v>163</v>
      </c>
      <c r="AC2003" s="1" t="s">
        <v>97</v>
      </c>
      <c r="AD2003" s="1" t="s">
        <v>98</v>
      </c>
      <c r="AE2003" s="1" t="s">
        <v>98</v>
      </c>
      <c r="AF2003" s="1" t="s">
        <v>35101</v>
      </c>
      <c r="AG2003" s="1" t="s">
        <v>35102</v>
      </c>
      <c r="AH2003" s="1" t="s">
        <v>170</v>
      </c>
      <c r="AI2003" s="1" t="s">
        <v>286</v>
      </c>
      <c r="AJ2003" s="1">
        <v>90.2</v>
      </c>
      <c r="AK2003" s="1"/>
      <c r="AL2003" s="1" t="s">
        <v>35103</v>
      </c>
      <c r="AM2003" s="1" t="s">
        <v>165</v>
      </c>
      <c r="AN2003" s="1"/>
      <c r="AO2003" s="1" t="s">
        <v>106</v>
      </c>
      <c r="AP2003" s="1" t="s">
        <v>365</v>
      </c>
      <c r="AQ2003" s="1">
        <v>81.23</v>
      </c>
      <c r="AR2003" s="1"/>
      <c r="AS2003" s="1"/>
      <c r="AT2003" s="1"/>
      <c r="AU2003" s="1"/>
      <c r="AV2003" s="1"/>
      <c r="AW2003" s="1"/>
      <c r="AX2003" s="1"/>
      <c r="AY2003" s="1" t="s">
        <v>366</v>
      </c>
      <c r="AZ2003" s="1" t="s">
        <v>35104</v>
      </c>
      <c r="BA2003" s="1"/>
      <c r="BB2003" s="1"/>
      <c r="BC2003" s="1" t="s">
        <v>178</v>
      </c>
      <c r="BD2003" s="1" t="s">
        <v>579</v>
      </c>
      <c r="BE2003" s="1">
        <v>78.08</v>
      </c>
      <c r="BF2003" s="1">
        <v>8.59</v>
      </c>
      <c r="BG2003" s="1"/>
      <c r="BH2003" s="1"/>
      <c r="BI2003" s="1"/>
      <c r="BJ2003" s="1"/>
      <c r="BK2003" s="1"/>
      <c r="BL2003" s="1"/>
      <c r="BM2003" s="1"/>
      <c r="BN2003" s="1"/>
      <c r="BO2003" s="1" t="s">
        <v>35105</v>
      </c>
      <c r="BP2003" s="1"/>
      <c r="BQ2003" s="1"/>
      <c r="BR2003" s="1" t="s">
        <v>35106</v>
      </c>
      <c r="BS2003" s="1">
        <v>8</v>
      </c>
      <c r="BT2003" s="1" t="s">
        <v>35107</v>
      </c>
      <c r="BU2003" s="1" t="str">
        <f>HYPERLINK("https://nconnect.nicmar.ac.in/storage/profile/6a20f9c0b49b0.png","Download")</f>
        <v>0</v>
      </c>
      <c r="BV2003" s="3"/>
      <c r="BW2003" s="3"/>
    </row>
    <row r="2004" spans="1:75">
      <c r="A2004" s="1" t="s">
        <v>35074</v>
      </c>
      <c r="B2004" s="1" t="s">
        <v>76</v>
      </c>
      <c r="C2004" s="1" t="s">
        <v>35108</v>
      </c>
      <c r="D2004" s="1" t="s">
        <v>2620</v>
      </c>
      <c r="E2004" s="1" t="s">
        <v>1320</v>
      </c>
      <c r="F2004" s="1" t="s">
        <v>35109</v>
      </c>
      <c r="G2004" s="1" t="s">
        <v>35110</v>
      </c>
      <c r="H2004" s="1" t="s">
        <v>35111</v>
      </c>
      <c r="I2004" s="1" t="s">
        <v>35111</v>
      </c>
      <c r="J2004" s="1">
        <v>8185867804</v>
      </c>
      <c r="K2004" s="1" t="s">
        <v>84</v>
      </c>
      <c r="L2004" s="1" t="s">
        <v>35112</v>
      </c>
      <c r="M2004" s="1" t="s">
        <v>86</v>
      </c>
      <c r="N2004" s="1" t="s">
        <v>35113</v>
      </c>
      <c r="O2004" s="1" t="s">
        <v>88</v>
      </c>
      <c r="P2004" s="1" t="s">
        <v>356</v>
      </c>
      <c r="Q2004" s="1" t="s">
        <v>35114</v>
      </c>
      <c r="R2004" s="1" t="s">
        <v>35115</v>
      </c>
      <c r="S2004" s="1">
        <v>9603826815</v>
      </c>
      <c r="T2004" s="1" t="s">
        <v>35116</v>
      </c>
      <c r="U2004" s="1" t="s">
        <v>35117</v>
      </c>
      <c r="V2004" s="1">
        <v>8897219955</v>
      </c>
      <c r="W2004" s="1" t="s">
        <v>35118</v>
      </c>
      <c r="X2004" s="1" t="s">
        <v>35119</v>
      </c>
      <c r="Y2004" s="1" t="s">
        <v>3031</v>
      </c>
      <c r="Z2004" s="1" t="s">
        <v>461</v>
      </c>
      <c r="AA2004" s="1" t="s">
        <v>35119</v>
      </c>
      <c r="AB2004" s="1" t="s">
        <v>3031</v>
      </c>
      <c r="AC2004" s="1" t="s">
        <v>461</v>
      </c>
      <c r="AD2004" s="1" t="s">
        <v>98</v>
      </c>
      <c r="AE2004" s="1" t="s">
        <v>98</v>
      </c>
      <c r="AF2004" s="1" t="s">
        <v>19708</v>
      </c>
      <c r="AG2004" s="1" t="s">
        <v>2634</v>
      </c>
      <c r="AH2004" s="1" t="s">
        <v>102</v>
      </c>
      <c r="AI2004" s="1" t="s">
        <v>1111</v>
      </c>
      <c r="AJ2004" s="1">
        <v>85</v>
      </c>
      <c r="AK2004" s="1">
        <v>8.5</v>
      </c>
      <c r="AL2004" s="1" t="s">
        <v>3033</v>
      </c>
      <c r="AM2004" s="1" t="s">
        <v>3034</v>
      </c>
      <c r="AN2004" s="1"/>
      <c r="AO2004" s="1" t="s">
        <v>167</v>
      </c>
      <c r="AP2004" s="1" t="s">
        <v>286</v>
      </c>
      <c r="AQ2004" s="1">
        <v>83.8</v>
      </c>
      <c r="AR2004" s="1"/>
      <c r="AS2004" s="1"/>
      <c r="AT2004" s="1"/>
      <c r="AU2004" s="1"/>
      <c r="AV2004" s="1"/>
      <c r="AW2004" s="1"/>
      <c r="AX2004" s="1"/>
      <c r="AY2004" s="1" t="s">
        <v>1823</v>
      </c>
      <c r="AZ2004" s="1" t="s">
        <v>35120</v>
      </c>
      <c r="BA2004" s="1"/>
      <c r="BB2004" s="1"/>
      <c r="BC2004" s="1" t="s">
        <v>106</v>
      </c>
      <c r="BD2004" s="1" t="s">
        <v>2765</v>
      </c>
      <c r="BE2004" s="1">
        <v>57</v>
      </c>
      <c r="BF2004" s="1">
        <v>6.2</v>
      </c>
      <c r="BG2004" s="1"/>
      <c r="BH2004" s="1"/>
      <c r="BI2004" s="1"/>
      <c r="BJ2004" s="1"/>
      <c r="BK2004" s="1"/>
      <c r="BL2004" s="1"/>
      <c r="BM2004" s="1"/>
      <c r="BN2004" s="1"/>
      <c r="BO2004" s="1" t="s">
        <v>35121</v>
      </c>
      <c r="BP2004" s="1" t="s">
        <v>35122</v>
      </c>
      <c r="BQ2004" s="1" t="s">
        <v>9405</v>
      </c>
      <c r="BR2004" s="1" t="s">
        <v>35123</v>
      </c>
      <c r="BS2004" s="1">
        <v>8</v>
      </c>
      <c r="BT2004" s="1" t="s">
        <v>35124</v>
      </c>
      <c r="BU2004" s="1" t="str">
        <f>HYPERLINK("https://nconnect.nicmar.ac.in/storage/profile/6a2103f0b6786.png","Download")</f>
        <v>0</v>
      </c>
      <c r="BV2004" s="3"/>
      <c r="BW2004" s="3"/>
    </row>
    <row r="2005" spans="1:75">
      <c r="A2005" s="1" t="s">
        <v>35074</v>
      </c>
      <c r="B2005" s="1" t="s">
        <v>76</v>
      </c>
      <c r="C2005" s="1" t="s">
        <v>35125</v>
      </c>
      <c r="D2005" s="1" t="s">
        <v>35126</v>
      </c>
      <c r="E2005" s="1" t="s">
        <v>239</v>
      </c>
      <c r="F2005" s="1" t="s">
        <v>35127</v>
      </c>
      <c r="G2005" s="1" t="s">
        <v>35128</v>
      </c>
      <c r="H2005" s="1" t="s">
        <v>35129</v>
      </c>
      <c r="I2005" s="1" t="s">
        <v>35129</v>
      </c>
      <c r="J2005" s="1">
        <v>9028775607</v>
      </c>
      <c r="K2005" s="1" t="s">
        <v>84</v>
      </c>
      <c r="L2005" s="1" t="s">
        <v>35130</v>
      </c>
      <c r="M2005" s="1" t="s">
        <v>86</v>
      </c>
      <c r="N2005" s="1" t="s">
        <v>35131</v>
      </c>
      <c r="O2005" s="1" t="s">
        <v>88</v>
      </c>
      <c r="P2005" s="1" t="s">
        <v>122</v>
      </c>
      <c r="Q2005" s="1" t="s">
        <v>35132</v>
      </c>
      <c r="R2005" s="1" t="s">
        <v>35133</v>
      </c>
      <c r="S2005" s="1">
        <v>9850891727</v>
      </c>
      <c r="T2005" s="1" t="s">
        <v>839</v>
      </c>
      <c r="U2005" s="1" t="s">
        <v>35134</v>
      </c>
      <c r="V2005" s="1">
        <v>9637694763</v>
      </c>
      <c r="W2005" s="1" t="s">
        <v>127</v>
      </c>
      <c r="X2005" s="1" t="s">
        <v>35135</v>
      </c>
      <c r="Y2005" s="1" t="s">
        <v>196</v>
      </c>
      <c r="Z2005" s="1" t="s">
        <v>97</v>
      </c>
      <c r="AA2005" s="1" t="s">
        <v>35135</v>
      </c>
      <c r="AB2005" s="1" t="s">
        <v>196</v>
      </c>
      <c r="AC2005" s="1" t="s">
        <v>97</v>
      </c>
      <c r="AD2005" s="1" t="s">
        <v>98</v>
      </c>
      <c r="AE2005" s="1" t="s">
        <v>98</v>
      </c>
      <c r="AF2005" s="1" t="s">
        <v>35136</v>
      </c>
      <c r="AG2005" s="1" t="s">
        <v>199</v>
      </c>
      <c r="AH2005" s="1" t="s">
        <v>166</v>
      </c>
      <c r="AI2005" s="1" t="s">
        <v>1111</v>
      </c>
      <c r="AJ2005" s="1">
        <v>86.4</v>
      </c>
      <c r="AK2005" s="1"/>
      <c r="AL2005" s="1" t="s">
        <v>35137</v>
      </c>
      <c r="AM2005" s="1" t="s">
        <v>202</v>
      </c>
      <c r="AN2005" s="1"/>
      <c r="AO2005" s="1" t="s">
        <v>388</v>
      </c>
      <c r="AP2005" s="1" t="s">
        <v>171</v>
      </c>
      <c r="AQ2005" s="1">
        <v>64.31</v>
      </c>
      <c r="AR2005" s="1"/>
      <c r="AS2005" s="1"/>
      <c r="AT2005" s="1"/>
      <c r="AU2005" s="1"/>
      <c r="AV2005" s="1"/>
      <c r="AW2005" s="1"/>
      <c r="AX2005" s="1"/>
      <c r="AY2005" s="1" t="s">
        <v>366</v>
      </c>
      <c r="AZ2005" s="1" t="s">
        <v>35138</v>
      </c>
      <c r="BA2005" s="1"/>
      <c r="BB2005" s="1"/>
      <c r="BC2005" s="1" t="s">
        <v>1065</v>
      </c>
      <c r="BD2005" s="1" t="s">
        <v>234</v>
      </c>
      <c r="BE2005" s="1">
        <v>68.2</v>
      </c>
      <c r="BF2005" s="1">
        <v>7.57</v>
      </c>
      <c r="BG2005" s="1"/>
      <c r="BH2005" s="1"/>
      <c r="BI2005" s="1"/>
      <c r="BJ2005" s="1"/>
      <c r="BK2005" s="1"/>
      <c r="BL2005" s="1"/>
      <c r="BM2005" s="1"/>
      <c r="BN2005" s="1"/>
      <c r="BO2005" s="1" t="s">
        <v>35139</v>
      </c>
      <c r="BP2005" s="1" t="s">
        <v>35140</v>
      </c>
      <c r="BQ2005" s="1" t="s">
        <v>2577</v>
      </c>
      <c r="BR2005" s="1" t="s">
        <v>35141</v>
      </c>
      <c r="BS2005" s="1">
        <v>8</v>
      </c>
      <c r="BT2005" s="1" t="s">
        <v>35142</v>
      </c>
      <c r="BU2005" s="1" t="str">
        <f>HYPERLINK("https://nconnect.nicmar.ac.in/storage/profile/6a210ba0cac18.png","Download")</f>
        <v>0</v>
      </c>
      <c r="BV2005" s="3"/>
      <c r="BW2005" s="3"/>
    </row>
    <row r="2006" spans="1:75">
      <c r="A2006" s="1" t="s">
        <v>35074</v>
      </c>
      <c r="B2006" s="1" t="s">
        <v>76</v>
      </c>
      <c r="C2006" s="1" t="s">
        <v>35143</v>
      </c>
      <c r="D2006" s="1" t="s">
        <v>3493</v>
      </c>
      <c r="E2006" s="1" t="s">
        <v>397</v>
      </c>
      <c r="F2006" s="1" t="s">
        <v>35144</v>
      </c>
      <c r="G2006" s="1" t="s">
        <v>35145</v>
      </c>
      <c r="H2006" s="1" t="s">
        <v>35146</v>
      </c>
      <c r="I2006" s="1" t="s">
        <v>35146</v>
      </c>
      <c r="J2006" s="1">
        <v>8657223200</v>
      </c>
      <c r="K2006" s="1" t="s">
        <v>84</v>
      </c>
      <c r="L2006" s="1" t="s">
        <v>35147</v>
      </c>
      <c r="M2006" s="1" t="s">
        <v>86</v>
      </c>
      <c r="N2006" s="1" t="s">
        <v>4857</v>
      </c>
      <c r="O2006" s="1" t="s">
        <v>88</v>
      </c>
      <c r="P2006" s="1" t="s">
        <v>219</v>
      </c>
      <c r="Q2006" s="1" t="s">
        <v>35148</v>
      </c>
      <c r="R2006" s="1" t="s">
        <v>397</v>
      </c>
      <c r="S2006" s="1">
        <v>8087526200</v>
      </c>
      <c r="T2006" s="1" t="s">
        <v>29982</v>
      </c>
      <c r="U2006" s="1" t="s">
        <v>1749</v>
      </c>
      <c r="V2006" s="1">
        <v>9960104200</v>
      </c>
      <c r="W2006" s="1" t="s">
        <v>541</v>
      </c>
      <c r="X2006" s="1" t="s">
        <v>35149</v>
      </c>
      <c r="Y2006" s="1" t="s">
        <v>1779</v>
      </c>
      <c r="Z2006" s="1" t="s">
        <v>97</v>
      </c>
      <c r="AA2006" s="1" t="s">
        <v>35149</v>
      </c>
      <c r="AB2006" s="1" t="s">
        <v>1779</v>
      </c>
      <c r="AC2006" s="1" t="s">
        <v>97</v>
      </c>
      <c r="AD2006" s="1" t="s">
        <v>98</v>
      </c>
      <c r="AE2006" s="1" t="s">
        <v>98</v>
      </c>
      <c r="AF2006" s="1" t="s">
        <v>35150</v>
      </c>
      <c r="AG2006" s="1" t="s">
        <v>35151</v>
      </c>
      <c r="AH2006" s="1" t="s">
        <v>10573</v>
      </c>
      <c r="AI2006" s="1" t="s">
        <v>336</v>
      </c>
      <c r="AJ2006" s="1">
        <v>77.9</v>
      </c>
      <c r="AK2006" s="1">
        <v>8.2</v>
      </c>
      <c r="AL2006" s="1" t="s">
        <v>35152</v>
      </c>
      <c r="AM2006" s="1" t="s">
        <v>35151</v>
      </c>
      <c r="AN2006" s="1"/>
      <c r="AO2006" s="1" t="s">
        <v>3285</v>
      </c>
      <c r="AP2006" s="1" t="s">
        <v>2726</v>
      </c>
      <c r="AQ2006" s="1">
        <v>69.0</v>
      </c>
      <c r="AR2006" s="1">
        <v>0.0</v>
      </c>
      <c r="AS2006" s="1"/>
      <c r="AT2006" s="1"/>
      <c r="AU2006" s="1"/>
      <c r="AV2006" s="1"/>
      <c r="AW2006" s="1"/>
      <c r="AX2006" s="1"/>
      <c r="AY2006" s="1" t="s">
        <v>35153</v>
      </c>
      <c r="AZ2006" s="1" t="s">
        <v>35154</v>
      </c>
      <c r="BA2006" s="1"/>
      <c r="BB2006" s="1"/>
      <c r="BC2006" s="1" t="s">
        <v>25321</v>
      </c>
      <c r="BD2006" s="1" t="s">
        <v>105</v>
      </c>
      <c r="BE2006" s="1">
        <v>70.24</v>
      </c>
      <c r="BF2006" s="1">
        <v>0.0</v>
      </c>
      <c r="BG2006" s="1"/>
      <c r="BH2006" s="1"/>
      <c r="BI2006" s="1"/>
      <c r="BJ2006" s="1"/>
      <c r="BK2006" s="1"/>
      <c r="BL2006" s="1"/>
      <c r="BM2006" s="1"/>
      <c r="BN2006" s="1"/>
      <c r="BO2006" s="1" t="s">
        <v>35155</v>
      </c>
      <c r="BP2006" s="1" t="s">
        <v>35156</v>
      </c>
      <c r="BQ2006" s="1" t="s">
        <v>35157</v>
      </c>
      <c r="BR2006" s="1"/>
      <c r="BS2006" s="1"/>
      <c r="BT2006" s="1" t="s">
        <v>35158</v>
      </c>
      <c r="BU2006" s="1" t="str">
        <f>HYPERLINK("https://nconnect.nicmar.ac.in/storage/profile/6a21173ac4788.png","Download")</f>
        <v>0</v>
      </c>
      <c r="BV2006" s="3"/>
      <c r="BW2006" s="3"/>
    </row>
    <row r="2007" spans="1:75">
      <c r="A2007" s="1" t="s">
        <v>35074</v>
      </c>
      <c r="B2007" s="1" t="s">
        <v>76</v>
      </c>
      <c r="C2007" s="1" t="s">
        <v>35159</v>
      </c>
      <c r="D2007" s="1" t="s">
        <v>35160</v>
      </c>
      <c r="E2007" s="1" t="s">
        <v>35161</v>
      </c>
      <c r="F2007" s="1" t="s">
        <v>35162</v>
      </c>
      <c r="G2007" s="1" t="s">
        <v>35163</v>
      </c>
      <c r="H2007" s="1" t="s">
        <v>35164</v>
      </c>
      <c r="I2007" s="1" t="s">
        <v>35164</v>
      </c>
      <c r="J2007" s="1">
        <v>9850877662</v>
      </c>
      <c r="K2007" s="1" t="s">
        <v>84</v>
      </c>
      <c r="L2007" s="1" t="s">
        <v>12253</v>
      </c>
      <c r="M2007" s="1" t="s">
        <v>86</v>
      </c>
      <c r="N2007" s="1" t="s">
        <v>8293</v>
      </c>
      <c r="O2007" s="1" t="s">
        <v>88</v>
      </c>
      <c r="P2007" s="1" t="s">
        <v>89</v>
      </c>
      <c r="Q2007" s="1" t="s">
        <v>35165</v>
      </c>
      <c r="R2007" s="1" t="s">
        <v>35161</v>
      </c>
      <c r="S2007" s="1">
        <v>9822189385</v>
      </c>
      <c r="T2007" s="1" t="s">
        <v>1552</v>
      </c>
      <c r="U2007" s="1" t="s">
        <v>35166</v>
      </c>
      <c r="V2007" s="1">
        <v>8483099147</v>
      </c>
      <c r="W2007" s="1" t="s">
        <v>161</v>
      </c>
      <c r="X2007" s="1" t="s">
        <v>35167</v>
      </c>
      <c r="Y2007" s="1" t="s">
        <v>1779</v>
      </c>
      <c r="Z2007" s="1" t="s">
        <v>97</v>
      </c>
      <c r="AA2007" s="1" t="s">
        <v>35167</v>
      </c>
      <c r="AB2007" s="1" t="s">
        <v>1779</v>
      </c>
      <c r="AC2007" s="1" t="s">
        <v>97</v>
      </c>
      <c r="AD2007" s="1" t="s">
        <v>98</v>
      </c>
      <c r="AE2007" s="1" t="s">
        <v>98</v>
      </c>
      <c r="AF2007" s="1" t="s">
        <v>35168</v>
      </c>
      <c r="AG2007" s="1" t="s">
        <v>1968</v>
      </c>
      <c r="AH2007" s="1" t="s">
        <v>704</v>
      </c>
      <c r="AI2007" s="1" t="s">
        <v>286</v>
      </c>
      <c r="AJ2007" s="1">
        <v>66.8</v>
      </c>
      <c r="AK2007" s="1">
        <v>0.0</v>
      </c>
      <c r="AL2007" s="1" t="s">
        <v>35169</v>
      </c>
      <c r="AM2007" s="1" t="s">
        <v>1968</v>
      </c>
      <c r="AN2007" s="1"/>
      <c r="AO2007" s="1" t="s">
        <v>414</v>
      </c>
      <c r="AP2007" s="1" t="s">
        <v>365</v>
      </c>
      <c r="AQ2007" s="1">
        <v>54.46</v>
      </c>
      <c r="AR2007" s="1"/>
      <c r="AS2007" s="1"/>
      <c r="AT2007" s="1"/>
      <c r="AU2007" s="1"/>
      <c r="AV2007" s="1"/>
      <c r="AW2007" s="1"/>
      <c r="AX2007" s="1"/>
      <c r="AY2007" s="1" t="s">
        <v>28409</v>
      </c>
      <c r="AZ2007" s="1" t="s">
        <v>28409</v>
      </c>
      <c r="BA2007" s="1"/>
      <c r="BB2007" s="1"/>
      <c r="BC2007" s="1" t="s">
        <v>1040</v>
      </c>
      <c r="BD2007" s="1" t="s">
        <v>955</v>
      </c>
      <c r="BE2007" s="1">
        <v>77.9</v>
      </c>
      <c r="BF2007" s="1"/>
      <c r="BG2007" s="1"/>
      <c r="BH2007" s="1"/>
      <c r="BI2007" s="1"/>
      <c r="BJ2007" s="1"/>
      <c r="BK2007" s="1"/>
      <c r="BL2007" s="1"/>
      <c r="BM2007" s="1"/>
      <c r="BN2007" s="1"/>
      <c r="BO2007" s="1" t="s">
        <v>35170</v>
      </c>
      <c r="BP2007" s="1"/>
      <c r="BQ2007" s="1"/>
      <c r="BR2007" s="1" t="s">
        <v>35171</v>
      </c>
      <c r="BS2007" s="1">
        <v>16</v>
      </c>
      <c r="BT2007" s="1"/>
      <c r="BU2007" s="1" t="str">
        <f>HYPERLINK("https://nconnect.nicmar.ac.in/storage/profile/6a211eb83dc01.png","Download")</f>
        <v>0</v>
      </c>
      <c r="BV2007" s="3"/>
      <c r="BW2007" s="3"/>
    </row>
    <row r="2008" spans="1:75">
      <c r="A2008" s="1" t="s">
        <v>35074</v>
      </c>
      <c r="B2008" s="1" t="s">
        <v>76</v>
      </c>
      <c r="C2008" s="1" t="s">
        <v>35172</v>
      </c>
      <c r="D2008" s="1" t="s">
        <v>34156</v>
      </c>
      <c r="E2008" s="1"/>
      <c r="F2008" s="1" t="s">
        <v>35173</v>
      </c>
      <c r="G2008" s="1" t="s">
        <v>35174</v>
      </c>
      <c r="H2008" s="1" t="s">
        <v>35175</v>
      </c>
      <c r="I2008" s="1" t="s">
        <v>35175</v>
      </c>
      <c r="J2008" s="1">
        <v>9960999913</v>
      </c>
      <c r="K2008" s="1" t="s">
        <v>84</v>
      </c>
      <c r="L2008" s="1" t="s">
        <v>35176</v>
      </c>
      <c r="M2008" s="1" t="s">
        <v>86</v>
      </c>
      <c r="N2008" s="1" t="s">
        <v>4857</v>
      </c>
      <c r="O2008" s="1" t="s">
        <v>88</v>
      </c>
      <c r="P2008" s="1" t="s">
        <v>219</v>
      </c>
      <c r="Q2008" s="1" t="s">
        <v>35177</v>
      </c>
      <c r="R2008" s="1" t="s">
        <v>35178</v>
      </c>
      <c r="S2008" s="1">
        <v>9890841349</v>
      </c>
      <c r="T2008" s="1" t="s">
        <v>159</v>
      </c>
      <c r="U2008" s="1" t="s">
        <v>1126</v>
      </c>
      <c r="V2008" s="1">
        <v>7686868181</v>
      </c>
      <c r="W2008" s="1" t="s">
        <v>94</v>
      </c>
      <c r="X2008" s="1" t="s">
        <v>35179</v>
      </c>
      <c r="Y2008" s="1" t="s">
        <v>1779</v>
      </c>
      <c r="Z2008" s="1" t="s">
        <v>97</v>
      </c>
      <c r="AA2008" s="1" t="s">
        <v>35179</v>
      </c>
      <c r="AB2008" s="1" t="s">
        <v>1779</v>
      </c>
      <c r="AC2008" s="1" t="s">
        <v>97</v>
      </c>
      <c r="AD2008" s="1" t="s">
        <v>98</v>
      </c>
      <c r="AE2008" s="1" t="s">
        <v>98</v>
      </c>
      <c r="AF2008" s="1" t="s">
        <v>35180</v>
      </c>
      <c r="AG2008" s="1" t="s">
        <v>35181</v>
      </c>
      <c r="AH2008" s="1" t="s">
        <v>230</v>
      </c>
      <c r="AI2008" s="1" t="s">
        <v>106</v>
      </c>
      <c r="AJ2008" s="1">
        <v>73.8</v>
      </c>
      <c r="AK2008" s="1"/>
      <c r="AL2008" s="1" t="s">
        <v>35182</v>
      </c>
      <c r="AM2008" s="1" t="s">
        <v>35183</v>
      </c>
      <c r="AN2008" s="1"/>
      <c r="AO2008" s="1" t="s">
        <v>438</v>
      </c>
      <c r="AP2008" s="1" t="s">
        <v>468</v>
      </c>
      <c r="AQ2008" s="1">
        <v>55.08</v>
      </c>
      <c r="AR2008" s="1"/>
      <c r="AS2008" s="1"/>
      <c r="AT2008" s="1"/>
      <c r="AU2008" s="1"/>
      <c r="AV2008" s="1"/>
      <c r="AW2008" s="1"/>
      <c r="AX2008" s="1"/>
      <c r="AY2008" s="1" t="s">
        <v>35184</v>
      </c>
      <c r="AZ2008" s="1" t="s">
        <v>35185</v>
      </c>
      <c r="BA2008" s="1"/>
      <c r="BB2008" s="1"/>
      <c r="BC2008" s="1" t="s">
        <v>1040</v>
      </c>
      <c r="BD2008" s="1" t="s">
        <v>1314</v>
      </c>
      <c r="BE2008" s="1">
        <v>66.57</v>
      </c>
      <c r="BF2008" s="1">
        <v>7.48</v>
      </c>
      <c r="BG2008" s="1"/>
      <c r="BH2008" s="1"/>
      <c r="BI2008" s="1"/>
      <c r="BJ2008" s="1"/>
      <c r="BK2008" s="1"/>
      <c r="BL2008" s="1"/>
      <c r="BM2008" s="1"/>
      <c r="BN2008" s="1"/>
      <c r="BO2008" s="1" t="s">
        <v>35186</v>
      </c>
      <c r="BP2008" s="1"/>
      <c r="BQ2008" s="1"/>
      <c r="BR2008" s="1" t="s">
        <v>35187</v>
      </c>
      <c r="BS2008" s="1">
        <v>32</v>
      </c>
      <c r="BT2008" s="1" t="s">
        <v>35188</v>
      </c>
      <c r="BU2008" s="1" t="str">
        <f>HYPERLINK("https://nconnect.nicmar.ac.in/storage/profile/6a21248d96303.png","Download")</f>
        <v>0</v>
      </c>
      <c r="BV2008" s="3"/>
      <c r="BW2008" s="3"/>
    </row>
    <row r="2009" spans="1:75">
      <c r="A2009" s="1" t="s">
        <v>35074</v>
      </c>
      <c r="B2009" s="1" t="s">
        <v>76</v>
      </c>
      <c r="C2009" s="1" t="s">
        <v>35189</v>
      </c>
      <c r="D2009" s="1" t="s">
        <v>3666</v>
      </c>
      <c r="E2009" s="1"/>
      <c r="F2009" s="1" t="s">
        <v>350</v>
      </c>
      <c r="G2009" s="1" t="s">
        <v>35190</v>
      </c>
      <c r="H2009" s="1" t="s">
        <v>35191</v>
      </c>
      <c r="I2009" s="1" t="s">
        <v>35191</v>
      </c>
      <c r="J2009" s="1">
        <v>7982962539</v>
      </c>
      <c r="K2009" s="1" t="s">
        <v>84</v>
      </c>
      <c r="L2009" s="1" t="s">
        <v>35192</v>
      </c>
      <c r="M2009" s="1" t="s">
        <v>86</v>
      </c>
      <c r="N2009" s="1" t="s">
        <v>4857</v>
      </c>
      <c r="O2009" s="1" t="s">
        <v>23218</v>
      </c>
      <c r="P2009" s="1" t="s">
        <v>122</v>
      </c>
      <c r="Q2009" s="1" t="s">
        <v>35193</v>
      </c>
      <c r="R2009" s="1" t="s">
        <v>35194</v>
      </c>
      <c r="S2009" s="1">
        <v>8447881811</v>
      </c>
      <c r="T2009" s="1" t="s">
        <v>31432</v>
      </c>
      <c r="U2009" s="1" t="s">
        <v>35195</v>
      </c>
      <c r="V2009" s="1">
        <v>7827282098</v>
      </c>
      <c r="W2009" s="1" t="s">
        <v>4695</v>
      </c>
      <c r="X2009" s="1" t="s">
        <v>35196</v>
      </c>
      <c r="Y2009" s="1" t="s">
        <v>2549</v>
      </c>
      <c r="Z2009" s="1" t="s">
        <v>1700</v>
      </c>
      <c r="AA2009" s="1" t="s">
        <v>35197</v>
      </c>
      <c r="AB2009" s="1" t="s">
        <v>9226</v>
      </c>
      <c r="AC2009" s="1" t="s">
        <v>1739</v>
      </c>
      <c r="AD2009" s="1" t="s">
        <v>98</v>
      </c>
      <c r="AE2009" s="1" t="s">
        <v>98</v>
      </c>
      <c r="AF2009" s="1" t="s">
        <v>1060</v>
      </c>
      <c r="AG2009" s="1" t="s">
        <v>312</v>
      </c>
      <c r="AH2009" s="1" t="s">
        <v>35198</v>
      </c>
      <c r="AI2009" s="1" t="s">
        <v>23371</v>
      </c>
      <c r="AJ2009" s="1">
        <v>64.6</v>
      </c>
      <c r="AK2009" s="1"/>
      <c r="AL2009" s="1" t="s">
        <v>1060</v>
      </c>
      <c r="AM2009" s="1" t="s">
        <v>312</v>
      </c>
      <c r="AN2009" s="1"/>
      <c r="AO2009" s="1" t="s">
        <v>35199</v>
      </c>
      <c r="AP2009" s="1" t="s">
        <v>3965</v>
      </c>
      <c r="AQ2009" s="1">
        <v>68.5</v>
      </c>
      <c r="AR2009" s="1"/>
      <c r="AS2009" s="1"/>
      <c r="AT2009" s="1"/>
      <c r="AU2009" s="1"/>
      <c r="AV2009" s="1"/>
      <c r="AW2009" s="1"/>
      <c r="AX2009" s="1"/>
      <c r="AY2009" s="1" t="s">
        <v>35200</v>
      </c>
      <c r="AZ2009" s="1" t="s">
        <v>35201</v>
      </c>
      <c r="BA2009" s="1"/>
      <c r="BB2009" s="1"/>
      <c r="BC2009" s="1" t="s">
        <v>254</v>
      </c>
      <c r="BD2009" s="1" t="s">
        <v>35202</v>
      </c>
      <c r="BE2009" s="1">
        <v>55.2</v>
      </c>
      <c r="BF2009" s="1"/>
      <c r="BG2009" s="1" t="s">
        <v>35203</v>
      </c>
      <c r="BH2009" s="1" t="s">
        <v>35204</v>
      </c>
      <c r="BI2009" s="1"/>
      <c r="BJ2009" s="1"/>
      <c r="BK2009" s="1" t="s">
        <v>1396</v>
      </c>
      <c r="BL2009" s="1" t="s">
        <v>106</v>
      </c>
      <c r="BM2009" s="1">
        <v>60.88</v>
      </c>
      <c r="BN2009" s="1"/>
      <c r="BO2009" s="1" t="s">
        <v>1890</v>
      </c>
      <c r="BP2009" s="1" t="s">
        <v>35205</v>
      </c>
      <c r="BQ2009" s="1" t="s">
        <v>4389</v>
      </c>
      <c r="BR2009" s="1" t="s">
        <v>35206</v>
      </c>
      <c r="BS2009" s="1">
        <v>10</v>
      </c>
      <c r="BT2009" s="1" t="s">
        <v>35207</v>
      </c>
      <c r="BU2009" s="1" t="str">
        <f>HYPERLINK("https://nconnect.nicmar.ac.in/storage/profile/6a213e6b214b4.png","Download")</f>
        <v>0</v>
      </c>
      <c r="BV2009" s="3"/>
      <c r="BW2009" s="3"/>
    </row>
    <row r="2010" spans="1:75">
      <c r="A2010" s="1" t="s">
        <v>35074</v>
      </c>
      <c r="B2010" s="1" t="s">
        <v>76</v>
      </c>
      <c r="C2010" s="1" t="s">
        <v>35208</v>
      </c>
      <c r="D2010" s="1" t="s">
        <v>35209</v>
      </c>
      <c r="E2010" s="1"/>
      <c r="F2010" s="1" t="s">
        <v>35210</v>
      </c>
      <c r="G2010" s="1" t="s">
        <v>35211</v>
      </c>
      <c r="H2010" s="1" t="s">
        <v>35212</v>
      </c>
      <c r="I2010" s="1" t="s">
        <v>35212</v>
      </c>
      <c r="J2010" s="1">
        <v>9623930761</v>
      </c>
      <c r="K2010" s="1" t="s">
        <v>84</v>
      </c>
      <c r="L2010" s="1" t="s">
        <v>2565</v>
      </c>
      <c r="M2010" s="1" t="s">
        <v>86</v>
      </c>
      <c r="N2010" s="1" t="s">
        <v>4857</v>
      </c>
      <c r="O2010" s="1" t="s">
        <v>157</v>
      </c>
      <c r="P2010" s="1" t="s">
        <v>219</v>
      </c>
      <c r="Q2010" s="1" t="s">
        <v>35213</v>
      </c>
      <c r="R2010" s="1" t="s">
        <v>12019</v>
      </c>
      <c r="S2010" s="1">
        <v>9975643041</v>
      </c>
      <c r="T2010" s="1" t="s">
        <v>125</v>
      </c>
      <c r="U2010" s="1" t="s">
        <v>306</v>
      </c>
      <c r="V2010" s="1">
        <v>9637643041</v>
      </c>
      <c r="W2010" s="1" t="s">
        <v>94</v>
      </c>
      <c r="X2010" s="1" t="s">
        <v>35214</v>
      </c>
      <c r="Y2010" s="1" t="s">
        <v>410</v>
      </c>
      <c r="Z2010" s="1" t="s">
        <v>97</v>
      </c>
      <c r="AA2010" s="1" t="s">
        <v>35214</v>
      </c>
      <c r="AB2010" s="1" t="s">
        <v>410</v>
      </c>
      <c r="AC2010" s="1" t="s">
        <v>97</v>
      </c>
      <c r="AD2010" s="1" t="s">
        <v>98</v>
      </c>
      <c r="AE2010" s="1" t="s">
        <v>98</v>
      </c>
      <c r="AF2010" s="1" t="s">
        <v>35215</v>
      </c>
      <c r="AG2010" s="1" t="s">
        <v>312</v>
      </c>
      <c r="AH2010" s="1" t="s">
        <v>1396</v>
      </c>
      <c r="AI2010" s="1" t="s">
        <v>170</v>
      </c>
      <c r="AJ2010" s="1">
        <v>79.8</v>
      </c>
      <c r="AK2010" s="1">
        <v>8.4</v>
      </c>
      <c r="AL2010" s="1" t="s">
        <v>35216</v>
      </c>
      <c r="AM2010" s="1" t="s">
        <v>1601</v>
      </c>
      <c r="AN2010" s="1"/>
      <c r="AO2010" s="1" t="s">
        <v>174</v>
      </c>
      <c r="AP2010" s="1" t="s">
        <v>313</v>
      </c>
      <c r="AQ2010" s="1">
        <v>54.15</v>
      </c>
      <c r="AR2010" s="1"/>
      <c r="AS2010" s="1"/>
      <c r="AT2010" s="1"/>
      <c r="AU2010" s="1"/>
      <c r="AV2010" s="1"/>
      <c r="AW2010" s="1"/>
      <c r="AX2010" s="1"/>
      <c r="AY2010" s="1" t="s">
        <v>415</v>
      </c>
      <c r="AZ2010" s="1" t="s">
        <v>35217</v>
      </c>
      <c r="BA2010" s="1"/>
      <c r="BB2010" s="1"/>
      <c r="BC2010" s="1" t="s">
        <v>178</v>
      </c>
      <c r="BD2010" s="1" t="s">
        <v>234</v>
      </c>
      <c r="BE2010" s="1">
        <v>78.1</v>
      </c>
      <c r="BF2010" s="1"/>
      <c r="BG2010" s="1"/>
      <c r="BH2010" s="1"/>
      <c r="BI2010" s="1"/>
      <c r="BJ2010" s="1"/>
      <c r="BK2010" s="1"/>
      <c r="BL2010" s="1"/>
      <c r="BM2010" s="1"/>
      <c r="BN2010" s="1"/>
      <c r="BO2010" s="1" t="s">
        <v>1890</v>
      </c>
      <c r="BP2010" s="1"/>
      <c r="BQ2010" s="1"/>
      <c r="BR2010" s="1" t="s">
        <v>35218</v>
      </c>
      <c r="BS2010" s="1">
        <v>8</v>
      </c>
      <c r="BT2010" s="1" t="s">
        <v>35219</v>
      </c>
      <c r="BU2010" s="1" t="str">
        <f>HYPERLINK("https://nconnect.nicmar.ac.in/storage/profile/6a2144da8acc0.png","Download")</f>
        <v>0</v>
      </c>
      <c r="BV2010" s="3"/>
      <c r="BW2010" s="3"/>
    </row>
    <row r="2011" spans="1:75">
      <c r="A2011" s="1" t="s">
        <v>35074</v>
      </c>
      <c r="B2011" s="1" t="s">
        <v>76</v>
      </c>
      <c r="C2011" s="1" t="s">
        <v>35220</v>
      </c>
      <c r="D2011" s="1" t="s">
        <v>7892</v>
      </c>
      <c r="E2011" s="1" t="s">
        <v>4966</v>
      </c>
      <c r="F2011" s="1" t="s">
        <v>35221</v>
      </c>
      <c r="G2011" s="1" t="s">
        <v>35222</v>
      </c>
      <c r="H2011" s="1" t="s">
        <v>35223</v>
      </c>
      <c r="I2011" s="1" t="s">
        <v>35223</v>
      </c>
      <c r="J2011" s="1">
        <v>9372626547</v>
      </c>
      <c r="K2011" s="1" t="s">
        <v>84</v>
      </c>
      <c r="L2011" s="1" t="s">
        <v>35224</v>
      </c>
      <c r="M2011" s="1" t="s">
        <v>86</v>
      </c>
      <c r="N2011" s="1" t="s">
        <v>35225</v>
      </c>
      <c r="O2011" s="1" t="s">
        <v>157</v>
      </c>
      <c r="P2011" s="1" t="s">
        <v>89</v>
      </c>
      <c r="Q2011" s="1" t="s">
        <v>35226</v>
      </c>
      <c r="R2011" s="1" t="s">
        <v>4966</v>
      </c>
      <c r="S2011" s="1">
        <v>7977916384</v>
      </c>
      <c r="T2011" s="1" t="s">
        <v>645</v>
      </c>
      <c r="U2011" s="1" t="s">
        <v>35227</v>
      </c>
      <c r="V2011" s="1">
        <v>9082010533</v>
      </c>
      <c r="W2011" s="1" t="s">
        <v>541</v>
      </c>
      <c r="X2011" s="1" t="s">
        <v>35228</v>
      </c>
      <c r="Y2011" s="1" t="s">
        <v>1012</v>
      </c>
      <c r="Z2011" s="1" t="s">
        <v>97</v>
      </c>
      <c r="AA2011" s="1" t="s">
        <v>35228</v>
      </c>
      <c r="AB2011" s="1" t="s">
        <v>1012</v>
      </c>
      <c r="AC2011" s="1" t="s">
        <v>97</v>
      </c>
      <c r="AD2011" s="1" t="s">
        <v>98</v>
      </c>
      <c r="AE2011" s="1" t="s">
        <v>98</v>
      </c>
      <c r="AF2011" s="1" t="s">
        <v>35229</v>
      </c>
      <c r="AG2011" s="1" t="s">
        <v>165</v>
      </c>
      <c r="AH2011" s="1" t="s">
        <v>167</v>
      </c>
      <c r="AI2011" s="1" t="s">
        <v>573</v>
      </c>
      <c r="AJ2011" s="1">
        <v>75.4</v>
      </c>
      <c r="AK2011" s="1"/>
      <c r="AL2011" s="1" t="s">
        <v>35230</v>
      </c>
      <c r="AM2011" s="1" t="s">
        <v>165</v>
      </c>
      <c r="AN2011" s="1"/>
      <c r="AO2011" s="1" t="s">
        <v>573</v>
      </c>
      <c r="AP2011" s="1" t="s">
        <v>313</v>
      </c>
      <c r="AQ2011" s="1">
        <v>57.38</v>
      </c>
      <c r="AR2011" s="1"/>
      <c r="AS2011" s="1"/>
      <c r="AT2011" s="1"/>
      <c r="AU2011" s="1"/>
      <c r="AV2011" s="1"/>
      <c r="AW2011" s="1"/>
      <c r="AX2011" s="1"/>
      <c r="AY2011" s="1" t="s">
        <v>258</v>
      </c>
      <c r="AZ2011" s="1" t="s">
        <v>35231</v>
      </c>
      <c r="BA2011" s="1"/>
      <c r="BB2011" s="1"/>
      <c r="BC2011" s="1" t="s">
        <v>206</v>
      </c>
      <c r="BD2011" s="1" t="s">
        <v>955</v>
      </c>
      <c r="BE2011" s="1">
        <v>69.62</v>
      </c>
      <c r="BF2011" s="1">
        <v>7.92</v>
      </c>
      <c r="BG2011" s="1"/>
      <c r="BH2011" s="1"/>
      <c r="BI2011" s="1"/>
      <c r="BJ2011" s="1"/>
      <c r="BK2011" s="1"/>
      <c r="BL2011" s="1"/>
      <c r="BM2011" s="1"/>
      <c r="BN2011" s="1"/>
      <c r="BO2011" s="1" t="s">
        <v>260</v>
      </c>
      <c r="BP2011" s="1"/>
      <c r="BQ2011" s="1"/>
      <c r="BR2011" s="1" t="s">
        <v>35232</v>
      </c>
      <c r="BS2011" s="1">
        <v>35</v>
      </c>
      <c r="BT2011" s="1" t="s">
        <v>35233</v>
      </c>
      <c r="BU2011" s="1" t="str">
        <f>HYPERLINK("https://nconnect.nicmar.ac.in/storage/profile/6a215333ef911.png","Download")</f>
        <v>0</v>
      </c>
      <c r="BV2011" s="3"/>
      <c r="BW2011" s="3"/>
    </row>
    <row r="2012" spans="1:75">
      <c r="A2012" s="1" t="s">
        <v>35074</v>
      </c>
      <c r="B2012" s="1" t="s">
        <v>76</v>
      </c>
      <c r="C2012" s="1" t="s">
        <v>35234</v>
      </c>
      <c r="D2012" s="1" t="s">
        <v>35235</v>
      </c>
      <c r="E2012" s="1"/>
      <c r="F2012" s="1" t="s">
        <v>35236</v>
      </c>
      <c r="G2012" s="1" t="s">
        <v>35237</v>
      </c>
      <c r="H2012" s="1" t="s">
        <v>35238</v>
      </c>
      <c r="I2012" s="1" t="s">
        <v>35238</v>
      </c>
      <c r="J2012" s="1">
        <v>6297795289</v>
      </c>
      <c r="K2012" s="1" t="s">
        <v>84</v>
      </c>
      <c r="L2012" s="1" t="s">
        <v>35239</v>
      </c>
      <c r="M2012" s="1" t="s">
        <v>86</v>
      </c>
      <c r="N2012" s="1" t="s">
        <v>4857</v>
      </c>
      <c r="O2012" s="1" t="s">
        <v>157</v>
      </c>
      <c r="P2012" s="1" t="s">
        <v>89</v>
      </c>
      <c r="Q2012" s="1" t="s">
        <v>35240</v>
      </c>
      <c r="R2012" s="1" t="s">
        <v>35241</v>
      </c>
      <c r="S2012" s="1">
        <v>9732668113</v>
      </c>
      <c r="T2012" s="1" t="s">
        <v>839</v>
      </c>
      <c r="U2012" s="1" t="s">
        <v>35242</v>
      </c>
      <c r="V2012" s="1">
        <v>7479093287</v>
      </c>
      <c r="W2012" s="1" t="s">
        <v>278</v>
      </c>
      <c r="X2012" s="1" t="s">
        <v>35243</v>
      </c>
      <c r="Y2012" s="1" t="s">
        <v>10874</v>
      </c>
      <c r="Z2012" s="1" t="s">
        <v>1234</v>
      </c>
      <c r="AA2012" s="1" t="s">
        <v>35243</v>
      </c>
      <c r="AB2012" s="1" t="s">
        <v>10874</v>
      </c>
      <c r="AC2012" s="1" t="s">
        <v>1234</v>
      </c>
      <c r="AD2012" s="1" t="s">
        <v>98</v>
      </c>
      <c r="AE2012" s="1" t="s">
        <v>98</v>
      </c>
      <c r="AF2012" s="1" t="s">
        <v>35244</v>
      </c>
      <c r="AG2012" s="1" t="s">
        <v>3284</v>
      </c>
      <c r="AH2012" s="1" t="s">
        <v>2822</v>
      </c>
      <c r="AI2012" s="1" t="s">
        <v>573</v>
      </c>
      <c r="AJ2012" s="1">
        <v>72.57</v>
      </c>
      <c r="AK2012" s="1"/>
      <c r="AL2012" s="1" t="s">
        <v>35244</v>
      </c>
      <c r="AM2012" s="1" t="s">
        <v>35245</v>
      </c>
      <c r="AN2012" s="1"/>
      <c r="AO2012" s="1" t="s">
        <v>286</v>
      </c>
      <c r="AP2012" s="1" t="s">
        <v>313</v>
      </c>
      <c r="AQ2012" s="1">
        <v>74.33</v>
      </c>
      <c r="AR2012" s="1"/>
      <c r="AS2012" s="1"/>
      <c r="AT2012" s="1"/>
      <c r="AU2012" s="1"/>
      <c r="AV2012" s="1"/>
      <c r="AW2012" s="1"/>
      <c r="AX2012" s="1"/>
      <c r="AY2012" s="1" t="s">
        <v>35246</v>
      </c>
      <c r="AZ2012" s="1" t="s">
        <v>35247</v>
      </c>
      <c r="BA2012" s="1"/>
      <c r="BB2012" s="1"/>
      <c r="BC2012" s="1" t="s">
        <v>438</v>
      </c>
      <c r="BD2012" s="1" t="s">
        <v>1400</v>
      </c>
      <c r="BE2012" s="1">
        <v>74.4</v>
      </c>
      <c r="BF2012" s="1">
        <v>7.94</v>
      </c>
      <c r="BG2012" s="1"/>
      <c r="BH2012" s="1"/>
      <c r="BI2012" s="1"/>
      <c r="BJ2012" s="1"/>
      <c r="BK2012" s="1"/>
      <c r="BL2012" s="1"/>
      <c r="BM2012" s="1"/>
      <c r="BN2012" s="1"/>
      <c r="BO2012" s="1" t="s">
        <v>35248</v>
      </c>
      <c r="BP2012" s="1"/>
      <c r="BQ2012" s="1"/>
      <c r="BR2012" s="1" t="s">
        <v>35249</v>
      </c>
      <c r="BS2012" s="1">
        <v>7</v>
      </c>
      <c r="BT2012" s="1"/>
      <c r="BU2012" s="1" t="str">
        <f>HYPERLINK("https://nconnect.nicmar.ac.in/storage/profile/6a215af3bfa89.png","Download")</f>
        <v>0</v>
      </c>
      <c r="BV2012" s="3"/>
      <c r="BW2012" s="3"/>
    </row>
    <row r="2013" spans="1:75">
      <c r="A2013" s="1" t="s">
        <v>35074</v>
      </c>
      <c r="B2013" s="1" t="s">
        <v>76</v>
      </c>
      <c r="C2013" s="1" t="s">
        <v>35250</v>
      </c>
      <c r="D2013" s="1" t="s">
        <v>6946</v>
      </c>
      <c r="E2013" s="1" t="s">
        <v>35251</v>
      </c>
      <c r="F2013" s="1" t="s">
        <v>5650</v>
      </c>
      <c r="G2013" s="1" t="s">
        <v>35252</v>
      </c>
      <c r="H2013" s="1" t="s">
        <v>35253</v>
      </c>
      <c r="I2013" s="1" t="s">
        <v>35254</v>
      </c>
      <c r="J2013" s="1">
        <v>8830674430</v>
      </c>
      <c r="K2013" s="1" t="s">
        <v>84</v>
      </c>
      <c r="L2013" s="1" t="s">
        <v>30740</v>
      </c>
      <c r="M2013" s="1" t="s">
        <v>86</v>
      </c>
      <c r="N2013" s="1" t="s">
        <v>21874</v>
      </c>
      <c r="O2013" s="1" t="s">
        <v>35255</v>
      </c>
      <c r="P2013" s="1" t="s">
        <v>122</v>
      </c>
      <c r="Q2013" s="1" t="s">
        <v>35256</v>
      </c>
      <c r="R2013" s="1" t="s">
        <v>35257</v>
      </c>
      <c r="S2013" s="1">
        <v>9421678197</v>
      </c>
      <c r="T2013" s="1" t="s">
        <v>26854</v>
      </c>
      <c r="U2013" s="1" t="s">
        <v>35258</v>
      </c>
      <c r="V2013" s="1">
        <v>9422291492</v>
      </c>
      <c r="W2013" s="1" t="s">
        <v>35259</v>
      </c>
      <c r="X2013" s="1" t="s">
        <v>35260</v>
      </c>
      <c r="Y2013" s="1" t="s">
        <v>96</v>
      </c>
      <c r="Z2013" s="1" t="s">
        <v>97</v>
      </c>
      <c r="AA2013" s="1" t="s">
        <v>35260</v>
      </c>
      <c r="AB2013" s="1" t="s">
        <v>96</v>
      </c>
      <c r="AC2013" s="1" t="s">
        <v>97</v>
      </c>
      <c r="AD2013" s="1" t="s">
        <v>98</v>
      </c>
      <c r="AE2013" s="1" t="s">
        <v>98</v>
      </c>
      <c r="AF2013" s="1" t="s">
        <v>35261</v>
      </c>
      <c r="AG2013" s="1" t="s">
        <v>35262</v>
      </c>
      <c r="AH2013" s="1" t="s">
        <v>101</v>
      </c>
      <c r="AI2013" s="1" t="s">
        <v>102</v>
      </c>
      <c r="AJ2013" s="1">
        <v>70.2</v>
      </c>
      <c r="AK2013" s="1"/>
      <c r="AL2013" s="1" t="s">
        <v>35263</v>
      </c>
      <c r="AM2013" s="1" t="s">
        <v>165</v>
      </c>
      <c r="AN2013" s="1"/>
      <c r="AO2013" s="1" t="s">
        <v>170</v>
      </c>
      <c r="AP2013" s="1" t="s">
        <v>106</v>
      </c>
      <c r="AQ2013" s="1">
        <v>64.31</v>
      </c>
      <c r="AR2013" s="1"/>
      <c r="AS2013" s="1"/>
      <c r="AT2013" s="1"/>
      <c r="AU2013" s="1"/>
      <c r="AV2013" s="1"/>
      <c r="AW2013" s="1"/>
      <c r="AX2013" s="1"/>
      <c r="AY2013" s="1" t="s">
        <v>3035</v>
      </c>
      <c r="AZ2013" s="1" t="s">
        <v>35264</v>
      </c>
      <c r="BA2013" s="1"/>
      <c r="BB2013" s="1"/>
      <c r="BC2013" s="1" t="s">
        <v>174</v>
      </c>
      <c r="BD2013" s="1" t="s">
        <v>234</v>
      </c>
      <c r="BE2013" s="1">
        <v>54.99</v>
      </c>
      <c r="BF2013" s="1">
        <v>7.03</v>
      </c>
      <c r="BG2013" s="1"/>
      <c r="BH2013" s="1"/>
      <c r="BI2013" s="1"/>
      <c r="BJ2013" s="1"/>
      <c r="BK2013" s="1"/>
      <c r="BL2013" s="1"/>
      <c r="BM2013" s="1"/>
      <c r="BN2013" s="1"/>
      <c r="BO2013" s="1" t="s">
        <v>35265</v>
      </c>
      <c r="BP2013" s="1"/>
      <c r="BQ2013" s="1"/>
      <c r="BR2013" s="1" t="s">
        <v>35266</v>
      </c>
      <c r="BS2013" s="1">
        <v>7</v>
      </c>
      <c r="BT2013" s="1"/>
      <c r="BU2013" s="1" t="str">
        <f>HYPERLINK("https://nconnect.nicmar.ac.in/storage/profile/6a2151e4b96fb.png","Download")</f>
        <v>0</v>
      </c>
      <c r="BV2013" s="3"/>
      <c r="BW2013" s="3"/>
    </row>
    <row r="2014" spans="1:75">
      <c r="A2014" s="1" t="s">
        <v>35074</v>
      </c>
      <c r="B2014" s="1" t="s">
        <v>76</v>
      </c>
      <c r="C2014" s="1" t="s">
        <v>35267</v>
      </c>
      <c r="D2014" s="1" t="s">
        <v>6136</v>
      </c>
      <c r="E2014" s="1"/>
      <c r="F2014" s="1" t="s">
        <v>241</v>
      </c>
      <c r="G2014" s="1" t="s">
        <v>35268</v>
      </c>
      <c r="H2014" s="1" t="s">
        <v>35269</v>
      </c>
      <c r="I2014" s="1" t="s">
        <v>35270</v>
      </c>
      <c r="J2014" s="1">
        <v>7038306695</v>
      </c>
      <c r="K2014" s="1" t="s">
        <v>84</v>
      </c>
      <c r="L2014" s="1" t="s">
        <v>14331</v>
      </c>
      <c r="M2014" s="1" t="s">
        <v>86</v>
      </c>
      <c r="N2014" s="1" t="s">
        <v>35271</v>
      </c>
      <c r="O2014" s="1" t="s">
        <v>35272</v>
      </c>
      <c r="P2014" s="1" t="s">
        <v>219</v>
      </c>
      <c r="Q2014" s="1" t="s">
        <v>35273</v>
      </c>
      <c r="R2014" s="1" t="s">
        <v>35274</v>
      </c>
      <c r="S2014" s="1">
        <v>9822616855</v>
      </c>
      <c r="T2014" s="1" t="s">
        <v>92</v>
      </c>
      <c r="U2014" s="1" t="s">
        <v>35275</v>
      </c>
      <c r="V2014" s="1">
        <v>9850107466</v>
      </c>
      <c r="W2014" s="1" t="s">
        <v>94</v>
      </c>
      <c r="X2014" s="1" t="s">
        <v>35276</v>
      </c>
      <c r="Y2014" s="1" t="s">
        <v>196</v>
      </c>
      <c r="Z2014" s="1" t="s">
        <v>97</v>
      </c>
      <c r="AA2014" s="1" t="s">
        <v>35276</v>
      </c>
      <c r="AB2014" s="1" t="s">
        <v>196</v>
      </c>
      <c r="AC2014" s="1" t="s">
        <v>97</v>
      </c>
      <c r="AD2014" s="1" t="s">
        <v>98</v>
      </c>
      <c r="AE2014" s="1" t="s">
        <v>98</v>
      </c>
      <c r="AF2014" s="1" t="s">
        <v>35277</v>
      </c>
      <c r="AG2014" s="1" t="s">
        <v>312</v>
      </c>
      <c r="AH2014" s="1" t="s">
        <v>704</v>
      </c>
      <c r="AI2014" s="1" t="s">
        <v>171</v>
      </c>
      <c r="AJ2014" s="1">
        <v>64</v>
      </c>
      <c r="AK2014" s="1"/>
      <c r="AL2014" s="1" t="s">
        <v>35278</v>
      </c>
      <c r="AM2014" s="1" t="s">
        <v>35279</v>
      </c>
      <c r="AN2014" s="1"/>
      <c r="AO2014" s="1" t="s">
        <v>438</v>
      </c>
      <c r="AP2014" s="1" t="s">
        <v>365</v>
      </c>
      <c r="AQ2014" s="1">
        <v>60</v>
      </c>
      <c r="AR2014" s="1"/>
      <c r="AS2014" s="1"/>
      <c r="AT2014" s="1"/>
      <c r="AU2014" s="1"/>
      <c r="AV2014" s="1"/>
      <c r="AW2014" s="1"/>
      <c r="AX2014" s="1"/>
      <c r="AY2014" s="1" t="s">
        <v>35280</v>
      </c>
      <c r="AZ2014" s="1" t="s">
        <v>35280</v>
      </c>
      <c r="BA2014" s="1"/>
      <c r="BB2014" s="1"/>
      <c r="BC2014" s="1" t="s">
        <v>1040</v>
      </c>
      <c r="BD2014" s="1" t="s">
        <v>579</v>
      </c>
      <c r="BE2014" s="1">
        <v>77.4</v>
      </c>
      <c r="BF2014" s="1">
        <v>8.49</v>
      </c>
      <c r="BG2014" s="1"/>
      <c r="BH2014" s="1"/>
      <c r="BI2014" s="1"/>
      <c r="BJ2014" s="1"/>
      <c r="BK2014" s="1"/>
      <c r="BL2014" s="1"/>
      <c r="BM2014" s="1"/>
      <c r="BN2014" s="1"/>
      <c r="BO2014" s="1" t="s">
        <v>35281</v>
      </c>
      <c r="BP2014" s="1"/>
      <c r="BQ2014" s="1"/>
      <c r="BR2014" s="1" t="s">
        <v>35282</v>
      </c>
      <c r="BS2014" s="1">
        <v>18</v>
      </c>
      <c r="BT2014" s="1"/>
      <c r="BU2014" s="1" t="str">
        <f>HYPERLINK("https://nconnect.nicmar.ac.in/storage/profile/6a213db498d95.png","Download")</f>
        <v>0</v>
      </c>
      <c r="BV2014" s="3"/>
      <c r="BW2014" s="3"/>
    </row>
    <row r="2015" spans="1:75">
      <c r="A2015" s="1" t="s">
        <v>35074</v>
      </c>
      <c r="B2015" s="1" t="s">
        <v>76</v>
      </c>
      <c r="C2015" s="1" t="s">
        <v>35283</v>
      </c>
      <c r="D2015" s="1" t="s">
        <v>4925</v>
      </c>
      <c r="E2015" s="1"/>
      <c r="F2015" s="1" t="s">
        <v>530</v>
      </c>
      <c r="G2015" s="1" t="s">
        <v>35284</v>
      </c>
      <c r="H2015" s="1" t="s">
        <v>35285</v>
      </c>
      <c r="I2015" s="1" t="s">
        <v>35286</v>
      </c>
      <c r="J2015" s="1">
        <v>6299309410</v>
      </c>
      <c r="K2015" s="1" t="s">
        <v>153</v>
      </c>
      <c r="L2015" s="1" t="s">
        <v>16586</v>
      </c>
      <c r="M2015" s="1" t="s">
        <v>86</v>
      </c>
      <c r="N2015" s="1" t="s">
        <v>4857</v>
      </c>
      <c r="O2015" s="1" t="s">
        <v>35272</v>
      </c>
      <c r="P2015" s="1" t="s">
        <v>219</v>
      </c>
      <c r="Q2015" s="1" t="s">
        <v>35287</v>
      </c>
      <c r="R2015" s="1" t="s">
        <v>8891</v>
      </c>
      <c r="S2015" s="1">
        <v>9262353433</v>
      </c>
      <c r="T2015" s="1" t="s">
        <v>926</v>
      </c>
      <c r="U2015" s="1" t="s">
        <v>13908</v>
      </c>
      <c r="V2015" s="1">
        <v>7070780503</v>
      </c>
      <c r="W2015" s="1" t="s">
        <v>161</v>
      </c>
      <c r="X2015" s="1" t="s">
        <v>35288</v>
      </c>
      <c r="Y2015" s="1" t="s">
        <v>648</v>
      </c>
      <c r="Z2015" s="1" t="s">
        <v>649</v>
      </c>
      <c r="AA2015" s="1" t="s">
        <v>35288</v>
      </c>
      <c r="AB2015" s="1" t="s">
        <v>648</v>
      </c>
      <c r="AC2015" s="1" t="s">
        <v>649</v>
      </c>
      <c r="AD2015" s="1" t="s">
        <v>98</v>
      </c>
      <c r="AE2015" s="1" t="s">
        <v>98</v>
      </c>
      <c r="AF2015" s="1" t="s">
        <v>35289</v>
      </c>
      <c r="AG2015" s="1" t="s">
        <v>35290</v>
      </c>
      <c r="AH2015" s="1" t="s">
        <v>1110</v>
      </c>
      <c r="AI2015" s="1" t="s">
        <v>627</v>
      </c>
      <c r="AJ2015" s="1">
        <v>81.7</v>
      </c>
      <c r="AK2015" s="1">
        <v>8.6</v>
      </c>
      <c r="AL2015" s="1" t="s">
        <v>35291</v>
      </c>
      <c r="AM2015" s="1" t="s">
        <v>35290</v>
      </c>
      <c r="AN2015" s="1"/>
      <c r="AO2015" s="1" t="s">
        <v>704</v>
      </c>
      <c r="AP2015" s="1" t="s">
        <v>171</v>
      </c>
      <c r="AQ2015" s="1">
        <v>72.8</v>
      </c>
      <c r="AR2015" s="1"/>
      <c r="AS2015" s="1"/>
      <c r="AT2015" s="1"/>
      <c r="AU2015" s="1"/>
      <c r="AV2015" s="1"/>
      <c r="AW2015" s="1"/>
      <c r="AX2015" s="1"/>
      <c r="AY2015" s="1" t="s">
        <v>35292</v>
      </c>
      <c r="AZ2015" s="1" t="s">
        <v>35293</v>
      </c>
      <c r="BA2015" s="1"/>
      <c r="BB2015" s="1"/>
      <c r="BC2015" s="1" t="s">
        <v>206</v>
      </c>
      <c r="BD2015" s="1" t="s">
        <v>441</v>
      </c>
      <c r="BE2015" s="1">
        <v>75.84</v>
      </c>
      <c r="BF2015" s="1">
        <v>7.53</v>
      </c>
      <c r="BG2015" s="1"/>
      <c r="BH2015" s="1"/>
      <c r="BI2015" s="1"/>
      <c r="BJ2015" s="1"/>
      <c r="BK2015" s="1"/>
      <c r="BL2015" s="1"/>
      <c r="BM2015" s="1"/>
      <c r="BN2015" s="1"/>
      <c r="BO2015" s="1" t="s">
        <v>35105</v>
      </c>
      <c r="BP2015" s="1"/>
      <c r="BQ2015" s="1"/>
      <c r="BR2015" s="1" t="s">
        <v>35294</v>
      </c>
      <c r="BS2015" s="1">
        <v>35</v>
      </c>
      <c r="BT2015" s="1"/>
      <c r="BU2015" s="1" t="str">
        <f>HYPERLINK("https://nconnect.nicmar.ac.in/storage/profile/6a2122372a8fe.png","Download")</f>
        <v>0</v>
      </c>
      <c r="BV2015" s="3"/>
      <c r="BW2015" s="3"/>
    </row>
    <row r="2016" spans="1:75">
      <c r="A2016" s="1" t="s">
        <v>35074</v>
      </c>
      <c r="B2016" s="1" t="s">
        <v>76</v>
      </c>
      <c r="C2016" s="1" t="s">
        <v>35295</v>
      </c>
      <c r="D2016" s="1" t="s">
        <v>35296</v>
      </c>
      <c r="E2016" s="1"/>
      <c r="F2016" s="1" t="s">
        <v>35297</v>
      </c>
      <c r="G2016" s="1" t="s">
        <v>35298</v>
      </c>
      <c r="H2016" s="1" t="s">
        <v>35299</v>
      </c>
      <c r="I2016" s="1" t="s">
        <v>35300</v>
      </c>
      <c r="J2016" s="1">
        <v>9131074814</v>
      </c>
      <c r="K2016" s="1" t="s">
        <v>84</v>
      </c>
      <c r="L2016" s="1" t="s">
        <v>27140</v>
      </c>
      <c r="M2016" s="1" t="s">
        <v>86</v>
      </c>
      <c r="N2016" s="1" t="s">
        <v>768</v>
      </c>
      <c r="O2016" s="1" t="s">
        <v>35272</v>
      </c>
      <c r="P2016" s="1" t="s">
        <v>219</v>
      </c>
      <c r="Q2016" s="1" t="s">
        <v>35301</v>
      </c>
      <c r="R2016" s="1" t="s">
        <v>35302</v>
      </c>
      <c r="S2016" s="1">
        <v>9584462986</v>
      </c>
      <c r="T2016" s="1" t="s">
        <v>1495</v>
      </c>
      <c r="U2016" s="1" t="s">
        <v>35303</v>
      </c>
      <c r="V2016" s="1">
        <v>6230971970</v>
      </c>
      <c r="W2016" s="1" t="s">
        <v>94</v>
      </c>
      <c r="X2016" s="1" t="s">
        <v>35304</v>
      </c>
      <c r="Y2016" s="1" t="s">
        <v>8184</v>
      </c>
      <c r="Z2016" s="1" t="s">
        <v>2153</v>
      </c>
      <c r="AA2016" s="1" t="s">
        <v>35304</v>
      </c>
      <c r="AB2016" s="1" t="s">
        <v>8184</v>
      </c>
      <c r="AC2016" s="1" t="s">
        <v>2153</v>
      </c>
      <c r="AD2016" s="1" t="s">
        <v>98</v>
      </c>
      <c r="AE2016" s="1" t="s">
        <v>98</v>
      </c>
      <c r="AF2016" s="1" t="s">
        <v>35305</v>
      </c>
      <c r="AG2016" s="1" t="s">
        <v>35306</v>
      </c>
      <c r="AH2016" s="1" t="s">
        <v>167</v>
      </c>
      <c r="AI2016" s="1" t="s">
        <v>170</v>
      </c>
      <c r="AJ2016" s="1">
        <v>60.8</v>
      </c>
      <c r="AK2016" s="1">
        <v>6.4</v>
      </c>
      <c r="AL2016" s="1" t="s">
        <v>35307</v>
      </c>
      <c r="AM2016" s="1" t="s">
        <v>35308</v>
      </c>
      <c r="AN2016" s="1"/>
      <c r="AO2016" s="1" t="s">
        <v>1065</v>
      </c>
      <c r="AP2016" s="1" t="s">
        <v>313</v>
      </c>
      <c r="AQ2016" s="1">
        <v>59.6</v>
      </c>
      <c r="AR2016" s="1"/>
      <c r="AS2016" s="1"/>
      <c r="AT2016" s="1"/>
      <c r="AU2016" s="1"/>
      <c r="AV2016" s="1"/>
      <c r="AW2016" s="1"/>
      <c r="AX2016" s="1"/>
      <c r="AY2016" s="1" t="s">
        <v>35309</v>
      </c>
      <c r="AZ2016" s="1" t="s">
        <v>35310</v>
      </c>
      <c r="BA2016" s="1"/>
      <c r="BB2016" s="1"/>
      <c r="BC2016" s="1" t="s">
        <v>206</v>
      </c>
      <c r="BD2016" s="1" t="s">
        <v>1802</v>
      </c>
      <c r="BE2016" s="1">
        <v>68.68</v>
      </c>
      <c r="BF2016" s="1">
        <v>7.23</v>
      </c>
      <c r="BG2016" s="1"/>
      <c r="BH2016" s="1"/>
      <c r="BI2016" s="1"/>
      <c r="BJ2016" s="1"/>
      <c r="BK2016" s="1"/>
      <c r="BL2016" s="1"/>
      <c r="BM2016" s="1"/>
      <c r="BN2016" s="1"/>
      <c r="BO2016" s="1" t="s">
        <v>35311</v>
      </c>
      <c r="BP2016" s="1"/>
      <c r="BQ2016" s="1"/>
      <c r="BR2016" s="1" t="s">
        <v>35312</v>
      </c>
      <c r="BS2016" s="1">
        <v>17</v>
      </c>
      <c r="BT2016" s="1"/>
      <c r="BU2016" s="1" t="str">
        <f>HYPERLINK("https://nconnect.nicmar.ac.in/storage/profile/6a2117038be45.png","Download")</f>
        <v>0</v>
      </c>
      <c r="BV2016" s="3"/>
      <c r="BW2016" s="3"/>
    </row>
    <row r="2017" spans="1:75">
      <c r="A2017" s="1" t="s">
        <v>35074</v>
      </c>
      <c r="B2017" s="1" t="s">
        <v>76</v>
      </c>
      <c r="C2017" s="1" t="s">
        <v>35313</v>
      </c>
      <c r="D2017" s="1" t="s">
        <v>35314</v>
      </c>
      <c r="E2017" s="1"/>
      <c r="F2017" s="1" t="s">
        <v>35315</v>
      </c>
      <c r="G2017" s="1" t="s">
        <v>35316</v>
      </c>
      <c r="H2017" s="1" t="s">
        <v>35317</v>
      </c>
      <c r="I2017" s="1" t="s">
        <v>35317</v>
      </c>
      <c r="J2017" s="1">
        <v>9400426300</v>
      </c>
      <c r="K2017" s="1" t="s">
        <v>84</v>
      </c>
      <c r="L2017" s="1" t="s">
        <v>34328</v>
      </c>
      <c r="M2017" s="1" t="s">
        <v>86</v>
      </c>
      <c r="N2017" s="1" t="s">
        <v>35318</v>
      </c>
      <c r="O2017" s="1" t="s">
        <v>35319</v>
      </c>
      <c r="P2017" s="1" t="s">
        <v>219</v>
      </c>
      <c r="Q2017" s="1" t="s">
        <v>35320</v>
      </c>
      <c r="R2017" s="1" t="s">
        <v>35321</v>
      </c>
      <c r="S2017" s="1">
        <v>9447796300</v>
      </c>
      <c r="T2017" s="1" t="s">
        <v>35322</v>
      </c>
      <c r="U2017" s="1" t="s">
        <v>35323</v>
      </c>
      <c r="V2017" s="1">
        <v>9446655660</v>
      </c>
      <c r="W2017" s="1" t="s">
        <v>7281</v>
      </c>
      <c r="X2017" s="1" t="s">
        <v>35324</v>
      </c>
      <c r="Y2017" s="1" t="s">
        <v>7679</v>
      </c>
      <c r="Z2017" s="1" t="s">
        <v>130</v>
      </c>
      <c r="AA2017" s="1" t="s">
        <v>35325</v>
      </c>
      <c r="AB2017" s="1" t="s">
        <v>196</v>
      </c>
      <c r="AC2017" s="1" t="s">
        <v>97</v>
      </c>
      <c r="AD2017" s="1" t="s">
        <v>98</v>
      </c>
      <c r="AE2017" s="1" t="s">
        <v>98</v>
      </c>
      <c r="AF2017" s="1" t="s">
        <v>35326</v>
      </c>
      <c r="AG2017" s="1" t="s">
        <v>703</v>
      </c>
      <c r="AH2017" s="1" t="s">
        <v>1110</v>
      </c>
      <c r="AI2017" s="1" t="s">
        <v>167</v>
      </c>
      <c r="AJ2017" s="1">
        <v>57.0</v>
      </c>
      <c r="AK2017" s="1">
        <v>6.0</v>
      </c>
      <c r="AL2017" s="1" t="s">
        <v>35326</v>
      </c>
      <c r="AM2017" s="1" t="s">
        <v>703</v>
      </c>
      <c r="AN2017" s="1"/>
      <c r="AO2017" s="1" t="s">
        <v>704</v>
      </c>
      <c r="AP2017" s="1" t="s">
        <v>171</v>
      </c>
      <c r="AQ2017" s="1">
        <v>73.4</v>
      </c>
      <c r="AR2017" s="1">
        <v>7.68</v>
      </c>
      <c r="AS2017" s="1"/>
      <c r="AT2017" s="1"/>
      <c r="AU2017" s="1"/>
      <c r="AV2017" s="1"/>
      <c r="AW2017" s="1"/>
      <c r="AX2017" s="1"/>
      <c r="AY2017" s="1" t="s">
        <v>35327</v>
      </c>
      <c r="AZ2017" s="1" t="s">
        <v>35328</v>
      </c>
      <c r="BA2017" s="1"/>
      <c r="BB2017" s="1"/>
      <c r="BC2017" s="1" t="s">
        <v>174</v>
      </c>
      <c r="BD2017" s="1" t="s">
        <v>871</v>
      </c>
      <c r="BE2017" s="1">
        <v>51.45</v>
      </c>
      <c r="BF2017" s="1"/>
      <c r="BG2017" s="1"/>
      <c r="BH2017" s="1"/>
      <c r="BI2017" s="1"/>
      <c r="BJ2017" s="1"/>
      <c r="BK2017" s="1"/>
      <c r="BL2017" s="1"/>
      <c r="BM2017" s="1"/>
      <c r="BN2017" s="1"/>
      <c r="BO2017" s="1" t="s">
        <v>35329</v>
      </c>
      <c r="BP2017" s="1"/>
      <c r="BQ2017" s="1"/>
      <c r="BR2017" s="1" t="s">
        <v>35330</v>
      </c>
      <c r="BS2017" s="1">
        <v>8</v>
      </c>
      <c r="BT2017" s="1"/>
      <c r="BU2017" s="1" t="str">
        <f>HYPERLINK("https://nconnect.nicmar.ac.in/storage/profile/6a210dbd65393.png","Download")</f>
        <v>0</v>
      </c>
      <c r="BV2017" s="3"/>
      <c r="BW2017" s="3"/>
    </row>
    <row r="2018" spans="1:75">
      <c r="A2018" s="1" t="s">
        <v>35074</v>
      </c>
      <c r="B2018" s="1" t="s">
        <v>76</v>
      </c>
      <c r="C2018" s="1" t="s">
        <v>35331</v>
      </c>
      <c r="D2018" s="1" t="s">
        <v>612</v>
      </c>
      <c r="E2018" s="1" t="s">
        <v>35332</v>
      </c>
      <c r="F2018" s="1" t="s">
        <v>8306</v>
      </c>
      <c r="G2018" s="1" t="s">
        <v>35333</v>
      </c>
      <c r="H2018" s="1" t="s">
        <v>35334</v>
      </c>
      <c r="I2018" s="1" t="s">
        <v>35334</v>
      </c>
      <c r="J2018" s="1">
        <v>9657894169</v>
      </c>
      <c r="K2018" s="1" t="s">
        <v>84</v>
      </c>
      <c r="L2018" s="1" t="s">
        <v>14503</v>
      </c>
      <c r="M2018" s="1" t="s">
        <v>86</v>
      </c>
      <c r="N2018" s="1" t="s">
        <v>16023</v>
      </c>
      <c r="O2018" s="1" t="s">
        <v>35335</v>
      </c>
      <c r="P2018" s="1" t="s">
        <v>356</v>
      </c>
      <c r="Q2018" s="1" t="s">
        <v>35336</v>
      </c>
      <c r="R2018" s="1" t="s">
        <v>35332</v>
      </c>
      <c r="S2018" s="1">
        <v>9623976715</v>
      </c>
      <c r="T2018" s="1" t="s">
        <v>1620</v>
      </c>
      <c r="U2018" s="1" t="s">
        <v>35337</v>
      </c>
      <c r="V2018" s="1">
        <v>9518536526</v>
      </c>
      <c r="W2018" s="1" t="s">
        <v>161</v>
      </c>
      <c r="X2018" s="1" t="s">
        <v>35338</v>
      </c>
      <c r="Y2018" s="1" t="s">
        <v>196</v>
      </c>
      <c r="Z2018" s="1" t="s">
        <v>97</v>
      </c>
      <c r="AA2018" s="1" t="s">
        <v>35338</v>
      </c>
      <c r="AB2018" s="1" t="s">
        <v>196</v>
      </c>
      <c r="AC2018" s="1" t="s">
        <v>97</v>
      </c>
      <c r="AD2018" s="1" t="s">
        <v>98</v>
      </c>
      <c r="AE2018" s="1" t="s">
        <v>98</v>
      </c>
      <c r="AF2018" s="1" t="s">
        <v>35339</v>
      </c>
      <c r="AG2018" s="1" t="s">
        <v>35340</v>
      </c>
      <c r="AH2018" s="1" t="s">
        <v>5442</v>
      </c>
      <c r="AI2018" s="1" t="s">
        <v>286</v>
      </c>
      <c r="AJ2018" s="1">
        <v>67.4</v>
      </c>
      <c r="AK2018" s="1">
        <v>7.09</v>
      </c>
      <c r="AL2018" s="1" t="s">
        <v>35341</v>
      </c>
      <c r="AM2018" s="1" t="s">
        <v>35342</v>
      </c>
      <c r="AN2018" s="1"/>
      <c r="AO2018" s="1" t="s">
        <v>364</v>
      </c>
      <c r="AP2018" s="1" t="s">
        <v>365</v>
      </c>
      <c r="AQ2018" s="1">
        <v>57.07</v>
      </c>
      <c r="AR2018" s="1">
        <v>6.01</v>
      </c>
      <c r="AS2018" s="1"/>
      <c r="AT2018" s="1"/>
      <c r="AU2018" s="1"/>
      <c r="AV2018" s="1"/>
      <c r="AW2018" s="1"/>
      <c r="AX2018" s="1"/>
      <c r="AY2018" s="1" t="s">
        <v>35343</v>
      </c>
      <c r="AZ2018" s="1" t="s">
        <v>35344</v>
      </c>
      <c r="BA2018" s="1"/>
      <c r="BB2018" s="1"/>
      <c r="BC2018" s="1" t="s">
        <v>890</v>
      </c>
      <c r="BD2018" s="1" t="s">
        <v>418</v>
      </c>
      <c r="BE2018" s="1">
        <v>70.9</v>
      </c>
      <c r="BF2018" s="1"/>
      <c r="BG2018" s="1"/>
      <c r="BH2018" s="1"/>
      <c r="BI2018" s="1"/>
      <c r="BJ2018" s="1"/>
      <c r="BK2018" s="1"/>
      <c r="BL2018" s="1"/>
      <c r="BM2018" s="1"/>
      <c r="BN2018" s="1"/>
      <c r="BO2018" s="1" t="s">
        <v>35345</v>
      </c>
      <c r="BP2018" s="1"/>
      <c r="BQ2018" s="1"/>
      <c r="BR2018" s="1" t="s">
        <v>35346</v>
      </c>
      <c r="BS2018" s="1">
        <v>8</v>
      </c>
      <c r="BT2018" s="1"/>
      <c r="BU2018" s="1" t="str">
        <f>HYPERLINK("https://nconnect.nicmar.ac.in/storage/profile/6a20fb7964b78.png","Download")</f>
        <v>0</v>
      </c>
      <c r="BV2018" s="3"/>
      <c r="BW2018" s="3"/>
    </row>
    <row r="2019" spans="1:75">
      <c r="A2019" s="1" t="s">
        <v>35074</v>
      </c>
      <c r="B2019" s="1" t="s">
        <v>76</v>
      </c>
      <c r="C2019" s="1" t="s">
        <v>35347</v>
      </c>
      <c r="D2019" s="1" t="s">
        <v>9134</v>
      </c>
      <c r="E2019" s="1"/>
      <c r="F2019" s="1" t="s">
        <v>20298</v>
      </c>
      <c r="G2019" s="1" t="s">
        <v>35348</v>
      </c>
      <c r="H2019" s="1" t="s">
        <v>35349</v>
      </c>
      <c r="I2019" s="1" t="s">
        <v>35350</v>
      </c>
      <c r="J2019" s="1">
        <v>7225044628</v>
      </c>
      <c r="K2019" s="1" t="s">
        <v>84</v>
      </c>
      <c r="L2019" s="1" t="s">
        <v>35351</v>
      </c>
      <c r="M2019" s="1" t="s">
        <v>86</v>
      </c>
      <c r="N2019" s="1" t="s">
        <v>35352</v>
      </c>
      <c r="O2019" s="1" t="s">
        <v>191</v>
      </c>
      <c r="P2019" s="1" t="s">
        <v>89</v>
      </c>
      <c r="Q2019" s="1" t="s">
        <v>35353</v>
      </c>
      <c r="R2019" s="1" t="s">
        <v>35354</v>
      </c>
      <c r="S2019" s="1">
        <v>9827235644</v>
      </c>
      <c r="T2019" s="1" t="s">
        <v>5639</v>
      </c>
      <c r="U2019" s="1" t="s">
        <v>35355</v>
      </c>
      <c r="V2019" s="1">
        <v>7869176502</v>
      </c>
      <c r="W2019" s="1" t="s">
        <v>278</v>
      </c>
      <c r="X2019" s="1" t="s">
        <v>35356</v>
      </c>
      <c r="Y2019" s="1" t="s">
        <v>7949</v>
      </c>
      <c r="Z2019" s="1" t="s">
        <v>3419</v>
      </c>
      <c r="AA2019" s="1" t="s">
        <v>35357</v>
      </c>
      <c r="AB2019" s="1" t="s">
        <v>196</v>
      </c>
      <c r="AC2019" s="1" t="s">
        <v>97</v>
      </c>
      <c r="AD2019" s="1" t="s">
        <v>98</v>
      </c>
      <c r="AE2019" s="1" t="s">
        <v>98</v>
      </c>
      <c r="AF2019" s="1" t="s">
        <v>35358</v>
      </c>
      <c r="AG2019" s="1" t="s">
        <v>775</v>
      </c>
      <c r="AH2019" s="1" t="s">
        <v>286</v>
      </c>
      <c r="AI2019" s="1" t="s">
        <v>313</v>
      </c>
      <c r="AJ2019" s="1">
        <v>65.2</v>
      </c>
      <c r="AK2019" s="1">
        <v>6.52</v>
      </c>
      <c r="AL2019" s="1" t="s">
        <v>35359</v>
      </c>
      <c r="AM2019" s="1" t="s">
        <v>775</v>
      </c>
      <c r="AN2019" s="1"/>
      <c r="AO2019" s="1" t="s">
        <v>603</v>
      </c>
      <c r="AP2019" s="1" t="s">
        <v>549</v>
      </c>
      <c r="AQ2019" s="1">
        <v>65.4</v>
      </c>
      <c r="AR2019" s="1">
        <v>6.54</v>
      </c>
      <c r="AS2019" s="1"/>
      <c r="AT2019" s="1"/>
      <c r="AU2019" s="1"/>
      <c r="AV2019" s="1"/>
      <c r="AW2019" s="1"/>
      <c r="AX2019" s="1"/>
      <c r="AY2019" s="1" t="s">
        <v>35360</v>
      </c>
      <c r="AZ2019" s="1" t="s">
        <v>35361</v>
      </c>
      <c r="BA2019" s="1"/>
      <c r="BB2019" s="1"/>
      <c r="BC2019" s="1" t="s">
        <v>441</v>
      </c>
      <c r="BD2019" s="1" t="s">
        <v>1242</v>
      </c>
      <c r="BE2019" s="1">
        <v>74.3</v>
      </c>
      <c r="BF2019" s="1">
        <v>7.43</v>
      </c>
      <c r="BG2019" s="1"/>
      <c r="BH2019" s="1"/>
      <c r="BI2019" s="1"/>
      <c r="BJ2019" s="1"/>
      <c r="BK2019" s="1"/>
      <c r="BL2019" s="1"/>
      <c r="BM2019" s="1"/>
      <c r="BN2019" s="1"/>
      <c r="BO2019" s="1" t="s">
        <v>35362</v>
      </c>
      <c r="BP2019" s="1" t="s">
        <v>35363</v>
      </c>
      <c r="BQ2019" s="1" t="s">
        <v>7478</v>
      </c>
      <c r="BR2019" s="1"/>
      <c r="BS2019" s="1"/>
      <c r="BT2019" s="1"/>
      <c r="BU2019" s="1" t="str">
        <f>HYPERLINK("https://nconnect.nicmar.ac.in/storage/profile/6a2011a6456bc.png","Download")</f>
        <v>0</v>
      </c>
      <c r="BV2019" s="3"/>
      <c r="BW2019" s="3"/>
    </row>
    <row r="2020" spans="1:75">
      <c r="A2020" s="1" t="s">
        <v>35074</v>
      </c>
      <c r="B2020" s="1" t="s">
        <v>76</v>
      </c>
      <c r="C2020" s="1" t="s">
        <v>35364</v>
      </c>
      <c r="D2020" s="1" t="s">
        <v>422</v>
      </c>
      <c r="E2020" s="1" t="s">
        <v>35365</v>
      </c>
      <c r="F2020" s="1" t="s">
        <v>11697</v>
      </c>
      <c r="G2020" s="1" t="s">
        <v>35366</v>
      </c>
      <c r="H2020" s="1" t="s">
        <v>35367</v>
      </c>
      <c r="I2020" s="1" t="s">
        <v>35368</v>
      </c>
      <c r="J2020" s="1">
        <v>9370886566</v>
      </c>
      <c r="K2020" s="1" t="s">
        <v>153</v>
      </c>
      <c r="L2020" s="1" t="s">
        <v>11527</v>
      </c>
      <c r="M2020" s="1" t="s">
        <v>86</v>
      </c>
      <c r="N2020" s="1" t="s">
        <v>35369</v>
      </c>
      <c r="O2020" s="1" t="s">
        <v>35370</v>
      </c>
      <c r="P2020" s="1" t="s">
        <v>89</v>
      </c>
      <c r="Q2020" s="1" t="s">
        <v>35371</v>
      </c>
      <c r="R2020" s="1" t="s">
        <v>35365</v>
      </c>
      <c r="S2020" s="1">
        <v>7796383131</v>
      </c>
      <c r="T2020" s="1" t="s">
        <v>926</v>
      </c>
      <c r="U2020" s="1" t="s">
        <v>5400</v>
      </c>
      <c r="V2020" s="1">
        <v>9172768838</v>
      </c>
      <c r="W2020" s="1" t="s">
        <v>16484</v>
      </c>
      <c r="X2020" s="1" t="s">
        <v>35372</v>
      </c>
      <c r="Y2020" s="1" t="s">
        <v>96</v>
      </c>
      <c r="Z2020" s="1" t="s">
        <v>97</v>
      </c>
      <c r="AA2020" s="1" t="s">
        <v>35372</v>
      </c>
      <c r="AB2020" s="1" t="s">
        <v>96</v>
      </c>
      <c r="AC2020" s="1" t="s">
        <v>97</v>
      </c>
      <c r="AD2020" s="1" t="s">
        <v>98</v>
      </c>
      <c r="AE2020" s="1" t="s">
        <v>98</v>
      </c>
      <c r="AF2020" s="1" t="s">
        <v>35373</v>
      </c>
      <c r="AG2020" s="1" t="s">
        <v>35374</v>
      </c>
      <c r="AH2020" s="1" t="s">
        <v>170</v>
      </c>
      <c r="AI2020" s="1" t="s">
        <v>106</v>
      </c>
      <c r="AJ2020" s="1">
        <v>87</v>
      </c>
      <c r="AK2020" s="1"/>
      <c r="AL2020" s="1" t="s">
        <v>35375</v>
      </c>
      <c r="AM2020" s="1" t="s">
        <v>35374</v>
      </c>
      <c r="AN2020" s="1"/>
      <c r="AO2020" s="1" t="s">
        <v>438</v>
      </c>
      <c r="AP2020" s="1" t="s">
        <v>417</v>
      </c>
      <c r="AQ2020" s="1">
        <v>81.08</v>
      </c>
      <c r="AR2020" s="1"/>
      <c r="AS2020" s="1"/>
      <c r="AT2020" s="1"/>
      <c r="AU2020" s="1"/>
      <c r="AV2020" s="1"/>
      <c r="AW2020" s="1"/>
      <c r="AX2020" s="1"/>
      <c r="AY2020" s="1" t="s">
        <v>204</v>
      </c>
      <c r="AZ2020" s="1" t="s">
        <v>35376</v>
      </c>
      <c r="BA2020" s="1"/>
      <c r="BB2020" s="1"/>
      <c r="BC2020" s="1" t="s">
        <v>178</v>
      </c>
      <c r="BD2020" s="1" t="s">
        <v>391</v>
      </c>
      <c r="BE2020" s="1">
        <v>68.28</v>
      </c>
      <c r="BF2020" s="1">
        <v>8.25</v>
      </c>
      <c r="BG2020" s="1"/>
      <c r="BH2020" s="1"/>
      <c r="BI2020" s="1"/>
      <c r="BJ2020" s="1"/>
      <c r="BK2020" s="1"/>
      <c r="BL2020" s="1"/>
      <c r="BM2020" s="1"/>
      <c r="BN2020" s="1"/>
      <c r="BO2020" s="1" t="s">
        <v>35377</v>
      </c>
      <c r="BP2020" s="1"/>
      <c r="BQ2020" s="1"/>
      <c r="BR2020" s="1" t="s">
        <v>35378</v>
      </c>
      <c r="BS2020" s="1">
        <v>16</v>
      </c>
      <c r="BT2020" s="1"/>
      <c r="BU2020" s="1" t="str">
        <f>HYPERLINK("https://nconnect.nicmar.ac.in/storage/profile/6a20041f0beae.png","Download")</f>
        <v>0</v>
      </c>
      <c r="BV2020" s="3"/>
      <c r="BW2020" s="3"/>
    </row>
    <row r="2021" spans="1:75">
      <c r="A2021" s="1" t="s">
        <v>35379</v>
      </c>
      <c r="B2021" s="1" t="s">
        <v>76</v>
      </c>
      <c r="C2021" s="1" t="s">
        <v>35380</v>
      </c>
      <c r="D2021" s="1" t="s">
        <v>35381</v>
      </c>
      <c r="E2021" s="1" t="s">
        <v>3041</v>
      </c>
      <c r="F2021" s="1" t="s">
        <v>8974</v>
      </c>
      <c r="G2021" s="1" t="s">
        <v>35382</v>
      </c>
      <c r="H2021" s="1" t="s">
        <v>35383</v>
      </c>
      <c r="I2021" s="1" t="s">
        <v>35383</v>
      </c>
      <c r="J2021" s="1">
        <v>9021085985</v>
      </c>
      <c r="K2021" s="1" t="s">
        <v>153</v>
      </c>
      <c r="L2021" s="1" t="s">
        <v>14368</v>
      </c>
      <c r="M2021" s="1" t="s">
        <v>86</v>
      </c>
      <c r="N2021" s="1" t="s">
        <v>355</v>
      </c>
      <c r="O2021" s="1" t="s">
        <v>157</v>
      </c>
      <c r="P2021" s="1" t="s">
        <v>122</v>
      </c>
      <c r="Q2021" s="1" t="s">
        <v>35384</v>
      </c>
      <c r="R2021" s="1" t="s">
        <v>8974</v>
      </c>
      <c r="S2021" s="1">
        <v>9834988464</v>
      </c>
      <c r="T2021" s="1" t="s">
        <v>2375</v>
      </c>
      <c r="U2021" s="1" t="s">
        <v>2240</v>
      </c>
      <c r="V2021" s="1">
        <v>9604687811</v>
      </c>
      <c r="W2021" s="1" t="s">
        <v>161</v>
      </c>
      <c r="X2021" s="1" t="s">
        <v>35385</v>
      </c>
      <c r="Y2021" s="1" t="s">
        <v>224</v>
      </c>
      <c r="Z2021" s="1" t="s">
        <v>97</v>
      </c>
      <c r="AA2021" s="1" t="s">
        <v>35385</v>
      </c>
      <c r="AB2021" s="1" t="s">
        <v>224</v>
      </c>
      <c r="AC2021" s="1" t="s">
        <v>97</v>
      </c>
      <c r="AD2021" s="1" t="s">
        <v>98</v>
      </c>
      <c r="AE2021" s="1" t="s">
        <v>98</v>
      </c>
      <c r="AF2021" s="1" t="s">
        <v>35386</v>
      </c>
      <c r="AG2021" s="1" t="s">
        <v>1968</v>
      </c>
      <c r="AH2021" s="1" t="s">
        <v>166</v>
      </c>
      <c r="AI2021" s="1" t="s">
        <v>284</v>
      </c>
      <c r="AJ2021" s="1">
        <v>89.2</v>
      </c>
      <c r="AK2021" s="1"/>
      <c r="AL2021" s="1" t="s">
        <v>35386</v>
      </c>
      <c r="AM2021" s="1" t="s">
        <v>1968</v>
      </c>
      <c r="AN2021" s="1"/>
      <c r="AO2021" s="1" t="s">
        <v>170</v>
      </c>
      <c r="AP2021" s="1" t="s">
        <v>171</v>
      </c>
      <c r="AQ2021" s="1">
        <v>71.38</v>
      </c>
      <c r="AR2021" s="1"/>
      <c r="AS2021" s="1"/>
      <c r="AT2021" s="1"/>
      <c r="AU2021" s="1"/>
      <c r="AV2021" s="1"/>
      <c r="AW2021" s="1"/>
      <c r="AX2021" s="1"/>
      <c r="AY2021" s="1" t="s">
        <v>415</v>
      </c>
      <c r="AZ2021" s="1" t="s">
        <v>35387</v>
      </c>
      <c r="BA2021" s="1"/>
      <c r="BB2021" s="1"/>
      <c r="BC2021" s="1" t="s">
        <v>106</v>
      </c>
      <c r="BD2021" s="1" t="s">
        <v>234</v>
      </c>
      <c r="BE2021" s="1">
        <v>66.5</v>
      </c>
      <c r="BF2021" s="1">
        <v>7.4</v>
      </c>
      <c r="BG2021" s="1"/>
      <c r="BH2021" s="1"/>
      <c r="BI2021" s="1"/>
      <c r="BJ2021" s="1"/>
      <c r="BK2021" s="1"/>
      <c r="BL2021" s="1"/>
      <c r="BM2021" s="1"/>
      <c r="BN2021" s="1"/>
      <c r="BO2021" s="1" t="s">
        <v>35388</v>
      </c>
      <c r="BP2021" s="1"/>
      <c r="BQ2021" s="1"/>
      <c r="BR2021" s="1" t="s">
        <v>35389</v>
      </c>
      <c r="BS2021" s="1">
        <v>47</v>
      </c>
      <c r="BT2021" s="1" t="s">
        <v>35390</v>
      </c>
      <c r="BU2021" s="1" t="str">
        <f>HYPERLINK("https://nconnect.nicmar.ac.in/storage/profile/6a26636e35111.png","Download")</f>
        <v>0</v>
      </c>
      <c r="BV2021" s="3"/>
      <c r="BW2021" s="3"/>
    </row>
    <row r="2022" spans="1:75">
      <c r="A2022" s="1" t="s">
        <v>35379</v>
      </c>
      <c r="B2022" s="1" t="s">
        <v>76</v>
      </c>
      <c r="C2022" s="1" t="s">
        <v>35391</v>
      </c>
      <c r="D2022" s="1" t="s">
        <v>35392</v>
      </c>
      <c r="E2022" s="1" t="s">
        <v>35393</v>
      </c>
      <c r="F2022" s="1" t="s">
        <v>35394</v>
      </c>
      <c r="G2022" s="1" t="s">
        <v>35395</v>
      </c>
      <c r="H2022" s="1" t="s">
        <v>35396</v>
      </c>
      <c r="I2022" s="1" t="s">
        <v>35396</v>
      </c>
      <c r="J2022" s="1">
        <v>8082397000</v>
      </c>
      <c r="K2022" s="1" t="s">
        <v>153</v>
      </c>
      <c r="L2022" s="1">
        <v>36064</v>
      </c>
      <c r="M2022" s="1" t="s">
        <v>86</v>
      </c>
      <c r="N2022" s="1" t="s">
        <v>8293</v>
      </c>
      <c r="O2022" s="1" t="s">
        <v>157</v>
      </c>
      <c r="P2022" s="1" t="s">
        <v>219</v>
      </c>
      <c r="Q2022" s="1" t="s">
        <v>35397</v>
      </c>
      <c r="R2022" s="1" t="s">
        <v>35393</v>
      </c>
      <c r="S2022" s="1">
        <v>9821941916</v>
      </c>
      <c r="T2022" s="1" t="s">
        <v>35398</v>
      </c>
      <c r="U2022" s="1" t="s">
        <v>35399</v>
      </c>
      <c r="V2022" s="1">
        <v>9967373939</v>
      </c>
      <c r="W2022" s="1" t="s">
        <v>5270</v>
      </c>
      <c r="X2022" s="1" t="s">
        <v>35400</v>
      </c>
      <c r="Y2022" s="1" t="s">
        <v>1882</v>
      </c>
      <c r="Z2022" s="1" t="s">
        <v>97</v>
      </c>
      <c r="AA2022" s="1" t="s">
        <v>35400</v>
      </c>
      <c r="AB2022" s="1" t="s">
        <v>1882</v>
      </c>
      <c r="AC2022" s="1" t="s">
        <v>97</v>
      </c>
      <c r="AD2022" s="1" t="s">
        <v>98</v>
      </c>
      <c r="AE2022" s="1" t="s">
        <v>98</v>
      </c>
      <c r="AF2022" s="1" t="s">
        <v>35401</v>
      </c>
      <c r="AG2022" s="1" t="s">
        <v>10628</v>
      </c>
      <c r="AH2022" s="1" t="s">
        <v>1213</v>
      </c>
      <c r="AI2022" s="1" t="s">
        <v>515</v>
      </c>
      <c r="AJ2022" s="1">
        <v>75.8</v>
      </c>
      <c r="AK2022" s="1"/>
      <c r="AL2022" s="1" t="s">
        <v>35402</v>
      </c>
      <c r="AM2022" s="1" t="s">
        <v>10628</v>
      </c>
      <c r="AN2022" s="1"/>
      <c r="AO2022" s="1" t="s">
        <v>166</v>
      </c>
      <c r="AP2022" s="1" t="s">
        <v>517</v>
      </c>
      <c r="AQ2022" s="1">
        <v>58.0</v>
      </c>
      <c r="AR2022" s="1"/>
      <c r="AS2022" s="1"/>
      <c r="AT2022" s="1"/>
      <c r="AU2022" s="1"/>
      <c r="AV2022" s="1"/>
      <c r="AW2022" s="1"/>
      <c r="AX2022" s="1"/>
      <c r="AY2022" s="1" t="s">
        <v>35403</v>
      </c>
      <c r="AZ2022" s="1" t="s">
        <v>35403</v>
      </c>
      <c r="BA2022" s="1"/>
      <c r="BB2022" s="1"/>
      <c r="BC2022" s="1" t="s">
        <v>167</v>
      </c>
      <c r="BD2022" s="1" t="s">
        <v>632</v>
      </c>
      <c r="BE2022" s="1">
        <v>78.3</v>
      </c>
      <c r="BF2022" s="1">
        <v>7.83</v>
      </c>
      <c r="BG2022" s="1"/>
      <c r="BH2022" s="1"/>
      <c r="BI2022" s="1"/>
      <c r="BJ2022" s="1"/>
      <c r="BK2022" s="1"/>
      <c r="BL2022" s="1"/>
      <c r="BM2022" s="1"/>
      <c r="BN2022" s="1"/>
      <c r="BO2022" s="1" t="s">
        <v>35404</v>
      </c>
      <c r="BP2022" s="1"/>
      <c r="BQ2022" s="1"/>
      <c r="BR2022" s="1" t="s">
        <v>35405</v>
      </c>
      <c r="BS2022" s="1">
        <v>113</v>
      </c>
      <c r="BT2022" s="1" t="s">
        <v>35406</v>
      </c>
      <c r="BU2022" s="1" t="str">
        <f>HYPERLINK("https://nconnect.nicmar.ac.in/storage/profile/6a266895a2273.png","Download")</f>
        <v>0</v>
      </c>
      <c r="BV2022" s="3"/>
      <c r="BW2022" s="3"/>
    </row>
    <row r="2023" spans="1:75">
      <c r="A2023" s="1" t="s">
        <v>35379</v>
      </c>
      <c r="B2023" s="1" t="s">
        <v>76</v>
      </c>
      <c r="C2023" s="1" t="s">
        <v>35407</v>
      </c>
      <c r="D2023" s="1" t="s">
        <v>35408</v>
      </c>
      <c r="E2023" s="1" t="s">
        <v>12505</v>
      </c>
      <c r="F2023" s="1" t="s">
        <v>13584</v>
      </c>
      <c r="G2023" s="1" t="s">
        <v>35409</v>
      </c>
      <c r="H2023" s="1" t="s">
        <v>35410</v>
      </c>
      <c r="I2023" s="1" t="s">
        <v>35410</v>
      </c>
      <c r="J2023" s="1">
        <v>9920703205</v>
      </c>
      <c r="K2023" s="1" t="s">
        <v>84</v>
      </c>
      <c r="L2023" s="1" t="s">
        <v>20605</v>
      </c>
      <c r="M2023" s="1" t="s">
        <v>86</v>
      </c>
      <c r="N2023" s="1" t="s">
        <v>355</v>
      </c>
      <c r="O2023" s="1" t="s">
        <v>157</v>
      </c>
      <c r="P2023" s="1" t="s">
        <v>122</v>
      </c>
      <c r="Q2023" s="1" t="s">
        <v>35411</v>
      </c>
      <c r="R2023" s="1" t="s">
        <v>35412</v>
      </c>
      <c r="S2023" s="1">
        <v>9769239210</v>
      </c>
      <c r="T2023" s="1" t="s">
        <v>645</v>
      </c>
      <c r="U2023" s="1" t="s">
        <v>35413</v>
      </c>
      <c r="V2023" s="1">
        <v>9326108014</v>
      </c>
      <c r="W2023" s="1" t="s">
        <v>161</v>
      </c>
      <c r="X2023" s="1" t="s">
        <v>35414</v>
      </c>
      <c r="Y2023" s="1" t="s">
        <v>1189</v>
      </c>
      <c r="Z2023" s="1" t="s">
        <v>97</v>
      </c>
      <c r="AA2023" s="1" t="s">
        <v>35415</v>
      </c>
      <c r="AB2023" s="1" t="s">
        <v>196</v>
      </c>
      <c r="AC2023" s="1" t="s">
        <v>97</v>
      </c>
      <c r="AD2023" s="1" t="s">
        <v>98</v>
      </c>
      <c r="AE2023" s="1" t="s">
        <v>98</v>
      </c>
      <c r="AF2023" s="1" t="s">
        <v>13610</v>
      </c>
      <c r="AG2023" s="1" t="s">
        <v>35416</v>
      </c>
      <c r="AH2023" s="1" t="s">
        <v>166</v>
      </c>
      <c r="AI2023" s="1" t="s">
        <v>627</v>
      </c>
      <c r="AJ2023" s="1">
        <v>64.6</v>
      </c>
      <c r="AK2023" s="1"/>
      <c r="AL2023" s="1" t="s">
        <v>35417</v>
      </c>
      <c r="AM2023" s="1" t="s">
        <v>35418</v>
      </c>
      <c r="AN2023" s="1"/>
      <c r="AO2023" s="1" t="s">
        <v>139</v>
      </c>
      <c r="AP2023" s="1" t="s">
        <v>171</v>
      </c>
      <c r="AQ2023" s="1">
        <v>63.23</v>
      </c>
      <c r="AR2023" s="1"/>
      <c r="AS2023" s="1"/>
      <c r="AT2023" s="1"/>
      <c r="AU2023" s="1"/>
      <c r="AV2023" s="1"/>
      <c r="AW2023" s="1"/>
      <c r="AX2023" s="1"/>
      <c r="AY2023" s="1" t="s">
        <v>680</v>
      </c>
      <c r="AZ2023" s="1" t="s">
        <v>35419</v>
      </c>
      <c r="BA2023" s="1"/>
      <c r="BB2023" s="1"/>
      <c r="BC2023" s="1" t="s">
        <v>1065</v>
      </c>
      <c r="BD2023" s="1" t="s">
        <v>110</v>
      </c>
      <c r="BE2023" s="1">
        <v>65.99</v>
      </c>
      <c r="BF2023" s="1">
        <v>7.32</v>
      </c>
      <c r="BG2023" s="1"/>
      <c r="BH2023" s="1"/>
      <c r="BI2023" s="1"/>
      <c r="BJ2023" s="1"/>
      <c r="BK2023" s="1"/>
      <c r="BL2023" s="1"/>
      <c r="BM2023" s="1"/>
      <c r="BN2023" s="1"/>
      <c r="BO2023" s="1" t="s">
        <v>35420</v>
      </c>
      <c r="BP2023" s="1" t="s">
        <v>35421</v>
      </c>
      <c r="BQ2023" s="1" t="s">
        <v>2245</v>
      </c>
      <c r="BR2023" s="1" t="s">
        <v>35422</v>
      </c>
      <c r="BS2023" s="1">
        <v>26</v>
      </c>
      <c r="BT2023" s="1" t="s">
        <v>35423</v>
      </c>
      <c r="BU2023" s="1" t="str">
        <f>HYPERLINK("https://nconnect.nicmar.ac.in/storage/profile/6a2678a2bf61d.png","Download")</f>
        <v>0</v>
      </c>
      <c r="BV2023" s="3"/>
      <c r="BW2023" s="3"/>
    </row>
    <row r="2024" spans="1:75">
      <c r="A2024" s="1" t="s">
        <v>35379</v>
      </c>
      <c r="B2024" s="1" t="s">
        <v>76</v>
      </c>
      <c r="C2024" s="1" t="s">
        <v>35424</v>
      </c>
      <c r="D2024" s="1" t="s">
        <v>26684</v>
      </c>
      <c r="E2024" s="1" t="s">
        <v>5940</v>
      </c>
      <c r="F2024" s="1" t="s">
        <v>35425</v>
      </c>
      <c r="G2024" s="1" t="s">
        <v>35426</v>
      </c>
      <c r="H2024" s="1" t="s">
        <v>35427</v>
      </c>
      <c r="I2024" s="1" t="s">
        <v>35427</v>
      </c>
      <c r="J2024" s="1">
        <v>9834322028</v>
      </c>
      <c r="K2024" s="1" t="s">
        <v>153</v>
      </c>
      <c r="L2024" s="1" t="s">
        <v>20886</v>
      </c>
      <c r="M2024" s="1"/>
      <c r="N2024" s="1"/>
      <c r="O2024" s="1"/>
      <c r="P2024" s="1"/>
      <c r="Q2024" s="1"/>
      <c r="R2024" s="1"/>
      <c r="S2024" s="1"/>
      <c r="T2024" s="1"/>
      <c r="U2024" s="1"/>
      <c r="V2024" s="1"/>
      <c r="W2024" s="1"/>
      <c r="X2024" s="1"/>
      <c r="Y2024" s="1"/>
      <c r="Z2024" s="1"/>
      <c r="AA2024" s="1"/>
      <c r="AB2024" s="1"/>
      <c r="AC2024" s="1"/>
      <c r="AD2024" s="1" t="s">
        <v>98</v>
      </c>
      <c r="AE2024" s="1" t="s">
        <v>98</v>
      </c>
      <c r="AF2024" s="1"/>
      <c r="AG2024" s="1"/>
      <c r="AH2024" s="1"/>
      <c r="AI2024" s="1"/>
      <c r="AJ2024" s="1"/>
      <c r="AK2024" s="1"/>
      <c r="AL2024" s="1"/>
      <c r="AM2024" s="1"/>
      <c r="AN2024" s="1"/>
      <c r="AO2024" s="1"/>
      <c r="AP2024" s="1"/>
      <c r="AQ2024" s="1"/>
      <c r="AR2024" s="1"/>
      <c r="AS2024" s="1"/>
      <c r="AT2024" s="1"/>
      <c r="AU2024" s="1"/>
      <c r="AV2024" s="1"/>
      <c r="AW2024" s="1"/>
      <c r="AX2024" s="1"/>
      <c r="AY2024" s="1"/>
      <c r="AZ2024" s="1"/>
      <c r="BA2024" s="1"/>
      <c r="BB2024" s="1"/>
      <c r="BC2024" s="1"/>
      <c r="BD2024" s="1"/>
      <c r="BE2024" s="1"/>
      <c r="BF2024" s="1"/>
      <c r="BG2024" s="1"/>
      <c r="BH2024" s="1"/>
      <c r="BI2024" s="1"/>
      <c r="BJ2024" s="1"/>
      <c r="BK2024" s="1"/>
      <c r="BL2024" s="1"/>
      <c r="BM2024" s="1"/>
      <c r="BN2024" s="1"/>
      <c r="BO2024" s="1"/>
      <c r="BP2024" s="1"/>
      <c r="BQ2024" s="1"/>
      <c r="BR2024" s="1"/>
      <c r="BS2024" s="1"/>
      <c r="BT2024" s="1"/>
      <c r="BU2024" s="1" t="s">
        <v>9653</v>
      </c>
      <c r="BV2024" s="3"/>
      <c r="BW2024" s="3"/>
    </row>
    <row r="2025" spans="1:75">
      <c r="A2025" s="1" t="s">
        <v>35379</v>
      </c>
      <c r="B2025" s="1" t="s">
        <v>76</v>
      </c>
      <c r="C2025" s="1" t="s">
        <v>35428</v>
      </c>
      <c r="D2025" s="1" t="s">
        <v>5482</v>
      </c>
      <c r="E2025" s="1" t="s">
        <v>35429</v>
      </c>
      <c r="F2025" s="1" t="s">
        <v>35430</v>
      </c>
      <c r="G2025" s="1" t="s">
        <v>35431</v>
      </c>
      <c r="H2025" s="1" t="s">
        <v>35432</v>
      </c>
      <c r="I2025" s="1" t="s">
        <v>35433</v>
      </c>
      <c r="J2025" s="1">
        <v>9075441883</v>
      </c>
      <c r="K2025" s="1" t="s">
        <v>84</v>
      </c>
      <c r="L2025" s="1" t="s">
        <v>14950</v>
      </c>
      <c r="M2025" s="1" t="s">
        <v>86</v>
      </c>
      <c r="N2025" s="1" t="s">
        <v>17803</v>
      </c>
      <c r="O2025" s="1" t="s">
        <v>191</v>
      </c>
      <c r="P2025" s="1" t="s">
        <v>219</v>
      </c>
      <c r="Q2025" s="1" t="s">
        <v>35434</v>
      </c>
      <c r="R2025" s="1" t="s">
        <v>35429</v>
      </c>
      <c r="S2025" s="1">
        <v>9011077658</v>
      </c>
      <c r="T2025" s="1" t="s">
        <v>1552</v>
      </c>
      <c r="U2025" s="1" t="s">
        <v>2240</v>
      </c>
      <c r="V2025" s="1">
        <v>8975759735</v>
      </c>
      <c r="W2025" s="1" t="s">
        <v>161</v>
      </c>
      <c r="X2025" s="1" t="s">
        <v>35435</v>
      </c>
      <c r="Y2025" s="1" t="s">
        <v>196</v>
      </c>
      <c r="Z2025" s="1" t="s">
        <v>97</v>
      </c>
      <c r="AA2025" s="1" t="s">
        <v>35435</v>
      </c>
      <c r="AB2025" s="1" t="s">
        <v>196</v>
      </c>
      <c r="AC2025" s="1" t="s">
        <v>97</v>
      </c>
      <c r="AD2025" s="1" t="s">
        <v>98</v>
      </c>
      <c r="AE2025" s="1" t="s">
        <v>98</v>
      </c>
      <c r="AF2025" s="1" t="s">
        <v>35436</v>
      </c>
      <c r="AG2025" s="1" t="s">
        <v>629</v>
      </c>
      <c r="AH2025" s="1" t="s">
        <v>102</v>
      </c>
      <c r="AI2025" s="1" t="s">
        <v>286</v>
      </c>
      <c r="AJ2025" s="1">
        <v>91</v>
      </c>
      <c r="AK2025" s="1"/>
      <c r="AL2025" s="1"/>
      <c r="AM2025" s="1"/>
      <c r="AN2025" s="1"/>
      <c r="AO2025" s="1"/>
      <c r="AP2025" s="1"/>
      <c r="AQ2025" s="1"/>
      <c r="AR2025" s="1"/>
      <c r="AS2025" s="1" t="s">
        <v>103</v>
      </c>
      <c r="AT2025" s="1" t="s">
        <v>35437</v>
      </c>
      <c r="AU2025" s="1" t="s">
        <v>1065</v>
      </c>
      <c r="AV2025" s="1" t="s">
        <v>552</v>
      </c>
      <c r="AW2025" s="1">
        <v>86.93</v>
      </c>
      <c r="AX2025" s="1"/>
      <c r="AY2025" s="1" t="s">
        <v>35438</v>
      </c>
      <c r="AZ2025" s="1" t="s">
        <v>35439</v>
      </c>
      <c r="BA2025" s="1"/>
      <c r="BB2025" s="1"/>
      <c r="BC2025" s="1" t="s">
        <v>871</v>
      </c>
      <c r="BD2025" s="1" t="s">
        <v>207</v>
      </c>
      <c r="BE2025" s="1">
        <v>71.4</v>
      </c>
      <c r="BF2025" s="1">
        <v>7.89</v>
      </c>
      <c r="BG2025" s="1"/>
      <c r="BH2025" s="1"/>
      <c r="BI2025" s="1"/>
      <c r="BJ2025" s="1"/>
      <c r="BK2025" s="1"/>
      <c r="BL2025" s="1"/>
      <c r="BM2025" s="1"/>
      <c r="BN2025" s="1"/>
      <c r="BO2025" s="1" t="s">
        <v>35440</v>
      </c>
      <c r="BP2025" s="1"/>
      <c r="BQ2025" s="1"/>
      <c r="BR2025" s="1" t="s">
        <v>35441</v>
      </c>
      <c r="BS2025" s="1">
        <v>8</v>
      </c>
      <c r="BT2025" s="1"/>
      <c r="BU2025" s="1" t="str">
        <f>HYPERLINK("https://nconnect.nicmar.ac.in/storage/profile/6a2685caa33b5.png","Download")</f>
        <v>0</v>
      </c>
      <c r="BV2025" s="3"/>
      <c r="BW2025" s="3"/>
    </row>
    <row r="2026" spans="1:75">
      <c r="A2026" s="1" t="s">
        <v>35379</v>
      </c>
      <c r="B2026" s="1" t="s">
        <v>76</v>
      </c>
      <c r="C2026" s="1" t="s">
        <v>35442</v>
      </c>
      <c r="D2026" s="1" t="s">
        <v>8066</v>
      </c>
      <c r="E2026" s="1" t="s">
        <v>35443</v>
      </c>
      <c r="F2026" s="1" t="s">
        <v>35444</v>
      </c>
      <c r="G2026" s="1" t="s">
        <v>35445</v>
      </c>
      <c r="H2026" s="1" t="s">
        <v>35446</v>
      </c>
      <c r="I2026" s="1" t="s">
        <v>35446</v>
      </c>
      <c r="J2026" s="1">
        <v>6281056137</v>
      </c>
      <c r="K2026" s="1" t="s">
        <v>153</v>
      </c>
      <c r="L2026" s="1" t="s">
        <v>5487</v>
      </c>
      <c r="M2026" s="1"/>
      <c r="N2026" s="1"/>
      <c r="O2026" s="1"/>
      <c r="P2026" s="1"/>
      <c r="Q2026" s="1"/>
      <c r="R2026" s="1"/>
      <c r="S2026" s="1"/>
      <c r="T2026" s="1"/>
      <c r="U2026" s="1"/>
      <c r="V2026" s="1"/>
      <c r="W2026" s="1"/>
      <c r="X2026" s="1"/>
      <c r="Y2026" s="1"/>
      <c r="Z2026" s="1"/>
      <c r="AA2026" s="1"/>
      <c r="AB2026" s="1"/>
      <c r="AC2026" s="1"/>
      <c r="AD2026" s="1" t="s">
        <v>98</v>
      </c>
      <c r="AE2026" s="1" t="s">
        <v>98</v>
      </c>
      <c r="AF2026" s="1" t="s">
        <v>35447</v>
      </c>
      <c r="AG2026" s="1" t="s">
        <v>3592</v>
      </c>
      <c r="AH2026" s="1" t="s">
        <v>167</v>
      </c>
      <c r="AI2026" s="1" t="s">
        <v>573</v>
      </c>
      <c r="AJ2026" s="1">
        <v>85.5</v>
      </c>
      <c r="AK2026" s="1">
        <v>9</v>
      </c>
      <c r="AL2026" s="1" t="s">
        <v>3033</v>
      </c>
      <c r="AM2026" s="1" t="s">
        <v>3034</v>
      </c>
      <c r="AN2026" s="1"/>
      <c r="AO2026" s="1" t="s">
        <v>170</v>
      </c>
      <c r="AP2026" s="1" t="s">
        <v>547</v>
      </c>
      <c r="AQ2026" s="1">
        <v>94.6</v>
      </c>
      <c r="AR2026" s="1"/>
      <c r="AS2026" s="1"/>
      <c r="AT2026" s="1"/>
      <c r="AU2026" s="1"/>
      <c r="AV2026" s="1"/>
      <c r="AW2026" s="1"/>
      <c r="AX2026" s="1"/>
      <c r="AY2026" s="1" t="s">
        <v>27266</v>
      </c>
      <c r="AZ2026" s="1" t="s">
        <v>35448</v>
      </c>
      <c r="BA2026" s="1"/>
      <c r="BB2026" s="1"/>
      <c r="BC2026" s="1" t="s">
        <v>206</v>
      </c>
      <c r="BD2026" s="1" t="s">
        <v>179</v>
      </c>
      <c r="BE2026" s="1">
        <v>82.27</v>
      </c>
      <c r="BF2026" s="1">
        <v>8.57</v>
      </c>
      <c r="BG2026" s="1"/>
      <c r="BH2026" s="1"/>
      <c r="BI2026" s="1"/>
      <c r="BJ2026" s="1"/>
      <c r="BK2026" s="1"/>
      <c r="BL2026" s="1"/>
      <c r="BM2026" s="1"/>
      <c r="BN2026" s="1"/>
      <c r="BO2026" s="1" t="s">
        <v>35449</v>
      </c>
      <c r="BP2026" s="1"/>
      <c r="BQ2026" s="1"/>
      <c r="BR2026" s="1" t="s">
        <v>35450</v>
      </c>
      <c r="BS2026" s="1">
        <v>27</v>
      </c>
      <c r="BT2026" s="1"/>
      <c r="BU2026" s="1" t="str">
        <f>HYPERLINK("https://nconnect.nicmar.ac.in/storage/profile/6a267e16ddcdb.png","Download")</f>
        <v>0</v>
      </c>
      <c r="BV2026" s="3"/>
      <c r="BW2026" s="3"/>
    </row>
    <row r="2027" spans="1:75">
      <c r="A2027" s="1" t="s">
        <v>35379</v>
      </c>
      <c r="B2027" s="1" t="s">
        <v>76</v>
      </c>
      <c r="C2027" s="1" t="s">
        <v>35451</v>
      </c>
      <c r="D2027" s="1" t="s">
        <v>6471</v>
      </c>
      <c r="E2027" s="1" t="s">
        <v>8253</v>
      </c>
      <c r="F2027" s="1" t="s">
        <v>116</v>
      </c>
      <c r="G2027" s="1" t="s">
        <v>35452</v>
      </c>
      <c r="H2027" s="1" t="s">
        <v>35453</v>
      </c>
      <c r="I2027" s="1" t="s">
        <v>35454</v>
      </c>
      <c r="J2027" s="1">
        <v>8197555797</v>
      </c>
      <c r="K2027" s="1" t="s">
        <v>153</v>
      </c>
      <c r="L2027" s="1" t="s">
        <v>3260</v>
      </c>
      <c r="M2027" s="1" t="s">
        <v>86</v>
      </c>
      <c r="N2027" s="1" t="s">
        <v>35455</v>
      </c>
      <c r="O2027" s="1" t="s">
        <v>35456</v>
      </c>
      <c r="P2027" s="1" t="s">
        <v>122</v>
      </c>
      <c r="Q2027" s="1" t="s">
        <v>35457</v>
      </c>
      <c r="R2027" s="1" t="s">
        <v>35458</v>
      </c>
      <c r="S2027" s="1">
        <v>9845032474</v>
      </c>
      <c r="T2027" s="1" t="s">
        <v>839</v>
      </c>
      <c r="U2027" s="1" t="s">
        <v>31119</v>
      </c>
      <c r="V2027" s="1">
        <v>9036994110</v>
      </c>
      <c r="W2027" s="1" t="s">
        <v>839</v>
      </c>
      <c r="X2027" s="1" t="s">
        <v>35459</v>
      </c>
      <c r="Y2027" s="1" t="s">
        <v>3132</v>
      </c>
      <c r="Z2027" s="1" t="s">
        <v>1210</v>
      </c>
      <c r="AA2027" s="1" t="s">
        <v>35459</v>
      </c>
      <c r="AB2027" s="1" t="s">
        <v>3132</v>
      </c>
      <c r="AC2027" s="1" t="s">
        <v>1210</v>
      </c>
      <c r="AD2027" s="1" t="s">
        <v>98</v>
      </c>
      <c r="AE2027" s="1" t="s">
        <v>98</v>
      </c>
      <c r="AF2027" s="1" t="s">
        <v>35460</v>
      </c>
      <c r="AG2027" s="1" t="s">
        <v>6474</v>
      </c>
      <c r="AH2027" s="1" t="s">
        <v>166</v>
      </c>
      <c r="AI2027" s="1" t="s">
        <v>1111</v>
      </c>
      <c r="AJ2027" s="1">
        <v>76.5</v>
      </c>
      <c r="AK2027" s="1"/>
      <c r="AL2027" s="1" t="s">
        <v>35461</v>
      </c>
      <c r="AM2027" s="1" t="s">
        <v>312</v>
      </c>
      <c r="AN2027" s="1"/>
      <c r="AO2027" s="1" t="s">
        <v>388</v>
      </c>
      <c r="AP2027" s="1" t="s">
        <v>286</v>
      </c>
      <c r="AQ2027" s="1">
        <v>66.5</v>
      </c>
      <c r="AR2027" s="1"/>
      <c r="AS2027" s="1"/>
      <c r="AT2027" s="1"/>
      <c r="AU2027" s="1"/>
      <c r="AV2027" s="1"/>
      <c r="AW2027" s="1"/>
      <c r="AX2027" s="1"/>
      <c r="AY2027" s="1" t="s">
        <v>1217</v>
      </c>
      <c r="AZ2027" s="1" t="s">
        <v>10704</v>
      </c>
      <c r="BA2027" s="1"/>
      <c r="BB2027" s="1"/>
      <c r="BC2027" s="1" t="s">
        <v>174</v>
      </c>
      <c r="BD2027" s="1" t="s">
        <v>10037</v>
      </c>
      <c r="BE2027" s="1">
        <v>63.8</v>
      </c>
      <c r="BF2027" s="1">
        <v>7.13</v>
      </c>
      <c r="BG2027" s="1" t="s">
        <v>1217</v>
      </c>
      <c r="BH2027" s="1" t="s">
        <v>10704</v>
      </c>
      <c r="BI2027" s="1"/>
      <c r="BJ2027" s="1"/>
      <c r="BK2027" s="1" t="s">
        <v>174</v>
      </c>
      <c r="BL2027" s="1" t="s">
        <v>955</v>
      </c>
      <c r="BM2027" s="1">
        <v>63.8</v>
      </c>
      <c r="BN2027" s="1">
        <v>7.13</v>
      </c>
      <c r="BO2027" s="1" t="s">
        <v>35462</v>
      </c>
      <c r="BP2027" s="1"/>
      <c r="BQ2027" s="1"/>
      <c r="BR2027" s="1" t="s">
        <v>35463</v>
      </c>
      <c r="BS2027" s="1">
        <v>24</v>
      </c>
      <c r="BT2027" s="1"/>
      <c r="BU2027" s="1" t="str">
        <f>HYPERLINK("https://nconnect.nicmar.ac.in/storage/profile/6a265cafc1c98.png","Download")</f>
        <v>0</v>
      </c>
      <c r="BV2027" s="3"/>
      <c r="BW2027" s="3"/>
    </row>
    <row r="2028" spans="1:75">
      <c r="A2028" s="1" t="s">
        <v>35379</v>
      </c>
      <c r="B2028" s="1" t="s">
        <v>76</v>
      </c>
      <c r="C2028" s="1" t="s">
        <v>35464</v>
      </c>
      <c r="D2028" s="1" t="s">
        <v>148</v>
      </c>
      <c r="E2028" s="1"/>
      <c r="F2028" s="1" t="s">
        <v>35465</v>
      </c>
      <c r="G2028" s="1" t="s">
        <v>35466</v>
      </c>
      <c r="H2028" s="1" t="s">
        <v>35467</v>
      </c>
      <c r="I2028" s="1" t="s">
        <v>35468</v>
      </c>
      <c r="J2028" s="1">
        <v>9845889912</v>
      </c>
      <c r="K2028" s="1" t="s">
        <v>153</v>
      </c>
      <c r="L2028" s="1" t="s">
        <v>9374</v>
      </c>
      <c r="M2028" s="1" t="s">
        <v>86</v>
      </c>
      <c r="N2028" s="1" t="s">
        <v>20908</v>
      </c>
      <c r="O2028" s="1" t="s">
        <v>35469</v>
      </c>
      <c r="P2028" s="1" t="s">
        <v>89</v>
      </c>
      <c r="Q2028" s="1" t="s">
        <v>35470</v>
      </c>
      <c r="R2028" s="1" t="s">
        <v>98</v>
      </c>
      <c r="S2028" s="1" t="s">
        <v>16692</v>
      </c>
      <c r="T2028" s="1" t="s">
        <v>98</v>
      </c>
      <c r="U2028" s="1" t="s">
        <v>35471</v>
      </c>
      <c r="V2028" s="1">
        <v>9900153594</v>
      </c>
      <c r="W2028" s="1" t="s">
        <v>98</v>
      </c>
      <c r="X2028" s="1" t="s">
        <v>35472</v>
      </c>
      <c r="Y2028" s="1" t="s">
        <v>3132</v>
      </c>
      <c r="Z2028" s="1" t="s">
        <v>1210</v>
      </c>
      <c r="AA2028" s="1" t="s">
        <v>35472</v>
      </c>
      <c r="AB2028" s="1" t="s">
        <v>3132</v>
      </c>
      <c r="AC2028" s="1" t="s">
        <v>1210</v>
      </c>
      <c r="AD2028" s="1" t="s">
        <v>98</v>
      </c>
      <c r="AE2028" s="1" t="s">
        <v>98</v>
      </c>
      <c r="AF2028" s="1" t="s">
        <v>35473</v>
      </c>
      <c r="AG2028" s="1" t="s">
        <v>35474</v>
      </c>
      <c r="AH2028" s="1" t="s">
        <v>166</v>
      </c>
      <c r="AI2028" s="1" t="s">
        <v>627</v>
      </c>
      <c r="AJ2028" s="1">
        <v>87.0</v>
      </c>
      <c r="AK2028" s="1">
        <v>9.1</v>
      </c>
      <c r="AL2028" s="1" t="s">
        <v>35475</v>
      </c>
      <c r="AM2028" s="1" t="s">
        <v>35476</v>
      </c>
      <c r="AN2028" s="1"/>
      <c r="AO2028" s="1" t="s">
        <v>170</v>
      </c>
      <c r="AP2028" s="1" t="s">
        <v>171</v>
      </c>
      <c r="AQ2028" s="1">
        <v>80.0</v>
      </c>
      <c r="AR2028" s="1">
        <v>8.5</v>
      </c>
      <c r="AS2028" s="1"/>
      <c r="AT2028" s="1"/>
      <c r="AU2028" s="1"/>
      <c r="AV2028" s="1"/>
      <c r="AW2028" s="1"/>
      <c r="AX2028" s="1"/>
      <c r="AY2028" s="1" t="s">
        <v>35477</v>
      </c>
      <c r="AZ2028" s="1" t="s">
        <v>35478</v>
      </c>
      <c r="BA2028" s="1"/>
      <c r="BB2028" s="1"/>
      <c r="BC2028" s="1" t="s">
        <v>174</v>
      </c>
      <c r="BD2028" s="1" t="s">
        <v>955</v>
      </c>
      <c r="BE2028" s="1">
        <v>73.7</v>
      </c>
      <c r="BF2028" s="1">
        <v>8.12</v>
      </c>
      <c r="BG2028" s="1"/>
      <c r="BH2028" s="1"/>
      <c r="BI2028" s="1"/>
      <c r="BJ2028" s="1"/>
      <c r="BK2028" s="1"/>
      <c r="BL2028" s="1"/>
      <c r="BM2028" s="1"/>
      <c r="BN2028" s="1"/>
      <c r="BO2028" s="1" t="s">
        <v>35479</v>
      </c>
      <c r="BP2028" s="1"/>
      <c r="BQ2028" s="1"/>
      <c r="BR2028" s="1" t="s">
        <v>35480</v>
      </c>
      <c r="BS2028" s="1">
        <v>79</v>
      </c>
      <c r="BT2028" s="1"/>
      <c r="BU2028" s="1" t="str">
        <f>HYPERLINK("https://nconnect.nicmar.ac.in/storage/profile/6a26521b8c899.png","Download")</f>
        <v>0</v>
      </c>
      <c r="BV2028" s="3"/>
      <c r="BW2028" s="3"/>
    </row>
    <row r="2029" spans="1:75">
      <c r="A2029" s="1" t="s">
        <v>26662</v>
      </c>
      <c r="B2029" s="1" t="s">
        <v>446</v>
      </c>
      <c r="C2029" s="1" t="s">
        <v>35481</v>
      </c>
      <c r="D2029" s="1" t="s">
        <v>35482</v>
      </c>
      <c r="E2029" s="1"/>
      <c r="F2029" s="1" t="s">
        <v>35483</v>
      </c>
      <c r="G2029" s="1" t="s">
        <v>35484</v>
      </c>
      <c r="H2029" s="1" t="s">
        <v>35485</v>
      </c>
      <c r="I2029" s="1" t="s">
        <v>35486</v>
      </c>
      <c r="J2029" s="1">
        <v>8999352941</v>
      </c>
      <c r="K2029" s="1" t="s">
        <v>84</v>
      </c>
      <c r="L2029" s="1" t="s">
        <v>5024</v>
      </c>
      <c r="M2029" s="1" t="s">
        <v>86</v>
      </c>
      <c r="N2029" s="1" t="s">
        <v>35487</v>
      </c>
      <c r="O2029" s="1"/>
      <c r="P2029" s="1" t="s">
        <v>507</v>
      </c>
      <c r="Q2029" s="1" t="s">
        <v>35488</v>
      </c>
      <c r="R2029" s="1" t="s">
        <v>35489</v>
      </c>
      <c r="S2029" s="1">
        <v>9822134050</v>
      </c>
      <c r="T2029" s="1" t="s">
        <v>3693</v>
      </c>
      <c r="U2029" s="1" t="s">
        <v>35490</v>
      </c>
      <c r="V2029" s="1">
        <v>9096876414</v>
      </c>
      <c r="W2029" s="1" t="s">
        <v>161</v>
      </c>
      <c r="X2029" s="1" t="s">
        <v>35491</v>
      </c>
      <c r="Y2029" s="1" t="s">
        <v>6548</v>
      </c>
      <c r="Z2029" s="1" t="s">
        <v>6549</v>
      </c>
      <c r="AA2029" s="1" t="s">
        <v>35491</v>
      </c>
      <c r="AB2029" s="1" t="s">
        <v>6548</v>
      </c>
      <c r="AC2029" s="1" t="s">
        <v>6549</v>
      </c>
      <c r="AD2029" s="1">
        <v>8.76</v>
      </c>
      <c r="AE2029" s="1" t="s">
        <v>98</v>
      </c>
      <c r="AF2029" s="1" t="s">
        <v>35492</v>
      </c>
      <c r="AG2029" s="1" t="s">
        <v>26520</v>
      </c>
      <c r="AH2029" s="1" t="s">
        <v>388</v>
      </c>
      <c r="AI2029" s="1" t="s">
        <v>106</v>
      </c>
      <c r="AJ2029" s="1">
        <v>73</v>
      </c>
      <c r="AK2029" s="1"/>
      <c r="AL2029" s="1" t="s">
        <v>35493</v>
      </c>
      <c r="AM2029" s="1" t="s">
        <v>26520</v>
      </c>
      <c r="AN2029" s="1" t="s">
        <v>465</v>
      </c>
      <c r="AO2029" s="1" t="s">
        <v>315</v>
      </c>
      <c r="AP2029" s="1" t="s">
        <v>468</v>
      </c>
      <c r="AQ2029" s="1">
        <v>54.33</v>
      </c>
      <c r="AR2029" s="1"/>
      <c r="AS2029" s="1"/>
      <c r="AT2029" s="1"/>
      <c r="AU2029" s="1"/>
      <c r="AV2029" s="1"/>
      <c r="AW2029" s="1"/>
      <c r="AX2029" s="1"/>
      <c r="AY2029" s="1" t="s">
        <v>35494</v>
      </c>
      <c r="AZ2029" s="1" t="s">
        <v>35494</v>
      </c>
      <c r="BA2029" s="1" t="s">
        <v>466</v>
      </c>
      <c r="BB2029" s="1" t="s">
        <v>467</v>
      </c>
      <c r="BC2029" s="1" t="s">
        <v>1040</v>
      </c>
      <c r="BD2029" s="1" t="s">
        <v>207</v>
      </c>
      <c r="BE2029" s="1">
        <v>67.6</v>
      </c>
      <c r="BF2029" s="1">
        <v>7.26</v>
      </c>
      <c r="BG2029" s="1"/>
      <c r="BH2029" s="1"/>
      <c r="BI2029" s="1"/>
      <c r="BJ2029" s="1"/>
      <c r="BK2029" s="1"/>
      <c r="BL2029" s="1"/>
      <c r="BM2029" s="1"/>
      <c r="BN2029" s="1"/>
      <c r="BO2029" s="1" t="s">
        <v>35495</v>
      </c>
      <c r="BP2029" s="1" t="s">
        <v>35496</v>
      </c>
      <c r="BQ2029" s="1" t="s">
        <v>471</v>
      </c>
      <c r="BR2029" s="1" t="s">
        <v>35497</v>
      </c>
      <c r="BS2029" s="1">
        <v>15</v>
      </c>
      <c r="BT2029" s="1" t="s">
        <v>35498</v>
      </c>
      <c r="BU2029" s="1" t="str">
        <f>HYPERLINK("https://nconnect.nicmar.ac.in/storage/profile/ProfilePhoto_P25702005_782691.jpg","Download")</f>
        <v>0</v>
      </c>
      <c r="BV2029" s="3"/>
      <c r="BW2029" s="3"/>
    </row>
    <row r="2030" spans="1:75">
      <c r="A2030" s="1" t="s">
        <v>26662</v>
      </c>
      <c r="B2030" s="1" t="s">
        <v>446</v>
      </c>
      <c r="C2030" s="1" t="s">
        <v>35499</v>
      </c>
      <c r="D2030" s="1" t="s">
        <v>6808</v>
      </c>
      <c r="E2030" s="1"/>
      <c r="F2030" s="1" t="s">
        <v>4926</v>
      </c>
      <c r="G2030" s="1" t="s">
        <v>35500</v>
      </c>
      <c r="H2030" s="1" t="s">
        <v>35501</v>
      </c>
      <c r="I2030" s="1" t="s">
        <v>35502</v>
      </c>
      <c r="J2030" s="1">
        <v>8637370613</v>
      </c>
      <c r="K2030" s="1" t="s">
        <v>153</v>
      </c>
      <c r="L2030" s="1" t="s">
        <v>35503</v>
      </c>
      <c r="M2030" s="1" t="s">
        <v>86</v>
      </c>
      <c r="N2030" s="1" t="s">
        <v>35504</v>
      </c>
      <c r="O2030" s="1"/>
      <c r="P2030" s="1" t="s">
        <v>507</v>
      </c>
      <c r="Q2030" s="1" t="s">
        <v>35505</v>
      </c>
      <c r="R2030" s="1" t="s">
        <v>35506</v>
      </c>
      <c r="S2030" s="1">
        <v>9064080443</v>
      </c>
      <c r="T2030" s="1" t="s">
        <v>221</v>
      </c>
      <c r="U2030" s="1" t="s">
        <v>35507</v>
      </c>
      <c r="V2030" s="1">
        <v>8900644317</v>
      </c>
      <c r="W2030" s="1" t="s">
        <v>35508</v>
      </c>
      <c r="X2030" s="1" t="s">
        <v>35509</v>
      </c>
      <c r="Y2030" s="1" t="s">
        <v>3282</v>
      </c>
      <c r="Z2030" s="1" t="s">
        <v>1234</v>
      </c>
      <c r="AA2030" s="1" t="s">
        <v>35510</v>
      </c>
      <c r="AB2030" s="1" t="s">
        <v>2200</v>
      </c>
      <c r="AC2030" s="1" t="s">
        <v>649</v>
      </c>
      <c r="AD2030" s="1">
        <v>7.92</v>
      </c>
      <c r="AE2030" s="1" t="s">
        <v>98</v>
      </c>
      <c r="AF2030" s="1" t="s">
        <v>35511</v>
      </c>
      <c r="AG2030" s="1" t="s">
        <v>312</v>
      </c>
      <c r="AH2030" s="1" t="s">
        <v>1214</v>
      </c>
      <c r="AI2030" s="1" t="s">
        <v>136</v>
      </c>
      <c r="AJ2030" s="1">
        <v>83.6</v>
      </c>
      <c r="AK2030" s="1">
        <v>8.8</v>
      </c>
      <c r="AL2030" s="1" t="s">
        <v>35512</v>
      </c>
      <c r="AM2030" s="1" t="s">
        <v>312</v>
      </c>
      <c r="AN2030" s="1"/>
      <c r="AO2030" s="1" t="s">
        <v>704</v>
      </c>
      <c r="AP2030" s="1" t="s">
        <v>171</v>
      </c>
      <c r="AQ2030" s="1">
        <v>70.8</v>
      </c>
      <c r="AR2030" s="1"/>
      <c r="AS2030" s="1"/>
      <c r="AT2030" s="1"/>
      <c r="AU2030" s="1"/>
      <c r="AV2030" s="1"/>
      <c r="AW2030" s="1"/>
      <c r="AX2030" s="1"/>
      <c r="AY2030" s="1" t="s">
        <v>5106</v>
      </c>
      <c r="AZ2030" s="1" t="s">
        <v>35513</v>
      </c>
      <c r="BA2030" s="1"/>
      <c r="BB2030" s="1"/>
      <c r="BC2030" s="1" t="s">
        <v>490</v>
      </c>
      <c r="BD2030" s="1" t="s">
        <v>632</v>
      </c>
      <c r="BE2030" s="1">
        <v>84.4</v>
      </c>
      <c r="BF2030" s="1">
        <v>8.44</v>
      </c>
      <c r="BG2030" s="1"/>
      <c r="BH2030" s="1"/>
      <c r="BI2030" s="1"/>
      <c r="BJ2030" s="1"/>
      <c r="BK2030" s="1"/>
      <c r="BL2030" s="1"/>
      <c r="BM2030" s="1"/>
      <c r="BN2030" s="1"/>
      <c r="BO2030" s="1" t="s">
        <v>35514</v>
      </c>
      <c r="BP2030" s="1"/>
      <c r="BQ2030" s="1"/>
      <c r="BR2030" s="1" t="s">
        <v>35515</v>
      </c>
      <c r="BS2030" s="1">
        <v>8</v>
      </c>
      <c r="BT2030" s="1" t="s">
        <v>35516</v>
      </c>
      <c r="BU2030" s="1" t="str">
        <f>HYPERLINK("https://nconnect.nicmar.ac.in/storage/profile/ProfilePhoto_P25702006_129674.jpg","Download")</f>
        <v>0</v>
      </c>
      <c r="BV2030" s="3"/>
      <c r="BW2030" s="3"/>
    </row>
    <row r="2031" spans="1:75">
      <c r="A2031" s="1" t="s">
        <v>26662</v>
      </c>
      <c r="B2031" s="1" t="s">
        <v>446</v>
      </c>
      <c r="C2031" s="1" t="s">
        <v>35517</v>
      </c>
      <c r="D2031" s="1" t="s">
        <v>10117</v>
      </c>
      <c r="E2031" s="1"/>
      <c r="F2031" s="1" t="s">
        <v>2250</v>
      </c>
      <c r="G2031" s="1" t="s">
        <v>35518</v>
      </c>
      <c r="H2031" s="1" t="s">
        <v>35519</v>
      </c>
      <c r="I2031" s="1" t="s">
        <v>35520</v>
      </c>
      <c r="J2031" s="1">
        <v>8789890323</v>
      </c>
      <c r="K2031" s="1" t="s">
        <v>153</v>
      </c>
      <c r="L2031" s="1" t="s">
        <v>35521</v>
      </c>
      <c r="M2031" s="1" t="s">
        <v>86</v>
      </c>
      <c r="N2031" s="1" t="s">
        <v>246</v>
      </c>
      <c r="O2031" s="1"/>
      <c r="P2031" s="1" t="s">
        <v>455</v>
      </c>
      <c r="Q2031" s="1" t="s">
        <v>35522</v>
      </c>
      <c r="R2031" s="1" t="s">
        <v>35523</v>
      </c>
      <c r="S2031" s="1">
        <v>9431305005</v>
      </c>
      <c r="T2031" s="1" t="s">
        <v>839</v>
      </c>
      <c r="U2031" s="1" t="s">
        <v>35524</v>
      </c>
      <c r="V2031" s="1">
        <v>9439947894</v>
      </c>
      <c r="W2031" s="1" t="s">
        <v>94</v>
      </c>
      <c r="X2031" s="1" t="s">
        <v>35525</v>
      </c>
      <c r="Y2031" s="1" t="s">
        <v>35526</v>
      </c>
      <c r="Z2031" s="1" t="s">
        <v>2955</v>
      </c>
      <c r="AA2031" s="1" t="s">
        <v>35525</v>
      </c>
      <c r="AB2031" s="1" t="s">
        <v>35526</v>
      </c>
      <c r="AC2031" s="1" t="s">
        <v>2955</v>
      </c>
      <c r="AD2031" s="1">
        <v>9.5</v>
      </c>
      <c r="AE2031" s="1" t="s">
        <v>98</v>
      </c>
      <c r="AF2031" s="1" t="s">
        <v>35527</v>
      </c>
      <c r="AG2031" s="1" t="s">
        <v>35528</v>
      </c>
      <c r="AH2031" s="1" t="s">
        <v>1214</v>
      </c>
      <c r="AI2031" s="1" t="s">
        <v>136</v>
      </c>
      <c r="AJ2031" s="1">
        <v>89</v>
      </c>
      <c r="AK2031" s="1"/>
      <c r="AL2031" s="1" t="s">
        <v>35527</v>
      </c>
      <c r="AM2031" s="1" t="s">
        <v>35529</v>
      </c>
      <c r="AN2031" s="1" t="s">
        <v>465</v>
      </c>
      <c r="AO2031" s="1" t="s">
        <v>284</v>
      </c>
      <c r="AP2031" s="1" t="s">
        <v>573</v>
      </c>
      <c r="AQ2031" s="1">
        <v>81.17</v>
      </c>
      <c r="AR2031" s="1"/>
      <c r="AS2031" s="1"/>
      <c r="AT2031" s="1"/>
      <c r="AU2031" s="1"/>
      <c r="AV2031" s="1"/>
      <c r="AW2031" s="1"/>
      <c r="AX2031" s="1"/>
      <c r="AY2031" s="1" t="s">
        <v>35530</v>
      </c>
      <c r="AZ2031" s="1" t="s">
        <v>35530</v>
      </c>
      <c r="BA2031" s="1" t="s">
        <v>682</v>
      </c>
      <c r="BB2031" s="1" t="s">
        <v>1561</v>
      </c>
      <c r="BC2031" s="1" t="s">
        <v>388</v>
      </c>
      <c r="BD2031" s="1" t="s">
        <v>289</v>
      </c>
      <c r="BE2031" s="1">
        <v>79.3</v>
      </c>
      <c r="BF2031" s="1">
        <v>7.93</v>
      </c>
      <c r="BG2031" s="1"/>
      <c r="BH2031" s="1"/>
      <c r="BI2031" s="1"/>
      <c r="BJ2031" s="1"/>
      <c r="BK2031" s="1"/>
      <c r="BL2031" s="1"/>
      <c r="BM2031" s="1"/>
      <c r="BN2031" s="1"/>
      <c r="BO2031" s="1" t="s">
        <v>35531</v>
      </c>
      <c r="BP2031" s="1" t="s">
        <v>35532</v>
      </c>
      <c r="BQ2031" s="1" t="s">
        <v>9111</v>
      </c>
      <c r="BR2031" s="1" t="s">
        <v>35533</v>
      </c>
      <c r="BS2031" s="1">
        <v>30</v>
      </c>
      <c r="BT2031" s="1" t="s">
        <v>35534</v>
      </c>
      <c r="BU2031" s="1" t="str">
        <f>HYPERLINK("https://nconnect.nicmar.ac.in/storage/profile/ProfilePhoto_P25702007_643529.jpg","Download")</f>
        <v>0</v>
      </c>
      <c r="BV2031" s="3"/>
      <c r="BW2031" s="3"/>
    </row>
    <row r="2032" spans="1:75">
      <c r="A2032" s="1" t="s">
        <v>26662</v>
      </c>
      <c r="B2032" s="1" t="s">
        <v>446</v>
      </c>
      <c r="C2032" s="1" t="s">
        <v>35535</v>
      </c>
      <c r="D2032" s="1" t="s">
        <v>8398</v>
      </c>
      <c r="E2032" s="1"/>
      <c r="F2032" s="1" t="s">
        <v>18578</v>
      </c>
      <c r="G2032" s="1" t="s">
        <v>35536</v>
      </c>
      <c r="H2032" s="1" t="s">
        <v>35537</v>
      </c>
      <c r="I2032" s="1" t="s">
        <v>35538</v>
      </c>
      <c r="J2032" s="1">
        <v>8105266479</v>
      </c>
      <c r="K2032" s="1" t="s">
        <v>84</v>
      </c>
      <c r="L2032" s="1" t="s">
        <v>2314</v>
      </c>
      <c r="M2032" s="1" t="s">
        <v>86</v>
      </c>
      <c r="N2032" s="1" t="s">
        <v>11117</v>
      </c>
      <c r="O2032" s="1"/>
      <c r="P2032" s="1" t="s">
        <v>1028</v>
      </c>
      <c r="Q2032" s="1" t="s">
        <v>35539</v>
      </c>
      <c r="R2032" s="1" t="s">
        <v>35540</v>
      </c>
      <c r="S2032" s="1">
        <v>7888399160</v>
      </c>
      <c r="T2032" s="1" t="s">
        <v>35541</v>
      </c>
      <c r="U2032" s="1" t="s">
        <v>35542</v>
      </c>
      <c r="V2032" s="1">
        <v>9611261776</v>
      </c>
      <c r="W2032" s="1" t="s">
        <v>127</v>
      </c>
      <c r="X2032" s="1" t="s">
        <v>35543</v>
      </c>
      <c r="Y2032" s="1" t="s">
        <v>3132</v>
      </c>
      <c r="Z2032" s="1" t="s">
        <v>1210</v>
      </c>
      <c r="AA2032" s="1" t="s">
        <v>35543</v>
      </c>
      <c r="AB2032" s="1" t="s">
        <v>3132</v>
      </c>
      <c r="AC2032" s="1" t="s">
        <v>1210</v>
      </c>
      <c r="AD2032" s="1">
        <v>8.32</v>
      </c>
      <c r="AE2032" s="1" t="s">
        <v>98</v>
      </c>
      <c r="AF2032" s="1" t="s">
        <v>35544</v>
      </c>
      <c r="AG2032" s="1" t="s">
        <v>35545</v>
      </c>
      <c r="AH2032" s="1" t="s">
        <v>167</v>
      </c>
      <c r="AI2032" s="1" t="s">
        <v>170</v>
      </c>
      <c r="AJ2032" s="1">
        <v>91.2</v>
      </c>
      <c r="AK2032" s="1">
        <v>9.6</v>
      </c>
      <c r="AL2032" s="1" t="s">
        <v>35546</v>
      </c>
      <c r="AM2032" s="1" t="s">
        <v>1216</v>
      </c>
      <c r="AN2032" s="1" t="s">
        <v>465</v>
      </c>
      <c r="AO2032" s="1" t="s">
        <v>106</v>
      </c>
      <c r="AP2032" s="1" t="s">
        <v>438</v>
      </c>
      <c r="AQ2032" s="1">
        <v>64.16</v>
      </c>
      <c r="AR2032" s="1"/>
      <c r="AS2032" s="1"/>
      <c r="AT2032" s="1"/>
      <c r="AU2032" s="1"/>
      <c r="AV2032" s="1"/>
      <c r="AW2032" s="1"/>
      <c r="AX2032" s="1"/>
      <c r="AY2032" s="1" t="s">
        <v>35547</v>
      </c>
      <c r="AZ2032" s="1" t="s">
        <v>35548</v>
      </c>
      <c r="BA2032" s="1" t="s">
        <v>35549</v>
      </c>
      <c r="BB2032" s="1" t="s">
        <v>35550</v>
      </c>
      <c r="BC2032" s="1" t="s">
        <v>315</v>
      </c>
      <c r="BD2032" s="1" t="s">
        <v>1825</v>
      </c>
      <c r="BE2032" s="1">
        <v>72.5</v>
      </c>
      <c r="BF2032" s="1">
        <v>7.25</v>
      </c>
      <c r="BG2032" s="1"/>
      <c r="BH2032" s="1"/>
      <c r="BI2032" s="1"/>
      <c r="BJ2032" s="1"/>
      <c r="BK2032" s="1"/>
      <c r="BL2032" s="1"/>
      <c r="BM2032" s="1"/>
      <c r="BN2032" s="1"/>
      <c r="BO2032" s="1" t="s">
        <v>8688</v>
      </c>
      <c r="BP2032" s="1"/>
      <c r="BQ2032" s="1"/>
      <c r="BR2032" s="1" t="s">
        <v>35551</v>
      </c>
      <c r="BS2032" s="1">
        <v>8</v>
      </c>
      <c r="BT2032" s="1" t="s">
        <v>35552</v>
      </c>
      <c r="BU2032" s="1" t="str">
        <f>HYPERLINK("https://nconnect.nicmar.ac.in/storage/profile/ProfilePhoto_P25702008_452319.jpg","Download")</f>
        <v>0</v>
      </c>
      <c r="BV2032" s="3"/>
      <c r="BW2032" s="3"/>
    </row>
    <row r="2033" spans="1:75">
      <c r="A2033" s="1" t="s">
        <v>26662</v>
      </c>
      <c r="B2033" s="1" t="s">
        <v>446</v>
      </c>
      <c r="C2033" s="1" t="s">
        <v>35553</v>
      </c>
      <c r="D2033" s="1" t="s">
        <v>3350</v>
      </c>
      <c r="E2033" s="1" t="s">
        <v>35554</v>
      </c>
      <c r="F2033" s="1" t="s">
        <v>35555</v>
      </c>
      <c r="G2033" s="1" t="s">
        <v>35556</v>
      </c>
      <c r="H2033" s="1" t="s">
        <v>35557</v>
      </c>
      <c r="I2033" s="1" t="s">
        <v>35558</v>
      </c>
      <c r="J2033" s="1">
        <v>9892727082</v>
      </c>
      <c r="K2033" s="1" t="s">
        <v>84</v>
      </c>
      <c r="L2033" s="1" t="s">
        <v>4198</v>
      </c>
      <c r="M2033" s="1" t="s">
        <v>86</v>
      </c>
      <c r="N2033" s="1" t="s">
        <v>903</v>
      </c>
      <c r="O2033" s="1"/>
      <c r="P2033" s="1" t="s">
        <v>455</v>
      </c>
      <c r="Q2033" s="1" t="s">
        <v>35559</v>
      </c>
      <c r="R2033" s="1" t="s">
        <v>35560</v>
      </c>
      <c r="S2033" s="1">
        <v>9757303741</v>
      </c>
      <c r="T2033" s="1" t="s">
        <v>35561</v>
      </c>
      <c r="U2033" s="1" t="s">
        <v>35562</v>
      </c>
      <c r="V2033" s="1">
        <v>8652423781</v>
      </c>
      <c r="W2033" s="1" t="s">
        <v>541</v>
      </c>
      <c r="X2033" s="1" t="s">
        <v>35563</v>
      </c>
      <c r="Y2033" s="1" t="s">
        <v>1882</v>
      </c>
      <c r="Z2033" s="1" t="s">
        <v>97</v>
      </c>
      <c r="AA2033" s="1" t="s">
        <v>35563</v>
      </c>
      <c r="AB2033" s="1" t="s">
        <v>1882</v>
      </c>
      <c r="AC2033" s="1" t="s">
        <v>97</v>
      </c>
      <c r="AD2033" s="1">
        <v>8.08</v>
      </c>
      <c r="AE2033" s="1" t="s">
        <v>98</v>
      </c>
      <c r="AF2033" s="1" t="s">
        <v>35564</v>
      </c>
      <c r="AG2033" s="1" t="s">
        <v>1968</v>
      </c>
      <c r="AH2033" s="1" t="s">
        <v>284</v>
      </c>
      <c r="AI2033" s="1" t="s">
        <v>200</v>
      </c>
      <c r="AJ2033" s="1">
        <v>72</v>
      </c>
      <c r="AK2033" s="1">
        <v>0</v>
      </c>
      <c r="AL2033" s="1" t="s">
        <v>35565</v>
      </c>
      <c r="AM2033" s="1" t="s">
        <v>1968</v>
      </c>
      <c r="AN2033" s="1" t="s">
        <v>465</v>
      </c>
      <c r="AO2033" s="1" t="s">
        <v>106</v>
      </c>
      <c r="AP2033" s="1" t="s">
        <v>313</v>
      </c>
      <c r="AQ2033" s="1">
        <v>56.15</v>
      </c>
      <c r="AR2033" s="1">
        <v>0</v>
      </c>
      <c r="AS2033" s="1"/>
      <c r="AT2033" s="1"/>
      <c r="AU2033" s="1"/>
      <c r="AV2033" s="1"/>
      <c r="AW2033" s="1"/>
      <c r="AX2033" s="1"/>
      <c r="AY2033" s="1" t="s">
        <v>258</v>
      </c>
      <c r="AZ2033" s="1" t="s">
        <v>35566</v>
      </c>
      <c r="BA2033" s="1" t="s">
        <v>578</v>
      </c>
      <c r="BB2033" s="1" t="s">
        <v>467</v>
      </c>
      <c r="BC2033" s="1" t="s">
        <v>206</v>
      </c>
      <c r="BD2033" s="1" t="s">
        <v>179</v>
      </c>
      <c r="BE2033" s="1">
        <v>74.63</v>
      </c>
      <c r="BF2033" s="1">
        <v>8.35</v>
      </c>
      <c r="BG2033" s="1"/>
      <c r="BH2033" s="1"/>
      <c r="BI2033" s="1"/>
      <c r="BJ2033" s="1"/>
      <c r="BK2033" s="1"/>
      <c r="BL2033" s="1"/>
      <c r="BM2033" s="1"/>
      <c r="BN2033" s="1"/>
      <c r="BO2033" s="1" t="s">
        <v>25408</v>
      </c>
      <c r="BP2033" s="1"/>
      <c r="BQ2033" s="1"/>
      <c r="BR2033" s="1" t="s">
        <v>35567</v>
      </c>
      <c r="BS2033" s="1">
        <v>15</v>
      </c>
      <c r="BT2033" s="1" t="s">
        <v>35568</v>
      </c>
      <c r="BU2033" s="1" t="str">
        <f>HYPERLINK("https://nconnect.nicmar.ac.in/storage/profile/ProfilePhoto_P25702009_718354.jpg","Download")</f>
        <v>0</v>
      </c>
      <c r="BV2033" s="3"/>
      <c r="BW2033" s="3"/>
    </row>
    <row r="2034" spans="1:75">
      <c r="A2034" s="1" t="s">
        <v>26662</v>
      </c>
      <c r="B2034" s="1" t="s">
        <v>446</v>
      </c>
      <c r="C2034" s="1" t="s">
        <v>35569</v>
      </c>
      <c r="D2034" s="1" t="s">
        <v>117</v>
      </c>
      <c r="E2034" s="1" t="s">
        <v>11469</v>
      </c>
      <c r="F2034" s="1" t="s">
        <v>5718</v>
      </c>
      <c r="G2034" s="1" t="s">
        <v>35570</v>
      </c>
      <c r="H2034" s="1" t="s">
        <v>35571</v>
      </c>
      <c r="I2034" s="1" t="s">
        <v>35572</v>
      </c>
      <c r="J2034" s="1">
        <v>7043115350</v>
      </c>
      <c r="K2034" s="1" t="s">
        <v>84</v>
      </c>
      <c r="L2034" s="1" t="s">
        <v>480</v>
      </c>
      <c r="M2034" s="1" t="s">
        <v>86</v>
      </c>
      <c r="N2034" s="1" t="s">
        <v>35573</v>
      </c>
      <c r="O2034" s="1"/>
      <c r="P2034" s="1" t="s">
        <v>507</v>
      </c>
      <c r="Q2034" s="1" t="s">
        <v>35574</v>
      </c>
      <c r="R2034" s="1" t="s">
        <v>35575</v>
      </c>
      <c r="S2034" s="1">
        <v>9725117523</v>
      </c>
      <c r="T2034" s="1" t="s">
        <v>645</v>
      </c>
      <c r="U2034" s="1" t="s">
        <v>35576</v>
      </c>
      <c r="V2034" s="1">
        <v>9998140784</v>
      </c>
      <c r="W2034" s="1" t="s">
        <v>645</v>
      </c>
      <c r="X2034" s="1" t="s">
        <v>35577</v>
      </c>
      <c r="Y2034" s="1" t="s">
        <v>2880</v>
      </c>
      <c r="Z2034" s="1" t="s">
        <v>676</v>
      </c>
      <c r="AA2034" s="1" t="s">
        <v>35577</v>
      </c>
      <c r="AB2034" s="1" t="s">
        <v>2880</v>
      </c>
      <c r="AC2034" s="1" t="s">
        <v>676</v>
      </c>
      <c r="AD2034" s="1">
        <v>7.03</v>
      </c>
      <c r="AE2034" s="1" t="s">
        <v>98</v>
      </c>
      <c r="AF2034" s="1" t="s">
        <v>35578</v>
      </c>
      <c r="AG2034" s="1" t="s">
        <v>8746</v>
      </c>
      <c r="AH2034" s="1" t="s">
        <v>106</v>
      </c>
      <c r="AI2034" s="1" t="s">
        <v>414</v>
      </c>
      <c r="AJ2034" s="1">
        <v>59.83</v>
      </c>
      <c r="AK2034" s="1">
        <v>0</v>
      </c>
      <c r="AL2034" s="1" t="s">
        <v>35579</v>
      </c>
      <c r="AM2034" s="1" t="s">
        <v>10192</v>
      </c>
      <c r="AN2034" s="1" t="s">
        <v>35580</v>
      </c>
      <c r="AO2034" s="1" t="s">
        <v>438</v>
      </c>
      <c r="AP2034" s="1" t="s">
        <v>549</v>
      </c>
      <c r="AQ2034" s="1">
        <v>56.4</v>
      </c>
      <c r="AR2034" s="1">
        <v>0</v>
      </c>
      <c r="AS2034" s="1"/>
      <c r="AT2034" s="1"/>
      <c r="AU2034" s="1"/>
      <c r="AV2034" s="1"/>
      <c r="AW2034" s="1"/>
      <c r="AX2034" s="1"/>
      <c r="AY2034" s="1" t="s">
        <v>35581</v>
      </c>
      <c r="AZ2034" s="1" t="s">
        <v>35581</v>
      </c>
      <c r="BA2034" s="1" t="s">
        <v>35582</v>
      </c>
      <c r="BB2034" s="1" t="s">
        <v>35583</v>
      </c>
      <c r="BC2034" s="1" t="s">
        <v>552</v>
      </c>
      <c r="BD2034" s="1" t="s">
        <v>2383</v>
      </c>
      <c r="BE2034" s="1">
        <v>55.8</v>
      </c>
      <c r="BF2034" s="1">
        <v>5.58</v>
      </c>
      <c r="BG2034" s="1"/>
      <c r="BH2034" s="1"/>
      <c r="BI2034" s="1"/>
      <c r="BJ2034" s="1"/>
      <c r="BK2034" s="1"/>
      <c r="BL2034" s="1"/>
      <c r="BM2034" s="1"/>
      <c r="BN2034" s="1"/>
      <c r="BO2034" s="1" t="s">
        <v>28846</v>
      </c>
      <c r="BP2034" s="1"/>
      <c r="BQ2034" s="1"/>
      <c r="BR2034" s="1" t="s">
        <v>35584</v>
      </c>
      <c r="BS2034" s="1">
        <v>8</v>
      </c>
      <c r="BT2034" s="1"/>
      <c r="BU2034" s="1" t="str">
        <f>HYPERLINK("https://nconnect.nicmar.ac.in/storage/profile/ProfilePhoto_P25702010_942758.jpg","Download")</f>
        <v>0</v>
      </c>
      <c r="BV2034" s="3"/>
      <c r="BW2034" s="3"/>
    </row>
    <row r="2035" spans="1:75">
      <c r="A2035" s="1" t="s">
        <v>26662</v>
      </c>
      <c r="B2035" s="1" t="s">
        <v>446</v>
      </c>
      <c r="C2035" s="1" t="s">
        <v>35585</v>
      </c>
      <c r="D2035" s="1" t="s">
        <v>3216</v>
      </c>
      <c r="E2035" s="1"/>
      <c r="F2035" s="1" t="s">
        <v>35586</v>
      </c>
      <c r="G2035" s="1" t="s">
        <v>35587</v>
      </c>
      <c r="H2035" s="1" t="s">
        <v>35588</v>
      </c>
      <c r="I2035" s="1" t="s">
        <v>35589</v>
      </c>
      <c r="J2035" s="1">
        <v>8637816940</v>
      </c>
      <c r="K2035" s="1" t="s">
        <v>153</v>
      </c>
      <c r="L2035" s="1" t="s">
        <v>30890</v>
      </c>
      <c r="M2035" s="1" t="s">
        <v>86</v>
      </c>
      <c r="N2035" s="1" t="s">
        <v>27171</v>
      </c>
      <c r="O2035" s="1"/>
      <c r="P2035" s="1" t="s">
        <v>481</v>
      </c>
      <c r="Q2035" s="1" t="s">
        <v>35590</v>
      </c>
      <c r="R2035" s="1" t="s">
        <v>35591</v>
      </c>
      <c r="S2035" s="1">
        <v>9932067540</v>
      </c>
      <c r="T2035" s="1" t="s">
        <v>35592</v>
      </c>
      <c r="U2035" s="1" t="s">
        <v>35593</v>
      </c>
      <c r="V2035" s="1">
        <v>9434496187</v>
      </c>
      <c r="W2035" s="1" t="s">
        <v>35594</v>
      </c>
      <c r="X2035" s="1" t="s">
        <v>35595</v>
      </c>
      <c r="Y2035" s="1" t="s">
        <v>11851</v>
      </c>
      <c r="Z2035" s="1" t="s">
        <v>1234</v>
      </c>
      <c r="AA2035" s="1" t="s">
        <v>35596</v>
      </c>
      <c r="AB2035" s="1" t="s">
        <v>35597</v>
      </c>
      <c r="AC2035" s="1" t="s">
        <v>1234</v>
      </c>
      <c r="AD2035" s="1">
        <v>9.47</v>
      </c>
      <c r="AE2035" s="1" t="s">
        <v>98</v>
      </c>
      <c r="AF2035" s="1" t="s">
        <v>35598</v>
      </c>
      <c r="AG2035" s="1" t="s">
        <v>35599</v>
      </c>
      <c r="AH2035" s="1" t="s">
        <v>284</v>
      </c>
      <c r="AI2035" s="1" t="s">
        <v>573</v>
      </c>
      <c r="AJ2035" s="1">
        <v>92.5</v>
      </c>
      <c r="AK2035" s="1"/>
      <c r="AL2035" s="1" t="s">
        <v>35600</v>
      </c>
      <c r="AM2035" s="1" t="s">
        <v>703</v>
      </c>
      <c r="AN2035" s="1" t="s">
        <v>465</v>
      </c>
      <c r="AO2035" s="1" t="s">
        <v>490</v>
      </c>
      <c r="AP2035" s="1" t="s">
        <v>313</v>
      </c>
      <c r="AQ2035" s="1">
        <v>91.16</v>
      </c>
      <c r="AR2035" s="1"/>
      <c r="AS2035" s="1"/>
      <c r="AT2035" s="1"/>
      <c r="AU2035" s="1"/>
      <c r="AV2035" s="1"/>
      <c r="AW2035" s="1"/>
      <c r="AX2035" s="1"/>
      <c r="AY2035" s="1" t="s">
        <v>258</v>
      </c>
      <c r="AZ2035" s="1" t="s">
        <v>35601</v>
      </c>
      <c r="BA2035" s="1" t="s">
        <v>682</v>
      </c>
      <c r="BB2035" s="1" t="s">
        <v>683</v>
      </c>
      <c r="BC2035" s="1" t="s">
        <v>315</v>
      </c>
      <c r="BD2035" s="1" t="s">
        <v>418</v>
      </c>
      <c r="BE2035" s="1">
        <v>77.12</v>
      </c>
      <c r="BF2035" s="1">
        <v>8.8</v>
      </c>
      <c r="BG2035" s="1"/>
      <c r="BH2035" s="1"/>
      <c r="BI2035" s="1"/>
      <c r="BJ2035" s="1"/>
      <c r="BK2035" s="1"/>
      <c r="BL2035" s="1"/>
      <c r="BM2035" s="1"/>
      <c r="BN2035" s="1"/>
      <c r="BO2035" s="1" t="s">
        <v>35602</v>
      </c>
      <c r="BP2035" s="1" t="s">
        <v>35603</v>
      </c>
      <c r="BQ2035" s="1" t="s">
        <v>292</v>
      </c>
      <c r="BR2035" s="1" t="s">
        <v>35604</v>
      </c>
      <c r="BS2035" s="1">
        <v>27</v>
      </c>
      <c r="BT2035" s="1" t="s">
        <v>35605</v>
      </c>
      <c r="BU2035" s="1" t="str">
        <f>HYPERLINK("https://nconnect.nicmar.ac.in/storage/profile/6a6612129d7f8.png","Download")</f>
        <v>0</v>
      </c>
      <c r="BV2035" s="3"/>
      <c r="BW2035" s="3"/>
    </row>
    <row r="2036" spans="1:75">
      <c r="A2036" s="1" t="s">
        <v>26662</v>
      </c>
      <c r="B2036" s="1" t="s">
        <v>446</v>
      </c>
      <c r="C2036" s="1" t="s">
        <v>35606</v>
      </c>
      <c r="D2036" s="1" t="s">
        <v>1136</v>
      </c>
      <c r="E2036" s="1"/>
      <c r="F2036" s="1" t="s">
        <v>32073</v>
      </c>
      <c r="G2036" s="1" t="s">
        <v>35607</v>
      </c>
      <c r="H2036" s="1" t="s">
        <v>35608</v>
      </c>
      <c r="I2036" s="1" t="s">
        <v>35609</v>
      </c>
      <c r="J2036" s="1">
        <v>8019470537</v>
      </c>
      <c r="K2036" s="1" t="s">
        <v>84</v>
      </c>
      <c r="L2036" s="1" t="s">
        <v>6916</v>
      </c>
      <c r="M2036" s="1" t="s">
        <v>86</v>
      </c>
      <c r="N2036" s="1" t="s">
        <v>4278</v>
      </c>
      <c r="O2036" s="1"/>
      <c r="P2036" s="1" t="s">
        <v>455</v>
      </c>
      <c r="Q2036" s="1" t="s">
        <v>35610</v>
      </c>
      <c r="R2036" s="1" t="s">
        <v>35611</v>
      </c>
      <c r="S2036" s="1">
        <v>9246524593</v>
      </c>
      <c r="T2036" s="1" t="s">
        <v>839</v>
      </c>
      <c r="U2036" s="1" t="s">
        <v>35612</v>
      </c>
      <c r="V2036" s="1">
        <v>8121146829</v>
      </c>
      <c r="W2036" s="1" t="s">
        <v>94</v>
      </c>
      <c r="X2036" s="1" t="s">
        <v>35613</v>
      </c>
      <c r="Y2036" s="1" t="s">
        <v>3031</v>
      </c>
      <c r="Z2036" s="1" t="s">
        <v>461</v>
      </c>
      <c r="AA2036" s="1" t="s">
        <v>35613</v>
      </c>
      <c r="AB2036" s="1" t="s">
        <v>3031</v>
      </c>
      <c r="AC2036" s="1" t="s">
        <v>461</v>
      </c>
      <c r="AD2036" s="1">
        <v>7.32</v>
      </c>
      <c r="AE2036" s="1" t="s">
        <v>98</v>
      </c>
      <c r="AF2036" s="1" t="s">
        <v>2653</v>
      </c>
      <c r="AG2036" s="1" t="s">
        <v>2634</v>
      </c>
      <c r="AH2036" s="1" t="s">
        <v>1396</v>
      </c>
      <c r="AI2036" s="1" t="s">
        <v>573</v>
      </c>
      <c r="AJ2036" s="1">
        <v>82</v>
      </c>
      <c r="AK2036" s="1">
        <v>8.2</v>
      </c>
      <c r="AL2036" s="1" t="s">
        <v>1603</v>
      </c>
      <c r="AM2036" s="1" t="s">
        <v>7244</v>
      </c>
      <c r="AN2036" s="1" t="s">
        <v>6323</v>
      </c>
      <c r="AO2036" s="1" t="s">
        <v>388</v>
      </c>
      <c r="AP2036" s="1" t="s">
        <v>547</v>
      </c>
      <c r="AQ2036" s="1">
        <v>87.3</v>
      </c>
      <c r="AR2036" s="1">
        <v>0</v>
      </c>
      <c r="AS2036" s="1"/>
      <c r="AT2036" s="1"/>
      <c r="AU2036" s="1"/>
      <c r="AV2036" s="1"/>
      <c r="AW2036" s="1"/>
      <c r="AX2036" s="1"/>
      <c r="AY2036" s="1" t="s">
        <v>3035</v>
      </c>
      <c r="AZ2036" s="1" t="s">
        <v>35614</v>
      </c>
      <c r="BA2036" s="1" t="s">
        <v>35549</v>
      </c>
      <c r="BB2036" s="1" t="s">
        <v>35615</v>
      </c>
      <c r="BC2036" s="1" t="s">
        <v>315</v>
      </c>
      <c r="BD2036" s="1" t="s">
        <v>1400</v>
      </c>
      <c r="BE2036" s="1">
        <v>78.8</v>
      </c>
      <c r="BF2036" s="1">
        <v>8.38</v>
      </c>
      <c r="BG2036" s="1"/>
      <c r="BH2036" s="1"/>
      <c r="BI2036" s="1"/>
      <c r="BJ2036" s="1"/>
      <c r="BK2036" s="1"/>
      <c r="BL2036" s="1"/>
      <c r="BM2036" s="1"/>
      <c r="BN2036" s="1"/>
      <c r="BO2036" s="1" t="s">
        <v>35616</v>
      </c>
      <c r="BP2036" s="1"/>
      <c r="BQ2036" s="1"/>
      <c r="BR2036" s="1"/>
      <c r="BS2036" s="1"/>
      <c r="BT2036" s="1" t="s">
        <v>35617</v>
      </c>
      <c r="BU2036" s="1" t="str">
        <f>HYPERLINK("https://nconnect.nicmar.ac.in/storage/profile/ProfilePhoto_P25702013_817429.jpg","Download")</f>
        <v>0</v>
      </c>
      <c r="BV2036" s="3"/>
      <c r="BW2036" s="3"/>
    </row>
    <row r="2037" spans="1:75">
      <c r="A2037" s="1" t="s">
        <v>26662</v>
      </c>
      <c r="B2037" s="1" t="s">
        <v>446</v>
      </c>
      <c r="C2037" s="1" t="s">
        <v>35618</v>
      </c>
      <c r="D2037" s="1" t="s">
        <v>4988</v>
      </c>
      <c r="E2037" s="1" t="s">
        <v>35619</v>
      </c>
      <c r="F2037" s="1" t="s">
        <v>35620</v>
      </c>
      <c r="G2037" s="1" t="s">
        <v>35621</v>
      </c>
      <c r="H2037" s="1" t="s">
        <v>35622</v>
      </c>
      <c r="I2037" s="1" t="s">
        <v>35623</v>
      </c>
      <c r="J2037" s="1">
        <v>8307581603</v>
      </c>
      <c r="K2037" s="1" t="s">
        <v>153</v>
      </c>
      <c r="L2037" s="1" t="s">
        <v>32215</v>
      </c>
      <c r="M2037" s="1" t="s">
        <v>86</v>
      </c>
      <c r="N2037" s="1" t="s">
        <v>246</v>
      </c>
      <c r="O2037" s="1" t="s">
        <v>35624</v>
      </c>
      <c r="P2037" s="1" t="s">
        <v>507</v>
      </c>
      <c r="Q2037" s="1" t="s">
        <v>35625</v>
      </c>
      <c r="R2037" s="1" t="s">
        <v>35619</v>
      </c>
      <c r="S2037" s="1">
        <v>8307581603</v>
      </c>
      <c r="T2037" s="1" t="s">
        <v>35626</v>
      </c>
      <c r="U2037" s="1" t="s">
        <v>2281</v>
      </c>
      <c r="V2037" s="1">
        <v>8550911603</v>
      </c>
      <c r="W2037" s="1" t="s">
        <v>278</v>
      </c>
      <c r="X2037" s="1" t="s">
        <v>35627</v>
      </c>
      <c r="Y2037" s="1" t="s">
        <v>1779</v>
      </c>
      <c r="Z2037" s="1" t="s">
        <v>97</v>
      </c>
      <c r="AA2037" s="1" t="s">
        <v>35627</v>
      </c>
      <c r="AB2037" s="1" t="s">
        <v>1779</v>
      </c>
      <c r="AC2037" s="1" t="s">
        <v>97</v>
      </c>
      <c r="AD2037" s="1">
        <v>7.55</v>
      </c>
      <c r="AE2037" s="1" t="s">
        <v>98</v>
      </c>
      <c r="AF2037" s="1" t="s">
        <v>35628</v>
      </c>
      <c r="AG2037" s="1" t="s">
        <v>35629</v>
      </c>
      <c r="AH2037" s="1" t="s">
        <v>1110</v>
      </c>
      <c r="AI2037" s="1" t="s">
        <v>627</v>
      </c>
      <c r="AJ2037" s="1">
        <v>85.5</v>
      </c>
      <c r="AK2037" s="1">
        <v>9</v>
      </c>
      <c r="AL2037" s="1" t="s">
        <v>35630</v>
      </c>
      <c r="AM2037" s="1" t="s">
        <v>35631</v>
      </c>
      <c r="AN2037" s="1"/>
      <c r="AO2037" s="1" t="s">
        <v>171</v>
      </c>
      <c r="AP2037" s="1" t="s">
        <v>313</v>
      </c>
      <c r="AQ2037" s="1">
        <v>71.4</v>
      </c>
      <c r="AR2037" s="1"/>
      <c r="AS2037" s="1"/>
      <c r="AT2037" s="1"/>
      <c r="AU2037" s="1"/>
      <c r="AV2037" s="1"/>
      <c r="AW2037" s="1"/>
      <c r="AX2037" s="1"/>
      <c r="AY2037" s="1" t="s">
        <v>366</v>
      </c>
      <c r="AZ2037" s="1" t="s">
        <v>35632</v>
      </c>
      <c r="BA2037" s="1"/>
      <c r="BB2037" s="1"/>
      <c r="BC2037" s="1" t="s">
        <v>315</v>
      </c>
      <c r="BD2037" s="1" t="s">
        <v>207</v>
      </c>
      <c r="BE2037" s="1">
        <v>60.07</v>
      </c>
      <c r="BF2037" s="1">
        <v>6.75</v>
      </c>
      <c r="BG2037" s="1"/>
      <c r="BH2037" s="1"/>
      <c r="BI2037" s="1"/>
      <c r="BJ2037" s="1"/>
      <c r="BK2037" s="1"/>
      <c r="BL2037" s="1"/>
      <c r="BM2037" s="1"/>
      <c r="BN2037" s="1"/>
      <c r="BO2037" s="1" t="s">
        <v>35633</v>
      </c>
      <c r="BP2037" s="1" t="s">
        <v>35634</v>
      </c>
      <c r="BQ2037" s="1" t="s">
        <v>7478</v>
      </c>
      <c r="BR2037" s="1" t="s">
        <v>35635</v>
      </c>
      <c r="BS2037" s="1">
        <v>30</v>
      </c>
      <c r="BT2037" s="1"/>
      <c r="BU2037" s="1" t="str">
        <f>HYPERLINK("https://nconnect.nicmar.ac.in/storage/profile/ProfilePhoto_P25702014_613248.jpg","Download")</f>
        <v>0</v>
      </c>
      <c r="BV2037" s="3"/>
      <c r="BW2037" s="3"/>
    </row>
    <row r="2038" spans="1:75">
      <c r="A2038" s="1" t="s">
        <v>26662</v>
      </c>
      <c r="B2038" s="1" t="s">
        <v>446</v>
      </c>
      <c r="C2038" s="1" t="s">
        <v>35636</v>
      </c>
      <c r="D2038" s="1" t="s">
        <v>32960</v>
      </c>
      <c r="E2038" s="1" t="s">
        <v>2098</v>
      </c>
      <c r="F2038" s="1" t="s">
        <v>35637</v>
      </c>
      <c r="G2038" s="1" t="s">
        <v>35638</v>
      </c>
      <c r="H2038" s="1" t="s">
        <v>35639</v>
      </c>
      <c r="I2038" s="1" t="s">
        <v>35640</v>
      </c>
      <c r="J2038" s="1">
        <v>9820329908</v>
      </c>
      <c r="K2038" s="1" t="s">
        <v>84</v>
      </c>
      <c r="L2038" s="1" t="s">
        <v>2314</v>
      </c>
      <c r="M2038" s="1" t="s">
        <v>86</v>
      </c>
      <c r="N2038" s="1" t="s">
        <v>903</v>
      </c>
      <c r="O2038" s="1"/>
      <c r="P2038" s="1" t="s">
        <v>481</v>
      </c>
      <c r="Q2038" s="1" t="s">
        <v>35641</v>
      </c>
      <c r="R2038" s="1" t="s">
        <v>35642</v>
      </c>
      <c r="S2038" s="1">
        <v>9594949875</v>
      </c>
      <c r="T2038" s="1" t="s">
        <v>35643</v>
      </c>
      <c r="U2038" s="1" t="s">
        <v>35644</v>
      </c>
      <c r="V2038" s="1">
        <v>9594949874</v>
      </c>
      <c r="W2038" s="1" t="s">
        <v>35645</v>
      </c>
      <c r="X2038" s="1" t="s">
        <v>35646</v>
      </c>
      <c r="Y2038" s="1" t="s">
        <v>196</v>
      </c>
      <c r="Z2038" s="1" t="s">
        <v>97</v>
      </c>
      <c r="AA2038" s="1" t="s">
        <v>35647</v>
      </c>
      <c r="AB2038" s="1" t="s">
        <v>2259</v>
      </c>
      <c r="AC2038" s="1" t="s">
        <v>97</v>
      </c>
      <c r="AD2038" s="1">
        <v>9.53</v>
      </c>
      <c r="AE2038" s="1" t="s">
        <v>98</v>
      </c>
      <c r="AF2038" s="1" t="s">
        <v>35648</v>
      </c>
      <c r="AG2038" s="1" t="s">
        <v>35649</v>
      </c>
      <c r="AH2038" s="1" t="s">
        <v>3112</v>
      </c>
      <c r="AI2038" s="1" t="s">
        <v>573</v>
      </c>
      <c r="AJ2038" s="1">
        <v>82</v>
      </c>
      <c r="AK2038" s="1"/>
      <c r="AL2038" s="1" t="s">
        <v>35650</v>
      </c>
      <c r="AM2038" s="1" t="s">
        <v>4342</v>
      </c>
      <c r="AN2038" s="1"/>
      <c r="AO2038" s="1" t="s">
        <v>230</v>
      </c>
      <c r="AP2038" s="1" t="s">
        <v>313</v>
      </c>
      <c r="AQ2038" s="1">
        <v>78.15</v>
      </c>
      <c r="AR2038" s="1"/>
      <c r="AS2038" s="1"/>
      <c r="AT2038" s="1"/>
      <c r="AU2038" s="1"/>
      <c r="AV2038" s="1"/>
      <c r="AW2038" s="1"/>
      <c r="AX2038" s="1"/>
      <c r="AY2038" s="1" t="s">
        <v>680</v>
      </c>
      <c r="AZ2038" s="1" t="s">
        <v>35651</v>
      </c>
      <c r="BA2038" s="1"/>
      <c r="BB2038" s="1"/>
      <c r="BC2038" s="1" t="s">
        <v>206</v>
      </c>
      <c r="BD2038" s="1" t="s">
        <v>418</v>
      </c>
      <c r="BE2038" s="1">
        <v>62</v>
      </c>
      <c r="BF2038" s="1">
        <v>6.75</v>
      </c>
      <c r="BG2038" s="1"/>
      <c r="BH2038" s="1"/>
      <c r="BI2038" s="1"/>
      <c r="BJ2038" s="1"/>
      <c r="BK2038" s="1"/>
      <c r="BL2038" s="1"/>
      <c r="BM2038" s="1"/>
      <c r="BN2038" s="1"/>
      <c r="BO2038" s="1" t="s">
        <v>35652</v>
      </c>
      <c r="BP2038" s="1" t="s">
        <v>35653</v>
      </c>
      <c r="BQ2038" s="1" t="s">
        <v>1070</v>
      </c>
      <c r="BR2038" s="1" t="s">
        <v>35654</v>
      </c>
      <c r="BS2038" s="1">
        <v>26</v>
      </c>
      <c r="BT2038" s="1" t="s">
        <v>35655</v>
      </c>
      <c r="BU2038" s="1" t="str">
        <f>HYPERLINK("https://nconnect.nicmar.ac.in/storage/profile/ProfilePhoto_P25702015_368254.jpg","Download")</f>
        <v>0</v>
      </c>
      <c r="BV2038" s="3"/>
      <c r="BW2038" s="3"/>
    </row>
    <row r="2039" spans="1:75">
      <c r="A2039" s="1" t="s">
        <v>26662</v>
      </c>
      <c r="B2039" s="1" t="s">
        <v>446</v>
      </c>
      <c r="C2039" s="1" t="s">
        <v>35656</v>
      </c>
      <c r="D2039" s="1" t="s">
        <v>35657</v>
      </c>
      <c r="E2039" s="1" t="s">
        <v>35658</v>
      </c>
      <c r="F2039" s="1" t="s">
        <v>35659</v>
      </c>
      <c r="G2039" s="1" t="s">
        <v>35660</v>
      </c>
      <c r="H2039" s="1" t="s">
        <v>35661</v>
      </c>
      <c r="I2039" s="1" t="s">
        <v>35662</v>
      </c>
      <c r="J2039" s="1">
        <v>7204781163</v>
      </c>
      <c r="K2039" s="1" t="s">
        <v>84</v>
      </c>
      <c r="L2039" s="1" t="s">
        <v>35663</v>
      </c>
      <c r="M2039" s="1" t="s">
        <v>86</v>
      </c>
      <c r="N2039" s="1" t="s">
        <v>11423</v>
      </c>
      <c r="O2039" s="1"/>
      <c r="P2039" s="1" t="s">
        <v>1028</v>
      </c>
      <c r="Q2039" s="1" t="s">
        <v>35664</v>
      </c>
      <c r="R2039" s="1" t="s">
        <v>35665</v>
      </c>
      <c r="S2039" s="1">
        <v>7204781163</v>
      </c>
      <c r="T2039" s="1" t="s">
        <v>9909</v>
      </c>
      <c r="U2039" s="1" t="s">
        <v>35666</v>
      </c>
      <c r="V2039" s="1">
        <v>9901435792</v>
      </c>
      <c r="W2039" s="1" t="s">
        <v>127</v>
      </c>
      <c r="X2039" s="1" t="s">
        <v>35667</v>
      </c>
      <c r="Y2039" s="1" t="s">
        <v>6414</v>
      </c>
      <c r="Z2039" s="1" t="s">
        <v>1210</v>
      </c>
      <c r="AA2039" s="1" t="s">
        <v>35667</v>
      </c>
      <c r="AB2039" s="1" t="s">
        <v>6414</v>
      </c>
      <c r="AC2039" s="1" t="s">
        <v>1210</v>
      </c>
      <c r="AD2039" s="1">
        <v>7.61</v>
      </c>
      <c r="AE2039" s="1" t="s">
        <v>98</v>
      </c>
      <c r="AF2039" s="1" t="s">
        <v>35668</v>
      </c>
      <c r="AG2039" s="1" t="s">
        <v>35669</v>
      </c>
      <c r="AH2039" s="1" t="s">
        <v>170</v>
      </c>
      <c r="AI2039" s="1" t="s">
        <v>171</v>
      </c>
      <c r="AJ2039" s="1">
        <v>53.4</v>
      </c>
      <c r="AK2039" s="1"/>
      <c r="AL2039" s="1" t="s">
        <v>35670</v>
      </c>
      <c r="AM2039" s="1" t="s">
        <v>35671</v>
      </c>
      <c r="AN2039" s="1" t="s">
        <v>575</v>
      </c>
      <c r="AO2039" s="1" t="s">
        <v>438</v>
      </c>
      <c r="AP2039" s="1" t="s">
        <v>178</v>
      </c>
      <c r="AQ2039" s="1">
        <v>70.83</v>
      </c>
      <c r="AR2039" s="1"/>
      <c r="AS2039" s="1"/>
      <c r="AT2039" s="1"/>
      <c r="AU2039" s="1"/>
      <c r="AV2039" s="1"/>
      <c r="AW2039" s="1"/>
      <c r="AX2039" s="1"/>
      <c r="AY2039" s="1" t="s">
        <v>35672</v>
      </c>
      <c r="AZ2039" s="1" t="s">
        <v>35673</v>
      </c>
      <c r="BA2039" s="1" t="s">
        <v>578</v>
      </c>
      <c r="BB2039" s="1" t="s">
        <v>467</v>
      </c>
      <c r="BC2039" s="1" t="s">
        <v>233</v>
      </c>
      <c r="BD2039" s="1" t="s">
        <v>1089</v>
      </c>
      <c r="BE2039" s="1">
        <v>61</v>
      </c>
      <c r="BF2039" s="1">
        <v>7.42</v>
      </c>
      <c r="BG2039" s="1"/>
      <c r="BH2039" s="1"/>
      <c r="BI2039" s="1"/>
      <c r="BJ2039" s="1"/>
      <c r="BK2039" s="1"/>
      <c r="BL2039" s="1"/>
      <c r="BM2039" s="1"/>
      <c r="BN2039" s="1"/>
      <c r="BO2039" s="1" t="s">
        <v>35674</v>
      </c>
      <c r="BP2039" s="1"/>
      <c r="BQ2039" s="1"/>
      <c r="BR2039" s="1" t="s">
        <v>35675</v>
      </c>
      <c r="BS2039" s="1">
        <v>8</v>
      </c>
      <c r="BT2039" s="1" t="s">
        <v>35676</v>
      </c>
      <c r="BU2039" s="1" t="str">
        <f>HYPERLINK("https://nconnect.nicmar.ac.in/storage/profile/ProfilePhoto_P25702016_652349.jpg","Download")</f>
        <v>0</v>
      </c>
      <c r="BV2039" s="3"/>
      <c r="BW2039" s="3"/>
    </row>
    <row r="2040" spans="1:75">
      <c r="A2040" s="1" t="s">
        <v>26662</v>
      </c>
      <c r="B2040" s="1" t="s">
        <v>446</v>
      </c>
      <c r="C2040" s="1" t="s">
        <v>35677</v>
      </c>
      <c r="D2040" s="1" t="s">
        <v>6742</v>
      </c>
      <c r="E2040" s="1" t="s">
        <v>2500</v>
      </c>
      <c r="F2040" s="1" t="s">
        <v>35678</v>
      </c>
      <c r="G2040" s="1" t="s">
        <v>35679</v>
      </c>
      <c r="H2040" s="1" t="s">
        <v>35680</v>
      </c>
      <c r="I2040" s="1" t="s">
        <v>35681</v>
      </c>
      <c r="J2040" s="1">
        <v>9423462102</v>
      </c>
      <c r="K2040" s="1" t="s">
        <v>84</v>
      </c>
      <c r="L2040" s="1" t="s">
        <v>35682</v>
      </c>
      <c r="M2040" s="1" t="s">
        <v>86</v>
      </c>
      <c r="N2040" s="1" t="s">
        <v>618</v>
      </c>
      <c r="O2040" s="1"/>
      <c r="P2040" s="1" t="s">
        <v>507</v>
      </c>
      <c r="Q2040" s="1" t="s">
        <v>35683</v>
      </c>
      <c r="R2040" s="1" t="s">
        <v>2500</v>
      </c>
      <c r="S2040" s="1">
        <v>9371436304</v>
      </c>
      <c r="T2040" s="1" t="s">
        <v>35684</v>
      </c>
      <c r="U2040" s="1" t="s">
        <v>2281</v>
      </c>
      <c r="V2040" s="1">
        <v>8999895927</v>
      </c>
      <c r="W2040" s="1" t="s">
        <v>127</v>
      </c>
      <c r="X2040" s="1" t="s">
        <v>35685</v>
      </c>
      <c r="Y2040" s="1" t="s">
        <v>384</v>
      </c>
      <c r="Z2040" s="1" t="s">
        <v>97</v>
      </c>
      <c r="AA2040" s="1" t="s">
        <v>35685</v>
      </c>
      <c r="AB2040" s="1" t="s">
        <v>384</v>
      </c>
      <c r="AC2040" s="1" t="s">
        <v>97</v>
      </c>
      <c r="AD2040" s="1">
        <v>7.05</v>
      </c>
      <c r="AE2040" s="1" t="s">
        <v>98</v>
      </c>
      <c r="AF2040" s="1" t="s">
        <v>35686</v>
      </c>
      <c r="AG2040" s="1" t="s">
        <v>35687</v>
      </c>
      <c r="AH2040" s="1" t="s">
        <v>29186</v>
      </c>
      <c r="AI2040" s="1" t="s">
        <v>414</v>
      </c>
      <c r="AJ2040" s="1">
        <v>58.8</v>
      </c>
      <c r="AK2040" s="1"/>
      <c r="AL2040" s="1" t="s">
        <v>35688</v>
      </c>
      <c r="AM2040" s="1" t="s">
        <v>35689</v>
      </c>
      <c r="AN2040" s="1"/>
      <c r="AO2040" s="1" t="s">
        <v>315</v>
      </c>
      <c r="AP2040" s="1" t="s">
        <v>845</v>
      </c>
      <c r="AQ2040" s="1">
        <v>78.67</v>
      </c>
      <c r="AR2040" s="1"/>
      <c r="AS2040" s="1"/>
      <c r="AT2040" s="1"/>
      <c r="AU2040" s="1"/>
      <c r="AV2040" s="1"/>
      <c r="AW2040" s="1"/>
      <c r="AX2040" s="1"/>
      <c r="AY2040" s="1" t="s">
        <v>35690</v>
      </c>
      <c r="AZ2040" s="1" t="s">
        <v>35691</v>
      </c>
      <c r="BA2040" s="1"/>
      <c r="BB2040" s="1"/>
      <c r="BC2040" s="1" t="s">
        <v>441</v>
      </c>
      <c r="BD2040" s="1" t="s">
        <v>5340</v>
      </c>
      <c r="BE2040" s="1">
        <v>54.2</v>
      </c>
      <c r="BF2040" s="1">
        <v>5.92</v>
      </c>
      <c r="BG2040" s="1"/>
      <c r="BH2040" s="1"/>
      <c r="BI2040" s="1"/>
      <c r="BJ2040" s="1"/>
      <c r="BK2040" s="1"/>
      <c r="BL2040" s="1"/>
      <c r="BM2040" s="1"/>
      <c r="BN2040" s="1"/>
      <c r="BO2040" s="1" t="s">
        <v>11108</v>
      </c>
      <c r="BP2040" s="1"/>
      <c r="BQ2040" s="1"/>
      <c r="BR2040" s="1" t="s">
        <v>35692</v>
      </c>
      <c r="BS2040" s="1">
        <v>24</v>
      </c>
      <c r="BT2040" s="1"/>
      <c r="BU2040" s="1" t="str">
        <f>HYPERLINK("https://nconnect.nicmar.ac.in/storage/profile/ProfilePhoto_P25702018_693254.jpg","Download")</f>
        <v>0</v>
      </c>
      <c r="BV2040" s="3"/>
      <c r="BW2040" s="3"/>
    </row>
    <row r="2041" spans="1:75">
      <c r="A2041" s="1" t="s">
        <v>26662</v>
      </c>
      <c r="B2041" s="1" t="s">
        <v>446</v>
      </c>
      <c r="C2041" s="1" t="s">
        <v>35693</v>
      </c>
      <c r="D2041" s="1" t="s">
        <v>35694</v>
      </c>
      <c r="E2041" s="1" t="s">
        <v>213</v>
      </c>
      <c r="F2041" s="1" t="s">
        <v>1872</v>
      </c>
      <c r="G2041" s="1" t="s">
        <v>35695</v>
      </c>
      <c r="H2041" s="1" t="s">
        <v>35696</v>
      </c>
      <c r="I2041" s="1" t="s">
        <v>35697</v>
      </c>
      <c r="J2041" s="1">
        <v>9372834212</v>
      </c>
      <c r="K2041" s="1" t="s">
        <v>153</v>
      </c>
      <c r="L2041" s="1" t="s">
        <v>16586</v>
      </c>
      <c r="M2041" s="1" t="s">
        <v>86</v>
      </c>
      <c r="N2041" s="1" t="s">
        <v>618</v>
      </c>
      <c r="O2041" s="1"/>
      <c r="P2041" s="1" t="s">
        <v>481</v>
      </c>
      <c r="Q2041" s="1" t="s">
        <v>35698</v>
      </c>
      <c r="R2041" s="1" t="s">
        <v>213</v>
      </c>
      <c r="S2041" s="1">
        <v>9594901838</v>
      </c>
      <c r="T2041" s="1" t="s">
        <v>35699</v>
      </c>
      <c r="U2041" s="1" t="s">
        <v>1126</v>
      </c>
      <c r="V2041" s="1">
        <v>9594931830</v>
      </c>
      <c r="W2041" s="1" t="s">
        <v>541</v>
      </c>
      <c r="X2041" s="1" t="s">
        <v>35700</v>
      </c>
      <c r="Y2041" s="1" t="s">
        <v>196</v>
      </c>
      <c r="Z2041" s="1" t="s">
        <v>97</v>
      </c>
      <c r="AA2041" s="1" t="s">
        <v>35700</v>
      </c>
      <c r="AB2041" s="1" t="s">
        <v>196</v>
      </c>
      <c r="AC2041" s="1" t="s">
        <v>97</v>
      </c>
      <c r="AD2041" s="1">
        <v>8.87</v>
      </c>
      <c r="AE2041" s="1" t="s">
        <v>98</v>
      </c>
      <c r="AF2041" s="1" t="s">
        <v>35701</v>
      </c>
      <c r="AG2041" s="1" t="s">
        <v>165</v>
      </c>
      <c r="AH2041" s="1" t="s">
        <v>167</v>
      </c>
      <c r="AI2041" s="1" t="s">
        <v>200</v>
      </c>
      <c r="AJ2041" s="1">
        <v>84.2</v>
      </c>
      <c r="AK2041" s="1"/>
      <c r="AL2041" s="1" t="s">
        <v>35702</v>
      </c>
      <c r="AM2041" s="1" t="s">
        <v>165</v>
      </c>
      <c r="AN2041" s="1" t="s">
        <v>575</v>
      </c>
      <c r="AO2041" s="1" t="s">
        <v>174</v>
      </c>
      <c r="AP2041" s="1" t="s">
        <v>203</v>
      </c>
      <c r="AQ2041" s="1">
        <v>58.77</v>
      </c>
      <c r="AR2041" s="1"/>
      <c r="AS2041" s="1"/>
      <c r="AT2041" s="1"/>
      <c r="AU2041" s="1"/>
      <c r="AV2041" s="1"/>
      <c r="AW2041" s="1"/>
      <c r="AX2041" s="1"/>
      <c r="AY2041" s="1" t="s">
        <v>680</v>
      </c>
      <c r="AZ2041" s="1" t="s">
        <v>35703</v>
      </c>
      <c r="BA2041" s="1" t="s">
        <v>682</v>
      </c>
      <c r="BB2041" s="1" t="s">
        <v>1561</v>
      </c>
      <c r="BC2041" s="1" t="s">
        <v>206</v>
      </c>
      <c r="BD2041" s="1" t="s">
        <v>1314</v>
      </c>
      <c r="BE2041" s="1">
        <v>69.35</v>
      </c>
      <c r="BF2041" s="1">
        <v>7.75</v>
      </c>
      <c r="BG2041" s="1"/>
      <c r="BH2041" s="1"/>
      <c r="BI2041" s="1"/>
      <c r="BJ2041" s="1"/>
      <c r="BK2041" s="1"/>
      <c r="BL2041" s="1"/>
      <c r="BM2041" s="1"/>
      <c r="BN2041" s="1"/>
      <c r="BO2041" s="1" t="s">
        <v>35704</v>
      </c>
      <c r="BP2041" s="1"/>
      <c r="BQ2041" s="1"/>
      <c r="BR2041" s="1" t="s">
        <v>35705</v>
      </c>
      <c r="BS2041" s="1">
        <v>52</v>
      </c>
      <c r="BT2041" s="1"/>
      <c r="BU2041" s="1" t="str">
        <f>HYPERLINK("https://nconnect.nicmar.ac.in/storage/profile/ProfilePhoto_P25702019_689217.jpg","Download")</f>
        <v>0</v>
      </c>
      <c r="BV2041" s="3"/>
      <c r="BW2041" s="3"/>
    </row>
    <row r="2042" spans="1:75">
      <c r="A2042" s="1" t="s">
        <v>26662</v>
      </c>
      <c r="B2042" s="1" t="s">
        <v>446</v>
      </c>
      <c r="C2042" s="1" t="s">
        <v>35706</v>
      </c>
      <c r="D2042" s="1" t="s">
        <v>5482</v>
      </c>
      <c r="E2042" s="1" t="s">
        <v>9151</v>
      </c>
      <c r="F2042" s="1" t="s">
        <v>35707</v>
      </c>
      <c r="G2042" s="1" t="s">
        <v>35708</v>
      </c>
      <c r="H2042" s="1" t="s">
        <v>35709</v>
      </c>
      <c r="I2042" s="1" t="s">
        <v>35710</v>
      </c>
      <c r="J2042" s="1">
        <v>7304181591</v>
      </c>
      <c r="K2042" s="1" t="s">
        <v>84</v>
      </c>
      <c r="L2042" s="1" t="s">
        <v>4177</v>
      </c>
      <c r="M2042" s="1" t="s">
        <v>86</v>
      </c>
      <c r="N2042" s="1" t="s">
        <v>7467</v>
      </c>
      <c r="O2042" s="1"/>
      <c r="P2042" s="1"/>
      <c r="Q2042" s="1" t="s">
        <v>35711</v>
      </c>
      <c r="R2042" s="1" t="s">
        <v>35712</v>
      </c>
      <c r="S2042" s="1">
        <v>7020459683</v>
      </c>
      <c r="T2042" s="1" t="s">
        <v>35713</v>
      </c>
      <c r="U2042" s="1" t="s">
        <v>35714</v>
      </c>
      <c r="V2042" s="1">
        <v>7559220280</v>
      </c>
      <c r="W2042" s="1" t="s">
        <v>278</v>
      </c>
      <c r="X2042" s="1" t="s">
        <v>35715</v>
      </c>
      <c r="Y2042" s="1" t="s">
        <v>196</v>
      </c>
      <c r="Z2042" s="1" t="s">
        <v>97</v>
      </c>
      <c r="AA2042" s="1" t="s">
        <v>35716</v>
      </c>
      <c r="AB2042" s="1" t="s">
        <v>410</v>
      </c>
      <c r="AC2042" s="1" t="s">
        <v>97</v>
      </c>
      <c r="AD2042" s="1">
        <v>6.21</v>
      </c>
      <c r="AE2042" s="1" t="s">
        <v>98</v>
      </c>
      <c r="AF2042" s="1" t="s">
        <v>35717</v>
      </c>
      <c r="AG2042" s="1" t="s">
        <v>1968</v>
      </c>
      <c r="AH2042" s="1" t="s">
        <v>1111</v>
      </c>
      <c r="AI2042" s="1" t="s">
        <v>200</v>
      </c>
      <c r="AJ2042" s="1">
        <v>71.8</v>
      </c>
      <c r="AK2042" s="1"/>
      <c r="AL2042" s="1"/>
      <c r="AM2042" s="1"/>
      <c r="AN2042" s="1"/>
      <c r="AO2042" s="1"/>
      <c r="AP2042" s="1"/>
      <c r="AQ2042" s="1"/>
      <c r="AR2042" s="1"/>
      <c r="AS2042" s="1" t="s">
        <v>103</v>
      </c>
      <c r="AT2042" s="1" t="s">
        <v>35718</v>
      </c>
      <c r="AU2042" s="1" t="s">
        <v>5535</v>
      </c>
      <c r="AV2042" s="1" t="s">
        <v>175</v>
      </c>
      <c r="AW2042" s="1">
        <v>82</v>
      </c>
      <c r="AX2042" s="1"/>
      <c r="AY2042" s="1" t="s">
        <v>415</v>
      </c>
      <c r="AZ2042" s="1" t="s">
        <v>35719</v>
      </c>
      <c r="BA2042" s="1"/>
      <c r="BB2042" s="1"/>
      <c r="BC2042" s="1" t="s">
        <v>233</v>
      </c>
      <c r="BD2042" s="1" t="s">
        <v>935</v>
      </c>
      <c r="BE2042" s="1">
        <v>53.3</v>
      </c>
      <c r="BF2042" s="1">
        <v>6.08</v>
      </c>
      <c r="BG2042" s="1"/>
      <c r="BH2042" s="1"/>
      <c r="BI2042" s="1"/>
      <c r="BJ2042" s="1"/>
      <c r="BK2042" s="1"/>
      <c r="BL2042" s="1"/>
      <c r="BM2042" s="1"/>
      <c r="BN2042" s="1"/>
      <c r="BO2042" s="1" t="s">
        <v>35720</v>
      </c>
      <c r="BP2042" s="1" t="s">
        <v>35721</v>
      </c>
      <c r="BQ2042" s="1" t="s">
        <v>2213</v>
      </c>
      <c r="BR2042" s="1" t="s">
        <v>35722</v>
      </c>
      <c r="BS2042" s="1">
        <v>8</v>
      </c>
      <c r="BT2042" s="1"/>
      <c r="BU2042" s="1" t="str">
        <f>HYPERLINK("https://nconnect.nicmar.ac.in/storage/profile/ProfilePhoto_P25702020_435189.jpg","Download")</f>
        <v>0</v>
      </c>
      <c r="BV2042" s="3"/>
      <c r="BW2042" s="3"/>
    </row>
    <row r="2043" spans="1:75">
      <c r="A2043" s="1" t="s">
        <v>26662</v>
      </c>
      <c r="B2043" s="1" t="s">
        <v>446</v>
      </c>
      <c r="C2043" s="1" t="s">
        <v>35723</v>
      </c>
      <c r="D2043" s="1" t="s">
        <v>1425</v>
      </c>
      <c r="E2043" s="1" t="s">
        <v>116</v>
      </c>
      <c r="F2043" s="1" t="s">
        <v>35724</v>
      </c>
      <c r="G2043" s="1" t="s">
        <v>35725</v>
      </c>
      <c r="H2043" s="1" t="s">
        <v>35726</v>
      </c>
      <c r="I2043" s="1" t="s">
        <v>35727</v>
      </c>
      <c r="J2043" s="1">
        <v>6363755919</v>
      </c>
      <c r="K2043" s="1" t="s">
        <v>84</v>
      </c>
      <c r="L2043" s="1" t="s">
        <v>35728</v>
      </c>
      <c r="M2043" s="1" t="s">
        <v>86</v>
      </c>
      <c r="N2043" s="1" t="s">
        <v>8091</v>
      </c>
      <c r="O2043" s="1"/>
      <c r="P2043" s="1" t="s">
        <v>507</v>
      </c>
      <c r="Q2043" s="1" t="s">
        <v>35729</v>
      </c>
      <c r="R2043" s="1" t="s">
        <v>35730</v>
      </c>
      <c r="S2043" s="1">
        <v>9481137721</v>
      </c>
      <c r="T2043" s="1" t="s">
        <v>35731</v>
      </c>
      <c r="U2043" s="1" t="s">
        <v>35732</v>
      </c>
      <c r="V2043" s="1">
        <v>9036906500</v>
      </c>
      <c r="W2043" s="1" t="s">
        <v>278</v>
      </c>
      <c r="X2043" s="1" t="s">
        <v>35733</v>
      </c>
      <c r="Y2043" s="1" t="s">
        <v>3729</v>
      </c>
      <c r="Z2043" s="1" t="s">
        <v>1210</v>
      </c>
      <c r="AA2043" s="1" t="s">
        <v>35733</v>
      </c>
      <c r="AB2043" s="1" t="s">
        <v>3729</v>
      </c>
      <c r="AC2043" s="1" t="s">
        <v>1210</v>
      </c>
      <c r="AD2043" s="1">
        <v>7.66</v>
      </c>
      <c r="AE2043" s="1" t="s">
        <v>98</v>
      </c>
      <c r="AF2043" s="1" t="s">
        <v>35734</v>
      </c>
      <c r="AG2043" s="1" t="s">
        <v>1946</v>
      </c>
      <c r="AH2043" s="1" t="s">
        <v>170</v>
      </c>
      <c r="AI2043" s="1" t="s">
        <v>490</v>
      </c>
      <c r="AJ2043" s="1">
        <v>75.52</v>
      </c>
      <c r="AK2043" s="1"/>
      <c r="AL2043" s="1"/>
      <c r="AM2043" s="1"/>
      <c r="AN2043" s="1"/>
      <c r="AO2043" s="1"/>
      <c r="AP2043" s="1"/>
      <c r="AQ2043" s="1"/>
      <c r="AR2043" s="1"/>
      <c r="AS2043" s="1" t="s">
        <v>103</v>
      </c>
      <c r="AT2043" s="1" t="s">
        <v>35735</v>
      </c>
      <c r="AU2043" s="1" t="s">
        <v>13749</v>
      </c>
      <c r="AV2043" s="1" t="s">
        <v>845</v>
      </c>
      <c r="AW2043" s="1">
        <v>59.62</v>
      </c>
      <c r="AX2043" s="1"/>
      <c r="AY2043" s="1" t="s">
        <v>7595</v>
      </c>
      <c r="AZ2043" s="1" t="s">
        <v>7595</v>
      </c>
      <c r="BA2043" s="1"/>
      <c r="BB2043" s="1"/>
      <c r="BC2043" s="1" t="s">
        <v>4722</v>
      </c>
      <c r="BD2043" s="1" t="s">
        <v>207</v>
      </c>
      <c r="BE2043" s="1">
        <v>66.3</v>
      </c>
      <c r="BF2043" s="1">
        <v>6.63</v>
      </c>
      <c r="BG2043" s="1"/>
      <c r="BH2043" s="1"/>
      <c r="BI2043" s="1"/>
      <c r="BJ2043" s="1"/>
      <c r="BK2043" s="1"/>
      <c r="BL2043" s="1"/>
      <c r="BM2043" s="1"/>
      <c r="BN2043" s="1"/>
      <c r="BO2043" s="1" t="s">
        <v>35736</v>
      </c>
      <c r="BP2043" s="1" t="s">
        <v>35737</v>
      </c>
      <c r="BQ2043" s="1" t="s">
        <v>1070</v>
      </c>
      <c r="BR2043" s="1" t="s">
        <v>35738</v>
      </c>
      <c r="BS2043" s="1">
        <v>14</v>
      </c>
      <c r="BT2043" s="1" t="s">
        <v>35739</v>
      </c>
      <c r="BU2043" s="1" t="str">
        <f>HYPERLINK("https://nconnect.nicmar.ac.in/storage/profile/ProfilePhoto_P25702021_253841.jpg","Download")</f>
        <v>0</v>
      </c>
      <c r="BV2043" s="3"/>
      <c r="BW2043" s="3"/>
    </row>
    <row r="2044" spans="1:75">
      <c r="A2044" s="1" t="s">
        <v>26662</v>
      </c>
      <c r="B2044" s="1" t="s">
        <v>446</v>
      </c>
      <c r="C2044" s="1" t="s">
        <v>35740</v>
      </c>
      <c r="D2044" s="1" t="s">
        <v>11469</v>
      </c>
      <c r="E2044" s="1" t="s">
        <v>35741</v>
      </c>
      <c r="F2044" s="1" t="s">
        <v>6636</v>
      </c>
      <c r="G2044" s="1" t="s">
        <v>35742</v>
      </c>
      <c r="H2044" s="1" t="s">
        <v>35743</v>
      </c>
      <c r="I2044" s="1" t="s">
        <v>35744</v>
      </c>
      <c r="J2044" s="1">
        <v>9825051825</v>
      </c>
      <c r="K2044" s="1" t="s">
        <v>84</v>
      </c>
      <c r="L2044" s="1" t="s">
        <v>9615</v>
      </c>
      <c r="M2044" s="1" t="s">
        <v>86</v>
      </c>
      <c r="N2044" s="1" t="s">
        <v>7185</v>
      </c>
      <c r="O2044" s="1"/>
      <c r="P2044" s="1" t="s">
        <v>507</v>
      </c>
      <c r="Q2044" s="1" t="s">
        <v>35745</v>
      </c>
      <c r="R2044" s="1" t="s">
        <v>35741</v>
      </c>
      <c r="S2044" s="1">
        <v>9825051425</v>
      </c>
      <c r="T2044" s="1" t="s">
        <v>926</v>
      </c>
      <c r="U2044" s="1" t="s">
        <v>25351</v>
      </c>
      <c r="V2044" s="1">
        <v>9727113797</v>
      </c>
      <c r="W2044" s="1" t="s">
        <v>161</v>
      </c>
      <c r="X2044" s="1" t="s">
        <v>35746</v>
      </c>
      <c r="Y2044" s="1" t="s">
        <v>196</v>
      </c>
      <c r="Z2044" s="1" t="s">
        <v>97</v>
      </c>
      <c r="AA2044" s="1" t="s">
        <v>35747</v>
      </c>
      <c r="AB2044" s="1" t="s">
        <v>8166</v>
      </c>
      <c r="AC2044" s="1" t="s">
        <v>676</v>
      </c>
      <c r="AD2044" s="1">
        <v>9.03</v>
      </c>
      <c r="AE2044" s="1" t="s">
        <v>98</v>
      </c>
      <c r="AF2044" s="1" t="s">
        <v>35748</v>
      </c>
      <c r="AG2044" s="1" t="s">
        <v>35749</v>
      </c>
      <c r="AH2044" s="1" t="s">
        <v>170</v>
      </c>
      <c r="AI2044" s="1" t="s">
        <v>174</v>
      </c>
      <c r="AJ2044" s="1">
        <v>86.16</v>
      </c>
      <c r="AK2044" s="1"/>
      <c r="AL2044" s="1" t="s">
        <v>35750</v>
      </c>
      <c r="AM2044" s="1" t="s">
        <v>35749</v>
      </c>
      <c r="AN2044" s="1"/>
      <c r="AO2044" s="1" t="s">
        <v>438</v>
      </c>
      <c r="AP2044" s="1" t="s">
        <v>417</v>
      </c>
      <c r="AQ2044" s="1">
        <v>68.76</v>
      </c>
      <c r="AR2044" s="1"/>
      <c r="AS2044" s="1"/>
      <c r="AT2044" s="1"/>
      <c r="AU2044" s="1"/>
      <c r="AV2044" s="1"/>
      <c r="AW2044" s="1"/>
      <c r="AX2044" s="1"/>
      <c r="AY2044" s="1" t="s">
        <v>35751</v>
      </c>
      <c r="AZ2044" s="1" t="s">
        <v>35752</v>
      </c>
      <c r="BA2044" s="1"/>
      <c r="BB2044" s="1"/>
      <c r="BC2044" s="1" t="s">
        <v>178</v>
      </c>
      <c r="BD2044" s="1" t="s">
        <v>418</v>
      </c>
      <c r="BE2044" s="1">
        <v>82.5</v>
      </c>
      <c r="BF2044" s="1">
        <v>8.75</v>
      </c>
      <c r="BG2044" s="1"/>
      <c r="BH2044" s="1"/>
      <c r="BI2044" s="1"/>
      <c r="BJ2044" s="1"/>
      <c r="BK2044" s="1"/>
      <c r="BL2044" s="1"/>
      <c r="BM2044" s="1"/>
      <c r="BN2044" s="1"/>
      <c r="BO2044" s="1" t="s">
        <v>35753</v>
      </c>
      <c r="BP2044" s="1"/>
      <c r="BQ2044" s="1"/>
      <c r="BR2044" s="1" t="s">
        <v>35754</v>
      </c>
      <c r="BS2044" s="1">
        <v>14</v>
      </c>
      <c r="BT2044" s="1" t="s">
        <v>35755</v>
      </c>
      <c r="BU2044" s="1" t="str">
        <f>HYPERLINK("https://nconnect.nicmar.ac.in/storage/profile/ProfilePhoto_P25702022_617352.jpg","Download")</f>
        <v>0</v>
      </c>
      <c r="BV2044" s="3"/>
      <c r="BW2044" s="3"/>
    </row>
    <row r="2045" spans="1:75">
      <c r="A2045" s="1" t="s">
        <v>26662</v>
      </c>
      <c r="B2045" s="1" t="s">
        <v>446</v>
      </c>
      <c r="C2045" s="1" t="s">
        <v>35756</v>
      </c>
      <c r="D2045" s="1" t="s">
        <v>14185</v>
      </c>
      <c r="E2045" s="1" t="s">
        <v>213</v>
      </c>
      <c r="F2045" s="1" t="s">
        <v>11351</v>
      </c>
      <c r="G2045" s="1" t="s">
        <v>35757</v>
      </c>
      <c r="H2045" s="1" t="s">
        <v>35758</v>
      </c>
      <c r="I2045" s="1" t="s">
        <v>35758</v>
      </c>
      <c r="J2045" s="1">
        <v>7350783095</v>
      </c>
      <c r="K2045" s="1" t="s">
        <v>153</v>
      </c>
      <c r="L2045" s="1" t="s">
        <v>29352</v>
      </c>
      <c r="M2045" s="1" t="s">
        <v>86</v>
      </c>
      <c r="N2045" s="1" t="s">
        <v>618</v>
      </c>
      <c r="O2045" s="1" t="s">
        <v>35759</v>
      </c>
      <c r="P2045" s="1" t="s">
        <v>2021</v>
      </c>
      <c r="Q2045" s="1" t="s">
        <v>35760</v>
      </c>
      <c r="R2045" s="1" t="s">
        <v>35761</v>
      </c>
      <c r="S2045" s="1">
        <v>9975485912</v>
      </c>
      <c r="T2045" s="1" t="s">
        <v>645</v>
      </c>
      <c r="U2045" s="1" t="s">
        <v>35762</v>
      </c>
      <c r="V2045" s="1">
        <v>8975244575</v>
      </c>
      <c r="W2045" s="1" t="s">
        <v>161</v>
      </c>
      <c r="X2045" s="1" t="s">
        <v>35763</v>
      </c>
      <c r="Y2045" s="1" t="s">
        <v>196</v>
      </c>
      <c r="Z2045" s="1" t="s">
        <v>97</v>
      </c>
      <c r="AA2045" s="1" t="s">
        <v>35764</v>
      </c>
      <c r="AB2045" s="1" t="s">
        <v>163</v>
      </c>
      <c r="AC2045" s="1" t="s">
        <v>97</v>
      </c>
      <c r="AD2045" s="1">
        <v>8.55</v>
      </c>
      <c r="AE2045" s="1" t="s">
        <v>98</v>
      </c>
      <c r="AF2045" s="1" t="s">
        <v>35765</v>
      </c>
      <c r="AG2045" s="1" t="s">
        <v>35766</v>
      </c>
      <c r="AH2045" s="1" t="s">
        <v>1213</v>
      </c>
      <c r="AI2045" s="1" t="s">
        <v>515</v>
      </c>
      <c r="AJ2045" s="1">
        <v>88.2</v>
      </c>
      <c r="AK2045" s="1">
        <v>0</v>
      </c>
      <c r="AL2045" s="1" t="s">
        <v>35767</v>
      </c>
      <c r="AM2045" s="1" t="s">
        <v>35768</v>
      </c>
      <c r="AN2045" s="1"/>
      <c r="AO2045" s="1" t="s">
        <v>102</v>
      </c>
      <c r="AP2045" s="1" t="s">
        <v>627</v>
      </c>
      <c r="AQ2045" s="1">
        <v>74.8</v>
      </c>
      <c r="AR2045" s="1"/>
      <c r="AS2045" s="1"/>
      <c r="AT2045" s="1"/>
      <c r="AU2045" s="1"/>
      <c r="AV2045" s="1"/>
      <c r="AW2045" s="1"/>
      <c r="AX2045" s="1"/>
      <c r="AY2045" s="1" t="s">
        <v>680</v>
      </c>
      <c r="AZ2045" s="1" t="s">
        <v>35769</v>
      </c>
      <c r="BA2045" s="1"/>
      <c r="BB2045" s="1"/>
      <c r="BC2045" s="1" t="s">
        <v>139</v>
      </c>
      <c r="BD2045" s="1" t="s">
        <v>847</v>
      </c>
      <c r="BE2045" s="1">
        <v>58.9</v>
      </c>
      <c r="BF2045" s="1">
        <v>5.89</v>
      </c>
      <c r="BG2045" s="1"/>
      <c r="BH2045" s="1"/>
      <c r="BI2045" s="1"/>
      <c r="BJ2045" s="1"/>
      <c r="BK2045" s="1"/>
      <c r="BL2045" s="1"/>
      <c r="BM2045" s="1"/>
      <c r="BN2045" s="1"/>
      <c r="BO2045" s="1" t="s">
        <v>35770</v>
      </c>
      <c r="BP2045" s="1" t="s">
        <v>35771</v>
      </c>
      <c r="BQ2045" s="1" t="s">
        <v>143</v>
      </c>
      <c r="BR2045" s="1" t="s">
        <v>35772</v>
      </c>
      <c r="BS2045" s="1">
        <v>33</v>
      </c>
      <c r="BT2045" s="1"/>
      <c r="BU2045" s="1" t="str">
        <f>HYPERLINK("https://nconnect.nicmar.ac.in/storage/profile/ProfilePhoto_P25702023_483726.jpg","Download")</f>
        <v>0</v>
      </c>
      <c r="BV2045" s="3"/>
      <c r="BW2045" s="3"/>
    </row>
    <row r="2046" spans="1:75">
      <c r="A2046" s="1" t="s">
        <v>26662</v>
      </c>
      <c r="B2046" s="1" t="s">
        <v>446</v>
      </c>
      <c r="C2046" s="1" t="s">
        <v>35773</v>
      </c>
      <c r="D2046" s="1" t="s">
        <v>5057</v>
      </c>
      <c r="E2046" s="1" t="s">
        <v>4966</v>
      </c>
      <c r="F2046" s="1" t="s">
        <v>3218</v>
      </c>
      <c r="G2046" s="1" t="s">
        <v>35774</v>
      </c>
      <c r="H2046" s="1" t="s">
        <v>35775</v>
      </c>
      <c r="I2046" s="1" t="s">
        <v>35776</v>
      </c>
      <c r="J2046" s="1">
        <v>7264038682</v>
      </c>
      <c r="K2046" s="1" t="s">
        <v>84</v>
      </c>
      <c r="L2046" s="1" t="s">
        <v>6731</v>
      </c>
      <c r="M2046" s="1" t="s">
        <v>86</v>
      </c>
      <c r="N2046" s="1" t="s">
        <v>4972</v>
      </c>
      <c r="O2046" s="1"/>
      <c r="P2046" s="1" t="s">
        <v>481</v>
      </c>
      <c r="Q2046" s="1" t="s">
        <v>35777</v>
      </c>
      <c r="R2046" s="1" t="s">
        <v>35778</v>
      </c>
      <c r="S2046" s="1">
        <v>9552899175</v>
      </c>
      <c r="T2046" s="1" t="s">
        <v>35779</v>
      </c>
      <c r="U2046" s="1" t="s">
        <v>35780</v>
      </c>
      <c r="V2046" s="1">
        <v>7775908847</v>
      </c>
      <c r="W2046" s="1" t="s">
        <v>161</v>
      </c>
      <c r="X2046" s="1" t="s">
        <v>35781</v>
      </c>
      <c r="Y2046" s="1" t="s">
        <v>384</v>
      </c>
      <c r="Z2046" s="1" t="s">
        <v>97</v>
      </c>
      <c r="AA2046" s="1" t="s">
        <v>35781</v>
      </c>
      <c r="AB2046" s="1" t="s">
        <v>384</v>
      </c>
      <c r="AC2046" s="1" t="s">
        <v>97</v>
      </c>
      <c r="AD2046" s="1">
        <v>8.0</v>
      </c>
      <c r="AE2046" s="1" t="s">
        <v>98</v>
      </c>
      <c r="AF2046" s="1" t="s">
        <v>35782</v>
      </c>
      <c r="AG2046" s="1" t="s">
        <v>312</v>
      </c>
      <c r="AH2046" s="1" t="s">
        <v>704</v>
      </c>
      <c r="AI2046" s="1" t="s">
        <v>171</v>
      </c>
      <c r="AJ2046" s="1">
        <v>71.4</v>
      </c>
      <c r="AK2046" s="1"/>
      <c r="AL2046" s="1" t="s">
        <v>35783</v>
      </c>
      <c r="AM2046" s="1" t="s">
        <v>35784</v>
      </c>
      <c r="AN2046" s="1"/>
      <c r="AO2046" s="1" t="s">
        <v>315</v>
      </c>
      <c r="AP2046" s="1" t="s">
        <v>365</v>
      </c>
      <c r="AQ2046" s="1">
        <v>58.92</v>
      </c>
      <c r="AR2046" s="1"/>
      <c r="AS2046" s="1"/>
      <c r="AT2046" s="1"/>
      <c r="AU2046" s="1"/>
      <c r="AV2046" s="1"/>
      <c r="AW2046" s="1"/>
      <c r="AX2046" s="1"/>
      <c r="AY2046" s="1" t="s">
        <v>35785</v>
      </c>
      <c r="AZ2046" s="1" t="s">
        <v>35786</v>
      </c>
      <c r="BA2046" s="1"/>
      <c r="BB2046" s="1"/>
      <c r="BC2046" s="1" t="s">
        <v>871</v>
      </c>
      <c r="BD2046" s="1" t="s">
        <v>848</v>
      </c>
      <c r="BE2046" s="1">
        <v>55.6</v>
      </c>
      <c r="BF2046" s="1">
        <v>6.31</v>
      </c>
      <c r="BG2046" s="1"/>
      <c r="BH2046" s="1"/>
      <c r="BI2046" s="1"/>
      <c r="BJ2046" s="1"/>
      <c r="BK2046" s="1"/>
      <c r="BL2046" s="1"/>
      <c r="BM2046" s="1"/>
      <c r="BN2046" s="1"/>
      <c r="BO2046" s="1" t="s">
        <v>35787</v>
      </c>
      <c r="BP2046" s="1"/>
      <c r="BQ2046" s="1"/>
      <c r="BR2046" s="1" t="s">
        <v>35788</v>
      </c>
      <c r="BS2046" s="1">
        <v>29</v>
      </c>
      <c r="BT2046" s="1" t="s">
        <v>35789</v>
      </c>
      <c r="BU2046" s="1" t="str">
        <f>HYPERLINK("https://nconnect.nicmar.ac.in/storage/profile/ProfilePhoto_P25702024_291845.jpg","Download")</f>
        <v>0</v>
      </c>
      <c r="BV2046" s="3"/>
      <c r="BW2046" s="3"/>
    </row>
    <row r="2047" spans="1:75">
      <c r="A2047" s="1" t="s">
        <v>26662</v>
      </c>
      <c r="B2047" s="1" t="s">
        <v>446</v>
      </c>
      <c r="C2047" s="1" t="s">
        <v>35790</v>
      </c>
      <c r="D2047" s="1" t="s">
        <v>3666</v>
      </c>
      <c r="E2047" s="1" t="s">
        <v>2734</v>
      </c>
      <c r="F2047" s="1" t="s">
        <v>35791</v>
      </c>
      <c r="G2047" s="1" t="s">
        <v>35792</v>
      </c>
      <c r="H2047" s="1" t="s">
        <v>35793</v>
      </c>
      <c r="I2047" s="1" t="s">
        <v>35794</v>
      </c>
      <c r="J2047" s="1">
        <v>9403851279</v>
      </c>
      <c r="K2047" s="1" t="s">
        <v>84</v>
      </c>
      <c r="L2047" s="1" t="s">
        <v>18723</v>
      </c>
      <c r="M2047" s="1" t="s">
        <v>86</v>
      </c>
      <c r="N2047" s="1" t="s">
        <v>6605</v>
      </c>
      <c r="O2047" s="1"/>
      <c r="P2047" s="1" t="s">
        <v>481</v>
      </c>
      <c r="Q2047" s="1" t="s">
        <v>35795</v>
      </c>
      <c r="R2047" s="1" t="s">
        <v>2734</v>
      </c>
      <c r="S2047" s="1">
        <v>9422691741</v>
      </c>
      <c r="T2047" s="1" t="s">
        <v>6019</v>
      </c>
      <c r="U2047" s="1" t="s">
        <v>3340</v>
      </c>
      <c r="V2047" s="1">
        <v>9422196757</v>
      </c>
      <c r="W2047" s="1" t="s">
        <v>161</v>
      </c>
      <c r="X2047" s="1" t="s">
        <v>35796</v>
      </c>
      <c r="Y2047" s="1" t="s">
        <v>1012</v>
      </c>
      <c r="Z2047" s="1" t="s">
        <v>97</v>
      </c>
      <c r="AA2047" s="1" t="s">
        <v>35796</v>
      </c>
      <c r="AB2047" s="1" t="s">
        <v>1012</v>
      </c>
      <c r="AC2047" s="1" t="s">
        <v>97</v>
      </c>
      <c r="AD2047" s="1">
        <v>7.08</v>
      </c>
      <c r="AE2047" s="1" t="s">
        <v>98</v>
      </c>
      <c r="AF2047" s="1" t="s">
        <v>26612</v>
      </c>
      <c r="AG2047" s="1" t="s">
        <v>1968</v>
      </c>
      <c r="AH2047" s="1" t="s">
        <v>167</v>
      </c>
      <c r="AI2047" s="1" t="s">
        <v>573</v>
      </c>
      <c r="AJ2047" s="1">
        <v>75.2</v>
      </c>
      <c r="AK2047" s="1"/>
      <c r="AL2047" s="1" t="s">
        <v>35797</v>
      </c>
      <c r="AM2047" s="1" t="s">
        <v>1968</v>
      </c>
      <c r="AN2047" s="1"/>
      <c r="AO2047" s="1" t="s">
        <v>174</v>
      </c>
      <c r="AP2047" s="1" t="s">
        <v>547</v>
      </c>
      <c r="AQ2047" s="1">
        <v>52.15</v>
      </c>
      <c r="AR2047" s="1"/>
      <c r="AS2047" s="1"/>
      <c r="AT2047" s="1"/>
      <c r="AU2047" s="1"/>
      <c r="AV2047" s="1"/>
      <c r="AW2047" s="1"/>
      <c r="AX2047" s="1"/>
      <c r="AY2047" s="1" t="s">
        <v>35798</v>
      </c>
      <c r="AZ2047" s="1" t="s">
        <v>35799</v>
      </c>
      <c r="BA2047" s="1"/>
      <c r="BB2047" s="1"/>
      <c r="BC2047" s="1" t="s">
        <v>315</v>
      </c>
      <c r="BD2047" s="1" t="s">
        <v>234</v>
      </c>
      <c r="BE2047" s="1">
        <v>67.1</v>
      </c>
      <c r="BF2047" s="1">
        <v>7.46</v>
      </c>
      <c r="BG2047" s="1"/>
      <c r="BH2047" s="1"/>
      <c r="BI2047" s="1"/>
      <c r="BJ2047" s="1"/>
      <c r="BK2047" s="1"/>
      <c r="BL2047" s="1"/>
      <c r="BM2047" s="1"/>
      <c r="BN2047" s="1"/>
      <c r="BO2047" s="1" t="s">
        <v>35800</v>
      </c>
      <c r="BP2047" s="1"/>
      <c r="BQ2047" s="1"/>
      <c r="BR2047" s="1" t="s">
        <v>35801</v>
      </c>
      <c r="BS2047" s="1">
        <v>21</v>
      </c>
      <c r="BT2047" s="1"/>
      <c r="BU2047" s="1" t="str">
        <f>HYPERLINK("https://nconnect.nicmar.ac.in/storage/profile/ProfilePhoto_P25702025_648375.jpg","Download")</f>
        <v>0</v>
      </c>
      <c r="BV2047" s="3"/>
      <c r="BW2047" s="3"/>
    </row>
    <row r="2048" spans="1:75">
      <c r="A2048" s="1" t="s">
        <v>26662</v>
      </c>
      <c r="B2048" s="1" t="s">
        <v>446</v>
      </c>
      <c r="C2048" s="1" t="s">
        <v>35802</v>
      </c>
      <c r="D2048" s="1" t="s">
        <v>9423</v>
      </c>
      <c r="E2048" s="1" t="s">
        <v>23839</v>
      </c>
      <c r="F2048" s="1" t="s">
        <v>11697</v>
      </c>
      <c r="G2048" s="1" t="s">
        <v>35803</v>
      </c>
      <c r="H2048" s="1" t="s">
        <v>35804</v>
      </c>
      <c r="I2048" s="1" t="s">
        <v>35805</v>
      </c>
      <c r="J2048" s="1">
        <v>7083246505</v>
      </c>
      <c r="K2048" s="1" t="s">
        <v>84</v>
      </c>
      <c r="L2048" s="1" t="s">
        <v>35806</v>
      </c>
      <c r="M2048" s="1" t="s">
        <v>86</v>
      </c>
      <c r="N2048" s="1" t="s">
        <v>355</v>
      </c>
      <c r="O2048" s="1"/>
      <c r="P2048" s="1" t="s">
        <v>455</v>
      </c>
      <c r="Q2048" s="1" t="s">
        <v>35807</v>
      </c>
      <c r="R2048" s="1" t="s">
        <v>35808</v>
      </c>
      <c r="S2048" s="1">
        <v>9168924773</v>
      </c>
      <c r="T2048" s="1" t="s">
        <v>839</v>
      </c>
      <c r="U2048" s="1" t="s">
        <v>35809</v>
      </c>
      <c r="V2048" s="1">
        <v>9420476388</v>
      </c>
      <c r="W2048" s="1" t="s">
        <v>161</v>
      </c>
      <c r="X2048" s="1" t="s">
        <v>35810</v>
      </c>
      <c r="Y2048" s="1" t="s">
        <v>224</v>
      </c>
      <c r="Z2048" s="1" t="s">
        <v>97</v>
      </c>
      <c r="AA2048" s="1" t="s">
        <v>35810</v>
      </c>
      <c r="AB2048" s="1" t="s">
        <v>224</v>
      </c>
      <c r="AC2048" s="1" t="s">
        <v>97</v>
      </c>
      <c r="AD2048" s="1">
        <v>7.79</v>
      </c>
      <c r="AE2048" s="1" t="s">
        <v>98</v>
      </c>
      <c r="AF2048" s="1" t="s">
        <v>35811</v>
      </c>
      <c r="AG2048" s="1" t="s">
        <v>35812</v>
      </c>
      <c r="AH2048" s="1" t="s">
        <v>106</v>
      </c>
      <c r="AI2048" s="1" t="s">
        <v>547</v>
      </c>
      <c r="AJ2048" s="1">
        <v>83.2</v>
      </c>
      <c r="AK2048" s="1"/>
      <c r="AL2048" s="1" t="s">
        <v>35813</v>
      </c>
      <c r="AM2048" s="1" t="s">
        <v>35814</v>
      </c>
      <c r="AN2048" s="1" t="s">
        <v>465</v>
      </c>
      <c r="AO2048" s="1" t="s">
        <v>178</v>
      </c>
      <c r="AP2048" s="1" t="s">
        <v>441</v>
      </c>
      <c r="AQ2048" s="1">
        <v>90.67</v>
      </c>
      <c r="AR2048" s="1"/>
      <c r="AS2048" s="1"/>
      <c r="AT2048" s="1"/>
      <c r="AU2048" s="1"/>
      <c r="AV2048" s="1"/>
      <c r="AW2048" s="1"/>
      <c r="AX2048" s="1"/>
      <c r="AY2048" s="1" t="s">
        <v>680</v>
      </c>
      <c r="AZ2048" s="1" t="s">
        <v>35815</v>
      </c>
      <c r="BA2048" s="1" t="s">
        <v>466</v>
      </c>
      <c r="BB2048" s="1" t="s">
        <v>467</v>
      </c>
      <c r="BC2048" s="1" t="s">
        <v>871</v>
      </c>
      <c r="BD2048" s="1" t="s">
        <v>848</v>
      </c>
      <c r="BE2048" s="1">
        <v>55.3</v>
      </c>
      <c r="BF2048" s="1">
        <v>6.28</v>
      </c>
      <c r="BG2048" s="1"/>
      <c r="BH2048" s="1"/>
      <c r="BI2048" s="1"/>
      <c r="BJ2048" s="1"/>
      <c r="BK2048" s="1"/>
      <c r="BL2048" s="1"/>
      <c r="BM2048" s="1"/>
      <c r="BN2048" s="1"/>
      <c r="BO2048" s="1" t="s">
        <v>369</v>
      </c>
      <c r="BP2048" s="1"/>
      <c r="BQ2048" s="1"/>
      <c r="BR2048" s="1" t="s">
        <v>35816</v>
      </c>
      <c r="BS2048" s="1">
        <v>7</v>
      </c>
      <c r="BT2048" s="1"/>
      <c r="BU2048" s="1" t="str">
        <f>HYPERLINK("https://nconnect.nicmar.ac.in/storage/profile/ProfilePhoto_P25702026_459627.jpg","Download")</f>
        <v>0</v>
      </c>
      <c r="BV2048" s="3"/>
      <c r="BW2048" s="3"/>
    </row>
    <row r="2049" spans="1:75">
      <c r="A2049" s="1" t="s">
        <v>26662</v>
      </c>
      <c r="B2049" s="1" t="s">
        <v>446</v>
      </c>
      <c r="C2049" s="1" t="s">
        <v>35817</v>
      </c>
      <c r="D2049" s="1" t="s">
        <v>35818</v>
      </c>
      <c r="E2049" s="1" t="s">
        <v>3042</v>
      </c>
      <c r="F2049" s="1" t="s">
        <v>35819</v>
      </c>
      <c r="G2049" s="1" t="s">
        <v>35820</v>
      </c>
      <c r="H2049" s="1" t="s">
        <v>35821</v>
      </c>
      <c r="I2049" s="1" t="s">
        <v>35822</v>
      </c>
      <c r="J2049" s="1">
        <v>6353203996</v>
      </c>
      <c r="K2049" s="1" t="s">
        <v>84</v>
      </c>
      <c r="L2049" s="1" t="s">
        <v>16434</v>
      </c>
      <c r="M2049" s="1" t="s">
        <v>86</v>
      </c>
      <c r="N2049" s="1" t="s">
        <v>35823</v>
      </c>
      <c r="O2049" s="1"/>
      <c r="P2049" s="1" t="s">
        <v>507</v>
      </c>
      <c r="Q2049" s="1" t="s">
        <v>35824</v>
      </c>
      <c r="R2049" s="1" t="s">
        <v>35825</v>
      </c>
      <c r="S2049" s="1">
        <v>9227222882</v>
      </c>
      <c r="T2049" s="1" t="s">
        <v>6971</v>
      </c>
      <c r="U2049" s="1" t="s">
        <v>35826</v>
      </c>
      <c r="V2049" s="1">
        <v>9104412231</v>
      </c>
      <c r="W2049" s="1" t="s">
        <v>541</v>
      </c>
      <c r="X2049" s="1" t="s">
        <v>35827</v>
      </c>
      <c r="Y2049" s="1" t="s">
        <v>8166</v>
      </c>
      <c r="Z2049" s="1" t="s">
        <v>676</v>
      </c>
      <c r="AA2049" s="1" t="s">
        <v>35827</v>
      </c>
      <c r="AB2049" s="1" t="s">
        <v>8166</v>
      </c>
      <c r="AC2049" s="1" t="s">
        <v>676</v>
      </c>
      <c r="AD2049" s="1">
        <v>7.58</v>
      </c>
      <c r="AE2049" s="1" t="s">
        <v>98</v>
      </c>
      <c r="AF2049" s="1" t="s">
        <v>35828</v>
      </c>
      <c r="AG2049" s="1" t="s">
        <v>35829</v>
      </c>
      <c r="AH2049" s="1" t="s">
        <v>490</v>
      </c>
      <c r="AI2049" s="1" t="s">
        <v>414</v>
      </c>
      <c r="AJ2049" s="1">
        <v>53.16</v>
      </c>
      <c r="AK2049" s="1"/>
      <c r="AL2049" s="1" t="s">
        <v>35830</v>
      </c>
      <c r="AM2049" s="1" t="s">
        <v>35829</v>
      </c>
      <c r="AN2049" s="1" t="s">
        <v>465</v>
      </c>
      <c r="AO2049" s="1" t="s">
        <v>178</v>
      </c>
      <c r="AP2049" s="1" t="s">
        <v>845</v>
      </c>
      <c r="AQ2049" s="1">
        <v>57.85</v>
      </c>
      <c r="AR2049" s="1"/>
      <c r="AS2049" s="1"/>
      <c r="AT2049" s="1"/>
      <c r="AU2049" s="1"/>
      <c r="AV2049" s="1"/>
      <c r="AW2049" s="1"/>
      <c r="AX2049" s="1"/>
      <c r="AY2049" s="1" t="s">
        <v>8169</v>
      </c>
      <c r="AZ2049" s="1" t="s">
        <v>35831</v>
      </c>
      <c r="BA2049" s="1" t="s">
        <v>466</v>
      </c>
      <c r="BB2049" s="1" t="s">
        <v>467</v>
      </c>
      <c r="BC2049" s="1" t="s">
        <v>606</v>
      </c>
      <c r="BD2049" s="1" t="s">
        <v>553</v>
      </c>
      <c r="BE2049" s="1">
        <v>59.5</v>
      </c>
      <c r="BF2049" s="1"/>
      <c r="BG2049" s="1"/>
      <c r="BH2049" s="1"/>
      <c r="BI2049" s="1"/>
      <c r="BJ2049" s="1"/>
      <c r="BK2049" s="1"/>
      <c r="BL2049" s="1"/>
      <c r="BM2049" s="1"/>
      <c r="BN2049" s="1"/>
      <c r="BO2049" s="1" t="s">
        <v>1114</v>
      </c>
      <c r="BP2049" s="1"/>
      <c r="BQ2049" s="1"/>
      <c r="BR2049" s="1" t="s">
        <v>35832</v>
      </c>
      <c r="BS2049" s="1">
        <v>30</v>
      </c>
      <c r="BT2049" s="1" t="s">
        <v>35833</v>
      </c>
      <c r="BU2049" s="1" t="str">
        <f>HYPERLINK("https://nconnect.nicmar.ac.in/storage/profile/ProfilePhoto_P25702027_156924.jpg","Download")</f>
        <v>0</v>
      </c>
      <c r="BV2049" s="3"/>
      <c r="BW2049" s="3"/>
    </row>
    <row r="2050" spans="1:75">
      <c r="A2050" s="1" t="s">
        <v>26662</v>
      </c>
      <c r="B2050" s="1" t="s">
        <v>446</v>
      </c>
      <c r="C2050" s="1" t="s">
        <v>35834</v>
      </c>
      <c r="D2050" s="1" t="s">
        <v>5004</v>
      </c>
      <c r="E2050" s="1" t="s">
        <v>28915</v>
      </c>
      <c r="F2050" s="1" t="s">
        <v>35835</v>
      </c>
      <c r="G2050" s="1" t="s">
        <v>35836</v>
      </c>
      <c r="H2050" s="1" t="s">
        <v>35837</v>
      </c>
      <c r="I2050" s="1" t="s">
        <v>35838</v>
      </c>
      <c r="J2050" s="1">
        <v>7558269151</v>
      </c>
      <c r="K2050" s="1" t="s">
        <v>84</v>
      </c>
      <c r="L2050" s="1" t="s">
        <v>16969</v>
      </c>
      <c r="M2050" s="1" t="s">
        <v>86</v>
      </c>
      <c r="N2050" s="1" t="s">
        <v>618</v>
      </c>
      <c r="O2050" s="1"/>
      <c r="P2050" s="1" t="s">
        <v>507</v>
      </c>
      <c r="Q2050" s="1" t="s">
        <v>35839</v>
      </c>
      <c r="R2050" s="1" t="s">
        <v>28915</v>
      </c>
      <c r="S2050" s="1">
        <v>9812887049</v>
      </c>
      <c r="T2050" s="1" t="s">
        <v>35840</v>
      </c>
      <c r="U2050" s="1" t="s">
        <v>35841</v>
      </c>
      <c r="V2050" s="1">
        <v>9112724882</v>
      </c>
      <c r="W2050" s="1" t="s">
        <v>161</v>
      </c>
      <c r="X2050" s="1" t="s">
        <v>35842</v>
      </c>
      <c r="Y2050" s="1" t="s">
        <v>1779</v>
      </c>
      <c r="Z2050" s="1" t="s">
        <v>97</v>
      </c>
      <c r="AA2050" s="1" t="s">
        <v>35842</v>
      </c>
      <c r="AB2050" s="1" t="s">
        <v>1779</v>
      </c>
      <c r="AC2050" s="1" t="s">
        <v>97</v>
      </c>
      <c r="AD2050" s="1">
        <v>8.55</v>
      </c>
      <c r="AE2050" s="1" t="s">
        <v>98</v>
      </c>
      <c r="AF2050" s="1" t="s">
        <v>35843</v>
      </c>
      <c r="AG2050" s="1" t="s">
        <v>312</v>
      </c>
      <c r="AH2050" s="1" t="s">
        <v>342</v>
      </c>
      <c r="AI2050" s="1" t="s">
        <v>284</v>
      </c>
      <c r="AJ2050" s="1">
        <v>76</v>
      </c>
      <c r="AK2050" s="1">
        <v>8</v>
      </c>
      <c r="AL2050" s="1" t="s">
        <v>35844</v>
      </c>
      <c r="AM2050" s="1" t="s">
        <v>165</v>
      </c>
      <c r="AN2050" s="1" t="s">
        <v>465</v>
      </c>
      <c r="AO2050" s="1" t="s">
        <v>388</v>
      </c>
      <c r="AP2050" s="1" t="s">
        <v>490</v>
      </c>
      <c r="AQ2050" s="1">
        <v>54.62</v>
      </c>
      <c r="AR2050" s="1"/>
      <c r="AS2050" s="1"/>
      <c r="AT2050" s="1"/>
      <c r="AU2050" s="1"/>
      <c r="AV2050" s="1"/>
      <c r="AW2050" s="1"/>
      <c r="AX2050" s="1"/>
      <c r="AY2050" s="1" t="s">
        <v>366</v>
      </c>
      <c r="AZ2050" s="1" t="s">
        <v>25760</v>
      </c>
      <c r="BA2050" s="1" t="s">
        <v>466</v>
      </c>
      <c r="BB2050" s="1" t="s">
        <v>467</v>
      </c>
      <c r="BC2050" s="1" t="s">
        <v>174</v>
      </c>
      <c r="BD2050" s="1" t="s">
        <v>391</v>
      </c>
      <c r="BE2050" s="1">
        <v>59.7</v>
      </c>
      <c r="BF2050" s="1">
        <v>6.72</v>
      </c>
      <c r="BG2050" s="1"/>
      <c r="BH2050" s="1"/>
      <c r="BI2050" s="1"/>
      <c r="BJ2050" s="1"/>
      <c r="BK2050" s="1"/>
      <c r="BL2050" s="1"/>
      <c r="BM2050" s="1"/>
      <c r="BN2050" s="1"/>
      <c r="BO2050" s="1" t="s">
        <v>35845</v>
      </c>
      <c r="BP2050" s="1" t="s">
        <v>35846</v>
      </c>
      <c r="BQ2050" s="1" t="s">
        <v>658</v>
      </c>
      <c r="BR2050" s="1" t="s">
        <v>35847</v>
      </c>
      <c r="BS2050" s="1">
        <v>12</v>
      </c>
      <c r="BT2050" s="1" t="s">
        <v>35848</v>
      </c>
      <c r="BU2050" s="1" t="str">
        <f>HYPERLINK("https://nconnect.nicmar.ac.in/storage/profile/ProfilePhoto_P25702028_937845.jpg","Download")</f>
        <v>0</v>
      </c>
      <c r="BV2050" s="3"/>
      <c r="BW2050" s="3"/>
    </row>
    <row r="2051" spans="1:75">
      <c r="A2051" s="1" t="s">
        <v>26662</v>
      </c>
      <c r="B2051" s="1" t="s">
        <v>446</v>
      </c>
      <c r="C2051" s="1" t="s">
        <v>35849</v>
      </c>
      <c r="D2051" s="1" t="s">
        <v>35850</v>
      </c>
      <c r="E2051" s="1" t="s">
        <v>149</v>
      </c>
      <c r="F2051" s="1" t="s">
        <v>17338</v>
      </c>
      <c r="G2051" s="1" t="s">
        <v>35851</v>
      </c>
      <c r="H2051" s="1" t="s">
        <v>35852</v>
      </c>
      <c r="I2051" s="1" t="s">
        <v>35853</v>
      </c>
      <c r="J2051" s="1">
        <v>7276167578</v>
      </c>
      <c r="K2051" s="1" t="s">
        <v>84</v>
      </c>
      <c r="L2051" s="1" t="s">
        <v>2698</v>
      </c>
      <c r="M2051" s="1" t="s">
        <v>86</v>
      </c>
      <c r="N2051" s="1" t="s">
        <v>1163</v>
      </c>
      <c r="O2051" s="1"/>
      <c r="P2051" s="1" t="s">
        <v>507</v>
      </c>
      <c r="Q2051" s="1" t="s">
        <v>35854</v>
      </c>
      <c r="R2051" s="1" t="s">
        <v>35855</v>
      </c>
      <c r="S2051" s="1">
        <v>9423977883</v>
      </c>
      <c r="T2051" s="1" t="s">
        <v>645</v>
      </c>
      <c r="U2051" s="1" t="s">
        <v>35856</v>
      </c>
      <c r="V2051" s="1">
        <v>9511212856</v>
      </c>
      <c r="W2051" s="1" t="s">
        <v>161</v>
      </c>
      <c r="X2051" s="1" t="s">
        <v>35857</v>
      </c>
      <c r="Y2051" s="1" t="s">
        <v>196</v>
      </c>
      <c r="Z2051" s="1" t="s">
        <v>97</v>
      </c>
      <c r="AA2051" s="1" t="s">
        <v>35857</v>
      </c>
      <c r="AB2051" s="1" t="s">
        <v>196</v>
      </c>
      <c r="AC2051" s="1" t="s">
        <v>97</v>
      </c>
      <c r="AD2051" s="1">
        <v>7.61</v>
      </c>
      <c r="AE2051" s="1" t="s">
        <v>98</v>
      </c>
      <c r="AF2051" s="1" t="s">
        <v>35858</v>
      </c>
      <c r="AG2051" s="1" t="s">
        <v>165</v>
      </c>
      <c r="AH2051" s="1" t="s">
        <v>170</v>
      </c>
      <c r="AI2051" s="1" t="s">
        <v>286</v>
      </c>
      <c r="AJ2051" s="1">
        <v>79</v>
      </c>
      <c r="AK2051" s="1"/>
      <c r="AL2051" s="1"/>
      <c r="AM2051" s="1"/>
      <c r="AN2051" s="1"/>
      <c r="AO2051" s="1"/>
      <c r="AP2051" s="1"/>
      <c r="AQ2051" s="1"/>
      <c r="AR2051" s="1"/>
      <c r="AS2051" s="1" t="s">
        <v>103</v>
      </c>
      <c r="AT2051" s="1" t="s">
        <v>35859</v>
      </c>
      <c r="AU2051" s="1" t="s">
        <v>1065</v>
      </c>
      <c r="AV2051" s="1" t="s">
        <v>1825</v>
      </c>
      <c r="AW2051" s="1">
        <v>69</v>
      </c>
      <c r="AX2051" s="1"/>
      <c r="AY2051" s="1" t="s">
        <v>366</v>
      </c>
      <c r="AZ2051" s="1" t="s">
        <v>35860</v>
      </c>
      <c r="BA2051" s="1" t="s">
        <v>578</v>
      </c>
      <c r="BB2051" s="1" t="s">
        <v>467</v>
      </c>
      <c r="BC2051" s="1" t="s">
        <v>1889</v>
      </c>
      <c r="BD2051" s="1" t="s">
        <v>5340</v>
      </c>
      <c r="BE2051" s="1">
        <v>56.2</v>
      </c>
      <c r="BF2051" s="1">
        <v>5.99</v>
      </c>
      <c r="BG2051" s="1"/>
      <c r="BH2051" s="1"/>
      <c r="BI2051" s="1"/>
      <c r="BJ2051" s="1"/>
      <c r="BK2051" s="1"/>
      <c r="BL2051" s="1"/>
      <c r="BM2051" s="1"/>
      <c r="BN2051" s="1"/>
      <c r="BO2051" s="1" t="s">
        <v>35861</v>
      </c>
      <c r="BP2051" s="1" t="s">
        <v>35862</v>
      </c>
      <c r="BQ2051" s="1" t="s">
        <v>7478</v>
      </c>
      <c r="BR2051" s="1" t="s">
        <v>35863</v>
      </c>
      <c r="BS2051" s="1">
        <v>17</v>
      </c>
      <c r="BT2051" s="1" t="s">
        <v>35864</v>
      </c>
      <c r="BU2051" s="1" t="str">
        <f>HYPERLINK("https://nconnect.nicmar.ac.in/storage/profile/ProfilePhoto_P25702029_478612.jpg","Download")</f>
        <v>0</v>
      </c>
      <c r="BV2051" s="3"/>
      <c r="BW2051" s="3"/>
    </row>
    <row r="2052" spans="1:75">
      <c r="A2052" s="1" t="s">
        <v>26662</v>
      </c>
      <c r="B2052" s="1" t="s">
        <v>446</v>
      </c>
      <c r="C2052" s="1" t="s">
        <v>35865</v>
      </c>
      <c r="D2052" s="1" t="s">
        <v>949</v>
      </c>
      <c r="E2052" s="1" t="s">
        <v>13179</v>
      </c>
      <c r="F2052" s="1" t="s">
        <v>35866</v>
      </c>
      <c r="G2052" s="1" t="s">
        <v>35867</v>
      </c>
      <c r="H2052" s="1" t="s">
        <v>35868</v>
      </c>
      <c r="I2052" s="1" t="s">
        <v>35869</v>
      </c>
      <c r="J2052" s="1">
        <v>7517419935</v>
      </c>
      <c r="K2052" s="1" t="s">
        <v>153</v>
      </c>
      <c r="L2052" s="1" t="s">
        <v>35870</v>
      </c>
      <c r="M2052" s="1" t="s">
        <v>86</v>
      </c>
      <c r="N2052" s="1" t="s">
        <v>1163</v>
      </c>
      <c r="O2052" s="1"/>
      <c r="P2052" s="1" t="s">
        <v>481</v>
      </c>
      <c r="Q2052" s="1" t="s">
        <v>35871</v>
      </c>
      <c r="R2052" s="1" t="s">
        <v>35872</v>
      </c>
      <c r="S2052" s="1">
        <v>9765368537</v>
      </c>
      <c r="T2052" s="1" t="s">
        <v>25996</v>
      </c>
      <c r="U2052" s="1" t="s">
        <v>35873</v>
      </c>
      <c r="V2052" s="1">
        <v>9158047991</v>
      </c>
      <c r="W2052" s="1" t="s">
        <v>161</v>
      </c>
      <c r="X2052" s="1" t="s">
        <v>35874</v>
      </c>
      <c r="Y2052" s="1" t="s">
        <v>224</v>
      </c>
      <c r="Z2052" s="1" t="s">
        <v>97</v>
      </c>
      <c r="AA2052" s="1" t="s">
        <v>35874</v>
      </c>
      <c r="AB2052" s="1" t="s">
        <v>224</v>
      </c>
      <c r="AC2052" s="1" t="s">
        <v>97</v>
      </c>
      <c r="AD2052" s="1">
        <v>7.42</v>
      </c>
      <c r="AE2052" s="1" t="s">
        <v>98</v>
      </c>
      <c r="AF2052" s="1" t="s">
        <v>35875</v>
      </c>
      <c r="AG2052" s="1" t="s">
        <v>35876</v>
      </c>
      <c r="AH2052" s="1" t="s">
        <v>136</v>
      </c>
      <c r="AI2052" s="1" t="s">
        <v>1111</v>
      </c>
      <c r="AJ2052" s="1">
        <v>85</v>
      </c>
      <c r="AK2052" s="1"/>
      <c r="AL2052" s="1" t="s">
        <v>35877</v>
      </c>
      <c r="AM2052" s="1" t="s">
        <v>35876</v>
      </c>
      <c r="AN2052" s="1"/>
      <c r="AO2052" s="1" t="s">
        <v>200</v>
      </c>
      <c r="AP2052" s="1" t="s">
        <v>1477</v>
      </c>
      <c r="AQ2052" s="1">
        <v>53.08</v>
      </c>
      <c r="AR2052" s="1"/>
      <c r="AS2052" s="1"/>
      <c r="AT2052" s="1"/>
      <c r="AU2052" s="1"/>
      <c r="AV2052" s="1"/>
      <c r="AW2052" s="1"/>
      <c r="AX2052" s="1"/>
      <c r="AY2052" s="1" t="s">
        <v>35878</v>
      </c>
      <c r="AZ2052" s="1" t="s">
        <v>35879</v>
      </c>
      <c r="BA2052" s="1"/>
      <c r="BB2052" s="1"/>
      <c r="BC2052" s="1" t="s">
        <v>174</v>
      </c>
      <c r="BD2052" s="1" t="s">
        <v>391</v>
      </c>
      <c r="BE2052" s="1">
        <v>69.82</v>
      </c>
      <c r="BF2052" s="1">
        <v>7.35</v>
      </c>
      <c r="BG2052" s="1"/>
      <c r="BH2052" s="1"/>
      <c r="BI2052" s="1"/>
      <c r="BJ2052" s="1"/>
      <c r="BK2052" s="1"/>
      <c r="BL2052" s="1"/>
      <c r="BM2052" s="1"/>
      <c r="BN2052" s="1"/>
      <c r="BO2052" s="1" t="s">
        <v>35880</v>
      </c>
      <c r="BP2052" s="1"/>
      <c r="BQ2052" s="1"/>
      <c r="BR2052" s="1" t="s">
        <v>35881</v>
      </c>
      <c r="BS2052" s="1">
        <v>33</v>
      </c>
      <c r="BT2052" s="1"/>
      <c r="BU2052" s="1" t="str">
        <f>HYPERLINK("https://nconnect.nicmar.ac.in/storage/profile/ProfilePhoto_P25702030_594783.jpg","Download")</f>
        <v>0</v>
      </c>
      <c r="BV2052" s="3"/>
      <c r="BW2052" s="3"/>
    </row>
    <row r="2053" spans="1:75">
      <c r="A2053" s="1" t="s">
        <v>26662</v>
      </c>
      <c r="B2053" s="1" t="s">
        <v>446</v>
      </c>
      <c r="C2053" s="1" t="s">
        <v>35882</v>
      </c>
      <c r="D2053" s="1" t="s">
        <v>10634</v>
      </c>
      <c r="E2053" s="1" t="s">
        <v>149</v>
      </c>
      <c r="F2053" s="1" t="s">
        <v>398</v>
      </c>
      <c r="G2053" s="1" t="s">
        <v>35883</v>
      </c>
      <c r="H2053" s="1" t="s">
        <v>35884</v>
      </c>
      <c r="I2053" s="1" t="s">
        <v>35885</v>
      </c>
      <c r="J2053" s="1">
        <v>9529272388</v>
      </c>
      <c r="K2053" s="1" t="s">
        <v>84</v>
      </c>
      <c r="L2053" s="1" t="s">
        <v>35886</v>
      </c>
      <c r="M2053" s="1" t="s">
        <v>86</v>
      </c>
      <c r="N2053" s="1" t="s">
        <v>35887</v>
      </c>
      <c r="O2053" s="1" t="s">
        <v>35888</v>
      </c>
      <c r="P2053" s="1" t="s">
        <v>455</v>
      </c>
      <c r="Q2053" s="1" t="s">
        <v>35889</v>
      </c>
      <c r="R2053" s="1" t="s">
        <v>149</v>
      </c>
      <c r="S2053" s="1">
        <v>9529272388</v>
      </c>
      <c r="T2053" s="1" t="s">
        <v>125</v>
      </c>
      <c r="U2053" s="1" t="s">
        <v>35890</v>
      </c>
      <c r="V2053" s="1">
        <v>9552555331</v>
      </c>
      <c r="W2053" s="1" t="s">
        <v>541</v>
      </c>
      <c r="X2053" s="1" t="s">
        <v>35891</v>
      </c>
      <c r="Y2053" s="1" t="s">
        <v>410</v>
      </c>
      <c r="Z2053" s="1" t="s">
        <v>97</v>
      </c>
      <c r="AA2053" s="1" t="s">
        <v>35891</v>
      </c>
      <c r="AB2053" s="1" t="s">
        <v>410</v>
      </c>
      <c r="AC2053" s="1" t="s">
        <v>97</v>
      </c>
      <c r="AD2053" s="1">
        <v>0.0</v>
      </c>
      <c r="AE2053" s="1" t="s">
        <v>98</v>
      </c>
      <c r="AF2053" s="1" t="s">
        <v>2860</v>
      </c>
      <c r="AG2053" s="1" t="s">
        <v>1968</v>
      </c>
      <c r="AH2053" s="1" t="s">
        <v>102</v>
      </c>
      <c r="AI2053" s="1" t="s">
        <v>1111</v>
      </c>
      <c r="AJ2053" s="1">
        <v>80.4</v>
      </c>
      <c r="AK2053" s="1"/>
      <c r="AL2053" s="1" t="s">
        <v>35892</v>
      </c>
      <c r="AM2053" s="1" t="s">
        <v>1968</v>
      </c>
      <c r="AN2053" s="1"/>
      <c r="AO2053" s="1" t="s">
        <v>200</v>
      </c>
      <c r="AP2053" s="1" t="s">
        <v>286</v>
      </c>
      <c r="AQ2053" s="1">
        <v>53</v>
      </c>
      <c r="AR2053" s="1"/>
      <c r="AS2053" s="1"/>
      <c r="AT2053" s="1"/>
      <c r="AU2053" s="1"/>
      <c r="AV2053" s="1"/>
      <c r="AW2053" s="1"/>
      <c r="AX2053" s="1"/>
      <c r="AY2053" s="1" t="s">
        <v>415</v>
      </c>
      <c r="AZ2053" s="1" t="s">
        <v>35893</v>
      </c>
      <c r="BA2053" s="1"/>
      <c r="BB2053" s="1"/>
      <c r="BC2053" s="1" t="s">
        <v>1065</v>
      </c>
      <c r="BD2053" s="1" t="s">
        <v>1267</v>
      </c>
      <c r="BE2053" s="1">
        <v>56.6</v>
      </c>
      <c r="BF2053" s="1">
        <v>6.41</v>
      </c>
      <c r="BG2053" s="1"/>
      <c r="BH2053" s="1"/>
      <c r="BI2053" s="1"/>
      <c r="BJ2053" s="1"/>
      <c r="BK2053" s="1"/>
      <c r="BL2053" s="1"/>
      <c r="BM2053" s="1"/>
      <c r="BN2053" s="1"/>
      <c r="BO2053" s="1" t="s">
        <v>35894</v>
      </c>
      <c r="BP2053" s="1"/>
      <c r="BQ2053" s="1"/>
      <c r="BR2053" s="1" t="s">
        <v>35895</v>
      </c>
      <c r="BS2053" s="1">
        <v>10</v>
      </c>
      <c r="BT2053" s="1" t="s">
        <v>35896</v>
      </c>
      <c r="BU2053" s="1" t="str">
        <f>HYPERLINK("https://nconnect.nicmar.ac.in/storage/profile/ProfilePhoto_P25702031_539764.jpg","Download")</f>
        <v>0</v>
      </c>
      <c r="BV2053" s="3"/>
      <c r="BW2053" s="3"/>
    </row>
    <row r="2054" spans="1:75">
      <c r="A2054" s="1" t="s">
        <v>26662</v>
      </c>
      <c r="B2054" s="1" t="s">
        <v>446</v>
      </c>
      <c r="C2054" s="1" t="s">
        <v>35897</v>
      </c>
      <c r="D2054" s="1" t="s">
        <v>1337</v>
      </c>
      <c r="E2054" s="1"/>
      <c r="F2054" s="1" t="s">
        <v>4293</v>
      </c>
      <c r="G2054" s="1" t="s">
        <v>35898</v>
      </c>
      <c r="H2054" s="1" t="s">
        <v>35899</v>
      </c>
      <c r="I2054" s="1" t="s">
        <v>35900</v>
      </c>
      <c r="J2054" s="1">
        <v>8138844161</v>
      </c>
      <c r="K2054" s="1" t="s">
        <v>84</v>
      </c>
      <c r="L2054" s="1" t="s">
        <v>35901</v>
      </c>
      <c r="M2054" s="1" t="s">
        <v>86</v>
      </c>
      <c r="N2054" s="1" t="s">
        <v>3261</v>
      </c>
      <c r="O2054" s="1" t="s">
        <v>35902</v>
      </c>
      <c r="P2054" s="1" t="s">
        <v>455</v>
      </c>
      <c r="Q2054" s="1" t="s">
        <v>35903</v>
      </c>
      <c r="R2054" s="1" t="s">
        <v>35904</v>
      </c>
      <c r="S2054" s="1">
        <v>8086487698</v>
      </c>
      <c r="T2054" s="1" t="s">
        <v>926</v>
      </c>
      <c r="U2054" s="1" t="s">
        <v>35905</v>
      </c>
      <c r="V2054" s="1">
        <v>9037368968</v>
      </c>
      <c r="W2054" s="1" t="s">
        <v>94</v>
      </c>
      <c r="X2054" s="1" t="s">
        <v>35906</v>
      </c>
      <c r="Y2054" s="1" t="s">
        <v>2526</v>
      </c>
      <c r="Z2054" s="1" t="s">
        <v>130</v>
      </c>
      <c r="AA2054" s="1" t="s">
        <v>35906</v>
      </c>
      <c r="AB2054" s="1" t="s">
        <v>2526</v>
      </c>
      <c r="AC2054" s="1" t="s">
        <v>130</v>
      </c>
      <c r="AD2054" s="1">
        <v>9.32</v>
      </c>
      <c r="AE2054" s="1" t="s">
        <v>98</v>
      </c>
      <c r="AF2054" s="1" t="s">
        <v>35907</v>
      </c>
      <c r="AG2054" s="1" t="s">
        <v>312</v>
      </c>
      <c r="AH2054" s="1" t="s">
        <v>167</v>
      </c>
      <c r="AI2054" s="1" t="s">
        <v>170</v>
      </c>
      <c r="AJ2054" s="1">
        <v>95</v>
      </c>
      <c r="AK2054" s="1">
        <v>10</v>
      </c>
      <c r="AL2054" s="1" t="s">
        <v>35907</v>
      </c>
      <c r="AM2054" s="1" t="s">
        <v>312</v>
      </c>
      <c r="AN2054" s="1" t="s">
        <v>465</v>
      </c>
      <c r="AO2054" s="1" t="s">
        <v>171</v>
      </c>
      <c r="AP2054" s="1" t="s">
        <v>313</v>
      </c>
      <c r="AQ2054" s="1">
        <v>91</v>
      </c>
      <c r="AR2054" s="1"/>
      <c r="AS2054" s="1"/>
      <c r="AT2054" s="1"/>
      <c r="AU2054" s="1"/>
      <c r="AV2054" s="1"/>
      <c r="AW2054" s="1"/>
      <c r="AX2054" s="1"/>
      <c r="AY2054" s="1" t="s">
        <v>35908</v>
      </c>
      <c r="AZ2054" s="1" t="s">
        <v>35909</v>
      </c>
      <c r="BA2054" s="1" t="s">
        <v>682</v>
      </c>
      <c r="BB2054" s="1" t="s">
        <v>683</v>
      </c>
      <c r="BC2054" s="1" t="s">
        <v>315</v>
      </c>
      <c r="BD2054" s="1" t="s">
        <v>418</v>
      </c>
      <c r="BE2054" s="1">
        <v>82.8</v>
      </c>
      <c r="BF2054" s="1">
        <v>8.28</v>
      </c>
      <c r="BG2054" s="1"/>
      <c r="BH2054" s="1"/>
      <c r="BI2054" s="1"/>
      <c r="BJ2054" s="1"/>
      <c r="BK2054" s="1"/>
      <c r="BL2054" s="1"/>
      <c r="BM2054" s="1"/>
      <c r="BN2054" s="1"/>
      <c r="BO2054" s="1" t="s">
        <v>35910</v>
      </c>
      <c r="BP2054" s="1" t="s">
        <v>35911</v>
      </c>
      <c r="BQ2054" s="1" t="s">
        <v>292</v>
      </c>
      <c r="BR2054" s="1" t="s">
        <v>35912</v>
      </c>
      <c r="BS2054" s="1">
        <v>35</v>
      </c>
      <c r="BT2054" s="1" t="s">
        <v>35913</v>
      </c>
      <c r="BU2054" s="1" t="str">
        <f>HYPERLINK("https://nconnect.nicmar.ac.in/storage/profile/ProfilePhoto_P25702032_856149.jpg","Download")</f>
        <v>0</v>
      </c>
      <c r="BV2054" s="3"/>
      <c r="BW2054" s="3"/>
    </row>
    <row r="2055" spans="1:75">
      <c r="A2055" s="1" t="s">
        <v>26662</v>
      </c>
      <c r="B2055" s="1" t="s">
        <v>446</v>
      </c>
      <c r="C2055" s="1" t="s">
        <v>35914</v>
      </c>
      <c r="D2055" s="1" t="s">
        <v>35915</v>
      </c>
      <c r="E2055" s="1" t="s">
        <v>35916</v>
      </c>
      <c r="F2055" s="1" t="s">
        <v>9082</v>
      </c>
      <c r="G2055" s="1" t="s">
        <v>35917</v>
      </c>
      <c r="H2055" s="1" t="s">
        <v>35918</v>
      </c>
      <c r="I2055" s="1" t="s">
        <v>35919</v>
      </c>
      <c r="J2055" s="1">
        <v>9370854324</v>
      </c>
      <c r="K2055" s="1" t="s">
        <v>84</v>
      </c>
      <c r="L2055" s="1" t="s">
        <v>20285</v>
      </c>
      <c r="M2055" s="1" t="s">
        <v>86</v>
      </c>
      <c r="N2055" s="1" t="s">
        <v>13516</v>
      </c>
      <c r="O2055" s="1"/>
      <c r="P2055" s="1" t="s">
        <v>481</v>
      </c>
      <c r="Q2055" s="1" t="s">
        <v>35920</v>
      </c>
      <c r="R2055" s="1" t="s">
        <v>35916</v>
      </c>
      <c r="S2055" s="1">
        <v>9890903862</v>
      </c>
      <c r="T2055" s="1" t="s">
        <v>771</v>
      </c>
      <c r="U2055" s="1" t="s">
        <v>33997</v>
      </c>
      <c r="V2055" s="1">
        <v>9890903818</v>
      </c>
      <c r="W2055" s="1" t="s">
        <v>161</v>
      </c>
      <c r="X2055" s="1" t="s">
        <v>35921</v>
      </c>
      <c r="Y2055" s="1" t="s">
        <v>5181</v>
      </c>
      <c r="Z2055" s="1" t="s">
        <v>97</v>
      </c>
      <c r="AA2055" s="1" t="s">
        <v>35922</v>
      </c>
      <c r="AB2055" s="1" t="s">
        <v>5181</v>
      </c>
      <c r="AC2055" s="1" t="s">
        <v>97</v>
      </c>
      <c r="AD2055" s="1">
        <v>7.5</v>
      </c>
      <c r="AE2055" s="1" t="s">
        <v>98</v>
      </c>
      <c r="AF2055" s="1" t="s">
        <v>35923</v>
      </c>
      <c r="AG2055" s="1" t="s">
        <v>35924</v>
      </c>
      <c r="AH2055" s="1" t="s">
        <v>106</v>
      </c>
      <c r="AI2055" s="1" t="s">
        <v>313</v>
      </c>
      <c r="AJ2055" s="1">
        <v>92</v>
      </c>
      <c r="AK2055" s="1">
        <v>0</v>
      </c>
      <c r="AL2055" s="1" t="s">
        <v>35925</v>
      </c>
      <c r="AM2055" s="1" t="s">
        <v>35926</v>
      </c>
      <c r="AN2055" s="1"/>
      <c r="AO2055" s="1" t="s">
        <v>468</v>
      </c>
      <c r="AP2055" s="1" t="s">
        <v>1171</v>
      </c>
      <c r="AQ2055" s="1">
        <v>89.17</v>
      </c>
      <c r="AR2055" s="1">
        <v>0</v>
      </c>
      <c r="AS2055" s="1"/>
      <c r="AT2055" s="1"/>
      <c r="AU2055" s="1"/>
      <c r="AV2055" s="1"/>
      <c r="AW2055" s="1"/>
      <c r="AX2055" s="1"/>
      <c r="AY2055" s="1" t="s">
        <v>366</v>
      </c>
      <c r="AZ2055" s="1" t="s">
        <v>5679</v>
      </c>
      <c r="BA2055" s="1"/>
      <c r="BB2055" s="1"/>
      <c r="BC2055" s="1" t="s">
        <v>206</v>
      </c>
      <c r="BD2055" s="1" t="s">
        <v>553</v>
      </c>
      <c r="BE2055" s="1">
        <v>71.82</v>
      </c>
      <c r="BF2055" s="1">
        <v>7.98</v>
      </c>
      <c r="BG2055" s="1"/>
      <c r="BH2055" s="1"/>
      <c r="BI2055" s="1"/>
      <c r="BJ2055" s="1"/>
      <c r="BK2055" s="1"/>
      <c r="BL2055" s="1"/>
      <c r="BM2055" s="1"/>
      <c r="BN2055" s="1"/>
      <c r="BO2055" s="1" t="s">
        <v>369</v>
      </c>
      <c r="BP2055" s="1"/>
      <c r="BQ2055" s="1"/>
      <c r="BR2055" s="1" t="s">
        <v>35927</v>
      </c>
      <c r="BS2055" s="1">
        <v>9</v>
      </c>
      <c r="BT2055" s="1"/>
      <c r="BU2055" s="1" t="str">
        <f>HYPERLINK("https://nconnect.nicmar.ac.in/storage/profile/ProfilePhoto_P25702033_792583.jpg","Download")</f>
        <v>0</v>
      </c>
      <c r="BV2055" s="3"/>
      <c r="BW2055" s="3"/>
    </row>
    <row r="2056" spans="1:75">
      <c r="A2056" s="1" t="s">
        <v>26662</v>
      </c>
      <c r="B2056" s="1" t="s">
        <v>446</v>
      </c>
      <c r="C2056" s="1" t="s">
        <v>35928</v>
      </c>
      <c r="D2056" s="1" t="s">
        <v>9165</v>
      </c>
      <c r="E2056" s="1"/>
      <c r="F2056" s="1" t="s">
        <v>35929</v>
      </c>
      <c r="G2056" s="1" t="s">
        <v>35930</v>
      </c>
      <c r="H2056" s="1" t="s">
        <v>35931</v>
      </c>
      <c r="I2056" s="1" t="s">
        <v>35932</v>
      </c>
      <c r="J2056" s="1">
        <v>8639120440</v>
      </c>
      <c r="K2056" s="1" t="s">
        <v>84</v>
      </c>
      <c r="L2056" s="1" t="s">
        <v>6226</v>
      </c>
      <c r="M2056" s="1" t="s">
        <v>86</v>
      </c>
      <c r="N2056" s="1" t="s">
        <v>4840</v>
      </c>
      <c r="O2056" s="1"/>
      <c r="P2056" s="1" t="s">
        <v>507</v>
      </c>
      <c r="Q2056" s="1" t="s">
        <v>35933</v>
      </c>
      <c r="R2056" s="1" t="s">
        <v>35934</v>
      </c>
      <c r="S2056" s="1">
        <v>9393939971</v>
      </c>
      <c r="T2056" s="1" t="s">
        <v>35935</v>
      </c>
      <c r="U2056" s="1" t="s">
        <v>35936</v>
      </c>
      <c r="V2056" s="1">
        <v>9652398801</v>
      </c>
      <c r="W2056" s="1" t="s">
        <v>278</v>
      </c>
      <c r="X2056" s="1" t="s">
        <v>35937</v>
      </c>
      <c r="Y2056" s="1" t="s">
        <v>1924</v>
      </c>
      <c r="Z2056" s="1" t="s">
        <v>281</v>
      </c>
      <c r="AA2056" s="1" t="s">
        <v>35938</v>
      </c>
      <c r="AB2056" s="1" t="s">
        <v>1924</v>
      </c>
      <c r="AC2056" s="1" t="s">
        <v>281</v>
      </c>
      <c r="AD2056" s="1">
        <v>0.0</v>
      </c>
      <c r="AE2056" s="1" t="s">
        <v>98</v>
      </c>
      <c r="AF2056" s="1" t="s">
        <v>1437</v>
      </c>
      <c r="AG2056" s="1" t="s">
        <v>35939</v>
      </c>
      <c r="AH2056" s="1" t="s">
        <v>704</v>
      </c>
      <c r="AI2056" s="1" t="s">
        <v>490</v>
      </c>
      <c r="AJ2056" s="1">
        <v>93</v>
      </c>
      <c r="AK2056" s="1"/>
      <c r="AL2056" s="1" t="s">
        <v>1843</v>
      </c>
      <c r="AM2056" s="1" t="s">
        <v>35940</v>
      </c>
      <c r="AN2056" s="1"/>
      <c r="AO2056" s="1" t="s">
        <v>106</v>
      </c>
      <c r="AP2056" s="1" t="s">
        <v>468</v>
      </c>
      <c r="AQ2056" s="1">
        <v>62.5</v>
      </c>
      <c r="AR2056" s="1">
        <v>6.25</v>
      </c>
      <c r="AS2056" s="1"/>
      <c r="AT2056" s="1"/>
      <c r="AU2056" s="1"/>
      <c r="AV2056" s="1"/>
      <c r="AW2056" s="1"/>
      <c r="AX2056" s="1"/>
      <c r="AY2056" s="1" t="s">
        <v>35941</v>
      </c>
      <c r="AZ2056" s="1" t="s">
        <v>35942</v>
      </c>
      <c r="BA2056" s="1"/>
      <c r="BB2056" s="1"/>
      <c r="BC2056" s="1" t="s">
        <v>468</v>
      </c>
      <c r="BD2056" s="1" t="s">
        <v>207</v>
      </c>
      <c r="BE2056" s="1">
        <v>63.93</v>
      </c>
      <c r="BF2056" s="1">
        <v>7.75</v>
      </c>
      <c r="BG2056" s="1"/>
      <c r="BH2056" s="1"/>
      <c r="BI2056" s="1"/>
      <c r="BJ2056" s="1"/>
      <c r="BK2056" s="1"/>
      <c r="BL2056" s="1"/>
      <c r="BM2056" s="1"/>
      <c r="BN2056" s="1"/>
      <c r="BO2056" s="1" t="s">
        <v>35943</v>
      </c>
      <c r="BP2056" s="1"/>
      <c r="BQ2056" s="1"/>
      <c r="BR2056" s="1" t="s">
        <v>35944</v>
      </c>
      <c r="BS2056" s="1">
        <v>9</v>
      </c>
      <c r="BT2056" s="1"/>
      <c r="BU2056" s="1" t="str">
        <f>HYPERLINK("https://nconnect.nicmar.ac.in/storage/profile/ProfilePhoto_P25702034_732194.jpg","Download")</f>
        <v>0</v>
      </c>
      <c r="BV2056" s="3"/>
      <c r="BW2056" s="3"/>
    </row>
    <row r="2057" spans="1:75">
      <c r="A2057" s="1" t="s">
        <v>26662</v>
      </c>
      <c r="B2057" s="1" t="s">
        <v>446</v>
      </c>
      <c r="C2057" s="1" t="s">
        <v>35945</v>
      </c>
      <c r="D2057" s="1" t="s">
        <v>35694</v>
      </c>
      <c r="E2057" s="1" t="s">
        <v>4310</v>
      </c>
      <c r="F2057" s="1" t="s">
        <v>7091</v>
      </c>
      <c r="G2057" s="1" t="s">
        <v>35946</v>
      </c>
      <c r="H2057" s="1" t="s">
        <v>35947</v>
      </c>
      <c r="I2057" s="1" t="s">
        <v>35948</v>
      </c>
      <c r="J2057" s="1">
        <v>8856058919</v>
      </c>
      <c r="K2057" s="1" t="s">
        <v>153</v>
      </c>
      <c r="L2057" s="1" t="s">
        <v>35949</v>
      </c>
      <c r="M2057" s="1" t="s">
        <v>86</v>
      </c>
      <c r="N2057" s="1" t="s">
        <v>768</v>
      </c>
      <c r="O2057" s="1" t="s">
        <v>35950</v>
      </c>
      <c r="P2057" s="1" t="s">
        <v>507</v>
      </c>
      <c r="Q2057" s="1" t="s">
        <v>35951</v>
      </c>
      <c r="R2057" s="1" t="s">
        <v>4310</v>
      </c>
      <c r="S2057" s="1">
        <v>8551899461</v>
      </c>
      <c r="T2057" s="1" t="s">
        <v>2375</v>
      </c>
      <c r="U2057" s="1" t="s">
        <v>9396</v>
      </c>
      <c r="V2057" s="1">
        <v>9112199461</v>
      </c>
      <c r="W2057" s="1" t="s">
        <v>161</v>
      </c>
      <c r="X2057" s="1" t="s">
        <v>35952</v>
      </c>
      <c r="Y2057" s="1" t="s">
        <v>5659</v>
      </c>
      <c r="Z2057" s="1" t="s">
        <v>97</v>
      </c>
      <c r="AA2057" s="1" t="s">
        <v>35952</v>
      </c>
      <c r="AB2057" s="1" t="s">
        <v>5659</v>
      </c>
      <c r="AC2057" s="1" t="s">
        <v>97</v>
      </c>
      <c r="AD2057" s="1">
        <v>0.0</v>
      </c>
      <c r="AE2057" s="1" t="s">
        <v>98</v>
      </c>
      <c r="AF2057" s="1" t="s">
        <v>35953</v>
      </c>
      <c r="AG2057" s="1" t="s">
        <v>35954</v>
      </c>
      <c r="AH2057" s="1" t="s">
        <v>167</v>
      </c>
      <c r="AI2057" s="1" t="s">
        <v>200</v>
      </c>
      <c r="AJ2057" s="1">
        <v>57.4</v>
      </c>
      <c r="AK2057" s="1"/>
      <c r="AL2057" s="1" t="s">
        <v>35955</v>
      </c>
      <c r="AM2057" s="1" t="s">
        <v>35956</v>
      </c>
      <c r="AN2057" s="1"/>
      <c r="AO2057" s="1" t="s">
        <v>106</v>
      </c>
      <c r="AP2057" s="1" t="s">
        <v>203</v>
      </c>
      <c r="AQ2057" s="1">
        <v>66.46</v>
      </c>
      <c r="AR2057" s="1"/>
      <c r="AS2057" s="1"/>
      <c r="AT2057" s="1"/>
      <c r="AU2057" s="1"/>
      <c r="AV2057" s="1"/>
      <c r="AW2057" s="1"/>
      <c r="AX2057" s="1"/>
      <c r="AY2057" s="1" t="s">
        <v>366</v>
      </c>
      <c r="AZ2057" s="1" t="s">
        <v>35957</v>
      </c>
      <c r="BA2057" s="1"/>
      <c r="BB2057" s="1"/>
      <c r="BC2057" s="1" t="s">
        <v>206</v>
      </c>
      <c r="BD2057" s="1" t="s">
        <v>179</v>
      </c>
      <c r="BE2057" s="1">
        <v>65.4</v>
      </c>
      <c r="BF2057" s="1">
        <v>7.35</v>
      </c>
      <c r="BG2057" s="1"/>
      <c r="BH2057" s="1"/>
      <c r="BI2057" s="1"/>
      <c r="BJ2057" s="1"/>
      <c r="BK2057" s="1"/>
      <c r="BL2057" s="1"/>
      <c r="BM2057" s="1"/>
      <c r="BN2057" s="1"/>
      <c r="BO2057" s="1" t="s">
        <v>33047</v>
      </c>
      <c r="BP2057" s="1" t="s">
        <v>35958</v>
      </c>
      <c r="BQ2057" s="1" t="s">
        <v>7917</v>
      </c>
      <c r="BR2057" s="1" t="s">
        <v>35959</v>
      </c>
      <c r="BS2057" s="1">
        <v>33</v>
      </c>
      <c r="BT2057" s="1" t="s">
        <v>35960</v>
      </c>
      <c r="BU2057" s="1" t="str">
        <f>HYPERLINK("https://nconnect.nicmar.ac.in/storage/profile/ProfilePhoto_P25702035_359426.jpg","Download")</f>
        <v>0</v>
      </c>
      <c r="BV2057" s="3"/>
      <c r="BW2057" s="3"/>
    </row>
    <row r="2058" spans="1:75">
      <c r="A2058" s="1" t="s">
        <v>26662</v>
      </c>
      <c r="B2058" s="1" t="s">
        <v>446</v>
      </c>
      <c r="C2058" s="1" t="s">
        <v>35961</v>
      </c>
      <c r="D2058" s="1" t="s">
        <v>35962</v>
      </c>
      <c r="E2058" s="1" t="s">
        <v>35963</v>
      </c>
      <c r="F2058" s="1" t="s">
        <v>35964</v>
      </c>
      <c r="G2058" s="1" t="s">
        <v>35965</v>
      </c>
      <c r="H2058" s="1" t="s">
        <v>35966</v>
      </c>
      <c r="I2058" s="1" t="s">
        <v>35967</v>
      </c>
      <c r="J2058" s="1">
        <v>8855949360</v>
      </c>
      <c r="K2058" s="1" t="s">
        <v>84</v>
      </c>
      <c r="L2058" s="1" t="s">
        <v>35968</v>
      </c>
      <c r="M2058" s="1" t="s">
        <v>86</v>
      </c>
      <c r="N2058" s="1" t="s">
        <v>618</v>
      </c>
      <c r="O2058" s="1"/>
      <c r="P2058" s="1" t="s">
        <v>507</v>
      </c>
      <c r="Q2058" s="1" t="s">
        <v>35969</v>
      </c>
      <c r="R2058" s="1" t="s">
        <v>35970</v>
      </c>
      <c r="S2058" s="1">
        <v>9403353266</v>
      </c>
      <c r="T2058" s="1" t="s">
        <v>35971</v>
      </c>
      <c r="U2058" s="1" t="s">
        <v>25306</v>
      </c>
      <c r="V2058" s="1">
        <v>9403353266</v>
      </c>
      <c r="W2058" s="1" t="s">
        <v>98</v>
      </c>
      <c r="X2058" s="1" t="s">
        <v>35972</v>
      </c>
      <c r="Y2058" s="1" t="s">
        <v>6128</v>
      </c>
      <c r="Z2058" s="1" t="s">
        <v>97</v>
      </c>
      <c r="AA2058" s="1" t="s">
        <v>35972</v>
      </c>
      <c r="AB2058" s="1" t="s">
        <v>6128</v>
      </c>
      <c r="AC2058" s="1" t="s">
        <v>97</v>
      </c>
      <c r="AD2058" s="1">
        <v>7.42</v>
      </c>
      <c r="AE2058" s="1" t="s">
        <v>98</v>
      </c>
      <c r="AF2058" s="1" t="s">
        <v>35973</v>
      </c>
      <c r="AG2058" s="1" t="s">
        <v>996</v>
      </c>
      <c r="AH2058" s="1" t="s">
        <v>167</v>
      </c>
      <c r="AI2058" s="1" t="s">
        <v>200</v>
      </c>
      <c r="AJ2058" s="1">
        <v>89.6</v>
      </c>
      <c r="AK2058" s="1"/>
      <c r="AL2058" s="1" t="s">
        <v>35974</v>
      </c>
      <c r="AM2058" s="1" t="s">
        <v>996</v>
      </c>
      <c r="AN2058" s="1"/>
      <c r="AO2058" s="1" t="s">
        <v>106</v>
      </c>
      <c r="AP2058" s="1" t="s">
        <v>203</v>
      </c>
      <c r="AQ2058" s="1">
        <v>57.69</v>
      </c>
      <c r="AR2058" s="1"/>
      <c r="AS2058" s="1"/>
      <c r="AT2058" s="1"/>
      <c r="AU2058" s="1"/>
      <c r="AV2058" s="1"/>
      <c r="AW2058" s="1"/>
      <c r="AX2058" s="1"/>
      <c r="AY2058" s="1" t="s">
        <v>2286</v>
      </c>
      <c r="AZ2058" s="1" t="s">
        <v>35975</v>
      </c>
      <c r="BA2058" s="1"/>
      <c r="BB2058" s="1"/>
      <c r="BC2058" s="1" t="s">
        <v>206</v>
      </c>
      <c r="BD2058" s="1" t="s">
        <v>179</v>
      </c>
      <c r="BE2058" s="1">
        <v>67.81</v>
      </c>
      <c r="BF2058" s="1">
        <v>7.62</v>
      </c>
      <c r="BG2058" s="1"/>
      <c r="BH2058" s="1"/>
      <c r="BI2058" s="1"/>
      <c r="BJ2058" s="1"/>
      <c r="BK2058" s="1"/>
      <c r="BL2058" s="1"/>
      <c r="BM2058" s="1"/>
      <c r="BN2058" s="1"/>
      <c r="BO2058" s="1" t="s">
        <v>35976</v>
      </c>
      <c r="BP2058" s="1"/>
      <c r="BQ2058" s="1"/>
      <c r="BR2058" s="1" t="s">
        <v>35977</v>
      </c>
      <c r="BS2058" s="1">
        <v>16</v>
      </c>
      <c r="BT2058" s="1"/>
      <c r="BU2058" s="1" t="str">
        <f>HYPERLINK("https://nconnect.nicmar.ac.in/storage/profile/ProfilePhoto_P25702036_658941.jpg","Download")</f>
        <v>0</v>
      </c>
      <c r="BV2058" s="3"/>
      <c r="BW2058" s="3"/>
    </row>
    <row r="2059" spans="1:75">
      <c r="A2059" s="1" t="s">
        <v>26662</v>
      </c>
      <c r="B2059" s="1" t="s">
        <v>446</v>
      </c>
      <c r="C2059" s="1" t="s">
        <v>35978</v>
      </c>
      <c r="D2059" s="1" t="s">
        <v>35979</v>
      </c>
      <c r="E2059" s="1" t="s">
        <v>35980</v>
      </c>
      <c r="F2059" s="1" t="s">
        <v>20298</v>
      </c>
      <c r="G2059" s="1" t="s">
        <v>35981</v>
      </c>
      <c r="H2059" s="1" t="s">
        <v>35982</v>
      </c>
      <c r="I2059" s="1" t="s">
        <v>35983</v>
      </c>
      <c r="J2059" s="1">
        <v>7021314511</v>
      </c>
      <c r="K2059" s="1" t="s">
        <v>84</v>
      </c>
      <c r="L2059" s="1" t="s">
        <v>35984</v>
      </c>
      <c r="M2059" s="1" t="s">
        <v>86</v>
      </c>
      <c r="N2059" s="1" t="s">
        <v>768</v>
      </c>
      <c r="O2059" s="1"/>
      <c r="P2059" s="1" t="s">
        <v>455</v>
      </c>
      <c r="Q2059" s="1" t="s">
        <v>35985</v>
      </c>
      <c r="R2059" s="1" t="s">
        <v>35986</v>
      </c>
      <c r="S2059" s="1">
        <v>9892544733</v>
      </c>
      <c r="T2059" s="1" t="s">
        <v>4693</v>
      </c>
      <c r="U2059" s="1" t="s">
        <v>35987</v>
      </c>
      <c r="V2059" s="1">
        <v>7021898208</v>
      </c>
      <c r="W2059" s="1" t="s">
        <v>94</v>
      </c>
      <c r="X2059" s="1" t="s">
        <v>35988</v>
      </c>
      <c r="Y2059" s="1" t="s">
        <v>2259</v>
      </c>
      <c r="Z2059" s="1" t="s">
        <v>97</v>
      </c>
      <c r="AA2059" s="1" t="s">
        <v>35988</v>
      </c>
      <c r="AB2059" s="1" t="s">
        <v>2259</v>
      </c>
      <c r="AC2059" s="1" t="s">
        <v>97</v>
      </c>
      <c r="AD2059" s="1">
        <v>8.29</v>
      </c>
      <c r="AE2059" s="1" t="s">
        <v>98</v>
      </c>
      <c r="AF2059" s="1" t="s">
        <v>29584</v>
      </c>
      <c r="AG2059" s="1" t="s">
        <v>35989</v>
      </c>
      <c r="AH2059" s="1" t="s">
        <v>627</v>
      </c>
      <c r="AI2059" s="1" t="s">
        <v>200</v>
      </c>
      <c r="AJ2059" s="1">
        <v>83.8</v>
      </c>
      <c r="AK2059" s="1"/>
      <c r="AL2059" s="1" t="s">
        <v>2263</v>
      </c>
      <c r="AM2059" s="1" t="s">
        <v>35989</v>
      </c>
      <c r="AN2059" s="1" t="s">
        <v>575</v>
      </c>
      <c r="AO2059" s="1" t="s">
        <v>170</v>
      </c>
      <c r="AP2059" s="1" t="s">
        <v>203</v>
      </c>
      <c r="AQ2059" s="1">
        <v>58</v>
      </c>
      <c r="AR2059" s="1"/>
      <c r="AS2059" s="1"/>
      <c r="AT2059" s="1"/>
      <c r="AU2059" s="1"/>
      <c r="AV2059" s="1"/>
      <c r="AW2059" s="1"/>
      <c r="AX2059" s="1"/>
      <c r="AY2059" s="1" t="s">
        <v>680</v>
      </c>
      <c r="AZ2059" s="1" t="s">
        <v>35990</v>
      </c>
      <c r="BA2059" s="1" t="s">
        <v>578</v>
      </c>
      <c r="BB2059" s="1" t="s">
        <v>467</v>
      </c>
      <c r="BC2059" s="1" t="s">
        <v>315</v>
      </c>
      <c r="BD2059" s="1" t="s">
        <v>179</v>
      </c>
      <c r="BE2059" s="1">
        <v>74.21</v>
      </c>
      <c r="BF2059" s="1">
        <v>8.34</v>
      </c>
      <c r="BG2059" s="1"/>
      <c r="BH2059" s="1"/>
      <c r="BI2059" s="1"/>
      <c r="BJ2059" s="1"/>
      <c r="BK2059" s="1"/>
      <c r="BL2059" s="1"/>
      <c r="BM2059" s="1"/>
      <c r="BN2059" s="1"/>
      <c r="BO2059" s="1" t="s">
        <v>35991</v>
      </c>
      <c r="BP2059" s="1"/>
      <c r="BQ2059" s="1"/>
      <c r="BR2059" s="1" t="s">
        <v>35992</v>
      </c>
      <c r="BS2059" s="1">
        <v>39</v>
      </c>
      <c r="BT2059" s="1"/>
      <c r="BU2059" s="1" t="str">
        <f>HYPERLINK("https://nconnect.nicmar.ac.in/storage/profile/ProfilePhoto_P25702037_783451.jpg","Download")</f>
        <v>0</v>
      </c>
      <c r="BV2059" s="3"/>
      <c r="BW2059" s="3"/>
    </row>
    <row r="2060" spans="1:75">
      <c r="A2060" s="1" t="s">
        <v>26662</v>
      </c>
      <c r="B2060" s="1" t="s">
        <v>446</v>
      </c>
      <c r="C2060" s="1" t="s">
        <v>35993</v>
      </c>
      <c r="D2060" s="1" t="s">
        <v>612</v>
      </c>
      <c r="E2060" s="1" t="s">
        <v>35994</v>
      </c>
      <c r="F2060" s="1" t="s">
        <v>35995</v>
      </c>
      <c r="G2060" s="1" t="s">
        <v>35996</v>
      </c>
      <c r="H2060" s="1" t="s">
        <v>35997</v>
      </c>
      <c r="I2060" s="1" t="s">
        <v>35998</v>
      </c>
      <c r="J2060" s="1">
        <v>7620345159</v>
      </c>
      <c r="K2060" s="1" t="s">
        <v>84</v>
      </c>
      <c r="L2060" s="1" t="s">
        <v>35176</v>
      </c>
      <c r="M2060" s="1" t="s">
        <v>86</v>
      </c>
      <c r="N2060" s="1" t="s">
        <v>13516</v>
      </c>
      <c r="O2060" s="1"/>
      <c r="P2060" s="1" t="s">
        <v>481</v>
      </c>
      <c r="Q2060" s="1" t="s">
        <v>35999</v>
      </c>
      <c r="R2060" s="1" t="s">
        <v>36000</v>
      </c>
      <c r="S2060" s="1">
        <v>9359439569</v>
      </c>
      <c r="T2060" s="1" t="s">
        <v>36001</v>
      </c>
      <c r="U2060" s="1" t="s">
        <v>36002</v>
      </c>
      <c r="V2060" s="1">
        <v>9673071898</v>
      </c>
      <c r="W2060" s="1" t="s">
        <v>161</v>
      </c>
      <c r="X2060" s="1" t="s">
        <v>36003</v>
      </c>
      <c r="Y2060" s="1" t="s">
        <v>410</v>
      </c>
      <c r="Z2060" s="1" t="s">
        <v>97</v>
      </c>
      <c r="AA2060" s="1" t="s">
        <v>36003</v>
      </c>
      <c r="AB2060" s="1" t="s">
        <v>410</v>
      </c>
      <c r="AC2060" s="1" t="s">
        <v>97</v>
      </c>
      <c r="AD2060" s="1">
        <v>7.21</v>
      </c>
      <c r="AE2060" s="1" t="s">
        <v>98</v>
      </c>
      <c r="AF2060" s="1" t="s">
        <v>31489</v>
      </c>
      <c r="AG2060" s="1" t="s">
        <v>36004</v>
      </c>
      <c r="AH2060" s="1" t="s">
        <v>102</v>
      </c>
      <c r="AI2060" s="1" t="s">
        <v>284</v>
      </c>
      <c r="AJ2060" s="1">
        <v>80</v>
      </c>
      <c r="AK2060" s="1">
        <v>0</v>
      </c>
      <c r="AL2060" s="1" t="s">
        <v>36005</v>
      </c>
      <c r="AM2060" s="1" t="s">
        <v>36006</v>
      </c>
      <c r="AN2060" s="1" t="s">
        <v>465</v>
      </c>
      <c r="AO2060" s="1" t="s">
        <v>1396</v>
      </c>
      <c r="AP2060" s="1" t="s">
        <v>106</v>
      </c>
      <c r="AQ2060" s="1">
        <v>64.77</v>
      </c>
      <c r="AR2060" s="1">
        <v>0</v>
      </c>
      <c r="AS2060" s="1"/>
      <c r="AT2060" s="1"/>
      <c r="AU2060" s="1"/>
      <c r="AV2060" s="1"/>
      <c r="AW2060" s="1"/>
      <c r="AX2060" s="1"/>
      <c r="AY2060" s="1" t="s">
        <v>415</v>
      </c>
      <c r="AZ2060" s="1" t="s">
        <v>36007</v>
      </c>
      <c r="BA2060" s="1" t="s">
        <v>578</v>
      </c>
      <c r="BB2060" s="1" t="s">
        <v>467</v>
      </c>
      <c r="BC2060" s="1" t="s">
        <v>174</v>
      </c>
      <c r="BD2060" s="1" t="s">
        <v>1400</v>
      </c>
      <c r="BE2060" s="1">
        <v>85.8</v>
      </c>
      <c r="BF2060" s="1">
        <v>9.33</v>
      </c>
      <c r="BG2060" s="1"/>
      <c r="BH2060" s="1"/>
      <c r="BI2060" s="1"/>
      <c r="BJ2060" s="1"/>
      <c r="BK2060" s="1"/>
      <c r="BL2060" s="1"/>
      <c r="BM2060" s="1"/>
      <c r="BN2060" s="1"/>
      <c r="BO2060" s="1" t="s">
        <v>5787</v>
      </c>
      <c r="BP2060" s="1" t="s">
        <v>36008</v>
      </c>
      <c r="BQ2060" s="1" t="s">
        <v>4149</v>
      </c>
      <c r="BR2060" s="1" t="s">
        <v>36009</v>
      </c>
      <c r="BS2060" s="1">
        <v>8</v>
      </c>
      <c r="BT2060" s="1" t="s">
        <v>3951</v>
      </c>
      <c r="BU2060" s="1" t="str">
        <f>HYPERLINK("https://nconnect.nicmar.ac.in/storage/profile/ProfilePhoto_P25702038_746298.jpg","Download")</f>
        <v>0</v>
      </c>
      <c r="BV2060" s="3"/>
      <c r="BW2060" s="3"/>
    </row>
    <row r="2061" spans="1:75">
      <c r="A2061" s="1" t="s">
        <v>26662</v>
      </c>
      <c r="B2061" s="1" t="s">
        <v>446</v>
      </c>
      <c r="C2061" s="1" t="s">
        <v>36010</v>
      </c>
      <c r="D2061" s="1" t="s">
        <v>36011</v>
      </c>
      <c r="E2061" s="1"/>
      <c r="F2061" s="1" t="s">
        <v>3910</v>
      </c>
      <c r="G2061" s="1" t="s">
        <v>36012</v>
      </c>
      <c r="H2061" s="1" t="s">
        <v>36013</v>
      </c>
      <c r="I2061" s="1" t="s">
        <v>36014</v>
      </c>
      <c r="J2061" s="1">
        <v>8866454994</v>
      </c>
      <c r="K2061" s="1" t="s">
        <v>153</v>
      </c>
      <c r="L2061" s="1" t="s">
        <v>5524</v>
      </c>
      <c r="M2061" s="1" t="s">
        <v>86</v>
      </c>
      <c r="N2061" s="1" t="s">
        <v>4753</v>
      </c>
      <c r="O2061" s="1"/>
      <c r="P2061" s="1" t="s">
        <v>507</v>
      </c>
      <c r="Q2061" s="1" t="s">
        <v>36015</v>
      </c>
      <c r="R2061" s="1" t="s">
        <v>36016</v>
      </c>
      <c r="S2061" s="1">
        <v>9511724606</v>
      </c>
      <c r="T2061" s="1" t="s">
        <v>36017</v>
      </c>
      <c r="U2061" s="1" t="s">
        <v>36018</v>
      </c>
      <c r="V2061" s="1">
        <v>7046356347</v>
      </c>
      <c r="W2061" s="1" t="s">
        <v>36019</v>
      </c>
      <c r="X2061" s="1" t="s">
        <v>36020</v>
      </c>
      <c r="Y2061" s="1" t="s">
        <v>6548</v>
      </c>
      <c r="Z2061" s="1" t="s">
        <v>6549</v>
      </c>
      <c r="AA2061" s="1" t="s">
        <v>36020</v>
      </c>
      <c r="AB2061" s="1" t="s">
        <v>6548</v>
      </c>
      <c r="AC2061" s="1" t="s">
        <v>6549</v>
      </c>
      <c r="AD2061" s="1">
        <v>8.18</v>
      </c>
      <c r="AE2061" s="1" t="s">
        <v>98</v>
      </c>
      <c r="AF2061" s="1" t="s">
        <v>36021</v>
      </c>
      <c r="AG2061" s="1" t="s">
        <v>36022</v>
      </c>
      <c r="AH2061" s="1" t="s">
        <v>1213</v>
      </c>
      <c r="AI2061" s="1" t="s">
        <v>167</v>
      </c>
      <c r="AJ2061" s="1">
        <v>92.5</v>
      </c>
      <c r="AK2061" s="1"/>
      <c r="AL2061" s="1" t="s">
        <v>36023</v>
      </c>
      <c r="AM2061" s="1" t="s">
        <v>36024</v>
      </c>
      <c r="AN2061" s="1"/>
      <c r="AO2061" s="1" t="s">
        <v>1396</v>
      </c>
      <c r="AP2061" s="1" t="s">
        <v>106</v>
      </c>
      <c r="AQ2061" s="1">
        <v>62.5</v>
      </c>
      <c r="AR2061" s="1"/>
      <c r="AS2061" s="1"/>
      <c r="AT2061" s="1"/>
      <c r="AU2061" s="1"/>
      <c r="AV2061" s="1"/>
      <c r="AW2061" s="1"/>
      <c r="AX2061" s="1"/>
      <c r="AY2061" s="1" t="s">
        <v>8169</v>
      </c>
      <c r="AZ2061" s="1" t="s">
        <v>36025</v>
      </c>
      <c r="BA2061" s="1"/>
      <c r="BB2061" s="1"/>
      <c r="BC2061" s="1" t="s">
        <v>1065</v>
      </c>
      <c r="BD2061" s="1" t="s">
        <v>110</v>
      </c>
      <c r="BE2061" s="1">
        <v>73.9</v>
      </c>
      <c r="BF2061" s="1"/>
      <c r="BG2061" s="1"/>
      <c r="BH2061" s="1"/>
      <c r="BI2061" s="1"/>
      <c r="BJ2061" s="1"/>
      <c r="BK2061" s="1"/>
      <c r="BL2061" s="1"/>
      <c r="BM2061" s="1"/>
      <c r="BN2061" s="1"/>
      <c r="BO2061" s="1" t="s">
        <v>36026</v>
      </c>
      <c r="BP2061" s="1" t="s">
        <v>36027</v>
      </c>
      <c r="BQ2061" s="1" t="s">
        <v>582</v>
      </c>
      <c r="BR2061" s="1" t="s">
        <v>36028</v>
      </c>
      <c r="BS2061" s="1">
        <v>19</v>
      </c>
      <c r="BT2061" s="1" t="s">
        <v>36029</v>
      </c>
      <c r="BU2061" s="1" t="str">
        <f>HYPERLINK("https://nconnect.nicmar.ac.in/storage/profile/ProfilePhoto_P25702039_538214.jpg","Download")</f>
        <v>0</v>
      </c>
      <c r="BV2061" s="3"/>
      <c r="BW2061" s="3"/>
    </row>
    <row r="2062" spans="1:75">
      <c r="A2062" s="1" t="s">
        <v>26662</v>
      </c>
      <c r="B2062" s="1" t="s">
        <v>446</v>
      </c>
      <c r="C2062" s="1" t="s">
        <v>36030</v>
      </c>
      <c r="D2062" s="1" t="s">
        <v>919</v>
      </c>
      <c r="E2062" s="1"/>
      <c r="F2062" s="1" t="s">
        <v>919</v>
      </c>
      <c r="G2062" s="1" t="s">
        <v>36031</v>
      </c>
      <c r="H2062" s="1" t="s">
        <v>36032</v>
      </c>
      <c r="I2062" s="1" t="s">
        <v>36033</v>
      </c>
      <c r="J2062" s="1">
        <v>8307704369</v>
      </c>
      <c r="K2062" s="1" t="s">
        <v>84</v>
      </c>
      <c r="L2062" s="1" t="s">
        <v>36034</v>
      </c>
      <c r="M2062" s="1" t="s">
        <v>86</v>
      </c>
      <c r="N2062" s="1" t="s">
        <v>87</v>
      </c>
      <c r="O2062" s="1"/>
      <c r="P2062" s="1" t="s">
        <v>455</v>
      </c>
      <c r="Q2062" s="1" t="s">
        <v>36035</v>
      </c>
      <c r="R2062" s="1" t="s">
        <v>36036</v>
      </c>
      <c r="S2062" s="1">
        <v>7082711109</v>
      </c>
      <c r="T2062" s="1" t="s">
        <v>125</v>
      </c>
      <c r="U2062" s="1" t="s">
        <v>36037</v>
      </c>
      <c r="V2062" s="1">
        <v>9896370990</v>
      </c>
      <c r="W2062" s="1" t="s">
        <v>161</v>
      </c>
      <c r="X2062" s="1" t="s">
        <v>36038</v>
      </c>
      <c r="Y2062" s="1" t="s">
        <v>24598</v>
      </c>
      <c r="Z2062" s="1" t="s">
        <v>1700</v>
      </c>
      <c r="AA2062" s="1" t="s">
        <v>36038</v>
      </c>
      <c r="AB2062" s="1" t="s">
        <v>24598</v>
      </c>
      <c r="AC2062" s="1" t="s">
        <v>1700</v>
      </c>
      <c r="AD2062" s="1">
        <v>9.29</v>
      </c>
      <c r="AE2062" s="1" t="s">
        <v>98</v>
      </c>
      <c r="AF2062" s="1" t="s">
        <v>36039</v>
      </c>
      <c r="AG2062" s="1" t="s">
        <v>36040</v>
      </c>
      <c r="AH2062" s="1" t="s">
        <v>704</v>
      </c>
      <c r="AI2062" s="1" t="s">
        <v>171</v>
      </c>
      <c r="AJ2062" s="1">
        <v>77.8</v>
      </c>
      <c r="AK2062" s="1"/>
      <c r="AL2062" s="1" t="s">
        <v>36039</v>
      </c>
      <c r="AM2062" s="1" t="s">
        <v>36041</v>
      </c>
      <c r="AN2062" s="1"/>
      <c r="AO2062" s="1" t="s">
        <v>547</v>
      </c>
      <c r="AP2062" s="1" t="s">
        <v>468</v>
      </c>
      <c r="AQ2062" s="1">
        <v>92.8</v>
      </c>
      <c r="AR2062" s="1"/>
      <c r="AS2062" s="1"/>
      <c r="AT2062" s="1"/>
      <c r="AU2062" s="1"/>
      <c r="AV2062" s="1"/>
      <c r="AW2062" s="1"/>
      <c r="AX2062" s="1"/>
      <c r="AY2062" s="1" t="s">
        <v>36042</v>
      </c>
      <c r="AZ2062" s="1" t="s">
        <v>36043</v>
      </c>
      <c r="BA2062" s="1"/>
      <c r="BB2062" s="1"/>
      <c r="BC2062" s="1" t="s">
        <v>1647</v>
      </c>
      <c r="BD2062" s="1" t="s">
        <v>391</v>
      </c>
      <c r="BE2062" s="1">
        <v>73.82</v>
      </c>
      <c r="BF2062" s="1">
        <v>7.77</v>
      </c>
      <c r="BG2062" s="1"/>
      <c r="BH2062" s="1"/>
      <c r="BI2062" s="1"/>
      <c r="BJ2062" s="1"/>
      <c r="BK2062" s="1"/>
      <c r="BL2062" s="1"/>
      <c r="BM2062" s="1"/>
      <c r="BN2062" s="1"/>
      <c r="BO2062" s="1" t="s">
        <v>36044</v>
      </c>
      <c r="BP2062" s="1" t="s">
        <v>36045</v>
      </c>
      <c r="BQ2062" s="1" t="s">
        <v>757</v>
      </c>
      <c r="BR2062" s="1" t="s">
        <v>36046</v>
      </c>
      <c r="BS2062" s="1">
        <v>28</v>
      </c>
      <c r="BT2062" s="1" t="s">
        <v>36047</v>
      </c>
      <c r="BU2062" s="1" t="str">
        <f>HYPERLINK("https://nconnect.nicmar.ac.in/storage/profile/ProfilePhoto_P25702040_591438.jpg","Download")</f>
        <v>0</v>
      </c>
      <c r="BV2062" s="3"/>
      <c r="BW2062" s="3"/>
    </row>
    <row r="2063" spans="1:75">
      <c r="A2063" s="1" t="s">
        <v>26662</v>
      </c>
      <c r="B2063" s="1" t="s">
        <v>446</v>
      </c>
      <c r="C2063" s="1" t="s">
        <v>36048</v>
      </c>
      <c r="D2063" s="1" t="s">
        <v>10399</v>
      </c>
      <c r="E2063" s="1" t="s">
        <v>10368</v>
      </c>
      <c r="F2063" s="1" t="s">
        <v>36049</v>
      </c>
      <c r="G2063" s="1" t="s">
        <v>36050</v>
      </c>
      <c r="H2063" s="1" t="s">
        <v>36051</v>
      </c>
      <c r="I2063" s="1" t="s">
        <v>36052</v>
      </c>
      <c r="J2063" s="1">
        <v>8446459475</v>
      </c>
      <c r="K2063" s="1" t="s">
        <v>84</v>
      </c>
      <c r="L2063" s="1" t="s">
        <v>20570</v>
      </c>
      <c r="M2063" s="1" t="s">
        <v>86</v>
      </c>
      <c r="N2063" s="1" t="s">
        <v>36053</v>
      </c>
      <c r="O2063" s="1"/>
      <c r="P2063" s="1" t="s">
        <v>1028</v>
      </c>
      <c r="Q2063" s="1" t="s">
        <v>36054</v>
      </c>
      <c r="R2063" s="1" t="s">
        <v>10368</v>
      </c>
      <c r="S2063" s="1">
        <v>9822680767</v>
      </c>
      <c r="T2063" s="1" t="s">
        <v>36055</v>
      </c>
      <c r="U2063" s="1" t="s">
        <v>9208</v>
      </c>
      <c r="V2063" s="1">
        <v>9527545975</v>
      </c>
      <c r="W2063" s="1" t="s">
        <v>161</v>
      </c>
      <c r="X2063" s="1" t="s">
        <v>36056</v>
      </c>
      <c r="Y2063" s="1" t="s">
        <v>1989</v>
      </c>
      <c r="Z2063" s="1" t="s">
        <v>97</v>
      </c>
      <c r="AA2063" s="1" t="s">
        <v>36056</v>
      </c>
      <c r="AB2063" s="1" t="s">
        <v>1989</v>
      </c>
      <c r="AC2063" s="1" t="s">
        <v>97</v>
      </c>
      <c r="AD2063" s="1">
        <v>8.37</v>
      </c>
      <c r="AE2063" s="1" t="s">
        <v>98</v>
      </c>
      <c r="AF2063" s="1" t="s">
        <v>36057</v>
      </c>
      <c r="AG2063" s="1" t="s">
        <v>165</v>
      </c>
      <c r="AH2063" s="1" t="s">
        <v>286</v>
      </c>
      <c r="AI2063" s="1" t="s">
        <v>414</v>
      </c>
      <c r="AJ2063" s="1">
        <v>85.8</v>
      </c>
      <c r="AK2063" s="1"/>
      <c r="AL2063" s="1" t="s">
        <v>36058</v>
      </c>
      <c r="AM2063" s="1" t="s">
        <v>165</v>
      </c>
      <c r="AN2063" s="1"/>
      <c r="AO2063" s="1" t="s">
        <v>603</v>
      </c>
      <c r="AP2063" s="1" t="s">
        <v>1192</v>
      </c>
      <c r="AQ2063" s="1">
        <v>77.17</v>
      </c>
      <c r="AR2063" s="1"/>
      <c r="AS2063" s="1"/>
      <c r="AT2063" s="1"/>
      <c r="AU2063" s="1"/>
      <c r="AV2063" s="1"/>
      <c r="AW2063" s="1"/>
      <c r="AX2063" s="1"/>
      <c r="AY2063" s="1" t="s">
        <v>366</v>
      </c>
      <c r="AZ2063" s="1" t="s">
        <v>2512</v>
      </c>
      <c r="BA2063" s="1"/>
      <c r="BB2063" s="1"/>
      <c r="BC2063" s="1" t="s">
        <v>871</v>
      </c>
      <c r="BD2063" s="1" t="s">
        <v>607</v>
      </c>
      <c r="BE2063" s="1">
        <v>61.47</v>
      </c>
      <c r="BF2063" s="1">
        <v>6.47</v>
      </c>
      <c r="BG2063" s="1"/>
      <c r="BH2063" s="1"/>
      <c r="BI2063" s="1"/>
      <c r="BJ2063" s="1"/>
      <c r="BK2063" s="1"/>
      <c r="BL2063" s="1"/>
      <c r="BM2063" s="1"/>
      <c r="BN2063" s="1"/>
      <c r="BO2063" s="1" t="s">
        <v>36059</v>
      </c>
      <c r="BP2063" s="1"/>
      <c r="BQ2063" s="1"/>
      <c r="BR2063" s="1" t="s">
        <v>36060</v>
      </c>
      <c r="BS2063" s="1">
        <v>12</v>
      </c>
      <c r="BT2063" s="1" t="s">
        <v>36061</v>
      </c>
      <c r="BU2063" s="1" t="str">
        <f>HYPERLINK("https://nconnect.nicmar.ac.in/storage/profile/ProfilePhoto_P25702041_289157.jpg","Download")</f>
        <v>0</v>
      </c>
      <c r="BV2063" s="3"/>
      <c r="BW2063" s="3"/>
    </row>
    <row r="2064" spans="1:75">
      <c r="A2064" s="1" t="s">
        <v>26662</v>
      </c>
      <c r="B2064" s="1" t="s">
        <v>446</v>
      </c>
      <c r="C2064" s="1" t="s">
        <v>36062</v>
      </c>
      <c r="D2064" s="1" t="s">
        <v>36063</v>
      </c>
      <c r="E2064" s="1"/>
      <c r="F2064" s="1" t="s">
        <v>784</v>
      </c>
      <c r="G2064" s="1" t="s">
        <v>36064</v>
      </c>
      <c r="H2064" s="1" t="s">
        <v>36065</v>
      </c>
      <c r="I2064" s="1" t="s">
        <v>36066</v>
      </c>
      <c r="J2064" s="1">
        <v>7739897579</v>
      </c>
      <c r="K2064" s="1" t="s">
        <v>84</v>
      </c>
      <c r="L2064" s="1" t="s">
        <v>36067</v>
      </c>
      <c r="M2064" s="1" t="s">
        <v>86</v>
      </c>
      <c r="N2064" s="1" t="s">
        <v>87</v>
      </c>
      <c r="O2064" s="1"/>
      <c r="P2064" s="1" t="s">
        <v>507</v>
      </c>
      <c r="Q2064" s="1" t="s">
        <v>36068</v>
      </c>
      <c r="R2064" s="1" t="s">
        <v>35194</v>
      </c>
      <c r="S2064" s="1">
        <v>9472696942</v>
      </c>
      <c r="T2064" s="1" t="s">
        <v>10678</v>
      </c>
      <c r="U2064" s="1" t="s">
        <v>36069</v>
      </c>
      <c r="V2064" s="1">
        <v>7979718965</v>
      </c>
      <c r="W2064" s="1" t="s">
        <v>36070</v>
      </c>
      <c r="X2064" s="1" t="s">
        <v>36071</v>
      </c>
      <c r="Y2064" s="1" t="s">
        <v>19651</v>
      </c>
      <c r="Z2064" s="1" t="s">
        <v>649</v>
      </c>
      <c r="AA2064" s="1" t="s">
        <v>36071</v>
      </c>
      <c r="AB2064" s="1" t="s">
        <v>19651</v>
      </c>
      <c r="AC2064" s="1" t="s">
        <v>649</v>
      </c>
      <c r="AD2064" s="1">
        <v>7.87</v>
      </c>
      <c r="AE2064" s="1" t="s">
        <v>98</v>
      </c>
      <c r="AF2064" s="1" t="s">
        <v>36072</v>
      </c>
      <c r="AG2064" s="1" t="s">
        <v>36073</v>
      </c>
      <c r="AH2064" s="1" t="s">
        <v>286</v>
      </c>
      <c r="AI2064" s="1" t="s">
        <v>414</v>
      </c>
      <c r="AJ2064" s="1">
        <v>61.6</v>
      </c>
      <c r="AK2064" s="1"/>
      <c r="AL2064" s="1" t="s">
        <v>36072</v>
      </c>
      <c r="AM2064" s="1" t="s">
        <v>36073</v>
      </c>
      <c r="AN2064" s="1" t="s">
        <v>465</v>
      </c>
      <c r="AO2064" s="1" t="s">
        <v>414</v>
      </c>
      <c r="AP2064" s="1" t="s">
        <v>1192</v>
      </c>
      <c r="AQ2064" s="1">
        <v>63.6</v>
      </c>
      <c r="AR2064" s="1"/>
      <c r="AS2064" s="1"/>
      <c r="AT2064" s="1"/>
      <c r="AU2064" s="1"/>
      <c r="AV2064" s="1"/>
      <c r="AW2064" s="1"/>
      <c r="AX2064" s="1"/>
      <c r="AY2064" s="1" t="s">
        <v>36074</v>
      </c>
      <c r="AZ2064" s="1" t="s">
        <v>36075</v>
      </c>
      <c r="BA2064" s="1" t="s">
        <v>466</v>
      </c>
      <c r="BB2064" s="1" t="s">
        <v>467</v>
      </c>
      <c r="BC2064" s="1" t="s">
        <v>871</v>
      </c>
      <c r="BD2064" s="1" t="s">
        <v>553</v>
      </c>
      <c r="BE2064" s="1">
        <v>62.3</v>
      </c>
      <c r="BF2064" s="1"/>
      <c r="BG2064" s="1"/>
      <c r="BH2064" s="1"/>
      <c r="BI2064" s="1"/>
      <c r="BJ2064" s="1"/>
      <c r="BK2064" s="1"/>
      <c r="BL2064" s="1"/>
      <c r="BM2064" s="1"/>
      <c r="BN2064" s="1"/>
      <c r="BO2064" s="1" t="s">
        <v>36076</v>
      </c>
      <c r="BP2064" s="1"/>
      <c r="BQ2064" s="1"/>
      <c r="BR2064" s="1" t="s">
        <v>36077</v>
      </c>
      <c r="BS2064" s="1">
        <v>16</v>
      </c>
      <c r="BT2064" s="1" t="s">
        <v>36078</v>
      </c>
      <c r="BU2064" s="1" t="str">
        <f>HYPERLINK("https://nconnect.nicmar.ac.in/storage/profile/6a7bf50811c8c.png","Download")</f>
        <v>0</v>
      </c>
      <c r="BV2064" s="3"/>
      <c r="BW2064" s="3"/>
    </row>
    <row r="2065" spans="1:75">
      <c r="A2065" s="1" t="s">
        <v>26662</v>
      </c>
      <c r="B2065" s="1" t="s">
        <v>446</v>
      </c>
      <c r="C2065" s="1" t="s">
        <v>36079</v>
      </c>
      <c r="D2065" s="1" t="s">
        <v>761</v>
      </c>
      <c r="E2065" s="1" t="s">
        <v>2233</v>
      </c>
      <c r="F2065" s="1" t="s">
        <v>3667</v>
      </c>
      <c r="G2065" s="1" t="s">
        <v>36080</v>
      </c>
      <c r="H2065" s="1" t="s">
        <v>36081</v>
      </c>
      <c r="I2065" s="1" t="s">
        <v>36082</v>
      </c>
      <c r="J2065" s="1">
        <v>9975547234</v>
      </c>
      <c r="K2065" s="1" t="s">
        <v>84</v>
      </c>
      <c r="L2065" s="1" t="s">
        <v>17677</v>
      </c>
      <c r="M2065" s="1" t="s">
        <v>86</v>
      </c>
      <c r="N2065" s="1" t="s">
        <v>156</v>
      </c>
      <c r="O2065" s="1"/>
      <c r="P2065" s="1" t="s">
        <v>481</v>
      </c>
      <c r="Q2065" s="1" t="s">
        <v>36083</v>
      </c>
      <c r="R2065" s="1" t="s">
        <v>36084</v>
      </c>
      <c r="S2065" s="1">
        <v>8275837726</v>
      </c>
      <c r="T2065" s="1" t="s">
        <v>159</v>
      </c>
      <c r="U2065" s="1" t="s">
        <v>5271</v>
      </c>
      <c r="V2065" s="1">
        <v>9423611488</v>
      </c>
      <c r="W2065" s="1" t="s">
        <v>161</v>
      </c>
      <c r="X2065" s="1" t="s">
        <v>36085</v>
      </c>
      <c r="Y2065" s="1" t="s">
        <v>2108</v>
      </c>
      <c r="Z2065" s="1" t="s">
        <v>97</v>
      </c>
      <c r="AA2065" s="1" t="s">
        <v>36085</v>
      </c>
      <c r="AB2065" s="1" t="s">
        <v>2108</v>
      </c>
      <c r="AC2065" s="1" t="s">
        <v>97</v>
      </c>
      <c r="AD2065" s="1">
        <v>6.21</v>
      </c>
      <c r="AE2065" s="1" t="s">
        <v>98</v>
      </c>
      <c r="AF2065" s="1" t="s">
        <v>36086</v>
      </c>
      <c r="AG2065" s="1" t="s">
        <v>3052</v>
      </c>
      <c r="AH2065" s="1" t="s">
        <v>167</v>
      </c>
      <c r="AI2065" s="1" t="s">
        <v>200</v>
      </c>
      <c r="AJ2065" s="1">
        <v>71.4</v>
      </c>
      <c r="AK2065" s="1"/>
      <c r="AL2065" s="1"/>
      <c r="AM2065" s="1"/>
      <c r="AN2065" s="1"/>
      <c r="AO2065" s="1"/>
      <c r="AP2065" s="1"/>
      <c r="AQ2065" s="1"/>
      <c r="AR2065" s="1"/>
      <c r="AS2065" s="1" t="s">
        <v>439</v>
      </c>
      <c r="AT2065" s="1" t="s">
        <v>36087</v>
      </c>
      <c r="AU2065" s="1" t="s">
        <v>230</v>
      </c>
      <c r="AV2065" s="1" t="s">
        <v>175</v>
      </c>
      <c r="AW2065" s="1">
        <v>72.26</v>
      </c>
      <c r="AX2065" s="1"/>
      <c r="AY2065" s="1" t="s">
        <v>340</v>
      </c>
      <c r="AZ2065" s="1" t="s">
        <v>36088</v>
      </c>
      <c r="BA2065" s="1"/>
      <c r="BB2065" s="1"/>
      <c r="BC2065" s="1" t="s">
        <v>1171</v>
      </c>
      <c r="BD2065" s="1" t="s">
        <v>234</v>
      </c>
      <c r="BE2065" s="1">
        <v>57.18</v>
      </c>
      <c r="BF2065" s="1">
        <v>6.12</v>
      </c>
      <c r="BG2065" s="1"/>
      <c r="BH2065" s="1"/>
      <c r="BI2065" s="1"/>
      <c r="BJ2065" s="1"/>
      <c r="BK2065" s="1"/>
      <c r="BL2065" s="1"/>
      <c r="BM2065" s="1"/>
      <c r="BN2065" s="1"/>
      <c r="BO2065" s="1" t="s">
        <v>369</v>
      </c>
      <c r="BP2065" s="1"/>
      <c r="BQ2065" s="1"/>
      <c r="BR2065" s="1" t="s">
        <v>36089</v>
      </c>
      <c r="BS2065" s="1">
        <v>20</v>
      </c>
      <c r="BT2065" s="1" t="s">
        <v>36090</v>
      </c>
      <c r="BU2065" s="1" t="str">
        <f>HYPERLINK("https://nconnect.nicmar.ac.in/storage/profile/ProfilePhoto_P25702043_481923.jpg","Download")</f>
        <v>0</v>
      </c>
      <c r="BV2065" s="3"/>
      <c r="BW2065" s="3"/>
    </row>
    <row r="2066" spans="1:75">
      <c r="A2066" s="1" t="s">
        <v>26662</v>
      </c>
      <c r="B2066" s="1" t="s">
        <v>446</v>
      </c>
      <c r="C2066" s="1" t="s">
        <v>36091</v>
      </c>
      <c r="D2066" s="1" t="s">
        <v>36092</v>
      </c>
      <c r="E2066" s="1"/>
      <c r="F2066" s="1" t="s">
        <v>36093</v>
      </c>
      <c r="G2066" s="1" t="s">
        <v>36094</v>
      </c>
      <c r="H2066" s="1" t="s">
        <v>36095</v>
      </c>
      <c r="I2066" s="1" t="s">
        <v>36096</v>
      </c>
      <c r="J2066" s="1">
        <v>9944949008</v>
      </c>
      <c r="K2066" s="1" t="s">
        <v>84</v>
      </c>
      <c r="L2066" s="1" t="s">
        <v>36097</v>
      </c>
      <c r="M2066" s="1" t="s">
        <v>86</v>
      </c>
      <c r="N2066" s="1" t="s">
        <v>36098</v>
      </c>
      <c r="O2066" s="1"/>
      <c r="P2066" s="1" t="s">
        <v>481</v>
      </c>
      <c r="Q2066" s="1" t="s">
        <v>36099</v>
      </c>
      <c r="R2066" s="1" t="s">
        <v>36100</v>
      </c>
      <c r="S2066" s="1">
        <v>9842206959</v>
      </c>
      <c r="T2066" s="1" t="s">
        <v>839</v>
      </c>
      <c r="U2066" s="1" t="s">
        <v>36101</v>
      </c>
      <c r="V2066" s="1">
        <v>9629535515</v>
      </c>
      <c r="W2066" s="1" t="s">
        <v>541</v>
      </c>
      <c r="X2066" s="1" t="s">
        <v>36102</v>
      </c>
      <c r="Y2066" s="1" t="s">
        <v>2131</v>
      </c>
      <c r="Z2066" s="1" t="s">
        <v>570</v>
      </c>
      <c r="AA2066" s="1" t="s">
        <v>36102</v>
      </c>
      <c r="AB2066" s="1" t="s">
        <v>2131</v>
      </c>
      <c r="AC2066" s="1" t="s">
        <v>570</v>
      </c>
      <c r="AD2066" s="1">
        <v>7.21</v>
      </c>
      <c r="AE2066" s="1" t="s">
        <v>98</v>
      </c>
      <c r="AF2066" s="1" t="s">
        <v>36103</v>
      </c>
      <c r="AG2066" s="1" t="s">
        <v>36104</v>
      </c>
      <c r="AH2066" s="1" t="s">
        <v>170</v>
      </c>
      <c r="AI2066" s="1" t="s">
        <v>286</v>
      </c>
      <c r="AJ2066" s="1">
        <v>78.2</v>
      </c>
      <c r="AK2066" s="1"/>
      <c r="AL2066" s="1" t="s">
        <v>36103</v>
      </c>
      <c r="AM2066" s="1" t="s">
        <v>36104</v>
      </c>
      <c r="AN2066" s="1" t="s">
        <v>6323</v>
      </c>
      <c r="AO2066" s="1" t="s">
        <v>438</v>
      </c>
      <c r="AP2066" s="1" t="s">
        <v>603</v>
      </c>
      <c r="AQ2066" s="1">
        <v>62</v>
      </c>
      <c r="AR2066" s="1"/>
      <c r="AS2066" s="1"/>
      <c r="AT2066" s="1"/>
      <c r="AU2066" s="1"/>
      <c r="AV2066" s="1"/>
      <c r="AW2066" s="1"/>
      <c r="AX2066" s="1"/>
      <c r="AY2066" s="1" t="s">
        <v>36105</v>
      </c>
      <c r="AZ2066" s="1" t="s">
        <v>36106</v>
      </c>
      <c r="BA2066" s="1" t="s">
        <v>35549</v>
      </c>
      <c r="BB2066" s="1" t="s">
        <v>36107</v>
      </c>
      <c r="BC2066" s="1" t="s">
        <v>468</v>
      </c>
      <c r="BD2066" s="1" t="s">
        <v>955</v>
      </c>
      <c r="BE2066" s="1">
        <v>70.49</v>
      </c>
      <c r="BF2066" s="1">
        <v>7.42</v>
      </c>
      <c r="BG2066" s="1"/>
      <c r="BH2066" s="1"/>
      <c r="BI2066" s="1"/>
      <c r="BJ2066" s="1"/>
      <c r="BK2066" s="1"/>
      <c r="BL2066" s="1"/>
      <c r="BM2066" s="1"/>
      <c r="BN2066" s="1"/>
      <c r="BO2066" s="1" t="s">
        <v>3308</v>
      </c>
      <c r="BP2066" s="1"/>
      <c r="BQ2066" s="1"/>
      <c r="BR2066" s="1" t="s">
        <v>36108</v>
      </c>
      <c r="BS2066" s="1">
        <v>11</v>
      </c>
      <c r="BT2066" s="1" t="s">
        <v>36109</v>
      </c>
      <c r="BU2066" s="1" t="str">
        <f>HYPERLINK("https://nconnect.nicmar.ac.in/storage/profile/ProfilePhoto_P25702044_783125.jpg","Download")</f>
        <v>0</v>
      </c>
      <c r="BV2066" s="3"/>
      <c r="BW2066" s="3"/>
    </row>
    <row r="2067" spans="1:75">
      <c r="A2067" s="1" t="s">
        <v>26662</v>
      </c>
      <c r="B2067" s="1" t="s">
        <v>446</v>
      </c>
      <c r="C2067" s="1" t="s">
        <v>36110</v>
      </c>
      <c r="D2067" s="1" t="s">
        <v>36111</v>
      </c>
      <c r="E2067" s="1"/>
      <c r="F2067" s="1" t="s">
        <v>3494</v>
      </c>
      <c r="G2067" s="1" t="s">
        <v>36112</v>
      </c>
      <c r="H2067" s="1" t="s">
        <v>36113</v>
      </c>
      <c r="I2067" s="1" t="s">
        <v>36114</v>
      </c>
      <c r="J2067" s="1">
        <v>7560825115</v>
      </c>
      <c r="K2067" s="1" t="s">
        <v>153</v>
      </c>
      <c r="L2067" s="1" t="s">
        <v>1342</v>
      </c>
      <c r="M2067" s="1" t="s">
        <v>86</v>
      </c>
      <c r="N2067" s="1" t="s">
        <v>5194</v>
      </c>
      <c r="O2067" s="1"/>
      <c r="P2067" s="1" t="s">
        <v>481</v>
      </c>
      <c r="Q2067" s="1" t="s">
        <v>36115</v>
      </c>
      <c r="R2067" s="1" t="s">
        <v>36116</v>
      </c>
      <c r="S2067" s="1">
        <v>9847916345</v>
      </c>
      <c r="T2067" s="1" t="s">
        <v>36117</v>
      </c>
      <c r="U2067" s="1" t="s">
        <v>36118</v>
      </c>
      <c r="V2067" s="1">
        <v>9895076345</v>
      </c>
      <c r="W2067" s="1" t="s">
        <v>276</v>
      </c>
      <c r="X2067" s="1" t="s">
        <v>36119</v>
      </c>
      <c r="Y2067" s="1" t="s">
        <v>701</v>
      </c>
      <c r="Z2067" s="1" t="s">
        <v>130</v>
      </c>
      <c r="AA2067" s="1" t="s">
        <v>36119</v>
      </c>
      <c r="AB2067" s="1" t="s">
        <v>701</v>
      </c>
      <c r="AC2067" s="1" t="s">
        <v>130</v>
      </c>
      <c r="AD2067" s="1">
        <v>7.84</v>
      </c>
      <c r="AE2067" s="1" t="s">
        <v>98</v>
      </c>
      <c r="AF2067" s="1" t="s">
        <v>36120</v>
      </c>
      <c r="AG2067" s="1" t="s">
        <v>36121</v>
      </c>
      <c r="AH2067" s="1" t="s">
        <v>166</v>
      </c>
      <c r="AI2067" s="1" t="s">
        <v>627</v>
      </c>
      <c r="AJ2067" s="1">
        <v>85.5</v>
      </c>
      <c r="AK2067" s="1">
        <v>9</v>
      </c>
      <c r="AL2067" s="1" t="s">
        <v>36120</v>
      </c>
      <c r="AM2067" s="1" t="s">
        <v>36121</v>
      </c>
      <c r="AN2067" s="1"/>
      <c r="AO2067" s="1" t="s">
        <v>170</v>
      </c>
      <c r="AP2067" s="1" t="s">
        <v>171</v>
      </c>
      <c r="AQ2067" s="1">
        <v>81.2</v>
      </c>
      <c r="AR2067" s="1">
        <v>8.5</v>
      </c>
      <c r="AS2067" s="1"/>
      <c r="AT2067" s="1"/>
      <c r="AU2067" s="1"/>
      <c r="AV2067" s="1"/>
      <c r="AW2067" s="1"/>
      <c r="AX2067" s="1"/>
      <c r="AY2067" s="1" t="s">
        <v>36122</v>
      </c>
      <c r="AZ2067" s="1" t="s">
        <v>36123</v>
      </c>
      <c r="BA2067" s="1"/>
      <c r="BB2067" s="1"/>
      <c r="BC2067" s="1" t="s">
        <v>1065</v>
      </c>
      <c r="BD2067" s="1" t="s">
        <v>179</v>
      </c>
      <c r="BE2067" s="1">
        <v>68</v>
      </c>
      <c r="BF2067" s="1">
        <v>6.91</v>
      </c>
      <c r="BG2067" s="1"/>
      <c r="BH2067" s="1"/>
      <c r="BI2067" s="1"/>
      <c r="BJ2067" s="1"/>
      <c r="BK2067" s="1"/>
      <c r="BL2067" s="1"/>
      <c r="BM2067" s="1"/>
      <c r="BN2067" s="1"/>
      <c r="BO2067" s="1" t="s">
        <v>36124</v>
      </c>
      <c r="BP2067" s="1" t="s">
        <v>36125</v>
      </c>
      <c r="BQ2067" s="1" t="s">
        <v>1174</v>
      </c>
      <c r="BR2067" s="1" t="s">
        <v>36126</v>
      </c>
      <c r="BS2067" s="1">
        <v>25</v>
      </c>
      <c r="BT2067" s="1"/>
      <c r="BU2067" s="1" t="str">
        <f>HYPERLINK("https://nconnect.nicmar.ac.in/storage/profile/ProfilePhoto_P25702045_132689.jpg","Download")</f>
        <v>0</v>
      </c>
      <c r="BV2067" s="3"/>
      <c r="BW2067" s="3"/>
    </row>
    <row r="2068" spans="1:75">
      <c r="A2068" s="1" t="s">
        <v>26662</v>
      </c>
      <c r="B2068" s="1" t="s">
        <v>446</v>
      </c>
      <c r="C2068" s="1" t="s">
        <v>36127</v>
      </c>
      <c r="D2068" s="1" t="s">
        <v>36128</v>
      </c>
      <c r="E2068" s="1" t="s">
        <v>30840</v>
      </c>
      <c r="F2068" s="1" t="s">
        <v>36129</v>
      </c>
      <c r="G2068" s="1" t="s">
        <v>36130</v>
      </c>
      <c r="H2068" s="1" t="s">
        <v>36131</v>
      </c>
      <c r="I2068" s="1" t="s">
        <v>36132</v>
      </c>
      <c r="J2068" s="1">
        <v>8433616226</v>
      </c>
      <c r="K2068" s="1" t="s">
        <v>153</v>
      </c>
      <c r="L2068" s="1" t="s">
        <v>27366</v>
      </c>
      <c r="M2068" s="1" t="s">
        <v>86</v>
      </c>
      <c r="N2068" s="1" t="s">
        <v>36133</v>
      </c>
      <c r="O2068" s="1"/>
      <c r="P2068" s="1" t="s">
        <v>507</v>
      </c>
      <c r="Q2068" s="1" t="s">
        <v>36134</v>
      </c>
      <c r="R2068" s="1" t="s">
        <v>30840</v>
      </c>
      <c r="S2068" s="1">
        <v>9920935656</v>
      </c>
      <c r="T2068" s="1" t="s">
        <v>4486</v>
      </c>
      <c r="U2068" s="1" t="s">
        <v>36135</v>
      </c>
      <c r="V2068" s="1">
        <v>9819357451</v>
      </c>
      <c r="W2068" s="1" t="s">
        <v>161</v>
      </c>
      <c r="X2068" s="1" t="s">
        <v>36136</v>
      </c>
      <c r="Y2068" s="1" t="s">
        <v>1012</v>
      </c>
      <c r="Z2068" s="1" t="s">
        <v>97</v>
      </c>
      <c r="AA2068" s="1" t="s">
        <v>36136</v>
      </c>
      <c r="AB2068" s="1" t="s">
        <v>1012</v>
      </c>
      <c r="AC2068" s="1" t="s">
        <v>97</v>
      </c>
      <c r="AD2068" s="1">
        <v>8.37</v>
      </c>
      <c r="AE2068" s="1" t="s">
        <v>98</v>
      </c>
      <c r="AF2068" s="1" t="s">
        <v>36137</v>
      </c>
      <c r="AG2068" s="1" t="s">
        <v>36138</v>
      </c>
      <c r="AH2068" s="1" t="s">
        <v>2783</v>
      </c>
      <c r="AI2068" s="1" t="s">
        <v>200</v>
      </c>
      <c r="AJ2068" s="1">
        <v>91.2</v>
      </c>
      <c r="AK2068" s="1">
        <v>9.6</v>
      </c>
      <c r="AL2068" s="1" t="s">
        <v>36139</v>
      </c>
      <c r="AM2068" s="1" t="s">
        <v>36140</v>
      </c>
      <c r="AN2068" s="1" t="s">
        <v>575</v>
      </c>
      <c r="AO2068" s="1" t="s">
        <v>388</v>
      </c>
      <c r="AP2068" s="1" t="s">
        <v>203</v>
      </c>
      <c r="AQ2068" s="1">
        <v>66.92</v>
      </c>
      <c r="AR2068" s="1">
        <v>0</v>
      </c>
      <c r="AS2068" s="1"/>
      <c r="AT2068" s="1"/>
      <c r="AU2068" s="1"/>
      <c r="AV2068" s="1"/>
      <c r="AW2068" s="1"/>
      <c r="AX2068" s="1"/>
      <c r="AY2068" s="1" t="s">
        <v>680</v>
      </c>
      <c r="AZ2068" s="1" t="s">
        <v>36141</v>
      </c>
      <c r="BA2068" s="1" t="s">
        <v>682</v>
      </c>
      <c r="BB2068" s="1" t="s">
        <v>1561</v>
      </c>
      <c r="BC2068" s="1" t="s">
        <v>206</v>
      </c>
      <c r="BD2068" s="1" t="s">
        <v>1314</v>
      </c>
      <c r="BE2068" s="1">
        <v>75.56</v>
      </c>
      <c r="BF2068" s="1">
        <v>8.59</v>
      </c>
      <c r="BG2068" s="1"/>
      <c r="BH2068" s="1"/>
      <c r="BI2068" s="1"/>
      <c r="BJ2068" s="1"/>
      <c r="BK2068" s="1"/>
      <c r="BL2068" s="1"/>
      <c r="BM2068" s="1"/>
      <c r="BN2068" s="1"/>
      <c r="BO2068" s="1" t="s">
        <v>36142</v>
      </c>
      <c r="BP2068" s="1" t="s">
        <v>36143</v>
      </c>
      <c r="BQ2068" s="1" t="s">
        <v>893</v>
      </c>
      <c r="BR2068" s="1" t="s">
        <v>36144</v>
      </c>
      <c r="BS2068" s="1">
        <v>71</v>
      </c>
      <c r="BT2068" s="1"/>
      <c r="BU2068" s="1" t="str">
        <f>HYPERLINK("https://nconnect.nicmar.ac.in/storage/profile/ProfilePhoto_P25702046_835946.jpg","Download")</f>
        <v>0</v>
      </c>
      <c r="BV2068" s="3"/>
      <c r="BW2068" s="3"/>
    </row>
    <row r="2069" spans="1:75">
      <c r="A2069" s="1" t="s">
        <v>26662</v>
      </c>
      <c r="B2069" s="1" t="s">
        <v>446</v>
      </c>
      <c r="C2069" s="1" t="s">
        <v>36145</v>
      </c>
      <c r="D2069" s="1" t="s">
        <v>3493</v>
      </c>
      <c r="E2069" s="1" t="s">
        <v>36146</v>
      </c>
      <c r="F2069" s="1" t="s">
        <v>13423</v>
      </c>
      <c r="G2069" s="1" t="s">
        <v>36147</v>
      </c>
      <c r="H2069" s="1" t="s">
        <v>36148</v>
      </c>
      <c r="I2069" s="1" t="s">
        <v>36149</v>
      </c>
      <c r="J2069" s="1">
        <v>9867010382</v>
      </c>
      <c r="K2069" s="1" t="s">
        <v>84</v>
      </c>
      <c r="L2069" s="1" t="s">
        <v>30217</v>
      </c>
      <c r="M2069" s="1" t="s">
        <v>86</v>
      </c>
      <c r="N2069" s="1" t="s">
        <v>990</v>
      </c>
      <c r="O2069" s="1" t="s">
        <v>36150</v>
      </c>
      <c r="P2069" s="1" t="s">
        <v>122</v>
      </c>
      <c r="Q2069" s="1" t="s">
        <v>36151</v>
      </c>
      <c r="R2069" s="1" t="s">
        <v>36152</v>
      </c>
      <c r="S2069" s="1">
        <v>7710831848</v>
      </c>
      <c r="T2069" s="1" t="s">
        <v>6569</v>
      </c>
      <c r="U2069" s="1" t="s">
        <v>36153</v>
      </c>
      <c r="V2069" s="1">
        <v>7710831848</v>
      </c>
      <c r="W2069" s="1" t="s">
        <v>161</v>
      </c>
      <c r="X2069" s="1" t="s">
        <v>36154</v>
      </c>
      <c r="Y2069" s="1" t="s">
        <v>2259</v>
      </c>
      <c r="Z2069" s="1" t="s">
        <v>97</v>
      </c>
      <c r="AA2069" s="1" t="s">
        <v>36155</v>
      </c>
      <c r="AB2069" s="1" t="s">
        <v>196</v>
      </c>
      <c r="AC2069" s="1" t="s">
        <v>97</v>
      </c>
      <c r="AD2069" s="1">
        <v>8.63</v>
      </c>
      <c r="AE2069" s="1" t="s">
        <v>98</v>
      </c>
      <c r="AF2069" s="1" t="s">
        <v>36156</v>
      </c>
      <c r="AG2069" s="1" t="s">
        <v>26303</v>
      </c>
      <c r="AH2069" s="1" t="s">
        <v>167</v>
      </c>
      <c r="AI2069" s="1" t="s">
        <v>200</v>
      </c>
      <c r="AJ2069" s="1">
        <v>74</v>
      </c>
      <c r="AK2069" s="1"/>
      <c r="AL2069" s="1"/>
      <c r="AM2069" s="1"/>
      <c r="AN2069" s="1" t="s">
        <v>2635</v>
      </c>
      <c r="AO2069" s="1"/>
      <c r="AP2069" s="1"/>
      <c r="AQ2069" s="1"/>
      <c r="AR2069" s="1"/>
      <c r="AS2069" s="1" t="s">
        <v>36157</v>
      </c>
      <c r="AT2069" s="1" t="s">
        <v>36158</v>
      </c>
      <c r="AU2069" s="1" t="s">
        <v>230</v>
      </c>
      <c r="AV2069" s="1" t="s">
        <v>175</v>
      </c>
      <c r="AW2069" s="1">
        <v>85.58</v>
      </c>
      <c r="AX2069" s="1"/>
      <c r="AY2069" s="1" t="s">
        <v>258</v>
      </c>
      <c r="AZ2069" s="1" t="s">
        <v>36159</v>
      </c>
      <c r="BA2069" s="1" t="s">
        <v>578</v>
      </c>
      <c r="BB2069" s="1" t="s">
        <v>467</v>
      </c>
      <c r="BC2069" s="1" t="s">
        <v>368</v>
      </c>
      <c r="BD2069" s="1" t="s">
        <v>955</v>
      </c>
      <c r="BE2069" s="1">
        <v>75.67</v>
      </c>
      <c r="BF2069" s="1">
        <v>8.52</v>
      </c>
      <c r="BG2069" s="1"/>
      <c r="BH2069" s="1"/>
      <c r="BI2069" s="1"/>
      <c r="BJ2069" s="1"/>
      <c r="BK2069" s="1"/>
      <c r="BL2069" s="1"/>
      <c r="BM2069" s="1"/>
      <c r="BN2069" s="1"/>
      <c r="BO2069" s="1" t="s">
        <v>36160</v>
      </c>
      <c r="BP2069" s="1" t="s">
        <v>36161</v>
      </c>
      <c r="BQ2069" s="1" t="s">
        <v>1152</v>
      </c>
      <c r="BR2069" s="1" t="s">
        <v>36162</v>
      </c>
      <c r="BS2069" s="1">
        <v>14</v>
      </c>
      <c r="BT2069" s="1" t="s">
        <v>36163</v>
      </c>
      <c r="BU2069" s="1" t="str">
        <f>HYPERLINK("https://nconnect.nicmar.ac.in/storage/profile/ProfilePhoto_P25702048_294635.jpg","Download")</f>
        <v>0</v>
      </c>
      <c r="BV2069" s="3"/>
      <c r="BW2069" s="3"/>
    </row>
    <row r="2070" spans="1:75">
      <c r="A2070" s="1" t="s">
        <v>26662</v>
      </c>
      <c r="B2070" s="1" t="s">
        <v>446</v>
      </c>
      <c r="C2070" s="1" t="s">
        <v>36164</v>
      </c>
      <c r="D2070" s="1" t="s">
        <v>36165</v>
      </c>
      <c r="E2070" s="1" t="s">
        <v>2829</v>
      </c>
      <c r="F2070" s="1" t="s">
        <v>36166</v>
      </c>
      <c r="G2070" s="1" t="s">
        <v>36167</v>
      </c>
      <c r="H2070" s="1" t="s">
        <v>36168</v>
      </c>
      <c r="I2070" s="1" t="s">
        <v>36169</v>
      </c>
      <c r="J2070" s="1">
        <v>8200991002</v>
      </c>
      <c r="K2070" s="1" t="s">
        <v>84</v>
      </c>
      <c r="L2070" s="1" t="s">
        <v>36170</v>
      </c>
      <c r="M2070" s="1" t="s">
        <v>86</v>
      </c>
      <c r="N2070" s="1" t="s">
        <v>36171</v>
      </c>
      <c r="O2070" s="1"/>
      <c r="P2070" s="1" t="s">
        <v>1028</v>
      </c>
      <c r="Q2070" s="1" t="s">
        <v>36172</v>
      </c>
      <c r="R2070" s="1" t="s">
        <v>36173</v>
      </c>
      <c r="S2070" s="1">
        <v>9825472657</v>
      </c>
      <c r="T2070" s="1" t="s">
        <v>7713</v>
      </c>
      <c r="U2070" s="1" t="s">
        <v>36174</v>
      </c>
      <c r="V2070" s="1">
        <v>9687259762</v>
      </c>
      <c r="W2070" s="1" t="s">
        <v>161</v>
      </c>
      <c r="X2070" s="1" t="s">
        <v>36175</v>
      </c>
      <c r="Y2070" s="1" t="s">
        <v>23759</v>
      </c>
      <c r="Z2070" s="1" t="s">
        <v>676</v>
      </c>
      <c r="AA2070" s="1" t="s">
        <v>36175</v>
      </c>
      <c r="AB2070" s="1" t="s">
        <v>23759</v>
      </c>
      <c r="AC2070" s="1" t="s">
        <v>676</v>
      </c>
      <c r="AD2070" s="1">
        <v>7.71</v>
      </c>
      <c r="AE2070" s="1" t="s">
        <v>98</v>
      </c>
      <c r="AF2070" s="1" t="s">
        <v>32718</v>
      </c>
      <c r="AG2070" s="1" t="s">
        <v>2882</v>
      </c>
      <c r="AH2070" s="1" t="s">
        <v>1396</v>
      </c>
      <c r="AI2070" s="1" t="s">
        <v>200</v>
      </c>
      <c r="AJ2070" s="1">
        <v>63.3</v>
      </c>
      <c r="AK2070" s="1"/>
      <c r="AL2070" s="1" t="s">
        <v>36176</v>
      </c>
      <c r="AM2070" s="1" t="s">
        <v>2882</v>
      </c>
      <c r="AN2070" s="1" t="s">
        <v>465</v>
      </c>
      <c r="AO2070" s="1" t="s">
        <v>174</v>
      </c>
      <c r="AP2070" s="1" t="s">
        <v>603</v>
      </c>
      <c r="AQ2070" s="1">
        <v>45</v>
      </c>
      <c r="AR2070" s="1"/>
      <c r="AS2070" s="1" t="s">
        <v>439</v>
      </c>
      <c r="AT2070" s="1" t="s">
        <v>36177</v>
      </c>
      <c r="AU2070" s="1" t="s">
        <v>315</v>
      </c>
      <c r="AV2070" s="1" t="s">
        <v>632</v>
      </c>
      <c r="AW2070" s="1">
        <v>87.2</v>
      </c>
      <c r="AX2070" s="1">
        <v>9.22</v>
      </c>
      <c r="AY2070" s="1" t="s">
        <v>36178</v>
      </c>
      <c r="AZ2070" s="1" t="s">
        <v>36179</v>
      </c>
      <c r="BA2070" s="1" t="s">
        <v>466</v>
      </c>
      <c r="BB2070" s="1" t="s">
        <v>467</v>
      </c>
      <c r="BC2070" s="1" t="s">
        <v>110</v>
      </c>
      <c r="BD2070" s="1" t="s">
        <v>607</v>
      </c>
      <c r="BE2070" s="1">
        <v>61.4</v>
      </c>
      <c r="BF2070" s="1">
        <v>6.89</v>
      </c>
      <c r="BG2070" s="1"/>
      <c r="BH2070" s="1"/>
      <c r="BI2070" s="1"/>
      <c r="BJ2070" s="1"/>
      <c r="BK2070" s="1"/>
      <c r="BL2070" s="1"/>
      <c r="BM2070" s="1"/>
      <c r="BN2070" s="1"/>
      <c r="BO2070" s="1" t="s">
        <v>36180</v>
      </c>
      <c r="BP2070" s="1"/>
      <c r="BQ2070" s="1"/>
      <c r="BR2070" s="1" t="s">
        <v>36181</v>
      </c>
      <c r="BS2070" s="1">
        <v>25</v>
      </c>
      <c r="BT2070" s="1"/>
      <c r="BU2070" s="1" t="str">
        <f>HYPERLINK("https://nconnect.nicmar.ac.in/storage/profile/ProfilePhoto_P25702049_725163.jpg","Download")</f>
        <v>0</v>
      </c>
      <c r="BV2070" s="3"/>
      <c r="BW2070" s="3"/>
    </row>
    <row r="2071" spans="1:75">
      <c r="A2071" s="1" t="s">
        <v>26662</v>
      </c>
      <c r="B2071" s="1" t="s">
        <v>446</v>
      </c>
      <c r="C2071" s="1" t="s">
        <v>36182</v>
      </c>
      <c r="D2071" s="1" t="s">
        <v>36183</v>
      </c>
      <c r="E2071" s="1"/>
      <c r="F2071" s="1" t="s">
        <v>36184</v>
      </c>
      <c r="G2071" s="1" t="s">
        <v>36185</v>
      </c>
      <c r="H2071" s="1" t="s">
        <v>36186</v>
      </c>
      <c r="I2071" s="1" t="s">
        <v>36187</v>
      </c>
      <c r="J2071" s="1">
        <v>9039533353</v>
      </c>
      <c r="K2071" s="1" t="s">
        <v>84</v>
      </c>
      <c r="L2071" s="1" t="s">
        <v>36188</v>
      </c>
      <c r="M2071" s="1" t="s">
        <v>86</v>
      </c>
      <c r="N2071" s="1" t="s">
        <v>768</v>
      </c>
      <c r="O2071" s="1" t="s">
        <v>36189</v>
      </c>
      <c r="P2071" s="1" t="s">
        <v>481</v>
      </c>
      <c r="Q2071" s="1" t="s">
        <v>36190</v>
      </c>
      <c r="R2071" s="1" t="s">
        <v>36191</v>
      </c>
      <c r="S2071" s="1">
        <v>9893167353</v>
      </c>
      <c r="T2071" s="1" t="s">
        <v>539</v>
      </c>
      <c r="U2071" s="1" t="s">
        <v>36192</v>
      </c>
      <c r="V2071" s="1">
        <v>7389255534</v>
      </c>
      <c r="W2071" s="1" t="s">
        <v>839</v>
      </c>
      <c r="X2071" s="1" t="s">
        <v>36193</v>
      </c>
      <c r="Y2071" s="1" t="s">
        <v>5641</v>
      </c>
      <c r="Z2071" s="1" t="s">
        <v>3419</v>
      </c>
      <c r="AA2071" s="1" t="s">
        <v>36193</v>
      </c>
      <c r="AB2071" s="1" t="s">
        <v>5641</v>
      </c>
      <c r="AC2071" s="1" t="s">
        <v>3419</v>
      </c>
      <c r="AD2071" s="1">
        <v>7.63</v>
      </c>
      <c r="AE2071" s="1" t="s">
        <v>98</v>
      </c>
      <c r="AF2071" s="1" t="s">
        <v>36194</v>
      </c>
      <c r="AG2071" s="1" t="s">
        <v>5728</v>
      </c>
      <c r="AH2071" s="1" t="s">
        <v>170</v>
      </c>
      <c r="AI2071" s="1" t="s">
        <v>286</v>
      </c>
      <c r="AJ2071" s="1">
        <v>50.4</v>
      </c>
      <c r="AK2071" s="1">
        <v>0</v>
      </c>
      <c r="AL2071" s="1"/>
      <c r="AM2071" s="1"/>
      <c r="AN2071" s="1"/>
      <c r="AO2071" s="1"/>
      <c r="AP2071" s="1"/>
      <c r="AQ2071" s="1"/>
      <c r="AR2071" s="1"/>
      <c r="AS2071" s="1" t="s">
        <v>7263</v>
      </c>
      <c r="AT2071" s="1" t="s">
        <v>36195</v>
      </c>
      <c r="AU2071" s="1" t="s">
        <v>106</v>
      </c>
      <c r="AV2071" s="1" t="s">
        <v>845</v>
      </c>
      <c r="AW2071" s="1">
        <v>73.5</v>
      </c>
      <c r="AX2071" s="1">
        <v>7.35</v>
      </c>
      <c r="AY2071" s="1" t="s">
        <v>29449</v>
      </c>
      <c r="AZ2071" s="1" t="s">
        <v>36196</v>
      </c>
      <c r="BA2071" s="1"/>
      <c r="BB2071" s="1"/>
      <c r="BC2071" s="1" t="s">
        <v>552</v>
      </c>
      <c r="BD2071" s="1" t="s">
        <v>5278</v>
      </c>
      <c r="BE2071" s="1">
        <v>69.6</v>
      </c>
      <c r="BF2071" s="1">
        <v>6.96</v>
      </c>
      <c r="BG2071" s="1"/>
      <c r="BH2071" s="1"/>
      <c r="BI2071" s="1"/>
      <c r="BJ2071" s="1"/>
      <c r="BK2071" s="1"/>
      <c r="BL2071" s="1"/>
      <c r="BM2071" s="1"/>
      <c r="BN2071" s="1"/>
      <c r="BO2071" s="1" t="s">
        <v>36197</v>
      </c>
      <c r="BP2071" s="1"/>
      <c r="BQ2071" s="1"/>
      <c r="BR2071" s="1" t="s">
        <v>36198</v>
      </c>
      <c r="BS2071" s="1">
        <v>73</v>
      </c>
      <c r="BT2071" s="1"/>
      <c r="BU2071" s="1" t="str">
        <f>HYPERLINK("https://nconnect.nicmar.ac.in/storage/profile/ProfilePhoto_P25702050_734158.jpg","Download")</f>
        <v>0</v>
      </c>
      <c r="BV2071" s="3"/>
      <c r="BW2071" s="3"/>
    </row>
    <row r="2072" spans="1:75">
      <c r="A2072" s="1" t="s">
        <v>26662</v>
      </c>
      <c r="B2072" s="1" t="s">
        <v>446</v>
      </c>
      <c r="C2072" s="1" t="s">
        <v>36199</v>
      </c>
      <c r="D2072" s="1" t="s">
        <v>36200</v>
      </c>
      <c r="E2072" s="1"/>
      <c r="F2072" s="1" t="s">
        <v>36201</v>
      </c>
      <c r="G2072" s="1" t="s">
        <v>36202</v>
      </c>
      <c r="H2072" s="1" t="s">
        <v>36203</v>
      </c>
      <c r="I2072" s="1" t="s">
        <v>36204</v>
      </c>
      <c r="J2072" s="1">
        <v>7013366449</v>
      </c>
      <c r="K2072" s="1" t="s">
        <v>84</v>
      </c>
      <c r="L2072" s="1" t="s">
        <v>36205</v>
      </c>
      <c r="M2072" s="1" t="s">
        <v>86</v>
      </c>
      <c r="N2072" s="1" t="s">
        <v>36206</v>
      </c>
      <c r="O2072" s="1" t="s">
        <v>36207</v>
      </c>
      <c r="P2072" s="1" t="s">
        <v>455</v>
      </c>
      <c r="Q2072" s="1" t="s">
        <v>36208</v>
      </c>
      <c r="R2072" s="1" t="s">
        <v>36209</v>
      </c>
      <c r="S2072" s="1">
        <v>8179118550</v>
      </c>
      <c r="T2072" s="1" t="s">
        <v>839</v>
      </c>
      <c r="U2072" s="1" t="s">
        <v>36210</v>
      </c>
      <c r="V2072" s="1">
        <v>8179118550</v>
      </c>
      <c r="W2072" s="1" t="s">
        <v>278</v>
      </c>
      <c r="X2072" s="1" t="s">
        <v>36211</v>
      </c>
      <c r="Y2072" s="1" t="s">
        <v>725</v>
      </c>
      <c r="Z2072" s="1" t="s">
        <v>281</v>
      </c>
      <c r="AA2072" s="1" t="s">
        <v>36212</v>
      </c>
      <c r="AB2072" s="1" t="s">
        <v>725</v>
      </c>
      <c r="AC2072" s="1" t="s">
        <v>281</v>
      </c>
      <c r="AD2072" s="1">
        <v>8.08</v>
      </c>
      <c r="AE2072" s="1" t="s">
        <v>98</v>
      </c>
      <c r="AF2072" s="1" t="s">
        <v>36213</v>
      </c>
      <c r="AG2072" s="1" t="s">
        <v>36214</v>
      </c>
      <c r="AH2072" s="1" t="s">
        <v>167</v>
      </c>
      <c r="AI2072" s="1" t="s">
        <v>200</v>
      </c>
      <c r="AJ2072" s="1">
        <v>97.1</v>
      </c>
      <c r="AK2072" s="1">
        <v>9.7</v>
      </c>
      <c r="AL2072" s="1" t="s">
        <v>28109</v>
      </c>
      <c r="AM2072" s="1" t="s">
        <v>2343</v>
      </c>
      <c r="AN2072" s="1" t="s">
        <v>465</v>
      </c>
      <c r="AO2072" s="1" t="s">
        <v>170</v>
      </c>
      <c r="AP2072" s="1" t="s">
        <v>414</v>
      </c>
      <c r="AQ2072" s="1">
        <v>93.4</v>
      </c>
      <c r="AR2072" s="1">
        <v>9.34</v>
      </c>
      <c r="AS2072" s="1"/>
      <c r="AT2072" s="1"/>
      <c r="AU2072" s="1"/>
      <c r="AV2072" s="1"/>
      <c r="AW2072" s="1"/>
      <c r="AX2072" s="1"/>
      <c r="AY2072" s="1" t="s">
        <v>2344</v>
      </c>
      <c r="AZ2072" s="1" t="s">
        <v>36215</v>
      </c>
      <c r="BA2072" s="1" t="s">
        <v>466</v>
      </c>
      <c r="BB2072" s="1" t="s">
        <v>467</v>
      </c>
      <c r="BC2072" s="1" t="s">
        <v>315</v>
      </c>
      <c r="BD2072" s="1" t="s">
        <v>7385</v>
      </c>
      <c r="BE2072" s="1">
        <v>52.9</v>
      </c>
      <c r="BF2072" s="1">
        <v>5.79</v>
      </c>
      <c r="BG2072" s="1"/>
      <c r="BH2072" s="1"/>
      <c r="BI2072" s="1"/>
      <c r="BJ2072" s="1"/>
      <c r="BK2072" s="1"/>
      <c r="BL2072" s="1"/>
      <c r="BM2072" s="1"/>
      <c r="BN2072" s="1"/>
      <c r="BO2072" s="1" t="s">
        <v>1114</v>
      </c>
      <c r="BP2072" s="1" t="s">
        <v>36216</v>
      </c>
      <c r="BQ2072" s="1" t="s">
        <v>1564</v>
      </c>
      <c r="BR2072" s="1" t="s">
        <v>36217</v>
      </c>
      <c r="BS2072" s="1">
        <v>8</v>
      </c>
      <c r="BT2072" s="1"/>
      <c r="BU2072" s="1" t="str">
        <f>HYPERLINK("https://nconnect.nicmar.ac.in/storage/profile/ProfilePhoto_P25702051_167852.jpg","Download")</f>
        <v>0</v>
      </c>
      <c r="BV2072" s="3"/>
      <c r="BW2072" s="3"/>
    </row>
    <row r="2073" spans="1:75">
      <c r="A2073" s="1" t="s">
        <v>26662</v>
      </c>
      <c r="B2073" s="1" t="s">
        <v>446</v>
      </c>
      <c r="C2073" s="1" t="s">
        <v>36218</v>
      </c>
      <c r="D2073" s="1" t="s">
        <v>875</v>
      </c>
      <c r="E2073" s="1" t="s">
        <v>762</v>
      </c>
      <c r="F2073" s="1" t="s">
        <v>1872</v>
      </c>
      <c r="G2073" s="1" t="s">
        <v>36219</v>
      </c>
      <c r="H2073" s="1" t="s">
        <v>36220</v>
      </c>
      <c r="I2073" s="1" t="s">
        <v>36221</v>
      </c>
      <c r="J2073" s="1">
        <v>9096857500</v>
      </c>
      <c r="K2073" s="1" t="s">
        <v>84</v>
      </c>
      <c r="L2073" s="1" t="s">
        <v>36222</v>
      </c>
      <c r="M2073" s="1" t="s">
        <v>86</v>
      </c>
      <c r="N2073" s="1" t="s">
        <v>2988</v>
      </c>
      <c r="O2073" s="1"/>
      <c r="P2073" s="1" t="s">
        <v>481</v>
      </c>
      <c r="Q2073" s="1" t="s">
        <v>36223</v>
      </c>
      <c r="R2073" s="1" t="s">
        <v>36224</v>
      </c>
      <c r="S2073" s="1">
        <v>9096857500</v>
      </c>
      <c r="T2073" s="1" t="s">
        <v>645</v>
      </c>
      <c r="U2073" s="1" t="s">
        <v>36225</v>
      </c>
      <c r="V2073" s="1">
        <v>9970173799</v>
      </c>
      <c r="W2073" s="1" t="s">
        <v>36226</v>
      </c>
      <c r="X2073" s="1" t="s">
        <v>36227</v>
      </c>
      <c r="Y2073" s="1" t="s">
        <v>1033</v>
      </c>
      <c r="Z2073" s="1" t="s">
        <v>97</v>
      </c>
      <c r="AA2073" s="1" t="s">
        <v>36227</v>
      </c>
      <c r="AB2073" s="1" t="s">
        <v>1033</v>
      </c>
      <c r="AC2073" s="1" t="s">
        <v>97</v>
      </c>
      <c r="AD2073" s="1">
        <v>7.66</v>
      </c>
      <c r="AE2073" s="1" t="s">
        <v>98</v>
      </c>
      <c r="AF2073" s="1" t="s">
        <v>6111</v>
      </c>
      <c r="AG2073" s="1" t="s">
        <v>312</v>
      </c>
      <c r="AH2073" s="1" t="s">
        <v>167</v>
      </c>
      <c r="AI2073" s="1" t="s">
        <v>704</v>
      </c>
      <c r="AJ2073" s="1">
        <v>53.2</v>
      </c>
      <c r="AK2073" s="1">
        <v>5.6</v>
      </c>
      <c r="AL2073" s="1" t="s">
        <v>36228</v>
      </c>
      <c r="AM2073" s="1" t="s">
        <v>165</v>
      </c>
      <c r="AN2073" s="1" t="s">
        <v>465</v>
      </c>
      <c r="AO2073" s="1" t="s">
        <v>106</v>
      </c>
      <c r="AP2073" s="1" t="s">
        <v>414</v>
      </c>
      <c r="AQ2073" s="1">
        <v>52.77</v>
      </c>
      <c r="AR2073" s="1">
        <v>5.55</v>
      </c>
      <c r="AS2073" s="1"/>
      <c r="AT2073" s="1"/>
      <c r="AU2073" s="1"/>
      <c r="AV2073" s="1"/>
      <c r="AW2073" s="1"/>
      <c r="AX2073" s="1"/>
      <c r="AY2073" s="1" t="s">
        <v>3713</v>
      </c>
      <c r="AZ2073" s="1" t="s">
        <v>36229</v>
      </c>
      <c r="BA2073" s="1" t="s">
        <v>466</v>
      </c>
      <c r="BB2073" s="1" t="s">
        <v>467</v>
      </c>
      <c r="BC2073" s="1" t="s">
        <v>206</v>
      </c>
      <c r="BD2073" s="1" t="s">
        <v>5278</v>
      </c>
      <c r="BE2073" s="1">
        <v>56.9</v>
      </c>
      <c r="BF2073" s="1">
        <v>6.44</v>
      </c>
      <c r="BG2073" s="1"/>
      <c r="BH2073" s="1"/>
      <c r="BI2073" s="1"/>
      <c r="BJ2073" s="1"/>
      <c r="BK2073" s="1"/>
      <c r="BL2073" s="1"/>
      <c r="BM2073" s="1"/>
      <c r="BN2073" s="1"/>
      <c r="BO2073" s="1" t="s">
        <v>260</v>
      </c>
      <c r="BP2073" s="1"/>
      <c r="BQ2073" s="1"/>
      <c r="BR2073" s="1" t="s">
        <v>36230</v>
      </c>
      <c r="BS2073" s="1">
        <v>28</v>
      </c>
      <c r="BT2073" s="1" t="s">
        <v>36231</v>
      </c>
      <c r="BU2073" s="1" t="str">
        <f>HYPERLINK("https://nconnect.nicmar.ac.in/storage/profile/ProfilePhoto_P25702052_983415.jpg","Download")</f>
        <v>0</v>
      </c>
      <c r="BV2073" s="3"/>
      <c r="BW2073" s="3"/>
    </row>
    <row r="2074" spans="1:75">
      <c r="A2074" s="1" t="s">
        <v>26662</v>
      </c>
      <c r="B2074" s="1" t="s">
        <v>446</v>
      </c>
      <c r="C2074" s="1" t="s">
        <v>36232</v>
      </c>
      <c r="D2074" s="1" t="s">
        <v>2465</v>
      </c>
      <c r="E2074" s="1" t="s">
        <v>32760</v>
      </c>
      <c r="F2074" s="1" t="s">
        <v>8253</v>
      </c>
      <c r="G2074" s="1" t="s">
        <v>36233</v>
      </c>
      <c r="H2074" s="1" t="s">
        <v>36234</v>
      </c>
      <c r="I2074" s="1" t="s">
        <v>36235</v>
      </c>
      <c r="J2074" s="1">
        <v>8329927069</v>
      </c>
      <c r="K2074" s="1" t="s">
        <v>84</v>
      </c>
      <c r="L2074" s="1" t="s">
        <v>18723</v>
      </c>
      <c r="M2074" s="1" t="s">
        <v>86</v>
      </c>
      <c r="N2074" s="1" t="s">
        <v>36236</v>
      </c>
      <c r="O2074" s="1" t="s">
        <v>36237</v>
      </c>
      <c r="P2074" s="1" t="s">
        <v>455</v>
      </c>
      <c r="Q2074" s="1" t="s">
        <v>36238</v>
      </c>
      <c r="R2074" s="1" t="s">
        <v>36239</v>
      </c>
      <c r="S2074" s="1">
        <v>9822899383</v>
      </c>
      <c r="T2074" s="1" t="s">
        <v>8778</v>
      </c>
      <c r="U2074" s="1" t="s">
        <v>36240</v>
      </c>
      <c r="V2074" s="1">
        <v>9673936696</v>
      </c>
      <c r="W2074" s="1" t="s">
        <v>161</v>
      </c>
      <c r="X2074" s="1" t="s">
        <v>36241</v>
      </c>
      <c r="Y2074" s="1" t="s">
        <v>96</v>
      </c>
      <c r="Z2074" s="1" t="s">
        <v>97</v>
      </c>
      <c r="AA2074" s="1" t="s">
        <v>36241</v>
      </c>
      <c r="AB2074" s="1" t="s">
        <v>96</v>
      </c>
      <c r="AC2074" s="1" t="s">
        <v>97</v>
      </c>
      <c r="AD2074" s="1">
        <v>7.53</v>
      </c>
      <c r="AE2074" s="1" t="s">
        <v>98</v>
      </c>
      <c r="AF2074" s="1" t="s">
        <v>36242</v>
      </c>
      <c r="AG2074" s="1" t="s">
        <v>36243</v>
      </c>
      <c r="AH2074" s="1" t="s">
        <v>102</v>
      </c>
      <c r="AI2074" s="1" t="s">
        <v>200</v>
      </c>
      <c r="AJ2074" s="1">
        <v>91</v>
      </c>
      <c r="AK2074" s="1">
        <v>0</v>
      </c>
      <c r="AL2074" s="1" t="s">
        <v>7969</v>
      </c>
      <c r="AM2074" s="1" t="s">
        <v>36243</v>
      </c>
      <c r="AN2074" s="1" t="s">
        <v>465</v>
      </c>
      <c r="AO2074" s="1" t="s">
        <v>230</v>
      </c>
      <c r="AP2074" s="1" t="s">
        <v>203</v>
      </c>
      <c r="AQ2074" s="1">
        <v>65</v>
      </c>
      <c r="AR2074" s="1">
        <v>0</v>
      </c>
      <c r="AS2074" s="1"/>
      <c r="AT2074" s="1"/>
      <c r="AU2074" s="1"/>
      <c r="AV2074" s="1"/>
      <c r="AW2074" s="1"/>
      <c r="AX2074" s="1"/>
      <c r="AY2074" s="1" t="s">
        <v>366</v>
      </c>
      <c r="AZ2074" s="1" t="s">
        <v>36244</v>
      </c>
      <c r="BA2074" s="1" t="s">
        <v>466</v>
      </c>
      <c r="BB2074" s="1" t="s">
        <v>467</v>
      </c>
      <c r="BC2074" s="1" t="s">
        <v>206</v>
      </c>
      <c r="BD2074" s="1" t="s">
        <v>418</v>
      </c>
      <c r="BE2074" s="1">
        <v>58</v>
      </c>
      <c r="BF2074" s="1">
        <v>6.53</v>
      </c>
      <c r="BG2074" s="1"/>
      <c r="BH2074" s="1"/>
      <c r="BI2074" s="1"/>
      <c r="BJ2074" s="1"/>
      <c r="BK2074" s="1"/>
      <c r="BL2074" s="1"/>
      <c r="BM2074" s="1"/>
      <c r="BN2074" s="1"/>
      <c r="BO2074" s="1" t="s">
        <v>36245</v>
      </c>
      <c r="BP2074" s="1"/>
      <c r="BQ2074" s="1"/>
      <c r="BR2074" s="1" t="s">
        <v>36246</v>
      </c>
      <c r="BS2074" s="1">
        <v>17</v>
      </c>
      <c r="BT2074" s="1"/>
      <c r="BU2074" s="1" t="str">
        <f>HYPERLINK("https://nconnect.nicmar.ac.in/storage/profile/ProfilePhoto_P25702053_548217.jpg","Download")</f>
        <v>0</v>
      </c>
      <c r="BV2074" s="3"/>
      <c r="BW2074" s="3"/>
    </row>
    <row r="2075" spans="1:75">
      <c r="A2075" s="1" t="s">
        <v>26662</v>
      </c>
      <c r="B2075" s="1" t="s">
        <v>446</v>
      </c>
      <c r="C2075" s="1" t="s">
        <v>36247</v>
      </c>
      <c r="D2075" s="1" t="s">
        <v>761</v>
      </c>
      <c r="E2075" s="1" t="s">
        <v>4310</v>
      </c>
      <c r="F2075" s="1" t="s">
        <v>27396</v>
      </c>
      <c r="G2075" s="1" t="s">
        <v>36248</v>
      </c>
      <c r="H2075" s="1" t="s">
        <v>36249</v>
      </c>
      <c r="I2075" s="1" t="s">
        <v>36250</v>
      </c>
      <c r="J2075" s="1">
        <v>7021276625</v>
      </c>
      <c r="K2075" s="1" t="s">
        <v>84</v>
      </c>
      <c r="L2075" s="1" t="s">
        <v>36251</v>
      </c>
      <c r="M2075" s="1" t="s">
        <v>86</v>
      </c>
      <c r="N2075" s="1" t="s">
        <v>36252</v>
      </c>
      <c r="O2075" s="1"/>
      <c r="P2075" s="1" t="s">
        <v>481</v>
      </c>
      <c r="Q2075" s="1" t="s">
        <v>36253</v>
      </c>
      <c r="R2075" s="1" t="s">
        <v>36254</v>
      </c>
      <c r="S2075" s="1">
        <v>9833719279</v>
      </c>
      <c r="T2075" s="1" t="s">
        <v>839</v>
      </c>
      <c r="U2075" s="1" t="s">
        <v>36255</v>
      </c>
      <c r="V2075" s="1">
        <v>9869120731</v>
      </c>
      <c r="W2075" s="1" t="s">
        <v>278</v>
      </c>
      <c r="X2075" s="1" t="s">
        <v>36256</v>
      </c>
      <c r="Y2075" s="1" t="s">
        <v>2259</v>
      </c>
      <c r="Z2075" s="1" t="s">
        <v>97</v>
      </c>
      <c r="AA2075" s="1" t="s">
        <v>36256</v>
      </c>
      <c r="AB2075" s="1" t="s">
        <v>2259</v>
      </c>
      <c r="AC2075" s="1" t="s">
        <v>97</v>
      </c>
      <c r="AD2075" s="1">
        <v>8.08</v>
      </c>
      <c r="AE2075" s="1" t="s">
        <v>98</v>
      </c>
      <c r="AF2075" s="1" t="s">
        <v>36257</v>
      </c>
      <c r="AG2075" s="1" t="s">
        <v>36258</v>
      </c>
      <c r="AH2075" s="1" t="s">
        <v>167</v>
      </c>
      <c r="AI2075" s="1" t="s">
        <v>200</v>
      </c>
      <c r="AJ2075" s="1">
        <v>62.2</v>
      </c>
      <c r="AK2075" s="1">
        <v>0</v>
      </c>
      <c r="AL2075" s="1" t="s">
        <v>36259</v>
      </c>
      <c r="AM2075" s="1" t="s">
        <v>36258</v>
      </c>
      <c r="AN2075" s="1" t="s">
        <v>465</v>
      </c>
      <c r="AO2075" s="1" t="s">
        <v>106</v>
      </c>
      <c r="AP2075" s="1" t="s">
        <v>315</v>
      </c>
      <c r="AQ2075" s="1">
        <v>48.77</v>
      </c>
      <c r="AR2075" s="1">
        <v>0</v>
      </c>
      <c r="AS2075" s="1" t="s">
        <v>439</v>
      </c>
      <c r="AT2075" s="1" t="s">
        <v>36260</v>
      </c>
      <c r="AU2075" s="1" t="s">
        <v>206</v>
      </c>
      <c r="AV2075" s="1" t="s">
        <v>441</v>
      </c>
      <c r="AW2075" s="1">
        <v>78.53</v>
      </c>
      <c r="AX2075" s="1">
        <v>0</v>
      </c>
      <c r="AY2075" s="1" t="s">
        <v>258</v>
      </c>
      <c r="AZ2075" s="1" t="s">
        <v>36261</v>
      </c>
      <c r="BA2075" s="1" t="s">
        <v>578</v>
      </c>
      <c r="BB2075" s="1" t="s">
        <v>467</v>
      </c>
      <c r="BC2075" s="1" t="s">
        <v>441</v>
      </c>
      <c r="BD2075" s="1" t="s">
        <v>1089</v>
      </c>
      <c r="BE2075" s="1">
        <v>58.45</v>
      </c>
      <c r="BF2075" s="1">
        <v>6.36</v>
      </c>
      <c r="BG2075" s="1"/>
      <c r="BH2075" s="1"/>
      <c r="BI2075" s="1"/>
      <c r="BJ2075" s="1"/>
      <c r="BK2075" s="1"/>
      <c r="BL2075" s="1"/>
      <c r="BM2075" s="1"/>
      <c r="BN2075" s="1"/>
      <c r="BO2075" s="1" t="s">
        <v>36262</v>
      </c>
      <c r="BP2075" s="1" t="s">
        <v>36263</v>
      </c>
      <c r="BQ2075" s="1" t="s">
        <v>1043</v>
      </c>
      <c r="BR2075" s="1" t="s">
        <v>36264</v>
      </c>
      <c r="BS2075" s="1">
        <v>8</v>
      </c>
      <c r="BT2075" s="1" t="s">
        <v>36265</v>
      </c>
      <c r="BU2075" s="1" t="str">
        <f>HYPERLINK("https://nconnect.nicmar.ac.in/storage/profile/ProfilePhoto_P25702054_231546.jpg","Download")</f>
        <v>0</v>
      </c>
      <c r="BV2075" s="3"/>
      <c r="BW2075" s="3"/>
    </row>
    <row r="2076" spans="1:75">
      <c r="A2076" s="1" t="s">
        <v>26662</v>
      </c>
      <c r="B2076" s="1" t="s">
        <v>446</v>
      </c>
      <c r="C2076" s="1" t="s">
        <v>36266</v>
      </c>
      <c r="D2076" s="1" t="s">
        <v>26684</v>
      </c>
      <c r="E2076" s="1" t="s">
        <v>7544</v>
      </c>
      <c r="F2076" s="1" t="s">
        <v>36267</v>
      </c>
      <c r="G2076" s="1" t="s">
        <v>36268</v>
      </c>
      <c r="H2076" s="1" t="s">
        <v>36269</v>
      </c>
      <c r="I2076" s="1" t="s">
        <v>36270</v>
      </c>
      <c r="J2076" s="1">
        <v>7841819174</v>
      </c>
      <c r="K2076" s="1" t="s">
        <v>153</v>
      </c>
      <c r="L2076" s="1" t="s">
        <v>668</v>
      </c>
      <c r="M2076" s="1" t="s">
        <v>86</v>
      </c>
      <c r="N2076" s="1" t="s">
        <v>1163</v>
      </c>
      <c r="O2076" s="1"/>
      <c r="P2076" s="1" t="s">
        <v>507</v>
      </c>
      <c r="Q2076" s="1" t="s">
        <v>36271</v>
      </c>
      <c r="R2076" s="1" t="s">
        <v>36272</v>
      </c>
      <c r="S2076" s="1">
        <v>9822575650</v>
      </c>
      <c r="T2076" s="1" t="s">
        <v>125</v>
      </c>
      <c r="U2076" s="1" t="s">
        <v>36273</v>
      </c>
      <c r="V2076" s="1">
        <v>9423636268</v>
      </c>
      <c r="W2076" s="1" t="s">
        <v>125</v>
      </c>
      <c r="X2076" s="1" t="s">
        <v>36274</v>
      </c>
      <c r="Y2076" s="1" t="s">
        <v>196</v>
      </c>
      <c r="Z2076" s="1" t="s">
        <v>97</v>
      </c>
      <c r="AA2076" s="1" t="s">
        <v>36275</v>
      </c>
      <c r="AB2076" s="1" t="s">
        <v>410</v>
      </c>
      <c r="AC2076" s="1" t="s">
        <v>97</v>
      </c>
      <c r="AD2076" s="1">
        <v>6.95</v>
      </c>
      <c r="AE2076" s="1" t="s">
        <v>98</v>
      </c>
      <c r="AF2076" s="1" t="s">
        <v>36276</v>
      </c>
      <c r="AG2076" s="1" t="s">
        <v>165</v>
      </c>
      <c r="AH2076" s="1" t="s">
        <v>284</v>
      </c>
      <c r="AI2076" s="1" t="s">
        <v>170</v>
      </c>
      <c r="AJ2076" s="1">
        <v>66.2</v>
      </c>
      <c r="AK2076" s="1">
        <v>6.97</v>
      </c>
      <c r="AL2076" s="1"/>
      <c r="AM2076" s="1"/>
      <c r="AN2076" s="1"/>
      <c r="AO2076" s="1"/>
      <c r="AP2076" s="1"/>
      <c r="AQ2076" s="1"/>
      <c r="AR2076" s="1"/>
      <c r="AS2076" s="1" t="s">
        <v>36277</v>
      </c>
      <c r="AT2076" s="1" t="s">
        <v>30836</v>
      </c>
      <c r="AU2076" s="1" t="s">
        <v>230</v>
      </c>
      <c r="AV2076" s="1" t="s">
        <v>552</v>
      </c>
      <c r="AW2076" s="1">
        <v>82.58</v>
      </c>
      <c r="AX2076" s="1">
        <v>8.29</v>
      </c>
      <c r="AY2076" s="1" t="s">
        <v>36278</v>
      </c>
      <c r="AZ2076" s="1" t="s">
        <v>36279</v>
      </c>
      <c r="BA2076" s="1"/>
      <c r="BB2076" s="1"/>
      <c r="BC2076" s="1" t="s">
        <v>871</v>
      </c>
      <c r="BD2076" s="1" t="s">
        <v>1089</v>
      </c>
      <c r="BE2076" s="1">
        <v>58.7</v>
      </c>
      <c r="BF2076" s="1">
        <v>6.62</v>
      </c>
      <c r="BG2076" s="1"/>
      <c r="BH2076" s="1"/>
      <c r="BI2076" s="1"/>
      <c r="BJ2076" s="1"/>
      <c r="BK2076" s="1"/>
      <c r="BL2076" s="1"/>
      <c r="BM2076" s="1"/>
      <c r="BN2076" s="1"/>
      <c r="BO2076" s="1" t="s">
        <v>369</v>
      </c>
      <c r="BP2076" s="1"/>
      <c r="BQ2076" s="1"/>
      <c r="BR2076" s="1" t="s">
        <v>36280</v>
      </c>
      <c r="BS2076" s="1">
        <v>39</v>
      </c>
      <c r="BT2076" s="1" t="s">
        <v>36281</v>
      </c>
      <c r="BU2076" s="1" t="str">
        <f>HYPERLINK("https://nconnect.nicmar.ac.in/storage/profile/ProfilePhoto_P25702055_726958.jpg","Download")</f>
        <v>0</v>
      </c>
      <c r="BV2076" s="3"/>
      <c r="BW2076" s="3"/>
    </row>
    <row r="2077" spans="1:75">
      <c r="A2077" s="1" t="s">
        <v>26662</v>
      </c>
      <c r="B2077" s="1" t="s">
        <v>446</v>
      </c>
      <c r="C2077" s="1" t="s">
        <v>36282</v>
      </c>
      <c r="D2077" s="1" t="s">
        <v>36283</v>
      </c>
      <c r="E2077" s="1" t="s">
        <v>36284</v>
      </c>
      <c r="F2077" s="1" t="s">
        <v>812</v>
      </c>
      <c r="G2077" s="1" t="s">
        <v>36285</v>
      </c>
      <c r="H2077" s="1" t="s">
        <v>36286</v>
      </c>
      <c r="I2077" s="1" t="s">
        <v>36287</v>
      </c>
      <c r="J2077" s="1">
        <v>6382585010</v>
      </c>
      <c r="K2077" s="1" t="s">
        <v>84</v>
      </c>
      <c r="L2077" s="1" t="s">
        <v>36288</v>
      </c>
      <c r="M2077" s="1" t="s">
        <v>86</v>
      </c>
      <c r="N2077" s="1" t="s">
        <v>36289</v>
      </c>
      <c r="O2077" s="1"/>
      <c r="P2077" s="1" t="s">
        <v>455</v>
      </c>
      <c r="Q2077" s="1" t="s">
        <v>36290</v>
      </c>
      <c r="R2077" s="1" t="s">
        <v>36291</v>
      </c>
      <c r="S2077" s="1">
        <v>9698163134</v>
      </c>
      <c r="T2077" s="1" t="s">
        <v>839</v>
      </c>
      <c r="U2077" s="1" t="s">
        <v>36292</v>
      </c>
      <c r="V2077" s="1">
        <v>9360526996</v>
      </c>
      <c r="W2077" s="1" t="s">
        <v>94</v>
      </c>
      <c r="X2077" s="1" t="s">
        <v>36293</v>
      </c>
      <c r="Y2077" s="1" t="s">
        <v>18215</v>
      </c>
      <c r="Z2077" s="1" t="s">
        <v>570</v>
      </c>
      <c r="AA2077" s="1" t="s">
        <v>36293</v>
      </c>
      <c r="AB2077" s="1" t="s">
        <v>18215</v>
      </c>
      <c r="AC2077" s="1" t="s">
        <v>570</v>
      </c>
      <c r="AD2077" s="1">
        <v>6.63</v>
      </c>
      <c r="AE2077" s="1" t="s">
        <v>98</v>
      </c>
      <c r="AF2077" s="1" t="s">
        <v>36294</v>
      </c>
      <c r="AG2077" s="1" t="s">
        <v>36295</v>
      </c>
      <c r="AH2077" s="1" t="s">
        <v>101</v>
      </c>
      <c r="AI2077" s="1" t="s">
        <v>284</v>
      </c>
      <c r="AJ2077" s="1">
        <v>88.4</v>
      </c>
      <c r="AK2077" s="1"/>
      <c r="AL2077" s="1" t="s">
        <v>36294</v>
      </c>
      <c r="AM2077" s="1" t="s">
        <v>33391</v>
      </c>
      <c r="AN2077" s="1"/>
      <c r="AO2077" s="1" t="s">
        <v>170</v>
      </c>
      <c r="AP2077" s="1" t="s">
        <v>490</v>
      </c>
      <c r="AQ2077" s="1">
        <v>75.5</v>
      </c>
      <c r="AR2077" s="1"/>
      <c r="AS2077" s="1"/>
      <c r="AT2077" s="1"/>
      <c r="AU2077" s="1"/>
      <c r="AV2077" s="1"/>
      <c r="AW2077" s="1"/>
      <c r="AX2077" s="1"/>
      <c r="AY2077" s="1" t="s">
        <v>2614</v>
      </c>
      <c r="AZ2077" s="1" t="s">
        <v>36296</v>
      </c>
      <c r="BA2077" s="1"/>
      <c r="BB2077" s="1"/>
      <c r="BC2077" s="1" t="s">
        <v>174</v>
      </c>
      <c r="BD2077" s="1" t="s">
        <v>955</v>
      </c>
      <c r="BE2077" s="1">
        <v>56.4</v>
      </c>
      <c r="BF2077" s="1">
        <v>5.64</v>
      </c>
      <c r="BG2077" s="1"/>
      <c r="BH2077" s="1"/>
      <c r="BI2077" s="1"/>
      <c r="BJ2077" s="1"/>
      <c r="BK2077" s="1"/>
      <c r="BL2077" s="1"/>
      <c r="BM2077" s="1"/>
      <c r="BN2077" s="1"/>
      <c r="BO2077" s="1" t="s">
        <v>36297</v>
      </c>
      <c r="BP2077" s="1" t="s">
        <v>36298</v>
      </c>
      <c r="BQ2077" s="1" t="s">
        <v>2577</v>
      </c>
      <c r="BR2077" s="1" t="s">
        <v>36299</v>
      </c>
      <c r="BS2077" s="1">
        <v>23</v>
      </c>
      <c r="BT2077" s="1"/>
      <c r="BU2077" s="1" t="str">
        <f>HYPERLINK("https://nconnect.nicmar.ac.in/storage/profile/ProfilePhoto_P25702056_163759.jpg","Download")</f>
        <v>0</v>
      </c>
      <c r="BV2077" s="3"/>
      <c r="BW2077" s="3"/>
    </row>
    <row r="2078" spans="1:75">
      <c r="A2078" s="1" t="s">
        <v>26662</v>
      </c>
      <c r="B2078" s="1" t="s">
        <v>446</v>
      </c>
      <c r="C2078" s="1" t="s">
        <v>36300</v>
      </c>
      <c r="D2078" s="1" t="s">
        <v>7759</v>
      </c>
      <c r="E2078" s="1" t="s">
        <v>4646</v>
      </c>
      <c r="F2078" s="1" t="s">
        <v>36301</v>
      </c>
      <c r="G2078" s="1" t="s">
        <v>36302</v>
      </c>
      <c r="H2078" s="1" t="s">
        <v>36303</v>
      </c>
      <c r="I2078" s="1" t="s">
        <v>36304</v>
      </c>
      <c r="J2078" s="1">
        <v>9307865578</v>
      </c>
      <c r="K2078" s="1" t="s">
        <v>84</v>
      </c>
      <c r="L2078" s="1" t="s">
        <v>36305</v>
      </c>
      <c r="M2078" s="1" t="s">
        <v>86</v>
      </c>
      <c r="N2078" s="1" t="s">
        <v>36306</v>
      </c>
      <c r="O2078" s="1"/>
      <c r="P2078" s="1" t="s">
        <v>455</v>
      </c>
      <c r="Q2078" s="1" t="s">
        <v>36307</v>
      </c>
      <c r="R2078" s="1" t="s">
        <v>36308</v>
      </c>
      <c r="S2078" s="1">
        <v>8329082119</v>
      </c>
      <c r="T2078" s="1" t="s">
        <v>2375</v>
      </c>
      <c r="U2078" s="1" t="s">
        <v>36309</v>
      </c>
      <c r="V2078" s="1">
        <v>9359906515</v>
      </c>
      <c r="W2078" s="1" t="s">
        <v>94</v>
      </c>
      <c r="X2078" s="1" t="s">
        <v>36310</v>
      </c>
      <c r="Y2078" s="1" t="s">
        <v>196</v>
      </c>
      <c r="Z2078" s="1" t="s">
        <v>97</v>
      </c>
      <c r="AA2078" s="1" t="s">
        <v>36311</v>
      </c>
      <c r="AB2078" s="1" t="s">
        <v>7241</v>
      </c>
      <c r="AC2078" s="1" t="s">
        <v>97</v>
      </c>
      <c r="AD2078" s="1">
        <v>8.16</v>
      </c>
      <c r="AE2078" s="1" t="s">
        <v>98</v>
      </c>
      <c r="AF2078" s="1" t="s">
        <v>36312</v>
      </c>
      <c r="AG2078" s="1" t="s">
        <v>36313</v>
      </c>
      <c r="AH2078" s="1" t="s">
        <v>167</v>
      </c>
      <c r="AI2078" s="1" t="s">
        <v>170</v>
      </c>
      <c r="AJ2078" s="1">
        <v>90.8</v>
      </c>
      <c r="AK2078" s="1">
        <v>9.8</v>
      </c>
      <c r="AL2078" s="1" t="s">
        <v>36312</v>
      </c>
      <c r="AM2078" s="1" t="s">
        <v>36313</v>
      </c>
      <c r="AN2078" s="1"/>
      <c r="AO2078" s="1" t="s">
        <v>106</v>
      </c>
      <c r="AP2078" s="1" t="s">
        <v>438</v>
      </c>
      <c r="AQ2078" s="1">
        <v>57.2</v>
      </c>
      <c r="AR2078" s="1"/>
      <c r="AS2078" s="1"/>
      <c r="AT2078" s="1"/>
      <c r="AU2078" s="1"/>
      <c r="AV2078" s="1"/>
      <c r="AW2078" s="1"/>
      <c r="AX2078" s="1"/>
      <c r="AY2078" s="1" t="s">
        <v>997</v>
      </c>
      <c r="AZ2078" s="1" t="s">
        <v>33831</v>
      </c>
      <c r="BA2078" s="1"/>
      <c r="BB2078" s="1"/>
      <c r="BC2078" s="1" t="s">
        <v>315</v>
      </c>
      <c r="BD2078" s="1" t="s">
        <v>179</v>
      </c>
      <c r="BE2078" s="1">
        <v>56.4</v>
      </c>
      <c r="BF2078" s="1">
        <v>6.39</v>
      </c>
      <c r="BG2078" s="1"/>
      <c r="BH2078" s="1"/>
      <c r="BI2078" s="1"/>
      <c r="BJ2078" s="1"/>
      <c r="BK2078" s="1"/>
      <c r="BL2078" s="1"/>
      <c r="BM2078" s="1"/>
      <c r="BN2078" s="1"/>
      <c r="BO2078" s="1" t="s">
        <v>849</v>
      </c>
      <c r="BP2078" s="1"/>
      <c r="BQ2078" s="1"/>
      <c r="BR2078" s="1" t="s">
        <v>36314</v>
      </c>
      <c r="BS2078" s="1">
        <v>52</v>
      </c>
      <c r="BT2078" s="1" t="s">
        <v>36315</v>
      </c>
      <c r="BU2078" s="1" t="str">
        <f>HYPERLINK("https://nconnect.nicmar.ac.in/storage/profile/ProfilePhoto_P25702057_789125.jpg","Download")</f>
        <v>0</v>
      </c>
      <c r="BV2078" s="3"/>
      <c r="BW2078" s="3"/>
    </row>
    <row r="2079" spans="1:75">
      <c r="A2079" s="1" t="s">
        <v>26662</v>
      </c>
      <c r="B2079" s="1" t="s">
        <v>446</v>
      </c>
      <c r="C2079" s="1" t="s">
        <v>36316</v>
      </c>
      <c r="D2079" s="1" t="s">
        <v>36317</v>
      </c>
      <c r="E2079" s="1"/>
      <c r="F2079" s="1" t="s">
        <v>25733</v>
      </c>
      <c r="G2079" s="1" t="s">
        <v>36318</v>
      </c>
      <c r="H2079" s="1" t="s">
        <v>36319</v>
      </c>
      <c r="I2079" s="1" t="s">
        <v>36320</v>
      </c>
      <c r="J2079" s="1">
        <v>9875625081</v>
      </c>
      <c r="K2079" s="1" t="s">
        <v>84</v>
      </c>
      <c r="L2079" s="1" t="s">
        <v>36321</v>
      </c>
      <c r="M2079" s="1" t="s">
        <v>86</v>
      </c>
      <c r="N2079" s="1" t="s">
        <v>36322</v>
      </c>
      <c r="O2079" s="1"/>
      <c r="P2079" s="1" t="s">
        <v>507</v>
      </c>
      <c r="Q2079" s="1" t="s">
        <v>36323</v>
      </c>
      <c r="R2079" s="1" t="s">
        <v>36324</v>
      </c>
      <c r="S2079" s="1">
        <v>9831082721</v>
      </c>
      <c r="T2079" s="1" t="s">
        <v>645</v>
      </c>
      <c r="U2079" s="1" t="s">
        <v>36325</v>
      </c>
      <c r="V2079" s="1">
        <v>9831082721</v>
      </c>
      <c r="W2079" s="1" t="s">
        <v>94</v>
      </c>
      <c r="X2079" s="1" t="s">
        <v>36326</v>
      </c>
      <c r="Y2079" s="1" t="s">
        <v>3282</v>
      </c>
      <c r="Z2079" s="1" t="s">
        <v>1234</v>
      </c>
      <c r="AA2079" s="1" t="s">
        <v>36326</v>
      </c>
      <c r="AB2079" s="1" t="s">
        <v>3282</v>
      </c>
      <c r="AC2079" s="1" t="s">
        <v>1234</v>
      </c>
      <c r="AD2079" s="1">
        <v>7.21</v>
      </c>
      <c r="AE2079" s="1" t="s">
        <v>98</v>
      </c>
      <c r="AF2079" s="1" t="s">
        <v>36327</v>
      </c>
      <c r="AG2079" s="1" t="s">
        <v>2181</v>
      </c>
      <c r="AH2079" s="1" t="s">
        <v>627</v>
      </c>
      <c r="AI2079" s="1" t="s">
        <v>573</v>
      </c>
      <c r="AJ2079" s="1">
        <v>91.33</v>
      </c>
      <c r="AK2079" s="1"/>
      <c r="AL2079" s="1" t="s">
        <v>36327</v>
      </c>
      <c r="AM2079" s="1" t="s">
        <v>2181</v>
      </c>
      <c r="AN2079" s="1"/>
      <c r="AO2079" s="1" t="s">
        <v>171</v>
      </c>
      <c r="AP2079" s="1" t="s">
        <v>313</v>
      </c>
      <c r="AQ2079" s="1">
        <v>68.33</v>
      </c>
      <c r="AR2079" s="1"/>
      <c r="AS2079" s="1"/>
      <c r="AT2079" s="1"/>
      <c r="AU2079" s="1"/>
      <c r="AV2079" s="1"/>
      <c r="AW2079" s="1"/>
      <c r="AX2079" s="1"/>
      <c r="AY2079" s="1" t="s">
        <v>5106</v>
      </c>
      <c r="AZ2079" s="1" t="s">
        <v>36328</v>
      </c>
      <c r="BA2079" s="1"/>
      <c r="BB2079" s="1"/>
      <c r="BC2079" s="1" t="s">
        <v>315</v>
      </c>
      <c r="BD2079" s="1" t="s">
        <v>1089</v>
      </c>
      <c r="BE2079" s="1">
        <v>80.9</v>
      </c>
      <c r="BF2079" s="1">
        <v>8.9</v>
      </c>
      <c r="BG2079" s="1"/>
      <c r="BH2079" s="1"/>
      <c r="BI2079" s="1"/>
      <c r="BJ2079" s="1"/>
      <c r="BK2079" s="1"/>
      <c r="BL2079" s="1"/>
      <c r="BM2079" s="1"/>
      <c r="BN2079" s="1"/>
      <c r="BO2079" s="1" t="s">
        <v>36329</v>
      </c>
      <c r="BP2079" s="1"/>
      <c r="BQ2079" s="1"/>
      <c r="BR2079" s="1" t="s">
        <v>36330</v>
      </c>
      <c r="BS2079" s="1">
        <v>9</v>
      </c>
      <c r="BT2079" s="1"/>
      <c r="BU2079" s="1" t="str">
        <f>HYPERLINK("https://nconnect.nicmar.ac.in/storage/profile/ProfilePhoto_P25702058_624583.jpg","Download")</f>
        <v>0</v>
      </c>
      <c r="BV2079" s="3"/>
      <c r="BW2079" s="3"/>
    </row>
    <row r="2080" spans="1:75">
      <c r="A2080" s="1" t="s">
        <v>26662</v>
      </c>
      <c r="B2080" s="1" t="s">
        <v>446</v>
      </c>
      <c r="C2080" s="1" t="s">
        <v>36331</v>
      </c>
      <c r="D2080" s="1" t="s">
        <v>36332</v>
      </c>
      <c r="E2080" s="1" t="s">
        <v>1669</v>
      </c>
      <c r="F2080" s="1" t="s">
        <v>3040</v>
      </c>
      <c r="G2080" s="1" t="s">
        <v>36333</v>
      </c>
      <c r="H2080" s="1" t="s">
        <v>36334</v>
      </c>
      <c r="I2080" s="1" t="s">
        <v>36335</v>
      </c>
      <c r="J2080" s="1">
        <v>9987068565</v>
      </c>
      <c r="K2080" s="1" t="s">
        <v>153</v>
      </c>
      <c r="L2080" s="1" t="s">
        <v>36336</v>
      </c>
      <c r="M2080" s="1" t="s">
        <v>86</v>
      </c>
      <c r="N2080" s="1" t="s">
        <v>36337</v>
      </c>
      <c r="O2080" s="1"/>
      <c r="P2080" s="1" t="s">
        <v>507</v>
      </c>
      <c r="Q2080" s="1" t="s">
        <v>36338</v>
      </c>
      <c r="R2080" s="1" t="s">
        <v>1669</v>
      </c>
      <c r="S2080" s="1">
        <v>9324401690</v>
      </c>
      <c r="T2080" s="1" t="s">
        <v>125</v>
      </c>
      <c r="U2080" s="1" t="s">
        <v>36339</v>
      </c>
      <c r="V2080" s="1">
        <v>9594553014</v>
      </c>
      <c r="W2080" s="1" t="s">
        <v>94</v>
      </c>
      <c r="X2080" s="1" t="s">
        <v>36340</v>
      </c>
      <c r="Y2080" s="1" t="s">
        <v>1012</v>
      </c>
      <c r="Z2080" s="1" t="s">
        <v>97</v>
      </c>
      <c r="AA2080" s="1" t="s">
        <v>36340</v>
      </c>
      <c r="AB2080" s="1" t="s">
        <v>1012</v>
      </c>
      <c r="AC2080" s="1" t="s">
        <v>97</v>
      </c>
      <c r="AD2080" s="1">
        <v>7.32</v>
      </c>
      <c r="AE2080" s="1" t="s">
        <v>98</v>
      </c>
      <c r="AF2080" s="1" t="s">
        <v>36341</v>
      </c>
      <c r="AG2080" s="1" t="s">
        <v>36342</v>
      </c>
      <c r="AH2080" s="1" t="s">
        <v>101</v>
      </c>
      <c r="AI2080" s="1" t="s">
        <v>102</v>
      </c>
      <c r="AJ2080" s="1">
        <v>81.6</v>
      </c>
      <c r="AK2080" s="1"/>
      <c r="AL2080" s="1" t="s">
        <v>36343</v>
      </c>
      <c r="AM2080" s="1" t="s">
        <v>36342</v>
      </c>
      <c r="AN2080" s="1"/>
      <c r="AO2080" s="1" t="s">
        <v>167</v>
      </c>
      <c r="AP2080" s="1" t="s">
        <v>518</v>
      </c>
      <c r="AQ2080" s="1">
        <v>55.69</v>
      </c>
      <c r="AR2080" s="1"/>
      <c r="AS2080" s="1"/>
      <c r="AT2080" s="1"/>
      <c r="AU2080" s="1"/>
      <c r="AV2080" s="1"/>
      <c r="AW2080" s="1"/>
      <c r="AX2080" s="1"/>
      <c r="AY2080" s="1" t="s">
        <v>258</v>
      </c>
      <c r="AZ2080" s="1" t="s">
        <v>36344</v>
      </c>
      <c r="BA2080" s="1"/>
      <c r="BB2080" s="1"/>
      <c r="BC2080" s="1" t="s">
        <v>230</v>
      </c>
      <c r="BD2080" s="1" t="s">
        <v>289</v>
      </c>
      <c r="BE2080" s="1">
        <v>57.01</v>
      </c>
      <c r="BF2080" s="1">
        <v>6.34</v>
      </c>
      <c r="BG2080" s="1"/>
      <c r="BH2080" s="1"/>
      <c r="BI2080" s="1"/>
      <c r="BJ2080" s="1"/>
      <c r="BK2080" s="1"/>
      <c r="BL2080" s="1"/>
      <c r="BM2080" s="1"/>
      <c r="BN2080" s="1"/>
      <c r="BO2080" s="1" t="s">
        <v>36345</v>
      </c>
      <c r="BP2080" s="1" t="s">
        <v>36346</v>
      </c>
      <c r="BQ2080" s="1" t="s">
        <v>7647</v>
      </c>
      <c r="BR2080" s="1" t="s">
        <v>36347</v>
      </c>
      <c r="BS2080" s="1">
        <v>26</v>
      </c>
      <c r="BT2080" s="1"/>
      <c r="BU2080" s="1" t="str">
        <f>HYPERLINK("https://nconnect.nicmar.ac.in/storage/profile/ProfilePhoto_P25702059_864359.jpg","Download")</f>
        <v>0</v>
      </c>
      <c r="BV2080" s="3"/>
      <c r="BW2080" s="3"/>
    </row>
    <row r="2081" spans="1:75">
      <c r="A2081" s="1" t="s">
        <v>26662</v>
      </c>
      <c r="B2081" s="1" t="s">
        <v>446</v>
      </c>
      <c r="C2081" s="1" t="s">
        <v>36348</v>
      </c>
      <c r="D2081" s="1" t="s">
        <v>1248</v>
      </c>
      <c r="E2081" s="1"/>
      <c r="F2081" s="1" t="s">
        <v>36349</v>
      </c>
      <c r="G2081" s="1" t="s">
        <v>36350</v>
      </c>
      <c r="H2081" s="1" t="s">
        <v>36351</v>
      </c>
      <c r="I2081" s="1" t="s">
        <v>36352</v>
      </c>
      <c r="J2081" s="1">
        <v>7846834615</v>
      </c>
      <c r="K2081" s="1" t="s">
        <v>84</v>
      </c>
      <c r="L2081" s="1" t="s">
        <v>35351</v>
      </c>
      <c r="M2081" s="1" t="s">
        <v>86</v>
      </c>
      <c r="N2081" s="1" t="s">
        <v>858</v>
      </c>
      <c r="O2081" s="1" t="s">
        <v>36353</v>
      </c>
      <c r="P2081" s="1" t="s">
        <v>481</v>
      </c>
      <c r="Q2081" s="1" t="s">
        <v>36354</v>
      </c>
      <c r="R2081" s="1" t="s">
        <v>36355</v>
      </c>
      <c r="S2081" s="1">
        <v>9337219992</v>
      </c>
      <c r="T2081" s="1" t="s">
        <v>36356</v>
      </c>
      <c r="U2081" s="1" t="s">
        <v>36357</v>
      </c>
      <c r="V2081" s="1">
        <v>9438629300</v>
      </c>
      <c r="W2081" s="1" t="s">
        <v>36358</v>
      </c>
      <c r="X2081" s="1" t="s">
        <v>36359</v>
      </c>
      <c r="Y2081" s="1" t="s">
        <v>1259</v>
      </c>
      <c r="Z2081" s="1" t="s">
        <v>865</v>
      </c>
      <c r="AA2081" s="1" t="s">
        <v>36359</v>
      </c>
      <c r="AB2081" s="1" t="s">
        <v>1259</v>
      </c>
      <c r="AC2081" s="1" t="s">
        <v>865</v>
      </c>
      <c r="AD2081" s="1">
        <v>7.24</v>
      </c>
      <c r="AE2081" s="1" t="s">
        <v>98</v>
      </c>
      <c r="AF2081" s="1" t="s">
        <v>36360</v>
      </c>
      <c r="AG2081" s="1" t="s">
        <v>36361</v>
      </c>
      <c r="AH2081" s="1" t="s">
        <v>170</v>
      </c>
      <c r="AI2081" s="1" t="s">
        <v>171</v>
      </c>
      <c r="AJ2081" s="1">
        <v>70.8</v>
      </c>
      <c r="AK2081" s="1">
        <v>0</v>
      </c>
      <c r="AL2081" s="1" t="s">
        <v>36362</v>
      </c>
      <c r="AM2081" s="1" t="s">
        <v>36361</v>
      </c>
      <c r="AN2081" s="1" t="s">
        <v>575</v>
      </c>
      <c r="AO2081" s="1" t="s">
        <v>106</v>
      </c>
      <c r="AP2081" s="1" t="s">
        <v>178</v>
      </c>
      <c r="AQ2081" s="1">
        <v>66.8</v>
      </c>
      <c r="AR2081" s="1"/>
      <c r="AS2081" s="1"/>
      <c r="AT2081" s="1"/>
      <c r="AU2081" s="1"/>
      <c r="AV2081" s="1"/>
      <c r="AW2081" s="1"/>
      <c r="AX2081" s="1"/>
      <c r="AY2081" s="1" t="s">
        <v>36363</v>
      </c>
      <c r="AZ2081" s="1" t="s">
        <v>36363</v>
      </c>
      <c r="BA2081" s="1" t="s">
        <v>466</v>
      </c>
      <c r="BB2081" s="1" t="s">
        <v>467</v>
      </c>
      <c r="BC2081" s="1" t="s">
        <v>871</v>
      </c>
      <c r="BD2081" s="1" t="s">
        <v>848</v>
      </c>
      <c r="BE2081" s="1">
        <v>57.7</v>
      </c>
      <c r="BF2081" s="1">
        <v>6.27</v>
      </c>
      <c r="BG2081" s="1"/>
      <c r="BH2081" s="1"/>
      <c r="BI2081" s="1"/>
      <c r="BJ2081" s="1"/>
      <c r="BK2081" s="1"/>
      <c r="BL2081" s="1"/>
      <c r="BM2081" s="1"/>
      <c r="BN2081" s="1"/>
      <c r="BO2081" s="1" t="s">
        <v>36364</v>
      </c>
      <c r="BP2081" s="1"/>
      <c r="BQ2081" s="1"/>
      <c r="BR2081" s="1" t="s">
        <v>36365</v>
      </c>
      <c r="BS2081" s="1">
        <v>19</v>
      </c>
      <c r="BT2081" s="1" t="s">
        <v>36366</v>
      </c>
      <c r="BU2081" s="1" t="str">
        <f>HYPERLINK("https://nconnect.nicmar.ac.in/storage/profile/ProfilePhoto_P25702060_829173.jpg","Download")</f>
        <v>0</v>
      </c>
      <c r="BV2081" s="3"/>
      <c r="BW2081" s="3"/>
    </row>
    <row r="2082" spans="1:75">
      <c r="A2082" s="1" t="s">
        <v>26662</v>
      </c>
      <c r="B2082" s="1" t="s">
        <v>446</v>
      </c>
      <c r="C2082" s="1" t="s">
        <v>36367</v>
      </c>
      <c r="D2082" s="1" t="s">
        <v>36368</v>
      </c>
      <c r="E2082" s="1" t="s">
        <v>2621</v>
      </c>
      <c r="F2082" s="1" t="s">
        <v>36369</v>
      </c>
      <c r="G2082" s="1" t="s">
        <v>36370</v>
      </c>
      <c r="H2082" s="1" t="s">
        <v>36371</v>
      </c>
      <c r="I2082" s="1" t="s">
        <v>36372</v>
      </c>
      <c r="J2082" s="1">
        <v>9594111227</v>
      </c>
      <c r="K2082" s="1" t="s">
        <v>84</v>
      </c>
      <c r="L2082" s="1" t="s">
        <v>36373</v>
      </c>
      <c r="M2082" s="1" t="s">
        <v>86</v>
      </c>
      <c r="N2082" s="1" t="s">
        <v>36374</v>
      </c>
      <c r="O2082" s="1"/>
      <c r="P2082" s="1" t="s">
        <v>507</v>
      </c>
      <c r="Q2082" s="1" t="s">
        <v>36375</v>
      </c>
      <c r="R2082" s="1" t="s">
        <v>2621</v>
      </c>
      <c r="S2082" s="1">
        <v>9594111230</v>
      </c>
      <c r="T2082" s="1" t="s">
        <v>839</v>
      </c>
      <c r="U2082" s="1" t="s">
        <v>35399</v>
      </c>
      <c r="V2082" s="1">
        <v>9594111229</v>
      </c>
      <c r="W2082" s="1" t="s">
        <v>94</v>
      </c>
      <c r="X2082" s="1" t="s">
        <v>36376</v>
      </c>
      <c r="Y2082" s="1" t="s">
        <v>2259</v>
      </c>
      <c r="Z2082" s="1" t="s">
        <v>97</v>
      </c>
      <c r="AA2082" s="1" t="s">
        <v>36376</v>
      </c>
      <c r="AB2082" s="1" t="s">
        <v>2259</v>
      </c>
      <c r="AC2082" s="1" t="s">
        <v>97</v>
      </c>
      <c r="AD2082" s="1">
        <v>7.89</v>
      </c>
      <c r="AE2082" s="1" t="s">
        <v>98</v>
      </c>
      <c r="AF2082" s="1" t="s">
        <v>36377</v>
      </c>
      <c r="AG2082" s="1" t="s">
        <v>165</v>
      </c>
      <c r="AH2082" s="1" t="s">
        <v>388</v>
      </c>
      <c r="AI2082" s="1" t="s">
        <v>286</v>
      </c>
      <c r="AJ2082" s="1">
        <v>80.2</v>
      </c>
      <c r="AK2082" s="1"/>
      <c r="AL2082" s="1" t="s">
        <v>36378</v>
      </c>
      <c r="AM2082" s="1" t="s">
        <v>165</v>
      </c>
      <c r="AN2082" s="1" t="s">
        <v>465</v>
      </c>
      <c r="AO2082" s="1" t="s">
        <v>438</v>
      </c>
      <c r="AP2082" s="1" t="s">
        <v>365</v>
      </c>
      <c r="AQ2082" s="1">
        <v>53.23</v>
      </c>
      <c r="AR2082" s="1"/>
      <c r="AS2082" s="1"/>
      <c r="AT2082" s="1"/>
      <c r="AU2082" s="1"/>
      <c r="AV2082" s="1"/>
      <c r="AW2082" s="1"/>
      <c r="AX2082" s="1"/>
      <c r="AY2082" s="1" t="s">
        <v>258</v>
      </c>
      <c r="AZ2082" s="1" t="s">
        <v>36379</v>
      </c>
      <c r="BA2082" s="1" t="s">
        <v>578</v>
      </c>
      <c r="BB2082" s="1" t="s">
        <v>467</v>
      </c>
      <c r="BC2082" s="1" t="s">
        <v>178</v>
      </c>
      <c r="BD2082" s="1" t="s">
        <v>2383</v>
      </c>
      <c r="BE2082" s="1">
        <v>64.17</v>
      </c>
      <c r="BF2082" s="1">
        <v>7.11</v>
      </c>
      <c r="BG2082" s="1"/>
      <c r="BH2082" s="1"/>
      <c r="BI2082" s="1"/>
      <c r="BJ2082" s="1"/>
      <c r="BK2082" s="1"/>
      <c r="BL2082" s="1"/>
      <c r="BM2082" s="1"/>
      <c r="BN2082" s="1"/>
      <c r="BO2082" s="1" t="s">
        <v>36380</v>
      </c>
      <c r="BP2082" s="1"/>
      <c r="BQ2082" s="1"/>
      <c r="BR2082" s="1" t="s">
        <v>36381</v>
      </c>
      <c r="BS2082" s="1">
        <v>17</v>
      </c>
      <c r="BT2082" s="1" t="s">
        <v>36382</v>
      </c>
      <c r="BU2082" s="1" t="str">
        <f>HYPERLINK("https://nconnect.nicmar.ac.in/storage/profile/ProfilePhoto_P25702061_731829.jpg","Download")</f>
        <v>0</v>
      </c>
      <c r="BV2082" s="3"/>
      <c r="BW2082" s="3"/>
    </row>
    <row r="2083" spans="1:75">
      <c r="A2083" s="1" t="s">
        <v>26662</v>
      </c>
      <c r="B2083" s="1" t="s">
        <v>446</v>
      </c>
      <c r="C2083" s="1" t="s">
        <v>36383</v>
      </c>
      <c r="D2083" s="1" t="s">
        <v>23413</v>
      </c>
      <c r="E2083" s="1" t="s">
        <v>36384</v>
      </c>
      <c r="F2083" s="1" t="s">
        <v>36385</v>
      </c>
      <c r="G2083" s="1" t="s">
        <v>36386</v>
      </c>
      <c r="H2083" s="1" t="s">
        <v>36387</v>
      </c>
      <c r="I2083" s="1" t="s">
        <v>36388</v>
      </c>
      <c r="J2083" s="1">
        <v>7741939823</v>
      </c>
      <c r="K2083" s="1" t="s">
        <v>84</v>
      </c>
      <c r="L2083" s="1" t="s">
        <v>36389</v>
      </c>
      <c r="M2083" s="1" t="s">
        <v>86</v>
      </c>
      <c r="N2083" s="1" t="s">
        <v>1163</v>
      </c>
      <c r="O2083" s="1"/>
      <c r="P2083" s="1" t="s">
        <v>455</v>
      </c>
      <c r="Q2083" s="1" t="s">
        <v>36390</v>
      </c>
      <c r="R2083" s="1" t="s">
        <v>36391</v>
      </c>
      <c r="S2083" s="1">
        <v>9503069376</v>
      </c>
      <c r="T2083" s="1" t="s">
        <v>1513</v>
      </c>
      <c r="U2083" s="1" t="s">
        <v>36392</v>
      </c>
      <c r="V2083" s="1">
        <v>8698852057</v>
      </c>
      <c r="W2083" s="1" t="s">
        <v>278</v>
      </c>
      <c r="X2083" s="1" t="s">
        <v>36393</v>
      </c>
      <c r="Y2083" s="1" t="s">
        <v>384</v>
      </c>
      <c r="Z2083" s="1" t="s">
        <v>97</v>
      </c>
      <c r="AA2083" s="1" t="s">
        <v>36393</v>
      </c>
      <c r="AB2083" s="1" t="s">
        <v>384</v>
      </c>
      <c r="AC2083" s="1" t="s">
        <v>97</v>
      </c>
      <c r="AD2083" s="1">
        <v>6.47</v>
      </c>
      <c r="AE2083" s="1" t="s">
        <v>98</v>
      </c>
      <c r="AF2083" s="1" t="s">
        <v>36394</v>
      </c>
      <c r="AG2083" s="1" t="s">
        <v>36395</v>
      </c>
      <c r="AH2083" s="1" t="s">
        <v>166</v>
      </c>
      <c r="AI2083" s="1" t="s">
        <v>1111</v>
      </c>
      <c r="AJ2083" s="1">
        <v>69.8</v>
      </c>
      <c r="AK2083" s="1"/>
      <c r="AL2083" s="1" t="s">
        <v>36396</v>
      </c>
      <c r="AM2083" s="1" t="s">
        <v>36395</v>
      </c>
      <c r="AN2083" s="1" t="s">
        <v>465</v>
      </c>
      <c r="AO2083" s="1" t="s">
        <v>170</v>
      </c>
      <c r="AP2083" s="1" t="s">
        <v>1477</v>
      </c>
      <c r="AQ2083" s="1">
        <v>54.15</v>
      </c>
      <c r="AR2083" s="1"/>
      <c r="AS2083" s="1"/>
      <c r="AT2083" s="1"/>
      <c r="AU2083" s="1"/>
      <c r="AV2083" s="1"/>
      <c r="AW2083" s="1"/>
      <c r="AX2083" s="1"/>
      <c r="AY2083" s="1" t="s">
        <v>36397</v>
      </c>
      <c r="AZ2083" s="1" t="s">
        <v>36398</v>
      </c>
      <c r="BA2083" s="1" t="s">
        <v>466</v>
      </c>
      <c r="BB2083" s="1" t="s">
        <v>467</v>
      </c>
      <c r="BC2083" s="1" t="s">
        <v>174</v>
      </c>
      <c r="BD2083" s="1" t="s">
        <v>110</v>
      </c>
      <c r="BE2083" s="1">
        <v>71.8</v>
      </c>
      <c r="BF2083" s="1">
        <v>7.68</v>
      </c>
      <c r="BG2083" s="1"/>
      <c r="BH2083" s="1"/>
      <c r="BI2083" s="1"/>
      <c r="BJ2083" s="1"/>
      <c r="BK2083" s="1"/>
      <c r="BL2083" s="1"/>
      <c r="BM2083" s="1"/>
      <c r="BN2083" s="1"/>
      <c r="BO2083" s="1" t="s">
        <v>36399</v>
      </c>
      <c r="BP2083" s="1" t="s">
        <v>36400</v>
      </c>
      <c r="BQ2083" s="1" t="s">
        <v>8862</v>
      </c>
      <c r="BR2083" s="1" t="s">
        <v>36401</v>
      </c>
      <c r="BS2083" s="1">
        <v>26</v>
      </c>
      <c r="BT2083" s="1"/>
      <c r="BU2083" s="1" t="str">
        <f>HYPERLINK("https://nconnect.nicmar.ac.in/storage/profile/ProfilePhoto_P25702062_861492.jpg","Download")</f>
        <v>0</v>
      </c>
      <c r="BV2083" s="3"/>
      <c r="BW2083" s="3"/>
    </row>
    <row r="2084" spans="1:75">
      <c r="A2084" s="1" t="s">
        <v>26662</v>
      </c>
      <c r="B2084" s="1" t="s">
        <v>446</v>
      </c>
      <c r="C2084" s="1" t="s">
        <v>36402</v>
      </c>
      <c r="D2084" s="1" t="s">
        <v>36403</v>
      </c>
      <c r="E2084" s="1" t="s">
        <v>2233</v>
      </c>
      <c r="F2084" s="1" t="s">
        <v>36404</v>
      </c>
      <c r="G2084" s="1" t="s">
        <v>36405</v>
      </c>
      <c r="H2084" s="1" t="s">
        <v>36406</v>
      </c>
      <c r="I2084" s="1" t="s">
        <v>36407</v>
      </c>
      <c r="J2084" s="1">
        <v>7218330499</v>
      </c>
      <c r="K2084" s="1" t="s">
        <v>153</v>
      </c>
      <c r="L2084" s="1" t="s">
        <v>36408</v>
      </c>
      <c r="M2084" s="1" t="s">
        <v>86</v>
      </c>
      <c r="N2084" s="1" t="s">
        <v>2411</v>
      </c>
      <c r="O2084" s="1"/>
      <c r="P2084" s="1" t="s">
        <v>507</v>
      </c>
      <c r="Q2084" s="1" t="s">
        <v>36409</v>
      </c>
      <c r="R2084" s="1" t="s">
        <v>36410</v>
      </c>
      <c r="S2084" s="1">
        <v>9921856587</v>
      </c>
      <c r="T2084" s="1" t="s">
        <v>2375</v>
      </c>
      <c r="U2084" s="1" t="s">
        <v>36411</v>
      </c>
      <c r="V2084" s="1">
        <v>8788336890</v>
      </c>
      <c r="W2084" s="1" t="s">
        <v>161</v>
      </c>
      <c r="X2084" s="1" t="s">
        <v>36412</v>
      </c>
      <c r="Y2084" s="1" t="s">
        <v>224</v>
      </c>
      <c r="Z2084" s="1" t="s">
        <v>97</v>
      </c>
      <c r="AA2084" s="1" t="s">
        <v>36412</v>
      </c>
      <c r="AB2084" s="1" t="s">
        <v>224</v>
      </c>
      <c r="AC2084" s="1" t="s">
        <v>97</v>
      </c>
      <c r="AD2084" s="1">
        <v>8.03</v>
      </c>
      <c r="AE2084" s="1" t="s">
        <v>98</v>
      </c>
      <c r="AF2084" s="1" t="s">
        <v>36413</v>
      </c>
      <c r="AG2084" s="1" t="s">
        <v>7028</v>
      </c>
      <c r="AH2084" s="1" t="s">
        <v>11567</v>
      </c>
      <c r="AI2084" s="1" t="s">
        <v>1111</v>
      </c>
      <c r="AJ2084" s="1">
        <v>82.6</v>
      </c>
      <c r="AK2084" s="1"/>
      <c r="AL2084" s="1" t="s">
        <v>36414</v>
      </c>
      <c r="AM2084" s="1" t="s">
        <v>7028</v>
      </c>
      <c r="AN2084" s="1" t="s">
        <v>6380</v>
      </c>
      <c r="AO2084" s="1" t="s">
        <v>167</v>
      </c>
      <c r="AP2084" s="1" t="s">
        <v>1477</v>
      </c>
      <c r="AQ2084" s="1">
        <v>66.46</v>
      </c>
      <c r="AR2084" s="1"/>
      <c r="AS2084" s="1"/>
      <c r="AT2084" s="1"/>
      <c r="AU2084" s="1"/>
      <c r="AV2084" s="1"/>
      <c r="AW2084" s="1"/>
      <c r="AX2084" s="1"/>
      <c r="AY2084" s="1" t="s">
        <v>13346</v>
      </c>
      <c r="AZ2084" s="1" t="s">
        <v>36415</v>
      </c>
      <c r="BA2084" s="1" t="s">
        <v>682</v>
      </c>
      <c r="BB2084" s="1" t="s">
        <v>1561</v>
      </c>
      <c r="BC2084" s="1" t="s">
        <v>174</v>
      </c>
      <c r="BD2084" s="1" t="s">
        <v>579</v>
      </c>
      <c r="BE2084" s="1">
        <v>64.73</v>
      </c>
      <c r="BF2084" s="1">
        <v>6.81</v>
      </c>
      <c r="BG2084" s="1"/>
      <c r="BH2084" s="1"/>
      <c r="BI2084" s="1"/>
      <c r="BJ2084" s="1"/>
      <c r="BK2084" s="1"/>
      <c r="BL2084" s="1"/>
      <c r="BM2084" s="1"/>
      <c r="BN2084" s="1"/>
      <c r="BO2084" s="1" t="s">
        <v>36416</v>
      </c>
      <c r="BP2084" s="1" t="s">
        <v>36417</v>
      </c>
      <c r="BQ2084" s="1" t="s">
        <v>4149</v>
      </c>
      <c r="BR2084" s="1" t="s">
        <v>36418</v>
      </c>
      <c r="BS2084" s="1">
        <v>35</v>
      </c>
      <c r="BT2084" s="1"/>
      <c r="BU2084" s="1" t="str">
        <f>HYPERLINK("https://nconnect.nicmar.ac.in/storage/profile/ProfilePhoto_P25702063_125638.jpg","Download")</f>
        <v>0</v>
      </c>
      <c r="BV2084" s="3"/>
      <c r="BW2084" s="3"/>
    </row>
    <row r="2085" spans="1:75">
      <c r="A2085" s="1" t="s">
        <v>26662</v>
      </c>
      <c r="B2085" s="1" t="s">
        <v>446</v>
      </c>
      <c r="C2085" s="1" t="s">
        <v>36419</v>
      </c>
      <c r="D2085" s="1" t="s">
        <v>36420</v>
      </c>
      <c r="E2085" s="1"/>
      <c r="F2085" s="1" t="s">
        <v>36421</v>
      </c>
      <c r="G2085" s="1" t="s">
        <v>36422</v>
      </c>
      <c r="H2085" s="1" t="s">
        <v>36423</v>
      </c>
      <c r="I2085" s="1" t="s">
        <v>36424</v>
      </c>
      <c r="J2085" s="1">
        <v>7032052925</v>
      </c>
      <c r="K2085" s="1" t="s">
        <v>84</v>
      </c>
      <c r="L2085" s="1" t="s">
        <v>35098</v>
      </c>
      <c r="M2085" s="1" t="s">
        <v>86</v>
      </c>
      <c r="N2085" s="1" t="s">
        <v>3026</v>
      </c>
      <c r="O2085" s="1"/>
      <c r="P2085" s="1" t="s">
        <v>507</v>
      </c>
      <c r="Q2085" s="1" t="s">
        <v>36425</v>
      </c>
      <c r="R2085" s="1" t="s">
        <v>36426</v>
      </c>
      <c r="S2085" s="1">
        <v>9848070745</v>
      </c>
      <c r="T2085" s="1" t="s">
        <v>5065</v>
      </c>
      <c r="U2085" s="1" t="s">
        <v>36427</v>
      </c>
      <c r="V2085" s="1">
        <v>9949035359</v>
      </c>
      <c r="W2085" s="1" t="s">
        <v>94</v>
      </c>
      <c r="X2085" s="1" t="s">
        <v>36428</v>
      </c>
      <c r="Y2085" s="1" t="s">
        <v>11393</v>
      </c>
      <c r="Z2085" s="1" t="s">
        <v>281</v>
      </c>
      <c r="AA2085" s="1" t="s">
        <v>36428</v>
      </c>
      <c r="AB2085" s="1" t="s">
        <v>11393</v>
      </c>
      <c r="AC2085" s="1" t="s">
        <v>281</v>
      </c>
      <c r="AD2085" s="1">
        <v>7.82</v>
      </c>
      <c r="AE2085" s="1" t="s">
        <v>98</v>
      </c>
      <c r="AF2085" s="1" t="s">
        <v>36429</v>
      </c>
      <c r="AG2085" s="1" t="s">
        <v>36430</v>
      </c>
      <c r="AH2085" s="1" t="s">
        <v>167</v>
      </c>
      <c r="AI2085" s="1" t="s">
        <v>704</v>
      </c>
      <c r="AJ2085" s="1">
        <v>74.1</v>
      </c>
      <c r="AK2085" s="1">
        <v>7.8</v>
      </c>
      <c r="AL2085" s="1" t="s">
        <v>1603</v>
      </c>
      <c r="AM2085" s="1" t="s">
        <v>5605</v>
      </c>
      <c r="AN2085" s="1"/>
      <c r="AO2085" s="1" t="s">
        <v>170</v>
      </c>
      <c r="AP2085" s="1" t="s">
        <v>547</v>
      </c>
      <c r="AQ2085" s="1">
        <v>80.6</v>
      </c>
      <c r="AR2085" s="1">
        <v>0</v>
      </c>
      <c r="AS2085" s="1"/>
      <c r="AT2085" s="1"/>
      <c r="AU2085" s="1"/>
      <c r="AV2085" s="1"/>
      <c r="AW2085" s="1"/>
      <c r="AX2085" s="1"/>
      <c r="AY2085" s="1" t="s">
        <v>287</v>
      </c>
      <c r="AZ2085" s="1" t="s">
        <v>18827</v>
      </c>
      <c r="BA2085" s="1"/>
      <c r="BB2085" s="1"/>
      <c r="BC2085" s="1" t="s">
        <v>438</v>
      </c>
      <c r="BD2085" s="1" t="s">
        <v>2383</v>
      </c>
      <c r="BE2085" s="1">
        <v>57.8</v>
      </c>
      <c r="BF2085" s="1">
        <v>6.28</v>
      </c>
      <c r="BG2085" s="1"/>
      <c r="BH2085" s="1"/>
      <c r="BI2085" s="1"/>
      <c r="BJ2085" s="1"/>
      <c r="BK2085" s="1"/>
      <c r="BL2085" s="1"/>
      <c r="BM2085" s="1"/>
      <c r="BN2085" s="1"/>
      <c r="BO2085" s="1" t="s">
        <v>369</v>
      </c>
      <c r="BP2085" s="1"/>
      <c r="BQ2085" s="1"/>
      <c r="BR2085" s="1" t="s">
        <v>36431</v>
      </c>
      <c r="BS2085" s="1">
        <v>9</v>
      </c>
      <c r="BT2085" s="1"/>
      <c r="BU2085" s="1" t="str">
        <f>HYPERLINK("https://nconnect.nicmar.ac.in/storage/profile/ProfilePhoto_P25702064_159876.jpg","Download")</f>
        <v>0</v>
      </c>
      <c r="BV2085" s="3"/>
      <c r="BW2085" s="3"/>
    </row>
    <row r="2086" spans="1:75">
      <c r="A2086" s="1" t="s">
        <v>26662</v>
      </c>
      <c r="B2086" s="1" t="s">
        <v>446</v>
      </c>
      <c r="C2086" s="1" t="s">
        <v>36432</v>
      </c>
      <c r="D2086" s="1" t="s">
        <v>36433</v>
      </c>
      <c r="E2086" s="1" t="s">
        <v>500</v>
      </c>
      <c r="F2086" s="1" t="s">
        <v>6636</v>
      </c>
      <c r="G2086" s="1" t="s">
        <v>36434</v>
      </c>
      <c r="H2086" s="1" t="s">
        <v>36435</v>
      </c>
      <c r="I2086" s="1" t="s">
        <v>36436</v>
      </c>
      <c r="J2086" s="1">
        <v>7984205653</v>
      </c>
      <c r="K2086" s="1" t="s">
        <v>84</v>
      </c>
      <c r="L2086" s="1" t="s">
        <v>4411</v>
      </c>
      <c r="M2086" s="1" t="s">
        <v>86</v>
      </c>
      <c r="N2086" s="1" t="s">
        <v>36437</v>
      </c>
      <c r="O2086" s="1"/>
      <c r="P2086" s="1" t="s">
        <v>455</v>
      </c>
      <c r="Q2086" s="1" t="s">
        <v>36438</v>
      </c>
      <c r="R2086" s="1" t="s">
        <v>36439</v>
      </c>
      <c r="S2086" s="1">
        <v>7572911148</v>
      </c>
      <c r="T2086" s="1" t="s">
        <v>7713</v>
      </c>
      <c r="U2086" s="1" t="s">
        <v>36440</v>
      </c>
      <c r="V2086" s="1">
        <v>8698098005</v>
      </c>
      <c r="W2086" s="1" t="s">
        <v>161</v>
      </c>
      <c r="X2086" s="1" t="s">
        <v>36441</v>
      </c>
      <c r="Y2086" s="1" t="s">
        <v>196</v>
      </c>
      <c r="Z2086" s="1" t="s">
        <v>97</v>
      </c>
      <c r="AA2086" s="1" t="s">
        <v>36441</v>
      </c>
      <c r="AB2086" s="1" t="s">
        <v>196</v>
      </c>
      <c r="AC2086" s="1" t="s">
        <v>97</v>
      </c>
      <c r="AD2086" s="1">
        <v>8.32</v>
      </c>
      <c r="AE2086" s="1" t="s">
        <v>98</v>
      </c>
      <c r="AF2086" s="1" t="s">
        <v>36442</v>
      </c>
      <c r="AG2086" s="1" t="s">
        <v>36443</v>
      </c>
      <c r="AH2086" s="1" t="s">
        <v>106</v>
      </c>
      <c r="AI2086" s="1" t="s">
        <v>414</v>
      </c>
      <c r="AJ2086" s="1">
        <v>84.2</v>
      </c>
      <c r="AK2086" s="1">
        <v>0</v>
      </c>
      <c r="AL2086" s="1" t="s">
        <v>36444</v>
      </c>
      <c r="AM2086" s="1" t="s">
        <v>36445</v>
      </c>
      <c r="AN2086" s="1"/>
      <c r="AO2086" s="1" t="s">
        <v>468</v>
      </c>
      <c r="AP2086" s="1" t="s">
        <v>845</v>
      </c>
      <c r="AQ2086" s="1">
        <v>86.5</v>
      </c>
      <c r="AR2086" s="1">
        <v>0</v>
      </c>
      <c r="AS2086" s="1"/>
      <c r="AT2086" s="1"/>
      <c r="AU2086" s="1"/>
      <c r="AV2086" s="1"/>
      <c r="AW2086" s="1"/>
      <c r="AX2086" s="1"/>
      <c r="AY2086" s="1" t="s">
        <v>36446</v>
      </c>
      <c r="AZ2086" s="1" t="s">
        <v>36447</v>
      </c>
      <c r="BA2086" s="1"/>
      <c r="BB2086" s="1"/>
      <c r="BC2086" s="1" t="s">
        <v>441</v>
      </c>
      <c r="BD2086" s="1" t="s">
        <v>5340</v>
      </c>
      <c r="BE2086" s="1">
        <v>85.5</v>
      </c>
      <c r="BF2086" s="1">
        <v>8.45</v>
      </c>
      <c r="BG2086" s="1"/>
      <c r="BH2086" s="1"/>
      <c r="BI2086" s="1"/>
      <c r="BJ2086" s="1"/>
      <c r="BK2086" s="1"/>
      <c r="BL2086" s="1"/>
      <c r="BM2086" s="1"/>
      <c r="BN2086" s="1"/>
      <c r="BO2086" s="1" t="s">
        <v>36448</v>
      </c>
      <c r="BP2086" s="1"/>
      <c r="BQ2086" s="1"/>
      <c r="BR2086" s="1" t="s">
        <v>36449</v>
      </c>
      <c r="BS2086" s="1">
        <v>48</v>
      </c>
      <c r="BT2086" s="1"/>
      <c r="BU2086" s="1" t="str">
        <f>HYPERLINK("https://nconnect.nicmar.ac.in/storage/profile/ProfilePhoto_P25702065_917365.jpg","Download")</f>
        <v>0</v>
      </c>
      <c r="BV2086" s="3"/>
      <c r="BW2086" s="3"/>
    </row>
    <row r="2087" spans="1:75">
      <c r="A2087" s="1" t="s">
        <v>26662</v>
      </c>
      <c r="B2087" s="1" t="s">
        <v>446</v>
      </c>
      <c r="C2087" s="1" t="s">
        <v>36450</v>
      </c>
      <c r="D2087" s="1" t="s">
        <v>36451</v>
      </c>
      <c r="E2087" s="1" t="s">
        <v>9424</v>
      </c>
      <c r="F2087" s="1" t="s">
        <v>36452</v>
      </c>
      <c r="G2087" s="1" t="s">
        <v>36453</v>
      </c>
      <c r="H2087" s="1" t="s">
        <v>36454</v>
      </c>
      <c r="I2087" s="1" t="s">
        <v>36455</v>
      </c>
      <c r="J2087" s="1">
        <v>8530633365</v>
      </c>
      <c r="K2087" s="1" t="s">
        <v>84</v>
      </c>
      <c r="L2087" s="1" t="s">
        <v>36456</v>
      </c>
      <c r="M2087" s="1" t="s">
        <v>86</v>
      </c>
      <c r="N2087" s="1" t="s">
        <v>903</v>
      </c>
      <c r="O2087" s="1"/>
      <c r="P2087" s="1" t="s">
        <v>507</v>
      </c>
      <c r="Q2087" s="1" t="s">
        <v>36457</v>
      </c>
      <c r="R2087" s="1" t="s">
        <v>9424</v>
      </c>
      <c r="S2087" s="1">
        <v>9422208365</v>
      </c>
      <c r="T2087" s="1" t="s">
        <v>25437</v>
      </c>
      <c r="U2087" s="1" t="s">
        <v>222</v>
      </c>
      <c r="V2087" s="1">
        <v>9422204418</v>
      </c>
      <c r="W2087" s="1" t="s">
        <v>161</v>
      </c>
      <c r="X2087" s="1" t="s">
        <v>36458</v>
      </c>
      <c r="Y2087" s="1" t="s">
        <v>96</v>
      </c>
      <c r="Z2087" s="1" t="s">
        <v>97</v>
      </c>
      <c r="AA2087" s="1" t="s">
        <v>36458</v>
      </c>
      <c r="AB2087" s="1" t="s">
        <v>96</v>
      </c>
      <c r="AC2087" s="1" t="s">
        <v>97</v>
      </c>
      <c r="AD2087" s="1">
        <v>8.05</v>
      </c>
      <c r="AE2087" s="1" t="s">
        <v>98</v>
      </c>
      <c r="AF2087" s="1" t="s">
        <v>36459</v>
      </c>
      <c r="AG2087" s="1" t="s">
        <v>165</v>
      </c>
      <c r="AH2087" s="1" t="s">
        <v>438</v>
      </c>
      <c r="AI2087" s="1" t="s">
        <v>603</v>
      </c>
      <c r="AJ2087" s="1">
        <v>88.8</v>
      </c>
      <c r="AK2087" s="1"/>
      <c r="AL2087" s="1" t="s">
        <v>36460</v>
      </c>
      <c r="AM2087" s="1" t="s">
        <v>165</v>
      </c>
      <c r="AN2087" s="1"/>
      <c r="AO2087" s="1" t="s">
        <v>1040</v>
      </c>
      <c r="AP2087" s="1" t="s">
        <v>1886</v>
      </c>
      <c r="AQ2087" s="1">
        <v>85.5</v>
      </c>
      <c r="AR2087" s="1"/>
      <c r="AS2087" s="1"/>
      <c r="AT2087" s="1"/>
      <c r="AU2087" s="1"/>
      <c r="AV2087" s="1"/>
      <c r="AW2087" s="1"/>
      <c r="AX2087" s="1"/>
      <c r="AY2087" s="1" t="s">
        <v>3174</v>
      </c>
      <c r="AZ2087" s="1" t="s">
        <v>36461</v>
      </c>
      <c r="BA2087" s="1"/>
      <c r="BB2087" s="1"/>
      <c r="BC2087" s="1" t="s">
        <v>1400</v>
      </c>
      <c r="BD2087" s="1" t="s">
        <v>607</v>
      </c>
      <c r="BE2087" s="1">
        <v>60.91</v>
      </c>
      <c r="BF2087" s="1">
        <v>6.81</v>
      </c>
      <c r="BG2087" s="1"/>
      <c r="BH2087" s="1"/>
      <c r="BI2087" s="1"/>
      <c r="BJ2087" s="1"/>
      <c r="BK2087" s="1"/>
      <c r="BL2087" s="1"/>
      <c r="BM2087" s="1"/>
      <c r="BN2087" s="1"/>
      <c r="BO2087" s="1" t="s">
        <v>36462</v>
      </c>
      <c r="BP2087" s="1"/>
      <c r="BQ2087" s="1"/>
      <c r="BR2087" s="1" t="s">
        <v>36463</v>
      </c>
      <c r="BS2087" s="1">
        <v>21</v>
      </c>
      <c r="BT2087" s="1"/>
      <c r="BU2087" s="1" t="str">
        <f>HYPERLINK("https://nconnect.nicmar.ac.in/storage/profile/ProfilePhoto_P25702066_973218.jpg","Download")</f>
        <v>0</v>
      </c>
      <c r="BV2087" s="3"/>
      <c r="BW2087" s="3"/>
    </row>
    <row r="2088" spans="1:75">
      <c r="A2088" s="1" t="s">
        <v>26662</v>
      </c>
      <c r="B2088" s="1" t="s">
        <v>446</v>
      </c>
      <c r="C2088" s="1" t="s">
        <v>36464</v>
      </c>
      <c r="D2088" s="1" t="s">
        <v>36465</v>
      </c>
      <c r="E2088" s="1" t="s">
        <v>2405</v>
      </c>
      <c r="F2088" s="1" t="s">
        <v>36184</v>
      </c>
      <c r="G2088" s="1" t="s">
        <v>36466</v>
      </c>
      <c r="H2088" s="1" t="s">
        <v>36467</v>
      </c>
      <c r="I2088" s="1" t="s">
        <v>36468</v>
      </c>
      <c r="J2088" s="1">
        <v>9421611955</v>
      </c>
      <c r="K2088" s="1" t="s">
        <v>153</v>
      </c>
      <c r="L2088" s="1" t="s">
        <v>36469</v>
      </c>
      <c r="M2088" s="1" t="s">
        <v>86</v>
      </c>
      <c r="N2088" s="1" t="s">
        <v>1163</v>
      </c>
      <c r="O2088" s="1"/>
      <c r="P2088" s="1" t="s">
        <v>455</v>
      </c>
      <c r="Q2088" s="1" t="s">
        <v>36470</v>
      </c>
      <c r="R2088" s="1" t="s">
        <v>2405</v>
      </c>
      <c r="S2088" s="1">
        <v>9960753111</v>
      </c>
      <c r="T2088" s="1" t="s">
        <v>2375</v>
      </c>
      <c r="U2088" s="1" t="s">
        <v>12223</v>
      </c>
      <c r="V2088" s="1">
        <v>8830634955</v>
      </c>
      <c r="W2088" s="1" t="s">
        <v>161</v>
      </c>
      <c r="X2088" s="1" t="s">
        <v>36471</v>
      </c>
      <c r="Y2088" s="1" t="s">
        <v>309</v>
      </c>
      <c r="Z2088" s="1" t="s">
        <v>97</v>
      </c>
      <c r="AA2088" s="1" t="s">
        <v>36471</v>
      </c>
      <c r="AB2088" s="1" t="s">
        <v>309</v>
      </c>
      <c r="AC2088" s="1" t="s">
        <v>97</v>
      </c>
      <c r="AD2088" s="1">
        <v>8.21</v>
      </c>
      <c r="AE2088" s="1" t="s">
        <v>98</v>
      </c>
      <c r="AF2088" s="1" t="s">
        <v>36472</v>
      </c>
      <c r="AG2088" s="1" t="s">
        <v>36473</v>
      </c>
      <c r="AH2088" s="1" t="s">
        <v>106</v>
      </c>
      <c r="AI2088" s="1" t="s">
        <v>438</v>
      </c>
      <c r="AJ2088" s="1">
        <v>86.8</v>
      </c>
      <c r="AK2088" s="1"/>
      <c r="AL2088" s="1"/>
      <c r="AM2088" s="1"/>
      <c r="AN2088" s="1"/>
      <c r="AO2088" s="1"/>
      <c r="AP2088" s="1"/>
      <c r="AQ2088" s="1"/>
      <c r="AR2088" s="1"/>
      <c r="AS2088" s="1" t="s">
        <v>439</v>
      </c>
      <c r="AT2088" s="1" t="s">
        <v>36474</v>
      </c>
      <c r="AU2088" s="1" t="s">
        <v>206</v>
      </c>
      <c r="AV2088" s="1" t="s">
        <v>1400</v>
      </c>
      <c r="AW2088" s="1">
        <v>77.47</v>
      </c>
      <c r="AX2088" s="1"/>
      <c r="AY2088" s="1" t="s">
        <v>366</v>
      </c>
      <c r="AZ2088" s="1" t="s">
        <v>36475</v>
      </c>
      <c r="BA2088" s="1"/>
      <c r="BB2088" s="1"/>
      <c r="BC2088" s="1" t="s">
        <v>1889</v>
      </c>
      <c r="BD2088" s="1" t="s">
        <v>848</v>
      </c>
      <c r="BE2088" s="1">
        <v>60.96</v>
      </c>
      <c r="BF2088" s="1">
        <v>6.85</v>
      </c>
      <c r="BG2088" s="1"/>
      <c r="BH2088" s="1"/>
      <c r="BI2088" s="1"/>
      <c r="BJ2088" s="1"/>
      <c r="BK2088" s="1"/>
      <c r="BL2088" s="1"/>
      <c r="BM2088" s="1"/>
      <c r="BN2088" s="1"/>
      <c r="BO2088" s="1" t="s">
        <v>369</v>
      </c>
      <c r="BP2088" s="1"/>
      <c r="BQ2088" s="1"/>
      <c r="BR2088" s="1" t="s">
        <v>36476</v>
      </c>
      <c r="BS2088" s="1">
        <v>13</v>
      </c>
      <c r="BT2088" s="1" t="s">
        <v>36477</v>
      </c>
      <c r="BU2088" s="1" t="str">
        <f>HYPERLINK("https://nconnect.nicmar.ac.in/storage/profile/ProfilePhoto_P25702067_257683.jpg","Download")</f>
        <v>0</v>
      </c>
      <c r="BV2088" s="3"/>
      <c r="BW2088" s="3"/>
    </row>
    <row r="2089" spans="1:75">
      <c r="A2089" s="1" t="s">
        <v>26662</v>
      </c>
      <c r="B2089" s="1" t="s">
        <v>446</v>
      </c>
      <c r="C2089" s="1" t="s">
        <v>36478</v>
      </c>
      <c r="D2089" s="1" t="s">
        <v>36479</v>
      </c>
      <c r="E2089" s="1" t="s">
        <v>36480</v>
      </c>
      <c r="F2089" s="1" t="s">
        <v>4019</v>
      </c>
      <c r="G2089" s="1" t="s">
        <v>36481</v>
      </c>
      <c r="H2089" s="1" t="s">
        <v>36482</v>
      </c>
      <c r="I2089" s="1" t="s">
        <v>36483</v>
      </c>
      <c r="J2089" s="1">
        <v>7046561995</v>
      </c>
      <c r="K2089" s="1" t="s">
        <v>84</v>
      </c>
      <c r="L2089" s="1" t="s">
        <v>24665</v>
      </c>
      <c r="M2089" s="1" t="s">
        <v>86</v>
      </c>
      <c r="N2089" s="1" t="s">
        <v>36484</v>
      </c>
      <c r="O2089" s="1"/>
      <c r="P2089" s="1" t="s">
        <v>507</v>
      </c>
      <c r="Q2089" s="1" t="s">
        <v>36485</v>
      </c>
      <c r="R2089" s="1" t="s">
        <v>36486</v>
      </c>
      <c r="S2089" s="1">
        <v>9825491390</v>
      </c>
      <c r="T2089" s="1" t="s">
        <v>30639</v>
      </c>
      <c r="U2089" s="1" t="s">
        <v>36487</v>
      </c>
      <c r="V2089" s="1">
        <v>7874124229</v>
      </c>
      <c r="W2089" s="1" t="s">
        <v>161</v>
      </c>
      <c r="X2089" s="1" t="s">
        <v>36488</v>
      </c>
      <c r="Y2089" s="1" t="s">
        <v>2880</v>
      </c>
      <c r="Z2089" s="1" t="s">
        <v>676</v>
      </c>
      <c r="AA2089" s="1" t="s">
        <v>36488</v>
      </c>
      <c r="AB2089" s="1" t="s">
        <v>2880</v>
      </c>
      <c r="AC2089" s="1" t="s">
        <v>676</v>
      </c>
      <c r="AD2089" s="1">
        <v>8.11</v>
      </c>
      <c r="AE2089" s="1" t="s">
        <v>98</v>
      </c>
      <c r="AF2089" s="1" t="s">
        <v>36489</v>
      </c>
      <c r="AG2089" s="1" t="s">
        <v>36490</v>
      </c>
      <c r="AH2089" s="1" t="s">
        <v>106</v>
      </c>
      <c r="AI2089" s="1" t="s">
        <v>414</v>
      </c>
      <c r="AJ2089" s="1">
        <v>66.6</v>
      </c>
      <c r="AK2089" s="1">
        <v>7</v>
      </c>
      <c r="AL2089" s="1" t="s">
        <v>36491</v>
      </c>
      <c r="AM2089" s="1" t="s">
        <v>36490</v>
      </c>
      <c r="AN2089" s="1"/>
      <c r="AO2089" s="1" t="s">
        <v>468</v>
      </c>
      <c r="AP2089" s="1" t="s">
        <v>845</v>
      </c>
      <c r="AQ2089" s="1">
        <v>69.03</v>
      </c>
      <c r="AR2089" s="1">
        <v>7</v>
      </c>
      <c r="AS2089" s="1"/>
      <c r="AT2089" s="1"/>
      <c r="AU2089" s="1"/>
      <c r="AV2089" s="1"/>
      <c r="AW2089" s="1"/>
      <c r="AX2089" s="1"/>
      <c r="AY2089" s="1" t="s">
        <v>36492</v>
      </c>
      <c r="AZ2089" s="1" t="s">
        <v>36493</v>
      </c>
      <c r="BA2089" s="1"/>
      <c r="BB2089" s="1"/>
      <c r="BC2089" s="1" t="s">
        <v>552</v>
      </c>
      <c r="BD2089" s="1" t="s">
        <v>553</v>
      </c>
      <c r="BE2089" s="1">
        <v>69.07</v>
      </c>
      <c r="BF2089" s="1">
        <v>7.43</v>
      </c>
      <c r="BG2089" s="1"/>
      <c r="BH2089" s="1"/>
      <c r="BI2089" s="1"/>
      <c r="BJ2089" s="1"/>
      <c r="BK2089" s="1"/>
      <c r="BL2089" s="1"/>
      <c r="BM2089" s="1"/>
      <c r="BN2089" s="1"/>
      <c r="BO2089" s="1" t="s">
        <v>369</v>
      </c>
      <c r="BP2089" s="1"/>
      <c r="BQ2089" s="1"/>
      <c r="BR2089" s="1" t="s">
        <v>36494</v>
      </c>
      <c r="BS2089" s="1">
        <v>19</v>
      </c>
      <c r="BT2089" s="1"/>
      <c r="BU2089" s="1" t="str">
        <f>HYPERLINK("https://nconnect.nicmar.ac.in/storage/profile/ProfilePhoto_P25702068_328657.jpg","Download")</f>
        <v>0</v>
      </c>
      <c r="BV2089" s="3"/>
      <c r="BW2089" s="3"/>
    </row>
    <row r="2090" spans="1:75">
      <c r="A2090" s="1" t="s">
        <v>26662</v>
      </c>
      <c r="B2090" s="1" t="s">
        <v>446</v>
      </c>
      <c r="C2090" s="1" t="s">
        <v>36495</v>
      </c>
      <c r="D2090" s="1" t="s">
        <v>1787</v>
      </c>
      <c r="E2090" s="1" t="s">
        <v>762</v>
      </c>
      <c r="F2090" s="1" t="s">
        <v>3530</v>
      </c>
      <c r="G2090" s="1" t="s">
        <v>36496</v>
      </c>
      <c r="H2090" s="1" t="s">
        <v>36497</v>
      </c>
      <c r="I2090" s="1" t="s">
        <v>36498</v>
      </c>
      <c r="J2090" s="1">
        <v>9370934304</v>
      </c>
      <c r="K2090" s="1" t="s">
        <v>84</v>
      </c>
      <c r="L2090" s="1" t="s">
        <v>9575</v>
      </c>
      <c r="M2090" s="1" t="s">
        <v>86</v>
      </c>
      <c r="N2090" s="1" t="s">
        <v>1163</v>
      </c>
      <c r="O2090" s="1"/>
      <c r="P2090" s="1" t="s">
        <v>481</v>
      </c>
      <c r="Q2090" s="1" t="s">
        <v>36499</v>
      </c>
      <c r="R2090" s="1" t="s">
        <v>762</v>
      </c>
      <c r="S2090" s="1">
        <v>9021211628</v>
      </c>
      <c r="T2090" s="1" t="s">
        <v>2375</v>
      </c>
      <c r="U2090" s="1" t="s">
        <v>36500</v>
      </c>
      <c r="V2090" s="1">
        <v>7972754720</v>
      </c>
      <c r="W2090" s="1" t="s">
        <v>161</v>
      </c>
      <c r="X2090" s="1" t="s">
        <v>36501</v>
      </c>
      <c r="Y2090" s="1" t="s">
        <v>3538</v>
      </c>
      <c r="Z2090" s="1" t="s">
        <v>97</v>
      </c>
      <c r="AA2090" s="1" t="s">
        <v>36501</v>
      </c>
      <c r="AB2090" s="1" t="s">
        <v>3538</v>
      </c>
      <c r="AC2090" s="1" t="s">
        <v>97</v>
      </c>
      <c r="AD2090" s="1">
        <v>6.68</v>
      </c>
      <c r="AE2090" s="1" t="s">
        <v>98</v>
      </c>
      <c r="AF2090" s="1" t="s">
        <v>36502</v>
      </c>
      <c r="AG2090" s="1" t="s">
        <v>36503</v>
      </c>
      <c r="AH2090" s="1" t="s">
        <v>166</v>
      </c>
      <c r="AI2090" s="1" t="s">
        <v>286</v>
      </c>
      <c r="AJ2090" s="1">
        <v>83</v>
      </c>
      <c r="AK2090" s="1"/>
      <c r="AL2090" s="1" t="s">
        <v>36504</v>
      </c>
      <c r="AM2090" s="1" t="s">
        <v>36503</v>
      </c>
      <c r="AN2090" s="1"/>
      <c r="AO2090" s="1" t="s">
        <v>174</v>
      </c>
      <c r="AP2090" s="1" t="s">
        <v>365</v>
      </c>
      <c r="AQ2090" s="1">
        <v>56.15</v>
      </c>
      <c r="AR2090" s="1"/>
      <c r="AS2090" s="1"/>
      <c r="AT2090" s="1"/>
      <c r="AU2090" s="1"/>
      <c r="AV2090" s="1"/>
      <c r="AW2090" s="1"/>
      <c r="AX2090" s="1"/>
      <c r="AY2090" s="1" t="s">
        <v>1887</v>
      </c>
      <c r="AZ2090" s="1" t="s">
        <v>36505</v>
      </c>
      <c r="BA2090" s="1"/>
      <c r="BB2090" s="1"/>
      <c r="BC2090" s="1" t="s">
        <v>368</v>
      </c>
      <c r="BD2090" s="1" t="s">
        <v>207</v>
      </c>
      <c r="BE2090" s="1">
        <v>65.2</v>
      </c>
      <c r="BF2090" s="1">
        <v>7.27</v>
      </c>
      <c r="BG2090" s="1"/>
      <c r="BH2090" s="1"/>
      <c r="BI2090" s="1"/>
      <c r="BJ2090" s="1"/>
      <c r="BK2090" s="1"/>
      <c r="BL2090" s="1"/>
      <c r="BM2090" s="1"/>
      <c r="BN2090" s="1"/>
      <c r="BO2090" s="1" t="s">
        <v>36506</v>
      </c>
      <c r="BP2090" s="1"/>
      <c r="BQ2090" s="1"/>
      <c r="BR2090" s="1" t="s">
        <v>36507</v>
      </c>
      <c r="BS2090" s="1">
        <v>8</v>
      </c>
      <c r="BT2090" s="1" t="s">
        <v>36508</v>
      </c>
      <c r="BU2090" s="1" t="str">
        <f>HYPERLINK("https://nconnect.nicmar.ac.in/storage/profile/ProfilePhoto_P25702069_148397.jpg","Download")</f>
        <v>0</v>
      </c>
      <c r="BV2090" s="3"/>
      <c r="BW2090" s="3"/>
    </row>
    <row r="2091" spans="1:75">
      <c r="A2091" s="1" t="s">
        <v>26662</v>
      </c>
      <c r="B2091" s="1" t="s">
        <v>446</v>
      </c>
      <c r="C2091" s="1" t="s">
        <v>36509</v>
      </c>
      <c r="D2091" s="1" t="s">
        <v>528</v>
      </c>
      <c r="E2091" s="1" t="s">
        <v>2447</v>
      </c>
      <c r="F2091" s="1" t="s">
        <v>6636</v>
      </c>
      <c r="G2091" s="1" t="s">
        <v>36510</v>
      </c>
      <c r="H2091" s="1" t="s">
        <v>36511</v>
      </c>
      <c r="I2091" s="1" t="s">
        <v>36512</v>
      </c>
      <c r="J2091" s="1">
        <v>8888749834</v>
      </c>
      <c r="K2091" s="1" t="s">
        <v>84</v>
      </c>
      <c r="L2091" s="1" t="s">
        <v>36513</v>
      </c>
      <c r="M2091" s="1" t="s">
        <v>86</v>
      </c>
      <c r="N2091" s="1" t="s">
        <v>36514</v>
      </c>
      <c r="O2091" s="1"/>
      <c r="P2091" s="1" t="s">
        <v>1028</v>
      </c>
      <c r="Q2091" s="1" t="s">
        <v>36515</v>
      </c>
      <c r="R2091" s="1" t="s">
        <v>36516</v>
      </c>
      <c r="S2091" s="1">
        <v>9422116230</v>
      </c>
      <c r="T2091" s="1" t="s">
        <v>839</v>
      </c>
      <c r="U2091" s="1" t="s">
        <v>36517</v>
      </c>
      <c r="V2091" s="1">
        <v>9607060445</v>
      </c>
      <c r="W2091" s="1" t="s">
        <v>36518</v>
      </c>
      <c r="X2091" s="1" t="s">
        <v>36519</v>
      </c>
      <c r="Y2091" s="1" t="s">
        <v>410</v>
      </c>
      <c r="Z2091" s="1" t="s">
        <v>97</v>
      </c>
      <c r="AA2091" s="1" t="s">
        <v>36519</v>
      </c>
      <c r="AB2091" s="1" t="s">
        <v>410</v>
      </c>
      <c r="AC2091" s="1" t="s">
        <v>97</v>
      </c>
      <c r="AD2091" s="1">
        <v>7.66</v>
      </c>
      <c r="AE2091" s="1" t="s">
        <v>98</v>
      </c>
      <c r="AF2091" s="1" t="s">
        <v>36520</v>
      </c>
      <c r="AG2091" s="1" t="s">
        <v>36521</v>
      </c>
      <c r="AH2091" s="1" t="s">
        <v>468</v>
      </c>
      <c r="AI2091" s="1" t="s">
        <v>603</v>
      </c>
      <c r="AJ2091" s="1">
        <v>76</v>
      </c>
      <c r="AK2091" s="1">
        <v>7.6</v>
      </c>
      <c r="AL2091" s="1" t="s">
        <v>36522</v>
      </c>
      <c r="AM2091" s="1" t="s">
        <v>36523</v>
      </c>
      <c r="AN2091" s="1" t="s">
        <v>465</v>
      </c>
      <c r="AO2091" s="1" t="s">
        <v>289</v>
      </c>
      <c r="AP2091" s="1" t="s">
        <v>1886</v>
      </c>
      <c r="AQ2091" s="1">
        <v>65.17</v>
      </c>
      <c r="AR2091" s="1">
        <v>6.51</v>
      </c>
      <c r="AS2091" s="1"/>
      <c r="AT2091" s="1"/>
      <c r="AU2091" s="1"/>
      <c r="AV2091" s="1"/>
      <c r="AW2091" s="1"/>
      <c r="AX2091" s="1"/>
      <c r="AY2091" s="1" t="s">
        <v>8985</v>
      </c>
      <c r="AZ2091" s="1" t="s">
        <v>36524</v>
      </c>
      <c r="BA2091" s="1" t="s">
        <v>1062</v>
      </c>
      <c r="BB2091" s="1" t="s">
        <v>35583</v>
      </c>
      <c r="BC2091" s="1" t="s">
        <v>110</v>
      </c>
      <c r="BD2091" s="1" t="s">
        <v>848</v>
      </c>
      <c r="BE2091" s="1">
        <v>67.3</v>
      </c>
      <c r="BF2091" s="1">
        <v>7.48</v>
      </c>
      <c r="BG2091" s="1"/>
      <c r="BH2091" s="1"/>
      <c r="BI2091" s="1"/>
      <c r="BJ2091" s="1"/>
      <c r="BK2091" s="1"/>
      <c r="BL2091" s="1"/>
      <c r="BM2091" s="1"/>
      <c r="BN2091" s="1"/>
      <c r="BO2091" s="1" t="s">
        <v>36525</v>
      </c>
      <c r="BP2091" s="1"/>
      <c r="BQ2091" s="1"/>
      <c r="BR2091" s="1" t="s">
        <v>36526</v>
      </c>
      <c r="BS2091" s="1">
        <v>9</v>
      </c>
      <c r="BT2091" s="1" t="s">
        <v>36527</v>
      </c>
      <c r="BU2091" s="1" t="str">
        <f>HYPERLINK("https://nconnect.nicmar.ac.in/storage/profile/ProfilePhoto_P25702070_546397.jpg","Download")</f>
        <v>0</v>
      </c>
      <c r="BV2091" s="3"/>
      <c r="BW2091" s="3"/>
    </row>
    <row r="2092" spans="1:75">
      <c r="A2092" s="1" t="s">
        <v>26662</v>
      </c>
      <c r="B2092" s="1" t="s">
        <v>446</v>
      </c>
      <c r="C2092" s="1" t="s">
        <v>36528</v>
      </c>
      <c r="D2092" s="1" t="s">
        <v>7090</v>
      </c>
      <c r="E2092" s="1" t="s">
        <v>2098</v>
      </c>
      <c r="F2092" s="1" t="s">
        <v>36529</v>
      </c>
      <c r="G2092" s="1" t="s">
        <v>36530</v>
      </c>
      <c r="H2092" s="1" t="s">
        <v>36531</v>
      </c>
      <c r="I2092" s="1" t="s">
        <v>36532</v>
      </c>
      <c r="J2092" s="1">
        <v>8369065887</v>
      </c>
      <c r="K2092" s="1" t="s">
        <v>84</v>
      </c>
      <c r="L2092" s="1" t="s">
        <v>11067</v>
      </c>
      <c r="M2092" s="1" t="s">
        <v>86</v>
      </c>
      <c r="N2092" s="1" t="s">
        <v>1163</v>
      </c>
      <c r="O2092" s="1"/>
      <c r="P2092" s="1"/>
      <c r="Q2092" s="1" t="s">
        <v>36533</v>
      </c>
      <c r="R2092" s="1" t="s">
        <v>36534</v>
      </c>
      <c r="S2092" s="1">
        <v>8007779042</v>
      </c>
      <c r="T2092" s="1" t="s">
        <v>645</v>
      </c>
      <c r="U2092" s="1" t="s">
        <v>36535</v>
      </c>
      <c r="V2092" s="1">
        <v>8097617083</v>
      </c>
      <c r="W2092" s="1" t="s">
        <v>161</v>
      </c>
      <c r="X2092" s="1" t="s">
        <v>36536</v>
      </c>
      <c r="Y2092" s="1" t="s">
        <v>1012</v>
      </c>
      <c r="Z2092" s="1" t="s">
        <v>97</v>
      </c>
      <c r="AA2092" s="1" t="s">
        <v>36536</v>
      </c>
      <c r="AB2092" s="1" t="s">
        <v>1012</v>
      </c>
      <c r="AC2092" s="1" t="s">
        <v>97</v>
      </c>
      <c r="AD2092" s="1">
        <v>6.87</v>
      </c>
      <c r="AE2092" s="1" t="s">
        <v>98</v>
      </c>
      <c r="AF2092" s="1" t="s">
        <v>36537</v>
      </c>
      <c r="AG2092" s="1" t="s">
        <v>165</v>
      </c>
      <c r="AH2092" s="1" t="s">
        <v>106</v>
      </c>
      <c r="AI2092" s="1" t="s">
        <v>414</v>
      </c>
      <c r="AJ2092" s="1">
        <v>66.4</v>
      </c>
      <c r="AK2092" s="1"/>
      <c r="AL2092" s="1"/>
      <c r="AM2092" s="1"/>
      <c r="AN2092" s="1" t="s">
        <v>2635</v>
      </c>
      <c r="AO2092" s="1"/>
      <c r="AP2092" s="1"/>
      <c r="AQ2092" s="1"/>
      <c r="AR2092" s="1"/>
      <c r="AS2092" s="1" t="s">
        <v>103</v>
      </c>
      <c r="AT2092" s="1" t="s">
        <v>36538</v>
      </c>
      <c r="AU2092" s="1" t="s">
        <v>438</v>
      </c>
      <c r="AV2092" s="1" t="s">
        <v>632</v>
      </c>
      <c r="AW2092" s="1">
        <v>72.84</v>
      </c>
      <c r="AX2092" s="1"/>
      <c r="AY2092" s="1" t="s">
        <v>680</v>
      </c>
      <c r="AZ2092" s="1" t="s">
        <v>36539</v>
      </c>
      <c r="BA2092" s="1" t="s">
        <v>578</v>
      </c>
      <c r="BB2092" s="1" t="s">
        <v>467</v>
      </c>
      <c r="BC2092" s="1" t="s">
        <v>289</v>
      </c>
      <c r="BD2092" s="1" t="s">
        <v>553</v>
      </c>
      <c r="BE2092" s="1">
        <v>59.58</v>
      </c>
      <c r="BF2092" s="1">
        <v>6.5</v>
      </c>
      <c r="BG2092" s="1"/>
      <c r="BH2092" s="1"/>
      <c r="BI2092" s="1"/>
      <c r="BJ2092" s="1"/>
      <c r="BK2092" s="1"/>
      <c r="BL2092" s="1"/>
      <c r="BM2092" s="1"/>
      <c r="BN2092" s="1"/>
      <c r="BO2092" s="1" t="s">
        <v>369</v>
      </c>
      <c r="BP2092" s="1"/>
      <c r="BQ2092" s="1"/>
      <c r="BR2092" s="1" t="s">
        <v>36540</v>
      </c>
      <c r="BS2092" s="1">
        <v>13</v>
      </c>
      <c r="BT2092" s="1"/>
      <c r="BU2092" s="1" t="str">
        <f>HYPERLINK("https://nconnect.nicmar.ac.in/storage/profile/ProfilePhoto_P25702071_618479.jpg","Download")</f>
        <v>0</v>
      </c>
      <c r="BV2092" s="3"/>
      <c r="BW2092" s="3"/>
    </row>
    <row r="2093" spans="1:75">
      <c r="A2093" s="1" t="s">
        <v>26662</v>
      </c>
      <c r="B2093" s="1" t="s">
        <v>446</v>
      </c>
      <c r="C2093" s="1" t="s">
        <v>36541</v>
      </c>
      <c r="D2093" s="1" t="s">
        <v>7909</v>
      </c>
      <c r="E2093" s="1" t="s">
        <v>240</v>
      </c>
      <c r="F2093" s="1" t="s">
        <v>36542</v>
      </c>
      <c r="G2093" s="1" t="s">
        <v>36543</v>
      </c>
      <c r="H2093" s="1" t="s">
        <v>36544</v>
      </c>
      <c r="I2093" s="1" t="s">
        <v>36545</v>
      </c>
      <c r="J2093" s="1">
        <v>9987856361</v>
      </c>
      <c r="K2093" s="1" t="s">
        <v>153</v>
      </c>
      <c r="L2093" s="1" t="s">
        <v>36546</v>
      </c>
      <c r="M2093" s="1" t="s">
        <v>86</v>
      </c>
      <c r="N2093" s="1" t="s">
        <v>8679</v>
      </c>
      <c r="O2093" s="1"/>
      <c r="P2093" s="1" t="s">
        <v>455</v>
      </c>
      <c r="Q2093" s="1" t="s">
        <v>36547</v>
      </c>
      <c r="R2093" s="1" t="s">
        <v>240</v>
      </c>
      <c r="S2093" s="1">
        <v>9922644246</v>
      </c>
      <c r="T2093" s="1" t="s">
        <v>13258</v>
      </c>
      <c r="U2093" s="1" t="s">
        <v>36339</v>
      </c>
      <c r="V2093" s="1">
        <v>9766456373</v>
      </c>
      <c r="W2093" s="1" t="s">
        <v>161</v>
      </c>
      <c r="X2093" s="1" t="s">
        <v>36548</v>
      </c>
      <c r="Y2093" s="1" t="s">
        <v>196</v>
      </c>
      <c r="Z2093" s="1" t="s">
        <v>97</v>
      </c>
      <c r="AA2093" s="1" t="s">
        <v>36549</v>
      </c>
      <c r="AB2093" s="1" t="s">
        <v>196</v>
      </c>
      <c r="AC2093" s="1" t="s">
        <v>97</v>
      </c>
      <c r="AD2093" s="1">
        <v>7.97</v>
      </c>
      <c r="AE2093" s="1" t="s">
        <v>98</v>
      </c>
      <c r="AF2093" s="1" t="s">
        <v>36550</v>
      </c>
      <c r="AG2093" s="1" t="s">
        <v>165</v>
      </c>
      <c r="AH2093" s="1" t="s">
        <v>167</v>
      </c>
      <c r="AI2093" s="1" t="s">
        <v>200</v>
      </c>
      <c r="AJ2093" s="1">
        <v>91.4</v>
      </c>
      <c r="AK2093" s="1"/>
      <c r="AL2093" s="1" t="s">
        <v>36550</v>
      </c>
      <c r="AM2093" s="1" t="s">
        <v>165</v>
      </c>
      <c r="AN2093" s="1"/>
      <c r="AO2093" s="1" t="s">
        <v>106</v>
      </c>
      <c r="AP2093" s="1" t="s">
        <v>203</v>
      </c>
      <c r="AQ2093" s="1">
        <v>62.77</v>
      </c>
      <c r="AR2093" s="1"/>
      <c r="AS2093" s="1"/>
      <c r="AT2093" s="1"/>
      <c r="AU2093" s="1"/>
      <c r="AV2093" s="1"/>
      <c r="AW2093" s="1"/>
      <c r="AX2093" s="1"/>
      <c r="AY2093" s="1" t="s">
        <v>366</v>
      </c>
      <c r="AZ2093" s="1" t="s">
        <v>36551</v>
      </c>
      <c r="BA2093" s="1"/>
      <c r="BB2093" s="1"/>
      <c r="BC2093" s="1" t="s">
        <v>206</v>
      </c>
      <c r="BD2093" s="1" t="s">
        <v>848</v>
      </c>
      <c r="BE2093" s="1">
        <v>57.13</v>
      </c>
      <c r="BF2093" s="1">
        <v>6.42</v>
      </c>
      <c r="BG2093" s="1"/>
      <c r="BH2093" s="1"/>
      <c r="BI2093" s="1"/>
      <c r="BJ2093" s="1"/>
      <c r="BK2093" s="1"/>
      <c r="BL2093" s="1"/>
      <c r="BM2093" s="1"/>
      <c r="BN2093" s="1"/>
      <c r="BO2093" s="1" t="s">
        <v>260</v>
      </c>
      <c r="BP2093" s="1"/>
      <c r="BQ2093" s="1"/>
      <c r="BR2093" s="1" t="s">
        <v>36552</v>
      </c>
      <c r="BS2093" s="1">
        <v>26</v>
      </c>
      <c r="BT2093" s="1" t="s">
        <v>36553</v>
      </c>
      <c r="BU2093" s="1" t="str">
        <f>HYPERLINK("https://nconnect.nicmar.ac.in/storage/profile/ProfilePhoto_P25702072_513768.jpg","Download")</f>
        <v>0</v>
      </c>
      <c r="BV2093" s="3"/>
      <c r="BW2093" s="3"/>
    </row>
    <row r="2094" spans="1:75">
      <c r="A2094" s="1" t="s">
        <v>26662</v>
      </c>
      <c r="B2094" s="1" t="s">
        <v>446</v>
      </c>
      <c r="C2094" s="1" t="s">
        <v>36554</v>
      </c>
      <c r="D2094" s="1" t="s">
        <v>5092</v>
      </c>
      <c r="E2094" s="1" t="s">
        <v>8325</v>
      </c>
      <c r="F2094" s="1" t="s">
        <v>36555</v>
      </c>
      <c r="G2094" s="1" t="s">
        <v>36556</v>
      </c>
      <c r="H2094" s="1" t="s">
        <v>36557</v>
      </c>
      <c r="I2094" s="1" t="s">
        <v>36558</v>
      </c>
      <c r="J2094" s="1">
        <v>9096239603</v>
      </c>
      <c r="K2094" s="1" t="s">
        <v>84</v>
      </c>
      <c r="L2094" s="1" t="s">
        <v>22557</v>
      </c>
      <c r="M2094" s="1" t="s">
        <v>86</v>
      </c>
      <c r="N2094" s="1" t="s">
        <v>3500</v>
      </c>
      <c r="O2094" s="1"/>
      <c r="P2094" s="1" t="s">
        <v>507</v>
      </c>
      <c r="Q2094" s="1" t="s">
        <v>36559</v>
      </c>
      <c r="R2094" s="1" t="s">
        <v>36560</v>
      </c>
      <c r="S2094" s="1">
        <v>9420334022</v>
      </c>
      <c r="T2094" s="1" t="s">
        <v>3788</v>
      </c>
      <c r="U2094" s="1" t="s">
        <v>36561</v>
      </c>
      <c r="V2094" s="1">
        <v>9420334022</v>
      </c>
      <c r="W2094" s="1" t="s">
        <v>161</v>
      </c>
      <c r="X2094" s="1" t="s">
        <v>36562</v>
      </c>
      <c r="Y2094" s="1" t="s">
        <v>196</v>
      </c>
      <c r="Z2094" s="1" t="s">
        <v>97</v>
      </c>
      <c r="AA2094" s="1" t="s">
        <v>36563</v>
      </c>
      <c r="AB2094" s="1" t="s">
        <v>196</v>
      </c>
      <c r="AC2094" s="1" t="s">
        <v>97</v>
      </c>
      <c r="AD2094" s="1">
        <v>7.18</v>
      </c>
      <c r="AE2094" s="1" t="s">
        <v>98</v>
      </c>
      <c r="AF2094" s="1" t="s">
        <v>36564</v>
      </c>
      <c r="AG2094" s="1" t="s">
        <v>165</v>
      </c>
      <c r="AH2094" s="1" t="s">
        <v>286</v>
      </c>
      <c r="AI2094" s="1" t="s">
        <v>414</v>
      </c>
      <c r="AJ2094" s="1">
        <v>82.2</v>
      </c>
      <c r="AK2094" s="1"/>
      <c r="AL2094" s="1" t="s">
        <v>36565</v>
      </c>
      <c r="AM2094" s="1" t="s">
        <v>165</v>
      </c>
      <c r="AN2094" s="1"/>
      <c r="AO2094" s="1" t="s">
        <v>603</v>
      </c>
      <c r="AP2094" s="1" t="s">
        <v>1192</v>
      </c>
      <c r="AQ2094" s="1">
        <v>86</v>
      </c>
      <c r="AR2094" s="1"/>
      <c r="AS2094" s="1"/>
      <c r="AT2094" s="1"/>
      <c r="AU2094" s="1"/>
      <c r="AV2094" s="1"/>
      <c r="AW2094" s="1"/>
      <c r="AX2094" s="1"/>
      <c r="AY2094" s="1" t="s">
        <v>36566</v>
      </c>
      <c r="AZ2094" s="1" t="s">
        <v>36567</v>
      </c>
      <c r="BA2094" s="1"/>
      <c r="BB2094" s="1"/>
      <c r="BC2094" s="1" t="s">
        <v>847</v>
      </c>
      <c r="BD2094" s="1" t="s">
        <v>848</v>
      </c>
      <c r="BE2094" s="1">
        <v>58.2</v>
      </c>
      <c r="BF2094" s="1">
        <v>6.54</v>
      </c>
      <c r="BG2094" s="1"/>
      <c r="BH2094" s="1"/>
      <c r="BI2094" s="1"/>
      <c r="BJ2094" s="1"/>
      <c r="BK2094" s="1"/>
      <c r="BL2094" s="1"/>
      <c r="BM2094" s="1"/>
      <c r="BN2094" s="1"/>
      <c r="BO2094" s="1" t="s">
        <v>36568</v>
      </c>
      <c r="BP2094" s="1"/>
      <c r="BQ2094" s="1"/>
      <c r="BR2094" s="1" t="s">
        <v>36569</v>
      </c>
      <c r="BS2094" s="1">
        <v>11</v>
      </c>
      <c r="BT2094" s="1"/>
      <c r="BU2094" s="1" t="str">
        <f>HYPERLINK("https://nconnect.nicmar.ac.in/storage/profile/ProfilePhoto_P25702073_278631.jpg","Download")</f>
        <v>0</v>
      </c>
      <c r="BV2094" s="3"/>
      <c r="BW2094" s="3"/>
    </row>
    <row r="2095" spans="1:75">
      <c r="A2095" s="1" t="s">
        <v>26662</v>
      </c>
      <c r="B2095" s="1" t="s">
        <v>446</v>
      </c>
      <c r="C2095" s="1" t="s">
        <v>36570</v>
      </c>
      <c r="D2095" s="1" t="s">
        <v>4036</v>
      </c>
      <c r="E2095" s="1"/>
      <c r="F2095" s="1" t="s">
        <v>1179</v>
      </c>
      <c r="G2095" s="1" t="s">
        <v>36571</v>
      </c>
      <c r="H2095" s="1" t="s">
        <v>36572</v>
      </c>
      <c r="I2095" s="1" t="s">
        <v>36573</v>
      </c>
      <c r="J2095" s="1">
        <v>7249331145</v>
      </c>
      <c r="K2095" s="1" t="s">
        <v>84</v>
      </c>
      <c r="L2095" s="1" t="s">
        <v>12185</v>
      </c>
      <c r="M2095" s="1" t="s">
        <v>86</v>
      </c>
      <c r="N2095" s="1" t="s">
        <v>1163</v>
      </c>
      <c r="O2095" s="1"/>
      <c r="P2095" s="1" t="s">
        <v>670</v>
      </c>
      <c r="Q2095" s="1" t="s">
        <v>36574</v>
      </c>
      <c r="R2095" s="1" t="s">
        <v>36575</v>
      </c>
      <c r="S2095" s="1">
        <v>9890574296</v>
      </c>
      <c r="T2095" s="1" t="s">
        <v>645</v>
      </c>
      <c r="U2095" s="1" t="s">
        <v>36576</v>
      </c>
      <c r="V2095" s="1">
        <v>7249310653</v>
      </c>
      <c r="W2095" s="1" t="s">
        <v>94</v>
      </c>
      <c r="X2095" s="1" t="s">
        <v>36577</v>
      </c>
      <c r="Y2095" s="1" t="s">
        <v>196</v>
      </c>
      <c r="Z2095" s="1" t="s">
        <v>97</v>
      </c>
      <c r="AA2095" s="1" t="s">
        <v>36578</v>
      </c>
      <c r="AB2095" s="1" t="s">
        <v>309</v>
      </c>
      <c r="AC2095" s="1" t="s">
        <v>97</v>
      </c>
      <c r="AD2095" s="1">
        <v>8.37</v>
      </c>
      <c r="AE2095" s="1" t="s">
        <v>98</v>
      </c>
      <c r="AF2095" s="1" t="s">
        <v>36579</v>
      </c>
      <c r="AG2095" s="1" t="s">
        <v>27296</v>
      </c>
      <c r="AH2095" s="1" t="s">
        <v>133</v>
      </c>
      <c r="AI2095" s="1" t="s">
        <v>603</v>
      </c>
      <c r="AJ2095" s="1">
        <v>80</v>
      </c>
      <c r="AK2095" s="1"/>
      <c r="AL2095" s="1" t="s">
        <v>36580</v>
      </c>
      <c r="AM2095" s="1" t="s">
        <v>3884</v>
      </c>
      <c r="AN2095" s="1" t="s">
        <v>35580</v>
      </c>
      <c r="AO2095" s="1" t="s">
        <v>178</v>
      </c>
      <c r="AP2095" s="1" t="s">
        <v>1886</v>
      </c>
      <c r="AQ2095" s="1">
        <v>85.17</v>
      </c>
      <c r="AR2095" s="1"/>
      <c r="AS2095" s="1"/>
      <c r="AT2095" s="1"/>
      <c r="AU2095" s="1"/>
      <c r="AV2095" s="1"/>
      <c r="AW2095" s="1"/>
      <c r="AX2095" s="1"/>
      <c r="AY2095" s="1" t="s">
        <v>36581</v>
      </c>
      <c r="AZ2095" s="1" t="s">
        <v>36582</v>
      </c>
      <c r="BA2095" s="1" t="s">
        <v>35549</v>
      </c>
      <c r="BB2095" s="1" t="s">
        <v>35550</v>
      </c>
      <c r="BC2095" s="1" t="s">
        <v>110</v>
      </c>
      <c r="BD2095" s="1" t="s">
        <v>607</v>
      </c>
      <c r="BE2095" s="1">
        <v>77.7</v>
      </c>
      <c r="BF2095" s="1">
        <v>7.77</v>
      </c>
      <c r="BG2095" s="1"/>
      <c r="BH2095" s="1"/>
      <c r="BI2095" s="1"/>
      <c r="BJ2095" s="1"/>
      <c r="BK2095" s="1"/>
      <c r="BL2095" s="1"/>
      <c r="BM2095" s="1"/>
      <c r="BN2095" s="1"/>
      <c r="BO2095" s="1" t="s">
        <v>36583</v>
      </c>
      <c r="BP2095" s="1"/>
      <c r="BQ2095" s="1"/>
      <c r="BR2095" s="1" t="s">
        <v>36584</v>
      </c>
      <c r="BS2095" s="1">
        <v>42</v>
      </c>
      <c r="BT2095" s="1" t="s">
        <v>36585</v>
      </c>
      <c r="BU2095" s="1" t="str">
        <f>HYPERLINK("https://nconnect.nicmar.ac.in/storage/profile/ProfilePhoto_P25702074_418937.jpg","Download")</f>
        <v>0</v>
      </c>
      <c r="BV2095" s="3"/>
      <c r="BW2095" s="3"/>
    </row>
    <row r="2096" spans="1:75">
      <c r="A2096" s="1" t="s">
        <v>26662</v>
      </c>
      <c r="B2096" s="1" t="s">
        <v>446</v>
      </c>
      <c r="C2096" s="1" t="s">
        <v>36586</v>
      </c>
      <c r="D2096" s="1" t="s">
        <v>1871</v>
      </c>
      <c r="E2096" s="1" t="s">
        <v>2233</v>
      </c>
      <c r="F2096" s="1" t="s">
        <v>11293</v>
      </c>
      <c r="G2096" s="1" t="s">
        <v>36587</v>
      </c>
      <c r="H2096" s="1" t="s">
        <v>36588</v>
      </c>
      <c r="I2096" s="1" t="s">
        <v>36589</v>
      </c>
      <c r="J2096" s="1">
        <v>9372634449</v>
      </c>
      <c r="K2096" s="1" t="s">
        <v>153</v>
      </c>
      <c r="L2096" s="1" t="s">
        <v>36590</v>
      </c>
      <c r="M2096" s="1" t="s">
        <v>86</v>
      </c>
      <c r="N2096" s="1" t="s">
        <v>36591</v>
      </c>
      <c r="O2096" s="1"/>
      <c r="P2096" s="1" t="s">
        <v>507</v>
      </c>
      <c r="Q2096" s="1" t="s">
        <v>36592</v>
      </c>
      <c r="R2096" s="1" t="s">
        <v>36593</v>
      </c>
      <c r="S2096" s="1">
        <v>9769997851</v>
      </c>
      <c r="T2096" s="1" t="s">
        <v>9257</v>
      </c>
      <c r="U2096" s="1" t="s">
        <v>36594</v>
      </c>
      <c r="V2096" s="1">
        <v>9869064189</v>
      </c>
      <c r="W2096" s="1" t="s">
        <v>8332</v>
      </c>
      <c r="X2096" s="1" t="s">
        <v>36595</v>
      </c>
      <c r="Y2096" s="1" t="s">
        <v>2259</v>
      </c>
      <c r="Z2096" s="1" t="s">
        <v>97</v>
      </c>
      <c r="AA2096" s="1" t="s">
        <v>36595</v>
      </c>
      <c r="AB2096" s="1" t="s">
        <v>2259</v>
      </c>
      <c r="AC2096" s="1" t="s">
        <v>97</v>
      </c>
      <c r="AD2096" s="1">
        <v>9.08</v>
      </c>
      <c r="AE2096" s="1" t="s">
        <v>98</v>
      </c>
      <c r="AF2096" s="1" t="s">
        <v>36596</v>
      </c>
      <c r="AG2096" s="1" t="s">
        <v>7366</v>
      </c>
      <c r="AH2096" s="1" t="s">
        <v>166</v>
      </c>
      <c r="AI2096" s="1" t="s">
        <v>1111</v>
      </c>
      <c r="AJ2096" s="1">
        <v>86.6</v>
      </c>
      <c r="AK2096" s="1"/>
      <c r="AL2096" s="1" t="s">
        <v>36597</v>
      </c>
      <c r="AM2096" s="1" t="s">
        <v>7366</v>
      </c>
      <c r="AN2096" s="1" t="s">
        <v>465</v>
      </c>
      <c r="AO2096" s="1" t="s">
        <v>170</v>
      </c>
      <c r="AP2096" s="1" t="s">
        <v>1477</v>
      </c>
      <c r="AQ2096" s="1">
        <v>66.62</v>
      </c>
      <c r="AR2096" s="1"/>
      <c r="AS2096" s="1"/>
      <c r="AT2096" s="1"/>
      <c r="AU2096" s="1"/>
      <c r="AV2096" s="1"/>
      <c r="AW2096" s="1"/>
      <c r="AX2096" s="1"/>
      <c r="AY2096" s="1" t="s">
        <v>258</v>
      </c>
      <c r="AZ2096" s="1" t="s">
        <v>36598</v>
      </c>
      <c r="BA2096" s="1" t="s">
        <v>682</v>
      </c>
      <c r="BB2096" s="1" t="s">
        <v>1561</v>
      </c>
      <c r="BC2096" s="1" t="s">
        <v>106</v>
      </c>
      <c r="BD2096" s="1" t="s">
        <v>234</v>
      </c>
      <c r="BE2096" s="1">
        <v>60.7</v>
      </c>
      <c r="BF2096" s="1">
        <v>6.86</v>
      </c>
      <c r="BG2096" s="1"/>
      <c r="BH2096" s="1"/>
      <c r="BI2096" s="1"/>
      <c r="BJ2096" s="1"/>
      <c r="BK2096" s="1"/>
      <c r="BL2096" s="1"/>
      <c r="BM2096" s="1"/>
      <c r="BN2096" s="1"/>
      <c r="BO2096" s="1" t="s">
        <v>36599</v>
      </c>
      <c r="BP2096" s="1" t="s">
        <v>36600</v>
      </c>
      <c r="BQ2096" s="1" t="s">
        <v>582</v>
      </c>
      <c r="BR2096" s="1" t="s">
        <v>36601</v>
      </c>
      <c r="BS2096" s="1">
        <v>33</v>
      </c>
      <c r="BT2096" s="1"/>
      <c r="BU2096" s="1" t="str">
        <f>HYPERLINK("https://nconnect.nicmar.ac.in/storage/profile/ProfilePhoto_P25702075_348759.jpg","Download")</f>
        <v>0</v>
      </c>
      <c r="BV2096" s="3"/>
      <c r="BW2096" s="3"/>
    </row>
    <row r="2097" spans="1:75">
      <c r="A2097" s="1" t="s">
        <v>26662</v>
      </c>
      <c r="B2097" s="1" t="s">
        <v>446</v>
      </c>
      <c r="C2097" s="1" t="s">
        <v>36602</v>
      </c>
      <c r="D2097" s="1" t="s">
        <v>33168</v>
      </c>
      <c r="E2097" s="1" t="s">
        <v>3494</v>
      </c>
      <c r="F2097" s="1" t="s">
        <v>36603</v>
      </c>
      <c r="G2097" s="1" t="s">
        <v>36604</v>
      </c>
      <c r="H2097" s="1" t="s">
        <v>36605</v>
      </c>
      <c r="I2097" s="1" t="s">
        <v>36606</v>
      </c>
      <c r="J2097" s="1">
        <v>7448070021</v>
      </c>
      <c r="K2097" s="1" t="s">
        <v>84</v>
      </c>
      <c r="L2097" s="1" t="s">
        <v>36607</v>
      </c>
      <c r="M2097" s="1" t="s">
        <v>86</v>
      </c>
      <c r="N2097" s="1" t="s">
        <v>903</v>
      </c>
      <c r="O2097" s="1"/>
      <c r="P2097" s="1" t="s">
        <v>507</v>
      </c>
      <c r="Q2097" s="1" t="s">
        <v>36608</v>
      </c>
      <c r="R2097" s="1" t="s">
        <v>3494</v>
      </c>
      <c r="S2097" s="1">
        <v>9766944795</v>
      </c>
      <c r="T2097" s="1" t="s">
        <v>926</v>
      </c>
      <c r="U2097" s="1" t="s">
        <v>2567</v>
      </c>
      <c r="V2097" s="1">
        <v>9403618688</v>
      </c>
      <c r="W2097" s="1" t="s">
        <v>161</v>
      </c>
      <c r="X2097" s="1" t="s">
        <v>36609</v>
      </c>
      <c r="Y2097" s="1" t="s">
        <v>333</v>
      </c>
      <c r="Z2097" s="1" t="s">
        <v>97</v>
      </c>
      <c r="AA2097" s="1" t="s">
        <v>36609</v>
      </c>
      <c r="AB2097" s="1" t="s">
        <v>333</v>
      </c>
      <c r="AC2097" s="1" t="s">
        <v>97</v>
      </c>
      <c r="AD2097" s="1">
        <v>9.18</v>
      </c>
      <c r="AE2097" s="1" t="s">
        <v>98</v>
      </c>
      <c r="AF2097" s="1" t="s">
        <v>36610</v>
      </c>
      <c r="AG2097" s="1" t="s">
        <v>629</v>
      </c>
      <c r="AH2097" s="1" t="s">
        <v>102</v>
      </c>
      <c r="AI2097" s="1" t="s">
        <v>1111</v>
      </c>
      <c r="AJ2097" s="1">
        <v>91.8</v>
      </c>
      <c r="AK2097" s="1">
        <v>0</v>
      </c>
      <c r="AL2097" s="1" t="s">
        <v>36611</v>
      </c>
      <c r="AM2097" s="1" t="s">
        <v>629</v>
      </c>
      <c r="AN2097" s="1" t="s">
        <v>575</v>
      </c>
      <c r="AO2097" s="1" t="s">
        <v>518</v>
      </c>
      <c r="AP2097" s="1" t="s">
        <v>1477</v>
      </c>
      <c r="AQ2097" s="1">
        <v>72.15</v>
      </c>
      <c r="AR2097" s="1">
        <v>0</v>
      </c>
      <c r="AS2097" s="1"/>
      <c r="AT2097" s="1"/>
      <c r="AU2097" s="1"/>
      <c r="AV2097" s="1"/>
      <c r="AW2097" s="1"/>
      <c r="AX2097" s="1"/>
      <c r="AY2097" s="1" t="s">
        <v>366</v>
      </c>
      <c r="AZ2097" s="1" t="s">
        <v>36612</v>
      </c>
      <c r="BA2097" s="1" t="s">
        <v>682</v>
      </c>
      <c r="BB2097" s="1" t="s">
        <v>1561</v>
      </c>
      <c r="BC2097" s="1" t="s">
        <v>206</v>
      </c>
      <c r="BD2097" s="1" t="s">
        <v>1242</v>
      </c>
      <c r="BE2097" s="1">
        <v>70.57</v>
      </c>
      <c r="BF2097" s="1">
        <v>7.93</v>
      </c>
      <c r="BG2097" s="1"/>
      <c r="BH2097" s="1"/>
      <c r="BI2097" s="1"/>
      <c r="BJ2097" s="1"/>
      <c r="BK2097" s="1"/>
      <c r="BL2097" s="1"/>
      <c r="BM2097" s="1"/>
      <c r="BN2097" s="1"/>
      <c r="BO2097" s="1" t="s">
        <v>36613</v>
      </c>
      <c r="BP2097" s="1" t="s">
        <v>36614</v>
      </c>
      <c r="BQ2097" s="1" t="s">
        <v>1043</v>
      </c>
      <c r="BR2097" s="1" t="s">
        <v>36615</v>
      </c>
      <c r="BS2097" s="1">
        <v>35</v>
      </c>
      <c r="BT2097" s="1"/>
      <c r="BU2097" s="1" t="str">
        <f>HYPERLINK("https://nconnect.nicmar.ac.in/storage/profile/ProfilePhoto_P25702076_298574.jpg","Download")</f>
        <v>0</v>
      </c>
      <c r="BV2097" s="3"/>
      <c r="BW2097" s="3"/>
    </row>
    <row r="2098" spans="1:75">
      <c r="A2098" s="1" t="s">
        <v>26662</v>
      </c>
      <c r="B2098" s="1" t="s">
        <v>446</v>
      </c>
      <c r="C2098" s="1" t="s">
        <v>36616</v>
      </c>
      <c r="D2098" s="1" t="s">
        <v>36617</v>
      </c>
      <c r="E2098" s="1" t="s">
        <v>7544</v>
      </c>
      <c r="F2098" s="1" t="s">
        <v>9631</v>
      </c>
      <c r="G2098" s="1" t="s">
        <v>36618</v>
      </c>
      <c r="H2098" s="1" t="s">
        <v>36619</v>
      </c>
      <c r="I2098" s="1" t="s">
        <v>36620</v>
      </c>
      <c r="J2098" s="1">
        <v>6309341375</v>
      </c>
      <c r="K2098" s="1" t="s">
        <v>84</v>
      </c>
      <c r="L2098" s="1" t="s">
        <v>7924</v>
      </c>
      <c r="M2098" s="1" t="s">
        <v>86</v>
      </c>
      <c r="N2098" s="1" t="s">
        <v>11528</v>
      </c>
      <c r="O2098" s="1"/>
      <c r="P2098" s="1" t="s">
        <v>455</v>
      </c>
      <c r="Q2098" s="1" t="s">
        <v>36621</v>
      </c>
      <c r="R2098" s="1" t="s">
        <v>36622</v>
      </c>
      <c r="S2098" s="1">
        <v>9849827700</v>
      </c>
      <c r="T2098" s="1" t="s">
        <v>36623</v>
      </c>
      <c r="U2098" s="1" t="s">
        <v>36624</v>
      </c>
      <c r="V2098" s="1">
        <v>7601064855</v>
      </c>
      <c r="W2098" s="1" t="s">
        <v>94</v>
      </c>
      <c r="X2098" s="1" t="s">
        <v>36625</v>
      </c>
      <c r="Y2098" s="1" t="s">
        <v>487</v>
      </c>
      <c r="Z2098" s="1" t="s">
        <v>281</v>
      </c>
      <c r="AA2098" s="1" t="s">
        <v>36625</v>
      </c>
      <c r="AB2098" s="1" t="s">
        <v>487</v>
      </c>
      <c r="AC2098" s="1" t="s">
        <v>281</v>
      </c>
      <c r="AD2098" s="1">
        <v>8.74</v>
      </c>
      <c r="AE2098" s="1" t="s">
        <v>98</v>
      </c>
      <c r="AF2098" s="1" t="s">
        <v>36626</v>
      </c>
      <c r="AG2098" s="1" t="s">
        <v>36627</v>
      </c>
      <c r="AH2098" s="1" t="s">
        <v>167</v>
      </c>
      <c r="AI2098" s="1" t="s">
        <v>547</v>
      </c>
      <c r="AJ2098" s="1">
        <v>100</v>
      </c>
      <c r="AK2098" s="1">
        <v>10</v>
      </c>
      <c r="AL2098" s="1" t="s">
        <v>36628</v>
      </c>
      <c r="AM2098" s="1" t="s">
        <v>36629</v>
      </c>
      <c r="AN2098" s="1"/>
      <c r="AO2098" s="1" t="s">
        <v>438</v>
      </c>
      <c r="AP2098" s="1" t="s">
        <v>845</v>
      </c>
      <c r="AQ2098" s="1">
        <v>91.3</v>
      </c>
      <c r="AR2098" s="1"/>
      <c r="AS2098" s="1"/>
      <c r="AT2098" s="1"/>
      <c r="AU2098" s="1"/>
      <c r="AV2098" s="1"/>
      <c r="AW2098" s="1"/>
      <c r="AX2098" s="1"/>
      <c r="AY2098" s="1" t="s">
        <v>36630</v>
      </c>
      <c r="AZ2098" s="1" t="s">
        <v>36631</v>
      </c>
      <c r="BA2098" s="1"/>
      <c r="BB2098" s="1"/>
      <c r="BC2098" s="1" t="s">
        <v>4722</v>
      </c>
      <c r="BD2098" s="1" t="s">
        <v>607</v>
      </c>
      <c r="BE2098" s="1">
        <v>64.12</v>
      </c>
      <c r="BF2098" s="1">
        <v>6.75</v>
      </c>
      <c r="BG2098" s="1"/>
      <c r="BH2098" s="1"/>
      <c r="BI2098" s="1"/>
      <c r="BJ2098" s="1"/>
      <c r="BK2098" s="1"/>
      <c r="BL2098" s="1"/>
      <c r="BM2098" s="1"/>
      <c r="BN2098" s="1"/>
      <c r="BO2098" s="1" t="s">
        <v>369</v>
      </c>
      <c r="BP2098" s="1"/>
      <c r="BQ2098" s="1"/>
      <c r="BR2098" s="1" t="s">
        <v>36632</v>
      </c>
      <c r="BS2098" s="1">
        <v>13</v>
      </c>
      <c r="BT2098" s="1" t="s">
        <v>36633</v>
      </c>
      <c r="BU2098" s="1" t="str">
        <f>HYPERLINK("https://nconnect.nicmar.ac.in/storage/profile/ProfilePhoto_P25702077_746891.jpg","Download")</f>
        <v>0</v>
      </c>
      <c r="BV2098" s="3"/>
      <c r="BW2098" s="3"/>
    </row>
    <row r="2099" spans="1:75">
      <c r="A2099" s="1" t="s">
        <v>26662</v>
      </c>
      <c r="B2099" s="1" t="s">
        <v>446</v>
      </c>
      <c r="C2099" s="1" t="s">
        <v>36634</v>
      </c>
      <c r="D2099" s="1" t="s">
        <v>8156</v>
      </c>
      <c r="E2099" s="1" t="s">
        <v>2428</v>
      </c>
      <c r="F2099" s="1" t="s">
        <v>36635</v>
      </c>
      <c r="G2099" s="1" t="s">
        <v>36636</v>
      </c>
      <c r="H2099" s="1" t="s">
        <v>36637</v>
      </c>
      <c r="I2099" s="1" t="s">
        <v>36638</v>
      </c>
      <c r="J2099" s="1">
        <v>8850894537</v>
      </c>
      <c r="K2099" s="1" t="s">
        <v>84</v>
      </c>
      <c r="L2099" s="1" t="s">
        <v>5329</v>
      </c>
      <c r="M2099" s="1" t="s">
        <v>86</v>
      </c>
      <c r="N2099" s="1" t="s">
        <v>903</v>
      </c>
      <c r="O2099" s="1"/>
      <c r="P2099" s="1" t="s">
        <v>507</v>
      </c>
      <c r="Q2099" s="1" t="s">
        <v>36639</v>
      </c>
      <c r="R2099" s="1" t="s">
        <v>2428</v>
      </c>
      <c r="S2099" s="1">
        <v>9223279997</v>
      </c>
      <c r="T2099" s="1" t="s">
        <v>36640</v>
      </c>
      <c r="U2099" s="1" t="s">
        <v>26684</v>
      </c>
      <c r="V2099" s="1">
        <v>7506763987</v>
      </c>
      <c r="W2099" s="1" t="s">
        <v>278</v>
      </c>
      <c r="X2099" s="1" t="s">
        <v>36641</v>
      </c>
      <c r="Y2099" s="1" t="s">
        <v>2259</v>
      </c>
      <c r="Z2099" s="1" t="s">
        <v>97</v>
      </c>
      <c r="AA2099" s="1" t="s">
        <v>36641</v>
      </c>
      <c r="AB2099" s="1" t="s">
        <v>2259</v>
      </c>
      <c r="AC2099" s="1" t="s">
        <v>97</v>
      </c>
      <c r="AD2099" s="1">
        <v>9.03</v>
      </c>
      <c r="AE2099" s="1" t="s">
        <v>98</v>
      </c>
      <c r="AF2099" s="1" t="s">
        <v>36642</v>
      </c>
      <c r="AG2099" s="1" t="s">
        <v>29872</v>
      </c>
      <c r="AH2099" s="1" t="s">
        <v>170</v>
      </c>
      <c r="AI2099" s="1" t="s">
        <v>171</v>
      </c>
      <c r="AJ2099" s="1">
        <v>88.8</v>
      </c>
      <c r="AK2099" s="1"/>
      <c r="AL2099" s="1" t="s">
        <v>36643</v>
      </c>
      <c r="AM2099" s="1" t="s">
        <v>29872</v>
      </c>
      <c r="AN2099" s="1"/>
      <c r="AO2099" s="1" t="s">
        <v>438</v>
      </c>
      <c r="AP2099" s="1" t="s">
        <v>417</v>
      </c>
      <c r="AQ2099" s="1">
        <v>77.85</v>
      </c>
      <c r="AR2099" s="1"/>
      <c r="AS2099" s="1"/>
      <c r="AT2099" s="1"/>
      <c r="AU2099" s="1"/>
      <c r="AV2099" s="1"/>
      <c r="AW2099" s="1"/>
      <c r="AX2099" s="1"/>
      <c r="AY2099" s="1" t="s">
        <v>680</v>
      </c>
      <c r="AZ2099" s="1" t="s">
        <v>36644</v>
      </c>
      <c r="BA2099" s="1"/>
      <c r="BB2099" s="1"/>
      <c r="BC2099" s="1" t="s">
        <v>1040</v>
      </c>
      <c r="BD2099" s="1" t="s">
        <v>579</v>
      </c>
      <c r="BE2099" s="1">
        <v>75.39</v>
      </c>
      <c r="BF2099" s="1">
        <v>9.07</v>
      </c>
      <c r="BG2099" s="1"/>
      <c r="BH2099" s="1"/>
      <c r="BI2099" s="1"/>
      <c r="BJ2099" s="1"/>
      <c r="BK2099" s="1"/>
      <c r="BL2099" s="1"/>
      <c r="BM2099" s="1"/>
      <c r="BN2099" s="1"/>
      <c r="BO2099" s="1" t="s">
        <v>36645</v>
      </c>
      <c r="BP2099" s="1"/>
      <c r="BQ2099" s="1"/>
      <c r="BR2099" s="1" t="s">
        <v>36646</v>
      </c>
      <c r="BS2099" s="1">
        <v>8</v>
      </c>
      <c r="BT2099" s="1"/>
      <c r="BU2099" s="1" t="str">
        <f>HYPERLINK("https://nconnect.nicmar.ac.in/storage/profile/ProfilePhoto_P25702078_395712.jpg","Download")</f>
        <v>0</v>
      </c>
      <c r="BV2099" s="3"/>
      <c r="BW2099" s="3"/>
    </row>
    <row r="2100" spans="1:75">
      <c r="A2100" s="1" t="s">
        <v>26662</v>
      </c>
      <c r="B2100" s="1" t="s">
        <v>446</v>
      </c>
      <c r="C2100" s="1" t="s">
        <v>36647</v>
      </c>
      <c r="D2100" s="1" t="s">
        <v>10634</v>
      </c>
      <c r="E2100" s="1" t="s">
        <v>149</v>
      </c>
      <c r="F2100" s="1" t="s">
        <v>36648</v>
      </c>
      <c r="G2100" s="1" t="s">
        <v>36649</v>
      </c>
      <c r="H2100" s="1" t="s">
        <v>36650</v>
      </c>
      <c r="I2100" s="1" t="s">
        <v>36651</v>
      </c>
      <c r="J2100" s="1">
        <v>9175161843</v>
      </c>
      <c r="K2100" s="1" t="s">
        <v>84</v>
      </c>
      <c r="L2100" s="1" t="s">
        <v>36652</v>
      </c>
      <c r="M2100" s="1" t="s">
        <v>86</v>
      </c>
      <c r="N2100" s="1" t="s">
        <v>1163</v>
      </c>
      <c r="O2100" s="1" t="s">
        <v>36653</v>
      </c>
      <c r="P2100" s="1" t="s">
        <v>507</v>
      </c>
      <c r="Q2100" s="1" t="s">
        <v>36654</v>
      </c>
      <c r="R2100" s="1" t="s">
        <v>36655</v>
      </c>
      <c r="S2100" s="1">
        <v>9518597764</v>
      </c>
      <c r="T2100" s="1" t="s">
        <v>11408</v>
      </c>
      <c r="U2100" s="1" t="s">
        <v>36656</v>
      </c>
      <c r="V2100" s="1">
        <v>9422063958</v>
      </c>
      <c r="W2100" s="1" t="s">
        <v>278</v>
      </c>
      <c r="X2100" s="1" t="s">
        <v>36657</v>
      </c>
      <c r="Y2100" s="1" t="s">
        <v>196</v>
      </c>
      <c r="Z2100" s="1" t="s">
        <v>97</v>
      </c>
      <c r="AA2100" s="1" t="s">
        <v>36657</v>
      </c>
      <c r="AB2100" s="1" t="s">
        <v>196</v>
      </c>
      <c r="AC2100" s="1" t="s">
        <v>97</v>
      </c>
      <c r="AD2100" s="1">
        <v>8.58</v>
      </c>
      <c r="AE2100" s="1" t="s">
        <v>98</v>
      </c>
      <c r="AF2100" s="1" t="s">
        <v>36658</v>
      </c>
      <c r="AG2100" s="1" t="s">
        <v>36659</v>
      </c>
      <c r="AH2100" s="1" t="s">
        <v>106</v>
      </c>
      <c r="AI2100" s="1" t="s">
        <v>438</v>
      </c>
      <c r="AJ2100" s="1">
        <v>79.6</v>
      </c>
      <c r="AK2100" s="1"/>
      <c r="AL2100" s="1" t="s">
        <v>36660</v>
      </c>
      <c r="AM2100" s="1" t="s">
        <v>36661</v>
      </c>
      <c r="AN2100" s="1"/>
      <c r="AO2100" s="1" t="s">
        <v>468</v>
      </c>
      <c r="AP2100" s="1" t="s">
        <v>847</v>
      </c>
      <c r="AQ2100" s="1">
        <v>84</v>
      </c>
      <c r="AR2100" s="1"/>
      <c r="AS2100" s="1"/>
      <c r="AT2100" s="1"/>
      <c r="AU2100" s="1"/>
      <c r="AV2100" s="1"/>
      <c r="AW2100" s="1"/>
      <c r="AX2100" s="1"/>
      <c r="AY2100" s="1" t="s">
        <v>36662</v>
      </c>
      <c r="AZ2100" s="1" t="s">
        <v>36663</v>
      </c>
      <c r="BA2100" s="1"/>
      <c r="BB2100" s="1"/>
      <c r="BC2100" s="1" t="s">
        <v>871</v>
      </c>
      <c r="BD2100" s="1" t="s">
        <v>553</v>
      </c>
      <c r="BE2100" s="1">
        <v>73.17</v>
      </c>
      <c r="BF2100" s="1">
        <v>8.13</v>
      </c>
      <c r="BG2100" s="1"/>
      <c r="BH2100" s="1"/>
      <c r="BI2100" s="1"/>
      <c r="BJ2100" s="1"/>
      <c r="BK2100" s="1"/>
      <c r="BL2100" s="1"/>
      <c r="BM2100" s="1"/>
      <c r="BN2100" s="1"/>
      <c r="BO2100" s="1" t="s">
        <v>36664</v>
      </c>
      <c r="BP2100" s="1"/>
      <c r="BQ2100" s="1"/>
      <c r="BR2100" s="1" t="s">
        <v>36665</v>
      </c>
      <c r="BS2100" s="1">
        <v>29</v>
      </c>
      <c r="BT2100" s="1"/>
      <c r="BU2100" s="1" t="str">
        <f>HYPERLINK("https://nconnect.nicmar.ac.in/storage/profile/ProfilePhoto_P25702079_346712.jpg","Download")</f>
        <v>0</v>
      </c>
      <c r="BV2100" s="3"/>
      <c r="BW2100" s="3"/>
    </row>
    <row r="2101" spans="1:75">
      <c r="A2101" s="1" t="s">
        <v>26662</v>
      </c>
      <c r="B2101" s="1" t="s">
        <v>446</v>
      </c>
      <c r="C2101" s="1" t="s">
        <v>36666</v>
      </c>
      <c r="D2101" s="1" t="s">
        <v>33013</v>
      </c>
      <c r="E2101" s="1"/>
      <c r="F2101" s="1" t="s">
        <v>530</v>
      </c>
      <c r="G2101" s="1" t="s">
        <v>36667</v>
      </c>
      <c r="H2101" s="1" t="s">
        <v>36668</v>
      </c>
      <c r="I2101" s="1" t="s">
        <v>36669</v>
      </c>
      <c r="J2101" s="1">
        <v>8756343666</v>
      </c>
      <c r="K2101" s="1" t="s">
        <v>153</v>
      </c>
      <c r="L2101" s="1" t="s">
        <v>36670</v>
      </c>
      <c r="M2101" s="1" t="s">
        <v>86</v>
      </c>
      <c r="N2101" s="1" t="s">
        <v>246</v>
      </c>
      <c r="O2101" s="1"/>
      <c r="P2101" s="1" t="s">
        <v>507</v>
      </c>
      <c r="Q2101" s="1" t="s">
        <v>36671</v>
      </c>
      <c r="R2101" s="1" t="s">
        <v>36672</v>
      </c>
      <c r="S2101" s="1">
        <v>8173002222</v>
      </c>
      <c r="T2101" s="1" t="s">
        <v>36673</v>
      </c>
      <c r="U2101" s="1" t="s">
        <v>26835</v>
      </c>
      <c r="V2101" s="1">
        <v>9454837411</v>
      </c>
      <c r="W2101" s="1" t="s">
        <v>278</v>
      </c>
      <c r="X2101" s="1" t="s">
        <v>36674</v>
      </c>
      <c r="Y2101" s="1" t="s">
        <v>1059</v>
      </c>
      <c r="Z2101" s="1" t="s">
        <v>544</v>
      </c>
      <c r="AA2101" s="1" t="s">
        <v>36674</v>
      </c>
      <c r="AB2101" s="1" t="s">
        <v>1059</v>
      </c>
      <c r="AC2101" s="1" t="s">
        <v>544</v>
      </c>
      <c r="AD2101" s="1">
        <v>8.47</v>
      </c>
      <c r="AE2101" s="1" t="s">
        <v>98</v>
      </c>
      <c r="AF2101" s="1" t="s">
        <v>36675</v>
      </c>
      <c r="AG2101" s="1" t="s">
        <v>36676</v>
      </c>
      <c r="AH2101" s="1" t="s">
        <v>1214</v>
      </c>
      <c r="AI2101" s="1" t="s">
        <v>136</v>
      </c>
      <c r="AJ2101" s="1">
        <v>66.5</v>
      </c>
      <c r="AK2101" s="1">
        <v>7</v>
      </c>
      <c r="AL2101" s="1" t="s">
        <v>36675</v>
      </c>
      <c r="AM2101" s="1" t="s">
        <v>36676</v>
      </c>
      <c r="AN2101" s="1"/>
      <c r="AO2101" s="1" t="s">
        <v>627</v>
      </c>
      <c r="AP2101" s="1" t="s">
        <v>573</v>
      </c>
      <c r="AQ2101" s="1">
        <v>56.2</v>
      </c>
      <c r="AR2101" s="1">
        <v>0</v>
      </c>
      <c r="AS2101" s="1"/>
      <c r="AT2101" s="1"/>
      <c r="AU2101" s="1"/>
      <c r="AV2101" s="1"/>
      <c r="AW2101" s="1"/>
      <c r="AX2101" s="1"/>
      <c r="AY2101" s="1" t="s">
        <v>3771</v>
      </c>
      <c r="AZ2101" s="1" t="s">
        <v>3771</v>
      </c>
      <c r="BA2101" s="1"/>
      <c r="BB2101" s="1"/>
      <c r="BC2101" s="1" t="s">
        <v>1065</v>
      </c>
      <c r="BD2101" s="1" t="s">
        <v>955</v>
      </c>
      <c r="BE2101" s="1">
        <v>71.7</v>
      </c>
      <c r="BF2101" s="1">
        <v>7.17</v>
      </c>
      <c r="BG2101" s="1"/>
      <c r="BH2101" s="1"/>
      <c r="BI2101" s="1"/>
      <c r="BJ2101" s="1"/>
      <c r="BK2101" s="1"/>
      <c r="BL2101" s="1"/>
      <c r="BM2101" s="1"/>
      <c r="BN2101" s="1"/>
      <c r="BO2101" s="1" t="s">
        <v>36677</v>
      </c>
      <c r="BP2101" s="1"/>
      <c r="BQ2101" s="1"/>
      <c r="BR2101" s="1" t="s">
        <v>36678</v>
      </c>
      <c r="BS2101" s="1">
        <v>96</v>
      </c>
      <c r="BT2101" s="1" t="s">
        <v>36679</v>
      </c>
      <c r="BU2101" s="1" t="str">
        <f>HYPERLINK("https://nconnect.nicmar.ac.in/storage/profile/ProfilePhoto_P25702081_536981.jpg","Download")</f>
        <v>0</v>
      </c>
      <c r="BV2101" s="3"/>
      <c r="BW2101" s="3"/>
    </row>
    <row r="2102" spans="1:75">
      <c r="A2102" s="1" t="s">
        <v>26662</v>
      </c>
      <c r="B2102" s="1" t="s">
        <v>446</v>
      </c>
      <c r="C2102" s="1" t="s">
        <v>36680</v>
      </c>
      <c r="D2102" s="1" t="s">
        <v>2097</v>
      </c>
      <c r="E2102" s="1" t="s">
        <v>4646</v>
      </c>
      <c r="F2102" s="1" t="s">
        <v>36681</v>
      </c>
      <c r="G2102" s="1" t="s">
        <v>36682</v>
      </c>
      <c r="H2102" s="1" t="s">
        <v>36683</v>
      </c>
      <c r="I2102" s="1" t="s">
        <v>36684</v>
      </c>
      <c r="J2102" s="1">
        <v>9653285798</v>
      </c>
      <c r="K2102" s="1" t="s">
        <v>84</v>
      </c>
      <c r="L2102" s="1" t="s">
        <v>36321</v>
      </c>
      <c r="M2102" s="1" t="s">
        <v>86</v>
      </c>
      <c r="N2102" s="1" t="s">
        <v>12204</v>
      </c>
      <c r="O2102" s="1"/>
      <c r="P2102" s="1" t="s">
        <v>481</v>
      </c>
      <c r="Q2102" s="1" t="s">
        <v>36685</v>
      </c>
      <c r="R2102" s="1" t="s">
        <v>36686</v>
      </c>
      <c r="S2102" s="1">
        <v>9969873060</v>
      </c>
      <c r="T2102" s="1" t="s">
        <v>125</v>
      </c>
      <c r="U2102" s="1" t="s">
        <v>36687</v>
      </c>
      <c r="V2102" s="1">
        <v>9869169166</v>
      </c>
      <c r="W2102" s="1" t="s">
        <v>161</v>
      </c>
      <c r="X2102" s="1" t="s">
        <v>36688</v>
      </c>
      <c r="Y2102" s="1" t="s">
        <v>2259</v>
      </c>
      <c r="Z2102" s="1" t="s">
        <v>97</v>
      </c>
      <c r="AA2102" s="1" t="s">
        <v>36688</v>
      </c>
      <c r="AB2102" s="1" t="s">
        <v>2259</v>
      </c>
      <c r="AC2102" s="1" t="s">
        <v>97</v>
      </c>
      <c r="AD2102" s="1">
        <v>8.5</v>
      </c>
      <c r="AE2102" s="1" t="s">
        <v>98</v>
      </c>
      <c r="AF2102" s="1" t="s">
        <v>36689</v>
      </c>
      <c r="AG2102" s="1" t="s">
        <v>165</v>
      </c>
      <c r="AH2102" s="1" t="s">
        <v>102</v>
      </c>
      <c r="AI2102" s="1" t="s">
        <v>1111</v>
      </c>
      <c r="AJ2102" s="1">
        <v>75.4</v>
      </c>
      <c r="AK2102" s="1"/>
      <c r="AL2102" s="1"/>
      <c r="AM2102" s="1"/>
      <c r="AN2102" s="1"/>
      <c r="AO2102" s="1"/>
      <c r="AP2102" s="1"/>
      <c r="AQ2102" s="1"/>
      <c r="AR2102" s="1"/>
      <c r="AS2102" s="1" t="s">
        <v>103</v>
      </c>
      <c r="AT2102" s="1" t="s">
        <v>36690</v>
      </c>
      <c r="AU2102" s="1" t="s">
        <v>139</v>
      </c>
      <c r="AV2102" s="1" t="s">
        <v>438</v>
      </c>
      <c r="AW2102" s="1">
        <v>73.27</v>
      </c>
      <c r="AX2102" s="1"/>
      <c r="AY2102" s="1" t="s">
        <v>258</v>
      </c>
      <c r="AZ2102" s="1" t="s">
        <v>36691</v>
      </c>
      <c r="BA2102" s="1"/>
      <c r="BB2102" s="1"/>
      <c r="BC2102" s="1" t="s">
        <v>206</v>
      </c>
      <c r="BD2102" s="1" t="s">
        <v>10037</v>
      </c>
      <c r="BE2102" s="1">
        <v>68.75</v>
      </c>
      <c r="BF2102" s="1">
        <v>7.66</v>
      </c>
      <c r="BG2102" s="1"/>
      <c r="BH2102" s="1"/>
      <c r="BI2102" s="1"/>
      <c r="BJ2102" s="1"/>
      <c r="BK2102" s="1"/>
      <c r="BL2102" s="1"/>
      <c r="BM2102" s="1"/>
      <c r="BN2102" s="1"/>
      <c r="BO2102" s="1" t="s">
        <v>36692</v>
      </c>
      <c r="BP2102" s="1" t="s">
        <v>36693</v>
      </c>
      <c r="BQ2102" s="1" t="s">
        <v>4149</v>
      </c>
      <c r="BR2102" s="1" t="s">
        <v>36694</v>
      </c>
      <c r="BS2102" s="1">
        <v>30</v>
      </c>
      <c r="BT2102" s="1"/>
      <c r="BU2102" s="1" t="str">
        <f>HYPERLINK("https://nconnect.nicmar.ac.in/storage/profile/ProfilePhoto_P25702082_524391.jpg","Download")</f>
        <v>0</v>
      </c>
      <c r="BV2102" s="3"/>
      <c r="BW2102" s="3"/>
    </row>
    <row r="2103" spans="1:75">
      <c r="A2103" s="1" t="s">
        <v>26662</v>
      </c>
      <c r="B2103" s="1" t="s">
        <v>446</v>
      </c>
      <c r="C2103" s="1" t="s">
        <v>36695</v>
      </c>
      <c r="D2103" s="1" t="s">
        <v>6636</v>
      </c>
      <c r="E2103" s="1" t="s">
        <v>5345</v>
      </c>
      <c r="F2103" s="1" t="s">
        <v>2405</v>
      </c>
      <c r="G2103" s="1" t="s">
        <v>36696</v>
      </c>
      <c r="H2103" s="1" t="s">
        <v>36697</v>
      </c>
      <c r="I2103" s="1" t="s">
        <v>36698</v>
      </c>
      <c r="J2103" s="1">
        <v>9687262577</v>
      </c>
      <c r="K2103" s="1" t="s">
        <v>84</v>
      </c>
      <c r="L2103" s="1" t="s">
        <v>36699</v>
      </c>
      <c r="M2103" s="1" t="s">
        <v>86</v>
      </c>
      <c r="N2103" s="1" t="s">
        <v>6641</v>
      </c>
      <c r="O2103" s="1"/>
      <c r="P2103" s="1" t="s">
        <v>507</v>
      </c>
      <c r="Q2103" s="1" t="s">
        <v>36700</v>
      </c>
      <c r="R2103" s="1" t="s">
        <v>36701</v>
      </c>
      <c r="S2103" s="1">
        <v>9925038307</v>
      </c>
      <c r="T2103" s="1" t="s">
        <v>839</v>
      </c>
      <c r="U2103" s="1" t="s">
        <v>36702</v>
      </c>
      <c r="V2103" s="1">
        <v>9898011250</v>
      </c>
      <c r="W2103" s="1" t="s">
        <v>161</v>
      </c>
      <c r="X2103" s="1" t="s">
        <v>36703</v>
      </c>
      <c r="Y2103" s="1" t="s">
        <v>2880</v>
      </c>
      <c r="Z2103" s="1" t="s">
        <v>676</v>
      </c>
      <c r="AA2103" s="1" t="s">
        <v>36704</v>
      </c>
      <c r="AB2103" s="1" t="s">
        <v>2880</v>
      </c>
      <c r="AC2103" s="1" t="s">
        <v>676</v>
      </c>
      <c r="AD2103" s="1" t="s">
        <v>98</v>
      </c>
      <c r="AE2103" s="1" t="s">
        <v>98</v>
      </c>
      <c r="AF2103" s="1" t="s">
        <v>36489</v>
      </c>
      <c r="AG2103" s="1" t="s">
        <v>36705</v>
      </c>
      <c r="AH2103" s="1" t="s">
        <v>414</v>
      </c>
      <c r="AI2103" s="1" t="s">
        <v>603</v>
      </c>
      <c r="AJ2103" s="1">
        <v>77</v>
      </c>
      <c r="AK2103" s="1"/>
      <c r="AL2103" s="1" t="s">
        <v>36706</v>
      </c>
      <c r="AM2103" s="1" t="s">
        <v>36705</v>
      </c>
      <c r="AN2103" s="1"/>
      <c r="AO2103" s="1" t="s">
        <v>1192</v>
      </c>
      <c r="AP2103" s="1" t="s">
        <v>1886</v>
      </c>
      <c r="AQ2103" s="1">
        <v>79.2</v>
      </c>
      <c r="AR2103" s="1"/>
      <c r="AS2103" s="1"/>
      <c r="AT2103" s="1"/>
      <c r="AU2103" s="1"/>
      <c r="AV2103" s="1"/>
      <c r="AW2103" s="1"/>
      <c r="AX2103" s="1"/>
      <c r="AY2103" s="1" t="s">
        <v>34491</v>
      </c>
      <c r="AZ2103" s="1" t="s">
        <v>36707</v>
      </c>
      <c r="BA2103" s="1"/>
      <c r="BB2103" s="1"/>
      <c r="BC2103" s="1" t="s">
        <v>1400</v>
      </c>
      <c r="BD2103" s="1" t="s">
        <v>848</v>
      </c>
      <c r="BE2103" s="1">
        <v>78.7</v>
      </c>
      <c r="BF2103" s="1">
        <v>7.87</v>
      </c>
      <c r="BG2103" s="1"/>
      <c r="BH2103" s="1"/>
      <c r="BI2103" s="1"/>
      <c r="BJ2103" s="1"/>
      <c r="BK2103" s="1"/>
      <c r="BL2103" s="1"/>
      <c r="BM2103" s="1"/>
      <c r="BN2103" s="1"/>
      <c r="BO2103" s="1" t="s">
        <v>36708</v>
      </c>
      <c r="BP2103" s="1"/>
      <c r="BQ2103" s="1"/>
      <c r="BR2103" s="1" t="s">
        <v>36709</v>
      </c>
      <c r="BS2103" s="1">
        <v>5</v>
      </c>
      <c r="BT2103" s="1"/>
      <c r="BU2103" s="1" t="str">
        <f>HYPERLINK("https://nconnect.nicmar.ac.in/storage/profile/ProfilePhoto_P25702083_496513.jpg","Download")</f>
        <v>0</v>
      </c>
      <c r="BV2103" s="3"/>
      <c r="BW2103" s="3"/>
    </row>
    <row r="2104" spans="1:75">
      <c r="A2104" s="1" t="s">
        <v>26662</v>
      </c>
      <c r="B2104" s="1" t="s">
        <v>446</v>
      </c>
      <c r="C2104" s="1" t="s">
        <v>36710</v>
      </c>
      <c r="D2104" s="1" t="s">
        <v>761</v>
      </c>
      <c r="E2104" s="1" t="s">
        <v>2233</v>
      </c>
      <c r="F2104" s="1" t="s">
        <v>36711</v>
      </c>
      <c r="G2104" s="1" t="s">
        <v>36712</v>
      </c>
      <c r="H2104" s="1" t="s">
        <v>36713</v>
      </c>
      <c r="I2104" s="1" t="s">
        <v>36714</v>
      </c>
      <c r="J2104" s="1">
        <v>7020575432</v>
      </c>
      <c r="K2104" s="1" t="s">
        <v>84</v>
      </c>
      <c r="L2104" s="1" t="s">
        <v>36715</v>
      </c>
      <c r="M2104" s="1" t="s">
        <v>86</v>
      </c>
      <c r="N2104" s="1" t="s">
        <v>2433</v>
      </c>
      <c r="O2104" s="1"/>
      <c r="P2104" s="1" t="s">
        <v>507</v>
      </c>
      <c r="Q2104" s="1" t="s">
        <v>36716</v>
      </c>
      <c r="R2104" s="1" t="s">
        <v>36717</v>
      </c>
      <c r="S2104" s="1">
        <v>7276982972</v>
      </c>
      <c r="T2104" s="1" t="s">
        <v>36718</v>
      </c>
      <c r="U2104" s="1" t="s">
        <v>36719</v>
      </c>
      <c r="V2104" s="1">
        <v>9260306852</v>
      </c>
      <c r="W2104" s="1" t="s">
        <v>127</v>
      </c>
      <c r="X2104" s="1" t="s">
        <v>36720</v>
      </c>
      <c r="Y2104" s="1" t="s">
        <v>4302</v>
      </c>
      <c r="Z2104" s="1" t="s">
        <v>97</v>
      </c>
      <c r="AA2104" s="1" t="s">
        <v>36720</v>
      </c>
      <c r="AB2104" s="1" t="s">
        <v>4302</v>
      </c>
      <c r="AC2104" s="1" t="s">
        <v>97</v>
      </c>
      <c r="AD2104" s="1">
        <v>7.89</v>
      </c>
      <c r="AE2104" s="1" t="s">
        <v>98</v>
      </c>
      <c r="AF2104" s="1" t="s">
        <v>36721</v>
      </c>
      <c r="AG2104" s="1" t="s">
        <v>165</v>
      </c>
      <c r="AH2104" s="1" t="s">
        <v>170</v>
      </c>
      <c r="AI2104" s="1" t="s">
        <v>286</v>
      </c>
      <c r="AJ2104" s="1">
        <v>71.6</v>
      </c>
      <c r="AK2104" s="1"/>
      <c r="AL2104" s="1"/>
      <c r="AM2104" s="1"/>
      <c r="AN2104" s="1"/>
      <c r="AO2104" s="1"/>
      <c r="AP2104" s="1"/>
      <c r="AQ2104" s="1"/>
      <c r="AR2104" s="1"/>
      <c r="AS2104" s="1" t="s">
        <v>103</v>
      </c>
      <c r="AT2104" s="1" t="s">
        <v>36722</v>
      </c>
      <c r="AU2104" s="1" t="s">
        <v>1065</v>
      </c>
      <c r="AV2104" s="1" t="s">
        <v>441</v>
      </c>
      <c r="AW2104" s="1">
        <v>81.63</v>
      </c>
      <c r="AX2104" s="1"/>
      <c r="AY2104" s="1" t="s">
        <v>680</v>
      </c>
      <c r="AZ2104" s="1" t="s">
        <v>36722</v>
      </c>
      <c r="BA2104" s="1"/>
      <c r="BB2104" s="1"/>
      <c r="BC2104" s="1" t="s">
        <v>871</v>
      </c>
      <c r="BD2104" s="1" t="s">
        <v>1089</v>
      </c>
      <c r="BE2104" s="1">
        <v>63.2</v>
      </c>
      <c r="BF2104" s="1">
        <v>6.92</v>
      </c>
      <c r="BG2104" s="1"/>
      <c r="BH2104" s="1"/>
      <c r="BI2104" s="1"/>
      <c r="BJ2104" s="1"/>
      <c r="BK2104" s="1"/>
      <c r="BL2104" s="1"/>
      <c r="BM2104" s="1"/>
      <c r="BN2104" s="1"/>
      <c r="BO2104" s="1" t="s">
        <v>36723</v>
      </c>
      <c r="BP2104" s="1"/>
      <c r="BQ2104" s="1"/>
      <c r="BR2104" s="1" t="s">
        <v>36724</v>
      </c>
      <c r="BS2104" s="1">
        <v>8</v>
      </c>
      <c r="BT2104" s="1"/>
      <c r="BU2104" s="1" t="str">
        <f>HYPERLINK("https://nconnect.nicmar.ac.in/storage/profile/ProfilePhoto_P25702084_327986.jpg","Download")</f>
        <v>0</v>
      </c>
      <c r="BV2104" s="3"/>
      <c r="BW2104" s="3"/>
    </row>
    <row r="2105" spans="1:75">
      <c r="A2105" s="1" t="s">
        <v>26662</v>
      </c>
      <c r="B2105" s="1" t="s">
        <v>446</v>
      </c>
      <c r="C2105" s="1" t="s">
        <v>36725</v>
      </c>
      <c r="D2105" s="1" t="s">
        <v>422</v>
      </c>
      <c r="E2105" s="1" t="s">
        <v>4310</v>
      </c>
      <c r="F2105" s="1" t="s">
        <v>147</v>
      </c>
      <c r="G2105" s="1" t="s">
        <v>36726</v>
      </c>
      <c r="H2105" s="1" t="s">
        <v>36727</v>
      </c>
      <c r="I2105" s="1" t="s">
        <v>36727</v>
      </c>
      <c r="J2105" s="1">
        <v>8879771220</v>
      </c>
      <c r="K2105" s="1" t="s">
        <v>153</v>
      </c>
      <c r="L2105" s="1" t="s">
        <v>28336</v>
      </c>
      <c r="M2105" s="1" t="s">
        <v>86</v>
      </c>
      <c r="N2105" s="1" t="s">
        <v>13162</v>
      </c>
      <c r="O2105" s="1" t="s">
        <v>36728</v>
      </c>
      <c r="P2105" s="1" t="s">
        <v>507</v>
      </c>
      <c r="Q2105" s="1" t="s">
        <v>36729</v>
      </c>
      <c r="R2105" s="1" t="s">
        <v>4310</v>
      </c>
      <c r="S2105" s="1">
        <v>9423264634</v>
      </c>
      <c r="T2105" s="1" t="s">
        <v>839</v>
      </c>
      <c r="U2105" s="1" t="s">
        <v>7909</v>
      </c>
      <c r="V2105" s="1">
        <v>8421282434</v>
      </c>
      <c r="W2105" s="1" t="s">
        <v>161</v>
      </c>
      <c r="X2105" s="1" t="s">
        <v>36730</v>
      </c>
      <c r="Y2105" s="1" t="s">
        <v>5181</v>
      </c>
      <c r="Z2105" s="1" t="s">
        <v>97</v>
      </c>
      <c r="AA2105" s="1" t="s">
        <v>36730</v>
      </c>
      <c r="AB2105" s="1" t="s">
        <v>5181</v>
      </c>
      <c r="AC2105" s="1" t="s">
        <v>97</v>
      </c>
      <c r="AD2105" s="1">
        <v>8.05</v>
      </c>
      <c r="AE2105" s="1" t="s">
        <v>98</v>
      </c>
      <c r="AF2105" s="1" t="s">
        <v>36642</v>
      </c>
      <c r="AG2105" s="1" t="s">
        <v>165</v>
      </c>
      <c r="AH2105" s="1" t="s">
        <v>101</v>
      </c>
      <c r="AI2105" s="1" t="s">
        <v>1111</v>
      </c>
      <c r="AJ2105" s="1">
        <v>89.2</v>
      </c>
      <c r="AK2105" s="1"/>
      <c r="AL2105" s="1" t="s">
        <v>36731</v>
      </c>
      <c r="AM2105" s="1" t="s">
        <v>36732</v>
      </c>
      <c r="AN2105" s="1"/>
      <c r="AO2105" s="1" t="s">
        <v>139</v>
      </c>
      <c r="AP2105" s="1" t="s">
        <v>1477</v>
      </c>
      <c r="AQ2105" s="1">
        <v>75.08</v>
      </c>
      <c r="AR2105" s="1"/>
      <c r="AS2105" s="1"/>
      <c r="AT2105" s="1"/>
      <c r="AU2105" s="1"/>
      <c r="AV2105" s="1"/>
      <c r="AW2105" s="1"/>
      <c r="AX2105" s="1"/>
      <c r="AY2105" s="1" t="s">
        <v>258</v>
      </c>
      <c r="AZ2105" s="1" t="s">
        <v>36733</v>
      </c>
      <c r="BA2105" s="1"/>
      <c r="BB2105" s="1"/>
      <c r="BC2105" s="1" t="s">
        <v>1065</v>
      </c>
      <c r="BD2105" s="1" t="s">
        <v>234</v>
      </c>
      <c r="BE2105" s="1">
        <v>69.35</v>
      </c>
      <c r="BF2105" s="1">
        <v>7.75</v>
      </c>
      <c r="BG2105" s="1"/>
      <c r="BH2105" s="1"/>
      <c r="BI2105" s="1"/>
      <c r="BJ2105" s="1"/>
      <c r="BK2105" s="1"/>
      <c r="BL2105" s="1"/>
      <c r="BM2105" s="1"/>
      <c r="BN2105" s="1"/>
      <c r="BO2105" s="1" t="s">
        <v>260</v>
      </c>
      <c r="BP2105" s="1" t="s">
        <v>36734</v>
      </c>
      <c r="BQ2105" s="1" t="s">
        <v>9405</v>
      </c>
      <c r="BR2105" s="1" t="s">
        <v>36735</v>
      </c>
      <c r="BS2105" s="1">
        <v>29</v>
      </c>
      <c r="BT2105" s="1"/>
      <c r="BU2105" s="1" t="str">
        <f>HYPERLINK("https://nconnect.nicmar.ac.in/storage/profile/ProfilePhoto_P25702085_675194.jpg","Download")</f>
        <v>0</v>
      </c>
      <c r="BV2105" s="3"/>
      <c r="BW2105" s="3"/>
    </row>
    <row r="2106" spans="1:75">
      <c r="A2106" s="1" t="s">
        <v>26662</v>
      </c>
      <c r="B2106" s="1" t="s">
        <v>446</v>
      </c>
      <c r="C2106" s="1" t="s">
        <v>36736</v>
      </c>
      <c r="D2106" s="1" t="s">
        <v>36737</v>
      </c>
      <c r="E2106" s="1"/>
      <c r="F2106" s="1" t="s">
        <v>6443</v>
      </c>
      <c r="G2106" s="1" t="s">
        <v>36738</v>
      </c>
      <c r="H2106" s="1" t="s">
        <v>36739</v>
      </c>
      <c r="I2106" s="1" t="s">
        <v>36740</v>
      </c>
      <c r="J2106" s="1">
        <v>6381918916</v>
      </c>
      <c r="K2106" s="1" t="s">
        <v>84</v>
      </c>
      <c r="L2106" s="1" t="s">
        <v>6678</v>
      </c>
      <c r="M2106" s="1" t="s">
        <v>86</v>
      </c>
      <c r="N2106" s="1" t="s">
        <v>36741</v>
      </c>
      <c r="O2106" s="1" t="s">
        <v>36742</v>
      </c>
      <c r="P2106" s="1" t="s">
        <v>507</v>
      </c>
      <c r="Q2106" s="1" t="s">
        <v>36743</v>
      </c>
      <c r="R2106" s="1" t="s">
        <v>36744</v>
      </c>
      <c r="S2106" s="1">
        <v>9842219755</v>
      </c>
      <c r="T2106" s="1" t="s">
        <v>92</v>
      </c>
      <c r="U2106" s="1" t="s">
        <v>36745</v>
      </c>
      <c r="V2106" s="1">
        <v>9865919755</v>
      </c>
      <c r="W2106" s="1" t="s">
        <v>94</v>
      </c>
      <c r="X2106" s="1" t="s">
        <v>36746</v>
      </c>
      <c r="Y2106" s="1" t="s">
        <v>2131</v>
      </c>
      <c r="Z2106" s="1" t="s">
        <v>570</v>
      </c>
      <c r="AA2106" s="1" t="s">
        <v>36746</v>
      </c>
      <c r="AB2106" s="1" t="s">
        <v>2131</v>
      </c>
      <c r="AC2106" s="1" t="s">
        <v>570</v>
      </c>
      <c r="AD2106" s="1">
        <v>9.03</v>
      </c>
      <c r="AE2106" s="1" t="s">
        <v>98</v>
      </c>
      <c r="AF2106" s="1" t="s">
        <v>36747</v>
      </c>
      <c r="AG2106" s="1" t="s">
        <v>11617</v>
      </c>
      <c r="AH2106" s="1" t="s">
        <v>167</v>
      </c>
      <c r="AI2106" s="1" t="s">
        <v>200</v>
      </c>
      <c r="AJ2106" s="1">
        <v>96.6</v>
      </c>
      <c r="AK2106" s="1"/>
      <c r="AL2106" s="1" t="s">
        <v>36748</v>
      </c>
      <c r="AM2106" s="1" t="s">
        <v>8637</v>
      </c>
      <c r="AN2106" s="1" t="s">
        <v>575</v>
      </c>
      <c r="AO2106" s="1" t="s">
        <v>106</v>
      </c>
      <c r="AP2106" s="1" t="s">
        <v>414</v>
      </c>
      <c r="AQ2106" s="1">
        <v>79</v>
      </c>
      <c r="AR2106" s="1"/>
      <c r="AS2106" s="1"/>
      <c r="AT2106" s="1"/>
      <c r="AU2106" s="1"/>
      <c r="AV2106" s="1"/>
      <c r="AW2106" s="1"/>
      <c r="AX2106" s="1"/>
      <c r="AY2106" s="1" t="s">
        <v>6995</v>
      </c>
      <c r="AZ2106" s="1" t="s">
        <v>36749</v>
      </c>
      <c r="BA2106" s="1" t="s">
        <v>682</v>
      </c>
      <c r="BB2106" s="1" t="s">
        <v>1561</v>
      </c>
      <c r="BC2106" s="1" t="s">
        <v>315</v>
      </c>
      <c r="BD2106" s="1" t="s">
        <v>418</v>
      </c>
      <c r="BE2106" s="1">
        <v>80</v>
      </c>
      <c r="BF2106" s="1">
        <v>8</v>
      </c>
      <c r="BG2106" s="1"/>
      <c r="BH2106" s="1"/>
      <c r="BI2106" s="1"/>
      <c r="BJ2106" s="1"/>
      <c r="BK2106" s="1"/>
      <c r="BL2106" s="1"/>
      <c r="BM2106" s="1"/>
      <c r="BN2106" s="1"/>
      <c r="BO2106" s="1" t="s">
        <v>36750</v>
      </c>
      <c r="BP2106" s="1" t="s">
        <v>36751</v>
      </c>
      <c r="BQ2106" s="1" t="s">
        <v>9405</v>
      </c>
      <c r="BR2106" s="1" t="s">
        <v>36752</v>
      </c>
      <c r="BS2106" s="1">
        <v>26</v>
      </c>
      <c r="BT2106" s="1" t="s">
        <v>36753</v>
      </c>
      <c r="BU2106" s="1" t="str">
        <f>HYPERLINK("https://nconnect.nicmar.ac.in/storage/profile/6a87cd9f3c211.png","Download")</f>
        <v>0</v>
      </c>
      <c r="BV2106" s="3"/>
      <c r="BW2106" s="3"/>
    </row>
    <row r="2107" spans="1:75">
      <c r="A2107" s="1" t="s">
        <v>26662</v>
      </c>
      <c r="B2107" s="1" t="s">
        <v>446</v>
      </c>
      <c r="C2107" s="1" t="s">
        <v>36754</v>
      </c>
      <c r="D2107" s="1" t="s">
        <v>36755</v>
      </c>
      <c r="E2107" s="1" t="s">
        <v>36756</v>
      </c>
      <c r="F2107" s="1" t="s">
        <v>36757</v>
      </c>
      <c r="G2107" s="1" t="s">
        <v>36758</v>
      </c>
      <c r="H2107" s="1" t="s">
        <v>36759</v>
      </c>
      <c r="I2107" s="1" t="s">
        <v>36760</v>
      </c>
      <c r="J2107" s="1">
        <v>9113903085</v>
      </c>
      <c r="K2107" s="1" t="s">
        <v>84</v>
      </c>
      <c r="L2107" s="1" t="s">
        <v>36715</v>
      </c>
      <c r="M2107" s="1" t="s">
        <v>86</v>
      </c>
      <c r="N2107" s="1" t="s">
        <v>11117</v>
      </c>
      <c r="O2107" s="1"/>
      <c r="P2107" s="1" t="s">
        <v>507</v>
      </c>
      <c r="Q2107" s="1" t="s">
        <v>36761</v>
      </c>
      <c r="R2107" s="1" t="s">
        <v>36762</v>
      </c>
      <c r="S2107" s="1">
        <v>9448250479</v>
      </c>
      <c r="T2107" s="1" t="s">
        <v>839</v>
      </c>
      <c r="U2107" s="1" t="s">
        <v>36763</v>
      </c>
      <c r="V2107" s="1">
        <v>8762585479</v>
      </c>
      <c r="W2107" s="1" t="s">
        <v>278</v>
      </c>
      <c r="X2107" s="1" t="s">
        <v>36764</v>
      </c>
      <c r="Y2107" s="1" t="s">
        <v>13502</v>
      </c>
      <c r="Z2107" s="1" t="s">
        <v>1210</v>
      </c>
      <c r="AA2107" s="1" t="s">
        <v>36764</v>
      </c>
      <c r="AB2107" s="1" t="s">
        <v>13502</v>
      </c>
      <c r="AC2107" s="1" t="s">
        <v>1210</v>
      </c>
      <c r="AD2107" s="1">
        <v>8.45</v>
      </c>
      <c r="AE2107" s="1" t="s">
        <v>98</v>
      </c>
      <c r="AF2107" s="1" t="s">
        <v>36765</v>
      </c>
      <c r="AG2107" s="1" t="s">
        <v>36766</v>
      </c>
      <c r="AH2107" s="1" t="s">
        <v>518</v>
      </c>
      <c r="AI2107" s="1" t="s">
        <v>171</v>
      </c>
      <c r="AJ2107" s="1">
        <v>79.68</v>
      </c>
      <c r="AK2107" s="1"/>
      <c r="AL2107" s="1" t="s">
        <v>36767</v>
      </c>
      <c r="AM2107" s="1" t="s">
        <v>15491</v>
      </c>
      <c r="AN2107" s="1" t="s">
        <v>575</v>
      </c>
      <c r="AO2107" s="1" t="s">
        <v>364</v>
      </c>
      <c r="AP2107" s="1" t="s">
        <v>178</v>
      </c>
      <c r="AQ2107" s="1">
        <v>68.83</v>
      </c>
      <c r="AR2107" s="1"/>
      <c r="AS2107" s="1"/>
      <c r="AT2107" s="1"/>
      <c r="AU2107" s="1"/>
      <c r="AV2107" s="1"/>
      <c r="AW2107" s="1"/>
      <c r="AX2107" s="1"/>
      <c r="AY2107" s="1" t="s">
        <v>36768</v>
      </c>
      <c r="AZ2107" s="1" t="s">
        <v>36769</v>
      </c>
      <c r="BA2107" s="1" t="s">
        <v>578</v>
      </c>
      <c r="BB2107" s="1" t="s">
        <v>467</v>
      </c>
      <c r="BC2107" s="1" t="s">
        <v>233</v>
      </c>
      <c r="BD2107" s="1" t="s">
        <v>207</v>
      </c>
      <c r="BE2107" s="1">
        <v>54.9</v>
      </c>
      <c r="BF2107" s="1">
        <v>6.24</v>
      </c>
      <c r="BG2107" s="1"/>
      <c r="BH2107" s="1"/>
      <c r="BI2107" s="1"/>
      <c r="BJ2107" s="1"/>
      <c r="BK2107" s="1"/>
      <c r="BL2107" s="1"/>
      <c r="BM2107" s="1"/>
      <c r="BN2107" s="1"/>
      <c r="BO2107" s="1" t="s">
        <v>369</v>
      </c>
      <c r="BP2107" s="1" t="s">
        <v>36770</v>
      </c>
      <c r="BQ2107" s="1" t="s">
        <v>2116</v>
      </c>
      <c r="BR2107" s="1" t="s">
        <v>36771</v>
      </c>
      <c r="BS2107" s="1">
        <v>9</v>
      </c>
      <c r="BT2107" s="1" t="s">
        <v>36772</v>
      </c>
      <c r="BU2107" s="1" t="str">
        <f>HYPERLINK("https://nconnect.nicmar.ac.in/storage/profile/ProfilePhoto_P25702089_483152.jpg","Download")</f>
        <v>0</v>
      </c>
      <c r="BV2107" s="3"/>
      <c r="BW2107" s="3"/>
    </row>
    <row r="2108" spans="1:75">
      <c r="A2108" s="1" t="s">
        <v>26662</v>
      </c>
      <c r="B2108" s="1" t="s">
        <v>446</v>
      </c>
      <c r="C2108" s="1" t="s">
        <v>36773</v>
      </c>
      <c r="D2108" s="1" t="s">
        <v>761</v>
      </c>
      <c r="E2108" s="1" t="s">
        <v>663</v>
      </c>
      <c r="F2108" s="1" t="s">
        <v>29657</v>
      </c>
      <c r="G2108" s="1" t="s">
        <v>36774</v>
      </c>
      <c r="H2108" s="1" t="s">
        <v>36775</v>
      </c>
      <c r="I2108" s="1" t="s">
        <v>36776</v>
      </c>
      <c r="J2108" s="1">
        <v>8600638499</v>
      </c>
      <c r="K2108" s="1" t="s">
        <v>84</v>
      </c>
      <c r="L2108" s="1" t="s">
        <v>25873</v>
      </c>
      <c r="M2108" s="1" t="s">
        <v>86</v>
      </c>
      <c r="N2108" s="1" t="s">
        <v>1163</v>
      </c>
      <c r="O2108" s="1" t="s">
        <v>36777</v>
      </c>
      <c r="P2108" s="1" t="s">
        <v>455</v>
      </c>
      <c r="Q2108" s="1" t="s">
        <v>36778</v>
      </c>
      <c r="R2108" s="1" t="s">
        <v>36779</v>
      </c>
      <c r="S2108" s="1">
        <v>9922928232</v>
      </c>
      <c r="T2108" s="1" t="s">
        <v>92</v>
      </c>
      <c r="U2108" s="1" t="s">
        <v>36780</v>
      </c>
      <c r="V2108" s="1">
        <v>9823699253</v>
      </c>
      <c r="W2108" s="1" t="s">
        <v>1552</v>
      </c>
      <c r="X2108" s="1" t="s">
        <v>36781</v>
      </c>
      <c r="Y2108" s="1" t="s">
        <v>410</v>
      </c>
      <c r="Z2108" s="1" t="s">
        <v>97</v>
      </c>
      <c r="AA2108" s="1" t="s">
        <v>36781</v>
      </c>
      <c r="AB2108" s="1" t="s">
        <v>410</v>
      </c>
      <c r="AC2108" s="1" t="s">
        <v>97</v>
      </c>
      <c r="AD2108" s="1">
        <v>8.0</v>
      </c>
      <c r="AE2108" s="1" t="s">
        <v>98</v>
      </c>
      <c r="AF2108" s="1" t="s">
        <v>36782</v>
      </c>
      <c r="AG2108" s="1" t="s">
        <v>775</v>
      </c>
      <c r="AH2108" s="1" t="s">
        <v>101</v>
      </c>
      <c r="AI2108" s="1" t="s">
        <v>136</v>
      </c>
      <c r="AJ2108" s="1">
        <v>68.4</v>
      </c>
      <c r="AK2108" s="1">
        <v>7.2</v>
      </c>
      <c r="AL2108" s="1" t="s">
        <v>36783</v>
      </c>
      <c r="AM2108" s="1" t="s">
        <v>165</v>
      </c>
      <c r="AN2108" s="1"/>
      <c r="AO2108" s="1" t="s">
        <v>139</v>
      </c>
      <c r="AP2108" s="1" t="s">
        <v>170</v>
      </c>
      <c r="AQ2108" s="1">
        <v>52.15</v>
      </c>
      <c r="AR2108" s="1"/>
      <c r="AS2108" s="1" t="s">
        <v>103</v>
      </c>
      <c r="AT2108" s="1" t="s">
        <v>36784</v>
      </c>
      <c r="AU2108" s="1" t="s">
        <v>170</v>
      </c>
      <c r="AV2108" s="1" t="s">
        <v>4740</v>
      </c>
      <c r="AW2108" s="1">
        <v>55.64</v>
      </c>
      <c r="AX2108" s="1"/>
      <c r="AY2108" s="1" t="s">
        <v>36785</v>
      </c>
      <c r="AZ2108" s="1" t="s">
        <v>36786</v>
      </c>
      <c r="BA2108" s="1"/>
      <c r="BB2108" s="1"/>
      <c r="BC2108" s="1" t="s">
        <v>178</v>
      </c>
      <c r="BD2108" s="1" t="s">
        <v>955</v>
      </c>
      <c r="BE2108" s="1">
        <v>59.2</v>
      </c>
      <c r="BF2108" s="1">
        <v>6.2</v>
      </c>
      <c r="BG2108" s="1"/>
      <c r="BH2108" s="1"/>
      <c r="BI2108" s="1"/>
      <c r="BJ2108" s="1"/>
      <c r="BK2108" s="1"/>
      <c r="BL2108" s="1"/>
      <c r="BM2108" s="1"/>
      <c r="BN2108" s="1"/>
      <c r="BO2108" s="1" t="s">
        <v>36787</v>
      </c>
      <c r="BP2108" s="1"/>
      <c r="BQ2108" s="1"/>
      <c r="BR2108" s="1" t="s">
        <v>36788</v>
      </c>
      <c r="BS2108" s="1">
        <v>8</v>
      </c>
      <c r="BT2108" s="1"/>
      <c r="BU2108" s="1" t="str">
        <f>HYPERLINK("https://nconnect.nicmar.ac.in/storage/profile/ProfilePhoto_P25702090_671284.jpg","Download")</f>
        <v>0</v>
      </c>
      <c r="BV2108" s="3"/>
      <c r="BW2108" s="3"/>
    </row>
    <row r="2109" spans="1:75">
      <c r="A2109" s="1" t="s">
        <v>26662</v>
      </c>
      <c r="B2109" s="1" t="s">
        <v>446</v>
      </c>
      <c r="C2109" s="1" t="s">
        <v>36789</v>
      </c>
      <c r="D2109" s="1" t="s">
        <v>6742</v>
      </c>
      <c r="E2109" s="1" t="s">
        <v>36790</v>
      </c>
      <c r="F2109" s="1" t="s">
        <v>6636</v>
      </c>
      <c r="G2109" s="1" t="s">
        <v>36791</v>
      </c>
      <c r="H2109" s="1" t="s">
        <v>36792</v>
      </c>
      <c r="I2109" s="1" t="s">
        <v>36793</v>
      </c>
      <c r="J2109" s="1">
        <v>9898221423</v>
      </c>
      <c r="K2109" s="1" t="s">
        <v>84</v>
      </c>
      <c r="L2109" s="1" t="s">
        <v>835</v>
      </c>
      <c r="M2109" s="1" t="s">
        <v>86</v>
      </c>
      <c r="N2109" s="1" t="s">
        <v>4652</v>
      </c>
      <c r="O2109" s="1"/>
      <c r="P2109" s="1" t="s">
        <v>507</v>
      </c>
      <c r="Q2109" s="1" t="s">
        <v>36794</v>
      </c>
      <c r="R2109" s="1" t="s">
        <v>36795</v>
      </c>
      <c r="S2109" s="1">
        <v>9545703000</v>
      </c>
      <c r="T2109" s="1" t="s">
        <v>839</v>
      </c>
      <c r="U2109" s="1" t="s">
        <v>36796</v>
      </c>
      <c r="V2109" s="1">
        <v>9028733666</v>
      </c>
      <c r="W2109" s="1" t="s">
        <v>278</v>
      </c>
      <c r="X2109" s="1" t="s">
        <v>36797</v>
      </c>
      <c r="Y2109" s="1" t="s">
        <v>196</v>
      </c>
      <c r="Z2109" s="1" t="s">
        <v>97</v>
      </c>
      <c r="AA2109" s="1" t="s">
        <v>36797</v>
      </c>
      <c r="AB2109" s="1" t="s">
        <v>196</v>
      </c>
      <c r="AC2109" s="1" t="s">
        <v>97</v>
      </c>
      <c r="AD2109" s="1">
        <v>7.32</v>
      </c>
      <c r="AE2109" s="1" t="s">
        <v>98</v>
      </c>
      <c r="AF2109" s="1" t="s">
        <v>36798</v>
      </c>
      <c r="AG2109" s="1" t="s">
        <v>312</v>
      </c>
      <c r="AH2109" s="1" t="s">
        <v>490</v>
      </c>
      <c r="AI2109" s="1" t="s">
        <v>313</v>
      </c>
      <c r="AJ2109" s="1">
        <v>73.8</v>
      </c>
      <c r="AK2109" s="1"/>
      <c r="AL2109" s="1" t="s">
        <v>36799</v>
      </c>
      <c r="AM2109" s="1" t="s">
        <v>165</v>
      </c>
      <c r="AN2109" s="1"/>
      <c r="AO2109" s="1" t="s">
        <v>468</v>
      </c>
      <c r="AP2109" s="1" t="s">
        <v>441</v>
      </c>
      <c r="AQ2109" s="1">
        <v>73.83</v>
      </c>
      <c r="AR2109" s="1"/>
      <c r="AS2109" s="1"/>
      <c r="AT2109" s="1"/>
      <c r="AU2109" s="1"/>
      <c r="AV2109" s="1"/>
      <c r="AW2109" s="1"/>
      <c r="AX2109" s="1"/>
      <c r="AY2109" s="1" t="s">
        <v>366</v>
      </c>
      <c r="AZ2109" s="1" t="s">
        <v>36800</v>
      </c>
      <c r="BA2109" s="1"/>
      <c r="BB2109" s="1"/>
      <c r="BC2109" s="1" t="s">
        <v>552</v>
      </c>
      <c r="BD2109" s="1" t="s">
        <v>207</v>
      </c>
      <c r="BE2109" s="1">
        <v>68.4</v>
      </c>
      <c r="BF2109" s="1">
        <v>7.6</v>
      </c>
      <c r="BG2109" s="1"/>
      <c r="BH2109" s="1"/>
      <c r="BI2109" s="1"/>
      <c r="BJ2109" s="1"/>
      <c r="BK2109" s="1"/>
      <c r="BL2109" s="1"/>
      <c r="BM2109" s="1"/>
      <c r="BN2109" s="1"/>
      <c r="BO2109" s="1" t="s">
        <v>36801</v>
      </c>
      <c r="BP2109" s="1"/>
      <c r="BQ2109" s="1"/>
      <c r="BR2109" s="1" t="s">
        <v>36802</v>
      </c>
      <c r="BS2109" s="1">
        <v>34</v>
      </c>
      <c r="BT2109" s="1" t="s">
        <v>36803</v>
      </c>
      <c r="BU2109" s="1" t="str">
        <f>HYPERLINK("https://nconnect.nicmar.ac.in/storage/profile/ProfilePhoto_P25702091_429168.jpg","Download")</f>
        <v>0</v>
      </c>
      <c r="BV2109" s="3"/>
      <c r="BW2109" s="3"/>
    </row>
    <row r="2110" spans="1:75">
      <c r="A2110" s="1" t="s">
        <v>26662</v>
      </c>
      <c r="B2110" s="1" t="s">
        <v>446</v>
      </c>
      <c r="C2110" s="1" t="s">
        <v>36804</v>
      </c>
      <c r="D2110" s="1" t="s">
        <v>36805</v>
      </c>
      <c r="E2110" s="1"/>
      <c r="F2110" s="1" t="s">
        <v>36806</v>
      </c>
      <c r="G2110" s="1" t="s">
        <v>36807</v>
      </c>
      <c r="H2110" s="1" t="s">
        <v>36808</v>
      </c>
      <c r="I2110" s="1" t="s">
        <v>36808</v>
      </c>
      <c r="J2110" s="1"/>
      <c r="K2110" s="1"/>
      <c r="L2110" s="1"/>
      <c r="M2110" s="1"/>
      <c r="N2110" s="1"/>
      <c r="O2110" s="1"/>
      <c r="P2110" s="1"/>
      <c r="Q2110" s="1"/>
      <c r="R2110" s="1"/>
      <c r="S2110" s="1"/>
      <c r="T2110" s="1"/>
      <c r="U2110" s="1"/>
      <c r="V2110" s="1"/>
      <c r="W2110" s="1"/>
      <c r="X2110" s="1"/>
      <c r="Y2110" s="1"/>
      <c r="Z2110" s="1"/>
      <c r="AA2110" s="1"/>
      <c r="AB2110" s="1"/>
      <c r="AC2110" s="1"/>
      <c r="AD2110" s="1" t="s">
        <v>98</v>
      </c>
      <c r="AE2110" s="1" t="s">
        <v>98</v>
      </c>
      <c r="AF2110" s="1"/>
      <c r="AG2110" s="1"/>
      <c r="AH2110" s="1"/>
      <c r="AI2110" s="1"/>
      <c r="AJ2110" s="1"/>
      <c r="AK2110" s="1"/>
      <c r="AL2110" s="1"/>
      <c r="AM2110" s="1"/>
      <c r="AN2110" s="1"/>
      <c r="AO2110" s="1"/>
      <c r="AP2110" s="1"/>
      <c r="AQ2110" s="1"/>
      <c r="AR2110" s="1"/>
      <c r="AS2110" s="1"/>
      <c r="AT2110" s="1"/>
      <c r="AU2110" s="1"/>
      <c r="AV2110" s="1"/>
      <c r="AW2110" s="1"/>
      <c r="AX2110" s="1"/>
      <c r="AY2110" s="1"/>
      <c r="AZ2110" s="1"/>
      <c r="BA2110" s="1"/>
      <c r="BB2110" s="1"/>
      <c r="BC2110" s="1"/>
      <c r="BD2110" s="1"/>
      <c r="BE2110" s="1"/>
      <c r="BF2110" s="1"/>
      <c r="BG2110" s="1"/>
      <c r="BH2110" s="1"/>
      <c r="BI2110" s="1"/>
      <c r="BJ2110" s="1"/>
      <c r="BK2110" s="1"/>
      <c r="BL2110" s="1"/>
      <c r="BM2110" s="1"/>
      <c r="BN2110" s="1"/>
      <c r="BO2110" s="1"/>
      <c r="BP2110" s="1"/>
      <c r="BQ2110" s="1"/>
      <c r="BR2110" s="1"/>
      <c r="BS2110" s="1"/>
      <c r="BT2110" s="1"/>
      <c r="BU2110" s="1" t="s">
        <v>9653</v>
      </c>
      <c r="BV2110" s="3"/>
      <c r="BW2110" s="3"/>
    </row>
    <row r="2111" spans="1:75">
      <c r="A2111" s="1" t="s">
        <v>26662</v>
      </c>
      <c r="B2111" s="1" t="s">
        <v>446</v>
      </c>
      <c r="C2111" s="1" t="s">
        <v>36809</v>
      </c>
      <c r="D2111" s="1" t="s">
        <v>8398</v>
      </c>
      <c r="E2111" s="1" t="s">
        <v>36810</v>
      </c>
      <c r="F2111" s="1" t="s">
        <v>36811</v>
      </c>
      <c r="G2111" s="1" t="s">
        <v>36812</v>
      </c>
      <c r="H2111" s="1" t="s">
        <v>36813</v>
      </c>
      <c r="I2111" s="1" t="s">
        <v>36814</v>
      </c>
      <c r="J2111" s="1">
        <v>8625847667</v>
      </c>
      <c r="K2111" s="1" t="s">
        <v>84</v>
      </c>
      <c r="L2111" s="1" t="s">
        <v>36815</v>
      </c>
      <c r="M2111" s="1" t="s">
        <v>86</v>
      </c>
      <c r="N2111" s="1" t="s">
        <v>13407</v>
      </c>
      <c r="O2111" s="1" t="s">
        <v>36816</v>
      </c>
      <c r="P2111" s="1" t="s">
        <v>481</v>
      </c>
      <c r="Q2111" s="1" t="s">
        <v>36817</v>
      </c>
      <c r="R2111" s="1" t="s">
        <v>36810</v>
      </c>
      <c r="S2111" s="1">
        <v>9637429888</v>
      </c>
      <c r="T2111" s="1" t="s">
        <v>1620</v>
      </c>
      <c r="U2111" s="1" t="s">
        <v>9208</v>
      </c>
      <c r="V2111" s="1">
        <v>7875231148</v>
      </c>
      <c r="W2111" s="1" t="s">
        <v>161</v>
      </c>
      <c r="X2111" s="1" t="s">
        <v>36818</v>
      </c>
      <c r="Y2111" s="1" t="s">
        <v>196</v>
      </c>
      <c r="Z2111" s="1" t="s">
        <v>97</v>
      </c>
      <c r="AA2111" s="1" t="s">
        <v>36818</v>
      </c>
      <c r="AB2111" s="1" t="s">
        <v>196</v>
      </c>
      <c r="AC2111" s="1" t="s">
        <v>97</v>
      </c>
      <c r="AD2111" s="1">
        <v>8.18</v>
      </c>
      <c r="AE2111" s="1" t="s">
        <v>98</v>
      </c>
      <c r="AF2111" s="1" t="s">
        <v>4997</v>
      </c>
      <c r="AG2111" s="1" t="s">
        <v>312</v>
      </c>
      <c r="AH2111" s="1" t="s">
        <v>573</v>
      </c>
      <c r="AI2111" s="1" t="s">
        <v>171</v>
      </c>
      <c r="AJ2111" s="1">
        <v>68.5</v>
      </c>
      <c r="AK2111" s="1"/>
      <c r="AL2111" s="1" t="s">
        <v>13642</v>
      </c>
      <c r="AM2111" s="1" t="s">
        <v>165</v>
      </c>
      <c r="AN2111" s="1"/>
      <c r="AO2111" s="1" t="s">
        <v>438</v>
      </c>
      <c r="AP2111" s="1" t="s">
        <v>365</v>
      </c>
      <c r="AQ2111" s="1">
        <v>54.77</v>
      </c>
      <c r="AR2111" s="1"/>
      <c r="AS2111" s="1"/>
      <c r="AT2111" s="1"/>
      <c r="AU2111" s="1"/>
      <c r="AV2111" s="1"/>
      <c r="AW2111" s="1"/>
      <c r="AX2111" s="1"/>
      <c r="AY2111" s="1" t="s">
        <v>366</v>
      </c>
      <c r="AZ2111" s="1" t="s">
        <v>36819</v>
      </c>
      <c r="BA2111" s="1"/>
      <c r="BB2111" s="1"/>
      <c r="BC2111" s="1" t="s">
        <v>417</v>
      </c>
      <c r="BD2111" s="1" t="s">
        <v>418</v>
      </c>
      <c r="BE2111" s="1">
        <v>63.65</v>
      </c>
      <c r="BF2111" s="1">
        <v>7.48</v>
      </c>
      <c r="BG2111" s="1"/>
      <c r="BH2111" s="1"/>
      <c r="BI2111" s="1"/>
      <c r="BJ2111" s="1"/>
      <c r="BK2111" s="1"/>
      <c r="BL2111" s="1"/>
      <c r="BM2111" s="1"/>
      <c r="BN2111" s="1"/>
      <c r="BO2111" s="1" t="s">
        <v>1114</v>
      </c>
      <c r="BP2111" s="1"/>
      <c r="BQ2111" s="1"/>
      <c r="BR2111" s="1" t="s">
        <v>36820</v>
      </c>
      <c r="BS2111" s="1">
        <v>13</v>
      </c>
      <c r="BT2111" s="1" t="s">
        <v>849</v>
      </c>
      <c r="BU2111" s="1" t="str">
        <f>HYPERLINK("https://nconnect.nicmar.ac.in/storage/profile/ProfilePhoto_P25702093_491532.jpg","Download")</f>
        <v>0</v>
      </c>
      <c r="BV2111" s="3"/>
      <c r="BW2111" s="3"/>
    </row>
    <row r="2112" spans="1:75">
      <c r="A2112" s="1" t="s">
        <v>26662</v>
      </c>
      <c r="B2112" s="1" t="s">
        <v>446</v>
      </c>
      <c r="C2112" s="1" t="s">
        <v>36821</v>
      </c>
      <c r="D2112" s="1" t="s">
        <v>5208</v>
      </c>
      <c r="E2112" s="1" t="s">
        <v>4215</v>
      </c>
      <c r="F2112" s="1" t="s">
        <v>1179</v>
      </c>
      <c r="G2112" s="1" t="s">
        <v>36822</v>
      </c>
      <c r="H2112" s="1" t="s">
        <v>36823</v>
      </c>
      <c r="I2112" s="1" t="s">
        <v>36824</v>
      </c>
      <c r="J2112" s="1">
        <v>9325137212</v>
      </c>
      <c r="K2112" s="1" t="s">
        <v>84</v>
      </c>
      <c r="L2112" s="1" t="s">
        <v>36825</v>
      </c>
      <c r="M2112" s="1" t="s">
        <v>86</v>
      </c>
      <c r="N2112" s="1" t="s">
        <v>1163</v>
      </c>
      <c r="O2112" s="1"/>
      <c r="P2112" s="1" t="s">
        <v>481</v>
      </c>
      <c r="Q2112" s="1" t="s">
        <v>36826</v>
      </c>
      <c r="R2112" s="1" t="s">
        <v>36827</v>
      </c>
      <c r="S2112" s="1">
        <v>9420453499</v>
      </c>
      <c r="T2112" s="1" t="s">
        <v>159</v>
      </c>
      <c r="U2112" s="1" t="s">
        <v>36828</v>
      </c>
      <c r="V2112" s="1">
        <v>9325137212</v>
      </c>
      <c r="W2112" s="1" t="s">
        <v>94</v>
      </c>
      <c r="X2112" s="1" t="s">
        <v>36829</v>
      </c>
      <c r="Y2112" s="1" t="s">
        <v>1033</v>
      </c>
      <c r="Z2112" s="1" t="s">
        <v>97</v>
      </c>
      <c r="AA2112" s="1" t="s">
        <v>36829</v>
      </c>
      <c r="AB2112" s="1" t="s">
        <v>1033</v>
      </c>
      <c r="AC2112" s="1" t="s">
        <v>97</v>
      </c>
      <c r="AD2112" s="1">
        <v>7.55</v>
      </c>
      <c r="AE2112" s="1" t="s">
        <v>98</v>
      </c>
      <c r="AF2112" s="1" t="s">
        <v>36830</v>
      </c>
      <c r="AG2112" s="1" t="s">
        <v>165</v>
      </c>
      <c r="AH2112" s="1" t="s">
        <v>170</v>
      </c>
      <c r="AI2112" s="1" t="s">
        <v>286</v>
      </c>
      <c r="AJ2112" s="1">
        <v>68</v>
      </c>
      <c r="AK2112" s="1"/>
      <c r="AL2112" s="1" t="s">
        <v>36831</v>
      </c>
      <c r="AM2112" s="1" t="s">
        <v>165</v>
      </c>
      <c r="AN2112" s="1" t="s">
        <v>465</v>
      </c>
      <c r="AO2112" s="1" t="s">
        <v>438</v>
      </c>
      <c r="AP2112" s="1" t="s">
        <v>365</v>
      </c>
      <c r="AQ2112" s="1">
        <v>55.08</v>
      </c>
      <c r="AR2112" s="1"/>
      <c r="AS2112" s="1"/>
      <c r="AT2112" s="1"/>
      <c r="AU2112" s="1"/>
      <c r="AV2112" s="1"/>
      <c r="AW2112" s="1"/>
      <c r="AX2112" s="1"/>
      <c r="AY2112" s="1" t="s">
        <v>36832</v>
      </c>
      <c r="AZ2112" s="1" t="s">
        <v>36833</v>
      </c>
      <c r="BA2112" s="1" t="s">
        <v>466</v>
      </c>
      <c r="BB2112" s="1" t="s">
        <v>467</v>
      </c>
      <c r="BC2112" s="1" t="s">
        <v>1040</v>
      </c>
      <c r="BD2112" s="1" t="s">
        <v>207</v>
      </c>
      <c r="BE2112" s="1">
        <v>62.1</v>
      </c>
      <c r="BF2112" s="1">
        <v>6.71</v>
      </c>
      <c r="BG2112" s="1"/>
      <c r="BH2112" s="1"/>
      <c r="BI2112" s="1"/>
      <c r="BJ2112" s="1"/>
      <c r="BK2112" s="1"/>
      <c r="BL2112" s="1"/>
      <c r="BM2112" s="1"/>
      <c r="BN2112" s="1"/>
      <c r="BO2112" s="1" t="s">
        <v>36834</v>
      </c>
      <c r="BP2112" s="1"/>
      <c r="BQ2112" s="1"/>
      <c r="BR2112" s="1" t="s">
        <v>36835</v>
      </c>
      <c r="BS2112" s="1">
        <v>69</v>
      </c>
      <c r="BT2112" s="1" t="s">
        <v>36836</v>
      </c>
      <c r="BU2112" s="1" t="str">
        <f>HYPERLINK("https://nconnect.nicmar.ac.in/storage/profile/ProfilePhoto_P25702094_982716.jpg","Download")</f>
        <v>0</v>
      </c>
      <c r="BV2112" s="3"/>
      <c r="BW2112" s="3"/>
    </row>
    <row r="2113" spans="1:75">
      <c r="A2113" s="1" t="s">
        <v>26662</v>
      </c>
      <c r="B2113" s="1" t="s">
        <v>446</v>
      </c>
      <c r="C2113" s="1" t="s">
        <v>36837</v>
      </c>
      <c r="D2113" s="1" t="s">
        <v>36838</v>
      </c>
      <c r="E2113" s="1" t="s">
        <v>6152</v>
      </c>
      <c r="F2113" s="1" t="s">
        <v>350</v>
      </c>
      <c r="G2113" s="1" t="s">
        <v>36839</v>
      </c>
      <c r="H2113" s="1" t="s">
        <v>36840</v>
      </c>
      <c r="I2113" s="1" t="s">
        <v>36841</v>
      </c>
      <c r="J2113" s="1">
        <v>9000026104</v>
      </c>
      <c r="K2113" s="1" t="s">
        <v>84</v>
      </c>
      <c r="L2113" s="1" t="s">
        <v>15605</v>
      </c>
      <c r="M2113" s="1" t="s">
        <v>86</v>
      </c>
      <c r="N2113" s="1" t="s">
        <v>8347</v>
      </c>
      <c r="O2113" s="1"/>
      <c r="P2113" s="1" t="s">
        <v>1028</v>
      </c>
      <c r="Q2113" s="1" t="s">
        <v>36842</v>
      </c>
      <c r="R2113" s="1" t="s">
        <v>36843</v>
      </c>
      <c r="S2113" s="1">
        <v>9000616104</v>
      </c>
      <c r="T2113" s="1" t="s">
        <v>839</v>
      </c>
      <c r="U2113" s="1" t="s">
        <v>36844</v>
      </c>
      <c r="V2113" s="1">
        <v>9700006104</v>
      </c>
      <c r="W2113" s="1" t="s">
        <v>541</v>
      </c>
      <c r="X2113" s="1" t="s">
        <v>36845</v>
      </c>
      <c r="Y2113" s="1" t="s">
        <v>3031</v>
      </c>
      <c r="Z2113" s="1" t="s">
        <v>461</v>
      </c>
      <c r="AA2113" s="1" t="s">
        <v>36845</v>
      </c>
      <c r="AB2113" s="1" t="s">
        <v>3031</v>
      </c>
      <c r="AC2113" s="1" t="s">
        <v>461</v>
      </c>
      <c r="AD2113" s="1">
        <v>8.84</v>
      </c>
      <c r="AE2113" s="1" t="s">
        <v>98</v>
      </c>
      <c r="AF2113" s="1" t="s">
        <v>36846</v>
      </c>
      <c r="AG2113" s="1" t="s">
        <v>312</v>
      </c>
      <c r="AH2113" s="1" t="s">
        <v>106</v>
      </c>
      <c r="AI2113" s="1" t="s">
        <v>414</v>
      </c>
      <c r="AJ2113" s="1">
        <v>90.6</v>
      </c>
      <c r="AK2113" s="1"/>
      <c r="AL2113" s="1" t="s">
        <v>36847</v>
      </c>
      <c r="AM2113" s="1" t="s">
        <v>3034</v>
      </c>
      <c r="AN2113" s="1" t="s">
        <v>6323</v>
      </c>
      <c r="AO2113" s="1" t="s">
        <v>438</v>
      </c>
      <c r="AP2113" s="1" t="s">
        <v>845</v>
      </c>
      <c r="AQ2113" s="1">
        <v>93.8</v>
      </c>
      <c r="AR2113" s="1"/>
      <c r="AS2113" s="1"/>
      <c r="AT2113" s="1"/>
      <c r="AU2113" s="1"/>
      <c r="AV2113" s="1"/>
      <c r="AW2113" s="1"/>
      <c r="AX2113" s="1"/>
      <c r="AY2113" s="1" t="s">
        <v>6995</v>
      </c>
      <c r="AZ2113" s="1" t="s">
        <v>36848</v>
      </c>
      <c r="BA2113" s="1" t="s">
        <v>35549</v>
      </c>
      <c r="BB2113" s="1" t="s">
        <v>23611</v>
      </c>
      <c r="BC2113" s="1" t="s">
        <v>552</v>
      </c>
      <c r="BD2113" s="1" t="s">
        <v>418</v>
      </c>
      <c r="BE2113" s="1">
        <v>83.3</v>
      </c>
      <c r="BF2113" s="1"/>
      <c r="BG2113" s="1"/>
      <c r="BH2113" s="1"/>
      <c r="BI2113" s="1"/>
      <c r="BJ2113" s="1"/>
      <c r="BK2113" s="1"/>
      <c r="BL2113" s="1"/>
      <c r="BM2113" s="1"/>
      <c r="BN2113" s="1"/>
      <c r="BO2113" s="1" t="s">
        <v>36849</v>
      </c>
      <c r="BP2113" s="1"/>
      <c r="BQ2113" s="1"/>
      <c r="BR2113" s="1" t="s">
        <v>36850</v>
      </c>
      <c r="BS2113" s="1">
        <v>55</v>
      </c>
      <c r="BT2113" s="1" t="s">
        <v>36851</v>
      </c>
      <c r="BU2113" s="1" t="str">
        <f>HYPERLINK("https://nconnect.nicmar.ac.in/storage/profile/ProfilePhoto_P25702095_238745.jpg","Download")</f>
        <v>0</v>
      </c>
      <c r="BV2113" s="3"/>
      <c r="BW2113" s="3"/>
    </row>
    <row r="2114" spans="1:75">
      <c r="A2114" s="1" t="s">
        <v>26662</v>
      </c>
      <c r="B2114" s="1" t="s">
        <v>446</v>
      </c>
      <c r="C2114" s="1" t="s">
        <v>36852</v>
      </c>
      <c r="D2114" s="1" t="s">
        <v>36853</v>
      </c>
      <c r="E2114" s="1" t="s">
        <v>29672</v>
      </c>
      <c r="F2114" s="1" t="s">
        <v>36854</v>
      </c>
      <c r="G2114" s="1" t="s">
        <v>36855</v>
      </c>
      <c r="H2114" s="1" t="s">
        <v>36856</v>
      </c>
      <c r="I2114" s="1" t="s">
        <v>36857</v>
      </c>
      <c r="J2114" s="1">
        <v>7248974990</v>
      </c>
      <c r="K2114" s="1" t="s">
        <v>153</v>
      </c>
      <c r="L2114" s="1" t="s">
        <v>4353</v>
      </c>
      <c r="M2114" s="1" t="s">
        <v>86</v>
      </c>
      <c r="N2114" s="1" t="s">
        <v>1163</v>
      </c>
      <c r="O2114" s="1" t="s">
        <v>36858</v>
      </c>
      <c r="P2114" s="1" t="s">
        <v>481</v>
      </c>
      <c r="Q2114" s="1" t="s">
        <v>36859</v>
      </c>
      <c r="R2114" s="1" t="s">
        <v>36860</v>
      </c>
      <c r="S2114" s="1">
        <v>9673701506</v>
      </c>
      <c r="T2114" s="1" t="s">
        <v>25383</v>
      </c>
      <c r="U2114" s="1" t="s">
        <v>36861</v>
      </c>
      <c r="V2114" s="1">
        <v>9823789122</v>
      </c>
      <c r="W2114" s="1" t="s">
        <v>541</v>
      </c>
      <c r="X2114" s="1" t="s">
        <v>36862</v>
      </c>
      <c r="Y2114" s="1" t="s">
        <v>410</v>
      </c>
      <c r="Z2114" s="1" t="s">
        <v>97</v>
      </c>
      <c r="AA2114" s="1" t="s">
        <v>36862</v>
      </c>
      <c r="AB2114" s="1" t="s">
        <v>410</v>
      </c>
      <c r="AC2114" s="1" t="s">
        <v>97</v>
      </c>
      <c r="AD2114" s="1">
        <v>8.63</v>
      </c>
      <c r="AE2114" s="1" t="s">
        <v>98</v>
      </c>
      <c r="AF2114" s="1" t="s">
        <v>36863</v>
      </c>
      <c r="AG2114" s="1" t="s">
        <v>36864</v>
      </c>
      <c r="AH2114" s="1" t="s">
        <v>1396</v>
      </c>
      <c r="AI2114" s="1" t="s">
        <v>200</v>
      </c>
      <c r="AJ2114" s="1">
        <v>68.3</v>
      </c>
      <c r="AK2114" s="1">
        <v>0</v>
      </c>
      <c r="AL2114" s="1" t="s">
        <v>36865</v>
      </c>
      <c r="AM2114" s="1" t="s">
        <v>5458</v>
      </c>
      <c r="AN2114" s="1"/>
      <c r="AO2114" s="1" t="s">
        <v>704</v>
      </c>
      <c r="AP2114" s="1" t="s">
        <v>178</v>
      </c>
      <c r="AQ2114" s="1">
        <v>58.6</v>
      </c>
      <c r="AR2114" s="1">
        <v>0</v>
      </c>
      <c r="AS2114" s="1"/>
      <c r="AT2114" s="1"/>
      <c r="AU2114" s="1"/>
      <c r="AV2114" s="1"/>
      <c r="AW2114" s="1"/>
      <c r="AX2114" s="1"/>
      <c r="AY2114" s="1" t="s">
        <v>36866</v>
      </c>
      <c r="AZ2114" s="1" t="s">
        <v>36867</v>
      </c>
      <c r="BA2114" s="1"/>
      <c r="BB2114" s="1"/>
      <c r="BC2114" s="1" t="s">
        <v>1040</v>
      </c>
      <c r="BD2114" s="1" t="s">
        <v>1401</v>
      </c>
      <c r="BE2114" s="1">
        <v>73</v>
      </c>
      <c r="BF2114" s="1">
        <v>7.8</v>
      </c>
      <c r="BG2114" s="1"/>
      <c r="BH2114" s="1"/>
      <c r="BI2114" s="1"/>
      <c r="BJ2114" s="1"/>
      <c r="BK2114" s="1"/>
      <c r="BL2114" s="1"/>
      <c r="BM2114" s="1"/>
      <c r="BN2114" s="1"/>
      <c r="BO2114" s="1" t="s">
        <v>36868</v>
      </c>
      <c r="BP2114" s="1"/>
      <c r="BQ2114" s="1"/>
      <c r="BR2114" s="1" t="s">
        <v>36869</v>
      </c>
      <c r="BS2114" s="1">
        <v>442</v>
      </c>
      <c r="BT2114" s="1" t="s">
        <v>36870</v>
      </c>
      <c r="BU2114" s="1" t="str">
        <f>HYPERLINK("https://nconnect.nicmar.ac.in/storage/profile/ProfilePhoto_P25702096_761253.jpg","Download")</f>
        <v>0</v>
      </c>
      <c r="BV2114" s="3"/>
      <c r="BW2114" s="3"/>
    </row>
    <row r="2115" spans="1:75">
      <c r="A2115" s="1" t="s">
        <v>26662</v>
      </c>
      <c r="B2115" s="1" t="s">
        <v>446</v>
      </c>
      <c r="C2115" s="1" t="s">
        <v>36871</v>
      </c>
      <c r="D2115" s="1" t="s">
        <v>1178</v>
      </c>
      <c r="E2115" s="1" t="s">
        <v>36872</v>
      </c>
      <c r="F2115" s="1" t="s">
        <v>13423</v>
      </c>
      <c r="G2115" s="1" t="s">
        <v>36873</v>
      </c>
      <c r="H2115" s="1" t="s">
        <v>36874</v>
      </c>
      <c r="I2115" s="1" t="s">
        <v>36875</v>
      </c>
      <c r="J2115" s="1">
        <v>7776097575</v>
      </c>
      <c r="K2115" s="1" t="s">
        <v>84</v>
      </c>
      <c r="L2115" s="1" t="s">
        <v>36876</v>
      </c>
      <c r="M2115" s="1" t="s">
        <v>86</v>
      </c>
      <c r="N2115" s="1" t="s">
        <v>36877</v>
      </c>
      <c r="O2115" s="1" t="s">
        <v>36878</v>
      </c>
      <c r="P2115" s="1" t="s">
        <v>507</v>
      </c>
      <c r="Q2115" s="1" t="s">
        <v>36879</v>
      </c>
      <c r="R2115" s="1" t="s">
        <v>36880</v>
      </c>
      <c r="S2115" s="1">
        <v>9420762536</v>
      </c>
      <c r="T2115" s="1" t="s">
        <v>98</v>
      </c>
      <c r="U2115" s="1" t="s">
        <v>36881</v>
      </c>
      <c r="V2115" s="1">
        <v>8010625138</v>
      </c>
      <c r="W2115" s="1" t="s">
        <v>541</v>
      </c>
      <c r="X2115" s="1" t="s">
        <v>36882</v>
      </c>
      <c r="Y2115" s="1" t="s">
        <v>163</v>
      </c>
      <c r="Z2115" s="1" t="s">
        <v>97</v>
      </c>
      <c r="AA2115" s="1" t="s">
        <v>36882</v>
      </c>
      <c r="AB2115" s="1" t="s">
        <v>163</v>
      </c>
      <c r="AC2115" s="1" t="s">
        <v>97</v>
      </c>
      <c r="AD2115" s="1">
        <v>7.95</v>
      </c>
      <c r="AE2115" s="1" t="s">
        <v>98</v>
      </c>
      <c r="AF2115" s="1" t="s">
        <v>36883</v>
      </c>
      <c r="AG2115" s="1" t="s">
        <v>3052</v>
      </c>
      <c r="AH2115" s="1" t="s">
        <v>4593</v>
      </c>
      <c r="AI2115" s="1" t="s">
        <v>337</v>
      </c>
      <c r="AJ2115" s="1">
        <v>90.55</v>
      </c>
      <c r="AK2115" s="1"/>
      <c r="AL2115" s="1" t="s">
        <v>36884</v>
      </c>
      <c r="AM2115" s="1" t="s">
        <v>3052</v>
      </c>
      <c r="AN2115" s="1"/>
      <c r="AO2115" s="1" t="s">
        <v>133</v>
      </c>
      <c r="AP2115" s="1" t="s">
        <v>134</v>
      </c>
      <c r="AQ2115" s="1">
        <v>59</v>
      </c>
      <c r="AR2115" s="1"/>
      <c r="AS2115" s="1"/>
      <c r="AT2115" s="1"/>
      <c r="AU2115" s="1"/>
      <c r="AV2115" s="1"/>
      <c r="AW2115" s="1"/>
      <c r="AX2115" s="1"/>
      <c r="AY2115" s="1" t="s">
        <v>3713</v>
      </c>
      <c r="AZ2115" s="1" t="s">
        <v>36885</v>
      </c>
      <c r="BA2115" s="1"/>
      <c r="BB2115" s="1"/>
      <c r="BC2115" s="1" t="s">
        <v>1213</v>
      </c>
      <c r="BD2115" s="1" t="s">
        <v>2210</v>
      </c>
      <c r="BE2115" s="1">
        <v>55.06</v>
      </c>
      <c r="BF2115" s="1"/>
      <c r="BG2115" s="1"/>
      <c r="BH2115" s="1"/>
      <c r="BI2115" s="1"/>
      <c r="BJ2115" s="1"/>
      <c r="BK2115" s="1"/>
      <c r="BL2115" s="1"/>
      <c r="BM2115" s="1"/>
      <c r="BN2115" s="1"/>
      <c r="BO2115" s="1" t="s">
        <v>369</v>
      </c>
      <c r="BP2115" s="1"/>
      <c r="BQ2115" s="1"/>
      <c r="BR2115" s="1" t="s">
        <v>36886</v>
      </c>
      <c r="BS2115" s="1">
        <v>8</v>
      </c>
      <c r="BT2115" s="1" t="s">
        <v>36887</v>
      </c>
      <c r="BU2115" s="1" t="str">
        <f>HYPERLINK("https://nconnect.nicmar.ac.in/storage/profile/ProfilePhoto_P25702097_962518.jpg","Download")</f>
        <v>0</v>
      </c>
      <c r="BV2115" s="3"/>
      <c r="BW2115" s="3"/>
    </row>
    <row r="2116" spans="1:75">
      <c r="A2116" s="1" t="s">
        <v>26662</v>
      </c>
      <c r="B2116" s="1" t="s">
        <v>446</v>
      </c>
      <c r="C2116" s="1" t="s">
        <v>36888</v>
      </c>
      <c r="D2116" s="1" t="s">
        <v>12638</v>
      </c>
      <c r="E2116" s="1"/>
      <c r="F2116" s="1" t="s">
        <v>961</v>
      </c>
      <c r="G2116" s="1" t="s">
        <v>36889</v>
      </c>
      <c r="H2116" s="1" t="s">
        <v>36890</v>
      </c>
      <c r="I2116" s="1" t="s">
        <v>36891</v>
      </c>
      <c r="J2116" s="1">
        <v>8727800095</v>
      </c>
      <c r="K2116" s="1" t="s">
        <v>84</v>
      </c>
      <c r="L2116" s="1" t="s">
        <v>6389</v>
      </c>
      <c r="M2116" s="1" t="s">
        <v>86</v>
      </c>
      <c r="N2116" s="1" t="s">
        <v>36892</v>
      </c>
      <c r="O2116" s="1"/>
      <c r="P2116" s="1"/>
      <c r="Q2116" s="1" t="s">
        <v>36893</v>
      </c>
      <c r="R2116" s="1" t="s">
        <v>36894</v>
      </c>
      <c r="S2116" s="1">
        <v>8219084282</v>
      </c>
      <c r="T2116" s="1" t="s">
        <v>926</v>
      </c>
      <c r="U2116" s="1" t="s">
        <v>36895</v>
      </c>
      <c r="V2116" s="1">
        <v>8727800095</v>
      </c>
      <c r="W2116" s="1" t="s">
        <v>127</v>
      </c>
      <c r="X2116" s="1" t="s">
        <v>36896</v>
      </c>
      <c r="Y2116" s="1" t="s">
        <v>22060</v>
      </c>
      <c r="Z2116" s="1" t="s">
        <v>2608</v>
      </c>
      <c r="AA2116" s="1" t="s">
        <v>36896</v>
      </c>
      <c r="AB2116" s="1" t="s">
        <v>22060</v>
      </c>
      <c r="AC2116" s="1" t="s">
        <v>2608</v>
      </c>
      <c r="AD2116" s="1">
        <v>9.32</v>
      </c>
      <c r="AE2116" s="1" t="s">
        <v>98</v>
      </c>
      <c r="AF2116" s="1" t="s">
        <v>36897</v>
      </c>
      <c r="AG2116" s="1" t="s">
        <v>312</v>
      </c>
      <c r="AH2116" s="1" t="s">
        <v>1477</v>
      </c>
      <c r="AI2116" s="1" t="s">
        <v>313</v>
      </c>
      <c r="AJ2116" s="1">
        <v>89.6</v>
      </c>
      <c r="AK2116" s="1"/>
      <c r="AL2116" s="1" t="s">
        <v>36897</v>
      </c>
      <c r="AM2116" s="1" t="s">
        <v>312</v>
      </c>
      <c r="AN2116" s="1"/>
      <c r="AO2116" s="1" t="s">
        <v>365</v>
      </c>
      <c r="AP2116" s="1" t="s">
        <v>549</v>
      </c>
      <c r="AQ2116" s="1">
        <v>95</v>
      </c>
      <c r="AR2116" s="1"/>
      <c r="AS2116" s="1"/>
      <c r="AT2116" s="1"/>
      <c r="AU2116" s="1"/>
      <c r="AV2116" s="1"/>
      <c r="AW2116" s="1"/>
      <c r="AX2116" s="1"/>
      <c r="AY2116" s="1" t="s">
        <v>36898</v>
      </c>
      <c r="AZ2116" s="1" t="s">
        <v>36899</v>
      </c>
      <c r="BA2116" s="1"/>
      <c r="BB2116" s="1"/>
      <c r="BC2116" s="1" t="s">
        <v>552</v>
      </c>
      <c r="BD2116" s="1" t="s">
        <v>1401</v>
      </c>
      <c r="BE2116" s="1">
        <v>86.4</v>
      </c>
      <c r="BF2116" s="1">
        <v>8.64</v>
      </c>
      <c r="BG2116" s="1"/>
      <c r="BH2116" s="1"/>
      <c r="BI2116" s="1"/>
      <c r="BJ2116" s="1"/>
      <c r="BK2116" s="1"/>
      <c r="BL2116" s="1"/>
      <c r="BM2116" s="1"/>
      <c r="BN2116" s="1"/>
      <c r="BO2116" s="1" t="s">
        <v>36900</v>
      </c>
      <c r="BP2116" s="1"/>
      <c r="BQ2116" s="1"/>
      <c r="BR2116" s="1" t="s">
        <v>36901</v>
      </c>
      <c r="BS2116" s="1">
        <v>39</v>
      </c>
      <c r="BT2116" s="1" t="s">
        <v>36902</v>
      </c>
      <c r="BU2116" s="1" t="str">
        <f>HYPERLINK("https://nconnect.nicmar.ac.in/storage/profile/ProfilePhoto_P25702098_927635.jpg","Download")</f>
        <v>0</v>
      </c>
      <c r="BV2116" s="3"/>
      <c r="BW2116" s="3"/>
    </row>
    <row r="2117" spans="1:75">
      <c r="A2117" s="1" t="s">
        <v>26662</v>
      </c>
      <c r="B2117" s="1" t="s">
        <v>446</v>
      </c>
      <c r="C2117" s="1" t="s">
        <v>36903</v>
      </c>
      <c r="D2117" s="1" t="s">
        <v>26161</v>
      </c>
      <c r="E2117" s="1" t="s">
        <v>397</v>
      </c>
      <c r="F2117" s="1" t="s">
        <v>6206</v>
      </c>
      <c r="G2117" s="1" t="s">
        <v>36904</v>
      </c>
      <c r="H2117" s="1" t="s">
        <v>36905</v>
      </c>
      <c r="I2117" s="1" t="s">
        <v>36906</v>
      </c>
      <c r="J2117" s="1">
        <v>8888569767</v>
      </c>
      <c r="K2117" s="1" t="s">
        <v>84</v>
      </c>
      <c r="L2117" s="1" t="s">
        <v>36907</v>
      </c>
      <c r="M2117" s="1" t="s">
        <v>86</v>
      </c>
      <c r="N2117" s="1" t="s">
        <v>2298</v>
      </c>
      <c r="O2117" s="1" t="s">
        <v>36908</v>
      </c>
      <c r="P2117" s="1" t="s">
        <v>481</v>
      </c>
      <c r="Q2117" s="1" t="s">
        <v>36909</v>
      </c>
      <c r="R2117" s="1" t="s">
        <v>36910</v>
      </c>
      <c r="S2117" s="1">
        <v>9422232781</v>
      </c>
      <c r="T2117" s="1" t="s">
        <v>36911</v>
      </c>
      <c r="U2117" s="1" t="s">
        <v>36912</v>
      </c>
      <c r="V2117" s="1">
        <v>9422737392</v>
      </c>
      <c r="W2117" s="1" t="s">
        <v>36913</v>
      </c>
      <c r="X2117" s="1" t="s">
        <v>36914</v>
      </c>
      <c r="Y2117" s="1" t="s">
        <v>196</v>
      </c>
      <c r="Z2117" s="1" t="s">
        <v>97</v>
      </c>
      <c r="AA2117" s="1" t="s">
        <v>36914</v>
      </c>
      <c r="AB2117" s="1" t="s">
        <v>196</v>
      </c>
      <c r="AC2117" s="1" t="s">
        <v>97</v>
      </c>
      <c r="AD2117" s="1">
        <v>0.0</v>
      </c>
      <c r="AE2117" s="1" t="s">
        <v>98</v>
      </c>
      <c r="AF2117" s="1" t="s">
        <v>36915</v>
      </c>
      <c r="AG2117" s="1" t="s">
        <v>36916</v>
      </c>
      <c r="AH2117" s="1" t="s">
        <v>166</v>
      </c>
      <c r="AI2117" s="1" t="s">
        <v>1111</v>
      </c>
      <c r="AJ2117" s="1">
        <v>58.2</v>
      </c>
      <c r="AK2117" s="1">
        <v>0</v>
      </c>
      <c r="AL2117" s="1" t="s">
        <v>36917</v>
      </c>
      <c r="AM2117" s="1" t="s">
        <v>36918</v>
      </c>
      <c r="AN2117" s="1"/>
      <c r="AO2117" s="1" t="s">
        <v>174</v>
      </c>
      <c r="AP2117" s="1" t="s">
        <v>203</v>
      </c>
      <c r="AQ2117" s="1">
        <v>57.08</v>
      </c>
      <c r="AR2117" s="1">
        <v>0</v>
      </c>
      <c r="AS2117" s="1" t="s">
        <v>10841</v>
      </c>
      <c r="AT2117" s="1" t="s">
        <v>36919</v>
      </c>
      <c r="AU2117" s="1" t="s">
        <v>414</v>
      </c>
      <c r="AV2117" s="1" t="s">
        <v>845</v>
      </c>
      <c r="AW2117" s="1">
        <v>73.32</v>
      </c>
      <c r="AX2117" s="1">
        <v>0</v>
      </c>
      <c r="AY2117" s="1" t="s">
        <v>366</v>
      </c>
      <c r="AZ2117" s="1" t="s">
        <v>36920</v>
      </c>
      <c r="BA2117" s="1"/>
      <c r="BB2117" s="1"/>
      <c r="BC2117" s="1" t="s">
        <v>441</v>
      </c>
      <c r="BD2117" s="1" t="s">
        <v>7737</v>
      </c>
      <c r="BE2117" s="1">
        <v>59.96</v>
      </c>
      <c r="BF2117" s="1">
        <v>6.64</v>
      </c>
      <c r="BG2117" s="1"/>
      <c r="BH2117" s="1"/>
      <c r="BI2117" s="1"/>
      <c r="BJ2117" s="1"/>
      <c r="BK2117" s="1"/>
      <c r="BL2117" s="1"/>
      <c r="BM2117" s="1"/>
      <c r="BN2117" s="1"/>
      <c r="BO2117" s="1" t="s">
        <v>1114</v>
      </c>
      <c r="BP2117" s="1"/>
      <c r="BQ2117" s="1"/>
      <c r="BR2117" s="1" t="s">
        <v>36921</v>
      </c>
      <c r="BS2117" s="1">
        <v>12</v>
      </c>
      <c r="BT2117" s="1"/>
      <c r="BU2117" s="1" t="str">
        <f>HYPERLINK("https://nconnect.nicmar.ac.in/storage/profile/ProfilePhoto_P25702099_245678.jpg","Download")</f>
        <v>0</v>
      </c>
      <c r="BV2117" s="3"/>
      <c r="BW2117" s="3"/>
    </row>
    <row r="2118" spans="1:75">
      <c r="A2118" s="1" t="s">
        <v>26662</v>
      </c>
      <c r="B2118" s="1" t="s">
        <v>446</v>
      </c>
      <c r="C2118" s="1" t="s">
        <v>36922</v>
      </c>
      <c r="D2118" s="1" t="s">
        <v>12248</v>
      </c>
      <c r="E2118" s="1" t="s">
        <v>36923</v>
      </c>
      <c r="F2118" s="1" t="s">
        <v>6759</v>
      </c>
      <c r="G2118" s="1" t="s">
        <v>36924</v>
      </c>
      <c r="H2118" s="1" t="s">
        <v>36925</v>
      </c>
      <c r="I2118" s="1" t="s">
        <v>36926</v>
      </c>
      <c r="J2118" s="1">
        <v>8421641749</v>
      </c>
      <c r="K2118" s="1" t="s">
        <v>153</v>
      </c>
      <c r="L2118" s="1" t="s">
        <v>36927</v>
      </c>
      <c r="M2118" s="1" t="s">
        <v>86</v>
      </c>
      <c r="N2118" s="1" t="s">
        <v>6605</v>
      </c>
      <c r="O2118" s="1" t="s">
        <v>36928</v>
      </c>
      <c r="P2118" s="1" t="s">
        <v>507</v>
      </c>
      <c r="Q2118" s="1" t="s">
        <v>36929</v>
      </c>
      <c r="R2118" s="1" t="s">
        <v>36930</v>
      </c>
      <c r="S2118" s="1">
        <v>9423204032</v>
      </c>
      <c r="T2118" s="1" t="s">
        <v>36931</v>
      </c>
      <c r="U2118" s="1" t="s">
        <v>3340</v>
      </c>
      <c r="V2118" s="1">
        <v>9422979261</v>
      </c>
      <c r="W2118" s="1" t="s">
        <v>36931</v>
      </c>
      <c r="X2118" s="1" t="s">
        <v>36932</v>
      </c>
      <c r="Y2118" s="1" t="s">
        <v>309</v>
      </c>
      <c r="Z2118" s="1" t="s">
        <v>97</v>
      </c>
      <c r="AA2118" s="1" t="s">
        <v>36932</v>
      </c>
      <c r="AB2118" s="1" t="s">
        <v>309</v>
      </c>
      <c r="AC2118" s="1" t="s">
        <v>97</v>
      </c>
      <c r="AD2118" s="1">
        <v>8.68</v>
      </c>
      <c r="AE2118" s="1" t="s">
        <v>98</v>
      </c>
      <c r="AF2118" s="1" t="s">
        <v>36933</v>
      </c>
      <c r="AG2118" s="1" t="s">
        <v>3052</v>
      </c>
      <c r="AH2118" s="1" t="s">
        <v>166</v>
      </c>
      <c r="AI2118" s="1" t="s">
        <v>167</v>
      </c>
      <c r="AJ2118" s="1">
        <v>91.2</v>
      </c>
      <c r="AK2118" s="1"/>
      <c r="AL2118" s="1" t="s">
        <v>36934</v>
      </c>
      <c r="AM2118" s="1" t="s">
        <v>3052</v>
      </c>
      <c r="AN2118" s="1"/>
      <c r="AO2118" s="1" t="s">
        <v>170</v>
      </c>
      <c r="AP2118" s="1" t="s">
        <v>171</v>
      </c>
      <c r="AQ2118" s="1">
        <v>68.92</v>
      </c>
      <c r="AR2118" s="1"/>
      <c r="AS2118" s="1"/>
      <c r="AT2118" s="1"/>
      <c r="AU2118" s="1"/>
      <c r="AV2118" s="1"/>
      <c r="AW2118" s="1"/>
      <c r="AX2118" s="1"/>
      <c r="AY2118" s="1" t="s">
        <v>2286</v>
      </c>
      <c r="AZ2118" s="1" t="s">
        <v>36935</v>
      </c>
      <c r="BA2118" s="1"/>
      <c r="BB2118" s="1"/>
      <c r="BC2118" s="1" t="s">
        <v>315</v>
      </c>
      <c r="BD2118" s="1" t="s">
        <v>179</v>
      </c>
      <c r="BE2118" s="1">
        <v>81.6</v>
      </c>
      <c r="BF2118" s="1">
        <v>8.91</v>
      </c>
      <c r="BG2118" s="1"/>
      <c r="BH2118" s="1"/>
      <c r="BI2118" s="1"/>
      <c r="BJ2118" s="1"/>
      <c r="BK2118" s="1"/>
      <c r="BL2118" s="1"/>
      <c r="BM2118" s="1"/>
      <c r="BN2118" s="1"/>
      <c r="BO2118" s="1" t="s">
        <v>36936</v>
      </c>
      <c r="BP2118" s="1"/>
      <c r="BQ2118" s="1"/>
      <c r="BR2118" s="1" t="s">
        <v>36937</v>
      </c>
      <c r="BS2118" s="1">
        <v>70</v>
      </c>
      <c r="BT2118" s="1" t="s">
        <v>36938</v>
      </c>
      <c r="BU2118" s="1" t="str">
        <f>HYPERLINK("https://nconnect.nicmar.ac.in/storage/profile/ProfilePhoto_P25702101_631897.jpg","Download")</f>
        <v>0</v>
      </c>
      <c r="BV2118" s="3"/>
      <c r="BW2118" s="3"/>
    </row>
    <row r="2119" spans="1:75">
      <c r="A2119" s="1" t="s">
        <v>26662</v>
      </c>
      <c r="B2119" s="1" t="s">
        <v>446</v>
      </c>
      <c r="C2119" s="1" t="s">
        <v>36939</v>
      </c>
      <c r="D2119" s="1" t="s">
        <v>36940</v>
      </c>
      <c r="E2119" s="1" t="s">
        <v>1669</v>
      </c>
      <c r="F2119" s="1" t="s">
        <v>7814</v>
      </c>
      <c r="G2119" s="1" t="s">
        <v>36941</v>
      </c>
      <c r="H2119" s="1" t="s">
        <v>36942</v>
      </c>
      <c r="I2119" s="1" t="s">
        <v>36943</v>
      </c>
      <c r="J2119" s="1">
        <v>8779643880</v>
      </c>
      <c r="K2119" s="1" t="s">
        <v>84</v>
      </c>
      <c r="L2119" s="1" t="s">
        <v>36944</v>
      </c>
      <c r="M2119" s="1" t="s">
        <v>86</v>
      </c>
      <c r="N2119" s="1" t="s">
        <v>36945</v>
      </c>
      <c r="O2119" s="1"/>
      <c r="P2119" s="1" t="s">
        <v>481</v>
      </c>
      <c r="Q2119" s="1" t="s">
        <v>36946</v>
      </c>
      <c r="R2119" s="1" t="s">
        <v>36947</v>
      </c>
      <c r="S2119" s="1">
        <v>9820835616</v>
      </c>
      <c r="T2119" s="1" t="s">
        <v>926</v>
      </c>
      <c r="U2119" s="1" t="s">
        <v>36948</v>
      </c>
      <c r="V2119" s="1">
        <v>9702057199</v>
      </c>
      <c r="W2119" s="1" t="s">
        <v>161</v>
      </c>
      <c r="X2119" s="1" t="s">
        <v>36949</v>
      </c>
      <c r="Y2119" s="1"/>
      <c r="Z2119" s="1" t="s">
        <v>97</v>
      </c>
      <c r="AA2119" s="1" t="s">
        <v>36949</v>
      </c>
      <c r="AB2119" s="1"/>
      <c r="AC2119" s="1" t="s">
        <v>97</v>
      </c>
      <c r="AD2119" s="1">
        <v>9.0</v>
      </c>
      <c r="AE2119" s="1" t="s">
        <v>98</v>
      </c>
      <c r="AF2119" s="1" t="s">
        <v>36950</v>
      </c>
      <c r="AG2119" s="1" t="s">
        <v>36951</v>
      </c>
      <c r="AH2119" s="1" t="s">
        <v>3112</v>
      </c>
      <c r="AI2119" s="1" t="s">
        <v>170</v>
      </c>
      <c r="AJ2119" s="1">
        <v>93.4</v>
      </c>
      <c r="AK2119" s="1"/>
      <c r="AL2119" s="1" t="s">
        <v>30036</v>
      </c>
      <c r="AM2119" s="1" t="s">
        <v>36952</v>
      </c>
      <c r="AN2119" s="1"/>
      <c r="AO2119" s="1" t="s">
        <v>388</v>
      </c>
      <c r="AP2119" s="1" t="s">
        <v>438</v>
      </c>
      <c r="AQ2119" s="1">
        <v>75.08</v>
      </c>
      <c r="AR2119" s="1"/>
      <c r="AS2119" s="1"/>
      <c r="AT2119" s="1"/>
      <c r="AU2119" s="1"/>
      <c r="AV2119" s="1"/>
      <c r="AW2119" s="1"/>
      <c r="AX2119" s="1"/>
      <c r="AY2119" s="1" t="s">
        <v>680</v>
      </c>
      <c r="AZ2119" s="1" t="s">
        <v>36953</v>
      </c>
      <c r="BA2119" s="1"/>
      <c r="BB2119" s="1"/>
      <c r="BC2119" s="1" t="s">
        <v>206</v>
      </c>
      <c r="BD2119" s="1" t="s">
        <v>418</v>
      </c>
      <c r="BE2119" s="1">
        <v>69.57</v>
      </c>
      <c r="BF2119" s="1">
        <v>7.78</v>
      </c>
      <c r="BG2119" s="1"/>
      <c r="BH2119" s="1"/>
      <c r="BI2119" s="1"/>
      <c r="BJ2119" s="1"/>
      <c r="BK2119" s="1"/>
      <c r="BL2119" s="1"/>
      <c r="BM2119" s="1"/>
      <c r="BN2119" s="1"/>
      <c r="BO2119" s="1" t="s">
        <v>36954</v>
      </c>
      <c r="BP2119" s="1" t="s">
        <v>36955</v>
      </c>
      <c r="BQ2119" s="1" t="s">
        <v>1070</v>
      </c>
      <c r="BR2119" s="1" t="s">
        <v>36956</v>
      </c>
      <c r="BS2119" s="1">
        <v>8</v>
      </c>
      <c r="BT2119" s="1" t="s">
        <v>36957</v>
      </c>
      <c r="BU2119" s="1" t="str">
        <f>HYPERLINK("https://nconnect.nicmar.ac.in/storage/profile/ProfilePhoto_P25702102_857932.jpg","Download")</f>
        <v>0</v>
      </c>
      <c r="BV2119" s="3"/>
      <c r="BW2119" s="3"/>
    </row>
    <row r="2120" spans="1:75">
      <c r="A2120" s="1" t="s">
        <v>26662</v>
      </c>
      <c r="B2120" s="1" t="s">
        <v>446</v>
      </c>
      <c r="C2120" s="1" t="s">
        <v>36958</v>
      </c>
      <c r="D2120" s="1" t="s">
        <v>36959</v>
      </c>
      <c r="E2120" s="1" t="s">
        <v>4331</v>
      </c>
      <c r="F2120" s="1" t="s">
        <v>374</v>
      </c>
      <c r="G2120" s="1" t="s">
        <v>36960</v>
      </c>
      <c r="H2120" s="1" t="s">
        <v>36961</v>
      </c>
      <c r="I2120" s="1" t="s">
        <v>36962</v>
      </c>
      <c r="J2120" s="1">
        <v>8999404755</v>
      </c>
      <c r="K2120" s="1" t="s">
        <v>84</v>
      </c>
      <c r="L2120" s="1" t="s">
        <v>36963</v>
      </c>
      <c r="M2120" s="1" t="s">
        <v>86</v>
      </c>
      <c r="N2120" s="1" t="s">
        <v>36964</v>
      </c>
      <c r="O2120" s="1" t="s">
        <v>36965</v>
      </c>
      <c r="P2120" s="1" t="s">
        <v>507</v>
      </c>
      <c r="Q2120" s="1" t="s">
        <v>36966</v>
      </c>
      <c r="R2120" s="1" t="s">
        <v>36967</v>
      </c>
      <c r="S2120" s="1">
        <v>9423045614</v>
      </c>
      <c r="T2120" s="1" t="s">
        <v>1552</v>
      </c>
      <c r="U2120" s="1" t="s">
        <v>36968</v>
      </c>
      <c r="V2120" s="1">
        <v>7588934727</v>
      </c>
      <c r="W2120" s="1" t="s">
        <v>1552</v>
      </c>
      <c r="X2120" s="1" t="s">
        <v>36969</v>
      </c>
      <c r="Y2120" s="1" t="s">
        <v>2668</v>
      </c>
      <c r="Z2120" s="1" t="s">
        <v>97</v>
      </c>
      <c r="AA2120" s="1" t="s">
        <v>36969</v>
      </c>
      <c r="AB2120" s="1" t="s">
        <v>2668</v>
      </c>
      <c r="AC2120" s="1" t="s">
        <v>97</v>
      </c>
      <c r="AD2120" s="1">
        <v>9.47</v>
      </c>
      <c r="AE2120" s="1" t="s">
        <v>98</v>
      </c>
      <c r="AF2120" s="1" t="s">
        <v>36970</v>
      </c>
      <c r="AG2120" s="1" t="s">
        <v>36971</v>
      </c>
      <c r="AH2120" s="1" t="s">
        <v>101</v>
      </c>
      <c r="AI2120" s="1" t="s">
        <v>178</v>
      </c>
      <c r="AJ2120" s="1">
        <v>87.6</v>
      </c>
      <c r="AK2120" s="1"/>
      <c r="AL2120" s="1" t="s">
        <v>36972</v>
      </c>
      <c r="AM2120" s="1" t="s">
        <v>36973</v>
      </c>
      <c r="AN2120" s="1" t="s">
        <v>2995</v>
      </c>
      <c r="AO2120" s="1" t="s">
        <v>890</v>
      </c>
      <c r="AP2120" s="1" t="s">
        <v>1886</v>
      </c>
      <c r="AQ2120" s="1">
        <v>82.17</v>
      </c>
      <c r="AR2120" s="1"/>
      <c r="AS2120" s="1"/>
      <c r="AT2120" s="1"/>
      <c r="AU2120" s="1"/>
      <c r="AV2120" s="1"/>
      <c r="AW2120" s="1"/>
      <c r="AX2120" s="1"/>
      <c r="AY2120" s="1" t="s">
        <v>36974</v>
      </c>
      <c r="AZ2120" s="1" t="s">
        <v>36975</v>
      </c>
      <c r="BA2120" s="1" t="s">
        <v>35549</v>
      </c>
      <c r="BB2120" s="1"/>
      <c r="BC2120" s="1" t="s">
        <v>1400</v>
      </c>
      <c r="BD2120" s="1" t="s">
        <v>8670</v>
      </c>
      <c r="BE2120" s="1">
        <v>71.76</v>
      </c>
      <c r="BF2120" s="1">
        <v>3.11</v>
      </c>
      <c r="BG2120" s="1"/>
      <c r="BH2120" s="1"/>
      <c r="BI2120" s="1"/>
      <c r="BJ2120" s="1"/>
      <c r="BK2120" s="1"/>
      <c r="BL2120" s="1"/>
      <c r="BM2120" s="1"/>
      <c r="BN2120" s="1"/>
      <c r="BO2120" s="1" t="s">
        <v>36976</v>
      </c>
      <c r="BP2120" s="1"/>
      <c r="BQ2120" s="1"/>
      <c r="BR2120" s="1" t="s">
        <v>36977</v>
      </c>
      <c r="BS2120" s="1">
        <v>16</v>
      </c>
      <c r="BT2120" s="1" t="s">
        <v>36978</v>
      </c>
      <c r="BU2120" s="1" t="str">
        <f>HYPERLINK("https://nconnect.nicmar.ac.in/storage/profile/ProfilePhoto_P25702103_359467.jpg","Download")</f>
        <v>0</v>
      </c>
      <c r="BV2120" s="3"/>
      <c r="BW2120" s="3"/>
    </row>
    <row r="2121" spans="1:75">
      <c r="A2121" s="1" t="s">
        <v>26662</v>
      </c>
      <c r="B2121" s="1" t="s">
        <v>446</v>
      </c>
      <c r="C2121" s="1" t="s">
        <v>36979</v>
      </c>
      <c r="D2121" s="1" t="s">
        <v>36980</v>
      </c>
      <c r="E2121" s="1" t="s">
        <v>3718</v>
      </c>
      <c r="F2121" s="1" t="s">
        <v>36981</v>
      </c>
      <c r="G2121" s="1" t="s">
        <v>36982</v>
      </c>
      <c r="H2121" s="1" t="s">
        <v>36983</v>
      </c>
      <c r="I2121" s="1" t="s">
        <v>36984</v>
      </c>
      <c r="J2121" s="1">
        <v>8762107107</v>
      </c>
      <c r="K2121" s="1" t="s">
        <v>84</v>
      </c>
      <c r="L2121" s="1" t="s">
        <v>36985</v>
      </c>
      <c r="M2121" s="1" t="s">
        <v>86</v>
      </c>
      <c r="N2121" s="1" t="s">
        <v>8258</v>
      </c>
      <c r="O2121" s="1" t="s">
        <v>36986</v>
      </c>
      <c r="P2121" s="1" t="s">
        <v>481</v>
      </c>
      <c r="Q2121" s="1" t="s">
        <v>36987</v>
      </c>
      <c r="R2121" s="1" t="s">
        <v>3718</v>
      </c>
      <c r="S2121" s="1">
        <v>9448236222</v>
      </c>
      <c r="T2121" s="1" t="s">
        <v>36988</v>
      </c>
      <c r="U2121" s="1" t="s">
        <v>358</v>
      </c>
      <c r="V2121" s="1">
        <v>9480234555</v>
      </c>
      <c r="W2121" s="1" t="s">
        <v>36988</v>
      </c>
      <c r="X2121" s="1" t="s">
        <v>36989</v>
      </c>
      <c r="Y2121" s="1" t="s">
        <v>196</v>
      </c>
      <c r="Z2121" s="1" t="s">
        <v>97</v>
      </c>
      <c r="AA2121" s="1" t="s">
        <v>36990</v>
      </c>
      <c r="AB2121" s="1" t="s">
        <v>3729</v>
      </c>
      <c r="AC2121" s="1" t="s">
        <v>1210</v>
      </c>
      <c r="AD2121" s="1">
        <v>8.97</v>
      </c>
      <c r="AE2121" s="1" t="s">
        <v>98</v>
      </c>
      <c r="AF2121" s="1" t="s">
        <v>36991</v>
      </c>
      <c r="AG2121" s="1" t="s">
        <v>36992</v>
      </c>
      <c r="AH2121" s="1" t="s">
        <v>167</v>
      </c>
      <c r="AI2121" s="1" t="s">
        <v>170</v>
      </c>
      <c r="AJ2121" s="1">
        <v>81.7</v>
      </c>
      <c r="AK2121" s="1">
        <v>8.6</v>
      </c>
      <c r="AL2121" s="1" t="s">
        <v>36993</v>
      </c>
      <c r="AM2121" s="1" t="s">
        <v>36994</v>
      </c>
      <c r="AN2121" s="1"/>
      <c r="AO2121" s="1" t="s">
        <v>1065</v>
      </c>
      <c r="AP2121" s="1" t="s">
        <v>206</v>
      </c>
      <c r="AQ2121" s="1">
        <v>59.66</v>
      </c>
      <c r="AR2121" s="1">
        <v>0</v>
      </c>
      <c r="AS2121" s="1"/>
      <c r="AT2121" s="1"/>
      <c r="AU2121" s="1"/>
      <c r="AV2121" s="1"/>
      <c r="AW2121" s="1"/>
      <c r="AX2121" s="1"/>
      <c r="AY2121" s="1" t="s">
        <v>6669</v>
      </c>
      <c r="AZ2121" s="1" t="s">
        <v>36995</v>
      </c>
      <c r="BA2121" s="1"/>
      <c r="BB2121" s="1"/>
      <c r="BC2121" s="1" t="s">
        <v>206</v>
      </c>
      <c r="BD2121" s="1" t="s">
        <v>1267</v>
      </c>
      <c r="BE2121" s="1">
        <v>64.17</v>
      </c>
      <c r="BF2121" s="1">
        <v>7.22</v>
      </c>
      <c r="BG2121" s="1"/>
      <c r="BH2121" s="1"/>
      <c r="BI2121" s="1"/>
      <c r="BJ2121" s="1"/>
      <c r="BK2121" s="1"/>
      <c r="BL2121" s="1"/>
      <c r="BM2121" s="1"/>
      <c r="BN2121" s="1"/>
      <c r="BO2121" s="1" t="s">
        <v>36996</v>
      </c>
      <c r="BP2121" s="1"/>
      <c r="BQ2121" s="1"/>
      <c r="BR2121" s="1" t="s">
        <v>36997</v>
      </c>
      <c r="BS2121" s="1">
        <v>12</v>
      </c>
      <c r="BT2121" s="1" t="s">
        <v>36109</v>
      </c>
      <c r="BU2121" s="1" t="str">
        <f>HYPERLINK("https://nconnect.nicmar.ac.in/storage/profile/ProfilePhoto_P25702104_392471.jpg","Download")</f>
        <v>0</v>
      </c>
      <c r="BV2121" s="3"/>
      <c r="BW2121" s="3"/>
    </row>
    <row r="2122" spans="1:75">
      <c r="A2122" s="1" t="s">
        <v>26662</v>
      </c>
      <c r="B2122" s="1" t="s">
        <v>446</v>
      </c>
      <c r="C2122" s="1" t="s">
        <v>36998</v>
      </c>
      <c r="D2122" s="1" t="s">
        <v>36999</v>
      </c>
      <c r="E2122" s="1" t="s">
        <v>3058</v>
      </c>
      <c r="F2122" s="1" t="s">
        <v>241</v>
      </c>
      <c r="G2122" s="1" t="s">
        <v>37000</v>
      </c>
      <c r="H2122" s="1" t="s">
        <v>37001</v>
      </c>
      <c r="I2122" s="1" t="s">
        <v>37002</v>
      </c>
      <c r="J2122" s="1">
        <v>7517474923</v>
      </c>
      <c r="K2122" s="1" t="s">
        <v>153</v>
      </c>
      <c r="L2122" s="1" t="s">
        <v>6797</v>
      </c>
      <c r="M2122" s="1" t="s">
        <v>86</v>
      </c>
      <c r="N2122" s="1" t="s">
        <v>618</v>
      </c>
      <c r="O2122" s="1"/>
      <c r="P2122" s="1" t="s">
        <v>670</v>
      </c>
      <c r="Q2122" s="1" t="s">
        <v>37003</v>
      </c>
      <c r="R2122" s="1" t="s">
        <v>37004</v>
      </c>
      <c r="S2122" s="1">
        <v>9822947954</v>
      </c>
      <c r="T2122" s="1" t="s">
        <v>771</v>
      </c>
      <c r="U2122" s="1" t="s">
        <v>37005</v>
      </c>
      <c r="V2122" s="1">
        <v>8308888401</v>
      </c>
      <c r="W2122" s="1" t="s">
        <v>645</v>
      </c>
      <c r="X2122" s="1" t="s">
        <v>37006</v>
      </c>
      <c r="Y2122" s="1" t="s">
        <v>251</v>
      </c>
      <c r="Z2122" s="1" t="s">
        <v>97</v>
      </c>
      <c r="AA2122" s="1" t="s">
        <v>37006</v>
      </c>
      <c r="AB2122" s="1" t="s">
        <v>251</v>
      </c>
      <c r="AC2122" s="1" t="s">
        <v>97</v>
      </c>
      <c r="AD2122" s="1">
        <v>7.55</v>
      </c>
      <c r="AE2122" s="1" t="s">
        <v>98</v>
      </c>
      <c r="AF2122" s="1" t="s">
        <v>37007</v>
      </c>
      <c r="AG2122" s="1" t="s">
        <v>37008</v>
      </c>
      <c r="AH2122" s="1" t="s">
        <v>547</v>
      </c>
      <c r="AI2122" s="1" t="s">
        <v>313</v>
      </c>
      <c r="AJ2122" s="1">
        <v>59.6</v>
      </c>
      <c r="AK2122" s="1"/>
      <c r="AL2122" s="1"/>
      <c r="AM2122" s="1"/>
      <c r="AN2122" s="1" t="s">
        <v>1062</v>
      </c>
      <c r="AO2122" s="1"/>
      <c r="AP2122" s="1"/>
      <c r="AQ2122" s="1"/>
      <c r="AR2122" s="1"/>
      <c r="AS2122" s="1" t="s">
        <v>103</v>
      </c>
      <c r="AT2122" s="1" t="s">
        <v>37009</v>
      </c>
      <c r="AU2122" s="1" t="s">
        <v>206</v>
      </c>
      <c r="AV2122" s="1" t="s">
        <v>289</v>
      </c>
      <c r="AW2122" s="1">
        <v>82.11</v>
      </c>
      <c r="AX2122" s="1"/>
      <c r="AY2122" s="1" t="s">
        <v>366</v>
      </c>
      <c r="AZ2122" s="1" t="s">
        <v>37010</v>
      </c>
      <c r="BA2122" s="1" t="s">
        <v>578</v>
      </c>
      <c r="BB2122" s="1" t="s">
        <v>467</v>
      </c>
      <c r="BC2122" s="1" t="s">
        <v>1889</v>
      </c>
      <c r="BD2122" s="1" t="s">
        <v>1401</v>
      </c>
      <c r="BE2122" s="1">
        <v>66.12</v>
      </c>
      <c r="BF2122" s="1">
        <v>7.43</v>
      </c>
      <c r="BG2122" s="1"/>
      <c r="BH2122" s="1"/>
      <c r="BI2122" s="1"/>
      <c r="BJ2122" s="1"/>
      <c r="BK2122" s="1"/>
      <c r="BL2122" s="1"/>
      <c r="BM2122" s="1"/>
      <c r="BN2122" s="1"/>
      <c r="BO2122" s="1" t="s">
        <v>37011</v>
      </c>
      <c r="BP2122" s="1"/>
      <c r="BQ2122" s="1"/>
      <c r="BR2122" s="1" t="s">
        <v>37012</v>
      </c>
      <c r="BS2122" s="1">
        <v>12</v>
      </c>
      <c r="BT2122" s="1"/>
      <c r="BU2122" s="1" t="str">
        <f>HYPERLINK("https://nconnect.nicmar.ac.in/storage/profile/ProfilePhoto_P25702105_781956.jpg","Download")</f>
        <v>0</v>
      </c>
      <c r="BV2122" s="3"/>
      <c r="BW2122" s="3"/>
    </row>
    <row r="2123" spans="1:75">
      <c r="A2123" s="1" t="s">
        <v>26662</v>
      </c>
      <c r="B2123" s="1" t="s">
        <v>446</v>
      </c>
      <c r="C2123" s="1" t="s">
        <v>37013</v>
      </c>
      <c r="D2123" s="1" t="s">
        <v>37014</v>
      </c>
      <c r="E2123" s="1" t="s">
        <v>2829</v>
      </c>
      <c r="F2123" s="1" t="s">
        <v>6173</v>
      </c>
      <c r="G2123" s="1" t="s">
        <v>37015</v>
      </c>
      <c r="H2123" s="1" t="s">
        <v>37016</v>
      </c>
      <c r="I2123" s="1" t="s">
        <v>37017</v>
      </c>
      <c r="J2123" s="1">
        <v>7770075006</v>
      </c>
      <c r="K2123" s="1" t="s">
        <v>84</v>
      </c>
      <c r="L2123" s="1" t="s">
        <v>10334</v>
      </c>
      <c r="M2123" s="1" t="s">
        <v>86</v>
      </c>
      <c r="N2123" s="1" t="s">
        <v>4263</v>
      </c>
      <c r="O2123" s="1"/>
      <c r="P2123" s="1" t="s">
        <v>481</v>
      </c>
      <c r="Q2123" s="1" t="s">
        <v>37018</v>
      </c>
      <c r="R2123" s="1" t="s">
        <v>37019</v>
      </c>
      <c r="S2123" s="1">
        <v>9921475333</v>
      </c>
      <c r="T2123" s="1" t="s">
        <v>37020</v>
      </c>
      <c r="U2123" s="1" t="s">
        <v>37021</v>
      </c>
      <c r="V2123" s="1">
        <v>7558438811</v>
      </c>
      <c r="W2123" s="1" t="s">
        <v>37020</v>
      </c>
      <c r="X2123" s="1" t="s">
        <v>37022</v>
      </c>
      <c r="Y2123" s="1" t="s">
        <v>196</v>
      </c>
      <c r="Z2123" s="1" t="s">
        <v>97</v>
      </c>
      <c r="AA2123" s="1" t="s">
        <v>37023</v>
      </c>
      <c r="AB2123" s="1" t="s">
        <v>163</v>
      </c>
      <c r="AC2123" s="1" t="s">
        <v>97</v>
      </c>
      <c r="AD2123" s="1">
        <v>7.55</v>
      </c>
      <c r="AE2123" s="1" t="s">
        <v>98</v>
      </c>
      <c r="AF2123" s="1" t="s">
        <v>37024</v>
      </c>
      <c r="AG2123" s="1" t="s">
        <v>37025</v>
      </c>
      <c r="AH2123" s="1" t="s">
        <v>167</v>
      </c>
      <c r="AI2123" s="1" t="s">
        <v>286</v>
      </c>
      <c r="AJ2123" s="1">
        <v>56.8</v>
      </c>
      <c r="AK2123" s="1"/>
      <c r="AL2123" s="1"/>
      <c r="AM2123" s="1"/>
      <c r="AN2123" s="1"/>
      <c r="AO2123" s="1"/>
      <c r="AP2123" s="1"/>
      <c r="AQ2123" s="1"/>
      <c r="AR2123" s="1"/>
      <c r="AS2123" s="1" t="s">
        <v>439</v>
      </c>
      <c r="AT2123" s="1" t="s">
        <v>37026</v>
      </c>
      <c r="AU2123" s="1" t="s">
        <v>1065</v>
      </c>
      <c r="AV2123" s="1" t="s">
        <v>441</v>
      </c>
      <c r="AW2123" s="1">
        <v>86.26</v>
      </c>
      <c r="AX2123" s="1"/>
      <c r="AY2123" s="1" t="s">
        <v>366</v>
      </c>
      <c r="AZ2123" s="1" t="s">
        <v>37027</v>
      </c>
      <c r="BA2123" s="1"/>
      <c r="BB2123" s="1"/>
      <c r="BC2123" s="1" t="s">
        <v>4722</v>
      </c>
      <c r="BD2123" s="1" t="s">
        <v>848</v>
      </c>
      <c r="BE2123" s="1">
        <v>72.5</v>
      </c>
      <c r="BF2123" s="1">
        <v>8.02</v>
      </c>
      <c r="BG2123" s="1"/>
      <c r="BH2123" s="1"/>
      <c r="BI2123" s="1"/>
      <c r="BJ2123" s="1"/>
      <c r="BK2123" s="1"/>
      <c r="BL2123" s="1"/>
      <c r="BM2123" s="1"/>
      <c r="BN2123" s="1"/>
      <c r="BO2123" s="1" t="s">
        <v>37028</v>
      </c>
      <c r="BP2123" s="1"/>
      <c r="BQ2123" s="1"/>
      <c r="BR2123" s="1" t="s">
        <v>37029</v>
      </c>
      <c r="BS2123" s="1">
        <v>8</v>
      </c>
      <c r="BT2123" s="1"/>
      <c r="BU2123" s="1" t="str">
        <f>HYPERLINK("https://nconnect.nicmar.ac.in/storage/profile/ProfilePhoto_P25702106_365247.jpg","Download")</f>
        <v>0</v>
      </c>
      <c r="BV2123" s="3"/>
      <c r="BW2123" s="3"/>
    </row>
    <row r="2124" spans="1:75">
      <c r="A2124" s="1" t="s">
        <v>26662</v>
      </c>
      <c r="B2124" s="1" t="s">
        <v>446</v>
      </c>
      <c r="C2124" s="1" t="s">
        <v>37030</v>
      </c>
      <c r="D2124" s="1" t="s">
        <v>4925</v>
      </c>
      <c r="E2124" s="1" t="s">
        <v>5575</v>
      </c>
      <c r="F2124" s="1" t="s">
        <v>1179</v>
      </c>
      <c r="G2124" s="1" t="s">
        <v>37031</v>
      </c>
      <c r="H2124" s="1" t="s">
        <v>37032</v>
      </c>
      <c r="I2124" s="1" t="s">
        <v>37033</v>
      </c>
      <c r="J2124" s="1">
        <v>9975344294</v>
      </c>
      <c r="K2124" s="1" t="s">
        <v>153</v>
      </c>
      <c r="L2124" s="1" t="s">
        <v>37034</v>
      </c>
      <c r="M2124" s="1" t="s">
        <v>86</v>
      </c>
      <c r="N2124" s="1" t="s">
        <v>13039</v>
      </c>
      <c r="O2124" s="1"/>
      <c r="P2124" s="1" t="s">
        <v>481</v>
      </c>
      <c r="Q2124" s="1" t="s">
        <v>37035</v>
      </c>
      <c r="R2124" s="1" t="s">
        <v>37036</v>
      </c>
      <c r="S2124" s="1">
        <v>9890402716</v>
      </c>
      <c r="T2124" s="1" t="s">
        <v>7875</v>
      </c>
      <c r="U2124" s="1" t="s">
        <v>37037</v>
      </c>
      <c r="V2124" s="1">
        <v>8329575850</v>
      </c>
      <c r="W2124" s="1" t="s">
        <v>161</v>
      </c>
      <c r="X2124" s="1" t="s">
        <v>37038</v>
      </c>
      <c r="Y2124" s="1" t="s">
        <v>309</v>
      </c>
      <c r="Z2124" s="1" t="s">
        <v>97</v>
      </c>
      <c r="AA2124" s="1" t="s">
        <v>37038</v>
      </c>
      <c r="AB2124" s="1" t="s">
        <v>309</v>
      </c>
      <c r="AC2124" s="1" t="s">
        <v>97</v>
      </c>
      <c r="AD2124" s="1">
        <v>7.47</v>
      </c>
      <c r="AE2124" s="1" t="s">
        <v>98</v>
      </c>
      <c r="AF2124" s="1" t="s">
        <v>37039</v>
      </c>
      <c r="AG2124" s="1" t="s">
        <v>37040</v>
      </c>
      <c r="AH2124" s="1" t="s">
        <v>106</v>
      </c>
      <c r="AI2124" s="1" t="s">
        <v>438</v>
      </c>
      <c r="AJ2124" s="1">
        <v>84.2</v>
      </c>
      <c r="AK2124" s="1">
        <v>0</v>
      </c>
      <c r="AL2124" s="1"/>
      <c r="AM2124" s="1"/>
      <c r="AN2124" s="1"/>
      <c r="AO2124" s="1"/>
      <c r="AP2124" s="1"/>
      <c r="AQ2124" s="1"/>
      <c r="AR2124" s="1"/>
      <c r="AS2124" s="1" t="s">
        <v>103</v>
      </c>
      <c r="AT2124" s="1" t="s">
        <v>37041</v>
      </c>
      <c r="AU2124" s="1" t="s">
        <v>206</v>
      </c>
      <c r="AV2124" s="1" t="s">
        <v>289</v>
      </c>
      <c r="AW2124" s="1">
        <v>77</v>
      </c>
      <c r="AX2124" s="1">
        <v>0</v>
      </c>
      <c r="AY2124" s="1" t="s">
        <v>366</v>
      </c>
      <c r="AZ2124" s="1" t="s">
        <v>37042</v>
      </c>
      <c r="BA2124" s="1"/>
      <c r="BB2124" s="1"/>
      <c r="BC2124" s="1" t="s">
        <v>1889</v>
      </c>
      <c r="BD2124" s="1" t="s">
        <v>848</v>
      </c>
      <c r="BE2124" s="1">
        <v>66.39</v>
      </c>
      <c r="BF2124" s="1">
        <v>7.46</v>
      </c>
      <c r="BG2124" s="1"/>
      <c r="BH2124" s="1"/>
      <c r="BI2124" s="1"/>
      <c r="BJ2124" s="1"/>
      <c r="BK2124" s="1"/>
      <c r="BL2124" s="1"/>
      <c r="BM2124" s="1"/>
      <c r="BN2124" s="1"/>
      <c r="BO2124" s="1" t="s">
        <v>369</v>
      </c>
      <c r="BP2124" s="1"/>
      <c r="BQ2124" s="1"/>
      <c r="BR2124" s="1" t="s">
        <v>37043</v>
      </c>
      <c r="BS2124" s="1">
        <v>17</v>
      </c>
      <c r="BT2124" s="1"/>
      <c r="BU2124" s="1" t="str">
        <f>HYPERLINK("https://nconnect.nicmar.ac.in/storage/profile/ProfilePhoto_P25702108_273491.jpg","Download")</f>
        <v>0</v>
      </c>
      <c r="BV2124" s="3"/>
      <c r="BW2124" s="3"/>
    </row>
    <row r="2125" spans="1:75">
      <c r="A2125" s="1" t="s">
        <v>26662</v>
      </c>
      <c r="B2125" s="1" t="s">
        <v>446</v>
      </c>
      <c r="C2125" s="1" t="s">
        <v>37044</v>
      </c>
      <c r="D2125" s="1" t="s">
        <v>21942</v>
      </c>
      <c r="E2125" s="1"/>
      <c r="F2125" s="1" t="s">
        <v>11697</v>
      </c>
      <c r="G2125" s="1" t="s">
        <v>37045</v>
      </c>
      <c r="H2125" s="1" t="s">
        <v>37046</v>
      </c>
      <c r="I2125" s="1" t="s">
        <v>37047</v>
      </c>
      <c r="J2125" s="1">
        <v>6261957387</v>
      </c>
      <c r="K2125" s="1" t="s">
        <v>84</v>
      </c>
      <c r="L2125" s="1" t="s">
        <v>6068</v>
      </c>
      <c r="M2125" s="1" t="s">
        <v>86</v>
      </c>
      <c r="N2125" s="1" t="s">
        <v>11423</v>
      </c>
      <c r="O2125" s="1"/>
      <c r="P2125" s="1" t="s">
        <v>507</v>
      </c>
      <c r="Q2125" s="1" t="s">
        <v>37048</v>
      </c>
      <c r="R2125" s="1" t="s">
        <v>37049</v>
      </c>
      <c r="S2125" s="1">
        <v>8966000863</v>
      </c>
      <c r="T2125" s="1" t="s">
        <v>37050</v>
      </c>
      <c r="U2125" s="1" t="s">
        <v>37051</v>
      </c>
      <c r="V2125" s="1">
        <v>6261957387</v>
      </c>
      <c r="W2125" s="1" t="s">
        <v>278</v>
      </c>
      <c r="X2125" s="1" t="s">
        <v>37052</v>
      </c>
      <c r="Y2125" s="1" t="s">
        <v>196</v>
      </c>
      <c r="Z2125" s="1" t="s">
        <v>97</v>
      </c>
      <c r="AA2125" s="1" t="s">
        <v>37053</v>
      </c>
      <c r="AB2125" s="1" t="s">
        <v>11762</v>
      </c>
      <c r="AC2125" s="1" t="s">
        <v>2933</v>
      </c>
      <c r="AD2125" s="1">
        <v>7.82</v>
      </c>
      <c r="AE2125" s="1" t="s">
        <v>98</v>
      </c>
      <c r="AF2125" s="1" t="s">
        <v>37054</v>
      </c>
      <c r="AG2125" s="1" t="s">
        <v>37055</v>
      </c>
      <c r="AH2125" s="1" t="s">
        <v>573</v>
      </c>
      <c r="AI2125" s="1" t="s">
        <v>171</v>
      </c>
      <c r="AJ2125" s="1">
        <v>68</v>
      </c>
      <c r="AK2125" s="1"/>
      <c r="AL2125" s="1" t="s">
        <v>37056</v>
      </c>
      <c r="AM2125" s="1" t="s">
        <v>37057</v>
      </c>
      <c r="AN2125" s="1"/>
      <c r="AO2125" s="1" t="s">
        <v>2863</v>
      </c>
      <c r="AP2125" s="1" t="s">
        <v>1647</v>
      </c>
      <c r="AQ2125" s="1">
        <v>55</v>
      </c>
      <c r="AR2125" s="1"/>
      <c r="AS2125" s="1"/>
      <c r="AT2125" s="1"/>
      <c r="AU2125" s="1"/>
      <c r="AV2125" s="1"/>
      <c r="AW2125" s="1"/>
      <c r="AX2125" s="1"/>
      <c r="AY2125" s="1" t="s">
        <v>37058</v>
      </c>
      <c r="AZ2125" s="1" t="s">
        <v>37059</v>
      </c>
      <c r="BA2125" s="1"/>
      <c r="BB2125" s="1"/>
      <c r="BC2125" s="1" t="s">
        <v>175</v>
      </c>
      <c r="BD2125" s="1" t="s">
        <v>1132</v>
      </c>
      <c r="BE2125" s="1">
        <v>69.82</v>
      </c>
      <c r="BF2125" s="1">
        <v>7.49</v>
      </c>
      <c r="BG2125" s="1"/>
      <c r="BH2125" s="1"/>
      <c r="BI2125" s="1"/>
      <c r="BJ2125" s="1"/>
      <c r="BK2125" s="1"/>
      <c r="BL2125" s="1"/>
      <c r="BM2125" s="1"/>
      <c r="BN2125" s="1"/>
      <c r="BO2125" s="1" t="s">
        <v>37060</v>
      </c>
      <c r="BP2125" s="1"/>
      <c r="BQ2125" s="1"/>
      <c r="BR2125" s="1" t="s">
        <v>37061</v>
      </c>
      <c r="BS2125" s="1">
        <v>17</v>
      </c>
      <c r="BT2125" s="1" t="s">
        <v>37062</v>
      </c>
      <c r="BU2125" s="1" t="str">
        <f>HYPERLINK("https://nconnect.nicmar.ac.in/storage/profile/ProfilePhoto_P25702109_526438.jpg","Download")</f>
        <v>0</v>
      </c>
      <c r="BV2125" s="3"/>
      <c r="BW2125" s="3"/>
    </row>
    <row r="2126" spans="1:75">
      <c r="A2126" s="1" t="s">
        <v>26662</v>
      </c>
      <c r="B2126" s="1" t="s">
        <v>446</v>
      </c>
      <c r="C2126" s="1" t="s">
        <v>37063</v>
      </c>
      <c r="D2126" s="1" t="s">
        <v>6742</v>
      </c>
      <c r="E2126" s="1" t="s">
        <v>37064</v>
      </c>
      <c r="F2126" s="1" t="s">
        <v>6636</v>
      </c>
      <c r="G2126" s="1" t="s">
        <v>37065</v>
      </c>
      <c r="H2126" s="1" t="s">
        <v>37066</v>
      </c>
      <c r="I2126" s="1" t="s">
        <v>37067</v>
      </c>
      <c r="J2126" s="1">
        <v>9607704166</v>
      </c>
      <c r="K2126" s="1" t="s">
        <v>84</v>
      </c>
      <c r="L2126" s="1" t="s">
        <v>8144</v>
      </c>
      <c r="M2126" s="1" t="s">
        <v>86</v>
      </c>
      <c r="N2126" s="1" t="s">
        <v>37068</v>
      </c>
      <c r="O2126" s="1"/>
      <c r="P2126" s="1" t="s">
        <v>455</v>
      </c>
      <c r="Q2126" s="1" t="s">
        <v>37069</v>
      </c>
      <c r="R2126" s="1" t="s">
        <v>37070</v>
      </c>
      <c r="S2126" s="1">
        <v>7020572363</v>
      </c>
      <c r="T2126" s="1" t="s">
        <v>839</v>
      </c>
      <c r="U2126" s="1" t="s">
        <v>37071</v>
      </c>
      <c r="V2126" s="1">
        <v>8600159908</v>
      </c>
      <c r="W2126" s="1" t="s">
        <v>161</v>
      </c>
      <c r="X2126" s="1" t="s">
        <v>37072</v>
      </c>
      <c r="Y2126" s="1" t="s">
        <v>196</v>
      </c>
      <c r="Z2126" s="1" t="s">
        <v>97</v>
      </c>
      <c r="AA2126" s="1" t="s">
        <v>37072</v>
      </c>
      <c r="AB2126" s="1" t="s">
        <v>196</v>
      </c>
      <c r="AC2126" s="1" t="s">
        <v>97</v>
      </c>
      <c r="AD2126" s="1">
        <v>7.47</v>
      </c>
      <c r="AE2126" s="1" t="s">
        <v>98</v>
      </c>
      <c r="AF2126" s="1" t="s">
        <v>37073</v>
      </c>
      <c r="AG2126" s="1" t="s">
        <v>37074</v>
      </c>
      <c r="AH2126" s="1" t="s">
        <v>170</v>
      </c>
      <c r="AI2126" s="1" t="s">
        <v>171</v>
      </c>
      <c r="AJ2126" s="1">
        <v>65.2</v>
      </c>
      <c r="AK2126" s="1"/>
      <c r="AL2126" s="1" t="s">
        <v>36444</v>
      </c>
      <c r="AM2126" s="1" t="s">
        <v>37075</v>
      </c>
      <c r="AN2126" s="1"/>
      <c r="AO2126" s="1" t="s">
        <v>438</v>
      </c>
      <c r="AP2126" s="1" t="s">
        <v>417</v>
      </c>
      <c r="AQ2126" s="1">
        <v>76.62</v>
      </c>
      <c r="AR2126" s="1"/>
      <c r="AS2126" s="1"/>
      <c r="AT2126" s="1"/>
      <c r="AU2126" s="1"/>
      <c r="AV2126" s="1"/>
      <c r="AW2126" s="1"/>
      <c r="AX2126" s="1"/>
      <c r="AY2126" s="1" t="s">
        <v>366</v>
      </c>
      <c r="AZ2126" s="1" t="s">
        <v>37076</v>
      </c>
      <c r="BA2126" s="1"/>
      <c r="BB2126" s="1"/>
      <c r="BC2126" s="1" t="s">
        <v>1040</v>
      </c>
      <c r="BD2126" s="1" t="s">
        <v>179</v>
      </c>
      <c r="BE2126" s="1">
        <v>77.36</v>
      </c>
      <c r="BF2126" s="1">
        <v>8.79</v>
      </c>
      <c r="BG2126" s="1"/>
      <c r="BH2126" s="1"/>
      <c r="BI2126" s="1"/>
      <c r="BJ2126" s="1"/>
      <c r="BK2126" s="1"/>
      <c r="BL2126" s="1"/>
      <c r="BM2126" s="1"/>
      <c r="BN2126" s="1"/>
      <c r="BO2126" s="1" t="s">
        <v>3308</v>
      </c>
      <c r="BP2126" s="1"/>
      <c r="BQ2126" s="1"/>
      <c r="BR2126" s="1" t="s">
        <v>37077</v>
      </c>
      <c r="BS2126" s="1">
        <v>8</v>
      </c>
      <c r="BT2126" s="1"/>
      <c r="BU2126" s="1" t="str">
        <f>HYPERLINK("https://nconnect.nicmar.ac.in/storage/profile/ProfilePhoto_P25702110_367925.jpg","Download")</f>
        <v>0</v>
      </c>
      <c r="BV2126" s="3"/>
      <c r="BW2126" s="3"/>
    </row>
    <row r="2127" spans="1:75">
      <c r="A2127" s="1" t="s">
        <v>26662</v>
      </c>
      <c r="B2127" s="1" t="s">
        <v>446</v>
      </c>
      <c r="C2127" s="1" t="s">
        <v>37078</v>
      </c>
      <c r="D2127" s="1" t="s">
        <v>11734</v>
      </c>
      <c r="E2127" s="1"/>
      <c r="F2127" s="1" t="s">
        <v>37079</v>
      </c>
      <c r="G2127" s="1" t="s">
        <v>37080</v>
      </c>
      <c r="H2127" s="1" t="s">
        <v>37081</v>
      </c>
      <c r="I2127" s="1" t="s">
        <v>37082</v>
      </c>
      <c r="J2127" s="1">
        <v>8839030791</v>
      </c>
      <c r="K2127" s="1" t="s">
        <v>84</v>
      </c>
      <c r="L2127" s="1" t="s">
        <v>18431</v>
      </c>
      <c r="M2127" s="1" t="s">
        <v>86</v>
      </c>
      <c r="N2127" s="1" t="s">
        <v>1163</v>
      </c>
      <c r="O2127" s="1" t="s">
        <v>37083</v>
      </c>
      <c r="P2127" s="1" t="s">
        <v>455</v>
      </c>
      <c r="Q2127" s="1" t="s">
        <v>37084</v>
      </c>
      <c r="R2127" s="1" t="s">
        <v>37085</v>
      </c>
      <c r="S2127" s="1">
        <v>8120004624</v>
      </c>
      <c r="T2127" s="1" t="s">
        <v>37086</v>
      </c>
      <c r="U2127" s="1" t="s">
        <v>37087</v>
      </c>
      <c r="V2127" s="1">
        <v>9406022079</v>
      </c>
      <c r="W2127" s="1" t="s">
        <v>9700</v>
      </c>
      <c r="X2127" s="1" t="s">
        <v>37088</v>
      </c>
      <c r="Y2127" s="1" t="s">
        <v>5335</v>
      </c>
      <c r="Z2127" s="1" t="s">
        <v>2933</v>
      </c>
      <c r="AA2127" s="1" t="s">
        <v>37088</v>
      </c>
      <c r="AB2127" s="1" t="s">
        <v>5335</v>
      </c>
      <c r="AC2127" s="1" t="s">
        <v>2933</v>
      </c>
      <c r="AD2127" s="1">
        <v>9.53</v>
      </c>
      <c r="AE2127" s="1" t="s">
        <v>98</v>
      </c>
      <c r="AF2127" s="1" t="s">
        <v>37089</v>
      </c>
      <c r="AG2127" s="1" t="s">
        <v>9508</v>
      </c>
      <c r="AH2127" s="1" t="s">
        <v>704</v>
      </c>
      <c r="AI2127" s="1" t="s">
        <v>171</v>
      </c>
      <c r="AJ2127" s="1">
        <v>85.2</v>
      </c>
      <c r="AK2127" s="1">
        <v>0</v>
      </c>
      <c r="AL2127" s="1" t="s">
        <v>37089</v>
      </c>
      <c r="AM2127" s="1" t="s">
        <v>9508</v>
      </c>
      <c r="AN2127" s="1"/>
      <c r="AO2127" s="1" t="s">
        <v>547</v>
      </c>
      <c r="AP2127" s="1" t="s">
        <v>178</v>
      </c>
      <c r="AQ2127" s="1">
        <v>93.2</v>
      </c>
      <c r="AR2127" s="1">
        <v>0</v>
      </c>
      <c r="AS2127" s="1"/>
      <c r="AT2127" s="1"/>
      <c r="AU2127" s="1"/>
      <c r="AV2127" s="1"/>
      <c r="AW2127" s="1"/>
      <c r="AX2127" s="1"/>
      <c r="AY2127" s="1" t="s">
        <v>366</v>
      </c>
      <c r="AZ2127" s="1" t="s">
        <v>37090</v>
      </c>
      <c r="BA2127" s="1"/>
      <c r="BB2127" s="1"/>
      <c r="BC2127" s="1" t="s">
        <v>1040</v>
      </c>
      <c r="BD2127" s="1" t="s">
        <v>848</v>
      </c>
      <c r="BE2127" s="1">
        <v>67.37</v>
      </c>
      <c r="BF2127" s="1">
        <v>7.57</v>
      </c>
      <c r="BG2127" s="1"/>
      <c r="BH2127" s="1"/>
      <c r="BI2127" s="1"/>
      <c r="BJ2127" s="1"/>
      <c r="BK2127" s="1"/>
      <c r="BL2127" s="1"/>
      <c r="BM2127" s="1"/>
      <c r="BN2127" s="1"/>
      <c r="BO2127" s="1" t="s">
        <v>37091</v>
      </c>
      <c r="BP2127" s="1"/>
      <c r="BQ2127" s="1"/>
      <c r="BR2127" s="1" t="s">
        <v>37092</v>
      </c>
      <c r="BS2127" s="1">
        <v>35</v>
      </c>
      <c r="BT2127" s="1"/>
      <c r="BU2127" s="1" t="str">
        <f>HYPERLINK("https://nconnect.nicmar.ac.in/storage/profile/ProfilePhoto_P25702111_231964.jpg","Download")</f>
        <v>0</v>
      </c>
      <c r="BV2127" s="3"/>
      <c r="BW2127" s="3"/>
    </row>
    <row r="2128" spans="1:75">
      <c r="A2128" s="1" t="s">
        <v>26662</v>
      </c>
      <c r="B2128" s="1" t="s">
        <v>446</v>
      </c>
      <c r="C2128" s="1" t="s">
        <v>37093</v>
      </c>
      <c r="D2128" s="1" t="s">
        <v>29949</v>
      </c>
      <c r="E2128" s="1"/>
      <c r="F2128" s="1" t="s">
        <v>37094</v>
      </c>
      <c r="G2128" s="1" t="s">
        <v>37095</v>
      </c>
      <c r="H2128" s="1" t="s">
        <v>37096</v>
      </c>
      <c r="I2128" s="1" t="s">
        <v>37096</v>
      </c>
      <c r="J2128" s="1">
        <v>7057577135</v>
      </c>
      <c r="K2128" s="1" t="s">
        <v>153</v>
      </c>
      <c r="L2128" s="1" t="s">
        <v>378</v>
      </c>
      <c r="M2128" s="1" t="s">
        <v>86</v>
      </c>
      <c r="N2128" s="1" t="s">
        <v>1163</v>
      </c>
      <c r="O2128" s="1" t="s">
        <v>4179</v>
      </c>
      <c r="P2128" s="1" t="s">
        <v>219</v>
      </c>
      <c r="Q2128" s="1" t="s">
        <v>37097</v>
      </c>
      <c r="R2128" s="1" t="s">
        <v>37098</v>
      </c>
      <c r="S2128" s="1">
        <v>9049235887</v>
      </c>
      <c r="T2128" s="1" t="s">
        <v>1495</v>
      </c>
      <c r="U2128" s="1" t="s">
        <v>37099</v>
      </c>
      <c r="V2128" s="1">
        <v>9604932811</v>
      </c>
      <c r="W2128" s="1" t="s">
        <v>541</v>
      </c>
      <c r="X2128" s="1" t="s">
        <v>37100</v>
      </c>
      <c r="Y2128" s="1" t="s">
        <v>410</v>
      </c>
      <c r="Z2128" s="1" t="s">
        <v>97</v>
      </c>
      <c r="AA2128" s="1" t="s">
        <v>37100</v>
      </c>
      <c r="AB2128" s="1" t="s">
        <v>410</v>
      </c>
      <c r="AC2128" s="1" t="s">
        <v>97</v>
      </c>
      <c r="AD2128" s="1">
        <v>8.13</v>
      </c>
      <c r="AE2128" s="1" t="s">
        <v>98</v>
      </c>
      <c r="AF2128" s="1" t="s">
        <v>37101</v>
      </c>
      <c r="AG2128" s="1" t="s">
        <v>165</v>
      </c>
      <c r="AH2128" s="1" t="s">
        <v>166</v>
      </c>
      <c r="AI2128" s="1" t="s">
        <v>1111</v>
      </c>
      <c r="AJ2128" s="1">
        <v>91.4</v>
      </c>
      <c r="AK2128" s="1"/>
      <c r="AL2128" s="1" t="s">
        <v>37102</v>
      </c>
      <c r="AM2128" s="1" t="s">
        <v>165</v>
      </c>
      <c r="AN2128" s="1" t="s">
        <v>465</v>
      </c>
      <c r="AO2128" s="1" t="s">
        <v>167</v>
      </c>
      <c r="AP2128" s="1" t="s">
        <v>1477</v>
      </c>
      <c r="AQ2128" s="1">
        <v>72.77</v>
      </c>
      <c r="AR2128" s="1"/>
      <c r="AS2128" s="1"/>
      <c r="AT2128" s="1"/>
      <c r="AU2128" s="1"/>
      <c r="AV2128" s="1"/>
      <c r="AW2128" s="1"/>
      <c r="AX2128" s="1"/>
      <c r="AY2128" s="1" t="s">
        <v>997</v>
      </c>
      <c r="AZ2128" s="1" t="s">
        <v>10685</v>
      </c>
      <c r="BA2128" s="1" t="s">
        <v>682</v>
      </c>
      <c r="BB2128" s="1" t="s">
        <v>683</v>
      </c>
      <c r="BC2128" s="1" t="s">
        <v>174</v>
      </c>
      <c r="BD2128" s="1" t="s">
        <v>848</v>
      </c>
      <c r="BE2128" s="1">
        <v>60.5</v>
      </c>
      <c r="BF2128" s="1">
        <v>6.8</v>
      </c>
      <c r="BG2128" s="1"/>
      <c r="BH2128" s="1"/>
      <c r="BI2128" s="1"/>
      <c r="BJ2128" s="1"/>
      <c r="BK2128" s="1"/>
      <c r="BL2128" s="1"/>
      <c r="BM2128" s="1"/>
      <c r="BN2128" s="1"/>
      <c r="BO2128" s="1" t="s">
        <v>37103</v>
      </c>
      <c r="BP2128" s="1"/>
      <c r="BQ2128" s="1"/>
      <c r="BR2128" s="1" t="s">
        <v>37104</v>
      </c>
      <c r="BS2128" s="1">
        <v>42</v>
      </c>
      <c r="BT2128" s="1" t="s">
        <v>37105</v>
      </c>
      <c r="BU2128" s="1" t="str">
        <f>HYPERLINK("https://nconnect.nicmar.ac.in/storage/profile/ProfilePhoto_P25702113_891347.jpg","Download")</f>
        <v>0</v>
      </c>
      <c r="BV2128" s="3"/>
      <c r="BW2128" s="3"/>
    </row>
    <row r="2129" spans="1:75">
      <c r="A2129" s="1" t="s">
        <v>26662</v>
      </c>
      <c r="B2129" s="1" t="s">
        <v>446</v>
      </c>
      <c r="C2129" s="1" t="s">
        <v>37106</v>
      </c>
      <c r="D2129" s="1" t="s">
        <v>4925</v>
      </c>
      <c r="E2129" s="1"/>
      <c r="F2129" s="1" t="s">
        <v>37107</v>
      </c>
      <c r="G2129" s="1" t="s">
        <v>37108</v>
      </c>
      <c r="H2129" s="1" t="s">
        <v>37109</v>
      </c>
      <c r="I2129" s="1" t="s">
        <v>37110</v>
      </c>
      <c r="J2129" s="1">
        <v>7073096373</v>
      </c>
      <c r="K2129" s="1" t="s">
        <v>153</v>
      </c>
      <c r="L2129" s="1" t="s">
        <v>28050</v>
      </c>
      <c r="M2129" s="1" t="s">
        <v>86</v>
      </c>
      <c r="N2129" s="1" t="s">
        <v>355</v>
      </c>
      <c r="O2129" s="1"/>
      <c r="P2129" s="1" t="s">
        <v>481</v>
      </c>
      <c r="Q2129" s="1" t="s">
        <v>37111</v>
      </c>
      <c r="R2129" s="1" t="s">
        <v>37112</v>
      </c>
      <c r="S2129" s="1">
        <v>8101515687</v>
      </c>
      <c r="T2129" s="1" t="s">
        <v>926</v>
      </c>
      <c r="U2129" s="1" t="s">
        <v>37113</v>
      </c>
      <c r="V2129" s="1">
        <v>9933444303</v>
      </c>
      <c r="W2129" s="1" t="s">
        <v>161</v>
      </c>
      <c r="X2129" s="1" t="s">
        <v>37114</v>
      </c>
      <c r="Y2129" s="1" t="s">
        <v>31207</v>
      </c>
      <c r="Z2129" s="1" t="s">
        <v>1234</v>
      </c>
      <c r="AA2129" s="1" t="s">
        <v>37114</v>
      </c>
      <c r="AB2129" s="1" t="s">
        <v>31207</v>
      </c>
      <c r="AC2129" s="1" t="s">
        <v>1234</v>
      </c>
      <c r="AD2129" s="1">
        <v>8.5</v>
      </c>
      <c r="AE2129" s="1" t="s">
        <v>98</v>
      </c>
      <c r="AF2129" s="1" t="s">
        <v>37115</v>
      </c>
      <c r="AG2129" s="1" t="s">
        <v>37116</v>
      </c>
      <c r="AH2129" s="1" t="s">
        <v>1214</v>
      </c>
      <c r="AI2129" s="1" t="s">
        <v>627</v>
      </c>
      <c r="AJ2129" s="1">
        <v>87.4</v>
      </c>
      <c r="AK2129" s="1"/>
      <c r="AL2129" s="1" t="s">
        <v>37117</v>
      </c>
      <c r="AM2129" s="1" t="s">
        <v>10536</v>
      </c>
      <c r="AN2129" s="1"/>
      <c r="AO2129" s="1" t="s">
        <v>284</v>
      </c>
      <c r="AP2129" s="1" t="s">
        <v>171</v>
      </c>
      <c r="AQ2129" s="1">
        <v>61.2</v>
      </c>
      <c r="AR2129" s="1">
        <v>6.44</v>
      </c>
      <c r="AS2129" s="1"/>
      <c r="AT2129" s="1"/>
      <c r="AU2129" s="1"/>
      <c r="AV2129" s="1"/>
      <c r="AW2129" s="1"/>
      <c r="AX2129" s="1"/>
      <c r="AY2129" s="1" t="s">
        <v>37118</v>
      </c>
      <c r="AZ2129" s="1" t="s">
        <v>37119</v>
      </c>
      <c r="BA2129" s="1"/>
      <c r="BB2129" s="1"/>
      <c r="BC2129" s="1" t="s">
        <v>1065</v>
      </c>
      <c r="BD2129" s="1" t="s">
        <v>9528</v>
      </c>
      <c r="BE2129" s="1">
        <v>69.5</v>
      </c>
      <c r="BF2129" s="1">
        <v>7.45</v>
      </c>
      <c r="BG2129" s="1"/>
      <c r="BH2129" s="1"/>
      <c r="BI2129" s="1"/>
      <c r="BJ2129" s="1"/>
      <c r="BK2129" s="1"/>
      <c r="BL2129" s="1"/>
      <c r="BM2129" s="1"/>
      <c r="BN2129" s="1"/>
      <c r="BO2129" s="1" t="s">
        <v>37120</v>
      </c>
      <c r="BP2129" s="1" t="s">
        <v>37121</v>
      </c>
      <c r="BQ2129" s="1" t="s">
        <v>2245</v>
      </c>
      <c r="BR2129" s="1" t="s">
        <v>37122</v>
      </c>
      <c r="BS2129" s="1">
        <v>22</v>
      </c>
      <c r="BT2129" s="1"/>
      <c r="BU2129" s="1" t="str">
        <f>HYPERLINK("https://nconnect.nicmar.ac.in/storage/profile/ProfilePhoto_P25702114_395268.jpg","Download")</f>
        <v>0</v>
      </c>
      <c r="BV2129" s="3"/>
      <c r="BW2129" s="3"/>
    </row>
    <row r="2130" spans="1:75">
      <c r="A2130" s="1" t="s">
        <v>26662</v>
      </c>
      <c r="B2130" s="1" t="s">
        <v>446</v>
      </c>
      <c r="C2130" s="1" t="s">
        <v>37123</v>
      </c>
      <c r="D2130" s="1" t="s">
        <v>37124</v>
      </c>
      <c r="E2130" s="1"/>
      <c r="F2130" s="1" t="s">
        <v>37125</v>
      </c>
      <c r="G2130" s="1" t="s">
        <v>37126</v>
      </c>
      <c r="H2130" s="1" t="s">
        <v>37127</v>
      </c>
      <c r="I2130" s="1" t="s">
        <v>37128</v>
      </c>
      <c r="J2130" s="1">
        <v>7899368440</v>
      </c>
      <c r="K2130" s="1" t="s">
        <v>84</v>
      </c>
      <c r="L2130" s="1" t="s">
        <v>37129</v>
      </c>
      <c r="M2130" s="1" t="s">
        <v>86</v>
      </c>
      <c r="N2130" s="1" t="s">
        <v>4483</v>
      </c>
      <c r="O2130" s="1"/>
      <c r="P2130" s="1" t="s">
        <v>455</v>
      </c>
      <c r="Q2130" s="1" t="s">
        <v>37130</v>
      </c>
      <c r="R2130" s="1" t="s">
        <v>37131</v>
      </c>
      <c r="S2130" s="1">
        <v>8904003701</v>
      </c>
      <c r="T2130" s="1" t="s">
        <v>276</v>
      </c>
      <c r="U2130" s="1" t="s">
        <v>37132</v>
      </c>
      <c r="V2130" s="1">
        <v>9148084701</v>
      </c>
      <c r="W2130" s="1" t="s">
        <v>276</v>
      </c>
      <c r="X2130" s="1" t="s">
        <v>37133</v>
      </c>
      <c r="Y2130" s="1" t="s">
        <v>3132</v>
      </c>
      <c r="Z2130" s="1" t="s">
        <v>1210</v>
      </c>
      <c r="AA2130" s="1" t="s">
        <v>37133</v>
      </c>
      <c r="AB2130" s="1" t="s">
        <v>3132</v>
      </c>
      <c r="AC2130" s="1" t="s">
        <v>1210</v>
      </c>
      <c r="AD2130" s="1">
        <v>8.11</v>
      </c>
      <c r="AE2130" s="1" t="s">
        <v>98</v>
      </c>
      <c r="AF2130" s="1" t="s">
        <v>37134</v>
      </c>
      <c r="AG2130" s="1" t="s">
        <v>33630</v>
      </c>
      <c r="AH2130" s="1" t="s">
        <v>342</v>
      </c>
      <c r="AI2130" s="1" t="s">
        <v>284</v>
      </c>
      <c r="AJ2130" s="1">
        <v>87.4</v>
      </c>
      <c r="AK2130" s="1">
        <v>9.2</v>
      </c>
      <c r="AL2130" s="1" t="s">
        <v>37135</v>
      </c>
      <c r="AM2130" s="1" t="s">
        <v>37136</v>
      </c>
      <c r="AN2130" s="1" t="s">
        <v>465</v>
      </c>
      <c r="AO2130" s="1" t="s">
        <v>230</v>
      </c>
      <c r="AP2130" s="1" t="s">
        <v>174</v>
      </c>
      <c r="AQ2130" s="1">
        <v>62</v>
      </c>
      <c r="AR2130" s="1"/>
      <c r="AS2130" s="1"/>
      <c r="AT2130" s="1"/>
      <c r="AU2130" s="1"/>
      <c r="AV2130" s="1"/>
      <c r="AW2130" s="1"/>
      <c r="AX2130" s="1"/>
      <c r="AY2130" s="1" t="s">
        <v>2614</v>
      </c>
      <c r="AZ2130" s="1" t="s">
        <v>37137</v>
      </c>
      <c r="BA2130" s="1" t="s">
        <v>682</v>
      </c>
      <c r="BB2130" s="1" t="s">
        <v>1561</v>
      </c>
      <c r="BC2130" s="1" t="s">
        <v>1065</v>
      </c>
      <c r="BD2130" s="1" t="s">
        <v>955</v>
      </c>
      <c r="BE2130" s="1">
        <v>57.3</v>
      </c>
      <c r="BF2130" s="1">
        <v>5.73</v>
      </c>
      <c r="BG2130" s="1"/>
      <c r="BH2130" s="1"/>
      <c r="BI2130" s="1"/>
      <c r="BJ2130" s="1"/>
      <c r="BK2130" s="1"/>
      <c r="BL2130" s="1"/>
      <c r="BM2130" s="1"/>
      <c r="BN2130" s="1"/>
      <c r="BO2130" s="1" t="s">
        <v>37138</v>
      </c>
      <c r="BP2130" s="1" t="s">
        <v>37139</v>
      </c>
      <c r="BQ2130" s="1" t="s">
        <v>1564</v>
      </c>
      <c r="BR2130" s="1" t="s">
        <v>37140</v>
      </c>
      <c r="BS2130" s="1">
        <v>26</v>
      </c>
      <c r="BT2130" s="1" t="s">
        <v>37141</v>
      </c>
      <c r="BU2130" s="1" t="str">
        <f>HYPERLINK("https://nconnect.nicmar.ac.in/storage/profile/ProfilePhoto_P25702115_316582.jpg","Download")</f>
        <v>0</v>
      </c>
      <c r="BV2130" s="3"/>
      <c r="BW2130" s="3"/>
    </row>
    <row r="2131" spans="1:75">
      <c r="A2131" s="1" t="s">
        <v>26662</v>
      </c>
      <c r="B2131" s="1" t="s">
        <v>446</v>
      </c>
      <c r="C2131" s="1" t="s">
        <v>37142</v>
      </c>
      <c r="D2131" s="1" t="s">
        <v>1769</v>
      </c>
      <c r="E2131" s="1" t="s">
        <v>2098</v>
      </c>
      <c r="F2131" s="1" t="s">
        <v>36555</v>
      </c>
      <c r="G2131" s="1" t="s">
        <v>37143</v>
      </c>
      <c r="H2131" s="1" t="s">
        <v>37144</v>
      </c>
      <c r="I2131" s="1" t="s">
        <v>37145</v>
      </c>
      <c r="J2131" s="1">
        <v>8379986813</v>
      </c>
      <c r="K2131" s="1" t="s">
        <v>84</v>
      </c>
      <c r="L2131" s="1" t="s">
        <v>18544</v>
      </c>
      <c r="M2131" s="1" t="s">
        <v>86</v>
      </c>
      <c r="N2131" s="1" t="s">
        <v>1163</v>
      </c>
      <c r="O2131" s="1"/>
      <c r="P2131" s="1" t="s">
        <v>455</v>
      </c>
      <c r="Q2131" s="1" t="s">
        <v>37146</v>
      </c>
      <c r="R2131" s="1" t="s">
        <v>37147</v>
      </c>
      <c r="S2131" s="1">
        <v>9420333127</v>
      </c>
      <c r="T2131" s="1" t="s">
        <v>37148</v>
      </c>
      <c r="U2131" s="1" t="s">
        <v>37149</v>
      </c>
      <c r="V2131" s="1">
        <v>9146896804</v>
      </c>
      <c r="W2131" s="1" t="s">
        <v>94</v>
      </c>
      <c r="X2131" s="1" t="s">
        <v>37150</v>
      </c>
      <c r="Y2131" s="1" t="s">
        <v>434</v>
      </c>
      <c r="Z2131" s="1" t="s">
        <v>97</v>
      </c>
      <c r="AA2131" s="1" t="s">
        <v>37150</v>
      </c>
      <c r="AB2131" s="1" t="s">
        <v>434</v>
      </c>
      <c r="AC2131" s="1" t="s">
        <v>97</v>
      </c>
      <c r="AD2131" s="1">
        <v>8.24</v>
      </c>
      <c r="AE2131" s="1" t="s">
        <v>98</v>
      </c>
      <c r="AF2131" s="1" t="s">
        <v>37151</v>
      </c>
      <c r="AG2131" s="1" t="s">
        <v>312</v>
      </c>
      <c r="AH2131" s="1" t="s">
        <v>170</v>
      </c>
      <c r="AI2131" s="1" t="s">
        <v>171</v>
      </c>
      <c r="AJ2131" s="1">
        <v>84.3</v>
      </c>
      <c r="AK2131" s="1"/>
      <c r="AL2131" s="1" t="s">
        <v>37152</v>
      </c>
      <c r="AM2131" s="1" t="s">
        <v>1968</v>
      </c>
      <c r="AN2131" s="1"/>
      <c r="AO2131" s="1" t="s">
        <v>106</v>
      </c>
      <c r="AP2131" s="1" t="s">
        <v>365</v>
      </c>
      <c r="AQ2131" s="1">
        <v>66.62</v>
      </c>
      <c r="AR2131" s="1"/>
      <c r="AS2131" s="1"/>
      <c r="AT2131" s="1"/>
      <c r="AU2131" s="1"/>
      <c r="AV2131" s="1"/>
      <c r="AW2131" s="1"/>
      <c r="AX2131" s="1"/>
      <c r="AY2131" s="1" t="s">
        <v>366</v>
      </c>
      <c r="AZ2131" s="1" t="s">
        <v>8080</v>
      </c>
      <c r="BA2131" s="1"/>
      <c r="BB2131" s="1"/>
      <c r="BC2131" s="1" t="s">
        <v>178</v>
      </c>
      <c r="BD2131" s="1" t="s">
        <v>418</v>
      </c>
      <c r="BE2131" s="1">
        <v>76.45</v>
      </c>
      <c r="BF2131" s="1">
        <v>8.6</v>
      </c>
      <c r="BG2131" s="1"/>
      <c r="BH2131" s="1"/>
      <c r="BI2131" s="1"/>
      <c r="BJ2131" s="1"/>
      <c r="BK2131" s="1"/>
      <c r="BL2131" s="1"/>
      <c r="BM2131" s="1"/>
      <c r="BN2131" s="1"/>
      <c r="BO2131" s="1" t="s">
        <v>3308</v>
      </c>
      <c r="BP2131" s="1"/>
      <c r="BQ2131" s="1"/>
      <c r="BR2131" s="1" t="s">
        <v>37153</v>
      </c>
      <c r="BS2131" s="1">
        <v>9</v>
      </c>
      <c r="BT2131" s="1"/>
      <c r="BU2131" s="1" t="str">
        <f>HYPERLINK("https://nconnect.nicmar.ac.in/storage/profile/ProfilePhoto_P25702116_867945.jpg","Download")</f>
        <v>0</v>
      </c>
      <c r="BV2131" s="3"/>
      <c r="BW2131" s="3"/>
    </row>
    <row r="2132" spans="1:75">
      <c r="A2132" s="1" t="s">
        <v>26662</v>
      </c>
      <c r="B2132" s="1" t="s">
        <v>446</v>
      </c>
      <c r="C2132" s="1" t="s">
        <v>37154</v>
      </c>
      <c r="D2132" s="1" t="s">
        <v>422</v>
      </c>
      <c r="E2132" s="1"/>
      <c r="F2132" s="1" t="s">
        <v>37155</v>
      </c>
      <c r="G2132" s="1" t="s">
        <v>37156</v>
      </c>
      <c r="H2132" s="1" t="s">
        <v>37157</v>
      </c>
      <c r="I2132" s="1" t="s">
        <v>37158</v>
      </c>
      <c r="J2132" s="1">
        <v>9146032642</v>
      </c>
      <c r="K2132" s="1" t="s">
        <v>153</v>
      </c>
      <c r="L2132" s="1" t="s">
        <v>3979</v>
      </c>
      <c r="M2132" s="1" t="s">
        <v>155</v>
      </c>
      <c r="N2132" s="1" t="s">
        <v>37159</v>
      </c>
      <c r="O2132" s="1"/>
      <c r="P2132" s="1" t="s">
        <v>507</v>
      </c>
      <c r="Q2132" s="1" t="s">
        <v>37160</v>
      </c>
      <c r="R2132" s="1" t="s">
        <v>37161</v>
      </c>
      <c r="S2132" s="1">
        <v>9422220793</v>
      </c>
      <c r="T2132" s="1" t="s">
        <v>839</v>
      </c>
      <c r="U2132" s="1" t="s">
        <v>37162</v>
      </c>
      <c r="V2132" s="1">
        <v>7276430246</v>
      </c>
      <c r="W2132" s="1" t="s">
        <v>94</v>
      </c>
      <c r="X2132" s="1" t="s">
        <v>37163</v>
      </c>
      <c r="Y2132" s="1" t="s">
        <v>196</v>
      </c>
      <c r="Z2132" s="1" t="s">
        <v>97</v>
      </c>
      <c r="AA2132" s="1" t="s">
        <v>37163</v>
      </c>
      <c r="AB2132" s="1" t="s">
        <v>196</v>
      </c>
      <c r="AC2132" s="1" t="s">
        <v>97</v>
      </c>
      <c r="AD2132" s="1">
        <v>8.16</v>
      </c>
      <c r="AE2132" s="1" t="s">
        <v>98</v>
      </c>
      <c r="AF2132" s="1" t="s">
        <v>37164</v>
      </c>
      <c r="AG2132" s="1" t="s">
        <v>312</v>
      </c>
      <c r="AH2132" s="1" t="s">
        <v>13871</v>
      </c>
      <c r="AI2132" s="1" t="s">
        <v>170</v>
      </c>
      <c r="AJ2132" s="1">
        <v>83.6</v>
      </c>
      <c r="AK2132" s="1">
        <v>8.8</v>
      </c>
      <c r="AL2132" s="1" t="s">
        <v>37165</v>
      </c>
      <c r="AM2132" s="1" t="s">
        <v>165</v>
      </c>
      <c r="AN2132" s="1"/>
      <c r="AO2132" s="1" t="s">
        <v>388</v>
      </c>
      <c r="AP2132" s="1" t="s">
        <v>313</v>
      </c>
      <c r="AQ2132" s="1">
        <v>70</v>
      </c>
      <c r="AR2132" s="1">
        <v>7.37</v>
      </c>
      <c r="AS2132" s="1"/>
      <c r="AT2132" s="1"/>
      <c r="AU2132" s="1"/>
      <c r="AV2132" s="1"/>
      <c r="AW2132" s="1"/>
      <c r="AX2132" s="1"/>
      <c r="AY2132" s="1" t="s">
        <v>366</v>
      </c>
      <c r="AZ2132" s="1" t="s">
        <v>37166</v>
      </c>
      <c r="BA2132" s="1"/>
      <c r="BB2132" s="1"/>
      <c r="BC2132" s="1" t="s">
        <v>206</v>
      </c>
      <c r="BD2132" s="1" t="s">
        <v>207</v>
      </c>
      <c r="BE2132" s="1">
        <v>64.79</v>
      </c>
      <c r="BF2132" s="1">
        <v>7.28</v>
      </c>
      <c r="BG2132" s="1"/>
      <c r="BH2132" s="1"/>
      <c r="BI2132" s="1"/>
      <c r="BJ2132" s="1"/>
      <c r="BK2132" s="1"/>
      <c r="BL2132" s="1"/>
      <c r="BM2132" s="1"/>
      <c r="BN2132" s="1"/>
      <c r="BO2132" s="1" t="s">
        <v>37167</v>
      </c>
      <c r="BP2132" s="1" t="s">
        <v>37168</v>
      </c>
      <c r="BQ2132" s="1" t="s">
        <v>2093</v>
      </c>
      <c r="BR2132" s="1" t="s">
        <v>37169</v>
      </c>
      <c r="BS2132" s="1">
        <v>29</v>
      </c>
      <c r="BT2132" s="1"/>
      <c r="BU2132" s="1" t="str">
        <f>HYPERLINK("https://nconnect.nicmar.ac.in/storage/profile/ProfilePhoto_P25702117_738624.jpg","Download")</f>
        <v>0</v>
      </c>
      <c r="BV2132" s="3"/>
      <c r="BW2132" s="3"/>
    </row>
    <row r="2133" spans="1:75">
      <c r="A2133" s="1" t="s">
        <v>26662</v>
      </c>
      <c r="B2133" s="1" t="s">
        <v>446</v>
      </c>
      <c r="C2133" s="1" t="s">
        <v>37170</v>
      </c>
      <c r="D2133" s="1" t="s">
        <v>37171</v>
      </c>
      <c r="E2133" s="1"/>
      <c r="F2133" s="1" t="s">
        <v>37172</v>
      </c>
      <c r="G2133" s="1" t="s">
        <v>37173</v>
      </c>
      <c r="H2133" s="1" t="s">
        <v>37174</v>
      </c>
      <c r="I2133" s="1" t="s">
        <v>37174</v>
      </c>
      <c r="J2133" s="1"/>
      <c r="K2133" s="1"/>
      <c r="L2133" s="1"/>
      <c r="M2133" s="1"/>
      <c r="N2133" s="1"/>
      <c r="O2133" s="1"/>
      <c r="P2133" s="1"/>
      <c r="Q2133" s="1"/>
      <c r="R2133" s="1"/>
      <c r="S2133" s="1"/>
      <c r="T2133" s="1"/>
      <c r="U2133" s="1"/>
      <c r="V2133" s="1"/>
      <c r="W2133" s="1"/>
      <c r="X2133" s="1"/>
      <c r="Y2133" s="1"/>
      <c r="Z2133" s="1"/>
      <c r="AA2133" s="1"/>
      <c r="AB2133" s="1"/>
      <c r="AC2133" s="1"/>
      <c r="AD2133" s="1" t="s">
        <v>98</v>
      </c>
      <c r="AE2133" s="1" t="s">
        <v>98</v>
      </c>
      <c r="AF2133" s="1"/>
      <c r="AG2133" s="1"/>
      <c r="AH2133" s="1"/>
      <c r="AI2133" s="1"/>
      <c r="AJ2133" s="1"/>
      <c r="AK2133" s="1"/>
      <c r="AL2133" s="1"/>
      <c r="AM2133" s="1"/>
      <c r="AN2133" s="1"/>
      <c r="AO2133" s="1"/>
      <c r="AP2133" s="1"/>
      <c r="AQ2133" s="1"/>
      <c r="AR2133" s="1"/>
      <c r="AS2133" s="1"/>
      <c r="AT2133" s="1"/>
      <c r="AU2133" s="1"/>
      <c r="AV2133" s="1"/>
      <c r="AW2133" s="1"/>
      <c r="AX2133" s="1"/>
      <c r="AY2133" s="1"/>
      <c r="AZ2133" s="1"/>
      <c r="BA2133" s="1"/>
      <c r="BB2133" s="1"/>
      <c r="BC2133" s="1"/>
      <c r="BD2133" s="1"/>
      <c r="BE2133" s="1"/>
      <c r="BF2133" s="1"/>
      <c r="BG2133" s="1"/>
      <c r="BH2133" s="1"/>
      <c r="BI2133" s="1"/>
      <c r="BJ2133" s="1"/>
      <c r="BK2133" s="1"/>
      <c r="BL2133" s="1"/>
      <c r="BM2133" s="1"/>
      <c r="BN2133" s="1"/>
      <c r="BO2133" s="1"/>
      <c r="BP2133" s="1"/>
      <c r="BQ2133" s="1"/>
      <c r="BR2133" s="1"/>
      <c r="BS2133" s="1"/>
      <c r="BT2133" s="1"/>
      <c r="BU2133" s="1" t="s">
        <v>9653</v>
      </c>
      <c r="BV2133" s="3"/>
      <c r="BW2133" s="3"/>
    </row>
    <row r="2134" spans="1:75">
      <c r="A2134" s="1" t="s">
        <v>26662</v>
      </c>
      <c r="B2134" s="1" t="s">
        <v>446</v>
      </c>
      <c r="C2134" s="1" t="s">
        <v>37175</v>
      </c>
      <c r="D2134" s="1" t="s">
        <v>25582</v>
      </c>
      <c r="E2134" s="1" t="s">
        <v>9150</v>
      </c>
      <c r="F2134" s="1" t="s">
        <v>5346</v>
      </c>
      <c r="G2134" s="1" t="s">
        <v>37176</v>
      </c>
      <c r="H2134" s="1" t="s">
        <v>37177</v>
      </c>
      <c r="I2134" s="1" t="s">
        <v>37178</v>
      </c>
      <c r="J2134" s="1">
        <v>9022661537</v>
      </c>
      <c r="K2134" s="1" t="s">
        <v>84</v>
      </c>
      <c r="L2134" s="1" t="s">
        <v>37179</v>
      </c>
      <c r="M2134" s="1" t="s">
        <v>86</v>
      </c>
      <c r="N2134" s="1" t="s">
        <v>1163</v>
      </c>
      <c r="O2134" s="1"/>
      <c r="P2134" s="1" t="s">
        <v>507</v>
      </c>
      <c r="Q2134" s="1" t="s">
        <v>37180</v>
      </c>
      <c r="R2134" s="1" t="s">
        <v>9150</v>
      </c>
      <c r="S2134" s="1">
        <v>9146029745</v>
      </c>
      <c r="T2134" s="1" t="s">
        <v>645</v>
      </c>
      <c r="U2134" s="1" t="s">
        <v>37181</v>
      </c>
      <c r="V2134" s="1">
        <v>9359001993</v>
      </c>
      <c r="W2134" s="1" t="s">
        <v>645</v>
      </c>
      <c r="X2134" s="1" t="s">
        <v>37182</v>
      </c>
      <c r="Y2134" s="1" t="s">
        <v>410</v>
      </c>
      <c r="Z2134" s="1" t="s">
        <v>97</v>
      </c>
      <c r="AA2134" s="1" t="s">
        <v>37182</v>
      </c>
      <c r="AB2134" s="1" t="s">
        <v>410</v>
      </c>
      <c r="AC2134" s="1" t="s">
        <v>97</v>
      </c>
      <c r="AD2134" s="1">
        <v>6.74</v>
      </c>
      <c r="AE2134" s="1" t="s">
        <v>98</v>
      </c>
      <c r="AF2134" s="1" t="s">
        <v>37183</v>
      </c>
      <c r="AG2134" s="1" t="s">
        <v>165</v>
      </c>
      <c r="AH2134" s="1" t="s">
        <v>106</v>
      </c>
      <c r="AI2134" s="1" t="s">
        <v>414</v>
      </c>
      <c r="AJ2134" s="1">
        <v>79</v>
      </c>
      <c r="AK2134" s="1"/>
      <c r="AL2134" s="1"/>
      <c r="AM2134" s="1"/>
      <c r="AN2134" s="1"/>
      <c r="AO2134" s="1"/>
      <c r="AP2134" s="1"/>
      <c r="AQ2134" s="1"/>
      <c r="AR2134" s="1"/>
      <c r="AS2134" s="1" t="s">
        <v>37184</v>
      </c>
      <c r="AT2134" s="1" t="s">
        <v>37185</v>
      </c>
      <c r="AU2134" s="1" t="s">
        <v>438</v>
      </c>
      <c r="AV2134" s="1" t="s">
        <v>110</v>
      </c>
      <c r="AW2134" s="1">
        <v>80.21</v>
      </c>
      <c r="AX2134" s="1"/>
      <c r="AY2134" s="1" t="s">
        <v>415</v>
      </c>
      <c r="AZ2134" s="1" t="s">
        <v>37186</v>
      </c>
      <c r="BA2134" s="1" t="s">
        <v>466</v>
      </c>
      <c r="BB2134" s="1" t="s">
        <v>467</v>
      </c>
      <c r="BC2134" s="1" t="s">
        <v>1889</v>
      </c>
      <c r="BD2134" s="1" t="s">
        <v>1401</v>
      </c>
      <c r="BE2134" s="1">
        <v>59.7</v>
      </c>
      <c r="BF2134" s="1">
        <v>6.67</v>
      </c>
      <c r="BG2134" s="1"/>
      <c r="BH2134" s="1"/>
      <c r="BI2134" s="1"/>
      <c r="BJ2134" s="1"/>
      <c r="BK2134" s="1"/>
      <c r="BL2134" s="1"/>
      <c r="BM2134" s="1"/>
      <c r="BN2134" s="1"/>
      <c r="BO2134" s="1" t="s">
        <v>3508</v>
      </c>
      <c r="BP2134" s="1"/>
      <c r="BQ2134" s="1"/>
      <c r="BR2134" s="1" t="s">
        <v>37187</v>
      </c>
      <c r="BS2134" s="1">
        <v>8</v>
      </c>
      <c r="BT2134" s="1"/>
      <c r="BU2134" s="1" t="str">
        <f>HYPERLINK("https://nconnect.nicmar.ac.in/storage/profile/ProfilePhoto_P25702119_651389.jpg","Download")</f>
        <v>0</v>
      </c>
      <c r="BV2134" s="3"/>
      <c r="BW2134" s="3"/>
    </row>
    <row r="2135" spans="1:75">
      <c r="A2135" s="1" t="s">
        <v>26662</v>
      </c>
      <c r="B2135" s="1" t="s">
        <v>446</v>
      </c>
      <c r="C2135" s="1" t="s">
        <v>37188</v>
      </c>
      <c r="D2135" s="1" t="s">
        <v>37189</v>
      </c>
      <c r="E2135" s="1"/>
      <c r="F2135" s="1" t="s">
        <v>2250</v>
      </c>
      <c r="G2135" s="1" t="s">
        <v>37190</v>
      </c>
      <c r="H2135" s="1" t="s">
        <v>37191</v>
      </c>
      <c r="I2135" s="1" t="s">
        <v>37192</v>
      </c>
      <c r="J2135" s="1">
        <v>7000302186</v>
      </c>
      <c r="K2135" s="1" t="s">
        <v>153</v>
      </c>
      <c r="L2135" s="1" t="s">
        <v>37193</v>
      </c>
      <c r="M2135" s="1" t="s">
        <v>86</v>
      </c>
      <c r="N2135" s="1" t="s">
        <v>246</v>
      </c>
      <c r="O2135" s="1" t="s">
        <v>37194</v>
      </c>
      <c r="P2135" s="1" t="s">
        <v>507</v>
      </c>
      <c r="Q2135" s="1" t="s">
        <v>37195</v>
      </c>
      <c r="R2135" s="1" t="s">
        <v>9223</v>
      </c>
      <c r="S2135" s="1">
        <v>9425311503</v>
      </c>
      <c r="T2135" s="1" t="s">
        <v>37196</v>
      </c>
      <c r="U2135" s="1" t="s">
        <v>37197</v>
      </c>
      <c r="V2135" s="1">
        <v>9039344720</v>
      </c>
      <c r="W2135" s="1" t="s">
        <v>1257</v>
      </c>
      <c r="X2135" s="1" t="s">
        <v>37198</v>
      </c>
      <c r="Y2135" s="1" t="s">
        <v>5641</v>
      </c>
      <c r="Z2135" s="1" t="s">
        <v>3419</v>
      </c>
      <c r="AA2135" s="1" t="s">
        <v>37198</v>
      </c>
      <c r="AB2135" s="1" t="s">
        <v>5641</v>
      </c>
      <c r="AC2135" s="1" t="s">
        <v>3419</v>
      </c>
      <c r="AD2135" s="1">
        <v>9.55</v>
      </c>
      <c r="AE2135" s="1" t="s">
        <v>98</v>
      </c>
      <c r="AF2135" s="1" t="s">
        <v>37199</v>
      </c>
      <c r="AG2135" s="1" t="s">
        <v>312</v>
      </c>
      <c r="AH2135" s="1" t="s">
        <v>284</v>
      </c>
      <c r="AI2135" s="1" t="s">
        <v>170</v>
      </c>
      <c r="AJ2135" s="1">
        <v>87.4</v>
      </c>
      <c r="AK2135" s="1">
        <v>9.2</v>
      </c>
      <c r="AL2135" s="1" t="s">
        <v>37199</v>
      </c>
      <c r="AM2135" s="1" t="s">
        <v>312</v>
      </c>
      <c r="AN2135" s="1"/>
      <c r="AO2135" s="1" t="s">
        <v>490</v>
      </c>
      <c r="AP2135" s="1" t="s">
        <v>313</v>
      </c>
      <c r="AQ2135" s="1">
        <v>79.4</v>
      </c>
      <c r="AR2135" s="1">
        <v>0</v>
      </c>
      <c r="AS2135" s="1"/>
      <c r="AT2135" s="1"/>
      <c r="AU2135" s="1"/>
      <c r="AV2135" s="1"/>
      <c r="AW2135" s="1"/>
      <c r="AX2135" s="1"/>
      <c r="AY2135" s="1" t="s">
        <v>37200</v>
      </c>
      <c r="AZ2135" s="1" t="s">
        <v>37201</v>
      </c>
      <c r="BA2135" s="1"/>
      <c r="BB2135" s="1"/>
      <c r="BC2135" s="1" t="s">
        <v>315</v>
      </c>
      <c r="BD2135" s="1" t="s">
        <v>2383</v>
      </c>
      <c r="BE2135" s="1">
        <v>82.5</v>
      </c>
      <c r="BF2135" s="1">
        <v>8.25</v>
      </c>
      <c r="BG2135" s="1"/>
      <c r="BH2135" s="1"/>
      <c r="BI2135" s="1"/>
      <c r="BJ2135" s="1"/>
      <c r="BK2135" s="1"/>
      <c r="BL2135" s="1"/>
      <c r="BM2135" s="1"/>
      <c r="BN2135" s="1"/>
      <c r="BO2135" s="1" t="s">
        <v>37202</v>
      </c>
      <c r="BP2135" s="1" t="s">
        <v>37203</v>
      </c>
      <c r="BQ2135" s="1" t="s">
        <v>2577</v>
      </c>
      <c r="BR2135" s="1" t="s">
        <v>37204</v>
      </c>
      <c r="BS2135" s="1">
        <v>30</v>
      </c>
      <c r="BT2135" s="1"/>
      <c r="BU2135" s="1" t="str">
        <f>HYPERLINK("https://nconnect.nicmar.ac.in/storage/profile/ProfilePhoto_P25702120_279461.jpg","Download")</f>
        <v>0</v>
      </c>
      <c r="BV2135" s="3"/>
      <c r="BW2135" s="3"/>
    </row>
    <row r="2136" spans="1:75">
      <c r="A2136" s="1" t="s">
        <v>26662</v>
      </c>
      <c r="B2136" s="1" t="s">
        <v>446</v>
      </c>
      <c r="C2136" s="1" t="s">
        <v>37205</v>
      </c>
      <c r="D2136" s="1" t="s">
        <v>32845</v>
      </c>
      <c r="E2136" s="1"/>
      <c r="F2136" s="1" t="s">
        <v>116</v>
      </c>
      <c r="G2136" s="1" t="s">
        <v>37206</v>
      </c>
      <c r="H2136" s="1" t="s">
        <v>37207</v>
      </c>
      <c r="I2136" s="1" t="s">
        <v>37208</v>
      </c>
      <c r="J2136" s="1">
        <v>7559095521</v>
      </c>
      <c r="K2136" s="1" t="s">
        <v>84</v>
      </c>
      <c r="L2136" s="1" t="s">
        <v>15269</v>
      </c>
      <c r="M2136" s="1" t="s">
        <v>86</v>
      </c>
      <c r="N2136" s="1" t="s">
        <v>37209</v>
      </c>
      <c r="O2136" s="1"/>
      <c r="P2136" s="1" t="s">
        <v>455</v>
      </c>
      <c r="Q2136" s="1" t="s">
        <v>37210</v>
      </c>
      <c r="R2136" s="1" t="s">
        <v>37211</v>
      </c>
      <c r="S2136" s="1">
        <v>9562551369</v>
      </c>
      <c r="T2136" s="1" t="s">
        <v>37212</v>
      </c>
      <c r="U2136" s="1" t="s">
        <v>37213</v>
      </c>
      <c r="V2136" s="1">
        <v>9544378971</v>
      </c>
      <c r="W2136" s="1" t="s">
        <v>37214</v>
      </c>
      <c r="X2136" s="1" t="s">
        <v>37215</v>
      </c>
      <c r="Y2136" s="1" t="s">
        <v>4916</v>
      </c>
      <c r="Z2136" s="1" t="s">
        <v>130</v>
      </c>
      <c r="AA2136" s="1" t="s">
        <v>37216</v>
      </c>
      <c r="AB2136" s="1" t="s">
        <v>4916</v>
      </c>
      <c r="AC2136" s="1" t="s">
        <v>130</v>
      </c>
      <c r="AD2136" s="1">
        <v>8.45</v>
      </c>
      <c r="AE2136" s="1" t="s">
        <v>98</v>
      </c>
      <c r="AF2136" s="1" t="s">
        <v>37217</v>
      </c>
      <c r="AG2136" s="1" t="s">
        <v>22511</v>
      </c>
      <c r="AH2136" s="1" t="s">
        <v>167</v>
      </c>
      <c r="AI2136" s="1" t="s">
        <v>573</v>
      </c>
      <c r="AJ2136" s="1">
        <v>90</v>
      </c>
      <c r="AK2136" s="1">
        <v>0</v>
      </c>
      <c r="AL2136" s="1" t="s">
        <v>37218</v>
      </c>
      <c r="AM2136" s="1" t="s">
        <v>37219</v>
      </c>
      <c r="AN2136" s="1" t="s">
        <v>575</v>
      </c>
      <c r="AO2136" s="1" t="s">
        <v>388</v>
      </c>
      <c r="AP2136" s="1" t="s">
        <v>313</v>
      </c>
      <c r="AQ2136" s="1">
        <v>93.6</v>
      </c>
      <c r="AR2136" s="1">
        <v>0</v>
      </c>
      <c r="AS2136" s="1"/>
      <c r="AT2136" s="1"/>
      <c r="AU2136" s="1"/>
      <c r="AV2136" s="1"/>
      <c r="AW2136" s="1"/>
      <c r="AX2136" s="1"/>
      <c r="AY2136" s="1" t="s">
        <v>137</v>
      </c>
      <c r="AZ2136" s="1" t="s">
        <v>37220</v>
      </c>
      <c r="BA2136" s="1" t="s">
        <v>682</v>
      </c>
      <c r="BB2136" s="1" t="s">
        <v>1561</v>
      </c>
      <c r="BC2136" s="1" t="s">
        <v>175</v>
      </c>
      <c r="BD2136" s="1" t="s">
        <v>607</v>
      </c>
      <c r="BE2136" s="1">
        <v>78.6</v>
      </c>
      <c r="BF2136" s="1">
        <v>7.86</v>
      </c>
      <c r="BG2136" s="1"/>
      <c r="BH2136" s="1"/>
      <c r="BI2136" s="1"/>
      <c r="BJ2136" s="1"/>
      <c r="BK2136" s="1"/>
      <c r="BL2136" s="1"/>
      <c r="BM2136" s="1"/>
      <c r="BN2136" s="1"/>
      <c r="BO2136" s="1" t="s">
        <v>37221</v>
      </c>
      <c r="BP2136" s="1"/>
      <c r="BQ2136" s="1"/>
      <c r="BR2136" s="1" t="s">
        <v>37222</v>
      </c>
      <c r="BS2136" s="1">
        <v>39</v>
      </c>
      <c r="BT2136" s="1" t="s">
        <v>37223</v>
      </c>
      <c r="BU2136" s="1" t="str">
        <f>HYPERLINK("https://nconnect.nicmar.ac.in/storage/profile/ProfilePhoto_P25702121_187593.jpg","Download")</f>
        <v>0</v>
      </c>
      <c r="BV2136" s="3"/>
      <c r="BW2136" s="3"/>
    </row>
    <row r="2137" spans="1:75">
      <c r="A2137" s="1" t="s">
        <v>26662</v>
      </c>
      <c r="B2137" s="1" t="s">
        <v>446</v>
      </c>
      <c r="C2137" s="1" t="s">
        <v>37224</v>
      </c>
      <c r="D2137" s="1" t="s">
        <v>37225</v>
      </c>
      <c r="E2137" s="1" t="s">
        <v>1020</v>
      </c>
      <c r="F2137" s="1" t="s">
        <v>149</v>
      </c>
      <c r="G2137" s="1" t="s">
        <v>37226</v>
      </c>
      <c r="H2137" s="1" t="s">
        <v>37227</v>
      </c>
      <c r="I2137" s="1" t="s">
        <v>37228</v>
      </c>
      <c r="J2137" s="1">
        <v>9075578064</v>
      </c>
      <c r="K2137" s="1" t="s">
        <v>84</v>
      </c>
      <c r="L2137" s="1" t="s">
        <v>1876</v>
      </c>
      <c r="M2137" s="1" t="s">
        <v>86</v>
      </c>
      <c r="N2137" s="1" t="s">
        <v>6088</v>
      </c>
      <c r="O2137" s="1"/>
      <c r="P2137" s="1" t="s">
        <v>670</v>
      </c>
      <c r="Q2137" s="1" t="s">
        <v>37229</v>
      </c>
      <c r="R2137" s="1" t="s">
        <v>149</v>
      </c>
      <c r="S2137" s="1">
        <v>9822768663</v>
      </c>
      <c r="T2137" s="1" t="s">
        <v>839</v>
      </c>
      <c r="U2137" s="1" t="s">
        <v>3000</v>
      </c>
      <c r="V2137" s="1">
        <v>9822768663</v>
      </c>
      <c r="W2137" s="1" t="s">
        <v>161</v>
      </c>
      <c r="X2137" s="1" t="s">
        <v>37230</v>
      </c>
      <c r="Y2137" s="1" t="s">
        <v>196</v>
      </c>
      <c r="Z2137" s="1" t="s">
        <v>97</v>
      </c>
      <c r="AA2137" s="1" t="s">
        <v>37230</v>
      </c>
      <c r="AB2137" s="1" t="s">
        <v>196</v>
      </c>
      <c r="AC2137" s="1" t="s">
        <v>97</v>
      </c>
      <c r="AD2137" s="1">
        <v>8.29</v>
      </c>
      <c r="AE2137" s="1" t="s">
        <v>98</v>
      </c>
      <c r="AF2137" s="1" t="s">
        <v>37231</v>
      </c>
      <c r="AG2137" s="1" t="s">
        <v>37232</v>
      </c>
      <c r="AH2137" s="1" t="s">
        <v>106</v>
      </c>
      <c r="AI2137" s="1" t="s">
        <v>414</v>
      </c>
      <c r="AJ2137" s="1">
        <v>66.6</v>
      </c>
      <c r="AK2137" s="1">
        <v>0</v>
      </c>
      <c r="AL2137" s="1"/>
      <c r="AM2137" s="1"/>
      <c r="AN2137" s="1"/>
      <c r="AO2137" s="1"/>
      <c r="AP2137" s="1"/>
      <c r="AQ2137" s="1"/>
      <c r="AR2137" s="1"/>
      <c r="AS2137" s="1" t="s">
        <v>103</v>
      </c>
      <c r="AT2137" s="1" t="s">
        <v>37233</v>
      </c>
      <c r="AU2137" s="1" t="s">
        <v>438</v>
      </c>
      <c r="AV2137" s="1" t="s">
        <v>521</v>
      </c>
      <c r="AW2137" s="1">
        <v>79.42</v>
      </c>
      <c r="AX2137" s="1">
        <v>0</v>
      </c>
      <c r="AY2137" s="1" t="s">
        <v>366</v>
      </c>
      <c r="AZ2137" s="1" t="s">
        <v>37234</v>
      </c>
      <c r="BA2137" s="1"/>
      <c r="BB2137" s="1"/>
      <c r="BC2137" s="1" t="s">
        <v>289</v>
      </c>
      <c r="BD2137" s="1" t="s">
        <v>848</v>
      </c>
      <c r="BE2137" s="1">
        <v>59.75</v>
      </c>
      <c r="BF2137" s="1">
        <v>6.7</v>
      </c>
      <c r="BG2137" s="1"/>
      <c r="BH2137" s="1"/>
      <c r="BI2137" s="1"/>
      <c r="BJ2137" s="1"/>
      <c r="BK2137" s="1"/>
      <c r="BL2137" s="1"/>
      <c r="BM2137" s="1"/>
      <c r="BN2137" s="1"/>
      <c r="BO2137" s="1" t="s">
        <v>8688</v>
      </c>
      <c r="BP2137" s="1"/>
      <c r="BQ2137" s="1"/>
      <c r="BR2137" s="1" t="s">
        <v>37235</v>
      </c>
      <c r="BS2137" s="1">
        <v>17</v>
      </c>
      <c r="BT2137" s="1"/>
      <c r="BU2137" s="1" t="str">
        <f>HYPERLINK("https://nconnect.nicmar.ac.in/storage/profile/ProfilePhoto_P25702122_472139.jpg","Download")</f>
        <v>0</v>
      </c>
      <c r="BV2137" s="3"/>
      <c r="BW2137" s="3"/>
    </row>
    <row r="2138" spans="1:75">
      <c r="A2138" s="1" t="s">
        <v>26662</v>
      </c>
      <c r="B2138" s="1" t="s">
        <v>446</v>
      </c>
      <c r="C2138" s="1" t="s">
        <v>37236</v>
      </c>
      <c r="D2138" s="1" t="s">
        <v>7146</v>
      </c>
      <c r="E2138" s="1"/>
      <c r="F2138" s="1" t="s">
        <v>5994</v>
      </c>
      <c r="G2138" s="1" t="s">
        <v>37237</v>
      </c>
      <c r="H2138" s="1" t="s">
        <v>37238</v>
      </c>
      <c r="I2138" s="1" t="s">
        <v>37239</v>
      </c>
      <c r="J2138" s="1">
        <v>7089106717</v>
      </c>
      <c r="K2138" s="1" t="s">
        <v>84</v>
      </c>
      <c r="L2138" s="1" t="s">
        <v>37240</v>
      </c>
      <c r="M2138" s="1" t="s">
        <v>86</v>
      </c>
      <c r="N2138" s="1" t="s">
        <v>246</v>
      </c>
      <c r="O2138" s="1"/>
      <c r="P2138" s="1" t="s">
        <v>507</v>
      </c>
      <c r="Q2138" s="1" t="s">
        <v>37241</v>
      </c>
      <c r="R2138" s="1" t="s">
        <v>37242</v>
      </c>
      <c r="S2138" s="1">
        <v>7049806717</v>
      </c>
      <c r="T2138" s="1" t="s">
        <v>37243</v>
      </c>
      <c r="U2138" s="1" t="s">
        <v>37244</v>
      </c>
      <c r="V2138" s="1">
        <v>9406834977</v>
      </c>
      <c r="W2138" s="1" t="s">
        <v>278</v>
      </c>
      <c r="X2138" s="1" t="s">
        <v>37245</v>
      </c>
      <c r="Y2138" s="1" t="s">
        <v>5641</v>
      </c>
      <c r="Z2138" s="1" t="s">
        <v>3419</v>
      </c>
      <c r="AA2138" s="1" t="s">
        <v>37245</v>
      </c>
      <c r="AB2138" s="1" t="s">
        <v>5641</v>
      </c>
      <c r="AC2138" s="1" t="s">
        <v>3419</v>
      </c>
      <c r="AD2138" s="1">
        <v>7.18</v>
      </c>
      <c r="AE2138" s="1" t="s">
        <v>98</v>
      </c>
      <c r="AF2138" s="1" t="s">
        <v>37246</v>
      </c>
      <c r="AG2138" s="1" t="s">
        <v>775</v>
      </c>
      <c r="AH2138" s="1" t="s">
        <v>2726</v>
      </c>
      <c r="AI2138" s="1" t="s">
        <v>134</v>
      </c>
      <c r="AJ2138" s="1">
        <v>55.1</v>
      </c>
      <c r="AK2138" s="1">
        <v>5.8</v>
      </c>
      <c r="AL2138" s="1" t="s">
        <v>37247</v>
      </c>
      <c r="AM2138" s="1" t="s">
        <v>37248</v>
      </c>
      <c r="AN2138" s="1"/>
      <c r="AO2138" s="1" t="s">
        <v>136</v>
      </c>
      <c r="AP2138" s="1" t="s">
        <v>627</v>
      </c>
      <c r="AQ2138" s="1">
        <v>67.6</v>
      </c>
      <c r="AR2138" s="1">
        <v>7.12</v>
      </c>
      <c r="AS2138" s="1"/>
      <c r="AT2138" s="1"/>
      <c r="AU2138" s="1"/>
      <c r="AV2138" s="1"/>
      <c r="AW2138" s="1"/>
      <c r="AX2138" s="1"/>
      <c r="AY2138" s="1" t="s">
        <v>978</v>
      </c>
      <c r="AZ2138" s="1" t="s">
        <v>37249</v>
      </c>
      <c r="BA2138" s="1"/>
      <c r="BB2138" s="1"/>
      <c r="BC2138" s="1" t="s">
        <v>1396</v>
      </c>
      <c r="BD2138" s="1" t="s">
        <v>549</v>
      </c>
      <c r="BE2138" s="1">
        <v>58.5</v>
      </c>
      <c r="BF2138" s="1">
        <v>5.85</v>
      </c>
      <c r="BG2138" s="1"/>
      <c r="BH2138" s="1"/>
      <c r="BI2138" s="1"/>
      <c r="BJ2138" s="1"/>
      <c r="BK2138" s="1"/>
      <c r="BL2138" s="1"/>
      <c r="BM2138" s="1"/>
      <c r="BN2138" s="1"/>
      <c r="BO2138" s="1" t="s">
        <v>37250</v>
      </c>
      <c r="BP2138" s="1" t="s">
        <v>37251</v>
      </c>
      <c r="BQ2138" s="1" t="s">
        <v>1849</v>
      </c>
      <c r="BR2138" s="1" t="s">
        <v>37252</v>
      </c>
      <c r="BS2138" s="1">
        <v>32</v>
      </c>
      <c r="BT2138" s="1"/>
      <c r="BU2138" s="1" t="str">
        <f>HYPERLINK("https://nconnect.nicmar.ac.in/storage/profile/ProfilePhoto_P25702123_324697.jpg","Download")</f>
        <v>0</v>
      </c>
      <c r="BV2138" s="3"/>
      <c r="BW2138" s="3"/>
    </row>
    <row r="2139" spans="1:75">
      <c r="A2139" s="1" t="s">
        <v>26662</v>
      </c>
      <c r="B2139" s="1" t="s">
        <v>446</v>
      </c>
      <c r="C2139" s="1" t="s">
        <v>37253</v>
      </c>
      <c r="D2139" s="1" t="s">
        <v>5863</v>
      </c>
      <c r="E2139" s="1"/>
      <c r="F2139" s="1" t="s">
        <v>37254</v>
      </c>
      <c r="G2139" s="1" t="s">
        <v>37255</v>
      </c>
      <c r="H2139" s="1" t="s">
        <v>37256</v>
      </c>
      <c r="I2139" s="1" t="s">
        <v>37257</v>
      </c>
      <c r="J2139" s="1">
        <v>9497512916</v>
      </c>
      <c r="K2139" s="1" t="s">
        <v>84</v>
      </c>
      <c r="L2139" s="1" t="s">
        <v>37258</v>
      </c>
      <c r="M2139" s="1" t="s">
        <v>86</v>
      </c>
      <c r="N2139" s="1" t="s">
        <v>23329</v>
      </c>
      <c r="O2139" s="1"/>
      <c r="P2139" s="1" t="s">
        <v>481</v>
      </c>
      <c r="Q2139" s="1" t="s">
        <v>37259</v>
      </c>
      <c r="R2139" s="1" t="s">
        <v>37260</v>
      </c>
      <c r="S2139" s="1">
        <v>9446511291</v>
      </c>
      <c r="T2139" s="1" t="s">
        <v>6019</v>
      </c>
      <c r="U2139" s="1" t="s">
        <v>37261</v>
      </c>
      <c r="V2139" s="1">
        <v>9496549541</v>
      </c>
      <c r="W2139" s="1" t="s">
        <v>37262</v>
      </c>
      <c r="X2139" s="1" t="s">
        <v>37263</v>
      </c>
      <c r="Y2139" s="1" t="s">
        <v>3190</v>
      </c>
      <c r="Z2139" s="1" t="s">
        <v>130</v>
      </c>
      <c r="AA2139" s="1" t="s">
        <v>37263</v>
      </c>
      <c r="AB2139" s="1" t="s">
        <v>3190</v>
      </c>
      <c r="AC2139" s="1" t="s">
        <v>130</v>
      </c>
      <c r="AD2139" s="1">
        <v>8.39</v>
      </c>
      <c r="AE2139" s="1" t="s">
        <v>98</v>
      </c>
      <c r="AF2139" s="1" t="s">
        <v>37264</v>
      </c>
      <c r="AG2139" s="1" t="s">
        <v>775</v>
      </c>
      <c r="AH2139" s="1" t="s">
        <v>337</v>
      </c>
      <c r="AI2139" s="1" t="s">
        <v>1457</v>
      </c>
      <c r="AJ2139" s="1">
        <v>85.5</v>
      </c>
      <c r="AK2139" s="1">
        <v>9</v>
      </c>
      <c r="AL2139" s="1" t="s">
        <v>37265</v>
      </c>
      <c r="AM2139" s="1" t="s">
        <v>37266</v>
      </c>
      <c r="AN2139" s="1" t="s">
        <v>575</v>
      </c>
      <c r="AO2139" s="1" t="s">
        <v>1213</v>
      </c>
      <c r="AP2139" s="1" t="s">
        <v>102</v>
      </c>
      <c r="AQ2139" s="1">
        <v>73.25</v>
      </c>
      <c r="AR2139" s="1">
        <v>0</v>
      </c>
      <c r="AS2139" s="1"/>
      <c r="AT2139" s="1"/>
      <c r="AU2139" s="1"/>
      <c r="AV2139" s="1"/>
      <c r="AW2139" s="1"/>
      <c r="AX2139" s="1"/>
      <c r="AY2139" s="1" t="s">
        <v>37267</v>
      </c>
      <c r="AZ2139" s="1" t="s">
        <v>37268</v>
      </c>
      <c r="BA2139" s="1" t="s">
        <v>466</v>
      </c>
      <c r="BB2139" s="1" t="s">
        <v>467</v>
      </c>
      <c r="BC2139" s="1" t="s">
        <v>105</v>
      </c>
      <c r="BD2139" s="1" t="s">
        <v>1268</v>
      </c>
      <c r="BE2139" s="1">
        <v>63.5</v>
      </c>
      <c r="BF2139" s="1">
        <v>6.35</v>
      </c>
      <c r="BG2139" s="1"/>
      <c r="BH2139" s="1"/>
      <c r="BI2139" s="1"/>
      <c r="BJ2139" s="1"/>
      <c r="BK2139" s="1"/>
      <c r="BL2139" s="1"/>
      <c r="BM2139" s="1"/>
      <c r="BN2139" s="1"/>
      <c r="BO2139" s="1" t="s">
        <v>37269</v>
      </c>
      <c r="BP2139" s="1"/>
      <c r="BQ2139" s="1"/>
      <c r="BR2139" s="1" t="s">
        <v>37270</v>
      </c>
      <c r="BS2139" s="1">
        <v>101</v>
      </c>
      <c r="BT2139" s="1" t="s">
        <v>37271</v>
      </c>
      <c r="BU2139" s="1" t="str">
        <f>HYPERLINK("https://nconnect.nicmar.ac.in/storage/profile/ProfilePhoto_P25702124_236974.jpg","Download")</f>
        <v>0</v>
      </c>
      <c r="BV2139" s="3"/>
      <c r="BW2139" s="3"/>
    </row>
    <row r="2140" spans="1:75">
      <c r="A2140" s="1" t="s">
        <v>26662</v>
      </c>
      <c r="B2140" s="1" t="s">
        <v>446</v>
      </c>
      <c r="C2140" s="1" t="s">
        <v>37272</v>
      </c>
      <c r="D2140" s="1" t="s">
        <v>37273</v>
      </c>
      <c r="E2140" s="1" t="s">
        <v>3058</v>
      </c>
      <c r="F2140" s="1" t="s">
        <v>30566</v>
      </c>
      <c r="G2140" s="1" t="s">
        <v>37274</v>
      </c>
      <c r="H2140" s="1" t="s">
        <v>37275</v>
      </c>
      <c r="I2140" s="1" t="s">
        <v>37276</v>
      </c>
      <c r="J2140" s="1">
        <v>8806047010</v>
      </c>
      <c r="K2140" s="1" t="s">
        <v>153</v>
      </c>
      <c r="L2140" s="1" t="s">
        <v>7996</v>
      </c>
      <c r="M2140" s="1" t="s">
        <v>86</v>
      </c>
      <c r="N2140" s="1" t="s">
        <v>2988</v>
      </c>
      <c r="O2140" s="1"/>
      <c r="P2140" s="1" t="s">
        <v>507</v>
      </c>
      <c r="Q2140" s="1" t="s">
        <v>37277</v>
      </c>
      <c r="R2140" s="1" t="s">
        <v>3058</v>
      </c>
      <c r="S2140" s="1">
        <v>9422734028</v>
      </c>
      <c r="T2140" s="1" t="s">
        <v>382</v>
      </c>
      <c r="U2140" s="1" t="s">
        <v>5271</v>
      </c>
      <c r="V2140" s="1">
        <v>9850192927</v>
      </c>
      <c r="W2140" s="1" t="s">
        <v>278</v>
      </c>
      <c r="X2140" s="1" t="s">
        <v>37278</v>
      </c>
      <c r="Y2140" s="1" t="s">
        <v>624</v>
      </c>
      <c r="Z2140" s="1" t="s">
        <v>97</v>
      </c>
      <c r="AA2140" s="1" t="s">
        <v>37279</v>
      </c>
      <c r="AB2140" s="1" t="s">
        <v>624</v>
      </c>
      <c r="AC2140" s="1" t="s">
        <v>97</v>
      </c>
      <c r="AD2140" s="1">
        <v>6.61</v>
      </c>
      <c r="AE2140" s="1" t="s">
        <v>98</v>
      </c>
      <c r="AF2140" s="1" t="s">
        <v>37280</v>
      </c>
      <c r="AG2140" s="1" t="s">
        <v>165</v>
      </c>
      <c r="AH2140" s="1" t="s">
        <v>728</v>
      </c>
      <c r="AI2140" s="1" t="s">
        <v>102</v>
      </c>
      <c r="AJ2140" s="1">
        <v>67.6</v>
      </c>
      <c r="AK2140" s="1"/>
      <c r="AL2140" s="1" t="s">
        <v>37281</v>
      </c>
      <c r="AM2140" s="1" t="s">
        <v>165</v>
      </c>
      <c r="AN2140" s="1"/>
      <c r="AO2140" s="1" t="s">
        <v>136</v>
      </c>
      <c r="AP2140" s="1" t="s">
        <v>200</v>
      </c>
      <c r="AQ2140" s="1">
        <v>56.31</v>
      </c>
      <c r="AR2140" s="1"/>
      <c r="AS2140" s="1"/>
      <c r="AT2140" s="1"/>
      <c r="AU2140" s="1"/>
      <c r="AV2140" s="1"/>
      <c r="AW2140" s="1"/>
      <c r="AX2140" s="1"/>
      <c r="AY2140" s="1" t="s">
        <v>415</v>
      </c>
      <c r="AZ2140" s="1" t="s">
        <v>37282</v>
      </c>
      <c r="BA2140" s="1"/>
      <c r="BB2140" s="1"/>
      <c r="BC2140" s="1" t="s">
        <v>171</v>
      </c>
      <c r="BD2140" s="1" t="s">
        <v>579</v>
      </c>
      <c r="BE2140" s="1">
        <v>57.6</v>
      </c>
      <c r="BF2140" s="1">
        <v>6.51</v>
      </c>
      <c r="BG2140" s="1"/>
      <c r="BH2140" s="1"/>
      <c r="BI2140" s="1"/>
      <c r="BJ2140" s="1"/>
      <c r="BK2140" s="1"/>
      <c r="BL2140" s="1"/>
      <c r="BM2140" s="1"/>
      <c r="BN2140" s="1"/>
      <c r="BO2140" s="1" t="s">
        <v>37283</v>
      </c>
      <c r="BP2140" s="1" t="s">
        <v>37284</v>
      </c>
      <c r="BQ2140" s="1" t="s">
        <v>1174</v>
      </c>
      <c r="BR2140" s="1" t="s">
        <v>37285</v>
      </c>
      <c r="BS2140" s="1">
        <v>48</v>
      </c>
      <c r="BT2140" s="1" t="s">
        <v>37286</v>
      </c>
      <c r="BU2140" s="1" t="str">
        <f>HYPERLINK("https://nconnect.nicmar.ac.in/storage/profile/ProfilePhoto_P25702125_416987.jpg","Download")</f>
        <v>0</v>
      </c>
      <c r="BV2140" s="3"/>
      <c r="BW2140" s="3"/>
    </row>
    <row r="2141" spans="1:75">
      <c r="A2141" s="1" t="s">
        <v>26662</v>
      </c>
      <c r="B2141" s="1" t="s">
        <v>446</v>
      </c>
      <c r="C2141" s="1" t="s">
        <v>37287</v>
      </c>
      <c r="D2141" s="1" t="s">
        <v>1294</v>
      </c>
      <c r="E2141" s="1" t="s">
        <v>4310</v>
      </c>
      <c r="F2141" s="1" t="s">
        <v>37288</v>
      </c>
      <c r="G2141" s="1" t="s">
        <v>37289</v>
      </c>
      <c r="H2141" s="1" t="s">
        <v>37290</v>
      </c>
      <c r="I2141" s="1" t="s">
        <v>37291</v>
      </c>
      <c r="J2141" s="1">
        <v>7208199285</v>
      </c>
      <c r="K2141" s="1" t="s">
        <v>84</v>
      </c>
      <c r="L2141" s="1" t="s">
        <v>27959</v>
      </c>
      <c r="M2141" s="1" t="s">
        <v>86</v>
      </c>
      <c r="N2141" s="1" t="s">
        <v>3568</v>
      </c>
      <c r="O2141" s="1" t="s">
        <v>37292</v>
      </c>
      <c r="P2141" s="1" t="s">
        <v>455</v>
      </c>
      <c r="Q2141" s="1" t="s">
        <v>37293</v>
      </c>
      <c r="R2141" s="1" t="s">
        <v>37294</v>
      </c>
      <c r="S2141" s="1">
        <v>9819826367</v>
      </c>
      <c r="T2141" s="1" t="s">
        <v>37295</v>
      </c>
      <c r="U2141" s="1" t="s">
        <v>37296</v>
      </c>
      <c r="V2141" s="1">
        <v>9833102472</v>
      </c>
      <c r="W2141" s="1" t="s">
        <v>37297</v>
      </c>
      <c r="X2141" s="1" t="s">
        <v>37298</v>
      </c>
      <c r="Y2141" s="1" t="s">
        <v>2259</v>
      </c>
      <c r="Z2141" s="1" t="s">
        <v>97</v>
      </c>
      <c r="AA2141" s="1" t="s">
        <v>37298</v>
      </c>
      <c r="AB2141" s="1" t="s">
        <v>2259</v>
      </c>
      <c r="AC2141" s="1" t="s">
        <v>97</v>
      </c>
      <c r="AD2141" s="1">
        <v>8.0</v>
      </c>
      <c r="AE2141" s="1" t="s">
        <v>98</v>
      </c>
      <c r="AF2141" s="1" t="s">
        <v>37299</v>
      </c>
      <c r="AG2141" s="1" t="s">
        <v>37300</v>
      </c>
      <c r="AH2141" s="1" t="s">
        <v>515</v>
      </c>
      <c r="AI2141" s="1" t="s">
        <v>102</v>
      </c>
      <c r="AJ2141" s="1">
        <v>85</v>
      </c>
      <c r="AK2141" s="1"/>
      <c r="AL2141" s="1" t="s">
        <v>37301</v>
      </c>
      <c r="AM2141" s="1" t="s">
        <v>37302</v>
      </c>
      <c r="AN2141" s="1"/>
      <c r="AO2141" s="1" t="s">
        <v>517</v>
      </c>
      <c r="AP2141" s="1" t="s">
        <v>518</v>
      </c>
      <c r="AQ2141" s="1">
        <v>60.77</v>
      </c>
      <c r="AR2141" s="1"/>
      <c r="AS2141" s="1"/>
      <c r="AT2141" s="1"/>
      <c r="AU2141" s="1"/>
      <c r="AV2141" s="1"/>
      <c r="AW2141" s="1"/>
      <c r="AX2141" s="1"/>
      <c r="AY2141" s="1" t="s">
        <v>680</v>
      </c>
      <c r="AZ2141" s="1" t="s">
        <v>37303</v>
      </c>
      <c r="BA2141" s="1"/>
      <c r="BB2141" s="1"/>
      <c r="BC2141" s="1" t="s">
        <v>230</v>
      </c>
      <c r="BD2141" s="1" t="s">
        <v>289</v>
      </c>
      <c r="BE2141" s="1">
        <v>59.99</v>
      </c>
      <c r="BF2141" s="1">
        <v>6.76</v>
      </c>
      <c r="BG2141" s="1"/>
      <c r="BH2141" s="1"/>
      <c r="BI2141" s="1"/>
      <c r="BJ2141" s="1"/>
      <c r="BK2141" s="1"/>
      <c r="BL2141" s="1"/>
      <c r="BM2141" s="1"/>
      <c r="BN2141" s="1"/>
      <c r="BO2141" s="1" t="s">
        <v>37304</v>
      </c>
      <c r="BP2141" s="1" t="s">
        <v>37305</v>
      </c>
      <c r="BQ2141" s="1" t="s">
        <v>9111</v>
      </c>
      <c r="BR2141" s="1" t="s">
        <v>37306</v>
      </c>
      <c r="BS2141" s="1">
        <v>9</v>
      </c>
      <c r="BT2141" s="1"/>
      <c r="BU2141" s="1" t="str">
        <f>HYPERLINK("https://nconnect.nicmar.ac.in/storage/profile/ProfilePhoto_P25702126_789261.jpg","Download")</f>
        <v>0</v>
      </c>
      <c r="BV2141" s="3"/>
      <c r="BW2141" s="3"/>
    </row>
    <row r="2142" spans="1:75">
      <c r="A2142" s="1" t="s">
        <v>26662</v>
      </c>
      <c r="B2142" s="1" t="s">
        <v>446</v>
      </c>
      <c r="C2142" s="1" t="s">
        <v>37307</v>
      </c>
      <c r="D2142" s="1" t="s">
        <v>37308</v>
      </c>
      <c r="E2142" s="1" t="s">
        <v>373</v>
      </c>
      <c r="F2142" s="1" t="s">
        <v>37309</v>
      </c>
      <c r="G2142" s="1" t="s">
        <v>37310</v>
      </c>
      <c r="H2142" s="1" t="s">
        <v>37311</v>
      </c>
      <c r="I2142" s="1" t="s">
        <v>37312</v>
      </c>
      <c r="J2142" s="1">
        <v>9673225581</v>
      </c>
      <c r="K2142" s="1" t="s">
        <v>84</v>
      </c>
      <c r="L2142" s="1" t="s">
        <v>27305</v>
      </c>
      <c r="M2142" s="1" t="s">
        <v>86</v>
      </c>
      <c r="N2142" s="1" t="s">
        <v>836</v>
      </c>
      <c r="O2142" s="1"/>
      <c r="P2142" s="1" t="s">
        <v>507</v>
      </c>
      <c r="Q2142" s="1" t="s">
        <v>37313</v>
      </c>
      <c r="R2142" s="1" t="s">
        <v>37314</v>
      </c>
      <c r="S2142" s="1">
        <v>9850044357</v>
      </c>
      <c r="T2142" s="1" t="s">
        <v>839</v>
      </c>
      <c r="U2142" s="1" t="s">
        <v>37315</v>
      </c>
      <c r="V2142" s="1">
        <v>8975557446</v>
      </c>
      <c r="W2142" s="1" t="s">
        <v>161</v>
      </c>
      <c r="X2142" s="1" t="s">
        <v>37316</v>
      </c>
      <c r="Y2142" s="1" t="s">
        <v>910</v>
      </c>
      <c r="Z2142" s="1" t="s">
        <v>97</v>
      </c>
      <c r="AA2142" s="1" t="s">
        <v>37316</v>
      </c>
      <c r="AB2142" s="1" t="s">
        <v>910</v>
      </c>
      <c r="AC2142" s="1" t="s">
        <v>97</v>
      </c>
      <c r="AD2142" s="1">
        <v>7.66</v>
      </c>
      <c r="AE2142" s="1" t="s">
        <v>98</v>
      </c>
      <c r="AF2142" s="1" t="s">
        <v>37317</v>
      </c>
      <c r="AG2142" s="1" t="s">
        <v>3658</v>
      </c>
      <c r="AH2142" s="1" t="s">
        <v>337</v>
      </c>
      <c r="AI2142" s="1" t="s">
        <v>3965</v>
      </c>
      <c r="AJ2142" s="1">
        <v>65.27</v>
      </c>
      <c r="AK2142" s="1"/>
      <c r="AL2142" s="1" t="s">
        <v>37318</v>
      </c>
      <c r="AM2142" s="1" t="s">
        <v>3658</v>
      </c>
      <c r="AN2142" s="1"/>
      <c r="AO2142" s="1" t="s">
        <v>11567</v>
      </c>
      <c r="AP2142" s="1" t="s">
        <v>11567</v>
      </c>
      <c r="AQ2142" s="1">
        <v>50</v>
      </c>
      <c r="AR2142" s="1"/>
      <c r="AS2142" s="1"/>
      <c r="AT2142" s="1"/>
      <c r="AU2142" s="1"/>
      <c r="AV2142" s="1"/>
      <c r="AW2142" s="1"/>
      <c r="AX2142" s="1"/>
      <c r="AY2142" s="1" t="s">
        <v>4270</v>
      </c>
      <c r="AZ2142" s="1" t="s">
        <v>37319</v>
      </c>
      <c r="BA2142" s="1"/>
      <c r="BB2142" s="1"/>
      <c r="BC2142" s="1" t="s">
        <v>105</v>
      </c>
      <c r="BD2142" s="1" t="s">
        <v>521</v>
      </c>
      <c r="BE2142" s="1">
        <v>56.3</v>
      </c>
      <c r="BF2142" s="1"/>
      <c r="BG2142" s="1"/>
      <c r="BH2142" s="1"/>
      <c r="BI2142" s="1"/>
      <c r="BJ2142" s="1"/>
      <c r="BK2142" s="1"/>
      <c r="BL2142" s="1"/>
      <c r="BM2142" s="1"/>
      <c r="BN2142" s="1"/>
      <c r="BO2142" s="1" t="s">
        <v>37320</v>
      </c>
      <c r="BP2142" s="1" t="s">
        <v>37321</v>
      </c>
      <c r="BQ2142" s="1" t="s">
        <v>19293</v>
      </c>
      <c r="BR2142" s="1"/>
      <c r="BS2142" s="1"/>
      <c r="BT2142" s="1"/>
      <c r="BU2142" s="1" t="str">
        <f>HYPERLINK("https://nconnect.nicmar.ac.in/storage/profile/ProfilePhoto_P25702127_783594.jpg","Download")</f>
        <v>0</v>
      </c>
      <c r="BV2142" s="3"/>
      <c r="BW2142" s="3"/>
    </row>
    <row r="2143" spans="1:75">
      <c r="A2143" s="1" t="s">
        <v>26662</v>
      </c>
      <c r="B2143" s="1" t="s">
        <v>446</v>
      </c>
      <c r="C2143" s="1" t="s">
        <v>37322</v>
      </c>
      <c r="D2143" s="1" t="s">
        <v>36959</v>
      </c>
      <c r="E2143" s="1" t="s">
        <v>5575</v>
      </c>
      <c r="F2143" s="1" t="s">
        <v>37323</v>
      </c>
      <c r="G2143" s="1" t="s">
        <v>37324</v>
      </c>
      <c r="H2143" s="1" t="s">
        <v>37325</v>
      </c>
      <c r="I2143" s="1" t="s">
        <v>37326</v>
      </c>
      <c r="J2143" s="1">
        <v>7038130346</v>
      </c>
      <c r="K2143" s="1" t="s">
        <v>84</v>
      </c>
      <c r="L2143" s="1" t="s">
        <v>30217</v>
      </c>
      <c r="M2143" s="1" t="s">
        <v>86</v>
      </c>
      <c r="N2143" s="1" t="s">
        <v>27551</v>
      </c>
      <c r="O2143" s="1"/>
      <c r="P2143" s="1" t="s">
        <v>481</v>
      </c>
      <c r="Q2143" s="1" t="s">
        <v>37327</v>
      </c>
      <c r="R2143" s="1" t="s">
        <v>5575</v>
      </c>
      <c r="S2143" s="1">
        <v>7038130346</v>
      </c>
      <c r="T2143" s="1" t="s">
        <v>1964</v>
      </c>
      <c r="U2143" s="1" t="s">
        <v>37328</v>
      </c>
      <c r="V2143" s="1">
        <v>8888415475</v>
      </c>
      <c r="W2143" s="1" t="s">
        <v>1678</v>
      </c>
      <c r="X2143" s="1" t="s">
        <v>37329</v>
      </c>
      <c r="Y2143" s="1" t="s">
        <v>196</v>
      </c>
      <c r="Z2143" s="1" t="s">
        <v>97</v>
      </c>
      <c r="AA2143" s="1" t="s">
        <v>37330</v>
      </c>
      <c r="AB2143" s="1" t="s">
        <v>163</v>
      </c>
      <c r="AC2143" s="1" t="s">
        <v>97</v>
      </c>
      <c r="AD2143" s="1">
        <v>7.34</v>
      </c>
      <c r="AE2143" s="1" t="s">
        <v>98</v>
      </c>
      <c r="AF2143" s="1" t="s">
        <v>37331</v>
      </c>
      <c r="AG2143" s="1" t="s">
        <v>11321</v>
      </c>
      <c r="AH2143" s="1" t="s">
        <v>167</v>
      </c>
      <c r="AI2143" s="1" t="s">
        <v>200</v>
      </c>
      <c r="AJ2143" s="1">
        <v>68.8</v>
      </c>
      <c r="AK2143" s="1"/>
      <c r="AL2143" s="1" t="s">
        <v>37332</v>
      </c>
      <c r="AM2143" s="1" t="s">
        <v>11321</v>
      </c>
      <c r="AN2143" s="1" t="s">
        <v>465</v>
      </c>
      <c r="AO2143" s="1" t="s">
        <v>438</v>
      </c>
      <c r="AP2143" s="1" t="s">
        <v>468</v>
      </c>
      <c r="AQ2143" s="1">
        <v>56.15</v>
      </c>
      <c r="AR2143" s="1"/>
      <c r="AS2143" s="1"/>
      <c r="AT2143" s="1"/>
      <c r="AU2143" s="1"/>
      <c r="AV2143" s="1"/>
      <c r="AW2143" s="1"/>
      <c r="AX2143" s="1"/>
      <c r="AY2143" s="1" t="s">
        <v>4548</v>
      </c>
      <c r="AZ2143" s="1" t="s">
        <v>37333</v>
      </c>
      <c r="BA2143" s="1" t="s">
        <v>466</v>
      </c>
      <c r="BB2143" s="1" t="s">
        <v>467</v>
      </c>
      <c r="BC2143" s="1" t="s">
        <v>468</v>
      </c>
      <c r="BD2143" s="1" t="s">
        <v>207</v>
      </c>
      <c r="BE2143" s="1">
        <v>70.9</v>
      </c>
      <c r="BF2143" s="1">
        <v>8.24</v>
      </c>
      <c r="BG2143" s="1"/>
      <c r="BH2143" s="1"/>
      <c r="BI2143" s="1"/>
      <c r="BJ2143" s="1"/>
      <c r="BK2143" s="1"/>
      <c r="BL2143" s="1"/>
      <c r="BM2143" s="1"/>
      <c r="BN2143" s="1"/>
      <c r="BO2143" s="1" t="s">
        <v>37334</v>
      </c>
      <c r="BP2143" s="1"/>
      <c r="BQ2143" s="1"/>
      <c r="BR2143" s="1" t="s">
        <v>37335</v>
      </c>
      <c r="BS2143" s="1">
        <v>8</v>
      </c>
      <c r="BT2143" s="1" t="s">
        <v>37336</v>
      </c>
      <c r="BU2143" s="1" t="str">
        <f>HYPERLINK("https://nconnect.nicmar.ac.in/storage/profile/ProfilePhoto_P25702128_617289.jpg","Download")</f>
        <v>0</v>
      </c>
      <c r="BV2143" s="3"/>
      <c r="BW2143" s="3"/>
    </row>
    <row r="2144" spans="1:75">
      <c r="A2144" s="1" t="s">
        <v>26662</v>
      </c>
      <c r="B2144" s="1" t="s">
        <v>446</v>
      </c>
      <c r="C2144" s="1" t="s">
        <v>37337</v>
      </c>
      <c r="D2144" s="1" t="s">
        <v>4293</v>
      </c>
      <c r="E2144" s="1" t="s">
        <v>37338</v>
      </c>
      <c r="F2144" s="1" t="s">
        <v>37339</v>
      </c>
      <c r="G2144" s="1" t="s">
        <v>37340</v>
      </c>
      <c r="H2144" s="1" t="s">
        <v>37341</v>
      </c>
      <c r="I2144" s="1" t="s">
        <v>37342</v>
      </c>
      <c r="J2144" s="1">
        <v>8169943350</v>
      </c>
      <c r="K2144" s="1" t="s">
        <v>84</v>
      </c>
      <c r="L2144" s="1" t="s">
        <v>37343</v>
      </c>
      <c r="M2144" s="1" t="s">
        <v>86</v>
      </c>
      <c r="N2144" s="1" t="s">
        <v>37344</v>
      </c>
      <c r="O2144" s="1"/>
      <c r="P2144" s="1"/>
      <c r="Q2144" s="1" t="s">
        <v>37345</v>
      </c>
      <c r="R2144" s="1" t="s">
        <v>37346</v>
      </c>
      <c r="S2144" s="1">
        <v>9821318051</v>
      </c>
      <c r="T2144" s="1" t="s">
        <v>1620</v>
      </c>
      <c r="U2144" s="1" t="s">
        <v>37347</v>
      </c>
      <c r="V2144" s="1">
        <v>9967236103</v>
      </c>
      <c r="W2144" s="1" t="s">
        <v>541</v>
      </c>
      <c r="X2144" s="1" t="s">
        <v>37348</v>
      </c>
      <c r="Y2144" s="1" t="s">
        <v>2259</v>
      </c>
      <c r="Z2144" s="1" t="s">
        <v>97</v>
      </c>
      <c r="AA2144" s="1" t="s">
        <v>37348</v>
      </c>
      <c r="AB2144" s="1" t="s">
        <v>2259</v>
      </c>
      <c r="AC2144" s="1" t="s">
        <v>97</v>
      </c>
      <c r="AD2144" s="1">
        <v>8.74</v>
      </c>
      <c r="AE2144" s="1" t="s">
        <v>98</v>
      </c>
      <c r="AF2144" s="1" t="s">
        <v>37349</v>
      </c>
      <c r="AG2144" s="1" t="s">
        <v>26627</v>
      </c>
      <c r="AH2144" s="1" t="s">
        <v>254</v>
      </c>
      <c r="AI2144" s="1" t="s">
        <v>1457</v>
      </c>
      <c r="AJ2144" s="1">
        <v>80.91</v>
      </c>
      <c r="AK2144" s="1"/>
      <c r="AL2144" s="1" t="s">
        <v>37350</v>
      </c>
      <c r="AM2144" s="1" t="s">
        <v>26627</v>
      </c>
      <c r="AN2144" s="1"/>
      <c r="AO2144" s="1" t="s">
        <v>135</v>
      </c>
      <c r="AP2144" s="1" t="s">
        <v>11567</v>
      </c>
      <c r="AQ2144" s="1">
        <v>67.23</v>
      </c>
      <c r="AR2144" s="1"/>
      <c r="AS2144" s="1"/>
      <c r="AT2144" s="1"/>
      <c r="AU2144" s="1"/>
      <c r="AV2144" s="1"/>
      <c r="AW2144" s="1"/>
      <c r="AX2144" s="1"/>
      <c r="AY2144" s="1" t="s">
        <v>37351</v>
      </c>
      <c r="AZ2144" s="1" t="s">
        <v>37352</v>
      </c>
      <c r="BA2144" s="1"/>
      <c r="BB2144" s="1"/>
      <c r="BC2144" s="1" t="s">
        <v>342</v>
      </c>
      <c r="BD2144" s="1" t="s">
        <v>313</v>
      </c>
      <c r="BE2144" s="1">
        <v>54.81</v>
      </c>
      <c r="BF2144" s="1">
        <v>6.03</v>
      </c>
      <c r="BG2144" s="1"/>
      <c r="BH2144" s="1"/>
      <c r="BI2144" s="1"/>
      <c r="BJ2144" s="1"/>
      <c r="BK2144" s="1"/>
      <c r="BL2144" s="1"/>
      <c r="BM2144" s="1"/>
      <c r="BN2144" s="1"/>
      <c r="BO2144" s="1" t="s">
        <v>369</v>
      </c>
      <c r="BP2144" s="1" t="s">
        <v>37353</v>
      </c>
      <c r="BQ2144" s="1" t="s">
        <v>345</v>
      </c>
      <c r="BR2144" s="1" t="s">
        <v>37354</v>
      </c>
      <c r="BS2144" s="1">
        <v>8</v>
      </c>
      <c r="BT2144" s="1" t="s">
        <v>37355</v>
      </c>
      <c r="BU2144" s="1" t="str">
        <f>HYPERLINK("https://nconnect.nicmar.ac.in/storage/profile/ProfilePhoto_P25702129_946852.jpg","Download")</f>
        <v>0</v>
      </c>
      <c r="BV2144" s="3"/>
      <c r="BW2144" s="3"/>
    </row>
    <row r="2145" spans="1:75">
      <c r="A2145" s="1" t="s">
        <v>26662</v>
      </c>
      <c r="B2145" s="1" t="s">
        <v>446</v>
      </c>
      <c r="C2145" s="1" t="s">
        <v>37356</v>
      </c>
      <c r="D2145" s="1" t="s">
        <v>37357</v>
      </c>
      <c r="E2145" s="1"/>
      <c r="F2145" s="1" t="s">
        <v>530</v>
      </c>
      <c r="G2145" s="1" t="s">
        <v>37358</v>
      </c>
      <c r="H2145" s="1" t="s">
        <v>37359</v>
      </c>
      <c r="I2145" s="1" t="s">
        <v>37360</v>
      </c>
      <c r="J2145" s="1">
        <v>9821737929</v>
      </c>
      <c r="K2145" s="1" t="s">
        <v>84</v>
      </c>
      <c r="L2145" s="1" t="s">
        <v>37361</v>
      </c>
      <c r="M2145" s="1" t="s">
        <v>86</v>
      </c>
      <c r="N2145" s="1" t="s">
        <v>37362</v>
      </c>
      <c r="O2145" s="1"/>
      <c r="P2145" s="1" t="s">
        <v>2021</v>
      </c>
      <c r="Q2145" s="1" t="s">
        <v>37363</v>
      </c>
      <c r="R2145" s="1" t="s">
        <v>37364</v>
      </c>
      <c r="S2145" s="1">
        <v>8595471799</v>
      </c>
      <c r="T2145" s="1" t="s">
        <v>92</v>
      </c>
      <c r="U2145" s="1" t="s">
        <v>31204</v>
      </c>
      <c r="V2145" s="1">
        <v>9315221196</v>
      </c>
      <c r="W2145" s="1" t="s">
        <v>8634</v>
      </c>
      <c r="X2145" s="1" t="s">
        <v>37365</v>
      </c>
      <c r="Y2145" s="1" t="s">
        <v>9226</v>
      </c>
      <c r="Z2145" s="1" t="s">
        <v>1739</v>
      </c>
      <c r="AA2145" s="1" t="s">
        <v>37365</v>
      </c>
      <c r="AB2145" s="1" t="s">
        <v>9226</v>
      </c>
      <c r="AC2145" s="1" t="s">
        <v>1739</v>
      </c>
      <c r="AD2145" s="1">
        <v>8.03</v>
      </c>
      <c r="AE2145" s="1" t="s">
        <v>98</v>
      </c>
      <c r="AF2145" s="1" t="s">
        <v>37366</v>
      </c>
      <c r="AG2145" s="1" t="s">
        <v>37367</v>
      </c>
      <c r="AH2145" s="1" t="s">
        <v>286</v>
      </c>
      <c r="AI2145" s="1" t="s">
        <v>313</v>
      </c>
      <c r="AJ2145" s="1">
        <v>80.6</v>
      </c>
      <c r="AK2145" s="1">
        <v>8.48</v>
      </c>
      <c r="AL2145" s="1" t="s">
        <v>37366</v>
      </c>
      <c r="AM2145" s="1" t="s">
        <v>37367</v>
      </c>
      <c r="AN2145" s="1"/>
      <c r="AO2145" s="1" t="s">
        <v>603</v>
      </c>
      <c r="AP2145" s="1" t="s">
        <v>549</v>
      </c>
      <c r="AQ2145" s="1">
        <v>91.2</v>
      </c>
      <c r="AR2145" s="1">
        <v>9.6</v>
      </c>
      <c r="AS2145" s="1"/>
      <c r="AT2145" s="1"/>
      <c r="AU2145" s="1"/>
      <c r="AV2145" s="1"/>
      <c r="AW2145" s="1"/>
      <c r="AX2145" s="1"/>
      <c r="AY2145" s="1" t="s">
        <v>1399</v>
      </c>
      <c r="AZ2145" s="1" t="s">
        <v>37368</v>
      </c>
      <c r="BA2145" s="1"/>
      <c r="BB2145" s="1"/>
      <c r="BC2145" s="1" t="s">
        <v>552</v>
      </c>
      <c r="BD2145" s="1" t="s">
        <v>1401</v>
      </c>
      <c r="BE2145" s="1">
        <v>64.3</v>
      </c>
      <c r="BF2145" s="1">
        <v>6.43</v>
      </c>
      <c r="BG2145" s="1"/>
      <c r="BH2145" s="1"/>
      <c r="BI2145" s="1"/>
      <c r="BJ2145" s="1"/>
      <c r="BK2145" s="1"/>
      <c r="BL2145" s="1"/>
      <c r="BM2145" s="1"/>
      <c r="BN2145" s="1"/>
      <c r="BO2145" s="1" t="s">
        <v>1114</v>
      </c>
      <c r="BP2145" s="1"/>
      <c r="BQ2145" s="1"/>
      <c r="BR2145" s="1" t="s">
        <v>37369</v>
      </c>
      <c r="BS2145" s="1">
        <v>8</v>
      </c>
      <c r="BT2145" s="1"/>
      <c r="BU2145" s="1" t="str">
        <f>HYPERLINK("https://nconnect.nicmar.ac.in/storage/profile/ProfilePhoto_P25702130_924736.jpg","Download")</f>
        <v>0</v>
      </c>
      <c r="BV2145" s="3"/>
      <c r="BW2145" s="3"/>
    </row>
    <row r="2146" spans="1:75">
      <c r="A2146" s="1" t="s">
        <v>26662</v>
      </c>
      <c r="B2146" s="1" t="s">
        <v>446</v>
      </c>
      <c r="C2146" s="1" t="s">
        <v>37370</v>
      </c>
      <c r="D2146" s="1" t="s">
        <v>1769</v>
      </c>
      <c r="E2146" s="1" t="s">
        <v>1320</v>
      </c>
      <c r="F2146" s="1" t="s">
        <v>37371</v>
      </c>
      <c r="G2146" s="1" t="s">
        <v>37372</v>
      </c>
      <c r="H2146" s="1" t="s">
        <v>37373</v>
      </c>
      <c r="I2146" s="1" t="s">
        <v>37374</v>
      </c>
      <c r="J2146" s="1">
        <v>7348925727</v>
      </c>
      <c r="K2146" s="1" t="s">
        <v>84</v>
      </c>
      <c r="L2146" s="1" t="s">
        <v>37375</v>
      </c>
      <c r="M2146" s="1" t="s">
        <v>86</v>
      </c>
      <c r="N2146" s="1" t="s">
        <v>37376</v>
      </c>
      <c r="O2146" s="1"/>
      <c r="P2146" s="1" t="s">
        <v>507</v>
      </c>
      <c r="Q2146" s="1" t="s">
        <v>37377</v>
      </c>
      <c r="R2146" s="1" t="s">
        <v>37378</v>
      </c>
      <c r="S2146" s="1">
        <v>9448679498</v>
      </c>
      <c r="T2146" s="1" t="s">
        <v>33023</v>
      </c>
      <c r="U2146" s="1" t="s">
        <v>37379</v>
      </c>
      <c r="V2146" s="1">
        <v>8884791237</v>
      </c>
      <c r="W2146" s="1" t="s">
        <v>161</v>
      </c>
      <c r="X2146" s="1" t="s">
        <v>37380</v>
      </c>
      <c r="Y2146" s="1" t="s">
        <v>37381</v>
      </c>
      <c r="Z2146" s="1" t="s">
        <v>1210</v>
      </c>
      <c r="AA2146" s="1" t="s">
        <v>37382</v>
      </c>
      <c r="AB2146" s="1" t="s">
        <v>37381</v>
      </c>
      <c r="AC2146" s="1" t="s">
        <v>1210</v>
      </c>
      <c r="AD2146" s="1">
        <v>7.34</v>
      </c>
      <c r="AE2146" s="1" t="s">
        <v>98</v>
      </c>
      <c r="AF2146" s="1" t="s">
        <v>37383</v>
      </c>
      <c r="AG2146" s="1" t="s">
        <v>312</v>
      </c>
      <c r="AH2146" s="1" t="s">
        <v>704</v>
      </c>
      <c r="AI2146" s="1" t="s">
        <v>171</v>
      </c>
      <c r="AJ2146" s="1">
        <v>57.6</v>
      </c>
      <c r="AK2146" s="1"/>
      <c r="AL2146" s="1" t="s">
        <v>37384</v>
      </c>
      <c r="AM2146" s="1" t="s">
        <v>3732</v>
      </c>
      <c r="AN2146" s="1"/>
      <c r="AO2146" s="1" t="s">
        <v>438</v>
      </c>
      <c r="AP2146" s="1" t="s">
        <v>1647</v>
      </c>
      <c r="AQ2146" s="1">
        <v>51</v>
      </c>
      <c r="AR2146" s="1"/>
      <c r="AS2146" s="1"/>
      <c r="AT2146" s="1"/>
      <c r="AU2146" s="1"/>
      <c r="AV2146" s="1"/>
      <c r="AW2146" s="1"/>
      <c r="AX2146" s="1"/>
      <c r="AY2146" s="1" t="s">
        <v>37385</v>
      </c>
      <c r="AZ2146" s="1" t="s">
        <v>37386</v>
      </c>
      <c r="BA2146" s="1"/>
      <c r="BB2146" s="1"/>
      <c r="BC2146" s="1" t="s">
        <v>1040</v>
      </c>
      <c r="BD2146" s="1" t="s">
        <v>207</v>
      </c>
      <c r="BE2146" s="1">
        <v>56.6</v>
      </c>
      <c r="BF2146" s="1">
        <v>6.41</v>
      </c>
      <c r="BG2146" s="1"/>
      <c r="BH2146" s="1"/>
      <c r="BI2146" s="1"/>
      <c r="BJ2146" s="1"/>
      <c r="BK2146" s="1"/>
      <c r="BL2146" s="1"/>
      <c r="BM2146" s="1"/>
      <c r="BN2146" s="1"/>
      <c r="BO2146" s="1" t="s">
        <v>369</v>
      </c>
      <c r="BP2146" s="1"/>
      <c r="BQ2146" s="1"/>
      <c r="BR2146" s="1" t="s">
        <v>37387</v>
      </c>
      <c r="BS2146" s="1">
        <v>11</v>
      </c>
      <c r="BT2146" s="1" t="s">
        <v>37388</v>
      </c>
      <c r="BU2146" s="1" t="str">
        <f>HYPERLINK("https://nconnect.nicmar.ac.in/storage/profile/ProfilePhoto_P25702131_683715.jpg","Download")</f>
        <v>0</v>
      </c>
      <c r="BV2146" s="3"/>
      <c r="BW2146" s="3"/>
    </row>
    <row r="2147" spans="1:75">
      <c r="A2147" s="1" t="s">
        <v>26662</v>
      </c>
      <c r="B2147" s="1" t="s">
        <v>446</v>
      </c>
      <c r="C2147" s="1" t="s">
        <v>37389</v>
      </c>
      <c r="D2147" s="1" t="s">
        <v>37390</v>
      </c>
      <c r="E2147" s="1" t="s">
        <v>37391</v>
      </c>
      <c r="F2147" s="1" t="s">
        <v>2250</v>
      </c>
      <c r="G2147" s="1" t="s">
        <v>37392</v>
      </c>
      <c r="H2147" s="1" t="s">
        <v>37393</v>
      </c>
      <c r="I2147" s="1" t="s">
        <v>37394</v>
      </c>
      <c r="J2147" s="1">
        <v>7045058111</v>
      </c>
      <c r="K2147" s="1" t="s">
        <v>153</v>
      </c>
      <c r="L2147" s="1" t="s">
        <v>18620</v>
      </c>
      <c r="M2147" s="1" t="s">
        <v>86</v>
      </c>
      <c r="N2147" s="1" t="s">
        <v>1470</v>
      </c>
      <c r="O2147" s="1"/>
      <c r="P2147" s="1" t="s">
        <v>507</v>
      </c>
      <c r="Q2147" s="1" t="s">
        <v>37395</v>
      </c>
      <c r="R2147" s="1" t="s">
        <v>37396</v>
      </c>
      <c r="S2147" s="1">
        <v>9967115111</v>
      </c>
      <c r="T2147" s="1" t="s">
        <v>15111</v>
      </c>
      <c r="U2147" s="1" t="s">
        <v>37397</v>
      </c>
      <c r="V2147" s="1">
        <v>9967771237</v>
      </c>
      <c r="W2147" s="1" t="s">
        <v>25383</v>
      </c>
      <c r="X2147" s="1" t="s">
        <v>37398</v>
      </c>
      <c r="Y2147" s="1" t="s">
        <v>1012</v>
      </c>
      <c r="Z2147" s="1" t="s">
        <v>97</v>
      </c>
      <c r="AA2147" s="1" t="s">
        <v>37398</v>
      </c>
      <c r="AB2147" s="1" t="s">
        <v>1012</v>
      </c>
      <c r="AC2147" s="1" t="s">
        <v>97</v>
      </c>
      <c r="AD2147" s="1">
        <v>7.24</v>
      </c>
      <c r="AE2147" s="1" t="s">
        <v>98</v>
      </c>
      <c r="AF2147" s="1" t="s">
        <v>35229</v>
      </c>
      <c r="AG2147" s="1" t="s">
        <v>37399</v>
      </c>
      <c r="AH2147" s="1" t="s">
        <v>166</v>
      </c>
      <c r="AI2147" s="1" t="s">
        <v>1111</v>
      </c>
      <c r="AJ2147" s="1">
        <v>59.2</v>
      </c>
      <c r="AK2147" s="1">
        <v>0</v>
      </c>
      <c r="AL2147" s="1" t="s">
        <v>37400</v>
      </c>
      <c r="AM2147" s="1" t="s">
        <v>37401</v>
      </c>
      <c r="AN2147" s="1"/>
      <c r="AO2147" s="1" t="s">
        <v>167</v>
      </c>
      <c r="AP2147" s="1" t="s">
        <v>171</v>
      </c>
      <c r="AQ2147" s="1">
        <v>53.85</v>
      </c>
      <c r="AR2147" s="1">
        <v>0</v>
      </c>
      <c r="AS2147" s="1"/>
      <c r="AT2147" s="1"/>
      <c r="AU2147" s="1"/>
      <c r="AV2147" s="1"/>
      <c r="AW2147" s="1"/>
      <c r="AX2147" s="1"/>
      <c r="AY2147" s="1" t="s">
        <v>680</v>
      </c>
      <c r="AZ2147" s="1" t="s">
        <v>37402</v>
      </c>
      <c r="BA2147" s="1"/>
      <c r="BB2147" s="1"/>
      <c r="BC2147" s="1" t="s">
        <v>1065</v>
      </c>
      <c r="BD2147" s="1" t="s">
        <v>579</v>
      </c>
      <c r="BE2147" s="1">
        <v>59.92</v>
      </c>
      <c r="BF2147" s="1">
        <v>6.75</v>
      </c>
      <c r="BG2147" s="1"/>
      <c r="BH2147" s="1"/>
      <c r="BI2147" s="1"/>
      <c r="BJ2147" s="1"/>
      <c r="BK2147" s="1"/>
      <c r="BL2147" s="1"/>
      <c r="BM2147" s="1"/>
      <c r="BN2147" s="1"/>
      <c r="BO2147" s="1" t="s">
        <v>37403</v>
      </c>
      <c r="BP2147" s="1" t="s">
        <v>37404</v>
      </c>
      <c r="BQ2147" s="1" t="s">
        <v>1564</v>
      </c>
      <c r="BR2147" s="1" t="s">
        <v>37405</v>
      </c>
      <c r="BS2147" s="1">
        <v>24</v>
      </c>
      <c r="BT2147" s="1" t="s">
        <v>37406</v>
      </c>
      <c r="BU2147" s="1" t="str">
        <f>HYPERLINK("https://nconnect.nicmar.ac.in/storage/profile/ProfilePhoto_P25702132_826143.jpg","Download")</f>
        <v>0</v>
      </c>
      <c r="BV2147" s="3"/>
      <c r="BW2147" s="3"/>
    </row>
    <row r="2148" spans="1:75">
      <c r="A2148" s="1" t="s">
        <v>26662</v>
      </c>
      <c r="B2148" s="1" t="s">
        <v>446</v>
      </c>
      <c r="C2148" s="1" t="s">
        <v>37407</v>
      </c>
      <c r="D2148" s="1" t="s">
        <v>4820</v>
      </c>
      <c r="E2148" s="1" t="s">
        <v>37408</v>
      </c>
      <c r="F2148" s="1" t="s">
        <v>37409</v>
      </c>
      <c r="G2148" s="1" t="s">
        <v>37410</v>
      </c>
      <c r="H2148" s="1" t="s">
        <v>37411</v>
      </c>
      <c r="I2148" s="1" t="s">
        <v>37412</v>
      </c>
      <c r="J2148" s="1">
        <v>9881496921</v>
      </c>
      <c r="K2148" s="1" t="s">
        <v>84</v>
      </c>
      <c r="L2148" s="1" t="s">
        <v>19072</v>
      </c>
      <c r="M2148" s="1" t="s">
        <v>86</v>
      </c>
      <c r="N2148" s="1" t="s">
        <v>903</v>
      </c>
      <c r="O2148" s="1"/>
      <c r="P2148" s="1" t="s">
        <v>455</v>
      </c>
      <c r="Q2148" s="1" t="s">
        <v>37413</v>
      </c>
      <c r="R2148" s="1" t="s">
        <v>37414</v>
      </c>
      <c r="S2148" s="1">
        <v>9850834501</v>
      </c>
      <c r="T2148" s="1" t="s">
        <v>645</v>
      </c>
      <c r="U2148" s="1" t="s">
        <v>37415</v>
      </c>
      <c r="V2148" s="1">
        <v>9850107951</v>
      </c>
      <c r="W2148" s="1" t="s">
        <v>161</v>
      </c>
      <c r="X2148" s="1" t="s">
        <v>37416</v>
      </c>
      <c r="Y2148" s="1" t="s">
        <v>196</v>
      </c>
      <c r="Z2148" s="1" t="s">
        <v>97</v>
      </c>
      <c r="AA2148" s="1" t="s">
        <v>37416</v>
      </c>
      <c r="AB2148" s="1" t="s">
        <v>196</v>
      </c>
      <c r="AC2148" s="1" t="s">
        <v>97</v>
      </c>
      <c r="AD2148" s="1">
        <v>7.34</v>
      </c>
      <c r="AE2148" s="1" t="s">
        <v>98</v>
      </c>
      <c r="AF2148" s="1" t="s">
        <v>4997</v>
      </c>
      <c r="AG2148" s="1" t="s">
        <v>13345</v>
      </c>
      <c r="AH2148" s="1" t="s">
        <v>106</v>
      </c>
      <c r="AI2148" s="1" t="s">
        <v>438</v>
      </c>
      <c r="AJ2148" s="1">
        <v>63.2</v>
      </c>
      <c r="AK2148" s="1"/>
      <c r="AL2148" s="1"/>
      <c r="AM2148" s="1"/>
      <c r="AN2148" s="1"/>
      <c r="AO2148" s="1"/>
      <c r="AP2148" s="1"/>
      <c r="AQ2148" s="1"/>
      <c r="AR2148" s="1"/>
      <c r="AS2148" s="1" t="s">
        <v>103</v>
      </c>
      <c r="AT2148" s="1" t="s">
        <v>37417</v>
      </c>
      <c r="AU2148" s="1" t="s">
        <v>315</v>
      </c>
      <c r="AV2148" s="1" t="s">
        <v>1400</v>
      </c>
      <c r="AW2148" s="1">
        <v>72.05</v>
      </c>
      <c r="AX2148" s="1"/>
      <c r="AY2148" s="1" t="s">
        <v>366</v>
      </c>
      <c r="AZ2148" s="1" t="s">
        <v>37418</v>
      </c>
      <c r="BA2148" s="1"/>
      <c r="BB2148" s="1"/>
      <c r="BC2148" s="1" t="s">
        <v>1889</v>
      </c>
      <c r="BD2148" s="1" t="s">
        <v>5340</v>
      </c>
      <c r="BE2148" s="1">
        <v>58.2</v>
      </c>
      <c r="BF2148" s="1">
        <v>6.57</v>
      </c>
      <c r="BG2148" s="1"/>
      <c r="BH2148" s="1"/>
      <c r="BI2148" s="1"/>
      <c r="BJ2148" s="1"/>
      <c r="BK2148" s="1"/>
      <c r="BL2148" s="1"/>
      <c r="BM2148" s="1"/>
      <c r="BN2148" s="1"/>
      <c r="BO2148" s="1" t="s">
        <v>369</v>
      </c>
      <c r="BP2148" s="1" t="s">
        <v>37419</v>
      </c>
      <c r="BQ2148" s="1" t="s">
        <v>7478</v>
      </c>
      <c r="BR2148" s="1" t="s">
        <v>37420</v>
      </c>
      <c r="BS2148" s="1">
        <v>33</v>
      </c>
      <c r="BT2148" s="1"/>
      <c r="BU2148" s="1" t="str">
        <f>HYPERLINK("https://nconnect.nicmar.ac.in/storage/profile/ProfilePhoto_P25702133_154693.jpg","Download")</f>
        <v>0</v>
      </c>
      <c r="BV2148" s="3"/>
      <c r="BW2148" s="3"/>
    </row>
    <row r="2149" spans="1:75">
      <c r="A2149" s="1" t="s">
        <v>26662</v>
      </c>
      <c r="B2149" s="1" t="s">
        <v>446</v>
      </c>
      <c r="C2149" s="1" t="s">
        <v>37421</v>
      </c>
      <c r="D2149" s="1" t="s">
        <v>36165</v>
      </c>
      <c r="E2149" s="1" t="s">
        <v>12504</v>
      </c>
      <c r="F2149" s="1" t="s">
        <v>37064</v>
      </c>
      <c r="G2149" s="1" t="s">
        <v>37422</v>
      </c>
      <c r="H2149" s="1" t="s">
        <v>37423</v>
      </c>
      <c r="I2149" s="1" t="s">
        <v>37424</v>
      </c>
      <c r="J2149" s="1">
        <v>9898468190</v>
      </c>
      <c r="K2149" s="1" t="s">
        <v>84</v>
      </c>
      <c r="L2149" s="1" t="s">
        <v>37425</v>
      </c>
      <c r="M2149" s="1" t="s">
        <v>86</v>
      </c>
      <c r="N2149" s="1" t="s">
        <v>37426</v>
      </c>
      <c r="O2149" s="1"/>
      <c r="P2149" s="1" t="s">
        <v>507</v>
      </c>
      <c r="Q2149" s="1" t="s">
        <v>37427</v>
      </c>
      <c r="R2149" s="1" t="s">
        <v>37064</v>
      </c>
      <c r="S2149" s="1">
        <v>9909118656</v>
      </c>
      <c r="T2149" s="1" t="s">
        <v>839</v>
      </c>
      <c r="U2149" s="1" t="s">
        <v>37428</v>
      </c>
      <c r="V2149" s="1">
        <v>9712918656</v>
      </c>
      <c r="W2149" s="1" t="s">
        <v>1104</v>
      </c>
      <c r="X2149" s="1" t="s">
        <v>37429</v>
      </c>
      <c r="Y2149" s="1" t="s">
        <v>23759</v>
      </c>
      <c r="Z2149" s="1" t="s">
        <v>676</v>
      </c>
      <c r="AA2149" s="1" t="s">
        <v>37429</v>
      </c>
      <c r="AB2149" s="1" t="s">
        <v>23759</v>
      </c>
      <c r="AC2149" s="1" t="s">
        <v>676</v>
      </c>
      <c r="AD2149" s="1">
        <v>9.32</v>
      </c>
      <c r="AE2149" s="1" t="s">
        <v>98</v>
      </c>
      <c r="AF2149" s="1" t="s">
        <v>37430</v>
      </c>
      <c r="AG2149" s="1" t="s">
        <v>35749</v>
      </c>
      <c r="AH2149" s="1" t="s">
        <v>490</v>
      </c>
      <c r="AI2149" s="1" t="s">
        <v>414</v>
      </c>
      <c r="AJ2149" s="1">
        <v>81.5</v>
      </c>
      <c r="AK2149" s="1"/>
      <c r="AL2149" s="1" t="s">
        <v>36176</v>
      </c>
      <c r="AM2149" s="1" t="s">
        <v>35749</v>
      </c>
      <c r="AN2149" s="1" t="s">
        <v>465</v>
      </c>
      <c r="AO2149" s="1" t="s">
        <v>468</v>
      </c>
      <c r="AP2149" s="1" t="s">
        <v>845</v>
      </c>
      <c r="AQ2149" s="1">
        <v>84</v>
      </c>
      <c r="AR2149" s="1"/>
      <c r="AS2149" s="1"/>
      <c r="AT2149" s="1"/>
      <c r="AU2149" s="1"/>
      <c r="AV2149" s="1"/>
      <c r="AW2149" s="1"/>
      <c r="AX2149" s="1"/>
      <c r="AY2149" s="1" t="s">
        <v>36178</v>
      </c>
      <c r="AZ2149" s="1" t="s">
        <v>37431</v>
      </c>
      <c r="BA2149" s="1" t="s">
        <v>466</v>
      </c>
      <c r="BB2149" s="1" t="s">
        <v>467</v>
      </c>
      <c r="BC2149" s="1" t="s">
        <v>552</v>
      </c>
      <c r="BD2149" s="1" t="s">
        <v>553</v>
      </c>
      <c r="BE2149" s="1">
        <v>79.8</v>
      </c>
      <c r="BF2149" s="1">
        <v>8.73</v>
      </c>
      <c r="BG2149" s="1"/>
      <c r="BH2149" s="1"/>
      <c r="BI2149" s="1"/>
      <c r="BJ2149" s="1"/>
      <c r="BK2149" s="1"/>
      <c r="BL2149" s="1"/>
      <c r="BM2149" s="1"/>
      <c r="BN2149" s="1"/>
      <c r="BO2149" s="1" t="s">
        <v>37432</v>
      </c>
      <c r="BP2149" s="1"/>
      <c r="BQ2149" s="1"/>
      <c r="BR2149" s="1" t="s">
        <v>37433</v>
      </c>
      <c r="BS2149" s="1">
        <v>30</v>
      </c>
      <c r="BT2149" s="1"/>
      <c r="BU2149" s="1" t="str">
        <f>HYPERLINK("https://nconnect.nicmar.ac.in/storage/profile/ProfilePhoto_P25702134_543796.jpg","Download")</f>
        <v>0</v>
      </c>
      <c r="BV2149" s="3"/>
      <c r="BW2149" s="3"/>
    </row>
    <row r="2150" spans="1:75">
      <c r="A2150" s="1" t="s">
        <v>26662</v>
      </c>
      <c r="B2150" s="1" t="s">
        <v>446</v>
      </c>
      <c r="C2150" s="1" t="s">
        <v>37434</v>
      </c>
      <c r="D2150" s="1" t="s">
        <v>1135</v>
      </c>
      <c r="E2150" s="1" t="s">
        <v>27412</v>
      </c>
      <c r="F2150" s="1" t="s">
        <v>1872</v>
      </c>
      <c r="G2150" s="1" t="s">
        <v>37435</v>
      </c>
      <c r="H2150" s="1" t="s">
        <v>37436</v>
      </c>
      <c r="I2150" s="1" t="s">
        <v>37437</v>
      </c>
      <c r="J2150" s="1">
        <v>8928342149</v>
      </c>
      <c r="K2150" s="1" t="s">
        <v>84</v>
      </c>
      <c r="L2150" s="1" t="s">
        <v>37438</v>
      </c>
      <c r="M2150" s="1" t="s">
        <v>86</v>
      </c>
      <c r="N2150" s="1" t="s">
        <v>903</v>
      </c>
      <c r="O2150" s="1"/>
      <c r="P2150" s="1" t="s">
        <v>481</v>
      </c>
      <c r="Q2150" s="1" t="s">
        <v>37439</v>
      </c>
      <c r="R2150" s="1" t="s">
        <v>27412</v>
      </c>
      <c r="S2150" s="1">
        <v>9969972985</v>
      </c>
      <c r="T2150" s="1" t="s">
        <v>37440</v>
      </c>
      <c r="U2150" s="1" t="s">
        <v>6954</v>
      </c>
      <c r="V2150" s="1">
        <v>8850008551</v>
      </c>
      <c r="W2150" s="1" t="s">
        <v>161</v>
      </c>
      <c r="X2150" s="1" t="s">
        <v>37441</v>
      </c>
      <c r="Y2150" s="1" t="s">
        <v>2259</v>
      </c>
      <c r="Z2150" s="1" t="s">
        <v>97</v>
      </c>
      <c r="AA2150" s="1" t="s">
        <v>37442</v>
      </c>
      <c r="AB2150" s="1" t="s">
        <v>2259</v>
      </c>
      <c r="AC2150" s="1" t="s">
        <v>97</v>
      </c>
      <c r="AD2150" s="1">
        <v>8.34</v>
      </c>
      <c r="AE2150" s="1" t="s">
        <v>98</v>
      </c>
      <c r="AF2150" s="1" t="s">
        <v>37443</v>
      </c>
      <c r="AG2150" s="1" t="s">
        <v>629</v>
      </c>
      <c r="AH2150" s="1" t="s">
        <v>627</v>
      </c>
      <c r="AI2150" s="1" t="s">
        <v>573</v>
      </c>
      <c r="AJ2150" s="1">
        <v>70.6</v>
      </c>
      <c r="AK2150" s="1"/>
      <c r="AL2150" s="1"/>
      <c r="AM2150" s="1"/>
      <c r="AN2150" s="1"/>
      <c r="AO2150" s="1"/>
      <c r="AP2150" s="1"/>
      <c r="AQ2150" s="1"/>
      <c r="AR2150" s="1"/>
      <c r="AS2150" s="1" t="s">
        <v>103</v>
      </c>
      <c r="AT2150" s="1" t="s">
        <v>37444</v>
      </c>
      <c r="AU2150" s="1" t="s">
        <v>230</v>
      </c>
      <c r="AV2150" s="1" t="s">
        <v>175</v>
      </c>
      <c r="AW2150" s="1">
        <v>81.47</v>
      </c>
      <c r="AX2150" s="1"/>
      <c r="AY2150" s="1" t="s">
        <v>258</v>
      </c>
      <c r="AZ2150" s="1" t="s">
        <v>37445</v>
      </c>
      <c r="BA2150" s="1" t="s">
        <v>578</v>
      </c>
      <c r="BB2150" s="1" t="s">
        <v>467</v>
      </c>
      <c r="BC2150" s="1" t="s">
        <v>368</v>
      </c>
      <c r="BD2150" s="1" t="s">
        <v>955</v>
      </c>
      <c r="BE2150" s="1">
        <v>73.15</v>
      </c>
      <c r="BF2150" s="1"/>
      <c r="BG2150" s="1"/>
      <c r="BH2150" s="1"/>
      <c r="BI2150" s="1"/>
      <c r="BJ2150" s="1"/>
      <c r="BK2150" s="1"/>
      <c r="BL2150" s="1"/>
      <c r="BM2150" s="1"/>
      <c r="BN2150" s="1"/>
      <c r="BO2150" s="1" t="s">
        <v>37446</v>
      </c>
      <c r="BP2150" s="1" t="s">
        <v>37447</v>
      </c>
      <c r="BQ2150" s="1" t="s">
        <v>582</v>
      </c>
      <c r="BR2150" s="1" t="s">
        <v>37448</v>
      </c>
      <c r="BS2150" s="1">
        <v>7</v>
      </c>
      <c r="BT2150" s="1" t="s">
        <v>37449</v>
      </c>
      <c r="BU2150" s="1" t="str">
        <f>HYPERLINK("https://nconnect.nicmar.ac.in/storage/profile/ProfilePhoto_P25702136_837591.jpg","Download")</f>
        <v>0</v>
      </c>
      <c r="BV2150" s="3"/>
      <c r="BW2150" s="3"/>
    </row>
    <row r="2151" spans="1:75">
      <c r="A2151" s="1" t="s">
        <v>26662</v>
      </c>
      <c r="B2151" s="1" t="s">
        <v>446</v>
      </c>
      <c r="C2151" s="1" t="s">
        <v>37450</v>
      </c>
      <c r="D2151" s="1" t="s">
        <v>37451</v>
      </c>
      <c r="E2151" s="1" t="s">
        <v>4966</v>
      </c>
      <c r="F2151" s="1" t="s">
        <v>2943</v>
      </c>
      <c r="G2151" s="1" t="s">
        <v>37452</v>
      </c>
      <c r="H2151" s="1" t="s">
        <v>37453</v>
      </c>
      <c r="I2151" s="1" t="s">
        <v>37454</v>
      </c>
      <c r="J2151" s="1">
        <v>9175982549</v>
      </c>
      <c r="K2151" s="1" t="s">
        <v>84</v>
      </c>
      <c r="L2151" s="1" t="s">
        <v>37455</v>
      </c>
      <c r="M2151" s="1" t="s">
        <v>86</v>
      </c>
      <c r="N2151" s="1" t="s">
        <v>3337</v>
      </c>
      <c r="O2151" s="1"/>
      <c r="P2151" s="1"/>
      <c r="Q2151" s="1" t="s">
        <v>37456</v>
      </c>
      <c r="R2151" s="1" t="s">
        <v>37457</v>
      </c>
      <c r="S2151" s="1">
        <v>9890252349</v>
      </c>
      <c r="T2151" s="1" t="s">
        <v>839</v>
      </c>
      <c r="U2151" s="1" t="s">
        <v>37458</v>
      </c>
      <c r="V2151" s="1">
        <v>8698541566</v>
      </c>
      <c r="W2151" s="1" t="s">
        <v>161</v>
      </c>
      <c r="X2151" s="1" t="s">
        <v>37459</v>
      </c>
      <c r="Y2151" s="1" t="s">
        <v>410</v>
      </c>
      <c r="Z2151" s="1" t="s">
        <v>97</v>
      </c>
      <c r="AA2151" s="1" t="s">
        <v>37460</v>
      </c>
      <c r="AB2151" s="1" t="s">
        <v>410</v>
      </c>
      <c r="AC2151" s="1" t="s">
        <v>97</v>
      </c>
      <c r="AD2151" s="1">
        <v>8.32</v>
      </c>
      <c r="AE2151" s="1" t="s">
        <v>98</v>
      </c>
      <c r="AF2151" s="1" t="s">
        <v>4636</v>
      </c>
      <c r="AG2151" s="1" t="s">
        <v>775</v>
      </c>
      <c r="AH2151" s="1" t="s">
        <v>515</v>
      </c>
      <c r="AI2151" s="1" t="s">
        <v>102</v>
      </c>
      <c r="AJ2151" s="1">
        <v>73.4</v>
      </c>
      <c r="AK2151" s="1">
        <v>8</v>
      </c>
      <c r="AL2151" s="1" t="s">
        <v>37461</v>
      </c>
      <c r="AM2151" s="1" t="s">
        <v>165</v>
      </c>
      <c r="AN2151" s="1" t="s">
        <v>465</v>
      </c>
      <c r="AO2151" s="1" t="s">
        <v>517</v>
      </c>
      <c r="AP2151" s="1" t="s">
        <v>518</v>
      </c>
      <c r="AQ2151" s="1">
        <v>55.85</v>
      </c>
      <c r="AR2151" s="1"/>
      <c r="AS2151" s="1"/>
      <c r="AT2151" s="1"/>
      <c r="AU2151" s="1"/>
      <c r="AV2151" s="1"/>
      <c r="AW2151" s="1"/>
      <c r="AX2151" s="1"/>
      <c r="AY2151" s="1" t="s">
        <v>415</v>
      </c>
      <c r="AZ2151" s="1" t="s">
        <v>6512</v>
      </c>
      <c r="BA2151" s="1" t="s">
        <v>682</v>
      </c>
      <c r="BB2151" s="1" t="s">
        <v>1561</v>
      </c>
      <c r="BC2151" s="1" t="s">
        <v>388</v>
      </c>
      <c r="BD2151" s="1" t="s">
        <v>110</v>
      </c>
      <c r="BE2151" s="1">
        <v>62.9</v>
      </c>
      <c r="BF2151" s="1">
        <v>7.04</v>
      </c>
      <c r="BG2151" s="1"/>
      <c r="BH2151" s="1"/>
      <c r="BI2151" s="1"/>
      <c r="BJ2151" s="1"/>
      <c r="BK2151" s="1"/>
      <c r="BL2151" s="1"/>
      <c r="BM2151" s="1"/>
      <c r="BN2151" s="1"/>
      <c r="BO2151" s="1" t="s">
        <v>37462</v>
      </c>
      <c r="BP2151" s="1" t="s">
        <v>37463</v>
      </c>
      <c r="BQ2151" s="1" t="s">
        <v>1357</v>
      </c>
      <c r="BR2151" s="1" t="s">
        <v>37464</v>
      </c>
      <c r="BS2151" s="1">
        <v>29</v>
      </c>
      <c r="BT2151" s="1" t="s">
        <v>37465</v>
      </c>
      <c r="BU2151" s="1" t="str">
        <f>HYPERLINK("https://nconnect.nicmar.ac.in/storage/profile/ProfilePhoto_P25702137_819267.jpg","Download")</f>
        <v>0</v>
      </c>
      <c r="BV2151" s="3"/>
      <c r="BW2151" s="3"/>
    </row>
    <row r="2152" spans="1:75">
      <c r="A2152" s="1" t="s">
        <v>26662</v>
      </c>
      <c r="B2152" s="1" t="s">
        <v>446</v>
      </c>
      <c r="C2152" s="1" t="s">
        <v>37466</v>
      </c>
      <c r="D2152" s="1" t="s">
        <v>2829</v>
      </c>
      <c r="E2152" s="1" t="s">
        <v>37467</v>
      </c>
      <c r="F2152" s="1" t="s">
        <v>1872</v>
      </c>
      <c r="G2152" s="1" t="s">
        <v>37468</v>
      </c>
      <c r="H2152" s="1" t="s">
        <v>37469</v>
      </c>
      <c r="I2152" s="1" t="s">
        <v>37470</v>
      </c>
      <c r="J2152" s="1">
        <v>9139899093</v>
      </c>
      <c r="K2152" s="1" t="s">
        <v>84</v>
      </c>
      <c r="L2152" s="1" t="s">
        <v>37471</v>
      </c>
      <c r="M2152" s="1" t="s">
        <v>86</v>
      </c>
      <c r="N2152" s="1" t="s">
        <v>3046</v>
      </c>
      <c r="O2152" s="1"/>
      <c r="P2152" s="1"/>
      <c r="Q2152" s="1" t="s">
        <v>37472</v>
      </c>
      <c r="R2152" s="1" t="s">
        <v>37473</v>
      </c>
      <c r="S2152" s="1">
        <v>9139899093</v>
      </c>
      <c r="T2152" s="1" t="s">
        <v>98</v>
      </c>
      <c r="U2152" s="1" t="s">
        <v>37474</v>
      </c>
      <c r="V2152" s="1">
        <v>9673781919</v>
      </c>
      <c r="W2152" s="1" t="s">
        <v>4776</v>
      </c>
      <c r="X2152" s="1" t="s">
        <v>37475</v>
      </c>
      <c r="Y2152" s="1" t="s">
        <v>196</v>
      </c>
      <c r="Z2152" s="1" t="s">
        <v>97</v>
      </c>
      <c r="AA2152" s="1" t="s">
        <v>37476</v>
      </c>
      <c r="AB2152" s="1" t="s">
        <v>163</v>
      </c>
      <c r="AC2152" s="1" t="s">
        <v>97</v>
      </c>
      <c r="AD2152" s="1">
        <v>8.82</v>
      </c>
      <c r="AE2152" s="1" t="s">
        <v>98</v>
      </c>
      <c r="AF2152" s="1" t="s">
        <v>37477</v>
      </c>
      <c r="AG2152" s="1" t="s">
        <v>996</v>
      </c>
      <c r="AH2152" s="1" t="s">
        <v>230</v>
      </c>
      <c r="AI2152" s="1" t="s">
        <v>438</v>
      </c>
      <c r="AJ2152" s="1">
        <v>88.4</v>
      </c>
      <c r="AK2152" s="1">
        <v>0</v>
      </c>
      <c r="AL2152" s="1"/>
      <c r="AM2152" s="1"/>
      <c r="AN2152" s="1"/>
      <c r="AO2152" s="1"/>
      <c r="AP2152" s="1"/>
      <c r="AQ2152" s="1"/>
      <c r="AR2152" s="1"/>
      <c r="AS2152" s="1" t="s">
        <v>103</v>
      </c>
      <c r="AT2152" s="1" t="s">
        <v>37478</v>
      </c>
      <c r="AU2152" s="1" t="s">
        <v>206</v>
      </c>
      <c r="AV2152" s="1" t="s">
        <v>110</v>
      </c>
      <c r="AW2152" s="1">
        <v>77.8</v>
      </c>
      <c r="AX2152" s="1"/>
      <c r="AY2152" s="1" t="s">
        <v>366</v>
      </c>
      <c r="AZ2152" s="1" t="s">
        <v>37479</v>
      </c>
      <c r="BA2152" s="1"/>
      <c r="BB2152" s="1"/>
      <c r="BC2152" s="1" t="s">
        <v>1889</v>
      </c>
      <c r="BD2152" s="1" t="s">
        <v>5340</v>
      </c>
      <c r="BE2152" s="1">
        <v>71.1</v>
      </c>
      <c r="BF2152" s="1">
        <v>7.86</v>
      </c>
      <c r="BG2152" s="1"/>
      <c r="BH2152" s="1"/>
      <c r="BI2152" s="1"/>
      <c r="BJ2152" s="1"/>
      <c r="BK2152" s="1"/>
      <c r="BL2152" s="1"/>
      <c r="BM2152" s="1"/>
      <c r="BN2152" s="1"/>
      <c r="BO2152" s="1" t="s">
        <v>1114</v>
      </c>
      <c r="BP2152" s="1"/>
      <c r="BQ2152" s="1"/>
      <c r="BR2152" s="1" t="s">
        <v>37480</v>
      </c>
      <c r="BS2152" s="1">
        <v>18</v>
      </c>
      <c r="BT2152" s="1"/>
      <c r="BU2152" s="1" t="str">
        <f>HYPERLINK("https://nconnect.nicmar.ac.in/storage/profile/ProfilePhoto_P25702138_785142.jpg","Download")</f>
        <v>0</v>
      </c>
      <c r="BV2152" s="3"/>
      <c r="BW2152" s="3"/>
    </row>
    <row r="2153" spans="1:75">
      <c r="A2153" s="1" t="s">
        <v>26662</v>
      </c>
      <c r="B2153" s="1" t="s">
        <v>446</v>
      </c>
      <c r="C2153" s="1" t="s">
        <v>37481</v>
      </c>
      <c r="D2153" s="1" t="s">
        <v>940</v>
      </c>
      <c r="E2153" s="1" t="s">
        <v>4802</v>
      </c>
      <c r="F2153" s="1" t="s">
        <v>25563</v>
      </c>
      <c r="G2153" s="1" t="s">
        <v>37482</v>
      </c>
      <c r="H2153" s="1" t="s">
        <v>37483</v>
      </c>
      <c r="I2153" s="1" t="s">
        <v>37484</v>
      </c>
      <c r="J2153" s="1">
        <v>7892857256</v>
      </c>
      <c r="K2153" s="1" t="s">
        <v>84</v>
      </c>
      <c r="L2153" s="1" t="s">
        <v>24681</v>
      </c>
      <c r="M2153" s="1" t="s">
        <v>86</v>
      </c>
      <c r="N2153" s="1" t="s">
        <v>37485</v>
      </c>
      <c r="O2153" s="1"/>
      <c r="P2153" s="1" t="s">
        <v>507</v>
      </c>
      <c r="Q2153" s="1" t="s">
        <v>37486</v>
      </c>
      <c r="R2153" s="1" t="s">
        <v>37487</v>
      </c>
      <c r="S2153" s="1">
        <v>7892857256</v>
      </c>
      <c r="T2153" s="1" t="s">
        <v>839</v>
      </c>
      <c r="U2153" s="1" t="s">
        <v>37488</v>
      </c>
      <c r="V2153" s="1">
        <v>9901342825</v>
      </c>
      <c r="W2153" s="1" t="s">
        <v>161</v>
      </c>
      <c r="X2153" s="1" t="s">
        <v>37489</v>
      </c>
      <c r="Y2153" s="1" t="s">
        <v>3132</v>
      </c>
      <c r="Z2153" s="1" t="s">
        <v>1210</v>
      </c>
      <c r="AA2153" s="1" t="s">
        <v>37490</v>
      </c>
      <c r="AB2153" s="1" t="s">
        <v>4418</v>
      </c>
      <c r="AC2153" s="1" t="s">
        <v>1210</v>
      </c>
      <c r="AD2153" s="1" t="s">
        <v>98</v>
      </c>
      <c r="AE2153" s="1" t="s">
        <v>98</v>
      </c>
      <c r="AF2153" s="1" t="s">
        <v>37491</v>
      </c>
      <c r="AG2153" s="1" t="s">
        <v>1946</v>
      </c>
      <c r="AH2153" s="1" t="s">
        <v>573</v>
      </c>
      <c r="AI2153" s="1" t="s">
        <v>490</v>
      </c>
      <c r="AJ2153" s="1">
        <v>71.52</v>
      </c>
      <c r="AK2153" s="1"/>
      <c r="AL2153" s="1" t="s">
        <v>37492</v>
      </c>
      <c r="AM2153" s="1" t="s">
        <v>37493</v>
      </c>
      <c r="AN2153" s="1" t="s">
        <v>575</v>
      </c>
      <c r="AO2153" s="1" t="s">
        <v>438</v>
      </c>
      <c r="AP2153" s="1" t="s">
        <v>603</v>
      </c>
      <c r="AQ2153" s="1">
        <v>65.33</v>
      </c>
      <c r="AR2153" s="1"/>
      <c r="AS2153" s="1"/>
      <c r="AT2153" s="1"/>
      <c r="AU2153" s="1"/>
      <c r="AV2153" s="1"/>
      <c r="AW2153" s="1"/>
      <c r="AX2153" s="1"/>
      <c r="AY2153" s="1" t="s">
        <v>37494</v>
      </c>
      <c r="AZ2153" s="1" t="s">
        <v>37495</v>
      </c>
      <c r="BA2153" s="1" t="s">
        <v>578</v>
      </c>
      <c r="BB2153" s="1" t="s">
        <v>467</v>
      </c>
      <c r="BC2153" s="1" t="s">
        <v>368</v>
      </c>
      <c r="BD2153" s="1" t="s">
        <v>1089</v>
      </c>
      <c r="BE2153" s="1">
        <v>52.7</v>
      </c>
      <c r="BF2153" s="1">
        <v>6.02</v>
      </c>
      <c r="BG2153" s="1"/>
      <c r="BH2153" s="1"/>
      <c r="BI2153" s="1"/>
      <c r="BJ2153" s="1"/>
      <c r="BK2153" s="1"/>
      <c r="BL2153" s="1"/>
      <c r="BM2153" s="1"/>
      <c r="BN2153" s="1"/>
      <c r="BO2153" s="1" t="s">
        <v>37496</v>
      </c>
      <c r="BP2153" s="1"/>
      <c r="BQ2153" s="1"/>
      <c r="BR2153" s="1" t="s">
        <v>37497</v>
      </c>
      <c r="BS2153" s="1">
        <v>14</v>
      </c>
      <c r="BT2153" s="1"/>
      <c r="BU2153" s="1" t="str">
        <f>HYPERLINK("https://nconnect.nicmar.ac.in/storage/profile/ProfilePhoto_P25702139_653287.jpg","Download")</f>
        <v>0</v>
      </c>
      <c r="BV2153" s="3"/>
      <c r="BW2153" s="3"/>
    </row>
    <row r="2154" spans="1:75">
      <c r="A2154" s="1" t="s">
        <v>26662</v>
      </c>
      <c r="B2154" s="1" t="s">
        <v>446</v>
      </c>
      <c r="C2154" s="1" t="s">
        <v>37498</v>
      </c>
      <c r="D2154" s="1" t="s">
        <v>37499</v>
      </c>
      <c r="E2154" s="1"/>
      <c r="F2154" s="1" t="s">
        <v>37500</v>
      </c>
      <c r="G2154" s="1" t="s">
        <v>37501</v>
      </c>
      <c r="H2154" s="1" t="s">
        <v>37502</v>
      </c>
      <c r="I2154" s="1" t="s">
        <v>37503</v>
      </c>
      <c r="J2154" s="1">
        <v>6370904227</v>
      </c>
      <c r="K2154" s="1" t="s">
        <v>153</v>
      </c>
      <c r="L2154" s="1" t="s">
        <v>37504</v>
      </c>
      <c r="M2154" s="1" t="s">
        <v>86</v>
      </c>
      <c r="N2154" s="1" t="s">
        <v>881</v>
      </c>
      <c r="O2154" s="1"/>
      <c r="P2154" s="1" t="s">
        <v>507</v>
      </c>
      <c r="Q2154" s="1" t="s">
        <v>37505</v>
      </c>
      <c r="R2154" s="1" t="s">
        <v>37506</v>
      </c>
      <c r="S2154" s="1">
        <v>9437178753</v>
      </c>
      <c r="T2154" s="1" t="s">
        <v>37507</v>
      </c>
      <c r="U2154" s="1" t="s">
        <v>37508</v>
      </c>
      <c r="V2154" s="1">
        <v>7978271577</v>
      </c>
      <c r="W2154" s="1" t="s">
        <v>94</v>
      </c>
      <c r="X2154" s="1" t="s">
        <v>37509</v>
      </c>
      <c r="Y2154" s="1" t="s">
        <v>1259</v>
      </c>
      <c r="Z2154" s="1" t="s">
        <v>865</v>
      </c>
      <c r="AA2154" s="1" t="s">
        <v>37509</v>
      </c>
      <c r="AB2154" s="1" t="s">
        <v>1259</v>
      </c>
      <c r="AC2154" s="1" t="s">
        <v>865</v>
      </c>
      <c r="AD2154" s="1">
        <v>6.55</v>
      </c>
      <c r="AE2154" s="1" t="s">
        <v>98</v>
      </c>
      <c r="AF2154" s="1" t="s">
        <v>37510</v>
      </c>
      <c r="AG2154" s="1" t="s">
        <v>37511</v>
      </c>
      <c r="AH2154" s="1" t="s">
        <v>254</v>
      </c>
      <c r="AI2154" s="1" t="s">
        <v>134</v>
      </c>
      <c r="AJ2154" s="1">
        <v>72.33</v>
      </c>
      <c r="AK2154" s="1"/>
      <c r="AL2154" s="1"/>
      <c r="AM2154" s="1"/>
      <c r="AN2154" s="1"/>
      <c r="AO2154" s="1"/>
      <c r="AP2154" s="1"/>
      <c r="AQ2154" s="1"/>
      <c r="AR2154" s="1"/>
      <c r="AS2154" s="1" t="s">
        <v>37512</v>
      </c>
      <c r="AT2154" s="1" t="s">
        <v>37513</v>
      </c>
      <c r="AU2154" s="1" t="s">
        <v>804</v>
      </c>
      <c r="AV2154" s="1" t="s">
        <v>2112</v>
      </c>
      <c r="AW2154" s="1">
        <v>83.36</v>
      </c>
      <c r="AX2154" s="1">
        <v>8.7</v>
      </c>
      <c r="AY2154" s="1" t="s">
        <v>1264</v>
      </c>
      <c r="AZ2154" s="1" t="s">
        <v>37514</v>
      </c>
      <c r="BA2154" s="1" t="s">
        <v>682</v>
      </c>
      <c r="BB2154" s="1" t="s">
        <v>1479</v>
      </c>
      <c r="BC2154" s="1" t="s">
        <v>1065</v>
      </c>
      <c r="BD2154" s="1" t="s">
        <v>37515</v>
      </c>
      <c r="BE2154" s="1">
        <v>66.4</v>
      </c>
      <c r="BF2154" s="1">
        <v>7.14</v>
      </c>
      <c r="BG2154" s="1"/>
      <c r="BH2154" s="1"/>
      <c r="BI2154" s="1"/>
      <c r="BJ2154" s="1"/>
      <c r="BK2154" s="1"/>
      <c r="BL2154" s="1"/>
      <c r="BM2154" s="1"/>
      <c r="BN2154" s="1"/>
      <c r="BO2154" s="1" t="s">
        <v>37516</v>
      </c>
      <c r="BP2154" s="1" t="s">
        <v>37517</v>
      </c>
      <c r="BQ2154" s="1" t="s">
        <v>2116</v>
      </c>
      <c r="BR2154" s="1" t="s">
        <v>37518</v>
      </c>
      <c r="BS2154" s="1">
        <v>8</v>
      </c>
      <c r="BT2154" s="1" t="s">
        <v>37519</v>
      </c>
      <c r="BU2154" s="1" t="str">
        <f>HYPERLINK("https://nconnect.nicmar.ac.in/storage/profile/ProfilePhoto_P25702140_617534.jpg","Download")</f>
        <v>0</v>
      </c>
      <c r="BV2154" s="3"/>
      <c r="BW2154" s="3"/>
    </row>
    <row r="2155" spans="1:75">
      <c r="A2155" s="1" t="s">
        <v>26662</v>
      </c>
      <c r="B2155" s="1" t="s">
        <v>446</v>
      </c>
      <c r="C2155" s="1" t="s">
        <v>37520</v>
      </c>
      <c r="D2155" s="1" t="s">
        <v>37521</v>
      </c>
      <c r="E2155" s="1" t="s">
        <v>37522</v>
      </c>
      <c r="F2155" s="1" t="s">
        <v>2274</v>
      </c>
      <c r="G2155" s="1" t="s">
        <v>37523</v>
      </c>
      <c r="H2155" s="1" t="s">
        <v>37524</v>
      </c>
      <c r="I2155" s="1" t="s">
        <v>37525</v>
      </c>
      <c r="J2155" s="1">
        <v>9527427054</v>
      </c>
      <c r="K2155" s="1" t="s">
        <v>153</v>
      </c>
      <c r="L2155" s="1" t="s">
        <v>17172</v>
      </c>
      <c r="M2155" s="1" t="s">
        <v>86</v>
      </c>
      <c r="N2155" s="1" t="s">
        <v>1163</v>
      </c>
      <c r="O2155" s="1"/>
      <c r="P2155" s="1" t="s">
        <v>507</v>
      </c>
      <c r="Q2155" s="1" t="s">
        <v>37526</v>
      </c>
      <c r="R2155" s="1" t="s">
        <v>149</v>
      </c>
      <c r="S2155" s="1">
        <v>8788634035</v>
      </c>
      <c r="T2155" s="1" t="s">
        <v>9257</v>
      </c>
      <c r="U2155" s="1" t="s">
        <v>1900</v>
      </c>
      <c r="V2155" s="1">
        <v>8237197508</v>
      </c>
      <c r="W2155" s="1" t="s">
        <v>94</v>
      </c>
      <c r="X2155" s="1" t="s">
        <v>37527</v>
      </c>
      <c r="Y2155" s="1" t="s">
        <v>410</v>
      </c>
      <c r="Z2155" s="1" t="s">
        <v>97</v>
      </c>
      <c r="AA2155" s="1" t="s">
        <v>37527</v>
      </c>
      <c r="AB2155" s="1" t="s">
        <v>410</v>
      </c>
      <c r="AC2155" s="1" t="s">
        <v>97</v>
      </c>
      <c r="AD2155" s="1">
        <v>8.58</v>
      </c>
      <c r="AE2155" s="1" t="s">
        <v>98</v>
      </c>
      <c r="AF2155" s="1" t="s">
        <v>37528</v>
      </c>
      <c r="AG2155" s="1" t="s">
        <v>753</v>
      </c>
      <c r="AH2155" s="1" t="s">
        <v>101</v>
      </c>
      <c r="AI2155" s="1" t="s">
        <v>102</v>
      </c>
      <c r="AJ2155" s="1">
        <v>93.8</v>
      </c>
      <c r="AK2155" s="1"/>
      <c r="AL2155" s="1" t="s">
        <v>37528</v>
      </c>
      <c r="AM2155" s="1" t="s">
        <v>753</v>
      </c>
      <c r="AN2155" s="1" t="s">
        <v>465</v>
      </c>
      <c r="AO2155" s="1" t="s">
        <v>167</v>
      </c>
      <c r="AP2155" s="1" t="s">
        <v>518</v>
      </c>
      <c r="AQ2155" s="1">
        <v>74.15</v>
      </c>
      <c r="AR2155" s="1"/>
      <c r="AS2155" s="1"/>
      <c r="AT2155" s="1"/>
      <c r="AU2155" s="1"/>
      <c r="AV2155" s="1"/>
      <c r="AW2155" s="1"/>
      <c r="AX2155" s="1"/>
      <c r="AY2155" s="1" t="s">
        <v>997</v>
      </c>
      <c r="AZ2155" s="1" t="s">
        <v>37529</v>
      </c>
      <c r="BA2155" s="1" t="s">
        <v>682</v>
      </c>
      <c r="BB2155" s="1" t="s">
        <v>1479</v>
      </c>
      <c r="BC2155" s="1" t="s">
        <v>230</v>
      </c>
      <c r="BD2155" s="1" t="s">
        <v>289</v>
      </c>
      <c r="BE2155" s="1">
        <v>73.9</v>
      </c>
      <c r="BF2155" s="1">
        <v>8.14</v>
      </c>
      <c r="BG2155" s="1"/>
      <c r="BH2155" s="1"/>
      <c r="BI2155" s="1"/>
      <c r="BJ2155" s="1"/>
      <c r="BK2155" s="1"/>
      <c r="BL2155" s="1"/>
      <c r="BM2155" s="1"/>
      <c r="BN2155" s="1"/>
      <c r="BO2155" s="1" t="s">
        <v>37530</v>
      </c>
      <c r="BP2155" s="1" t="s">
        <v>37531</v>
      </c>
      <c r="BQ2155" s="1" t="s">
        <v>3404</v>
      </c>
      <c r="BR2155" s="1" t="s">
        <v>37532</v>
      </c>
      <c r="BS2155" s="1">
        <v>31</v>
      </c>
      <c r="BT2155" s="1"/>
      <c r="BU2155" s="1" t="str">
        <f>HYPERLINK("https://nconnect.nicmar.ac.in/storage/profile/ProfilePhoto_P25702141_791462.jpg","Download")</f>
        <v>0</v>
      </c>
      <c r="BV2155" s="3"/>
      <c r="BW2155" s="3"/>
    </row>
    <row r="2156" spans="1:75">
      <c r="A2156" s="1" t="s">
        <v>26662</v>
      </c>
      <c r="B2156" s="1" t="s">
        <v>446</v>
      </c>
      <c r="C2156" s="1" t="s">
        <v>37533</v>
      </c>
      <c r="D2156" s="1" t="s">
        <v>3350</v>
      </c>
      <c r="E2156" s="1" t="s">
        <v>13206</v>
      </c>
      <c r="F2156" s="1" t="s">
        <v>37534</v>
      </c>
      <c r="G2156" s="1" t="s">
        <v>37535</v>
      </c>
      <c r="H2156" s="1" t="s">
        <v>37536</v>
      </c>
      <c r="I2156" s="1" t="s">
        <v>37537</v>
      </c>
      <c r="J2156" s="1">
        <v>9167361846</v>
      </c>
      <c r="K2156" s="1" t="s">
        <v>84</v>
      </c>
      <c r="L2156" s="1" t="s">
        <v>37538</v>
      </c>
      <c r="M2156" s="1" t="s">
        <v>86</v>
      </c>
      <c r="N2156" s="1" t="s">
        <v>37539</v>
      </c>
      <c r="O2156" s="1"/>
      <c r="P2156" s="1" t="s">
        <v>455</v>
      </c>
      <c r="Q2156" s="1" t="s">
        <v>37540</v>
      </c>
      <c r="R2156" s="1" t="s">
        <v>37541</v>
      </c>
      <c r="S2156" s="1">
        <v>9930165439</v>
      </c>
      <c r="T2156" s="1" t="s">
        <v>3693</v>
      </c>
      <c r="U2156" s="1" t="s">
        <v>37542</v>
      </c>
      <c r="V2156" s="1">
        <v>7506254461</v>
      </c>
      <c r="W2156" s="1" t="s">
        <v>161</v>
      </c>
      <c r="X2156" s="1" t="s">
        <v>37543</v>
      </c>
      <c r="Y2156" s="1" t="s">
        <v>1882</v>
      </c>
      <c r="Z2156" s="1" t="s">
        <v>97</v>
      </c>
      <c r="AA2156" s="1" t="s">
        <v>37544</v>
      </c>
      <c r="AB2156" s="1" t="s">
        <v>2259</v>
      </c>
      <c r="AC2156" s="1" t="s">
        <v>97</v>
      </c>
      <c r="AD2156" s="1">
        <v>8.16</v>
      </c>
      <c r="AE2156" s="1" t="s">
        <v>98</v>
      </c>
      <c r="AF2156" s="1" t="s">
        <v>37545</v>
      </c>
      <c r="AG2156" s="1" t="s">
        <v>17526</v>
      </c>
      <c r="AH2156" s="1" t="s">
        <v>342</v>
      </c>
      <c r="AI2156" s="1" t="s">
        <v>627</v>
      </c>
      <c r="AJ2156" s="1">
        <v>80.8</v>
      </c>
      <c r="AK2156" s="1"/>
      <c r="AL2156" s="1" t="s">
        <v>37546</v>
      </c>
      <c r="AM2156" s="1" t="s">
        <v>17526</v>
      </c>
      <c r="AN2156" s="1"/>
      <c r="AO2156" s="1" t="s">
        <v>167</v>
      </c>
      <c r="AP2156" s="1" t="s">
        <v>171</v>
      </c>
      <c r="AQ2156" s="1">
        <v>60</v>
      </c>
      <c r="AR2156" s="1"/>
      <c r="AS2156" s="1"/>
      <c r="AT2156" s="1"/>
      <c r="AU2156" s="1"/>
      <c r="AV2156" s="1"/>
      <c r="AW2156" s="1"/>
      <c r="AX2156" s="1"/>
      <c r="AY2156" s="1" t="s">
        <v>680</v>
      </c>
      <c r="AZ2156" s="1" t="s">
        <v>681</v>
      </c>
      <c r="BA2156" s="1"/>
      <c r="BB2156" s="1"/>
      <c r="BC2156" s="1" t="s">
        <v>106</v>
      </c>
      <c r="BD2156" s="1" t="s">
        <v>955</v>
      </c>
      <c r="BE2156" s="1">
        <v>59.93</v>
      </c>
      <c r="BF2156" s="1">
        <v>6.71</v>
      </c>
      <c r="BG2156" s="1"/>
      <c r="BH2156" s="1"/>
      <c r="BI2156" s="1"/>
      <c r="BJ2156" s="1"/>
      <c r="BK2156" s="1"/>
      <c r="BL2156" s="1"/>
      <c r="BM2156" s="1"/>
      <c r="BN2156" s="1"/>
      <c r="BO2156" s="1" t="s">
        <v>37547</v>
      </c>
      <c r="BP2156" s="1" t="s">
        <v>37548</v>
      </c>
      <c r="BQ2156" s="1" t="s">
        <v>1357</v>
      </c>
      <c r="BR2156" s="1" t="s">
        <v>37549</v>
      </c>
      <c r="BS2156" s="1">
        <v>27</v>
      </c>
      <c r="BT2156" s="1"/>
      <c r="BU2156" s="1" t="str">
        <f>HYPERLINK("https://nconnect.nicmar.ac.in/storage/profile/ProfilePhoto_P25702142_975823.jpg","Download")</f>
        <v>0</v>
      </c>
      <c r="BV2156" s="3"/>
      <c r="BW2156" s="3"/>
    </row>
    <row r="2157" spans="1:75">
      <c r="A2157" s="1" t="s">
        <v>26662</v>
      </c>
      <c r="B2157" s="1" t="s">
        <v>446</v>
      </c>
      <c r="C2157" s="1" t="s">
        <v>37550</v>
      </c>
      <c r="D2157" s="1" t="s">
        <v>37551</v>
      </c>
      <c r="E2157" s="1"/>
      <c r="F2157" s="1" t="s">
        <v>116</v>
      </c>
      <c r="G2157" s="1" t="s">
        <v>37552</v>
      </c>
      <c r="H2157" s="1" t="s">
        <v>37553</v>
      </c>
      <c r="I2157" s="1" t="s">
        <v>37554</v>
      </c>
      <c r="J2157" s="1">
        <v>9994020923</v>
      </c>
      <c r="K2157" s="1" t="s">
        <v>84</v>
      </c>
      <c r="L2157" s="1" t="s">
        <v>37555</v>
      </c>
      <c r="M2157" s="1" t="s">
        <v>86</v>
      </c>
      <c r="N2157" s="1" t="s">
        <v>37556</v>
      </c>
      <c r="O2157" s="1"/>
      <c r="P2157" s="1" t="s">
        <v>481</v>
      </c>
      <c r="Q2157" s="1" t="s">
        <v>37557</v>
      </c>
      <c r="R2157" s="1" t="s">
        <v>37558</v>
      </c>
      <c r="S2157" s="1">
        <v>9789730052</v>
      </c>
      <c r="T2157" s="1" t="s">
        <v>37559</v>
      </c>
      <c r="U2157" s="1" t="s">
        <v>37560</v>
      </c>
      <c r="V2157" s="1">
        <v>9715877739</v>
      </c>
      <c r="W2157" s="1" t="s">
        <v>94</v>
      </c>
      <c r="X2157" s="1" t="s">
        <v>37561</v>
      </c>
      <c r="Y2157" s="1" t="s">
        <v>2131</v>
      </c>
      <c r="Z2157" s="1" t="s">
        <v>570</v>
      </c>
      <c r="AA2157" s="1" t="s">
        <v>37561</v>
      </c>
      <c r="AB2157" s="1" t="s">
        <v>2131</v>
      </c>
      <c r="AC2157" s="1" t="s">
        <v>570</v>
      </c>
      <c r="AD2157" s="1">
        <v>9.13</v>
      </c>
      <c r="AE2157" s="1" t="s">
        <v>98</v>
      </c>
      <c r="AF2157" s="1" t="s">
        <v>37562</v>
      </c>
      <c r="AG2157" s="1" t="s">
        <v>37563</v>
      </c>
      <c r="AH2157" s="1" t="s">
        <v>170</v>
      </c>
      <c r="AI2157" s="1" t="s">
        <v>286</v>
      </c>
      <c r="AJ2157" s="1">
        <v>87.2</v>
      </c>
      <c r="AK2157" s="1"/>
      <c r="AL2157" s="1" t="s">
        <v>37562</v>
      </c>
      <c r="AM2157" s="1" t="s">
        <v>37563</v>
      </c>
      <c r="AN2157" s="1" t="s">
        <v>465</v>
      </c>
      <c r="AO2157" s="1" t="s">
        <v>438</v>
      </c>
      <c r="AP2157" s="1" t="s">
        <v>603</v>
      </c>
      <c r="AQ2157" s="1">
        <v>57.66</v>
      </c>
      <c r="AR2157" s="1"/>
      <c r="AS2157" s="1"/>
      <c r="AT2157" s="1"/>
      <c r="AU2157" s="1"/>
      <c r="AV2157" s="1"/>
      <c r="AW2157" s="1"/>
      <c r="AX2157" s="1"/>
      <c r="AY2157" s="1" t="s">
        <v>576</v>
      </c>
      <c r="AZ2157" s="1" t="s">
        <v>37564</v>
      </c>
      <c r="BA2157" s="1" t="s">
        <v>578</v>
      </c>
      <c r="BB2157" s="1" t="s">
        <v>467</v>
      </c>
      <c r="BC2157" s="1" t="s">
        <v>1040</v>
      </c>
      <c r="BD2157" s="1" t="s">
        <v>1314</v>
      </c>
      <c r="BE2157" s="1">
        <v>78.9</v>
      </c>
      <c r="BF2157" s="1">
        <v>7.89</v>
      </c>
      <c r="BG2157" s="1"/>
      <c r="BH2157" s="1"/>
      <c r="BI2157" s="1"/>
      <c r="BJ2157" s="1"/>
      <c r="BK2157" s="1"/>
      <c r="BL2157" s="1"/>
      <c r="BM2157" s="1"/>
      <c r="BN2157" s="1"/>
      <c r="BO2157" s="1" t="s">
        <v>37565</v>
      </c>
      <c r="BP2157" s="1" t="s">
        <v>37566</v>
      </c>
      <c r="BQ2157" s="1" t="s">
        <v>292</v>
      </c>
      <c r="BR2157" s="1" t="s">
        <v>37567</v>
      </c>
      <c r="BS2157" s="1">
        <v>13</v>
      </c>
      <c r="BT2157" s="1" t="s">
        <v>37568</v>
      </c>
      <c r="BU2157" s="1" t="str">
        <f>HYPERLINK("https://nconnect.nicmar.ac.in/storage/profile/ProfilePhoto_P25702143_642159.jpg","Download")</f>
        <v>0</v>
      </c>
      <c r="BV2157" s="3"/>
      <c r="BW2157" s="3"/>
    </row>
    <row r="2158" spans="1:75">
      <c r="A2158" s="1" t="s">
        <v>26662</v>
      </c>
      <c r="B2158" s="1" t="s">
        <v>446</v>
      </c>
      <c r="C2158" s="1" t="s">
        <v>37569</v>
      </c>
      <c r="D2158" s="1" t="s">
        <v>13668</v>
      </c>
      <c r="E2158" s="1" t="s">
        <v>3494</v>
      </c>
      <c r="F2158" s="1" t="s">
        <v>37570</v>
      </c>
      <c r="G2158" s="1" t="s">
        <v>37571</v>
      </c>
      <c r="H2158" s="1" t="s">
        <v>37572</v>
      </c>
      <c r="I2158" s="1" t="s">
        <v>37573</v>
      </c>
      <c r="J2158" s="1">
        <v>9158030985</v>
      </c>
      <c r="K2158" s="1" t="s">
        <v>84</v>
      </c>
      <c r="L2158" s="1" t="s">
        <v>7433</v>
      </c>
      <c r="M2158" s="1" t="s">
        <v>86</v>
      </c>
      <c r="N2158" s="1" t="s">
        <v>37574</v>
      </c>
      <c r="O2158" s="1" t="s">
        <v>37575</v>
      </c>
      <c r="P2158" s="1" t="s">
        <v>1028</v>
      </c>
      <c r="Q2158" s="1" t="s">
        <v>37576</v>
      </c>
      <c r="R2158" s="1" t="s">
        <v>37577</v>
      </c>
      <c r="S2158" s="1">
        <v>9860524715</v>
      </c>
      <c r="T2158" s="1" t="s">
        <v>645</v>
      </c>
      <c r="U2158" s="1" t="s">
        <v>37578</v>
      </c>
      <c r="V2158" s="1">
        <v>7823891874</v>
      </c>
      <c r="W2158" s="1" t="s">
        <v>161</v>
      </c>
      <c r="X2158" s="1" t="s">
        <v>37579</v>
      </c>
      <c r="Y2158" s="1" t="s">
        <v>196</v>
      </c>
      <c r="Z2158" s="1" t="s">
        <v>97</v>
      </c>
      <c r="AA2158" s="1" t="s">
        <v>37579</v>
      </c>
      <c r="AB2158" s="1" t="s">
        <v>196</v>
      </c>
      <c r="AC2158" s="1" t="s">
        <v>97</v>
      </c>
      <c r="AD2158" s="1">
        <v>6.79</v>
      </c>
      <c r="AE2158" s="1" t="s">
        <v>98</v>
      </c>
      <c r="AF2158" s="1" t="s">
        <v>37580</v>
      </c>
      <c r="AG2158" s="1" t="s">
        <v>37581</v>
      </c>
      <c r="AH2158" s="1" t="s">
        <v>170</v>
      </c>
      <c r="AI2158" s="1" t="s">
        <v>286</v>
      </c>
      <c r="AJ2158" s="1">
        <v>63.2</v>
      </c>
      <c r="AK2158" s="1"/>
      <c r="AL2158" s="1"/>
      <c r="AM2158" s="1"/>
      <c r="AN2158" s="1"/>
      <c r="AO2158" s="1"/>
      <c r="AP2158" s="1"/>
      <c r="AQ2158" s="1"/>
      <c r="AR2158" s="1"/>
      <c r="AS2158" s="1" t="s">
        <v>103</v>
      </c>
      <c r="AT2158" s="1" t="s">
        <v>37582</v>
      </c>
      <c r="AU2158" s="1" t="s">
        <v>1065</v>
      </c>
      <c r="AV2158" s="1" t="s">
        <v>140</v>
      </c>
      <c r="AW2158" s="1">
        <v>71.16</v>
      </c>
      <c r="AX2158" s="1"/>
      <c r="AY2158" s="1" t="s">
        <v>366</v>
      </c>
      <c r="AZ2158" s="1" t="s">
        <v>37583</v>
      </c>
      <c r="BA2158" s="1"/>
      <c r="BB2158" s="1"/>
      <c r="BC2158" s="1" t="s">
        <v>1889</v>
      </c>
      <c r="BD2158" s="1" t="s">
        <v>5278</v>
      </c>
      <c r="BE2158" s="1">
        <v>56.85</v>
      </c>
      <c r="BF2158" s="1">
        <v>6.12</v>
      </c>
      <c r="BG2158" s="1"/>
      <c r="BH2158" s="1"/>
      <c r="BI2158" s="1"/>
      <c r="BJ2158" s="1"/>
      <c r="BK2158" s="1"/>
      <c r="BL2158" s="1"/>
      <c r="BM2158" s="1"/>
      <c r="BN2158" s="1"/>
      <c r="BO2158" s="1" t="s">
        <v>915</v>
      </c>
      <c r="BP2158" s="1"/>
      <c r="BQ2158" s="1"/>
      <c r="BR2158" s="1" t="s">
        <v>37584</v>
      </c>
      <c r="BS2158" s="1">
        <v>30</v>
      </c>
      <c r="BT2158" s="1"/>
      <c r="BU2158" s="1" t="str">
        <f>HYPERLINK("https://nconnect.nicmar.ac.in/storage/profile/ProfilePhoto_P25702144_513879.jpg","Download")</f>
        <v>0</v>
      </c>
      <c r="BV2158" s="3"/>
      <c r="BW2158" s="3"/>
    </row>
    <row r="2159" spans="1:75">
      <c r="A2159" s="1" t="s">
        <v>26662</v>
      </c>
      <c r="B2159" s="1" t="s">
        <v>446</v>
      </c>
      <c r="C2159" s="1" t="s">
        <v>37585</v>
      </c>
      <c r="D2159" s="1" t="s">
        <v>37586</v>
      </c>
      <c r="E2159" s="1" t="s">
        <v>11131</v>
      </c>
      <c r="F2159" s="1" t="s">
        <v>1178</v>
      </c>
      <c r="G2159" s="1" t="s">
        <v>37587</v>
      </c>
      <c r="H2159" s="1" t="s">
        <v>37588</v>
      </c>
      <c r="I2159" s="1" t="s">
        <v>37589</v>
      </c>
      <c r="J2159" s="1">
        <v>8421897944</v>
      </c>
      <c r="K2159" s="1" t="s">
        <v>153</v>
      </c>
      <c r="L2159" s="1" t="s">
        <v>2811</v>
      </c>
      <c r="M2159" s="1" t="s">
        <v>86</v>
      </c>
      <c r="N2159" s="1" t="s">
        <v>768</v>
      </c>
      <c r="O2159" s="1"/>
      <c r="P2159" s="1" t="s">
        <v>481</v>
      </c>
      <c r="Q2159" s="1" t="s">
        <v>37590</v>
      </c>
      <c r="R2159" s="1" t="s">
        <v>1178</v>
      </c>
      <c r="S2159" s="1">
        <v>9421894505</v>
      </c>
      <c r="T2159" s="1" t="s">
        <v>2375</v>
      </c>
      <c r="U2159" s="1" t="s">
        <v>6765</v>
      </c>
      <c r="V2159" s="1">
        <v>9421899543</v>
      </c>
      <c r="W2159" s="1" t="s">
        <v>161</v>
      </c>
      <c r="X2159" s="1" t="s">
        <v>37591</v>
      </c>
      <c r="Y2159" s="1" t="s">
        <v>224</v>
      </c>
      <c r="Z2159" s="1" t="s">
        <v>97</v>
      </c>
      <c r="AA2159" s="1" t="s">
        <v>37591</v>
      </c>
      <c r="AB2159" s="1" t="s">
        <v>224</v>
      </c>
      <c r="AC2159" s="1" t="s">
        <v>97</v>
      </c>
      <c r="AD2159" s="1">
        <v>7.87</v>
      </c>
      <c r="AE2159" s="1" t="s">
        <v>98</v>
      </c>
      <c r="AF2159" s="1" t="s">
        <v>37592</v>
      </c>
      <c r="AG2159" s="1" t="s">
        <v>629</v>
      </c>
      <c r="AH2159" s="1" t="s">
        <v>101</v>
      </c>
      <c r="AI2159" s="1" t="s">
        <v>102</v>
      </c>
      <c r="AJ2159" s="1">
        <v>91.2</v>
      </c>
      <c r="AK2159" s="1"/>
      <c r="AL2159" s="1" t="s">
        <v>12843</v>
      </c>
      <c r="AM2159" s="1" t="s">
        <v>629</v>
      </c>
      <c r="AN2159" s="1" t="s">
        <v>465</v>
      </c>
      <c r="AO2159" s="1" t="s">
        <v>167</v>
      </c>
      <c r="AP2159" s="1" t="s">
        <v>518</v>
      </c>
      <c r="AQ2159" s="1">
        <v>70.31</v>
      </c>
      <c r="AR2159" s="1"/>
      <c r="AS2159" s="1"/>
      <c r="AT2159" s="1"/>
      <c r="AU2159" s="1"/>
      <c r="AV2159" s="1"/>
      <c r="AW2159" s="1"/>
      <c r="AX2159" s="1"/>
      <c r="AY2159" s="1" t="s">
        <v>10939</v>
      </c>
      <c r="AZ2159" s="1" t="s">
        <v>37593</v>
      </c>
      <c r="BA2159" s="1" t="s">
        <v>682</v>
      </c>
      <c r="BB2159" s="1" t="s">
        <v>1561</v>
      </c>
      <c r="BC2159" s="1" t="s">
        <v>388</v>
      </c>
      <c r="BD2159" s="1" t="s">
        <v>391</v>
      </c>
      <c r="BE2159" s="1">
        <v>65.55</v>
      </c>
      <c r="BF2159" s="1">
        <v>6.91</v>
      </c>
      <c r="BG2159" s="1"/>
      <c r="BH2159" s="1"/>
      <c r="BI2159" s="1"/>
      <c r="BJ2159" s="1"/>
      <c r="BK2159" s="1"/>
      <c r="BL2159" s="1"/>
      <c r="BM2159" s="1"/>
      <c r="BN2159" s="1"/>
      <c r="BO2159" s="1" t="s">
        <v>37594</v>
      </c>
      <c r="BP2159" s="1"/>
      <c r="BQ2159" s="1"/>
      <c r="BR2159" s="1" t="s">
        <v>37595</v>
      </c>
      <c r="BS2159" s="1">
        <v>9</v>
      </c>
      <c r="BT2159" s="1" t="s">
        <v>37596</v>
      </c>
      <c r="BU2159" s="1" t="str">
        <f>HYPERLINK("https://nconnect.nicmar.ac.in/storage/profile/ProfilePhoto_P25702145_537219.jpg","Download")</f>
        <v>0</v>
      </c>
      <c r="BV2159" s="3"/>
      <c r="BW2159" s="3"/>
    </row>
    <row r="2160" spans="1:75">
      <c r="A2160" s="1" t="s">
        <v>26662</v>
      </c>
      <c r="B2160" s="1" t="s">
        <v>446</v>
      </c>
      <c r="C2160" s="1" t="s">
        <v>37597</v>
      </c>
      <c r="D2160" s="1" t="s">
        <v>7668</v>
      </c>
      <c r="E2160" s="1"/>
      <c r="F2160" s="1" t="s">
        <v>37598</v>
      </c>
      <c r="G2160" s="1" t="s">
        <v>37599</v>
      </c>
      <c r="H2160" s="1" t="s">
        <v>37600</v>
      </c>
      <c r="I2160" s="1" t="s">
        <v>37601</v>
      </c>
      <c r="J2160" s="1">
        <v>9140953092</v>
      </c>
      <c r="K2160" s="1" t="s">
        <v>84</v>
      </c>
      <c r="L2160" s="1" t="s">
        <v>3166</v>
      </c>
      <c r="M2160" s="1" t="s">
        <v>86</v>
      </c>
      <c r="N2160" s="1" t="s">
        <v>87</v>
      </c>
      <c r="O2160" s="1"/>
      <c r="P2160" s="1" t="s">
        <v>670</v>
      </c>
      <c r="Q2160" s="1" t="s">
        <v>37602</v>
      </c>
      <c r="R2160" s="1" t="s">
        <v>37603</v>
      </c>
      <c r="S2160" s="1">
        <v>7052931127</v>
      </c>
      <c r="T2160" s="1" t="s">
        <v>2375</v>
      </c>
      <c r="U2160" s="1" t="s">
        <v>306</v>
      </c>
      <c r="V2160" s="1">
        <v>7052931127</v>
      </c>
      <c r="W2160" s="1" t="s">
        <v>161</v>
      </c>
      <c r="X2160" s="1" t="s">
        <v>37604</v>
      </c>
      <c r="Y2160" s="1" t="s">
        <v>1059</v>
      </c>
      <c r="Z2160" s="1" t="s">
        <v>544</v>
      </c>
      <c r="AA2160" s="1" t="s">
        <v>37604</v>
      </c>
      <c r="AB2160" s="1" t="s">
        <v>1059</v>
      </c>
      <c r="AC2160" s="1" t="s">
        <v>544</v>
      </c>
      <c r="AD2160" s="1">
        <v>7.18</v>
      </c>
      <c r="AE2160" s="1" t="s">
        <v>98</v>
      </c>
      <c r="AF2160" s="1" t="s">
        <v>37605</v>
      </c>
      <c r="AG2160" s="1" t="s">
        <v>37606</v>
      </c>
      <c r="AH2160" s="1" t="s">
        <v>1110</v>
      </c>
      <c r="AI2160" s="1" t="s">
        <v>170</v>
      </c>
      <c r="AJ2160" s="1">
        <v>57</v>
      </c>
      <c r="AK2160" s="1">
        <v>6</v>
      </c>
      <c r="AL2160" s="1" t="s">
        <v>37607</v>
      </c>
      <c r="AM2160" s="1" t="s">
        <v>37608</v>
      </c>
      <c r="AN2160" s="1"/>
      <c r="AO2160" s="1" t="s">
        <v>704</v>
      </c>
      <c r="AP2160" s="1" t="s">
        <v>547</v>
      </c>
      <c r="AQ2160" s="1">
        <v>59.4</v>
      </c>
      <c r="AR2160" s="1"/>
      <c r="AS2160" s="1"/>
      <c r="AT2160" s="1"/>
      <c r="AU2160" s="1"/>
      <c r="AV2160" s="1"/>
      <c r="AW2160" s="1"/>
      <c r="AX2160" s="1"/>
      <c r="AY2160" s="1" t="s">
        <v>37609</v>
      </c>
      <c r="AZ2160" s="1" t="s">
        <v>37610</v>
      </c>
      <c r="BA2160" s="1"/>
      <c r="BB2160" s="1"/>
      <c r="BC2160" s="1" t="s">
        <v>315</v>
      </c>
      <c r="BD2160" s="1" t="s">
        <v>179</v>
      </c>
      <c r="BE2160" s="1">
        <v>74.48</v>
      </c>
      <c r="BF2160" s="1"/>
      <c r="BG2160" s="1"/>
      <c r="BH2160" s="1"/>
      <c r="BI2160" s="1"/>
      <c r="BJ2160" s="1"/>
      <c r="BK2160" s="1"/>
      <c r="BL2160" s="1"/>
      <c r="BM2160" s="1"/>
      <c r="BN2160" s="1"/>
      <c r="BO2160" s="1" t="s">
        <v>37611</v>
      </c>
      <c r="BP2160" s="1"/>
      <c r="BQ2160" s="1"/>
      <c r="BR2160" s="1" t="s">
        <v>37612</v>
      </c>
      <c r="BS2160" s="1">
        <v>42</v>
      </c>
      <c r="BT2160" s="1" t="s">
        <v>37613</v>
      </c>
      <c r="BU2160" s="1" t="str">
        <f>HYPERLINK("https://nconnect.nicmar.ac.in/storage/profile/ProfilePhoto_P25702146_286534.jpg","Download")</f>
        <v>0</v>
      </c>
      <c r="BV2160" s="3"/>
      <c r="BW2160" s="3"/>
    </row>
    <row r="2161" spans="1:75">
      <c r="A2161" s="1" t="s">
        <v>26662</v>
      </c>
      <c r="B2161" s="1" t="s">
        <v>446</v>
      </c>
      <c r="C2161" s="1" t="s">
        <v>37614</v>
      </c>
      <c r="D2161" s="1" t="s">
        <v>319</v>
      </c>
      <c r="E2161" s="1" t="s">
        <v>3494</v>
      </c>
      <c r="F2161" s="1" t="s">
        <v>7091</v>
      </c>
      <c r="G2161" s="1" t="s">
        <v>37615</v>
      </c>
      <c r="H2161" s="1" t="s">
        <v>37616</v>
      </c>
      <c r="I2161" s="1" t="s">
        <v>37617</v>
      </c>
      <c r="J2161" s="1">
        <v>9559409990</v>
      </c>
      <c r="K2161" s="1" t="s">
        <v>84</v>
      </c>
      <c r="L2161" s="1" t="s">
        <v>37618</v>
      </c>
      <c r="M2161" s="1" t="s">
        <v>86</v>
      </c>
      <c r="N2161" s="1" t="s">
        <v>768</v>
      </c>
      <c r="O2161" s="1"/>
      <c r="P2161" s="1" t="s">
        <v>455</v>
      </c>
      <c r="Q2161" s="1" t="s">
        <v>37619</v>
      </c>
      <c r="R2161" s="1" t="s">
        <v>37620</v>
      </c>
      <c r="S2161" s="1">
        <v>7020554242</v>
      </c>
      <c r="T2161" s="1" t="s">
        <v>839</v>
      </c>
      <c r="U2161" s="1" t="s">
        <v>37621</v>
      </c>
      <c r="V2161" s="1">
        <v>7020942494</v>
      </c>
      <c r="W2161" s="1" t="s">
        <v>161</v>
      </c>
      <c r="X2161" s="1" t="s">
        <v>37622</v>
      </c>
      <c r="Y2161" s="1" t="s">
        <v>309</v>
      </c>
      <c r="Z2161" s="1" t="s">
        <v>97</v>
      </c>
      <c r="AA2161" s="1" t="s">
        <v>37622</v>
      </c>
      <c r="AB2161" s="1" t="s">
        <v>309</v>
      </c>
      <c r="AC2161" s="1" t="s">
        <v>97</v>
      </c>
      <c r="AD2161" s="1">
        <v>7.76</v>
      </c>
      <c r="AE2161" s="1" t="s">
        <v>98</v>
      </c>
      <c r="AF2161" s="1" t="s">
        <v>37623</v>
      </c>
      <c r="AG2161" s="1" t="s">
        <v>37624</v>
      </c>
      <c r="AH2161" s="1" t="s">
        <v>1396</v>
      </c>
      <c r="AI2161" s="1" t="s">
        <v>170</v>
      </c>
      <c r="AJ2161" s="1">
        <v>56.8</v>
      </c>
      <c r="AK2161" s="1">
        <v>0</v>
      </c>
      <c r="AL2161" s="1" t="s">
        <v>37625</v>
      </c>
      <c r="AM2161" s="1" t="s">
        <v>202</v>
      </c>
      <c r="AN2161" s="1"/>
      <c r="AO2161" s="1" t="s">
        <v>1065</v>
      </c>
      <c r="AP2161" s="1" t="s">
        <v>203</v>
      </c>
      <c r="AQ2161" s="1">
        <v>61.54</v>
      </c>
      <c r="AR2161" s="1">
        <v>0</v>
      </c>
      <c r="AS2161" s="1" t="s">
        <v>103</v>
      </c>
      <c r="AT2161" s="1" t="s">
        <v>37626</v>
      </c>
      <c r="AU2161" s="1" t="s">
        <v>315</v>
      </c>
      <c r="AV2161" s="1" t="s">
        <v>847</v>
      </c>
      <c r="AW2161" s="1">
        <v>78.78</v>
      </c>
      <c r="AX2161" s="1">
        <v>0</v>
      </c>
      <c r="AY2161" s="1" t="s">
        <v>37627</v>
      </c>
      <c r="AZ2161" s="1" t="s">
        <v>37628</v>
      </c>
      <c r="BA2161" s="1"/>
      <c r="BB2161" s="1"/>
      <c r="BC2161" s="1" t="s">
        <v>441</v>
      </c>
      <c r="BD2161" s="1" t="s">
        <v>1089</v>
      </c>
      <c r="BE2161" s="1">
        <v>65.8</v>
      </c>
      <c r="BF2161" s="1">
        <v>7.08</v>
      </c>
      <c r="BG2161" s="1"/>
      <c r="BH2161" s="1"/>
      <c r="BI2161" s="1"/>
      <c r="BJ2161" s="1"/>
      <c r="BK2161" s="1"/>
      <c r="BL2161" s="1"/>
      <c r="BM2161" s="1"/>
      <c r="BN2161" s="1"/>
      <c r="BO2161" s="1" t="s">
        <v>3308</v>
      </c>
      <c r="BP2161" s="1"/>
      <c r="BQ2161" s="1"/>
      <c r="BR2161" s="1" t="s">
        <v>37629</v>
      </c>
      <c r="BS2161" s="1">
        <v>8</v>
      </c>
      <c r="BT2161" s="1" t="s">
        <v>37630</v>
      </c>
      <c r="BU2161" s="1" t="str">
        <f>HYPERLINK("https://nconnect.nicmar.ac.in/storage/profile/ProfilePhoto_P25702147_251638.jpg","Download")</f>
        <v>0</v>
      </c>
      <c r="BV2161" s="3"/>
      <c r="BW2161" s="3"/>
    </row>
    <row r="2162" spans="1:75">
      <c r="A2162" s="1" t="s">
        <v>26662</v>
      </c>
      <c r="B2162" s="1" t="s">
        <v>446</v>
      </c>
      <c r="C2162" s="1" t="s">
        <v>37631</v>
      </c>
      <c r="D2162" s="1" t="s">
        <v>2829</v>
      </c>
      <c r="E2162" s="1" t="s">
        <v>37632</v>
      </c>
      <c r="F2162" s="1" t="s">
        <v>37633</v>
      </c>
      <c r="G2162" s="1" t="s">
        <v>37634</v>
      </c>
      <c r="H2162" s="1" t="s">
        <v>37635</v>
      </c>
      <c r="I2162" s="1" t="s">
        <v>37636</v>
      </c>
      <c r="J2162" s="1">
        <v>9112433201</v>
      </c>
      <c r="K2162" s="1" t="s">
        <v>84</v>
      </c>
      <c r="L2162" s="1" t="s">
        <v>37637</v>
      </c>
      <c r="M2162" s="1" t="s">
        <v>86</v>
      </c>
      <c r="N2162" s="1" t="s">
        <v>13570</v>
      </c>
      <c r="O2162" s="1" t="s">
        <v>37638</v>
      </c>
      <c r="P2162" s="1" t="s">
        <v>507</v>
      </c>
      <c r="Q2162" s="1" t="s">
        <v>37639</v>
      </c>
      <c r="R2162" s="1" t="s">
        <v>37632</v>
      </c>
      <c r="S2162" s="1">
        <v>9373114757</v>
      </c>
      <c r="T2162" s="1" t="s">
        <v>839</v>
      </c>
      <c r="U2162" s="1" t="s">
        <v>37640</v>
      </c>
      <c r="V2162" s="1">
        <v>8329403779</v>
      </c>
      <c r="W2162" s="1" t="s">
        <v>278</v>
      </c>
      <c r="X2162" s="1" t="s">
        <v>37641</v>
      </c>
      <c r="Y2162" s="1" t="s">
        <v>196</v>
      </c>
      <c r="Z2162" s="1" t="s">
        <v>97</v>
      </c>
      <c r="AA2162" s="1" t="s">
        <v>37642</v>
      </c>
      <c r="AB2162" s="1" t="s">
        <v>410</v>
      </c>
      <c r="AC2162" s="1" t="s">
        <v>97</v>
      </c>
      <c r="AD2162" s="1">
        <v>7.89</v>
      </c>
      <c r="AE2162" s="1" t="s">
        <v>98</v>
      </c>
      <c r="AF2162" s="1" t="s">
        <v>37643</v>
      </c>
      <c r="AG2162" s="1" t="s">
        <v>37644</v>
      </c>
      <c r="AH2162" s="1" t="s">
        <v>170</v>
      </c>
      <c r="AI2162" s="1" t="s">
        <v>106</v>
      </c>
      <c r="AJ2162" s="1">
        <v>86.8</v>
      </c>
      <c r="AK2162" s="1"/>
      <c r="AL2162" s="1"/>
      <c r="AM2162" s="1"/>
      <c r="AN2162" s="1"/>
      <c r="AO2162" s="1"/>
      <c r="AP2162" s="1"/>
      <c r="AQ2162" s="1"/>
      <c r="AR2162" s="1"/>
      <c r="AS2162" s="1" t="s">
        <v>103</v>
      </c>
      <c r="AT2162" s="1" t="s">
        <v>8391</v>
      </c>
      <c r="AU2162" s="1" t="s">
        <v>1065</v>
      </c>
      <c r="AV2162" s="1" t="s">
        <v>110</v>
      </c>
      <c r="AW2162" s="1">
        <v>82.05</v>
      </c>
      <c r="AX2162" s="1"/>
      <c r="AY2162" s="1" t="s">
        <v>4780</v>
      </c>
      <c r="AZ2162" s="1" t="s">
        <v>10909</v>
      </c>
      <c r="BA2162" s="1"/>
      <c r="BB2162" s="1"/>
      <c r="BC2162" s="1" t="s">
        <v>1889</v>
      </c>
      <c r="BD2162" s="1" t="s">
        <v>848</v>
      </c>
      <c r="BE2162" s="1">
        <v>59.3</v>
      </c>
      <c r="BF2162" s="1">
        <v>6.68</v>
      </c>
      <c r="BG2162" s="1"/>
      <c r="BH2162" s="1"/>
      <c r="BI2162" s="1"/>
      <c r="BJ2162" s="1"/>
      <c r="BK2162" s="1"/>
      <c r="BL2162" s="1"/>
      <c r="BM2162" s="1"/>
      <c r="BN2162" s="1"/>
      <c r="BO2162" s="1" t="s">
        <v>37645</v>
      </c>
      <c r="BP2162" s="1"/>
      <c r="BQ2162" s="1"/>
      <c r="BR2162" s="1" t="s">
        <v>37646</v>
      </c>
      <c r="BS2162" s="1">
        <v>31</v>
      </c>
      <c r="BT2162" s="1" t="s">
        <v>37647</v>
      </c>
      <c r="BU2162" s="1" t="str">
        <f>HYPERLINK("https://nconnect.nicmar.ac.in/storage/profile/ProfilePhoto_P25702148_256413.jpg","Download")</f>
        <v>0</v>
      </c>
      <c r="BV2162" s="3"/>
      <c r="BW2162" s="3"/>
    </row>
    <row r="2163" spans="1:75">
      <c r="A2163" s="1" t="s">
        <v>26662</v>
      </c>
      <c r="B2163" s="1" t="s">
        <v>446</v>
      </c>
      <c r="C2163" s="1" t="s">
        <v>37648</v>
      </c>
      <c r="D2163" s="1" t="s">
        <v>13632</v>
      </c>
      <c r="E2163" s="1" t="s">
        <v>8514</v>
      </c>
      <c r="F2163" s="1" t="s">
        <v>2099</v>
      </c>
      <c r="G2163" s="1" t="s">
        <v>13633</v>
      </c>
      <c r="H2163" s="1" t="s">
        <v>37649</v>
      </c>
      <c r="I2163" s="1" t="s">
        <v>37649</v>
      </c>
      <c r="J2163" s="1"/>
      <c r="K2163" s="1"/>
      <c r="L2163" s="1"/>
      <c r="M2163" s="1"/>
      <c r="N2163" s="1"/>
      <c r="O2163" s="1"/>
      <c r="P2163" s="1"/>
      <c r="Q2163" s="1"/>
      <c r="R2163" s="1"/>
      <c r="S2163" s="1"/>
      <c r="T2163" s="1"/>
      <c r="U2163" s="1"/>
      <c r="V2163" s="1"/>
      <c r="W2163" s="1"/>
      <c r="X2163" s="1"/>
      <c r="Y2163" s="1"/>
      <c r="Z2163" s="1"/>
      <c r="AA2163" s="1"/>
      <c r="AB2163" s="1"/>
      <c r="AC2163" s="1"/>
      <c r="AD2163" s="1" t="s">
        <v>98</v>
      </c>
      <c r="AE2163" s="1" t="s">
        <v>98</v>
      </c>
      <c r="AF2163" s="1"/>
      <c r="AG2163" s="1"/>
      <c r="AH2163" s="1"/>
      <c r="AI2163" s="1"/>
      <c r="AJ2163" s="1"/>
      <c r="AK2163" s="1"/>
      <c r="AL2163" s="1"/>
      <c r="AM2163" s="1"/>
      <c r="AN2163" s="1"/>
      <c r="AO2163" s="1"/>
      <c r="AP2163" s="1"/>
      <c r="AQ2163" s="1"/>
      <c r="AR2163" s="1"/>
      <c r="AS2163" s="1"/>
      <c r="AT2163" s="1"/>
      <c r="AU2163" s="1"/>
      <c r="AV2163" s="1"/>
      <c r="AW2163" s="1"/>
      <c r="AX2163" s="1"/>
      <c r="AY2163" s="1"/>
      <c r="AZ2163" s="1"/>
      <c r="BA2163" s="1"/>
      <c r="BB2163" s="1"/>
      <c r="BC2163" s="1"/>
      <c r="BD2163" s="1"/>
      <c r="BE2163" s="1"/>
      <c r="BF2163" s="1"/>
      <c r="BG2163" s="1"/>
      <c r="BH2163" s="1"/>
      <c r="BI2163" s="1"/>
      <c r="BJ2163" s="1"/>
      <c r="BK2163" s="1"/>
      <c r="BL2163" s="1"/>
      <c r="BM2163" s="1"/>
      <c r="BN2163" s="1"/>
      <c r="BO2163" s="1"/>
      <c r="BP2163" s="1"/>
      <c r="BQ2163" s="1"/>
      <c r="BR2163" s="1"/>
      <c r="BS2163" s="1"/>
      <c r="BT2163" s="1"/>
      <c r="BU2163" s="1" t="s">
        <v>9653</v>
      </c>
      <c r="BV2163" s="3"/>
      <c r="BW2163" s="3"/>
    </row>
    <row r="2164" spans="1:75">
      <c r="A2164" s="1" t="s">
        <v>26662</v>
      </c>
      <c r="B2164" s="1" t="s">
        <v>446</v>
      </c>
      <c r="C2164" s="1" t="s">
        <v>37650</v>
      </c>
      <c r="D2164" s="1" t="s">
        <v>37651</v>
      </c>
      <c r="E2164" s="1" t="s">
        <v>9031</v>
      </c>
      <c r="F2164" s="1" t="s">
        <v>37652</v>
      </c>
      <c r="G2164" s="1" t="s">
        <v>37653</v>
      </c>
      <c r="H2164" s="1" t="s">
        <v>37654</v>
      </c>
      <c r="I2164" s="1" t="s">
        <v>37655</v>
      </c>
      <c r="J2164" s="1">
        <v>9423963810</v>
      </c>
      <c r="K2164" s="1" t="s">
        <v>153</v>
      </c>
      <c r="L2164" s="1" t="s">
        <v>36034</v>
      </c>
      <c r="M2164" s="1" t="s">
        <v>86</v>
      </c>
      <c r="N2164" s="1" t="s">
        <v>7467</v>
      </c>
      <c r="O2164" s="1"/>
      <c r="P2164" s="1" t="s">
        <v>481</v>
      </c>
      <c r="Q2164" s="1" t="s">
        <v>37656</v>
      </c>
      <c r="R2164" s="1" t="s">
        <v>37657</v>
      </c>
      <c r="S2164" s="1">
        <v>8600040181</v>
      </c>
      <c r="T2164" s="1" t="s">
        <v>839</v>
      </c>
      <c r="U2164" s="1" t="s">
        <v>37658</v>
      </c>
      <c r="V2164" s="1">
        <v>8600040182</v>
      </c>
      <c r="W2164" s="1" t="s">
        <v>839</v>
      </c>
      <c r="X2164" s="1" t="s">
        <v>37659</v>
      </c>
      <c r="Y2164" s="1" t="s">
        <v>196</v>
      </c>
      <c r="Z2164" s="1" t="s">
        <v>97</v>
      </c>
      <c r="AA2164" s="1" t="s">
        <v>37660</v>
      </c>
      <c r="AB2164" s="1" t="s">
        <v>910</v>
      </c>
      <c r="AC2164" s="1" t="s">
        <v>97</v>
      </c>
      <c r="AD2164" s="1">
        <v>8.47</v>
      </c>
      <c r="AE2164" s="1" t="s">
        <v>98</v>
      </c>
      <c r="AF2164" s="1" t="s">
        <v>37661</v>
      </c>
      <c r="AG2164" s="1" t="s">
        <v>312</v>
      </c>
      <c r="AH2164" s="1" t="s">
        <v>170</v>
      </c>
      <c r="AI2164" s="1" t="s">
        <v>171</v>
      </c>
      <c r="AJ2164" s="1">
        <v>79.2</v>
      </c>
      <c r="AK2164" s="1"/>
      <c r="AL2164" s="1" t="s">
        <v>37662</v>
      </c>
      <c r="AM2164" s="1" t="s">
        <v>165</v>
      </c>
      <c r="AN2164" s="1" t="s">
        <v>465</v>
      </c>
      <c r="AO2164" s="1" t="s">
        <v>203</v>
      </c>
      <c r="AP2164" s="1" t="s">
        <v>365</v>
      </c>
      <c r="AQ2164" s="1">
        <v>74.77</v>
      </c>
      <c r="AR2164" s="1"/>
      <c r="AS2164" s="1"/>
      <c r="AT2164" s="1"/>
      <c r="AU2164" s="1"/>
      <c r="AV2164" s="1"/>
      <c r="AW2164" s="1"/>
      <c r="AX2164" s="1"/>
      <c r="AY2164" s="1" t="s">
        <v>366</v>
      </c>
      <c r="AZ2164" s="1" t="s">
        <v>26688</v>
      </c>
      <c r="BA2164" s="1" t="s">
        <v>682</v>
      </c>
      <c r="BB2164" s="1" t="s">
        <v>1561</v>
      </c>
      <c r="BC2164" s="1" t="s">
        <v>1192</v>
      </c>
      <c r="BD2164" s="1" t="s">
        <v>848</v>
      </c>
      <c r="BE2164" s="1">
        <v>58.9</v>
      </c>
      <c r="BF2164" s="1"/>
      <c r="BG2164" s="1"/>
      <c r="BH2164" s="1"/>
      <c r="BI2164" s="1"/>
      <c r="BJ2164" s="1"/>
      <c r="BK2164" s="1"/>
      <c r="BL2164" s="1"/>
      <c r="BM2164" s="1"/>
      <c r="BN2164" s="1"/>
      <c r="BO2164" s="1" t="s">
        <v>849</v>
      </c>
      <c r="BP2164" s="1"/>
      <c r="BQ2164" s="1"/>
      <c r="BR2164" s="1" t="s">
        <v>37663</v>
      </c>
      <c r="BS2164" s="1">
        <v>28</v>
      </c>
      <c r="BT2164" s="1" t="s">
        <v>37664</v>
      </c>
      <c r="BU2164" s="1" t="str">
        <f>HYPERLINK("https://nconnect.nicmar.ac.in/storage/profile/ProfilePhoto_P25702150_823791.jpg","Download")</f>
        <v>0</v>
      </c>
      <c r="BV2164" s="3"/>
      <c r="BW2164" s="3"/>
    </row>
    <row r="2165" spans="1:75">
      <c r="A2165" s="1" t="s">
        <v>26662</v>
      </c>
      <c r="B2165" s="1" t="s">
        <v>446</v>
      </c>
      <c r="C2165" s="1" t="s">
        <v>37665</v>
      </c>
      <c r="D2165" s="1" t="s">
        <v>31768</v>
      </c>
      <c r="E2165" s="1" t="s">
        <v>1294</v>
      </c>
      <c r="F2165" s="1" t="s">
        <v>37666</v>
      </c>
      <c r="G2165" s="1" t="s">
        <v>37667</v>
      </c>
      <c r="H2165" s="1" t="s">
        <v>37668</v>
      </c>
      <c r="I2165" s="1" t="s">
        <v>37669</v>
      </c>
      <c r="J2165" s="1">
        <v>8888645609</v>
      </c>
      <c r="K2165" s="1" t="s">
        <v>84</v>
      </c>
      <c r="L2165" s="1" t="s">
        <v>37670</v>
      </c>
      <c r="M2165" s="1" t="s">
        <v>86</v>
      </c>
      <c r="N2165" s="1" t="s">
        <v>618</v>
      </c>
      <c r="O2165" s="1"/>
      <c r="P2165" s="1" t="s">
        <v>455</v>
      </c>
      <c r="Q2165" s="1" t="s">
        <v>37671</v>
      </c>
      <c r="R2165" s="1" t="s">
        <v>37672</v>
      </c>
      <c r="S2165" s="1">
        <v>9371011109</v>
      </c>
      <c r="T2165" s="1" t="s">
        <v>839</v>
      </c>
      <c r="U2165" s="1" t="s">
        <v>37673</v>
      </c>
      <c r="V2165" s="1">
        <v>9325132116</v>
      </c>
      <c r="W2165" s="1" t="s">
        <v>161</v>
      </c>
      <c r="X2165" s="1" t="s">
        <v>37674</v>
      </c>
      <c r="Y2165" s="1" t="s">
        <v>196</v>
      </c>
      <c r="Z2165" s="1" t="s">
        <v>97</v>
      </c>
      <c r="AA2165" s="1" t="s">
        <v>37674</v>
      </c>
      <c r="AB2165" s="1" t="s">
        <v>196</v>
      </c>
      <c r="AC2165" s="1" t="s">
        <v>97</v>
      </c>
      <c r="AD2165" s="1">
        <v>8.47</v>
      </c>
      <c r="AE2165" s="1" t="s">
        <v>98</v>
      </c>
      <c r="AF2165" s="1" t="s">
        <v>37675</v>
      </c>
      <c r="AG2165" s="1" t="s">
        <v>6474</v>
      </c>
      <c r="AH2165" s="1" t="s">
        <v>2157</v>
      </c>
      <c r="AI2165" s="1" t="s">
        <v>171</v>
      </c>
      <c r="AJ2165" s="1">
        <v>90.33</v>
      </c>
      <c r="AK2165" s="1"/>
      <c r="AL2165" s="1" t="s">
        <v>37676</v>
      </c>
      <c r="AM2165" s="1" t="s">
        <v>165</v>
      </c>
      <c r="AN2165" s="1"/>
      <c r="AO2165" s="1" t="s">
        <v>106</v>
      </c>
      <c r="AP2165" s="1" t="s">
        <v>178</v>
      </c>
      <c r="AQ2165" s="1">
        <v>80.31</v>
      </c>
      <c r="AR2165" s="1"/>
      <c r="AS2165" s="1"/>
      <c r="AT2165" s="1"/>
      <c r="AU2165" s="1"/>
      <c r="AV2165" s="1"/>
      <c r="AW2165" s="1"/>
      <c r="AX2165" s="1"/>
      <c r="AY2165" s="1" t="s">
        <v>366</v>
      </c>
      <c r="AZ2165" s="1" t="s">
        <v>8080</v>
      </c>
      <c r="BA2165" s="1"/>
      <c r="BB2165" s="1"/>
      <c r="BC2165" s="1" t="s">
        <v>368</v>
      </c>
      <c r="BD2165" s="1" t="s">
        <v>418</v>
      </c>
      <c r="BE2165" s="1">
        <v>87.84</v>
      </c>
      <c r="BF2165" s="1"/>
      <c r="BG2165" s="1"/>
      <c r="BH2165" s="1"/>
      <c r="BI2165" s="1"/>
      <c r="BJ2165" s="1"/>
      <c r="BK2165" s="1"/>
      <c r="BL2165" s="1"/>
      <c r="BM2165" s="1"/>
      <c r="BN2165" s="1"/>
      <c r="BO2165" s="1" t="s">
        <v>3308</v>
      </c>
      <c r="BP2165" s="1" t="s">
        <v>37677</v>
      </c>
      <c r="BQ2165" s="1" t="s">
        <v>2116</v>
      </c>
      <c r="BR2165" s="1"/>
      <c r="BS2165" s="1"/>
      <c r="BT2165" s="1" t="s">
        <v>37678</v>
      </c>
      <c r="BU2165" s="1" t="str">
        <f>HYPERLINK("https://nconnect.nicmar.ac.in/storage/profile/ProfilePhoto_P25702151_527439.jpg","Download")</f>
        <v>0</v>
      </c>
      <c r="BV2165" s="3"/>
      <c r="BW2165" s="3"/>
    </row>
    <row r="2166" spans="1:75">
      <c r="A2166" s="1" t="s">
        <v>26662</v>
      </c>
      <c r="B2166" s="1" t="s">
        <v>446</v>
      </c>
      <c r="C2166" s="1" t="s">
        <v>37679</v>
      </c>
      <c r="D2166" s="1" t="s">
        <v>28396</v>
      </c>
      <c r="E2166" s="1" t="s">
        <v>37680</v>
      </c>
      <c r="F2166" s="1" t="s">
        <v>37681</v>
      </c>
      <c r="G2166" s="1" t="s">
        <v>37682</v>
      </c>
      <c r="H2166" s="1" t="s">
        <v>37683</v>
      </c>
      <c r="I2166" s="1" t="s">
        <v>37684</v>
      </c>
      <c r="J2166" s="1">
        <v>8459527261</v>
      </c>
      <c r="K2166" s="1" t="s">
        <v>84</v>
      </c>
      <c r="L2166" s="1" t="s">
        <v>37685</v>
      </c>
      <c r="M2166" s="1" t="s">
        <v>86</v>
      </c>
      <c r="N2166" s="1" t="s">
        <v>618</v>
      </c>
      <c r="O2166" s="1"/>
      <c r="P2166" s="1" t="s">
        <v>507</v>
      </c>
      <c r="Q2166" s="1" t="s">
        <v>37686</v>
      </c>
      <c r="R2166" s="1" t="s">
        <v>240</v>
      </c>
      <c r="S2166" s="1">
        <v>9921708099</v>
      </c>
      <c r="T2166" s="1" t="s">
        <v>159</v>
      </c>
      <c r="U2166" s="1" t="s">
        <v>6471</v>
      </c>
      <c r="V2166" s="1">
        <v>9921708099</v>
      </c>
      <c r="W2166" s="1" t="s">
        <v>161</v>
      </c>
      <c r="X2166" s="1" t="s">
        <v>37687</v>
      </c>
      <c r="Y2166" s="1" t="s">
        <v>384</v>
      </c>
      <c r="Z2166" s="1" t="s">
        <v>97</v>
      </c>
      <c r="AA2166" s="1" t="s">
        <v>37687</v>
      </c>
      <c r="AB2166" s="1" t="s">
        <v>384</v>
      </c>
      <c r="AC2166" s="1" t="s">
        <v>97</v>
      </c>
      <c r="AD2166" s="1">
        <v>7.61</v>
      </c>
      <c r="AE2166" s="1" t="s">
        <v>98</v>
      </c>
      <c r="AF2166" s="1" t="s">
        <v>37688</v>
      </c>
      <c r="AG2166" s="1" t="s">
        <v>165</v>
      </c>
      <c r="AH2166" s="1" t="s">
        <v>166</v>
      </c>
      <c r="AI2166" s="1" t="s">
        <v>1111</v>
      </c>
      <c r="AJ2166" s="1">
        <v>71.6</v>
      </c>
      <c r="AK2166" s="1"/>
      <c r="AL2166" s="1" t="s">
        <v>37689</v>
      </c>
      <c r="AM2166" s="1" t="s">
        <v>165</v>
      </c>
      <c r="AN2166" s="1" t="s">
        <v>465</v>
      </c>
      <c r="AO2166" s="1" t="s">
        <v>170</v>
      </c>
      <c r="AP2166" s="1" t="s">
        <v>1477</v>
      </c>
      <c r="AQ2166" s="1">
        <v>52.77</v>
      </c>
      <c r="AR2166" s="1"/>
      <c r="AS2166" s="1"/>
      <c r="AT2166" s="1"/>
      <c r="AU2166" s="1"/>
      <c r="AV2166" s="1"/>
      <c r="AW2166" s="1"/>
      <c r="AX2166" s="1"/>
      <c r="AY2166" s="1" t="s">
        <v>107</v>
      </c>
      <c r="AZ2166" s="1" t="s">
        <v>2729</v>
      </c>
      <c r="BA2166" s="1" t="s">
        <v>466</v>
      </c>
      <c r="BB2166" s="1" t="s">
        <v>467</v>
      </c>
      <c r="BC2166" s="1" t="s">
        <v>174</v>
      </c>
      <c r="BD2166" s="1" t="s">
        <v>110</v>
      </c>
      <c r="BE2166" s="1">
        <v>73.1</v>
      </c>
      <c r="BF2166" s="1">
        <v>7.81</v>
      </c>
      <c r="BG2166" s="1"/>
      <c r="BH2166" s="1"/>
      <c r="BI2166" s="1"/>
      <c r="BJ2166" s="1"/>
      <c r="BK2166" s="1"/>
      <c r="BL2166" s="1"/>
      <c r="BM2166" s="1"/>
      <c r="BN2166" s="1"/>
      <c r="BO2166" s="1" t="s">
        <v>37690</v>
      </c>
      <c r="BP2166" s="1"/>
      <c r="BQ2166" s="1"/>
      <c r="BR2166" s="1" t="s">
        <v>37691</v>
      </c>
      <c r="BS2166" s="1">
        <v>34</v>
      </c>
      <c r="BT2166" s="1" t="s">
        <v>37692</v>
      </c>
      <c r="BU2166" s="1" t="str">
        <f>HYPERLINK("https://nconnect.nicmar.ac.in/storage/profile/6a8dd1985da7b.png","Download")</f>
        <v>0</v>
      </c>
      <c r="BV2166" s="3"/>
      <c r="BW2166" s="3"/>
    </row>
    <row r="2167" spans="1:75">
      <c r="A2167" s="1" t="s">
        <v>26662</v>
      </c>
      <c r="B2167" s="1" t="s">
        <v>446</v>
      </c>
      <c r="C2167" s="1" t="s">
        <v>37693</v>
      </c>
      <c r="D2167" s="1" t="s">
        <v>875</v>
      </c>
      <c r="E2167" s="1" t="s">
        <v>7544</v>
      </c>
      <c r="F2167" s="1" t="s">
        <v>37694</v>
      </c>
      <c r="G2167" s="1" t="s">
        <v>37695</v>
      </c>
      <c r="H2167" s="1" t="s">
        <v>37696</v>
      </c>
      <c r="I2167" s="1" t="s">
        <v>37697</v>
      </c>
      <c r="J2167" s="1">
        <v>8999729446</v>
      </c>
      <c r="K2167" s="1" t="s">
        <v>84</v>
      </c>
      <c r="L2167" s="1" t="s">
        <v>14409</v>
      </c>
      <c r="M2167" s="1" t="s">
        <v>86</v>
      </c>
      <c r="N2167" s="1" t="s">
        <v>768</v>
      </c>
      <c r="O2167" s="1"/>
      <c r="P2167" s="1" t="s">
        <v>670</v>
      </c>
      <c r="Q2167" s="1" t="s">
        <v>37698</v>
      </c>
      <c r="R2167" s="1" t="s">
        <v>7544</v>
      </c>
      <c r="S2167" s="1">
        <v>8999729446</v>
      </c>
      <c r="T2167" s="1" t="s">
        <v>839</v>
      </c>
      <c r="U2167" s="1" t="s">
        <v>222</v>
      </c>
      <c r="V2167" s="1">
        <v>9881023699</v>
      </c>
      <c r="W2167" s="1" t="s">
        <v>278</v>
      </c>
      <c r="X2167" s="1" t="s">
        <v>37699</v>
      </c>
      <c r="Y2167" s="1" t="s">
        <v>196</v>
      </c>
      <c r="Z2167" s="1" t="s">
        <v>97</v>
      </c>
      <c r="AA2167" s="1" t="s">
        <v>37700</v>
      </c>
      <c r="AB2167" s="1" t="s">
        <v>410</v>
      </c>
      <c r="AC2167" s="1" t="s">
        <v>97</v>
      </c>
      <c r="AD2167" s="1">
        <v>7.66</v>
      </c>
      <c r="AE2167" s="1" t="s">
        <v>98</v>
      </c>
      <c r="AF2167" s="1" t="s">
        <v>37701</v>
      </c>
      <c r="AG2167" s="1" t="s">
        <v>6474</v>
      </c>
      <c r="AH2167" s="1" t="s">
        <v>171</v>
      </c>
      <c r="AI2167" s="1" t="s">
        <v>313</v>
      </c>
      <c r="AJ2167" s="1">
        <v>81.5</v>
      </c>
      <c r="AK2167" s="1"/>
      <c r="AL2167" s="1" t="s">
        <v>37702</v>
      </c>
      <c r="AM2167" s="1" t="s">
        <v>312</v>
      </c>
      <c r="AN2167" s="1"/>
      <c r="AO2167" s="1" t="s">
        <v>178</v>
      </c>
      <c r="AP2167" s="1" t="s">
        <v>549</v>
      </c>
      <c r="AQ2167" s="1">
        <v>64.8</v>
      </c>
      <c r="AR2167" s="1"/>
      <c r="AS2167" s="1"/>
      <c r="AT2167" s="1"/>
      <c r="AU2167" s="1"/>
      <c r="AV2167" s="1"/>
      <c r="AW2167" s="1"/>
      <c r="AX2167" s="1"/>
      <c r="AY2167" s="1" t="s">
        <v>415</v>
      </c>
      <c r="AZ2167" s="1" t="s">
        <v>37703</v>
      </c>
      <c r="BA2167" s="1"/>
      <c r="BB2167" s="1"/>
      <c r="BC2167" s="1" t="s">
        <v>632</v>
      </c>
      <c r="BD2167" s="1" t="s">
        <v>553</v>
      </c>
      <c r="BE2167" s="1">
        <v>61.8</v>
      </c>
      <c r="BF2167" s="1">
        <v>6.93</v>
      </c>
      <c r="BG2167" s="1"/>
      <c r="BH2167" s="1"/>
      <c r="BI2167" s="1"/>
      <c r="BJ2167" s="1"/>
      <c r="BK2167" s="1"/>
      <c r="BL2167" s="1"/>
      <c r="BM2167" s="1"/>
      <c r="BN2167" s="1"/>
      <c r="BO2167" s="1" t="s">
        <v>3308</v>
      </c>
      <c r="BP2167" s="1"/>
      <c r="BQ2167" s="1"/>
      <c r="BR2167" s="1" t="s">
        <v>37704</v>
      </c>
      <c r="BS2167" s="1">
        <v>22</v>
      </c>
      <c r="BT2167" s="1"/>
      <c r="BU2167" s="1" t="str">
        <f>HYPERLINK("https://nconnect.nicmar.ac.in/storage/profile/ProfilePhoto_P25702153_428956.jpg","Download")</f>
        <v>0</v>
      </c>
      <c r="BV2167" s="3"/>
      <c r="BW2167" s="3"/>
    </row>
    <row r="2168" spans="1:75">
      <c r="A2168" s="1" t="s">
        <v>35074</v>
      </c>
      <c r="B2168" s="1" t="s">
        <v>446</v>
      </c>
      <c r="C2168" s="1" t="s">
        <v>37705</v>
      </c>
      <c r="D2168" s="1" t="s">
        <v>37706</v>
      </c>
      <c r="E2168" s="1" t="s">
        <v>3639</v>
      </c>
      <c r="F2168" s="1" t="s">
        <v>1179</v>
      </c>
      <c r="G2168" s="1" t="s">
        <v>37707</v>
      </c>
      <c r="H2168" s="1" t="s">
        <v>37708</v>
      </c>
      <c r="I2168" s="1" t="s">
        <v>37709</v>
      </c>
      <c r="J2168" s="1">
        <v>9422168171</v>
      </c>
      <c r="K2168" s="1" t="s">
        <v>153</v>
      </c>
      <c r="L2168" s="1" t="s">
        <v>37710</v>
      </c>
      <c r="M2168" s="1" t="s">
        <v>86</v>
      </c>
      <c r="N2168" s="1" t="s">
        <v>7467</v>
      </c>
      <c r="O2168" s="1" t="s">
        <v>37711</v>
      </c>
      <c r="P2168" s="1" t="s">
        <v>507</v>
      </c>
      <c r="Q2168" s="1" t="s">
        <v>37712</v>
      </c>
      <c r="R2168" s="1" t="s">
        <v>37713</v>
      </c>
      <c r="S2168" s="1">
        <v>9545328800</v>
      </c>
      <c r="T2168" s="1" t="s">
        <v>839</v>
      </c>
      <c r="U2168" s="1" t="s">
        <v>37714</v>
      </c>
      <c r="V2168" s="1">
        <v>9325474638</v>
      </c>
      <c r="W2168" s="1" t="s">
        <v>161</v>
      </c>
      <c r="X2168" s="1" t="s">
        <v>37715</v>
      </c>
      <c r="Y2168" s="1" t="s">
        <v>196</v>
      </c>
      <c r="Z2168" s="1" t="s">
        <v>97</v>
      </c>
      <c r="AA2168" s="1" t="s">
        <v>37715</v>
      </c>
      <c r="AB2168" s="1" t="s">
        <v>196</v>
      </c>
      <c r="AC2168" s="1" t="s">
        <v>97</v>
      </c>
      <c r="AD2168" s="1">
        <v>8.66</v>
      </c>
      <c r="AE2168" s="1" t="s">
        <v>98</v>
      </c>
      <c r="AF2168" s="1" t="s">
        <v>37716</v>
      </c>
      <c r="AG2168" s="1" t="s">
        <v>775</v>
      </c>
      <c r="AH2168" s="1" t="s">
        <v>438</v>
      </c>
      <c r="AI2168" s="1" t="s">
        <v>178</v>
      </c>
      <c r="AJ2168" s="1">
        <v>76.6</v>
      </c>
      <c r="AK2168" s="1"/>
      <c r="AL2168" s="1" t="s">
        <v>37717</v>
      </c>
      <c r="AM2168" s="1" t="s">
        <v>775</v>
      </c>
      <c r="AN2168" s="1"/>
      <c r="AO2168" s="1" t="s">
        <v>847</v>
      </c>
      <c r="AP2168" s="1" t="s">
        <v>289</v>
      </c>
      <c r="AQ2168" s="1">
        <v>73</v>
      </c>
      <c r="AR2168" s="1"/>
      <c r="AS2168" s="1"/>
      <c r="AT2168" s="1"/>
      <c r="AU2168" s="1"/>
      <c r="AV2168" s="1"/>
      <c r="AW2168" s="1"/>
      <c r="AX2168" s="1"/>
      <c r="AY2168" s="1" t="s">
        <v>11724</v>
      </c>
      <c r="AZ2168" s="1" t="s">
        <v>37718</v>
      </c>
      <c r="BA2168" s="1"/>
      <c r="BB2168" s="1"/>
      <c r="BC2168" s="1" t="s">
        <v>1802</v>
      </c>
      <c r="BD2168" s="1" t="s">
        <v>607</v>
      </c>
      <c r="BE2168" s="1">
        <v>80.56</v>
      </c>
      <c r="BF2168" s="1">
        <v>8.48</v>
      </c>
      <c r="BG2168" s="1"/>
      <c r="BH2168" s="1"/>
      <c r="BI2168" s="1"/>
      <c r="BJ2168" s="1"/>
      <c r="BK2168" s="1"/>
      <c r="BL2168" s="1"/>
      <c r="BM2168" s="1"/>
      <c r="BN2168" s="1"/>
      <c r="BO2168" s="1" t="s">
        <v>37719</v>
      </c>
      <c r="BP2168" s="1"/>
      <c r="BQ2168" s="1"/>
      <c r="BR2168" s="1" t="s">
        <v>37720</v>
      </c>
      <c r="BS2168" s="1">
        <v>26</v>
      </c>
      <c r="BT2168" s="1" t="s">
        <v>37721</v>
      </c>
      <c r="BU2168" s="1" t="str">
        <f>HYPERLINK("https://nconnect.nicmar.ac.in/storage/profile/ProfilePhoto_P2201001_514287.jpg","Download")</f>
        <v>0</v>
      </c>
      <c r="BV2168" s="3"/>
      <c r="BW2168" s="3"/>
    </row>
    <row r="2169" spans="1:75">
      <c r="A2169" s="1" t="s">
        <v>35074</v>
      </c>
      <c r="B2169" s="1" t="s">
        <v>446</v>
      </c>
      <c r="C2169" s="1" t="s">
        <v>37722</v>
      </c>
      <c r="D2169" s="1" t="s">
        <v>37723</v>
      </c>
      <c r="E2169" s="1"/>
      <c r="F2169" s="1" t="s">
        <v>530</v>
      </c>
      <c r="G2169" s="1" t="s">
        <v>37724</v>
      </c>
      <c r="H2169" s="1" t="s">
        <v>37725</v>
      </c>
      <c r="I2169" s="1" t="s">
        <v>37726</v>
      </c>
      <c r="J2169" s="1">
        <v>9528374944</v>
      </c>
      <c r="K2169" s="1" t="s">
        <v>84</v>
      </c>
      <c r="L2169" s="1" t="s">
        <v>17893</v>
      </c>
      <c r="M2169" s="1" t="s">
        <v>86</v>
      </c>
      <c r="N2169" s="1" t="s">
        <v>246</v>
      </c>
      <c r="O2169" s="1"/>
      <c r="P2169" s="1" t="s">
        <v>507</v>
      </c>
      <c r="Q2169" s="1" t="s">
        <v>37727</v>
      </c>
      <c r="R2169" s="1" t="s">
        <v>37728</v>
      </c>
      <c r="S2169" s="1">
        <v>9719106374</v>
      </c>
      <c r="T2169" s="1" t="s">
        <v>839</v>
      </c>
      <c r="U2169" s="1" t="s">
        <v>37729</v>
      </c>
      <c r="V2169" s="1">
        <v>7454057502</v>
      </c>
      <c r="W2169" s="1" t="s">
        <v>161</v>
      </c>
      <c r="X2169" s="1" t="s">
        <v>37730</v>
      </c>
      <c r="Y2169" s="1" t="s">
        <v>196</v>
      </c>
      <c r="Z2169" s="1" t="s">
        <v>97</v>
      </c>
      <c r="AA2169" s="1" t="s">
        <v>37731</v>
      </c>
      <c r="AB2169" s="1" t="s">
        <v>28737</v>
      </c>
      <c r="AC2169" s="1" t="s">
        <v>544</v>
      </c>
      <c r="AD2169" s="1">
        <v>9.48</v>
      </c>
      <c r="AE2169" s="1" t="s">
        <v>98</v>
      </c>
      <c r="AF2169" s="1" t="s">
        <v>37732</v>
      </c>
      <c r="AG2169" s="1" t="s">
        <v>37733</v>
      </c>
      <c r="AH2169" s="1" t="s">
        <v>174</v>
      </c>
      <c r="AI2169" s="1" t="s">
        <v>178</v>
      </c>
      <c r="AJ2169" s="1">
        <v>88.4</v>
      </c>
      <c r="AK2169" s="1"/>
      <c r="AL2169" s="1" t="s">
        <v>37734</v>
      </c>
      <c r="AM2169" s="1" t="s">
        <v>37735</v>
      </c>
      <c r="AN2169" s="1"/>
      <c r="AO2169" s="1" t="s">
        <v>178</v>
      </c>
      <c r="AP2169" s="1" t="s">
        <v>1400</v>
      </c>
      <c r="AQ2169" s="1">
        <v>74</v>
      </c>
      <c r="AR2169" s="1"/>
      <c r="AS2169" s="1"/>
      <c r="AT2169" s="1"/>
      <c r="AU2169" s="1"/>
      <c r="AV2169" s="1"/>
      <c r="AW2169" s="1"/>
      <c r="AX2169" s="1"/>
      <c r="AY2169" s="1" t="s">
        <v>11724</v>
      </c>
      <c r="AZ2169" s="1" t="s">
        <v>37718</v>
      </c>
      <c r="BA2169" s="1"/>
      <c r="BB2169" s="1"/>
      <c r="BC2169" s="1" t="s">
        <v>1802</v>
      </c>
      <c r="BD2169" s="1" t="s">
        <v>607</v>
      </c>
      <c r="BE2169" s="1">
        <v>91.1</v>
      </c>
      <c r="BF2169" s="1">
        <v>9.59</v>
      </c>
      <c r="BG2169" s="1"/>
      <c r="BH2169" s="1"/>
      <c r="BI2169" s="1"/>
      <c r="BJ2169" s="1"/>
      <c r="BK2169" s="1"/>
      <c r="BL2169" s="1"/>
      <c r="BM2169" s="1"/>
      <c r="BN2169" s="1"/>
      <c r="BO2169" s="1" t="s">
        <v>37736</v>
      </c>
      <c r="BP2169" s="1"/>
      <c r="BQ2169" s="1"/>
      <c r="BR2169" s="1" t="s">
        <v>37737</v>
      </c>
      <c r="BS2169" s="1">
        <v>35</v>
      </c>
      <c r="BT2169" s="1"/>
      <c r="BU2169" s="1" t="str">
        <f>HYPERLINK("https://nconnect.nicmar.ac.in/storage/profile/ProfilePhoto_P2201002_875142.jpg","Download")</f>
        <v>0</v>
      </c>
      <c r="BV2169" s="3"/>
      <c r="BW2169" s="3"/>
    </row>
    <row r="2170" spans="1:75">
      <c r="A2170" s="1" t="s">
        <v>35074</v>
      </c>
      <c r="B2170" s="1" t="s">
        <v>446</v>
      </c>
      <c r="C2170" s="1" t="s">
        <v>37738</v>
      </c>
      <c r="D2170" s="1" t="s">
        <v>37739</v>
      </c>
      <c r="E2170" s="1"/>
      <c r="F2170" s="1" t="s">
        <v>350</v>
      </c>
      <c r="G2170" s="1" t="s">
        <v>37740</v>
      </c>
      <c r="H2170" s="1" t="s">
        <v>37741</v>
      </c>
      <c r="I2170" s="1" t="s">
        <v>37742</v>
      </c>
      <c r="J2170" s="1">
        <v>8923689871</v>
      </c>
      <c r="K2170" s="1" t="s">
        <v>84</v>
      </c>
      <c r="L2170" s="1" t="s">
        <v>37743</v>
      </c>
      <c r="M2170" s="1" t="s">
        <v>86</v>
      </c>
      <c r="N2170" s="1" t="s">
        <v>37744</v>
      </c>
      <c r="O2170" s="1" t="s">
        <v>37745</v>
      </c>
      <c r="P2170" s="1" t="s">
        <v>507</v>
      </c>
      <c r="Q2170" s="1" t="s">
        <v>37746</v>
      </c>
      <c r="R2170" s="1" t="s">
        <v>37747</v>
      </c>
      <c r="S2170" s="1">
        <v>9897879360</v>
      </c>
      <c r="T2170" s="1" t="s">
        <v>21316</v>
      </c>
      <c r="U2170" s="1" t="s">
        <v>37748</v>
      </c>
      <c r="V2170" s="1">
        <v>9627704002</v>
      </c>
      <c r="W2170" s="1" t="s">
        <v>4695</v>
      </c>
      <c r="X2170" s="1" t="s">
        <v>37749</v>
      </c>
      <c r="Y2170" s="1" t="s">
        <v>196</v>
      </c>
      <c r="Z2170" s="1" t="s">
        <v>97</v>
      </c>
      <c r="AA2170" s="1" t="s">
        <v>37750</v>
      </c>
      <c r="AB2170" s="1" t="s">
        <v>28737</v>
      </c>
      <c r="AC2170" s="1" t="s">
        <v>544</v>
      </c>
      <c r="AD2170" s="1">
        <v>8.59</v>
      </c>
      <c r="AE2170" s="1" t="s">
        <v>98</v>
      </c>
      <c r="AF2170" s="1" t="s">
        <v>37751</v>
      </c>
      <c r="AG2170" s="1" t="s">
        <v>37735</v>
      </c>
      <c r="AH2170" s="1" t="s">
        <v>547</v>
      </c>
      <c r="AI2170" s="1" t="s">
        <v>178</v>
      </c>
      <c r="AJ2170" s="1">
        <v>65.4</v>
      </c>
      <c r="AK2170" s="1"/>
      <c r="AL2170" s="1" t="s">
        <v>37751</v>
      </c>
      <c r="AM2170" s="1" t="s">
        <v>37735</v>
      </c>
      <c r="AN2170" s="1"/>
      <c r="AO2170" s="1" t="s">
        <v>2304</v>
      </c>
      <c r="AP2170" s="1" t="s">
        <v>1400</v>
      </c>
      <c r="AQ2170" s="1">
        <v>70.4</v>
      </c>
      <c r="AR2170" s="1"/>
      <c r="AS2170" s="1"/>
      <c r="AT2170" s="1"/>
      <c r="AU2170" s="1"/>
      <c r="AV2170" s="1"/>
      <c r="AW2170" s="1"/>
      <c r="AX2170" s="1"/>
      <c r="AY2170" s="1" t="s">
        <v>11724</v>
      </c>
      <c r="AZ2170" s="1" t="s">
        <v>37718</v>
      </c>
      <c r="BA2170" s="1"/>
      <c r="BB2170" s="1"/>
      <c r="BC2170" s="1" t="s">
        <v>1802</v>
      </c>
      <c r="BD2170" s="1" t="s">
        <v>607</v>
      </c>
      <c r="BE2170" s="1">
        <v>81.25</v>
      </c>
      <c r="BF2170" s="1">
        <v>8.55</v>
      </c>
      <c r="BG2170" s="1"/>
      <c r="BH2170" s="1"/>
      <c r="BI2170" s="1"/>
      <c r="BJ2170" s="1"/>
      <c r="BK2170" s="1"/>
      <c r="BL2170" s="1"/>
      <c r="BM2170" s="1"/>
      <c r="BN2170" s="1"/>
      <c r="BO2170" s="1" t="s">
        <v>37752</v>
      </c>
      <c r="BP2170" s="1"/>
      <c r="BQ2170" s="1"/>
      <c r="BR2170" s="1" t="s">
        <v>37753</v>
      </c>
      <c r="BS2170" s="1">
        <v>27</v>
      </c>
      <c r="BT2170" s="1" t="s">
        <v>37754</v>
      </c>
      <c r="BU2170" s="1" t="str">
        <f>HYPERLINK("https://nconnect.nicmar.ac.in/storage/profile/ProfilePhoto_P2201003_674125.jpg","Download")</f>
        <v>0</v>
      </c>
      <c r="BV2170" s="3"/>
      <c r="BW2170" s="3"/>
    </row>
    <row r="2171" spans="1:75">
      <c r="A2171" s="1" t="s">
        <v>35074</v>
      </c>
      <c r="B2171" s="1" t="s">
        <v>446</v>
      </c>
      <c r="C2171" s="1" t="s">
        <v>37755</v>
      </c>
      <c r="D2171" s="1" t="s">
        <v>37756</v>
      </c>
      <c r="E2171" s="1"/>
      <c r="F2171" s="1" t="s">
        <v>37757</v>
      </c>
      <c r="G2171" s="1" t="s">
        <v>37758</v>
      </c>
      <c r="H2171" s="1" t="s">
        <v>37759</v>
      </c>
      <c r="I2171" s="1" t="s">
        <v>37760</v>
      </c>
      <c r="J2171" s="1">
        <v>8408012525</v>
      </c>
      <c r="K2171" s="1" t="s">
        <v>153</v>
      </c>
      <c r="L2171" s="1" t="s">
        <v>37761</v>
      </c>
      <c r="M2171" s="1" t="s">
        <v>86</v>
      </c>
      <c r="N2171" s="1" t="s">
        <v>37762</v>
      </c>
      <c r="O2171" s="1" t="s">
        <v>37763</v>
      </c>
      <c r="P2171" s="1" t="s">
        <v>455</v>
      </c>
      <c r="Q2171" s="1" t="s">
        <v>37764</v>
      </c>
      <c r="R2171" s="1" t="s">
        <v>37765</v>
      </c>
      <c r="S2171" s="1">
        <v>9373314174</v>
      </c>
      <c r="T2171" s="1" t="s">
        <v>839</v>
      </c>
      <c r="U2171" s="1" t="s">
        <v>37766</v>
      </c>
      <c r="V2171" s="1">
        <v>9370276220</v>
      </c>
      <c r="W2171" s="1" t="s">
        <v>839</v>
      </c>
      <c r="X2171" s="1" t="s">
        <v>37767</v>
      </c>
      <c r="Y2171" s="1" t="s">
        <v>196</v>
      </c>
      <c r="Z2171" s="1" t="s">
        <v>97</v>
      </c>
      <c r="AA2171" s="1" t="s">
        <v>37767</v>
      </c>
      <c r="AB2171" s="1" t="s">
        <v>196</v>
      </c>
      <c r="AC2171" s="1" t="s">
        <v>97</v>
      </c>
      <c r="AD2171" s="1">
        <v>8.91</v>
      </c>
      <c r="AE2171" s="1" t="s">
        <v>98</v>
      </c>
      <c r="AF2171" s="1" t="s">
        <v>37768</v>
      </c>
      <c r="AG2171" s="1" t="s">
        <v>37769</v>
      </c>
      <c r="AH2171" s="1" t="s">
        <v>1262</v>
      </c>
      <c r="AI2171" s="1" t="s">
        <v>313</v>
      </c>
      <c r="AJ2171" s="1">
        <v>83.4</v>
      </c>
      <c r="AK2171" s="1"/>
      <c r="AL2171" s="1" t="s">
        <v>37768</v>
      </c>
      <c r="AM2171" s="1" t="s">
        <v>37769</v>
      </c>
      <c r="AN2171" s="1"/>
      <c r="AO2171" s="1" t="s">
        <v>547</v>
      </c>
      <c r="AP2171" s="1" t="s">
        <v>549</v>
      </c>
      <c r="AQ2171" s="1">
        <v>84.4</v>
      </c>
      <c r="AR2171" s="1"/>
      <c r="AS2171" s="1"/>
      <c r="AT2171" s="1"/>
      <c r="AU2171" s="1"/>
      <c r="AV2171" s="1"/>
      <c r="AW2171" s="1"/>
      <c r="AX2171" s="1"/>
      <c r="AY2171" s="1" t="s">
        <v>11724</v>
      </c>
      <c r="AZ2171" s="1" t="s">
        <v>37718</v>
      </c>
      <c r="BA2171" s="1"/>
      <c r="BB2171" s="1"/>
      <c r="BC2171" s="1" t="s">
        <v>1802</v>
      </c>
      <c r="BD2171" s="1" t="s">
        <v>553</v>
      </c>
      <c r="BE2171" s="1">
        <v>84.93</v>
      </c>
      <c r="BF2171" s="1">
        <v>8.94</v>
      </c>
      <c r="BG2171" s="1"/>
      <c r="BH2171" s="1"/>
      <c r="BI2171" s="1"/>
      <c r="BJ2171" s="1"/>
      <c r="BK2171" s="1"/>
      <c r="BL2171" s="1"/>
      <c r="BM2171" s="1"/>
      <c r="BN2171" s="1"/>
      <c r="BO2171" s="1" t="s">
        <v>37770</v>
      </c>
      <c r="BP2171" s="1" t="s">
        <v>37771</v>
      </c>
      <c r="BQ2171" s="1" t="s">
        <v>9606</v>
      </c>
      <c r="BR2171" s="1" t="s">
        <v>37772</v>
      </c>
      <c r="BS2171" s="1">
        <v>24</v>
      </c>
      <c r="BT2171" s="1" t="s">
        <v>37773</v>
      </c>
      <c r="BU2171" s="1" t="str">
        <f>HYPERLINK("https://nconnect.nicmar.ac.in/storage/profile/ProfilePhoto_P2201006_126385.jpg","Download")</f>
        <v>0</v>
      </c>
      <c r="BV2171" s="3"/>
      <c r="BW2171" s="3"/>
    </row>
    <row r="2172" spans="1:75">
      <c r="A2172" s="1" t="s">
        <v>35074</v>
      </c>
      <c r="B2172" s="1" t="s">
        <v>446</v>
      </c>
      <c r="C2172" s="1" t="s">
        <v>37774</v>
      </c>
      <c r="D2172" s="1" t="s">
        <v>2991</v>
      </c>
      <c r="E2172" s="1" t="s">
        <v>29672</v>
      </c>
      <c r="F2172" s="1" t="s">
        <v>37775</v>
      </c>
      <c r="G2172" s="1" t="s">
        <v>37776</v>
      </c>
      <c r="H2172" s="1" t="s">
        <v>37777</v>
      </c>
      <c r="I2172" s="1" t="s">
        <v>37778</v>
      </c>
      <c r="J2172" s="1">
        <v>8459361169</v>
      </c>
      <c r="K2172" s="1" t="s">
        <v>153</v>
      </c>
      <c r="L2172" s="1" t="s">
        <v>37779</v>
      </c>
      <c r="M2172" s="1" t="s">
        <v>86</v>
      </c>
      <c r="N2172" s="1" t="s">
        <v>4972</v>
      </c>
      <c r="O2172" s="1" t="s">
        <v>37780</v>
      </c>
      <c r="P2172" s="1" t="s">
        <v>481</v>
      </c>
      <c r="Q2172" s="1" t="s">
        <v>37781</v>
      </c>
      <c r="R2172" s="1" t="s">
        <v>29672</v>
      </c>
      <c r="S2172" s="1">
        <v>9850660573</v>
      </c>
      <c r="T2172" s="1" t="s">
        <v>645</v>
      </c>
      <c r="U2172" s="1" t="s">
        <v>37782</v>
      </c>
      <c r="V2172" s="1">
        <v>9011140176</v>
      </c>
      <c r="W2172" s="1" t="s">
        <v>645</v>
      </c>
      <c r="X2172" s="1" t="s">
        <v>37783</v>
      </c>
      <c r="Y2172" s="1" t="s">
        <v>910</v>
      </c>
      <c r="Z2172" s="1" t="s">
        <v>97</v>
      </c>
      <c r="AA2172" s="1" t="s">
        <v>37783</v>
      </c>
      <c r="AB2172" s="1" t="s">
        <v>910</v>
      </c>
      <c r="AC2172" s="1" t="s">
        <v>97</v>
      </c>
      <c r="AD2172" s="1">
        <v>8.29</v>
      </c>
      <c r="AE2172" s="1" t="s">
        <v>98</v>
      </c>
      <c r="AF2172" s="1" t="s">
        <v>31436</v>
      </c>
      <c r="AG2172" s="1" t="s">
        <v>3306</v>
      </c>
      <c r="AH2172" s="1" t="s">
        <v>106</v>
      </c>
      <c r="AI2172" s="1" t="s">
        <v>313</v>
      </c>
      <c r="AJ2172" s="1">
        <v>75.5</v>
      </c>
      <c r="AK2172" s="1"/>
      <c r="AL2172" s="1" t="s">
        <v>37784</v>
      </c>
      <c r="AM2172" s="1" t="s">
        <v>3306</v>
      </c>
      <c r="AN2172" s="1"/>
      <c r="AO2172" s="1" t="s">
        <v>468</v>
      </c>
      <c r="AP2172" s="1" t="s">
        <v>441</v>
      </c>
      <c r="AQ2172" s="1">
        <v>84.67</v>
      </c>
      <c r="AR2172" s="1"/>
      <c r="AS2172" s="1"/>
      <c r="AT2172" s="1"/>
      <c r="AU2172" s="1"/>
      <c r="AV2172" s="1"/>
      <c r="AW2172" s="1"/>
      <c r="AX2172" s="1"/>
      <c r="AY2172" s="1" t="s">
        <v>11724</v>
      </c>
      <c r="AZ2172" s="1" t="s">
        <v>37785</v>
      </c>
      <c r="BA2172" s="1"/>
      <c r="BB2172" s="1"/>
      <c r="BC2172" s="1" t="s">
        <v>1802</v>
      </c>
      <c r="BD2172" s="1" t="s">
        <v>607</v>
      </c>
      <c r="BE2172" s="1">
        <v>75.43</v>
      </c>
      <c r="BF2172" s="1">
        <v>7.94</v>
      </c>
      <c r="BG2172" s="1"/>
      <c r="BH2172" s="1"/>
      <c r="BI2172" s="1"/>
      <c r="BJ2172" s="1"/>
      <c r="BK2172" s="1"/>
      <c r="BL2172" s="1"/>
      <c r="BM2172" s="1"/>
      <c r="BN2172" s="1"/>
      <c r="BO2172" s="1" t="s">
        <v>37786</v>
      </c>
      <c r="BP2172" s="1"/>
      <c r="BQ2172" s="1"/>
      <c r="BR2172" s="1" t="s">
        <v>37787</v>
      </c>
      <c r="BS2172" s="1">
        <v>26</v>
      </c>
      <c r="BT2172" s="1" t="s">
        <v>37788</v>
      </c>
      <c r="BU2172" s="1" t="str">
        <f>HYPERLINK("https://nconnect.nicmar.ac.in/storage/profile/ProfilePhoto_P2201007_873615.jpg","Download")</f>
        <v>0</v>
      </c>
      <c r="BV2172" s="3"/>
      <c r="BW2172" s="3"/>
    </row>
    <row r="2173" spans="1:75">
      <c r="A2173" s="1" t="s">
        <v>35074</v>
      </c>
      <c r="B2173" s="1" t="s">
        <v>446</v>
      </c>
      <c r="C2173" s="1" t="s">
        <v>37789</v>
      </c>
      <c r="D2173" s="1" t="s">
        <v>37790</v>
      </c>
      <c r="E2173" s="1" t="s">
        <v>37791</v>
      </c>
      <c r="F2173" s="1" t="s">
        <v>37792</v>
      </c>
      <c r="G2173" s="1" t="s">
        <v>37793</v>
      </c>
      <c r="H2173" s="1" t="s">
        <v>37794</v>
      </c>
      <c r="I2173" s="1" t="s">
        <v>37795</v>
      </c>
      <c r="J2173" s="1">
        <v>9168407860</v>
      </c>
      <c r="K2173" s="1" t="s">
        <v>153</v>
      </c>
      <c r="L2173" s="1" t="s">
        <v>37796</v>
      </c>
      <c r="M2173" s="1" t="s">
        <v>86</v>
      </c>
      <c r="N2173" s="1" t="s">
        <v>19264</v>
      </c>
      <c r="O2173" s="1" t="s">
        <v>37797</v>
      </c>
      <c r="P2173" s="1" t="s">
        <v>455</v>
      </c>
      <c r="Q2173" s="1" t="s">
        <v>37798</v>
      </c>
      <c r="R2173" s="1" t="s">
        <v>37791</v>
      </c>
      <c r="S2173" s="1">
        <v>9822975444</v>
      </c>
      <c r="T2173" s="1" t="s">
        <v>37799</v>
      </c>
      <c r="U2173" s="1" t="s">
        <v>37800</v>
      </c>
      <c r="V2173" s="1">
        <v>9881197444</v>
      </c>
      <c r="W2173" s="1" t="s">
        <v>94</v>
      </c>
      <c r="X2173" s="1" t="s">
        <v>37801</v>
      </c>
      <c r="Y2173" s="1" t="s">
        <v>196</v>
      </c>
      <c r="Z2173" s="1" t="s">
        <v>97</v>
      </c>
      <c r="AA2173" s="1" t="s">
        <v>37801</v>
      </c>
      <c r="AB2173" s="1" t="s">
        <v>196</v>
      </c>
      <c r="AC2173" s="1" t="s">
        <v>97</v>
      </c>
      <c r="AD2173" s="1">
        <v>9.77</v>
      </c>
      <c r="AE2173" s="1" t="s">
        <v>98</v>
      </c>
      <c r="AF2173" s="1" t="s">
        <v>37802</v>
      </c>
      <c r="AG2173" s="1" t="s">
        <v>6251</v>
      </c>
      <c r="AH2173" s="1" t="s">
        <v>547</v>
      </c>
      <c r="AI2173" s="1" t="s">
        <v>178</v>
      </c>
      <c r="AJ2173" s="1">
        <v>85.2</v>
      </c>
      <c r="AK2173" s="1"/>
      <c r="AL2173" s="1" t="s">
        <v>37803</v>
      </c>
      <c r="AM2173" s="1" t="s">
        <v>6251</v>
      </c>
      <c r="AN2173" s="1" t="s">
        <v>465</v>
      </c>
      <c r="AO2173" s="1" t="s">
        <v>847</v>
      </c>
      <c r="AP2173" s="1" t="s">
        <v>1400</v>
      </c>
      <c r="AQ2173" s="1">
        <v>80.4</v>
      </c>
      <c r="AR2173" s="1"/>
      <c r="AS2173" s="1"/>
      <c r="AT2173" s="1"/>
      <c r="AU2173" s="1"/>
      <c r="AV2173" s="1"/>
      <c r="AW2173" s="1"/>
      <c r="AX2173" s="1"/>
      <c r="AY2173" s="1" t="s">
        <v>11724</v>
      </c>
      <c r="AZ2173" s="1" t="s">
        <v>37804</v>
      </c>
      <c r="BA2173" s="1" t="s">
        <v>35549</v>
      </c>
      <c r="BB2173" s="1" t="s">
        <v>36107</v>
      </c>
      <c r="BC2173" s="1" t="s">
        <v>1802</v>
      </c>
      <c r="BD2173" s="1" t="s">
        <v>607</v>
      </c>
      <c r="BE2173" s="1">
        <v>92.34</v>
      </c>
      <c r="BF2173" s="1">
        <v>9.72</v>
      </c>
      <c r="BG2173" s="1"/>
      <c r="BH2173" s="1"/>
      <c r="BI2173" s="1"/>
      <c r="BJ2173" s="1"/>
      <c r="BK2173" s="1"/>
      <c r="BL2173" s="1"/>
      <c r="BM2173" s="1"/>
      <c r="BN2173" s="1"/>
      <c r="BO2173" s="1" t="s">
        <v>37805</v>
      </c>
      <c r="BP2173" s="1"/>
      <c r="BQ2173" s="1"/>
      <c r="BR2173" s="1" t="s">
        <v>37806</v>
      </c>
      <c r="BS2173" s="1">
        <v>24</v>
      </c>
      <c r="BT2173" s="1" t="s">
        <v>37807</v>
      </c>
      <c r="BU2173" s="1" t="str">
        <f>HYPERLINK("https://nconnect.nicmar.ac.in/storage/profile/ProfilePhoto_P2201008_187945.jpg","Download")</f>
        <v>0</v>
      </c>
      <c r="BV2173" s="3"/>
      <c r="BW2173" s="3"/>
    </row>
    <row r="2174" spans="1:75">
      <c r="A2174" s="1" t="s">
        <v>35074</v>
      </c>
      <c r="B2174" s="1" t="s">
        <v>446</v>
      </c>
      <c r="C2174" s="1" t="s">
        <v>37808</v>
      </c>
      <c r="D2174" s="1" t="s">
        <v>37809</v>
      </c>
      <c r="E2174" s="1" t="s">
        <v>13411</v>
      </c>
      <c r="F2174" s="1" t="s">
        <v>2250</v>
      </c>
      <c r="G2174" s="1" t="s">
        <v>37810</v>
      </c>
      <c r="H2174" s="1" t="s">
        <v>37811</v>
      </c>
      <c r="I2174" s="1" t="s">
        <v>37812</v>
      </c>
      <c r="J2174" s="1">
        <v>9619180968</v>
      </c>
      <c r="K2174" s="1" t="s">
        <v>84</v>
      </c>
      <c r="L2174" s="1" t="s">
        <v>37813</v>
      </c>
      <c r="M2174" s="1" t="s">
        <v>86</v>
      </c>
      <c r="N2174" s="1" t="s">
        <v>4278</v>
      </c>
      <c r="O2174" s="1" t="s">
        <v>37814</v>
      </c>
      <c r="P2174" s="1" t="s">
        <v>1028</v>
      </c>
      <c r="Q2174" s="1" t="s">
        <v>37815</v>
      </c>
      <c r="R2174" s="1" t="s">
        <v>3529</v>
      </c>
      <c r="S2174" s="1">
        <v>9833171720</v>
      </c>
      <c r="T2174" s="1" t="s">
        <v>37816</v>
      </c>
      <c r="U2174" s="1" t="s">
        <v>17175</v>
      </c>
      <c r="V2174" s="1">
        <v>9082491354</v>
      </c>
      <c r="W2174" s="1" t="s">
        <v>37817</v>
      </c>
      <c r="X2174" s="1" t="s">
        <v>37818</v>
      </c>
      <c r="Y2174" s="1" t="s">
        <v>196</v>
      </c>
      <c r="Z2174" s="1" t="s">
        <v>97</v>
      </c>
      <c r="AA2174" s="1" t="s">
        <v>37818</v>
      </c>
      <c r="AB2174" s="1" t="s">
        <v>196</v>
      </c>
      <c r="AC2174" s="1" t="s">
        <v>97</v>
      </c>
      <c r="AD2174" s="1">
        <v>6.81</v>
      </c>
      <c r="AE2174" s="1" t="s">
        <v>98</v>
      </c>
      <c r="AF2174" s="1" t="s">
        <v>37819</v>
      </c>
      <c r="AG2174" s="1" t="s">
        <v>37820</v>
      </c>
      <c r="AH2174" s="1" t="s">
        <v>414</v>
      </c>
      <c r="AI2174" s="1" t="s">
        <v>603</v>
      </c>
      <c r="AJ2174" s="1">
        <v>64.2</v>
      </c>
      <c r="AK2174" s="1">
        <v>0</v>
      </c>
      <c r="AL2174" s="1" t="s">
        <v>37821</v>
      </c>
      <c r="AM2174" s="1" t="s">
        <v>37822</v>
      </c>
      <c r="AN2174" s="1"/>
      <c r="AO2174" s="1" t="s">
        <v>178</v>
      </c>
      <c r="AP2174" s="1" t="s">
        <v>289</v>
      </c>
      <c r="AQ2174" s="1">
        <v>61.4</v>
      </c>
      <c r="AR2174" s="1">
        <v>0</v>
      </c>
      <c r="AS2174" s="1"/>
      <c r="AT2174" s="1"/>
      <c r="AU2174" s="1"/>
      <c r="AV2174" s="1"/>
      <c r="AW2174" s="1"/>
      <c r="AX2174" s="1"/>
      <c r="AY2174" s="1" t="s">
        <v>11724</v>
      </c>
      <c r="AZ2174" s="1" t="s">
        <v>37823</v>
      </c>
      <c r="BA2174" s="1"/>
      <c r="BB2174" s="1"/>
      <c r="BC2174" s="1" t="s">
        <v>1802</v>
      </c>
      <c r="BD2174" s="1" t="s">
        <v>607</v>
      </c>
      <c r="BE2174" s="1">
        <v>69</v>
      </c>
      <c r="BF2174" s="1">
        <v>7.27</v>
      </c>
      <c r="BG2174" s="1"/>
      <c r="BH2174" s="1"/>
      <c r="BI2174" s="1"/>
      <c r="BJ2174" s="1"/>
      <c r="BK2174" s="1"/>
      <c r="BL2174" s="1"/>
      <c r="BM2174" s="1"/>
      <c r="BN2174" s="1"/>
      <c r="BO2174" s="1" t="s">
        <v>37824</v>
      </c>
      <c r="BP2174" s="1"/>
      <c r="BQ2174" s="1"/>
      <c r="BR2174" s="1" t="s">
        <v>37825</v>
      </c>
      <c r="BS2174" s="1">
        <v>17</v>
      </c>
      <c r="BT2174" s="1"/>
      <c r="BU2174" s="1" t="str">
        <f>HYPERLINK("https://nconnect.nicmar.ac.in/storage/profile/ProfilePhoto_P2201010_518643.jpg","Download")</f>
        <v>0</v>
      </c>
      <c r="BV2174" s="3"/>
      <c r="BW2174" s="3"/>
    </row>
    <row r="2175" spans="1:75">
      <c r="A2175" s="1" t="s">
        <v>35074</v>
      </c>
      <c r="B2175" s="1" t="s">
        <v>446</v>
      </c>
      <c r="C2175" s="1" t="s">
        <v>37826</v>
      </c>
      <c r="D2175" s="1" t="s">
        <v>9388</v>
      </c>
      <c r="E2175" s="1" t="s">
        <v>37827</v>
      </c>
      <c r="F2175" s="1" t="s">
        <v>37828</v>
      </c>
      <c r="G2175" s="1" t="s">
        <v>37829</v>
      </c>
      <c r="H2175" s="1" t="s">
        <v>37830</v>
      </c>
      <c r="I2175" s="1" t="s">
        <v>37831</v>
      </c>
      <c r="J2175" s="1">
        <v>8669508463</v>
      </c>
      <c r="K2175" s="1" t="s">
        <v>84</v>
      </c>
      <c r="L2175" s="1" t="s">
        <v>37832</v>
      </c>
      <c r="M2175" s="1" t="s">
        <v>86</v>
      </c>
      <c r="N2175" s="1" t="s">
        <v>1163</v>
      </c>
      <c r="O2175" s="1"/>
      <c r="P2175" s="1" t="s">
        <v>507</v>
      </c>
      <c r="Q2175" s="1" t="s">
        <v>37833</v>
      </c>
      <c r="R2175" s="1" t="s">
        <v>37834</v>
      </c>
      <c r="S2175" s="1">
        <v>8408915929</v>
      </c>
      <c r="T2175" s="1" t="s">
        <v>9257</v>
      </c>
      <c r="U2175" s="1" t="s">
        <v>37835</v>
      </c>
      <c r="V2175" s="1">
        <v>9673796235</v>
      </c>
      <c r="W2175" s="1" t="s">
        <v>278</v>
      </c>
      <c r="X2175" s="1" t="s">
        <v>37836</v>
      </c>
      <c r="Y2175" s="1" t="s">
        <v>196</v>
      </c>
      <c r="Z2175" s="1" t="s">
        <v>97</v>
      </c>
      <c r="AA2175" s="1" t="s">
        <v>37837</v>
      </c>
      <c r="AB2175" s="1" t="s">
        <v>5584</v>
      </c>
      <c r="AC2175" s="1" t="s">
        <v>97</v>
      </c>
      <c r="AD2175" s="1">
        <v>7.31</v>
      </c>
      <c r="AE2175" s="1" t="s">
        <v>98</v>
      </c>
      <c r="AF2175" s="1" t="s">
        <v>37838</v>
      </c>
      <c r="AG2175" s="1" t="s">
        <v>37839</v>
      </c>
      <c r="AH2175" s="1" t="s">
        <v>1396</v>
      </c>
      <c r="AI2175" s="1" t="s">
        <v>200</v>
      </c>
      <c r="AJ2175" s="1">
        <v>85.4</v>
      </c>
      <c r="AK2175" s="1"/>
      <c r="AL2175" s="1" t="s">
        <v>37840</v>
      </c>
      <c r="AM2175" s="1" t="s">
        <v>37839</v>
      </c>
      <c r="AN2175" s="1"/>
      <c r="AO2175" s="1" t="s">
        <v>174</v>
      </c>
      <c r="AP2175" s="1" t="s">
        <v>203</v>
      </c>
      <c r="AQ2175" s="1">
        <v>67.23</v>
      </c>
      <c r="AR2175" s="1"/>
      <c r="AS2175" s="1"/>
      <c r="AT2175" s="1"/>
      <c r="AU2175" s="1"/>
      <c r="AV2175" s="1"/>
      <c r="AW2175" s="1"/>
      <c r="AX2175" s="1"/>
      <c r="AY2175" s="1" t="s">
        <v>997</v>
      </c>
      <c r="AZ2175" s="1" t="s">
        <v>29669</v>
      </c>
      <c r="BA2175" s="1"/>
      <c r="BB2175" s="1"/>
      <c r="BC2175" s="1" t="s">
        <v>206</v>
      </c>
      <c r="BD2175" s="1" t="s">
        <v>955</v>
      </c>
      <c r="BE2175" s="1">
        <v>53.3</v>
      </c>
      <c r="BF2175" s="1">
        <v>6.08</v>
      </c>
      <c r="BG2175" s="1"/>
      <c r="BH2175" s="1"/>
      <c r="BI2175" s="1"/>
      <c r="BJ2175" s="1"/>
      <c r="BK2175" s="1"/>
      <c r="BL2175" s="1"/>
      <c r="BM2175" s="1"/>
      <c r="BN2175" s="1"/>
      <c r="BO2175" s="1" t="s">
        <v>849</v>
      </c>
      <c r="BP2175" s="1"/>
      <c r="BQ2175" s="1"/>
      <c r="BR2175" s="1" t="s">
        <v>37841</v>
      </c>
      <c r="BS2175" s="1">
        <v>7</v>
      </c>
      <c r="BT2175" s="1"/>
      <c r="BU2175" s="1" t="str">
        <f>HYPERLINK("https://nconnect.nicmar.ac.in/storage/profile/ProfilePhoto_P25703001_183497.jpg","Download")</f>
        <v>0</v>
      </c>
      <c r="BV2175" s="3"/>
      <c r="BW2175" s="3"/>
    </row>
    <row r="2176" spans="1:75">
      <c r="A2176" s="1" t="s">
        <v>35074</v>
      </c>
      <c r="B2176" s="1" t="s">
        <v>446</v>
      </c>
      <c r="C2176" s="1" t="s">
        <v>37842</v>
      </c>
      <c r="D2176" s="1" t="s">
        <v>37843</v>
      </c>
      <c r="E2176" s="1" t="s">
        <v>27118</v>
      </c>
      <c r="F2176" s="1" t="s">
        <v>37844</v>
      </c>
      <c r="G2176" s="1" t="s">
        <v>37845</v>
      </c>
      <c r="H2176" s="1" t="s">
        <v>37846</v>
      </c>
      <c r="I2176" s="1" t="s">
        <v>37847</v>
      </c>
      <c r="J2176" s="1">
        <v>7057599949</v>
      </c>
      <c r="K2176" s="1" t="s">
        <v>153</v>
      </c>
      <c r="L2176" s="1" t="s">
        <v>37848</v>
      </c>
      <c r="M2176" s="1" t="s">
        <v>86</v>
      </c>
      <c r="N2176" s="1" t="s">
        <v>1163</v>
      </c>
      <c r="O2176" s="1"/>
      <c r="P2176" s="1" t="s">
        <v>481</v>
      </c>
      <c r="Q2176" s="1" t="s">
        <v>37849</v>
      </c>
      <c r="R2176" s="1" t="s">
        <v>37850</v>
      </c>
      <c r="S2176" s="1">
        <v>9923602457</v>
      </c>
      <c r="T2176" s="1" t="s">
        <v>839</v>
      </c>
      <c r="U2176" s="1" t="s">
        <v>37851</v>
      </c>
      <c r="V2176" s="1">
        <v>9890426216</v>
      </c>
      <c r="W2176" s="1" t="s">
        <v>2950</v>
      </c>
      <c r="X2176" s="1" t="s">
        <v>37852</v>
      </c>
      <c r="Y2176" s="1" t="s">
        <v>196</v>
      </c>
      <c r="Z2176" s="1" t="s">
        <v>97</v>
      </c>
      <c r="AA2176" s="1" t="s">
        <v>37852</v>
      </c>
      <c r="AB2176" s="1" t="s">
        <v>196</v>
      </c>
      <c r="AC2176" s="1" t="s">
        <v>97</v>
      </c>
      <c r="AD2176" s="1">
        <v>9.59</v>
      </c>
      <c r="AE2176" s="1" t="s">
        <v>98</v>
      </c>
      <c r="AF2176" s="1" t="s">
        <v>37853</v>
      </c>
      <c r="AG2176" s="1" t="s">
        <v>775</v>
      </c>
      <c r="AH2176" s="1" t="s">
        <v>106</v>
      </c>
      <c r="AI2176" s="1" t="s">
        <v>313</v>
      </c>
      <c r="AJ2176" s="1">
        <v>95.4</v>
      </c>
      <c r="AK2176" s="1">
        <v>0</v>
      </c>
      <c r="AL2176" s="1"/>
      <c r="AM2176" s="1"/>
      <c r="AN2176" s="1"/>
      <c r="AO2176" s="1"/>
      <c r="AP2176" s="1"/>
      <c r="AQ2176" s="1"/>
      <c r="AR2176" s="1"/>
      <c r="AS2176" s="1" t="s">
        <v>37854</v>
      </c>
      <c r="AT2176" s="1" t="s">
        <v>37855</v>
      </c>
      <c r="AU2176" s="1" t="s">
        <v>206</v>
      </c>
      <c r="AV2176" s="1" t="s">
        <v>110</v>
      </c>
      <c r="AW2176" s="1">
        <v>92.8</v>
      </c>
      <c r="AX2176" s="1">
        <v>0</v>
      </c>
      <c r="AY2176" s="1" t="s">
        <v>366</v>
      </c>
      <c r="AZ2176" s="1" t="s">
        <v>37856</v>
      </c>
      <c r="BA2176" s="1"/>
      <c r="BB2176" s="1"/>
      <c r="BC2176" s="1" t="s">
        <v>1825</v>
      </c>
      <c r="BD2176" s="1" t="s">
        <v>553</v>
      </c>
      <c r="BE2176" s="1">
        <v>82.56</v>
      </c>
      <c r="BF2176" s="1">
        <v>8.69</v>
      </c>
      <c r="BG2176" s="1"/>
      <c r="BH2176" s="1"/>
      <c r="BI2176" s="1"/>
      <c r="BJ2176" s="1"/>
      <c r="BK2176" s="1"/>
      <c r="BL2176" s="1"/>
      <c r="BM2176" s="1"/>
      <c r="BN2176" s="1"/>
      <c r="BO2176" s="1" t="s">
        <v>37857</v>
      </c>
      <c r="BP2176" s="1"/>
      <c r="BQ2176" s="1"/>
      <c r="BR2176" s="1" t="s">
        <v>37858</v>
      </c>
      <c r="BS2176" s="1">
        <v>27</v>
      </c>
      <c r="BT2176" s="1" t="s">
        <v>37859</v>
      </c>
      <c r="BU2176" s="1" t="str">
        <f>HYPERLINK("https://nconnect.nicmar.ac.in/storage/profile/ProfilePhoto_P25703002_482139.jpg","Download")</f>
        <v>0</v>
      </c>
      <c r="BV2176" s="3"/>
      <c r="BW2176" s="3"/>
    </row>
    <row r="2177" spans="1:75">
      <c r="A2177" s="1" t="s">
        <v>35074</v>
      </c>
      <c r="B2177" s="1" t="s">
        <v>446</v>
      </c>
      <c r="C2177" s="1" t="s">
        <v>37860</v>
      </c>
      <c r="D2177" s="1" t="s">
        <v>37861</v>
      </c>
      <c r="E2177" s="1"/>
      <c r="F2177" s="1" t="s">
        <v>4926</v>
      </c>
      <c r="G2177" s="1" t="s">
        <v>37862</v>
      </c>
      <c r="H2177" s="1" t="s">
        <v>37863</v>
      </c>
      <c r="I2177" s="1" t="s">
        <v>37864</v>
      </c>
      <c r="J2177" s="1">
        <v>8409003373</v>
      </c>
      <c r="K2177" s="1" t="s">
        <v>153</v>
      </c>
      <c r="L2177" s="1" t="s">
        <v>37865</v>
      </c>
      <c r="M2177" s="1" t="s">
        <v>86</v>
      </c>
      <c r="N2177" s="1" t="s">
        <v>246</v>
      </c>
      <c r="O2177" s="1"/>
      <c r="P2177" s="1" t="s">
        <v>507</v>
      </c>
      <c r="Q2177" s="1" t="s">
        <v>37866</v>
      </c>
      <c r="R2177" s="1" t="s">
        <v>37867</v>
      </c>
      <c r="S2177" s="1">
        <v>9472331379</v>
      </c>
      <c r="T2177" s="1" t="s">
        <v>926</v>
      </c>
      <c r="U2177" s="1" t="s">
        <v>37868</v>
      </c>
      <c r="V2177" s="1">
        <v>7870030728</v>
      </c>
      <c r="W2177" s="1" t="s">
        <v>278</v>
      </c>
      <c r="X2177" s="1" t="s">
        <v>37869</v>
      </c>
      <c r="Y2177" s="1" t="s">
        <v>196</v>
      </c>
      <c r="Z2177" s="1" t="s">
        <v>97</v>
      </c>
      <c r="AA2177" s="1" t="s">
        <v>37870</v>
      </c>
      <c r="AB2177" s="1" t="s">
        <v>648</v>
      </c>
      <c r="AC2177" s="1" t="s">
        <v>649</v>
      </c>
      <c r="AD2177" s="1">
        <v>0.0</v>
      </c>
      <c r="AE2177" s="1" t="s">
        <v>98</v>
      </c>
      <c r="AF2177" s="1" t="s">
        <v>37871</v>
      </c>
      <c r="AG2177" s="1" t="s">
        <v>312</v>
      </c>
      <c r="AH2177" s="1" t="s">
        <v>547</v>
      </c>
      <c r="AI2177" s="1" t="s">
        <v>178</v>
      </c>
      <c r="AJ2177" s="1">
        <v>61.83</v>
      </c>
      <c r="AK2177" s="1">
        <v>0</v>
      </c>
      <c r="AL2177" s="1" t="s">
        <v>37872</v>
      </c>
      <c r="AM2177" s="1" t="s">
        <v>312</v>
      </c>
      <c r="AN2177" s="1" t="s">
        <v>35580</v>
      </c>
      <c r="AO2177" s="1" t="s">
        <v>2304</v>
      </c>
      <c r="AP2177" s="1" t="s">
        <v>1400</v>
      </c>
      <c r="AQ2177" s="1">
        <v>60</v>
      </c>
      <c r="AR2177" s="1">
        <v>0</v>
      </c>
      <c r="AS2177" s="1"/>
      <c r="AT2177" s="1"/>
      <c r="AU2177" s="1"/>
      <c r="AV2177" s="1"/>
      <c r="AW2177" s="1"/>
      <c r="AX2177" s="1"/>
      <c r="AY2177" s="1" t="s">
        <v>37873</v>
      </c>
      <c r="AZ2177" s="1" t="s">
        <v>37874</v>
      </c>
      <c r="BA2177" s="1" t="s">
        <v>1062</v>
      </c>
      <c r="BB2177" s="1" t="s">
        <v>1062</v>
      </c>
      <c r="BC2177" s="1" t="s">
        <v>110</v>
      </c>
      <c r="BD2177" s="1" t="s">
        <v>1401</v>
      </c>
      <c r="BE2177" s="1">
        <v>65.06</v>
      </c>
      <c r="BF2177" s="1">
        <v>0</v>
      </c>
      <c r="BG2177" s="1"/>
      <c r="BH2177" s="1"/>
      <c r="BI2177" s="1"/>
      <c r="BJ2177" s="1"/>
      <c r="BK2177" s="1"/>
      <c r="BL2177" s="1"/>
      <c r="BM2177" s="1"/>
      <c r="BN2177" s="1"/>
      <c r="BO2177" s="1" t="s">
        <v>37875</v>
      </c>
      <c r="BP2177" s="1"/>
      <c r="BQ2177" s="1"/>
      <c r="BR2177" s="1" t="s">
        <v>37876</v>
      </c>
      <c r="BS2177" s="1">
        <v>8</v>
      </c>
      <c r="BT2177" s="1" t="s">
        <v>37877</v>
      </c>
      <c r="BU2177" s="1" t="str">
        <f>HYPERLINK("https://nconnect.nicmar.ac.in/storage/profile/ProfilePhoto_P25703003_426193.jpg","Download")</f>
        <v>0</v>
      </c>
      <c r="BV2177" s="3"/>
      <c r="BW2177" s="3"/>
    </row>
    <row r="2178" spans="1:75">
      <c r="A2178" s="1" t="s">
        <v>35074</v>
      </c>
      <c r="B2178" s="1" t="s">
        <v>446</v>
      </c>
      <c r="C2178" s="1" t="s">
        <v>37878</v>
      </c>
      <c r="D2178" s="1" t="s">
        <v>9975</v>
      </c>
      <c r="E2178" s="1"/>
      <c r="F2178" s="1" t="s">
        <v>4926</v>
      </c>
      <c r="G2178" s="1" t="s">
        <v>37879</v>
      </c>
      <c r="H2178" s="1" t="s">
        <v>37880</v>
      </c>
      <c r="I2178" s="1" t="s">
        <v>37881</v>
      </c>
      <c r="J2178" s="1">
        <v>7004504753</v>
      </c>
      <c r="K2178" s="1" t="s">
        <v>153</v>
      </c>
      <c r="L2178" s="1" t="s">
        <v>37882</v>
      </c>
      <c r="M2178" s="1" t="s">
        <v>86</v>
      </c>
      <c r="N2178" s="1" t="s">
        <v>87</v>
      </c>
      <c r="O2178" s="1"/>
      <c r="P2178" s="1" t="s">
        <v>455</v>
      </c>
      <c r="Q2178" s="1" t="s">
        <v>37883</v>
      </c>
      <c r="R2178" s="1" t="s">
        <v>37884</v>
      </c>
      <c r="S2178" s="1">
        <v>9631289451</v>
      </c>
      <c r="T2178" s="1" t="s">
        <v>926</v>
      </c>
      <c r="U2178" s="1" t="s">
        <v>37885</v>
      </c>
      <c r="V2178" s="1">
        <v>9431492181</v>
      </c>
      <c r="W2178" s="1" t="s">
        <v>161</v>
      </c>
      <c r="X2178" s="1" t="s">
        <v>37886</v>
      </c>
      <c r="Y2178" s="1" t="s">
        <v>196</v>
      </c>
      <c r="Z2178" s="1" t="s">
        <v>97</v>
      </c>
      <c r="AA2178" s="1" t="s">
        <v>37887</v>
      </c>
      <c r="AB2178" s="1" t="s">
        <v>648</v>
      </c>
      <c r="AC2178" s="1" t="s">
        <v>649</v>
      </c>
      <c r="AD2178" s="1">
        <v>5.82</v>
      </c>
      <c r="AE2178" s="1" t="s">
        <v>98</v>
      </c>
      <c r="AF2178" s="1" t="s">
        <v>37888</v>
      </c>
      <c r="AG2178" s="1" t="s">
        <v>312</v>
      </c>
      <c r="AH2178" s="1" t="s">
        <v>704</v>
      </c>
      <c r="AI2178" s="1" t="s">
        <v>171</v>
      </c>
      <c r="AJ2178" s="1">
        <v>69</v>
      </c>
      <c r="AK2178" s="1">
        <v>0</v>
      </c>
      <c r="AL2178" s="1" t="s">
        <v>37889</v>
      </c>
      <c r="AM2178" s="1" t="s">
        <v>37890</v>
      </c>
      <c r="AN2178" s="1" t="s">
        <v>6323</v>
      </c>
      <c r="AO2178" s="1" t="s">
        <v>2304</v>
      </c>
      <c r="AP2178" s="1" t="s">
        <v>1886</v>
      </c>
      <c r="AQ2178" s="1">
        <v>71.2</v>
      </c>
      <c r="AR2178" s="1"/>
      <c r="AS2178" s="1"/>
      <c r="AT2178" s="1"/>
      <c r="AU2178" s="1"/>
      <c r="AV2178" s="1"/>
      <c r="AW2178" s="1"/>
      <c r="AX2178" s="1"/>
      <c r="AY2178" s="1" t="s">
        <v>37873</v>
      </c>
      <c r="AZ2178" s="1" t="s">
        <v>37891</v>
      </c>
      <c r="BA2178" s="1" t="s">
        <v>1062</v>
      </c>
      <c r="BB2178" s="1"/>
      <c r="BC2178" s="1" t="s">
        <v>110</v>
      </c>
      <c r="BD2178" s="1" t="s">
        <v>1401</v>
      </c>
      <c r="BE2178" s="1">
        <v>66.46</v>
      </c>
      <c r="BF2178" s="1"/>
      <c r="BG2178" s="1"/>
      <c r="BH2178" s="1"/>
      <c r="BI2178" s="1"/>
      <c r="BJ2178" s="1"/>
      <c r="BK2178" s="1"/>
      <c r="BL2178" s="1"/>
      <c r="BM2178" s="1"/>
      <c r="BN2178" s="1"/>
      <c r="BO2178" s="1" t="s">
        <v>37892</v>
      </c>
      <c r="BP2178" s="1"/>
      <c r="BQ2178" s="1"/>
      <c r="BR2178" s="1" t="s">
        <v>37893</v>
      </c>
      <c r="BS2178" s="1">
        <v>8</v>
      </c>
      <c r="BT2178" s="1" t="s">
        <v>37894</v>
      </c>
      <c r="BU2178" s="1" t="str">
        <f>HYPERLINK("https://nconnect.nicmar.ac.in/storage/profile/ProfilePhoto_P25703004_138697.jpg","Download")</f>
        <v>0</v>
      </c>
      <c r="BV2178" s="3"/>
      <c r="BW2178" s="3"/>
    </row>
    <row r="2179" spans="1:75">
      <c r="A2179" s="1" t="s">
        <v>35074</v>
      </c>
      <c r="B2179" s="1" t="s">
        <v>446</v>
      </c>
      <c r="C2179" s="1" t="s">
        <v>37895</v>
      </c>
      <c r="D2179" s="1" t="s">
        <v>875</v>
      </c>
      <c r="E2179" s="1"/>
      <c r="F2179" s="1" t="s">
        <v>37896</v>
      </c>
      <c r="G2179" s="1" t="s">
        <v>37897</v>
      </c>
      <c r="H2179" s="1" t="s">
        <v>37898</v>
      </c>
      <c r="I2179" s="1" t="s">
        <v>37899</v>
      </c>
      <c r="J2179" s="1">
        <v>9890516956</v>
      </c>
      <c r="K2179" s="1" t="s">
        <v>84</v>
      </c>
      <c r="L2179" s="1" t="s">
        <v>4118</v>
      </c>
      <c r="M2179" s="1" t="s">
        <v>86</v>
      </c>
      <c r="N2179" s="1" t="s">
        <v>37900</v>
      </c>
      <c r="O2179" s="1"/>
      <c r="P2179" s="1" t="s">
        <v>507</v>
      </c>
      <c r="Q2179" s="1" t="s">
        <v>37901</v>
      </c>
      <c r="R2179" s="1" t="s">
        <v>37902</v>
      </c>
      <c r="S2179" s="1">
        <v>9167700476</v>
      </c>
      <c r="T2179" s="1" t="s">
        <v>645</v>
      </c>
      <c r="U2179" s="1" t="s">
        <v>37903</v>
      </c>
      <c r="V2179" s="1">
        <v>7008334452</v>
      </c>
      <c r="W2179" s="1" t="s">
        <v>1552</v>
      </c>
      <c r="X2179" s="1" t="s">
        <v>37904</v>
      </c>
      <c r="Y2179" s="1" t="s">
        <v>196</v>
      </c>
      <c r="Z2179" s="1" t="s">
        <v>97</v>
      </c>
      <c r="AA2179" s="1" t="s">
        <v>37905</v>
      </c>
      <c r="AB2179" s="1" t="s">
        <v>20810</v>
      </c>
      <c r="AC2179" s="1" t="s">
        <v>865</v>
      </c>
      <c r="AD2179" s="1">
        <v>7.63</v>
      </c>
      <c r="AE2179" s="1" t="s">
        <v>98</v>
      </c>
      <c r="AF2179" s="1" t="s">
        <v>37906</v>
      </c>
      <c r="AG2179" s="1" t="s">
        <v>5375</v>
      </c>
      <c r="AH2179" s="1" t="s">
        <v>284</v>
      </c>
      <c r="AI2179" s="1" t="s">
        <v>170</v>
      </c>
      <c r="AJ2179" s="1">
        <v>85.5</v>
      </c>
      <c r="AK2179" s="1">
        <v>9</v>
      </c>
      <c r="AL2179" s="1" t="s">
        <v>37906</v>
      </c>
      <c r="AM2179" s="1" t="s">
        <v>5375</v>
      </c>
      <c r="AN2179" s="1"/>
      <c r="AO2179" s="1" t="s">
        <v>388</v>
      </c>
      <c r="AP2179" s="1" t="s">
        <v>315</v>
      </c>
      <c r="AQ2179" s="1">
        <v>67.2</v>
      </c>
      <c r="AR2179" s="1"/>
      <c r="AS2179" s="1"/>
      <c r="AT2179" s="1"/>
      <c r="AU2179" s="1"/>
      <c r="AV2179" s="1"/>
      <c r="AW2179" s="1"/>
      <c r="AX2179" s="1"/>
      <c r="AY2179" s="1" t="s">
        <v>10273</v>
      </c>
      <c r="AZ2179" s="1" t="s">
        <v>27217</v>
      </c>
      <c r="BA2179" s="1"/>
      <c r="BB2179" s="1"/>
      <c r="BC2179" s="1" t="s">
        <v>206</v>
      </c>
      <c r="BD2179" s="1" t="s">
        <v>955</v>
      </c>
      <c r="BE2179" s="1">
        <v>70.27</v>
      </c>
      <c r="BF2179" s="1">
        <v>7.35</v>
      </c>
      <c r="BG2179" s="1"/>
      <c r="BH2179" s="1"/>
      <c r="BI2179" s="1"/>
      <c r="BJ2179" s="1"/>
      <c r="BK2179" s="1"/>
      <c r="BL2179" s="1"/>
      <c r="BM2179" s="1"/>
      <c r="BN2179" s="1"/>
      <c r="BO2179" s="1" t="s">
        <v>369</v>
      </c>
      <c r="BP2179" s="1" t="s">
        <v>37907</v>
      </c>
      <c r="BQ2179" s="1" t="s">
        <v>4149</v>
      </c>
      <c r="BR2179" s="1" t="s">
        <v>37908</v>
      </c>
      <c r="BS2179" s="1">
        <v>8</v>
      </c>
      <c r="BT2179" s="1"/>
      <c r="BU2179" s="1" t="str">
        <f>HYPERLINK("https://nconnect.nicmar.ac.in/storage/profile/ProfilePhoto_P25703005_859241.jpg","Download")</f>
        <v>0</v>
      </c>
      <c r="BV2179" s="3"/>
      <c r="BW2179" s="3"/>
    </row>
    <row r="2180" spans="1:75">
      <c r="A2180" s="1" t="s">
        <v>35074</v>
      </c>
      <c r="B2180" s="1" t="s">
        <v>446</v>
      </c>
      <c r="C2180" s="1" t="s">
        <v>37909</v>
      </c>
      <c r="D2180" s="1" t="s">
        <v>37910</v>
      </c>
      <c r="E2180" s="1"/>
      <c r="F2180" s="1" t="s">
        <v>11754</v>
      </c>
      <c r="G2180" s="1" t="s">
        <v>37911</v>
      </c>
      <c r="H2180" s="1" t="s">
        <v>37912</v>
      </c>
      <c r="I2180" s="1" t="s">
        <v>37913</v>
      </c>
      <c r="J2180" s="1">
        <v>9953915250</v>
      </c>
      <c r="K2180" s="1" t="s">
        <v>153</v>
      </c>
      <c r="L2180" s="1" t="s">
        <v>4651</v>
      </c>
      <c r="M2180" s="1" t="s">
        <v>86</v>
      </c>
      <c r="N2180" s="1" t="s">
        <v>4278</v>
      </c>
      <c r="O2180" s="1"/>
      <c r="P2180" s="1" t="s">
        <v>481</v>
      </c>
      <c r="Q2180" s="1" t="s">
        <v>37914</v>
      </c>
      <c r="R2180" s="1" t="s">
        <v>37915</v>
      </c>
      <c r="S2180" s="1">
        <v>9873715250</v>
      </c>
      <c r="T2180" s="1" t="s">
        <v>5065</v>
      </c>
      <c r="U2180" s="1" t="s">
        <v>37916</v>
      </c>
      <c r="V2180" s="1">
        <v>9999228350</v>
      </c>
      <c r="W2180" s="1" t="s">
        <v>161</v>
      </c>
      <c r="X2180" s="1" t="s">
        <v>37917</v>
      </c>
      <c r="Y2180" s="1" t="s">
        <v>32752</v>
      </c>
      <c r="Z2180" s="1" t="s">
        <v>1739</v>
      </c>
      <c r="AA2180" s="1" t="s">
        <v>37917</v>
      </c>
      <c r="AB2180" s="1" t="s">
        <v>32752</v>
      </c>
      <c r="AC2180" s="1" t="s">
        <v>1739</v>
      </c>
      <c r="AD2180" s="1">
        <v>8.99</v>
      </c>
      <c r="AE2180" s="1" t="s">
        <v>98</v>
      </c>
      <c r="AF2180" s="1" t="s">
        <v>13594</v>
      </c>
      <c r="AG2180" s="1" t="s">
        <v>6492</v>
      </c>
      <c r="AH2180" s="1" t="s">
        <v>490</v>
      </c>
      <c r="AI2180" s="1" t="s">
        <v>414</v>
      </c>
      <c r="AJ2180" s="1">
        <v>88.6</v>
      </c>
      <c r="AK2180" s="1"/>
      <c r="AL2180" s="1" t="s">
        <v>13594</v>
      </c>
      <c r="AM2180" s="1" t="s">
        <v>6492</v>
      </c>
      <c r="AN2180" s="1" t="s">
        <v>6323</v>
      </c>
      <c r="AO2180" s="1" t="s">
        <v>977</v>
      </c>
      <c r="AP2180" s="1" t="s">
        <v>549</v>
      </c>
      <c r="AQ2180" s="1">
        <v>84.6</v>
      </c>
      <c r="AR2180" s="1"/>
      <c r="AS2180" s="1"/>
      <c r="AT2180" s="1"/>
      <c r="AU2180" s="1"/>
      <c r="AV2180" s="1"/>
      <c r="AW2180" s="1"/>
      <c r="AX2180" s="1"/>
      <c r="AY2180" s="1" t="s">
        <v>37918</v>
      </c>
      <c r="AZ2180" s="1" t="s">
        <v>37919</v>
      </c>
      <c r="BA2180" s="1" t="s">
        <v>37920</v>
      </c>
      <c r="BB2180" s="1" t="s">
        <v>37921</v>
      </c>
      <c r="BC2180" s="1" t="s">
        <v>606</v>
      </c>
      <c r="BD2180" s="1" t="s">
        <v>207</v>
      </c>
      <c r="BE2180" s="1">
        <v>64.2</v>
      </c>
      <c r="BF2180" s="1"/>
      <c r="BG2180" s="1"/>
      <c r="BH2180" s="1"/>
      <c r="BI2180" s="1"/>
      <c r="BJ2180" s="1"/>
      <c r="BK2180" s="1"/>
      <c r="BL2180" s="1"/>
      <c r="BM2180" s="1"/>
      <c r="BN2180" s="1"/>
      <c r="BO2180" s="1" t="s">
        <v>37922</v>
      </c>
      <c r="BP2180" s="1"/>
      <c r="BQ2180" s="1"/>
      <c r="BR2180" s="1" t="s">
        <v>37923</v>
      </c>
      <c r="BS2180" s="1">
        <v>30</v>
      </c>
      <c r="BT2180" s="1" t="s">
        <v>37924</v>
      </c>
      <c r="BU2180" s="1" t="str">
        <f>HYPERLINK("https://nconnect.nicmar.ac.in/storage/profile/ProfilePhoto_P25703006_431582.jpg","Download")</f>
        <v>0</v>
      </c>
      <c r="BV2180" s="3"/>
      <c r="BW2180" s="3"/>
    </row>
    <row r="2181" spans="1:75">
      <c r="A2181" s="1" t="s">
        <v>35074</v>
      </c>
      <c r="B2181" s="1" t="s">
        <v>446</v>
      </c>
      <c r="C2181" s="1" t="s">
        <v>37925</v>
      </c>
      <c r="D2181" s="1" t="s">
        <v>422</v>
      </c>
      <c r="E2181" s="1"/>
      <c r="F2181" s="1" t="s">
        <v>37107</v>
      </c>
      <c r="G2181" s="1" t="s">
        <v>37926</v>
      </c>
      <c r="H2181" s="1" t="s">
        <v>37927</v>
      </c>
      <c r="I2181" s="1" t="s">
        <v>37928</v>
      </c>
      <c r="J2181" s="1">
        <v>6386400862</v>
      </c>
      <c r="K2181" s="1" t="s">
        <v>153</v>
      </c>
      <c r="L2181" s="1" t="s">
        <v>9575</v>
      </c>
      <c r="M2181" s="1" t="s">
        <v>86</v>
      </c>
      <c r="N2181" s="1" t="s">
        <v>355</v>
      </c>
      <c r="O2181" s="1"/>
      <c r="P2181" s="1" t="s">
        <v>507</v>
      </c>
      <c r="Q2181" s="1" t="s">
        <v>37929</v>
      </c>
      <c r="R2181" s="1" t="s">
        <v>37930</v>
      </c>
      <c r="S2181" s="1">
        <v>7007661585</v>
      </c>
      <c r="T2181" s="1" t="s">
        <v>382</v>
      </c>
      <c r="U2181" s="1" t="s">
        <v>37931</v>
      </c>
      <c r="V2181" s="1">
        <v>8318599386</v>
      </c>
      <c r="W2181" s="1" t="s">
        <v>278</v>
      </c>
      <c r="X2181" s="1" t="s">
        <v>37932</v>
      </c>
      <c r="Y2181" s="1" t="s">
        <v>1059</v>
      </c>
      <c r="Z2181" s="1" t="s">
        <v>544</v>
      </c>
      <c r="AA2181" s="1" t="s">
        <v>37933</v>
      </c>
      <c r="AB2181" s="1" t="s">
        <v>37934</v>
      </c>
      <c r="AC2181" s="1" t="s">
        <v>544</v>
      </c>
      <c r="AD2181" s="1">
        <v>8.4</v>
      </c>
      <c r="AE2181" s="1" t="s">
        <v>98</v>
      </c>
      <c r="AF2181" s="1" t="s">
        <v>37935</v>
      </c>
      <c r="AG2181" s="1" t="s">
        <v>678</v>
      </c>
      <c r="AH2181" s="1" t="s">
        <v>704</v>
      </c>
      <c r="AI2181" s="1" t="s">
        <v>171</v>
      </c>
      <c r="AJ2181" s="1">
        <v>71</v>
      </c>
      <c r="AK2181" s="1"/>
      <c r="AL2181" s="1" t="s">
        <v>37936</v>
      </c>
      <c r="AM2181" s="1" t="s">
        <v>312</v>
      </c>
      <c r="AN2181" s="1" t="s">
        <v>2995</v>
      </c>
      <c r="AO2181" s="1" t="s">
        <v>174</v>
      </c>
      <c r="AP2181" s="1" t="s">
        <v>178</v>
      </c>
      <c r="AQ2181" s="1">
        <v>71.6</v>
      </c>
      <c r="AR2181" s="1"/>
      <c r="AS2181" s="1"/>
      <c r="AT2181" s="1"/>
      <c r="AU2181" s="1"/>
      <c r="AV2181" s="1"/>
      <c r="AW2181" s="1"/>
      <c r="AX2181" s="1"/>
      <c r="AY2181" s="1" t="s">
        <v>37937</v>
      </c>
      <c r="AZ2181" s="1" t="s">
        <v>37938</v>
      </c>
      <c r="BA2181" s="1" t="s">
        <v>35549</v>
      </c>
      <c r="BB2181" s="1" t="s">
        <v>98</v>
      </c>
      <c r="BC2181" s="1" t="s">
        <v>1040</v>
      </c>
      <c r="BD2181" s="1" t="s">
        <v>9528</v>
      </c>
      <c r="BE2181" s="1">
        <v>77.58</v>
      </c>
      <c r="BF2181" s="1"/>
      <c r="BG2181" s="1"/>
      <c r="BH2181" s="1"/>
      <c r="BI2181" s="1"/>
      <c r="BJ2181" s="1"/>
      <c r="BK2181" s="1"/>
      <c r="BL2181" s="1"/>
      <c r="BM2181" s="1"/>
      <c r="BN2181" s="1"/>
      <c r="BO2181" s="1" t="s">
        <v>1890</v>
      </c>
      <c r="BP2181" s="1"/>
      <c r="BQ2181" s="1"/>
      <c r="BR2181" s="1" t="s">
        <v>37939</v>
      </c>
      <c r="BS2181" s="1">
        <v>8</v>
      </c>
      <c r="BT2181" s="1" t="s">
        <v>37940</v>
      </c>
      <c r="BU2181" s="1" t="str">
        <f>HYPERLINK("https://nconnect.nicmar.ac.in/storage/profile/ProfilePhoto_P25703007_257863.jpg","Download")</f>
        <v>0</v>
      </c>
      <c r="BV2181" s="3"/>
      <c r="BW2181" s="3"/>
    </row>
    <row r="2182" spans="1:75">
      <c r="A2182" s="1" t="s">
        <v>35074</v>
      </c>
      <c r="B2182" s="1" t="s">
        <v>446</v>
      </c>
      <c r="C2182" s="1" t="s">
        <v>37941</v>
      </c>
      <c r="D2182" s="1" t="s">
        <v>9691</v>
      </c>
      <c r="E2182" s="1" t="s">
        <v>6082</v>
      </c>
      <c r="F2182" s="1" t="s">
        <v>37942</v>
      </c>
      <c r="G2182" s="1" t="s">
        <v>37943</v>
      </c>
      <c r="H2182" s="1" t="s">
        <v>37944</v>
      </c>
      <c r="I2182" s="1" t="s">
        <v>37945</v>
      </c>
      <c r="J2182" s="1">
        <v>9370792447</v>
      </c>
      <c r="K2182" s="1" t="s">
        <v>84</v>
      </c>
      <c r="L2182" s="1" t="s">
        <v>13038</v>
      </c>
      <c r="M2182" s="1" t="s">
        <v>86</v>
      </c>
      <c r="N2182" s="1" t="s">
        <v>3568</v>
      </c>
      <c r="O2182" s="1"/>
      <c r="P2182" s="1" t="s">
        <v>481</v>
      </c>
      <c r="Q2182" s="1" t="s">
        <v>37946</v>
      </c>
      <c r="R2182" s="1" t="s">
        <v>37947</v>
      </c>
      <c r="S2182" s="1">
        <v>9370792447</v>
      </c>
      <c r="T2182" s="1" t="s">
        <v>37948</v>
      </c>
      <c r="U2182" s="1" t="s">
        <v>37949</v>
      </c>
      <c r="V2182" s="1">
        <v>8208767064</v>
      </c>
      <c r="W2182" s="1" t="s">
        <v>161</v>
      </c>
      <c r="X2182" s="1" t="s">
        <v>37950</v>
      </c>
      <c r="Y2182" s="1" t="s">
        <v>410</v>
      </c>
      <c r="Z2182" s="1" t="s">
        <v>97</v>
      </c>
      <c r="AA2182" s="1" t="s">
        <v>37950</v>
      </c>
      <c r="AB2182" s="1" t="s">
        <v>410</v>
      </c>
      <c r="AC2182" s="1" t="s">
        <v>97</v>
      </c>
      <c r="AD2182" s="1">
        <v>7.97</v>
      </c>
      <c r="AE2182" s="1" t="s">
        <v>98</v>
      </c>
      <c r="AF2182" s="1" t="s">
        <v>37951</v>
      </c>
      <c r="AG2182" s="1" t="s">
        <v>37952</v>
      </c>
      <c r="AH2182" s="1" t="s">
        <v>170</v>
      </c>
      <c r="AI2182" s="1" t="s">
        <v>286</v>
      </c>
      <c r="AJ2182" s="1">
        <v>83.4</v>
      </c>
      <c r="AK2182" s="1">
        <v>0</v>
      </c>
      <c r="AL2182" s="1"/>
      <c r="AM2182" s="1"/>
      <c r="AN2182" s="1"/>
      <c r="AO2182" s="1"/>
      <c r="AP2182" s="1"/>
      <c r="AQ2182" s="1"/>
      <c r="AR2182" s="1"/>
      <c r="AS2182" s="1" t="s">
        <v>37953</v>
      </c>
      <c r="AT2182" s="1" t="s">
        <v>7474</v>
      </c>
      <c r="AU2182" s="1" t="s">
        <v>1065</v>
      </c>
      <c r="AV2182" s="1" t="s">
        <v>552</v>
      </c>
      <c r="AW2182" s="1">
        <v>91.6</v>
      </c>
      <c r="AX2182" s="1">
        <v>0</v>
      </c>
      <c r="AY2182" s="1" t="s">
        <v>37954</v>
      </c>
      <c r="AZ2182" s="1" t="s">
        <v>37954</v>
      </c>
      <c r="BA2182" s="1"/>
      <c r="BB2182" s="1"/>
      <c r="BC2182" s="1" t="s">
        <v>871</v>
      </c>
      <c r="BD2182" s="1" t="s">
        <v>418</v>
      </c>
      <c r="BE2182" s="1">
        <v>77.6</v>
      </c>
      <c r="BF2182" s="1">
        <v>8.51</v>
      </c>
      <c r="BG2182" s="1"/>
      <c r="BH2182" s="1"/>
      <c r="BI2182" s="1"/>
      <c r="BJ2182" s="1"/>
      <c r="BK2182" s="1"/>
      <c r="BL2182" s="1"/>
      <c r="BM2182" s="1"/>
      <c r="BN2182" s="1"/>
      <c r="BO2182" s="1" t="s">
        <v>37955</v>
      </c>
      <c r="BP2182" s="1" t="s">
        <v>37956</v>
      </c>
      <c r="BQ2182" s="1" t="s">
        <v>1043</v>
      </c>
      <c r="BR2182" s="1" t="s">
        <v>37957</v>
      </c>
      <c r="BS2182" s="1">
        <v>29</v>
      </c>
      <c r="BT2182" s="1"/>
      <c r="BU2182" s="1" t="str">
        <f>HYPERLINK("https://nconnect.nicmar.ac.in/storage/profile/ProfilePhoto_P25703008_815249.jpg","Download")</f>
        <v>0</v>
      </c>
      <c r="BV2182" s="3"/>
      <c r="BW2182" s="3"/>
    </row>
    <row r="2183" spans="1:75">
      <c r="A2183" s="1" t="s">
        <v>35074</v>
      </c>
      <c r="B2183" s="1" t="s">
        <v>446</v>
      </c>
      <c r="C2183" s="1" t="s">
        <v>37958</v>
      </c>
      <c r="D2183" s="1" t="s">
        <v>21949</v>
      </c>
      <c r="E2183" s="1"/>
      <c r="F2183" s="1" t="s">
        <v>116</v>
      </c>
      <c r="G2183" s="1" t="s">
        <v>37959</v>
      </c>
      <c r="H2183" s="1" t="s">
        <v>37960</v>
      </c>
      <c r="I2183" s="1" t="s">
        <v>37961</v>
      </c>
      <c r="J2183" s="1">
        <v>8970457027</v>
      </c>
      <c r="K2183" s="1" t="s">
        <v>153</v>
      </c>
      <c r="L2183" s="1" t="s">
        <v>34889</v>
      </c>
      <c r="M2183" s="1" t="s">
        <v>86</v>
      </c>
      <c r="N2183" s="1" t="s">
        <v>25366</v>
      </c>
      <c r="O2183" s="1"/>
      <c r="P2183" s="1" t="s">
        <v>507</v>
      </c>
      <c r="Q2183" s="1" t="s">
        <v>37962</v>
      </c>
      <c r="R2183" s="1" t="s">
        <v>37963</v>
      </c>
      <c r="S2183" s="1">
        <v>8618498638</v>
      </c>
      <c r="T2183" s="1" t="s">
        <v>92</v>
      </c>
      <c r="U2183" s="1" t="s">
        <v>11460</v>
      </c>
      <c r="V2183" s="1">
        <v>8618831030</v>
      </c>
      <c r="W2183" s="1" t="s">
        <v>94</v>
      </c>
      <c r="X2183" s="1" t="s">
        <v>37964</v>
      </c>
      <c r="Y2183" s="1" t="s">
        <v>3132</v>
      </c>
      <c r="Z2183" s="1" t="s">
        <v>1210</v>
      </c>
      <c r="AA2183" s="1" t="s">
        <v>37964</v>
      </c>
      <c r="AB2183" s="1" t="s">
        <v>3132</v>
      </c>
      <c r="AC2183" s="1" t="s">
        <v>1210</v>
      </c>
      <c r="AD2183" s="1">
        <v>9.26</v>
      </c>
      <c r="AE2183" s="1" t="s">
        <v>98</v>
      </c>
      <c r="AF2183" s="1" t="s">
        <v>37965</v>
      </c>
      <c r="AG2183" s="1" t="s">
        <v>37966</v>
      </c>
      <c r="AH2183" s="1" t="s">
        <v>2726</v>
      </c>
      <c r="AI2183" s="1" t="s">
        <v>134</v>
      </c>
      <c r="AJ2183" s="1">
        <v>81.7</v>
      </c>
      <c r="AK2183" s="1">
        <v>8.6</v>
      </c>
      <c r="AL2183" s="1" t="s">
        <v>25628</v>
      </c>
      <c r="AM2183" s="1" t="s">
        <v>10955</v>
      </c>
      <c r="AN2183" s="1" t="s">
        <v>575</v>
      </c>
      <c r="AO2183" s="1" t="s">
        <v>101</v>
      </c>
      <c r="AP2183" s="1" t="s">
        <v>136</v>
      </c>
      <c r="AQ2183" s="1">
        <v>75.5</v>
      </c>
      <c r="AR2183" s="1"/>
      <c r="AS2183" s="1"/>
      <c r="AT2183" s="1"/>
      <c r="AU2183" s="1"/>
      <c r="AV2183" s="1"/>
      <c r="AW2183" s="1"/>
      <c r="AX2183" s="1"/>
      <c r="AY2183" s="1" t="s">
        <v>1217</v>
      </c>
      <c r="AZ2183" s="1" t="s">
        <v>37967</v>
      </c>
      <c r="BA2183" s="1" t="s">
        <v>578</v>
      </c>
      <c r="BB2183" s="1" t="s">
        <v>23143</v>
      </c>
      <c r="BC2183" s="1" t="s">
        <v>105</v>
      </c>
      <c r="BD2183" s="1" t="s">
        <v>206</v>
      </c>
      <c r="BE2183" s="1">
        <v>65.5</v>
      </c>
      <c r="BF2183" s="1">
        <v>7.3</v>
      </c>
      <c r="BG2183" s="1"/>
      <c r="BH2183" s="1"/>
      <c r="BI2183" s="1"/>
      <c r="BJ2183" s="1"/>
      <c r="BK2183" s="1"/>
      <c r="BL2183" s="1"/>
      <c r="BM2183" s="1"/>
      <c r="BN2183" s="1"/>
      <c r="BO2183" s="1" t="s">
        <v>37968</v>
      </c>
      <c r="BP2183" s="1" t="s">
        <v>37969</v>
      </c>
      <c r="BQ2183" s="1" t="s">
        <v>32481</v>
      </c>
      <c r="BR2183" s="1" t="s">
        <v>37970</v>
      </c>
      <c r="BS2183" s="1">
        <v>13</v>
      </c>
      <c r="BT2183" s="1"/>
      <c r="BU2183" s="1" t="str">
        <f>HYPERLINK("https://nconnect.nicmar.ac.in/storage/profile/ProfilePhoto_P25703009_857219.jpg","Download")</f>
        <v>0</v>
      </c>
      <c r="BV2183" s="3"/>
      <c r="BW2183" s="3"/>
    </row>
    <row r="2184" spans="1:75">
      <c r="A2184" s="1" t="s">
        <v>35074</v>
      </c>
      <c r="B2184" s="1" t="s">
        <v>446</v>
      </c>
      <c r="C2184" s="1" t="s">
        <v>37971</v>
      </c>
      <c r="D2184" s="1" t="s">
        <v>897</v>
      </c>
      <c r="E2184" s="1" t="s">
        <v>13179</v>
      </c>
      <c r="F2184" s="1" t="s">
        <v>37972</v>
      </c>
      <c r="G2184" s="1" t="s">
        <v>37973</v>
      </c>
      <c r="H2184" s="1" t="s">
        <v>37974</v>
      </c>
      <c r="I2184" s="1" t="s">
        <v>37975</v>
      </c>
      <c r="J2184" s="1">
        <v>7498649773</v>
      </c>
      <c r="K2184" s="1" t="s">
        <v>84</v>
      </c>
      <c r="L2184" s="1" t="s">
        <v>37976</v>
      </c>
      <c r="M2184" s="1" t="s">
        <v>86</v>
      </c>
      <c r="N2184" s="1" t="s">
        <v>768</v>
      </c>
      <c r="O2184" s="1"/>
      <c r="P2184" s="1" t="s">
        <v>481</v>
      </c>
      <c r="Q2184" s="1" t="s">
        <v>37977</v>
      </c>
      <c r="R2184" s="1" t="s">
        <v>37978</v>
      </c>
      <c r="S2184" s="1">
        <v>9823403493</v>
      </c>
      <c r="T2184" s="1" t="s">
        <v>159</v>
      </c>
      <c r="U2184" s="1" t="s">
        <v>37979</v>
      </c>
      <c r="V2184" s="1">
        <v>8390555647</v>
      </c>
      <c r="W2184" s="1" t="s">
        <v>161</v>
      </c>
      <c r="X2184" s="1" t="s">
        <v>37980</v>
      </c>
      <c r="Y2184" s="1" t="s">
        <v>1779</v>
      </c>
      <c r="Z2184" s="1" t="s">
        <v>97</v>
      </c>
      <c r="AA2184" s="1" t="s">
        <v>37980</v>
      </c>
      <c r="AB2184" s="1" t="s">
        <v>1779</v>
      </c>
      <c r="AC2184" s="1" t="s">
        <v>97</v>
      </c>
      <c r="AD2184" s="1">
        <v>6.63</v>
      </c>
      <c r="AE2184" s="1" t="s">
        <v>98</v>
      </c>
      <c r="AF2184" s="1" t="s">
        <v>37981</v>
      </c>
      <c r="AG2184" s="1" t="s">
        <v>37982</v>
      </c>
      <c r="AH2184" s="1" t="s">
        <v>37983</v>
      </c>
      <c r="AI2184" s="1" t="s">
        <v>286</v>
      </c>
      <c r="AJ2184" s="1">
        <v>76</v>
      </c>
      <c r="AK2184" s="1"/>
      <c r="AL2184" s="1" t="s">
        <v>37984</v>
      </c>
      <c r="AM2184" s="1" t="s">
        <v>996</v>
      </c>
      <c r="AN2184" s="1" t="s">
        <v>2995</v>
      </c>
      <c r="AO2184" s="1" t="s">
        <v>174</v>
      </c>
      <c r="AP2184" s="1" t="s">
        <v>603</v>
      </c>
      <c r="AQ2184" s="1">
        <v>67.85</v>
      </c>
      <c r="AR2184" s="1"/>
      <c r="AS2184" s="1"/>
      <c r="AT2184" s="1"/>
      <c r="AU2184" s="1"/>
      <c r="AV2184" s="1"/>
      <c r="AW2184" s="1"/>
      <c r="AX2184" s="1"/>
      <c r="AY2184" s="1" t="s">
        <v>37985</v>
      </c>
      <c r="AZ2184" s="1" t="s">
        <v>37986</v>
      </c>
      <c r="BA2184" s="1" t="s">
        <v>37987</v>
      </c>
      <c r="BB2184" s="1" t="s">
        <v>37988</v>
      </c>
      <c r="BC2184" s="1" t="s">
        <v>178</v>
      </c>
      <c r="BD2184" s="1" t="s">
        <v>1314</v>
      </c>
      <c r="BE2184" s="1">
        <v>71.1</v>
      </c>
      <c r="BF2184" s="1">
        <v>7.86</v>
      </c>
      <c r="BG2184" s="1"/>
      <c r="BH2184" s="1"/>
      <c r="BI2184" s="1"/>
      <c r="BJ2184" s="1"/>
      <c r="BK2184" s="1"/>
      <c r="BL2184" s="1"/>
      <c r="BM2184" s="1"/>
      <c r="BN2184" s="1"/>
      <c r="BO2184" s="1" t="s">
        <v>37989</v>
      </c>
      <c r="BP2184" s="1"/>
      <c r="BQ2184" s="1"/>
      <c r="BR2184" s="1" t="s">
        <v>37990</v>
      </c>
      <c r="BS2184" s="1">
        <v>14</v>
      </c>
      <c r="BT2184" s="1"/>
      <c r="BU2184" s="1" t="str">
        <f>HYPERLINK("https://nconnect.nicmar.ac.in/storage/profile/ProfilePhoto_P25703010_526749.jpg","Download")</f>
        <v>0</v>
      </c>
      <c r="BV2184" s="3"/>
      <c r="BW2184" s="3"/>
    </row>
    <row r="2185" spans="1:75">
      <c r="A2185" s="1" t="s">
        <v>35074</v>
      </c>
      <c r="B2185" s="1" t="s">
        <v>446</v>
      </c>
      <c r="C2185" s="1" t="s">
        <v>37991</v>
      </c>
      <c r="D2185" s="1" t="s">
        <v>37992</v>
      </c>
      <c r="E2185" s="1"/>
      <c r="F2185" s="1" t="s">
        <v>27989</v>
      </c>
      <c r="G2185" s="1" t="s">
        <v>37993</v>
      </c>
      <c r="H2185" s="1" t="s">
        <v>37994</v>
      </c>
      <c r="I2185" s="1" t="s">
        <v>37995</v>
      </c>
      <c r="J2185" s="1">
        <v>8102412210</v>
      </c>
      <c r="K2185" s="1" t="s">
        <v>153</v>
      </c>
      <c r="L2185" s="1" t="s">
        <v>37996</v>
      </c>
      <c r="M2185" s="1" t="s">
        <v>86</v>
      </c>
      <c r="N2185" s="1" t="s">
        <v>2969</v>
      </c>
      <c r="O2185" s="1" t="s">
        <v>157</v>
      </c>
      <c r="P2185" s="1" t="s">
        <v>89</v>
      </c>
      <c r="Q2185" s="1" t="s">
        <v>37997</v>
      </c>
      <c r="R2185" s="1" t="s">
        <v>37998</v>
      </c>
      <c r="S2185" s="1">
        <v>8986562633</v>
      </c>
      <c r="T2185" s="1" t="s">
        <v>37999</v>
      </c>
      <c r="U2185" s="1" t="s">
        <v>38000</v>
      </c>
      <c r="V2185" s="1">
        <v>8318824248</v>
      </c>
      <c r="W2185" s="1" t="s">
        <v>127</v>
      </c>
      <c r="X2185" s="1" t="s">
        <v>38001</v>
      </c>
      <c r="Y2185" s="1" t="s">
        <v>648</v>
      </c>
      <c r="Z2185" s="1" t="s">
        <v>649</v>
      </c>
      <c r="AA2185" s="1" t="s">
        <v>38001</v>
      </c>
      <c r="AB2185" s="1" t="s">
        <v>648</v>
      </c>
      <c r="AC2185" s="1" t="s">
        <v>649</v>
      </c>
      <c r="AD2185" s="1">
        <v>7.65</v>
      </c>
      <c r="AE2185" s="1" t="s">
        <v>98</v>
      </c>
      <c r="AF2185" s="1" t="s">
        <v>38002</v>
      </c>
      <c r="AG2185" s="1" t="s">
        <v>38003</v>
      </c>
      <c r="AH2185" s="1" t="s">
        <v>286</v>
      </c>
      <c r="AI2185" s="1" t="s">
        <v>313</v>
      </c>
      <c r="AJ2185" s="1">
        <v>66.4</v>
      </c>
      <c r="AK2185" s="1"/>
      <c r="AL2185" s="1" t="s">
        <v>38002</v>
      </c>
      <c r="AM2185" s="1" t="s">
        <v>38004</v>
      </c>
      <c r="AN2185" s="1" t="s">
        <v>38005</v>
      </c>
      <c r="AO2185" s="1" t="s">
        <v>603</v>
      </c>
      <c r="AP2185" s="1" t="s">
        <v>549</v>
      </c>
      <c r="AQ2185" s="1">
        <v>77.8</v>
      </c>
      <c r="AR2185" s="1"/>
      <c r="AS2185" s="1"/>
      <c r="AT2185" s="1"/>
      <c r="AU2185" s="1"/>
      <c r="AV2185" s="1"/>
      <c r="AW2185" s="1"/>
      <c r="AX2185" s="1"/>
      <c r="AY2185" s="1" t="s">
        <v>38006</v>
      </c>
      <c r="AZ2185" s="1" t="s">
        <v>38007</v>
      </c>
      <c r="BA2185" s="1" t="s">
        <v>38008</v>
      </c>
      <c r="BB2185" s="1" t="s">
        <v>98</v>
      </c>
      <c r="BC2185" s="1" t="s">
        <v>441</v>
      </c>
      <c r="BD2185" s="1" t="s">
        <v>207</v>
      </c>
      <c r="BE2185" s="1">
        <v>67.2</v>
      </c>
      <c r="BF2185" s="1">
        <v>7.17</v>
      </c>
      <c r="BG2185" s="1"/>
      <c r="BH2185" s="1"/>
      <c r="BI2185" s="1"/>
      <c r="BJ2185" s="1"/>
      <c r="BK2185" s="1"/>
      <c r="BL2185" s="1"/>
      <c r="BM2185" s="1"/>
      <c r="BN2185" s="1"/>
      <c r="BO2185" s="1" t="s">
        <v>38009</v>
      </c>
      <c r="BP2185" s="1"/>
      <c r="BQ2185" s="1"/>
      <c r="BR2185" s="1" t="s">
        <v>38010</v>
      </c>
      <c r="BS2185" s="1">
        <v>9</v>
      </c>
      <c r="BT2185" s="1" t="s">
        <v>38011</v>
      </c>
      <c r="BU2185" s="1" t="str">
        <f>HYPERLINK("https://nconnect.nicmar.ac.in/storage/profile/ProfilePhoto_P25703011_825793.jpg","Download")</f>
        <v>0</v>
      </c>
      <c r="BV2185" s="3"/>
      <c r="BW2185" s="3"/>
    </row>
    <row r="2186" spans="1:75">
      <c r="A2186" s="1" t="s">
        <v>35074</v>
      </c>
      <c r="B2186" s="1" t="s">
        <v>446</v>
      </c>
      <c r="C2186" s="1" t="s">
        <v>38012</v>
      </c>
      <c r="D2186" s="1" t="s">
        <v>2829</v>
      </c>
      <c r="E2186" s="1"/>
      <c r="F2186" s="1" t="s">
        <v>530</v>
      </c>
      <c r="G2186" s="1" t="s">
        <v>38013</v>
      </c>
      <c r="H2186" s="1" t="s">
        <v>38014</v>
      </c>
      <c r="I2186" s="1" t="s">
        <v>38015</v>
      </c>
      <c r="J2186" s="1">
        <v>7303466650</v>
      </c>
      <c r="K2186" s="1" t="s">
        <v>84</v>
      </c>
      <c r="L2186" s="1" t="s">
        <v>13674</v>
      </c>
      <c r="M2186" s="1" t="s">
        <v>86</v>
      </c>
      <c r="N2186" s="1" t="s">
        <v>2969</v>
      </c>
      <c r="O2186" s="1"/>
      <c r="P2186" s="1" t="s">
        <v>507</v>
      </c>
      <c r="Q2186" s="1" t="s">
        <v>38016</v>
      </c>
      <c r="R2186" s="1" t="s">
        <v>23653</v>
      </c>
      <c r="S2186" s="1">
        <v>9818994708</v>
      </c>
      <c r="T2186" s="1" t="s">
        <v>92</v>
      </c>
      <c r="U2186" s="1" t="s">
        <v>38017</v>
      </c>
      <c r="V2186" s="1">
        <v>9211474664</v>
      </c>
      <c r="W2186" s="1" t="s">
        <v>94</v>
      </c>
      <c r="X2186" s="1" t="s">
        <v>38018</v>
      </c>
      <c r="Y2186" s="1" t="s">
        <v>2549</v>
      </c>
      <c r="Z2186" s="1" t="s">
        <v>1700</v>
      </c>
      <c r="AA2186" s="1" t="s">
        <v>38018</v>
      </c>
      <c r="AB2186" s="1" t="s">
        <v>2549</v>
      </c>
      <c r="AC2186" s="1" t="s">
        <v>1700</v>
      </c>
      <c r="AD2186" s="1">
        <v>7.45</v>
      </c>
      <c r="AE2186" s="1" t="s">
        <v>98</v>
      </c>
      <c r="AF2186" s="1" t="s">
        <v>38019</v>
      </c>
      <c r="AG2186" s="1" t="s">
        <v>38020</v>
      </c>
      <c r="AH2186" s="1" t="s">
        <v>284</v>
      </c>
      <c r="AI2186" s="1" t="s">
        <v>170</v>
      </c>
      <c r="AJ2186" s="1">
        <v>55.1</v>
      </c>
      <c r="AK2186" s="1"/>
      <c r="AL2186" s="1" t="s">
        <v>38019</v>
      </c>
      <c r="AM2186" s="1" t="s">
        <v>38020</v>
      </c>
      <c r="AN2186" s="1" t="s">
        <v>35580</v>
      </c>
      <c r="AO2186" s="1" t="s">
        <v>414</v>
      </c>
      <c r="AP2186" s="1" t="s">
        <v>178</v>
      </c>
      <c r="AQ2186" s="1">
        <v>63.83</v>
      </c>
      <c r="AR2186" s="1"/>
      <c r="AS2186" s="1"/>
      <c r="AT2186" s="1"/>
      <c r="AU2186" s="1"/>
      <c r="AV2186" s="1"/>
      <c r="AW2186" s="1"/>
      <c r="AX2186" s="1"/>
      <c r="AY2186" s="1" t="s">
        <v>38021</v>
      </c>
      <c r="AZ2186" s="1" t="s">
        <v>38022</v>
      </c>
      <c r="BA2186" s="1" t="s">
        <v>35549</v>
      </c>
      <c r="BB2186" s="1" t="s">
        <v>35615</v>
      </c>
      <c r="BC2186" s="1" t="s">
        <v>178</v>
      </c>
      <c r="BD2186" s="1" t="s">
        <v>1268</v>
      </c>
      <c r="BE2186" s="1">
        <v>76.95</v>
      </c>
      <c r="BF2186" s="1">
        <v>8.1</v>
      </c>
      <c r="BG2186" s="1"/>
      <c r="BH2186" s="1"/>
      <c r="BI2186" s="1"/>
      <c r="BJ2186" s="1"/>
      <c r="BK2186" s="1"/>
      <c r="BL2186" s="1"/>
      <c r="BM2186" s="1"/>
      <c r="BN2186" s="1"/>
      <c r="BO2186" s="1" t="s">
        <v>36462</v>
      </c>
      <c r="BP2186" s="1" t="s">
        <v>38023</v>
      </c>
      <c r="BQ2186" s="1" t="s">
        <v>1043</v>
      </c>
      <c r="BR2186" s="1" t="s">
        <v>38024</v>
      </c>
      <c r="BS2186" s="1">
        <v>8</v>
      </c>
      <c r="BT2186" s="1" t="s">
        <v>38025</v>
      </c>
      <c r="BU2186" s="1" t="str">
        <f>HYPERLINK("https://nconnect.nicmar.ac.in/storage/profile/ProfilePhoto_P25703014_598123.jpg","Download")</f>
        <v>0</v>
      </c>
      <c r="BV2186" s="3"/>
      <c r="BW2186" s="3"/>
    </row>
    <row r="2187" spans="1:75">
      <c r="A2187" s="1" t="s">
        <v>35074</v>
      </c>
      <c r="B2187" s="1" t="s">
        <v>446</v>
      </c>
      <c r="C2187" s="1" t="s">
        <v>38026</v>
      </c>
      <c r="D2187" s="1" t="s">
        <v>9691</v>
      </c>
      <c r="E2187" s="1" t="s">
        <v>6880</v>
      </c>
      <c r="F2187" s="1" t="s">
        <v>38027</v>
      </c>
      <c r="G2187" s="1" t="s">
        <v>38028</v>
      </c>
      <c r="H2187" s="1" t="s">
        <v>38029</v>
      </c>
      <c r="I2187" s="1" t="s">
        <v>38030</v>
      </c>
      <c r="J2187" s="1">
        <v>7278881818</v>
      </c>
      <c r="K2187" s="1" t="s">
        <v>84</v>
      </c>
      <c r="L2187" s="1" t="s">
        <v>26384</v>
      </c>
      <c r="M2187" s="1" t="s">
        <v>86</v>
      </c>
      <c r="N2187" s="1" t="s">
        <v>618</v>
      </c>
      <c r="O2187" s="1"/>
      <c r="P2187" s="1" t="s">
        <v>507</v>
      </c>
      <c r="Q2187" s="1" t="s">
        <v>38031</v>
      </c>
      <c r="R2187" s="1" t="s">
        <v>38032</v>
      </c>
      <c r="S2187" s="1">
        <v>9890930951</v>
      </c>
      <c r="T2187" s="1" t="s">
        <v>38033</v>
      </c>
      <c r="U2187" s="1" t="s">
        <v>38034</v>
      </c>
      <c r="V2187" s="1">
        <v>9890930951</v>
      </c>
      <c r="W2187" s="1" t="s">
        <v>161</v>
      </c>
      <c r="X2187" s="1" t="s">
        <v>38035</v>
      </c>
      <c r="Y2187" s="1" t="s">
        <v>196</v>
      </c>
      <c r="Z2187" s="1" t="s">
        <v>97</v>
      </c>
      <c r="AA2187" s="1" t="s">
        <v>38035</v>
      </c>
      <c r="AB2187" s="1" t="s">
        <v>196</v>
      </c>
      <c r="AC2187" s="1" t="s">
        <v>97</v>
      </c>
      <c r="AD2187" s="1">
        <v>8.85</v>
      </c>
      <c r="AE2187" s="1" t="s">
        <v>98</v>
      </c>
      <c r="AF2187" s="1" t="s">
        <v>38036</v>
      </c>
      <c r="AG2187" s="1" t="s">
        <v>1968</v>
      </c>
      <c r="AH2187" s="1" t="s">
        <v>101</v>
      </c>
      <c r="AI2187" s="1" t="s">
        <v>102</v>
      </c>
      <c r="AJ2187" s="1">
        <v>83.2</v>
      </c>
      <c r="AK2187" s="1"/>
      <c r="AL2187" s="1" t="s">
        <v>38037</v>
      </c>
      <c r="AM2187" s="1" t="s">
        <v>1968</v>
      </c>
      <c r="AN2187" s="1" t="s">
        <v>465</v>
      </c>
      <c r="AO2187" s="1" t="s">
        <v>167</v>
      </c>
      <c r="AP2187" s="1" t="s">
        <v>518</v>
      </c>
      <c r="AQ2187" s="1">
        <v>63.38</v>
      </c>
      <c r="AR2187" s="1"/>
      <c r="AS2187" s="1"/>
      <c r="AT2187" s="1"/>
      <c r="AU2187" s="1"/>
      <c r="AV2187" s="1"/>
      <c r="AW2187" s="1"/>
      <c r="AX2187" s="1"/>
      <c r="AY2187" s="1" t="s">
        <v>366</v>
      </c>
      <c r="AZ2187" s="1" t="s">
        <v>38038</v>
      </c>
      <c r="BA2187" s="1" t="s">
        <v>35549</v>
      </c>
      <c r="BB2187" s="1" t="s">
        <v>35615</v>
      </c>
      <c r="BC2187" s="1" t="s">
        <v>170</v>
      </c>
      <c r="BD2187" s="1" t="s">
        <v>977</v>
      </c>
      <c r="BE2187" s="1">
        <v>69.04</v>
      </c>
      <c r="BF2187" s="1"/>
      <c r="BG2187" s="1"/>
      <c r="BH2187" s="1"/>
      <c r="BI2187" s="1"/>
      <c r="BJ2187" s="1"/>
      <c r="BK2187" s="1"/>
      <c r="BL2187" s="1"/>
      <c r="BM2187" s="1"/>
      <c r="BN2187" s="1"/>
      <c r="BO2187" s="1" t="s">
        <v>3308</v>
      </c>
      <c r="BP2187" s="1" t="s">
        <v>38039</v>
      </c>
      <c r="BQ2187" s="1" t="s">
        <v>3404</v>
      </c>
      <c r="BR2187" s="1" t="s">
        <v>38040</v>
      </c>
      <c r="BS2187" s="1">
        <v>69</v>
      </c>
      <c r="BT2187" s="1"/>
      <c r="BU2187" s="1" t="str">
        <f>HYPERLINK("https://nconnect.nicmar.ac.in/storage/profile/ProfilePhoto_P25703015_461932.jpg","Download")</f>
        <v>0</v>
      </c>
      <c r="BV2187" s="3"/>
      <c r="BW2187" s="3"/>
    </row>
    <row r="2188" spans="1:75">
      <c r="A2188" s="1" t="s">
        <v>35074</v>
      </c>
      <c r="B2188" s="1" t="s">
        <v>446</v>
      </c>
      <c r="C2188" s="1" t="s">
        <v>38041</v>
      </c>
      <c r="D2188" s="1" t="s">
        <v>38042</v>
      </c>
      <c r="E2188" s="1"/>
      <c r="F2188" s="1" t="s">
        <v>38043</v>
      </c>
      <c r="G2188" s="1" t="s">
        <v>38044</v>
      </c>
      <c r="H2188" s="1" t="s">
        <v>38045</v>
      </c>
      <c r="I2188" s="1" t="s">
        <v>38046</v>
      </c>
      <c r="J2188" s="1">
        <v>8989439955</v>
      </c>
      <c r="K2188" s="1" t="s">
        <v>153</v>
      </c>
      <c r="L2188" s="1" t="s">
        <v>480</v>
      </c>
      <c r="M2188" s="1" t="s">
        <v>86</v>
      </c>
      <c r="N2188" s="1" t="s">
        <v>4278</v>
      </c>
      <c r="O2188" s="1" t="s">
        <v>38047</v>
      </c>
      <c r="P2188" s="1" t="s">
        <v>507</v>
      </c>
      <c r="Q2188" s="1" t="s">
        <v>38048</v>
      </c>
      <c r="R2188" s="1" t="s">
        <v>38049</v>
      </c>
      <c r="S2188" s="1">
        <v>9425676019</v>
      </c>
      <c r="T2188" s="1" t="s">
        <v>22979</v>
      </c>
      <c r="U2188" s="1" t="s">
        <v>38050</v>
      </c>
      <c r="V2188" s="1">
        <v>9425676019</v>
      </c>
      <c r="W2188" s="1" t="s">
        <v>161</v>
      </c>
      <c r="X2188" s="1" t="s">
        <v>38051</v>
      </c>
      <c r="Y2188" s="1" t="s">
        <v>196</v>
      </c>
      <c r="Z2188" s="1" t="s">
        <v>97</v>
      </c>
      <c r="AA2188" s="1" t="s">
        <v>38052</v>
      </c>
      <c r="AB2188" s="1" t="s">
        <v>7949</v>
      </c>
      <c r="AC2188" s="1" t="s">
        <v>3419</v>
      </c>
      <c r="AD2188" s="1">
        <v>7.93</v>
      </c>
      <c r="AE2188" s="1" t="s">
        <v>98</v>
      </c>
      <c r="AF2188" s="1" t="s">
        <v>38053</v>
      </c>
      <c r="AG2188" s="1" t="s">
        <v>9059</v>
      </c>
      <c r="AH2188" s="1" t="s">
        <v>286</v>
      </c>
      <c r="AI2188" s="1" t="s">
        <v>313</v>
      </c>
      <c r="AJ2188" s="1">
        <v>74</v>
      </c>
      <c r="AK2188" s="1"/>
      <c r="AL2188" s="1" t="s">
        <v>38053</v>
      </c>
      <c r="AM2188" s="1" t="s">
        <v>9059</v>
      </c>
      <c r="AN2188" s="1"/>
      <c r="AO2188" s="1" t="s">
        <v>603</v>
      </c>
      <c r="AP2188" s="1" t="s">
        <v>549</v>
      </c>
      <c r="AQ2188" s="1">
        <v>81</v>
      </c>
      <c r="AR2188" s="1"/>
      <c r="AS2188" s="1"/>
      <c r="AT2188" s="1"/>
      <c r="AU2188" s="1"/>
      <c r="AV2188" s="1"/>
      <c r="AW2188" s="1"/>
      <c r="AX2188" s="1"/>
      <c r="AY2188" s="1" t="s">
        <v>38054</v>
      </c>
      <c r="AZ2188" s="1" t="s">
        <v>38055</v>
      </c>
      <c r="BA2188" s="1"/>
      <c r="BB2188" s="1"/>
      <c r="BC2188" s="1" t="s">
        <v>441</v>
      </c>
      <c r="BD2188" s="1" t="s">
        <v>418</v>
      </c>
      <c r="BE2188" s="1">
        <v>66.1</v>
      </c>
      <c r="BF2188" s="1">
        <v>6.61</v>
      </c>
      <c r="BG2188" s="1"/>
      <c r="BH2188" s="1"/>
      <c r="BI2188" s="1"/>
      <c r="BJ2188" s="1"/>
      <c r="BK2188" s="1"/>
      <c r="BL2188" s="1"/>
      <c r="BM2188" s="1"/>
      <c r="BN2188" s="1"/>
      <c r="BO2188" s="1" t="s">
        <v>1890</v>
      </c>
      <c r="BP2188" s="1"/>
      <c r="BQ2188" s="1"/>
      <c r="BR2188" s="1" t="s">
        <v>38056</v>
      </c>
      <c r="BS2188" s="1">
        <v>8</v>
      </c>
      <c r="BT2188" s="1"/>
      <c r="BU2188" s="1" t="str">
        <f>HYPERLINK("https://nconnect.nicmar.ac.in/storage/profile/ProfilePhoto_P25703016_352178.jpg","Download")</f>
        <v>0</v>
      </c>
      <c r="BV2188" s="3"/>
      <c r="BW2188" s="3"/>
    </row>
    <row r="2189" spans="1:75">
      <c r="A2189" s="1" t="s">
        <v>35074</v>
      </c>
      <c r="B2189" s="1" t="s">
        <v>446</v>
      </c>
      <c r="C2189" s="1" t="s">
        <v>38057</v>
      </c>
      <c r="D2189" s="1" t="s">
        <v>5630</v>
      </c>
      <c r="E2189" s="1" t="s">
        <v>38058</v>
      </c>
      <c r="F2189" s="1" t="s">
        <v>7180</v>
      </c>
      <c r="G2189" s="1" t="s">
        <v>38059</v>
      </c>
      <c r="H2189" s="1" t="s">
        <v>38060</v>
      </c>
      <c r="I2189" s="1" t="s">
        <v>38061</v>
      </c>
      <c r="J2189" s="1">
        <v>9370348171</v>
      </c>
      <c r="K2189" s="1" t="s">
        <v>84</v>
      </c>
      <c r="L2189" s="1" t="s">
        <v>38062</v>
      </c>
      <c r="M2189" s="1" t="s">
        <v>86</v>
      </c>
      <c r="N2189" s="1" t="s">
        <v>8520</v>
      </c>
      <c r="O2189" s="1"/>
      <c r="P2189" s="1" t="s">
        <v>1028</v>
      </c>
      <c r="Q2189" s="1" t="s">
        <v>38063</v>
      </c>
      <c r="R2189" s="1" t="s">
        <v>38064</v>
      </c>
      <c r="S2189" s="1">
        <v>7083028414</v>
      </c>
      <c r="T2189" s="1" t="s">
        <v>926</v>
      </c>
      <c r="U2189" s="1" t="s">
        <v>38065</v>
      </c>
      <c r="V2189" s="1">
        <v>8805616167</v>
      </c>
      <c r="W2189" s="1" t="s">
        <v>161</v>
      </c>
      <c r="X2189" s="1" t="s">
        <v>38066</v>
      </c>
      <c r="Y2189" s="1" t="s">
        <v>1989</v>
      </c>
      <c r="Z2189" s="1" t="s">
        <v>97</v>
      </c>
      <c r="AA2189" s="1" t="s">
        <v>38066</v>
      </c>
      <c r="AB2189" s="1" t="s">
        <v>1989</v>
      </c>
      <c r="AC2189" s="1" t="s">
        <v>97</v>
      </c>
      <c r="AD2189" s="1">
        <v>6.59</v>
      </c>
      <c r="AE2189" s="1" t="s">
        <v>98</v>
      </c>
      <c r="AF2189" s="1" t="s">
        <v>38067</v>
      </c>
      <c r="AG2189" s="1" t="s">
        <v>38068</v>
      </c>
      <c r="AH2189" s="1" t="s">
        <v>573</v>
      </c>
      <c r="AI2189" s="1" t="s">
        <v>171</v>
      </c>
      <c r="AJ2189" s="1">
        <v>88.8</v>
      </c>
      <c r="AK2189" s="1"/>
      <c r="AL2189" s="1" t="s">
        <v>38069</v>
      </c>
      <c r="AM2189" s="1" t="s">
        <v>38068</v>
      </c>
      <c r="AN2189" s="1"/>
      <c r="AO2189" s="1" t="s">
        <v>313</v>
      </c>
      <c r="AP2189" s="1" t="s">
        <v>417</v>
      </c>
      <c r="AQ2189" s="1">
        <v>68.31</v>
      </c>
      <c r="AR2189" s="1"/>
      <c r="AS2189" s="1"/>
      <c r="AT2189" s="1"/>
      <c r="AU2189" s="1"/>
      <c r="AV2189" s="1"/>
      <c r="AW2189" s="1"/>
      <c r="AX2189" s="1"/>
      <c r="AY2189" s="1" t="s">
        <v>366</v>
      </c>
      <c r="AZ2189" s="1" t="s">
        <v>24293</v>
      </c>
      <c r="BA2189" s="1"/>
      <c r="BB2189" s="1"/>
      <c r="BC2189" s="1" t="s">
        <v>955</v>
      </c>
      <c r="BD2189" s="1" t="s">
        <v>418</v>
      </c>
      <c r="BE2189" s="1">
        <v>72.2</v>
      </c>
      <c r="BF2189" s="1">
        <v>7.69</v>
      </c>
      <c r="BG2189" s="1"/>
      <c r="BH2189" s="1"/>
      <c r="BI2189" s="1"/>
      <c r="BJ2189" s="1"/>
      <c r="BK2189" s="1"/>
      <c r="BL2189" s="1"/>
      <c r="BM2189" s="1"/>
      <c r="BN2189" s="1"/>
      <c r="BO2189" s="1" t="s">
        <v>1890</v>
      </c>
      <c r="BP2189" s="1"/>
      <c r="BQ2189" s="1"/>
      <c r="BR2189" s="1" t="s">
        <v>38070</v>
      </c>
      <c r="BS2189" s="1">
        <v>8</v>
      </c>
      <c r="BT2189" s="1"/>
      <c r="BU2189" s="1" t="str">
        <f>HYPERLINK("https://nconnect.nicmar.ac.in/storage/profile/ProfilePhoto_P25703017_348917.jpg","Download")</f>
        <v>0</v>
      </c>
      <c r="BV2189" s="3"/>
      <c r="BW2189" s="3"/>
    </row>
    <row r="2190" spans="1:75">
      <c r="A2190" s="1" t="s">
        <v>35074</v>
      </c>
      <c r="B2190" s="1" t="s">
        <v>446</v>
      </c>
      <c r="C2190" s="1" t="s">
        <v>38071</v>
      </c>
      <c r="D2190" s="1" t="s">
        <v>2097</v>
      </c>
      <c r="E2190" s="1" t="s">
        <v>663</v>
      </c>
      <c r="F2190" s="1" t="s">
        <v>38072</v>
      </c>
      <c r="G2190" s="1" t="s">
        <v>38073</v>
      </c>
      <c r="H2190" s="1" t="s">
        <v>38074</v>
      </c>
      <c r="I2190" s="1" t="s">
        <v>38075</v>
      </c>
      <c r="J2190" s="1">
        <v>8856913448</v>
      </c>
      <c r="K2190" s="1" t="s">
        <v>84</v>
      </c>
      <c r="L2190" s="1" t="s">
        <v>8503</v>
      </c>
      <c r="M2190" s="1" t="s">
        <v>86</v>
      </c>
      <c r="N2190" s="1" t="s">
        <v>768</v>
      </c>
      <c r="O2190" s="1"/>
      <c r="P2190" s="1"/>
      <c r="Q2190" s="1" t="s">
        <v>38076</v>
      </c>
      <c r="R2190" s="1" t="s">
        <v>663</v>
      </c>
      <c r="S2190" s="1">
        <v>9422431767</v>
      </c>
      <c r="T2190" s="1" t="s">
        <v>6733</v>
      </c>
      <c r="U2190" s="1" t="s">
        <v>306</v>
      </c>
      <c r="V2190" s="1">
        <v>8483892546</v>
      </c>
      <c r="W2190" s="1" t="s">
        <v>161</v>
      </c>
      <c r="X2190" s="1" t="s">
        <v>38077</v>
      </c>
      <c r="Y2190" s="1" t="s">
        <v>1033</v>
      </c>
      <c r="Z2190" s="1" t="s">
        <v>97</v>
      </c>
      <c r="AA2190" s="1" t="s">
        <v>38077</v>
      </c>
      <c r="AB2190" s="1" t="s">
        <v>1033</v>
      </c>
      <c r="AC2190" s="1" t="s">
        <v>97</v>
      </c>
      <c r="AD2190" s="1">
        <v>8.13</v>
      </c>
      <c r="AE2190" s="1" t="s">
        <v>98</v>
      </c>
      <c r="AF2190" s="1" t="s">
        <v>38078</v>
      </c>
      <c r="AG2190" s="1" t="s">
        <v>165</v>
      </c>
      <c r="AH2190" s="1" t="s">
        <v>167</v>
      </c>
      <c r="AI2190" s="1" t="s">
        <v>573</v>
      </c>
      <c r="AJ2190" s="1">
        <v>83.2</v>
      </c>
      <c r="AK2190" s="1"/>
      <c r="AL2190" s="1" t="s">
        <v>38079</v>
      </c>
      <c r="AM2190" s="1" t="s">
        <v>165</v>
      </c>
      <c r="AN2190" s="1" t="s">
        <v>465</v>
      </c>
      <c r="AO2190" s="1" t="s">
        <v>106</v>
      </c>
      <c r="AP2190" s="1" t="s">
        <v>547</v>
      </c>
      <c r="AQ2190" s="1">
        <v>66.46</v>
      </c>
      <c r="AR2190" s="1"/>
      <c r="AS2190" s="1"/>
      <c r="AT2190" s="1"/>
      <c r="AU2190" s="1"/>
      <c r="AV2190" s="1"/>
      <c r="AW2190" s="1"/>
      <c r="AX2190" s="1"/>
      <c r="AY2190" s="1" t="s">
        <v>1038</v>
      </c>
      <c r="AZ2190" s="1" t="s">
        <v>13232</v>
      </c>
      <c r="BA2190" s="1" t="s">
        <v>466</v>
      </c>
      <c r="BB2190" s="1" t="s">
        <v>467</v>
      </c>
      <c r="BC2190" s="1" t="s">
        <v>206</v>
      </c>
      <c r="BD2190" s="1" t="s">
        <v>955</v>
      </c>
      <c r="BE2190" s="1">
        <v>63.2</v>
      </c>
      <c r="BF2190" s="1">
        <v>7.07</v>
      </c>
      <c r="BG2190" s="1"/>
      <c r="BH2190" s="1"/>
      <c r="BI2190" s="1"/>
      <c r="BJ2190" s="1"/>
      <c r="BK2190" s="1"/>
      <c r="BL2190" s="1"/>
      <c r="BM2190" s="1"/>
      <c r="BN2190" s="1"/>
      <c r="BO2190" s="1" t="s">
        <v>15575</v>
      </c>
      <c r="BP2190" s="1"/>
      <c r="BQ2190" s="1"/>
      <c r="BR2190" s="1" t="s">
        <v>38080</v>
      </c>
      <c r="BS2190" s="1">
        <v>21</v>
      </c>
      <c r="BT2190" s="1" t="s">
        <v>38081</v>
      </c>
      <c r="BU2190" s="1" t="str">
        <f>HYPERLINK("https://nconnect.nicmar.ac.in/storage/profile/ProfilePhoto_P25703020_189736.jpg","Download")</f>
        <v>0</v>
      </c>
      <c r="BV2190" s="3"/>
      <c r="BW2190" s="3"/>
    </row>
    <row r="2191" spans="1:75">
      <c r="A2191" s="1" t="s">
        <v>35074</v>
      </c>
      <c r="B2191" s="1" t="s">
        <v>446</v>
      </c>
      <c r="C2191" s="1" t="s">
        <v>38082</v>
      </c>
      <c r="D2191" s="1" t="s">
        <v>38083</v>
      </c>
      <c r="E2191" s="1"/>
      <c r="F2191" s="1" t="s">
        <v>2735</v>
      </c>
      <c r="G2191" s="1" t="s">
        <v>38084</v>
      </c>
      <c r="H2191" s="1" t="s">
        <v>38085</v>
      </c>
      <c r="I2191" s="1" t="s">
        <v>38086</v>
      </c>
      <c r="J2191" s="1">
        <v>9627176190</v>
      </c>
      <c r="K2191" s="1" t="s">
        <v>84</v>
      </c>
      <c r="L2191" s="1" t="s">
        <v>15503</v>
      </c>
      <c r="M2191" s="1" t="s">
        <v>86</v>
      </c>
      <c r="N2191" s="1" t="s">
        <v>87</v>
      </c>
      <c r="O2191" s="1"/>
      <c r="P2191" s="1" t="s">
        <v>481</v>
      </c>
      <c r="Q2191" s="1" t="s">
        <v>38087</v>
      </c>
      <c r="R2191" s="1" t="s">
        <v>38088</v>
      </c>
      <c r="S2191" s="1">
        <v>9759199626</v>
      </c>
      <c r="T2191" s="1" t="s">
        <v>159</v>
      </c>
      <c r="U2191" s="1" t="s">
        <v>38089</v>
      </c>
      <c r="V2191" s="1">
        <v>9368986593</v>
      </c>
      <c r="W2191" s="1" t="s">
        <v>94</v>
      </c>
      <c r="X2191" s="1" t="s">
        <v>38090</v>
      </c>
      <c r="Y2191" s="1" t="s">
        <v>4959</v>
      </c>
      <c r="Z2191" s="1" t="s">
        <v>544</v>
      </c>
      <c r="AA2191" s="1" t="s">
        <v>38090</v>
      </c>
      <c r="AB2191" s="1" t="s">
        <v>4959</v>
      </c>
      <c r="AC2191" s="1" t="s">
        <v>544</v>
      </c>
      <c r="AD2191" s="1">
        <v>7.59</v>
      </c>
      <c r="AE2191" s="1" t="s">
        <v>98</v>
      </c>
      <c r="AF2191" s="1" t="s">
        <v>38091</v>
      </c>
      <c r="AG2191" s="1" t="s">
        <v>38092</v>
      </c>
      <c r="AH2191" s="1" t="s">
        <v>547</v>
      </c>
      <c r="AI2191" s="1" t="s">
        <v>468</v>
      </c>
      <c r="AJ2191" s="1">
        <v>71.83</v>
      </c>
      <c r="AK2191" s="1">
        <v>7.56</v>
      </c>
      <c r="AL2191" s="1" t="s">
        <v>38091</v>
      </c>
      <c r="AM2191" s="1" t="s">
        <v>38092</v>
      </c>
      <c r="AN2191" s="1"/>
      <c r="AO2191" s="1" t="s">
        <v>2304</v>
      </c>
      <c r="AP2191" s="1" t="s">
        <v>289</v>
      </c>
      <c r="AQ2191" s="1">
        <v>58.4</v>
      </c>
      <c r="AR2191" s="1">
        <v>6.14</v>
      </c>
      <c r="AS2191" s="1"/>
      <c r="AT2191" s="1"/>
      <c r="AU2191" s="1"/>
      <c r="AV2191" s="1"/>
      <c r="AW2191" s="1"/>
      <c r="AX2191" s="1"/>
      <c r="AY2191" s="1" t="s">
        <v>38093</v>
      </c>
      <c r="AZ2191" s="1" t="s">
        <v>38094</v>
      </c>
      <c r="BA2191" s="1"/>
      <c r="BB2191" s="1"/>
      <c r="BC2191" s="1" t="s">
        <v>1400</v>
      </c>
      <c r="BD2191" s="1" t="s">
        <v>1401</v>
      </c>
      <c r="BE2191" s="1">
        <v>71.02</v>
      </c>
      <c r="BF2191" s="1"/>
      <c r="BG2191" s="1"/>
      <c r="BH2191" s="1"/>
      <c r="BI2191" s="1"/>
      <c r="BJ2191" s="1"/>
      <c r="BK2191" s="1"/>
      <c r="BL2191" s="1"/>
      <c r="BM2191" s="1"/>
      <c r="BN2191" s="1"/>
      <c r="BO2191" s="1" t="s">
        <v>3308</v>
      </c>
      <c r="BP2191" s="1"/>
      <c r="BQ2191" s="1"/>
      <c r="BR2191" s="1" t="s">
        <v>38095</v>
      </c>
      <c r="BS2191" s="1">
        <v>7</v>
      </c>
      <c r="BT2191" s="1" t="s">
        <v>38096</v>
      </c>
      <c r="BU2191" s="1" t="str">
        <f>HYPERLINK("https://nconnect.nicmar.ac.in/storage/profile/ProfilePhoto_P25703021_349281.jpg","Download")</f>
        <v>0</v>
      </c>
      <c r="BV2191" s="3"/>
      <c r="BW2191" s="3"/>
    </row>
    <row r="2192" spans="1:75">
      <c r="A2192" s="1" t="s">
        <v>35074</v>
      </c>
      <c r="B2192" s="1" t="s">
        <v>446</v>
      </c>
      <c r="C2192" s="1" t="s">
        <v>38097</v>
      </c>
      <c r="D2192" s="1" t="s">
        <v>11131</v>
      </c>
      <c r="E2192" s="1" t="s">
        <v>3042</v>
      </c>
      <c r="F2192" s="1" t="s">
        <v>7091</v>
      </c>
      <c r="G2192" s="1" t="s">
        <v>38098</v>
      </c>
      <c r="H2192" s="1" t="s">
        <v>38099</v>
      </c>
      <c r="I2192" s="1" t="s">
        <v>38100</v>
      </c>
      <c r="J2192" s="1">
        <v>8767817626</v>
      </c>
      <c r="K2192" s="1" t="s">
        <v>153</v>
      </c>
      <c r="L2192" s="1" t="s">
        <v>21364</v>
      </c>
      <c r="M2192" s="1" t="s">
        <v>86</v>
      </c>
      <c r="N2192" s="1" t="s">
        <v>618</v>
      </c>
      <c r="O2192" s="1"/>
      <c r="P2192" s="1" t="s">
        <v>507</v>
      </c>
      <c r="Q2192" s="1" t="s">
        <v>38101</v>
      </c>
      <c r="R2192" s="1" t="s">
        <v>38102</v>
      </c>
      <c r="S2192" s="1">
        <v>9112618330</v>
      </c>
      <c r="T2192" s="1" t="s">
        <v>13258</v>
      </c>
      <c r="U2192" s="1" t="s">
        <v>38103</v>
      </c>
      <c r="V2192" s="1">
        <v>9325719433</v>
      </c>
      <c r="W2192" s="1" t="s">
        <v>161</v>
      </c>
      <c r="X2192" s="1" t="s">
        <v>38104</v>
      </c>
      <c r="Y2192" s="1" t="s">
        <v>96</v>
      </c>
      <c r="Z2192" s="1" t="s">
        <v>97</v>
      </c>
      <c r="AA2192" s="1" t="s">
        <v>38104</v>
      </c>
      <c r="AB2192" s="1" t="s">
        <v>96</v>
      </c>
      <c r="AC2192" s="1" t="s">
        <v>97</v>
      </c>
      <c r="AD2192" s="1">
        <v>7.46</v>
      </c>
      <c r="AE2192" s="1" t="s">
        <v>98</v>
      </c>
      <c r="AF2192" s="1" t="s">
        <v>38105</v>
      </c>
      <c r="AG2192" s="1" t="s">
        <v>1968</v>
      </c>
      <c r="AH2192" s="1" t="s">
        <v>106</v>
      </c>
      <c r="AI2192" s="1" t="s">
        <v>414</v>
      </c>
      <c r="AJ2192" s="1">
        <v>79.2</v>
      </c>
      <c r="AK2192" s="1"/>
      <c r="AL2192" s="1" t="s">
        <v>38106</v>
      </c>
      <c r="AM2192" s="1" t="s">
        <v>1968</v>
      </c>
      <c r="AN2192" s="1" t="s">
        <v>35580</v>
      </c>
      <c r="AO2192" s="1" t="s">
        <v>417</v>
      </c>
      <c r="AP2192" s="1" t="s">
        <v>1192</v>
      </c>
      <c r="AQ2192" s="1">
        <v>90.17</v>
      </c>
      <c r="AR2192" s="1"/>
      <c r="AS2192" s="1"/>
      <c r="AT2192" s="1"/>
      <c r="AU2192" s="1"/>
      <c r="AV2192" s="1"/>
      <c r="AW2192" s="1"/>
      <c r="AX2192" s="1"/>
      <c r="AY2192" s="1" t="s">
        <v>9545</v>
      </c>
      <c r="AZ2192" s="1" t="s">
        <v>36461</v>
      </c>
      <c r="BA2192" s="1" t="s">
        <v>35549</v>
      </c>
      <c r="BB2192" s="1" t="s">
        <v>1062</v>
      </c>
      <c r="BC2192" s="1" t="s">
        <v>847</v>
      </c>
      <c r="BD2192" s="1" t="s">
        <v>1314</v>
      </c>
      <c r="BE2192" s="1">
        <v>59.5</v>
      </c>
      <c r="BF2192" s="1">
        <v>5.95</v>
      </c>
      <c r="BG2192" s="1"/>
      <c r="BH2192" s="1"/>
      <c r="BI2192" s="1"/>
      <c r="BJ2192" s="1"/>
      <c r="BK2192" s="1"/>
      <c r="BL2192" s="1"/>
      <c r="BM2192" s="1"/>
      <c r="BN2192" s="1"/>
      <c r="BO2192" s="1" t="s">
        <v>3308</v>
      </c>
      <c r="BP2192" s="1"/>
      <c r="BQ2192" s="1"/>
      <c r="BR2192" s="1" t="s">
        <v>38107</v>
      </c>
      <c r="BS2192" s="1">
        <v>8</v>
      </c>
      <c r="BT2192" s="1"/>
      <c r="BU2192" s="1" t="str">
        <f>HYPERLINK("https://nconnect.nicmar.ac.in/storage/profile/ProfilePhoto_P25703022_834792.jpg","Download")</f>
        <v>0</v>
      </c>
      <c r="BV2192" s="3"/>
      <c r="BW2192" s="3"/>
    </row>
    <row r="2193" spans="1:75">
      <c r="A2193" s="1" t="s">
        <v>35074</v>
      </c>
      <c r="B2193" s="1" t="s">
        <v>446</v>
      </c>
      <c r="C2193" s="1" t="s">
        <v>38108</v>
      </c>
      <c r="D2193" s="1" t="s">
        <v>7813</v>
      </c>
      <c r="E2193" s="1"/>
      <c r="F2193" s="1" t="s">
        <v>8341</v>
      </c>
      <c r="G2193" s="1" t="s">
        <v>38109</v>
      </c>
      <c r="H2193" s="1" t="s">
        <v>38110</v>
      </c>
      <c r="I2193" s="1" t="s">
        <v>38111</v>
      </c>
      <c r="J2193" s="1">
        <v>9122423202</v>
      </c>
      <c r="K2193" s="1" t="s">
        <v>84</v>
      </c>
      <c r="L2193" s="1" t="s">
        <v>38112</v>
      </c>
      <c r="M2193" s="1" t="s">
        <v>86</v>
      </c>
      <c r="N2193" s="1" t="s">
        <v>246</v>
      </c>
      <c r="O2193" s="1"/>
      <c r="P2193" s="1" t="s">
        <v>507</v>
      </c>
      <c r="Q2193" s="1" t="s">
        <v>38113</v>
      </c>
      <c r="R2193" s="1" t="s">
        <v>38114</v>
      </c>
      <c r="S2193" s="1">
        <v>7979933985</v>
      </c>
      <c r="T2193" s="1" t="s">
        <v>38115</v>
      </c>
      <c r="U2193" s="1" t="s">
        <v>19151</v>
      </c>
      <c r="V2193" s="1">
        <v>7369000179</v>
      </c>
      <c r="W2193" s="1" t="s">
        <v>94</v>
      </c>
      <c r="X2193" s="1" t="s">
        <v>38116</v>
      </c>
      <c r="Y2193" s="1" t="s">
        <v>38117</v>
      </c>
      <c r="Z2193" s="1" t="s">
        <v>649</v>
      </c>
      <c r="AA2193" s="1" t="s">
        <v>38116</v>
      </c>
      <c r="AB2193" s="1" t="s">
        <v>38117</v>
      </c>
      <c r="AC2193" s="1" t="s">
        <v>649</v>
      </c>
      <c r="AD2193" s="1">
        <v>7.73</v>
      </c>
      <c r="AE2193" s="1" t="s">
        <v>98</v>
      </c>
      <c r="AF2193" s="1" t="s">
        <v>38118</v>
      </c>
      <c r="AG2193" s="1" t="s">
        <v>6416</v>
      </c>
      <c r="AH2193" s="1" t="s">
        <v>284</v>
      </c>
      <c r="AI2193" s="1" t="s">
        <v>170</v>
      </c>
      <c r="AJ2193" s="1">
        <v>85.5</v>
      </c>
      <c r="AK2193" s="1">
        <v>9</v>
      </c>
      <c r="AL2193" s="1" t="s">
        <v>38119</v>
      </c>
      <c r="AM2193" s="1" t="s">
        <v>6416</v>
      </c>
      <c r="AN2193" s="1"/>
      <c r="AO2193" s="1" t="s">
        <v>171</v>
      </c>
      <c r="AP2193" s="1" t="s">
        <v>313</v>
      </c>
      <c r="AQ2193" s="1">
        <v>66</v>
      </c>
      <c r="AR2193" s="1"/>
      <c r="AS2193" s="1"/>
      <c r="AT2193" s="1"/>
      <c r="AU2193" s="1"/>
      <c r="AV2193" s="1"/>
      <c r="AW2193" s="1"/>
      <c r="AX2193" s="1"/>
      <c r="AY2193" s="1" t="s">
        <v>38120</v>
      </c>
      <c r="AZ2193" s="1" t="s">
        <v>38121</v>
      </c>
      <c r="BA2193" s="1"/>
      <c r="BB2193" s="1"/>
      <c r="BC2193" s="1" t="s">
        <v>441</v>
      </c>
      <c r="BD2193" s="1" t="s">
        <v>1242</v>
      </c>
      <c r="BE2193" s="1">
        <v>75.13</v>
      </c>
      <c r="BF2193" s="1"/>
      <c r="BG2193" s="1"/>
      <c r="BH2193" s="1"/>
      <c r="BI2193" s="1"/>
      <c r="BJ2193" s="1"/>
      <c r="BK2193" s="1"/>
      <c r="BL2193" s="1"/>
      <c r="BM2193" s="1"/>
      <c r="BN2193" s="1"/>
      <c r="BO2193" s="1" t="s">
        <v>3308</v>
      </c>
      <c r="BP2193" s="1"/>
      <c r="BQ2193" s="1"/>
      <c r="BR2193" s="1" t="s">
        <v>38122</v>
      </c>
      <c r="BS2193" s="1">
        <v>7</v>
      </c>
      <c r="BT2193" s="1" t="s">
        <v>38123</v>
      </c>
      <c r="BU2193" s="1" t="str">
        <f>HYPERLINK("https://nconnect.nicmar.ac.in/storage/profile/ProfilePhoto_P25703023_618729.jpg","Download")</f>
        <v>0</v>
      </c>
      <c r="BV2193" s="3"/>
      <c r="BW2193" s="3"/>
    </row>
    <row r="2194" spans="1:75">
      <c r="A2194" s="1" t="s">
        <v>35074</v>
      </c>
      <c r="B2194" s="1" t="s">
        <v>446</v>
      </c>
      <c r="C2194" s="1" t="s">
        <v>38124</v>
      </c>
      <c r="D2194" s="1" t="s">
        <v>38125</v>
      </c>
      <c r="E2194" s="1"/>
      <c r="F2194" s="1" t="s">
        <v>38126</v>
      </c>
      <c r="G2194" s="1" t="s">
        <v>38127</v>
      </c>
      <c r="H2194" s="1" t="s">
        <v>38128</v>
      </c>
      <c r="I2194" s="1" t="s">
        <v>38129</v>
      </c>
      <c r="J2194" s="1">
        <v>9861116372</v>
      </c>
      <c r="K2194" s="1" t="s">
        <v>153</v>
      </c>
      <c r="L2194" s="1" t="s">
        <v>38130</v>
      </c>
      <c r="M2194" s="1" t="s">
        <v>86</v>
      </c>
      <c r="N2194" s="1" t="s">
        <v>38131</v>
      </c>
      <c r="O2194" s="1"/>
      <c r="P2194" s="1" t="s">
        <v>507</v>
      </c>
      <c r="Q2194" s="1" t="s">
        <v>38132</v>
      </c>
      <c r="R2194" s="1" t="s">
        <v>38133</v>
      </c>
      <c r="S2194" s="1">
        <v>9337836550</v>
      </c>
      <c r="T2194" s="1" t="s">
        <v>926</v>
      </c>
      <c r="U2194" s="1" t="s">
        <v>38134</v>
      </c>
      <c r="V2194" s="1">
        <v>8249213208</v>
      </c>
      <c r="W2194" s="1" t="s">
        <v>541</v>
      </c>
      <c r="X2194" s="1" t="s">
        <v>38135</v>
      </c>
      <c r="Y2194" s="1" t="s">
        <v>1259</v>
      </c>
      <c r="Z2194" s="1" t="s">
        <v>865</v>
      </c>
      <c r="AA2194" s="1" t="s">
        <v>38135</v>
      </c>
      <c r="AB2194" s="1" t="s">
        <v>1259</v>
      </c>
      <c r="AC2194" s="1" t="s">
        <v>865</v>
      </c>
      <c r="AD2194" s="1">
        <v>9.19</v>
      </c>
      <c r="AE2194" s="1" t="s">
        <v>98</v>
      </c>
      <c r="AF2194" s="1" t="s">
        <v>38136</v>
      </c>
      <c r="AG2194" s="1" t="s">
        <v>38137</v>
      </c>
      <c r="AH2194" s="1" t="s">
        <v>1110</v>
      </c>
      <c r="AI2194" s="1" t="s">
        <v>627</v>
      </c>
      <c r="AJ2194" s="1">
        <v>81.7</v>
      </c>
      <c r="AK2194" s="1">
        <v>8.6</v>
      </c>
      <c r="AL2194" s="1" t="s">
        <v>38138</v>
      </c>
      <c r="AM2194" s="1" t="s">
        <v>38137</v>
      </c>
      <c r="AN2194" s="1"/>
      <c r="AO2194" s="1" t="s">
        <v>627</v>
      </c>
      <c r="AP2194" s="1" t="s">
        <v>171</v>
      </c>
      <c r="AQ2194" s="1">
        <v>60.16</v>
      </c>
      <c r="AR2194" s="1"/>
      <c r="AS2194" s="1"/>
      <c r="AT2194" s="1"/>
      <c r="AU2194" s="1"/>
      <c r="AV2194" s="1"/>
      <c r="AW2194" s="1"/>
      <c r="AX2194" s="1"/>
      <c r="AY2194" s="1" t="s">
        <v>2033</v>
      </c>
      <c r="AZ2194" s="1" t="s">
        <v>38139</v>
      </c>
      <c r="BA2194" s="1"/>
      <c r="BB2194" s="1"/>
      <c r="BC2194" s="1" t="s">
        <v>1065</v>
      </c>
      <c r="BD2194" s="1" t="s">
        <v>179</v>
      </c>
      <c r="BE2194" s="1">
        <v>81.2</v>
      </c>
      <c r="BF2194" s="1">
        <v>8.12</v>
      </c>
      <c r="BG2194" s="1"/>
      <c r="BH2194" s="1"/>
      <c r="BI2194" s="1"/>
      <c r="BJ2194" s="1"/>
      <c r="BK2194" s="1"/>
      <c r="BL2194" s="1"/>
      <c r="BM2194" s="1"/>
      <c r="BN2194" s="1"/>
      <c r="BO2194" s="1" t="s">
        <v>16194</v>
      </c>
      <c r="BP2194" s="1"/>
      <c r="BQ2194" s="1"/>
      <c r="BR2194" s="1" t="s">
        <v>38140</v>
      </c>
      <c r="BS2194" s="1">
        <v>19</v>
      </c>
      <c r="BT2194" s="1"/>
      <c r="BU2194" s="1" t="str">
        <f>HYPERLINK("https://nconnect.nicmar.ac.in/storage/profile/ProfilePhoto_P25703024_753916.jpg","Download")</f>
        <v>0</v>
      </c>
      <c r="BV2194" s="3"/>
      <c r="BW2194" s="3"/>
    </row>
    <row r="2195" spans="1:75">
      <c r="A2195" s="1" t="s">
        <v>35074</v>
      </c>
      <c r="B2195" s="1" t="s">
        <v>446</v>
      </c>
      <c r="C2195" s="1" t="s">
        <v>38141</v>
      </c>
      <c r="D2195" s="1" t="s">
        <v>38142</v>
      </c>
      <c r="E2195" s="1" t="s">
        <v>267</v>
      </c>
      <c r="F2195" s="1" t="s">
        <v>38143</v>
      </c>
      <c r="G2195" s="1" t="s">
        <v>38144</v>
      </c>
      <c r="H2195" s="1" t="s">
        <v>38145</v>
      </c>
      <c r="I2195" s="1" t="s">
        <v>38146</v>
      </c>
      <c r="J2195" s="1">
        <v>7569202194</v>
      </c>
      <c r="K2195" s="1" t="s">
        <v>84</v>
      </c>
      <c r="L2195" s="1" t="s">
        <v>16554</v>
      </c>
      <c r="M2195" s="1" t="s">
        <v>86</v>
      </c>
      <c r="N2195" s="1" t="s">
        <v>2486</v>
      </c>
      <c r="O2195" s="1"/>
      <c r="P2195" s="1" t="s">
        <v>2062</v>
      </c>
      <c r="Q2195" s="1" t="s">
        <v>38147</v>
      </c>
      <c r="R2195" s="1" t="s">
        <v>38148</v>
      </c>
      <c r="S2195" s="1">
        <v>9848954962</v>
      </c>
      <c r="T2195" s="1" t="s">
        <v>38149</v>
      </c>
      <c r="U2195" s="1" t="s">
        <v>38150</v>
      </c>
      <c r="V2195" s="1">
        <v>9705125634</v>
      </c>
      <c r="W2195" s="1" t="s">
        <v>839</v>
      </c>
      <c r="X2195" s="1" t="s">
        <v>38151</v>
      </c>
      <c r="Y2195" s="1" t="s">
        <v>3031</v>
      </c>
      <c r="Z2195" s="1" t="s">
        <v>461</v>
      </c>
      <c r="AA2195" s="1" t="s">
        <v>38151</v>
      </c>
      <c r="AB2195" s="1" t="s">
        <v>3031</v>
      </c>
      <c r="AC2195" s="1" t="s">
        <v>461</v>
      </c>
      <c r="AD2195" s="1">
        <v>6.63</v>
      </c>
      <c r="AE2195" s="1" t="s">
        <v>98</v>
      </c>
      <c r="AF2195" s="1" t="s">
        <v>2653</v>
      </c>
      <c r="AG2195" s="1" t="s">
        <v>2634</v>
      </c>
      <c r="AH2195" s="1" t="s">
        <v>166</v>
      </c>
      <c r="AI2195" s="1" t="s">
        <v>200</v>
      </c>
      <c r="AJ2195" s="1">
        <v>80</v>
      </c>
      <c r="AK2195" s="1">
        <v>8</v>
      </c>
      <c r="AL2195" s="1" t="s">
        <v>1603</v>
      </c>
      <c r="AM2195" s="1" t="s">
        <v>3034</v>
      </c>
      <c r="AN2195" s="1"/>
      <c r="AO2195" s="1" t="s">
        <v>170</v>
      </c>
      <c r="AP2195" s="1" t="s">
        <v>414</v>
      </c>
      <c r="AQ2195" s="1">
        <v>66.4</v>
      </c>
      <c r="AR2195" s="1">
        <v>6.6</v>
      </c>
      <c r="AS2195" s="1"/>
      <c r="AT2195" s="1"/>
      <c r="AU2195" s="1"/>
      <c r="AV2195" s="1"/>
      <c r="AW2195" s="1"/>
      <c r="AX2195" s="1"/>
      <c r="AY2195" s="1" t="s">
        <v>2553</v>
      </c>
      <c r="AZ2195" s="1" t="s">
        <v>38152</v>
      </c>
      <c r="BA2195" s="1"/>
      <c r="BB2195" s="1"/>
      <c r="BC2195" s="1" t="s">
        <v>441</v>
      </c>
      <c r="BD2195" s="1" t="s">
        <v>418</v>
      </c>
      <c r="BE2195" s="1">
        <v>70.3</v>
      </c>
      <c r="BF2195" s="1">
        <v>7.03</v>
      </c>
      <c r="BG2195" s="1"/>
      <c r="BH2195" s="1"/>
      <c r="BI2195" s="1"/>
      <c r="BJ2195" s="1"/>
      <c r="BK2195" s="1"/>
      <c r="BL2195" s="1"/>
      <c r="BM2195" s="1"/>
      <c r="BN2195" s="1"/>
      <c r="BO2195" s="1" t="s">
        <v>1890</v>
      </c>
      <c r="BP2195" s="1" t="s">
        <v>38153</v>
      </c>
      <c r="BQ2195" s="1" t="s">
        <v>292</v>
      </c>
      <c r="BR2195" s="1" t="s">
        <v>38154</v>
      </c>
      <c r="BS2195" s="1">
        <v>8</v>
      </c>
      <c r="BT2195" s="1"/>
      <c r="BU2195" s="1" t="str">
        <f>HYPERLINK("https://nconnect.nicmar.ac.in/storage/profile/ProfilePhoto_P25703025_329654.jpg","Download")</f>
        <v>0</v>
      </c>
      <c r="BV2195" s="3"/>
      <c r="BW2195" s="3"/>
    </row>
    <row r="2196" spans="1:75">
      <c r="A2196" s="1" t="s">
        <v>35074</v>
      </c>
      <c r="B2196" s="1" t="s">
        <v>446</v>
      </c>
      <c r="C2196" s="1" t="s">
        <v>38155</v>
      </c>
      <c r="D2196" s="1" t="s">
        <v>19829</v>
      </c>
      <c r="E2196" s="1"/>
      <c r="F2196" s="1" t="s">
        <v>11754</v>
      </c>
      <c r="G2196" s="1" t="s">
        <v>38156</v>
      </c>
      <c r="H2196" s="1" t="s">
        <v>38157</v>
      </c>
      <c r="I2196" s="1" t="s">
        <v>38158</v>
      </c>
      <c r="J2196" s="1">
        <v>9792555169</v>
      </c>
      <c r="K2196" s="1" t="s">
        <v>153</v>
      </c>
      <c r="L2196" s="1" t="s">
        <v>9822</v>
      </c>
      <c r="M2196" s="1" t="s">
        <v>86</v>
      </c>
      <c r="N2196" s="1" t="s">
        <v>13274</v>
      </c>
      <c r="O2196" s="1"/>
      <c r="P2196" s="1" t="s">
        <v>507</v>
      </c>
      <c r="Q2196" s="1" t="s">
        <v>38159</v>
      </c>
      <c r="R2196" s="1" t="s">
        <v>38160</v>
      </c>
      <c r="S2196" s="1">
        <v>9125921538</v>
      </c>
      <c r="T2196" s="1" t="s">
        <v>127</v>
      </c>
      <c r="U2196" s="1" t="s">
        <v>11760</v>
      </c>
      <c r="V2196" s="1">
        <v>9511049332</v>
      </c>
      <c r="W2196" s="1" t="s">
        <v>94</v>
      </c>
      <c r="X2196" s="1" t="s">
        <v>38161</v>
      </c>
      <c r="Y2196" s="1" t="s">
        <v>30185</v>
      </c>
      <c r="Z2196" s="1" t="s">
        <v>544</v>
      </c>
      <c r="AA2196" s="1" t="s">
        <v>38161</v>
      </c>
      <c r="AB2196" s="1" t="s">
        <v>30185</v>
      </c>
      <c r="AC2196" s="1" t="s">
        <v>544</v>
      </c>
      <c r="AD2196" s="1">
        <v>8.09</v>
      </c>
      <c r="AE2196" s="1" t="s">
        <v>98</v>
      </c>
      <c r="AF2196" s="1" t="s">
        <v>38162</v>
      </c>
      <c r="AG2196" s="1" t="s">
        <v>38163</v>
      </c>
      <c r="AH2196" s="1" t="s">
        <v>102</v>
      </c>
      <c r="AI2196" s="1" t="s">
        <v>167</v>
      </c>
      <c r="AJ2196" s="1">
        <v>81.7</v>
      </c>
      <c r="AK2196" s="1">
        <v>8.6</v>
      </c>
      <c r="AL2196" s="1" t="s">
        <v>38164</v>
      </c>
      <c r="AM2196" s="1" t="s">
        <v>38165</v>
      </c>
      <c r="AN2196" s="1" t="s">
        <v>2995</v>
      </c>
      <c r="AO2196" s="1" t="s">
        <v>704</v>
      </c>
      <c r="AP2196" s="1" t="s">
        <v>106</v>
      </c>
      <c r="AQ2196" s="1">
        <v>67.6</v>
      </c>
      <c r="AR2196" s="1"/>
      <c r="AS2196" s="1"/>
      <c r="AT2196" s="1"/>
      <c r="AU2196" s="1"/>
      <c r="AV2196" s="1"/>
      <c r="AW2196" s="1"/>
      <c r="AX2196" s="1"/>
      <c r="AY2196" s="1" t="s">
        <v>38166</v>
      </c>
      <c r="AZ2196" s="1" t="s">
        <v>38167</v>
      </c>
      <c r="BA2196" s="1" t="s">
        <v>37920</v>
      </c>
      <c r="BB2196" s="1" t="s">
        <v>1062</v>
      </c>
      <c r="BC2196" s="1" t="s">
        <v>174</v>
      </c>
      <c r="BD2196" s="1" t="s">
        <v>441</v>
      </c>
      <c r="BE2196" s="1">
        <v>54.06</v>
      </c>
      <c r="BF2196" s="1"/>
      <c r="BG2196" s="1"/>
      <c r="BH2196" s="1"/>
      <c r="BI2196" s="1"/>
      <c r="BJ2196" s="1"/>
      <c r="BK2196" s="1"/>
      <c r="BL2196" s="1"/>
      <c r="BM2196" s="1"/>
      <c r="BN2196" s="1"/>
      <c r="BO2196" s="1" t="s">
        <v>38168</v>
      </c>
      <c r="BP2196" s="1" t="s">
        <v>38169</v>
      </c>
      <c r="BQ2196" s="1" t="s">
        <v>780</v>
      </c>
      <c r="BR2196" s="1" t="s">
        <v>38170</v>
      </c>
      <c r="BS2196" s="1">
        <v>20</v>
      </c>
      <c r="BT2196" s="1" t="s">
        <v>38171</v>
      </c>
      <c r="BU2196" s="1" t="str">
        <f>HYPERLINK("https://nconnect.nicmar.ac.in/storage/profile/ProfilePhoto_P25703026_473982.jpg","Download")</f>
        <v>0</v>
      </c>
      <c r="BV2196" s="3"/>
      <c r="BW2196" s="3"/>
    </row>
    <row r="2197" spans="1:75">
      <c r="A2197" s="1" t="s">
        <v>35074</v>
      </c>
      <c r="B2197" s="1" t="s">
        <v>446</v>
      </c>
      <c r="C2197" s="1" t="s">
        <v>38172</v>
      </c>
      <c r="D2197" s="1" t="s">
        <v>38173</v>
      </c>
      <c r="E2197" s="1"/>
      <c r="F2197" s="1" t="s">
        <v>961</v>
      </c>
      <c r="G2197" s="1" t="s">
        <v>38174</v>
      </c>
      <c r="H2197" s="1" t="s">
        <v>38175</v>
      </c>
      <c r="I2197" s="1" t="s">
        <v>38176</v>
      </c>
      <c r="J2197" s="1">
        <v>9971701710</v>
      </c>
      <c r="K2197" s="1" t="s">
        <v>153</v>
      </c>
      <c r="L2197" s="1" t="s">
        <v>38177</v>
      </c>
      <c r="M2197" s="1" t="s">
        <v>155</v>
      </c>
      <c r="N2197" s="1" t="s">
        <v>246</v>
      </c>
      <c r="O2197" s="1"/>
      <c r="P2197" s="1" t="s">
        <v>507</v>
      </c>
      <c r="Q2197" s="1" t="s">
        <v>38178</v>
      </c>
      <c r="R2197" s="1" t="s">
        <v>38179</v>
      </c>
      <c r="S2197" s="1">
        <v>9971701710</v>
      </c>
      <c r="T2197" s="1" t="s">
        <v>98</v>
      </c>
      <c r="U2197" s="1" t="s">
        <v>38180</v>
      </c>
      <c r="V2197" s="1">
        <v>9530047407</v>
      </c>
      <c r="W2197" s="1" t="s">
        <v>161</v>
      </c>
      <c r="X2197" s="1" t="s">
        <v>38181</v>
      </c>
      <c r="Y2197" s="1" t="s">
        <v>2152</v>
      </c>
      <c r="Z2197" s="1" t="s">
        <v>2153</v>
      </c>
      <c r="AA2197" s="1" t="s">
        <v>38181</v>
      </c>
      <c r="AB2197" s="1" t="s">
        <v>2152</v>
      </c>
      <c r="AC2197" s="1" t="s">
        <v>2153</v>
      </c>
      <c r="AD2197" s="1">
        <v>9.82</v>
      </c>
      <c r="AE2197" s="1" t="s">
        <v>98</v>
      </c>
      <c r="AF2197" s="1" t="s">
        <v>38182</v>
      </c>
      <c r="AG2197" s="1" t="s">
        <v>703</v>
      </c>
      <c r="AH2197" s="1" t="s">
        <v>10231</v>
      </c>
      <c r="AI2197" s="1" t="s">
        <v>2203</v>
      </c>
      <c r="AJ2197" s="1">
        <v>75.4</v>
      </c>
      <c r="AK2197" s="1"/>
      <c r="AL2197" s="1" t="s">
        <v>38182</v>
      </c>
      <c r="AM2197" s="1" t="s">
        <v>703</v>
      </c>
      <c r="AN2197" s="1" t="s">
        <v>2995</v>
      </c>
      <c r="AO2197" s="1" t="s">
        <v>23371</v>
      </c>
      <c r="AP2197" s="1" t="s">
        <v>801</v>
      </c>
      <c r="AQ2197" s="1">
        <v>71.6</v>
      </c>
      <c r="AR2197" s="1"/>
      <c r="AS2197" s="1"/>
      <c r="AT2197" s="1"/>
      <c r="AU2197" s="1"/>
      <c r="AV2197" s="1"/>
      <c r="AW2197" s="1"/>
      <c r="AX2197" s="1"/>
      <c r="AY2197" s="1" t="s">
        <v>38183</v>
      </c>
      <c r="AZ2197" s="1" t="s">
        <v>38184</v>
      </c>
      <c r="BA2197" s="1" t="s">
        <v>37920</v>
      </c>
      <c r="BB2197" s="1" t="s">
        <v>38185</v>
      </c>
      <c r="BC2197" s="1" t="s">
        <v>254</v>
      </c>
      <c r="BD2197" s="1" t="s">
        <v>166</v>
      </c>
      <c r="BE2197" s="1">
        <v>76.4</v>
      </c>
      <c r="BF2197" s="1"/>
      <c r="BG2197" s="1" t="s">
        <v>38186</v>
      </c>
      <c r="BH2197" s="1" t="s">
        <v>38187</v>
      </c>
      <c r="BI2197" s="1"/>
      <c r="BJ2197" s="1"/>
      <c r="BK2197" s="1" t="s">
        <v>342</v>
      </c>
      <c r="BL2197" s="1" t="s">
        <v>170</v>
      </c>
      <c r="BM2197" s="1">
        <v>74.42</v>
      </c>
      <c r="BN2197" s="1"/>
      <c r="BO2197" s="1" t="s">
        <v>38188</v>
      </c>
      <c r="BP2197" s="1" t="s">
        <v>38189</v>
      </c>
      <c r="BQ2197" s="1" t="s">
        <v>4149</v>
      </c>
      <c r="BR2197" s="1" t="s">
        <v>38190</v>
      </c>
      <c r="BS2197" s="1">
        <v>40</v>
      </c>
      <c r="BT2197" s="1" t="s">
        <v>38191</v>
      </c>
      <c r="BU2197" s="1" t="str">
        <f>HYPERLINK("https://nconnect.nicmar.ac.in/storage/profile/ProfilePhoto_P25703027_638754.jpg","Download")</f>
        <v>0</v>
      </c>
      <c r="BV2197" s="3"/>
      <c r="BW2197" s="3"/>
    </row>
    <row r="2198" spans="1:75">
      <c r="A2198" s="1" t="s">
        <v>35074</v>
      </c>
      <c r="B2198" s="1" t="s">
        <v>446</v>
      </c>
      <c r="C2198" s="1" t="s">
        <v>38192</v>
      </c>
      <c r="D2198" s="1" t="s">
        <v>32181</v>
      </c>
      <c r="E2198" s="1" t="s">
        <v>30123</v>
      </c>
      <c r="F2198" s="1" t="s">
        <v>38193</v>
      </c>
      <c r="G2198" s="1" t="s">
        <v>38194</v>
      </c>
      <c r="H2198" s="1" t="s">
        <v>38195</v>
      </c>
      <c r="I2198" s="1" t="s">
        <v>38196</v>
      </c>
      <c r="J2198" s="1">
        <v>9765373493</v>
      </c>
      <c r="K2198" s="1" t="s">
        <v>84</v>
      </c>
      <c r="L2198" s="1" t="s">
        <v>38197</v>
      </c>
      <c r="M2198" s="1" t="s">
        <v>86</v>
      </c>
      <c r="N2198" s="1" t="s">
        <v>38198</v>
      </c>
      <c r="O2198" s="1"/>
      <c r="P2198" s="1" t="s">
        <v>481</v>
      </c>
      <c r="Q2198" s="1" t="s">
        <v>38199</v>
      </c>
      <c r="R2198" s="1" t="s">
        <v>38200</v>
      </c>
      <c r="S2198" s="1">
        <v>9665199540</v>
      </c>
      <c r="T2198" s="1" t="s">
        <v>159</v>
      </c>
      <c r="U2198" s="1" t="s">
        <v>38201</v>
      </c>
      <c r="V2198" s="1">
        <v>9665199540</v>
      </c>
      <c r="W2198" s="1" t="s">
        <v>159</v>
      </c>
      <c r="X2198" s="1" t="s">
        <v>38202</v>
      </c>
      <c r="Y2198" s="1" t="s">
        <v>224</v>
      </c>
      <c r="Z2198" s="1" t="s">
        <v>97</v>
      </c>
      <c r="AA2198" s="1" t="s">
        <v>38202</v>
      </c>
      <c r="AB2198" s="1" t="s">
        <v>224</v>
      </c>
      <c r="AC2198" s="1" t="s">
        <v>97</v>
      </c>
      <c r="AD2198" s="1" t="s">
        <v>98</v>
      </c>
      <c r="AE2198" s="1" t="s">
        <v>98</v>
      </c>
      <c r="AF2198" s="1" t="s">
        <v>38203</v>
      </c>
      <c r="AG2198" s="1" t="s">
        <v>38204</v>
      </c>
      <c r="AH2198" s="1" t="s">
        <v>135</v>
      </c>
      <c r="AI2198" s="1" t="s">
        <v>102</v>
      </c>
      <c r="AJ2198" s="1">
        <v>68.4</v>
      </c>
      <c r="AK2198" s="1"/>
      <c r="AL2198" s="1"/>
      <c r="AM2198" s="1"/>
      <c r="AN2198" s="1" t="s">
        <v>1062</v>
      </c>
      <c r="AO2198" s="1"/>
      <c r="AP2198" s="1"/>
      <c r="AQ2198" s="1"/>
      <c r="AR2198" s="1"/>
      <c r="AS2198" s="1" t="s">
        <v>103</v>
      </c>
      <c r="AT2198" s="1" t="s">
        <v>38205</v>
      </c>
      <c r="AU2198" s="1" t="s">
        <v>342</v>
      </c>
      <c r="AV2198" s="1" t="s">
        <v>438</v>
      </c>
      <c r="AW2198" s="1">
        <v>71.94</v>
      </c>
      <c r="AX2198" s="1"/>
      <c r="AY2198" s="1" t="s">
        <v>366</v>
      </c>
      <c r="AZ2198" s="1" t="s">
        <v>38206</v>
      </c>
      <c r="BA2198" s="1" t="s">
        <v>578</v>
      </c>
      <c r="BB2198" s="1" t="s">
        <v>467</v>
      </c>
      <c r="BC2198" s="1" t="s">
        <v>178</v>
      </c>
      <c r="BD2198" s="1" t="s">
        <v>955</v>
      </c>
      <c r="BE2198" s="1">
        <v>73.7</v>
      </c>
      <c r="BF2198" s="1">
        <v>8.12</v>
      </c>
      <c r="BG2198" s="1"/>
      <c r="BH2198" s="1"/>
      <c r="BI2198" s="1"/>
      <c r="BJ2198" s="1"/>
      <c r="BK2198" s="1"/>
      <c r="BL2198" s="1"/>
      <c r="BM2198" s="1"/>
      <c r="BN2198" s="1"/>
      <c r="BO2198" s="1" t="s">
        <v>38207</v>
      </c>
      <c r="BP2198" s="1" t="s">
        <v>38208</v>
      </c>
      <c r="BQ2198" s="1" t="s">
        <v>7647</v>
      </c>
      <c r="BR2198" s="1" t="s">
        <v>38209</v>
      </c>
      <c r="BS2198" s="1">
        <v>7</v>
      </c>
      <c r="BT2198" s="1"/>
      <c r="BU2198" s="1" t="str">
        <f>HYPERLINK("https://nconnect.nicmar.ac.in/storage/profile/ProfilePhoto_P25703028_281695.jpg","Download")</f>
        <v>0</v>
      </c>
      <c r="BV2198" s="3"/>
      <c r="BW2198" s="3"/>
    </row>
    <row r="2199" spans="1:75">
      <c r="A2199" s="1" t="s">
        <v>35074</v>
      </c>
      <c r="B2199" s="1" t="s">
        <v>446</v>
      </c>
      <c r="C2199" s="1" t="s">
        <v>38210</v>
      </c>
      <c r="D2199" s="1" t="s">
        <v>38211</v>
      </c>
      <c r="E2199" s="1"/>
      <c r="F2199" s="1" t="s">
        <v>34147</v>
      </c>
      <c r="G2199" s="1" t="s">
        <v>38212</v>
      </c>
      <c r="H2199" s="1" t="s">
        <v>38213</v>
      </c>
      <c r="I2199" s="1" t="s">
        <v>38214</v>
      </c>
      <c r="J2199" s="1">
        <v>9508582245</v>
      </c>
      <c r="K2199" s="1" t="s">
        <v>153</v>
      </c>
      <c r="L2199" s="1" t="s">
        <v>38215</v>
      </c>
      <c r="M2199" s="1" t="s">
        <v>86</v>
      </c>
      <c r="N2199" s="1" t="s">
        <v>355</v>
      </c>
      <c r="O2199" s="1"/>
      <c r="P2199" s="1" t="s">
        <v>455</v>
      </c>
      <c r="Q2199" s="1" t="s">
        <v>38216</v>
      </c>
      <c r="R2199" s="1" t="s">
        <v>38217</v>
      </c>
      <c r="S2199" s="1">
        <v>9123435051</v>
      </c>
      <c r="T2199" s="1" t="s">
        <v>926</v>
      </c>
      <c r="U2199" s="1" t="s">
        <v>38218</v>
      </c>
      <c r="V2199" s="1">
        <v>9153580282</v>
      </c>
      <c r="W2199" s="1" t="s">
        <v>161</v>
      </c>
      <c r="X2199" s="1" t="s">
        <v>38219</v>
      </c>
      <c r="Y2199" s="1" t="s">
        <v>38117</v>
      </c>
      <c r="Z2199" s="1" t="s">
        <v>649</v>
      </c>
      <c r="AA2199" s="1" t="s">
        <v>38219</v>
      </c>
      <c r="AB2199" s="1" t="s">
        <v>38117</v>
      </c>
      <c r="AC2199" s="1" t="s">
        <v>649</v>
      </c>
      <c r="AD2199" s="1">
        <v>0.0</v>
      </c>
      <c r="AE2199" s="1" t="s">
        <v>98</v>
      </c>
      <c r="AF2199" s="1" t="s">
        <v>38220</v>
      </c>
      <c r="AG2199" s="1" t="s">
        <v>678</v>
      </c>
      <c r="AH2199" s="1" t="s">
        <v>1111</v>
      </c>
      <c r="AI2199" s="1" t="s">
        <v>573</v>
      </c>
      <c r="AJ2199" s="1">
        <v>67</v>
      </c>
      <c r="AK2199" s="1">
        <v>7.05</v>
      </c>
      <c r="AL2199" s="1" t="s">
        <v>38221</v>
      </c>
      <c r="AM2199" s="1" t="s">
        <v>38222</v>
      </c>
      <c r="AN2199" s="1"/>
      <c r="AO2199" s="1" t="s">
        <v>286</v>
      </c>
      <c r="AP2199" s="1" t="s">
        <v>109</v>
      </c>
      <c r="AQ2199" s="1">
        <v>72</v>
      </c>
      <c r="AR2199" s="1">
        <v>7.58</v>
      </c>
      <c r="AS2199" s="1"/>
      <c r="AT2199" s="1"/>
      <c r="AU2199" s="1"/>
      <c r="AV2199" s="1"/>
      <c r="AW2199" s="1"/>
      <c r="AX2199" s="1"/>
      <c r="AY2199" s="1" t="s">
        <v>38223</v>
      </c>
      <c r="AZ2199" s="1" t="s">
        <v>38224</v>
      </c>
      <c r="BA2199" s="1"/>
      <c r="BB2199" s="1"/>
      <c r="BC2199" s="1" t="s">
        <v>468</v>
      </c>
      <c r="BD2199" s="1" t="s">
        <v>1267</v>
      </c>
      <c r="BE2199" s="1">
        <v>72.5</v>
      </c>
      <c r="BF2199" s="1"/>
      <c r="BG2199" s="1"/>
      <c r="BH2199" s="1"/>
      <c r="BI2199" s="1"/>
      <c r="BJ2199" s="1"/>
      <c r="BK2199" s="1"/>
      <c r="BL2199" s="1"/>
      <c r="BM2199" s="1"/>
      <c r="BN2199" s="1"/>
      <c r="BO2199" s="1" t="s">
        <v>1890</v>
      </c>
      <c r="BP2199" s="1"/>
      <c r="BQ2199" s="1"/>
      <c r="BR2199" s="1"/>
      <c r="BS2199" s="1"/>
      <c r="BT2199" s="1"/>
      <c r="BU2199" s="1" t="str">
        <f>HYPERLINK("https://nconnect.nicmar.ac.in/storage/profile/ProfilePhoto_P25703029_945782.jpg","Download")</f>
        <v>0</v>
      </c>
      <c r="BV2199" s="3"/>
      <c r="BW2199" s="3"/>
    </row>
    <row r="2200" spans="1:75">
      <c r="A2200" s="1" t="s">
        <v>35074</v>
      </c>
      <c r="B2200" s="1" t="s">
        <v>446</v>
      </c>
      <c r="C2200" s="1" t="s">
        <v>38225</v>
      </c>
      <c r="D2200" s="1" t="s">
        <v>38226</v>
      </c>
      <c r="E2200" s="1"/>
      <c r="F2200" s="1" t="s">
        <v>6030</v>
      </c>
      <c r="G2200" s="1" t="s">
        <v>38227</v>
      </c>
      <c r="H2200" s="1" t="s">
        <v>38228</v>
      </c>
      <c r="I2200" s="1" t="s">
        <v>38229</v>
      </c>
      <c r="J2200" s="1">
        <v>9146039824</v>
      </c>
      <c r="K2200" s="1" t="s">
        <v>153</v>
      </c>
      <c r="L2200" s="1" t="s">
        <v>38230</v>
      </c>
      <c r="M2200" s="1" t="s">
        <v>86</v>
      </c>
      <c r="N2200" s="1" t="s">
        <v>13516</v>
      </c>
      <c r="O2200" s="1"/>
      <c r="P2200" s="1" t="s">
        <v>481</v>
      </c>
      <c r="Q2200" s="1" t="s">
        <v>38231</v>
      </c>
      <c r="R2200" s="1" t="s">
        <v>38232</v>
      </c>
      <c r="S2200" s="1">
        <v>7028628022</v>
      </c>
      <c r="T2200" s="1" t="s">
        <v>38233</v>
      </c>
      <c r="U2200" s="1" t="s">
        <v>38234</v>
      </c>
      <c r="V2200" s="1">
        <v>9226752018</v>
      </c>
      <c r="W2200" s="1" t="s">
        <v>161</v>
      </c>
      <c r="X2200" s="1" t="s">
        <v>38235</v>
      </c>
      <c r="Y2200" s="1" t="s">
        <v>196</v>
      </c>
      <c r="Z2200" s="1" t="s">
        <v>97</v>
      </c>
      <c r="AA2200" s="1" t="s">
        <v>38235</v>
      </c>
      <c r="AB2200" s="1" t="s">
        <v>196</v>
      </c>
      <c r="AC2200" s="1" t="s">
        <v>97</v>
      </c>
      <c r="AD2200" s="1">
        <v>8.73</v>
      </c>
      <c r="AE2200" s="1" t="s">
        <v>98</v>
      </c>
      <c r="AF2200" s="1" t="s">
        <v>38236</v>
      </c>
      <c r="AG2200" s="1" t="s">
        <v>312</v>
      </c>
      <c r="AH2200" s="1" t="s">
        <v>284</v>
      </c>
      <c r="AI2200" s="1" t="s">
        <v>388</v>
      </c>
      <c r="AJ2200" s="1">
        <v>74.1</v>
      </c>
      <c r="AK2200" s="1">
        <v>7.8</v>
      </c>
      <c r="AL2200" s="1" t="s">
        <v>38236</v>
      </c>
      <c r="AM2200" s="1" t="s">
        <v>312</v>
      </c>
      <c r="AN2200" s="1" t="s">
        <v>35580</v>
      </c>
      <c r="AO2200" s="1" t="s">
        <v>286</v>
      </c>
      <c r="AP2200" s="1" t="s">
        <v>313</v>
      </c>
      <c r="AQ2200" s="1">
        <v>80</v>
      </c>
      <c r="AR2200" s="1"/>
      <c r="AS2200" s="1"/>
      <c r="AT2200" s="1"/>
      <c r="AU2200" s="1"/>
      <c r="AV2200" s="1"/>
      <c r="AW2200" s="1"/>
      <c r="AX2200" s="1"/>
      <c r="AY2200" s="1" t="s">
        <v>366</v>
      </c>
      <c r="AZ2200" s="1" t="s">
        <v>38237</v>
      </c>
      <c r="BA2200" s="1" t="s">
        <v>35549</v>
      </c>
      <c r="BB2200" s="1" t="s">
        <v>35615</v>
      </c>
      <c r="BC2200" s="1" t="s">
        <v>315</v>
      </c>
      <c r="BD2200" s="1" t="s">
        <v>1802</v>
      </c>
      <c r="BE2200" s="1">
        <v>82.96</v>
      </c>
      <c r="BF2200" s="1">
        <v>8.86</v>
      </c>
      <c r="BG2200" s="1"/>
      <c r="BH2200" s="1"/>
      <c r="BI2200" s="1"/>
      <c r="BJ2200" s="1"/>
      <c r="BK2200" s="1"/>
      <c r="BL2200" s="1"/>
      <c r="BM2200" s="1"/>
      <c r="BN2200" s="1"/>
      <c r="BO2200" s="1" t="s">
        <v>3308</v>
      </c>
      <c r="BP2200" s="1"/>
      <c r="BQ2200" s="1"/>
      <c r="BR2200" s="1" t="s">
        <v>38238</v>
      </c>
      <c r="BS2200" s="1">
        <v>23</v>
      </c>
      <c r="BT2200" s="1" t="s">
        <v>38239</v>
      </c>
      <c r="BU2200" s="1" t="str">
        <f>HYPERLINK("https://nconnect.nicmar.ac.in/storage/profile/ProfilePhoto_P25703030_982536.jpg","Download")</f>
        <v>0</v>
      </c>
      <c r="BV2200" s="3"/>
      <c r="BW2200" s="3"/>
    </row>
    <row r="2201" spans="1:75">
      <c r="A2201" s="1" t="s">
        <v>35074</v>
      </c>
      <c r="B2201" s="1" t="s">
        <v>446</v>
      </c>
      <c r="C2201" s="1" t="s">
        <v>38240</v>
      </c>
      <c r="D2201" s="1" t="s">
        <v>26471</v>
      </c>
      <c r="E2201" s="1"/>
      <c r="F2201" s="1" t="s">
        <v>116</v>
      </c>
      <c r="G2201" s="1" t="s">
        <v>38241</v>
      </c>
      <c r="H2201" s="1" t="s">
        <v>38242</v>
      </c>
      <c r="I2201" s="1" t="s">
        <v>38243</v>
      </c>
      <c r="J2201" s="1">
        <v>8547292749</v>
      </c>
      <c r="K2201" s="1" t="s">
        <v>153</v>
      </c>
      <c r="L2201" s="1" t="s">
        <v>38244</v>
      </c>
      <c r="M2201" s="1" t="s">
        <v>86</v>
      </c>
      <c r="N2201" s="1" t="s">
        <v>3147</v>
      </c>
      <c r="O2201" s="1"/>
      <c r="P2201" s="1" t="s">
        <v>507</v>
      </c>
      <c r="Q2201" s="1" t="s">
        <v>38245</v>
      </c>
      <c r="R2201" s="1" t="s">
        <v>38246</v>
      </c>
      <c r="S2201" s="1">
        <v>9495155695</v>
      </c>
      <c r="T2201" s="1" t="s">
        <v>125</v>
      </c>
      <c r="U2201" s="1" t="s">
        <v>38247</v>
      </c>
      <c r="V2201" s="1">
        <v>9446842375</v>
      </c>
      <c r="W2201" s="1" t="s">
        <v>125</v>
      </c>
      <c r="X2201" s="1" t="s">
        <v>38248</v>
      </c>
      <c r="Y2201" s="1" t="s">
        <v>1283</v>
      </c>
      <c r="Z2201" s="1" t="s">
        <v>130</v>
      </c>
      <c r="AA2201" s="1" t="s">
        <v>38248</v>
      </c>
      <c r="AB2201" s="1" t="s">
        <v>1283</v>
      </c>
      <c r="AC2201" s="1" t="s">
        <v>130</v>
      </c>
      <c r="AD2201" s="1">
        <v>9.1</v>
      </c>
      <c r="AE2201" s="1" t="s">
        <v>98</v>
      </c>
      <c r="AF2201" s="1" t="s">
        <v>38249</v>
      </c>
      <c r="AG2201" s="1" t="s">
        <v>38250</v>
      </c>
      <c r="AH2201" s="1" t="s">
        <v>167</v>
      </c>
      <c r="AI2201" s="1" t="s">
        <v>200</v>
      </c>
      <c r="AJ2201" s="1">
        <v>89.3</v>
      </c>
      <c r="AK2201" s="1">
        <v>9.4</v>
      </c>
      <c r="AL2201" s="1" t="s">
        <v>38249</v>
      </c>
      <c r="AM2201" s="1" t="s">
        <v>38250</v>
      </c>
      <c r="AN2201" s="1" t="s">
        <v>35580</v>
      </c>
      <c r="AO2201" s="1" t="s">
        <v>106</v>
      </c>
      <c r="AP2201" s="1" t="s">
        <v>414</v>
      </c>
      <c r="AQ2201" s="1">
        <v>93.8</v>
      </c>
      <c r="AR2201" s="1">
        <v>0</v>
      </c>
      <c r="AS2201" s="1"/>
      <c r="AT2201" s="1"/>
      <c r="AU2201" s="1"/>
      <c r="AV2201" s="1"/>
      <c r="AW2201" s="1"/>
      <c r="AX2201" s="1"/>
      <c r="AY2201" s="1" t="s">
        <v>35201</v>
      </c>
      <c r="AZ2201" s="1" t="s">
        <v>38251</v>
      </c>
      <c r="BA2201" s="1" t="s">
        <v>35582</v>
      </c>
      <c r="BB2201" s="1" t="s">
        <v>35583</v>
      </c>
      <c r="BC2201" s="1" t="s">
        <v>549</v>
      </c>
      <c r="BD2201" s="1" t="s">
        <v>1089</v>
      </c>
      <c r="BE2201" s="1">
        <v>70.76</v>
      </c>
      <c r="BF2201" s="1">
        <v>7.07</v>
      </c>
      <c r="BG2201" s="1"/>
      <c r="BH2201" s="1"/>
      <c r="BI2201" s="1"/>
      <c r="BJ2201" s="1"/>
      <c r="BK2201" s="1"/>
      <c r="BL2201" s="1"/>
      <c r="BM2201" s="1"/>
      <c r="BN2201" s="1"/>
      <c r="BO2201" s="1" t="s">
        <v>38252</v>
      </c>
      <c r="BP2201" s="1"/>
      <c r="BQ2201" s="1"/>
      <c r="BR2201" s="1" t="s">
        <v>38253</v>
      </c>
      <c r="BS2201" s="1">
        <v>9</v>
      </c>
      <c r="BT2201" s="1"/>
      <c r="BU2201" s="1" t="str">
        <f>HYPERLINK("https://nconnect.nicmar.ac.in/storage/profile/ProfilePhoto_P25703031_654879.jpg","Download")</f>
        <v>0</v>
      </c>
      <c r="BV2201" s="3"/>
      <c r="BW2201" s="3"/>
    </row>
    <row r="2202" spans="1:75">
      <c r="A2202" s="1" t="s">
        <v>35074</v>
      </c>
      <c r="B2202" s="1" t="s">
        <v>446</v>
      </c>
      <c r="C2202" s="1" t="s">
        <v>38254</v>
      </c>
      <c r="D2202" s="1" t="s">
        <v>761</v>
      </c>
      <c r="E2202" s="1" t="s">
        <v>5940</v>
      </c>
      <c r="F2202" s="1" t="s">
        <v>38255</v>
      </c>
      <c r="G2202" s="1" t="s">
        <v>38256</v>
      </c>
      <c r="H2202" s="1" t="s">
        <v>38257</v>
      </c>
      <c r="I2202" s="1" t="s">
        <v>38258</v>
      </c>
      <c r="J2202" s="1">
        <v>9969358907</v>
      </c>
      <c r="K2202" s="1" t="s">
        <v>84</v>
      </c>
      <c r="L2202" s="1" t="s">
        <v>38259</v>
      </c>
      <c r="M2202" s="1" t="s">
        <v>86</v>
      </c>
      <c r="N2202" s="1" t="s">
        <v>903</v>
      </c>
      <c r="O2202" s="1"/>
      <c r="P2202" s="1" t="s">
        <v>455</v>
      </c>
      <c r="Q2202" s="1" t="s">
        <v>38260</v>
      </c>
      <c r="R2202" s="1" t="s">
        <v>5940</v>
      </c>
      <c r="S2202" s="1">
        <v>9930019435</v>
      </c>
      <c r="T2202" s="1" t="s">
        <v>645</v>
      </c>
      <c r="U2202" s="1" t="s">
        <v>7025</v>
      </c>
      <c r="V2202" s="1">
        <v>7045841499</v>
      </c>
      <c r="W2202" s="1" t="s">
        <v>645</v>
      </c>
      <c r="X2202" s="1" t="s">
        <v>38261</v>
      </c>
      <c r="Y2202" s="1" t="s">
        <v>1779</v>
      </c>
      <c r="Z2202" s="1" t="s">
        <v>97</v>
      </c>
      <c r="AA2202" s="1" t="s">
        <v>38261</v>
      </c>
      <c r="AB2202" s="1" t="s">
        <v>1779</v>
      </c>
      <c r="AC2202" s="1" t="s">
        <v>97</v>
      </c>
      <c r="AD2202" s="1">
        <v>6.85</v>
      </c>
      <c r="AE2202" s="1" t="s">
        <v>98</v>
      </c>
      <c r="AF2202" s="1" t="s">
        <v>38262</v>
      </c>
      <c r="AG2202" s="1" t="s">
        <v>38263</v>
      </c>
      <c r="AH2202" s="1" t="s">
        <v>106</v>
      </c>
      <c r="AI2202" s="1" t="s">
        <v>438</v>
      </c>
      <c r="AJ2202" s="1">
        <v>66</v>
      </c>
      <c r="AK2202" s="1"/>
      <c r="AL2202" s="1" t="s">
        <v>38264</v>
      </c>
      <c r="AM2202" s="1" t="s">
        <v>629</v>
      </c>
      <c r="AN2202" s="1"/>
      <c r="AO2202" s="1" t="s">
        <v>178</v>
      </c>
      <c r="AP2202" s="1" t="s">
        <v>847</v>
      </c>
      <c r="AQ2202" s="1">
        <v>88.17</v>
      </c>
      <c r="AR2202" s="1"/>
      <c r="AS2202" s="1"/>
      <c r="AT2202" s="1"/>
      <c r="AU2202" s="1"/>
      <c r="AV2202" s="1"/>
      <c r="AW2202" s="1"/>
      <c r="AX2202" s="1"/>
      <c r="AY2202" s="1" t="s">
        <v>258</v>
      </c>
      <c r="AZ2202" s="1" t="s">
        <v>38265</v>
      </c>
      <c r="BA2202" s="1"/>
      <c r="BB2202" s="1"/>
      <c r="BC2202" s="1" t="s">
        <v>847</v>
      </c>
      <c r="BD2202" s="1" t="s">
        <v>418</v>
      </c>
      <c r="BE2202" s="1">
        <v>52.39</v>
      </c>
      <c r="BF2202" s="1"/>
      <c r="BG2202" s="1"/>
      <c r="BH2202" s="1"/>
      <c r="BI2202" s="1"/>
      <c r="BJ2202" s="1"/>
      <c r="BK2202" s="1"/>
      <c r="BL2202" s="1"/>
      <c r="BM2202" s="1"/>
      <c r="BN2202" s="1"/>
      <c r="BO2202" s="1" t="s">
        <v>38266</v>
      </c>
      <c r="BP2202" s="1"/>
      <c r="BQ2202" s="1"/>
      <c r="BR2202" s="1" t="s">
        <v>38267</v>
      </c>
      <c r="BS2202" s="1">
        <v>7</v>
      </c>
      <c r="BT2202" s="1"/>
      <c r="BU2202" s="1" t="str">
        <f>HYPERLINK("https://nconnect.nicmar.ac.in/storage/profile/ProfilePhoto_P25703032_493712.jpg","Download")</f>
        <v>0</v>
      </c>
      <c r="BV2202" s="3"/>
      <c r="BW2202" s="3"/>
    </row>
    <row r="2203" spans="1:75">
      <c r="A2203" s="1" t="s">
        <v>35074</v>
      </c>
      <c r="B2203" s="1" t="s">
        <v>446</v>
      </c>
      <c r="C2203" s="1" t="s">
        <v>38268</v>
      </c>
      <c r="D2203" s="1" t="s">
        <v>38269</v>
      </c>
      <c r="E2203" s="1" t="s">
        <v>9151</v>
      </c>
      <c r="F2203" s="1" t="s">
        <v>13015</v>
      </c>
      <c r="G2203" s="1" t="s">
        <v>38270</v>
      </c>
      <c r="H2203" s="1" t="s">
        <v>38271</v>
      </c>
      <c r="I2203" s="1" t="s">
        <v>38272</v>
      </c>
      <c r="J2203" s="1">
        <v>9409411468</v>
      </c>
      <c r="K2203" s="1" t="s">
        <v>84</v>
      </c>
      <c r="L2203" s="1" t="s">
        <v>38273</v>
      </c>
      <c r="M2203" s="1" t="s">
        <v>86</v>
      </c>
      <c r="N2203" s="1" t="s">
        <v>38274</v>
      </c>
      <c r="O2203" s="1"/>
      <c r="P2203" s="1" t="s">
        <v>455</v>
      </c>
      <c r="Q2203" s="1" t="s">
        <v>38275</v>
      </c>
      <c r="R2203" s="1" t="s">
        <v>38276</v>
      </c>
      <c r="S2203" s="1">
        <v>9824298968</v>
      </c>
      <c r="T2203" s="1" t="s">
        <v>276</v>
      </c>
      <c r="U2203" s="1" t="s">
        <v>38277</v>
      </c>
      <c r="V2203" s="1">
        <v>9924514924</v>
      </c>
      <c r="W2203" s="1" t="s">
        <v>541</v>
      </c>
      <c r="X2203" s="1" t="s">
        <v>38278</v>
      </c>
      <c r="Y2203" s="1" t="s">
        <v>33677</v>
      </c>
      <c r="Z2203" s="1" t="s">
        <v>676</v>
      </c>
      <c r="AA2203" s="1" t="s">
        <v>38278</v>
      </c>
      <c r="AB2203" s="1" t="s">
        <v>33677</v>
      </c>
      <c r="AC2203" s="1" t="s">
        <v>676</v>
      </c>
      <c r="AD2203" s="1">
        <v>7.9</v>
      </c>
      <c r="AE2203" s="1" t="s">
        <v>98</v>
      </c>
      <c r="AF2203" s="1" t="s">
        <v>12533</v>
      </c>
      <c r="AG2203" s="1" t="s">
        <v>10192</v>
      </c>
      <c r="AH2203" s="1" t="s">
        <v>1111</v>
      </c>
      <c r="AI2203" s="1" t="s">
        <v>200</v>
      </c>
      <c r="AJ2203" s="1">
        <v>65.5</v>
      </c>
      <c r="AK2203" s="1">
        <v>0</v>
      </c>
      <c r="AL2203" s="1" t="s">
        <v>12533</v>
      </c>
      <c r="AM2203" s="1" t="s">
        <v>10192</v>
      </c>
      <c r="AN2203" s="1"/>
      <c r="AO2203" s="1" t="s">
        <v>286</v>
      </c>
      <c r="AP2203" s="1" t="s">
        <v>414</v>
      </c>
      <c r="AQ2203" s="1">
        <v>61.54</v>
      </c>
      <c r="AR2203" s="1">
        <v>0</v>
      </c>
      <c r="AS2203" s="1"/>
      <c r="AT2203" s="1"/>
      <c r="AU2203" s="1"/>
      <c r="AV2203" s="1"/>
      <c r="AW2203" s="1"/>
      <c r="AX2203" s="1"/>
      <c r="AY2203" s="1" t="s">
        <v>38279</v>
      </c>
      <c r="AZ2203" s="1" t="s">
        <v>38280</v>
      </c>
      <c r="BA2203" s="1"/>
      <c r="BB2203" s="1"/>
      <c r="BC2203" s="1" t="s">
        <v>315</v>
      </c>
      <c r="BD2203" s="1" t="s">
        <v>955</v>
      </c>
      <c r="BE2203" s="1">
        <v>59.75</v>
      </c>
      <c r="BF2203" s="1">
        <v>2.39</v>
      </c>
      <c r="BG2203" s="1"/>
      <c r="BH2203" s="1"/>
      <c r="BI2203" s="1"/>
      <c r="BJ2203" s="1"/>
      <c r="BK2203" s="1"/>
      <c r="BL2203" s="1"/>
      <c r="BM2203" s="1"/>
      <c r="BN2203" s="1"/>
      <c r="BO2203" s="1" t="s">
        <v>8337</v>
      </c>
      <c r="BP2203" s="1" t="s">
        <v>38281</v>
      </c>
      <c r="BQ2203" s="1" t="s">
        <v>7478</v>
      </c>
      <c r="BR2203" s="1" t="s">
        <v>38282</v>
      </c>
      <c r="BS2203" s="1">
        <v>16</v>
      </c>
      <c r="BT2203" s="1"/>
      <c r="BU2203" s="1" t="str">
        <f>HYPERLINK("https://nconnect.nicmar.ac.in/storage/profile/ProfilePhoto_P25703033_265831.jpg","Download")</f>
        <v>0</v>
      </c>
      <c r="BV2203" s="3"/>
      <c r="BW2203" s="3"/>
    </row>
    <row r="2204" spans="1:75">
      <c r="A2204" s="1" t="s">
        <v>35074</v>
      </c>
      <c r="B2204" s="1" t="s">
        <v>446</v>
      </c>
      <c r="C2204" s="1" t="s">
        <v>38283</v>
      </c>
      <c r="D2204" s="1" t="s">
        <v>38284</v>
      </c>
      <c r="E2204" s="1" t="s">
        <v>898</v>
      </c>
      <c r="F2204" s="1" t="s">
        <v>38285</v>
      </c>
      <c r="G2204" s="1" t="s">
        <v>38286</v>
      </c>
      <c r="H2204" s="1" t="s">
        <v>38287</v>
      </c>
      <c r="I2204" s="1" t="s">
        <v>38288</v>
      </c>
      <c r="J2204" s="1">
        <v>8605091971</v>
      </c>
      <c r="K2204" s="1" t="s">
        <v>84</v>
      </c>
      <c r="L2204" s="1" t="s">
        <v>38289</v>
      </c>
      <c r="M2204" s="1" t="s">
        <v>86</v>
      </c>
      <c r="N2204" s="1" t="s">
        <v>38290</v>
      </c>
      <c r="O2204" s="1"/>
      <c r="P2204" s="1" t="s">
        <v>507</v>
      </c>
      <c r="Q2204" s="1" t="s">
        <v>38291</v>
      </c>
      <c r="R2204" s="1" t="s">
        <v>898</v>
      </c>
      <c r="S2204" s="1">
        <v>9420739091</v>
      </c>
      <c r="T2204" s="1" t="s">
        <v>92</v>
      </c>
      <c r="U2204" s="1" t="s">
        <v>38292</v>
      </c>
      <c r="V2204" s="1">
        <v>9404740558</v>
      </c>
      <c r="W2204" s="1" t="s">
        <v>161</v>
      </c>
      <c r="X2204" s="1" t="s">
        <v>38293</v>
      </c>
      <c r="Y2204" s="1" t="s">
        <v>196</v>
      </c>
      <c r="Z2204" s="1" t="s">
        <v>97</v>
      </c>
      <c r="AA2204" s="1" t="s">
        <v>38294</v>
      </c>
      <c r="AB2204" s="1" t="s">
        <v>6128</v>
      </c>
      <c r="AC2204" s="1" t="s">
        <v>97</v>
      </c>
      <c r="AD2204" s="1">
        <v>6.54</v>
      </c>
      <c r="AE2204" s="1" t="s">
        <v>98</v>
      </c>
      <c r="AF2204" s="1" t="s">
        <v>38295</v>
      </c>
      <c r="AG2204" s="1" t="s">
        <v>165</v>
      </c>
      <c r="AH2204" s="1" t="s">
        <v>167</v>
      </c>
      <c r="AI2204" s="1" t="s">
        <v>170</v>
      </c>
      <c r="AJ2204" s="1">
        <v>73.8</v>
      </c>
      <c r="AK2204" s="1"/>
      <c r="AL2204" s="1" t="s">
        <v>38296</v>
      </c>
      <c r="AM2204" s="1" t="s">
        <v>996</v>
      </c>
      <c r="AN2204" s="1" t="s">
        <v>465</v>
      </c>
      <c r="AO2204" s="1" t="s">
        <v>106</v>
      </c>
      <c r="AP2204" s="1" t="s">
        <v>438</v>
      </c>
      <c r="AQ2204" s="1">
        <v>57.08</v>
      </c>
      <c r="AR2204" s="1"/>
      <c r="AS2204" s="1"/>
      <c r="AT2204" s="1"/>
      <c r="AU2204" s="1"/>
      <c r="AV2204" s="1"/>
      <c r="AW2204" s="1"/>
      <c r="AX2204" s="1"/>
      <c r="AY2204" s="1" t="s">
        <v>3174</v>
      </c>
      <c r="AZ2204" s="1" t="s">
        <v>38297</v>
      </c>
      <c r="BA2204" s="1" t="s">
        <v>466</v>
      </c>
      <c r="BB2204" s="1" t="s">
        <v>467</v>
      </c>
      <c r="BC2204" s="1" t="s">
        <v>206</v>
      </c>
      <c r="BD2204" s="1" t="s">
        <v>234</v>
      </c>
      <c r="BE2204" s="1">
        <v>71.73</v>
      </c>
      <c r="BF2204" s="1">
        <v>8.06</v>
      </c>
      <c r="BG2204" s="1"/>
      <c r="BH2204" s="1"/>
      <c r="BI2204" s="1"/>
      <c r="BJ2204" s="1"/>
      <c r="BK2204" s="1"/>
      <c r="BL2204" s="1"/>
      <c r="BM2204" s="1"/>
      <c r="BN2204" s="1"/>
      <c r="BO2204" s="1" t="s">
        <v>38298</v>
      </c>
      <c r="BP2204" s="1"/>
      <c r="BQ2204" s="1"/>
      <c r="BR2204" s="1" t="s">
        <v>38299</v>
      </c>
      <c r="BS2204" s="1">
        <v>69</v>
      </c>
      <c r="BT2204" s="1"/>
      <c r="BU2204" s="1" t="str">
        <f>HYPERLINK("https://nconnect.nicmar.ac.in/storage/profile/ProfilePhoto_P25703034_743562.jpg","Download")</f>
        <v>0</v>
      </c>
      <c r="BV2204" s="3"/>
      <c r="BW2204" s="3"/>
    </row>
    <row r="2205" spans="1:75">
      <c r="A2205" s="1" t="s">
        <v>35074</v>
      </c>
      <c r="B2205" s="1" t="s">
        <v>446</v>
      </c>
      <c r="C2205" s="1" t="s">
        <v>38300</v>
      </c>
      <c r="D2205" s="1" t="s">
        <v>13616</v>
      </c>
      <c r="E2205" s="1" t="s">
        <v>1021</v>
      </c>
      <c r="F2205" s="1" t="s">
        <v>38301</v>
      </c>
      <c r="G2205" s="1" t="s">
        <v>38302</v>
      </c>
      <c r="H2205" s="1" t="s">
        <v>38303</v>
      </c>
      <c r="I2205" s="1" t="s">
        <v>38304</v>
      </c>
      <c r="J2205" s="1">
        <v>7264004459</v>
      </c>
      <c r="K2205" s="1" t="s">
        <v>153</v>
      </c>
      <c r="L2205" s="1" t="s">
        <v>20833</v>
      </c>
      <c r="M2205" s="1" t="s">
        <v>86</v>
      </c>
      <c r="N2205" s="1" t="s">
        <v>1163</v>
      </c>
      <c r="O2205" s="1" t="s">
        <v>38305</v>
      </c>
      <c r="P2205" s="1" t="s">
        <v>507</v>
      </c>
      <c r="Q2205" s="1" t="s">
        <v>38306</v>
      </c>
      <c r="R2205" s="1" t="s">
        <v>38307</v>
      </c>
      <c r="S2205" s="1">
        <v>9764004459</v>
      </c>
      <c r="T2205" s="1" t="s">
        <v>839</v>
      </c>
      <c r="U2205" s="1" t="s">
        <v>38308</v>
      </c>
      <c r="V2205" s="1">
        <v>9764004495</v>
      </c>
      <c r="W2205" s="1" t="s">
        <v>38309</v>
      </c>
      <c r="X2205" s="1" t="s">
        <v>38310</v>
      </c>
      <c r="Y2205" s="1" t="s">
        <v>196</v>
      </c>
      <c r="Z2205" s="1" t="s">
        <v>97</v>
      </c>
      <c r="AA2205" s="1" t="s">
        <v>38310</v>
      </c>
      <c r="AB2205" s="1" t="s">
        <v>196</v>
      </c>
      <c r="AC2205" s="1" t="s">
        <v>97</v>
      </c>
      <c r="AD2205" s="1">
        <v>0.0</v>
      </c>
      <c r="AE2205" s="1" t="s">
        <v>98</v>
      </c>
      <c r="AF2205" s="1" t="s">
        <v>38311</v>
      </c>
      <c r="AG2205" s="1" t="s">
        <v>1968</v>
      </c>
      <c r="AH2205" s="1" t="s">
        <v>171</v>
      </c>
      <c r="AI2205" s="1" t="s">
        <v>414</v>
      </c>
      <c r="AJ2205" s="1">
        <v>84.8</v>
      </c>
      <c r="AK2205" s="1">
        <v>0</v>
      </c>
      <c r="AL2205" s="1" t="s">
        <v>38312</v>
      </c>
      <c r="AM2205" s="1" t="s">
        <v>165</v>
      </c>
      <c r="AN2205" s="1"/>
      <c r="AO2205" s="1" t="s">
        <v>178</v>
      </c>
      <c r="AP2205" s="1" t="s">
        <v>1192</v>
      </c>
      <c r="AQ2205" s="1">
        <v>87</v>
      </c>
      <c r="AR2205" s="1">
        <v>0</v>
      </c>
      <c r="AS2205" s="1"/>
      <c r="AT2205" s="1"/>
      <c r="AU2205" s="1"/>
      <c r="AV2205" s="1"/>
      <c r="AW2205" s="1"/>
      <c r="AX2205" s="1"/>
      <c r="AY2205" s="1" t="s">
        <v>38313</v>
      </c>
      <c r="AZ2205" s="1" t="s">
        <v>38314</v>
      </c>
      <c r="BA2205" s="1"/>
      <c r="BB2205" s="1"/>
      <c r="BC2205" s="1" t="s">
        <v>441</v>
      </c>
      <c r="BD2205" s="1" t="s">
        <v>207</v>
      </c>
      <c r="BE2205" s="1">
        <v>70.12</v>
      </c>
      <c r="BF2205" s="1">
        <v>8.25</v>
      </c>
      <c r="BG2205" s="1"/>
      <c r="BH2205" s="1"/>
      <c r="BI2205" s="1"/>
      <c r="BJ2205" s="1"/>
      <c r="BK2205" s="1"/>
      <c r="BL2205" s="1"/>
      <c r="BM2205" s="1"/>
      <c r="BN2205" s="1"/>
      <c r="BO2205" s="1" t="s">
        <v>1890</v>
      </c>
      <c r="BP2205" s="1" t="s">
        <v>38315</v>
      </c>
      <c r="BQ2205" s="1" t="s">
        <v>1043</v>
      </c>
      <c r="BR2205" s="1"/>
      <c r="BS2205" s="1"/>
      <c r="BT2205" s="1"/>
      <c r="BU2205" s="1" t="str">
        <f>HYPERLINK("https://nconnect.nicmar.ac.in/storage/profile/ProfilePhoto_P25703035_583967.jpg","Download")</f>
        <v>0</v>
      </c>
      <c r="BV2205" s="3"/>
      <c r="BW2205" s="3"/>
    </row>
    <row r="2206" spans="1:75">
      <c r="A2206" s="1" t="s">
        <v>35074</v>
      </c>
      <c r="B2206" s="1" t="s">
        <v>446</v>
      </c>
      <c r="C2206" s="1" t="s">
        <v>38316</v>
      </c>
      <c r="D2206" s="1" t="s">
        <v>7798</v>
      </c>
      <c r="E2206" s="1" t="s">
        <v>1096</v>
      </c>
      <c r="F2206" s="1" t="s">
        <v>1320</v>
      </c>
      <c r="G2206" s="1" t="s">
        <v>38317</v>
      </c>
      <c r="H2206" s="1" t="s">
        <v>38318</v>
      </c>
      <c r="I2206" s="1" t="s">
        <v>38319</v>
      </c>
      <c r="J2206" s="1">
        <v>9518528290</v>
      </c>
      <c r="K2206" s="1" t="s">
        <v>84</v>
      </c>
      <c r="L2206" s="1" t="s">
        <v>38320</v>
      </c>
      <c r="M2206" s="1" t="s">
        <v>86</v>
      </c>
      <c r="N2206" s="1" t="s">
        <v>2969</v>
      </c>
      <c r="O2206" s="1" t="s">
        <v>38321</v>
      </c>
      <c r="P2206" s="1" t="s">
        <v>122</v>
      </c>
      <c r="Q2206" s="1" t="s">
        <v>38322</v>
      </c>
      <c r="R2206" s="1" t="s">
        <v>6000</v>
      </c>
      <c r="S2206" s="1">
        <v>8888860058</v>
      </c>
      <c r="T2206" s="1" t="s">
        <v>645</v>
      </c>
      <c r="U2206" s="1" t="s">
        <v>38323</v>
      </c>
      <c r="V2206" s="1">
        <v>9284069189</v>
      </c>
      <c r="W2206" s="1" t="s">
        <v>278</v>
      </c>
      <c r="X2206" s="1" t="s">
        <v>38324</v>
      </c>
      <c r="Y2206" s="1" t="s">
        <v>3282</v>
      </c>
      <c r="Z2206" s="1" t="s">
        <v>1234</v>
      </c>
      <c r="AA2206" s="1" t="s">
        <v>38324</v>
      </c>
      <c r="AB2206" s="1" t="s">
        <v>3282</v>
      </c>
      <c r="AC2206" s="1" t="s">
        <v>1234</v>
      </c>
      <c r="AD2206" s="1">
        <v>6.75</v>
      </c>
      <c r="AE2206" s="1" t="s">
        <v>98</v>
      </c>
      <c r="AF2206" s="1" t="s">
        <v>38325</v>
      </c>
      <c r="AG2206" s="1" t="s">
        <v>38326</v>
      </c>
      <c r="AH2206" s="1" t="s">
        <v>3770</v>
      </c>
      <c r="AI2206" s="1" t="s">
        <v>1262</v>
      </c>
      <c r="AJ2206" s="1">
        <v>70.3</v>
      </c>
      <c r="AK2206" s="1">
        <v>7.4</v>
      </c>
      <c r="AL2206" s="1" t="s">
        <v>38327</v>
      </c>
      <c r="AM2206" s="1" t="s">
        <v>38328</v>
      </c>
      <c r="AN2206" s="1" t="s">
        <v>465</v>
      </c>
      <c r="AO2206" s="1" t="s">
        <v>1262</v>
      </c>
      <c r="AP2206" s="1" t="s">
        <v>200</v>
      </c>
      <c r="AQ2206" s="1">
        <v>59.38</v>
      </c>
      <c r="AR2206" s="1"/>
      <c r="AS2206" s="1"/>
      <c r="AT2206" s="1"/>
      <c r="AU2206" s="1"/>
      <c r="AV2206" s="1"/>
      <c r="AW2206" s="1"/>
      <c r="AX2206" s="1"/>
      <c r="AY2206" s="1" t="s">
        <v>366</v>
      </c>
      <c r="AZ2206" s="1" t="s">
        <v>38329</v>
      </c>
      <c r="BA2206" s="1" t="s">
        <v>578</v>
      </c>
      <c r="BB2206" s="1" t="s">
        <v>467</v>
      </c>
      <c r="BC2206" s="1" t="s">
        <v>170</v>
      </c>
      <c r="BD2206" s="1" t="s">
        <v>110</v>
      </c>
      <c r="BE2206" s="1">
        <v>67.8</v>
      </c>
      <c r="BF2206" s="1">
        <v>7.62</v>
      </c>
      <c r="BG2206" s="1"/>
      <c r="BH2206" s="1"/>
      <c r="BI2206" s="1"/>
      <c r="BJ2206" s="1"/>
      <c r="BK2206" s="1"/>
      <c r="BL2206" s="1"/>
      <c r="BM2206" s="1"/>
      <c r="BN2206" s="1"/>
      <c r="BO2206" s="1" t="s">
        <v>1114</v>
      </c>
      <c r="BP2206" s="1" t="s">
        <v>38330</v>
      </c>
      <c r="BQ2206" s="1" t="s">
        <v>6365</v>
      </c>
      <c r="BR2206" s="1" t="s">
        <v>38331</v>
      </c>
      <c r="BS2206" s="1">
        <v>9</v>
      </c>
      <c r="BT2206" s="1"/>
      <c r="BU2206" s="1" t="str">
        <f>HYPERLINK("https://nconnect.nicmar.ac.in/storage/profile/ProfilePhoto_P25703037_975312.jpg","Download")</f>
        <v>0</v>
      </c>
      <c r="BV2206" s="3"/>
      <c r="BW2206" s="3"/>
    </row>
    <row r="2207" spans="1:75">
      <c r="A2207" s="1" t="s">
        <v>35074</v>
      </c>
      <c r="B2207" s="1" t="s">
        <v>446</v>
      </c>
      <c r="C2207" s="1" t="s">
        <v>38332</v>
      </c>
      <c r="D2207" s="1" t="s">
        <v>38333</v>
      </c>
      <c r="E2207" s="1"/>
      <c r="F2207" s="1" t="s">
        <v>38334</v>
      </c>
      <c r="G2207" s="1" t="s">
        <v>38335</v>
      </c>
      <c r="H2207" s="1" t="s">
        <v>38336</v>
      </c>
      <c r="I2207" s="1" t="s">
        <v>38337</v>
      </c>
      <c r="J2207" s="1">
        <v>6370072487</v>
      </c>
      <c r="K2207" s="1" t="s">
        <v>84</v>
      </c>
      <c r="L2207" s="1" t="s">
        <v>21059</v>
      </c>
      <c r="M2207" s="1" t="s">
        <v>86</v>
      </c>
      <c r="N2207" s="1" t="s">
        <v>38338</v>
      </c>
      <c r="O2207" s="1"/>
      <c r="P2207" s="1" t="s">
        <v>507</v>
      </c>
      <c r="Q2207" s="1" t="s">
        <v>38339</v>
      </c>
      <c r="R2207" s="1" t="s">
        <v>38340</v>
      </c>
      <c r="S2207" s="1">
        <v>9437164912</v>
      </c>
      <c r="T2207" s="1" t="s">
        <v>839</v>
      </c>
      <c r="U2207" s="1" t="s">
        <v>38341</v>
      </c>
      <c r="V2207" s="1">
        <v>9439042314</v>
      </c>
      <c r="W2207" s="1" t="s">
        <v>4695</v>
      </c>
      <c r="X2207" s="1" t="s">
        <v>38342</v>
      </c>
      <c r="Y2207" s="1" t="s">
        <v>1259</v>
      </c>
      <c r="Z2207" s="1" t="s">
        <v>865</v>
      </c>
      <c r="AA2207" s="1" t="s">
        <v>38342</v>
      </c>
      <c r="AB2207" s="1" t="s">
        <v>1259</v>
      </c>
      <c r="AC2207" s="1" t="s">
        <v>865</v>
      </c>
      <c r="AD2207" s="1">
        <v>8.9</v>
      </c>
      <c r="AE2207" s="1" t="s">
        <v>98</v>
      </c>
      <c r="AF2207" s="1" t="s">
        <v>38343</v>
      </c>
      <c r="AG2207" s="1" t="s">
        <v>2181</v>
      </c>
      <c r="AH2207" s="1" t="s">
        <v>200</v>
      </c>
      <c r="AI2207" s="1" t="s">
        <v>171</v>
      </c>
      <c r="AJ2207" s="1">
        <v>70.16</v>
      </c>
      <c r="AK2207" s="1"/>
      <c r="AL2207" s="1" t="s">
        <v>38343</v>
      </c>
      <c r="AM2207" s="1" t="s">
        <v>2181</v>
      </c>
      <c r="AN2207" s="1"/>
      <c r="AO2207" s="1" t="s">
        <v>438</v>
      </c>
      <c r="AP2207" s="1" t="s">
        <v>178</v>
      </c>
      <c r="AQ2207" s="1">
        <v>52.2</v>
      </c>
      <c r="AR2207" s="1"/>
      <c r="AS2207" s="1"/>
      <c r="AT2207" s="1"/>
      <c r="AU2207" s="1"/>
      <c r="AV2207" s="1"/>
      <c r="AW2207" s="1"/>
      <c r="AX2207" s="1"/>
      <c r="AY2207" s="1" t="s">
        <v>38344</v>
      </c>
      <c r="AZ2207" s="1" t="s">
        <v>38345</v>
      </c>
      <c r="BA2207" s="1"/>
      <c r="BB2207" s="1"/>
      <c r="BC2207" s="1" t="s">
        <v>175</v>
      </c>
      <c r="BD2207" s="1" t="s">
        <v>9528</v>
      </c>
      <c r="BE2207" s="1">
        <v>85.76</v>
      </c>
      <c r="BF2207" s="1"/>
      <c r="BG2207" s="1"/>
      <c r="BH2207" s="1"/>
      <c r="BI2207" s="1"/>
      <c r="BJ2207" s="1"/>
      <c r="BK2207" s="1"/>
      <c r="BL2207" s="1"/>
      <c r="BM2207" s="1"/>
      <c r="BN2207" s="1"/>
      <c r="BO2207" s="1" t="s">
        <v>38346</v>
      </c>
      <c r="BP2207" s="1" t="s">
        <v>38347</v>
      </c>
      <c r="BQ2207" s="1" t="s">
        <v>2093</v>
      </c>
      <c r="BR2207" s="1" t="s">
        <v>38348</v>
      </c>
      <c r="BS2207" s="1">
        <v>25</v>
      </c>
      <c r="BT2207" s="1" t="s">
        <v>38349</v>
      </c>
      <c r="BU2207" s="1" t="str">
        <f>HYPERLINK("https://nconnect.nicmar.ac.in/storage/profile/ProfilePhoto_P25703038_123479.jpg","Download")</f>
        <v>0</v>
      </c>
      <c r="BV2207" s="3"/>
      <c r="BW2207" s="3"/>
    </row>
    <row r="2208" spans="1:75">
      <c r="A2208" s="1" t="s">
        <v>35074</v>
      </c>
      <c r="B2208" s="1" t="s">
        <v>446</v>
      </c>
      <c r="C2208" s="1" t="s">
        <v>38350</v>
      </c>
      <c r="D2208" s="1" t="s">
        <v>9975</v>
      </c>
      <c r="E2208" s="1" t="s">
        <v>8974</v>
      </c>
      <c r="F2208" s="1" t="s">
        <v>10118</v>
      </c>
      <c r="G2208" s="1" t="s">
        <v>38351</v>
      </c>
      <c r="H2208" s="1" t="s">
        <v>38352</v>
      </c>
      <c r="I2208" s="1" t="s">
        <v>38353</v>
      </c>
      <c r="J2208" s="1">
        <v>9860624106</v>
      </c>
      <c r="K2208" s="1" t="s">
        <v>153</v>
      </c>
      <c r="L2208" s="1" t="s">
        <v>38354</v>
      </c>
      <c r="M2208" s="1" t="s">
        <v>86</v>
      </c>
      <c r="N2208" s="1" t="s">
        <v>618</v>
      </c>
      <c r="O2208" s="1"/>
      <c r="P2208" s="1" t="s">
        <v>455</v>
      </c>
      <c r="Q2208" s="1" t="s">
        <v>38355</v>
      </c>
      <c r="R2208" s="1" t="s">
        <v>38356</v>
      </c>
      <c r="S2208" s="1">
        <v>9657535247</v>
      </c>
      <c r="T2208" s="1" t="s">
        <v>38357</v>
      </c>
      <c r="U2208" s="1" t="s">
        <v>38358</v>
      </c>
      <c r="V2208" s="1">
        <v>9421880152</v>
      </c>
      <c r="W2208" s="1" t="s">
        <v>2547</v>
      </c>
      <c r="X2208" s="1" t="s">
        <v>38359</v>
      </c>
      <c r="Y2208" s="1" t="s">
        <v>624</v>
      </c>
      <c r="Z2208" s="1" t="s">
        <v>97</v>
      </c>
      <c r="AA2208" s="1" t="s">
        <v>38359</v>
      </c>
      <c r="AB2208" s="1" t="s">
        <v>624</v>
      </c>
      <c r="AC2208" s="1" t="s">
        <v>97</v>
      </c>
      <c r="AD2208" s="1">
        <v>7.5</v>
      </c>
      <c r="AE2208" s="1" t="s">
        <v>98</v>
      </c>
      <c r="AF2208" s="1" t="s">
        <v>975</v>
      </c>
      <c r="AG2208" s="1" t="s">
        <v>38360</v>
      </c>
      <c r="AH2208" s="1" t="s">
        <v>167</v>
      </c>
      <c r="AI2208" s="1" t="s">
        <v>170</v>
      </c>
      <c r="AJ2208" s="1">
        <v>76.8</v>
      </c>
      <c r="AK2208" s="1">
        <v>8.4</v>
      </c>
      <c r="AL2208" s="1" t="s">
        <v>38361</v>
      </c>
      <c r="AM2208" s="1" t="s">
        <v>38362</v>
      </c>
      <c r="AN2208" s="1"/>
      <c r="AO2208" s="1" t="s">
        <v>106</v>
      </c>
      <c r="AP2208" s="1" t="s">
        <v>203</v>
      </c>
      <c r="AQ2208" s="1">
        <v>63.38</v>
      </c>
      <c r="AR2208" s="1"/>
      <c r="AS2208" s="1"/>
      <c r="AT2208" s="1"/>
      <c r="AU2208" s="1"/>
      <c r="AV2208" s="1"/>
      <c r="AW2208" s="1"/>
      <c r="AX2208" s="1"/>
      <c r="AY2208" s="1" t="s">
        <v>415</v>
      </c>
      <c r="AZ2208" s="1" t="s">
        <v>38363</v>
      </c>
      <c r="BA2208" s="1"/>
      <c r="BB2208" s="1"/>
      <c r="BC2208" s="1" t="s">
        <v>206</v>
      </c>
      <c r="BD2208" s="1" t="s">
        <v>234</v>
      </c>
      <c r="BE2208" s="1">
        <v>69.9</v>
      </c>
      <c r="BF2208" s="1">
        <v>7.74</v>
      </c>
      <c r="BG2208" s="1"/>
      <c r="BH2208" s="1"/>
      <c r="BI2208" s="1"/>
      <c r="BJ2208" s="1"/>
      <c r="BK2208" s="1"/>
      <c r="BL2208" s="1"/>
      <c r="BM2208" s="1"/>
      <c r="BN2208" s="1"/>
      <c r="BO2208" s="1" t="s">
        <v>38364</v>
      </c>
      <c r="BP2208" s="1"/>
      <c r="BQ2208" s="1"/>
      <c r="BR2208" s="1" t="s">
        <v>38365</v>
      </c>
      <c r="BS2208" s="1">
        <v>8</v>
      </c>
      <c r="BT2208" s="1"/>
      <c r="BU2208" s="1" t="str">
        <f>HYPERLINK("https://nconnect.nicmar.ac.in/storage/profile/ProfilePhoto_P25703039_812957.jpg","Download")</f>
        <v>0</v>
      </c>
      <c r="BV2208" s="3"/>
      <c r="BW2208" s="3"/>
    </row>
    <row r="2209" spans="1:75">
      <c r="A2209" s="1" t="s">
        <v>35074</v>
      </c>
      <c r="B2209" s="1" t="s">
        <v>446</v>
      </c>
      <c r="C2209" s="1" t="s">
        <v>38366</v>
      </c>
      <c r="D2209" s="1" t="s">
        <v>38367</v>
      </c>
      <c r="E2209" s="1" t="s">
        <v>38368</v>
      </c>
      <c r="F2209" s="1" t="s">
        <v>27100</v>
      </c>
      <c r="G2209" s="1" t="s">
        <v>38369</v>
      </c>
      <c r="H2209" s="1" t="s">
        <v>38370</v>
      </c>
      <c r="I2209" s="1" t="s">
        <v>38371</v>
      </c>
      <c r="J2209" s="1">
        <v>8698771216</v>
      </c>
      <c r="K2209" s="1" t="s">
        <v>84</v>
      </c>
      <c r="L2209" s="1" t="s">
        <v>16000</v>
      </c>
      <c r="M2209" s="1" t="s">
        <v>86</v>
      </c>
      <c r="N2209" s="1" t="s">
        <v>4972</v>
      </c>
      <c r="O2209" s="1"/>
      <c r="P2209" s="1" t="s">
        <v>455</v>
      </c>
      <c r="Q2209" s="1" t="s">
        <v>38372</v>
      </c>
      <c r="R2209" s="1" t="s">
        <v>38373</v>
      </c>
      <c r="S2209" s="1">
        <v>8329206277</v>
      </c>
      <c r="T2209" s="1" t="s">
        <v>596</v>
      </c>
      <c r="U2209" s="1" t="s">
        <v>38374</v>
      </c>
      <c r="V2209" s="1">
        <v>9604238948</v>
      </c>
      <c r="W2209" s="1" t="s">
        <v>161</v>
      </c>
      <c r="X2209" s="1" t="s">
        <v>38375</v>
      </c>
      <c r="Y2209" s="1" t="s">
        <v>196</v>
      </c>
      <c r="Z2209" s="1" t="s">
        <v>97</v>
      </c>
      <c r="AA2209" s="1" t="s">
        <v>38376</v>
      </c>
      <c r="AB2209" s="1" t="s">
        <v>5181</v>
      </c>
      <c r="AC2209" s="1" t="s">
        <v>97</v>
      </c>
      <c r="AD2209" s="1">
        <v>7.84</v>
      </c>
      <c r="AE2209" s="1" t="s">
        <v>98</v>
      </c>
      <c r="AF2209" s="1" t="s">
        <v>38377</v>
      </c>
      <c r="AG2209" s="1" t="s">
        <v>38378</v>
      </c>
      <c r="AH2209" s="1" t="s">
        <v>286</v>
      </c>
      <c r="AI2209" s="1" t="s">
        <v>414</v>
      </c>
      <c r="AJ2209" s="1">
        <v>87.2</v>
      </c>
      <c r="AK2209" s="1"/>
      <c r="AL2209" s="1" t="s">
        <v>38379</v>
      </c>
      <c r="AM2209" s="1" t="s">
        <v>38380</v>
      </c>
      <c r="AN2209" s="1"/>
      <c r="AO2209" s="1" t="s">
        <v>603</v>
      </c>
      <c r="AP2209" s="1" t="s">
        <v>1192</v>
      </c>
      <c r="AQ2209" s="1">
        <v>84.33</v>
      </c>
      <c r="AR2209" s="1"/>
      <c r="AS2209" s="1"/>
      <c r="AT2209" s="1"/>
      <c r="AU2209" s="1"/>
      <c r="AV2209" s="1"/>
      <c r="AW2209" s="1"/>
      <c r="AX2209" s="1"/>
      <c r="AY2209" s="1" t="s">
        <v>366</v>
      </c>
      <c r="AZ2209" s="1" t="s">
        <v>38381</v>
      </c>
      <c r="BA2209" s="1"/>
      <c r="BB2209" s="1"/>
      <c r="BC2209" s="1" t="s">
        <v>441</v>
      </c>
      <c r="BD2209" s="1" t="s">
        <v>207</v>
      </c>
      <c r="BE2209" s="1">
        <v>74.6</v>
      </c>
      <c r="BF2209" s="1">
        <v>8.3</v>
      </c>
      <c r="BG2209" s="1"/>
      <c r="BH2209" s="1"/>
      <c r="BI2209" s="1"/>
      <c r="BJ2209" s="1"/>
      <c r="BK2209" s="1"/>
      <c r="BL2209" s="1"/>
      <c r="BM2209" s="1"/>
      <c r="BN2209" s="1"/>
      <c r="BO2209" s="1" t="s">
        <v>38382</v>
      </c>
      <c r="BP2209" s="1"/>
      <c r="BQ2209" s="1"/>
      <c r="BR2209" s="1" t="s">
        <v>38383</v>
      </c>
      <c r="BS2209" s="1">
        <v>7</v>
      </c>
      <c r="BT2209" s="1" t="s">
        <v>38384</v>
      </c>
      <c r="BU2209" s="1" t="str">
        <f>HYPERLINK("https://nconnect.nicmar.ac.in/storage/profile/ProfilePhoto_P25703040_795461.jpg","Download")</f>
        <v>0</v>
      </c>
      <c r="BV2209" s="3"/>
      <c r="BW2209" s="3"/>
    </row>
    <row r="2210" spans="1:75">
      <c r="A2210" s="1" t="s">
        <v>35074</v>
      </c>
      <c r="B2210" s="1" t="s">
        <v>446</v>
      </c>
      <c r="C2210" s="1" t="s">
        <v>38385</v>
      </c>
      <c r="D2210" s="1" t="s">
        <v>11131</v>
      </c>
      <c r="E2210" s="1" t="s">
        <v>2500</v>
      </c>
      <c r="F2210" s="1" t="s">
        <v>38386</v>
      </c>
      <c r="G2210" s="1" t="s">
        <v>38387</v>
      </c>
      <c r="H2210" s="1" t="s">
        <v>38388</v>
      </c>
      <c r="I2210" s="1" t="s">
        <v>38389</v>
      </c>
      <c r="J2210" s="1">
        <v>8109609982</v>
      </c>
      <c r="K2210" s="1" t="s">
        <v>153</v>
      </c>
      <c r="L2210" s="1" t="s">
        <v>38390</v>
      </c>
      <c r="M2210" s="1" t="s">
        <v>86</v>
      </c>
      <c r="N2210" s="1" t="s">
        <v>4199</v>
      </c>
      <c r="O2210" s="1"/>
      <c r="P2210" s="1" t="s">
        <v>455</v>
      </c>
      <c r="Q2210" s="1" t="s">
        <v>38391</v>
      </c>
      <c r="R2210" s="1" t="s">
        <v>38392</v>
      </c>
      <c r="S2210" s="1">
        <v>8319708262</v>
      </c>
      <c r="T2210" s="1" t="s">
        <v>38393</v>
      </c>
      <c r="U2210" s="1" t="s">
        <v>38394</v>
      </c>
      <c r="V2210" s="1">
        <v>9826709888</v>
      </c>
      <c r="W2210" s="1" t="s">
        <v>94</v>
      </c>
      <c r="X2210" s="1" t="s">
        <v>38395</v>
      </c>
      <c r="Y2210" s="1" t="s">
        <v>2932</v>
      </c>
      <c r="Z2210" s="1" t="s">
        <v>2933</v>
      </c>
      <c r="AA2210" s="1" t="s">
        <v>38395</v>
      </c>
      <c r="AB2210" s="1" t="s">
        <v>2932</v>
      </c>
      <c r="AC2210" s="1" t="s">
        <v>2933</v>
      </c>
      <c r="AD2210" s="1">
        <v>8.33</v>
      </c>
      <c r="AE2210" s="1" t="s">
        <v>98</v>
      </c>
      <c r="AF2210" s="1" t="s">
        <v>38396</v>
      </c>
      <c r="AG2210" s="1" t="s">
        <v>38397</v>
      </c>
      <c r="AH2210" s="1" t="s">
        <v>490</v>
      </c>
      <c r="AI2210" s="1" t="s">
        <v>313</v>
      </c>
      <c r="AJ2210" s="1">
        <v>90.6</v>
      </c>
      <c r="AK2210" s="1"/>
      <c r="AL2210" s="1" t="s">
        <v>38396</v>
      </c>
      <c r="AM2210" s="1" t="s">
        <v>38397</v>
      </c>
      <c r="AN2210" s="1"/>
      <c r="AO2210" s="1" t="s">
        <v>977</v>
      </c>
      <c r="AP2210" s="1" t="s">
        <v>549</v>
      </c>
      <c r="AQ2210" s="1">
        <v>95</v>
      </c>
      <c r="AR2210" s="1"/>
      <c r="AS2210" s="1"/>
      <c r="AT2210" s="1"/>
      <c r="AU2210" s="1"/>
      <c r="AV2210" s="1"/>
      <c r="AW2210" s="1"/>
      <c r="AX2210" s="1"/>
      <c r="AY2210" s="1" t="s">
        <v>38398</v>
      </c>
      <c r="AZ2210" s="1" t="s">
        <v>38399</v>
      </c>
      <c r="BA2210" s="1"/>
      <c r="BB2210" s="1"/>
      <c r="BC2210" s="1" t="s">
        <v>441</v>
      </c>
      <c r="BD2210" s="1" t="s">
        <v>1314</v>
      </c>
      <c r="BE2210" s="1">
        <v>64.83</v>
      </c>
      <c r="BF2210" s="1"/>
      <c r="BG2210" s="1"/>
      <c r="BH2210" s="1"/>
      <c r="BI2210" s="1"/>
      <c r="BJ2210" s="1"/>
      <c r="BK2210" s="1"/>
      <c r="BL2210" s="1"/>
      <c r="BM2210" s="1"/>
      <c r="BN2210" s="1"/>
      <c r="BO2210" s="1" t="s">
        <v>1890</v>
      </c>
      <c r="BP2210" s="1"/>
      <c r="BQ2210" s="1"/>
      <c r="BR2210" s="1" t="s">
        <v>38400</v>
      </c>
      <c r="BS2210" s="1">
        <v>8</v>
      </c>
      <c r="BT2210" s="1" t="s">
        <v>38401</v>
      </c>
      <c r="BU2210" s="1" t="str">
        <f>HYPERLINK("https://nconnect.nicmar.ac.in/storage/profile/ProfilePhoto_P25703041_689342.jpg","Download")</f>
        <v>0</v>
      </c>
      <c r="BV2210" s="3"/>
      <c r="BW2210" s="3"/>
    </row>
    <row r="2211" spans="1:75">
      <c r="A2211" s="1" t="s">
        <v>35074</v>
      </c>
      <c r="B2211" s="1" t="s">
        <v>446</v>
      </c>
      <c r="C2211" s="1" t="s">
        <v>38402</v>
      </c>
      <c r="D2211" s="1" t="s">
        <v>3545</v>
      </c>
      <c r="E2211" s="1" t="s">
        <v>3042</v>
      </c>
      <c r="F2211" s="1" t="s">
        <v>8306</v>
      </c>
      <c r="G2211" s="1" t="s">
        <v>38403</v>
      </c>
      <c r="H2211" s="1" t="s">
        <v>38404</v>
      </c>
      <c r="I2211" s="1" t="s">
        <v>38405</v>
      </c>
      <c r="J2211" s="1">
        <v>9823231523</v>
      </c>
      <c r="K2211" s="1" t="s">
        <v>84</v>
      </c>
      <c r="L2211" s="1" t="s">
        <v>38406</v>
      </c>
      <c r="M2211" s="1" t="s">
        <v>86</v>
      </c>
      <c r="N2211" s="1" t="s">
        <v>1470</v>
      </c>
      <c r="O2211" s="1"/>
      <c r="P2211" s="1" t="s">
        <v>455</v>
      </c>
      <c r="Q2211" s="1" t="s">
        <v>38407</v>
      </c>
      <c r="R2211" s="1" t="s">
        <v>38408</v>
      </c>
      <c r="S2211" s="1">
        <v>8806982424</v>
      </c>
      <c r="T2211" s="1" t="s">
        <v>839</v>
      </c>
      <c r="U2211" s="1" t="s">
        <v>38409</v>
      </c>
      <c r="V2211" s="1">
        <v>8806424244</v>
      </c>
      <c r="W2211" s="1" t="s">
        <v>161</v>
      </c>
      <c r="X2211" s="1" t="s">
        <v>38410</v>
      </c>
      <c r="Y2211" s="1" t="s">
        <v>1989</v>
      </c>
      <c r="Z2211" s="1" t="s">
        <v>97</v>
      </c>
      <c r="AA2211" s="1" t="s">
        <v>38410</v>
      </c>
      <c r="AB2211" s="1" t="s">
        <v>1989</v>
      </c>
      <c r="AC2211" s="1" t="s">
        <v>97</v>
      </c>
      <c r="AD2211" s="1">
        <v>7.78</v>
      </c>
      <c r="AE2211" s="1" t="s">
        <v>98</v>
      </c>
      <c r="AF2211" s="1" t="s">
        <v>38411</v>
      </c>
      <c r="AG2211" s="1" t="s">
        <v>312</v>
      </c>
      <c r="AH2211" s="1" t="s">
        <v>171</v>
      </c>
      <c r="AI2211" s="1" t="s">
        <v>313</v>
      </c>
      <c r="AJ2211" s="1">
        <v>85.2</v>
      </c>
      <c r="AK2211" s="1"/>
      <c r="AL2211" s="1" t="s">
        <v>38412</v>
      </c>
      <c r="AM2211" s="1" t="s">
        <v>312</v>
      </c>
      <c r="AN2211" s="1" t="s">
        <v>465</v>
      </c>
      <c r="AO2211" s="1" t="s">
        <v>178</v>
      </c>
      <c r="AP2211" s="1" t="s">
        <v>549</v>
      </c>
      <c r="AQ2211" s="1">
        <v>74.6</v>
      </c>
      <c r="AR2211" s="1"/>
      <c r="AS2211" s="1"/>
      <c r="AT2211" s="1"/>
      <c r="AU2211" s="1"/>
      <c r="AV2211" s="1"/>
      <c r="AW2211" s="1"/>
      <c r="AX2211" s="1"/>
      <c r="AY2211" s="1" t="s">
        <v>1038</v>
      </c>
      <c r="AZ2211" s="1" t="s">
        <v>1992</v>
      </c>
      <c r="BA2211" s="1" t="s">
        <v>466</v>
      </c>
      <c r="BB2211" s="1" t="s">
        <v>23143</v>
      </c>
      <c r="BC2211" s="1" t="s">
        <v>441</v>
      </c>
      <c r="BD2211" s="1" t="s">
        <v>848</v>
      </c>
      <c r="BE2211" s="1">
        <v>65.4</v>
      </c>
      <c r="BF2211" s="1">
        <v>7.04</v>
      </c>
      <c r="BG2211" s="1"/>
      <c r="BH2211" s="1"/>
      <c r="BI2211" s="1"/>
      <c r="BJ2211" s="1"/>
      <c r="BK2211" s="1"/>
      <c r="BL2211" s="1"/>
      <c r="BM2211" s="1"/>
      <c r="BN2211" s="1"/>
      <c r="BO2211" s="1" t="s">
        <v>38413</v>
      </c>
      <c r="BP2211" s="1"/>
      <c r="BQ2211" s="1"/>
      <c r="BR2211" s="1" t="s">
        <v>38414</v>
      </c>
      <c r="BS2211" s="1">
        <v>27</v>
      </c>
      <c r="BT2211" s="1" t="s">
        <v>38415</v>
      </c>
      <c r="BU2211" s="1" t="str">
        <f>HYPERLINK("https://nconnect.nicmar.ac.in/storage/profile/ProfilePhoto_P25703042_139468.jpg","Download")</f>
        <v>0</v>
      </c>
      <c r="BV2211" s="3"/>
      <c r="BW2211" s="3"/>
    </row>
    <row r="2212" spans="1:75">
      <c r="A2212" s="1" t="s">
        <v>35074</v>
      </c>
      <c r="B2212" s="1" t="s">
        <v>446</v>
      </c>
      <c r="C2212" s="1" t="s">
        <v>38416</v>
      </c>
      <c r="D2212" s="1" t="s">
        <v>38417</v>
      </c>
      <c r="E2212" s="1"/>
      <c r="F2212" s="1" t="s">
        <v>12769</v>
      </c>
      <c r="G2212" s="1" t="s">
        <v>38418</v>
      </c>
      <c r="H2212" s="1" t="s">
        <v>38419</v>
      </c>
      <c r="I2212" s="1" t="s">
        <v>38420</v>
      </c>
      <c r="J2212" s="1">
        <v>9746022021</v>
      </c>
      <c r="K2212" s="1" t="s">
        <v>84</v>
      </c>
      <c r="L2212" s="1" t="s">
        <v>38421</v>
      </c>
      <c r="M2212" s="1" t="s">
        <v>86</v>
      </c>
      <c r="N2212" s="1" t="s">
        <v>1639</v>
      </c>
      <c r="O2212" s="1" t="s">
        <v>38422</v>
      </c>
      <c r="P2212" s="1" t="s">
        <v>2062</v>
      </c>
      <c r="Q2212" s="1" t="s">
        <v>38423</v>
      </c>
      <c r="R2212" s="1" t="s">
        <v>38424</v>
      </c>
      <c r="S2212" s="1">
        <v>9447708526</v>
      </c>
      <c r="T2212" s="1" t="s">
        <v>3641</v>
      </c>
      <c r="U2212" s="1" t="s">
        <v>38425</v>
      </c>
      <c r="V2212" s="1">
        <v>9446518526</v>
      </c>
      <c r="W2212" s="1" t="s">
        <v>539</v>
      </c>
      <c r="X2212" s="1" t="s">
        <v>38426</v>
      </c>
      <c r="Y2212" s="1" t="s">
        <v>701</v>
      </c>
      <c r="Z2212" s="1" t="s">
        <v>130</v>
      </c>
      <c r="AA2212" s="1" t="s">
        <v>38426</v>
      </c>
      <c r="AB2212" s="1" t="s">
        <v>701</v>
      </c>
      <c r="AC2212" s="1" t="s">
        <v>130</v>
      </c>
      <c r="AD2212" s="1">
        <v>7.45</v>
      </c>
      <c r="AE2212" s="1" t="s">
        <v>98</v>
      </c>
      <c r="AF2212" s="1" t="s">
        <v>38427</v>
      </c>
      <c r="AG2212" s="1" t="s">
        <v>9059</v>
      </c>
      <c r="AH2212" s="1" t="s">
        <v>166</v>
      </c>
      <c r="AI2212" s="1" t="s">
        <v>627</v>
      </c>
      <c r="AJ2212" s="1">
        <v>85.5</v>
      </c>
      <c r="AK2212" s="1">
        <v>9</v>
      </c>
      <c r="AL2212" s="1" t="s">
        <v>38428</v>
      </c>
      <c r="AM2212" s="1" t="s">
        <v>38429</v>
      </c>
      <c r="AN2212" s="1" t="s">
        <v>465</v>
      </c>
      <c r="AO2212" s="1" t="s">
        <v>167</v>
      </c>
      <c r="AP2212" s="1" t="s">
        <v>171</v>
      </c>
      <c r="AQ2212" s="1">
        <v>71.41</v>
      </c>
      <c r="AR2212" s="1"/>
      <c r="AS2212" s="1"/>
      <c r="AT2212" s="1"/>
      <c r="AU2212" s="1"/>
      <c r="AV2212" s="1"/>
      <c r="AW2212" s="1"/>
      <c r="AX2212" s="1"/>
      <c r="AY2212" s="1" t="s">
        <v>38430</v>
      </c>
      <c r="AZ2212" s="1" t="s">
        <v>29840</v>
      </c>
      <c r="BA2212" s="1" t="s">
        <v>38008</v>
      </c>
      <c r="BB2212" s="1" t="s">
        <v>38431</v>
      </c>
      <c r="BC2212" s="1" t="s">
        <v>106</v>
      </c>
      <c r="BD2212" s="1" t="s">
        <v>140</v>
      </c>
      <c r="BE2212" s="1">
        <v>64.8</v>
      </c>
      <c r="BF2212" s="1"/>
      <c r="BG2212" s="1" t="s">
        <v>38432</v>
      </c>
      <c r="BH2212" s="1" t="s">
        <v>38433</v>
      </c>
      <c r="BI2212" s="1"/>
      <c r="BJ2212" s="1"/>
      <c r="BK2212" s="1" t="s">
        <v>140</v>
      </c>
      <c r="BL2212" s="1" t="s">
        <v>1314</v>
      </c>
      <c r="BM2212" s="1">
        <v>63.6</v>
      </c>
      <c r="BN2212" s="1"/>
      <c r="BO2212" s="1" t="s">
        <v>38434</v>
      </c>
      <c r="BP2212" s="1"/>
      <c r="BQ2212" s="1"/>
      <c r="BR2212" s="1" t="s">
        <v>38435</v>
      </c>
      <c r="BS2212" s="1">
        <v>48</v>
      </c>
      <c r="BT2212" s="1" t="s">
        <v>38436</v>
      </c>
      <c r="BU2212" s="1" t="str">
        <f>HYPERLINK("https://nconnect.nicmar.ac.in/storage/profile/ProfilePhoto_P25703043_964875.jpg","Download")</f>
        <v>0</v>
      </c>
      <c r="BV2212" s="3"/>
      <c r="BW2212" s="3"/>
    </row>
    <row r="2213" spans="1:75">
      <c r="A2213" s="1" t="s">
        <v>35074</v>
      </c>
      <c r="B2213" s="1" t="s">
        <v>446</v>
      </c>
      <c r="C2213" s="1" t="s">
        <v>38437</v>
      </c>
      <c r="D2213" s="1" t="s">
        <v>7146</v>
      </c>
      <c r="E2213" s="1" t="s">
        <v>38438</v>
      </c>
      <c r="F2213" s="1" t="s">
        <v>38439</v>
      </c>
      <c r="G2213" s="1" t="s">
        <v>38440</v>
      </c>
      <c r="H2213" s="1" t="s">
        <v>38441</v>
      </c>
      <c r="I2213" s="1" t="s">
        <v>38442</v>
      </c>
      <c r="J2213" s="1">
        <v>9372846400</v>
      </c>
      <c r="K2213" s="1" t="s">
        <v>84</v>
      </c>
      <c r="L2213" s="1" t="s">
        <v>38443</v>
      </c>
      <c r="M2213" s="1" t="s">
        <v>86</v>
      </c>
      <c r="N2213" s="1" t="s">
        <v>1470</v>
      </c>
      <c r="O2213" s="1"/>
      <c r="P2213" s="1" t="s">
        <v>507</v>
      </c>
      <c r="Q2213" s="1" t="s">
        <v>38444</v>
      </c>
      <c r="R2213" s="1" t="s">
        <v>38438</v>
      </c>
      <c r="S2213" s="1">
        <v>9324268446</v>
      </c>
      <c r="T2213" s="1" t="s">
        <v>839</v>
      </c>
      <c r="U2213" s="1" t="s">
        <v>2666</v>
      </c>
      <c r="V2213" s="1">
        <v>9619699637</v>
      </c>
      <c r="W2213" s="1" t="s">
        <v>541</v>
      </c>
      <c r="X2213" s="1" t="s">
        <v>38445</v>
      </c>
      <c r="Y2213" s="1" t="s">
        <v>196</v>
      </c>
      <c r="Z2213" s="1" t="s">
        <v>97</v>
      </c>
      <c r="AA2213" s="1" t="s">
        <v>38445</v>
      </c>
      <c r="AB2213" s="1" t="s">
        <v>196</v>
      </c>
      <c r="AC2213" s="1" t="s">
        <v>97</v>
      </c>
      <c r="AD2213" s="1">
        <v>6.0</v>
      </c>
      <c r="AE2213" s="1" t="s">
        <v>98</v>
      </c>
      <c r="AF2213" s="1" t="s">
        <v>25160</v>
      </c>
      <c r="AG2213" s="1" t="s">
        <v>38446</v>
      </c>
      <c r="AH2213" s="1" t="s">
        <v>490</v>
      </c>
      <c r="AI2213" s="1" t="s">
        <v>414</v>
      </c>
      <c r="AJ2213" s="1">
        <v>64</v>
      </c>
      <c r="AK2213" s="1"/>
      <c r="AL2213" s="1" t="s">
        <v>35185</v>
      </c>
      <c r="AM2213" s="1" t="s">
        <v>38447</v>
      </c>
      <c r="AN2213" s="1"/>
      <c r="AO2213" s="1" t="s">
        <v>178</v>
      </c>
      <c r="AP2213" s="1" t="s">
        <v>441</v>
      </c>
      <c r="AQ2213" s="1">
        <v>75.83</v>
      </c>
      <c r="AR2213" s="1"/>
      <c r="AS2213" s="1"/>
      <c r="AT2213" s="1"/>
      <c r="AU2213" s="1"/>
      <c r="AV2213" s="1"/>
      <c r="AW2213" s="1"/>
      <c r="AX2213" s="1"/>
      <c r="AY2213" s="1" t="s">
        <v>9545</v>
      </c>
      <c r="AZ2213" s="1" t="s">
        <v>38448</v>
      </c>
      <c r="BA2213" s="1"/>
      <c r="BB2213" s="1"/>
      <c r="BC2213" s="1" t="s">
        <v>847</v>
      </c>
      <c r="BD2213" s="1" t="s">
        <v>2383</v>
      </c>
      <c r="BE2213" s="1">
        <v>58</v>
      </c>
      <c r="BF2213" s="1">
        <v>7.79</v>
      </c>
      <c r="BG2213" s="1"/>
      <c r="BH2213" s="1"/>
      <c r="BI2213" s="1"/>
      <c r="BJ2213" s="1"/>
      <c r="BK2213" s="1"/>
      <c r="BL2213" s="1"/>
      <c r="BM2213" s="1"/>
      <c r="BN2213" s="1"/>
      <c r="BO2213" s="1" t="s">
        <v>38449</v>
      </c>
      <c r="BP2213" s="1"/>
      <c r="BQ2213" s="1"/>
      <c r="BR2213" s="1" t="s">
        <v>38450</v>
      </c>
      <c r="BS2213" s="1">
        <v>50</v>
      </c>
      <c r="BT2213" s="1" t="s">
        <v>38451</v>
      </c>
      <c r="BU2213" s="1" t="str">
        <f>HYPERLINK("https://nconnect.nicmar.ac.in/storage/profile/ProfilePhoto_P25703044_175329.jpg","Download")</f>
        <v>0</v>
      </c>
      <c r="BV2213" s="3"/>
      <c r="BW2213" s="3"/>
    </row>
    <row r="2214" spans="1:75">
      <c r="A2214" s="1" t="s">
        <v>35074</v>
      </c>
      <c r="B2214" s="1" t="s">
        <v>446</v>
      </c>
      <c r="C2214" s="1" t="s">
        <v>38452</v>
      </c>
      <c r="D2214" s="1" t="s">
        <v>38453</v>
      </c>
      <c r="E2214" s="1"/>
      <c r="F2214" s="1" t="s">
        <v>38454</v>
      </c>
      <c r="G2214" s="1" t="s">
        <v>38455</v>
      </c>
      <c r="H2214" s="1" t="s">
        <v>38456</v>
      </c>
      <c r="I2214" s="1" t="s">
        <v>38457</v>
      </c>
      <c r="J2214" s="1">
        <v>9024276546</v>
      </c>
      <c r="K2214" s="1" t="s">
        <v>153</v>
      </c>
      <c r="L2214" s="1" t="s">
        <v>17269</v>
      </c>
      <c r="M2214" s="1" t="s">
        <v>86</v>
      </c>
      <c r="N2214" s="1" t="s">
        <v>246</v>
      </c>
      <c r="O2214" s="1"/>
      <c r="P2214" s="1" t="s">
        <v>481</v>
      </c>
      <c r="Q2214" s="1" t="s">
        <v>38458</v>
      </c>
      <c r="R2214" s="1" t="s">
        <v>38459</v>
      </c>
      <c r="S2214" s="1">
        <v>9523278702</v>
      </c>
      <c r="T2214" s="1" t="s">
        <v>38460</v>
      </c>
      <c r="U2214" s="1" t="s">
        <v>38461</v>
      </c>
      <c r="V2214" s="1">
        <v>9155061866</v>
      </c>
      <c r="W2214" s="1" t="s">
        <v>278</v>
      </c>
      <c r="X2214" s="1" t="s">
        <v>38462</v>
      </c>
      <c r="Y2214" s="1" t="s">
        <v>196</v>
      </c>
      <c r="Z2214" s="1" t="s">
        <v>97</v>
      </c>
      <c r="AA2214" s="1" t="s">
        <v>38463</v>
      </c>
      <c r="AB2214" s="1" t="s">
        <v>27001</v>
      </c>
      <c r="AC2214" s="1" t="s">
        <v>2153</v>
      </c>
      <c r="AD2214" s="1">
        <v>8.31</v>
      </c>
      <c r="AE2214" s="1" t="s">
        <v>98</v>
      </c>
      <c r="AF2214" s="1" t="s">
        <v>38464</v>
      </c>
      <c r="AG2214" s="1" t="s">
        <v>38465</v>
      </c>
      <c r="AH2214" s="1" t="s">
        <v>167</v>
      </c>
      <c r="AI2214" s="1" t="s">
        <v>170</v>
      </c>
      <c r="AJ2214" s="1">
        <v>85.5</v>
      </c>
      <c r="AK2214" s="1">
        <v>9</v>
      </c>
      <c r="AL2214" s="1" t="s">
        <v>38466</v>
      </c>
      <c r="AM2214" s="1" t="s">
        <v>38465</v>
      </c>
      <c r="AN2214" s="1" t="s">
        <v>465</v>
      </c>
      <c r="AO2214" s="1" t="s">
        <v>106</v>
      </c>
      <c r="AP2214" s="1" t="s">
        <v>2863</v>
      </c>
      <c r="AQ2214" s="1">
        <v>58.6</v>
      </c>
      <c r="AR2214" s="1"/>
      <c r="AS2214" s="1"/>
      <c r="AT2214" s="1"/>
      <c r="AU2214" s="1"/>
      <c r="AV2214" s="1"/>
      <c r="AW2214" s="1"/>
      <c r="AX2214" s="1"/>
      <c r="AY2214" s="1" t="s">
        <v>38467</v>
      </c>
      <c r="AZ2214" s="1" t="s">
        <v>38468</v>
      </c>
      <c r="BA2214" s="1" t="s">
        <v>466</v>
      </c>
      <c r="BB2214" s="1" t="s">
        <v>38469</v>
      </c>
      <c r="BC2214" s="1" t="s">
        <v>890</v>
      </c>
      <c r="BD2214" s="1" t="s">
        <v>207</v>
      </c>
      <c r="BE2214" s="1">
        <v>83.2</v>
      </c>
      <c r="BF2214" s="1">
        <v>8.82</v>
      </c>
      <c r="BG2214" s="1"/>
      <c r="BH2214" s="1"/>
      <c r="BI2214" s="1"/>
      <c r="BJ2214" s="1"/>
      <c r="BK2214" s="1"/>
      <c r="BL2214" s="1"/>
      <c r="BM2214" s="1"/>
      <c r="BN2214" s="1"/>
      <c r="BO2214" s="1" t="s">
        <v>38470</v>
      </c>
      <c r="BP2214" s="1"/>
      <c r="BQ2214" s="1"/>
      <c r="BR2214" s="1" t="s">
        <v>38471</v>
      </c>
      <c r="BS2214" s="1">
        <v>16</v>
      </c>
      <c r="BT2214" s="1" t="s">
        <v>38472</v>
      </c>
      <c r="BU2214" s="1" t="str">
        <f>HYPERLINK("https://nconnect.nicmar.ac.in/storage/profile/ProfilePhoto_P25703045_971483.jpg","Download")</f>
        <v>0</v>
      </c>
      <c r="BV2214" s="3"/>
      <c r="BW2214" s="3"/>
    </row>
    <row r="2215" spans="1:75">
      <c r="A2215" s="1" t="s">
        <v>35074</v>
      </c>
      <c r="B2215" s="1" t="s">
        <v>446</v>
      </c>
      <c r="C2215" s="1" t="s">
        <v>38473</v>
      </c>
      <c r="D2215" s="1" t="s">
        <v>1294</v>
      </c>
      <c r="E2215" s="1"/>
      <c r="F2215" s="1" t="s">
        <v>38474</v>
      </c>
      <c r="G2215" s="1" t="s">
        <v>38475</v>
      </c>
      <c r="H2215" s="1" t="s">
        <v>38476</v>
      </c>
      <c r="I2215" s="1" t="s">
        <v>38477</v>
      </c>
      <c r="J2215" s="1">
        <v>6370492152</v>
      </c>
      <c r="K2215" s="1" t="s">
        <v>84</v>
      </c>
      <c r="L2215" s="1" t="s">
        <v>8385</v>
      </c>
      <c r="M2215" s="1" t="s">
        <v>86</v>
      </c>
      <c r="N2215" s="1" t="s">
        <v>1573</v>
      </c>
      <c r="O2215" s="1"/>
      <c r="P2215" s="1" t="s">
        <v>455</v>
      </c>
      <c r="Q2215" s="1" t="s">
        <v>38478</v>
      </c>
      <c r="R2215" s="1" t="s">
        <v>38479</v>
      </c>
      <c r="S2215" s="1">
        <v>9938822832</v>
      </c>
      <c r="T2215" s="1" t="s">
        <v>127</v>
      </c>
      <c r="U2215" s="1" t="s">
        <v>38480</v>
      </c>
      <c r="V2215" s="1">
        <v>9178244590</v>
      </c>
      <c r="W2215" s="1" t="s">
        <v>161</v>
      </c>
      <c r="X2215" s="1" t="s">
        <v>38481</v>
      </c>
      <c r="Y2215" s="1" t="s">
        <v>9581</v>
      </c>
      <c r="Z2215" s="1" t="s">
        <v>865</v>
      </c>
      <c r="AA2215" s="1" t="s">
        <v>38481</v>
      </c>
      <c r="AB2215" s="1" t="s">
        <v>9581</v>
      </c>
      <c r="AC2215" s="1" t="s">
        <v>865</v>
      </c>
      <c r="AD2215" s="1">
        <v>7.42</v>
      </c>
      <c r="AE2215" s="1" t="s">
        <v>98</v>
      </c>
      <c r="AF2215" s="1" t="s">
        <v>38482</v>
      </c>
      <c r="AG2215" s="1" t="s">
        <v>38483</v>
      </c>
      <c r="AH2215" s="1" t="s">
        <v>1396</v>
      </c>
      <c r="AI2215" s="1" t="s">
        <v>171</v>
      </c>
      <c r="AJ2215" s="1">
        <v>79.8</v>
      </c>
      <c r="AK2215" s="1"/>
      <c r="AL2215" s="1" t="s">
        <v>38482</v>
      </c>
      <c r="AM2215" s="1" t="s">
        <v>38483</v>
      </c>
      <c r="AN2215" s="1" t="s">
        <v>465</v>
      </c>
      <c r="AO2215" s="1" t="s">
        <v>174</v>
      </c>
      <c r="AP2215" s="1" t="s">
        <v>603</v>
      </c>
      <c r="AQ2215" s="1">
        <v>78.8</v>
      </c>
      <c r="AR2215" s="1"/>
      <c r="AS2215" s="1"/>
      <c r="AT2215" s="1"/>
      <c r="AU2215" s="1"/>
      <c r="AV2215" s="1"/>
      <c r="AW2215" s="1"/>
      <c r="AX2215" s="1"/>
      <c r="AY2215" s="1" t="s">
        <v>9833</v>
      </c>
      <c r="AZ2215" s="1" t="s">
        <v>38484</v>
      </c>
      <c r="BA2215" s="1" t="s">
        <v>466</v>
      </c>
      <c r="BB2215" s="1" t="s">
        <v>38485</v>
      </c>
      <c r="BC2215" s="1" t="s">
        <v>890</v>
      </c>
      <c r="BD2215" s="1" t="s">
        <v>418</v>
      </c>
      <c r="BE2215" s="1">
        <v>73.1</v>
      </c>
      <c r="BF2215" s="1">
        <v>7.81</v>
      </c>
      <c r="BG2215" s="1"/>
      <c r="BH2215" s="1"/>
      <c r="BI2215" s="1"/>
      <c r="BJ2215" s="1"/>
      <c r="BK2215" s="1"/>
      <c r="BL2215" s="1"/>
      <c r="BM2215" s="1"/>
      <c r="BN2215" s="1"/>
      <c r="BO2215" s="1" t="s">
        <v>38486</v>
      </c>
      <c r="BP2215" s="1"/>
      <c r="BQ2215" s="1"/>
      <c r="BR2215" s="1" t="s">
        <v>38487</v>
      </c>
      <c r="BS2215" s="1">
        <v>8</v>
      </c>
      <c r="BT2215" s="1" t="s">
        <v>38488</v>
      </c>
      <c r="BU2215" s="1" t="str">
        <f>HYPERLINK("https://nconnect.nicmar.ac.in/storage/profile/ProfilePhoto_P25703046_682913.jpg","Download")</f>
        <v>0</v>
      </c>
      <c r="BV2215" s="3"/>
      <c r="BW2215" s="3"/>
    </row>
    <row r="2216" spans="1:75">
      <c r="A2216" s="1" t="s">
        <v>35074</v>
      </c>
      <c r="B2216" s="1" t="s">
        <v>446</v>
      </c>
      <c r="C2216" s="1" t="s">
        <v>38489</v>
      </c>
      <c r="D2216" s="1" t="s">
        <v>1997</v>
      </c>
      <c r="E2216" s="1" t="s">
        <v>38490</v>
      </c>
      <c r="F2216" s="1" t="s">
        <v>38491</v>
      </c>
      <c r="G2216" s="1" t="s">
        <v>38492</v>
      </c>
      <c r="H2216" s="1" t="s">
        <v>38493</v>
      </c>
      <c r="I2216" s="1" t="s">
        <v>38494</v>
      </c>
      <c r="J2216" s="1">
        <v>7848078191</v>
      </c>
      <c r="K2216" s="1" t="s">
        <v>153</v>
      </c>
      <c r="L2216" s="1" t="s">
        <v>38495</v>
      </c>
      <c r="M2216" s="1" t="s">
        <v>86</v>
      </c>
      <c r="N2216" s="1" t="s">
        <v>38496</v>
      </c>
      <c r="O2216" s="1"/>
      <c r="P2216" s="1" t="s">
        <v>455</v>
      </c>
      <c r="Q2216" s="1" t="s">
        <v>38497</v>
      </c>
      <c r="R2216" s="1" t="s">
        <v>38498</v>
      </c>
      <c r="S2216" s="1">
        <v>9040408070</v>
      </c>
      <c r="T2216" s="1" t="s">
        <v>926</v>
      </c>
      <c r="U2216" s="1" t="s">
        <v>38499</v>
      </c>
      <c r="V2216" s="1">
        <v>7008432431</v>
      </c>
      <c r="W2216" s="1" t="s">
        <v>94</v>
      </c>
      <c r="X2216" s="1" t="s">
        <v>38500</v>
      </c>
      <c r="Y2216" s="1" t="s">
        <v>4437</v>
      </c>
      <c r="Z2216" s="1" t="s">
        <v>865</v>
      </c>
      <c r="AA2216" s="1" t="s">
        <v>38500</v>
      </c>
      <c r="AB2216" s="1" t="s">
        <v>4437</v>
      </c>
      <c r="AC2216" s="1" t="s">
        <v>865</v>
      </c>
      <c r="AD2216" s="1">
        <v>7.92</v>
      </c>
      <c r="AE2216" s="1" t="s">
        <v>98</v>
      </c>
      <c r="AF2216" s="1" t="s">
        <v>38501</v>
      </c>
      <c r="AG2216" s="1" t="s">
        <v>38502</v>
      </c>
      <c r="AH2216" s="1" t="s">
        <v>438</v>
      </c>
      <c r="AI2216" s="1" t="s">
        <v>603</v>
      </c>
      <c r="AJ2216" s="1">
        <v>68</v>
      </c>
      <c r="AK2216" s="1">
        <v>0</v>
      </c>
      <c r="AL2216" s="1" t="s">
        <v>38503</v>
      </c>
      <c r="AM2216" s="1" t="s">
        <v>38504</v>
      </c>
      <c r="AN2216" s="1" t="s">
        <v>35580</v>
      </c>
      <c r="AO2216" s="1" t="s">
        <v>847</v>
      </c>
      <c r="AP2216" s="1" t="s">
        <v>1886</v>
      </c>
      <c r="AQ2216" s="1">
        <v>81.6</v>
      </c>
      <c r="AR2216" s="1">
        <v>0</v>
      </c>
      <c r="AS2216" s="1"/>
      <c r="AT2216" s="1"/>
      <c r="AU2216" s="1"/>
      <c r="AV2216" s="1"/>
      <c r="AW2216" s="1"/>
      <c r="AX2216" s="1"/>
      <c r="AY2216" s="1" t="s">
        <v>38505</v>
      </c>
      <c r="AZ2216" s="1" t="s">
        <v>38506</v>
      </c>
      <c r="BA2216" s="1" t="s">
        <v>35582</v>
      </c>
      <c r="BB2216" s="1" t="s">
        <v>38507</v>
      </c>
      <c r="BC2216" s="1" t="s">
        <v>1802</v>
      </c>
      <c r="BD2216" s="1" t="s">
        <v>8670</v>
      </c>
      <c r="BE2216" s="1">
        <v>76.5</v>
      </c>
      <c r="BF2216" s="1">
        <v>8.15</v>
      </c>
      <c r="BG2216" s="1"/>
      <c r="BH2216" s="1"/>
      <c r="BI2216" s="1"/>
      <c r="BJ2216" s="1"/>
      <c r="BK2216" s="1"/>
      <c r="BL2216" s="1"/>
      <c r="BM2216" s="1"/>
      <c r="BN2216" s="1"/>
      <c r="BO2216" s="1" t="s">
        <v>1890</v>
      </c>
      <c r="BP2216" s="1"/>
      <c r="BQ2216" s="1"/>
      <c r="BR2216" s="1" t="s">
        <v>38508</v>
      </c>
      <c r="BS2216" s="1">
        <v>17</v>
      </c>
      <c r="BT2216" s="1" t="s">
        <v>38509</v>
      </c>
      <c r="BU2216" s="1" t="str">
        <f>HYPERLINK("https://nconnect.nicmar.ac.in/storage/profile/ProfilePhoto_P25703047_245896.jpg","Download")</f>
        <v>0</v>
      </c>
      <c r="BV2216" s="3"/>
      <c r="BW2216" s="3"/>
    </row>
    <row r="2217" spans="1:75">
      <c r="A2217" s="1" t="s">
        <v>35074</v>
      </c>
      <c r="B2217" s="1" t="s">
        <v>446</v>
      </c>
      <c r="C2217" s="1" t="s">
        <v>38510</v>
      </c>
      <c r="D2217" s="1" t="s">
        <v>875</v>
      </c>
      <c r="E2217" s="1"/>
      <c r="F2217" s="1" t="s">
        <v>28313</v>
      </c>
      <c r="G2217" s="1" t="s">
        <v>38511</v>
      </c>
      <c r="H2217" s="1" t="s">
        <v>38512</v>
      </c>
      <c r="I2217" s="1" t="s">
        <v>38513</v>
      </c>
      <c r="J2217" s="1">
        <v>8219925916</v>
      </c>
      <c r="K2217" s="1" t="s">
        <v>84</v>
      </c>
      <c r="L2217" s="1" t="s">
        <v>16502</v>
      </c>
      <c r="M2217" s="1" t="s">
        <v>86</v>
      </c>
      <c r="N2217" s="1" t="s">
        <v>4278</v>
      </c>
      <c r="O2217" s="1" t="s">
        <v>38514</v>
      </c>
      <c r="P2217" s="1" t="s">
        <v>1028</v>
      </c>
      <c r="Q2217" s="1" t="s">
        <v>38515</v>
      </c>
      <c r="R2217" s="1" t="s">
        <v>38516</v>
      </c>
      <c r="S2217" s="1">
        <v>7876661552</v>
      </c>
      <c r="T2217" s="1" t="s">
        <v>539</v>
      </c>
      <c r="U2217" s="1" t="s">
        <v>38517</v>
      </c>
      <c r="V2217" s="1">
        <v>8219703855</v>
      </c>
      <c r="W2217" s="1" t="s">
        <v>94</v>
      </c>
      <c r="X2217" s="1" t="s">
        <v>38518</v>
      </c>
      <c r="Y2217" s="1" t="s">
        <v>3902</v>
      </c>
      <c r="Z2217" s="1" t="s">
        <v>2608</v>
      </c>
      <c r="AA2217" s="1" t="s">
        <v>38518</v>
      </c>
      <c r="AB2217" s="1" t="s">
        <v>3902</v>
      </c>
      <c r="AC2217" s="1" t="s">
        <v>2608</v>
      </c>
      <c r="AD2217" s="1">
        <v>7.7</v>
      </c>
      <c r="AE2217" s="1" t="s">
        <v>98</v>
      </c>
      <c r="AF2217" s="1" t="s">
        <v>38519</v>
      </c>
      <c r="AG2217" s="1" t="s">
        <v>312</v>
      </c>
      <c r="AH2217" s="1" t="s">
        <v>286</v>
      </c>
      <c r="AI2217" s="1" t="s">
        <v>313</v>
      </c>
      <c r="AJ2217" s="1">
        <v>84.6</v>
      </c>
      <c r="AK2217" s="1"/>
      <c r="AL2217" s="1" t="s">
        <v>38519</v>
      </c>
      <c r="AM2217" s="1" t="s">
        <v>312</v>
      </c>
      <c r="AN2217" s="1" t="s">
        <v>35580</v>
      </c>
      <c r="AO2217" s="1" t="s">
        <v>365</v>
      </c>
      <c r="AP2217" s="1" t="s">
        <v>549</v>
      </c>
      <c r="AQ2217" s="1">
        <v>90.4</v>
      </c>
      <c r="AR2217" s="1"/>
      <c r="AS2217" s="1"/>
      <c r="AT2217" s="1"/>
      <c r="AU2217" s="1"/>
      <c r="AV2217" s="1"/>
      <c r="AW2217" s="1"/>
      <c r="AX2217" s="1"/>
      <c r="AY2217" s="1" t="s">
        <v>33615</v>
      </c>
      <c r="AZ2217" s="1" t="s">
        <v>38520</v>
      </c>
      <c r="BA2217" s="1" t="s">
        <v>37920</v>
      </c>
      <c r="BB2217" s="1" t="s">
        <v>38521</v>
      </c>
      <c r="BC2217" s="1" t="s">
        <v>552</v>
      </c>
      <c r="BD2217" s="1" t="s">
        <v>1242</v>
      </c>
      <c r="BE2217" s="1">
        <v>83.3</v>
      </c>
      <c r="BF2217" s="1">
        <v>8.33</v>
      </c>
      <c r="BG2217" s="1"/>
      <c r="BH2217" s="1"/>
      <c r="BI2217" s="1"/>
      <c r="BJ2217" s="1"/>
      <c r="BK2217" s="1"/>
      <c r="BL2217" s="1"/>
      <c r="BM2217" s="1"/>
      <c r="BN2217" s="1"/>
      <c r="BO2217" s="1" t="s">
        <v>38522</v>
      </c>
      <c r="BP2217" s="1"/>
      <c r="BQ2217" s="1"/>
      <c r="BR2217" s="1" t="s">
        <v>38523</v>
      </c>
      <c r="BS2217" s="1">
        <v>43</v>
      </c>
      <c r="BT2217" s="1"/>
      <c r="BU2217" s="1" t="str">
        <f>HYPERLINK("https://nconnect.nicmar.ac.in/storage/profile/ProfilePhoto_P25703048_983516.jpg","Download")</f>
        <v>0</v>
      </c>
      <c r="BV2217" s="3"/>
      <c r="BW2217" s="3"/>
    </row>
    <row r="2218" spans="1:75">
      <c r="A2218" s="1" t="s">
        <v>35074</v>
      </c>
      <c r="B2218" s="1" t="s">
        <v>446</v>
      </c>
      <c r="C2218" s="1" t="s">
        <v>38524</v>
      </c>
      <c r="D2218" s="1" t="s">
        <v>13333</v>
      </c>
      <c r="E2218" s="1"/>
      <c r="F2218" s="1" t="s">
        <v>38525</v>
      </c>
      <c r="G2218" s="1" t="s">
        <v>38526</v>
      </c>
      <c r="H2218" s="1" t="s">
        <v>38527</v>
      </c>
      <c r="I2218" s="1" t="s">
        <v>38528</v>
      </c>
      <c r="J2218" s="1">
        <v>9503521182</v>
      </c>
      <c r="K2218" s="1" t="s">
        <v>153</v>
      </c>
      <c r="L2218" s="1" t="s">
        <v>38529</v>
      </c>
      <c r="M2218" s="1" t="s">
        <v>155</v>
      </c>
      <c r="N2218" s="1" t="s">
        <v>4278</v>
      </c>
      <c r="O2218" s="1" t="s">
        <v>38530</v>
      </c>
      <c r="P2218" s="1" t="s">
        <v>122</v>
      </c>
      <c r="Q2218" s="1" t="s">
        <v>38531</v>
      </c>
      <c r="R2218" s="1" t="s">
        <v>38532</v>
      </c>
      <c r="S2218" s="1">
        <v>9413108658</v>
      </c>
      <c r="T2218" s="1" t="s">
        <v>839</v>
      </c>
      <c r="U2218" s="1" t="s">
        <v>38533</v>
      </c>
      <c r="V2218" s="1">
        <v>9024555685</v>
      </c>
      <c r="W2218" s="1" t="s">
        <v>94</v>
      </c>
      <c r="X2218" s="1" t="s">
        <v>38534</v>
      </c>
      <c r="Y2218" s="1" t="s">
        <v>196</v>
      </c>
      <c r="Z2218" s="1" t="s">
        <v>97</v>
      </c>
      <c r="AA2218" s="1" t="s">
        <v>38534</v>
      </c>
      <c r="AB2218" s="1" t="s">
        <v>196</v>
      </c>
      <c r="AC2218" s="1" t="s">
        <v>97</v>
      </c>
      <c r="AD2218" s="1">
        <v>9.45</v>
      </c>
      <c r="AE2218" s="1" t="s">
        <v>98</v>
      </c>
      <c r="AF2218" s="1" t="s">
        <v>38535</v>
      </c>
      <c r="AG2218" s="1" t="s">
        <v>38536</v>
      </c>
      <c r="AH2218" s="1" t="s">
        <v>1393</v>
      </c>
      <c r="AI2218" s="1" t="s">
        <v>38537</v>
      </c>
      <c r="AJ2218" s="1">
        <v>68</v>
      </c>
      <c r="AK2218" s="1"/>
      <c r="AL2218" s="1" t="s">
        <v>38538</v>
      </c>
      <c r="AM2218" s="1" t="s">
        <v>38536</v>
      </c>
      <c r="AN2218" s="1" t="s">
        <v>35580</v>
      </c>
      <c r="AO2218" s="1" t="s">
        <v>34284</v>
      </c>
      <c r="AP2218" s="1" t="s">
        <v>16191</v>
      </c>
      <c r="AQ2218" s="1">
        <v>68.31</v>
      </c>
      <c r="AR2218" s="1"/>
      <c r="AS2218" s="1"/>
      <c r="AT2218" s="1"/>
      <c r="AU2218" s="1"/>
      <c r="AV2218" s="1"/>
      <c r="AW2218" s="1"/>
      <c r="AX2218" s="1"/>
      <c r="AY2218" s="1" t="s">
        <v>38539</v>
      </c>
      <c r="AZ2218" s="1" t="s">
        <v>38540</v>
      </c>
      <c r="BA2218" s="1" t="s">
        <v>35582</v>
      </c>
      <c r="BB2218" s="1" t="s">
        <v>35583</v>
      </c>
      <c r="BC2218" s="1" t="s">
        <v>16191</v>
      </c>
      <c r="BD2218" s="1" t="s">
        <v>2030</v>
      </c>
      <c r="BE2218" s="1">
        <v>57.72</v>
      </c>
      <c r="BF2218" s="1"/>
      <c r="BG2218" s="1" t="s">
        <v>38541</v>
      </c>
      <c r="BH2218" s="1" t="s">
        <v>23827</v>
      </c>
      <c r="BI2218" s="1"/>
      <c r="BJ2218" s="1"/>
      <c r="BK2218" s="1" t="s">
        <v>31156</v>
      </c>
      <c r="BL2218" s="1" t="s">
        <v>29186</v>
      </c>
      <c r="BM2218" s="1">
        <v>56.55</v>
      </c>
      <c r="BN2218" s="1"/>
      <c r="BO2218" s="1" t="s">
        <v>38542</v>
      </c>
      <c r="BP2218" s="1" t="s">
        <v>38543</v>
      </c>
      <c r="BQ2218" s="1" t="s">
        <v>38544</v>
      </c>
      <c r="BR2218" s="1" t="s">
        <v>38545</v>
      </c>
      <c r="BS2218" s="1">
        <v>190</v>
      </c>
      <c r="BT2218" s="1" t="s">
        <v>38546</v>
      </c>
      <c r="BU2218" s="1" t="str">
        <f>HYPERLINK("https://nconnect.nicmar.ac.in/storage/profile/ProfilePhoto_P25703049_251834.jpg","Download")</f>
        <v>0</v>
      </c>
      <c r="BV2218" s="3"/>
      <c r="BW2218" s="3"/>
    </row>
    <row r="2219" spans="1:75">
      <c r="A2219" s="1" t="s">
        <v>35074</v>
      </c>
      <c r="B2219" s="1" t="s">
        <v>446</v>
      </c>
      <c r="C2219" s="1" t="s">
        <v>38547</v>
      </c>
      <c r="D2219" s="1" t="s">
        <v>11469</v>
      </c>
      <c r="E2219" s="1" t="s">
        <v>12994</v>
      </c>
      <c r="F2219" s="1" t="s">
        <v>20924</v>
      </c>
      <c r="G2219" s="1" t="s">
        <v>38548</v>
      </c>
      <c r="H2219" s="1" t="s">
        <v>38549</v>
      </c>
      <c r="I2219" s="1" t="s">
        <v>38550</v>
      </c>
      <c r="J2219" s="1">
        <v>9307233096</v>
      </c>
      <c r="K2219" s="1" t="s">
        <v>84</v>
      </c>
      <c r="L2219" s="1" t="s">
        <v>38551</v>
      </c>
      <c r="M2219" s="1" t="s">
        <v>86</v>
      </c>
      <c r="N2219" s="1" t="s">
        <v>38552</v>
      </c>
      <c r="O2219" s="1" t="s">
        <v>38553</v>
      </c>
      <c r="P2219" s="1" t="s">
        <v>1028</v>
      </c>
      <c r="Q2219" s="1" t="s">
        <v>38554</v>
      </c>
      <c r="R2219" s="1" t="s">
        <v>38555</v>
      </c>
      <c r="S2219" s="1">
        <v>8208380543</v>
      </c>
      <c r="T2219" s="1" t="s">
        <v>159</v>
      </c>
      <c r="U2219" s="1" t="s">
        <v>38556</v>
      </c>
      <c r="V2219" s="1">
        <v>7972675544</v>
      </c>
      <c r="W2219" s="1" t="s">
        <v>161</v>
      </c>
      <c r="X2219" s="1" t="s">
        <v>38557</v>
      </c>
      <c r="Y2219" s="1" t="s">
        <v>196</v>
      </c>
      <c r="Z2219" s="1" t="s">
        <v>97</v>
      </c>
      <c r="AA2219" s="1" t="s">
        <v>38558</v>
      </c>
      <c r="AB2219" s="1" t="s">
        <v>1033</v>
      </c>
      <c r="AC2219" s="1" t="s">
        <v>97</v>
      </c>
      <c r="AD2219" s="1">
        <v>0.0</v>
      </c>
      <c r="AE2219" s="1" t="s">
        <v>98</v>
      </c>
      <c r="AF2219" s="1" t="s">
        <v>38559</v>
      </c>
      <c r="AG2219" s="1" t="s">
        <v>996</v>
      </c>
      <c r="AH2219" s="1" t="s">
        <v>167</v>
      </c>
      <c r="AI2219" s="1" t="s">
        <v>170</v>
      </c>
      <c r="AJ2219" s="1">
        <v>88.8</v>
      </c>
      <c r="AK2219" s="1">
        <v>0</v>
      </c>
      <c r="AL2219" s="1" t="s">
        <v>38560</v>
      </c>
      <c r="AM2219" s="1" t="s">
        <v>38561</v>
      </c>
      <c r="AN2219" s="1"/>
      <c r="AO2219" s="1" t="s">
        <v>106</v>
      </c>
      <c r="AP2219" s="1" t="s">
        <v>438</v>
      </c>
      <c r="AQ2219" s="1">
        <v>63.69</v>
      </c>
      <c r="AR2219" s="1">
        <v>0</v>
      </c>
      <c r="AS2219" s="1"/>
      <c r="AT2219" s="1"/>
      <c r="AU2219" s="1"/>
      <c r="AV2219" s="1"/>
      <c r="AW2219" s="1"/>
      <c r="AX2219" s="1"/>
      <c r="AY2219" s="1" t="s">
        <v>1887</v>
      </c>
      <c r="AZ2219" s="1" t="s">
        <v>38562</v>
      </c>
      <c r="BA2219" s="1"/>
      <c r="BB2219" s="1"/>
      <c r="BC2219" s="1" t="s">
        <v>315</v>
      </c>
      <c r="BD2219" s="1" t="s">
        <v>7385</v>
      </c>
      <c r="BE2219" s="1">
        <v>55</v>
      </c>
      <c r="BF2219" s="1">
        <v>6.02</v>
      </c>
      <c r="BG2219" s="1"/>
      <c r="BH2219" s="1"/>
      <c r="BI2219" s="1"/>
      <c r="BJ2219" s="1"/>
      <c r="BK2219" s="1"/>
      <c r="BL2219" s="1"/>
      <c r="BM2219" s="1"/>
      <c r="BN2219" s="1"/>
      <c r="BO2219" s="1" t="s">
        <v>38563</v>
      </c>
      <c r="BP2219" s="1" t="s">
        <v>38564</v>
      </c>
      <c r="BQ2219" s="1" t="s">
        <v>1357</v>
      </c>
      <c r="BR2219" s="1" t="s">
        <v>38565</v>
      </c>
      <c r="BS2219" s="1">
        <v>30</v>
      </c>
      <c r="BT2219" s="1"/>
      <c r="BU2219" s="1" t="str">
        <f>HYPERLINK("https://nconnect.nicmar.ac.in/storage/profile/ProfilePhoto_P25703050_934657.jpg","Download")</f>
        <v>0</v>
      </c>
      <c r="BV2219" s="3"/>
      <c r="BW2219" s="3"/>
    </row>
    <row r="2220" spans="1:75">
      <c r="A2220" s="1" t="s">
        <v>35074</v>
      </c>
      <c r="B2220" s="1" t="s">
        <v>446</v>
      </c>
      <c r="C2220" s="1" t="s">
        <v>38566</v>
      </c>
      <c r="D2220" s="1" t="s">
        <v>38567</v>
      </c>
      <c r="E2220" s="1"/>
      <c r="F2220" s="1" t="s">
        <v>33471</v>
      </c>
      <c r="G2220" s="1" t="s">
        <v>38568</v>
      </c>
      <c r="H2220" s="1" t="s">
        <v>38569</v>
      </c>
      <c r="I2220" s="1" t="s">
        <v>38570</v>
      </c>
      <c r="J2220" s="1">
        <v>9149518010</v>
      </c>
      <c r="K2220" s="1" t="s">
        <v>153</v>
      </c>
      <c r="L2220" s="1" t="s">
        <v>38571</v>
      </c>
      <c r="M2220" s="1" t="s">
        <v>86</v>
      </c>
      <c r="N2220" s="1" t="s">
        <v>38572</v>
      </c>
      <c r="O2220" s="1" t="s">
        <v>38573</v>
      </c>
      <c r="P2220" s="1" t="s">
        <v>1028</v>
      </c>
      <c r="Q2220" s="1" t="s">
        <v>38574</v>
      </c>
      <c r="R2220" s="1" t="s">
        <v>38575</v>
      </c>
      <c r="S2220" s="1">
        <v>9906272595</v>
      </c>
      <c r="T2220" s="1" t="s">
        <v>1620</v>
      </c>
      <c r="U2220" s="1" t="s">
        <v>38576</v>
      </c>
      <c r="V2220" s="1">
        <v>9596953999</v>
      </c>
      <c r="W2220" s="1" t="s">
        <v>161</v>
      </c>
      <c r="X2220" s="1" t="s">
        <v>38577</v>
      </c>
      <c r="Y2220" s="1" t="s">
        <v>38578</v>
      </c>
      <c r="Z2220" s="1" t="s">
        <v>8896</v>
      </c>
      <c r="AA2220" s="1" t="s">
        <v>38577</v>
      </c>
      <c r="AB2220" s="1" t="s">
        <v>38578</v>
      </c>
      <c r="AC2220" s="1" t="s">
        <v>8896</v>
      </c>
      <c r="AD2220" s="1">
        <v>7.34</v>
      </c>
      <c r="AE2220" s="1" t="s">
        <v>98</v>
      </c>
      <c r="AF2220" s="1" t="s">
        <v>38579</v>
      </c>
      <c r="AG2220" s="1" t="s">
        <v>38580</v>
      </c>
      <c r="AH2220" s="1" t="s">
        <v>490</v>
      </c>
      <c r="AI2220" s="1" t="s">
        <v>313</v>
      </c>
      <c r="AJ2220" s="1">
        <v>91.2</v>
      </c>
      <c r="AK2220" s="1">
        <v>9.6</v>
      </c>
      <c r="AL2220" s="1" t="s">
        <v>38581</v>
      </c>
      <c r="AM2220" s="1" t="s">
        <v>38582</v>
      </c>
      <c r="AN2220" s="1" t="s">
        <v>6323</v>
      </c>
      <c r="AO2220" s="1" t="s">
        <v>977</v>
      </c>
      <c r="AP2220" s="1" t="s">
        <v>549</v>
      </c>
      <c r="AQ2220" s="1">
        <v>75.6</v>
      </c>
      <c r="AR2220" s="1"/>
      <c r="AS2220" s="1"/>
      <c r="AT2220" s="1"/>
      <c r="AU2220" s="1"/>
      <c r="AV2220" s="1"/>
      <c r="AW2220" s="1"/>
      <c r="AX2220" s="1"/>
      <c r="AY2220" s="1" t="s">
        <v>38583</v>
      </c>
      <c r="AZ2220" s="1" t="s">
        <v>38583</v>
      </c>
      <c r="BA2220" s="1" t="s">
        <v>35549</v>
      </c>
      <c r="BB2220" s="1" t="s">
        <v>35615</v>
      </c>
      <c r="BC2220" s="1" t="s">
        <v>606</v>
      </c>
      <c r="BD2220" s="1" t="s">
        <v>207</v>
      </c>
      <c r="BE2220" s="1">
        <v>67.2</v>
      </c>
      <c r="BF2220" s="1">
        <v>6.72</v>
      </c>
      <c r="BG2220" s="1"/>
      <c r="BH2220" s="1"/>
      <c r="BI2220" s="1"/>
      <c r="BJ2220" s="1"/>
      <c r="BK2220" s="1"/>
      <c r="BL2220" s="1"/>
      <c r="BM2220" s="1"/>
      <c r="BN2220" s="1"/>
      <c r="BO2220" s="1" t="s">
        <v>1890</v>
      </c>
      <c r="BP2220" s="1"/>
      <c r="BQ2220" s="1"/>
      <c r="BR2220" s="1" t="s">
        <v>38584</v>
      </c>
      <c r="BS2220" s="1">
        <v>14</v>
      </c>
      <c r="BT2220" s="1" t="s">
        <v>38585</v>
      </c>
      <c r="BU2220" s="1" t="str">
        <f>HYPERLINK("https://nconnect.nicmar.ac.in/storage/profile/ProfilePhoto_P25703051_276439.jpg","Download")</f>
        <v>0</v>
      </c>
      <c r="BV2220" s="3"/>
      <c r="BW2220" s="3"/>
    </row>
    <row r="2221" spans="1:75">
      <c r="A2221" s="1" t="s">
        <v>35074</v>
      </c>
      <c r="B2221" s="1" t="s">
        <v>446</v>
      </c>
      <c r="C2221" s="1" t="s">
        <v>38586</v>
      </c>
      <c r="D2221" s="1" t="s">
        <v>38587</v>
      </c>
      <c r="E2221" s="1" t="s">
        <v>1320</v>
      </c>
      <c r="F2221" s="1" t="s">
        <v>960</v>
      </c>
      <c r="G2221" s="1" t="s">
        <v>38588</v>
      </c>
      <c r="H2221" s="1" t="s">
        <v>38589</v>
      </c>
      <c r="I2221" s="1" t="s">
        <v>38590</v>
      </c>
      <c r="J2221" s="1">
        <v>8789287176</v>
      </c>
      <c r="K2221" s="1" t="s">
        <v>84</v>
      </c>
      <c r="L2221" s="1" t="s">
        <v>7151</v>
      </c>
      <c r="M2221" s="1" t="s">
        <v>86</v>
      </c>
      <c r="N2221" s="1" t="s">
        <v>2081</v>
      </c>
      <c r="O2221" s="1"/>
      <c r="P2221" s="1" t="s">
        <v>481</v>
      </c>
      <c r="Q2221" s="1" t="s">
        <v>38591</v>
      </c>
      <c r="R2221" s="1" t="s">
        <v>38592</v>
      </c>
      <c r="S2221" s="1">
        <v>8539077469</v>
      </c>
      <c r="T2221" s="1" t="s">
        <v>5507</v>
      </c>
      <c r="U2221" s="1" t="s">
        <v>38593</v>
      </c>
      <c r="V2221" s="1">
        <v>9430286828</v>
      </c>
      <c r="W2221" s="1" t="s">
        <v>161</v>
      </c>
      <c r="X2221" s="1" t="s">
        <v>38594</v>
      </c>
      <c r="Y2221" s="1" t="s">
        <v>196</v>
      </c>
      <c r="Z2221" s="1" t="s">
        <v>97</v>
      </c>
      <c r="AA2221" s="1" t="s">
        <v>38595</v>
      </c>
      <c r="AB2221" s="1" t="s">
        <v>648</v>
      </c>
      <c r="AC2221" s="1" t="s">
        <v>649</v>
      </c>
      <c r="AD2221" s="1">
        <v>7.26</v>
      </c>
      <c r="AE2221" s="1" t="s">
        <v>98</v>
      </c>
      <c r="AF2221" s="1" t="s">
        <v>38596</v>
      </c>
      <c r="AG2221" s="1" t="s">
        <v>9059</v>
      </c>
      <c r="AH2221" s="1" t="s">
        <v>3923</v>
      </c>
      <c r="AI2221" s="1" t="s">
        <v>171</v>
      </c>
      <c r="AJ2221" s="1">
        <v>58.5</v>
      </c>
      <c r="AK2221" s="1"/>
      <c r="AL2221" s="1" t="s">
        <v>38596</v>
      </c>
      <c r="AM2221" s="1" t="s">
        <v>9059</v>
      </c>
      <c r="AN2221" s="1"/>
      <c r="AO2221" s="1" t="s">
        <v>174</v>
      </c>
      <c r="AP2221" s="1" t="s">
        <v>178</v>
      </c>
      <c r="AQ2221" s="1">
        <v>61.4</v>
      </c>
      <c r="AR2221" s="1"/>
      <c r="AS2221" s="1"/>
      <c r="AT2221" s="1"/>
      <c r="AU2221" s="1"/>
      <c r="AV2221" s="1"/>
      <c r="AW2221" s="1"/>
      <c r="AX2221" s="1"/>
      <c r="AY2221" s="1" t="s">
        <v>8729</v>
      </c>
      <c r="AZ2221" s="1" t="s">
        <v>38597</v>
      </c>
      <c r="BA2221" s="1"/>
      <c r="BB2221" s="1"/>
      <c r="BC2221" s="1" t="s">
        <v>441</v>
      </c>
      <c r="BD2221" s="1" t="s">
        <v>2383</v>
      </c>
      <c r="BE2221" s="1">
        <v>72.87</v>
      </c>
      <c r="BF2221" s="1">
        <v>7.67</v>
      </c>
      <c r="BG2221" s="1"/>
      <c r="BH2221" s="1"/>
      <c r="BI2221" s="1"/>
      <c r="BJ2221" s="1"/>
      <c r="BK2221" s="1"/>
      <c r="BL2221" s="1"/>
      <c r="BM2221" s="1"/>
      <c r="BN2221" s="1"/>
      <c r="BO2221" s="1" t="s">
        <v>1890</v>
      </c>
      <c r="BP2221" s="1"/>
      <c r="BQ2221" s="1"/>
      <c r="BR2221" s="1" t="s">
        <v>38598</v>
      </c>
      <c r="BS2221" s="1">
        <v>8</v>
      </c>
      <c r="BT2221" s="1" t="s">
        <v>38599</v>
      </c>
      <c r="BU2221" s="1" t="str">
        <f>HYPERLINK("https://nconnect.nicmar.ac.in/storage/profile/ProfilePhoto_P25703052_721359.jpg","Download")</f>
        <v>0</v>
      </c>
      <c r="BV2221" s="3"/>
      <c r="BW2221" s="3"/>
    </row>
    <row r="2222" spans="1:75">
      <c r="A2222" s="1" t="s">
        <v>35074</v>
      </c>
      <c r="B2222" s="1" t="s">
        <v>446</v>
      </c>
      <c r="C2222" s="1" t="s">
        <v>38600</v>
      </c>
      <c r="D2222" s="1" t="s">
        <v>6946</v>
      </c>
      <c r="E2222" s="1" t="s">
        <v>5753</v>
      </c>
      <c r="F2222" s="1" t="s">
        <v>3101</v>
      </c>
      <c r="G2222" s="1" t="s">
        <v>38601</v>
      </c>
      <c r="H2222" s="1" t="s">
        <v>38602</v>
      </c>
      <c r="I2222" s="1" t="s">
        <v>38603</v>
      </c>
      <c r="J2222" s="1">
        <v>7757997698</v>
      </c>
      <c r="K2222" s="1" t="s">
        <v>84</v>
      </c>
      <c r="L2222" s="1" t="s">
        <v>38604</v>
      </c>
      <c r="M2222" s="1" t="s">
        <v>86</v>
      </c>
      <c r="N2222" s="1" t="s">
        <v>3568</v>
      </c>
      <c r="O2222" s="1"/>
      <c r="P2222" s="1" t="s">
        <v>507</v>
      </c>
      <c r="Q2222" s="1" t="s">
        <v>38605</v>
      </c>
      <c r="R2222" s="1" t="s">
        <v>5753</v>
      </c>
      <c r="S2222" s="1">
        <v>9850240410</v>
      </c>
      <c r="T2222" s="1" t="s">
        <v>839</v>
      </c>
      <c r="U2222" s="1" t="s">
        <v>3000</v>
      </c>
      <c r="V2222" s="1">
        <v>8600358985</v>
      </c>
      <c r="W2222" s="1" t="s">
        <v>839</v>
      </c>
      <c r="X2222" s="1" t="s">
        <v>38606</v>
      </c>
      <c r="Y2222" s="1" t="s">
        <v>96</v>
      </c>
      <c r="Z2222" s="1" t="s">
        <v>97</v>
      </c>
      <c r="AA2222" s="1" t="s">
        <v>38606</v>
      </c>
      <c r="AB2222" s="1" t="s">
        <v>96</v>
      </c>
      <c r="AC2222" s="1" t="s">
        <v>97</v>
      </c>
      <c r="AD2222" s="1">
        <v>0.0</v>
      </c>
      <c r="AE2222" s="1" t="s">
        <v>98</v>
      </c>
      <c r="AF2222" s="1" t="s">
        <v>38607</v>
      </c>
      <c r="AG2222" s="1" t="s">
        <v>165</v>
      </c>
      <c r="AH2222" s="1" t="s">
        <v>106</v>
      </c>
      <c r="AI2222" s="1" t="s">
        <v>414</v>
      </c>
      <c r="AJ2222" s="1">
        <v>60.8</v>
      </c>
      <c r="AK2222" s="1"/>
      <c r="AL2222" s="1" t="s">
        <v>38608</v>
      </c>
      <c r="AM2222" s="1" t="s">
        <v>165</v>
      </c>
      <c r="AN2222" s="1"/>
      <c r="AO2222" s="1" t="s">
        <v>468</v>
      </c>
      <c r="AP2222" s="1" t="s">
        <v>1192</v>
      </c>
      <c r="AQ2222" s="1">
        <v>76.83</v>
      </c>
      <c r="AR2222" s="1"/>
      <c r="AS2222" s="1"/>
      <c r="AT2222" s="1"/>
      <c r="AU2222" s="1"/>
      <c r="AV2222" s="1"/>
      <c r="AW2222" s="1"/>
      <c r="AX2222" s="1"/>
      <c r="AY2222" s="1" t="s">
        <v>38609</v>
      </c>
      <c r="AZ2222" s="1" t="s">
        <v>4402</v>
      </c>
      <c r="BA2222" s="1"/>
      <c r="BB2222" s="1"/>
      <c r="BC2222" s="1" t="s">
        <v>606</v>
      </c>
      <c r="BD2222" s="1" t="s">
        <v>1314</v>
      </c>
      <c r="BE2222" s="1">
        <v>67.1</v>
      </c>
      <c r="BF2222" s="1">
        <v>6.71</v>
      </c>
      <c r="BG2222" s="1"/>
      <c r="BH2222" s="1"/>
      <c r="BI2222" s="1"/>
      <c r="BJ2222" s="1"/>
      <c r="BK2222" s="1"/>
      <c r="BL2222" s="1"/>
      <c r="BM2222" s="1"/>
      <c r="BN2222" s="1"/>
      <c r="BO2222" s="1" t="s">
        <v>38610</v>
      </c>
      <c r="BP2222" s="1"/>
      <c r="BQ2222" s="1"/>
      <c r="BR2222" s="1" t="s">
        <v>38611</v>
      </c>
      <c r="BS2222" s="1">
        <v>9</v>
      </c>
      <c r="BT2222" s="1"/>
      <c r="BU2222" s="1" t="str">
        <f>HYPERLINK("https://nconnect.nicmar.ac.in/storage/profile/ProfilePhoto_P25703053_389456.jpg","Download")</f>
        <v>0</v>
      </c>
      <c r="BV2222" s="3"/>
      <c r="BW2222" s="3"/>
    </row>
    <row r="2223" spans="1:75">
      <c r="A2223" s="1" t="s">
        <v>35074</v>
      </c>
      <c r="B2223" s="1" t="s">
        <v>446</v>
      </c>
      <c r="C2223" s="1" t="s">
        <v>38612</v>
      </c>
      <c r="D2223" s="1" t="s">
        <v>11734</v>
      </c>
      <c r="E2223" s="1" t="s">
        <v>10368</v>
      </c>
      <c r="F2223" s="1" t="s">
        <v>1179</v>
      </c>
      <c r="G2223" s="1" t="s">
        <v>38613</v>
      </c>
      <c r="H2223" s="1" t="s">
        <v>38614</v>
      </c>
      <c r="I2223" s="1" t="s">
        <v>38615</v>
      </c>
      <c r="J2223" s="1">
        <v>9021655495</v>
      </c>
      <c r="K2223" s="1" t="s">
        <v>84</v>
      </c>
      <c r="L2223" s="1" t="s">
        <v>16147</v>
      </c>
      <c r="M2223" s="1" t="s">
        <v>86</v>
      </c>
      <c r="N2223" s="1" t="s">
        <v>618</v>
      </c>
      <c r="O2223" s="1" t="s">
        <v>38616</v>
      </c>
      <c r="P2223" s="1" t="s">
        <v>507</v>
      </c>
      <c r="Q2223" s="1" t="s">
        <v>38617</v>
      </c>
      <c r="R2223" s="1" t="s">
        <v>10368</v>
      </c>
      <c r="S2223" s="1">
        <v>9403717695</v>
      </c>
      <c r="T2223" s="1" t="s">
        <v>159</v>
      </c>
      <c r="U2223" s="1" t="s">
        <v>38618</v>
      </c>
      <c r="V2223" s="1">
        <v>9423166507</v>
      </c>
      <c r="W2223" s="1" t="s">
        <v>127</v>
      </c>
      <c r="X2223" s="1" t="s">
        <v>38619</v>
      </c>
      <c r="Y2223" s="1" t="s">
        <v>196</v>
      </c>
      <c r="Z2223" s="1" t="s">
        <v>97</v>
      </c>
      <c r="AA2223" s="1" t="s">
        <v>38620</v>
      </c>
      <c r="AB2223" s="1" t="s">
        <v>5659</v>
      </c>
      <c r="AC2223" s="1" t="s">
        <v>97</v>
      </c>
      <c r="AD2223" s="1">
        <v>0.0</v>
      </c>
      <c r="AE2223" s="1" t="s">
        <v>98</v>
      </c>
      <c r="AF2223" s="1" t="s">
        <v>38621</v>
      </c>
      <c r="AG2223" s="1" t="s">
        <v>38622</v>
      </c>
      <c r="AH2223" s="1" t="s">
        <v>170</v>
      </c>
      <c r="AI2223" s="1" t="s">
        <v>286</v>
      </c>
      <c r="AJ2223" s="1">
        <v>60.4</v>
      </c>
      <c r="AK2223" s="1">
        <v>6.36</v>
      </c>
      <c r="AL2223" s="1" t="s">
        <v>38623</v>
      </c>
      <c r="AM2223" s="1" t="s">
        <v>38624</v>
      </c>
      <c r="AN2223" s="1" t="s">
        <v>575</v>
      </c>
      <c r="AO2223" s="1" t="s">
        <v>438</v>
      </c>
      <c r="AP2223" s="1" t="s">
        <v>603</v>
      </c>
      <c r="AQ2223" s="1">
        <v>77.23</v>
      </c>
      <c r="AR2223" s="1">
        <v>8.13</v>
      </c>
      <c r="AS2223" s="1"/>
      <c r="AT2223" s="1"/>
      <c r="AU2223" s="1"/>
      <c r="AV2223" s="1"/>
      <c r="AW2223" s="1"/>
      <c r="AX2223" s="1"/>
      <c r="AY2223" s="1" t="s">
        <v>38625</v>
      </c>
      <c r="AZ2223" s="1" t="s">
        <v>38626</v>
      </c>
      <c r="BA2223" s="1" t="s">
        <v>38627</v>
      </c>
      <c r="BB2223" s="1" t="s">
        <v>38521</v>
      </c>
      <c r="BC2223" s="1" t="s">
        <v>1647</v>
      </c>
      <c r="BD2223" s="1" t="s">
        <v>955</v>
      </c>
      <c r="BE2223" s="1">
        <v>64.59</v>
      </c>
      <c r="BF2223" s="1"/>
      <c r="BG2223" s="1"/>
      <c r="BH2223" s="1"/>
      <c r="BI2223" s="1"/>
      <c r="BJ2223" s="1"/>
      <c r="BK2223" s="1"/>
      <c r="BL2223" s="1"/>
      <c r="BM2223" s="1"/>
      <c r="BN2223" s="1"/>
      <c r="BO2223" s="1" t="s">
        <v>38628</v>
      </c>
      <c r="BP2223" s="1"/>
      <c r="BQ2223" s="1"/>
      <c r="BR2223" s="1" t="s">
        <v>38629</v>
      </c>
      <c r="BS2223" s="1">
        <v>54</v>
      </c>
      <c r="BT2223" s="1" t="s">
        <v>38630</v>
      </c>
      <c r="BU2223" s="1" t="str">
        <f>HYPERLINK("https://nconnect.nicmar.ac.in/storage/profile/ProfilePhoto_P25703054_851264.jpg","Download")</f>
        <v>0</v>
      </c>
      <c r="BV2223" s="3"/>
      <c r="BW2223" s="3"/>
    </row>
    <row r="2224" spans="1:75">
      <c r="A2224" s="1" t="s">
        <v>35074</v>
      </c>
      <c r="B2224" s="1" t="s">
        <v>446</v>
      </c>
      <c r="C2224" s="1" t="s">
        <v>38631</v>
      </c>
      <c r="D2224" s="1" t="s">
        <v>38632</v>
      </c>
      <c r="E2224" s="1"/>
      <c r="F2224" s="1" t="s">
        <v>38633</v>
      </c>
      <c r="G2224" s="1" t="s">
        <v>38634</v>
      </c>
      <c r="H2224" s="1" t="s">
        <v>38635</v>
      </c>
      <c r="I2224" s="1" t="s">
        <v>38636</v>
      </c>
      <c r="J2224" s="1">
        <v>9926754431</v>
      </c>
      <c r="K2224" s="1" t="s">
        <v>84</v>
      </c>
      <c r="L2224" s="1" t="s">
        <v>38637</v>
      </c>
      <c r="M2224" s="1" t="s">
        <v>86</v>
      </c>
      <c r="N2224" s="1" t="s">
        <v>87</v>
      </c>
      <c r="O2224" s="1" t="s">
        <v>38638</v>
      </c>
      <c r="P2224" s="1" t="s">
        <v>507</v>
      </c>
      <c r="Q2224" s="1" t="s">
        <v>38639</v>
      </c>
      <c r="R2224" s="1" t="s">
        <v>38640</v>
      </c>
      <c r="S2224" s="1">
        <v>9516907229</v>
      </c>
      <c r="T2224" s="1" t="s">
        <v>4486</v>
      </c>
      <c r="U2224" s="1" t="s">
        <v>38641</v>
      </c>
      <c r="V2224" s="1">
        <v>9179566049</v>
      </c>
      <c r="W2224" s="1" t="s">
        <v>31517</v>
      </c>
      <c r="X2224" s="1" t="s">
        <v>38642</v>
      </c>
      <c r="Y2224" s="1" t="s">
        <v>7949</v>
      </c>
      <c r="Z2224" s="1" t="s">
        <v>3419</v>
      </c>
      <c r="AA2224" s="1" t="s">
        <v>38643</v>
      </c>
      <c r="AB2224" s="1" t="s">
        <v>7949</v>
      </c>
      <c r="AC2224" s="1" t="s">
        <v>3419</v>
      </c>
      <c r="AD2224" s="1">
        <v>7.36</v>
      </c>
      <c r="AE2224" s="1" t="s">
        <v>98</v>
      </c>
      <c r="AF2224" s="1" t="s">
        <v>38644</v>
      </c>
      <c r="AG2224" s="1" t="s">
        <v>312</v>
      </c>
      <c r="AH2224" s="1" t="s">
        <v>106</v>
      </c>
      <c r="AI2224" s="1" t="s">
        <v>313</v>
      </c>
      <c r="AJ2224" s="1">
        <v>74.4</v>
      </c>
      <c r="AK2224" s="1"/>
      <c r="AL2224" s="1" t="s">
        <v>38644</v>
      </c>
      <c r="AM2224" s="1" t="s">
        <v>38645</v>
      </c>
      <c r="AN2224" s="1"/>
      <c r="AO2224" s="1" t="s">
        <v>468</v>
      </c>
      <c r="AP2224" s="1" t="s">
        <v>845</v>
      </c>
      <c r="AQ2224" s="1">
        <v>75.2</v>
      </c>
      <c r="AR2224" s="1"/>
      <c r="AS2224" s="1"/>
      <c r="AT2224" s="1"/>
      <c r="AU2224" s="1"/>
      <c r="AV2224" s="1"/>
      <c r="AW2224" s="1"/>
      <c r="AX2224" s="1"/>
      <c r="AY2224" s="1" t="s">
        <v>38054</v>
      </c>
      <c r="AZ2224" s="1" t="s">
        <v>38646</v>
      </c>
      <c r="BA2224" s="1"/>
      <c r="BB2224" s="1"/>
      <c r="BC2224" s="1" t="s">
        <v>140</v>
      </c>
      <c r="BD2224" s="1" t="s">
        <v>418</v>
      </c>
      <c r="BE2224" s="1">
        <v>64.7</v>
      </c>
      <c r="BF2224" s="1">
        <v>6.47</v>
      </c>
      <c r="BG2224" s="1"/>
      <c r="BH2224" s="1"/>
      <c r="BI2224" s="1"/>
      <c r="BJ2224" s="1"/>
      <c r="BK2224" s="1"/>
      <c r="BL2224" s="1"/>
      <c r="BM2224" s="1"/>
      <c r="BN2224" s="1"/>
      <c r="BO2224" s="1" t="s">
        <v>38647</v>
      </c>
      <c r="BP2224" s="1"/>
      <c r="BQ2224" s="1"/>
      <c r="BR2224" s="1" t="s">
        <v>38648</v>
      </c>
      <c r="BS2224" s="1">
        <v>14</v>
      </c>
      <c r="BT2224" s="1" t="s">
        <v>38649</v>
      </c>
      <c r="BU2224" s="1" t="str">
        <f>HYPERLINK("https://nconnect.nicmar.ac.in/storage/profile/ProfilePhoto_P25703055_376895.jpg","Download")</f>
        <v>0</v>
      </c>
      <c r="BV2224" s="3"/>
      <c r="BW2224" s="3"/>
    </row>
    <row r="2225" spans="1:75">
      <c r="A2225" s="1" t="s">
        <v>35074</v>
      </c>
      <c r="B2225" s="1" t="s">
        <v>446</v>
      </c>
      <c r="C2225" s="1" t="s">
        <v>38650</v>
      </c>
      <c r="D2225" s="1" t="s">
        <v>38651</v>
      </c>
      <c r="E2225" s="1"/>
      <c r="F2225" s="1" t="s">
        <v>38652</v>
      </c>
      <c r="G2225" s="1" t="s">
        <v>38653</v>
      </c>
      <c r="H2225" s="1" t="s">
        <v>38654</v>
      </c>
      <c r="I2225" s="1" t="s">
        <v>38655</v>
      </c>
      <c r="J2225" s="1">
        <v>8208019446</v>
      </c>
      <c r="K2225" s="1" t="s">
        <v>84</v>
      </c>
      <c r="L2225" s="1" t="s">
        <v>13688</v>
      </c>
      <c r="M2225" s="1" t="s">
        <v>86</v>
      </c>
      <c r="N2225" s="1" t="s">
        <v>38656</v>
      </c>
      <c r="O2225" s="1"/>
      <c r="P2225" s="1" t="s">
        <v>507</v>
      </c>
      <c r="Q2225" s="1" t="s">
        <v>38657</v>
      </c>
      <c r="R2225" s="1" t="s">
        <v>38658</v>
      </c>
      <c r="S2225" s="1">
        <v>8788115585</v>
      </c>
      <c r="T2225" s="1" t="s">
        <v>1964</v>
      </c>
      <c r="U2225" s="1" t="s">
        <v>38659</v>
      </c>
      <c r="V2225" s="1">
        <v>8788115585</v>
      </c>
      <c r="W2225" s="1" t="s">
        <v>127</v>
      </c>
      <c r="X2225" s="1" t="s">
        <v>38660</v>
      </c>
      <c r="Y2225" s="1" t="s">
        <v>11302</v>
      </c>
      <c r="Z2225" s="1" t="s">
        <v>6549</v>
      </c>
      <c r="AA2225" s="1" t="s">
        <v>38660</v>
      </c>
      <c r="AB2225" s="1" t="s">
        <v>11302</v>
      </c>
      <c r="AC2225" s="1" t="s">
        <v>6549</v>
      </c>
      <c r="AD2225" s="1">
        <v>0.0</v>
      </c>
      <c r="AE2225" s="1" t="s">
        <v>98</v>
      </c>
      <c r="AF2225" s="1" t="s">
        <v>38661</v>
      </c>
      <c r="AG2225" s="1" t="s">
        <v>38662</v>
      </c>
      <c r="AH2225" s="1" t="s">
        <v>1214</v>
      </c>
      <c r="AI2225" s="1" t="s">
        <v>136</v>
      </c>
      <c r="AJ2225" s="1">
        <v>79.8</v>
      </c>
      <c r="AK2225" s="1">
        <v>8.4</v>
      </c>
      <c r="AL2225" s="1" t="s">
        <v>38663</v>
      </c>
      <c r="AM2225" s="1" t="s">
        <v>38664</v>
      </c>
      <c r="AN2225" s="1"/>
      <c r="AO2225" s="1" t="s">
        <v>704</v>
      </c>
      <c r="AP2225" s="1" t="s">
        <v>171</v>
      </c>
      <c r="AQ2225" s="1">
        <v>56.8</v>
      </c>
      <c r="AR2225" s="1"/>
      <c r="AS2225" s="1"/>
      <c r="AT2225" s="1"/>
      <c r="AU2225" s="1"/>
      <c r="AV2225" s="1"/>
      <c r="AW2225" s="1"/>
      <c r="AX2225" s="1"/>
      <c r="AY2225" s="1" t="s">
        <v>11306</v>
      </c>
      <c r="AZ2225" s="1" t="s">
        <v>38665</v>
      </c>
      <c r="BA2225" s="1"/>
      <c r="BB2225" s="1"/>
      <c r="BC2225" s="1" t="s">
        <v>438</v>
      </c>
      <c r="BD2225" s="1" t="s">
        <v>553</v>
      </c>
      <c r="BE2225" s="1">
        <v>61.8</v>
      </c>
      <c r="BF2225" s="1"/>
      <c r="BG2225" s="1"/>
      <c r="BH2225" s="1"/>
      <c r="BI2225" s="1"/>
      <c r="BJ2225" s="1"/>
      <c r="BK2225" s="1"/>
      <c r="BL2225" s="1"/>
      <c r="BM2225" s="1"/>
      <c r="BN2225" s="1"/>
      <c r="BO2225" s="1" t="s">
        <v>1890</v>
      </c>
      <c r="BP2225" s="1"/>
      <c r="BQ2225" s="1"/>
      <c r="BR2225" s="1" t="s">
        <v>38666</v>
      </c>
      <c r="BS2225" s="1">
        <v>8</v>
      </c>
      <c r="BT2225" s="1"/>
      <c r="BU2225" s="1" t="str">
        <f>HYPERLINK("https://nconnect.nicmar.ac.in/storage/profile/ProfilePhoto_P25703056_384126.jpg","Download")</f>
        <v>0</v>
      </c>
      <c r="BV2225" s="3"/>
      <c r="BW2225" s="3"/>
    </row>
    <row r="2226" spans="1:75">
      <c r="A2226" s="1" t="s">
        <v>35074</v>
      </c>
      <c r="B2226" s="1" t="s">
        <v>446</v>
      </c>
      <c r="C2226" s="1" t="s">
        <v>38667</v>
      </c>
      <c r="D2226" s="1" t="s">
        <v>7705</v>
      </c>
      <c r="E2226" s="1" t="s">
        <v>6330</v>
      </c>
      <c r="F2226" s="1" t="s">
        <v>38668</v>
      </c>
      <c r="G2226" s="1" t="s">
        <v>38669</v>
      </c>
      <c r="H2226" s="1" t="s">
        <v>38670</v>
      </c>
      <c r="I2226" s="1" t="s">
        <v>38671</v>
      </c>
      <c r="J2226" s="1">
        <v>7249749790</v>
      </c>
      <c r="K2226" s="1" t="s">
        <v>84</v>
      </c>
      <c r="L2226" s="1" t="s">
        <v>835</v>
      </c>
      <c r="M2226" s="1" t="s">
        <v>86</v>
      </c>
      <c r="N2226" s="1" t="s">
        <v>9990</v>
      </c>
      <c r="O2226" s="1" t="s">
        <v>38672</v>
      </c>
      <c r="P2226" s="1" t="s">
        <v>507</v>
      </c>
      <c r="Q2226" s="1" t="s">
        <v>38673</v>
      </c>
      <c r="R2226" s="1" t="s">
        <v>38674</v>
      </c>
      <c r="S2226" s="1">
        <v>9518920789</v>
      </c>
      <c r="T2226" s="1" t="s">
        <v>839</v>
      </c>
      <c r="U2226" s="1" t="s">
        <v>38675</v>
      </c>
      <c r="V2226" s="1">
        <v>9527791227</v>
      </c>
      <c r="W2226" s="1" t="s">
        <v>38676</v>
      </c>
      <c r="X2226" s="1" t="s">
        <v>38677</v>
      </c>
      <c r="Y2226" s="1" t="s">
        <v>910</v>
      </c>
      <c r="Z2226" s="1" t="s">
        <v>97</v>
      </c>
      <c r="AA2226" s="1" t="s">
        <v>38677</v>
      </c>
      <c r="AB2226" s="1" t="s">
        <v>910</v>
      </c>
      <c r="AC2226" s="1" t="s">
        <v>97</v>
      </c>
      <c r="AD2226" s="1">
        <v>7.27</v>
      </c>
      <c r="AE2226" s="1" t="s">
        <v>98</v>
      </c>
      <c r="AF2226" s="1" t="s">
        <v>38678</v>
      </c>
      <c r="AG2226" s="1" t="s">
        <v>38679</v>
      </c>
      <c r="AH2226" s="1" t="s">
        <v>286</v>
      </c>
      <c r="AI2226" s="1" t="s">
        <v>414</v>
      </c>
      <c r="AJ2226" s="1">
        <v>84.8</v>
      </c>
      <c r="AK2226" s="1"/>
      <c r="AL2226" s="1" t="s">
        <v>38680</v>
      </c>
      <c r="AM2226" s="1" t="s">
        <v>38679</v>
      </c>
      <c r="AN2226" s="1"/>
      <c r="AO2226" s="1" t="s">
        <v>977</v>
      </c>
      <c r="AP2226" s="1" t="s">
        <v>1192</v>
      </c>
      <c r="AQ2226" s="1">
        <v>89.5</v>
      </c>
      <c r="AR2226" s="1"/>
      <c r="AS2226" s="1"/>
      <c r="AT2226" s="1"/>
      <c r="AU2226" s="1"/>
      <c r="AV2226" s="1"/>
      <c r="AW2226" s="1"/>
      <c r="AX2226" s="1"/>
      <c r="AY2226" s="1" t="s">
        <v>34121</v>
      </c>
      <c r="AZ2226" s="1" t="s">
        <v>38681</v>
      </c>
      <c r="BA2226" s="1"/>
      <c r="BB2226" s="1"/>
      <c r="BC2226" s="1" t="s">
        <v>847</v>
      </c>
      <c r="BD2226" s="1" t="s">
        <v>4093</v>
      </c>
      <c r="BE2226" s="1">
        <v>67.7</v>
      </c>
      <c r="BF2226" s="1"/>
      <c r="BG2226" s="1"/>
      <c r="BH2226" s="1"/>
      <c r="BI2226" s="1"/>
      <c r="BJ2226" s="1"/>
      <c r="BK2226" s="1"/>
      <c r="BL2226" s="1"/>
      <c r="BM2226" s="1"/>
      <c r="BN2226" s="1"/>
      <c r="BO2226" s="1" t="s">
        <v>1890</v>
      </c>
      <c r="BP2226" s="1"/>
      <c r="BQ2226" s="1"/>
      <c r="BR2226" s="1" t="s">
        <v>38682</v>
      </c>
      <c r="BS2226" s="1">
        <v>8</v>
      </c>
      <c r="BT2226" s="1" t="s">
        <v>38683</v>
      </c>
      <c r="BU2226" s="1" t="str">
        <f>HYPERLINK("https://nconnect.nicmar.ac.in/storage/profile/ProfilePhoto_P25703057_537942.jpg","Download")</f>
        <v>0</v>
      </c>
      <c r="BV2226" s="3"/>
      <c r="BW2226" s="3"/>
    </row>
    <row r="2227" spans="1:75">
      <c r="A2227" s="1" t="s">
        <v>35074</v>
      </c>
      <c r="B2227" s="1" t="s">
        <v>446</v>
      </c>
      <c r="C2227" s="1" t="s">
        <v>38684</v>
      </c>
      <c r="D2227" s="1" t="s">
        <v>612</v>
      </c>
      <c r="E2227" s="1" t="s">
        <v>8904</v>
      </c>
      <c r="F2227" s="1" t="s">
        <v>38685</v>
      </c>
      <c r="G2227" s="1" t="s">
        <v>38686</v>
      </c>
      <c r="H2227" s="1" t="s">
        <v>38687</v>
      </c>
      <c r="I2227" s="1" t="s">
        <v>38688</v>
      </c>
      <c r="J2227" s="1">
        <v>7083885804</v>
      </c>
      <c r="K2227" s="1" t="s">
        <v>84</v>
      </c>
      <c r="L2227" s="1" t="s">
        <v>14912</v>
      </c>
      <c r="M2227" s="1" t="s">
        <v>86</v>
      </c>
      <c r="N2227" s="1" t="s">
        <v>38689</v>
      </c>
      <c r="O2227" s="1"/>
      <c r="P2227" s="1" t="s">
        <v>481</v>
      </c>
      <c r="Q2227" s="1" t="s">
        <v>38690</v>
      </c>
      <c r="R2227" s="1" t="s">
        <v>38691</v>
      </c>
      <c r="S2227" s="1">
        <v>9766707043</v>
      </c>
      <c r="T2227" s="1" t="s">
        <v>926</v>
      </c>
      <c r="U2227" s="1" t="s">
        <v>38692</v>
      </c>
      <c r="V2227" s="1">
        <v>9881278108</v>
      </c>
      <c r="W2227" s="1" t="s">
        <v>94</v>
      </c>
      <c r="X2227" s="1" t="s">
        <v>38693</v>
      </c>
      <c r="Y2227" s="1" t="s">
        <v>196</v>
      </c>
      <c r="Z2227" s="1" t="s">
        <v>97</v>
      </c>
      <c r="AA2227" s="1" t="s">
        <v>38693</v>
      </c>
      <c r="AB2227" s="1" t="s">
        <v>196</v>
      </c>
      <c r="AC2227" s="1" t="s">
        <v>97</v>
      </c>
      <c r="AD2227" s="1">
        <v>7.63</v>
      </c>
      <c r="AE2227" s="1" t="s">
        <v>98</v>
      </c>
      <c r="AF2227" s="1" t="s">
        <v>38694</v>
      </c>
      <c r="AG2227" s="1" t="s">
        <v>165</v>
      </c>
      <c r="AH2227" s="1" t="s">
        <v>106</v>
      </c>
      <c r="AI2227" s="1" t="s">
        <v>414</v>
      </c>
      <c r="AJ2227" s="1">
        <v>75</v>
      </c>
      <c r="AK2227" s="1"/>
      <c r="AL2227" s="1" t="s">
        <v>38695</v>
      </c>
      <c r="AM2227" s="1" t="s">
        <v>165</v>
      </c>
      <c r="AN2227" s="1" t="s">
        <v>35580</v>
      </c>
      <c r="AO2227" s="1" t="s">
        <v>178</v>
      </c>
      <c r="AP2227" s="1" t="s">
        <v>2304</v>
      </c>
      <c r="AQ2227" s="1">
        <v>71.5</v>
      </c>
      <c r="AR2227" s="1"/>
      <c r="AS2227" s="1"/>
      <c r="AT2227" s="1"/>
      <c r="AU2227" s="1"/>
      <c r="AV2227" s="1"/>
      <c r="AW2227" s="1"/>
      <c r="AX2227" s="1"/>
      <c r="AY2227" s="1" t="s">
        <v>366</v>
      </c>
      <c r="AZ2227" s="1" t="s">
        <v>38695</v>
      </c>
      <c r="BA2227" s="1" t="s">
        <v>35549</v>
      </c>
      <c r="BB2227" s="1" t="s">
        <v>1062</v>
      </c>
      <c r="BC2227" s="1" t="s">
        <v>552</v>
      </c>
      <c r="BD2227" s="1" t="s">
        <v>207</v>
      </c>
      <c r="BE2227" s="1">
        <v>75.47</v>
      </c>
      <c r="BF2227" s="1">
        <v>8.48</v>
      </c>
      <c r="BG2227" s="1"/>
      <c r="BH2227" s="1"/>
      <c r="BI2227" s="1"/>
      <c r="BJ2227" s="1"/>
      <c r="BK2227" s="1"/>
      <c r="BL2227" s="1"/>
      <c r="BM2227" s="1"/>
      <c r="BN2227" s="1"/>
      <c r="BO2227" s="1" t="s">
        <v>38696</v>
      </c>
      <c r="BP2227" s="1" t="s">
        <v>38697</v>
      </c>
      <c r="BQ2227" s="1" t="s">
        <v>1070</v>
      </c>
      <c r="BR2227" s="1" t="s">
        <v>38698</v>
      </c>
      <c r="BS2227" s="1">
        <v>113</v>
      </c>
      <c r="BT2227" s="1" t="s">
        <v>38699</v>
      </c>
      <c r="BU2227" s="1" t="str">
        <f>HYPERLINK("https://nconnect.nicmar.ac.in/storage/profile/ProfilePhoto_P25703058_486527.jpg","Download")</f>
        <v>0</v>
      </c>
      <c r="BV2227" s="3"/>
      <c r="BW2227" s="3"/>
    </row>
    <row r="2228" spans="1:75">
      <c r="A2228" s="1" t="s">
        <v>35074</v>
      </c>
      <c r="B2228" s="1" t="s">
        <v>446</v>
      </c>
      <c r="C2228" s="1" t="s">
        <v>38700</v>
      </c>
      <c r="D2228" s="1" t="s">
        <v>10261</v>
      </c>
      <c r="E2228" s="1" t="s">
        <v>4707</v>
      </c>
      <c r="F2228" s="1" t="s">
        <v>3101</v>
      </c>
      <c r="G2228" s="1" t="s">
        <v>38701</v>
      </c>
      <c r="H2228" s="1" t="s">
        <v>38702</v>
      </c>
      <c r="I2228" s="1" t="s">
        <v>38703</v>
      </c>
      <c r="J2228" s="1">
        <v>9665170705</v>
      </c>
      <c r="K2228" s="1" t="s">
        <v>153</v>
      </c>
      <c r="L2228" s="1" t="s">
        <v>5305</v>
      </c>
      <c r="M2228" s="1" t="s">
        <v>86</v>
      </c>
      <c r="N2228" s="1" t="s">
        <v>3500</v>
      </c>
      <c r="O2228" s="1"/>
      <c r="P2228" s="1" t="s">
        <v>507</v>
      </c>
      <c r="Q2228" s="1" t="s">
        <v>38704</v>
      </c>
      <c r="R2228" s="1" t="s">
        <v>38705</v>
      </c>
      <c r="S2228" s="1">
        <v>9423518813</v>
      </c>
      <c r="T2228" s="1" t="s">
        <v>8999</v>
      </c>
      <c r="U2228" s="1" t="s">
        <v>38706</v>
      </c>
      <c r="V2228" s="1">
        <v>9404868957</v>
      </c>
      <c r="W2228" s="1" t="s">
        <v>541</v>
      </c>
      <c r="X2228" s="1" t="s">
        <v>38707</v>
      </c>
      <c r="Y2228" s="1" t="s">
        <v>196</v>
      </c>
      <c r="Z2228" s="1" t="s">
        <v>97</v>
      </c>
      <c r="AA2228" s="1" t="s">
        <v>38708</v>
      </c>
      <c r="AB2228" s="1" t="s">
        <v>251</v>
      </c>
      <c r="AC2228" s="1" t="s">
        <v>97</v>
      </c>
      <c r="AD2228" s="1">
        <v>8.01</v>
      </c>
      <c r="AE2228" s="1" t="s">
        <v>98</v>
      </c>
      <c r="AF2228" s="1" t="s">
        <v>38709</v>
      </c>
      <c r="AG2228" s="1" t="s">
        <v>1601</v>
      </c>
      <c r="AH2228" s="1" t="s">
        <v>627</v>
      </c>
      <c r="AI2228" s="1" t="s">
        <v>200</v>
      </c>
      <c r="AJ2228" s="1">
        <v>91</v>
      </c>
      <c r="AK2228" s="1">
        <v>0</v>
      </c>
      <c r="AL2228" s="1" t="s">
        <v>38710</v>
      </c>
      <c r="AM2228" s="1" t="s">
        <v>1601</v>
      </c>
      <c r="AN2228" s="1" t="s">
        <v>2995</v>
      </c>
      <c r="AO2228" s="1" t="s">
        <v>171</v>
      </c>
      <c r="AP2228" s="1" t="s">
        <v>203</v>
      </c>
      <c r="AQ2228" s="1">
        <v>74</v>
      </c>
      <c r="AR2228" s="1">
        <v>0</v>
      </c>
      <c r="AS2228" s="1"/>
      <c r="AT2228" s="1"/>
      <c r="AU2228" s="1"/>
      <c r="AV2228" s="1"/>
      <c r="AW2228" s="1"/>
      <c r="AX2228" s="1"/>
      <c r="AY2228" s="1" t="s">
        <v>38711</v>
      </c>
      <c r="AZ2228" s="1" t="s">
        <v>38712</v>
      </c>
      <c r="BA2228" s="1" t="s">
        <v>38713</v>
      </c>
      <c r="BB2228" s="1" t="s">
        <v>38714</v>
      </c>
      <c r="BC2228" s="1" t="s">
        <v>1040</v>
      </c>
      <c r="BD2228" s="1" t="s">
        <v>418</v>
      </c>
      <c r="BE2228" s="1">
        <v>82</v>
      </c>
      <c r="BF2228" s="1">
        <v>8.28</v>
      </c>
      <c r="BG2228" s="1"/>
      <c r="BH2228" s="1"/>
      <c r="BI2228" s="1"/>
      <c r="BJ2228" s="1"/>
      <c r="BK2228" s="1"/>
      <c r="BL2228" s="1"/>
      <c r="BM2228" s="1"/>
      <c r="BN2228" s="1"/>
      <c r="BO2228" s="1" t="s">
        <v>38715</v>
      </c>
      <c r="BP2228" s="1"/>
      <c r="BQ2228" s="1"/>
      <c r="BR2228" s="1" t="s">
        <v>38716</v>
      </c>
      <c r="BS2228" s="1">
        <v>8</v>
      </c>
      <c r="BT2228" s="1"/>
      <c r="BU2228" s="1" t="str">
        <f>HYPERLINK("https://nconnect.nicmar.ac.in/storage/profile/ProfilePhoto_P25703059_751834.jpg","Download")</f>
        <v>0</v>
      </c>
      <c r="BV2228" s="3"/>
      <c r="BW2228" s="3"/>
    </row>
    <row r="2229" spans="1:75">
      <c r="A2229" s="1" t="s">
        <v>35074</v>
      </c>
      <c r="B2229" s="1" t="s">
        <v>446</v>
      </c>
      <c r="C2229" s="1" t="s">
        <v>38717</v>
      </c>
      <c r="D2229" s="1" t="s">
        <v>38718</v>
      </c>
      <c r="E2229" s="1" t="s">
        <v>9462</v>
      </c>
      <c r="F2229" s="1" t="s">
        <v>11591</v>
      </c>
      <c r="G2229" s="1" t="s">
        <v>38719</v>
      </c>
      <c r="H2229" s="1" t="s">
        <v>38720</v>
      </c>
      <c r="I2229" s="1" t="s">
        <v>38721</v>
      </c>
      <c r="J2229" s="1">
        <v>9104020090</v>
      </c>
      <c r="K2229" s="1" t="s">
        <v>84</v>
      </c>
      <c r="L2229" s="1" t="s">
        <v>38722</v>
      </c>
      <c r="M2229" s="1" t="s">
        <v>86</v>
      </c>
      <c r="N2229" s="1" t="s">
        <v>7185</v>
      </c>
      <c r="O2229" s="1" t="s">
        <v>38723</v>
      </c>
      <c r="P2229" s="1" t="s">
        <v>507</v>
      </c>
      <c r="Q2229" s="1" t="s">
        <v>38724</v>
      </c>
      <c r="R2229" s="1" t="s">
        <v>38725</v>
      </c>
      <c r="S2229" s="1">
        <v>9712383176</v>
      </c>
      <c r="T2229" s="1" t="s">
        <v>645</v>
      </c>
      <c r="U2229" s="1" t="s">
        <v>38726</v>
      </c>
      <c r="V2229" s="1">
        <v>7874026925</v>
      </c>
      <c r="W2229" s="1" t="s">
        <v>161</v>
      </c>
      <c r="X2229" s="1" t="s">
        <v>38727</v>
      </c>
      <c r="Y2229" s="1" t="s">
        <v>675</v>
      </c>
      <c r="Z2229" s="1" t="s">
        <v>676</v>
      </c>
      <c r="AA2229" s="1" t="s">
        <v>38727</v>
      </c>
      <c r="AB2229" s="1" t="s">
        <v>675</v>
      </c>
      <c r="AC2229" s="1" t="s">
        <v>676</v>
      </c>
      <c r="AD2229" s="1">
        <v>7.31</v>
      </c>
      <c r="AE2229" s="1" t="s">
        <v>98</v>
      </c>
      <c r="AF2229" s="1" t="s">
        <v>38728</v>
      </c>
      <c r="AG2229" s="1" t="s">
        <v>35749</v>
      </c>
      <c r="AH2229" s="1" t="s">
        <v>438</v>
      </c>
      <c r="AI2229" s="1" t="s">
        <v>603</v>
      </c>
      <c r="AJ2229" s="1">
        <v>70</v>
      </c>
      <c r="AK2229" s="1"/>
      <c r="AL2229" s="1" t="s">
        <v>38729</v>
      </c>
      <c r="AM2229" s="1" t="s">
        <v>35749</v>
      </c>
      <c r="AN2229" s="1"/>
      <c r="AO2229" s="1" t="s">
        <v>847</v>
      </c>
      <c r="AP2229" s="1" t="s">
        <v>521</v>
      </c>
      <c r="AQ2229" s="1">
        <v>76.8</v>
      </c>
      <c r="AR2229" s="1"/>
      <c r="AS2229" s="1"/>
      <c r="AT2229" s="1"/>
      <c r="AU2229" s="1"/>
      <c r="AV2229" s="1"/>
      <c r="AW2229" s="1"/>
      <c r="AX2229" s="1"/>
      <c r="AY2229" s="1" t="s">
        <v>13485</v>
      </c>
      <c r="AZ2229" s="1" t="s">
        <v>38730</v>
      </c>
      <c r="BA2229" s="1"/>
      <c r="BB2229" s="1"/>
      <c r="BC2229" s="1" t="s">
        <v>110</v>
      </c>
      <c r="BD2229" s="1" t="s">
        <v>607</v>
      </c>
      <c r="BE2229" s="1">
        <v>70.1</v>
      </c>
      <c r="BF2229" s="1">
        <v>7.01</v>
      </c>
      <c r="BG2229" s="1"/>
      <c r="BH2229" s="1"/>
      <c r="BI2229" s="1"/>
      <c r="BJ2229" s="1"/>
      <c r="BK2229" s="1"/>
      <c r="BL2229" s="1"/>
      <c r="BM2229" s="1"/>
      <c r="BN2229" s="1"/>
      <c r="BO2229" s="1" t="s">
        <v>38731</v>
      </c>
      <c r="BP2229" s="1"/>
      <c r="BQ2229" s="1"/>
      <c r="BR2229" s="1" t="s">
        <v>38732</v>
      </c>
      <c r="BS2229" s="1">
        <v>8</v>
      </c>
      <c r="BT2229" s="1"/>
      <c r="BU2229" s="1" t="str">
        <f>HYPERLINK("https://nconnect.nicmar.ac.in/storage/profile/ProfilePhoto_P25703060_274865.jpg","Download")</f>
        <v>0</v>
      </c>
      <c r="BV2229" s="3"/>
      <c r="BW2229" s="3"/>
    </row>
    <row r="2230" spans="1:75">
      <c r="A2230" s="1" t="s">
        <v>35074</v>
      </c>
      <c r="B2230" s="1" t="s">
        <v>446</v>
      </c>
      <c r="C2230" s="1" t="s">
        <v>38733</v>
      </c>
      <c r="D2230" s="1" t="s">
        <v>38734</v>
      </c>
      <c r="E2230" s="1"/>
      <c r="F2230" s="1" t="s">
        <v>37107</v>
      </c>
      <c r="G2230" s="1" t="s">
        <v>38735</v>
      </c>
      <c r="H2230" s="1" t="s">
        <v>38736</v>
      </c>
      <c r="I2230" s="1" t="s">
        <v>38737</v>
      </c>
      <c r="J2230" s="1">
        <v>7903276484</v>
      </c>
      <c r="K2230" s="1" t="s">
        <v>84</v>
      </c>
      <c r="L2230" s="1" t="s">
        <v>2220</v>
      </c>
      <c r="M2230" s="1" t="s">
        <v>86</v>
      </c>
      <c r="N2230" s="1" t="s">
        <v>38738</v>
      </c>
      <c r="O2230" s="1"/>
      <c r="P2230" s="1" t="s">
        <v>2021</v>
      </c>
      <c r="Q2230" s="1" t="s">
        <v>38739</v>
      </c>
      <c r="R2230" s="1" t="s">
        <v>38740</v>
      </c>
      <c r="S2230" s="1">
        <v>8969849559</v>
      </c>
      <c r="T2230" s="1" t="s">
        <v>839</v>
      </c>
      <c r="U2230" s="1" t="s">
        <v>38741</v>
      </c>
      <c r="V2230" s="1">
        <v>9931592851</v>
      </c>
      <c r="W2230" s="1" t="s">
        <v>278</v>
      </c>
      <c r="X2230" s="1" t="s">
        <v>38742</v>
      </c>
      <c r="Y2230" s="1" t="s">
        <v>38743</v>
      </c>
      <c r="Z2230" s="1" t="s">
        <v>649</v>
      </c>
      <c r="AA2230" s="1" t="s">
        <v>38742</v>
      </c>
      <c r="AB2230" s="1" t="s">
        <v>38743</v>
      </c>
      <c r="AC2230" s="1" t="s">
        <v>649</v>
      </c>
      <c r="AD2230" s="1">
        <v>6.73</v>
      </c>
      <c r="AE2230" s="1" t="s">
        <v>98</v>
      </c>
      <c r="AF2230" s="1" t="s">
        <v>38744</v>
      </c>
      <c r="AG2230" s="1" t="s">
        <v>312</v>
      </c>
      <c r="AH2230" s="1" t="s">
        <v>704</v>
      </c>
      <c r="AI2230" s="1" t="s">
        <v>171</v>
      </c>
      <c r="AJ2230" s="1">
        <v>67.83</v>
      </c>
      <c r="AK2230" s="1"/>
      <c r="AL2230" s="1" t="s">
        <v>38745</v>
      </c>
      <c r="AM2230" s="1" t="s">
        <v>312</v>
      </c>
      <c r="AN2230" s="1" t="s">
        <v>35580</v>
      </c>
      <c r="AO2230" s="1" t="s">
        <v>106</v>
      </c>
      <c r="AP2230" s="1" t="s">
        <v>178</v>
      </c>
      <c r="AQ2230" s="1">
        <v>69.83</v>
      </c>
      <c r="AR2230" s="1"/>
      <c r="AS2230" s="1"/>
      <c r="AT2230" s="1"/>
      <c r="AU2230" s="1"/>
      <c r="AV2230" s="1"/>
      <c r="AW2230" s="1"/>
      <c r="AX2230" s="1"/>
      <c r="AY2230" s="1" t="s">
        <v>38746</v>
      </c>
      <c r="AZ2230" s="1" t="s">
        <v>38747</v>
      </c>
      <c r="BA2230" s="1" t="s">
        <v>35549</v>
      </c>
      <c r="BB2230" s="1" t="s">
        <v>35550</v>
      </c>
      <c r="BC2230" s="1" t="s">
        <v>178</v>
      </c>
      <c r="BD2230" s="1" t="s">
        <v>391</v>
      </c>
      <c r="BE2230" s="1">
        <v>51.97</v>
      </c>
      <c r="BF2230" s="1"/>
      <c r="BG2230" s="1"/>
      <c r="BH2230" s="1"/>
      <c r="BI2230" s="1"/>
      <c r="BJ2230" s="1"/>
      <c r="BK2230" s="1"/>
      <c r="BL2230" s="1"/>
      <c r="BM2230" s="1"/>
      <c r="BN2230" s="1"/>
      <c r="BO2230" s="1" t="s">
        <v>3308</v>
      </c>
      <c r="BP2230" s="1"/>
      <c r="BQ2230" s="1"/>
      <c r="BR2230" s="1" t="s">
        <v>38748</v>
      </c>
      <c r="BS2230" s="1">
        <v>7</v>
      </c>
      <c r="BT2230" s="1" t="s">
        <v>38749</v>
      </c>
      <c r="BU2230" s="1" t="str">
        <f>HYPERLINK("https://nconnect.nicmar.ac.in/storage/profile/ProfilePhoto_P25703061_518749.jpg","Download")</f>
        <v>0</v>
      </c>
      <c r="BV2230" s="3"/>
      <c r="BW2230" s="3"/>
    </row>
    <row r="2231" spans="1:75">
      <c r="A2231" s="1" t="s">
        <v>35074</v>
      </c>
      <c r="B2231" s="1" t="s">
        <v>446</v>
      </c>
      <c r="C2231" s="1" t="s">
        <v>38750</v>
      </c>
      <c r="D2231" s="1" t="s">
        <v>38751</v>
      </c>
      <c r="E2231" s="1"/>
      <c r="F2231" s="1" t="s">
        <v>26991</v>
      </c>
      <c r="G2231" s="1" t="s">
        <v>38752</v>
      </c>
      <c r="H2231" s="1" t="s">
        <v>38753</v>
      </c>
      <c r="I2231" s="1" t="s">
        <v>38754</v>
      </c>
      <c r="J2231" s="1">
        <v>6302202455</v>
      </c>
      <c r="K2231" s="1" t="s">
        <v>153</v>
      </c>
      <c r="L2231" s="1" t="s">
        <v>38755</v>
      </c>
      <c r="M2231" s="1" t="s">
        <v>86</v>
      </c>
      <c r="N2231" s="1" t="s">
        <v>8486</v>
      </c>
      <c r="O2231" s="1" t="s">
        <v>38756</v>
      </c>
      <c r="P2231" s="1" t="s">
        <v>455</v>
      </c>
      <c r="Q2231" s="1" t="s">
        <v>38757</v>
      </c>
      <c r="R2231" s="1" t="s">
        <v>38758</v>
      </c>
      <c r="S2231" s="1">
        <v>9848311963</v>
      </c>
      <c r="T2231" s="1" t="s">
        <v>839</v>
      </c>
      <c r="U2231" s="1" t="s">
        <v>38759</v>
      </c>
      <c r="V2231" s="1">
        <v>7799042431</v>
      </c>
      <c r="W2231" s="1" t="s">
        <v>2547</v>
      </c>
      <c r="X2231" s="1" t="s">
        <v>38760</v>
      </c>
      <c r="Y2231" s="1" t="s">
        <v>1454</v>
      </c>
      <c r="Z2231" s="1" t="s">
        <v>281</v>
      </c>
      <c r="AA2231" s="1" t="s">
        <v>38760</v>
      </c>
      <c r="AB2231" s="1" t="s">
        <v>1454</v>
      </c>
      <c r="AC2231" s="1" t="s">
        <v>281</v>
      </c>
      <c r="AD2231" s="1">
        <v>7.22</v>
      </c>
      <c r="AE2231" s="1" t="s">
        <v>98</v>
      </c>
      <c r="AF2231" s="1" t="s">
        <v>38761</v>
      </c>
      <c r="AG2231" s="1" t="s">
        <v>6287</v>
      </c>
      <c r="AH2231" s="1" t="s">
        <v>167</v>
      </c>
      <c r="AI2231" s="1" t="s">
        <v>704</v>
      </c>
      <c r="AJ2231" s="1">
        <v>87.4</v>
      </c>
      <c r="AK2231" s="1">
        <v>9.2</v>
      </c>
      <c r="AL2231" s="1" t="s">
        <v>38762</v>
      </c>
      <c r="AM2231" s="1" t="s">
        <v>1420</v>
      </c>
      <c r="AN2231" s="1" t="s">
        <v>465</v>
      </c>
      <c r="AO2231" s="1" t="s">
        <v>106</v>
      </c>
      <c r="AP2231" s="1" t="s">
        <v>547</v>
      </c>
      <c r="AQ2231" s="1">
        <v>63.75</v>
      </c>
      <c r="AR2231" s="1">
        <v>6.71</v>
      </c>
      <c r="AS2231" s="1"/>
      <c r="AT2231" s="1"/>
      <c r="AU2231" s="1"/>
      <c r="AV2231" s="1"/>
      <c r="AW2231" s="1"/>
      <c r="AX2231" s="1"/>
      <c r="AY2231" s="1" t="s">
        <v>2654</v>
      </c>
      <c r="AZ2231" s="1" t="s">
        <v>38763</v>
      </c>
      <c r="BA2231" s="1" t="s">
        <v>466</v>
      </c>
      <c r="BB2231" s="1" t="s">
        <v>38764</v>
      </c>
      <c r="BC2231" s="1" t="s">
        <v>1171</v>
      </c>
      <c r="BD2231" s="1" t="s">
        <v>5278</v>
      </c>
      <c r="BE2231" s="1">
        <v>61.6</v>
      </c>
      <c r="BF2231" s="1">
        <v>6.91</v>
      </c>
      <c r="BG2231" s="1"/>
      <c r="BH2231" s="1"/>
      <c r="BI2231" s="1"/>
      <c r="BJ2231" s="1"/>
      <c r="BK2231" s="1"/>
      <c r="BL2231" s="1"/>
      <c r="BM2231" s="1"/>
      <c r="BN2231" s="1"/>
      <c r="BO2231" s="1" t="s">
        <v>38765</v>
      </c>
      <c r="BP2231" s="1"/>
      <c r="BQ2231" s="1"/>
      <c r="BR2231" s="1" t="s">
        <v>38766</v>
      </c>
      <c r="BS2231" s="1">
        <v>8</v>
      </c>
      <c r="BT2231" s="1" t="s">
        <v>38767</v>
      </c>
      <c r="BU2231" s="1" t="str">
        <f>HYPERLINK("https://nconnect.nicmar.ac.in/storage/profile/ProfilePhoto_P25703062_538147.jpg","Download")</f>
        <v>0</v>
      </c>
      <c r="BV2231" s="3"/>
      <c r="BW2231" s="3"/>
    </row>
    <row r="2232" spans="1:75">
      <c r="A2232" s="1" t="s">
        <v>35074</v>
      </c>
      <c r="B2232" s="1" t="s">
        <v>446</v>
      </c>
      <c r="C2232" s="1" t="s">
        <v>38768</v>
      </c>
      <c r="D2232" s="1" t="s">
        <v>9975</v>
      </c>
      <c r="E2232" s="1"/>
      <c r="F2232" s="1" t="s">
        <v>530</v>
      </c>
      <c r="G2232" s="1" t="s">
        <v>38769</v>
      </c>
      <c r="H2232" s="1" t="s">
        <v>38770</v>
      </c>
      <c r="I2232" s="1" t="s">
        <v>38771</v>
      </c>
      <c r="J2232" s="1">
        <v>7300031188</v>
      </c>
      <c r="K2232" s="1" t="s">
        <v>153</v>
      </c>
      <c r="L2232" s="1" t="s">
        <v>38772</v>
      </c>
      <c r="M2232" s="1" t="s">
        <v>86</v>
      </c>
      <c r="N2232" s="1" t="s">
        <v>4278</v>
      </c>
      <c r="O2232" s="1"/>
      <c r="P2232" s="1" t="s">
        <v>455</v>
      </c>
      <c r="Q2232" s="1" t="s">
        <v>38773</v>
      </c>
      <c r="R2232" s="1" t="s">
        <v>38774</v>
      </c>
      <c r="S2232" s="1">
        <v>9983002605</v>
      </c>
      <c r="T2232" s="1" t="s">
        <v>38775</v>
      </c>
      <c r="U2232" s="1" t="s">
        <v>38776</v>
      </c>
      <c r="V2232" s="1">
        <v>9983003388</v>
      </c>
      <c r="W2232" s="1" t="s">
        <v>541</v>
      </c>
      <c r="X2232" s="1" t="s">
        <v>38777</v>
      </c>
      <c r="Y2232" s="1" t="s">
        <v>8184</v>
      </c>
      <c r="Z2232" s="1" t="s">
        <v>2153</v>
      </c>
      <c r="AA2232" s="1" t="s">
        <v>38777</v>
      </c>
      <c r="AB2232" s="1" t="s">
        <v>8184</v>
      </c>
      <c r="AC2232" s="1" t="s">
        <v>2153</v>
      </c>
      <c r="AD2232" s="1">
        <v>0.0</v>
      </c>
      <c r="AE2232" s="1" t="s">
        <v>98</v>
      </c>
      <c r="AF2232" s="1" t="s">
        <v>1060</v>
      </c>
      <c r="AG2232" s="1" t="s">
        <v>312</v>
      </c>
      <c r="AH2232" s="1" t="s">
        <v>547</v>
      </c>
      <c r="AI2232" s="1" t="s">
        <v>1040</v>
      </c>
      <c r="AJ2232" s="1">
        <v>69.83</v>
      </c>
      <c r="AK2232" s="1">
        <v>0</v>
      </c>
      <c r="AL2232" s="1" t="s">
        <v>1060</v>
      </c>
      <c r="AM2232" s="1" t="s">
        <v>312</v>
      </c>
      <c r="AN2232" s="1"/>
      <c r="AO2232" s="1" t="s">
        <v>2304</v>
      </c>
      <c r="AP2232" s="1" t="s">
        <v>110</v>
      </c>
      <c r="AQ2232" s="1">
        <v>76.4</v>
      </c>
      <c r="AR2232" s="1">
        <v>0</v>
      </c>
      <c r="AS2232" s="1"/>
      <c r="AT2232" s="1"/>
      <c r="AU2232" s="1"/>
      <c r="AV2232" s="1"/>
      <c r="AW2232" s="1"/>
      <c r="AX2232" s="1"/>
      <c r="AY2232" s="1" t="s">
        <v>38778</v>
      </c>
      <c r="AZ2232" s="1" t="s">
        <v>38779</v>
      </c>
      <c r="BA2232" s="1"/>
      <c r="BB2232" s="1"/>
      <c r="BC2232" s="1" t="s">
        <v>1400</v>
      </c>
      <c r="BD2232" s="1" t="s">
        <v>553</v>
      </c>
      <c r="BE2232" s="1">
        <v>53.62</v>
      </c>
      <c r="BF2232" s="1">
        <v>5.87</v>
      </c>
      <c r="BG2232" s="1"/>
      <c r="BH2232" s="1"/>
      <c r="BI2232" s="1"/>
      <c r="BJ2232" s="1"/>
      <c r="BK2232" s="1"/>
      <c r="BL2232" s="1"/>
      <c r="BM2232" s="1"/>
      <c r="BN2232" s="1"/>
      <c r="BO2232" s="1" t="s">
        <v>3308</v>
      </c>
      <c r="BP2232" s="1"/>
      <c r="BQ2232" s="1"/>
      <c r="BR2232" s="1" t="s">
        <v>38780</v>
      </c>
      <c r="BS2232" s="1">
        <v>8</v>
      </c>
      <c r="BT2232" s="1"/>
      <c r="BU2232" s="1" t="str">
        <f>HYPERLINK("https://nconnect.nicmar.ac.in/storage/profile/ProfilePhoto_P25703063_326758.jpg","Download")</f>
        <v>0</v>
      </c>
      <c r="BV2232" s="3"/>
      <c r="BW2232" s="3"/>
    </row>
    <row r="2233" spans="1:75">
      <c r="A2233" s="1" t="s">
        <v>35074</v>
      </c>
      <c r="B2233" s="1" t="s">
        <v>446</v>
      </c>
      <c r="C2233" s="1" t="s">
        <v>38781</v>
      </c>
      <c r="D2233" s="1" t="s">
        <v>38782</v>
      </c>
      <c r="E2233" s="1" t="s">
        <v>4256</v>
      </c>
      <c r="F2233" s="1" t="s">
        <v>38783</v>
      </c>
      <c r="G2233" s="1" t="s">
        <v>38784</v>
      </c>
      <c r="H2233" s="1" t="s">
        <v>38785</v>
      </c>
      <c r="I2233" s="1" t="s">
        <v>38786</v>
      </c>
      <c r="J2233" s="1">
        <v>9373052834</v>
      </c>
      <c r="K2233" s="1" t="s">
        <v>153</v>
      </c>
      <c r="L2233" s="1" t="s">
        <v>14409</v>
      </c>
      <c r="M2233" s="1" t="s">
        <v>86</v>
      </c>
      <c r="N2233" s="1" t="s">
        <v>38787</v>
      </c>
      <c r="O2233" s="1" t="s">
        <v>38788</v>
      </c>
      <c r="P2233" s="1" t="s">
        <v>507</v>
      </c>
      <c r="Q2233" s="1" t="s">
        <v>38789</v>
      </c>
      <c r="R2233" s="1" t="s">
        <v>4256</v>
      </c>
      <c r="S2233" s="1">
        <v>9975886564</v>
      </c>
      <c r="T2233" s="1" t="s">
        <v>159</v>
      </c>
      <c r="U2233" s="1" t="s">
        <v>5271</v>
      </c>
      <c r="V2233" s="1">
        <v>9096671764</v>
      </c>
      <c r="W2233" s="1" t="s">
        <v>161</v>
      </c>
      <c r="X2233" s="1" t="s">
        <v>38790</v>
      </c>
      <c r="Y2233" s="1" t="s">
        <v>1779</v>
      </c>
      <c r="Z2233" s="1" t="s">
        <v>97</v>
      </c>
      <c r="AA2233" s="1" t="s">
        <v>38790</v>
      </c>
      <c r="AB2233" s="1" t="s">
        <v>1779</v>
      </c>
      <c r="AC2233" s="1" t="s">
        <v>97</v>
      </c>
      <c r="AD2233" s="1">
        <v>7.67</v>
      </c>
      <c r="AE2233" s="1" t="s">
        <v>98</v>
      </c>
      <c r="AF2233" s="1" t="s">
        <v>38791</v>
      </c>
      <c r="AG2233" s="1" t="s">
        <v>165</v>
      </c>
      <c r="AH2233" s="1" t="s">
        <v>7331</v>
      </c>
      <c r="AI2233" s="1" t="s">
        <v>414</v>
      </c>
      <c r="AJ2233" s="1">
        <v>88.6</v>
      </c>
      <c r="AK2233" s="1"/>
      <c r="AL2233" s="1" t="s">
        <v>38792</v>
      </c>
      <c r="AM2233" s="1" t="s">
        <v>312</v>
      </c>
      <c r="AN2233" s="1"/>
      <c r="AO2233" s="1" t="s">
        <v>547</v>
      </c>
      <c r="AP2233" s="1" t="s">
        <v>552</v>
      </c>
      <c r="AQ2233" s="1">
        <v>75</v>
      </c>
      <c r="AR2233" s="1"/>
      <c r="AS2233" s="1"/>
      <c r="AT2233" s="1"/>
      <c r="AU2233" s="1"/>
      <c r="AV2233" s="1"/>
      <c r="AW2233" s="1"/>
      <c r="AX2233" s="1"/>
      <c r="AY2233" s="1" t="s">
        <v>9545</v>
      </c>
      <c r="AZ2233" s="1" t="s">
        <v>38793</v>
      </c>
      <c r="BA2233" s="1"/>
      <c r="BB2233" s="1"/>
      <c r="BC2233" s="1" t="s">
        <v>552</v>
      </c>
      <c r="BD2233" s="1" t="s">
        <v>418</v>
      </c>
      <c r="BE2233" s="1">
        <v>62.39</v>
      </c>
      <c r="BF2233" s="1">
        <v>6.68</v>
      </c>
      <c r="BG2233" s="1"/>
      <c r="BH2233" s="1"/>
      <c r="BI2233" s="1"/>
      <c r="BJ2233" s="1"/>
      <c r="BK2233" s="1"/>
      <c r="BL2233" s="1"/>
      <c r="BM2233" s="1"/>
      <c r="BN2233" s="1"/>
      <c r="BO2233" s="1" t="s">
        <v>38794</v>
      </c>
      <c r="BP2233" s="1"/>
      <c r="BQ2233" s="1"/>
      <c r="BR2233" s="1" t="s">
        <v>38795</v>
      </c>
      <c r="BS2233" s="1">
        <v>24</v>
      </c>
      <c r="BT2233" s="1"/>
      <c r="BU2233" s="1" t="str">
        <f>HYPERLINK("https://nconnect.nicmar.ac.in/storage/profile/ProfilePhoto_P25703064_951836.jpg","Download")</f>
        <v>0</v>
      </c>
      <c r="BV2233" s="3"/>
      <c r="BW2233" s="3"/>
    </row>
    <row r="2234" spans="1:75">
      <c r="A2234" s="1" t="s">
        <v>35074</v>
      </c>
      <c r="B2234" s="1" t="s">
        <v>446</v>
      </c>
      <c r="C2234" s="1" t="s">
        <v>38796</v>
      </c>
      <c r="D2234" s="1" t="s">
        <v>5752</v>
      </c>
      <c r="E2234" s="1" t="s">
        <v>5940</v>
      </c>
      <c r="F2234" s="1" t="s">
        <v>38797</v>
      </c>
      <c r="G2234" s="1" t="s">
        <v>38798</v>
      </c>
      <c r="H2234" s="1" t="s">
        <v>38799</v>
      </c>
      <c r="I2234" s="1" t="s">
        <v>38800</v>
      </c>
      <c r="J2234" s="1">
        <v>7447508250</v>
      </c>
      <c r="K2234" s="1" t="s">
        <v>84</v>
      </c>
      <c r="L2234" s="1" t="s">
        <v>20849</v>
      </c>
      <c r="M2234" s="1" t="s">
        <v>86</v>
      </c>
      <c r="N2234" s="1" t="s">
        <v>190</v>
      </c>
      <c r="O2234" s="1"/>
      <c r="P2234" s="1" t="s">
        <v>481</v>
      </c>
      <c r="Q2234" s="1" t="s">
        <v>38801</v>
      </c>
      <c r="R2234" s="1" t="s">
        <v>5940</v>
      </c>
      <c r="S2234" s="1">
        <v>9423218654</v>
      </c>
      <c r="T2234" s="1" t="s">
        <v>11356</v>
      </c>
      <c r="U2234" s="1" t="s">
        <v>8127</v>
      </c>
      <c r="V2234" s="1">
        <v>9404239022</v>
      </c>
      <c r="W2234" s="1" t="s">
        <v>6733</v>
      </c>
      <c r="X2234" s="1" t="s">
        <v>38802</v>
      </c>
      <c r="Y2234" s="1" t="s">
        <v>196</v>
      </c>
      <c r="Z2234" s="1" t="s">
        <v>97</v>
      </c>
      <c r="AA2234" s="1" t="s">
        <v>38802</v>
      </c>
      <c r="AB2234" s="1" t="s">
        <v>196</v>
      </c>
      <c r="AC2234" s="1" t="s">
        <v>97</v>
      </c>
      <c r="AD2234" s="1">
        <v>0.0</v>
      </c>
      <c r="AE2234" s="1" t="s">
        <v>98</v>
      </c>
      <c r="AF2234" s="1" t="s">
        <v>38803</v>
      </c>
      <c r="AG2234" s="1" t="s">
        <v>38804</v>
      </c>
      <c r="AH2234" s="1" t="s">
        <v>438</v>
      </c>
      <c r="AI2234" s="1" t="s">
        <v>178</v>
      </c>
      <c r="AJ2234" s="1">
        <v>78</v>
      </c>
      <c r="AK2234" s="1"/>
      <c r="AL2234" s="1" t="s">
        <v>38038</v>
      </c>
      <c r="AM2234" s="1" t="s">
        <v>38804</v>
      </c>
      <c r="AN2234" s="1"/>
      <c r="AO2234" s="1" t="s">
        <v>441</v>
      </c>
      <c r="AP2234" s="1" t="s">
        <v>1400</v>
      </c>
      <c r="AQ2234" s="1">
        <v>57.17</v>
      </c>
      <c r="AR2234" s="1"/>
      <c r="AS2234" s="1"/>
      <c r="AT2234" s="1"/>
      <c r="AU2234" s="1"/>
      <c r="AV2234" s="1"/>
      <c r="AW2234" s="1"/>
      <c r="AX2234" s="1"/>
      <c r="AY2234" s="1" t="s">
        <v>366</v>
      </c>
      <c r="AZ2234" s="1" t="s">
        <v>38805</v>
      </c>
      <c r="BA2234" s="1"/>
      <c r="BB2234" s="1"/>
      <c r="BC2234" s="1" t="s">
        <v>110</v>
      </c>
      <c r="BD2234" s="1" t="s">
        <v>848</v>
      </c>
      <c r="BE2234" s="1">
        <v>76.19</v>
      </c>
      <c r="BF2234" s="1">
        <v>8.02</v>
      </c>
      <c r="BG2234" s="1"/>
      <c r="BH2234" s="1"/>
      <c r="BI2234" s="1"/>
      <c r="BJ2234" s="1"/>
      <c r="BK2234" s="1"/>
      <c r="BL2234" s="1"/>
      <c r="BM2234" s="1"/>
      <c r="BN2234" s="1"/>
      <c r="BO2234" s="1" t="s">
        <v>38806</v>
      </c>
      <c r="BP2234" s="1"/>
      <c r="BQ2234" s="1"/>
      <c r="BR2234" s="1" t="s">
        <v>38807</v>
      </c>
      <c r="BS2234" s="1">
        <v>9</v>
      </c>
      <c r="BT2234" s="1"/>
      <c r="BU2234" s="1" t="str">
        <f>HYPERLINK("https://nconnect.nicmar.ac.in/storage/profile/ProfilePhoto_P25703065_946527.jpg","Download")</f>
        <v>0</v>
      </c>
      <c r="BV2234" s="3"/>
      <c r="BW2234" s="3"/>
    </row>
    <row r="2235" spans="1:75">
      <c r="A2235" s="1" t="s">
        <v>35074</v>
      </c>
      <c r="B2235" s="1" t="s">
        <v>446</v>
      </c>
      <c r="C2235" s="1" t="s">
        <v>38808</v>
      </c>
      <c r="D2235" s="1" t="s">
        <v>38809</v>
      </c>
      <c r="E2235" s="1" t="s">
        <v>38810</v>
      </c>
      <c r="F2235" s="1" t="s">
        <v>38811</v>
      </c>
      <c r="G2235" s="1" t="s">
        <v>38812</v>
      </c>
      <c r="H2235" s="1" t="s">
        <v>38813</v>
      </c>
      <c r="I2235" s="1" t="s">
        <v>38814</v>
      </c>
      <c r="J2235" s="1">
        <v>8169845690</v>
      </c>
      <c r="K2235" s="1" t="s">
        <v>84</v>
      </c>
      <c r="L2235" s="1" t="s">
        <v>38815</v>
      </c>
      <c r="M2235" s="1" t="s">
        <v>86</v>
      </c>
      <c r="N2235" s="1" t="s">
        <v>38816</v>
      </c>
      <c r="O2235" s="1"/>
      <c r="P2235" s="1" t="s">
        <v>481</v>
      </c>
      <c r="Q2235" s="1" t="s">
        <v>38817</v>
      </c>
      <c r="R2235" s="1" t="s">
        <v>38818</v>
      </c>
      <c r="S2235" s="1">
        <v>9860215269</v>
      </c>
      <c r="T2235" s="1" t="s">
        <v>839</v>
      </c>
      <c r="U2235" s="1" t="s">
        <v>38819</v>
      </c>
      <c r="V2235" s="1">
        <v>7219018300</v>
      </c>
      <c r="W2235" s="1" t="s">
        <v>541</v>
      </c>
      <c r="X2235" s="1" t="s">
        <v>38820</v>
      </c>
      <c r="Y2235" s="1" t="s">
        <v>4302</v>
      </c>
      <c r="Z2235" s="1" t="s">
        <v>97</v>
      </c>
      <c r="AA2235" s="1" t="s">
        <v>38820</v>
      </c>
      <c r="AB2235" s="1" t="s">
        <v>4302</v>
      </c>
      <c r="AC2235" s="1" t="s">
        <v>97</v>
      </c>
      <c r="AD2235" s="1">
        <v>6.92</v>
      </c>
      <c r="AE2235" s="1" t="s">
        <v>98</v>
      </c>
      <c r="AF2235" s="1" t="s">
        <v>8148</v>
      </c>
      <c r="AG2235" s="1" t="s">
        <v>165</v>
      </c>
      <c r="AH2235" s="1" t="s">
        <v>171</v>
      </c>
      <c r="AI2235" s="1" t="s">
        <v>414</v>
      </c>
      <c r="AJ2235" s="1">
        <v>71</v>
      </c>
      <c r="AK2235" s="1"/>
      <c r="AL2235" s="1" t="s">
        <v>38821</v>
      </c>
      <c r="AM2235" s="1" t="s">
        <v>165</v>
      </c>
      <c r="AN2235" s="1"/>
      <c r="AO2235" s="1" t="s">
        <v>468</v>
      </c>
      <c r="AP2235" s="1" t="s">
        <v>1192</v>
      </c>
      <c r="AQ2235" s="1">
        <v>78.33</v>
      </c>
      <c r="AR2235" s="1"/>
      <c r="AS2235" s="1"/>
      <c r="AT2235" s="1"/>
      <c r="AU2235" s="1"/>
      <c r="AV2235" s="1"/>
      <c r="AW2235" s="1"/>
      <c r="AX2235" s="1"/>
      <c r="AY2235" s="1" t="s">
        <v>680</v>
      </c>
      <c r="AZ2235" s="1" t="s">
        <v>38822</v>
      </c>
      <c r="BA2235" s="1"/>
      <c r="BB2235" s="1"/>
      <c r="BC2235" s="1" t="s">
        <v>549</v>
      </c>
      <c r="BD2235" s="1" t="s">
        <v>2383</v>
      </c>
      <c r="BE2235" s="1">
        <v>62.5</v>
      </c>
      <c r="BF2235" s="1">
        <v>7.33</v>
      </c>
      <c r="BG2235" s="1"/>
      <c r="BH2235" s="1"/>
      <c r="BI2235" s="1"/>
      <c r="BJ2235" s="1"/>
      <c r="BK2235" s="1"/>
      <c r="BL2235" s="1"/>
      <c r="BM2235" s="1"/>
      <c r="BN2235" s="1"/>
      <c r="BO2235" s="1" t="s">
        <v>38823</v>
      </c>
      <c r="BP2235" s="1"/>
      <c r="BQ2235" s="1"/>
      <c r="BR2235" s="1" t="s">
        <v>38824</v>
      </c>
      <c r="BS2235" s="1">
        <v>17</v>
      </c>
      <c r="BT2235" s="1" t="s">
        <v>38825</v>
      </c>
      <c r="BU2235" s="1" t="str">
        <f>HYPERLINK("https://nconnect.nicmar.ac.in/storage/profile/ProfilePhoto_P25703066_498361.jpg","Download")</f>
        <v>0</v>
      </c>
      <c r="BV2235" s="3"/>
      <c r="BW2235" s="3"/>
    </row>
    <row r="2236" spans="1:75">
      <c r="A2236" s="1" t="s">
        <v>35074</v>
      </c>
      <c r="B2236" s="1" t="s">
        <v>446</v>
      </c>
      <c r="C2236" s="1" t="s">
        <v>38826</v>
      </c>
      <c r="D2236" s="1" t="s">
        <v>38827</v>
      </c>
      <c r="E2236" s="1"/>
      <c r="F2236" s="1" t="s">
        <v>36349</v>
      </c>
      <c r="G2236" s="1" t="s">
        <v>38828</v>
      </c>
      <c r="H2236" s="1" t="s">
        <v>38829</v>
      </c>
      <c r="I2236" s="1" t="s">
        <v>38830</v>
      </c>
      <c r="J2236" s="1">
        <v>8839930021</v>
      </c>
      <c r="K2236" s="1" t="s">
        <v>153</v>
      </c>
      <c r="L2236" s="1" t="s">
        <v>38831</v>
      </c>
      <c r="M2236" s="1" t="s">
        <v>86</v>
      </c>
      <c r="N2236" s="1" t="s">
        <v>87</v>
      </c>
      <c r="O2236" s="1" t="s">
        <v>38832</v>
      </c>
      <c r="P2236" s="1" t="s">
        <v>455</v>
      </c>
      <c r="Q2236" s="1" t="s">
        <v>38833</v>
      </c>
      <c r="R2236" s="1" t="s">
        <v>38834</v>
      </c>
      <c r="S2236" s="1">
        <v>7620471414</v>
      </c>
      <c r="T2236" s="1" t="s">
        <v>92</v>
      </c>
      <c r="U2236" s="1" t="s">
        <v>38835</v>
      </c>
      <c r="V2236" s="1">
        <v>7803959500</v>
      </c>
      <c r="W2236" s="1" t="s">
        <v>161</v>
      </c>
      <c r="X2236" s="1" t="s">
        <v>38836</v>
      </c>
      <c r="Y2236" s="1" t="s">
        <v>5335</v>
      </c>
      <c r="Z2236" s="1" t="s">
        <v>2933</v>
      </c>
      <c r="AA2236" s="1" t="s">
        <v>38836</v>
      </c>
      <c r="AB2236" s="1" t="s">
        <v>5335</v>
      </c>
      <c r="AC2236" s="1" t="s">
        <v>2933</v>
      </c>
      <c r="AD2236" s="1">
        <v>7.35</v>
      </c>
      <c r="AE2236" s="1" t="s">
        <v>98</v>
      </c>
      <c r="AF2236" s="1" t="s">
        <v>38837</v>
      </c>
      <c r="AG2236" s="1" t="s">
        <v>38838</v>
      </c>
      <c r="AH2236" s="1" t="s">
        <v>388</v>
      </c>
      <c r="AI2236" s="1" t="s">
        <v>171</v>
      </c>
      <c r="AJ2236" s="1">
        <v>84.66</v>
      </c>
      <c r="AK2236" s="1">
        <v>0</v>
      </c>
      <c r="AL2236" s="1" t="s">
        <v>38837</v>
      </c>
      <c r="AM2236" s="1" t="s">
        <v>38838</v>
      </c>
      <c r="AN2236" s="1" t="s">
        <v>35580</v>
      </c>
      <c r="AO2236" s="1" t="s">
        <v>315</v>
      </c>
      <c r="AP2236" s="1" t="s">
        <v>178</v>
      </c>
      <c r="AQ2236" s="1">
        <v>80.8</v>
      </c>
      <c r="AR2236" s="1">
        <v>0</v>
      </c>
      <c r="AS2236" s="1"/>
      <c r="AT2236" s="1"/>
      <c r="AU2236" s="1"/>
      <c r="AV2236" s="1"/>
      <c r="AW2236" s="1"/>
      <c r="AX2236" s="1"/>
      <c r="AY2236" s="1" t="s">
        <v>38839</v>
      </c>
      <c r="AZ2236" s="1" t="s">
        <v>38840</v>
      </c>
      <c r="BA2236" s="1" t="s">
        <v>35582</v>
      </c>
      <c r="BB2236" s="1" t="s">
        <v>35583</v>
      </c>
      <c r="BC2236" s="1" t="s">
        <v>178</v>
      </c>
      <c r="BD2236" s="1" t="s">
        <v>391</v>
      </c>
      <c r="BE2236" s="1">
        <v>78.27</v>
      </c>
      <c r="BF2236" s="1"/>
      <c r="BG2236" s="1" t="s">
        <v>38841</v>
      </c>
      <c r="BH2236" s="1" t="s">
        <v>23827</v>
      </c>
      <c r="BI2236" s="1"/>
      <c r="BJ2236" s="1"/>
      <c r="BK2236" s="1" t="s">
        <v>391</v>
      </c>
      <c r="BL2236" s="1" t="s">
        <v>5340</v>
      </c>
      <c r="BM2236" s="1">
        <v>63.95</v>
      </c>
      <c r="BN2236" s="1"/>
      <c r="BO2236" s="1" t="s">
        <v>3308</v>
      </c>
      <c r="BP2236" s="1"/>
      <c r="BQ2236" s="1"/>
      <c r="BR2236" s="1" t="s">
        <v>38842</v>
      </c>
      <c r="BS2236" s="1">
        <v>8</v>
      </c>
      <c r="BT2236" s="1" t="s">
        <v>38843</v>
      </c>
      <c r="BU2236" s="1" t="str">
        <f>HYPERLINK("https://nconnect.nicmar.ac.in/storage/profile/ProfilePhoto_P25703067_814359.jpg","Download")</f>
        <v>0</v>
      </c>
      <c r="BV2236" s="3"/>
      <c r="BW2236" s="3"/>
    </row>
    <row r="2237" spans="1:75">
      <c r="A2237" s="1" t="s">
        <v>35074</v>
      </c>
      <c r="B2237" s="1" t="s">
        <v>446</v>
      </c>
      <c r="C2237" s="1" t="s">
        <v>38844</v>
      </c>
      <c r="D2237" s="1" t="s">
        <v>5365</v>
      </c>
      <c r="E2237" s="1" t="s">
        <v>213</v>
      </c>
      <c r="F2237" s="1" t="s">
        <v>38845</v>
      </c>
      <c r="G2237" s="1" t="s">
        <v>38846</v>
      </c>
      <c r="H2237" s="1" t="s">
        <v>38847</v>
      </c>
      <c r="I2237" s="1" t="s">
        <v>38848</v>
      </c>
      <c r="J2237" s="1">
        <v>8080879711</v>
      </c>
      <c r="K2237" s="1" t="s">
        <v>153</v>
      </c>
      <c r="L2237" s="1" t="s">
        <v>12963</v>
      </c>
      <c r="M2237" s="1" t="s">
        <v>86</v>
      </c>
      <c r="N2237" s="1" t="s">
        <v>38849</v>
      </c>
      <c r="O2237" s="1"/>
      <c r="P2237" s="1" t="s">
        <v>481</v>
      </c>
      <c r="Q2237" s="1" t="s">
        <v>38850</v>
      </c>
      <c r="R2237" s="1" t="s">
        <v>38851</v>
      </c>
      <c r="S2237" s="1">
        <v>8080879711</v>
      </c>
      <c r="T2237" s="1" t="s">
        <v>539</v>
      </c>
      <c r="U2237" s="1" t="s">
        <v>38852</v>
      </c>
      <c r="V2237" s="1">
        <v>9579801266</v>
      </c>
      <c r="W2237" s="1" t="s">
        <v>161</v>
      </c>
      <c r="X2237" s="1" t="s">
        <v>38853</v>
      </c>
      <c r="Y2237" s="1" t="s">
        <v>333</v>
      </c>
      <c r="Z2237" s="1" t="s">
        <v>97</v>
      </c>
      <c r="AA2237" s="1" t="s">
        <v>38853</v>
      </c>
      <c r="AB2237" s="1" t="s">
        <v>333</v>
      </c>
      <c r="AC2237" s="1" t="s">
        <v>97</v>
      </c>
      <c r="AD2237" s="1">
        <v>0.0</v>
      </c>
      <c r="AE2237" s="1" t="s">
        <v>98</v>
      </c>
      <c r="AF2237" s="1" t="s">
        <v>38854</v>
      </c>
      <c r="AG2237" s="1" t="s">
        <v>9059</v>
      </c>
      <c r="AH2237" s="1" t="s">
        <v>573</v>
      </c>
      <c r="AI2237" s="1" t="s">
        <v>178</v>
      </c>
      <c r="AJ2237" s="1">
        <v>63.2</v>
      </c>
      <c r="AK2237" s="1">
        <v>6.65</v>
      </c>
      <c r="AL2237" s="1" t="s">
        <v>38855</v>
      </c>
      <c r="AM2237" s="1" t="s">
        <v>996</v>
      </c>
      <c r="AN2237" s="1"/>
      <c r="AO2237" s="1" t="s">
        <v>1040</v>
      </c>
      <c r="AP2237" s="1" t="s">
        <v>289</v>
      </c>
      <c r="AQ2237" s="1">
        <v>86.5</v>
      </c>
      <c r="AR2237" s="1">
        <v>8.65</v>
      </c>
      <c r="AS2237" s="1"/>
      <c r="AT2237" s="1"/>
      <c r="AU2237" s="1"/>
      <c r="AV2237" s="1"/>
      <c r="AW2237" s="1"/>
      <c r="AX2237" s="1"/>
      <c r="AY2237" s="1" t="s">
        <v>340</v>
      </c>
      <c r="AZ2237" s="1" t="s">
        <v>38856</v>
      </c>
      <c r="BA2237" s="1"/>
      <c r="BB2237" s="1"/>
      <c r="BC2237" s="1" t="s">
        <v>4722</v>
      </c>
      <c r="BD2237" s="1" t="s">
        <v>1401</v>
      </c>
      <c r="BE2237" s="1">
        <v>62.7</v>
      </c>
      <c r="BF2237" s="1">
        <v>6.6</v>
      </c>
      <c r="BG2237" s="1"/>
      <c r="BH2237" s="1"/>
      <c r="BI2237" s="1"/>
      <c r="BJ2237" s="1"/>
      <c r="BK2237" s="1"/>
      <c r="BL2237" s="1"/>
      <c r="BM2237" s="1"/>
      <c r="BN2237" s="1"/>
      <c r="BO2237" s="1" t="s">
        <v>38857</v>
      </c>
      <c r="BP2237" s="1"/>
      <c r="BQ2237" s="1"/>
      <c r="BR2237" s="1"/>
      <c r="BS2237" s="1"/>
      <c r="BT2237" s="1" t="s">
        <v>38858</v>
      </c>
      <c r="BU2237" s="1" t="str">
        <f>HYPERLINK("https://nconnect.nicmar.ac.in/storage/profile/ProfilePhoto_P25703069_368529.jpg","Download")</f>
        <v>0</v>
      </c>
      <c r="BV2237" s="3"/>
      <c r="BW2237" s="3"/>
    </row>
    <row r="2238" spans="1:75">
      <c r="A2238" s="1" t="s">
        <v>35074</v>
      </c>
      <c r="B2238" s="1" t="s">
        <v>446</v>
      </c>
      <c r="C2238" s="1" t="s">
        <v>38859</v>
      </c>
      <c r="D2238" s="1" t="s">
        <v>32620</v>
      </c>
      <c r="E2238" s="1"/>
      <c r="F2238" s="1" t="s">
        <v>530</v>
      </c>
      <c r="G2238" s="1" t="s">
        <v>38860</v>
      </c>
      <c r="H2238" s="1" t="s">
        <v>38861</v>
      </c>
      <c r="I2238" s="1" t="s">
        <v>38862</v>
      </c>
      <c r="J2238" s="1">
        <v>9556069753</v>
      </c>
      <c r="K2238" s="1" t="s">
        <v>84</v>
      </c>
      <c r="L2238" s="1" t="s">
        <v>38863</v>
      </c>
      <c r="M2238" s="1" t="s">
        <v>86</v>
      </c>
      <c r="N2238" s="1" t="s">
        <v>246</v>
      </c>
      <c r="O2238" s="1"/>
      <c r="P2238" s="1" t="s">
        <v>481</v>
      </c>
      <c r="Q2238" s="1" t="s">
        <v>38864</v>
      </c>
      <c r="R2238" s="1" t="s">
        <v>38865</v>
      </c>
      <c r="S2238" s="1">
        <v>9777446361</v>
      </c>
      <c r="T2238" s="1" t="s">
        <v>13867</v>
      </c>
      <c r="U2238" s="1" t="s">
        <v>38866</v>
      </c>
      <c r="V2238" s="1">
        <v>9777446361</v>
      </c>
      <c r="W2238" s="1" t="s">
        <v>278</v>
      </c>
      <c r="X2238" s="1" t="s">
        <v>38867</v>
      </c>
      <c r="Y2238" s="1" t="s">
        <v>21987</v>
      </c>
      <c r="Z2238" s="1" t="s">
        <v>544</v>
      </c>
      <c r="AA2238" s="1" t="s">
        <v>38867</v>
      </c>
      <c r="AB2238" s="1" t="s">
        <v>21987</v>
      </c>
      <c r="AC2238" s="1" t="s">
        <v>544</v>
      </c>
      <c r="AD2238" s="1">
        <v>8.07</v>
      </c>
      <c r="AE2238" s="1" t="s">
        <v>98</v>
      </c>
      <c r="AF2238" s="1" t="s">
        <v>38868</v>
      </c>
      <c r="AG2238" s="1" t="s">
        <v>38869</v>
      </c>
      <c r="AH2238" s="1" t="s">
        <v>4439</v>
      </c>
      <c r="AI2238" s="1" t="s">
        <v>2157</v>
      </c>
      <c r="AJ2238" s="1">
        <v>71.8</v>
      </c>
      <c r="AK2238" s="1"/>
      <c r="AL2238" s="1" t="s">
        <v>38868</v>
      </c>
      <c r="AM2238" s="1" t="s">
        <v>38869</v>
      </c>
      <c r="AN2238" s="1" t="s">
        <v>465</v>
      </c>
      <c r="AO2238" s="1" t="s">
        <v>2203</v>
      </c>
      <c r="AP2238" s="1" t="s">
        <v>336</v>
      </c>
      <c r="AQ2238" s="1">
        <v>61.6</v>
      </c>
      <c r="AR2238" s="1"/>
      <c r="AS2238" s="1" t="s">
        <v>4638</v>
      </c>
      <c r="AT2238" s="1" t="s">
        <v>38870</v>
      </c>
      <c r="AU2238" s="1" t="s">
        <v>133</v>
      </c>
      <c r="AV2238" s="1" t="s">
        <v>166</v>
      </c>
      <c r="AW2238" s="1">
        <v>64.82</v>
      </c>
      <c r="AX2238" s="1"/>
      <c r="AY2238" s="1" t="s">
        <v>38871</v>
      </c>
      <c r="AZ2238" s="1" t="s">
        <v>38872</v>
      </c>
      <c r="BA2238" s="1" t="s">
        <v>466</v>
      </c>
      <c r="BB2238" s="1" t="s">
        <v>23143</v>
      </c>
      <c r="BC2238" s="1" t="s">
        <v>342</v>
      </c>
      <c r="BD2238" s="1" t="s">
        <v>174</v>
      </c>
      <c r="BE2238" s="1">
        <v>72.8</v>
      </c>
      <c r="BF2238" s="1">
        <v>7.78</v>
      </c>
      <c r="BG2238" s="1"/>
      <c r="BH2238" s="1"/>
      <c r="BI2238" s="1"/>
      <c r="BJ2238" s="1"/>
      <c r="BK2238" s="1"/>
      <c r="BL2238" s="1"/>
      <c r="BM2238" s="1"/>
      <c r="BN2238" s="1"/>
      <c r="BO2238" s="1" t="s">
        <v>38873</v>
      </c>
      <c r="BP2238" s="1" t="s">
        <v>38874</v>
      </c>
      <c r="BQ2238" s="1" t="s">
        <v>3927</v>
      </c>
      <c r="BR2238" s="1" t="s">
        <v>38875</v>
      </c>
      <c r="BS2238" s="1">
        <v>13</v>
      </c>
      <c r="BT2238" s="1" t="s">
        <v>38876</v>
      </c>
      <c r="BU2238" s="1" t="str">
        <f>HYPERLINK("https://nconnect.nicmar.ac.in/storage/profile/ProfilePhoto_P25703070_916348.jpg","Download")</f>
        <v>0</v>
      </c>
      <c r="BV2238" s="3"/>
      <c r="BW2238" s="3"/>
    </row>
    <row r="2239" spans="1:75">
      <c r="A2239" s="1" t="s">
        <v>35074</v>
      </c>
      <c r="B2239" s="1" t="s">
        <v>446</v>
      </c>
      <c r="C2239" s="1" t="s">
        <v>38877</v>
      </c>
      <c r="D2239" s="1" t="s">
        <v>1119</v>
      </c>
      <c r="E2239" s="1" t="s">
        <v>38878</v>
      </c>
      <c r="F2239" s="1" t="s">
        <v>38879</v>
      </c>
      <c r="G2239" s="1" t="s">
        <v>38880</v>
      </c>
      <c r="H2239" s="1" t="s">
        <v>38881</v>
      </c>
      <c r="I2239" s="1" t="s">
        <v>38882</v>
      </c>
      <c r="J2239" s="1">
        <v>8208743302</v>
      </c>
      <c r="K2239" s="1" t="s">
        <v>84</v>
      </c>
      <c r="L2239" s="1" t="s">
        <v>38883</v>
      </c>
      <c r="M2239" s="1" t="s">
        <v>86</v>
      </c>
      <c r="N2239" s="1" t="s">
        <v>768</v>
      </c>
      <c r="O2239" s="1"/>
      <c r="P2239" s="1" t="s">
        <v>507</v>
      </c>
      <c r="Q2239" s="1" t="s">
        <v>38884</v>
      </c>
      <c r="R2239" s="1" t="s">
        <v>38885</v>
      </c>
      <c r="S2239" s="1">
        <v>9923102205</v>
      </c>
      <c r="T2239" s="1" t="s">
        <v>38886</v>
      </c>
      <c r="U2239" s="1" t="s">
        <v>38887</v>
      </c>
      <c r="V2239" s="1">
        <v>7588156681</v>
      </c>
      <c r="W2239" s="1" t="s">
        <v>161</v>
      </c>
      <c r="X2239" s="1" t="s">
        <v>38888</v>
      </c>
      <c r="Y2239" s="1" t="s">
        <v>96</v>
      </c>
      <c r="Z2239" s="1" t="s">
        <v>97</v>
      </c>
      <c r="AA2239" s="1" t="s">
        <v>38888</v>
      </c>
      <c r="AB2239" s="1" t="s">
        <v>96</v>
      </c>
      <c r="AC2239" s="1" t="s">
        <v>97</v>
      </c>
      <c r="AD2239" s="1">
        <v>6.92</v>
      </c>
      <c r="AE2239" s="1" t="s">
        <v>98</v>
      </c>
      <c r="AF2239" s="1" t="s">
        <v>38889</v>
      </c>
      <c r="AG2239" s="1" t="s">
        <v>312</v>
      </c>
      <c r="AH2239" s="1" t="s">
        <v>438</v>
      </c>
      <c r="AI2239" s="1" t="s">
        <v>178</v>
      </c>
      <c r="AJ2239" s="1">
        <v>60.83</v>
      </c>
      <c r="AK2239" s="1"/>
      <c r="AL2239" s="1" t="s">
        <v>7969</v>
      </c>
      <c r="AM2239" s="1" t="s">
        <v>33357</v>
      </c>
      <c r="AN2239" s="1"/>
      <c r="AO2239" s="1" t="s">
        <v>549</v>
      </c>
      <c r="AP2239" s="1" t="s">
        <v>289</v>
      </c>
      <c r="AQ2239" s="1">
        <v>74</v>
      </c>
      <c r="AR2239" s="1"/>
      <c r="AS2239" s="1"/>
      <c r="AT2239" s="1"/>
      <c r="AU2239" s="1"/>
      <c r="AV2239" s="1"/>
      <c r="AW2239" s="1"/>
      <c r="AX2239" s="1"/>
      <c r="AY2239" s="1" t="s">
        <v>4270</v>
      </c>
      <c r="AZ2239" s="1" t="s">
        <v>38890</v>
      </c>
      <c r="BA2239" s="1"/>
      <c r="BB2239" s="1"/>
      <c r="BC2239" s="1" t="s">
        <v>1400</v>
      </c>
      <c r="BD2239" s="1" t="s">
        <v>848</v>
      </c>
      <c r="BE2239" s="1">
        <v>63.6</v>
      </c>
      <c r="BF2239" s="1">
        <v>6.36</v>
      </c>
      <c r="BG2239" s="1"/>
      <c r="BH2239" s="1"/>
      <c r="BI2239" s="1"/>
      <c r="BJ2239" s="1"/>
      <c r="BK2239" s="1"/>
      <c r="BL2239" s="1"/>
      <c r="BM2239" s="1"/>
      <c r="BN2239" s="1"/>
      <c r="BO2239" s="1" t="s">
        <v>1890</v>
      </c>
      <c r="BP2239" s="1"/>
      <c r="BQ2239" s="1"/>
      <c r="BR2239" s="1" t="s">
        <v>38891</v>
      </c>
      <c r="BS2239" s="1">
        <v>9</v>
      </c>
      <c r="BT2239" s="1"/>
      <c r="BU2239" s="1" t="str">
        <f>HYPERLINK("https://nconnect.nicmar.ac.in/storage/profile/ProfilePhoto_P25703071_927836.jpg","Download")</f>
        <v>0</v>
      </c>
      <c r="BV2239" s="3"/>
      <c r="BW2239" s="3"/>
    </row>
    <row r="2240" spans="1:75">
      <c r="A2240" s="1" t="s">
        <v>35074</v>
      </c>
      <c r="B2240" s="1" t="s">
        <v>446</v>
      </c>
      <c r="C2240" s="1" t="s">
        <v>38892</v>
      </c>
      <c r="D2240" s="1" t="s">
        <v>38893</v>
      </c>
      <c r="E2240" s="1" t="s">
        <v>13033</v>
      </c>
      <c r="F2240" s="1" t="s">
        <v>1872</v>
      </c>
      <c r="G2240" s="1" t="s">
        <v>38894</v>
      </c>
      <c r="H2240" s="1" t="s">
        <v>38895</v>
      </c>
      <c r="I2240" s="1" t="s">
        <v>38896</v>
      </c>
      <c r="J2240" s="1">
        <v>8108011850</v>
      </c>
      <c r="K2240" s="1" t="s">
        <v>84</v>
      </c>
      <c r="L2240" s="1" t="s">
        <v>38897</v>
      </c>
      <c r="M2240" s="1" t="s">
        <v>86</v>
      </c>
      <c r="N2240" s="1" t="s">
        <v>2433</v>
      </c>
      <c r="O2240" s="1" t="s">
        <v>38898</v>
      </c>
      <c r="P2240" s="1" t="s">
        <v>507</v>
      </c>
      <c r="Q2240" s="1" t="s">
        <v>38899</v>
      </c>
      <c r="R2240" s="1" t="s">
        <v>13033</v>
      </c>
      <c r="S2240" s="1">
        <v>9702542764</v>
      </c>
      <c r="T2240" s="1" t="s">
        <v>645</v>
      </c>
      <c r="U2240" s="1" t="s">
        <v>38900</v>
      </c>
      <c r="V2240" s="1">
        <v>7039284345</v>
      </c>
      <c r="W2240" s="1" t="s">
        <v>94</v>
      </c>
      <c r="X2240" s="1" t="s">
        <v>38901</v>
      </c>
      <c r="Y2240" s="1" t="s">
        <v>2259</v>
      </c>
      <c r="Z2240" s="1" t="s">
        <v>97</v>
      </c>
      <c r="AA2240" s="1" t="s">
        <v>38901</v>
      </c>
      <c r="AB2240" s="1" t="s">
        <v>2259</v>
      </c>
      <c r="AC2240" s="1" t="s">
        <v>97</v>
      </c>
      <c r="AD2240" s="1">
        <v>9.2</v>
      </c>
      <c r="AE2240" s="1" t="s">
        <v>98</v>
      </c>
      <c r="AF2240" s="1" t="s">
        <v>38902</v>
      </c>
      <c r="AG2240" s="1" t="s">
        <v>6253</v>
      </c>
      <c r="AH2240" s="1" t="s">
        <v>2726</v>
      </c>
      <c r="AI2240" s="1" t="s">
        <v>134</v>
      </c>
      <c r="AJ2240" s="1">
        <v>80.6</v>
      </c>
      <c r="AK2240" s="1"/>
      <c r="AL2240" s="1" t="s">
        <v>38903</v>
      </c>
      <c r="AM2240" s="1" t="s">
        <v>6253</v>
      </c>
      <c r="AN2240" s="1" t="s">
        <v>575</v>
      </c>
      <c r="AO2240" s="1" t="s">
        <v>1262</v>
      </c>
      <c r="AP2240" s="1" t="s">
        <v>136</v>
      </c>
      <c r="AQ2240" s="1">
        <v>70</v>
      </c>
      <c r="AR2240" s="1"/>
      <c r="AS2240" s="1"/>
      <c r="AT2240" s="1"/>
      <c r="AU2240" s="1"/>
      <c r="AV2240" s="1"/>
      <c r="AW2240" s="1"/>
      <c r="AX2240" s="1"/>
      <c r="AY2240" s="1" t="s">
        <v>258</v>
      </c>
      <c r="AZ2240" s="1" t="s">
        <v>38904</v>
      </c>
      <c r="BA2240" s="1" t="s">
        <v>578</v>
      </c>
      <c r="BB2240" s="1" t="s">
        <v>23143</v>
      </c>
      <c r="BC2240" s="1" t="s">
        <v>136</v>
      </c>
      <c r="BD2240" s="1" t="s">
        <v>313</v>
      </c>
      <c r="BE2240" s="1">
        <v>57.65</v>
      </c>
      <c r="BF2240" s="1">
        <v>6.43</v>
      </c>
      <c r="BG2240" s="1"/>
      <c r="BH2240" s="1"/>
      <c r="BI2240" s="1"/>
      <c r="BJ2240" s="1"/>
      <c r="BK2240" s="1"/>
      <c r="BL2240" s="1"/>
      <c r="BM2240" s="1"/>
      <c r="BN2240" s="1"/>
      <c r="BO2240" s="1" t="s">
        <v>38905</v>
      </c>
      <c r="BP2240" s="1" t="s">
        <v>38906</v>
      </c>
      <c r="BQ2240" s="1" t="s">
        <v>12940</v>
      </c>
      <c r="BR2240" s="1" t="s">
        <v>38907</v>
      </c>
      <c r="BS2240" s="1">
        <v>19</v>
      </c>
      <c r="BT2240" s="1" t="s">
        <v>38908</v>
      </c>
      <c r="BU2240" s="1" t="str">
        <f>HYPERLINK("https://nconnect.nicmar.ac.in/storage/profile/ProfilePhoto_P25703072_791563.jpg","Download")</f>
        <v>0</v>
      </c>
      <c r="BV2240" s="3"/>
      <c r="BW2240" s="3"/>
    </row>
    <row r="2241" spans="1:75">
      <c r="A2241" s="1" t="s">
        <v>35074</v>
      </c>
      <c r="B2241" s="1" t="s">
        <v>446</v>
      </c>
      <c r="C2241" s="1" t="s">
        <v>38909</v>
      </c>
      <c r="D2241" s="1" t="s">
        <v>2829</v>
      </c>
      <c r="E2241" s="1" t="s">
        <v>5668</v>
      </c>
      <c r="F2241" s="1" t="s">
        <v>1179</v>
      </c>
      <c r="G2241" s="1" t="s">
        <v>38910</v>
      </c>
      <c r="H2241" s="1" t="s">
        <v>38911</v>
      </c>
      <c r="I2241" s="1" t="s">
        <v>38912</v>
      </c>
      <c r="J2241" s="1">
        <v>7743859567</v>
      </c>
      <c r="K2241" s="1" t="s">
        <v>84</v>
      </c>
      <c r="L2241" s="1" t="s">
        <v>38913</v>
      </c>
      <c r="M2241" s="1" t="s">
        <v>86</v>
      </c>
      <c r="N2241" s="1" t="s">
        <v>4972</v>
      </c>
      <c r="O2241" s="1"/>
      <c r="P2241" s="1" t="s">
        <v>455</v>
      </c>
      <c r="Q2241" s="1" t="s">
        <v>38914</v>
      </c>
      <c r="R2241" s="1" t="s">
        <v>38915</v>
      </c>
      <c r="S2241" s="1">
        <v>9422181910</v>
      </c>
      <c r="T2241" s="1" t="s">
        <v>839</v>
      </c>
      <c r="U2241" s="1" t="s">
        <v>38916</v>
      </c>
      <c r="V2241" s="1">
        <v>9422324187</v>
      </c>
      <c r="W2241" s="1" t="s">
        <v>2950</v>
      </c>
      <c r="X2241" s="1" t="s">
        <v>38917</v>
      </c>
      <c r="Y2241" s="1" t="s">
        <v>196</v>
      </c>
      <c r="Z2241" s="1" t="s">
        <v>97</v>
      </c>
      <c r="AA2241" s="1" t="s">
        <v>38918</v>
      </c>
      <c r="AB2241" s="1" t="s">
        <v>251</v>
      </c>
      <c r="AC2241" s="1" t="s">
        <v>97</v>
      </c>
      <c r="AD2241" s="1">
        <v>7.2</v>
      </c>
      <c r="AE2241" s="1" t="s">
        <v>98</v>
      </c>
      <c r="AF2241" s="1" t="s">
        <v>38919</v>
      </c>
      <c r="AG2241" s="1" t="s">
        <v>1601</v>
      </c>
      <c r="AH2241" s="1" t="s">
        <v>627</v>
      </c>
      <c r="AI2241" s="1" t="s">
        <v>200</v>
      </c>
      <c r="AJ2241" s="1">
        <v>73.2</v>
      </c>
      <c r="AK2241" s="1">
        <v>0</v>
      </c>
      <c r="AL2241" s="1" t="s">
        <v>38920</v>
      </c>
      <c r="AM2241" s="1" t="s">
        <v>1601</v>
      </c>
      <c r="AN2241" s="1" t="s">
        <v>2995</v>
      </c>
      <c r="AO2241" s="1" t="s">
        <v>171</v>
      </c>
      <c r="AP2241" s="1" t="s">
        <v>203</v>
      </c>
      <c r="AQ2241" s="1">
        <v>66.77</v>
      </c>
      <c r="AR2241" s="1">
        <v>0</v>
      </c>
      <c r="AS2241" s="1"/>
      <c r="AT2241" s="1"/>
      <c r="AU2241" s="1"/>
      <c r="AV2241" s="1"/>
      <c r="AW2241" s="1"/>
      <c r="AX2241" s="1"/>
      <c r="AY2241" s="1" t="s">
        <v>38711</v>
      </c>
      <c r="AZ2241" s="1" t="s">
        <v>38921</v>
      </c>
      <c r="BA2241" s="1" t="s">
        <v>38713</v>
      </c>
      <c r="BB2241" s="1" t="s">
        <v>38714</v>
      </c>
      <c r="BC2241" s="1" t="s">
        <v>1040</v>
      </c>
      <c r="BD2241" s="1" t="s">
        <v>418</v>
      </c>
      <c r="BE2241" s="1">
        <v>77.1</v>
      </c>
      <c r="BF2241" s="1">
        <v>7.7</v>
      </c>
      <c r="BG2241" s="1"/>
      <c r="BH2241" s="1"/>
      <c r="BI2241" s="1"/>
      <c r="BJ2241" s="1"/>
      <c r="BK2241" s="1"/>
      <c r="BL2241" s="1"/>
      <c r="BM2241" s="1"/>
      <c r="BN2241" s="1"/>
      <c r="BO2241" s="1" t="s">
        <v>38715</v>
      </c>
      <c r="BP2241" s="1"/>
      <c r="BQ2241" s="1"/>
      <c r="BR2241" s="1" t="s">
        <v>38922</v>
      </c>
      <c r="BS2241" s="1">
        <v>66</v>
      </c>
      <c r="BT2241" s="1" t="s">
        <v>38923</v>
      </c>
      <c r="BU2241" s="1" t="str">
        <f>HYPERLINK("https://nconnect.nicmar.ac.in/storage/profile/ProfilePhoto_P25703073_853419.jpg","Download")</f>
        <v>0</v>
      </c>
      <c r="BV2241" s="3"/>
      <c r="BW2241" s="3"/>
    </row>
    <row r="2242" spans="1:75">
      <c r="A2242" s="1" t="s">
        <v>35074</v>
      </c>
      <c r="B2242" s="1" t="s">
        <v>446</v>
      </c>
      <c r="C2242" s="1" t="s">
        <v>38924</v>
      </c>
      <c r="D2242" s="1" t="s">
        <v>4707</v>
      </c>
      <c r="E2242" s="1" t="s">
        <v>38925</v>
      </c>
      <c r="F2242" s="1" t="s">
        <v>6810</v>
      </c>
      <c r="G2242" s="1" t="s">
        <v>38926</v>
      </c>
      <c r="H2242" s="1" t="s">
        <v>38927</v>
      </c>
      <c r="I2242" s="1" t="s">
        <v>38928</v>
      </c>
      <c r="J2242" s="1">
        <v>7517880354</v>
      </c>
      <c r="K2242" s="1" t="s">
        <v>84</v>
      </c>
      <c r="L2242" s="1" t="s">
        <v>38929</v>
      </c>
      <c r="M2242" s="1" t="s">
        <v>86</v>
      </c>
      <c r="N2242" s="1" t="s">
        <v>5472</v>
      </c>
      <c r="O2242" s="1"/>
      <c r="P2242" s="1" t="s">
        <v>1028</v>
      </c>
      <c r="Q2242" s="1" t="s">
        <v>38930</v>
      </c>
      <c r="R2242" s="1" t="s">
        <v>38931</v>
      </c>
      <c r="S2242" s="1">
        <v>7774964929</v>
      </c>
      <c r="T2242" s="1" t="s">
        <v>38932</v>
      </c>
      <c r="U2242" s="1" t="s">
        <v>38933</v>
      </c>
      <c r="V2242" s="1">
        <v>9226466945</v>
      </c>
      <c r="W2242" s="1" t="s">
        <v>38932</v>
      </c>
      <c r="X2242" s="1" t="s">
        <v>38934</v>
      </c>
      <c r="Y2242" s="1" t="s">
        <v>2668</v>
      </c>
      <c r="Z2242" s="1" t="s">
        <v>97</v>
      </c>
      <c r="AA2242" s="1" t="s">
        <v>38934</v>
      </c>
      <c r="AB2242" s="1" t="s">
        <v>2668</v>
      </c>
      <c r="AC2242" s="1" t="s">
        <v>97</v>
      </c>
      <c r="AD2242" s="1">
        <v>6.8</v>
      </c>
      <c r="AE2242" s="1" t="s">
        <v>98</v>
      </c>
      <c r="AF2242" s="1" t="s">
        <v>38935</v>
      </c>
      <c r="AG2242" s="1" t="s">
        <v>38936</v>
      </c>
      <c r="AH2242" s="1" t="s">
        <v>170</v>
      </c>
      <c r="AI2242" s="1" t="s">
        <v>286</v>
      </c>
      <c r="AJ2242" s="1">
        <v>81.2</v>
      </c>
      <c r="AK2242" s="1"/>
      <c r="AL2242" s="1" t="s">
        <v>38937</v>
      </c>
      <c r="AM2242" s="1" t="s">
        <v>38938</v>
      </c>
      <c r="AN2242" s="1" t="s">
        <v>2995</v>
      </c>
      <c r="AO2242" s="1" t="s">
        <v>438</v>
      </c>
      <c r="AP2242" s="1" t="s">
        <v>365</v>
      </c>
      <c r="AQ2242" s="1">
        <v>72.31</v>
      </c>
      <c r="AR2242" s="1"/>
      <c r="AS2242" s="1"/>
      <c r="AT2242" s="1"/>
      <c r="AU2242" s="1"/>
      <c r="AV2242" s="1"/>
      <c r="AW2242" s="1"/>
      <c r="AX2242" s="1"/>
      <c r="AY2242" s="1" t="s">
        <v>38939</v>
      </c>
      <c r="AZ2242" s="1" t="s">
        <v>38940</v>
      </c>
      <c r="BA2242" s="1" t="s">
        <v>38713</v>
      </c>
      <c r="BB2242" s="1" t="s">
        <v>38714</v>
      </c>
      <c r="BC2242" s="1" t="s">
        <v>1171</v>
      </c>
      <c r="BD2242" s="1" t="s">
        <v>553</v>
      </c>
      <c r="BE2242" s="1">
        <v>70.6</v>
      </c>
      <c r="BF2242" s="1">
        <v>7.06</v>
      </c>
      <c r="BG2242" s="1"/>
      <c r="BH2242" s="1"/>
      <c r="BI2242" s="1"/>
      <c r="BJ2242" s="1"/>
      <c r="BK2242" s="1"/>
      <c r="BL2242" s="1"/>
      <c r="BM2242" s="1"/>
      <c r="BN2242" s="1"/>
      <c r="BO2242" s="1" t="s">
        <v>38941</v>
      </c>
      <c r="BP2242" s="1"/>
      <c r="BQ2242" s="1"/>
      <c r="BR2242" s="1" t="s">
        <v>38942</v>
      </c>
      <c r="BS2242" s="1">
        <v>7</v>
      </c>
      <c r="BT2242" s="1" t="s">
        <v>10002</v>
      </c>
      <c r="BU2242" s="1" t="str">
        <f>HYPERLINK("https://nconnect.nicmar.ac.in/storage/profile/ProfilePhoto_P25703075_735968.jpg","Download")</f>
        <v>0</v>
      </c>
      <c r="BV2242" s="3"/>
      <c r="BW2242" s="3"/>
    </row>
    <row r="2243" spans="1:75">
      <c r="A2243" s="1" t="s">
        <v>35074</v>
      </c>
      <c r="B2243" s="1" t="s">
        <v>446</v>
      </c>
      <c r="C2243" s="1" t="s">
        <v>38943</v>
      </c>
      <c r="D2243" s="1" t="s">
        <v>11149</v>
      </c>
      <c r="E2243" s="1"/>
      <c r="F2243" s="1" t="s">
        <v>38944</v>
      </c>
      <c r="G2243" s="1" t="s">
        <v>38945</v>
      </c>
      <c r="H2243" s="1" t="s">
        <v>38946</v>
      </c>
      <c r="I2243" s="1" t="s">
        <v>38947</v>
      </c>
      <c r="J2243" s="1">
        <v>7752901132</v>
      </c>
      <c r="K2243" s="1" t="s">
        <v>84</v>
      </c>
      <c r="L2243" s="1" t="s">
        <v>38948</v>
      </c>
      <c r="M2243" s="1" t="s">
        <v>86</v>
      </c>
      <c r="N2243" s="1" t="s">
        <v>4278</v>
      </c>
      <c r="O2243" s="1"/>
      <c r="P2243" s="1" t="s">
        <v>507</v>
      </c>
      <c r="Q2243" s="1" t="s">
        <v>38949</v>
      </c>
      <c r="R2243" s="1" t="s">
        <v>38950</v>
      </c>
      <c r="S2243" s="1">
        <v>9648776435</v>
      </c>
      <c r="T2243" s="1" t="s">
        <v>159</v>
      </c>
      <c r="U2243" s="1" t="s">
        <v>38951</v>
      </c>
      <c r="V2243" s="1">
        <v>9235361317</v>
      </c>
      <c r="W2243" s="1" t="s">
        <v>278</v>
      </c>
      <c r="X2243" s="1" t="s">
        <v>38952</v>
      </c>
      <c r="Y2243" s="1" t="s">
        <v>21987</v>
      </c>
      <c r="Z2243" s="1" t="s">
        <v>544</v>
      </c>
      <c r="AA2243" s="1" t="s">
        <v>38952</v>
      </c>
      <c r="AB2243" s="1" t="s">
        <v>21987</v>
      </c>
      <c r="AC2243" s="1" t="s">
        <v>544</v>
      </c>
      <c r="AD2243" s="1">
        <v>0.0</v>
      </c>
      <c r="AE2243" s="1" t="s">
        <v>98</v>
      </c>
      <c r="AF2243" s="1" t="s">
        <v>37717</v>
      </c>
      <c r="AG2243" s="1" t="s">
        <v>38953</v>
      </c>
      <c r="AH2243" s="1" t="s">
        <v>315</v>
      </c>
      <c r="AI2243" s="1" t="s">
        <v>1040</v>
      </c>
      <c r="AJ2243" s="1">
        <v>56</v>
      </c>
      <c r="AK2243" s="1"/>
      <c r="AL2243" s="1" t="s">
        <v>38954</v>
      </c>
      <c r="AM2243" s="1" t="s">
        <v>312</v>
      </c>
      <c r="AN2243" s="1" t="s">
        <v>35580</v>
      </c>
      <c r="AO2243" s="1" t="s">
        <v>2304</v>
      </c>
      <c r="AP2243" s="1" t="s">
        <v>1802</v>
      </c>
      <c r="AQ2243" s="1">
        <v>51.16</v>
      </c>
      <c r="AR2243" s="1"/>
      <c r="AS2243" s="1"/>
      <c r="AT2243" s="1"/>
      <c r="AU2243" s="1"/>
      <c r="AV2243" s="1"/>
      <c r="AW2243" s="1"/>
      <c r="AX2243" s="1"/>
      <c r="AY2243" s="1" t="s">
        <v>38955</v>
      </c>
      <c r="AZ2243" s="1" t="s">
        <v>38956</v>
      </c>
      <c r="BA2243" s="1" t="s">
        <v>35582</v>
      </c>
      <c r="BB2243" s="1" t="s">
        <v>35583</v>
      </c>
      <c r="BC2243" s="1" t="s">
        <v>110</v>
      </c>
      <c r="BD2243" s="1" t="s">
        <v>1401</v>
      </c>
      <c r="BE2243" s="1">
        <v>60.32</v>
      </c>
      <c r="BF2243" s="1">
        <v>6.35</v>
      </c>
      <c r="BG2243" s="1"/>
      <c r="BH2243" s="1"/>
      <c r="BI2243" s="1"/>
      <c r="BJ2243" s="1"/>
      <c r="BK2243" s="1"/>
      <c r="BL2243" s="1"/>
      <c r="BM2243" s="1"/>
      <c r="BN2243" s="1"/>
      <c r="BO2243" s="1" t="s">
        <v>3308</v>
      </c>
      <c r="BP2243" s="1"/>
      <c r="BQ2243" s="1"/>
      <c r="BR2243" s="1" t="s">
        <v>38957</v>
      </c>
      <c r="BS2243" s="1">
        <v>7</v>
      </c>
      <c r="BT2243" s="1" t="s">
        <v>38958</v>
      </c>
      <c r="BU2243" s="1" t="str">
        <f>HYPERLINK("https://nconnect.nicmar.ac.in/storage/profile/ProfilePhoto_P25703076_758314.jpg","Download")</f>
        <v>0</v>
      </c>
      <c r="BV2243" s="3"/>
      <c r="BW2243" s="3"/>
    </row>
    <row r="2244" spans="1:75">
      <c r="A2244" s="1" t="s">
        <v>35074</v>
      </c>
      <c r="B2244" s="1" t="s">
        <v>446</v>
      </c>
      <c r="C2244" s="1" t="s">
        <v>38959</v>
      </c>
      <c r="D2244" s="1" t="s">
        <v>186</v>
      </c>
      <c r="E2244" s="1" t="s">
        <v>38960</v>
      </c>
      <c r="F2244" s="1" t="s">
        <v>7992</v>
      </c>
      <c r="G2244" s="1" t="s">
        <v>38961</v>
      </c>
      <c r="H2244" s="1" t="s">
        <v>38962</v>
      </c>
      <c r="I2244" s="1" t="s">
        <v>38963</v>
      </c>
      <c r="J2244" s="1">
        <v>8830177969</v>
      </c>
      <c r="K2244" s="1" t="s">
        <v>84</v>
      </c>
      <c r="L2244" s="1" t="s">
        <v>38964</v>
      </c>
      <c r="M2244" s="1" t="s">
        <v>86</v>
      </c>
      <c r="N2244" s="1" t="s">
        <v>618</v>
      </c>
      <c r="O2244" s="1"/>
      <c r="P2244" s="1" t="s">
        <v>455</v>
      </c>
      <c r="Q2244" s="1" t="s">
        <v>38965</v>
      </c>
      <c r="R2244" s="1" t="s">
        <v>38960</v>
      </c>
      <c r="S2244" s="1">
        <v>9822213592</v>
      </c>
      <c r="T2244" s="1" t="s">
        <v>839</v>
      </c>
      <c r="U2244" s="1" t="s">
        <v>38966</v>
      </c>
      <c r="V2244" s="1">
        <v>8007177969</v>
      </c>
      <c r="W2244" s="1" t="s">
        <v>161</v>
      </c>
      <c r="X2244" s="1" t="s">
        <v>38967</v>
      </c>
      <c r="Y2244" s="1" t="s">
        <v>196</v>
      </c>
      <c r="Z2244" s="1" t="s">
        <v>97</v>
      </c>
      <c r="AA2244" s="1" t="s">
        <v>38967</v>
      </c>
      <c r="AB2244" s="1" t="s">
        <v>196</v>
      </c>
      <c r="AC2244" s="1" t="s">
        <v>97</v>
      </c>
      <c r="AD2244" s="1">
        <v>8.13</v>
      </c>
      <c r="AE2244" s="1" t="s">
        <v>98</v>
      </c>
      <c r="AF2244" s="1" t="s">
        <v>38968</v>
      </c>
      <c r="AG2244" s="1" t="s">
        <v>312</v>
      </c>
      <c r="AH2244" s="1" t="s">
        <v>490</v>
      </c>
      <c r="AI2244" s="1" t="s">
        <v>313</v>
      </c>
      <c r="AJ2244" s="1">
        <v>77.8</v>
      </c>
      <c r="AK2244" s="1"/>
      <c r="AL2244" s="1" t="s">
        <v>13642</v>
      </c>
      <c r="AM2244" s="1" t="s">
        <v>26272</v>
      </c>
      <c r="AN2244" s="1" t="s">
        <v>465</v>
      </c>
      <c r="AO2244" s="1" t="s">
        <v>206</v>
      </c>
      <c r="AP2244" s="1" t="s">
        <v>441</v>
      </c>
      <c r="AQ2244" s="1">
        <v>87.17</v>
      </c>
      <c r="AR2244" s="1"/>
      <c r="AS2244" s="1"/>
      <c r="AT2244" s="1"/>
      <c r="AU2244" s="1"/>
      <c r="AV2244" s="1"/>
      <c r="AW2244" s="1"/>
      <c r="AX2244" s="1"/>
      <c r="AY2244" s="1" t="s">
        <v>35403</v>
      </c>
      <c r="AZ2244" s="1" t="s">
        <v>35403</v>
      </c>
      <c r="BA2244" s="1" t="s">
        <v>35549</v>
      </c>
      <c r="BB2244" s="1" t="s">
        <v>38969</v>
      </c>
      <c r="BC2244" s="1" t="s">
        <v>441</v>
      </c>
      <c r="BD2244" s="1" t="s">
        <v>418</v>
      </c>
      <c r="BE2244" s="1">
        <v>83.66</v>
      </c>
      <c r="BF2244" s="1">
        <v>8.36</v>
      </c>
      <c r="BG2244" s="1"/>
      <c r="BH2244" s="1"/>
      <c r="BI2244" s="1"/>
      <c r="BJ2244" s="1"/>
      <c r="BK2244" s="1"/>
      <c r="BL2244" s="1"/>
      <c r="BM2244" s="1"/>
      <c r="BN2244" s="1"/>
      <c r="BO2244" s="1" t="s">
        <v>1890</v>
      </c>
      <c r="BP2244" s="1"/>
      <c r="BQ2244" s="1"/>
      <c r="BR2244" s="1" t="s">
        <v>38970</v>
      </c>
      <c r="BS2244" s="1">
        <v>45</v>
      </c>
      <c r="BT2244" s="1"/>
      <c r="BU2244" s="1" t="str">
        <f>HYPERLINK("https://nconnect.nicmar.ac.in/storage/profile/ProfilePhoto_P25703077_591873.jpg","Download")</f>
        <v>0</v>
      </c>
      <c r="BV2244" s="3"/>
      <c r="BW2244" s="3"/>
    </row>
    <row r="2245" spans="1:75">
      <c r="A2245" s="1" t="s">
        <v>35074</v>
      </c>
      <c r="B2245" s="1" t="s">
        <v>446</v>
      </c>
      <c r="C2245" s="1" t="s">
        <v>38971</v>
      </c>
      <c r="D2245" s="1" t="s">
        <v>8594</v>
      </c>
      <c r="E2245" s="1" t="s">
        <v>38972</v>
      </c>
      <c r="F2245" s="1" t="s">
        <v>1872</v>
      </c>
      <c r="G2245" s="1" t="s">
        <v>38973</v>
      </c>
      <c r="H2245" s="1" t="s">
        <v>38974</v>
      </c>
      <c r="I2245" s="1" t="s">
        <v>38975</v>
      </c>
      <c r="J2245" s="1">
        <v>9373435275</v>
      </c>
      <c r="K2245" s="1" t="s">
        <v>153</v>
      </c>
      <c r="L2245" s="1" t="s">
        <v>23512</v>
      </c>
      <c r="M2245" s="1" t="s">
        <v>86</v>
      </c>
      <c r="N2245" s="1" t="s">
        <v>1163</v>
      </c>
      <c r="O2245" s="1" t="s">
        <v>38976</v>
      </c>
      <c r="P2245" s="1" t="s">
        <v>455</v>
      </c>
      <c r="Q2245" s="1" t="s">
        <v>38977</v>
      </c>
      <c r="R2245" s="1" t="s">
        <v>38972</v>
      </c>
      <c r="S2245" s="1">
        <v>9730160532</v>
      </c>
      <c r="T2245" s="1" t="s">
        <v>159</v>
      </c>
      <c r="U2245" s="1" t="s">
        <v>1126</v>
      </c>
      <c r="V2245" s="1">
        <v>9503840633</v>
      </c>
      <c r="W2245" s="1" t="s">
        <v>161</v>
      </c>
      <c r="X2245" s="1" t="s">
        <v>38978</v>
      </c>
      <c r="Y2245" s="1" t="s">
        <v>1033</v>
      </c>
      <c r="Z2245" s="1" t="s">
        <v>97</v>
      </c>
      <c r="AA2245" s="1" t="s">
        <v>38978</v>
      </c>
      <c r="AB2245" s="1" t="s">
        <v>1033</v>
      </c>
      <c r="AC2245" s="1" t="s">
        <v>97</v>
      </c>
      <c r="AD2245" s="1">
        <v>7.3</v>
      </c>
      <c r="AE2245" s="1" t="s">
        <v>98</v>
      </c>
      <c r="AF2245" s="1" t="s">
        <v>38979</v>
      </c>
      <c r="AG2245" s="1" t="s">
        <v>38980</v>
      </c>
      <c r="AH2245" s="1" t="s">
        <v>438</v>
      </c>
      <c r="AI2245" s="1" t="s">
        <v>603</v>
      </c>
      <c r="AJ2245" s="1">
        <v>84.8</v>
      </c>
      <c r="AK2245" s="1">
        <v>0</v>
      </c>
      <c r="AL2245" s="1" t="s">
        <v>38981</v>
      </c>
      <c r="AM2245" s="1" t="s">
        <v>38980</v>
      </c>
      <c r="AN2245" s="1"/>
      <c r="AO2245" s="1" t="s">
        <v>847</v>
      </c>
      <c r="AP2245" s="1" t="s">
        <v>1886</v>
      </c>
      <c r="AQ2245" s="1">
        <v>72.33</v>
      </c>
      <c r="AR2245" s="1">
        <v>0</v>
      </c>
      <c r="AS2245" s="1"/>
      <c r="AT2245" s="1"/>
      <c r="AU2245" s="1"/>
      <c r="AV2245" s="1"/>
      <c r="AW2245" s="1"/>
      <c r="AX2245" s="1"/>
      <c r="AY2245" s="1" t="s">
        <v>7084</v>
      </c>
      <c r="AZ2245" s="1" t="s">
        <v>38982</v>
      </c>
      <c r="BA2245" s="1"/>
      <c r="BB2245" s="1"/>
      <c r="BC2245" s="1" t="s">
        <v>289</v>
      </c>
      <c r="BD2245" s="1" t="s">
        <v>848</v>
      </c>
      <c r="BE2245" s="1">
        <v>74.98</v>
      </c>
      <c r="BF2245" s="1">
        <v>8.03</v>
      </c>
      <c r="BG2245" s="1"/>
      <c r="BH2245" s="1"/>
      <c r="BI2245" s="1"/>
      <c r="BJ2245" s="1"/>
      <c r="BK2245" s="1"/>
      <c r="BL2245" s="1"/>
      <c r="BM2245" s="1"/>
      <c r="BN2245" s="1"/>
      <c r="BO2245" s="1" t="s">
        <v>38983</v>
      </c>
      <c r="BP2245" s="1"/>
      <c r="BQ2245" s="1"/>
      <c r="BR2245" s="1"/>
      <c r="BS2245" s="1"/>
      <c r="BT2245" s="1"/>
      <c r="BU2245" s="1" t="str">
        <f>HYPERLINK("https://nconnect.nicmar.ac.in/storage/profile/ProfilePhoto_P25703078_978462.jpg","Download")</f>
        <v>0</v>
      </c>
      <c r="BV2245" s="3"/>
      <c r="BW2245" s="3"/>
    </row>
    <row r="2246" spans="1:75">
      <c r="A2246" s="1" t="s">
        <v>35074</v>
      </c>
      <c r="B2246" s="1" t="s">
        <v>446</v>
      </c>
      <c r="C2246" s="1" t="s">
        <v>38984</v>
      </c>
      <c r="D2246" s="1" t="s">
        <v>1046</v>
      </c>
      <c r="E2246" s="1" t="s">
        <v>2098</v>
      </c>
      <c r="F2246" s="1" t="s">
        <v>1872</v>
      </c>
      <c r="G2246" s="1" t="s">
        <v>38985</v>
      </c>
      <c r="H2246" s="1" t="s">
        <v>38986</v>
      </c>
      <c r="I2246" s="1" t="s">
        <v>38987</v>
      </c>
      <c r="J2246" s="1">
        <v>7558235037</v>
      </c>
      <c r="K2246" s="1" t="s">
        <v>84</v>
      </c>
      <c r="L2246" s="1" t="s">
        <v>38988</v>
      </c>
      <c r="M2246" s="1" t="s">
        <v>86</v>
      </c>
      <c r="N2246" s="1" t="s">
        <v>618</v>
      </c>
      <c r="O2246" s="1"/>
      <c r="P2246" s="1" t="s">
        <v>455</v>
      </c>
      <c r="Q2246" s="1" t="s">
        <v>38989</v>
      </c>
      <c r="R2246" s="1" t="s">
        <v>5741</v>
      </c>
      <c r="S2246" s="1">
        <v>9422037003</v>
      </c>
      <c r="T2246" s="1" t="s">
        <v>6733</v>
      </c>
      <c r="U2246" s="1" t="s">
        <v>38990</v>
      </c>
      <c r="V2246" s="1">
        <v>9922770998</v>
      </c>
      <c r="W2246" s="1" t="s">
        <v>161</v>
      </c>
      <c r="X2246" s="1" t="s">
        <v>38991</v>
      </c>
      <c r="Y2246" s="1" t="s">
        <v>1989</v>
      </c>
      <c r="Z2246" s="1" t="s">
        <v>97</v>
      </c>
      <c r="AA2246" s="1" t="s">
        <v>38991</v>
      </c>
      <c r="AB2246" s="1" t="s">
        <v>1989</v>
      </c>
      <c r="AC2246" s="1" t="s">
        <v>97</v>
      </c>
      <c r="AD2246" s="1">
        <v>7.61</v>
      </c>
      <c r="AE2246" s="1" t="s">
        <v>98</v>
      </c>
      <c r="AF2246" s="1" t="s">
        <v>38992</v>
      </c>
      <c r="AG2246" s="1" t="s">
        <v>28635</v>
      </c>
      <c r="AH2246" s="1" t="s">
        <v>286</v>
      </c>
      <c r="AI2246" s="1" t="s">
        <v>414</v>
      </c>
      <c r="AJ2246" s="1">
        <v>89.2</v>
      </c>
      <c r="AK2246" s="1"/>
      <c r="AL2246" s="1" t="s">
        <v>38993</v>
      </c>
      <c r="AM2246" s="1" t="s">
        <v>38994</v>
      </c>
      <c r="AN2246" s="1" t="s">
        <v>465</v>
      </c>
      <c r="AO2246" s="1" t="s">
        <v>438</v>
      </c>
      <c r="AP2246" s="1" t="s">
        <v>847</v>
      </c>
      <c r="AQ2246" s="1">
        <v>81.67</v>
      </c>
      <c r="AR2246" s="1"/>
      <c r="AS2246" s="1"/>
      <c r="AT2246" s="1"/>
      <c r="AU2246" s="1"/>
      <c r="AV2246" s="1"/>
      <c r="AW2246" s="1"/>
      <c r="AX2246" s="1"/>
      <c r="AY2246" s="1" t="s">
        <v>1038</v>
      </c>
      <c r="AZ2246" s="1" t="s">
        <v>38995</v>
      </c>
      <c r="BA2246" s="1" t="s">
        <v>466</v>
      </c>
      <c r="BB2246" s="1" t="s">
        <v>23143</v>
      </c>
      <c r="BC2246" s="1" t="s">
        <v>441</v>
      </c>
      <c r="BD2246" s="1" t="s">
        <v>848</v>
      </c>
      <c r="BE2246" s="1">
        <v>72.1</v>
      </c>
      <c r="BF2246" s="1">
        <v>7.71</v>
      </c>
      <c r="BG2246" s="1"/>
      <c r="BH2246" s="1"/>
      <c r="BI2246" s="1"/>
      <c r="BJ2246" s="1"/>
      <c r="BK2246" s="1"/>
      <c r="BL2246" s="1"/>
      <c r="BM2246" s="1"/>
      <c r="BN2246" s="1"/>
      <c r="BO2246" s="1" t="s">
        <v>38996</v>
      </c>
      <c r="BP2246" s="1"/>
      <c r="BQ2246" s="1"/>
      <c r="BR2246" s="1" t="s">
        <v>38997</v>
      </c>
      <c r="BS2246" s="1">
        <v>20</v>
      </c>
      <c r="BT2246" s="1"/>
      <c r="BU2246" s="1" t="str">
        <f>HYPERLINK("https://nconnect.nicmar.ac.in/storage/profile/ProfilePhoto_P25703080_396475.jpg","Download")</f>
        <v>0</v>
      </c>
      <c r="BV2246" s="3"/>
      <c r="BW2246" s="3"/>
    </row>
    <row r="2247" spans="1:75">
      <c r="A2247" s="1" t="s">
        <v>35074</v>
      </c>
      <c r="B2247" s="1" t="s">
        <v>446</v>
      </c>
      <c r="C2247" s="1" t="s">
        <v>38998</v>
      </c>
      <c r="D2247" s="1" t="s">
        <v>13757</v>
      </c>
      <c r="E2247" s="1" t="s">
        <v>5753</v>
      </c>
      <c r="F2247" s="1" t="s">
        <v>241</v>
      </c>
      <c r="G2247" s="1" t="s">
        <v>38999</v>
      </c>
      <c r="H2247" s="1" t="s">
        <v>39000</v>
      </c>
      <c r="I2247" s="1" t="s">
        <v>39000</v>
      </c>
      <c r="J2247" s="1">
        <v>7378759253</v>
      </c>
      <c r="K2247" s="1" t="s">
        <v>84</v>
      </c>
      <c r="L2247" s="1" t="s">
        <v>39001</v>
      </c>
      <c r="M2247" s="1" t="s">
        <v>86</v>
      </c>
      <c r="N2247" s="1" t="s">
        <v>768</v>
      </c>
      <c r="O2247" s="1"/>
      <c r="P2247" s="1" t="s">
        <v>481</v>
      </c>
      <c r="Q2247" s="1" t="s">
        <v>39002</v>
      </c>
      <c r="R2247" s="1" t="s">
        <v>39003</v>
      </c>
      <c r="S2247" s="1">
        <v>9403558646</v>
      </c>
      <c r="T2247" s="1" t="s">
        <v>127</v>
      </c>
      <c r="U2247" s="1" t="s">
        <v>39004</v>
      </c>
      <c r="V2247" s="1">
        <v>9403558646</v>
      </c>
      <c r="W2247" s="1" t="s">
        <v>39005</v>
      </c>
      <c r="X2247" s="1" t="s">
        <v>39006</v>
      </c>
      <c r="Y2247" s="1" t="s">
        <v>6128</v>
      </c>
      <c r="Z2247" s="1" t="s">
        <v>97</v>
      </c>
      <c r="AA2247" s="1" t="s">
        <v>39006</v>
      </c>
      <c r="AB2247" s="1" t="s">
        <v>6128</v>
      </c>
      <c r="AC2247" s="1" t="s">
        <v>97</v>
      </c>
      <c r="AD2247" s="1">
        <v>8.83</v>
      </c>
      <c r="AE2247" s="1" t="s">
        <v>98</v>
      </c>
      <c r="AF2247" s="1" t="s">
        <v>38295</v>
      </c>
      <c r="AG2247" s="1" t="s">
        <v>2745</v>
      </c>
      <c r="AH2247" s="1" t="s">
        <v>167</v>
      </c>
      <c r="AI2247" s="1" t="s">
        <v>200</v>
      </c>
      <c r="AJ2247" s="1">
        <v>74.8</v>
      </c>
      <c r="AK2247" s="1"/>
      <c r="AL2247" s="1" t="s">
        <v>39007</v>
      </c>
      <c r="AM2247" s="1" t="s">
        <v>1968</v>
      </c>
      <c r="AN2247" s="1" t="s">
        <v>465</v>
      </c>
      <c r="AO2247" s="1" t="s">
        <v>171</v>
      </c>
      <c r="AP2247" s="1" t="s">
        <v>203</v>
      </c>
      <c r="AQ2247" s="1">
        <v>67.69</v>
      </c>
      <c r="AR2247" s="1"/>
      <c r="AS2247" s="1"/>
      <c r="AT2247" s="1"/>
      <c r="AU2247" s="1"/>
      <c r="AV2247" s="1"/>
      <c r="AW2247" s="1"/>
      <c r="AX2247" s="1"/>
      <c r="AY2247" s="1" t="s">
        <v>3174</v>
      </c>
      <c r="AZ2247" s="1" t="s">
        <v>39008</v>
      </c>
      <c r="BA2247" s="1" t="s">
        <v>578</v>
      </c>
      <c r="BB2247" s="1" t="s">
        <v>23143</v>
      </c>
      <c r="BC2247" s="1" t="s">
        <v>206</v>
      </c>
      <c r="BD2247" s="1" t="s">
        <v>234</v>
      </c>
      <c r="BE2247" s="1">
        <v>72.8</v>
      </c>
      <c r="BF2247" s="1">
        <v>8.18</v>
      </c>
      <c r="BG2247" s="1"/>
      <c r="BH2247" s="1"/>
      <c r="BI2247" s="1"/>
      <c r="BJ2247" s="1"/>
      <c r="BK2247" s="1"/>
      <c r="BL2247" s="1"/>
      <c r="BM2247" s="1"/>
      <c r="BN2247" s="1"/>
      <c r="BO2247" s="1" t="s">
        <v>39009</v>
      </c>
      <c r="BP2247" s="1" t="s">
        <v>39010</v>
      </c>
      <c r="BQ2247" s="1" t="s">
        <v>1070</v>
      </c>
      <c r="BR2247" s="1" t="s">
        <v>39011</v>
      </c>
      <c r="BS2247" s="1">
        <v>8</v>
      </c>
      <c r="BT2247" s="1"/>
      <c r="BU2247" s="1" t="str">
        <f>HYPERLINK("https://nconnect.nicmar.ac.in/storage/profile/ProfilePhoto_P25703036_347852.jpg","Download")</f>
        <v>0</v>
      </c>
      <c r="BV2247" s="3"/>
      <c r="BW2247" s="3"/>
    </row>
    <row r="2248" spans="1:75">
      <c r="A2248" s="1" t="s">
        <v>35379</v>
      </c>
      <c r="B2248" s="1" t="s">
        <v>446</v>
      </c>
      <c r="C2248" s="1" t="s">
        <v>39012</v>
      </c>
      <c r="D2248" s="1" t="s">
        <v>39013</v>
      </c>
      <c r="E2248" s="1" t="s">
        <v>2428</v>
      </c>
      <c r="F2248" s="1" t="s">
        <v>36349</v>
      </c>
      <c r="G2248" s="1" t="s">
        <v>39014</v>
      </c>
      <c r="H2248" s="1" t="s">
        <v>39015</v>
      </c>
      <c r="I2248" s="1" t="s">
        <v>39016</v>
      </c>
      <c r="J2248" s="1">
        <v>9049214719</v>
      </c>
      <c r="K2248" s="1" t="s">
        <v>84</v>
      </c>
      <c r="L2248" s="1" t="s">
        <v>34574</v>
      </c>
      <c r="M2248" s="1" t="s">
        <v>86</v>
      </c>
      <c r="N2248" s="1" t="s">
        <v>618</v>
      </c>
      <c r="O2248" s="1"/>
      <c r="P2248" s="1" t="s">
        <v>670</v>
      </c>
      <c r="Q2248" s="1" t="s">
        <v>39017</v>
      </c>
      <c r="R2248" s="1" t="s">
        <v>2428</v>
      </c>
      <c r="S2248" s="1">
        <v>9420161893</v>
      </c>
      <c r="T2248" s="1" t="s">
        <v>30780</v>
      </c>
      <c r="U2248" s="1" t="s">
        <v>6808</v>
      </c>
      <c r="V2248" s="1">
        <v>8390011964</v>
      </c>
      <c r="W2248" s="1" t="s">
        <v>94</v>
      </c>
      <c r="X2248" s="1" t="s">
        <v>39018</v>
      </c>
      <c r="Y2248" s="1" t="s">
        <v>11302</v>
      </c>
      <c r="Z2248" s="1" t="s">
        <v>6549</v>
      </c>
      <c r="AA2248" s="1" t="s">
        <v>39018</v>
      </c>
      <c r="AB2248" s="1" t="s">
        <v>11302</v>
      </c>
      <c r="AC2248" s="1" t="s">
        <v>6549</v>
      </c>
      <c r="AD2248" s="1">
        <v>8.3</v>
      </c>
      <c r="AE2248" s="1" t="s">
        <v>98</v>
      </c>
      <c r="AF2248" s="1" t="s">
        <v>39019</v>
      </c>
      <c r="AG2248" s="1" t="s">
        <v>39020</v>
      </c>
      <c r="AH2248" s="1" t="s">
        <v>4593</v>
      </c>
      <c r="AI2248" s="1" t="s">
        <v>627</v>
      </c>
      <c r="AJ2248" s="1">
        <v>83</v>
      </c>
      <c r="AK2248" s="1"/>
      <c r="AL2248" s="1" t="s">
        <v>39021</v>
      </c>
      <c r="AM2248" s="1" t="s">
        <v>39020</v>
      </c>
      <c r="AN2248" s="1"/>
      <c r="AO2248" s="1" t="s">
        <v>167</v>
      </c>
      <c r="AP2248" s="1" t="s">
        <v>171</v>
      </c>
      <c r="AQ2248" s="1">
        <v>56.5</v>
      </c>
      <c r="AR2248" s="1"/>
      <c r="AS2248" s="1"/>
      <c r="AT2248" s="1"/>
      <c r="AU2248" s="1"/>
      <c r="AV2248" s="1"/>
      <c r="AW2248" s="1"/>
      <c r="AX2248" s="1"/>
      <c r="AY2248" s="1" t="s">
        <v>11306</v>
      </c>
      <c r="AZ2248" s="1" t="s">
        <v>6554</v>
      </c>
      <c r="BA2248" s="1"/>
      <c r="BB2248" s="1"/>
      <c r="BC2248" s="1" t="s">
        <v>174</v>
      </c>
      <c r="BD2248" s="1" t="s">
        <v>1802</v>
      </c>
      <c r="BE2248" s="1">
        <v>64</v>
      </c>
      <c r="BF2248" s="1"/>
      <c r="BG2248" s="1"/>
      <c r="BH2248" s="1"/>
      <c r="BI2248" s="1"/>
      <c r="BJ2248" s="1"/>
      <c r="BK2248" s="1"/>
      <c r="BL2248" s="1"/>
      <c r="BM2248" s="1"/>
      <c r="BN2248" s="1"/>
      <c r="BO2248" s="1" t="s">
        <v>39022</v>
      </c>
      <c r="BP2248" s="1" t="s">
        <v>39023</v>
      </c>
      <c r="BQ2248" s="1" t="s">
        <v>1564</v>
      </c>
      <c r="BR2248" s="1" t="s">
        <v>39024</v>
      </c>
      <c r="BS2248" s="1">
        <v>16</v>
      </c>
      <c r="BT2248" s="1" t="s">
        <v>39025</v>
      </c>
      <c r="BU2248" s="1" t="str">
        <f>HYPERLINK("https://nconnect.nicmar.ac.in/storage/profile/ProfilePhoto_P25704001_327986.jpg","Download")</f>
        <v>0</v>
      </c>
      <c r="BV2248" s="3"/>
      <c r="BW2248" s="3"/>
    </row>
    <row r="2249" spans="1:75">
      <c r="A2249" s="1" t="s">
        <v>35379</v>
      </c>
      <c r="B2249" s="1" t="s">
        <v>446</v>
      </c>
      <c r="C2249" s="1" t="s">
        <v>39026</v>
      </c>
      <c r="D2249" s="1" t="s">
        <v>7798</v>
      </c>
      <c r="E2249" s="1" t="s">
        <v>39027</v>
      </c>
      <c r="F2249" s="1" t="s">
        <v>39028</v>
      </c>
      <c r="G2249" s="1" t="s">
        <v>39029</v>
      </c>
      <c r="H2249" s="1" t="s">
        <v>39030</v>
      </c>
      <c r="I2249" s="1" t="s">
        <v>39031</v>
      </c>
      <c r="J2249" s="1">
        <v>9606625731</v>
      </c>
      <c r="K2249" s="1" t="s">
        <v>84</v>
      </c>
      <c r="L2249" s="1" t="s">
        <v>11757</v>
      </c>
      <c r="M2249" s="1" t="s">
        <v>86</v>
      </c>
      <c r="N2249" s="1" t="s">
        <v>17137</v>
      </c>
      <c r="O2249" s="1"/>
      <c r="P2249" s="1" t="s">
        <v>481</v>
      </c>
      <c r="Q2249" s="1" t="s">
        <v>39032</v>
      </c>
      <c r="R2249" s="1" t="s">
        <v>39027</v>
      </c>
      <c r="S2249" s="1">
        <v>9945732643</v>
      </c>
      <c r="T2249" s="1" t="s">
        <v>39033</v>
      </c>
      <c r="U2249" s="1" t="s">
        <v>39034</v>
      </c>
      <c r="V2249" s="1">
        <v>9902479826</v>
      </c>
      <c r="W2249" s="1" t="s">
        <v>484</v>
      </c>
      <c r="X2249" s="1" t="s">
        <v>39035</v>
      </c>
      <c r="Y2249" s="1" t="s">
        <v>3985</v>
      </c>
      <c r="Z2249" s="1" t="s">
        <v>1210</v>
      </c>
      <c r="AA2249" s="1" t="s">
        <v>39035</v>
      </c>
      <c r="AB2249" s="1" t="s">
        <v>3985</v>
      </c>
      <c r="AC2249" s="1" t="s">
        <v>1210</v>
      </c>
      <c r="AD2249" s="1">
        <v>8.38</v>
      </c>
      <c r="AE2249" s="1" t="s">
        <v>98</v>
      </c>
      <c r="AF2249" s="1" t="s">
        <v>39036</v>
      </c>
      <c r="AG2249" s="1" t="s">
        <v>39037</v>
      </c>
      <c r="AH2249" s="1" t="s">
        <v>517</v>
      </c>
      <c r="AI2249" s="1" t="s">
        <v>573</v>
      </c>
      <c r="AJ2249" s="1">
        <v>86.4</v>
      </c>
      <c r="AK2249" s="1"/>
      <c r="AL2249" s="1" t="s">
        <v>39038</v>
      </c>
      <c r="AM2249" s="1" t="s">
        <v>39039</v>
      </c>
      <c r="AN2249" s="1" t="s">
        <v>575</v>
      </c>
      <c r="AO2249" s="1" t="s">
        <v>33882</v>
      </c>
      <c r="AP2249" s="1" t="s">
        <v>414</v>
      </c>
      <c r="AQ2249" s="1">
        <v>59.16</v>
      </c>
      <c r="AR2249" s="1"/>
      <c r="AS2249" s="1"/>
      <c r="AT2249" s="1"/>
      <c r="AU2249" s="1"/>
      <c r="AV2249" s="1"/>
      <c r="AW2249" s="1"/>
      <c r="AX2249" s="1"/>
      <c r="AY2249" s="1" t="s">
        <v>4187</v>
      </c>
      <c r="AZ2249" s="1" t="s">
        <v>39040</v>
      </c>
      <c r="BA2249" s="1" t="s">
        <v>578</v>
      </c>
      <c r="BB2249" s="1" t="s">
        <v>467</v>
      </c>
      <c r="BC2249" s="1" t="s">
        <v>13133</v>
      </c>
      <c r="BD2249" s="1" t="s">
        <v>234</v>
      </c>
      <c r="BE2249" s="1">
        <v>61.2</v>
      </c>
      <c r="BF2249" s="1"/>
      <c r="BG2249" s="1"/>
      <c r="BH2249" s="1"/>
      <c r="BI2249" s="1"/>
      <c r="BJ2249" s="1"/>
      <c r="BK2249" s="1"/>
      <c r="BL2249" s="1"/>
      <c r="BM2249" s="1"/>
      <c r="BN2249" s="1"/>
      <c r="BO2249" s="1" t="s">
        <v>28364</v>
      </c>
      <c r="BP2249" s="1"/>
      <c r="BQ2249" s="1"/>
      <c r="BR2249" s="1" t="s">
        <v>39041</v>
      </c>
      <c r="BS2249" s="1">
        <v>17</v>
      </c>
      <c r="BT2249" s="1" t="s">
        <v>39042</v>
      </c>
      <c r="BU2249" s="1" t="str">
        <f>HYPERLINK("https://nconnect.nicmar.ac.in/storage/profile/ProfilePhoto_P25704004_981675.jpg","Download")</f>
        <v>0</v>
      </c>
      <c r="BV2249" s="3"/>
      <c r="BW2249" s="3"/>
    </row>
    <row r="2250" spans="1:75">
      <c r="A2250" s="1" t="s">
        <v>35379</v>
      </c>
      <c r="B2250" s="1" t="s">
        <v>446</v>
      </c>
      <c r="C2250" s="1" t="s">
        <v>39043</v>
      </c>
      <c r="D2250" s="1" t="s">
        <v>6880</v>
      </c>
      <c r="E2250" s="1" t="s">
        <v>39044</v>
      </c>
      <c r="F2250" s="1" t="s">
        <v>29313</v>
      </c>
      <c r="G2250" s="1" t="s">
        <v>39045</v>
      </c>
      <c r="H2250" s="1" t="s">
        <v>39046</v>
      </c>
      <c r="I2250" s="1" t="s">
        <v>39047</v>
      </c>
      <c r="J2250" s="1">
        <v>9112166624</v>
      </c>
      <c r="K2250" s="1" t="s">
        <v>84</v>
      </c>
      <c r="L2250" s="1" t="s">
        <v>25637</v>
      </c>
      <c r="M2250" s="1" t="s">
        <v>86</v>
      </c>
      <c r="N2250" s="1" t="s">
        <v>1163</v>
      </c>
      <c r="O2250" s="1"/>
      <c r="P2250" s="1" t="s">
        <v>481</v>
      </c>
      <c r="Q2250" s="1" t="s">
        <v>39048</v>
      </c>
      <c r="R2250" s="1" t="s">
        <v>39044</v>
      </c>
      <c r="S2250" s="1">
        <v>9527853953</v>
      </c>
      <c r="T2250" s="1" t="s">
        <v>221</v>
      </c>
      <c r="U2250" s="1" t="s">
        <v>39049</v>
      </c>
      <c r="V2250" s="1">
        <v>9527853953</v>
      </c>
      <c r="W2250" s="1" t="s">
        <v>161</v>
      </c>
      <c r="X2250" s="1" t="s">
        <v>39050</v>
      </c>
      <c r="Y2250" s="1" t="s">
        <v>96</v>
      </c>
      <c r="Z2250" s="1" t="s">
        <v>97</v>
      </c>
      <c r="AA2250" s="1" t="s">
        <v>39050</v>
      </c>
      <c r="AB2250" s="1" t="s">
        <v>96</v>
      </c>
      <c r="AC2250" s="1" t="s">
        <v>97</v>
      </c>
      <c r="AD2250" s="1">
        <v>8.28</v>
      </c>
      <c r="AE2250" s="1" t="s">
        <v>98</v>
      </c>
      <c r="AF2250" s="1" t="s">
        <v>9789</v>
      </c>
      <c r="AG2250" s="1" t="s">
        <v>4324</v>
      </c>
      <c r="AH2250" s="1" t="s">
        <v>166</v>
      </c>
      <c r="AI2250" s="1" t="s">
        <v>167</v>
      </c>
      <c r="AJ2250" s="1">
        <v>83.6</v>
      </c>
      <c r="AK2250" s="1"/>
      <c r="AL2250" s="1" t="s">
        <v>39051</v>
      </c>
      <c r="AM2250" s="1" t="s">
        <v>4324</v>
      </c>
      <c r="AN2250" s="1" t="s">
        <v>465</v>
      </c>
      <c r="AO2250" s="1" t="s">
        <v>200</v>
      </c>
      <c r="AP2250" s="1" t="s">
        <v>171</v>
      </c>
      <c r="AQ2250" s="1">
        <v>58.62</v>
      </c>
      <c r="AR2250" s="1"/>
      <c r="AS2250" s="1"/>
      <c r="AT2250" s="1"/>
      <c r="AU2250" s="1"/>
      <c r="AV2250" s="1"/>
      <c r="AW2250" s="1"/>
      <c r="AX2250" s="1"/>
      <c r="AY2250" s="1" t="s">
        <v>39052</v>
      </c>
      <c r="AZ2250" s="1" t="s">
        <v>39053</v>
      </c>
      <c r="BA2250" s="1" t="s">
        <v>466</v>
      </c>
      <c r="BB2250" s="1" t="s">
        <v>467</v>
      </c>
      <c r="BC2250" s="1" t="s">
        <v>1065</v>
      </c>
      <c r="BD2250" s="1" t="s">
        <v>110</v>
      </c>
      <c r="BE2250" s="1">
        <v>75.5</v>
      </c>
      <c r="BF2250" s="1">
        <v>8.05</v>
      </c>
      <c r="BG2250" s="1"/>
      <c r="BH2250" s="1"/>
      <c r="BI2250" s="1"/>
      <c r="BJ2250" s="1"/>
      <c r="BK2250" s="1"/>
      <c r="BL2250" s="1"/>
      <c r="BM2250" s="1"/>
      <c r="BN2250" s="1"/>
      <c r="BO2250" s="1" t="s">
        <v>39054</v>
      </c>
      <c r="BP2250" s="1"/>
      <c r="BQ2250" s="1"/>
      <c r="BR2250" s="1" t="s">
        <v>39055</v>
      </c>
      <c r="BS2250" s="1">
        <v>114</v>
      </c>
      <c r="BT2250" s="1"/>
      <c r="BU2250" s="1" t="str">
        <f>HYPERLINK("https://nconnect.nicmar.ac.in/storage/profile/ProfilePhoto_P25704005_592674.jpg","Download")</f>
        <v>0</v>
      </c>
      <c r="BV2250" s="3"/>
      <c r="BW2250" s="3"/>
    </row>
    <row r="2251" spans="1:75">
      <c r="A2251" s="1" t="s">
        <v>35379</v>
      </c>
      <c r="B2251" s="1" t="s">
        <v>446</v>
      </c>
      <c r="C2251" s="1" t="s">
        <v>39056</v>
      </c>
      <c r="D2251" s="1" t="s">
        <v>39057</v>
      </c>
      <c r="E2251" s="1" t="s">
        <v>12248</v>
      </c>
      <c r="F2251" s="1" t="s">
        <v>39058</v>
      </c>
      <c r="G2251" s="1" t="s">
        <v>39059</v>
      </c>
      <c r="H2251" s="1" t="s">
        <v>39060</v>
      </c>
      <c r="I2251" s="1" t="s">
        <v>39061</v>
      </c>
      <c r="J2251" s="1">
        <v>9352189157</v>
      </c>
      <c r="K2251" s="1" t="s">
        <v>153</v>
      </c>
      <c r="L2251" s="1" t="s">
        <v>1325</v>
      </c>
      <c r="M2251" s="1" t="s">
        <v>86</v>
      </c>
      <c r="N2251" s="1" t="s">
        <v>768</v>
      </c>
      <c r="O2251" s="1"/>
      <c r="P2251" s="1" t="s">
        <v>1028</v>
      </c>
      <c r="Q2251" s="1" t="s">
        <v>39062</v>
      </c>
      <c r="R2251" s="1" t="s">
        <v>39058</v>
      </c>
      <c r="S2251" s="1">
        <v>9922920835</v>
      </c>
      <c r="T2251" s="1" t="s">
        <v>125</v>
      </c>
      <c r="U2251" s="1" t="s">
        <v>13359</v>
      </c>
      <c r="V2251" s="1">
        <v>9022059275</v>
      </c>
      <c r="W2251" s="1" t="s">
        <v>94</v>
      </c>
      <c r="X2251" s="1" t="s">
        <v>39063</v>
      </c>
      <c r="Y2251" s="1" t="s">
        <v>1779</v>
      </c>
      <c r="Z2251" s="1" t="s">
        <v>97</v>
      </c>
      <c r="AA2251" s="1" t="s">
        <v>39063</v>
      </c>
      <c r="AB2251" s="1" t="s">
        <v>1779</v>
      </c>
      <c r="AC2251" s="1" t="s">
        <v>97</v>
      </c>
      <c r="AD2251" s="1">
        <v>8.93</v>
      </c>
      <c r="AE2251" s="1" t="s">
        <v>98</v>
      </c>
      <c r="AF2251" s="1" t="s">
        <v>39064</v>
      </c>
      <c r="AG2251" s="1" t="s">
        <v>39065</v>
      </c>
      <c r="AH2251" s="1" t="s">
        <v>3285</v>
      </c>
      <c r="AI2251" s="1" t="s">
        <v>200</v>
      </c>
      <c r="AJ2251" s="1">
        <v>83.4</v>
      </c>
      <c r="AK2251" s="1"/>
      <c r="AL2251" s="1" t="s">
        <v>39066</v>
      </c>
      <c r="AM2251" s="1" t="s">
        <v>39065</v>
      </c>
      <c r="AN2251" s="1"/>
      <c r="AO2251" s="1" t="s">
        <v>1477</v>
      </c>
      <c r="AP2251" s="1" t="s">
        <v>203</v>
      </c>
      <c r="AQ2251" s="1">
        <v>62.77</v>
      </c>
      <c r="AR2251" s="1"/>
      <c r="AS2251" s="1"/>
      <c r="AT2251" s="1"/>
      <c r="AU2251" s="1"/>
      <c r="AV2251" s="1"/>
      <c r="AW2251" s="1"/>
      <c r="AX2251" s="1"/>
      <c r="AY2251" s="1" t="s">
        <v>39067</v>
      </c>
      <c r="AZ2251" s="1" t="s">
        <v>39068</v>
      </c>
      <c r="BA2251" s="1"/>
      <c r="BB2251" s="1"/>
      <c r="BC2251" s="1" t="s">
        <v>365</v>
      </c>
      <c r="BD2251" s="1" t="s">
        <v>848</v>
      </c>
      <c r="BE2251" s="1">
        <v>60.16</v>
      </c>
      <c r="BF2251" s="1">
        <v>6.76</v>
      </c>
      <c r="BG2251" s="1"/>
      <c r="BH2251" s="1"/>
      <c r="BI2251" s="1"/>
      <c r="BJ2251" s="1"/>
      <c r="BK2251" s="1"/>
      <c r="BL2251" s="1"/>
      <c r="BM2251" s="1"/>
      <c r="BN2251" s="1"/>
      <c r="BO2251" s="1" t="s">
        <v>39069</v>
      </c>
      <c r="BP2251" s="1"/>
      <c r="BQ2251" s="1"/>
      <c r="BR2251" s="1" t="s">
        <v>39070</v>
      </c>
      <c r="BS2251" s="1">
        <v>31</v>
      </c>
      <c r="BT2251" s="1"/>
      <c r="BU2251" s="1" t="str">
        <f>HYPERLINK("https://nconnect.nicmar.ac.in/storage/profile/ProfilePhoto_P25704006_537618.jpg","Download")</f>
        <v>0</v>
      </c>
      <c r="BV2251" s="3"/>
      <c r="BW2251" s="3"/>
    </row>
    <row r="2252" spans="1:75">
      <c r="A2252" s="1" t="s">
        <v>35379</v>
      </c>
      <c r="B2252" s="1" t="s">
        <v>446</v>
      </c>
      <c r="C2252" s="1" t="s">
        <v>39071</v>
      </c>
      <c r="D2252" s="1" t="s">
        <v>13616</v>
      </c>
      <c r="E2252" s="1" t="s">
        <v>13157</v>
      </c>
      <c r="F2252" s="1" t="s">
        <v>39072</v>
      </c>
      <c r="G2252" s="1" t="s">
        <v>39073</v>
      </c>
      <c r="H2252" s="1" t="s">
        <v>39074</v>
      </c>
      <c r="I2252" s="1" t="s">
        <v>39075</v>
      </c>
      <c r="J2252" s="1">
        <v>9834120809</v>
      </c>
      <c r="K2252" s="1" t="s">
        <v>153</v>
      </c>
      <c r="L2252" s="1" t="s">
        <v>39076</v>
      </c>
      <c r="M2252" s="1" t="s">
        <v>86</v>
      </c>
      <c r="N2252" s="1" t="s">
        <v>10548</v>
      </c>
      <c r="O2252" s="1"/>
      <c r="P2252" s="1" t="s">
        <v>670</v>
      </c>
      <c r="Q2252" s="1" t="s">
        <v>39077</v>
      </c>
      <c r="R2252" s="1" t="s">
        <v>39078</v>
      </c>
      <c r="S2252" s="1">
        <v>8975639999</v>
      </c>
      <c r="T2252" s="1" t="s">
        <v>35084</v>
      </c>
      <c r="U2252" s="1" t="s">
        <v>39079</v>
      </c>
      <c r="V2252" s="1">
        <v>9403119990</v>
      </c>
      <c r="W2252" s="1" t="s">
        <v>94</v>
      </c>
      <c r="X2252" s="1" t="s">
        <v>39080</v>
      </c>
      <c r="Y2252" s="1" t="s">
        <v>410</v>
      </c>
      <c r="Z2252" s="1" t="s">
        <v>97</v>
      </c>
      <c r="AA2252" s="1" t="s">
        <v>39080</v>
      </c>
      <c r="AB2252" s="1" t="s">
        <v>410</v>
      </c>
      <c r="AC2252" s="1" t="s">
        <v>97</v>
      </c>
      <c r="AD2252" s="1">
        <v>9.22</v>
      </c>
      <c r="AE2252" s="1" t="s">
        <v>98</v>
      </c>
      <c r="AF2252" s="1" t="s">
        <v>39081</v>
      </c>
      <c r="AG2252" s="1" t="s">
        <v>165</v>
      </c>
      <c r="AH2252" s="1" t="s">
        <v>200</v>
      </c>
      <c r="AI2252" s="1" t="s">
        <v>286</v>
      </c>
      <c r="AJ2252" s="1">
        <v>86.4</v>
      </c>
      <c r="AK2252" s="1"/>
      <c r="AL2252" s="1" t="s">
        <v>39082</v>
      </c>
      <c r="AM2252" s="1" t="s">
        <v>165</v>
      </c>
      <c r="AN2252" s="1" t="s">
        <v>465</v>
      </c>
      <c r="AO2252" s="1" t="s">
        <v>203</v>
      </c>
      <c r="AP2252" s="1" t="s">
        <v>365</v>
      </c>
      <c r="AQ2252" s="1">
        <v>73.23</v>
      </c>
      <c r="AR2252" s="1"/>
      <c r="AS2252" s="1"/>
      <c r="AT2252" s="1"/>
      <c r="AU2252" s="1"/>
      <c r="AV2252" s="1"/>
      <c r="AW2252" s="1"/>
      <c r="AX2252" s="1"/>
      <c r="AY2252" s="1" t="s">
        <v>366</v>
      </c>
      <c r="AZ2252" s="1" t="s">
        <v>36551</v>
      </c>
      <c r="BA2252" s="1" t="s">
        <v>682</v>
      </c>
      <c r="BB2252" s="1" t="s">
        <v>1561</v>
      </c>
      <c r="BC2252" s="1" t="s">
        <v>368</v>
      </c>
      <c r="BD2252" s="1" t="s">
        <v>607</v>
      </c>
      <c r="BE2252" s="1">
        <v>71.8</v>
      </c>
      <c r="BF2252" s="1">
        <v>7.93</v>
      </c>
      <c r="BG2252" s="1"/>
      <c r="BH2252" s="1"/>
      <c r="BI2252" s="1"/>
      <c r="BJ2252" s="1"/>
      <c r="BK2252" s="1"/>
      <c r="BL2252" s="1"/>
      <c r="BM2252" s="1"/>
      <c r="BN2252" s="1"/>
      <c r="BO2252" s="1" t="s">
        <v>39083</v>
      </c>
      <c r="BP2252" s="1"/>
      <c r="BQ2252" s="1"/>
      <c r="BR2252" s="1" t="s">
        <v>39084</v>
      </c>
      <c r="BS2252" s="1">
        <v>26</v>
      </c>
      <c r="BT2252" s="1" t="s">
        <v>39085</v>
      </c>
      <c r="BU2252" s="1" t="str">
        <f>HYPERLINK("https://nconnect.nicmar.ac.in/storage/profile/ProfilePhoto_P25704007_382496.jpg","Download")</f>
        <v>0</v>
      </c>
      <c r="BV2252" s="3"/>
      <c r="BW2252" s="3"/>
    </row>
    <row r="2253" spans="1:75">
      <c r="A2253" s="1" t="s">
        <v>35379</v>
      </c>
      <c r="B2253" s="1" t="s">
        <v>446</v>
      </c>
      <c r="C2253" s="1" t="s">
        <v>39086</v>
      </c>
      <c r="D2253" s="1" t="s">
        <v>1074</v>
      </c>
      <c r="E2253" s="1" t="s">
        <v>530</v>
      </c>
      <c r="F2253" s="1" t="s">
        <v>5151</v>
      </c>
      <c r="G2253" s="1" t="s">
        <v>39087</v>
      </c>
      <c r="H2253" s="1" t="s">
        <v>39088</v>
      </c>
      <c r="I2253" s="1" t="s">
        <v>39089</v>
      </c>
      <c r="J2253" s="1">
        <v>9009479090</v>
      </c>
      <c r="K2253" s="1" t="s">
        <v>84</v>
      </c>
      <c r="L2253" s="1" t="s">
        <v>39090</v>
      </c>
      <c r="M2253" s="1" t="s">
        <v>86</v>
      </c>
      <c r="N2253" s="1" t="s">
        <v>39091</v>
      </c>
      <c r="O2253" s="1"/>
      <c r="P2253" s="1" t="s">
        <v>507</v>
      </c>
      <c r="Q2253" s="1" t="s">
        <v>39092</v>
      </c>
      <c r="R2253" s="1" t="s">
        <v>39093</v>
      </c>
      <c r="S2253" s="1">
        <v>9425185027</v>
      </c>
      <c r="T2253" s="1" t="s">
        <v>1620</v>
      </c>
      <c r="U2253" s="1" t="s">
        <v>39094</v>
      </c>
      <c r="V2253" s="1">
        <v>9425184552</v>
      </c>
      <c r="W2253" s="1" t="s">
        <v>161</v>
      </c>
      <c r="X2253" s="1" t="s">
        <v>39095</v>
      </c>
      <c r="Y2253" s="1" t="s">
        <v>29113</v>
      </c>
      <c r="Z2253" s="1" t="s">
        <v>3419</v>
      </c>
      <c r="AA2253" s="1" t="s">
        <v>39095</v>
      </c>
      <c r="AB2253" s="1" t="s">
        <v>29113</v>
      </c>
      <c r="AC2253" s="1" t="s">
        <v>3419</v>
      </c>
      <c r="AD2253" s="1">
        <v>8.13</v>
      </c>
      <c r="AE2253" s="1" t="s">
        <v>98</v>
      </c>
      <c r="AF2253" s="1" t="s">
        <v>39096</v>
      </c>
      <c r="AG2253" s="1" t="s">
        <v>39097</v>
      </c>
      <c r="AH2253" s="1" t="s">
        <v>1111</v>
      </c>
      <c r="AI2253" s="1" t="s">
        <v>200</v>
      </c>
      <c r="AJ2253" s="1">
        <v>70.3</v>
      </c>
      <c r="AK2253" s="1">
        <v>7.4</v>
      </c>
      <c r="AL2253" s="1" t="s">
        <v>39098</v>
      </c>
      <c r="AM2253" s="1" t="s">
        <v>39099</v>
      </c>
      <c r="AN2253" s="1" t="s">
        <v>465</v>
      </c>
      <c r="AO2253" s="1" t="s">
        <v>438</v>
      </c>
      <c r="AP2253" s="1" t="s">
        <v>178</v>
      </c>
      <c r="AQ2253" s="1">
        <v>60.2</v>
      </c>
      <c r="AR2253" s="1"/>
      <c r="AS2253" s="1"/>
      <c r="AT2253" s="1"/>
      <c r="AU2253" s="1"/>
      <c r="AV2253" s="1"/>
      <c r="AW2253" s="1"/>
      <c r="AX2253" s="1"/>
      <c r="AY2253" s="1" t="s">
        <v>13485</v>
      </c>
      <c r="AZ2253" s="1" t="s">
        <v>39100</v>
      </c>
      <c r="BA2253" s="1" t="s">
        <v>466</v>
      </c>
      <c r="BB2253" s="1" t="s">
        <v>467</v>
      </c>
      <c r="BC2253" s="1" t="s">
        <v>417</v>
      </c>
      <c r="BD2253" s="1" t="s">
        <v>1314</v>
      </c>
      <c r="BE2253" s="1">
        <v>66.5</v>
      </c>
      <c r="BF2253" s="1">
        <v>7.15</v>
      </c>
      <c r="BG2253" s="1"/>
      <c r="BH2253" s="1"/>
      <c r="BI2253" s="1"/>
      <c r="BJ2253" s="1"/>
      <c r="BK2253" s="1"/>
      <c r="BL2253" s="1"/>
      <c r="BM2253" s="1"/>
      <c r="BN2253" s="1"/>
      <c r="BO2253" s="1" t="s">
        <v>39101</v>
      </c>
      <c r="BP2253" s="1"/>
      <c r="BQ2253" s="1"/>
      <c r="BR2253" s="1" t="s">
        <v>39102</v>
      </c>
      <c r="BS2253" s="1">
        <v>9</v>
      </c>
      <c r="BT2253" s="1" t="s">
        <v>39103</v>
      </c>
      <c r="BU2253" s="1" t="str">
        <f>HYPERLINK("https://nconnect.nicmar.ac.in/storage/profile/ProfilePhoto_P25704008_732964.jpg","Download")</f>
        <v>0</v>
      </c>
      <c r="BV2253" s="3"/>
      <c r="BW2253" s="3"/>
    </row>
    <row r="2254" spans="1:75">
      <c r="A2254" s="1" t="s">
        <v>35379</v>
      </c>
      <c r="B2254" s="1" t="s">
        <v>446</v>
      </c>
      <c r="C2254" s="1" t="s">
        <v>39104</v>
      </c>
      <c r="D2254" s="1" t="s">
        <v>3041</v>
      </c>
      <c r="E2254" s="1" t="s">
        <v>28028</v>
      </c>
      <c r="F2254" s="1" t="s">
        <v>1179</v>
      </c>
      <c r="G2254" s="1" t="s">
        <v>39105</v>
      </c>
      <c r="H2254" s="1" t="s">
        <v>39106</v>
      </c>
      <c r="I2254" s="1" t="s">
        <v>39107</v>
      </c>
      <c r="J2254" s="1">
        <v>9011386465</v>
      </c>
      <c r="K2254" s="1" t="s">
        <v>153</v>
      </c>
      <c r="L2254" s="1" t="s">
        <v>39108</v>
      </c>
      <c r="M2254" s="1" t="s">
        <v>86</v>
      </c>
      <c r="N2254" s="1" t="s">
        <v>2298</v>
      </c>
      <c r="O2254" s="1" t="s">
        <v>39109</v>
      </c>
      <c r="P2254" s="1" t="s">
        <v>455</v>
      </c>
      <c r="Q2254" s="1" t="s">
        <v>39110</v>
      </c>
      <c r="R2254" s="1" t="s">
        <v>39111</v>
      </c>
      <c r="S2254" s="1">
        <v>9423804388</v>
      </c>
      <c r="T2254" s="1" t="s">
        <v>38033</v>
      </c>
      <c r="U2254" s="1" t="s">
        <v>39112</v>
      </c>
      <c r="V2254" s="1">
        <v>9420674709</v>
      </c>
      <c r="W2254" s="1" t="s">
        <v>38033</v>
      </c>
      <c r="X2254" s="1" t="s">
        <v>39113</v>
      </c>
      <c r="Y2254" s="1" t="s">
        <v>5181</v>
      </c>
      <c r="Z2254" s="1" t="s">
        <v>97</v>
      </c>
      <c r="AA2254" s="1" t="s">
        <v>39114</v>
      </c>
      <c r="AB2254" s="1" t="s">
        <v>1033</v>
      </c>
      <c r="AC2254" s="1" t="s">
        <v>97</v>
      </c>
      <c r="AD2254" s="1">
        <v>8.07</v>
      </c>
      <c r="AE2254" s="1" t="s">
        <v>98</v>
      </c>
      <c r="AF2254" s="1" t="s">
        <v>39115</v>
      </c>
      <c r="AG2254" s="1" t="s">
        <v>4324</v>
      </c>
      <c r="AH2254" s="1" t="s">
        <v>167</v>
      </c>
      <c r="AI2254" s="1" t="s">
        <v>170</v>
      </c>
      <c r="AJ2254" s="1">
        <v>91.6</v>
      </c>
      <c r="AK2254" s="1"/>
      <c r="AL2254" s="1" t="s">
        <v>39116</v>
      </c>
      <c r="AM2254" s="1" t="s">
        <v>4324</v>
      </c>
      <c r="AN2254" s="1"/>
      <c r="AO2254" s="1" t="s">
        <v>106</v>
      </c>
      <c r="AP2254" s="1" t="s">
        <v>438</v>
      </c>
      <c r="AQ2254" s="1">
        <v>71.4</v>
      </c>
      <c r="AR2254" s="1"/>
      <c r="AS2254" s="1"/>
      <c r="AT2254" s="1"/>
      <c r="AU2254" s="1"/>
      <c r="AV2254" s="1"/>
      <c r="AW2254" s="1"/>
      <c r="AX2254" s="1"/>
      <c r="AY2254" s="1" t="s">
        <v>39117</v>
      </c>
      <c r="AZ2254" s="1" t="s">
        <v>39118</v>
      </c>
      <c r="BA2254" s="1"/>
      <c r="BB2254" s="1"/>
      <c r="BC2254" s="1" t="s">
        <v>1040</v>
      </c>
      <c r="BD2254" s="1" t="s">
        <v>848</v>
      </c>
      <c r="BE2254" s="1">
        <v>74.1</v>
      </c>
      <c r="BF2254" s="1">
        <v>7.91</v>
      </c>
      <c r="BG2254" s="1"/>
      <c r="BH2254" s="1"/>
      <c r="BI2254" s="1"/>
      <c r="BJ2254" s="1"/>
      <c r="BK2254" s="1"/>
      <c r="BL2254" s="1"/>
      <c r="BM2254" s="1"/>
      <c r="BN2254" s="1"/>
      <c r="BO2254" s="1" t="s">
        <v>39119</v>
      </c>
      <c r="BP2254" s="1"/>
      <c r="BQ2254" s="1"/>
      <c r="BR2254" s="1" t="s">
        <v>39120</v>
      </c>
      <c r="BS2254" s="1">
        <v>27</v>
      </c>
      <c r="BT2254" s="1"/>
      <c r="BU2254" s="1" t="str">
        <f>HYPERLINK("https://nconnect.nicmar.ac.in/storage/profile/ProfilePhoto_P25704010_926485.jpg","Download")</f>
        <v>0</v>
      </c>
      <c r="BV2254" s="3"/>
      <c r="BW2254" s="3"/>
    </row>
    <row r="2255" spans="1:75">
      <c r="A2255" s="1" t="s">
        <v>35379</v>
      </c>
      <c r="B2255" s="1" t="s">
        <v>446</v>
      </c>
      <c r="C2255" s="1" t="s">
        <v>39121</v>
      </c>
      <c r="D2255" s="1" t="s">
        <v>761</v>
      </c>
      <c r="E2255" s="1" t="s">
        <v>3217</v>
      </c>
      <c r="F2255" s="1" t="s">
        <v>17338</v>
      </c>
      <c r="G2255" s="1" t="s">
        <v>39122</v>
      </c>
      <c r="H2255" s="1" t="s">
        <v>39123</v>
      </c>
      <c r="I2255" s="1" t="s">
        <v>39123</v>
      </c>
      <c r="J2255" s="1">
        <v>8459773617</v>
      </c>
      <c r="K2255" s="1" t="s">
        <v>84</v>
      </c>
      <c r="L2255" s="1" t="s">
        <v>5654</v>
      </c>
      <c r="M2255" s="1" t="s">
        <v>86</v>
      </c>
      <c r="N2255" s="1" t="s">
        <v>1184</v>
      </c>
      <c r="O2255" s="1" t="s">
        <v>39124</v>
      </c>
      <c r="P2255" s="1" t="s">
        <v>507</v>
      </c>
      <c r="Q2255" s="1" t="s">
        <v>39125</v>
      </c>
      <c r="R2255" s="1" t="s">
        <v>39126</v>
      </c>
      <c r="S2255" s="1">
        <v>9226370919</v>
      </c>
      <c r="T2255" s="1" t="s">
        <v>645</v>
      </c>
      <c r="U2255" s="1" t="s">
        <v>39127</v>
      </c>
      <c r="V2255" s="1">
        <v>7499010319</v>
      </c>
      <c r="W2255" s="1" t="s">
        <v>161</v>
      </c>
      <c r="X2255" s="1" t="s">
        <v>39128</v>
      </c>
      <c r="Y2255" s="1" t="s">
        <v>4302</v>
      </c>
      <c r="Z2255" s="1" t="s">
        <v>97</v>
      </c>
      <c r="AA2255" s="1" t="s">
        <v>39128</v>
      </c>
      <c r="AB2255" s="1" t="s">
        <v>4302</v>
      </c>
      <c r="AC2255" s="1" t="s">
        <v>97</v>
      </c>
      <c r="AD2255" s="1">
        <v>0.0</v>
      </c>
      <c r="AE2255" s="1" t="s">
        <v>98</v>
      </c>
      <c r="AF2255" s="1" t="s">
        <v>39129</v>
      </c>
      <c r="AG2255" s="1" t="s">
        <v>39130</v>
      </c>
      <c r="AH2255" s="1" t="s">
        <v>388</v>
      </c>
      <c r="AI2255" s="1" t="s">
        <v>1065</v>
      </c>
      <c r="AJ2255" s="1">
        <v>70.8</v>
      </c>
      <c r="AK2255" s="1"/>
      <c r="AL2255" s="1"/>
      <c r="AM2255" s="1"/>
      <c r="AN2255" s="1"/>
      <c r="AO2255" s="1"/>
      <c r="AP2255" s="1"/>
      <c r="AQ2255" s="1"/>
      <c r="AR2255" s="1"/>
      <c r="AS2255" s="1" t="s">
        <v>103</v>
      </c>
      <c r="AT2255" s="1" t="s">
        <v>39131</v>
      </c>
      <c r="AU2255" s="1" t="s">
        <v>1065</v>
      </c>
      <c r="AV2255" s="1" t="s">
        <v>441</v>
      </c>
      <c r="AW2255" s="1">
        <v>84.53</v>
      </c>
      <c r="AX2255" s="1"/>
      <c r="AY2255" s="1" t="s">
        <v>680</v>
      </c>
      <c r="AZ2255" s="1" t="s">
        <v>39132</v>
      </c>
      <c r="BA2255" s="1"/>
      <c r="BB2255" s="1"/>
      <c r="BC2255" s="1" t="s">
        <v>871</v>
      </c>
      <c r="BD2255" s="1" t="s">
        <v>2383</v>
      </c>
      <c r="BE2255" s="1">
        <v>62.23</v>
      </c>
      <c r="BF2255" s="1"/>
      <c r="BG2255" s="1"/>
      <c r="BH2255" s="1"/>
      <c r="BI2255" s="1"/>
      <c r="BJ2255" s="1"/>
      <c r="BK2255" s="1"/>
      <c r="BL2255" s="1"/>
      <c r="BM2255" s="1"/>
      <c r="BN2255" s="1"/>
      <c r="BO2255" s="1" t="s">
        <v>872</v>
      </c>
      <c r="BP2255" s="1" t="s">
        <v>39133</v>
      </c>
      <c r="BQ2255" s="1" t="s">
        <v>7478</v>
      </c>
      <c r="BR2255" s="1" t="s">
        <v>39134</v>
      </c>
      <c r="BS2255" s="1">
        <v>8</v>
      </c>
      <c r="BT2255" s="1" t="s">
        <v>39135</v>
      </c>
      <c r="BU2255" s="1" t="str">
        <f>HYPERLINK("https://nconnect.nicmar.ac.in/storage/profile/ProfilePhoto_P25704011_741839.jpg","Download")</f>
        <v>0</v>
      </c>
      <c r="BV2255" s="3"/>
      <c r="BW2255" s="3"/>
    </row>
    <row r="2256" spans="1:75">
      <c r="A2256" s="1" t="s">
        <v>35379</v>
      </c>
      <c r="B2256" s="1" t="s">
        <v>446</v>
      </c>
      <c r="C2256" s="1" t="s">
        <v>39136</v>
      </c>
      <c r="D2256" s="1" t="s">
        <v>39137</v>
      </c>
      <c r="E2256" s="1" t="s">
        <v>8325</v>
      </c>
      <c r="F2256" s="1" t="s">
        <v>241</v>
      </c>
      <c r="G2256" s="1" t="s">
        <v>39138</v>
      </c>
      <c r="H2256" s="1" t="s">
        <v>39139</v>
      </c>
      <c r="I2256" s="1" t="s">
        <v>39140</v>
      </c>
      <c r="J2256" s="1">
        <v>7058120047</v>
      </c>
      <c r="K2256" s="1" t="s">
        <v>153</v>
      </c>
      <c r="L2256" s="1" t="s">
        <v>591</v>
      </c>
      <c r="M2256" s="1" t="s">
        <v>86</v>
      </c>
      <c r="N2256" s="1" t="s">
        <v>39141</v>
      </c>
      <c r="O2256" s="1"/>
      <c r="P2256" s="1" t="s">
        <v>481</v>
      </c>
      <c r="Q2256" s="1" t="s">
        <v>39142</v>
      </c>
      <c r="R2256" s="1" t="s">
        <v>8325</v>
      </c>
      <c r="S2256" s="1">
        <v>9422020047</v>
      </c>
      <c r="T2256" s="1" t="s">
        <v>839</v>
      </c>
      <c r="U2256" s="1" t="s">
        <v>5028</v>
      </c>
      <c r="V2256" s="1">
        <v>9404030627</v>
      </c>
      <c r="W2256" s="1" t="s">
        <v>161</v>
      </c>
      <c r="X2256" s="1" t="s">
        <v>39143</v>
      </c>
      <c r="Y2256" s="1" t="s">
        <v>196</v>
      </c>
      <c r="Z2256" s="1" t="s">
        <v>97</v>
      </c>
      <c r="AA2256" s="1" t="s">
        <v>39143</v>
      </c>
      <c r="AB2256" s="1" t="s">
        <v>196</v>
      </c>
      <c r="AC2256" s="1" t="s">
        <v>97</v>
      </c>
      <c r="AD2256" s="1">
        <v>9.78</v>
      </c>
      <c r="AE2256" s="1" t="s">
        <v>98</v>
      </c>
      <c r="AF2256" s="1" t="s">
        <v>39144</v>
      </c>
      <c r="AG2256" s="1" t="s">
        <v>39145</v>
      </c>
      <c r="AH2256" s="1" t="s">
        <v>704</v>
      </c>
      <c r="AI2256" s="1" t="s">
        <v>490</v>
      </c>
      <c r="AJ2256" s="1">
        <v>95.8</v>
      </c>
      <c r="AK2256" s="1"/>
      <c r="AL2256" s="1" t="s">
        <v>39146</v>
      </c>
      <c r="AM2256" s="1" t="s">
        <v>39146</v>
      </c>
      <c r="AN2256" s="1"/>
      <c r="AO2256" s="1" t="s">
        <v>547</v>
      </c>
      <c r="AP2256" s="1" t="s">
        <v>977</v>
      </c>
      <c r="AQ2256" s="1">
        <v>75.85</v>
      </c>
      <c r="AR2256" s="1"/>
      <c r="AS2256" s="1"/>
      <c r="AT2256" s="1"/>
      <c r="AU2256" s="1"/>
      <c r="AV2256" s="1"/>
      <c r="AW2256" s="1"/>
      <c r="AX2256" s="1"/>
      <c r="AY2256" s="1" t="s">
        <v>13643</v>
      </c>
      <c r="AZ2256" s="1" t="s">
        <v>39147</v>
      </c>
      <c r="BA2256" s="1"/>
      <c r="BB2256" s="1"/>
      <c r="BC2256" s="1" t="s">
        <v>368</v>
      </c>
      <c r="BD2256" s="1" t="s">
        <v>607</v>
      </c>
      <c r="BE2256" s="1">
        <v>65.9</v>
      </c>
      <c r="BF2256" s="1">
        <v>7.34</v>
      </c>
      <c r="BG2256" s="1"/>
      <c r="BH2256" s="1"/>
      <c r="BI2256" s="1"/>
      <c r="BJ2256" s="1"/>
      <c r="BK2256" s="1"/>
      <c r="BL2256" s="1"/>
      <c r="BM2256" s="1"/>
      <c r="BN2256" s="1"/>
      <c r="BO2256" s="1" t="s">
        <v>39148</v>
      </c>
      <c r="BP2256" s="1"/>
      <c r="BQ2256" s="1"/>
      <c r="BR2256" s="1" t="s">
        <v>39149</v>
      </c>
      <c r="BS2256" s="1">
        <v>27</v>
      </c>
      <c r="BT2256" s="1"/>
      <c r="BU2256" s="1" t="str">
        <f>HYPERLINK("https://nconnect.nicmar.ac.in/storage/profile/ProfilePhoto_P25704012_517239.jpg","Download")</f>
        <v>0</v>
      </c>
      <c r="BV2256" s="3"/>
      <c r="BW2256" s="3"/>
    </row>
    <row r="2257" spans="1:75">
      <c r="A2257" s="1" t="s">
        <v>35379</v>
      </c>
      <c r="B2257" s="1" t="s">
        <v>446</v>
      </c>
      <c r="C2257" s="1" t="s">
        <v>39150</v>
      </c>
      <c r="D2257" s="1" t="s">
        <v>13350</v>
      </c>
      <c r="E2257" s="1" t="s">
        <v>27118</v>
      </c>
      <c r="F2257" s="1" t="s">
        <v>12314</v>
      </c>
      <c r="G2257" s="1" t="s">
        <v>39151</v>
      </c>
      <c r="H2257" s="1" t="s">
        <v>39152</v>
      </c>
      <c r="I2257" s="1" t="s">
        <v>39153</v>
      </c>
      <c r="J2257" s="1">
        <v>8766998118</v>
      </c>
      <c r="K2257" s="1" t="s">
        <v>153</v>
      </c>
      <c r="L2257" s="1" t="s">
        <v>8144</v>
      </c>
      <c r="M2257" s="1" t="s">
        <v>86</v>
      </c>
      <c r="N2257" s="1" t="s">
        <v>5472</v>
      </c>
      <c r="O2257" s="1"/>
      <c r="P2257" s="1" t="s">
        <v>507</v>
      </c>
      <c r="Q2257" s="1" t="s">
        <v>39154</v>
      </c>
      <c r="R2257" s="1" t="s">
        <v>27118</v>
      </c>
      <c r="S2257" s="1">
        <v>9421351542</v>
      </c>
      <c r="T2257" s="1" t="s">
        <v>926</v>
      </c>
      <c r="U2257" s="1" t="s">
        <v>39155</v>
      </c>
      <c r="V2257" s="1">
        <v>9403290326</v>
      </c>
      <c r="W2257" s="1" t="s">
        <v>161</v>
      </c>
      <c r="X2257" s="1" t="s">
        <v>39156</v>
      </c>
      <c r="Y2257" s="1" t="s">
        <v>96</v>
      </c>
      <c r="Z2257" s="1" t="s">
        <v>97</v>
      </c>
      <c r="AA2257" s="1" t="s">
        <v>39156</v>
      </c>
      <c r="AB2257" s="1" t="s">
        <v>96</v>
      </c>
      <c r="AC2257" s="1" t="s">
        <v>97</v>
      </c>
      <c r="AD2257" s="1">
        <v>9.1</v>
      </c>
      <c r="AE2257" s="1" t="s">
        <v>98</v>
      </c>
      <c r="AF2257" s="1" t="s">
        <v>31672</v>
      </c>
      <c r="AG2257" s="1" t="s">
        <v>165</v>
      </c>
      <c r="AH2257" s="1" t="s">
        <v>170</v>
      </c>
      <c r="AI2257" s="1" t="s">
        <v>286</v>
      </c>
      <c r="AJ2257" s="1">
        <v>89.4</v>
      </c>
      <c r="AK2257" s="1"/>
      <c r="AL2257" s="1" t="s">
        <v>39157</v>
      </c>
      <c r="AM2257" s="1" t="s">
        <v>165</v>
      </c>
      <c r="AN2257" s="1"/>
      <c r="AO2257" s="1" t="s">
        <v>438</v>
      </c>
      <c r="AP2257" s="1" t="s">
        <v>365</v>
      </c>
      <c r="AQ2257" s="1">
        <v>59.23</v>
      </c>
      <c r="AR2257" s="1"/>
      <c r="AS2257" s="1"/>
      <c r="AT2257" s="1"/>
      <c r="AU2257" s="1"/>
      <c r="AV2257" s="1"/>
      <c r="AW2257" s="1"/>
      <c r="AX2257" s="1"/>
      <c r="AY2257" s="1" t="s">
        <v>19882</v>
      </c>
      <c r="AZ2257" s="1" t="s">
        <v>39158</v>
      </c>
      <c r="BA2257" s="1"/>
      <c r="BB2257" s="1"/>
      <c r="BC2257" s="1" t="s">
        <v>468</v>
      </c>
      <c r="BD2257" s="1" t="s">
        <v>553</v>
      </c>
      <c r="BE2257" s="1">
        <v>72.5</v>
      </c>
      <c r="BF2257" s="1">
        <v>7.75</v>
      </c>
      <c r="BG2257" s="1"/>
      <c r="BH2257" s="1"/>
      <c r="BI2257" s="1"/>
      <c r="BJ2257" s="1"/>
      <c r="BK2257" s="1"/>
      <c r="BL2257" s="1"/>
      <c r="BM2257" s="1"/>
      <c r="BN2257" s="1"/>
      <c r="BO2257" s="1" t="s">
        <v>39159</v>
      </c>
      <c r="BP2257" s="1"/>
      <c r="BQ2257" s="1"/>
      <c r="BR2257" s="1" t="s">
        <v>39160</v>
      </c>
      <c r="BS2257" s="1">
        <v>27</v>
      </c>
      <c r="BT2257" s="1" t="s">
        <v>849</v>
      </c>
      <c r="BU2257" s="1" t="str">
        <f>HYPERLINK("https://nconnect.nicmar.ac.in/storage/profile/ProfilePhoto_P25704014_271968.jpg","Download")</f>
        <v>0</v>
      </c>
      <c r="BV2257" s="3"/>
      <c r="BW2257" s="3"/>
    </row>
    <row r="2258" spans="1:75">
      <c r="A2258" s="1" t="s">
        <v>35379</v>
      </c>
      <c r="B2258" s="1" t="s">
        <v>446</v>
      </c>
      <c r="C2258" s="1" t="s">
        <v>39161</v>
      </c>
      <c r="D2258" s="1" t="s">
        <v>32181</v>
      </c>
      <c r="E2258" s="1" t="s">
        <v>39162</v>
      </c>
      <c r="F2258" s="1" t="s">
        <v>39163</v>
      </c>
      <c r="G2258" s="1" t="s">
        <v>39164</v>
      </c>
      <c r="H2258" s="1" t="s">
        <v>39165</v>
      </c>
      <c r="I2258" s="1" t="s">
        <v>39166</v>
      </c>
      <c r="J2258" s="1">
        <v>9767870910</v>
      </c>
      <c r="K2258" s="1" t="s">
        <v>84</v>
      </c>
      <c r="L2258" s="1" t="s">
        <v>9922</v>
      </c>
      <c r="M2258" s="1" t="s">
        <v>86</v>
      </c>
      <c r="N2258" s="1" t="s">
        <v>618</v>
      </c>
      <c r="O2258" s="1"/>
      <c r="P2258" s="1" t="s">
        <v>481</v>
      </c>
      <c r="Q2258" s="1" t="s">
        <v>39167</v>
      </c>
      <c r="R2258" s="1" t="s">
        <v>39162</v>
      </c>
      <c r="S2258" s="1">
        <v>9371528152</v>
      </c>
      <c r="T2258" s="1" t="s">
        <v>159</v>
      </c>
      <c r="U2258" s="1" t="s">
        <v>2240</v>
      </c>
      <c r="V2258" s="1">
        <v>9922541564</v>
      </c>
      <c r="W2258" s="1" t="s">
        <v>161</v>
      </c>
      <c r="X2258" s="1" t="s">
        <v>39168</v>
      </c>
      <c r="Y2258" s="1" t="s">
        <v>910</v>
      </c>
      <c r="Z2258" s="1" t="s">
        <v>97</v>
      </c>
      <c r="AA2258" s="1" t="s">
        <v>39168</v>
      </c>
      <c r="AB2258" s="1" t="s">
        <v>910</v>
      </c>
      <c r="AC2258" s="1" t="s">
        <v>97</v>
      </c>
      <c r="AD2258" s="1">
        <v>8.05</v>
      </c>
      <c r="AE2258" s="1" t="s">
        <v>98</v>
      </c>
      <c r="AF2258" s="1" t="s">
        <v>39169</v>
      </c>
      <c r="AG2258" s="1" t="s">
        <v>3306</v>
      </c>
      <c r="AH2258" s="1" t="s">
        <v>704</v>
      </c>
      <c r="AI2258" s="1" t="s">
        <v>313</v>
      </c>
      <c r="AJ2258" s="1">
        <v>83.2</v>
      </c>
      <c r="AK2258" s="1"/>
      <c r="AL2258" s="1" t="s">
        <v>39170</v>
      </c>
      <c r="AM2258" s="1" t="s">
        <v>165</v>
      </c>
      <c r="AN2258" s="1" t="s">
        <v>465</v>
      </c>
      <c r="AO2258" s="1" t="s">
        <v>315</v>
      </c>
      <c r="AP2258" s="1" t="s">
        <v>441</v>
      </c>
      <c r="AQ2258" s="1">
        <v>88.5</v>
      </c>
      <c r="AR2258" s="1"/>
      <c r="AS2258" s="1"/>
      <c r="AT2258" s="1"/>
      <c r="AU2258" s="1"/>
      <c r="AV2258" s="1"/>
      <c r="AW2258" s="1"/>
      <c r="AX2258" s="1"/>
      <c r="AY2258" s="1" t="s">
        <v>366</v>
      </c>
      <c r="AZ2258" s="1" t="s">
        <v>39171</v>
      </c>
      <c r="BA2258" s="1" t="s">
        <v>578</v>
      </c>
      <c r="BB2258" s="1" t="s">
        <v>467</v>
      </c>
      <c r="BC2258" s="1" t="s">
        <v>871</v>
      </c>
      <c r="BD2258" s="1" t="s">
        <v>848</v>
      </c>
      <c r="BE2258" s="1">
        <v>59</v>
      </c>
      <c r="BF2258" s="1">
        <v>6.65</v>
      </c>
      <c r="BG2258" s="1"/>
      <c r="BH2258" s="1"/>
      <c r="BI2258" s="1"/>
      <c r="BJ2258" s="1"/>
      <c r="BK2258" s="1"/>
      <c r="BL2258" s="1"/>
      <c r="BM2258" s="1"/>
      <c r="BN2258" s="1"/>
      <c r="BO2258" s="1" t="s">
        <v>39172</v>
      </c>
      <c r="BP2258" s="1"/>
      <c r="BQ2258" s="1"/>
      <c r="BR2258" s="1" t="s">
        <v>39173</v>
      </c>
      <c r="BS2258" s="1">
        <v>14</v>
      </c>
      <c r="BT2258" s="1"/>
      <c r="BU2258" s="1" t="str">
        <f>HYPERLINK("https://nconnect.nicmar.ac.in/storage/profile/ProfilePhoto_P25704015_271856.jpg","Download")</f>
        <v>0</v>
      </c>
      <c r="BV2258" s="3"/>
      <c r="BW2258" s="3"/>
    </row>
    <row r="2259" spans="1:75">
      <c r="A2259" s="1" t="s">
        <v>35379</v>
      </c>
      <c r="B2259" s="1" t="s">
        <v>446</v>
      </c>
      <c r="C2259" s="1" t="s">
        <v>39174</v>
      </c>
      <c r="D2259" s="1" t="s">
        <v>3041</v>
      </c>
      <c r="E2259" s="1" t="s">
        <v>4966</v>
      </c>
      <c r="F2259" s="1" t="s">
        <v>39175</v>
      </c>
      <c r="G2259" s="1" t="s">
        <v>39176</v>
      </c>
      <c r="H2259" s="1" t="s">
        <v>39177</v>
      </c>
      <c r="I2259" s="1" t="s">
        <v>39178</v>
      </c>
      <c r="J2259" s="1">
        <v>7447591122</v>
      </c>
      <c r="K2259" s="1" t="s">
        <v>153</v>
      </c>
      <c r="L2259" s="1" t="s">
        <v>39179</v>
      </c>
      <c r="M2259" s="1" t="s">
        <v>86</v>
      </c>
      <c r="N2259" s="1" t="s">
        <v>618</v>
      </c>
      <c r="O2259" s="1"/>
      <c r="P2259" s="1" t="s">
        <v>455</v>
      </c>
      <c r="Q2259" s="1" t="s">
        <v>39180</v>
      </c>
      <c r="R2259" s="1" t="s">
        <v>39181</v>
      </c>
      <c r="S2259" s="1">
        <v>9850309305</v>
      </c>
      <c r="T2259" s="1" t="s">
        <v>7713</v>
      </c>
      <c r="U2259" s="1" t="s">
        <v>39182</v>
      </c>
      <c r="V2259" s="1">
        <v>9623359586</v>
      </c>
      <c r="W2259" s="1" t="s">
        <v>161</v>
      </c>
      <c r="X2259" s="1" t="s">
        <v>39183</v>
      </c>
      <c r="Y2259" s="1" t="s">
        <v>196</v>
      </c>
      <c r="Z2259" s="1" t="s">
        <v>97</v>
      </c>
      <c r="AA2259" s="1" t="s">
        <v>39184</v>
      </c>
      <c r="AB2259" s="1" t="s">
        <v>384</v>
      </c>
      <c r="AC2259" s="1" t="s">
        <v>97</v>
      </c>
      <c r="AD2259" s="1">
        <v>9.05</v>
      </c>
      <c r="AE2259" s="1" t="s">
        <v>98</v>
      </c>
      <c r="AF2259" s="1" t="s">
        <v>39185</v>
      </c>
      <c r="AG2259" s="1" t="s">
        <v>39186</v>
      </c>
      <c r="AH2259" s="1" t="s">
        <v>166</v>
      </c>
      <c r="AI2259" s="1" t="s">
        <v>1111</v>
      </c>
      <c r="AJ2259" s="1">
        <v>89.8</v>
      </c>
      <c r="AK2259" s="1">
        <v>0</v>
      </c>
      <c r="AL2259" s="1" t="s">
        <v>39187</v>
      </c>
      <c r="AM2259" s="1" t="s">
        <v>39186</v>
      </c>
      <c r="AN2259" s="1"/>
      <c r="AO2259" s="1" t="s">
        <v>167</v>
      </c>
      <c r="AP2259" s="1" t="s">
        <v>1477</v>
      </c>
      <c r="AQ2259" s="1">
        <v>74.77</v>
      </c>
      <c r="AR2259" s="1">
        <v>0</v>
      </c>
      <c r="AS2259" s="1"/>
      <c r="AT2259" s="1"/>
      <c r="AU2259" s="1"/>
      <c r="AV2259" s="1"/>
      <c r="AW2259" s="1"/>
      <c r="AX2259" s="1"/>
      <c r="AY2259" s="1" t="s">
        <v>366</v>
      </c>
      <c r="AZ2259" s="1" t="s">
        <v>39188</v>
      </c>
      <c r="BA2259" s="1"/>
      <c r="BB2259" s="1"/>
      <c r="BC2259" s="1" t="s">
        <v>1065</v>
      </c>
      <c r="BD2259" s="1" t="s">
        <v>179</v>
      </c>
      <c r="BE2259" s="1">
        <v>80.28</v>
      </c>
      <c r="BF2259" s="1">
        <v>9.01</v>
      </c>
      <c r="BG2259" s="1"/>
      <c r="BH2259" s="1"/>
      <c r="BI2259" s="1"/>
      <c r="BJ2259" s="1"/>
      <c r="BK2259" s="1"/>
      <c r="BL2259" s="1"/>
      <c r="BM2259" s="1"/>
      <c r="BN2259" s="1"/>
      <c r="BO2259" s="1" t="s">
        <v>39189</v>
      </c>
      <c r="BP2259" s="1" t="s">
        <v>39190</v>
      </c>
      <c r="BQ2259" s="1" t="s">
        <v>1070</v>
      </c>
      <c r="BR2259" s="1" t="s">
        <v>39191</v>
      </c>
      <c r="BS2259" s="1">
        <v>35</v>
      </c>
      <c r="BT2259" s="1" t="s">
        <v>39192</v>
      </c>
      <c r="BU2259" s="1" t="str">
        <f>HYPERLINK("https://nconnect.nicmar.ac.in/storage/profile/ProfilePhoto_P25704016_615842.jpg","Download")</f>
        <v>0</v>
      </c>
      <c r="BV2259" s="3"/>
      <c r="BW2259" s="3"/>
    </row>
    <row r="2260" spans="1:75">
      <c r="A2260" s="1" t="s">
        <v>35379</v>
      </c>
      <c r="B2260" s="1" t="s">
        <v>446</v>
      </c>
      <c r="C2260" s="1" t="s">
        <v>39193</v>
      </c>
      <c r="D2260" s="1" t="s">
        <v>6772</v>
      </c>
      <c r="E2260" s="1" t="s">
        <v>39194</v>
      </c>
      <c r="F2260" s="1" t="s">
        <v>39195</v>
      </c>
      <c r="G2260" s="1" t="s">
        <v>39196</v>
      </c>
      <c r="H2260" s="1" t="s">
        <v>39197</v>
      </c>
      <c r="I2260" s="1" t="s">
        <v>39198</v>
      </c>
      <c r="J2260" s="1">
        <v>6309077168</v>
      </c>
      <c r="K2260" s="1" t="s">
        <v>84</v>
      </c>
      <c r="L2260" s="1" t="s">
        <v>10203</v>
      </c>
      <c r="M2260" s="1" t="s">
        <v>86</v>
      </c>
      <c r="N2260" s="1" t="s">
        <v>39199</v>
      </c>
      <c r="O2260" s="1"/>
      <c r="P2260" s="1" t="s">
        <v>455</v>
      </c>
      <c r="Q2260" s="1" t="s">
        <v>39200</v>
      </c>
      <c r="R2260" s="1" t="s">
        <v>39201</v>
      </c>
      <c r="S2260" s="1">
        <v>9848420368</v>
      </c>
      <c r="T2260" s="1" t="s">
        <v>127</v>
      </c>
      <c r="U2260" s="1" t="s">
        <v>39202</v>
      </c>
      <c r="V2260" s="1">
        <v>9490809361</v>
      </c>
      <c r="W2260" s="1" t="s">
        <v>39203</v>
      </c>
      <c r="X2260" s="1" t="s">
        <v>39204</v>
      </c>
      <c r="Y2260" s="1" t="s">
        <v>13200</v>
      </c>
      <c r="Z2260" s="1" t="s">
        <v>281</v>
      </c>
      <c r="AA2260" s="1" t="s">
        <v>39204</v>
      </c>
      <c r="AB2260" s="1" t="s">
        <v>13200</v>
      </c>
      <c r="AC2260" s="1" t="s">
        <v>281</v>
      </c>
      <c r="AD2260" s="1">
        <v>8.0</v>
      </c>
      <c r="AE2260" s="1" t="s">
        <v>98</v>
      </c>
      <c r="AF2260" s="1" t="s">
        <v>39205</v>
      </c>
      <c r="AG2260" s="1" t="s">
        <v>9059</v>
      </c>
      <c r="AH2260" s="1" t="s">
        <v>106</v>
      </c>
      <c r="AI2260" s="1" t="s">
        <v>438</v>
      </c>
      <c r="AJ2260" s="1">
        <v>77.2</v>
      </c>
      <c r="AK2260" s="1"/>
      <c r="AL2260" s="1" t="s">
        <v>39205</v>
      </c>
      <c r="AM2260" s="1" t="s">
        <v>9059</v>
      </c>
      <c r="AN2260" s="1" t="s">
        <v>465</v>
      </c>
      <c r="AO2260" s="1" t="s">
        <v>315</v>
      </c>
      <c r="AP2260" s="1" t="s">
        <v>847</v>
      </c>
      <c r="AQ2260" s="1">
        <v>78</v>
      </c>
      <c r="AR2260" s="1"/>
      <c r="AS2260" s="1"/>
      <c r="AT2260" s="1"/>
      <c r="AU2260" s="1"/>
      <c r="AV2260" s="1"/>
      <c r="AW2260" s="1"/>
      <c r="AX2260" s="1"/>
      <c r="AY2260" s="1" t="s">
        <v>39206</v>
      </c>
      <c r="AZ2260" s="1" t="s">
        <v>39207</v>
      </c>
      <c r="BA2260" s="1" t="s">
        <v>578</v>
      </c>
      <c r="BB2260" s="1" t="s">
        <v>467</v>
      </c>
      <c r="BC2260" s="1" t="s">
        <v>441</v>
      </c>
      <c r="BD2260" s="1" t="s">
        <v>553</v>
      </c>
      <c r="BE2260" s="1">
        <v>83.42</v>
      </c>
      <c r="BF2260" s="1">
        <v>8.84</v>
      </c>
      <c r="BG2260" s="1"/>
      <c r="BH2260" s="1"/>
      <c r="BI2260" s="1"/>
      <c r="BJ2260" s="1"/>
      <c r="BK2260" s="1"/>
      <c r="BL2260" s="1"/>
      <c r="BM2260" s="1"/>
      <c r="BN2260" s="1"/>
      <c r="BO2260" s="1" t="s">
        <v>39208</v>
      </c>
      <c r="BP2260" s="1"/>
      <c r="BQ2260" s="1"/>
      <c r="BR2260" s="1" t="s">
        <v>39209</v>
      </c>
      <c r="BS2260" s="1">
        <v>12</v>
      </c>
      <c r="BT2260" s="1" t="s">
        <v>39210</v>
      </c>
      <c r="BU2260" s="1" t="str">
        <f>HYPERLINK("https://nconnect.nicmar.ac.in/storage/profile/ProfilePhoto_P25704017_891326.jpg","Download")</f>
        <v>0</v>
      </c>
      <c r="BV2260" s="3"/>
      <c r="BW2260" s="3"/>
    </row>
    <row r="2261" spans="1:75">
      <c r="A2261" s="1" t="s">
        <v>35379</v>
      </c>
      <c r="B2261" s="1" t="s">
        <v>446</v>
      </c>
      <c r="C2261" s="1" t="s">
        <v>39211</v>
      </c>
      <c r="D2261" s="1" t="s">
        <v>39212</v>
      </c>
      <c r="E2261" s="1" t="s">
        <v>39213</v>
      </c>
      <c r="F2261" s="1" t="s">
        <v>117</v>
      </c>
      <c r="G2261" s="1" t="s">
        <v>39214</v>
      </c>
      <c r="H2261" s="1" t="s">
        <v>39215</v>
      </c>
      <c r="I2261" s="1" t="s">
        <v>39216</v>
      </c>
      <c r="J2261" s="1">
        <v>9446826334</v>
      </c>
      <c r="K2261" s="1" t="s">
        <v>153</v>
      </c>
      <c r="L2261" s="1" t="s">
        <v>11720</v>
      </c>
      <c r="M2261" s="1" t="s">
        <v>86</v>
      </c>
      <c r="N2261" s="1" t="s">
        <v>5194</v>
      </c>
      <c r="O2261" s="1"/>
      <c r="P2261" s="1" t="s">
        <v>507</v>
      </c>
      <c r="Q2261" s="1" t="s">
        <v>39217</v>
      </c>
      <c r="R2261" s="1" t="s">
        <v>39213</v>
      </c>
      <c r="S2261" s="1">
        <v>9447040302</v>
      </c>
      <c r="T2261" s="1" t="s">
        <v>125</v>
      </c>
      <c r="U2261" s="1" t="s">
        <v>3237</v>
      </c>
      <c r="V2261" s="1">
        <v>9447428660</v>
      </c>
      <c r="W2261" s="1" t="s">
        <v>39218</v>
      </c>
      <c r="X2261" s="1" t="s">
        <v>39219</v>
      </c>
      <c r="Y2261" s="1" t="s">
        <v>3190</v>
      </c>
      <c r="Z2261" s="1" t="s">
        <v>130</v>
      </c>
      <c r="AA2261" s="1" t="s">
        <v>39219</v>
      </c>
      <c r="AB2261" s="1" t="s">
        <v>3190</v>
      </c>
      <c r="AC2261" s="1" t="s">
        <v>130</v>
      </c>
      <c r="AD2261" s="1">
        <v>9.18</v>
      </c>
      <c r="AE2261" s="1" t="s">
        <v>98</v>
      </c>
      <c r="AF2261" s="1" t="s">
        <v>3305</v>
      </c>
      <c r="AG2261" s="1" t="s">
        <v>29466</v>
      </c>
      <c r="AH2261" s="1" t="s">
        <v>106</v>
      </c>
      <c r="AI2261" s="1" t="s">
        <v>313</v>
      </c>
      <c r="AJ2261" s="1">
        <v>95.3</v>
      </c>
      <c r="AK2261" s="1"/>
      <c r="AL2261" s="1" t="s">
        <v>39220</v>
      </c>
      <c r="AM2261" s="1" t="s">
        <v>39221</v>
      </c>
      <c r="AN2261" s="1"/>
      <c r="AO2261" s="1" t="s">
        <v>417</v>
      </c>
      <c r="AP2261" s="1" t="s">
        <v>845</v>
      </c>
      <c r="AQ2261" s="1">
        <v>91</v>
      </c>
      <c r="AR2261" s="1"/>
      <c r="AS2261" s="1"/>
      <c r="AT2261" s="1"/>
      <c r="AU2261" s="1"/>
      <c r="AV2261" s="1"/>
      <c r="AW2261" s="1"/>
      <c r="AX2261" s="1"/>
      <c r="AY2261" s="1" t="s">
        <v>2400</v>
      </c>
      <c r="AZ2261" s="1" t="s">
        <v>39222</v>
      </c>
      <c r="BA2261" s="1"/>
      <c r="BB2261" s="1"/>
      <c r="BC2261" s="1" t="s">
        <v>140</v>
      </c>
      <c r="BD2261" s="1" t="s">
        <v>607</v>
      </c>
      <c r="BE2261" s="1">
        <v>84.4</v>
      </c>
      <c r="BF2261" s="1">
        <v>8.48</v>
      </c>
      <c r="BG2261" s="1"/>
      <c r="BH2261" s="1"/>
      <c r="BI2261" s="1"/>
      <c r="BJ2261" s="1"/>
      <c r="BK2261" s="1"/>
      <c r="BL2261" s="1"/>
      <c r="BM2261" s="1"/>
      <c r="BN2261" s="1"/>
      <c r="BO2261" s="1" t="s">
        <v>39223</v>
      </c>
      <c r="BP2261" s="1"/>
      <c r="BQ2261" s="1"/>
      <c r="BR2261" s="1" t="s">
        <v>39224</v>
      </c>
      <c r="BS2261" s="1">
        <v>24</v>
      </c>
      <c r="BT2261" s="1"/>
      <c r="BU2261" s="1" t="str">
        <f>HYPERLINK("https://nconnect.nicmar.ac.in/storage/profile/ProfilePhoto_P25704018_982543.jpg","Download")</f>
        <v>0</v>
      </c>
      <c r="BV2261" s="3"/>
      <c r="BW2261" s="3"/>
    </row>
    <row r="2262" spans="1:75">
      <c r="A2262" s="1" t="s">
        <v>35379</v>
      </c>
      <c r="B2262" s="1" t="s">
        <v>446</v>
      </c>
      <c r="C2262" s="1" t="s">
        <v>39225</v>
      </c>
      <c r="D2262" s="1" t="s">
        <v>25582</v>
      </c>
      <c r="E2262" s="1" t="s">
        <v>397</v>
      </c>
      <c r="F2262" s="1" t="s">
        <v>39226</v>
      </c>
      <c r="G2262" s="1" t="s">
        <v>39227</v>
      </c>
      <c r="H2262" s="1" t="s">
        <v>39228</v>
      </c>
      <c r="I2262" s="1" t="s">
        <v>39229</v>
      </c>
      <c r="J2262" s="1">
        <v>8459862239</v>
      </c>
      <c r="K2262" s="1" t="s">
        <v>84</v>
      </c>
      <c r="L2262" s="1" t="s">
        <v>11628</v>
      </c>
      <c r="M2262" s="1" t="s">
        <v>86</v>
      </c>
      <c r="N2262" s="1" t="s">
        <v>3064</v>
      </c>
      <c r="O2262" s="1"/>
      <c r="P2262" s="1" t="s">
        <v>1028</v>
      </c>
      <c r="Q2262" s="1" t="s">
        <v>39230</v>
      </c>
      <c r="R2262" s="1" t="s">
        <v>397</v>
      </c>
      <c r="S2262" s="1">
        <v>9763180181</v>
      </c>
      <c r="T2262" s="1" t="s">
        <v>6733</v>
      </c>
      <c r="U2262" s="1" t="s">
        <v>39231</v>
      </c>
      <c r="V2262" s="1">
        <v>9921891029</v>
      </c>
      <c r="W2262" s="1" t="s">
        <v>161</v>
      </c>
      <c r="X2262" s="1" t="s">
        <v>39232</v>
      </c>
      <c r="Y2262" s="1" t="s">
        <v>196</v>
      </c>
      <c r="Z2262" s="1" t="s">
        <v>97</v>
      </c>
      <c r="AA2262" s="1" t="s">
        <v>39232</v>
      </c>
      <c r="AB2262" s="1" t="s">
        <v>196</v>
      </c>
      <c r="AC2262" s="1" t="s">
        <v>97</v>
      </c>
      <c r="AD2262" s="1">
        <v>8.8</v>
      </c>
      <c r="AE2262" s="1" t="s">
        <v>98</v>
      </c>
      <c r="AF2262" s="1" t="s">
        <v>39233</v>
      </c>
      <c r="AG2262" s="1" t="s">
        <v>39234</v>
      </c>
      <c r="AH2262" s="1" t="s">
        <v>7331</v>
      </c>
      <c r="AI2262" s="1" t="s">
        <v>286</v>
      </c>
      <c r="AJ2262" s="1">
        <v>86.6</v>
      </c>
      <c r="AK2262" s="1"/>
      <c r="AL2262" s="1" t="s">
        <v>39235</v>
      </c>
      <c r="AM2262" s="1" t="s">
        <v>39234</v>
      </c>
      <c r="AN2262" s="1"/>
      <c r="AO2262" s="1" t="s">
        <v>1065</v>
      </c>
      <c r="AP2262" s="1" t="s">
        <v>365</v>
      </c>
      <c r="AQ2262" s="1">
        <v>70.15</v>
      </c>
      <c r="AR2262" s="1"/>
      <c r="AS2262" s="1"/>
      <c r="AT2262" s="1"/>
      <c r="AU2262" s="1"/>
      <c r="AV2262" s="1"/>
      <c r="AW2262" s="1"/>
      <c r="AX2262" s="1"/>
      <c r="AY2262" s="1" t="s">
        <v>366</v>
      </c>
      <c r="AZ2262" s="1" t="s">
        <v>39236</v>
      </c>
      <c r="BA2262" s="1"/>
      <c r="BB2262" s="1"/>
      <c r="BC2262" s="1" t="s">
        <v>1040</v>
      </c>
      <c r="BD2262" s="1" t="s">
        <v>848</v>
      </c>
      <c r="BE2262" s="1">
        <v>62.92</v>
      </c>
      <c r="BF2262" s="1">
        <v>7.07</v>
      </c>
      <c r="BG2262" s="1"/>
      <c r="BH2262" s="1"/>
      <c r="BI2262" s="1"/>
      <c r="BJ2262" s="1"/>
      <c r="BK2262" s="1"/>
      <c r="BL2262" s="1"/>
      <c r="BM2262" s="1"/>
      <c r="BN2262" s="1"/>
      <c r="BO2262" s="1" t="s">
        <v>39237</v>
      </c>
      <c r="BP2262" s="1"/>
      <c r="BQ2262" s="1"/>
      <c r="BR2262" s="1" t="s">
        <v>39238</v>
      </c>
      <c r="BS2262" s="1">
        <v>32</v>
      </c>
      <c r="BT2262" s="1"/>
      <c r="BU2262" s="1" t="str">
        <f>HYPERLINK("https://nconnect.nicmar.ac.in/storage/profile/ProfilePhoto_P25704019_593674.jpg","Download")</f>
        <v>0</v>
      </c>
      <c r="BV2262" s="3"/>
      <c r="BW2262" s="3"/>
    </row>
    <row r="2263" spans="1:75">
      <c r="A2263" s="1" t="s">
        <v>35379</v>
      </c>
      <c r="B2263" s="1" t="s">
        <v>446</v>
      </c>
      <c r="C2263" s="1" t="s">
        <v>39239</v>
      </c>
      <c r="D2263" s="1" t="s">
        <v>8398</v>
      </c>
      <c r="E2263" s="1" t="s">
        <v>34768</v>
      </c>
      <c r="F2263" s="1" t="s">
        <v>8106</v>
      </c>
      <c r="G2263" s="1" t="s">
        <v>39240</v>
      </c>
      <c r="H2263" s="1" t="s">
        <v>39241</v>
      </c>
      <c r="I2263" s="1" t="s">
        <v>39242</v>
      </c>
      <c r="J2263" s="1">
        <v>7385920021</v>
      </c>
      <c r="K2263" s="1" t="s">
        <v>84</v>
      </c>
      <c r="L2263" s="1" t="s">
        <v>39243</v>
      </c>
      <c r="M2263" s="1" t="s">
        <v>86</v>
      </c>
      <c r="N2263" s="1" t="s">
        <v>618</v>
      </c>
      <c r="O2263" s="1"/>
      <c r="P2263" s="1" t="s">
        <v>481</v>
      </c>
      <c r="Q2263" s="1" t="s">
        <v>39244</v>
      </c>
      <c r="R2263" s="1" t="s">
        <v>39245</v>
      </c>
      <c r="S2263" s="1">
        <v>9096420350</v>
      </c>
      <c r="T2263" s="1" t="s">
        <v>839</v>
      </c>
      <c r="U2263" s="1" t="s">
        <v>39246</v>
      </c>
      <c r="V2263" s="1">
        <v>7709782974</v>
      </c>
      <c r="W2263" s="1" t="s">
        <v>2375</v>
      </c>
      <c r="X2263" s="1" t="s">
        <v>39247</v>
      </c>
      <c r="Y2263" s="1" t="s">
        <v>1033</v>
      </c>
      <c r="Z2263" s="1" t="s">
        <v>97</v>
      </c>
      <c r="AA2263" s="1" t="s">
        <v>39247</v>
      </c>
      <c r="AB2263" s="1" t="s">
        <v>1033</v>
      </c>
      <c r="AC2263" s="1" t="s">
        <v>97</v>
      </c>
      <c r="AD2263" s="1">
        <v>7.92</v>
      </c>
      <c r="AE2263" s="1" t="s">
        <v>98</v>
      </c>
      <c r="AF2263" s="1" t="s">
        <v>39248</v>
      </c>
      <c r="AG2263" s="1" t="s">
        <v>165</v>
      </c>
      <c r="AH2263" s="1" t="s">
        <v>170</v>
      </c>
      <c r="AI2263" s="1" t="s">
        <v>106</v>
      </c>
      <c r="AJ2263" s="1">
        <v>60.4</v>
      </c>
      <c r="AK2263" s="1"/>
      <c r="AL2263" s="1" t="s">
        <v>39248</v>
      </c>
      <c r="AM2263" s="1" t="s">
        <v>165</v>
      </c>
      <c r="AN2263" s="1" t="s">
        <v>465</v>
      </c>
      <c r="AO2263" s="1" t="s">
        <v>438</v>
      </c>
      <c r="AP2263" s="1" t="s">
        <v>365</v>
      </c>
      <c r="AQ2263" s="1">
        <v>56</v>
      </c>
      <c r="AR2263" s="1"/>
      <c r="AS2263" s="1"/>
      <c r="AT2263" s="1"/>
      <c r="AU2263" s="1"/>
      <c r="AV2263" s="1"/>
      <c r="AW2263" s="1"/>
      <c r="AX2263" s="1"/>
      <c r="AY2263" s="1" t="s">
        <v>8319</v>
      </c>
      <c r="AZ2263" s="1" t="s">
        <v>8320</v>
      </c>
      <c r="BA2263" s="1" t="s">
        <v>466</v>
      </c>
      <c r="BB2263" s="1" t="s">
        <v>467</v>
      </c>
      <c r="BC2263" s="1" t="s">
        <v>890</v>
      </c>
      <c r="BD2263" s="1" t="s">
        <v>1089</v>
      </c>
      <c r="BE2263" s="1">
        <v>69</v>
      </c>
      <c r="BF2263" s="1">
        <v>7.4</v>
      </c>
      <c r="BG2263" s="1"/>
      <c r="BH2263" s="1"/>
      <c r="BI2263" s="1"/>
      <c r="BJ2263" s="1"/>
      <c r="BK2263" s="1"/>
      <c r="BL2263" s="1"/>
      <c r="BM2263" s="1"/>
      <c r="BN2263" s="1"/>
      <c r="BO2263" s="1" t="s">
        <v>39249</v>
      </c>
      <c r="BP2263" s="1"/>
      <c r="BQ2263" s="1"/>
      <c r="BR2263" s="1" t="s">
        <v>39250</v>
      </c>
      <c r="BS2263" s="1">
        <v>8</v>
      </c>
      <c r="BT2263" s="1" t="s">
        <v>39251</v>
      </c>
      <c r="BU2263" s="1" t="str">
        <f>HYPERLINK("https://nconnect.nicmar.ac.in/storage/profile/ProfilePhoto_P25704020_278361.jpg","Download")</f>
        <v>0</v>
      </c>
      <c r="BV2263" s="3"/>
      <c r="BW2263" s="3"/>
    </row>
    <row r="2264" spans="1:75">
      <c r="A2264" s="1" t="s">
        <v>35379</v>
      </c>
      <c r="B2264" s="1" t="s">
        <v>446</v>
      </c>
      <c r="C2264" s="1" t="s">
        <v>39252</v>
      </c>
      <c r="D2264" s="1" t="s">
        <v>5057</v>
      </c>
      <c r="E2264" s="1" t="s">
        <v>186</v>
      </c>
      <c r="F2264" s="1" t="s">
        <v>39253</v>
      </c>
      <c r="G2264" s="1" t="s">
        <v>39254</v>
      </c>
      <c r="H2264" s="1" t="s">
        <v>39255</v>
      </c>
      <c r="I2264" s="1" t="s">
        <v>39256</v>
      </c>
      <c r="J2264" s="1">
        <v>7558449363</v>
      </c>
      <c r="K2264" s="1" t="s">
        <v>84</v>
      </c>
      <c r="L2264" s="1" t="s">
        <v>23016</v>
      </c>
      <c r="M2264" s="1" t="s">
        <v>86</v>
      </c>
      <c r="N2264" s="1" t="s">
        <v>618</v>
      </c>
      <c r="O2264" s="1"/>
      <c r="P2264" s="1" t="s">
        <v>481</v>
      </c>
      <c r="Q2264" s="1" t="s">
        <v>39257</v>
      </c>
      <c r="R2264" s="1" t="s">
        <v>39258</v>
      </c>
      <c r="S2264" s="1">
        <v>9922420665</v>
      </c>
      <c r="T2264" s="1" t="s">
        <v>2414</v>
      </c>
      <c r="U2264" s="1" t="s">
        <v>39259</v>
      </c>
      <c r="V2264" s="1">
        <v>9763078203</v>
      </c>
      <c r="W2264" s="1" t="s">
        <v>161</v>
      </c>
      <c r="X2264" s="1" t="s">
        <v>39260</v>
      </c>
      <c r="Y2264" s="1" t="s">
        <v>196</v>
      </c>
      <c r="Z2264" s="1" t="s">
        <v>97</v>
      </c>
      <c r="AA2264" s="1" t="s">
        <v>39260</v>
      </c>
      <c r="AB2264" s="1" t="s">
        <v>196</v>
      </c>
      <c r="AC2264" s="1" t="s">
        <v>97</v>
      </c>
      <c r="AD2264" s="1">
        <v>8.32</v>
      </c>
      <c r="AE2264" s="1" t="s">
        <v>98</v>
      </c>
      <c r="AF2264" s="1" t="s">
        <v>39261</v>
      </c>
      <c r="AG2264" s="1" t="s">
        <v>12045</v>
      </c>
      <c r="AH2264" s="1" t="s">
        <v>170</v>
      </c>
      <c r="AI2264" s="1" t="s">
        <v>286</v>
      </c>
      <c r="AJ2264" s="1">
        <v>85.6</v>
      </c>
      <c r="AK2264" s="1"/>
      <c r="AL2264" s="1" t="s">
        <v>39262</v>
      </c>
      <c r="AM2264" s="1" t="s">
        <v>12045</v>
      </c>
      <c r="AN2264" s="1" t="s">
        <v>465</v>
      </c>
      <c r="AO2264" s="1" t="s">
        <v>438</v>
      </c>
      <c r="AP2264" s="1" t="s">
        <v>365</v>
      </c>
      <c r="AQ2264" s="1">
        <v>73.38</v>
      </c>
      <c r="AR2264" s="1"/>
      <c r="AS2264" s="1"/>
      <c r="AT2264" s="1"/>
      <c r="AU2264" s="1"/>
      <c r="AV2264" s="1"/>
      <c r="AW2264" s="1"/>
      <c r="AX2264" s="1"/>
      <c r="AY2264" s="1" t="s">
        <v>39263</v>
      </c>
      <c r="AZ2264" s="1" t="s">
        <v>39264</v>
      </c>
      <c r="BA2264" s="1" t="s">
        <v>682</v>
      </c>
      <c r="BB2264" s="1" t="s">
        <v>683</v>
      </c>
      <c r="BC2264" s="1" t="s">
        <v>468</v>
      </c>
      <c r="BD2264" s="1" t="s">
        <v>848</v>
      </c>
      <c r="BE2264" s="1">
        <v>66.1</v>
      </c>
      <c r="BF2264" s="1">
        <v>7.36</v>
      </c>
      <c r="BG2264" s="1"/>
      <c r="BH2264" s="1"/>
      <c r="BI2264" s="1"/>
      <c r="BJ2264" s="1"/>
      <c r="BK2264" s="1"/>
      <c r="BL2264" s="1"/>
      <c r="BM2264" s="1"/>
      <c r="BN2264" s="1"/>
      <c r="BO2264" s="1" t="s">
        <v>39265</v>
      </c>
      <c r="BP2264" s="1"/>
      <c r="BQ2264" s="1"/>
      <c r="BR2264" s="1" t="s">
        <v>39266</v>
      </c>
      <c r="BS2264" s="1">
        <v>26</v>
      </c>
      <c r="BT2264" s="1" t="s">
        <v>39267</v>
      </c>
      <c r="BU2264" s="1" t="str">
        <f>HYPERLINK("https://nconnect.nicmar.ac.in/storage/profile/ProfilePhoto_P25704021_426987.jpg","Download")</f>
        <v>0</v>
      </c>
      <c r="BV2264" s="3"/>
      <c r="BW2264" s="3"/>
    </row>
    <row r="2265" spans="1:75">
      <c r="A2265" s="1" t="s">
        <v>35379</v>
      </c>
      <c r="B2265" s="1" t="s">
        <v>446</v>
      </c>
      <c r="C2265" s="1" t="s">
        <v>39268</v>
      </c>
      <c r="D2265" s="1" t="s">
        <v>39269</v>
      </c>
      <c r="E2265" s="1"/>
      <c r="F2265" s="1" t="s">
        <v>39270</v>
      </c>
      <c r="G2265" s="1" t="s">
        <v>39271</v>
      </c>
      <c r="H2265" s="1" t="s">
        <v>39272</v>
      </c>
      <c r="I2265" s="1" t="s">
        <v>39273</v>
      </c>
      <c r="J2265" s="1">
        <v>8249358297</v>
      </c>
      <c r="K2265" s="1" t="s">
        <v>84</v>
      </c>
      <c r="L2265" s="1" t="s">
        <v>39274</v>
      </c>
      <c r="M2265" s="1" t="s">
        <v>86</v>
      </c>
      <c r="N2265" s="1" t="s">
        <v>13318</v>
      </c>
      <c r="O2265" s="1"/>
      <c r="P2265" s="1" t="s">
        <v>455</v>
      </c>
      <c r="Q2265" s="1" t="s">
        <v>39275</v>
      </c>
      <c r="R2265" s="1" t="s">
        <v>39276</v>
      </c>
      <c r="S2265" s="1">
        <v>7008067559</v>
      </c>
      <c r="T2265" s="1" t="s">
        <v>5507</v>
      </c>
      <c r="U2265" s="1" t="s">
        <v>39277</v>
      </c>
      <c r="V2265" s="1">
        <v>8144939202</v>
      </c>
      <c r="W2265" s="1" t="s">
        <v>94</v>
      </c>
      <c r="X2265" s="1" t="s">
        <v>39278</v>
      </c>
      <c r="Y2265" s="1" t="s">
        <v>39279</v>
      </c>
      <c r="Z2265" s="1" t="s">
        <v>865</v>
      </c>
      <c r="AA2265" s="1" t="s">
        <v>39280</v>
      </c>
      <c r="AB2265" s="1" t="s">
        <v>39281</v>
      </c>
      <c r="AC2265" s="1" t="s">
        <v>865</v>
      </c>
      <c r="AD2265" s="1">
        <v>0.0</v>
      </c>
      <c r="AE2265" s="1" t="s">
        <v>98</v>
      </c>
      <c r="AF2265" s="1" t="s">
        <v>39282</v>
      </c>
      <c r="AG2265" s="1" t="s">
        <v>37511</v>
      </c>
      <c r="AH2265" s="1" t="s">
        <v>3285</v>
      </c>
      <c r="AI2265" s="1" t="s">
        <v>133</v>
      </c>
      <c r="AJ2265" s="1">
        <v>62</v>
      </c>
      <c r="AK2265" s="1"/>
      <c r="AL2265" s="1" t="s">
        <v>39283</v>
      </c>
      <c r="AM2265" s="1" t="s">
        <v>39284</v>
      </c>
      <c r="AN2265" s="1"/>
      <c r="AO2265" s="1" t="s">
        <v>133</v>
      </c>
      <c r="AP2265" s="1" t="s">
        <v>1262</v>
      </c>
      <c r="AQ2265" s="1">
        <v>59</v>
      </c>
      <c r="AR2265" s="1"/>
      <c r="AS2265" s="1"/>
      <c r="AT2265" s="1"/>
      <c r="AU2265" s="1"/>
      <c r="AV2265" s="1"/>
      <c r="AW2265" s="1"/>
      <c r="AX2265" s="1"/>
      <c r="AY2265" s="1" t="s">
        <v>39285</v>
      </c>
      <c r="AZ2265" s="1" t="s">
        <v>39286</v>
      </c>
      <c r="BA2265" s="1"/>
      <c r="BB2265" s="1"/>
      <c r="BC2265" s="1" t="s">
        <v>135</v>
      </c>
      <c r="BD2265" s="1" t="s">
        <v>1065</v>
      </c>
      <c r="BE2265" s="1">
        <v>66.9</v>
      </c>
      <c r="BF2265" s="1">
        <v>7.2</v>
      </c>
      <c r="BG2265" s="1"/>
      <c r="BH2265" s="1"/>
      <c r="BI2265" s="1"/>
      <c r="BJ2265" s="1"/>
      <c r="BK2265" s="1"/>
      <c r="BL2265" s="1"/>
      <c r="BM2265" s="1"/>
      <c r="BN2265" s="1"/>
      <c r="BO2265" s="1" t="s">
        <v>260</v>
      </c>
      <c r="BP2265" s="1" t="s">
        <v>39287</v>
      </c>
      <c r="BQ2265" s="1" t="s">
        <v>39288</v>
      </c>
      <c r="BR2265" s="1" t="s">
        <v>39289</v>
      </c>
      <c r="BS2265" s="1">
        <v>9</v>
      </c>
      <c r="BT2265" s="1" t="s">
        <v>39290</v>
      </c>
      <c r="BU2265" s="1" t="str">
        <f>HYPERLINK("https://nconnect.nicmar.ac.in/storage/profile/ProfilePhoto_P25704022_561872.jpg","Download")</f>
        <v>0</v>
      </c>
      <c r="BV2265" s="3"/>
      <c r="BW2265" s="3"/>
    </row>
    <row r="2266" spans="1:75">
      <c r="A2266" s="1" t="s">
        <v>35379</v>
      </c>
      <c r="B2266" s="1" t="s">
        <v>446</v>
      </c>
      <c r="C2266" s="1" t="s">
        <v>39291</v>
      </c>
      <c r="D2266" s="1" t="s">
        <v>39292</v>
      </c>
      <c r="E2266" s="1" t="s">
        <v>5073</v>
      </c>
      <c r="F2266" s="1" t="s">
        <v>39293</v>
      </c>
      <c r="G2266" s="1" t="s">
        <v>39294</v>
      </c>
      <c r="H2266" s="1" t="s">
        <v>39295</v>
      </c>
      <c r="I2266" s="1" t="s">
        <v>39296</v>
      </c>
      <c r="J2266" s="1">
        <v>7776034424</v>
      </c>
      <c r="K2266" s="1" t="s">
        <v>153</v>
      </c>
      <c r="L2266" s="1" t="s">
        <v>36389</v>
      </c>
      <c r="M2266" s="1" t="s">
        <v>155</v>
      </c>
      <c r="N2266" s="1" t="s">
        <v>618</v>
      </c>
      <c r="O2266" s="1"/>
      <c r="P2266" s="1" t="s">
        <v>455</v>
      </c>
      <c r="Q2266" s="1" t="s">
        <v>39297</v>
      </c>
      <c r="R2266" s="1" t="s">
        <v>39298</v>
      </c>
      <c r="S2266" s="1">
        <v>9823048680</v>
      </c>
      <c r="T2266" s="1" t="s">
        <v>39299</v>
      </c>
      <c r="U2266" s="1" t="s">
        <v>39300</v>
      </c>
      <c r="V2266" s="1">
        <v>7744094569</v>
      </c>
      <c r="W2266" s="1" t="s">
        <v>278</v>
      </c>
      <c r="X2266" s="1" t="s">
        <v>39301</v>
      </c>
      <c r="Y2266" s="1" t="s">
        <v>196</v>
      </c>
      <c r="Z2266" s="1" t="s">
        <v>97</v>
      </c>
      <c r="AA2266" s="1" t="s">
        <v>39302</v>
      </c>
      <c r="AB2266" s="1" t="s">
        <v>96</v>
      </c>
      <c r="AC2266" s="1" t="s">
        <v>97</v>
      </c>
      <c r="AD2266" s="1">
        <v>7.4</v>
      </c>
      <c r="AE2266" s="1" t="s">
        <v>98</v>
      </c>
      <c r="AF2266" s="1" t="s">
        <v>39303</v>
      </c>
      <c r="AG2266" s="1" t="s">
        <v>11268</v>
      </c>
      <c r="AH2266" s="1" t="s">
        <v>133</v>
      </c>
      <c r="AI2266" s="1" t="s">
        <v>573</v>
      </c>
      <c r="AJ2266" s="1">
        <v>63.4</v>
      </c>
      <c r="AK2266" s="1"/>
      <c r="AL2266" s="1" t="s">
        <v>39304</v>
      </c>
      <c r="AM2266" s="1" t="s">
        <v>39305</v>
      </c>
      <c r="AN2266" s="1"/>
      <c r="AO2266" s="1" t="s">
        <v>230</v>
      </c>
      <c r="AP2266" s="1" t="s">
        <v>313</v>
      </c>
      <c r="AQ2266" s="1">
        <v>71.23</v>
      </c>
      <c r="AR2266" s="1"/>
      <c r="AS2266" s="1"/>
      <c r="AT2266" s="1"/>
      <c r="AU2266" s="1"/>
      <c r="AV2266" s="1"/>
      <c r="AW2266" s="1"/>
      <c r="AX2266" s="1"/>
      <c r="AY2266" s="1" t="s">
        <v>39306</v>
      </c>
      <c r="AZ2266" s="1" t="s">
        <v>39307</v>
      </c>
      <c r="BA2266" s="1"/>
      <c r="BB2266" s="1"/>
      <c r="BC2266" s="1" t="s">
        <v>206</v>
      </c>
      <c r="BD2266" s="1" t="s">
        <v>418</v>
      </c>
      <c r="BE2266" s="1">
        <v>73.1</v>
      </c>
      <c r="BF2266" s="1">
        <v>7.81</v>
      </c>
      <c r="BG2266" s="1"/>
      <c r="BH2266" s="1"/>
      <c r="BI2266" s="1"/>
      <c r="BJ2266" s="1"/>
      <c r="BK2266" s="1"/>
      <c r="BL2266" s="1"/>
      <c r="BM2266" s="1"/>
      <c r="BN2266" s="1"/>
      <c r="BO2266" s="1" t="s">
        <v>39308</v>
      </c>
      <c r="BP2266" s="1" t="s">
        <v>39309</v>
      </c>
      <c r="BQ2266" s="1" t="s">
        <v>658</v>
      </c>
      <c r="BR2266" s="1" t="s">
        <v>39310</v>
      </c>
      <c r="BS2266" s="1">
        <v>28</v>
      </c>
      <c r="BT2266" s="1" t="s">
        <v>39311</v>
      </c>
      <c r="BU2266" s="1" t="str">
        <f>HYPERLINK("https://nconnect.nicmar.ac.in/storage/profile/ProfilePhoto_P25704023_534962.jpg","Download")</f>
        <v>0</v>
      </c>
      <c r="BV2266" s="3"/>
      <c r="BW2266" s="3"/>
    </row>
    <row r="2267" spans="1:75">
      <c r="A2267" s="1" t="s">
        <v>35379</v>
      </c>
      <c r="B2267" s="1" t="s">
        <v>446</v>
      </c>
      <c r="C2267" s="1" t="s">
        <v>39312</v>
      </c>
      <c r="D2267" s="1" t="s">
        <v>4766</v>
      </c>
      <c r="E2267" s="1" t="s">
        <v>8157</v>
      </c>
      <c r="F2267" s="1" t="s">
        <v>7814</v>
      </c>
      <c r="G2267" s="1" t="s">
        <v>39313</v>
      </c>
      <c r="H2267" s="1" t="s">
        <v>39314</v>
      </c>
      <c r="I2267" s="1" t="s">
        <v>39315</v>
      </c>
      <c r="J2267" s="1">
        <v>8668546058</v>
      </c>
      <c r="K2267" s="1" t="s">
        <v>153</v>
      </c>
      <c r="L2267" s="1" t="s">
        <v>37832</v>
      </c>
      <c r="M2267" s="1" t="s">
        <v>86</v>
      </c>
      <c r="N2267" s="1" t="s">
        <v>39316</v>
      </c>
      <c r="O2267" s="1" t="s">
        <v>39317</v>
      </c>
      <c r="P2267" s="1" t="s">
        <v>219</v>
      </c>
      <c r="Q2267" s="1" t="s">
        <v>39318</v>
      </c>
      <c r="R2267" s="1" t="s">
        <v>8157</v>
      </c>
      <c r="S2267" s="1">
        <v>9370088881</v>
      </c>
      <c r="T2267" s="1" t="s">
        <v>5270</v>
      </c>
      <c r="U2267" s="1" t="s">
        <v>6090</v>
      </c>
      <c r="V2267" s="1">
        <v>9370238072</v>
      </c>
      <c r="W2267" s="1" t="s">
        <v>278</v>
      </c>
      <c r="X2267" s="1" t="s">
        <v>39319</v>
      </c>
      <c r="Y2267" s="1" t="s">
        <v>410</v>
      </c>
      <c r="Z2267" s="1" t="s">
        <v>97</v>
      </c>
      <c r="AA2267" s="1" t="s">
        <v>39319</v>
      </c>
      <c r="AB2267" s="1" t="s">
        <v>410</v>
      </c>
      <c r="AC2267" s="1" t="s">
        <v>97</v>
      </c>
      <c r="AD2267" s="1">
        <v>8.47</v>
      </c>
      <c r="AE2267" s="1" t="s">
        <v>98</v>
      </c>
      <c r="AF2267" s="1" t="s">
        <v>39320</v>
      </c>
      <c r="AG2267" s="1" t="s">
        <v>312</v>
      </c>
      <c r="AH2267" s="1" t="s">
        <v>167</v>
      </c>
      <c r="AI2267" s="1" t="s">
        <v>200</v>
      </c>
      <c r="AJ2267" s="1">
        <v>85.5</v>
      </c>
      <c r="AK2267" s="1">
        <v>9</v>
      </c>
      <c r="AL2267" s="1" t="s">
        <v>39321</v>
      </c>
      <c r="AM2267" s="1" t="s">
        <v>165</v>
      </c>
      <c r="AN2267" s="1" t="s">
        <v>575</v>
      </c>
      <c r="AO2267" s="1" t="s">
        <v>206</v>
      </c>
      <c r="AP2267" s="1" t="s">
        <v>417</v>
      </c>
      <c r="AQ2267" s="1">
        <v>55.69</v>
      </c>
      <c r="AR2267" s="1"/>
      <c r="AS2267" s="1"/>
      <c r="AT2267" s="1"/>
      <c r="AU2267" s="1"/>
      <c r="AV2267" s="1"/>
      <c r="AW2267" s="1"/>
      <c r="AX2267" s="1"/>
      <c r="AY2267" s="1" t="s">
        <v>415</v>
      </c>
      <c r="AZ2267" s="1" t="s">
        <v>39322</v>
      </c>
      <c r="BA2267" s="1" t="s">
        <v>682</v>
      </c>
      <c r="BB2267" s="1" t="s">
        <v>683</v>
      </c>
      <c r="BC2267" s="1" t="s">
        <v>368</v>
      </c>
      <c r="BD2267" s="1" t="s">
        <v>848</v>
      </c>
      <c r="BE2267" s="1">
        <v>72.1</v>
      </c>
      <c r="BF2267" s="1">
        <v>7.21</v>
      </c>
      <c r="BG2267" s="1"/>
      <c r="BH2267" s="1"/>
      <c r="BI2267" s="1"/>
      <c r="BJ2267" s="1"/>
      <c r="BK2267" s="1"/>
      <c r="BL2267" s="1"/>
      <c r="BM2267" s="1"/>
      <c r="BN2267" s="1"/>
      <c r="BO2267" s="1" t="s">
        <v>39323</v>
      </c>
      <c r="BP2267" s="1"/>
      <c r="BQ2267" s="1"/>
      <c r="BR2267" s="1" t="s">
        <v>39324</v>
      </c>
      <c r="BS2267" s="1">
        <v>27</v>
      </c>
      <c r="BT2267" s="1" t="s">
        <v>39325</v>
      </c>
      <c r="BU2267" s="1" t="str">
        <f>HYPERLINK("https://nconnect.nicmar.ac.in/storage/profile/ProfilePhoto_P25704024_853971.jpg","Download")</f>
        <v>0</v>
      </c>
      <c r="BV2267" s="3"/>
      <c r="BW2267" s="3"/>
    </row>
    <row r="2268" spans="1:75">
      <c r="A2268" s="1" t="s">
        <v>35379</v>
      </c>
      <c r="B2268" s="1" t="s">
        <v>446</v>
      </c>
      <c r="C2268" s="1" t="s">
        <v>39326</v>
      </c>
      <c r="D2268" s="1" t="s">
        <v>26108</v>
      </c>
      <c r="E2268" s="1" t="s">
        <v>2405</v>
      </c>
      <c r="F2268" s="1" t="s">
        <v>39327</v>
      </c>
      <c r="G2268" s="1" t="s">
        <v>39328</v>
      </c>
      <c r="H2268" s="1" t="s">
        <v>39329</v>
      </c>
      <c r="I2268" s="1" t="s">
        <v>39330</v>
      </c>
      <c r="J2268" s="1">
        <v>9359271182</v>
      </c>
      <c r="K2268" s="1" t="s">
        <v>153</v>
      </c>
      <c r="L2268" s="1" t="s">
        <v>39331</v>
      </c>
      <c r="M2268" s="1" t="s">
        <v>86</v>
      </c>
      <c r="N2268" s="1" t="s">
        <v>2988</v>
      </c>
      <c r="O2268" s="1"/>
      <c r="P2268" s="1" t="s">
        <v>1028</v>
      </c>
      <c r="Q2268" s="1" t="s">
        <v>39332</v>
      </c>
      <c r="R2268" s="1" t="s">
        <v>39333</v>
      </c>
      <c r="S2268" s="1">
        <v>8605072625</v>
      </c>
      <c r="T2268" s="1" t="s">
        <v>645</v>
      </c>
      <c r="U2268" s="1" t="s">
        <v>39334</v>
      </c>
      <c r="V2268" s="1">
        <v>8668820837</v>
      </c>
      <c r="W2268" s="1" t="s">
        <v>161</v>
      </c>
      <c r="X2268" s="1" t="s">
        <v>39335</v>
      </c>
      <c r="Y2268" s="1" t="s">
        <v>333</v>
      </c>
      <c r="Z2268" s="1" t="s">
        <v>97</v>
      </c>
      <c r="AA2268" s="1" t="s">
        <v>39335</v>
      </c>
      <c r="AB2268" s="1" t="s">
        <v>333</v>
      </c>
      <c r="AC2268" s="1" t="s">
        <v>97</v>
      </c>
      <c r="AD2268" s="1">
        <v>8.75</v>
      </c>
      <c r="AE2268" s="1" t="s">
        <v>98</v>
      </c>
      <c r="AF2268" s="1" t="s">
        <v>39336</v>
      </c>
      <c r="AG2268" s="1" t="s">
        <v>39337</v>
      </c>
      <c r="AH2268" s="1" t="s">
        <v>136</v>
      </c>
      <c r="AI2268" s="1" t="s">
        <v>106</v>
      </c>
      <c r="AJ2268" s="1">
        <v>90.2</v>
      </c>
      <c r="AK2268" s="1">
        <v>7.6</v>
      </c>
      <c r="AL2268" s="1" t="s">
        <v>39338</v>
      </c>
      <c r="AM2268" s="1" t="s">
        <v>39337</v>
      </c>
      <c r="AN2268" s="1" t="s">
        <v>465</v>
      </c>
      <c r="AO2268" s="1" t="s">
        <v>106</v>
      </c>
      <c r="AP2268" s="1" t="s">
        <v>178</v>
      </c>
      <c r="AQ2268" s="1">
        <v>74.62</v>
      </c>
      <c r="AR2268" s="1"/>
      <c r="AS2268" s="1"/>
      <c r="AT2268" s="1"/>
      <c r="AU2268" s="1"/>
      <c r="AV2268" s="1"/>
      <c r="AW2268" s="1"/>
      <c r="AX2268" s="1"/>
      <c r="AY2268" s="1" t="s">
        <v>366</v>
      </c>
      <c r="AZ2268" s="1" t="s">
        <v>37166</v>
      </c>
      <c r="BA2268" s="1" t="s">
        <v>682</v>
      </c>
      <c r="BB2268" s="1" t="s">
        <v>1561</v>
      </c>
      <c r="BC2268" s="1" t="s">
        <v>368</v>
      </c>
      <c r="BD2268" s="1" t="s">
        <v>607</v>
      </c>
      <c r="BE2268" s="1">
        <v>68.35</v>
      </c>
      <c r="BF2268" s="1"/>
      <c r="BG2268" s="1"/>
      <c r="BH2268" s="1"/>
      <c r="BI2268" s="1"/>
      <c r="BJ2268" s="1"/>
      <c r="BK2268" s="1"/>
      <c r="BL2268" s="1"/>
      <c r="BM2268" s="1"/>
      <c r="BN2268" s="1"/>
      <c r="BO2268" s="1" t="s">
        <v>39339</v>
      </c>
      <c r="BP2268" s="1"/>
      <c r="BQ2268" s="1"/>
      <c r="BR2268" s="1" t="s">
        <v>39340</v>
      </c>
      <c r="BS2268" s="1">
        <v>32</v>
      </c>
      <c r="BT2268" s="1"/>
      <c r="BU2268" s="1" t="str">
        <f>HYPERLINK("https://nconnect.nicmar.ac.in/storage/profile/ProfilePhoto_P25704025_279518.jpg","Download")</f>
        <v>0</v>
      </c>
      <c r="BV2268" s="3"/>
      <c r="BW2268" s="3"/>
    </row>
    <row r="2269" spans="1:75">
      <c r="A2269" s="1" t="s">
        <v>35379</v>
      </c>
      <c r="B2269" s="1" t="s">
        <v>446</v>
      </c>
      <c r="C2269" s="1" t="s">
        <v>39341</v>
      </c>
      <c r="D2269" s="1" t="s">
        <v>39342</v>
      </c>
      <c r="E2269" s="1" t="s">
        <v>35994</v>
      </c>
      <c r="F2269" s="1" t="s">
        <v>12821</v>
      </c>
      <c r="G2269" s="1" t="s">
        <v>39343</v>
      </c>
      <c r="H2269" s="1" t="s">
        <v>39344</v>
      </c>
      <c r="I2269" s="1" t="s">
        <v>39345</v>
      </c>
      <c r="J2269" s="1">
        <v>9136230303</v>
      </c>
      <c r="K2269" s="1" t="s">
        <v>153</v>
      </c>
      <c r="L2269" s="1" t="s">
        <v>15370</v>
      </c>
      <c r="M2269" s="1" t="s">
        <v>86</v>
      </c>
      <c r="N2269" s="1" t="s">
        <v>768</v>
      </c>
      <c r="O2269" s="1"/>
      <c r="P2269" s="1" t="s">
        <v>481</v>
      </c>
      <c r="Q2269" s="1" t="s">
        <v>39346</v>
      </c>
      <c r="R2269" s="1" t="s">
        <v>39347</v>
      </c>
      <c r="S2269" s="1">
        <v>9969227370</v>
      </c>
      <c r="T2269" s="1" t="s">
        <v>125</v>
      </c>
      <c r="U2269" s="1" t="s">
        <v>39348</v>
      </c>
      <c r="V2269" s="1">
        <v>9004719297</v>
      </c>
      <c r="W2269" s="1" t="s">
        <v>161</v>
      </c>
      <c r="X2269" s="1" t="s">
        <v>39349</v>
      </c>
      <c r="Y2269" s="1" t="s">
        <v>1189</v>
      </c>
      <c r="Z2269" s="1" t="s">
        <v>97</v>
      </c>
      <c r="AA2269" s="1" t="s">
        <v>39349</v>
      </c>
      <c r="AB2269" s="1" t="s">
        <v>1189</v>
      </c>
      <c r="AC2269" s="1" t="s">
        <v>97</v>
      </c>
      <c r="AD2269" s="1">
        <v>8.57</v>
      </c>
      <c r="AE2269" s="1" t="s">
        <v>98</v>
      </c>
      <c r="AF2269" s="1" t="s">
        <v>39350</v>
      </c>
      <c r="AG2269" s="1" t="s">
        <v>165</v>
      </c>
      <c r="AH2269" s="1" t="s">
        <v>167</v>
      </c>
      <c r="AI2269" s="1" t="s">
        <v>170</v>
      </c>
      <c r="AJ2269" s="1">
        <v>83</v>
      </c>
      <c r="AK2269" s="1"/>
      <c r="AL2269" s="1" t="s">
        <v>39351</v>
      </c>
      <c r="AM2269" s="1" t="s">
        <v>165</v>
      </c>
      <c r="AN2269" s="1"/>
      <c r="AO2269" s="1" t="s">
        <v>106</v>
      </c>
      <c r="AP2269" s="1" t="s">
        <v>313</v>
      </c>
      <c r="AQ2269" s="1">
        <v>68.31</v>
      </c>
      <c r="AR2269" s="1"/>
      <c r="AS2269" s="1"/>
      <c r="AT2269" s="1"/>
      <c r="AU2269" s="1"/>
      <c r="AV2269" s="1"/>
      <c r="AW2269" s="1"/>
      <c r="AX2269" s="1"/>
      <c r="AY2269" s="1" t="s">
        <v>258</v>
      </c>
      <c r="AZ2269" s="1" t="s">
        <v>39352</v>
      </c>
      <c r="BA2269" s="1"/>
      <c r="BB2269" s="1"/>
      <c r="BC2269" s="1" t="s">
        <v>206</v>
      </c>
      <c r="BD2269" s="1" t="s">
        <v>418</v>
      </c>
      <c r="BE2269" s="1">
        <v>67.87</v>
      </c>
      <c r="BF2269" s="1">
        <v>7.55</v>
      </c>
      <c r="BG2269" s="1"/>
      <c r="BH2269" s="1"/>
      <c r="BI2269" s="1"/>
      <c r="BJ2269" s="1"/>
      <c r="BK2269" s="1"/>
      <c r="BL2269" s="1"/>
      <c r="BM2269" s="1"/>
      <c r="BN2269" s="1"/>
      <c r="BO2269" s="1" t="s">
        <v>39353</v>
      </c>
      <c r="BP2269" s="1"/>
      <c r="BQ2269" s="1"/>
      <c r="BR2269" s="1" t="s">
        <v>39354</v>
      </c>
      <c r="BS2269" s="1">
        <v>27</v>
      </c>
      <c r="BT2269" s="1"/>
      <c r="BU2269" s="1" t="str">
        <f>HYPERLINK("https://nconnect.nicmar.ac.in/storage/profile/ProfilePhoto_P25704026_986524.jpg","Download")</f>
        <v>0</v>
      </c>
      <c r="BV2269" s="3"/>
      <c r="BW2269" s="3"/>
    </row>
    <row r="2270" spans="1:75">
      <c r="A2270" s="1" t="s">
        <v>35379</v>
      </c>
      <c r="B2270" s="1" t="s">
        <v>446</v>
      </c>
      <c r="C2270" s="1" t="s">
        <v>39355</v>
      </c>
      <c r="D2270" s="1" t="s">
        <v>3160</v>
      </c>
      <c r="E2270" s="1" t="s">
        <v>115</v>
      </c>
      <c r="F2270" s="1" t="s">
        <v>39356</v>
      </c>
      <c r="G2270" s="1" t="s">
        <v>39357</v>
      </c>
      <c r="H2270" s="1" t="s">
        <v>39358</v>
      </c>
      <c r="I2270" s="1" t="s">
        <v>39359</v>
      </c>
      <c r="J2270" s="1">
        <v>9370219155</v>
      </c>
      <c r="K2270" s="1" t="s">
        <v>153</v>
      </c>
      <c r="L2270" s="1" t="s">
        <v>1530</v>
      </c>
      <c r="M2270" s="1" t="s">
        <v>86</v>
      </c>
      <c r="N2270" s="1" t="s">
        <v>7467</v>
      </c>
      <c r="O2270" s="1"/>
      <c r="P2270" s="1" t="s">
        <v>481</v>
      </c>
      <c r="Q2270" s="1" t="s">
        <v>39360</v>
      </c>
      <c r="R2270" s="1" t="s">
        <v>39361</v>
      </c>
      <c r="S2270" s="1">
        <v>9822210464</v>
      </c>
      <c r="T2270" s="1" t="s">
        <v>92</v>
      </c>
      <c r="U2270" s="1" t="s">
        <v>39362</v>
      </c>
      <c r="V2270" s="1">
        <v>7387386748</v>
      </c>
      <c r="W2270" s="1" t="s">
        <v>13534</v>
      </c>
      <c r="X2270" s="1" t="s">
        <v>39363</v>
      </c>
      <c r="Y2270" s="1" t="s">
        <v>1779</v>
      </c>
      <c r="Z2270" s="1" t="s">
        <v>97</v>
      </c>
      <c r="AA2270" s="1" t="s">
        <v>39363</v>
      </c>
      <c r="AB2270" s="1" t="s">
        <v>1779</v>
      </c>
      <c r="AC2270" s="1" t="s">
        <v>97</v>
      </c>
      <c r="AD2270" s="1">
        <v>8.32</v>
      </c>
      <c r="AE2270" s="1" t="s">
        <v>98</v>
      </c>
      <c r="AF2270" s="1" t="s">
        <v>39364</v>
      </c>
      <c r="AG2270" s="1" t="s">
        <v>996</v>
      </c>
      <c r="AH2270" s="1" t="s">
        <v>170</v>
      </c>
      <c r="AI2270" s="1" t="s">
        <v>286</v>
      </c>
      <c r="AJ2270" s="1">
        <v>89.6</v>
      </c>
      <c r="AK2270" s="1">
        <v>0</v>
      </c>
      <c r="AL2270" s="1" t="s">
        <v>39365</v>
      </c>
      <c r="AM2270" s="1" t="s">
        <v>996</v>
      </c>
      <c r="AN2270" s="1" t="s">
        <v>465</v>
      </c>
      <c r="AO2270" s="1" t="s">
        <v>174</v>
      </c>
      <c r="AP2270" s="1" t="s">
        <v>178</v>
      </c>
      <c r="AQ2270" s="1">
        <v>68.77</v>
      </c>
      <c r="AR2270" s="1">
        <v>0</v>
      </c>
      <c r="AS2270" s="1"/>
      <c r="AT2270" s="1"/>
      <c r="AU2270" s="1"/>
      <c r="AV2270" s="1"/>
      <c r="AW2270" s="1"/>
      <c r="AX2270" s="1"/>
      <c r="AY2270" s="1" t="s">
        <v>39366</v>
      </c>
      <c r="AZ2270" s="1" t="s">
        <v>39367</v>
      </c>
      <c r="BA2270" s="1" t="s">
        <v>682</v>
      </c>
      <c r="BB2270" s="1" t="s">
        <v>1561</v>
      </c>
      <c r="BC2270" s="1" t="s">
        <v>368</v>
      </c>
      <c r="BD2270" s="1" t="s">
        <v>607</v>
      </c>
      <c r="BE2270" s="1">
        <v>62.83</v>
      </c>
      <c r="BF2270" s="1">
        <v>7.06</v>
      </c>
      <c r="BG2270" s="1"/>
      <c r="BH2270" s="1"/>
      <c r="BI2270" s="1"/>
      <c r="BJ2270" s="1"/>
      <c r="BK2270" s="1"/>
      <c r="BL2270" s="1"/>
      <c r="BM2270" s="1"/>
      <c r="BN2270" s="1"/>
      <c r="BO2270" s="1" t="s">
        <v>39368</v>
      </c>
      <c r="BP2270" s="1"/>
      <c r="BQ2270" s="1"/>
      <c r="BR2270" s="1" t="s">
        <v>39369</v>
      </c>
      <c r="BS2270" s="1">
        <v>33</v>
      </c>
      <c r="BT2270" s="1"/>
      <c r="BU2270" s="1" t="str">
        <f>HYPERLINK("https://nconnect.nicmar.ac.in/storage/profile/ProfilePhoto_P25704027_845267.jpg","Download")</f>
        <v>0</v>
      </c>
      <c r="BV2270" s="3"/>
      <c r="BW2270" s="3"/>
    </row>
    <row r="2271" spans="1:75">
      <c r="A2271" s="1" t="s">
        <v>35379</v>
      </c>
      <c r="B2271" s="1" t="s">
        <v>446</v>
      </c>
      <c r="C2271" s="1" t="s">
        <v>39370</v>
      </c>
      <c r="D2271" s="1" t="s">
        <v>39371</v>
      </c>
      <c r="E2271" s="1" t="s">
        <v>186</v>
      </c>
      <c r="F2271" s="1" t="s">
        <v>39372</v>
      </c>
      <c r="G2271" s="1" t="s">
        <v>39373</v>
      </c>
      <c r="H2271" s="1" t="s">
        <v>39374</v>
      </c>
      <c r="I2271" s="1" t="s">
        <v>39375</v>
      </c>
      <c r="J2271" s="1">
        <v>8850959089</v>
      </c>
      <c r="K2271" s="1" t="s">
        <v>84</v>
      </c>
      <c r="L2271" s="1" t="s">
        <v>923</v>
      </c>
      <c r="M2271" s="1" t="s">
        <v>86</v>
      </c>
      <c r="N2271" s="1" t="s">
        <v>903</v>
      </c>
      <c r="O2271" s="1"/>
      <c r="P2271" s="1" t="s">
        <v>481</v>
      </c>
      <c r="Q2271" s="1" t="s">
        <v>39376</v>
      </c>
      <c r="R2271" s="1" t="s">
        <v>186</v>
      </c>
      <c r="S2271" s="1">
        <v>9004675329</v>
      </c>
      <c r="T2271" s="1" t="s">
        <v>839</v>
      </c>
      <c r="U2271" s="1" t="s">
        <v>39377</v>
      </c>
      <c r="V2271" s="1">
        <v>7498205772</v>
      </c>
      <c r="W2271" s="1" t="s">
        <v>161</v>
      </c>
      <c r="X2271" s="1" t="s">
        <v>39378</v>
      </c>
      <c r="Y2271" s="1" t="s">
        <v>4302</v>
      </c>
      <c r="Z2271" s="1" t="s">
        <v>97</v>
      </c>
      <c r="AA2271" s="1" t="s">
        <v>39378</v>
      </c>
      <c r="AB2271" s="1" t="s">
        <v>4302</v>
      </c>
      <c r="AC2271" s="1" t="s">
        <v>97</v>
      </c>
      <c r="AD2271" s="1">
        <v>7.95</v>
      </c>
      <c r="AE2271" s="1" t="s">
        <v>98</v>
      </c>
      <c r="AF2271" s="1" t="s">
        <v>38792</v>
      </c>
      <c r="AG2271" s="1" t="s">
        <v>775</v>
      </c>
      <c r="AH2271" s="1" t="s">
        <v>490</v>
      </c>
      <c r="AI2271" s="1" t="s">
        <v>313</v>
      </c>
      <c r="AJ2271" s="1">
        <v>56.6</v>
      </c>
      <c r="AK2271" s="1">
        <v>0</v>
      </c>
      <c r="AL2271" s="1" t="s">
        <v>39379</v>
      </c>
      <c r="AM2271" s="1" t="s">
        <v>39380</v>
      </c>
      <c r="AN2271" s="1" t="s">
        <v>465</v>
      </c>
      <c r="AO2271" s="1" t="s">
        <v>315</v>
      </c>
      <c r="AP2271" s="1" t="s">
        <v>845</v>
      </c>
      <c r="AQ2271" s="1">
        <v>71.5</v>
      </c>
      <c r="AR2271" s="1"/>
      <c r="AS2271" s="1"/>
      <c r="AT2271" s="1"/>
      <c r="AU2271" s="1"/>
      <c r="AV2271" s="1"/>
      <c r="AW2271" s="1"/>
      <c r="AX2271" s="1"/>
      <c r="AY2271" s="1" t="s">
        <v>680</v>
      </c>
      <c r="AZ2271" s="1" t="s">
        <v>39381</v>
      </c>
      <c r="BA2271" s="1" t="s">
        <v>578</v>
      </c>
      <c r="BB2271" s="1" t="s">
        <v>467</v>
      </c>
      <c r="BC2271" s="1" t="s">
        <v>871</v>
      </c>
      <c r="BD2271" s="1" t="s">
        <v>848</v>
      </c>
      <c r="BE2271" s="1">
        <v>61.52</v>
      </c>
      <c r="BF2271" s="1">
        <v>6.75</v>
      </c>
      <c r="BG2271" s="1"/>
      <c r="BH2271" s="1"/>
      <c r="BI2271" s="1"/>
      <c r="BJ2271" s="1"/>
      <c r="BK2271" s="1"/>
      <c r="BL2271" s="1"/>
      <c r="BM2271" s="1"/>
      <c r="BN2271" s="1"/>
      <c r="BO2271" s="1" t="s">
        <v>39382</v>
      </c>
      <c r="BP2271" s="1"/>
      <c r="BQ2271" s="1"/>
      <c r="BR2271" s="1" t="s">
        <v>39383</v>
      </c>
      <c r="BS2271" s="1">
        <v>13</v>
      </c>
      <c r="BT2271" s="1" t="s">
        <v>39384</v>
      </c>
      <c r="BU2271" s="1" t="str">
        <f>HYPERLINK("https://nconnect.nicmar.ac.in/storage/profile/ProfilePhoto_P25704028_759214.jpg","Download")</f>
        <v>0</v>
      </c>
      <c r="BV2271" s="3"/>
      <c r="BW2271" s="3"/>
    </row>
    <row r="2272" spans="1:75">
      <c r="A2272" s="1" t="s">
        <v>35379</v>
      </c>
      <c r="B2272" s="1" t="s">
        <v>446</v>
      </c>
      <c r="C2272" s="1" t="s">
        <v>39385</v>
      </c>
      <c r="D2272" s="1" t="s">
        <v>1319</v>
      </c>
      <c r="E2272" s="1" t="s">
        <v>5940</v>
      </c>
      <c r="F2272" s="1" t="s">
        <v>7310</v>
      </c>
      <c r="G2272" s="1" t="s">
        <v>39386</v>
      </c>
      <c r="H2272" s="1" t="s">
        <v>39387</v>
      </c>
      <c r="I2272" s="1" t="s">
        <v>39388</v>
      </c>
      <c r="J2272" s="1">
        <v>9604960952</v>
      </c>
      <c r="K2272" s="1" t="s">
        <v>84</v>
      </c>
      <c r="L2272" s="1" t="s">
        <v>30890</v>
      </c>
      <c r="M2272" s="1" t="s">
        <v>86</v>
      </c>
      <c r="N2272" s="1" t="s">
        <v>4891</v>
      </c>
      <c r="O2272" s="1"/>
      <c r="P2272" s="1" t="s">
        <v>481</v>
      </c>
      <c r="Q2272" s="1" t="s">
        <v>39389</v>
      </c>
      <c r="R2272" s="1" t="s">
        <v>5940</v>
      </c>
      <c r="S2272" s="1">
        <v>9850013087</v>
      </c>
      <c r="T2272" s="1" t="s">
        <v>159</v>
      </c>
      <c r="U2272" s="1" t="s">
        <v>6471</v>
      </c>
      <c r="V2272" s="1">
        <v>9970201464</v>
      </c>
      <c r="W2272" s="1" t="s">
        <v>161</v>
      </c>
      <c r="X2272" s="1" t="s">
        <v>39390</v>
      </c>
      <c r="Y2272" s="1" t="s">
        <v>196</v>
      </c>
      <c r="Z2272" s="1" t="s">
        <v>97</v>
      </c>
      <c r="AA2272" s="1" t="s">
        <v>39391</v>
      </c>
      <c r="AB2272" s="1" t="s">
        <v>5181</v>
      </c>
      <c r="AC2272" s="1" t="s">
        <v>97</v>
      </c>
      <c r="AD2272" s="1">
        <v>7.8</v>
      </c>
      <c r="AE2272" s="1" t="s">
        <v>98</v>
      </c>
      <c r="AF2272" s="1" t="s">
        <v>39392</v>
      </c>
      <c r="AG2272" s="1" t="s">
        <v>165</v>
      </c>
      <c r="AH2272" s="1" t="s">
        <v>167</v>
      </c>
      <c r="AI2272" s="1" t="s">
        <v>170</v>
      </c>
      <c r="AJ2272" s="1">
        <v>85.6</v>
      </c>
      <c r="AK2272" s="1"/>
      <c r="AL2272" s="1" t="s">
        <v>39393</v>
      </c>
      <c r="AM2272" s="1" t="s">
        <v>165</v>
      </c>
      <c r="AN2272" s="1" t="s">
        <v>465</v>
      </c>
      <c r="AO2272" s="1" t="s">
        <v>388</v>
      </c>
      <c r="AP2272" s="1" t="s">
        <v>438</v>
      </c>
      <c r="AQ2272" s="1">
        <v>60</v>
      </c>
      <c r="AR2272" s="1"/>
      <c r="AS2272" s="1"/>
      <c r="AT2272" s="1"/>
      <c r="AU2272" s="1"/>
      <c r="AV2272" s="1"/>
      <c r="AW2272" s="1"/>
      <c r="AX2272" s="1"/>
      <c r="AY2272" s="1" t="s">
        <v>366</v>
      </c>
      <c r="AZ2272" s="1" t="s">
        <v>39394</v>
      </c>
      <c r="BA2272" s="1" t="s">
        <v>682</v>
      </c>
      <c r="BB2272" s="1" t="s">
        <v>683</v>
      </c>
      <c r="BC2272" s="1" t="s">
        <v>315</v>
      </c>
      <c r="BD2272" s="1" t="s">
        <v>2383</v>
      </c>
      <c r="BE2272" s="1">
        <v>61</v>
      </c>
      <c r="BF2272" s="1">
        <v>6.85</v>
      </c>
      <c r="BG2272" s="1"/>
      <c r="BH2272" s="1"/>
      <c r="BI2272" s="1"/>
      <c r="BJ2272" s="1"/>
      <c r="BK2272" s="1"/>
      <c r="BL2272" s="1"/>
      <c r="BM2272" s="1"/>
      <c r="BN2272" s="1"/>
      <c r="BO2272" s="1" t="s">
        <v>39395</v>
      </c>
      <c r="BP2272" s="1" t="s">
        <v>39396</v>
      </c>
      <c r="BQ2272" s="1" t="s">
        <v>1070</v>
      </c>
      <c r="BR2272" s="1" t="s">
        <v>39397</v>
      </c>
      <c r="BS2272" s="1">
        <v>33</v>
      </c>
      <c r="BT2272" s="1" t="s">
        <v>39398</v>
      </c>
      <c r="BU2272" s="1" t="str">
        <f>HYPERLINK("https://nconnect.nicmar.ac.in/storage/profile/ProfilePhoto_P25704029_425917.jpg","Download")</f>
        <v>0</v>
      </c>
      <c r="BV2272" s="3"/>
      <c r="BW2272" s="3"/>
    </row>
    <row r="2273" spans="1:75">
      <c r="A2273" s="1" t="s">
        <v>35379</v>
      </c>
      <c r="B2273" s="1" t="s">
        <v>446</v>
      </c>
      <c r="C2273" s="1" t="s">
        <v>39399</v>
      </c>
      <c r="D2273" s="1" t="s">
        <v>39400</v>
      </c>
      <c r="E2273" s="1" t="s">
        <v>1294</v>
      </c>
      <c r="F2273" s="1" t="s">
        <v>39401</v>
      </c>
      <c r="G2273" s="1" t="s">
        <v>39402</v>
      </c>
      <c r="H2273" s="1" t="s">
        <v>39403</v>
      </c>
      <c r="I2273" s="1" t="s">
        <v>39404</v>
      </c>
      <c r="J2273" s="1">
        <v>9022158429</v>
      </c>
      <c r="K2273" s="1" t="s">
        <v>153</v>
      </c>
      <c r="L2273" s="1" t="s">
        <v>7117</v>
      </c>
      <c r="M2273" s="1" t="s">
        <v>86</v>
      </c>
      <c r="N2273" s="1" t="s">
        <v>2988</v>
      </c>
      <c r="O2273" s="1"/>
      <c r="P2273" s="1" t="s">
        <v>670</v>
      </c>
      <c r="Q2273" s="1" t="s">
        <v>39405</v>
      </c>
      <c r="R2273" s="1" t="s">
        <v>39406</v>
      </c>
      <c r="S2273" s="1">
        <v>9881515251</v>
      </c>
      <c r="T2273" s="1" t="s">
        <v>39407</v>
      </c>
      <c r="U2273" s="1" t="s">
        <v>39408</v>
      </c>
      <c r="V2273" s="1">
        <v>8888180179</v>
      </c>
      <c r="W2273" s="1" t="s">
        <v>161</v>
      </c>
      <c r="X2273" s="1" t="s">
        <v>39409</v>
      </c>
      <c r="Y2273" s="1" t="s">
        <v>5083</v>
      </c>
      <c r="Z2273" s="1" t="s">
        <v>97</v>
      </c>
      <c r="AA2273" s="1" t="s">
        <v>39409</v>
      </c>
      <c r="AB2273" s="1" t="s">
        <v>5083</v>
      </c>
      <c r="AC2273" s="1" t="s">
        <v>97</v>
      </c>
      <c r="AD2273" s="1">
        <v>8.45</v>
      </c>
      <c r="AE2273" s="1" t="s">
        <v>98</v>
      </c>
      <c r="AF2273" s="1" t="s">
        <v>39410</v>
      </c>
      <c r="AG2273" s="1" t="s">
        <v>11780</v>
      </c>
      <c r="AH2273" s="1" t="s">
        <v>573</v>
      </c>
      <c r="AI2273" s="1" t="s">
        <v>171</v>
      </c>
      <c r="AJ2273" s="1">
        <v>77</v>
      </c>
      <c r="AK2273" s="1"/>
      <c r="AL2273" s="1" t="s">
        <v>12096</v>
      </c>
      <c r="AM2273" s="1" t="s">
        <v>996</v>
      </c>
      <c r="AN2273" s="1"/>
      <c r="AO2273" s="1" t="s">
        <v>174</v>
      </c>
      <c r="AP2273" s="1" t="s">
        <v>365</v>
      </c>
      <c r="AQ2273" s="1">
        <v>65.08</v>
      </c>
      <c r="AR2273" s="1"/>
      <c r="AS2273" s="1"/>
      <c r="AT2273" s="1"/>
      <c r="AU2273" s="1"/>
      <c r="AV2273" s="1"/>
      <c r="AW2273" s="1"/>
      <c r="AX2273" s="1"/>
      <c r="AY2273" s="1" t="s">
        <v>366</v>
      </c>
      <c r="AZ2273" s="1" t="s">
        <v>39411</v>
      </c>
      <c r="BA2273" s="1"/>
      <c r="BB2273" s="1"/>
      <c r="BC2273" s="1" t="s">
        <v>1171</v>
      </c>
      <c r="BD2273" s="1" t="s">
        <v>848</v>
      </c>
      <c r="BE2273" s="1">
        <v>60.6</v>
      </c>
      <c r="BF2273" s="1">
        <v>6.81</v>
      </c>
      <c r="BG2273" s="1"/>
      <c r="BH2273" s="1"/>
      <c r="BI2273" s="1"/>
      <c r="BJ2273" s="1"/>
      <c r="BK2273" s="1"/>
      <c r="BL2273" s="1"/>
      <c r="BM2273" s="1"/>
      <c r="BN2273" s="1"/>
      <c r="BO2273" s="1" t="s">
        <v>260</v>
      </c>
      <c r="BP2273" s="1"/>
      <c r="BQ2273" s="1"/>
      <c r="BR2273" s="1" t="s">
        <v>39412</v>
      </c>
      <c r="BS2273" s="1">
        <v>26</v>
      </c>
      <c r="BT2273" s="1"/>
      <c r="BU2273" s="1" t="str">
        <f>HYPERLINK("https://nconnect.nicmar.ac.in/storage/profile/ProfilePhoto_P25704030_279351.jpg","Download")</f>
        <v>0</v>
      </c>
      <c r="BV2273" s="3"/>
      <c r="BW2273" s="3"/>
    </row>
    <row r="2274" spans="1:75">
      <c r="A2274" s="1" t="s">
        <v>35379</v>
      </c>
      <c r="B2274" s="1" t="s">
        <v>446</v>
      </c>
      <c r="C2274" s="1" t="s">
        <v>39413</v>
      </c>
      <c r="D2274" s="1" t="s">
        <v>33873</v>
      </c>
      <c r="E2274" s="1" t="s">
        <v>4310</v>
      </c>
      <c r="F2274" s="1" t="s">
        <v>12821</v>
      </c>
      <c r="G2274" s="1" t="s">
        <v>39414</v>
      </c>
      <c r="H2274" s="1" t="s">
        <v>39415</v>
      </c>
      <c r="I2274" s="1" t="s">
        <v>39416</v>
      </c>
      <c r="J2274" s="1">
        <v>7045705702</v>
      </c>
      <c r="K2274" s="1" t="s">
        <v>84</v>
      </c>
      <c r="L2274" s="1" t="s">
        <v>5234</v>
      </c>
      <c r="M2274" s="1" t="s">
        <v>86</v>
      </c>
      <c r="N2274" s="1" t="s">
        <v>8520</v>
      </c>
      <c r="O2274" s="1"/>
      <c r="P2274" s="1" t="s">
        <v>507</v>
      </c>
      <c r="Q2274" s="1" t="s">
        <v>39417</v>
      </c>
      <c r="R2274" s="1" t="s">
        <v>4310</v>
      </c>
      <c r="S2274" s="1">
        <v>9892672860</v>
      </c>
      <c r="T2274" s="1" t="s">
        <v>645</v>
      </c>
      <c r="U2274" s="1" t="s">
        <v>6471</v>
      </c>
      <c r="V2274" s="1">
        <v>9967691349</v>
      </c>
      <c r="W2274" s="1" t="s">
        <v>161</v>
      </c>
      <c r="X2274" s="1" t="s">
        <v>39418</v>
      </c>
      <c r="Y2274" s="1" t="s">
        <v>1189</v>
      </c>
      <c r="Z2274" s="1" t="s">
        <v>97</v>
      </c>
      <c r="AA2274" s="1" t="s">
        <v>39419</v>
      </c>
      <c r="AB2274" s="1" t="s">
        <v>1189</v>
      </c>
      <c r="AC2274" s="1" t="s">
        <v>97</v>
      </c>
      <c r="AD2274" s="1">
        <v>7.72</v>
      </c>
      <c r="AE2274" s="1" t="s">
        <v>98</v>
      </c>
      <c r="AF2274" s="1" t="s">
        <v>39420</v>
      </c>
      <c r="AG2274" s="1" t="s">
        <v>39421</v>
      </c>
      <c r="AH2274" s="1" t="s">
        <v>167</v>
      </c>
      <c r="AI2274" s="1" t="s">
        <v>704</v>
      </c>
      <c r="AJ2274" s="1">
        <v>73.4</v>
      </c>
      <c r="AK2274" s="1"/>
      <c r="AL2274" s="1" t="s">
        <v>39422</v>
      </c>
      <c r="AM2274" s="1" t="s">
        <v>1968</v>
      </c>
      <c r="AN2274" s="1" t="s">
        <v>575</v>
      </c>
      <c r="AO2274" s="1" t="s">
        <v>106</v>
      </c>
      <c r="AP2274" s="1" t="s">
        <v>203</v>
      </c>
      <c r="AQ2274" s="1">
        <v>58.46</v>
      </c>
      <c r="AR2274" s="1"/>
      <c r="AS2274" s="1"/>
      <c r="AT2274" s="1"/>
      <c r="AU2274" s="1"/>
      <c r="AV2274" s="1"/>
      <c r="AW2274" s="1"/>
      <c r="AX2274" s="1"/>
      <c r="AY2274" s="1" t="s">
        <v>258</v>
      </c>
      <c r="AZ2274" s="1" t="s">
        <v>39423</v>
      </c>
      <c r="BA2274" s="1" t="s">
        <v>682</v>
      </c>
      <c r="BB2274" s="1" t="s">
        <v>1561</v>
      </c>
      <c r="BC2274" s="1" t="s">
        <v>315</v>
      </c>
      <c r="BD2274" s="1" t="s">
        <v>553</v>
      </c>
      <c r="BE2274" s="1">
        <v>59.65</v>
      </c>
      <c r="BF2274" s="1">
        <v>6.44</v>
      </c>
      <c r="BG2274" s="1"/>
      <c r="BH2274" s="1"/>
      <c r="BI2274" s="1"/>
      <c r="BJ2274" s="1"/>
      <c r="BK2274" s="1"/>
      <c r="BL2274" s="1"/>
      <c r="BM2274" s="1"/>
      <c r="BN2274" s="1"/>
      <c r="BO2274" s="1" t="s">
        <v>39424</v>
      </c>
      <c r="BP2274" s="1"/>
      <c r="BQ2274" s="1"/>
      <c r="BR2274" s="1" t="s">
        <v>39425</v>
      </c>
      <c r="BS2274" s="1">
        <v>27</v>
      </c>
      <c r="BT2274" s="1" t="s">
        <v>39426</v>
      </c>
      <c r="BU2274" s="1" t="str">
        <f>HYPERLINK("https://nconnect.nicmar.ac.in/storage/profile/ProfilePhoto_P25704032_987163.jpg","Download")</f>
        <v>0</v>
      </c>
      <c r="BV2274" s="3"/>
      <c r="BW2274" s="3"/>
    </row>
    <row r="2275" spans="1:75">
      <c r="A2275" s="1" t="s">
        <v>35379</v>
      </c>
      <c r="B2275" s="1" t="s">
        <v>446</v>
      </c>
      <c r="C2275" s="1" t="s">
        <v>39427</v>
      </c>
      <c r="D2275" s="1" t="s">
        <v>3216</v>
      </c>
      <c r="E2275" s="1" t="s">
        <v>663</v>
      </c>
      <c r="F2275" s="1" t="s">
        <v>39428</v>
      </c>
      <c r="G2275" s="1" t="s">
        <v>39429</v>
      </c>
      <c r="H2275" s="1" t="s">
        <v>39430</v>
      </c>
      <c r="I2275" s="1" t="s">
        <v>39431</v>
      </c>
      <c r="J2275" s="1">
        <v>8080197980</v>
      </c>
      <c r="K2275" s="1" t="s">
        <v>153</v>
      </c>
      <c r="L2275" s="1" t="s">
        <v>13111</v>
      </c>
      <c r="M2275" s="1" t="s">
        <v>86</v>
      </c>
      <c r="N2275" s="1" t="s">
        <v>5472</v>
      </c>
      <c r="O2275" s="1"/>
      <c r="P2275" s="1" t="s">
        <v>1028</v>
      </c>
      <c r="Q2275" s="1" t="s">
        <v>39432</v>
      </c>
      <c r="R2275" s="1" t="s">
        <v>663</v>
      </c>
      <c r="S2275" s="1">
        <v>9423425141</v>
      </c>
      <c r="T2275" s="1" t="s">
        <v>13321</v>
      </c>
      <c r="U2275" s="1" t="s">
        <v>12497</v>
      </c>
      <c r="V2275" s="1">
        <v>7774996646</v>
      </c>
      <c r="W2275" s="1" t="s">
        <v>13321</v>
      </c>
      <c r="X2275" s="1" t="s">
        <v>39433</v>
      </c>
      <c r="Y2275" s="1" t="s">
        <v>5083</v>
      </c>
      <c r="Z2275" s="1" t="s">
        <v>97</v>
      </c>
      <c r="AA2275" s="1" t="s">
        <v>39433</v>
      </c>
      <c r="AB2275" s="1" t="s">
        <v>5083</v>
      </c>
      <c r="AC2275" s="1" t="s">
        <v>97</v>
      </c>
      <c r="AD2275" s="1">
        <v>8.47</v>
      </c>
      <c r="AE2275" s="1" t="s">
        <v>98</v>
      </c>
      <c r="AF2275" s="1" t="s">
        <v>39434</v>
      </c>
      <c r="AG2275" s="1" t="s">
        <v>39435</v>
      </c>
      <c r="AH2275" s="1" t="s">
        <v>167</v>
      </c>
      <c r="AI2275" s="1" t="s">
        <v>573</v>
      </c>
      <c r="AJ2275" s="1">
        <v>86.4</v>
      </c>
      <c r="AK2275" s="1">
        <v>0</v>
      </c>
      <c r="AL2275" s="1" t="s">
        <v>39436</v>
      </c>
      <c r="AM2275" s="1" t="s">
        <v>39435</v>
      </c>
      <c r="AN2275" s="1" t="s">
        <v>575</v>
      </c>
      <c r="AO2275" s="1" t="s">
        <v>106</v>
      </c>
      <c r="AP2275" s="1" t="s">
        <v>313</v>
      </c>
      <c r="AQ2275" s="1">
        <v>64.31</v>
      </c>
      <c r="AR2275" s="1">
        <v>0</v>
      </c>
      <c r="AS2275" s="1"/>
      <c r="AT2275" s="1"/>
      <c r="AU2275" s="1"/>
      <c r="AV2275" s="1"/>
      <c r="AW2275" s="1"/>
      <c r="AX2275" s="1"/>
      <c r="AY2275" s="1" t="s">
        <v>366</v>
      </c>
      <c r="AZ2275" s="1" t="s">
        <v>39437</v>
      </c>
      <c r="BA2275" s="1" t="s">
        <v>682</v>
      </c>
      <c r="BB2275" s="1" t="s">
        <v>683</v>
      </c>
      <c r="BC2275" s="1" t="s">
        <v>890</v>
      </c>
      <c r="BD2275" s="1" t="s">
        <v>848</v>
      </c>
      <c r="BE2275" s="1">
        <v>71</v>
      </c>
      <c r="BF2275" s="1">
        <v>7.85</v>
      </c>
      <c r="BG2275" s="1"/>
      <c r="BH2275" s="1"/>
      <c r="BI2275" s="1"/>
      <c r="BJ2275" s="1"/>
      <c r="BK2275" s="1"/>
      <c r="BL2275" s="1"/>
      <c r="BM2275" s="1"/>
      <c r="BN2275" s="1"/>
      <c r="BO2275" s="1" t="s">
        <v>39438</v>
      </c>
      <c r="BP2275" s="1"/>
      <c r="BQ2275" s="1"/>
      <c r="BR2275" s="1" t="s">
        <v>39439</v>
      </c>
      <c r="BS2275" s="1">
        <v>29</v>
      </c>
      <c r="BT2275" s="1"/>
      <c r="BU2275" s="1" t="str">
        <f>HYPERLINK("https://nconnect.nicmar.ac.in/storage/profile/ProfilePhoto_P25704033_491638.jpg","Download")</f>
        <v>0</v>
      </c>
      <c r="BV2275" s="3"/>
      <c r="BW2275" s="3"/>
    </row>
    <row r="2276" spans="1:75">
      <c r="A2276" s="1" t="s">
        <v>35379</v>
      </c>
      <c r="B2276" s="1" t="s">
        <v>446</v>
      </c>
      <c r="C2276" s="1" t="s">
        <v>39440</v>
      </c>
      <c r="D2276" s="1" t="s">
        <v>39441</v>
      </c>
      <c r="E2276" s="1" t="s">
        <v>39442</v>
      </c>
      <c r="F2276" s="1" t="s">
        <v>39443</v>
      </c>
      <c r="G2276" s="1" t="s">
        <v>39444</v>
      </c>
      <c r="H2276" s="1" t="s">
        <v>39445</v>
      </c>
      <c r="I2276" s="1" t="s">
        <v>39446</v>
      </c>
      <c r="J2276" s="1">
        <v>9730746349</v>
      </c>
      <c r="K2276" s="1" t="s">
        <v>153</v>
      </c>
      <c r="L2276" s="1" t="s">
        <v>39447</v>
      </c>
      <c r="M2276" s="1" t="s">
        <v>86</v>
      </c>
      <c r="N2276" s="1" t="s">
        <v>1163</v>
      </c>
      <c r="O2276" s="1"/>
      <c r="P2276" s="1" t="s">
        <v>455</v>
      </c>
      <c r="Q2276" s="1" t="s">
        <v>39448</v>
      </c>
      <c r="R2276" s="1" t="s">
        <v>39449</v>
      </c>
      <c r="S2276" s="1">
        <v>9561522155</v>
      </c>
      <c r="T2276" s="1" t="s">
        <v>39450</v>
      </c>
      <c r="U2276" s="1" t="s">
        <v>39451</v>
      </c>
      <c r="V2276" s="1">
        <v>8390276010</v>
      </c>
      <c r="W2276" s="1" t="s">
        <v>94</v>
      </c>
      <c r="X2276" s="1" t="s">
        <v>39452</v>
      </c>
      <c r="Y2276" s="1" t="s">
        <v>5584</v>
      </c>
      <c r="Z2276" s="1" t="s">
        <v>97</v>
      </c>
      <c r="AA2276" s="1" t="s">
        <v>39452</v>
      </c>
      <c r="AB2276" s="1" t="s">
        <v>5584</v>
      </c>
      <c r="AC2276" s="1" t="s">
        <v>97</v>
      </c>
      <c r="AD2276" s="1">
        <v>10.0</v>
      </c>
      <c r="AE2276" s="1" t="s">
        <v>98</v>
      </c>
      <c r="AF2276" s="1" t="s">
        <v>39453</v>
      </c>
      <c r="AG2276" s="1" t="s">
        <v>165</v>
      </c>
      <c r="AH2276" s="1" t="s">
        <v>166</v>
      </c>
      <c r="AI2276" s="1" t="s">
        <v>573</v>
      </c>
      <c r="AJ2276" s="1">
        <v>89.6</v>
      </c>
      <c r="AK2276" s="1">
        <v>0</v>
      </c>
      <c r="AL2276" s="1" t="s">
        <v>39454</v>
      </c>
      <c r="AM2276" s="1" t="s">
        <v>165</v>
      </c>
      <c r="AN2276" s="1" t="s">
        <v>575</v>
      </c>
      <c r="AO2276" s="1" t="s">
        <v>170</v>
      </c>
      <c r="AP2276" s="1" t="s">
        <v>203</v>
      </c>
      <c r="AQ2276" s="1">
        <v>75.38</v>
      </c>
      <c r="AR2276" s="1">
        <v>0</v>
      </c>
      <c r="AS2276" s="1"/>
      <c r="AT2276" s="1"/>
      <c r="AU2276" s="1"/>
      <c r="AV2276" s="1"/>
      <c r="AW2276" s="1"/>
      <c r="AX2276" s="1"/>
      <c r="AY2276" s="1" t="s">
        <v>366</v>
      </c>
      <c r="AZ2276" s="1" t="s">
        <v>39455</v>
      </c>
      <c r="BA2276" s="1" t="s">
        <v>682</v>
      </c>
      <c r="BB2276" s="1" t="s">
        <v>683</v>
      </c>
      <c r="BC2276" s="1" t="s">
        <v>368</v>
      </c>
      <c r="BD2276" s="1" t="s">
        <v>607</v>
      </c>
      <c r="BE2276" s="1">
        <v>78.68</v>
      </c>
      <c r="BF2276" s="1">
        <v>8.64</v>
      </c>
      <c r="BG2276" s="1"/>
      <c r="BH2276" s="1"/>
      <c r="BI2276" s="1"/>
      <c r="BJ2276" s="1"/>
      <c r="BK2276" s="1"/>
      <c r="BL2276" s="1"/>
      <c r="BM2276" s="1"/>
      <c r="BN2276" s="1"/>
      <c r="BO2276" s="1" t="s">
        <v>39456</v>
      </c>
      <c r="BP2276" s="1"/>
      <c r="BQ2276" s="1"/>
      <c r="BR2276" s="1" t="s">
        <v>39457</v>
      </c>
      <c r="BS2276" s="1">
        <v>29</v>
      </c>
      <c r="BT2276" s="1" t="s">
        <v>39458</v>
      </c>
      <c r="BU2276" s="1" t="str">
        <f>HYPERLINK("https://nconnect.nicmar.ac.in/storage/profile/ProfilePhoto_P25704034_924785.jpg","Download")</f>
        <v>0</v>
      </c>
      <c r="BV2276" s="3"/>
      <c r="BW2276" s="3"/>
    </row>
    <row r="2277" spans="1:75">
      <c r="A2277" s="1" t="s">
        <v>35379</v>
      </c>
      <c r="B2277" s="1" t="s">
        <v>446</v>
      </c>
      <c r="C2277" s="1" t="s">
        <v>39459</v>
      </c>
      <c r="D2277" s="1" t="s">
        <v>6946</v>
      </c>
      <c r="E2277" s="1" t="s">
        <v>2447</v>
      </c>
      <c r="F2277" s="1" t="s">
        <v>39460</v>
      </c>
      <c r="G2277" s="1" t="s">
        <v>39461</v>
      </c>
      <c r="H2277" s="1" t="s">
        <v>39462</v>
      </c>
      <c r="I2277" s="1" t="s">
        <v>39463</v>
      </c>
      <c r="J2277" s="1">
        <v>7719001252</v>
      </c>
      <c r="K2277" s="1" t="s">
        <v>84</v>
      </c>
      <c r="L2277" s="1" t="s">
        <v>9239</v>
      </c>
      <c r="M2277" s="1" t="s">
        <v>86</v>
      </c>
      <c r="N2277" s="1" t="s">
        <v>3568</v>
      </c>
      <c r="O2277" s="1"/>
      <c r="P2277" s="1" t="s">
        <v>481</v>
      </c>
      <c r="Q2277" s="1" t="s">
        <v>39464</v>
      </c>
      <c r="R2277" s="1" t="s">
        <v>39465</v>
      </c>
      <c r="S2277" s="1">
        <v>9011333951</v>
      </c>
      <c r="T2277" s="1" t="s">
        <v>159</v>
      </c>
      <c r="U2277" s="1" t="s">
        <v>39466</v>
      </c>
      <c r="V2277" s="1">
        <v>9172429639</v>
      </c>
      <c r="W2277" s="1" t="s">
        <v>94</v>
      </c>
      <c r="X2277" s="1" t="s">
        <v>39467</v>
      </c>
      <c r="Y2277" s="1" t="s">
        <v>196</v>
      </c>
      <c r="Z2277" s="1" t="s">
        <v>97</v>
      </c>
      <c r="AA2277" s="1" t="s">
        <v>39467</v>
      </c>
      <c r="AB2277" s="1" t="s">
        <v>196</v>
      </c>
      <c r="AC2277" s="1" t="s">
        <v>97</v>
      </c>
      <c r="AD2277" s="1">
        <v>10.0</v>
      </c>
      <c r="AE2277" s="1" t="s">
        <v>98</v>
      </c>
      <c r="AF2277" s="1" t="s">
        <v>39468</v>
      </c>
      <c r="AG2277" s="1" t="s">
        <v>39469</v>
      </c>
      <c r="AH2277" s="1" t="s">
        <v>166</v>
      </c>
      <c r="AI2277" s="1" t="s">
        <v>1111</v>
      </c>
      <c r="AJ2277" s="1">
        <v>89</v>
      </c>
      <c r="AK2277" s="1">
        <v>0</v>
      </c>
      <c r="AL2277" s="1" t="s">
        <v>39470</v>
      </c>
      <c r="AM2277" s="1" t="s">
        <v>39469</v>
      </c>
      <c r="AN2277" s="1" t="s">
        <v>575</v>
      </c>
      <c r="AO2277" s="1" t="s">
        <v>170</v>
      </c>
      <c r="AP2277" s="1" t="s">
        <v>1477</v>
      </c>
      <c r="AQ2277" s="1">
        <v>63.23</v>
      </c>
      <c r="AR2277" s="1">
        <v>0</v>
      </c>
      <c r="AS2277" s="1"/>
      <c r="AT2277" s="1"/>
      <c r="AU2277" s="1"/>
      <c r="AV2277" s="1"/>
      <c r="AW2277" s="1"/>
      <c r="AX2277" s="1"/>
      <c r="AY2277" s="1" t="s">
        <v>366</v>
      </c>
      <c r="AZ2277" s="1" t="s">
        <v>39455</v>
      </c>
      <c r="BA2277" s="1" t="s">
        <v>682</v>
      </c>
      <c r="BB2277" s="1" t="s">
        <v>683</v>
      </c>
      <c r="BC2277" s="1" t="s">
        <v>315</v>
      </c>
      <c r="BD2277" s="1" t="s">
        <v>1314</v>
      </c>
      <c r="BE2277" s="1">
        <v>68.8</v>
      </c>
      <c r="BF2277" s="1">
        <v>7.63</v>
      </c>
      <c r="BG2277" s="1"/>
      <c r="BH2277" s="1"/>
      <c r="BI2277" s="1"/>
      <c r="BJ2277" s="1"/>
      <c r="BK2277" s="1"/>
      <c r="BL2277" s="1"/>
      <c r="BM2277" s="1"/>
      <c r="BN2277" s="1"/>
      <c r="BO2277" s="1" t="s">
        <v>39471</v>
      </c>
      <c r="BP2277" s="1" t="s">
        <v>39472</v>
      </c>
      <c r="BQ2277" s="1" t="s">
        <v>4149</v>
      </c>
      <c r="BR2277" s="1" t="s">
        <v>39473</v>
      </c>
      <c r="BS2277" s="1">
        <v>27</v>
      </c>
      <c r="BT2277" s="1" t="s">
        <v>39474</v>
      </c>
      <c r="BU2277" s="1" t="str">
        <f>HYPERLINK("https://nconnect.nicmar.ac.in/storage/profile/ProfilePhoto_P25704035_451867.jpg","Download")</f>
        <v>0</v>
      </c>
      <c r="BV2277" s="3"/>
      <c r="BW2277" s="3"/>
    </row>
    <row r="2278" spans="1:75">
      <c r="A2278" s="1" t="s">
        <v>35379</v>
      </c>
      <c r="B2278" s="1" t="s">
        <v>446</v>
      </c>
      <c r="C2278" s="1" t="s">
        <v>39475</v>
      </c>
      <c r="D2278" s="1" t="s">
        <v>10261</v>
      </c>
      <c r="E2278" s="1" t="s">
        <v>39476</v>
      </c>
      <c r="F2278" s="1" t="s">
        <v>39477</v>
      </c>
      <c r="G2278" s="1" t="s">
        <v>39478</v>
      </c>
      <c r="H2278" s="1" t="s">
        <v>39479</v>
      </c>
      <c r="I2278" s="1" t="s">
        <v>39480</v>
      </c>
      <c r="J2278" s="1">
        <v>8329655532</v>
      </c>
      <c r="K2278" s="1" t="s">
        <v>153</v>
      </c>
      <c r="L2278" s="1" t="s">
        <v>39481</v>
      </c>
      <c r="M2278" s="1" t="s">
        <v>86</v>
      </c>
      <c r="N2278" s="1" t="s">
        <v>2988</v>
      </c>
      <c r="O2278" s="1"/>
      <c r="P2278" s="1" t="s">
        <v>455</v>
      </c>
      <c r="Q2278" s="1" t="s">
        <v>39482</v>
      </c>
      <c r="R2278" s="1" t="s">
        <v>39483</v>
      </c>
      <c r="S2278" s="1">
        <v>9993562305</v>
      </c>
      <c r="T2278" s="1" t="s">
        <v>4776</v>
      </c>
      <c r="U2278" s="1" t="s">
        <v>39484</v>
      </c>
      <c r="V2278" s="1">
        <v>9589392305</v>
      </c>
      <c r="W2278" s="1" t="s">
        <v>278</v>
      </c>
      <c r="X2278" s="1" t="s">
        <v>39485</v>
      </c>
      <c r="Y2278" s="1" t="s">
        <v>333</v>
      </c>
      <c r="Z2278" s="1" t="s">
        <v>97</v>
      </c>
      <c r="AA2278" s="1" t="s">
        <v>39485</v>
      </c>
      <c r="AB2278" s="1" t="s">
        <v>333</v>
      </c>
      <c r="AC2278" s="1" t="s">
        <v>97</v>
      </c>
      <c r="AD2278" s="1">
        <v>8.45</v>
      </c>
      <c r="AE2278" s="1" t="s">
        <v>98</v>
      </c>
      <c r="AF2278" s="1" t="s">
        <v>11018</v>
      </c>
      <c r="AG2278" s="1" t="s">
        <v>39486</v>
      </c>
      <c r="AH2278" s="1" t="s">
        <v>167</v>
      </c>
      <c r="AI2278" s="1" t="s">
        <v>200</v>
      </c>
      <c r="AJ2278" s="1">
        <v>72.2</v>
      </c>
      <c r="AK2278" s="1">
        <v>7.6</v>
      </c>
      <c r="AL2278" s="1" t="s">
        <v>39487</v>
      </c>
      <c r="AM2278" s="1" t="s">
        <v>996</v>
      </c>
      <c r="AN2278" s="1"/>
      <c r="AO2278" s="1" t="s">
        <v>388</v>
      </c>
      <c r="AP2278" s="1" t="s">
        <v>178</v>
      </c>
      <c r="AQ2278" s="1">
        <v>68.15</v>
      </c>
      <c r="AR2278" s="1"/>
      <c r="AS2278" s="1"/>
      <c r="AT2278" s="1"/>
      <c r="AU2278" s="1"/>
      <c r="AV2278" s="1"/>
      <c r="AW2278" s="1"/>
      <c r="AX2278" s="1"/>
      <c r="AY2278" s="1" t="s">
        <v>366</v>
      </c>
      <c r="AZ2278" s="1" t="s">
        <v>39488</v>
      </c>
      <c r="BA2278" s="1"/>
      <c r="BB2278" s="1"/>
      <c r="BC2278" s="1" t="s">
        <v>368</v>
      </c>
      <c r="BD2278" s="1" t="s">
        <v>1401</v>
      </c>
      <c r="BE2278" s="1">
        <v>63.5</v>
      </c>
      <c r="BF2278" s="1"/>
      <c r="BG2278" s="1"/>
      <c r="BH2278" s="1"/>
      <c r="BI2278" s="1"/>
      <c r="BJ2278" s="1"/>
      <c r="BK2278" s="1"/>
      <c r="BL2278" s="1"/>
      <c r="BM2278" s="1"/>
      <c r="BN2278" s="1"/>
      <c r="BO2278" s="1" t="s">
        <v>39489</v>
      </c>
      <c r="BP2278" s="1"/>
      <c r="BQ2278" s="1"/>
      <c r="BR2278" s="1" t="s">
        <v>39490</v>
      </c>
      <c r="BS2278" s="1">
        <v>36</v>
      </c>
      <c r="BT2278" s="1"/>
      <c r="BU2278" s="1" t="str">
        <f>HYPERLINK("https://nconnect.nicmar.ac.in/storage/profile/ProfilePhoto_P25704036_238451.jpg","Download")</f>
        <v>0</v>
      </c>
      <c r="BV2278" s="3"/>
      <c r="BW2278" s="3"/>
    </row>
    <row r="2279" spans="1:75">
      <c r="A2279" s="1" t="s">
        <v>35379</v>
      </c>
      <c r="B2279" s="1" t="s">
        <v>446</v>
      </c>
      <c r="C2279" s="1" t="s">
        <v>39491</v>
      </c>
      <c r="D2279" s="1" t="s">
        <v>2097</v>
      </c>
      <c r="E2279" s="1" t="s">
        <v>1464</v>
      </c>
      <c r="F2279" s="1" t="s">
        <v>1179</v>
      </c>
      <c r="G2279" s="1" t="s">
        <v>39492</v>
      </c>
      <c r="H2279" s="1" t="s">
        <v>39493</v>
      </c>
      <c r="I2279" s="1" t="s">
        <v>39494</v>
      </c>
      <c r="J2279" s="1">
        <v>9594412009</v>
      </c>
      <c r="K2279" s="1" t="s">
        <v>84</v>
      </c>
      <c r="L2279" s="1" t="s">
        <v>11116</v>
      </c>
      <c r="M2279" s="1" t="s">
        <v>86</v>
      </c>
      <c r="N2279" s="1" t="s">
        <v>4652</v>
      </c>
      <c r="O2279" s="1"/>
      <c r="P2279" s="1" t="s">
        <v>507</v>
      </c>
      <c r="Q2279" s="1" t="s">
        <v>39495</v>
      </c>
      <c r="R2279" s="1" t="s">
        <v>39496</v>
      </c>
      <c r="S2279" s="1">
        <v>9594412009</v>
      </c>
      <c r="T2279" s="1" t="s">
        <v>125</v>
      </c>
      <c r="U2279" s="1" t="s">
        <v>39497</v>
      </c>
      <c r="V2279" s="1">
        <v>8425089688</v>
      </c>
      <c r="W2279" s="1" t="s">
        <v>278</v>
      </c>
      <c r="X2279" s="1" t="s">
        <v>39498</v>
      </c>
      <c r="Y2279" s="1" t="s">
        <v>1189</v>
      </c>
      <c r="Z2279" s="1" t="s">
        <v>97</v>
      </c>
      <c r="AA2279" s="1" t="s">
        <v>39498</v>
      </c>
      <c r="AB2279" s="1" t="s">
        <v>1189</v>
      </c>
      <c r="AC2279" s="1" t="s">
        <v>97</v>
      </c>
      <c r="AD2279" s="1">
        <v>7.85</v>
      </c>
      <c r="AE2279" s="1" t="s">
        <v>98</v>
      </c>
      <c r="AF2279" s="1" t="s">
        <v>39499</v>
      </c>
      <c r="AG2279" s="1" t="s">
        <v>165</v>
      </c>
      <c r="AH2279" s="1" t="s">
        <v>167</v>
      </c>
      <c r="AI2279" s="1" t="s">
        <v>200</v>
      </c>
      <c r="AJ2279" s="1">
        <v>73</v>
      </c>
      <c r="AK2279" s="1"/>
      <c r="AL2279" s="1" t="s">
        <v>39500</v>
      </c>
      <c r="AM2279" s="1" t="s">
        <v>165</v>
      </c>
      <c r="AN2279" s="1"/>
      <c r="AO2279" s="1" t="s">
        <v>170</v>
      </c>
      <c r="AP2279" s="1" t="s">
        <v>203</v>
      </c>
      <c r="AQ2279" s="1">
        <v>55.23</v>
      </c>
      <c r="AR2279" s="1"/>
      <c r="AS2279" s="1"/>
      <c r="AT2279" s="1"/>
      <c r="AU2279" s="1"/>
      <c r="AV2279" s="1"/>
      <c r="AW2279" s="1"/>
      <c r="AX2279" s="1"/>
      <c r="AY2279" s="1" t="s">
        <v>680</v>
      </c>
      <c r="AZ2279" s="1" t="s">
        <v>39501</v>
      </c>
      <c r="BA2279" s="1"/>
      <c r="BB2279" s="1"/>
      <c r="BC2279" s="1" t="s">
        <v>549</v>
      </c>
      <c r="BD2279" s="1" t="s">
        <v>553</v>
      </c>
      <c r="BE2279" s="1">
        <v>66.39</v>
      </c>
      <c r="BF2279" s="1">
        <v>7.35</v>
      </c>
      <c r="BG2279" s="1"/>
      <c r="BH2279" s="1"/>
      <c r="BI2279" s="1"/>
      <c r="BJ2279" s="1"/>
      <c r="BK2279" s="1"/>
      <c r="BL2279" s="1"/>
      <c r="BM2279" s="1"/>
      <c r="BN2279" s="1"/>
      <c r="BO2279" s="1" t="s">
        <v>39502</v>
      </c>
      <c r="BP2279" s="1"/>
      <c r="BQ2279" s="1"/>
      <c r="BR2279" s="1" t="s">
        <v>39503</v>
      </c>
      <c r="BS2279" s="1">
        <v>24</v>
      </c>
      <c r="BT2279" s="1"/>
      <c r="BU2279" s="1" t="str">
        <f>HYPERLINK("https://nconnect.nicmar.ac.in/storage/profile/ProfilePhoto_P25704038_832517.jpg","Download")</f>
        <v>0</v>
      </c>
      <c r="BV2279" s="3"/>
      <c r="BW2279" s="3"/>
    </row>
    <row r="2280" spans="1:75">
      <c r="A2280" s="1" t="s">
        <v>35379</v>
      </c>
      <c r="B2280" s="1" t="s">
        <v>13976</v>
      </c>
      <c r="C2280" s="1" t="s">
        <v>39504</v>
      </c>
      <c r="D2280" s="1"/>
      <c r="E2280" s="1"/>
      <c r="F2280" s="1"/>
      <c r="G2280" s="1"/>
      <c r="H2280" s="1" t="s">
        <v>39505</v>
      </c>
      <c r="I2280" s="1" t="s">
        <v>39505</v>
      </c>
      <c r="J2280" s="1"/>
      <c r="K2280" s="1"/>
      <c r="L2280" s="1"/>
      <c r="M2280" s="1"/>
      <c r="N2280" s="1"/>
      <c r="O2280" s="1"/>
      <c r="P2280" s="1"/>
      <c r="Q2280" s="1"/>
      <c r="R2280" s="1"/>
      <c r="S2280" s="1"/>
      <c r="T2280" s="1"/>
      <c r="U2280" s="1"/>
      <c r="V2280" s="1"/>
      <c r="W2280" s="1"/>
      <c r="X2280" s="1"/>
      <c r="Y2280" s="1"/>
      <c r="Z2280" s="1"/>
      <c r="AA2280" s="1"/>
      <c r="AB2280" s="1"/>
      <c r="AC2280" s="1"/>
      <c r="AD2280" s="1" t="s">
        <v>98</v>
      </c>
      <c r="AE2280" s="1" t="s">
        <v>98</v>
      </c>
      <c r="AF2280" s="1"/>
      <c r="AG2280" s="1"/>
      <c r="AH2280" s="1"/>
      <c r="AI2280" s="1"/>
      <c r="AJ2280" s="1"/>
      <c r="AK2280" s="1"/>
      <c r="AL2280" s="1"/>
      <c r="AM2280" s="1"/>
      <c r="AN2280" s="1"/>
      <c r="AO2280" s="1"/>
      <c r="AP2280" s="1"/>
      <c r="AQ2280" s="1"/>
      <c r="AR2280" s="1"/>
      <c r="AS2280" s="1"/>
      <c r="AT2280" s="1"/>
      <c r="AU2280" s="1"/>
      <c r="AV2280" s="1"/>
      <c r="AW2280" s="1"/>
      <c r="AX2280" s="1"/>
      <c r="AY2280" s="1"/>
      <c r="AZ2280" s="1"/>
      <c r="BA2280" s="1"/>
      <c r="BB2280" s="1"/>
      <c r="BC2280" s="1"/>
      <c r="BD2280" s="1"/>
      <c r="BE2280" s="1"/>
      <c r="BF2280" s="1"/>
      <c r="BG2280" s="1"/>
      <c r="BH2280" s="1"/>
      <c r="BI2280" s="1"/>
      <c r="BJ2280" s="1"/>
      <c r="BK2280" s="1"/>
      <c r="BL2280" s="1"/>
      <c r="BM2280" s="1"/>
      <c r="BN2280" s="1"/>
      <c r="BO2280" s="1"/>
      <c r="BP2280" s="1"/>
      <c r="BQ2280" s="1"/>
      <c r="BR2280" s="1"/>
      <c r="BS2280" s="1"/>
      <c r="BT2280" s="1"/>
      <c r="BU2280" s="1" t="s">
        <v>9653</v>
      </c>
      <c r="BV2280" s="3"/>
      <c r="BW2280" s="3"/>
    </row>
    <row r="2281" spans="1:75">
      <c r="A2281" s="1" t="s">
        <v>35379</v>
      </c>
      <c r="B2281" s="1" t="s">
        <v>13976</v>
      </c>
      <c r="C2281" s="1" t="s">
        <v>39506</v>
      </c>
      <c r="D2281" s="1" t="s">
        <v>39507</v>
      </c>
      <c r="E2281" s="1" t="s">
        <v>9660</v>
      </c>
      <c r="F2281" s="1" t="s">
        <v>14460</v>
      </c>
      <c r="G2281" s="1" t="s">
        <v>39508</v>
      </c>
      <c r="H2281" s="1" t="s">
        <v>39509</v>
      </c>
      <c r="I2281" s="1" t="s">
        <v>39509</v>
      </c>
      <c r="J2281" s="1">
        <v>8010385180</v>
      </c>
      <c r="K2281" s="1" t="s">
        <v>84</v>
      </c>
      <c r="L2281" s="1" t="s">
        <v>37438</v>
      </c>
      <c r="M2281" s="1" t="s">
        <v>86</v>
      </c>
      <c r="N2281" s="1" t="s">
        <v>39510</v>
      </c>
      <c r="O2281" s="1" t="s">
        <v>39511</v>
      </c>
      <c r="P2281" s="1" t="s">
        <v>219</v>
      </c>
      <c r="Q2281" s="1">
        <v>349422582905</v>
      </c>
      <c r="R2281" s="1" t="s">
        <v>9660</v>
      </c>
      <c r="S2281" s="1">
        <v>9096125232</v>
      </c>
      <c r="T2281" s="1" t="s">
        <v>2177</v>
      </c>
      <c r="U2281" s="1" t="s">
        <v>39512</v>
      </c>
      <c r="V2281" s="1">
        <v>7499510029</v>
      </c>
      <c r="W2281" s="1" t="s">
        <v>3441</v>
      </c>
      <c r="X2281" s="1" t="s">
        <v>39513</v>
      </c>
      <c r="Y2281" s="1" t="s">
        <v>4302</v>
      </c>
      <c r="Z2281" s="1" t="s">
        <v>97</v>
      </c>
      <c r="AA2281" s="1" t="s">
        <v>39514</v>
      </c>
      <c r="AB2281" s="1" t="s">
        <v>4302</v>
      </c>
      <c r="AC2281" s="1" t="s">
        <v>97</v>
      </c>
      <c r="AD2281" s="1" t="s">
        <v>98</v>
      </c>
      <c r="AE2281" s="1" t="s">
        <v>98</v>
      </c>
      <c r="AF2281" s="1" t="s">
        <v>39515</v>
      </c>
      <c r="AG2281" s="1" t="s">
        <v>39516</v>
      </c>
      <c r="AH2281" s="1" t="s">
        <v>166</v>
      </c>
      <c r="AI2281" s="1" t="s">
        <v>200</v>
      </c>
      <c r="AJ2281" s="1">
        <v>80.2</v>
      </c>
      <c r="AK2281" s="1">
        <v>8.44</v>
      </c>
      <c r="AL2281" s="1" t="s">
        <v>39517</v>
      </c>
      <c r="AM2281" s="1" t="s">
        <v>39516</v>
      </c>
      <c r="AN2281" s="1" t="s">
        <v>575</v>
      </c>
      <c r="AO2281" s="1" t="s">
        <v>388</v>
      </c>
      <c r="AP2281" s="1" t="s">
        <v>365</v>
      </c>
      <c r="AQ2281" s="1">
        <v>65.69</v>
      </c>
      <c r="AR2281" s="1">
        <v>6.91</v>
      </c>
      <c r="AS2281" s="1"/>
      <c r="AT2281" s="1"/>
      <c r="AU2281" s="1"/>
      <c r="AV2281" s="1"/>
      <c r="AW2281" s="1"/>
      <c r="AX2281" s="1"/>
      <c r="AY2281" s="1" t="s">
        <v>14059</v>
      </c>
      <c r="AZ2281" s="1" t="s">
        <v>39518</v>
      </c>
      <c r="BA2281" s="1" t="s">
        <v>682</v>
      </c>
      <c r="BB2281" s="1" t="s">
        <v>683</v>
      </c>
      <c r="BC2281" s="1" t="s">
        <v>233</v>
      </c>
      <c r="BD2281" s="1" t="s">
        <v>553</v>
      </c>
      <c r="BE2281" s="1">
        <v>70</v>
      </c>
      <c r="BF2281" s="1">
        <v>7.9</v>
      </c>
      <c r="BG2281" s="1"/>
      <c r="BH2281" s="1"/>
      <c r="BI2281" s="1"/>
      <c r="BJ2281" s="1"/>
      <c r="BK2281" s="1"/>
      <c r="BL2281" s="1"/>
      <c r="BM2281" s="1"/>
      <c r="BN2281" s="1"/>
      <c r="BO2281" s="1" t="s">
        <v>39519</v>
      </c>
      <c r="BP2281" s="1"/>
      <c r="BQ2281" s="1"/>
      <c r="BR2281" s="1" t="s">
        <v>39520</v>
      </c>
      <c r="BS2281" s="1">
        <v>15</v>
      </c>
      <c r="BT2281" s="1" t="s">
        <v>39521</v>
      </c>
      <c r="BU2281" s="1" t="str">
        <f>HYPERLINK("https://nconnect.nicmar.ac.in/storage/profile/6a85de918f0b2.png","Download")</f>
        <v>0</v>
      </c>
      <c r="BV2281" s="3"/>
      <c r="BW2281" s="3"/>
    </row>
    <row r="2282" spans="1:75">
      <c r="A2282" s="1" t="s">
        <v>35379</v>
      </c>
      <c r="B2282" s="1" t="s">
        <v>13976</v>
      </c>
      <c r="C2282" s="1" t="s">
        <v>39522</v>
      </c>
      <c r="D2282" s="1" t="s">
        <v>39523</v>
      </c>
      <c r="E2282" s="1" t="s">
        <v>39524</v>
      </c>
      <c r="F2282" s="1" t="s">
        <v>17492</v>
      </c>
      <c r="G2282" s="1" t="s">
        <v>39525</v>
      </c>
      <c r="H2282" s="1" t="s">
        <v>39526</v>
      </c>
      <c r="I2282" s="1" t="s">
        <v>39527</v>
      </c>
      <c r="J2282" s="1">
        <v>9156565971</v>
      </c>
      <c r="K2282" s="1" t="s">
        <v>153</v>
      </c>
      <c r="L2282" s="1" t="s">
        <v>8995</v>
      </c>
      <c r="M2282" s="1" t="s">
        <v>86</v>
      </c>
      <c r="N2282" s="1" t="s">
        <v>39528</v>
      </c>
      <c r="O2282" s="1" t="s">
        <v>39529</v>
      </c>
      <c r="P2282" s="1" t="s">
        <v>122</v>
      </c>
      <c r="Q2282" s="1" t="s">
        <v>39530</v>
      </c>
      <c r="R2282" s="1" t="s">
        <v>39531</v>
      </c>
      <c r="S2282" s="1">
        <v>9422752431</v>
      </c>
      <c r="T2282" s="1" t="s">
        <v>2177</v>
      </c>
      <c r="U2282" s="1" t="s">
        <v>39532</v>
      </c>
      <c r="V2282" s="1">
        <v>9403258678</v>
      </c>
      <c r="W2282" s="1" t="s">
        <v>2177</v>
      </c>
      <c r="X2282" s="1" t="s">
        <v>39533</v>
      </c>
      <c r="Y2282" s="1" t="s">
        <v>910</v>
      </c>
      <c r="Z2282" s="1" t="s">
        <v>97</v>
      </c>
      <c r="AA2282" s="1" t="s">
        <v>39533</v>
      </c>
      <c r="AB2282" s="1" t="s">
        <v>910</v>
      </c>
      <c r="AC2282" s="1" t="s">
        <v>97</v>
      </c>
      <c r="AD2282" s="1" t="s">
        <v>98</v>
      </c>
      <c r="AE2282" s="1" t="s">
        <v>98</v>
      </c>
      <c r="AF2282" s="1" t="s">
        <v>39534</v>
      </c>
      <c r="AG2282" s="1" t="s">
        <v>39535</v>
      </c>
      <c r="AH2282" s="1" t="s">
        <v>1111</v>
      </c>
      <c r="AI2282" s="1" t="s">
        <v>200</v>
      </c>
      <c r="AJ2282" s="1">
        <v>91.2</v>
      </c>
      <c r="AK2282" s="1"/>
      <c r="AL2282" s="1" t="s">
        <v>39536</v>
      </c>
      <c r="AM2282" s="1" t="s">
        <v>39537</v>
      </c>
      <c r="AN2282" s="1" t="s">
        <v>465</v>
      </c>
      <c r="AO2282" s="1" t="s">
        <v>170</v>
      </c>
      <c r="AP2282" s="1" t="s">
        <v>203</v>
      </c>
      <c r="AQ2282" s="1">
        <v>75.23</v>
      </c>
      <c r="AR2282" s="1"/>
      <c r="AS2282" s="1"/>
      <c r="AT2282" s="1"/>
      <c r="AU2282" s="1"/>
      <c r="AV2282" s="1"/>
      <c r="AW2282" s="1"/>
      <c r="AX2282" s="1"/>
      <c r="AY2282" s="1" t="s">
        <v>39538</v>
      </c>
      <c r="AZ2282" s="1" t="s">
        <v>39539</v>
      </c>
      <c r="BA2282" s="1" t="s">
        <v>682</v>
      </c>
      <c r="BB2282" s="1" t="s">
        <v>683</v>
      </c>
      <c r="BC2282" s="1" t="s">
        <v>315</v>
      </c>
      <c r="BD2282" s="1" t="s">
        <v>418</v>
      </c>
      <c r="BE2282" s="1">
        <v>78.37</v>
      </c>
      <c r="BF2282" s="1">
        <v>8.25</v>
      </c>
      <c r="BG2282" s="1"/>
      <c r="BH2282" s="1"/>
      <c r="BI2282" s="1"/>
      <c r="BJ2282" s="1"/>
      <c r="BK2282" s="1"/>
      <c r="BL2282" s="1"/>
      <c r="BM2282" s="1"/>
      <c r="BN2282" s="1"/>
      <c r="BO2282" s="1" t="s">
        <v>39540</v>
      </c>
      <c r="BP2282" s="1" t="s">
        <v>39541</v>
      </c>
      <c r="BQ2282" s="1" t="s">
        <v>292</v>
      </c>
      <c r="BR2282" s="1" t="s">
        <v>39542</v>
      </c>
      <c r="BS2282" s="1">
        <v>43</v>
      </c>
      <c r="BT2282" s="1" t="s">
        <v>39543</v>
      </c>
      <c r="BU2282" s="1" t="str">
        <f>HYPERLINK("https://nconnect.nicmar.ac.in/storage/profile/6a85c11d37681.png","Download")</f>
        <v>0</v>
      </c>
      <c r="BV2282" s="3"/>
      <c r="BW2282" s="3"/>
    </row>
    <row r="2283" spans="1:75">
      <c r="A2283" s="1" t="s">
        <v>35379</v>
      </c>
      <c r="B2283" s="1" t="s">
        <v>13976</v>
      </c>
      <c r="C2283" s="1" t="s">
        <v>39544</v>
      </c>
      <c r="D2283" s="1" t="s">
        <v>17090</v>
      </c>
      <c r="E2283" s="1" t="s">
        <v>15919</v>
      </c>
      <c r="F2283" s="1" t="s">
        <v>14460</v>
      </c>
      <c r="G2283" s="1" t="s">
        <v>39545</v>
      </c>
      <c r="H2283" s="1" t="s">
        <v>39546</v>
      </c>
      <c r="I2283" s="1" t="s">
        <v>39547</v>
      </c>
      <c r="J2283" s="1">
        <v>9119599191</v>
      </c>
      <c r="K2283" s="1" t="s">
        <v>84</v>
      </c>
      <c r="L2283" s="1" t="s">
        <v>39548</v>
      </c>
      <c r="M2283" s="1" t="s">
        <v>86</v>
      </c>
      <c r="N2283" s="1" t="s">
        <v>39549</v>
      </c>
      <c r="O2283" s="1" t="s">
        <v>39550</v>
      </c>
      <c r="P2283" s="1" t="s">
        <v>122</v>
      </c>
      <c r="Q2283" s="1">
        <v>791772725650</v>
      </c>
      <c r="R2283" s="1" t="s">
        <v>15919</v>
      </c>
      <c r="S2283" s="1">
        <v>7263954949</v>
      </c>
      <c r="T2283" s="1" t="s">
        <v>39551</v>
      </c>
      <c r="U2283" s="1" t="s">
        <v>39552</v>
      </c>
      <c r="V2283" s="1">
        <v>8275869002</v>
      </c>
      <c r="W2283" s="1" t="s">
        <v>14154</v>
      </c>
      <c r="X2283" s="1" t="s">
        <v>39553</v>
      </c>
      <c r="Y2283" s="1" t="s">
        <v>1989</v>
      </c>
      <c r="Z2283" s="1" t="s">
        <v>97</v>
      </c>
      <c r="AA2283" s="1" t="s">
        <v>39553</v>
      </c>
      <c r="AB2283" s="1" t="s">
        <v>1989</v>
      </c>
      <c r="AC2283" s="1" t="s">
        <v>97</v>
      </c>
      <c r="AD2283" s="1" t="s">
        <v>98</v>
      </c>
      <c r="AE2283" s="1" t="s">
        <v>98</v>
      </c>
      <c r="AF2283" s="1" t="s">
        <v>39554</v>
      </c>
      <c r="AG2283" s="1" t="s">
        <v>39555</v>
      </c>
      <c r="AH2283" s="1" t="s">
        <v>106</v>
      </c>
      <c r="AI2283" s="1" t="s">
        <v>414</v>
      </c>
      <c r="AJ2283" s="1">
        <v>67.2</v>
      </c>
      <c r="AK2283" s="1"/>
      <c r="AL2283" s="1" t="s">
        <v>39556</v>
      </c>
      <c r="AM2283" s="1" t="s">
        <v>39557</v>
      </c>
      <c r="AN2283" s="1" t="s">
        <v>575</v>
      </c>
      <c r="AO2283" s="1" t="s">
        <v>468</v>
      </c>
      <c r="AP2283" s="1" t="s">
        <v>1171</v>
      </c>
      <c r="AQ2283" s="1">
        <v>72.33</v>
      </c>
      <c r="AR2283" s="1"/>
      <c r="AS2283" s="1"/>
      <c r="AT2283" s="1"/>
      <c r="AU2283" s="1"/>
      <c r="AV2283" s="1"/>
      <c r="AW2283" s="1"/>
      <c r="AX2283" s="1"/>
      <c r="AY2283" s="1" t="s">
        <v>39558</v>
      </c>
      <c r="AZ2283" s="1" t="s">
        <v>39559</v>
      </c>
      <c r="BA2283" s="1" t="s">
        <v>682</v>
      </c>
      <c r="BB2283" s="1" t="s">
        <v>1561</v>
      </c>
      <c r="BC2283" s="1" t="s">
        <v>552</v>
      </c>
      <c r="BD2283" s="1" t="s">
        <v>14083</v>
      </c>
      <c r="BE2283" s="1">
        <v>65.21</v>
      </c>
      <c r="BF2283" s="1">
        <v>7.36</v>
      </c>
      <c r="BG2283" s="1"/>
      <c r="BH2283" s="1"/>
      <c r="BI2283" s="1"/>
      <c r="BJ2283" s="1"/>
      <c r="BK2283" s="1"/>
      <c r="BL2283" s="1"/>
      <c r="BM2283" s="1"/>
      <c r="BN2283" s="1"/>
      <c r="BO2283" s="1" t="s">
        <v>39560</v>
      </c>
      <c r="BP2283" s="1"/>
      <c r="BQ2283" s="1"/>
      <c r="BR2283" s="1" t="s">
        <v>39561</v>
      </c>
      <c r="BS2283" s="1">
        <v>30</v>
      </c>
      <c r="BT2283" s="1"/>
      <c r="BU2283" s="1" t="str">
        <f>HYPERLINK("https://nconnect.nicmar.ac.in/storage/profile/6a8db2c80cc86.png","Download")</f>
        <v>0</v>
      </c>
      <c r="BV2283" s="3"/>
      <c r="BW2283" s="3"/>
    </row>
    <row r="2284" spans="1:75">
      <c r="A2284" s="1" t="s">
        <v>35379</v>
      </c>
      <c r="B2284" s="1" t="s">
        <v>13976</v>
      </c>
      <c r="C2284" s="1" t="s">
        <v>39562</v>
      </c>
      <c r="D2284" s="1" t="s">
        <v>17605</v>
      </c>
      <c r="E2284" s="1" t="s">
        <v>15043</v>
      </c>
      <c r="F2284" s="1" t="s">
        <v>39563</v>
      </c>
      <c r="G2284" s="1" t="s">
        <v>39564</v>
      </c>
      <c r="H2284" s="1" t="s">
        <v>39565</v>
      </c>
      <c r="I2284" s="1" t="s">
        <v>39565</v>
      </c>
      <c r="J2284" s="1">
        <v>9689036802</v>
      </c>
      <c r="K2284" s="1" t="s">
        <v>153</v>
      </c>
      <c r="L2284" s="1" t="s">
        <v>39566</v>
      </c>
      <c r="M2284" s="1" t="s">
        <v>86</v>
      </c>
      <c r="N2284" s="1" t="s">
        <v>39567</v>
      </c>
      <c r="O2284" s="1" t="s">
        <v>39568</v>
      </c>
      <c r="P2284" s="1" t="s">
        <v>89</v>
      </c>
      <c r="Q2284" s="1">
        <v>945303780276</v>
      </c>
      <c r="R2284" s="1" t="s">
        <v>15036</v>
      </c>
      <c r="S2284" s="1">
        <v>7387495802</v>
      </c>
      <c r="T2284" s="1" t="s">
        <v>3439</v>
      </c>
      <c r="U2284" s="1" t="s">
        <v>23211</v>
      </c>
      <c r="V2284" s="1">
        <v>7387495802</v>
      </c>
      <c r="W2284" s="1" t="s">
        <v>39569</v>
      </c>
      <c r="X2284" s="1" t="s">
        <v>39570</v>
      </c>
      <c r="Y2284" s="1" t="s">
        <v>410</v>
      </c>
      <c r="Z2284" s="1" t="s">
        <v>97</v>
      </c>
      <c r="AA2284" s="1" t="s">
        <v>39570</v>
      </c>
      <c r="AB2284" s="1" t="s">
        <v>410</v>
      </c>
      <c r="AC2284" s="1" t="s">
        <v>97</v>
      </c>
      <c r="AD2284" s="1" t="s">
        <v>98</v>
      </c>
      <c r="AE2284" s="1" t="s">
        <v>98</v>
      </c>
      <c r="AF2284" s="1" t="s">
        <v>39571</v>
      </c>
      <c r="AG2284" s="1" t="s">
        <v>39572</v>
      </c>
      <c r="AH2284" s="1" t="s">
        <v>1396</v>
      </c>
      <c r="AI2284" s="1" t="s">
        <v>704</v>
      </c>
      <c r="AJ2284" s="1">
        <v>72</v>
      </c>
      <c r="AK2284" s="1"/>
      <c r="AL2284" s="1" t="s">
        <v>39573</v>
      </c>
      <c r="AM2284" s="1" t="s">
        <v>97</v>
      </c>
      <c r="AN2284" s="1" t="s">
        <v>575</v>
      </c>
      <c r="AO2284" s="1" t="s">
        <v>174</v>
      </c>
      <c r="AP2284" s="1" t="s">
        <v>547</v>
      </c>
      <c r="AQ2284" s="1">
        <v>53.69</v>
      </c>
      <c r="AR2284" s="1"/>
      <c r="AS2284" s="1" t="s">
        <v>20683</v>
      </c>
      <c r="AT2284" s="1" t="s">
        <v>39574</v>
      </c>
      <c r="AU2284" s="1" t="s">
        <v>315</v>
      </c>
      <c r="AV2284" s="1" t="s">
        <v>521</v>
      </c>
      <c r="AW2284" s="1">
        <v>76</v>
      </c>
      <c r="AX2284" s="1"/>
      <c r="AY2284" s="1" t="s">
        <v>17010</v>
      </c>
      <c r="AZ2284" s="1" t="s">
        <v>97</v>
      </c>
      <c r="BA2284" s="1" t="s">
        <v>578</v>
      </c>
      <c r="BB2284" s="1" t="s">
        <v>467</v>
      </c>
      <c r="BC2284" s="1" t="s">
        <v>1400</v>
      </c>
      <c r="BD2284" s="1" t="s">
        <v>1401</v>
      </c>
      <c r="BE2284" s="1">
        <v>60.31</v>
      </c>
      <c r="BF2284" s="1"/>
      <c r="BG2284" s="1"/>
      <c r="BH2284" s="1"/>
      <c r="BI2284" s="1"/>
      <c r="BJ2284" s="1"/>
      <c r="BK2284" s="1"/>
      <c r="BL2284" s="1"/>
      <c r="BM2284" s="1"/>
      <c r="BN2284" s="1"/>
      <c r="BO2284" s="1" t="s">
        <v>39575</v>
      </c>
      <c r="BP2284" s="1" t="s">
        <v>39576</v>
      </c>
      <c r="BQ2284" s="1" t="s">
        <v>658</v>
      </c>
      <c r="BR2284" s="1"/>
      <c r="BS2284" s="1"/>
      <c r="BT2284" s="1"/>
      <c r="BU2284" s="1" t="str">
        <f>HYPERLINK("https://nconnect.nicmar.ac.in/storage/profile/6a8708f4011cb.png","Download")</f>
        <v>0</v>
      </c>
      <c r="BV2284" s="3"/>
      <c r="BW2284" s="3"/>
    </row>
    <row r="2285" spans="1:75">
      <c r="A2285" s="1" t="s">
        <v>35379</v>
      </c>
      <c r="B2285" s="1" t="s">
        <v>13976</v>
      </c>
      <c r="C2285" s="1" t="s">
        <v>39577</v>
      </c>
      <c r="D2285" s="1" t="s">
        <v>39578</v>
      </c>
      <c r="E2285" s="1" t="s">
        <v>39579</v>
      </c>
      <c r="F2285" s="1" t="s">
        <v>39580</v>
      </c>
      <c r="G2285" s="1" t="s">
        <v>39581</v>
      </c>
      <c r="H2285" s="1" t="s">
        <v>39582</v>
      </c>
      <c r="I2285" s="1" t="s">
        <v>39583</v>
      </c>
      <c r="J2285" s="1">
        <v>9284976800</v>
      </c>
      <c r="K2285" s="1" t="s">
        <v>153</v>
      </c>
      <c r="L2285" s="1" t="s">
        <v>19502</v>
      </c>
      <c r="M2285" s="1" t="s">
        <v>86</v>
      </c>
      <c r="N2285" s="1" t="s">
        <v>19986</v>
      </c>
      <c r="O2285" s="1" t="s">
        <v>39584</v>
      </c>
      <c r="P2285" s="1" t="s">
        <v>356</v>
      </c>
      <c r="Q2285" s="1">
        <v>860752695629</v>
      </c>
      <c r="R2285" s="1" t="s">
        <v>39579</v>
      </c>
      <c r="S2285" s="1">
        <v>7757859900</v>
      </c>
      <c r="T2285" s="1" t="s">
        <v>13987</v>
      </c>
      <c r="U2285" s="1" t="s">
        <v>39585</v>
      </c>
      <c r="V2285" s="1">
        <v>7391817144</v>
      </c>
      <c r="W2285" s="1" t="s">
        <v>19327</v>
      </c>
      <c r="X2285" s="1" t="s">
        <v>39586</v>
      </c>
      <c r="Y2285" s="1" t="s">
        <v>196</v>
      </c>
      <c r="Z2285" s="1" t="s">
        <v>97</v>
      </c>
      <c r="AA2285" s="1" t="s">
        <v>39586</v>
      </c>
      <c r="AB2285" s="1" t="s">
        <v>196</v>
      </c>
      <c r="AC2285" s="1" t="s">
        <v>97</v>
      </c>
      <c r="AD2285" s="1" t="s">
        <v>98</v>
      </c>
      <c r="AE2285" s="1" t="s">
        <v>98</v>
      </c>
      <c r="AF2285" s="1"/>
      <c r="AG2285" s="1"/>
      <c r="AH2285" s="1"/>
      <c r="AI2285" s="1"/>
      <c r="AJ2285" s="1"/>
      <c r="AK2285" s="1"/>
      <c r="AL2285" s="1"/>
      <c r="AM2285" s="1"/>
      <c r="AN2285" s="1"/>
      <c r="AO2285" s="1"/>
      <c r="AP2285" s="1"/>
      <c r="AQ2285" s="1"/>
      <c r="AR2285" s="1"/>
      <c r="AS2285" s="1"/>
      <c r="AT2285" s="1"/>
      <c r="AU2285" s="1"/>
      <c r="AV2285" s="1"/>
      <c r="AW2285" s="1"/>
      <c r="AX2285" s="1"/>
      <c r="AY2285" s="1"/>
      <c r="AZ2285" s="1"/>
      <c r="BA2285" s="1"/>
      <c r="BB2285" s="1"/>
      <c r="BC2285" s="1"/>
      <c r="BD2285" s="1"/>
      <c r="BE2285" s="1"/>
      <c r="BF2285" s="1"/>
      <c r="BG2285" s="1"/>
      <c r="BH2285" s="1"/>
      <c r="BI2285" s="1"/>
      <c r="BJ2285" s="1"/>
      <c r="BK2285" s="1"/>
      <c r="BL2285" s="1"/>
      <c r="BM2285" s="1"/>
      <c r="BN2285" s="1"/>
      <c r="BO2285" s="1"/>
      <c r="BP2285" s="1"/>
      <c r="BQ2285" s="1"/>
      <c r="BR2285" s="1"/>
      <c r="BS2285" s="1"/>
      <c r="BT2285" s="1"/>
      <c r="BU2285" s="1" t="str">
        <f>HYPERLINK("https://nconnect.nicmar.ac.in/storage/profile/6a8bee1ac0d39.png","Download")</f>
        <v>0</v>
      </c>
      <c r="BV2285" s="3"/>
      <c r="BW2285" s="3"/>
    </row>
    <row r="2286" spans="1:75">
      <c r="A2286" s="1" t="s">
        <v>35379</v>
      </c>
      <c r="B2286" s="1" t="s">
        <v>13976</v>
      </c>
      <c r="C2286" s="1" t="s">
        <v>39587</v>
      </c>
      <c r="D2286" s="1"/>
      <c r="E2286" s="1"/>
      <c r="F2286" s="1"/>
      <c r="G2286" s="1"/>
      <c r="H2286" s="1" t="s">
        <v>39588</v>
      </c>
      <c r="I2286" s="1" t="s">
        <v>39588</v>
      </c>
      <c r="J2286" s="1"/>
      <c r="K2286" s="1"/>
      <c r="L2286" s="1"/>
      <c r="M2286" s="1"/>
      <c r="N2286" s="1"/>
      <c r="O2286" s="1"/>
      <c r="P2286" s="1"/>
      <c r="Q2286" s="1"/>
      <c r="R2286" s="1"/>
      <c r="S2286" s="1"/>
      <c r="T2286" s="1"/>
      <c r="U2286" s="1"/>
      <c r="V2286" s="1"/>
      <c r="W2286" s="1"/>
      <c r="X2286" s="1"/>
      <c r="Y2286" s="1"/>
      <c r="Z2286" s="1"/>
      <c r="AA2286" s="1"/>
      <c r="AB2286" s="1"/>
      <c r="AC2286" s="1"/>
      <c r="AD2286" s="1" t="s">
        <v>98</v>
      </c>
      <c r="AE2286" s="1" t="s">
        <v>98</v>
      </c>
      <c r="AF2286" s="1"/>
      <c r="AG2286" s="1"/>
      <c r="AH2286" s="1"/>
      <c r="AI2286" s="1"/>
      <c r="AJ2286" s="1"/>
      <c r="AK2286" s="1"/>
      <c r="AL2286" s="1"/>
      <c r="AM2286" s="1"/>
      <c r="AN2286" s="1"/>
      <c r="AO2286" s="1"/>
      <c r="AP2286" s="1"/>
      <c r="AQ2286" s="1"/>
      <c r="AR2286" s="1"/>
      <c r="AS2286" s="1"/>
      <c r="AT2286" s="1"/>
      <c r="AU2286" s="1"/>
      <c r="AV2286" s="1"/>
      <c r="AW2286" s="1"/>
      <c r="AX2286" s="1"/>
      <c r="AY2286" s="1"/>
      <c r="AZ2286" s="1"/>
      <c r="BA2286" s="1"/>
      <c r="BB2286" s="1"/>
      <c r="BC2286" s="1"/>
      <c r="BD2286" s="1"/>
      <c r="BE2286" s="1"/>
      <c r="BF2286" s="1"/>
      <c r="BG2286" s="1"/>
      <c r="BH2286" s="1"/>
      <c r="BI2286" s="1"/>
      <c r="BJ2286" s="1"/>
      <c r="BK2286" s="1"/>
      <c r="BL2286" s="1"/>
      <c r="BM2286" s="1"/>
      <c r="BN2286" s="1"/>
      <c r="BO2286" s="1"/>
      <c r="BP2286" s="1"/>
      <c r="BQ2286" s="1"/>
      <c r="BR2286" s="1"/>
      <c r="BS2286" s="1"/>
      <c r="BT2286" s="1"/>
      <c r="BU2286" s="1" t="s">
        <v>9653</v>
      </c>
      <c r="BV2286" s="3"/>
      <c r="BW2286" s="3"/>
    </row>
    <row r="2287" spans="1:75">
      <c r="A2287" s="1" t="s">
        <v>35379</v>
      </c>
      <c r="B2287" s="1" t="s">
        <v>13976</v>
      </c>
      <c r="C2287" s="1" t="s">
        <v>39589</v>
      </c>
      <c r="D2287" s="1" t="s">
        <v>8324</v>
      </c>
      <c r="E2287" s="1" t="s">
        <v>7638</v>
      </c>
      <c r="F2287" s="1" t="s">
        <v>9202</v>
      </c>
      <c r="G2287" s="1" t="s">
        <v>39590</v>
      </c>
      <c r="H2287" s="1" t="s">
        <v>39591</v>
      </c>
      <c r="I2287" s="1" t="s">
        <v>39592</v>
      </c>
      <c r="J2287" s="1">
        <v>7420033156</v>
      </c>
      <c r="K2287" s="1" t="s">
        <v>153</v>
      </c>
      <c r="L2287" s="1" t="s">
        <v>11790</v>
      </c>
      <c r="M2287" s="1" t="s">
        <v>86</v>
      </c>
      <c r="N2287" s="1" t="s">
        <v>14740</v>
      </c>
      <c r="O2287" s="1" t="s">
        <v>39593</v>
      </c>
      <c r="P2287" s="1" t="s">
        <v>122</v>
      </c>
      <c r="Q2287" s="1" t="s">
        <v>39594</v>
      </c>
      <c r="R2287" s="1" t="s">
        <v>39595</v>
      </c>
      <c r="S2287" s="1">
        <v>9975272727</v>
      </c>
      <c r="T2287" s="1" t="s">
        <v>771</v>
      </c>
      <c r="U2287" s="1" t="s">
        <v>39596</v>
      </c>
      <c r="V2287" s="1">
        <v>9890923427</v>
      </c>
      <c r="W2287" s="1" t="s">
        <v>39597</v>
      </c>
      <c r="X2287" s="1" t="s">
        <v>39598</v>
      </c>
      <c r="Y2287" s="1" t="s">
        <v>196</v>
      </c>
      <c r="Z2287" s="1" t="s">
        <v>97</v>
      </c>
      <c r="AA2287" s="1" t="s">
        <v>39599</v>
      </c>
      <c r="AB2287" s="1" t="s">
        <v>196</v>
      </c>
      <c r="AC2287" s="1" t="s">
        <v>97</v>
      </c>
      <c r="AD2287" s="1" t="s">
        <v>98</v>
      </c>
      <c r="AE2287" s="1" t="s">
        <v>98</v>
      </c>
      <c r="AF2287" s="1" t="s">
        <v>39600</v>
      </c>
      <c r="AG2287" s="1" t="s">
        <v>18179</v>
      </c>
      <c r="AH2287" s="1" t="s">
        <v>167</v>
      </c>
      <c r="AI2287" s="1" t="s">
        <v>170</v>
      </c>
      <c r="AJ2287" s="1">
        <v>93.1</v>
      </c>
      <c r="AK2287" s="1">
        <v>9.8</v>
      </c>
      <c r="AL2287" s="1" t="s">
        <v>39601</v>
      </c>
      <c r="AM2287" s="1" t="s">
        <v>39602</v>
      </c>
      <c r="AN2287" s="1" t="s">
        <v>575</v>
      </c>
      <c r="AO2287" s="1" t="s">
        <v>174</v>
      </c>
      <c r="AP2287" s="1" t="s">
        <v>414</v>
      </c>
      <c r="AQ2287" s="1">
        <v>60</v>
      </c>
      <c r="AR2287" s="1"/>
      <c r="AS2287" s="1"/>
      <c r="AT2287" s="1"/>
      <c r="AU2287" s="1"/>
      <c r="AV2287" s="1"/>
      <c r="AW2287" s="1"/>
      <c r="AX2287" s="1"/>
      <c r="AY2287" s="1" t="s">
        <v>14694</v>
      </c>
      <c r="AZ2287" s="1" t="s">
        <v>18731</v>
      </c>
      <c r="BA2287" s="1" t="s">
        <v>682</v>
      </c>
      <c r="BB2287" s="1" t="s">
        <v>1561</v>
      </c>
      <c r="BC2287" s="1" t="s">
        <v>206</v>
      </c>
      <c r="BD2287" s="1" t="s">
        <v>2383</v>
      </c>
      <c r="BE2287" s="1">
        <v>0</v>
      </c>
      <c r="BF2287" s="1">
        <v>7.24</v>
      </c>
      <c r="BG2287" s="1"/>
      <c r="BH2287" s="1"/>
      <c r="BI2287" s="1"/>
      <c r="BJ2287" s="1"/>
      <c r="BK2287" s="1"/>
      <c r="BL2287" s="1"/>
      <c r="BM2287" s="1"/>
      <c r="BN2287" s="1"/>
      <c r="BO2287" s="1" t="s">
        <v>39603</v>
      </c>
      <c r="BP2287" s="1" t="s">
        <v>39604</v>
      </c>
      <c r="BQ2287" s="1" t="s">
        <v>9405</v>
      </c>
      <c r="BR2287" s="1" t="s">
        <v>39605</v>
      </c>
      <c r="BS2287" s="1">
        <v>17</v>
      </c>
      <c r="BT2287" s="1" t="s">
        <v>39606</v>
      </c>
      <c r="BU2287" s="1" t="str">
        <f>HYPERLINK("https://nconnect.nicmar.ac.in/storage/profile/6a8c885a415d6.png","Download")</f>
        <v>0</v>
      </c>
      <c r="BV2287" s="3"/>
      <c r="BW2287" s="3"/>
    </row>
    <row r="2288" spans="1:75">
      <c r="A2288" s="1" t="s">
        <v>35379</v>
      </c>
      <c r="B2288" s="1" t="s">
        <v>13976</v>
      </c>
      <c r="C2288" s="1" t="s">
        <v>39607</v>
      </c>
      <c r="D2288" s="1" t="s">
        <v>39608</v>
      </c>
      <c r="E2288" s="1" t="s">
        <v>39609</v>
      </c>
      <c r="F2288" s="1" t="s">
        <v>39610</v>
      </c>
      <c r="G2288" s="1" t="s">
        <v>39611</v>
      </c>
      <c r="H2288" s="1" t="s">
        <v>39612</v>
      </c>
      <c r="I2288" s="1" t="s">
        <v>39613</v>
      </c>
      <c r="J2288" s="1">
        <v>8530369614</v>
      </c>
      <c r="K2288" s="1" t="s">
        <v>153</v>
      </c>
      <c r="L2288" s="1" t="s">
        <v>7530</v>
      </c>
      <c r="M2288" s="1" t="s">
        <v>86</v>
      </c>
      <c r="N2288" s="1" t="s">
        <v>39614</v>
      </c>
      <c r="O2288" s="1" t="s">
        <v>88</v>
      </c>
      <c r="P2288" s="1" t="s">
        <v>219</v>
      </c>
      <c r="Q2288" s="1">
        <v>321794928595</v>
      </c>
      <c r="R2288" s="1" t="s">
        <v>39615</v>
      </c>
      <c r="S2288" s="1">
        <v>9890062313</v>
      </c>
      <c r="T2288" s="1" t="s">
        <v>39616</v>
      </c>
      <c r="U2288" s="1" t="s">
        <v>39617</v>
      </c>
      <c r="V2288" s="1">
        <v>9923258863</v>
      </c>
      <c r="W2288" s="1" t="s">
        <v>14095</v>
      </c>
      <c r="X2288" s="1" t="s">
        <v>39618</v>
      </c>
      <c r="Y2288" s="1" t="s">
        <v>1145</v>
      </c>
      <c r="Z2288" s="1" t="s">
        <v>97</v>
      </c>
      <c r="AA2288" s="1" t="s">
        <v>39619</v>
      </c>
      <c r="AB2288" s="1" t="s">
        <v>196</v>
      </c>
      <c r="AC2288" s="1" t="s">
        <v>97</v>
      </c>
      <c r="AD2288" s="1" t="s">
        <v>98</v>
      </c>
      <c r="AE2288" s="1" t="s">
        <v>98</v>
      </c>
      <c r="AF2288" s="1" t="s">
        <v>39620</v>
      </c>
      <c r="AG2288" s="1" t="s">
        <v>39621</v>
      </c>
      <c r="AH2288" s="1" t="s">
        <v>573</v>
      </c>
      <c r="AI2288" s="1" t="s">
        <v>490</v>
      </c>
      <c r="AJ2288" s="1">
        <v>87</v>
      </c>
      <c r="AK2288" s="1">
        <v>9.16</v>
      </c>
      <c r="AL2288" s="1" t="s">
        <v>39622</v>
      </c>
      <c r="AM2288" s="1" t="s">
        <v>39623</v>
      </c>
      <c r="AN2288" s="1" t="s">
        <v>465</v>
      </c>
      <c r="AO2288" s="1" t="s">
        <v>313</v>
      </c>
      <c r="AP2288" s="1" t="s">
        <v>977</v>
      </c>
      <c r="AQ2288" s="1">
        <v>60</v>
      </c>
      <c r="AR2288" s="1">
        <v>6.32</v>
      </c>
      <c r="AS2288" s="1"/>
      <c r="AT2288" s="1"/>
      <c r="AU2288" s="1"/>
      <c r="AV2288" s="1"/>
      <c r="AW2288" s="1"/>
      <c r="AX2288" s="1"/>
      <c r="AY2288" s="1" t="s">
        <v>14694</v>
      </c>
      <c r="AZ2288" s="1" t="s">
        <v>39624</v>
      </c>
      <c r="BA2288" s="1" t="s">
        <v>682</v>
      </c>
      <c r="BB2288" s="1" t="s">
        <v>683</v>
      </c>
      <c r="BC2288" s="1" t="s">
        <v>468</v>
      </c>
      <c r="BD2288" s="1" t="s">
        <v>9688</v>
      </c>
      <c r="BE2288" s="1">
        <v>63.65</v>
      </c>
      <c r="BF2288" s="1">
        <v>6.7</v>
      </c>
      <c r="BG2288" s="1"/>
      <c r="BH2288" s="1"/>
      <c r="BI2288" s="1"/>
      <c r="BJ2288" s="1"/>
      <c r="BK2288" s="1"/>
      <c r="BL2288" s="1"/>
      <c r="BM2288" s="1"/>
      <c r="BN2288" s="1"/>
      <c r="BO2288" s="1" t="s">
        <v>39625</v>
      </c>
      <c r="BP2288" s="1" t="s">
        <v>39626</v>
      </c>
      <c r="BQ2288" s="1" t="s">
        <v>2093</v>
      </c>
      <c r="BR2288" s="1"/>
      <c r="BS2288" s="1"/>
      <c r="BT2288" s="1"/>
      <c r="BU2288" s="1" t="str">
        <f>HYPERLINK("https://nconnect.nicmar.ac.in/storage/profile/6a85e99103af1.png","Download")</f>
        <v>0</v>
      </c>
      <c r="BV2288" s="3"/>
      <c r="BW2288" s="3"/>
    </row>
    <row r="2289" spans="1:75">
      <c r="A2289" s="1" t="s">
        <v>35379</v>
      </c>
      <c r="B2289" s="1" t="s">
        <v>13976</v>
      </c>
      <c r="C2289" s="1" t="s">
        <v>39627</v>
      </c>
      <c r="D2289" s="1" t="s">
        <v>39628</v>
      </c>
      <c r="E2289" s="1" t="s">
        <v>15430</v>
      </c>
      <c r="F2289" s="1" t="s">
        <v>39629</v>
      </c>
      <c r="G2289" s="1" t="s">
        <v>39630</v>
      </c>
      <c r="H2289" s="1" t="s">
        <v>39631</v>
      </c>
      <c r="I2289" s="1" t="s">
        <v>39632</v>
      </c>
      <c r="J2289" s="1">
        <v>8830423932</v>
      </c>
      <c r="K2289" s="1" t="s">
        <v>84</v>
      </c>
      <c r="L2289" s="1" t="s">
        <v>2719</v>
      </c>
      <c r="M2289" s="1" t="s">
        <v>86</v>
      </c>
      <c r="N2289" s="1" t="s">
        <v>6390</v>
      </c>
      <c r="O2289" s="1" t="s">
        <v>39633</v>
      </c>
      <c r="P2289" s="1" t="s">
        <v>89</v>
      </c>
      <c r="Q2289" s="1">
        <v>665053841417</v>
      </c>
      <c r="R2289" s="1" t="s">
        <v>39634</v>
      </c>
      <c r="S2289" s="1">
        <v>9921511681</v>
      </c>
      <c r="T2289" s="1" t="s">
        <v>6733</v>
      </c>
      <c r="U2289" s="1" t="s">
        <v>39635</v>
      </c>
      <c r="V2289" s="1">
        <v>8421854535</v>
      </c>
      <c r="W2289" s="1" t="s">
        <v>14154</v>
      </c>
      <c r="X2289" s="1" t="s">
        <v>39636</v>
      </c>
      <c r="Y2289" s="1" t="s">
        <v>1989</v>
      </c>
      <c r="Z2289" s="1" t="s">
        <v>97</v>
      </c>
      <c r="AA2289" s="1" t="s">
        <v>39637</v>
      </c>
      <c r="AB2289" s="1" t="s">
        <v>196</v>
      </c>
      <c r="AC2289" s="1" t="s">
        <v>97</v>
      </c>
      <c r="AD2289" s="1" t="s">
        <v>98</v>
      </c>
      <c r="AE2289" s="1" t="s">
        <v>98</v>
      </c>
      <c r="AF2289" s="1" t="s">
        <v>39638</v>
      </c>
      <c r="AG2289" s="1" t="s">
        <v>39639</v>
      </c>
      <c r="AH2289" s="1" t="s">
        <v>170</v>
      </c>
      <c r="AI2289" s="1" t="s">
        <v>286</v>
      </c>
      <c r="AJ2289" s="1">
        <v>67.6</v>
      </c>
      <c r="AK2289" s="1"/>
      <c r="AL2289" s="1" t="s">
        <v>39640</v>
      </c>
      <c r="AM2289" s="1" t="s">
        <v>39639</v>
      </c>
      <c r="AN2289" s="1" t="s">
        <v>465</v>
      </c>
      <c r="AO2289" s="1" t="s">
        <v>547</v>
      </c>
      <c r="AP2289" s="1" t="s">
        <v>365</v>
      </c>
      <c r="AQ2289" s="1">
        <v>55.85</v>
      </c>
      <c r="AR2289" s="1"/>
      <c r="AS2289" s="1"/>
      <c r="AT2289" s="1"/>
      <c r="AU2289" s="1"/>
      <c r="AV2289" s="1"/>
      <c r="AW2289" s="1"/>
      <c r="AX2289" s="1"/>
      <c r="AY2289" s="1" t="s">
        <v>14979</v>
      </c>
      <c r="AZ2289" s="1" t="s">
        <v>39641</v>
      </c>
      <c r="BA2289" s="1" t="s">
        <v>682</v>
      </c>
      <c r="BB2289" s="1" t="s">
        <v>1561</v>
      </c>
      <c r="BC2289" s="1" t="s">
        <v>468</v>
      </c>
      <c r="BD2289" s="1" t="s">
        <v>14083</v>
      </c>
      <c r="BE2289" s="1">
        <v>62</v>
      </c>
      <c r="BF2289" s="1"/>
      <c r="BG2289" s="1"/>
      <c r="BH2289" s="1"/>
      <c r="BI2289" s="1"/>
      <c r="BJ2289" s="1"/>
      <c r="BK2289" s="1"/>
      <c r="BL2289" s="1"/>
      <c r="BM2289" s="1"/>
      <c r="BN2289" s="1"/>
      <c r="BO2289" s="1" t="s">
        <v>39642</v>
      </c>
      <c r="BP2289" s="1"/>
      <c r="BQ2289" s="1"/>
      <c r="BR2289" s="1"/>
      <c r="BS2289" s="1"/>
      <c r="BT2289" s="1"/>
      <c r="BU2289" s="1" t="str">
        <f>HYPERLINK("https://nconnect.nicmar.ac.in/storage/profile/6a85ec7f588c6.png","Download")</f>
        <v>0</v>
      </c>
      <c r="BV2289" s="3"/>
      <c r="BW2289" s="3"/>
    </row>
    <row r="2290" spans="1:75">
      <c r="A2290" s="1" t="s">
        <v>35379</v>
      </c>
      <c r="B2290" s="1" t="s">
        <v>13976</v>
      </c>
      <c r="C2290" s="1" t="s">
        <v>39643</v>
      </c>
      <c r="D2290" s="1" t="s">
        <v>39644</v>
      </c>
      <c r="E2290" s="1"/>
      <c r="F2290" s="1" t="s">
        <v>39645</v>
      </c>
      <c r="G2290" s="1" t="s">
        <v>39646</v>
      </c>
      <c r="H2290" s="1" t="s">
        <v>39647</v>
      </c>
      <c r="I2290" s="1" t="s">
        <v>39647</v>
      </c>
      <c r="J2290" s="1">
        <v>9902339996</v>
      </c>
      <c r="K2290" s="1" t="s">
        <v>84</v>
      </c>
      <c r="L2290" s="1" t="s">
        <v>301</v>
      </c>
      <c r="M2290" s="1" t="s">
        <v>86</v>
      </c>
      <c r="N2290" s="1" t="s">
        <v>39648</v>
      </c>
      <c r="O2290" s="1" t="s">
        <v>39649</v>
      </c>
      <c r="P2290" s="1" t="s">
        <v>219</v>
      </c>
      <c r="Q2290" s="1">
        <v>445114719833</v>
      </c>
      <c r="R2290" s="1" t="s">
        <v>39650</v>
      </c>
      <c r="S2290" s="1" t="s">
        <v>16692</v>
      </c>
      <c r="T2290" s="1" t="s">
        <v>39651</v>
      </c>
      <c r="U2290" s="1" t="s">
        <v>39652</v>
      </c>
      <c r="V2290" s="1">
        <v>9482677770</v>
      </c>
      <c r="W2290" s="1" t="s">
        <v>39653</v>
      </c>
      <c r="X2290" s="1" t="s">
        <v>39654</v>
      </c>
      <c r="Y2290" s="1" t="s">
        <v>3985</v>
      </c>
      <c r="Z2290" s="1" t="s">
        <v>1210</v>
      </c>
      <c r="AA2290" s="1" t="s">
        <v>39654</v>
      </c>
      <c r="AB2290" s="1" t="s">
        <v>3985</v>
      </c>
      <c r="AC2290" s="1" t="s">
        <v>1210</v>
      </c>
      <c r="AD2290" s="1" t="s">
        <v>98</v>
      </c>
      <c r="AE2290" s="1" t="s">
        <v>98</v>
      </c>
      <c r="AF2290" s="1" t="s">
        <v>39655</v>
      </c>
      <c r="AG2290" s="1" t="s">
        <v>39656</v>
      </c>
      <c r="AH2290" s="1" t="s">
        <v>166</v>
      </c>
      <c r="AI2290" s="1" t="s">
        <v>627</v>
      </c>
      <c r="AJ2290" s="1">
        <v>66.5</v>
      </c>
      <c r="AK2290" s="1">
        <v>7</v>
      </c>
      <c r="AL2290" s="1" t="s">
        <v>39657</v>
      </c>
      <c r="AM2290" s="1" t="s">
        <v>39656</v>
      </c>
      <c r="AN2290" s="1" t="s">
        <v>575</v>
      </c>
      <c r="AO2290" s="1" t="s">
        <v>170</v>
      </c>
      <c r="AP2290" s="1" t="s">
        <v>174</v>
      </c>
      <c r="AQ2290" s="1">
        <v>56.83</v>
      </c>
      <c r="AR2290" s="1"/>
      <c r="AS2290" s="1"/>
      <c r="AT2290" s="1"/>
      <c r="AU2290" s="1"/>
      <c r="AV2290" s="1"/>
      <c r="AW2290" s="1"/>
      <c r="AX2290" s="1"/>
      <c r="AY2290" s="1" t="s">
        <v>15972</v>
      </c>
      <c r="AZ2290" s="1" t="s">
        <v>39658</v>
      </c>
      <c r="BA2290" s="1" t="s">
        <v>578</v>
      </c>
      <c r="BB2290" s="1" t="s">
        <v>467</v>
      </c>
      <c r="BC2290" s="1" t="s">
        <v>17163</v>
      </c>
      <c r="BD2290" s="1" t="s">
        <v>391</v>
      </c>
      <c r="BE2290" s="1">
        <v>64.8</v>
      </c>
      <c r="BF2290" s="1">
        <v>7.23</v>
      </c>
      <c r="BG2290" s="1"/>
      <c r="BH2290" s="1"/>
      <c r="BI2290" s="1"/>
      <c r="BJ2290" s="1"/>
      <c r="BK2290" s="1"/>
      <c r="BL2290" s="1"/>
      <c r="BM2290" s="1"/>
      <c r="BN2290" s="1"/>
      <c r="BO2290" s="1" t="s">
        <v>14163</v>
      </c>
      <c r="BP2290" s="1" t="s">
        <v>39659</v>
      </c>
      <c r="BQ2290" s="1" t="s">
        <v>7478</v>
      </c>
      <c r="BR2290" s="1"/>
      <c r="BS2290" s="1"/>
      <c r="BT2290" s="1"/>
      <c r="BU2290" s="1" t="str">
        <f>HYPERLINK("https://nconnect.nicmar.ac.in/storage/profile/6a84a8aad875e.png","Download")</f>
        <v>0</v>
      </c>
      <c r="BV2290" s="3"/>
      <c r="BW2290" s="3"/>
    </row>
    <row r="2291" spans="1:75">
      <c r="A2291" s="1" t="s">
        <v>35379</v>
      </c>
      <c r="B2291" s="1" t="s">
        <v>13976</v>
      </c>
      <c r="C2291" s="1" t="s">
        <v>39660</v>
      </c>
      <c r="D2291" s="1" t="s">
        <v>39661</v>
      </c>
      <c r="E2291" s="1" t="s">
        <v>6518</v>
      </c>
      <c r="F2291" s="1" t="s">
        <v>14364</v>
      </c>
      <c r="G2291" s="1" t="s">
        <v>39662</v>
      </c>
      <c r="H2291" s="1" t="s">
        <v>39663</v>
      </c>
      <c r="I2291" s="1" t="s">
        <v>39664</v>
      </c>
      <c r="J2291" s="1">
        <v>9405925641</v>
      </c>
      <c r="K2291" s="1" t="s">
        <v>153</v>
      </c>
      <c r="L2291" s="1" t="s">
        <v>36652</v>
      </c>
      <c r="M2291" s="1" t="s">
        <v>86</v>
      </c>
      <c r="N2291" s="1" t="s">
        <v>190</v>
      </c>
      <c r="O2291" s="1" t="s">
        <v>39665</v>
      </c>
      <c r="P2291" s="1" t="s">
        <v>219</v>
      </c>
      <c r="Q2291" s="1">
        <v>311716149701</v>
      </c>
      <c r="R2291" s="1" t="s">
        <v>39666</v>
      </c>
      <c r="S2291" s="1">
        <v>9922919166</v>
      </c>
      <c r="T2291" s="1" t="s">
        <v>22414</v>
      </c>
      <c r="U2291" s="1" t="s">
        <v>39667</v>
      </c>
      <c r="V2291" s="1">
        <v>9881195641</v>
      </c>
      <c r="W2291" s="1" t="s">
        <v>22414</v>
      </c>
      <c r="X2291" s="1" t="s">
        <v>39668</v>
      </c>
      <c r="Y2291" s="1" t="s">
        <v>1779</v>
      </c>
      <c r="Z2291" s="1" t="s">
        <v>97</v>
      </c>
      <c r="AA2291" s="1" t="s">
        <v>39668</v>
      </c>
      <c r="AB2291" s="1" t="s">
        <v>1779</v>
      </c>
      <c r="AC2291" s="1" t="s">
        <v>97</v>
      </c>
      <c r="AD2291" s="1" t="s">
        <v>98</v>
      </c>
      <c r="AE2291" s="1" t="s">
        <v>98</v>
      </c>
      <c r="AF2291" s="1" t="s">
        <v>39669</v>
      </c>
      <c r="AG2291" s="1" t="s">
        <v>39670</v>
      </c>
      <c r="AH2291" s="1" t="s">
        <v>573</v>
      </c>
      <c r="AI2291" s="1" t="s">
        <v>106</v>
      </c>
      <c r="AJ2291" s="1">
        <v>85</v>
      </c>
      <c r="AK2291" s="1"/>
      <c r="AL2291" s="1" t="s">
        <v>39671</v>
      </c>
      <c r="AM2291" s="1" t="s">
        <v>39672</v>
      </c>
      <c r="AN2291" s="1" t="s">
        <v>575</v>
      </c>
      <c r="AO2291" s="1" t="s">
        <v>174</v>
      </c>
      <c r="AP2291" s="1" t="s">
        <v>178</v>
      </c>
      <c r="AQ2291" s="1">
        <v>63.54</v>
      </c>
      <c r="AR2291" s="1"/>
      <c r="AS2291" s="1"/>
      <c r="AT2291" s="1"/>
      <c r="AU2291" s="1"/>
      <c r="AV2291" s="1"/>
      <c r="AW2291" s="1"/>
      <c r="AX2291" s="1"/>
      <c r="AY2291" s="1" t="s">
        <v>14160</v>
      </c>
      <c r="AZ2291" s="1" t="s">
        <v>39673</v>
      </c>
      <c r="BA2291" s="1" t="s">
        <v>466</v>
      </c>
      <c r="BB2291" s="1" t="s">
        <v>467</v>
      </c>
      <c r="BC2291" s="1" t="s">
        <v>1171</v>
      </c>
      <c r="BD2291" s="1" t="s">
        <v>207</v>
      </c>
      <c r="BE2291" s="1">
        <v>68.4</v>
      </c>
      <c r="BF2291" s="1">
        <v>7.59</v>
      </c>
      <c r="BG2291" s="1"/>
      <c r="BH2291" s="1"/>
      <c r="BI2291" s="1"/>
      <c r="BJ2291" s="1"/>
      <c r="BK2291" s="1"/>
      <c r="BL2291" s="1"/>
      <c r="BM2291" s="1"/>
      <c r="BN2291" s="1"/>
      <c r="BO2291" s="1" t="s">
        <v>39674</v>
      </c>
      <c r="BP2291" s="1"/>
      <c r="BQ2291" s="1"/>
      <c r="BR2291" s="1"/>
      <c r="BS2291" s="1"/>
      <c r="BT2291" s="1"/>
      <c r="BU2291" s="1" t="str">
        <f>HYPERLINK("https://nconnect.nicmar.ac.in/storage/profile/6a85ef817bbe0.png","Download")</f>
        <v>0</v>
      </c>
      <c r="BV2291" s="3"/>
      <c r="BW2291" s="3"/>
    </row>
    <row r="2292" spans="1:75">
      <c r="A2292" s="1" t="s">
        <v>35379</v>
      </c>
      <c r="B2292" s="1" t="s">
        <v>13976</v>
      </c>
      <c r="C2292" s="1" t="s">
        <v>39675</v>
      </c>
      <c r="D2292" s="1"/>
      <c r="E2292" s="1"/>
      <c r="F2292" s="1"/>
      <c r="G2292" s="1"/>
      <c r="H2292" s="1" t="s">
        <v>39676</v>
      </c>
      <c r="I2292" s="1" t="s">
        <v>39676</v>
      </c>
      <c r="J2292" s="1"/>
      <c r="K2292" s="1"/>
      <c r="L2292" s="1"/>
      <c r="M2292" s="1"/>
      <c r="N2292" s="1"/>
      <c r="O2292" s="1"/>
      <c r="P2292" s="1"/>
      <c r="Q2292" s="1"/>
      <c r="R2292" s="1"/>
      <c r="S2292" s="1"/>
      <c r="T2292" s="1"/>
      <c r="U2292" s="1"/>
      <c r="V2292" s="1"/>
      <c r="W2292" s="1"/>
      <c r="X2292" s="1"/>
      <c r="Y2292" s="1"/>
      <c r="Z2292" s="1"/>
      <c r="AA2292" s="1"/>
      <c r="AB2292" s="1"/>
      <c r="AC2292" s="1"/>
      <c r="AD2292" s="1" t="s">
        <v>98</v>
      </c>
      <c r="AE2292" s="1" t="s">
        <v>98</v>
      </c>
      <c r="AF2292" s="1"/>
      <c r="AG2292" s="1"/>
      <c r="AH2292" s="1"/>
      <c r="AI2292" s="1"/>
      <c r="AJ2292" s="1"/>
      <c r="AK2292" s="1"/>
      <c r="AL2292" s="1"/>
      <c r="AM2292" s="1"/>
      <c r="AN2292" s="1"/>
      <c r="AO2292" s="1"/>
      <c r="AP2292" s="1"/>
      <c r="AQ2292" s="1"/>
      <c r="AR2292" s="1"/>
      <c r="AS2292" s="1"/>
      <c r="AT2292" s="1"/>
      <c r="AU2292" s="1"/>
      <c r="AV2292" s="1"/>
      <c r="AW2292" s="1"/>
      <c r="AX2292" s="1"/>
      <c r="AY2292" s="1"/>
      <c r="AZ2292" s="1"/>
      <c r="BA2292" s="1"/>
      <c r="BB2292" s="1"/>
      <c r="BC2292" s="1"/>
      <c r="BD2292" s="1"/>
      <c r="BE2292" s="1"/>
      <c r="BF2292" s="1"/>
      <c r="BG2292" s="1"/>
      <c r="BH2292" s="1"/>
      <c r="BI2292" s="1"/>
      <c r="BJ2292" s="1"/>
      <c r="BK2292" s="1"/>
      <c r="BL2292" s="1"/>
      <c r="BM2292" s="1"/>
      <c r="BN2292" s="1"/>
      <c r="BO2292" s="1"/>
      <c r="BP2292" s="1"/>
      <c r="BQ2292" s="1"/>
      <c r="BR2292" s="1"/>
      <c r="BS2292" s="1"/>
      <c r="BT2292" s="1"/>
      <c r="BU2292" s="1" t="s">
        <v>9653</v>
      </c>
      <c r="BV2292" s="3"/>
      <c r="BW2292" s="3"/>
    </row>
    <row r="2293" spans="1:75">
      <c r="A2293" s="1" t="s">
        <v>35379</v>
      </c>
      <c r="B2293" s="1" t="s">
        <v>13976</v>
      </c>
      <c r="C2293" s="1" t="s">
        <v>39677</v>
      </c>
      <c r="D2293" s="1"/>
      <c r="E2293" s="1"/>
      <c r="F2293" s="1"/>
      <c r="G2293" s="1"/>
      <c r="H2293" s="1" t="s">
        <v>39678</v>
      </c>
      <c r="I2293" s="1" t="s">
        <v>39678</v>
      </c>
      <c r="J2293" s="1"/>
      <c r="K2293" s="1"/>
      <c r="L2293" s="1"/>
      <c r="M2293" s="1"/>
      <c r="N2293" s="1"/>
      <c r="O2293" s="1"/>
      <c r="P2293" s="1"/>
      <c r="Q2293" s="1"/>
      <c r="R2293" s="1"/>
      <c r="S2293" s="1"/>
      <c r="T2293" s="1"/>
      <c r="U2293" s="1"/>
      <c r="V2293" s="1"/>
      <c r="W2293" s="1"/>
      <c r="X2293" s="1"/>
      <c r="Y2293" s="1"/>
      <c r="Z2293" s="1"/>
      <c r="AA2293" s="1"/>
      <c r="AB2293" s="1"/>
      <c r="AC2293" s="1"/>
      <c r="AD2293" s="1" t="s">
        <v>98</v>
      </c>
      <c r="AE2293" s="1" t="s">
        <v>98</v>
      </c>
      <c r="AF2293" s="1"/>
      <c r="AG2293" s="1"/>
      <c r="AH2293" s="1"/>
      <c r="AI2293" s="1"/>
      <c r="AJ2293" s="1"/>
      <c r="AK2293" s="1"/>
      <c r="AL2293" s="1"/>
      <c r="AM2293" s="1"/>
      <c r="AN2293" s="1"/>
      <c r="AO2293" s="1"/>
      <c r="AP2293" s="1"/>
      <c r="AQ2293" s="1"/>
      <c r="AR2293" s="1"/>
      <c r="AS2293" s="1"/>
      <c r="AT2293" s="1"/>
      <c r="AU2293" s="1"/>
      <c r="AV2293" s="1"/>
      <c r="AW2293" s="1"/>
      <c r="AX2293" s="1"/>
      <c r="AY2293" s="1"/>
      <c r="AZ2293" s="1"/>
      <c r="BA2293" s="1"/>
      <c r="BB2293" s="1"/>
      <c r="BC2293" s="1"/>
      <c r="BD2293" s="1"/>
      <c r="BE2293" s="1"/>
      <c r="BF2293" s="1"/>
      <c r="BG2293" s="1"/>
      <c r="BH2293" s="1"/>
      <c r="BI2293" s="1"/>
      <c r="BJ2293" s="1"/>
      <c r="BK2293" s="1"/>
      <c r="BL2293" s="1"/>
      <c r="BM2293" s="1"/>
      <c r="BN2293" s="1"/>
      <c r="BO2293" s="1"/>
      <c r="BP2293" s="1"/>
      <c r="BQ2293" s="1"/>
      <c r="BR2293" s="1"/>
      <c r="BS2293" s="1"/>
      <c r="BT2293" s="1"/>
      <c r="BU2293" s="1" t="s">
        <v>9653</v>
      </c>
      <c r="BV2293" s="3"/>
      <c r="BW2293" s="3"/>
    </row>
    <row r="2294" spans="1:75">
      <c r="A2294" s="1" t="s">
        <v>35379</v>
      </c>
      <c r="B2294" s="1" t="s">
        <v>13976</v>
      </c>
      <c r="C2294" s="1" t="s">
        <v>39679</v>
      </c>
      <c r="D2294" s="1" t="s">
        <v>39680</v>
      </c>
      <c r="E2294" s="1"/>
      <c r="F2294" s="1" t="s">
        <v>1964</v>
      </c>
      <c r="G2294" s="1" t="s">
        <v>39681</v>
      </c>
      <c r="H2294" s="1" t="s">
        <v>39682</v>
      </c>
      <c r="I2294" s="1" t="s">
        <v>39683</v>
      </c>
      <c r="J2294" s="1">
        <v>8340774045</v>
      </c>
      <c r="K2294" s="1" t="s">
        <v>84</v>
      </c>
      <c r="L2294" s="1" t="s">
        <v>39684</v>
      </c>
      <c r="M2294" s="1" t="s">
        <v>86</v>
      </c>
      <c r="N2294" s="1" t="s">
        <v>16435</v>
      </c>
      <c r="O2294" s="1" t="s">
        <v>39685</v>
      </c>
      <c r="P2294" s="1" t="s">
        <v>122</v>
      </c>
      <c r="Q2294" s="1">
        <v>816160900015</v>
      </c>
      <c r="R2294" s="1" t="s">
        <v>39686</v>
      </c>
      <c r="S2294" s="1">
        <v>9939490773</v>
      </c>
      <c r="T2294" s="1" t="s">
        <v>22414</v>
      </c>
      <c r="U2294" s="1" t="s">
        <v>39687</v>
      </c>
      <c r="V2294" s="1">
        <v>7277935709</v>
      </c>
      <c r="W2294" s="1" t="s">
        <v>3441</v>
      </c>
      <c r="X2294" s="1" t="s">
        <v>39688</v>
      </c>
      <c r="Y2294" s="1" t="s">
        <v>648</v>
      </c>
      <c r="Z2294" s="1" t="s">
        <v>649</v>
      </c>
      <c r="AA2294" s="1" t="s">
        <v>39688</v>
      </c>
      <c r="AB2294" s="1" t="s">
        <v>648</v>
      </c>
      <c r="AC2294" s="1" t="s">
        <v>649</v>
      </c>
      <c r="AD2294" s="1" t="s">
        <v>98</v>
      </c>
      <c r="AE2294" s="1" t="s">
        <v>98</v>
      </c>
      <c r="AF2294" s="1"/>
      <c r="AG2294" s="1"/>
      <c r="AH2294" s="1"/>
      <c r="AI2294" s="1"/>
      <c r="AJ2294" s="1"/>
      <c r="AK2294" s="1"/>
      <c r="AL2294" s="1"/>
      <c r="AM2294" s="1"/>
      <c r="AN2294" s="1"/>
      <c r="AO2294" s="1"/>
      <c r="AP2294" s="1"/>
      <c r="AQ2294" s="1"/>
      <c r="AR2294" s="1"/>
      <c r="AS2294" s="1"/>
      <c r="AT2294" s="1"/>
      <c r="AU2294" s="1"/>
      <c r="AV2294" s="1"/>
      <c r="AW2294" s="1"/>
      <c r="AX2294" s="1"/>
      <c r="AY2294" s="1"/>
      <c r="AZ2294" s="1"/>
      <c r="BA2294" s="1"/>
      <c r="BB2294" s="1"/>
      <c r="BC2294" s="1"/>
      <c r="BD2294" s="1"/>
      <c r="BE2294" s="1"/>
      <c r="BF2294" s="1"/>
      <c r="BG2294" s="1"/>
      <c r="BH2294" s="1"/>
      <c r="BI2294" s="1"/>
      <c r="BJ2294" s="1"/>
      <c r="BK2294" s="1"/>
      <c r="BL2294" s="1"/>
      <c r="BM2294" s="1"/>
      <c r="BN2294" s="1"/>
      <c r="BO2294" s="1"/>
      <c r="BP2294" s="1" t="s">
        <v>39689</v>
      </c>
      <c r="BQ2294" s="1" t="s">
        <v>39690</v>
      </c>
      <c r="BR2294" s="1"/>
      <c r="BS2294" s="1"/>
      <c r="BT2294" s="1"/>
      <c r="BU2294" s="1" t="str">
        <f>HYPERLINK("https://nconnect.nicmar.ac.in/storage/profile/6a8bf419a2613.png","Download")</f>
        <v>0</v>
      </c>
      <c r="BV2294" s="3"/>
      <c r="BW2294" s="3"/>
    </row>
    <row r="2295" spans="1:75">
      <c r="A2295" s="1" t="s">
        <v>35379</v>
      </c>
      <c r="B2295" s="1" t="s">
        <v>13976</v>
      </c>
      <c r="C2295" s="1" t="s">
        <v>39691</v>
      </c>
      <c r="D2295" s="1" t="s">
        <v>1319</v>
      </c>
      <c r="E2295" s="1" t="s">
        <v>17186</v>
      </c>
      <c r="F2295" s="1" t="s">
        <v>32690</v>
      </c>
      <c r="G2295" s="1" t="s">
        <v>39692</v>
      </c>
      <c r="H2295" s="1" t="s">
        <v>39693</v>
      </c>
      <c r="I2295" s="1" t="s">
        <v>39694</v>
      </c>
      <c r="J2295" s="1">
        <v>9767817079</v>
      </c>
      <c r="K2295" s="1" t="s">
        <v>84</v>
      </c>
      <c r="L2295" s="1" t="s">
        <v>31130</v>
      </c>
      <c r="M2295" s="1" t="s">
        <v>86</v>
      </c>
      <c r="N2295" s="1" t="s">
        <v>39695</v>
      </c>
      <c r="O2295" s="1" t="s">
        <v>39696</v>
      </c>
      <c r="P2295" s="1" t="s">
        <v>219</v>
      </c>
      <c r="Q2295" s="1">
        <v>625962662937</v>
      </c>
      <c r="R2295" s="1" t="s">
        <v>17186</v>
      </c>
      <c r="S2295" s="1">
        <v>9922952514</v>
      </c>
      <c r="T2295" s="1" t="s">
        <v>16092</v>
      </c>
      <c r="U2295" s="1" t="s">
        <v>39697</v>
      </c>
      <c r="V2295" s="1">
        <v>9850874751</v>
      </c>
      <c r="W2295" s="1" t="s">
        <v>15046</v>
      </c>
      <c r="X2295" s="1" t="s">
        <v>39698</v>
      </c>
      <c r="Y2295" s="1" t="s">
        <v>1189</v>
      </c>
      <c r="Z2295" s="1" t="s">
        <v>97</v>
      </c>
      <c r="AA2295" s="1" t="s">
        <v>39698</v>
      </c>
      <c r="AB2295" s="1" t="s">
        <v>1189</v>
      </c>
      <c r="AC2295" s="1" t="s">
        <v>97</v>
      </c>
      <c r="AD2295" s="1" t="s">
        <v>98</v>
      </c>
      <c r="AE2295" s="1" t="s">
        <v>98</v>
      </c>
      <c r="AF2295" s="1"/>
      <c r="AG2295" s="1"/>
      <c r="AH2295" s="1"/>
      <c r="AI2295" s="1"/>
      <c r="AJ2295" s="1"/>
      <c r="AK2295" s="1"/>
      <c r="AL2295" s="1"/>
      <c r="AM2295" s="1"/>
      <c r="AN2295" s="1"/>
      <c r="AO2295" s="1"/>
      <c r="AP2295" s="1"/>
      <c r="AQ2295" s="1"/>
      <c r="AR2295" s="1"/>
      <c r="AS2295" s="1"/>
      <c r="AT2295" s="1"/>
      <c r="AU2295" s="1"/>
      <c r="AV2295" s="1"/>
      <c r="AW2295" s="1"/>
      <c r="AX2295" s="1"/>
      <c r="AY2295" s="1"/>
      <c r="AZ2295" s="1"/>
      <c r="BA2295" s="1"/>
      <c r="BB2295" s="1"/>
      <c r="BC2295" s="1"/>
      <c r="BD2295" s="1"/>
      <c r="BE2295" s="1"/>
      <c r="BF2295" s="1"/>
      <c r="BG2295" s="1"/>
      <c r="BH2295" s="1"/>
      <c r="BI2295" s="1"/>
      <c r="BJ2295" s="1"/>
      <c r="BK2295" s="1"/>
      <c r="BL2295" s="1"/>
      <c r="BM2295" s="1"/>
      <c r="BN2295" s="1"/>
      <c r="BO2295" s="1"/>
      <c r="BP2295" s="1" t="s">
        <v>39699</v>
      </c>
      <c r="BQ2295" s="1" t="s">
        <v>658</v>
      </c>
      <c r="BR2295" s="1"/>
      <c r="BS2295" s="1"/>
      <c r="BT2295" s="1"/>
      <c r="BU2295" s="1" t="str">
        <f>HYPERLINK("https://nconnect.nicmar.ac.in/storage/profile/6a85d94b35119.png","Download")</f>
        <v>0</v>
      </c>
      <c r="BV2295" s="3"/>
      <c r="BW2295" s="3"/>
    </row>
    <row r="2296" spans="1:75">
      <c r="A2296" s="1" t="s">
        <v>35074</v>
      </c>
      <c r="B2296" s="1" t="s">
        <v>13976</v>
      </c>
      <c r="C2296" s="1" t="s">
        <v>39700</v>
      </c>
      <c r="D2296" s="1"/>
      <c r="E2296" s="1"/>
      <c r="F2296" s="1"/>
      <c r="G2296" s="1"/>
      <c r="H2296" s="1" t="s">
        <v>39701</v>
      </c>
      <c r="I2296" s="1" t="s">
        <v>39701</v>
      </c>
      <c r="J2296" s="1"/>
      <c r="K2296" s="1"/>
      <c r="L2296" s="1"/>
      <c r="M2296" s="1"/>
      <c r="N2296" s="1"/>
      <c r="O2296" s="1"/>
      <c r="P2296" s="1"/>
      <c r="Q2296" s="1"/>
      <c r="R2296" s="1"/>
      <c r="S2296" s="1"/>
      <c r="T2296" s="1"/>
      <c r="U2296" s="1"/>
      <c r="V2296" s="1"/>
      <c r="W2296" s="1"/>
      <c r="X2296" s="1"/>
      <c r="Y2296" s="1"/>
      <c r="Z2296" s="1"/>
      <c r="AA2296" s="1"/>
      <c r="AB2296" s="1"/>
      <c r="AC2296" s="1"/>
      <c r="AD2296" s="1" t="s">
        <v>98</v>
      </c>
      <c r="AE2296" s="1" t="s">
        <v>98</v>
      </c>
      <c r="AF2296" s="1"/>
      <c r="AG2296" s="1"/>
      <c r="AH2296" s="1"/>
      <c r="AI2296" s="1"/>
      <c r="AJ2296" s="1"/>
      <c r="AK2296" s="1"/>
      <c r="AL2296" s="1"/>
      <c r="AM2296" s="1"/>
      <c r="AN2296" s="1"/>
      <c r="AO2296" s="1"/>
      <c r="AP2296" s="1"/>
      <c r="AQ2296" s="1"/>
      <c r="AR2296" s="1"/>
      <c r="AS2296" s="1"/>
      <c r="AT2296" s="1"/>
      <c r="AU2296" s="1"/>
      <c r="AV2296" s="1"/>
      <c r="AW2296" s="1"/>
      <c r="AX2296" s="1"/>
      <c r="AY2296" s="1"/>
      <c r="AZ2296" s="1"/>
      <c r="BA2296" s="1"/>
      <c r="BB2296" s="1"/>
      <c r="BC2296" s="1"/>
      <c r="BD2296" s="1"/>
      <c r="BE2296" s="1"/>
      <c r="BF2296" s="1"/>
      <c r="BG2296" s="1"/>
      <c r="BH2296" s="1"/>
      <c r="BI2296" s="1"/>
      <c r="BJ2296" s="1"/>
      <c r="BK2296" s="1"/>
      <c r="BL2296" s="1"/>
      <c r="BM2296" s="1"/>
      <c r="BN2296" s="1"/>
      <c r="BO2296" s="1"/>
      <c r="BP2296" s="1"/>
      <c r="BQ2296" s="1"/>
      <c r="BR2296" s="1"/>
      <c r="BS2296" s="1"/>
      <c r="BT2296" s="1"/>
      <c r="BU2296" s="1" t="s">
        <v>9653</v>
      </c>
      <c r="BV2296" s="3"/>
      <c r="BW2296" s="3"/>
    </row>
    <row r="2297" spans="1:75">
      <c r="A2297" s="1" t="s">
        <v>35074</v>
      </c>
      <c r="B2297" s="1" t="s">
        <v>13976</v>
      </c>
      <c r="C2297" s="1" t="s">
        <v>39702</v>
      </c>
      <c r="D2297" s="1" t="s">
        <v>39703</v>
      </c>
      <c r="E2297" s="1"/>
      <c r="F2297" s="1" t="s">
        <v>587</v>
      </c>
      <c r="G2297" s="1" t="s">
        <v>39704</v>
      </c>
      <c r="H2297" s="1" t="s">
        <v>39705</v>
      </c>
      <c r="I2297" s="1" t="s">
        <v>39705</v>
      </c>
      <c r="J2297" s="1">
        <v>9360343084</v>
      </c>
      <c r="K2297" s="1" t="s">
        <v>84</v>
      </c>
      <c r="L2297" s="1" t="s">
        <v>39706</v>
      </c>
      <c r="M2297" s="1" t="s">
        <v>86</v>
      </c>
      <c r="N2297" s="1" t="s">
        <v>39707</v>
      </c>
      <c r="O2297" s="1" t="s">
        <v>39708</v>
      </c>
      <c r="P2297" s="1" t="s">
        <v>122</v>
      </c>
      <c r="Q2297" s="1" t="s">
        <v>39709</v>
      </c>
      <c r="R2297" s="1" t="s">
        <v>39710</v>
      </c>
      <c r="S2297" s="1">
        <v>8754498425</v>
      </c>
      <c r="T2297" s="1" t="s">
        <v>39711</v>
      </c>
      <c r="U2297" s="1" t="s">
        <v>39712</v>
      </c>
      <c r="V2297" s="1">
        <v>8754498425</v>
      </c>
      <c r="W2297" s="1" t="s">
        <v>13411</v>
      </c>
      <c r="X2297" s="1" t="s">
        <v>39713</v>
      </c>
      <c r="Y2297" s="1" t="s">
        <v>1498</v>
      </c>
      <c r="Z2297" s="1" t="s">
        <v>570</v>
      </c>
      <c r="AA2297" s="1" t="s">
        <v>39713</v>
      </c>
      <c r="AB2297" s="1" t="s">
        <v>1498</v>
      </c>
      <c r="AC2297" s="1" t="s">
        <v>570</v>
      </c>
      <c r="AD2297" s="1" t="s">
        <v>98</v>
      </c>
      <c r="AE2297" s="1" t="s">
        <v>98</v>
      </c>
      <c r="AF2297" s="1"/>
      <c r="AG2297" s="1"/>
      <c r="AH2297" s="1"/>
      <c r="AI2297" s="1"/>
      <c r="AJ2297" s="1"/>
      <c r="AK2297" s="1"/>
      <c r="AL2297" s="1"/>
      <c r="AM2297" s="1"/>
      <c r="AN2297" s="1"/>
      <c r="AO2297" s="1"/>
      <c r="AP2297" s="1"/>
      <c r="AQ2297" s="1"/>
      <c r="AR2297" s="1"/>
      <c r="AS2297" s="1"/>
      <c r="AT2297" s="1"/>
      <c r="AU2297" s="1"/>
      <c r="AV2297" s="1"/>
      <c r="AW2297" s="1"/>
      <c r="AX2297" s="1"/>
      <c r="AY2297" s="1"/>
      <c r="AZ2297" s="1"/>
      <c r="BA2297" s="1"/>
      <c r="BB2297" s="1"/>
      <c r="BC2297" s="1"/>
      <c r="BD2297" s="1"/>
      <c r="BE2297" s="1"/>
      <c r="BF2297" s="1"/>
      <c r="BG2297" s="1"/>
      <c r="BH2297" s="1"/>
      <c r="BI2297" s="1"/>
      <c r="BJ2297" s="1"/>
      <c r="BK2297" s="1"/>
      <c r="BL2297" s="1"/>
      <c r="BM2297" s="1"/>
      <c r="BN2297" s="1"/>
      <c r="BO2297" s="1"/>
      <c r="BP2297" s="1" t="s">
        <v>39714</v>
      </c>
      <c r="BQ2297" s="1" t="s">
        <v>582</v>
      </c>
      <c r="BR2297" s="1"/>
      <c r="BS2297" s="1"/>
      <c r="BT2297" s="1"/>
      <c r="BU2297" s="1" t="str">
        <f>HYPERLINK("https://nconnect.nicmar.ac.in/storage/profile/6a85a0f30625f.png","Download")</f>
        <v>0</v>
      </c>
      <c r="BV2297" s="3"/>
      <c r="BW2297" s="3"/>
    </row>
    <row r="2298" spans="1:75">
      <c r="A2298" s="1" t="s">
        <v>35074</v>
      </c>
      <c r="B2298" s="1" t="s">
        <v>13976</v>
      </c>
      <c r="C2298" s="1" t="s">
        <v>39715</v>
      </c>
      <c r="D2298" s="1" t="s">
        <v>39716</v>
      </c>
      <c r="E2298" s="1" t="s">
        <v>15430</v>
      </c>
      <c r="F2298" s="1" t="s">
        <v>39717</v>
      </c>
      <c r="G2298" s="1" t="s">
        <v>39718</v>
      </c>
      <c r="H2298" s="1" t="s">
        <v>39719</v>
      </c>
      <c r="I2298" s="1" t="s">
        <v>39719</v>
      </c>
      <c r="J2298" s="1">
        <v>9309877690</v>
      </c>
      <c r="K2298" s="1" t="s">
        <v>84</v>
      </c>
      <c r="L2298" s="1" t="s">
        <v>24075</v>
      </c>
      <c r="M2298" s="1" t="s">
        <v>86</v>
      </c>
      <c r="N2298" s="1" t="s">
        <v>4263</v>
      </c>
      <c r="O2298" s="1" t="s">
        <v>39720</v>
      </c>
      <c r="P2298" s="1" t="s">
        <v>356</v>
      </c>
      <c r="Q2298" s="1">
        <v>913119732267</v>
      </c>
      <c r="R2298" s="1" t="s">
        <v>15430</v>
      </c>
      <c r="S2298" s="1">
        <v>9765551111</v>
      </c>
      <c r="T2298" s="1" t="s">
        <v>3439</v>
      </c>
      <c r="U2298" s="1" t="s">
        <v>39721</v>
      </c>
      <c r="V2298" s="1">
        <v>9371741900</v>
      </c>
      <c r="W2298" s="1" t="s">
        <v>14154</v>
      </c>
      <c r="X2298" s="1" t="s">
        <v>39722</v>
      </c>
      <c r="Y2298" s="1" t="s">
        <v>96</v>
      </c>
      <c r="Z2298" s="1" t="s">
        <v>97</v>
      </c>
      <c r="AA2298" s="1" t="s">
        <v>39722</v>
      </c>
      <c r="AB2298" s="1" t="s">
        <v>96</v>
      </c>
      <c r="AC2298" s="1" t="s">
        <v>97</v>
      </c>
      <c r="AD2298" s="1" t="s">
        <v>98</v>
      </c>
      <c r="AE2298" s="1" t="s">
        <v>98</v>
      </c>
      <c r="AF2298" s="1" t="s">
        <v>39723</v>
      </c>
      <c r="AG2298" s="1" t="s">
        <v>14238</v>
      </c>
      <c r="AH2298" s="1" t="s">
        <v>167</v>
      </c>
      <c r="AI2298" s="1" t="s">
        <v>414</v>
      </c>
      <c r="AJ2298" s="1">
        <v>89.6</v>
      </c>
      <c r="AK2298" s="1"/>
      <c r="AL2298" s="1"/>
      <c r="AM2298" s="1"/>
      <c r="AN2298" s="1"/>
      <c r="AO2298" s="1"/>
      <c r="AP2298" s="1"/>
      <c r="AQ2298" s="1"/>
      <c r="AR2298" s="1"/>
      <c r="AS2298" s="1" t="s">
        <v>23143</v>
      </c>
      <c r="AT2298" s="1" t="s">
        <v>39724</v>
      </c>
      <c r="AU2298" s="1" t="s">
        <v>206</v>
      </c>
      <c r="AV2298" s="1" t="s">
        <v>1400</v>
      </c>
      <c r="AW2298" s="1">
        <v>82.64</v>
      </c>
      <c r="AX2298" s="1"/>
      <c r="AY2298" s="1" t="s">
        <v>14160</v>
      </c>
      <c r="AZ2298" s="1" t="s">
        <v>39725</v>
      </c>
      <c r="BA2298" s="1" t="s">
        <v>466</v>
      </c>
      <c r="BB2298" s="1" t="s">
        <v>23143</v>
      </c>
      <c r="BC2298" s="1" t="s">
        <v>289</v>
      </c>
      <c r="BD2298" s="1" t="s">
        <v>848</v>
      </c>
      <c r="BE2298" s="1">
        <v>74.4</v>
      </c>
      <c r="BF2298" s="1">
        <v>8.19</v>
      </c>
      <c r="BG2298" s="1"/>
      <c r="BH2298" s="1"/>
      <c r="BI2298" s="1"/>
      <c r="BJ2298" s="1"/>
      <c r="BK2298" s="1"/>
      <c r="BL2298" s="1"/>
      <c r="BM2298" s="1"/>
      <c r="BN2298" s="1"/>
      <c r="BO2298" s="1" t="s">
        <v>39726</v>
      </c>
      <c r="BP2298" s="1"/>
      <c r="BQ2298" s="1"/>
      <c r="BR2298" s="1"/>
      <c r="BS2298" s="1"/>
      <c r="BT2298" s="1"/>
      <c r="BU2298" s="1" t="str">
        <f>HYPERLINK("https://nconnect.nicmar.ac.in/storage/profile/6a85643b6be98.png","Download")</f>
        <v>0</v>
      </c>
      <c r="BV2298" s="3"/>
      <c r="BW2298" s="3"/>
    </row>
    <row r="2299" spans="1:75">
      <c r="A2299" s="1" t="s">
        <v>35074</v>
      </c>
      <c r="B2299" s="1" t="s">
        <v>13976</v>
      </c>
      <c r="C2299" s="1" t="s">
        <v>39727</v>
      </c>
      <c r="D2299" s="1" t="s">
        <v>39728</v>
      </c>
      <c r="E2299" s="1"/>
      <c r="F2299" s="1" t="s">
        <v>39729</v>
      </c>
      <c r="G2299" s="1" t="s">
        <v>39730</v>
      </c>
      <c r="H2299" s="1" t="s">
        <v>39731</v>
      </c>
      <c r="I2299" s="1" t="s">
        <v>39731</v>
      </c>
      <c r="J2299" s="1">
        <v>9385417478</v>
      </c>
      <c r="K2299" s="1" t="s">
        <v>153</v>
      </c>
      <c r="L2299" s="1" t="s">
        <v>39732</v>
      </c>
      <c r="M2299" s="1" t="s">
        <v>86</v>
      </c>
      <c r="N2299" s="1" t="s">
        <v>39733</v>
      </c>
      <c r="O2299" s="1" t="s">
        <v>39734</v>
      </c>
      <c r="P2299" s="1" t="s">
        <v>219</v>
      </c>
      <c r="Q2299" s="1">
        <v>950914209768</v>
      </c>
      <c r="R2299" s="1" t="s">
        <v>39735</v>
      </c>
      <c r="S2299" s="1">
        <v>9486667478</v>
      </c>
      <c r="T2299" s="1" t="s">
        <v>39736</v>
      </c>
      <c r="U2299" s="1" t="s">
        <v>39737</v>
      </c>
      <c r="V2299" s="1">
        <v>9442167478</v>
      </c>
      <c r="W2299" s="1" t="s">
        <v>10306</v>
      </c>
      <c r="X2299" s="1" t="s">
        <v>39738</v>
      </c>
      <c r="Y2299" s="1" t="s">
        <v>1864</v>
      </c>
      <c r="Z2299" s="1" t="s">
        <v>570</v>
      </c>
      <c r="AA2299" s="1" t="s">
        <v>39738</v>
      </c>
      <c r="AB2299" s="1" t="s">
        <v>1864</v>
      </c>
      <c r="AC2299" s="1" t="s">
        <v>570</v>
      </c>
      <c r="AD2299" s="1" t="s">
        <v>98</v>
      </c>
      <c r="AE2299" s="1" t="s">
        <v>98</v>
      </c>
      <c r="AF2299" s="1" t="s">
        <v>39739</v>
      </c>
      <c r="AG2299" s="1" t="s">
        <v>39740</v>
      </c>
      <c r="AH2299" s="1" t="s">
        <v>468</v>
      </c>
      <c r="AI2299" s="1" t="s">
        <v>441</v>
      </c>
      <c r="AJ2299" s="1">
        <v>94</v>
      </c>
      <c r="AK2299" s="1"/>
      <c r="AL2299" s="1" t="s">
        <v>39739</v>
      </c>
      <c r="AM2299" s="1" t="s">
        <v>39740</v>
      </c>
      <c r="AN2299" s="1" t="s">
        <v>575</v>
      </c>
      <c r="AO2299" s="1" t="s">
        <v>289</v>
      </c>
      <c r="AP2299" s="1" t="s">
        <v>955</v>
      </c>
      <c r="AQ2299" s="1">
        <v>73.02</v>
      </c>
      <c r="AR2299" s="1"/>
      <c r="AS2299" s="1"/>
      <c r="AT2299" s="1"/>
      <c r="AU2299" s="1"/>
      <c r="AV2299" s="1"/>
      <c r="AW2299" s="1"/>
      <c r="AX2299" s="1"/>
      <c r="AY2299" s="1" t="s">
        <v>15759</v>
      </c>
      <c r="AZ2299" s="1" t="s">
        <v>39741</v>
      </c>
      <c r="BA2299" s="1" t="s">
        <v>35582</v>
      </c>
      <c r="BB2299" s="1" t="s">
        <v>38507</v>
      </c>
      <c r="BC2299" s="1" t="s">
        <v>179</v>
      </c>
      <c r="BD2299" s="1" t="s">
        <v>14514</v>
      </c>
      <c r="BE2299" s="1">
        <v>82.4</v>
      </c>
      <c r="BF2299" s="1">
        <v>8.24</v>
      </c>
      <c r="BG2299" s="1"/>
      <c r="BH2299" s="1"/>
      <c r="BI2299" s="1"/>
      <c r="BJ2299" s="1"/>
      <c r="BK2299" s="1"/>
      <c r="BL2299" s="1"/>
      <c r="BM2299" s="1"/>
      <c r="BN2299" s="1"/>
      <c r="BO2299" s="1" t="s">
        <v>39742</v>
      </c>
      <c r="BP2299" s="1"/>
      <c r="BQ2299" s="1"/>
      <c r="BR2299" s="1"/>
      <c r="BS2299" s="1"/>
      <c r="BT2299" s="1" t="s">
        <v>39743</v>
      </c>
      <c r="BU2299" s="1" t="str">
        <f>HYPERLINK("https://nconnect.nicmar.ac.in/storage/profile/6a85d88da9268.png","Download")</f>
        <v>0</v>
      </c>
      <c r="BV2299" s="3"/>
      <c r="BW2299" s="3"/>
    </row>
    <row r="2300" spans="1:75">
      <c r="A2300" s="1" t="s">
        <v>35074</v>
      </c>
      <c r="B2300" s="1" t="s">
        <v>13976</v>
      </c>
      <c r="C2300" s="1" t="s">
        <v>39744</v>
      </c>
      <c r="D2300" s="1" t="s">
        <v>39745</v>
      </c>
      <c r="E2300" s="1"/>
      <c r="F2300" s="1" t="s">
        <v>39746</v>
      </c>
      <c r="G2300" s="1" t="s">
        <v>39747</v>
      </c>
      <c r="H2300" s="1" t="s">
        <v>39748</v>
      </c>
      <c r="I2300" s="1" t="s">
        <v>39748</v>
      </c>
      <c r="J2300" s="1">
        <v>7207852278</v>
      </c>
      <c r="K2300" s="1" t="s">
        <v>153</v>
      </c>
      <c r="L2300" s="1" t="s">
        <v>7276</v>
      </c>
      <c r="M2300" s="1" t="s">
        <v>86</v>
      </c>
      <c r="N2300" s="1" t="s">
        <v>39749</v>
      </c>
      <c r="O2300" s="1" t="s">
        <v>39750</v>
      </c>
      <c r="P2300" s="1" t="s">
        <v>122</v>
      </c>
      <c r="Q2300" s="1">
        <v>932111406314</v>
      </c>
      <c r="R2300" s="1" t="s">
        <v>39751</v>
      </c>
      <c r="S2300" s="1">
        <v>9347852278</v>
      </c>
      <c r="T2300" s="1" t="s">
        <v>3439</v>
      </c>
      <c r="U2300" s="1" t="s">
        <v>39752</v>
      </c>
      <c r="V2300" s="1">
        <v>9640257388</v>
      </c>
      <c r="W2300" s="1" t="s">
        <v>14212</v>
      </c>
      <c r="X2300" s="1" t="s">
        <v>39753</v>
      </c>
      <c r="Y2300" s="1" t="s">
        <v>3522</v>
      </c>
      <c r="Z2300" s="1" t="s">
        <v>281</v>
      </c>
      <c r="AA2300" s="1" t="s">
        <v>39753</v>
      </c>
      <c r="AB2300" s="1" t="s">
        <v>3522</v>
      </c>
      <c r="AC2300" s="1" t="s">
        <v>281</v>
      </c>
      <c r="AD2300" s="1" t="s">
        <v>98</v>
      </c>
      <c r="AE2300" s="1" t="s">
        <v>98</v>
      </c>
      <c r="AF2300" s="1" t="s">
        <v>39754</v>
      </c>
      <c r="AG2300" s="1" t="s">
        <v>39755</v>
      </c>
      <c r="AH2300" s="1" t="s">
        <v>106</v>
      </c>
      <c r="AI2300" s="1" t="s">
        <v>313</v>
      </c>
      <c r="AJ2300" s="1">
        <v>93</v>
      </c>
      <c r="AK2300" s="1">
        <v>9.3</v>
      </c>
      <c r="AL2300" s="1" t="s">
        <v>39756</v>
      </c>
      <c r="AM2300" s="1" t="s">
        <v>39757</v>
      </c>
      <c r="AN2300" s="1" t="s">
        <v>465</v>
      </c>
      <c r="AO2300" s="1" t="s">
        <v>438</v>
      </c>
      <c r="AP2300" s="1" t="s">
        <v>549</v>
      </c>
      <c r="AQ2300" s="1">
        <v>91.5</v>
      </c>
      <c r="AR2300" s="1"/>
      <c r="AS2300" s="1"/>
      <c r="AT2300" s="1"/>
      <c r="AU2300" s="1"/>
      <c r="AV2300" s="1"/>
      <c r="AW2300" s="1"/>
      <c r="AX2300" s="1"/>
      <c r="AY2300" s="1" t="s">
        <v>15851</v>
      </c>
      <c r="AZ2300" s="1" t="s">
        <v>39758</v>
      </c>
      <c r="BA2300" s="1" t="s">
        <v>466</v>
      </c>
      <c r="BB2300" s="1" t="s">
        <v>38469</v>
      </c>
      <c r="BC2300" s="1" t="s">
        <v>140</v>
      </c>
      <c r="BD2300" s="1" t="s">
        <v>607</v>
      </c>
      <c r="BE2300" s="1">
        <v>77.8</v>
      </c>
      <c r="BF2300" s="1">
        <v>8.53</v>
      </c>
      <c r="BG2300" s="1"/>
      <c r="BH2300" s="1"/>
      <c r="BI2300" s="1"/>
      <c r="BJ2300" s="1"/>
      <c r="BK2300" s="1"/>
      <c r="BL2300" s="1"/>
      <c r="BM2300" s="1"/>
      <c r="BN2300" s="1"/>
      <c r="BO2300" s="1" t="s">
        <v>39759</v>
      </c>
      <c r="BP2300" s="1"/>
      <c r="BQ2300" s="1"/>
      <c r="BR2300" s="1" t="s">
        <v>39760</v>
      </c>
      <c r="BS2300" s="1">
        <v>55</v>
      </c>
      <c r="BT2300" s="1"/>
      <c r="BU2300" s="1" t="str">
        <f>HYPERLINK("https://nconnect.nicmar.ac.in/storage/profile/6a85a722ebe52.png","Download")</f>
        <v>0</v>
      </c>
      <c r="BV2300" s="3"/>
      <c r="BW2300" s="3"/>
    </row>
    <row r="2301" spans="1:75">
      <c r="A2301" s="1" t="s">
        <v>35074</v>
      </c>
      <c r="B2301" s="1" t="s">
        <v>13976</v>
      </c>
      <c r="C2301" s="1" t="s">
        <v>39761</v>
      </c>
      <c r="D2301" s="1" t="s">
        <v>39762</v>
      </c>
      <c r="E2301" s="1" t="s">
        <v>39763</v>
      </c>
      <c r="F2301" s="1" t="s">
        <v>39764</v>
      </c>
      <c r="G2301" s="1" t="s">
        <v>39765</v>
      </c>
      <c r="H2301" s="1" t="s">
        <v>39766</v>
      </c>
      <c r="I2301" s="1" t="s">
        <v>39766</v>
      </c>
      <c r="J2301" s="1">
        <v>9145622335</v>
      </c>
      <c r="K2301" s="1" t="s">
        <v>84</v>
      </c>
      <c r="L2301" s="1" t="s">
        <v>39767</v>
      </c>
      <c r="M2301" s="1" t="s">
        <v>86</v>
      </c>
      <c r="N2301" s="1" t="s">
        <v>2507</v>
      </c>
      <c r="O2301" s="1" t="s">
        <v>39768</v>
      </c>
      <c r="P2301" s="1" t="s">
        <v>122</v>
      </c>
      <c r="Q2301" s="1">
        <v>703968201474</v>
      </c>
      <c r="R2301" s="1" t="s">
        <v>39769</v>
      </c>
      <c r="S2301" s="1">
        <v>9702963182</v>
      </c>
      <c r="T2301" s="1" t="s">
        <v>39770</v>
      </c>
      <c r="U2301" s="1" t="s">
        <v>39771</v>
      </c>
      <c r="V2301" s="1">
        <v>9653130856</v>
      </c>
      <c r="W2301" s="1" t="s">
        <v>541</v>
      </c>
      <c r="X2301" s="1" t="s">
        <v>39772</v>
      </c>
      <c r="Y2301" s="1" t="s">
        <v>2259</v>
      </c>
      <c r="Z2301" s="1" t="s">
        <v>97</v>
      </c>
      <c r="AA2301" s="1" t="s">
        <v>39772</v>
      </c>
      <c r="AB2301" s="1" t="s">
        <v>2259</v>
      </c>
      <c r="AC2301" s="1" t="s">
        <v>97</v>
      </c>
      <c r="AD2301" s="1" t="s">
        <v>98</v>
      </c>
      <c r="AE2301" s="1" t="s">
        <v>98</v>
      </c>
      <c r="AF2301" s="1" t="s">
        <v>39773</v>
      </c>
      <c r="AG2301" s="1" t="s">
        <v>39774</v>
      </c>
      <c r="AH2301" s="1" t="s">
        <v>468</v>
      </c>
      <c r="AI2301" s="1" t="s">
        <v>549</v>
      </c>
      <c r="AJ2301" s="1">
        <v>83.4</v>
      </c>
      <c r="AK2301" s="1"/>
      <c r="AL2301" s="1" t="s">
        <v>39775</v>
      </c>
      <c r="AM2301" s="1" t="s">
        <v>39774</v>
      </c>
      <c r="AN2301" s="1" t="s">
        <v>6323</v>
      </c>
      <c r="AO2301" s="1" t="s">
        <v>1400</v>
      </c>
      <c r="AP2301" s="1" t="s">
        <v>955</v>
      </c>
      <c r="AQ2301" s="1">
        <v>81.5</v>
      </c>
      <c r="AR2301" s="1"/>
      <c r="AS2301" s="1"/>
      <c r="AT2301" s="1"/>
      <c r="AU2301" s="1"/>
      <c r="AV2301" s="1"/>
      <c r="AW2301" s="1"/>
      <c r="AX2301" s="1"/>
      <c r="AY2301" s="1" t="s">
        <v>14059</v>
      </c>
      <c r="AZ2301" s="1" t="s">
        <v>39776</v>
      </c>
      <c r="BA2301" s="1" t="s">
        <v>35582</v>
      </c>
      <c r="BB2301" s="1" t="s">
        <v>1062</v>
      </c>
      <c r="BC2301" s="1" t="s">
        <v>179</v>
      </c>
      <c r="BD2301" s="1" t="s">
        <v>14514</v>
      </c>
      <c r="BE2301" s="1">
        <v>80.75</v>
      </c>
      <c r="BF2301" s="1">
        <v>8.5</v>
      </c>
      <c r="BG2301" s="1"/>
      <c r="BH2301" s="1"/>
      <c r="BI2301" s="1"/>
      <c r="BJ2301" s="1"/>
      <c r="BK2301" s="1"/>
      <c r="BL2301" s="1"/>
      <c r="BM2301" s="1"/>
      <c r="BN2301" s="1"/>
      <c r="BO2301" s="1" t="s">
        <v>39777</v>
      </c>
      <c r="BP2301" s="1"/>
      <c r="BQ2301" s="1"/>
      <c r="BR2301" s="1" t="s">
        <v>39778</v>
      </c>
      <c r="BS2301" s="1">
        <v>3</v>
      </c>
      <c r="BT2301" s="1" t="s">
        <v>39779</v>
      </c>
      <c r="BU2301" s="1" t="str">
        <f>HYPERLINK("https://nconnect.nicmar.ac.in/storage/profile/6a85e638a2d50.png","Download")</f>
        <v>0</v>
      </c>
      <c r="BV2301" s="3"/>
      <c r="BW2301" s="3"/>
    </row>
    <row r="2302" spans="1:75">
      <c r="A2302" s="1" t="s">
        <v>35074</v>
      </c>
      <c r="B2302" s="1" t="s">
        <v>13976</v>
      </c>
      <c r="C2302" s="1" t="s">
        <v>39780</v>
      </c>
      <c r="D2302" s="1" t="s">
        <v>39781</v>
      </c>
      <c r="E2302" s="1"/>
      <c r="F2302" s="1" t="s">
        <v>23922</v>
      </c>
      <c r="G2302" s="1" t="s">
        <v>39782</v>
      </c>
      <c r="H2302" s="1" t="s">
        <v>39783</v>
      </c>
      <c r="I2302" s="1" t="s">
        <v>39783</v>
      </c>
      <c r="J2302" s="1">
        <v>7058239408</v>
      </c>
      <c r="K2302" s="1" t="s">
        <v>153</v>
      </c>
      <c r="L2302" s="1" t="s">
        <v>39784</v>
      </c>
      <c r="M2302" s="1" t="s">
        <v>86</v>
      </c>
      <c r="N2302" s="1" t="s">
        <v>14230</v>
      </c>
      <c r="O2302" s="1" t="s">
        <v>39785</v>
      </c>
      <c r="P2302" s="1" t="s">
        <v>89</v>
      </c>
      <c r="Q2302" s="1" t="s">
        <v>39786</v>
      </c>
      <c r="R2302" s="1" t="s">
        <v>39787</v>
      </c>
      <c r="S2302" s="1">
        <v>9823305232</v>
      </c>
      <c r="T2302" s="1" t="s">
        <v>98</v>
      </c>
      <c r="U2302" s="1" t="s">
        <v>39788</v>
      </c>
      <c r="V2302" s="1">
        <v>9823305232</v>
      </c>
      <c r="W2302" s="1" t="s">
        <v>39789</v>
      </c>
      <c r="X2302" s="1" t="s">
        <v>39790</v>
      </c>
      <c r="Y2302" s="1" t="s">
        <v>910</v>
      </c>
      <c r="Z2302" s="1" t="s">
        <v>97</v>
      </c>
      <c r="AA2302" s="1" t="s">
        <v>39791</v>
      </c>
      <c r="AB2302" s="1" t="s">
        <v>196</v>
      </c>
      <c r="AC2302" s="1" t="s">
        <v>97</v>
      </c>
      <c r="AD2302" s="1" t="s">
        <v>98</v>
      </c>
      <c r="AE2302" s="1" t="s">
        <v>98</v>
      </c>
      <c r="AF2302" s="1"/>
      <c r="AG2302" s="1"/>
      <c r="AH2302" s="1"/>
      <c r="AI2302" s="1"/>
      <c r="AJ2302" s="1"/>
      <c r="AK2302" s="1"/>
      <c r="AL2302" s="1"/>
      <c r="AM2302" s="1"/>
      <c r="AN2302" s="1"/>
      <c r="AO2302" s="1"/>
      <c r="AP2302" s="1"/>
      <c r="AQ2302" s="1"/>
      <c r="AR2302" s="1"/>
      <c r="AS2302" s="1"/>
      <c r="AT2302" s="1"/>
      <c r="AU2302" s="1"/>
      <c r="AV2302" s="1"/>
      <c r="AW2302" s="1"/>
      <c r="AX2302" s="1"/>
      <c r="AY2302" s="1"/>
      <c r="AZ2302" s="1"/>
      <c r="BA2302" s="1"/>
      <c r="BB2302" s="1"/>
      <c r="BC2302" s="1"/>
      <c r="BD2302" s="1"/>
      <c r="BE2302" s="1"/>
      <c r="BF2302" s="1"/>
      <c r="BG2302" s="1"/>
      <c r="BH2302" s="1"/>
      <c r="BI2302" s="1"/>
      <c r="BJ2302" s="1"/>
      <c r="BK2302" s="1"/>
      <c r="BL2302" s="1"/>
      <c r="BM2302" s="1"/>
      <c r="BN2302" s="1"/>
      <c r="BO2302" s="1"/>
      <c r="BP2302" s="1"/>
      <c r="BQ2302" s="1"/>
      <c r="BR2302" s="1"/>
      <c r="BS2302" s="1"/>
      <c r="BT2302" s="1"/>
      <c r="BU2302" s="1" t="str">
        <f>HYPERLINK("https://nconnect.nicmar.ac.in/storage/profile/6a86cf2f04db0.png","Download")</f>
        <v>0</v>
      </c>
      <c r="BV2302" s="3"/>
      <c r="BW2302" s="3"/>
    </row>
    <row r="2303" spans="1:75">
      <c r="A2303" s="1" t="s">
        <v>35074</v>
      </c>
      <c r="B2303" s="1" t="s">
        <v>13976</v>
      </c>
      <c r="C2303" s="1" t="s">
        <v>39792</v>
      </c>
      <c r="D2303" s="1" t="s">
        <v>39793</v>
      </c>
      <c r="E2303" s="1"/>
      <c r="F2303" s="1" t="s">
        <v>116</v>
      </c>
      <c r="G2303" s="1" t="s">
        <v>39794</v>
      </c>
      <c r="H2303" s="1" t="s">
        <v>39795</v>
      </c>
      <c r="I2303" s="1" t="s">
        <v>39796</v>
      </c>
      <c r="J2303" s="1">
        <v>8129448892</v>
      </c>
      <c r="K2303" s="1" t="s">
        <v>153</v>
      </c>
      <c r="L2303" s="1" t="s">
        <v>39797</v>
      </c>
      <c r="M2303" s="1" t="s">
        <v>86</v>
      </c>
      <c r="N2303" s="1" t="s">
        <v>25961</v>
      </c>
      <c r="O2303" s="1" t="s">
        <v>39798</v>
      </c>
      <c r="P2303" s="1" t="s">
        <v>122</v>
      </c>
      <c r="Q2303" s="1">
        <v>530478515206</v>
      </c>
      <c r="R2303" s="1" t="s">
        <v>39799</v>
      </c>
      <c r="S2303" s="1">
        <v>8281657409</v>
      </c>
      <c r="T2303" s="1" t="s">
        <v>39800</v>
      </c>
      <c r="U2303" s="1" t="s">
        <v>39801</v>
      </c>
      <c r="V2303" s="1">
        <v>9495796409</v>
      </c>
      <c r="W2303" s="1" t="s">
        <v>3441</v>
      </c>
      <c r="X2303" s="1" t="s">
        <v>39802</v>
      </c>
      <c r="Y2303" s="1" t="s">
        <v>599</v>
      </c>
      <c r="Z2303" s="1" t="s">
        <v>130</v>
      </c>
      <c r="AA2303" s="1" t="s">
        <v>39803</v>
      </c>
      <c r="AB2303" s="1" t="s">
        <v>196</v>
      </c>
      <c r="AC2303" s="1" t="s">
        <v>97</v>
      </c>
      <c r="AD2303" s="1" t="s">
        <v>98</v>
      </c>
      <c r="AE2303" s="1" t="s">
        <v>98</v>
      </c>
      <c r="AF2303" s="1" t="s">
        <v>39804</v>
      </c>
      <c r="AG2303" s="1" t="s">
        <v>39805</v>
      </c>
      <c r="AH2303" s="1" t="s">
        <v>438</v>
      </c>
      <c r="AI2303" s="1" t="s">
        <v>603</v>
      </c>
      <c r="AJ2303" s="1">
        <v>82</v>
      </c>
      <c r="AK2303" s="1">
        <v>8.2</v>
      </c>
      <c r="AL2303" s="1" t="s">
        <v>39806</v>
      </c>
      <c r="AM2303" s="1" t="s">
        <v>39807</v>
      </c>
      <c r="AN2303" s="1" t="s">
        <v>35580</v>
      </c>
      <c r="AO2303" s="1" t="s">
        <v>1040</v>
      </c>
      <c r="AP2303" s="1" t="s">
        <v>1886</v>
      </c>
      <c r="AQ2303" s="1">
        <v>93</v>
      </c>
      <c r="AR2303" s="1">
        <v>9.3</v>
      </c>
      <c r="AS2303" s="1"/>
      <c r="AT2303" s="1"/>
      <c r="AU2303" s="1"/>
      <c r="AV2303" s="1"/>
      <c r="AW2303" s="1"/>
      <c r="AX2303" s="1"/>
      <c r="AY2303" s="1" t="s">
        <v>39808</v>
      </c>
      <c r="AZ2303" s="1" t="s">
        <v>39809</v>
      </c>
      <c r="BA2303" s="1" t="s">
        <v>35549</v>
      </c>
      <c r="BB2303" s="1" t="s">
        <v>36107</v>
      </c>
      <c r="BC2303" s="1" t="s">
        <v>1802</v>
      </c>
      <c r="BD2303" s="1" t="s">
        <v>553</v>
      </c>
      <c r="BE2303" s="1">
        <v>70.8</v>
      </c>
      <c r="BF2303" s="1">
        <v>7.08</v>
      </c>
      <c r="BG2303" s="1"/>
      <c r="BH2303" s="1"/>
      <c r="BI2303" s="1"/>
      <c r="BJ2303" s="1"/>
      <c r="BK2303" s="1"/>
      <c r="BL2303" s="1"/>
      <c r="BM2303" s="1"/>
      <c r="BN2303" s="1"/>
      <c r="BO2303" s="1" t="s">
        <v>39810</v>
      </c>
      <c r="BP2303" s="1"/>
      <c r="BQ2303" s="1"/>
      <c r="BR2303" s="1"/>
      <c r="BS2303" s="1"/>
      <c r="BT2303" s="1"/>
      <c r="BU2303" s="1" t="str">
        <f>HYPERLINK("https://nconnect.nicmar.ac.in/storage/profile/6a85e40a58a9b.png","Download")</f>
        <v>0</v>
      </c>
      <c r="BV2303" s="3"/>
      <c r="BW2303" s="3"/>
    </row>
    <row r="2304" spans="1:75">
      <c r="A2304" s="1" t="s">
        <v>35074</v>
      </c>
      <c r="B2304" s="1" t="s">
        <v>13976</v>
      </c>
      <c r="C2304" s="1" t="s">
        <v>39811</v>
      </c>
      <c r="D2304" s="1" t="s">
        <v>39812</v>
      </c>
      <c r="E2304" s="1"/>
      <c r="F2304" s="1" t="s">
        <v>39813</v>
      </c>
      <c r="G2304" s="1" t="s">
        <v>39814</v>
      </c>
      <c r="H2304" s="1" t="s">
        <v>39815</v>
      </c>
      <c r="I2304" s="1" t="s">
        <v>39815</v>
      </c>
      <c r="J2304" s="1">
        <v>9159091587</v>
      </c>
      <c r="K2304" s="1" t="s">
        <v>153</v>
      </c>
      <c r="L2304" s="1" t="s">
        <v>39816</v>
      </c>
      <c r="M2304" s="1" t="s">
        <v>86</v>
      </c>
      <c r="N2304" s="1" t="s">
        <v>5777</v>
      </c>
      <c r="O2304" s="1" t="s">
        <v>39817</v>
      </c>
      <c r="P2304" s="1" t="s">
        <v>122</v>
      </c>
      <c r="Q2304" s="1">
        <v>733264446654</v>
      </c>
      <c r="R2304" s="1" t="s">
        <v>39818</v>
      </c>
      <c r="S2304" s="1">
        <v>9659066689</v>
      </c>
      <c r="T2304" s="1" t="s">
        <v>3439</v>
      </c>
      <c r="U2304" s="1" t="s">
        <v>39819</v>
      </c>
      <c r="V2304" s="1">
        <v>9659066698</v>
      </c>
      <c r="W2304" s="1" t="s">
        <v>14032</v>
      </c>
      <c r="X2304" s="1" t="s">
        <v>39820</v>
      </c>
      <c r="Y2304" s="1" t="s">
        <v>8878</v>
      </c>
      <c r="Z2304" s="1" t="s">
        <v>570</v>
      </c>
      <c r="AA2304" s="1" t="s">
        <v>39820</v>
      </c>
      <c r="AB2304" s="1" t="s">
        <v>8878</v>
      </c>
      <c r="AC2304" s="1" t="s">
        <v>570</v>
      </c>
      <c r="AD2304" s="1" t="s">
        <v>98</v>
      </c>
      <c r="AE2304" s="1" t="s">
        <v>98</v>
      </c>
      <c r="AF2304" s="1" t="s">
        <v>39821</v>
      </c>
      <c r="AG2304" s="1" t="s">
        <v>39822</v>
      </c>
      <c r="AH2304" s="1" t="s">
        <v>170</v>
      </c>
      <c r="AI2304" s="1" t="s">
        <v>171</v>
      </c>
      <c r="AJ2304" s="1">
        <v>93</v>
      </c>
      <c r="AK2304" s="1"/>
      <c r="AL2304" s="1" t="s">
        <v>39823</v>
      </c>
      <c r="AM2304" s="1" t="s">
        <v>39824</v>
      </c>
      <c r="AN2304" s="1" t="s">
        <v>575</v>
      </c>
      <c r="AO2304" s="1" t="s">
        <v>438</v>
      </c>
      <c r="AP2304" s="1" t="s">
        <v>417</v>
      </c>
      <c r="AQ2304" s="1">
        <v>82.4</v>
      </c>
      <c r="AR2304" s="1"/>
      <c r="AS2304" s="1"/>
      <c r="AT2304" s="1"/>
      <c r="AU2304" s="1"/>
      <c r="AV2304" s="1"/>
      <c r="AW2304" s="1"/>
      <c r="AX2304" s="1"/>
      <c r="AY2304" s="1" t="s">
        <v>18006</v>
      </c>
      <c r="AZ2304" s="1" t="s">
        <v>39825</v>
      </c>
      <c r="BA2304" s="1" t="s">
        <v>466</v>
      </c>
      <c r="BB2304" s="1" t="s">
        <v>467</v>
      </c>
      <c r="BC2304" s="1" t="s">
        <v>552</v>
      </c>
      <c r="BD2304" s="1" t="s">
        <v>848</v>
      </c>
      <c r="BE2304" s="1">
        <v>84</v>
      </c>
      <c r="BF2304" s="1">
        <v>8.4</v>
      </c>
      <c r="BG2304" s="1"/>
      <c r="BH2304" s="1"/>
      <c r="BI2304" s="1"/>
      <c r="BJ2304" s="1"/>
      <c r="BK2304" s="1"/>
      <c r="BL2304" s="1"/>
      <c r="BM2304" s="1"/>
      <c r="BN2304" s="1"/>
      <c r="BO2304" s="1" t="s">
        <v>39826</v>
      </c>
      <c r="BP2304" s="1" t="s">
        <v>39827</v>
      </c>
      <c r="BQ2304" s="1" t="s">
        <v>1070</v>
      </c>
      <c r="BR2304" s="1"/>
      <c r="BS2304" s="1"/>
      <c r="BT2304" s="1"/>
      <c r="BU2304" s="1" t="str">
        <f>HYPERLINK("https://nconnect.nicmar.ac.in/storage/profile/6a85f081306da.png","Download")</f>
        <v>0</v>
      </c>
      <c r="BV2304" s="3"/>
      <c r="BW2304" s="3"/>
    </row>
    <row r="2305" spans="1:75">
      <c r="A2305" s="1" t="s">
        <v>35074</v>
      </c>
      <c r="B2305" s="1" t="s">
        <v>13976</v>
      </c>
      <c r="C2305" s="1" t="s">
        <v>39828</v>
      </c>
      <c r="D2305" s="1" t="s">
        <v>14087</v>
      </c>
      <c r="E2305" s="1" t="s">
        <v>39829</v>
      </c>
      <c r="F2305" s="1" t="s">
        <v>39830</v>
      </c>
      <c r="G2305" s="1" t="s">
        <v>39831</v>
      </c>
      <c r="H2305" s="1" t="s">
        <v>39832</v>
      </c>
      <c r="I2305" s="1" t="s">
        <v>39833</v>
      </c>
      <c r="J2305" s="1">
        <v>7276732822</v>
      </c>
      <c r="K2305" s="1" t="s">
        <v>153</v>
      </c>
      <c r="L2305" s="1" t="s">
        <v>39834</v>
      </c>
      <c r="M2305" s="1" t="s">
        <v>86</v>
      </c>
      <c r="N2305" s="1" t="s">
        <v>39835</v>
      </c>
      <c r="O2305" s="1" t="s">
        <v>39836</v>
      </c>
      <c r="P2305" s="1" t="s">
        <v>89</v>
      </c>
      <c r="Q2305" s="1">
        <v>400398749097</v>
      </c>
      <c r="R2305" s="1" t="s">
        <v>39837</v>
      </c>
      <c r="S2305" s="1">
        <v>9860005923</v>
      </c>
      <c r="T2305" s="1" t="s">
        <v>14352</v>
      </c>
      <c r="U2305" s="1" t="s">
        <v>39838</v>
      </c>
      <c r="V2305" s="1">
        <v>9359803716</v>
      </c>
      <c r="W2305" s="1" t="s">
        <v>15313</v>
      </c>
      <c r="X2305" s="1" t="s">
        <v>39839</v>
      </c>
      <c r="Y2305" s="1" t="s">
        <v>224</v>
      </c>
      <c r="Z2305" s="1" t="s">
        <v>97</v>
      </c>
      <c r="AA2305" s="1" t="s">
        <v>39839</v>
      </c>
      <c r="AB2305" s="1" t="s">
        <v>224</v>
      </c>
      <c r="AC2305" s="1" t="s">
        <v>97</v>
      </c>
      <c r="AD2305" s="1" t="s">
        <v>98</v>
      </c>
      <c r="AE2305" s="1" t="s">
        <v>98</v>
      </c>
      <c r="AF2305" s="1" t="s">
        <v>39840</v>
      </c>
      <c r="AG2305" s="1" t="s">
        <v>39841</v>
      </c>
      <c r="AH2305" s="1" t="s">
        <v>234</v>
      </c>
      <c r="AI2305" s="1" t="s">
        <v>9688</v>
      </c>
      <c r="AJ2305" s="1">
        <v>63.8</v>
      </c>
      <c r="AK2305" s="1">
        <v>7.13</v>
      </c>
      <c r="AL2305" s="1" t="s">
        <v>39842</v>
      </c>
      <c r="AM2305" s="1" t="s">
        <v>39843</v>
      </c>
      <c r="AN2305" s="1" t="s">
        <v>2995</v>
      </c>
      <c r="AO2305" s="1" t="s">
        <v>2304</v>
      </c>
      <c r="AP2305" s="1" t="s">
        <v>1886</v>
      </c>
      <c r="AQ2305" s="1">
        <v>51.17</v>
      </c>
      <c r="AR2305" s="1"/>
      <c r="AS2305" s="1"/>
      <c r="AT2305" s="1"/>
      <c r="AU2305" s="1"/>
      <c r="AV2305" s="1"/>
      <c r="AW2305" s="1"/>
      <c r="AX2305" s="1"/>
      <c r="AY2305" s="1" t="s">
        <v>39844</v>
      </c>
      <c r="AZ2305" s="1" t="s">
        <v>39845</v>
      </c>
      <c r="BA2305" s="1" t="s">
        <v>1062</v>
      </c>
      <c r="BB2305" s="1" t="s">
        <v>36107</v>
      </c>
      <c r="BC2305" s="1" t="s">
        <v>607</v>
      </c>
      <c r="BD2305" s="1" t="s">
        <v>14514</v>
      </c>
      <c r="BE2305" s="1">
        <v>63.8</v>
      </c>
      <c r="BF2305" s="1">
        <v>7.13</v>
      </c>
      <c r="BG2305" s="1"/>
      <c r="BH2305" s="1"/>
      <c r="BI2305" s="1"/>
      <c r="BJ2305" s="1"/>
      <c r="BK2305" s="1"/>
      <c r="BL2305" s="1"/>
      <c r="BM2305" s="1"/>
      <c r="BN2305" s="1"/>
      <c r="BO2305" s="1" t="s">
        <v>39846</v>
      </c>
      <c r="BP2305" s="1"/>
      <c r="BQ2305" s="1"/>
      <c r="BR2305" s="1"/>
      <c r="BS2305" s="1"/>
      <c r="BT2305" s="1"/>
      <c r="BU2305" s="1" t="str">
        <f>HYPERLINK("https://nconnect.nicmar.ac.in/storage/profile/6a88709379c13.png","Download")</f>
        <v>0</v>
      </c>
      <c r="BV2305" s="3"/>
      <c r="BW2305" s="3"/>
    </row>
    <row r="2306" spans="1:75">
      <c r="A2306" s="1" t="s">
        <v>35074</v>
      </c>
      <c r="B2306" s="1" t="s">
        <v>13976</v>
      </c>
      <c r="C2306" s="1" t="s">
        <v>39847</v>
      </c>
      <c r="D2306" s="1" t="s">
        <v>39848</v>
      </c>
      <c r="E2306" s="1" t="s">
        <v>39849</v>
      </c>
      <c r="F2306" s="1" t="s">
        <v>20188</v>
      </c>
      <c r="G2306" s="1" t="s">
        <v>39850</v>
      </c>
      <c r="H2306" s="1" t="s">
        <v>39851</v>
      </c>
      <c r="I2306" s="1" t="s">
        <v>39851</v>
      </c>
      <c r="J2306" s="1">
        <v>7895953243</v>
      </c>
      <c r="K2306" s="1" t="s">
        <v>84</v>
      </c>
      <c r="L2306" s="1" t="s">
        <v>39852</v>
      </c>
      <c r="M2306" s="1" t="s">
        <v>86</v>
      </c>
      <c r="N2306" s="1" t="s">
        <v>8293</v>
      </c>
      <c r="O2306" s="1" t="s">
        <v>39853</v>
      </c>
      <c r="P2306" s="1" t="s">
        <v>89</v>
      </c>
      <c r="Q2306" s="1">
        <v>304020031711</v>
      </c>
      <c r="R2306" s="1" t="s">
        <v>39854</v>
      </c>
      <c r="S2306" s="1">
        <v>9149390256</v>
      </c>
      <c r="T2306" s="1" t="s">
        <v>3439</v>
      </c>
      <c r="U2306" s="1" t="s">
        <v>39855</v>
      </c>
      <c r="V2306" s="1">
        <v>9634919217</v>
      </c>
      <c r="W2306" s="1" t="s">
        <v>15148</v>
      </c>
      <c r="X2306" s="1" t="s">
        <v>39856</v>
      </c>
      <c r="Y2306" s="1" t="s">
        <v>6231</v>
      </c>
      <c r="Z2306" s="1" t="s">
        <v>544</v>
      </c>
      <c r="AA2306" s="1" t="s">
        <v>39856</v>
      </c>
      <c r="AB2306" s="1" t="s">
        <v>6231</v>
      </c>
      <c r="AC2306" s="1" t="s">
        <v>544</v>
      </c>
      <c r="AD2306" s="1" t="s">
        <v>98</v>
      </c>
      <c r="AE2306" s="1" t="s">
        <v>98</v>
      </c>
      <c r="AF2306" s="1" t="s">
        <v>39857</v>
      </c>
      <c r="AG2306" s="1" t="s">
        <v>39858</v>
      </c>
      <c r="AH2306" s="1" t="s">
        <v>977</v>
      </c>
      <c r="AI2306" s="1" t="s">
        <v>1192</v>
      </c>
      <c r="AJ2306" s="1">
        <v>81</v>
      </c>
      <c r="AK2306" s="1"/>
      <c r="AL2306" s="1" t="s">
        <v>39857</v>
      </c>
      <c r="AM2306" s="1" t="s">
        <v>39858</v>
      </c>
      <c r="AN2306" s="1" t="s">
        <v>35580</v>
      </c>
      <c r="AO2306" s="1" t="s">
        <v>521</v>
      </c>
      <c r="AP2306" s="1" t="s">
        <v>10037</v>
      </c>
      <c r="AQ2306" s="1">
        <v>82</v>
      </c>
      <c r="AR2306" s="1"/>
      <c r="AS2306" s="1"/>
      <c r="AT2306" s="1"/>
      <c r="AU2306" s="1"/>
      <c r="AV2306" s="1"/>
      <c r="AW2306" s="1"/>
      <c r="AX2306" s="1"/>
      <c r="AY2306" s="1" t="s">
        <v>39859</v>
      </c>
      <c r="AZ2306" s="1" t="s">
        <v>39860</v>
      </c>
      <c r="BA2306" s="1" t="s">
        <v>35549</v>
      </c>
      <c r="BB2306" s="1" t="s">
        <v>36107</v>
      </c>
      <c r="BC2306" s="1" t="s">
        <v>1267</v>
      </c>
      <c r="BD2306" s="1" t="s">
        <v>9688</v>
      </c>
      <c r="BE2306" s="1">
        <v>65.55</v>
      </c>
      <c r="BF2306" s="1"/>
      <c r="BG2306" s="1"/>
      <c r="BH2306" s="1"/>
      <c r="BI2306" s="1"/>
      <c r="BJ2306" s="1"/>
      <c r="BK2306" s="1"/>
      <c r="BL2306" s="1"/>
      <c r="BM2306" s="1"/>
      <c r="BN2306" s="1"/>
      <c r="BO2306" s="1" t="s">
        <v>39861</v>
      </c>
      <c r="BP2306" s="1"/>
      <c r="BQ2306" s="1"/>
      <c r="BR2306" s="1"/>
      <c r="BS2306" s="1"/>
      <c r="BT2306" s="1" t="s">
        <v>39862</v>
      </c>
      <c r="BU2306" s="1" t="str">
        <f>HYPERLINK("https://nconnect.nicmar.ac.in/storage/profile/6a831cf0a1fdc.png","Download")</f>
        <v>0</v>
      </c>
      <c r="BV2306" s="3"/>
      <c r="BW2306" s="3"/>
    </row>
    <row r="2307" spans="1:75">
      <c r="A2307" s="1" t="s">
        <v>35074</v>
      </c>
      <c r="B2307" s="1" t="s">
        <v>13976</v>
      </c>
      <c r="C2307" s="1" t="s">
        <v>39863</v>
      </c>
      <c r="D2307" s="1"/>
      <c r="E2307" s="1"/>
      <c r="F2307" s="1"/>
      <c r="G2307" s="1"/>
      <c r="H2307" s="1" t="s">
        <v>39864</v>
      </c>
      <c r="I2307" s="1" t="s">
        <v>39864</v>
      </c>
      <c r="J2307" s="1"/>
      <c r="K2307" s="1"/>
      <c r="L2307" s="1"/>
      <c r="M2307" s="1"/>
      <c r="N2307" s="1"/>
      <c r="O2307" s="1"/>
      <c r="P2307" s="1"/>
      <c r="Q2307" s="1"/>
      <c r="R2307" s="1"/>
      <c r="S2307" s="1"/>
      <c r="T2307" s="1"/>
      <c r="U2307" s="1"/>
      <c r="V2307" s="1"/>
      <c r="W2307" s="1"/>
      <c r="X2307" s="1"/>
      <c r="Y2307" s="1"/>
      <c r="Z2307" s="1"/>
      <c r="AA2307" s="1"/>
      <c r="AB2307" s="1"/>
      <c r="AC2307" s="1"/>
      <c r="AD2307" s="1" t="s">
        <v>98</v>
      </c>
      <c r="AE2307" s="1" t="s">
        <v>98</v>
      </c>
      <c r="AF2307" s="1"/>
      <c r="AG2307" s="1"/>
      <c r="AH2307" s="1"/>
      <c r="AI2307" s="1"/>
      <c r="AJ2307" s="1"/>
      <c r="AK2307" s="1"/>
      <c r="AL2307" s="1"/>
      <c r="AM2307" s="1"/>
      <c r="AN2307" s="1"/>
      <c r="AO2307" s="1"/>
      <c r="AP2307" s="1"/>
      <c r="AQ2307" s="1"/>
      <c r="AR2307" s="1"/>
      <c r="AS2307" s="1"/>
      <c r="AT2307" s="1"/>
      <c r="AU2307" s="1"/>
      <c r="AV2307" s="1"/>
      <c r="AW2307" s="1"/>
      <c r="AX2307" s="1"/>
      <c r="AY2307" s="1"/>
      <c r="AZ2307" s="1"/>
      <c r="BA2307" s="1"/>
      <c r="BB2307" s="1"/>
      <c r="BC2307" s="1"/>
      <c r="BD2307" s="1"/>
      <c r="BE2307" s="1"/>
      <c r="BF2307" s="1"/>
      <c r="BG2307" s="1"/>
      <c r="BH2307" s="1"/>
      <c r="BI2307" s="1"/>
      <c r="BJ2307" s="1"/>
      <c r="BK2307" s="1"/>
      <c r="BL2307" s="1"/>
      <c r="BM2307" s="1"/>
      <c r="BN2307" s="1"/>
      <c r="BO2307" s="1"/>
      <c r="BP2307" s="1"/>
      <c r="BQ2307" s="1"/>
      <c r="BR2307" s="1"/>
      <c r="BS2307" s="1"/>
      <c r="BT2307" s="1"/>
      <c r="BU2307" s="1" t="s">
        <v>9653</v>
      </c>
      <c r="BV2307" s="3"/>
      <c r="BW2307" s="3"/>
    </row>
    <row r="2308" spans="1:75">
      <c r="A2308" s="1" t="s">
        <v>35074</v>
      </c>
      <c r="B2308" s="1" t="s">
        <v>13976</v>
      </c>
      <c r="C2308" s="1" t="s">
        <v>39865</v>
      </c>
      <c r="D2308" s="1" t="s">
        <v>39866</v>
      </c>
      <c r="E2308" s="1" t="s">
        <v>9660</v>
      </c>
      <c r="F2308" s="1" t="s">
        <v>17607</v>
      </c>
      <c r="G2308" s="1" t="s">
        <v>39867</v>
      </c>
      <c r="H2308" s="1" t="s">
        <v>39868</v>
      </c>
      <c r="I2308" s="1" t="s">
        <v>39868</v>
      </c>
      <c r="J2308" s="1">
        <v>9561015978</v>
      </c>
      <c r="K2308" s="1" t="s">
        <v>153</v>
      </c>
      <c r="L2308" s="1" t="s">
        <v>1026</v>
      </c>
      <c r="M2308" s="1" t="s">
        <v>86</v>
      </c>
      <c r="N2308" s="1" t="s">
        <v>768</v>
      </c>
      <c r="O2308" s="1" t="s">
        <v>39869</v>
      </c>
      <c r="P2308" s="1" t="s">
        <v>89</v>
      </c>
      <c r="Q2308" s="1">
        <v>355889916509</v>
      </c>
      <c r="R2308" s="1" t="s">
        <v>39870</v>
      </c>
      <c r="S2308" s="1">
        <v>9834721027</v>
      </c>
      <c r="T2308" s="1" t="s">
        <v>13411</v>
      </c>
      <c r="U2308" s="1" t="s">
        <v>39871</v>
      </c>
      <c r="V2308" s="1">
        <v>9834721027</v>
      </c>
      <c r="W2308" s="1" t="s">
        <v>14154</v>
      </c>
      <c r="X2308" s="1" t="s">
        <v>39872</v>
      </c>
      <c r="Y2308" s="1" t="s">
        <v>1012</v>
      </c>
      <c r="Z2308" s="1" t="s">
        <v>97</v>
      </c>
      <c r="AA2308" s="1" t="s">
        <v>39872</v>
      </c>
      <c r="AB2308" s="1" t="s">
        <v>1012</v>
      </c>
      <c r="AC2308" s="1" t="s">
        <v>97</v>
      </c>
      <c r="AD2308" s="1" t="s">
        <v>98</v>
      </c>
      <c r="AE2308" s="1" t="s">
        <v>98</v>
      </c>
      <c r="AF2308" s="1"/>
      <c r="AG2308" s="1"/>
      <c r="AH2308" s="1"/>
      <c r="AI2308" s="1"/>
      <c r="AJ2308" s="1"/>
      <c r="AK2308" s="1"/>
      <c r="AL2308" s="1"/>
      <c r="AM2308" s="1"/>
      <c r="AN2308" s="1"/>
      <c r="AO2308" s="1"/>
      <c r="AP2308" s="1"/>
      <c r="AQ2308" s="1"/>
      <c r="AR2308" s="1"/>
      <c r="AS2308" s="1"/>
      <c r="AT2308" s="1"/>
      <c r="AU2308" s="1"/>
      <c r="AV2308" s="1"/>
      <c r="AW2308" s="1"/>
      <c r="AX2308" s="1"/>
      <c r="AY2308" s="1"/>
      <c r="AZ2308" s="1"/>
      <c r="BA2308" s="1"/>
      <c r="BB2308" s="1"/>
      <c r="BC2308" s="1"/>
      <c r="BD2308" s="1"/>
      <c r="BE2308" s="1"/>
      <c r="BF2308" s="1"/>
      <c r="BG2308" s="1"/>
      <c r="BH2308" s="1"/>
      <c r="BI2308" s="1"/>
      <c r="BJ2308" s="1"/>
      <c r="BK2308" s="1"/>
      <c r="BL2308" s="1"/>
      <c r="BM2308" s="1"/>
      <c r="BN2308" s="1"/>
      <c r="BO2308" s="1"/>
      <c r="BP2308" s="1" t="s">
        <v>39873</v>
      </c>
      <c r="BQ2308" s="1" t="s">
        <v>780</v>
      </c>
      <c r="BR2308" s="1"/>
      <c r="BS2308" s="1"/>
      <c r="BT2308" s="1"/>
      <c r="BU2308" s="1" t="str">
        <f>HYPERLINK("https://nconnect.nicmar.ac.in/storage/profile/6a86d5917558a.png","Download")</f>
        <v>0</v>
      </c>
      <c r="BV2308" s="3"/>
      <c r="BW2308" s="3"/>
    </row>
    <row r="2309" spans="1:75">
      <c r="A2309" s="1" t="s">
        <v>35074</v>
      </c>
      <c r="B2309" s="1" t="s">
        <v>13976</v>
      </c>
      <c r="C2309" s="1" t="s">
        <v>39874</v>
      </c>
      <c r="D2309" s="1"/>
      <c r="E2309" s="1"/>
      <c r="F2309" s="1"/>
      <c r="G2309" s="1"/>
      <c r="H2309" s="1" t="s">
        <v>39875</v>
      </c>
      <c r="I2309" s="1" t="s">
        <v>39875</v>
      </c>
      <c r="J2309" s="1"/>
      <c r="K2309" s="1"/>
      <c r="L2309" s="1"/>
      <c r="M2309" s="1"/>
      <c r="N2309" s="1"/>
      <c r="O2309" s="1"/>
      <c r="P2309" s="1"/>
      <c r="Q2309" s="1"/>
      <c r="R2309" s="1"/>
      <c r="S2309" s="1"/>
      <c r="T2309" s="1"/>
      <c r="U2309" s="1"/>
      <c r="V2309" s="1"/>
      <c r="W2309" s="1"/>
      <c r="X2309" s="1"/>
      <c r="Y2309" s="1"/>
      <c r="Z2309" s="1"/>
      <c r="AA2309" s="1"/>
      <c r="AB2309" s="1"/>
      <c r="AC2309" s="1"/>
      <c r="AD2309" s="1" t="s">
        <v>98</v>
      </c>
      <c r="AE2309" s="1" t="s">
        <v>98</v>
      </c>
      <c r="AF2309" s="1"/>
      <c r="AG2309" s="1"/>
      <c r="AH2309" s="1"/>
      <c r="AI2309" s="1"/>
      <c r="AJ2309" s="1"/>
      <c r="AK2309" s="1"/>
      <c r="AL2309" s="1"/>
      <c r="AM2309" s="1"/>
      <c r="AN2309" s="1"/>
      <c r="AO2309" s="1"/>
      <c r="AP2309" s="1"/>
      <c r="AQ2309" s="1"/>
      <c r="AR2309" s="1"/>
      <c r="AS2309" s="1"/>
      <c r="AT2309" s="1"/>
      <c r="AU2309" s="1"/>
      <c r="AV2309" s="1"/>
      <c r="AW2309" s="1"/>
      <c r="AX2309" s="1"/>
      <c r="AY2309" s="1"/>
      <c r="AZ2309" s="1"/>
      <c r="BA2309" s="1"/>
      <c r="BB2309" s="1"/>
      <c r="BC2309" s="1"/>
      <c r="BD2309" s="1"/>
      <c r="BE2309" s="1"/>
      <c r="BF2309" s="1"/>
      <c r="BG2309" s="1"/>
      <c r="BH2309" s="1"/>
      <c r="BI2309" s="1"/>
      <c r="BJ2309" s="1"/>
      <c r="BK2309" s="1"/>
      <c r="BL2309" s="1"/>
      <c r="BM2309" s="1"/>
      <c r="BN2309" s="1"/>
      <c r="BO2309" s="1"/>
      <c r="BP2309" s="1"/>
      <c r="BQ2309" s="1"/>
      <c r="BR2309" s="1"/>
      <c r="BS2309" s="1"/>
      <c r="BT2309" s="1"/>
      <c r="BU2309" s="1" t="s">
        <v>9653</v>
      </c>
      <c r="BV2309" s="3"/>
      <c r="BW2309" s="3"/>
    </row>
    <row r="2310" spans="1:75">
      <c r="A2310" s="1" t="s">
        <v>35074</v>
      </c>
      <c r="B2310" s="1" t="s">
        <v>13976</v>
      </c>
      <c r="C2310" s="1" t="s">
        <v>39876</v>
      </c>
      <c r="D2310" s="1" t="s">
        <v>27195</v>
      </c>
      <c r="E2310" s="1" t="s">
        <v>39877</v>
      </c>
      <c r="F2310" s="1" t="s">
        <v>39878</v>
      </c>
      <c r="G2310" s="1" t="s">
        <v>39879</v>
      </c>
      <c r="H2310" s="1" t="s">
        <v>39880</v>
      </c>
      <c r="I2310" s="1" t="s">
        <v>39881</v>
      </c>
      <c r="J2310" s="1">
        <v>9321550084</v>
      </c>
      <c r="K2310" s="1" t="s">
        <v>153</v>
      </c>
      <c r="L2310" s="1" t="s">
        <v>11940</v>
      </c>
      <c r="M2310" s="1" t="s">
        <v>86</v>
      </c>
      <c r="N2310" s="1" t="s">
        <v>39882</v>
      </c>
      <c r="O2310" s="1" t="s">
        <v>39883</v>
      </c>
      <c r="P2310" s="1" t="s">
        <v>122</v>
      </c>
      <c r="Q2310" s="1">
        <v>535895445704</v>
      </c>
      <c r="R2310" s="1" t="s">
        <v>39877</v>
      </c>
      <c r="S2310" s="1">
        <v>9324239072</v>
      </c>
      <c r="T2310" s="1" t="s">
        <v>839</v>
      </c>
      <c r="U2310" s="1" t="s">
        <v>3502</v>
      </c>
      <c r="V2310" s="1">
        <v>9082338870</v>
      </c>
      <c r="W2310" s="1" t="s">
        <v>278</v>
      </c>
      <c r="X2310" s="1" t="s">
        <v>39884</v>
      </c>
      <c r="Y2310" s="1" t="s">
        <v>1012</v>
      </c>
      <c r="Z2310" s="1" t="s">
        <v>97</v>
      </c>
      <c r="AA2310" s="1" t="s">
        <v>39884</v>
      </c>
      <c r="AB2310" s="1" t="s">
        <v>1012</v>
      </c>
      <c r="AC2310" s="1" t="s">
        <v>97</v>
      </c>
      <c r="AD2310" s="1" t="s">
        <v>98</v>
      </c>
      <c r="AE2310" s="1" t="s">
        <v>98</v>
      </c>
      <c r="AF2310" s="1" t="s">
        <v>39885</v>
      </c>
      <c r="AG2310" s="1" t="s">
        <v>39886</v>
      </c>
      <c r="AH2310" s="1" t="s">
        <v>106</v>
      </c>
      <c r="AI2310" s="1" t="s">
        <v>414</v>
      </c>
      <c r="AJ2310" s="1">
        <v>68.2</v>
      </c>
      <c r="AK2310" s="1">
        <v>7</v>
      </c>
      <c r="AL2310" s="1" t="s">
        <v>39887</v>
      </c>
      <c r="AM2310" s="1" t="s">
        <v>39886</v>
      </c>
      <c r="AN2310" s="1" t="s">
        <v>2995</v>
      </c>
      <c r="AO2310" s="1" t="s">
        <v>468</v>
      </c>
      <c r="AP2310" s="1" t="s">
        <v>1171</v>
      </c>
      <c r="AQ2310" s="1">
        <v>69</v>
      </c>
      <c r="AR2310" s="1">
        <v>7</v>
      </c>
      <c r="AS2310" s="1"/>
      <c r="AT2310" s="1"/>
      <c r="AU2310" s="1"/>
      <c r="AV2310" s="1"/>
      <c r="AW2310" s="1"/>
      <c r="AX2310" s="1"/>
      <c r="AY2310" s="1" t="s">
        <v>39888</v>
      </c>
      <c r="AZ2310" s="1" t="s">
        <v>39889</v>
      </c>
      <c r="BA2310" s="1" t="s">
        <v>37987</v>
      </c>
      <c r="BB2310" s="1" t="s">
        <v>37988</v>
      </c>
      <c r="BC2310" s="1" t="s">
        <v>552</v>
      </c>
      <c r="BD2310" s="1" t="s">
        <v>553</v>
      </c>
      <c r="BE2310" s="1">
        <v>75</v>
      </c>
      <c r="BF2310" s="1">
        <v>7.91</v>
      </c>
      <c r="BG2310" s="1"/>
      <c r="BH2310" s="1"/>
      <c r="BI2310" s="1"/>
      <c r="BJ2310" s="1"/>
      <c r="BK2310" s="1"/>
      <c r="BL2310" s="1"/>
      <c r="BM2310" s="1"/>
      <c r="BN2310" s="1"/>
      <c r="BO2310" s="1" t="s">
        <v>10002</v>
      </c>
      <c r="BP2310" s="1"/>
      <c r="BQ2310" s="1"/>
      <c r="BR2310" s="1" t="s">
        <v>39890</v>
      </c>
      <c r="BS2310" s="1">
        <v>4</v>
      </c>
      <c r="BT2310" s="1"/>
      <c r="BU2310" s="1" t="str">
        <f>HYPERLINK("https://nconnect.nicmar.ac.in/storage/profile/6a84a8c7e840d.png","Download")</f>
        <v>0</v>
      </c>
      <c r="BV2310" s="3"/>
      <c r="BW2310" s="3"/>
    </row>
    <row r="2311" spans="1:75">
      <c r="A2311" s="1" t="s">
        <v>35074</v>
      </c>
      <c r="B2311" s="1" t="s">
        <v>13976</v>
      </c>
      <c r="C2311" s="1" t="s">
        <v>39891</v>
      </c>
      <c r="D2311" s="1"/>
      <c r="E2311" s="1"/>
      <c r="F2311" s="1"/>
      <c r="G2311" s="1"/>
      <c r="H2311" s="1" t="s">
        <v>39892</v>
      </c>
      <c r="I2311" s="1" t="s">
        <v>39892</v>
      </c>
      <c r="J2311" s="1"/>
      <c r="K2311" s="1"/>
      <c r="L2311" s="1"/>
      <c r="M2311" s="1"/>
      <c r="N2311" s="1"/>
      <c r="O2311" s="1"/>
      <c r="P2311" s="1"/>
      <c r="Q2311" s="1"/>
      <c r="R2311" s="1"/>
      <c r="S2311" s="1"/>
      <c r="T2311" s="1"/>
      <c r="U2311" s="1"/>
      <c r="V2311" s="1"/>
      <c r="W2311" s="1"/>
      <c r="X2311" s="1"/>
      <c r="Y2311" s="1"/>
      <c r="Z2311" s="1"/>
      <c r="AA2311" s="1"/>
      <c r="AB2311" s="1"/>
      <c r="AC2311" s="1"/>
      <c r="AD2311" s="1" t="s">
        <v>98</v>
      </c>
      <c r="AE2311" s="1" t="s">
        <v>98</v>
      </c>
      <c r="AF2311" s="1"/>
      <c r="AG2311" s="1"/>
      <c r="AH2311" s="1"/>
      <c r="AI2311" s="1"/>
      <c r="AJ2311" s="1"/>
      <c r="AK2311" s="1"/>
      <c r="AL2311" s="1"/>
      <c r="AM2311" s="1"/>
      <c r="AN2311" s="1"/>
      <c r="AO2311" s="1"/>
      <c r="AP2311" s="1"/>
      <c r="AQ2311" s="1"/>
      <c r="AR2311" s="1"/>
      <c r="AS2311" s="1"/>
      <c r="AT2311" s="1"/>
      <c r="AU2311" s="1"/>
      <c r="AV2311" s="1"/>
      <c r="AW2311" s="1"/>
      <c r="AX2311" s="1"/>
      <c r="AY2311" s="1"/>
      <c r="AZ2311" s="1"/>
      <c r="BA2311" s="1"/>
      <c r="BB2311" s="1"/>
      <c r="BC2311" s="1"/>
      <c r="BD2311" s="1"/>
      <c r="BE2311" s="1"/>
      <c r="BF2311" s="1"/>
      <c r="BG2311" s="1"/>
      <c r="BH2311" s="1"/>
      <c r="BI2311" s="1"/>
      <c r="BJ2311" s="1"/>
      <c r="BK2311" s="1"/>
      <c r="BL2311" s="1"/>
      <c r="BM2311" s="1"/>
      <c r="BN2311" s="1"/>
      <c r="BO2311" s="1"/>
      <c r="BP2311" s="1"/>
      <c r="BQ2311" s="1"/>
      <c r="BR2311" s="1"/>
      <c r="BS2311" s="1"/>
      <c r="BT2311" s="1"/>
      <c r="BU2311" s="1" t="s">
        <v>9653</v>
      </c>
      <c r="BV2311" s="3"/>
      <c r="BW2311" s="3"/>
    </row>
    <row r="2312" spans="1:75">
      <c r="A2312" s="1" t="s">
        <v>35074</v>
      </c>
      <c r="B2312" s="1" t="s">
        <v>13976</v>
      </c>
      <c r="C2312" s="1" t="s">
        <v>39893</v>
      </c>
      <c r="D2312" s="1" t="s">
        <v>39894</v>
      </c>
      <c r="E2312" s="1" t="s">
        <v>8789</v>
      </c>
      <c r="F2312" s="1" t="s">
        <v>6636</v>
      </c>
      <c r="G2312" s="1" t="s">
        <v>39895</v>
      </c>
      <c r="H2312" s="1" t="s">
        <v>39896</v>
      </c>
      <c r="I2312" s="1" t="s">
        <v>39896</v>
      </c>
      <c r="J2312" s="1">
        <v>8160323117</v>
      </c>
      <c r="K2312" s="1" t="s">
        <v>153</v>
      </c>
      <c r="L2312" s="1" t="s">
        <v>7151</v>
      </c>
      <c r="M2312" s="1" t="s">
        <v>86</v>
      </c>
      <c r="N2312" s="1" t="s">
        <v>39897</v>
      </c>
      <c r="O2312" s="1" t="s">
        <v>39898</v>
      </c>
      <c r="P2312" s="1" t="s">
        <v>219</v>
      </c>
      <c r="Q2312" s="1">
        <v>344656697619</v>
      </c>
      <c r="R2312" s="1" t="s">
        <v>39899</v>
      </c>
      <c r="S2312" s="1">
        <v>9376231597</v>
      </c>
      <c r="T2312" s="1" t="s">
        <v>23001</v>
      </c>
      <c r="U2312" s="1" t="s">
        <v>39900</v>
      </c>
      <c r="V2312" s="1">
        <v>9737574704</v>
      </c>
      <c r="W2312" s="1" t="s">
        <v>161</v>
      </c>
      <c r="X2312" s="1" t="s">
        <v>39901</v>
      </c>
      <c r="Y2312" s="1" t="s">
        <v>2880</v>
      </c>
      <c r="Z2312" s="1" t="s">
        <v>676</v>
      </c>
      <c r="AA2312" s="1" t="s">
        <v>39901</v>
      </c>
      <c r="AB2312" s="1" t="s">
        <v>2880</v>
      </c>
      <c r="AC2312" s="1" t="s">
        <v>676</v>
      </c>
      <c r="AD2312" s="1" t="s">
        <v>98</v>
      </c>
      <c r="AE2312" s="1" t="s">
        <v>98</v>
      </c>
      <c r="AF2312" s="1" t="s">
        <v>39902</v>
      </c>
      <c r="AG2312" s="1" t="s">
        <v>39903</v>
      </c>
      <c r="AH2312" s="1" t="s">
        <v>490</v>
      </c>
      <c r="AI2312" s="1" t="s">
        <v>414</v>
      </c>
      <c r="AJ2312" s="1">
        <v>76</v>
      </c>
      <c r="AK2312" s="1"/>
      <c r="AL2312" s="1" t="s">
        <v>39904</v>
      </c>
      <c r="AM2312" s="1" t="s">
        <v>39905</v>
      </c>
      <c r="AN2312" s="1" t="s">
        <v>465</v>
      </c>
      <c r="AO2312" s="1" t="s">
        <v>977</v>
      </c>
      <c r="AP2312" s="1" t="s">
        <v>845</v>
      </c>
      <c r="AQ2312" s="1">
        <v>79</v>
      </c>
      <c r="AR2312" s="1"/>
      <c r="AS2312" s="1"/>
      <c r="AT2312" s="1"/>
      <c r="AU2312" s="1"/>
      <c r="AV2312" s="1"/>
      <c r="AW2312" s="1"/>
      <c r="AX2312" s="1"/>
      <c r="AY2312" s="1" t="s">
        <v>39906</v>
      </c>
      <c r="AZ2312" s="1" t="s">
        <v>39906</v>
      </c>
      <c r="BA2312" s="1" t="s">
        <v>578</v>
      </c>
      <c r="BB2312" s="1" t="s">
        <v>467</v>
      </c>
      <c r="BC2312" s="1" t="s">
        <v>441</v>
      </c>
      <c r="BD2312" s="1" t="s">
        <v>553</v>
      </c>
      <c r="BE2312" s="1">
        <v>57</v>
      </c>
      <c r="BF2312" s="1">
        <v>8.1</v>
      </c>
      <c r="BG2312" s="1"/>
      <c r="BH2312" s="1"/>
      <c r="BI2312" s="1"/>
      <c r="BJ2312" s="1"/>
      <c r="BK2312" s="1"/>
      <c r="BL2312" s="1"/>
      <c r="BM2312" s="1"/>
      <c r="BN2312" s="1"/>
      <c r="BO2312" s="1" t="s">
        <v>39907</v>
      </c>
      <c r="BP2312" s="1"/>
      <c r="BQ2312" s="1"/>
      <c r="BR2312" s="1"/>
      <c r="BS2312" s="1"/>
      <c r="BT2312" s="1"/>
      <c r="BU2312" s="1" t="str">
        <f>HYPERLINK("https://nconnect.nicmar.ac.in/storage/profile/6a85d7ff3f7c0.png","Download")</f>
        <v>0</v>
      </c>
      <c r="BV2312" s="3"/>
      <c r="BW2312" s="3"/>
    </row>
    <row r="2313" spans="1:75">
      <c r="A2313" s="1" t="s">
        <v>35074</v>
      </c>
      <c r="B2313" s="1" t="s">
        <v>13976</v>
      </c>
      <c r="C2313" s="1" t="s">
        <v>39908</v>
      </c>
      <c r="D2313" s="1" t="s">
        <v>39909</v>
      </c>
      <c r="E2313" s="1"/>
      <c r="F2313" s="1" t="s">
        <v>39910</v>
      </c>
      <c r="G2313" s="1" t="s">
        <v>39911</v>
      </c>
      <c r="H2313" s="1" t="s">
        <v>39912</v>
      </c>
      <c r="I2313" s="1" t="s">
        <v>39912</v>
      </c>
      <c r="J2313" s="1">
        <v>7594951640</v>
      </c>
      <c r="K2313" s="1" t="s">
        <v>153</v>
      </c>
      <c r="L2313" s="1" t="s">
        <v>37179</v>
      </c>
      <c r="M2313" s="1" t="s">
        <v>86</v>
      </c>
      <c r="N2313" s="1" t="s">
        <v>39913</v>
      </c>
      <c r="O2313" s="1" t="s">
        <v>24141</v>
      </c>
      <c r="P2313" s="1" t="s">
        <v>89</v>
      </c>
      <c r="Q2313" s="1">
        <v>866703568868</v>
      </c>
      <c r="R2313" s="1" t="s">
        <v>39914</v>
      </c>
      <c r="S2313" s="1">
        <v>9895487256</v>
      </c>
      <c r="T2313" s="1" t="s">
        <v>3439</v>
      </c>
      <c r="U2313" s="1" t="s">
        <v>39915</v>
      </c>
      <c r="V2313" s="1">
        <v>9895217256</v>
      </c>
      <c r="W2313" s="1" t="s">
        <v>16891</v>
      </c>
      <c r="X2313" s="1" t="s">
        <v>39916</v>
      </c>
      <c r="Y2313" s="1" t="s">
        <v>2526</v>
      </c>
      <c r="Z2313" s="1" t="s">
        <v>130</v>
      </c>
      <c r="AA2313" s="1" t="s">
        <v>39916</v>
      </c>
      <c r="AB2313" s="1" t="s">
        <v>2526</v>
      </c>
      <c r="AC2313" s="1" t="s">
        <v>130</v>
      </c>
      <c r="AD2313" s="1" t="s">
        <v>98</v>
      </c>
      <c r="AE2313" s="1" t="s">
        <v>98</v>
      </c>
      <c r="AF2313" s="1" t="s">
        <v>39917</v>
      </c>
      <c r="AG2313" s="1" t="s">
        <v>39918</v>
      </c>
      <c r="AH2313" s="1" t="s">
        <v>438</v>
      </c>
      <c r="AI2313" s="1" t="s">
        <v>417</v>
      </c>
      <c r="AJ2313" s="1">
        <v>85</v>
      </c>
      <c r="AK2313" s="1">
        <v>8.5</v>
      </c>
      <c r="AL2313" s="1" t="s">
        <v>39917</v>
      </c>
      <c r="AM2313" s="1" t="s">
        <v>39918</v>
      </c>
      <c r="AN2313" s="1" t="s">
        <v>35580</v>
      </c>
      <c r="AO2313" s="1" t="s">
        <v>1040</v>
      </c>
      <c r="AP2313" s="1" t="s">
        <v>632</v>
      </c>
      <c r="AQ2313" s="1">
        <v>93</v>
      </c>
      <c r="AR2313" s="1">
        <v>9.3</v>
      </c>
      <c r="AS2313" s="1"/>
      <c r="AT2313" s="1"/>
      <c r="AU2313" s="1"/>
      <c r="AV2313" s="1"/>
      <c r="AW2313" s="1"/>
      <c r="AX2313" s="1"/>
      <c r="AY2313" s="1" t="s">
        <v>39919</v>
      </c>
      <c r="AZ2313" s="1" t="s">
        <v>196</v>
      </c>
      <c r="BA2313" s="1" t="s">
        <v>35549</v>
      </c>
      <c r="BB2313" s="1" t="s">
        <v>39920</v>
      </c>
      <c r="BC2313" s="1" t="s">
        <v>110</v>
      </c>
      <c r="BD2313" s="1" t="s">
        <v>553</v>
      </c>
      <c r="BE2313" s="1">
        <v>71</v>
      </c>
      <c r="BF2313" s="1">
        <v>7.11</v>
      </c>
      <c r="BG2313" s="1"/>
      <c r="BH2313" s="1"/>
      <c r="BI2313" s="1"/>
      <c r="BJ2313" s="1"/>
      <c r="BK2313" s="1"/>
      <c r="BL2313" s="1"/>
      <c r="BM2313" s="1"/>
      <c r="BN2313" s="1"/>
      <c r="BO2313" s="1" t="s">
        <v>39921</v>
      </c>
      <c r="BP2313" s="1"/>
      <c r="BQ2313" s="1"/>
      <c r="BR2313" s="1"/>
      <c r="BS2313" s="1"/>
      <c r="BT2313" s="1"/>
      <c r="BU2313" s="1" t="str">
        <f>HYPERLINK("https://nconnect.nicmar.ac.in/storage/profile/6a8535ed892de.png","Download")</f>
        <v>0</v>
      </c>
      <c r="BV2313" s="3"/>
      <c r="BW2313" s="3"/>
    </row>
    <row r="2314" spans="1:75">
      <c r="A2314" s="1" t="s">
        <v>35074</v>
      </c>
      <c r="B2314" s="1" t="s">
        <v>13976</v>
      </c>
      <c r="C2314" s="1" t="s">
        <v>39922</v>
      </c>
      <c r="D2314" s="1" t="s">
        <v>39923</v>
      </c>
      <c r="E2314" s="1" t="s">
        <v>39924</v>
      </c>
      <c r="F2314" s="1" t="s">
        <v>39925</v>
      </c>
      <c r="G2314" s="1" t="s">
        <v>39926</v>
      </c>
      <c r="H2314" s="1" t="s">
        <v>39927</v>
      </c>
      <c r="I2314" s="1" t="s">
        <v>39927</v>
      </c>
      <c r="J2314" s="1">
        <v>9392516415</v>
      </c>
      <c r="K2314" s="1" t="s">
        <v>84</v>
      </c>
      <c r="L2314" s="1" t="s">
        <v>22014</v>
      </c>
      <c r="M2314" s="1" t="s">
        <v>86</v>
      </c>
      <c r="N2314" s="1" t="s">
        <v>39928</v>
      </c>
      <c r="O2314" s="1" t="s">
        <v>39929</v>
      </c>
      <c r="P2314" s="1" t="s">
        <v>122</v>
      </c>
      <c r="Q2314" s="1" t="s">
        <v>39930</v>
      </c>
      <c r="R2314" s="1" t="s">
        <v>39931</v>
      </c>
      <c r="S2314" s="1">
        <v>8328672812</v>
      </c>
      <c r="T2314" s="1" t="s">
        <v>17120</v>
      </c>
      <c r="U2314" s="1" t="s">
        <v>39932</v>
      </c>
      <c r="V2314" s="1">
        <v>8328672812</v>
      </c>
      <c r="W2314" s="1" t="s">
        <v>14234</v>
      </c>
      <c r="X2314" s="1" t="s">
        <v>39933</v>
      </c>
      <c r="Y2314" s="1" t="s">
        <v>15794</v>
      </c>
      <c r="Z2314" s="1" t="s">
        <v>281</v>
      </c>
      <c r="AA2314" s="1" t="s">
        <v>39933</v>
      </c>
      <c r="AB2314" s="1" t="s">
        <v>15794</v>
      </c>
      <c r="AC2314" s="1" t="s">
        <v>281</v>
      </c>
      <c r="AD2314" s="1" t="s">
        <v>98</v>
      </c>
      <c r="AE2314" s="1" t="s">
        <v>98</v>
      </c>
      <c r="AF2314" s="1" t="s">
        <v>39934</v>
      </c>
      <c r="AG2314" s="1" t="s">
        <v>39935</v>
      </c>
      <c r="AH2314" s="1" t="s">
        <v>3770</v>
      </c>
      <c r="AI2314" s="1" t="s">
        <v>171</v>
      </c>
      <c r="AJ2314" s="1">
        <v>50</v>
      </c>
      <c r="AK2314" s="1"/>
      <c r="AL2314" s="1" t="s">
        <v>39936</v>
      </c>
      <c r="AM2314" s="1" t="s">
        <v>39937</v>
      </c>
      <c r="AN2314" s="1" t="s">
        <v>465</v>
      </c>
      <c r="AO2314" s="1" t="s">
        <v>438</v>
      </c>
      <c r="AP2314" s="1" t="s">
        <v>468</v>
      </c>
      <c r="AQ2314" s="1">
        <v>74</v>
      </c>
      <c r="AR2314" s="1"/>
      <c r="AS2314" s="1"/>
      <c r="AT2314" s="1"/>
      <c r="AU2314" s="1"/>
      <c r="AV2314" s="1"/>
      <c r="AW2314" s="1"/>
      <c r="AX2314" s="1"/>
      <c r="AY2314" s="1" t="s">
        <v>39938</v>
      </c>
      <c r="AZ2314" s="1" t="s">
        <v>39939</v>
      </c>
      <c r="BA2314" s="1" t="s">
        <v>466</v>
      </c>
      <c r="BB2314" s="1" t="s">
        <v>38469</v>
      </c>
      <c r="BC2314" s="1" t="s">
        <v>1040</v>
      </c>
      <c r="BD2314" s="1" t="s">
        <v>418</v>
      </c>
      <c r="BE2314" s="1">
        <v>64</v>
      </c>
      <c r="BF2314" s="1"/>
      <c r="BG2314" s="1"/>
      <c r="BH2314" s="1"/>
      <c r="BI2314" s="1"/>
      <c r="BJ2314" s="1"/>
      <c r="BK2314" s="1"/>
      <c r="BL2314" s="1"/>
      <c r="BM2314" s="1"/>
      <c r="BN2314" s="1"/>
      <c r="BO2314" s="1" t="s">
        <v>19065</v>
      </c>
      <c r="BP2314" s="1"/>
      <c r="BQ2314" s="1"/>
      <c r="BR2314" s="1"/>
      <c r="BS2314" s="1"/>
      <c r="BT2314" s="1"/>
      <c r="BU2314" s="1" t="str">
        <f>HYPERLINK("https://nconnect.nicmar.ac.in/storage/profile/6a85dd4e1d505.png","Download")</f>
        <v>0</v>
      </c>
      <c r="BV2314" s="3"/>
      <c r="BW2314" s="3"/>
    </row>
    <row r="2315" spans="1:75">
      <c r="A2315" s="1" t="s">
        <v>35074</v>
      </c>
      <c r="B2315" s="1" t="s">
        <v>13976</v>
      </c>
      <c r="C2315" s="1" t="s">
        <v>39940</v>
      </c>
      <c r="D2315" s="1" t="s">
        <v>15498</v>
      </c>
      <c r="E2315" s="1"/>
      <c r="F2315" s="1" t="s">
        <v>14908</v>
      </c>
      <c r="G2315" s="1" t="s">
        <v>39941</v>
      </c>
      <c r="H2315" s="1" t="s">
        <v>39942</v>
      </c>
      <c r="I2315" s="1" t="s">
        <v>39942</v>
      </c>
      <c r="J2315" s="1">
        <v>7303936829</v>
      </c>
      <c r="K2315" s="1" t="s">
        <v>84</v>
      </c>
      <c r="L2315" s="1" t="s">
        <v>39943</v>
      </c>
      <c r="M2315" s="1" t="s">
        <v>86</v>
      </c>
      <c r="N2315" s="1" t="s">
        <v>355</v>
      </c>
      <c r="O2315" s="1" t="s">
        <v>39944</v>
      </c>
      <c r="P2315" s="1" t="s">
        <v>89</v>
      </c>
      <c r="Q2315" s="1">
        <v>223278502104</v>
      </c>
      <c r="R2315" s="1" t="s">
        <v>39945</v>
      </c>
      <c r="S2315" s="1">
        <v>9031148907</v>
      </c>
      <c r="T2315" s="1" t="s">
        <v>18971</v>
      </c>
      <c r="U2315" s="1" t="s">
        <v>39946</v>
      </c>
      <c r="V2315" s="1">
        <v>8210399360</v>
      </c>
      <c r="W2315" s="1" t="s">
        <v>14116</v>
      </c>
      <c r="X2315" s="1" t="s">
        <v>39947</v>
      </c>
      <c r="Y2315" s="1" t="s">
        <v>2954</v>
      </c>
      <c r="Z2315" s="1" t="s">
        <v>2955</v>
      </c>
      <c r="AA2315" s="1" t="s">
        <v>39947</v>
      </c>
      <c r="AB2315" s="1" t="s">
        <v>2954</v>
      </c>
      <c r="AC2315" s="1" t="s">
        <v>2955</v>
      </c>
      <c r="AD2315" s="1" t="s">
        <v>98</v>
      </c>
      <c r="AE2315" s="1" t="s">
        <v>98</v>
      </c>
      <c r="AF2315" s="1"/>
      <c r="AG2315" s="1"/>
      <c r="AH2315" s="1"/>
      <c r="AI2315" s="1"/>
      <c r="AJ2315" s="1"/>
      <c r="AK2315" s="1"/>
      <c r="AL2315" s="1"/>
      <c r="AM2315" s="1"/>
      <c r="AN2315" s="1"/>
      <c r="AO2315" s="1"/>
      <c r="AP2315" s="1"/>
      <c r="AQ2315" s="1"/>
      <c r="AR2315" s="1"/>
      <c r="AS2315" s="1"/>
      <c r="AT2315" s="1"/>
      <c r="AU2315" s="1"/>
      <c r="AV2315" s="1"/>
      <c r="AW2315" s="1"/>
      <c r="AX2315" s="1"/>
      <c r="AY2315" s="1"/>
      <c r="AZ2315" s="1"/>
      <c r="BA2315" s="1"/>
      <c r="BB2315" s="1"/>
      <c r="BC2315" s="1"/>
      <c r="BD2315" s="1"/>
      <c r="BE2315" s="1"/>
      <c r="BF2315" s="1"/>
      <c r="BG2315" s="1"/>
      <c r="BH2315" s="1"/>
      <c r="BI2315" s="1"/>
      <c r="BJ2315" s="1"/>
      <c r="BK2315" s="1"/>
      <c r="BL2315" s="1"/>
      <c r="BM2315" s="1"/>
      <c r="BN2315" s="1"/>
      <c r="BO2315" s="1"/>
      <c r="BP2315" s="1" t="s">
        <v>39948</v>
      </c>
      <c r="BQ2315" s="1" t="s">
        <v>1564</v>
      </c>
      <c r="BR2315" s="1"/>
      <c r="BS2315" s="1"/>
      <c r="BT2315" s="1"/>
      <c r="BU2315" s="1" t="str">
        <f>HYPERLINK("https://nconnect.nicmar.ac.in/storage/profile/6a85d94cd12b0.png","Download")</f>
        <v>0</v>
      </c>
      <c r="BV2315" s="3"/>
      <c r="BW2315" s="3"/>
    </row>
    <row r="2316" spans="1:75">
      <c r="A2316" s="1" t="s">
        <v>35074</v>
      </c>
      <c r="B2316" s="1" t="s">
        <v>13976</v>
      </c>
      <c r="C2316" s="1" t="s">
        <v>39949</v>
      </c>
      <c r="D2316" s="1"/>
      <c r="E2316" s="1"/>
      <c r="F2316" s="1"/>
      <c r="G2316" s="1"/>
      <c r="H2316" s="1" t="s">
        <v>39950</v>
      </c>
      <c r="I2316" s="1" t="s">
        <v>39950</v>
      </c>
      <c r="J2316" s="1"/>
      <c r="K2316" s="1"/>
      <c r="L2316" s="1"/>
      <c r="M2316" s="1"/>
      <c r="N2316" s="1"/>
      <c r="O2316" s="1"/>
      <c r="P2316" s="1"/>
      <c r="Q2316" s="1"/>
      <c r="R2316" s="1"/>
      <c r="S2316" s="1"/>
      <c r="T2316" s="1"/>
      <c r="U2316" s="1"/>
      <c r="V2316" s="1"/>
      <c r="W2316" s="1"/>
      <c r="X2316" s="1"/>
      <c r="Y2316" s="1"/>
      <c r="Z2316" s="1"/>
      <c r="AA2316" s="1"/>
      <c r="AB2316" s="1"/>
      <c r="AC2316" s="1"/>
      <c r="AD2316" s="1" t="s">
        <v>98</v>
      </c>
      <c r="AE2316" s="1" t="s">
        <v>98</v>
      </c>
      <c r="AF2316" s="1"/>
      <c r="AG2316" s="1"/>
      <c r="AH2316" s="1"/>
      <c r="AI2316" s="1"/>
      <c r="AJ2316" s="1"/>
      <c r="AK2316" s="1"/>
      <c r="AL2316" s="1"/>
      <c r="AM2316" s="1"/>
      <c r="AN2316" s="1"/>
      <c r="AO2316" s="1"/>
      <c r="AP2316" s="1"/>
      <c r="AQ2316" s="1"/>
      <c r="AR2316" s="1"/>
      <c r="AS2316" s="1"/>
      <c r="AT2316" s="1"/>
      <c r="AU2316" s="1"/>
      <c r="AV2316" s="1"/>
      <c r="AW2316" s="1"/>
      <c r="AX2316" s="1"/>
      <c r="AY2316" s="1"/>
      <c r="AZ2316" s="1"/>
      <c r="BA2316" s="1"/>
      <c r="BB2316" s="1"/>
      <c r="BC2316" s="1"/>
      <c r="BD2316" s="1"/>
      <c r="BE2316" s="1"/>
      <c r="BF2316" s="1"/>
      <c r="BG2316" s="1"/>
      <c r="BH2316" s="1"/>
      <c r="BI2316" s="1"/>
      <c r="BJ2316" s="1"/>
      <c r="BK2316" s="1"/>
      <c r="BL2316" s="1"/>
      <c r="BM2316" s="1"/>
      <c r="BN2316" s="1"/>
      <c r="BO2316" s="1"/>
      <c r="BP2316" s="1"/>
      <c r="BQ2316" s="1"/>
      <c r="BR2316" s="1"/>
      <c r="BS2316" s="1"/>
      <c r="BT2316" s="1"/>
      <c r="BU2316" s="1" t="str">
        <f>HYPERLINK("https://nconnect.nicmar.ac.in/storage/profile/6a867ab9efb9f.png","Download")</f>
        <v>0</v>
      </c>
      <c r="BV2316" s="3"/>
      <c r="BW2316" s="3"/>
    </row>
    <row r="2317" spans="1:75">
      <c r="A2317" s="1" t="s">
        <v>35074</v>
      </c>
      <c r="B2317" s="1" t="s">
        <v>13976</v>
      </c>
      <c r="C2317" s="1" t="s">
        <v>39951</v>
      </c>
      <c r="D2317" s="1" t="s">
        <v>39952</v>
      </c>
      <c r="E2317" s="1" t="s">
        <v>39953</v>
      </c>
      <c r="F2317" s="1" t="s">
        <v>39954</v>
      </c>
      <c r="G2317" s="1" t="s">
        <v>39955</v>
      </c>
      <c r="H2317" s="1" t="s">
        <v>39956</v>
      </c>
      <c r="I2317" s="1" t="s">
        <v>39957</v>
      </c>
      <c r="J2317" s="1">
        <v>9595427000</v>
      </c>
      <c r="K2317" s="1" t="s">
        <v>84</v>
      </c>
      <c r="L2317" s="1" t="s">
        <v>39958</v>
      </c>
      <c r="M2317" s="1" t="s">
        <v>86</v>
      </c>
      <c r="N2317" s="1" t="s">
        <v>4263</v>
      </c>
      <c r="O2317" s="1" t="s">
        <v>10801</v>
      </c>
      <c r="P2317" s="1" t="s">
        <v>122</v>
      </c>
      <c r="Q2317" s="1">
        <v>448218804171</v>
      </c>
      <c r="R2317" s="1" t="s">
        <v>39953</v>
      </c>
      <c r="S2317" s="1">
        <v>9967953241</v>
      </c>
      <c r="T2317" s="1" t="s">
        <v>22202</v>
      </c>
      <c r="U2317" s="1" t="s">
        <v>14524</v>
      </c>
      <c r="V2317" s="1">
        <v>9356374691</v>
      </c>
      <c r="W2317" s="1" t="s">
        <v>24807</v>
      </c>
      <c r="X2317" s="1" t="s">
        <v>39959</v>
      </c>
      <c r="Y2317" s="1" t="s">
        <v>196</v>
      </c>
      <c r="Z2317" s="1" t="s">
        <v>97</v>
      </c>
      <c r="AA2317" s="1" t="s">
        <v>39959</v>
      </c>
      <c r="AB2317" s="1" t="s">
        <v>196</v>
      </c>
      <c r="AC2317" s="1" t="s">
        <v>97</v>
      </c>
      <c r="AD2317" s="1" t="s">
        <v>98</v>
      </c>
      <c r="AE2317" s="1" t="s">
        <v>98</v>
      </c>
      <c r="AF2317" s="1" t="s">
        <v>39960</v>
      </c>
      <c r="AG2317" s="1" t="s">
        <v>39961</v>
      </c>
      <c r="AH2317" s="1" t="s">
        <v>133</v>
      </c>
      <c r="AI2317" s="1" t="s">
        <v>1457</v>
      </c>
      <c r="AJ2317" s="1">
        <v>73.6</v>
      </c>
      <c r="AK2317" s="1">
        <v>0</v>
      </c>
      <c r="AL2317" s="1"/>
      <c r="AM2317" s="1"/>
      <c r="AN2317" s="1"/>
      <c r="AO2317" s="1"/>
      <c r="AP2317" s="1"/>
      <c r="AQ2317" s="1"/>
      <c r="AR2317" s="1"/>
      <c r="AS2317" s="1" t="s">
        <v>39962</v>
      </c>
      <c r="AT2317" s="1" t="s">
        <v>39963</v>
      </c>
      <c r="AU2317" s="1" t="s">
        <v>1583</v>
      </c>
      <c r="AV2317" s="1" t="s">
        <v>438</v>
      </c>
      <c r="AW2317" s="1">
        <v>61.12</v>
      </c>
      <c r="AX2317" s="1"/>
      <c r="AY2317" s="1" t="s">
        <v>39964</v>
      </c>
      <c r="AZ2317" s="1" t="s">
        <v>39965</v>
      </c>
      <c r="BA2317" s="1" t="s">
        <v>682</v>
      </c>
      <c r="BB2317" s="1" t="s">
        <v>39966</v>
      </c>
      <c r="BC2317" s="1" t="s">
        <v>178</v>
      </c>
      <c r="BD2317" s="1" t="s">
        <v>1401</v>
      </c>
      <c r="BE2317" s="1">
        <v>63.99</v>
      </c>
      <c r="BF2317" s="1">
        <v>6.7</v>
      </c>
      <c r="BG2317" s="1"/>
      <c r="BH2317" s="1"/>
      <c r="BI2317" s="1"/>
      <c r="BJ2317" s="1"/>
      <c r="BK2317" s="1"/>
      <c r="BL2317" s="1"/>
      <c r="BM2317" s="1"/>
      <c r="BN2317" s="1"/>
      <c r="BO2317" s="1" t="s">
        <v>39967</v>
      </c>
      <c r="BP2317" s="1" t="s">
        <v>39968</v>
      </c>
      <c r="BQ2317" s="1" t="s">
        <v>1043</v>
      </c>
      <c r="BR2317" s="1"/>
      <c r="BS2317" s="1"/>
      <c r="BT2317" s="1" t="s">
        <v>39969</v>
      </c>
      <c r="BU2317" s="1" t="str">
        <f>HYPERLINK("https://nconnect.nicmar.ac.in/storage/profile/6a85e86434ace.png","Download")</f>
        <v>0</v>
      </c>
      <c r="BV2317" s="3"/>
      <c r="BW2317" s="3"/>
    </row>
    <row r="2318" spans="1:75">
      <c r="A2318" s="1" t="s">
        <v>35074</v>
      </c>
      <c r="B2318" s="1" t="s">
        <v>13976</v>
      </c>
      <c r="C2318" s="1" t="s">
        <v>39970</v>
      </c>
      <c r="D2318" s="1" t="s">
        <v>18800</v>
      </c>
      <c r="E2318" s="1" t="s">
        <v>39971</v>
      </c>
      <c r="F2318" s="1" t="s">
        <v>39972</v>
      </c>
      <c r="G2318" s="1" t="s">
        <v>39973</v>
      </c>
      <c r="H2318" s="1" t="s">
        <v>39974</v>
      </c>
      <c r="I2318" s="1" t="s">
        <v>39974</v>
      </c>
      <c r="J2318" s="1">
        <v>7506256998</v>
      </c>
      <c r="K2318" s="1" t="s">
        <v>84</v>
      </c>
      <c r="L2318" s="1" t="s">
        <v>9098</v>
      </c>
      <c r="M2318" s="1" t="s">
        <v>86</v>
      </c>
      <c r="N2318" s="1" t="s">
        <v>23620</v>
      </c>
      <c r="O2318" s="1" t="s">
        <v>39975</v>
      </c>
      <c r="P2318" s="1" t="s">
        <v>122</v>
      </c>
      <c r="Q2318" s="1">
        <v>856278868744</v>
      </c>
      <c r="R2318" s="1" t="s">
        <v>39971</v>
      </c>
      <c r="S2318" s="1">
        <v>9969144481</v>
      </c>
      <c r="T2318" s="1" t="s">
        <v>2177</v>
      </c>
      <c r="U2318" s="1" t="s">
        <v>39976</v>
      </c>
      <c r="V2318" s="1">
        <v>9769811747</v>
      </c>
      <c r="W2318" s="1" t="s">
        <v>14234</v>
      </c>
      <c r="X2318" s="1" t="s">
        <v>39977</v>
      </c>
      <c r="Y2318" s="1" t="s">
        <v>1012</v>
      </c>
      <c r="Z2318" s="1" t="s">
        <v>97</v>
      </c>
      <c r="AA2318" s="1" t="s">
        <v>39978</v>
      </c>
      <c r="AB2318" s="1" t="s">
        <v>1012</v>
      </c>
      <c r="AC2318" s="1" t="s">
        <v>97</v>
      </c>
      <c r="AD2318" s="1" t="s">
        <v>98</v>
      </c>
      <c r="AE2318" s="1" t="s">
        <v>98</v>
      </c>
      <c r="AF2318" s="1" t="s">
        <v>39979</v>
      </c>
      <c r="AG2318" s="1" t="s">
        <v>39980</v>
      </c>
      <c r="AH2318" s="1" t="s">
        <v>166</v>
      </c>
      <c r="AI2318" s="1" t="s">
        <v>1111</v>
      </c>
      <c r="AJ2318" s="1">
        <v>65</v>
      </c>
      <c r="AK2318" s="1"/>
      <c r="AL2318" s="1"/>
      <c r="AM2318" s="1"/>
      <c r="AN2318" s="1"/>
      <c r="AO2318" s="1"/>
      <c r="AP2318" s="1"/>
      <c r="AQ2318" s="1"/>
      <c r="AR2318" s="1"/>
      <c r="AS2318" s="1" t="s">
        <v>39981</v>
      </c>
      <c r="AT2318" s="1" t="s">
        <v>39982</v>
      </c>
      <c r="AU2318" s="1" t="s">
        <v>1396</v>
      </c>
      <c r="AV2318" s="1" t="s">
        <v>1192</v>
      </c>
      <c r="AW2318" s="1">
        <v>75</v>
      </c>
      <c r="AX2318" s="1"/>
      <c r="AY2318" s="1" t="s">
        <v>14059</v>
      </c>
      <c r="AZ2318" s="1" t="s">
        <v>39983</v>
      </c>
      <c r="BA2318" s="1" t="s">
        <v>578</v>
      </c>
      <c r="BB2318" s="1" t="s">
        <v>1062</v>
      </c>
      <c r="BC2318" s="1" t="s">
        <v>847</v>
      </c>
      <c r="BD2318" s="1" t="s">
        <v>418</v>
      </c>
      <c r="BE2318" s="1">
        <v>58.53</v>
      </c>
      <c r="BF2318" s="1">
        <v>6.44</v>
      </c>
      <c r="BG2318" s="1"/>
      <c r="BH2318" s="1"/>
      <c r="BI2318" s="1"/>
      <c r="BJ2318" s="1"/>
      <c r="BK2318" s="1"/>
      <c r="BL2318" s="1"/>
      <c r="BM2318" s="1"/>
      <c r="BN2318" s="1"/>
      <c r="BO2318" s="1" t="s">
        <v>39984</v>
      </c>
      <c r="BP2318" s="1" t="s">
        <v>39985</v>
      </c>
      <c r="BQ2318" s="1" t="s">
        <v>1152</v>
      </c>
      <c r="BR2318" s="1"/>
      <c r="BS2318" s="1"/>
      <c r="BT2318" s="1"/>
      <c r="BU2318" s="1" t="str">
        <f>HYPERLINK("https://nconnect.nicmar.ac.in/storage/profile/6a85f5af2cc12.png","Download")</f>
        <v>0</v>
      </c>
      <c r="BV2318" s="3"/>
      <c r="BW2318" s="3"/>
    </row>
    <row r="2319" spans="1:75">
      <c r="A2319" s="1" t="s">
        <v>35074</v>
      </c>
      <c r="B2319" s="1" t="s">
        <v>13976</v>
      </c>
      <c r="C2319" s="1" t="s">
        <v>39986</v>
      </c>
      <c r="D2319" s="1"/>
      <c r="E2319" s="1"/>
      <c r="F2319" s="1"/>
      <c r="G2319" s="1"/>
      <c r="H2319" s="1" t="s">
        <v>39987</v>
      </c>
      <c r="I2319" s="1" t="s">
        <v>39987</v>
      </c>
      <c r="J2319" s="1"/>
      <c r="K2319" s="1"/>
      <c r="L2319" s="1"/>
      <c r="M2319" s="1"/>
      <c r="N2319" s="1"/>
      <c r="O2319" s="1"/>
      <c r="P2319" s="1"/>
      <c r="Q2319" s="1"/>
      <c r="R2319" s="1"/>
      <c r="S2319" s="1"/>
      <c r="T2319" s="1"/>
      <c r="U2319" s="1"/>
      <c r="V2319" s="1"/>
      <c r="W2319" s="1"/>
      <c r="X2319" s="1"/>
      <c r="Y2319" s="1"/>
      <c r="Z2319" s="1"/>
      <c r="AA2319" s="1"/>
      <c r="AB2319" s="1"/>
      <c r="AC2319" s="1"/>
      <c r="AD2319" s="1" t="s">
        <v>98</v>
      </c>
      <c r="AE2319" s="1" t="s">
        <v>98</v>
      </c>
      <c r="AF2319" s="1"/>
      <c r="AG2319" s="1"/>
      <c r="AH2319" s="1"/>
      <c r="AI2319" s="1"/>
      <c r="AJ2319" s="1"/>
      <c r="AK2319" s="1"/>
      <c r="AL2319" s="1"/>
      <c r="AM2319" s="1"/>
      <c r="AN2319" s="1"/>
      <c r="AO2319" s="1"/>
      <c r="AP2319" s="1"/>
      <c r="AQ2319" s="1"/>
      <c r="AR2319" s="1"/>
      <c r="AS2319" s="1"/>
      <c r="AT2319" s="1"/>
      <c r="AU2319" s="1"/>
      <c r="AV2319" s="1"/>
      <c r="AW2319" s="1"/>
      <c r="AX2319" s="1"/>
      <c r="AY2319" s="1"/>
      <c r="AZ2319" s="1"/>
      <c r="BA2319" s="1"/>
      <c r="BB2319" s="1"/>
      <c r="BC2319" s="1"/>
      <c r="BD2319" s="1"/>
      <c r="BE2319" s="1"/>
      <c r="BF2319" s="1"/>
      <c r="BG2319" s="1"/>
      <c r="BH2319" s="1"/>
      <c r="BI2319" s="1"/>
      <c r="BJ2319" s="1"/>
      <c r="BK2319" s="1"/>
      <c r="BL2319" s="1"/>
      <c r="BM2319" s="1"/>
      <c r="BN2319" s="1"/>
      <c r="BO2319" s="1"/>
      <c r="BP2319" s="1"/>
      <c r="BQ2319" s="1"/>
      <c r="BR2319" s="1"/>
      <c r="BS2319" s="1"/>
      <c r="BT2319" s="1"/>
      <c r="BU2319" s="1" t="s">
        <v>9653</v>
      </c>
      <c r="BV2319" s="3"/>
      <c r="BW2319" s="3"/>
    </row>
    <row r="2320" spans="1:75">
      <c r="A2320" s="1" t="s">
        <v>35074</v>
      </c>
      <c r="B2320" s="1" t="s">
        <v>13976</v>
      </c>
      <c r="C2320" s="1" t="s">
        <v>39988</v>
      </c>
      <c r="D2320" s="1" t="s">
        <v>39989</v>
      </c>
      <c r="E2320" s="1"/>
      <c r="F2320" s="1" t="s">
        <v>9671</v>
      </c>
      <c r="G2320" s="1" t="s">
        <v>39990</v>
      </c>
      <c r="H2320" s="1" t="s">
        <v>39991</v>
      </c>
      <c r="I2320" s="1" t="s">
        <v>39991</v>
      </c>
      <c r="J2320" s="1">
        <v>7024240318</v>
      </c>
      <c r="K2320" s="1" t="s">
        <v>84</v>
      </c>
      <c r="L2320" s="1" t="s">
        <v>6372</v>
      </c>
      <c r="M2320" s="1" t="s">
        <v>86</v>
      </c>
      <c r="N2320" s="1" t="s">
        <v>24997</v>
      </c>
      <c r="O2320" s="1" t="s">
        <v>1301</v>
      </c>
      <c r="P2320" s="1" t="s">
        <v>219</v>
      </c>
      <c r="Q2320" s="1" t="s">
        <v>39992</v>
      </c>
      <c r="R2320" s="1" t="s">
        <v>15875</v>
      </c>
      <c r="S2320" s="1">
        <v>9425405199</v>
      </c>
      <c r="T2320" s="1" t="s">
        <v>39993</v>
      </c>
      <c r="U2320" s="1" t="s">
        <v>39994</v>
      </c>
      <c r="V2320" s="1">
        <v>9425405199</v>
      </c>
      <c r="W2320" s="1" t="s">
        <v>19919</v>
      </c>
      <c r="X2320" s="1" t="s">
        <v>39995</v>
      </c>
      <c r="Y2320" s="1" t="s">
        <v>5622</v>
      </c>
      <c r="Z2320" s="1" t="s">
        <v>3419</v>
      </c>
      <c r="AA2320" s="1" t="s">
        <v>39995</v>
      </c>
      <c r="AB2320" s="1" t="s">
        <v>5622</v>
      </c>
      <c r="AC2320" s="1" t="s">
        <v>3419</v>
      </c>
      <c r="AD2320" s="1" t="s">
        <v>98</v>
      </c>
      <c r="AE2320" s="1" t="s">
        <v>98</v>
      </c>
      <c r="AF2320" s="1"/>
      <c r="AG2320" s="1"/>
      <c r="AH2320" s="1"/>
      <c r="AI2320" s="1"/>
      <c r="AJ2320" s="1"/>
      <c r="AK2320" s="1"/>
      <c r="AL2320" s="1"/>
      <c r="AM2320" s="1"/>
      <c r="AN2320" s="1"/>
      <c r="AO2320" s="1"/>
      <c r="AP2320" s="1"/>
      <c r="AQ2320" s="1"/>
      <c r="AR2320" s="1"/>
      <c r="AS2320" s="1"/>
      <c r="AT2320" s="1"/>
      <c r="AU2320" s="1"/>
      <c r="AV2320" s="1"/>
      <c r="AW2320" s="1"/>
      <c r="AX2320" s="1"/>
      <c r="AY2320" s="1"/>
      <c r="AZ2320" s="1"/>
      <c r="BA2320" s="1"/>
      <c r="BB2320" s="1"/>
      <c r="BC2320" s="1"/>
      <c r="BD2320" s="1"/>
      <c r="BE2320" s="1"/>
      <c r="BF2320" s="1"/>
      <c r="BG2320" s="1"/>
      <c r="BH2320" s="1"/>
      <c r="BI2320" s="1"/>
      <c r="BJ2320" s="1"/>
      <c r="BK2320" s="1"/>
      <c r="BL2320" s="1"/>
      <c r="BM2320" s="1"/>
      <c r="BN2320" s="1"/>
      <c r="BO2320" s="1"/>
      <c r="BP2320" s="1"/>
      <c r="BQ2320" s="1"/>
      <c r="BR2320" s="1"/>
      <c r="BS2320" s="1"/>
      <c r="BT2320" s="1"/>
      <c r="BU2320" s="1" t="str">
        <f>HYPERLINK("https://nconnect.nicmar.ac.in/storage/profile/6a85e7ac1ccc8.png","Download")</f>
        <v>0</v>
      </c>
      <c r="BV2320" s="3"/>
      <c r="BW2320" s="3"/>
    </row>
    <row r="2321" spans="1:75">
      <c r="A2321" s="1" t="s">
        <v>35074</v>
      </c>
      <c r="B2321" s="1" t="s">
        <v>13976</v>
      </c>
      <c r="C2321" s="1" t="s">
        <v>39996</v>
      </c>
      <c r="D2321" s="1" t="s">
        <v>20240</v>
      </c>
      <c r="E2321" s="1"/>
      <c r="F2321" s="1" t="s">
        <v>1964</v>
      </c>
      <c r="G2321" s="1" t="s">
        <v>39997</v>
      </c>
      <c r="H2321" s="1" t="s">
        <v>39998</v>
      </c>
      <c r="I2321" s="1" t="s">
        <v>39998</v>
      </c>
      <c r="J2321" s="1">
        <v>9508536820</v>
      </c>
      <c r="K2321" s="1" t="s">
        <v>153</v>
      </c>
      <c r="L2321" s="1" t="s">
        <v>20693</v>
      </c>
      <c r="M2321" s="1" t="s">
        <v>86</v>
      </c>
      <c r="N2321" s="1" t="s">
        <v>4857</v>
      </c>
      <c r="O2321" s="1" t="s">
        <v>39999</v>
      </c>
      <c r="P2321" s="1" t="s">
        <v>122</v>
      </c>
      <c r="Q2321" s="1">
        <v>802300084014</v>
      </c>
      <c r="R2321" s="1" t="s">
        <v>40000</v>
      </c>
      <c r="S2321" s="1">
        <v>6201426652</v>
      </c>
      <c r="T2321" s="1" t="s">
        <v>40001</v>
      </c>
      <c r="U2321" s="1" t="s">
        <v>40002</v>
      </c>
      <c r="V2321" s="1">
        <v>6201426652</v>
      </c>
      <c r="W2321" s="1" t="s">
        <v>14154</v>
      </c>
      <c r="X2321" s="1" t="s">
        <v>40003</v>
      </c>
      <c r="Y2321" s="1" t="s">
        <v>19651</v>
      </c>
      <c r="Z2321" s="1" t="s">
        <v>649</v>
      </c>
      <c r="AA2321" s="1" t="s">
        <v>40003</v>
      </c>
      <c r="AB2321" s="1" t="s">
        <v>19651</v>
      </c>
      <c r="AC2321" s="1" t="s">
        <v>649</v>
      </c>
      <c r="AD2321" s="1" t="s">
        <v>98</v>
      </c>
      <c r="AE2321" s="1" t="s">
        <v>98</v>
      </c>
      <c r="AF2321" s="1" t="s">
        <v>40004</v>
      </c>
      <c r="AG2321" s="1" t="s">
        <v>40005</v>
      </c>
      <c r="AH2321" s="1" t="s">
        <v>490</v>
      </c>
      <c r="AI2321" s="1" t="s">
        <v>313</v>
      </c>
      <c r="AJ2321" s="1">
        <v>79</v>
      </c>
      <c r="AK2321" s="1"/>
      <c r="AL2321" s="1" t="s">
        <v>40006</v>
      </c>
      <c r="AM2321" s="1" t="s">
        <v>40005</v>
      </c>
      <c r="AN2321" s="1" t="s">
        <v>575</v>
      </c>
      <c r="AO2321" s="1" t="s">
        <v>438</v>
      </c>
      <c r="AP2321" s="1" t="s">
        <v>549</v>
      </c>
      <c r="AQ2321" s="1">
        <v>73.8</v>
      </c>
      <c r="AR2321" s="1"/>
      <c r="AS2321" s="1"/>
      <c r="AT2321" s="1"/>
      <c r="AU2321" s="1"/>
      <c r="AV2321" s="1"/>
      <c r="AW2321" s="1"/>
      <c r="AX2321" s="1"/>
      <c r="AY2321" s="1" t="s">
        <v>40007</v>
      </c>
      <c r="AZ2321" s="1" t="s">
        <v>40008</v>
      </c>
      <c r="BA2321" s="1" t="s">
        <v>38713</v>
      </c>
      <c r="BB2321" s="1" t="s">
        <v>1062</v>
      </c>
      <c r="BC2321" s="1" t="s">
        <v>552</v>
      </c>
      <c r="BD2321" s="1" t="s">
        <v>5278</v>
      </c>
      <c r="BE2321" s="1">
        <v>70.1</v>
      </c>
      <c r="BF2321" s="1"/>
      <c r="BG2321" s="1"/>
      <c r="BH2321" s="1"/>
      <c r="BI2321" s="1"/>
      <c r="BJ2321" s="1"/>
      <c r="BK2321" s="1"/>
      <c r="BL2321" s="1"/>
      <c r="BM2321" s="1"/>
      <c r="BN2321" s="1"/>
      <c r="BO2321" s="1" t="s">
        <v>40009</v>
      </c>
      <c r="BP2321" s="1"/>
      <c r="BQ2321" s="1"/>
      <c r="BR2321" s="1" t="s">
        <v>40010</v>
      </c>
      <c r="BS2321" s="1">
        <v>39</v>
      </c>
      <c r="BT2321" s="1" t="s">
        <v>40011</v>
      </c>
      <c r="BU2321" s="1" t="str">
        <f>HYPERLINK("https://nconnect.nicmar.ac.in/storage/profile/6a85eb6fe6fba.png","Download")</f>
        <v>0</v>
      </c>
      <c r="BV2321" s="3"/>
      <c r="BW2321" s="3"/>
    </row>
    <row r="2322" spans="1:75">
      <c r="A2322" s="1" t="s">
        <v>35074</v>
      </c>
      <c r="B2322" s="1" t="s">
        <v>13976</v>
      </c>
      <c r="C2322" s="1" t="s">
        <v>40012</v>
      </c>
      <c r="D2322" s="1" t="s">
        <v>18800</v>
      </c>
      <c r="E2322" s="1" t="s">
        <v>39952</v>
      </c>
      <c r="F2322" s="1" t="s">
        <v>17607</v>
      </c>
      <c r="G2322" s="1" t="s">
        <v>40013</v>
      </c>
      <c r="H2322" s="1" t="s">
        <v>40014</v>
      </c>
      <c r="I2322" s="1" t="s">
        <v>40014</v>
      </c>
      <c r="J2322" s="1">
        <v>9082682990</v>
      </c>
      <c r="K2322" s="1" t="s">
        <v>84</v>
      </c>
      <c r="L2322" s="1" t="s">
        <v>40015</v>
      </c>
      <c r="M2322" s="1" t="s">
        <v>86</v>
      </c>
      <c r="N2322" s="1" t="s">
        <v>6390</v>
      </c>
      <c r="O2322" s="1" t="s">
        <v>40016</v>
      </c>
      <c r="P2322" s="1" t="s">
        <v>122</v>
      </c>
      <c r="Q2322" s="1" t="s">
        <v>40017</v>
      </c>
      <c r="R2322" s="1" t="s">
        <v>40018</v>
      </c>
      <c r="S2322" s="1">
        <v>9029626363</v>
      </c>
      <c r="T2322" s="1" t="s">
        <v>40019</v>
      </c>
      <c r="U2322" s="1" t="s">
        <v>40020</v>
      </c>
      <c r="V2322" s="1">
        <v>8108580073</v>
      </c>
      <c r="W2322" s="1" t="s">
        <v>14154</v>
      </c>
      <c r="X2322" s="1" t="s">
        <v>40021</v>
      </c>
      <c r="Y2322" s="1" t="s">
        <v>1012</v>
      </c>
      <c r="Z2322" s="1" t="s">
        <v>97</v>
      </c>
      <c r="AA2322" s="1" t="s">
        <v>40021</v>
      </c>
      <c r="AB2322" s="1" t="s">
        <v>1012</v>
      </c>
      <c r="AC2322" s="1" t="s">
        <v>97</v>
      </c>
      <c r="AD2322" s="1" t="s">
        <v>98</v>
      </c>
      <c r="AE2322" s="1" t="s">
        <v>98</v>
      </c>
      <c r="AF2322" s="1" t="s">
        <v>40022</v>
      </c>
      <c r="AG2322" s="1" t="s">
        <v>40023</v>
      </c>
      <c r="AH2322" s="1" t="s">
        <v>3112</v>
      </c>
      <c r="AI2322" s="1" t="s">
        <v>414</v>
      </c>
      <c r="AJ2322" s="1">
        <v>56.8</v>
      </c>
      <c r="AK2322" s="1">
        <v>0</v>
      </c>
      <c r="AL2322" s="1"/>
      <c r="AM2322" s="1"/>
      <c r="AN2322" s="1"/>
      <c r="AO2322" s="1"/>
      <c r="AP2322" s="1"/>
      <c r="AQ2322" s="1"/>
      <c r="AR2322" s="1"/>
      <c r="AS2322" s="1" t="s">
        <v>14656</v>
      </c>
      <c r="AT2322" s="1" t="s">
        <v>40024</v>
      </c>
      <c r="AU2322" s="1" t="s">
        <v>206</v>
      </c>
      <c r="AV2322" s="1" t="s">
        <v>1400</v>
      </c>
      <c r="AW2322" s="1">
        <v>68.63</v>
      </c>
      <c r="AX2322" s="1"/>
      <c r="AY2322" s="1" t="s">
        <v>23644</v>
      </c>
      <c r="AZ2322" s="1" t="s">
        <v>20275</v>
      </c>
      <c r="BA2322" s="1" t="s">
        <v>466</v>
      </c>
      <c r="BB2322" s="1" t="s">
        <v>467</v>
      </c>
      <c r="BC2322" s="1" t="s">
        <v>110</v>
      </c>
      <c r="BD2322" s="1" t="s">
        <v>5340</v>
      </c>
      <c r="BE2322" s="1">
        <v>55.16</v>
      </c>
      <c r="BF2322" s="1"/>
      <c r="BG2322" s="1"/>
      <c r="BH2322" s="1"/>
      <c r="BI2322" s="1"/>
      <c r="BJ2322" s="1"/>
      <c r="BK2322" s="1"/>
      <c r="BL2322" s="1"/>
      <c r="BM2322" s="1"/>
      <c r="BN2322" s="1"/>
      <c r="BO2322" s="1" t="s">
        <v>40025</v>
      </c>
      <c r="BP2322" s="1"/>
      <c r="BQ2322" s="1"/>
      <c r="BR2322" s="1"/>
      <c r="BS2322" s="1"/>
      <c r="BT2322" s="1"/>
      <c r="BU2322" s="1" t="str">
        <f>HYPERLINK("https://nconnect.nicmar.ac.in/storage/profile/6a85cfd08ed47.png","Download")</f>
        <v>0</v>
      </c>
      <c r="BV2322" s="3"/>
      <c r="BW2322" s="3"/>
    </row>
    <row r="2323" spans="1:75">
      <c r="A2323" s="1" t="s">
        <v>35074</v>
      </c>
      <c r="B2323" s="1" t="s">
        <v>13976</v>
      </c>
      <c r="C2323" s="1" t="s">
        <v>40026</v>
      </c>
      <c r="D2323" s="1"/>
      <c r="E2323" s="1"/>
      <c r="F2323" s="1"/>
      <c r="G2323" s="1"/>
      <c r="H2323" s="1" t="s">
        <v>40027</v>
      </c>
      <c r="I2323" s="1" t="s">
        <v>40027</v>
      </c>
      <c r="J2323" s="1"/>
      <c r="K2323" s="1"/>
      <c r="L2323" s="1"/>
      <c r="M2323" s="1"/>
      <c r="N2323" s="1"/>
      <c r="O2323" s="1"/>
      <c r="P2323" s="1"/>
      <c r="Q2323" s="1"/>
      <c r="R2323" s="1"/>
      <c r="S2323" s="1"/>
      <c r="T2323" s="1"/>
      <c r="U2323" s="1"/>
      <c r="V2323" s="1"/>
      <c r="W2323" s="1"/>
      <c r="X2323" s="1"/>
      <c r="Y2323" s="1"/>
      <c r="Z2323" s="1"/>
      <c r="AA2323" s="1"/>
      <c r="AB2323" s="1"/>
      <c r="AC2323" s="1"/>
      <c r="AD2323" s="1" t="s">
        <v>98</v>
      </c>
      <c r="AE2323" s="1" t="s">
        <v>98</v>
      </c>
      <c r="AF2323" s="1"/>
      <c r="AG2323" s="1"/>
      <c r="AH2323" s="1"/>
      <c r="AI2323" s="1"/>
      <c r="AJ2323" s="1"/>
      <c r="AK2323" s="1"/>
      <c r="AL2323" s="1"/>
      <c r="AM2323" s="1"/>
      <c r="AN2323" s="1"/>
      <c r="AO2323" s="1"/>
      <c r="AP2323" s="1"/>
      <c r="AQ2323" s="1"/>
      <c r="AR2323" s="1"/>
      <c r="AS2323" s="1"/>
      <c r="AT2323" s="1"/>
      <c r="AU2323" s="1"/>
      <c r="AV2323" s="1"/>
      <c r="AW2323" s="1"/>
      <c r="AX2323" s="1"/>
      <c r="AY2323" s="1"/>
      <c r="AZ2323" s="1"/>
      <c r="BA2323" s="1"/>
      <c r="BB2323" s="1"/>
      <c r="BC2323" s="1"/>
      <c r="BD2323" s="1"/>
      <c r="BE2323" s="1"/>
      <c r="BF2323" s="1"/>
      <c r="BG2323" s="1"/>
      <c r="BH2323" s="1"/>
      <c r="BI2323" s="1"/>
      <c r="BJ2323" s="1"/>
      <c r="BK2323" s="1"/>
      <c r="BL2323" s="1"/>
      <c r="BM2323" s="1"/>
      <c r="BN2323" s="1"/>
      <c r="BO2323" s="1"/>
      <c r="BP2323" s="1"/>
      <c r="BQ2323" s="1"/>
      <c r="BR2323" s="1"/>
      <c r="BS2323" s="1"/>
      <c r="BT2323" s="1"/>
      <c r="BU2323" s="1" t="s">
        <v>9653</v>
      </c>
      <c r="BV2323" s="3"/>
      <c r="BW2323" s="3"/>
    </row>
    <row r="2324" spans="1:75">
      <c r="A2324" s="1" t="s">
        <v>35074</v>
      </c>
      <c r="B2324" s="1" t="s">
        <v>13976</v>
      </c>
      <c r="C2324" s="1" t="s">
        <v>40028</v>
      </c>
      <c r="D2324" s="1" t="s">
        <v>40029</v>
      </c>
      <c r="E2324" s="1"/>
      <c r="F2324" s="1" t="s">
        <v>17724</v>
      </c>
      <c r="G2324" s="1" t="s">
        <v>40030</v>
      </c>
      <c r="H2324" s="1" t="s">
        <v>40031</v>
      </c>
      <c r="I2324" s="1" t="s">
        <v>40032</v>
      </c>
      <c r="J2324" s="1">
        <v>9541239909</v>
      </c>
      <c r="K2324" s="1" t="s">
        <v>84</v>
      </c>
      <c r="L2324" s="1" t="s">
        <v>15040</v>
      </c>
      <c r="M2324" s="1" t="s">
        <v>86</v>
      </c>
      <c r="N2324" s="1" t="s">
        <v>8293</v>
      </c>
      <c r="O2324" s="1" t="s">
        <v>40033</v>
      </c>
      <c r="P2324" s="1" t="s">
        <v>122</v>
      </c>
      <c r="Q2324" s="1">
        <v>657926688874</v>
      </c>
      <c r="R2324" s="1" t="s">
        <v>40034</v>
      </c>
      <c r="S2324" s="1">
        <v>7899635500</v>
      </c>
      <c r="T2324" s="1" t="s">
        <v>2177</v>
      </c>
      <c r="U2324" s="1" t="s">
        <v>40035</v>
      </c>
      <c r="V2324" s="1">
        <v>8082837236</v>
      </c>
      <c r="W2324" s="1" t="s">
        <v>2177</v>
      </c>
      <c r="X2324" s="1" t="s">
        <v>40036</v>
      </c>
      <c r="Y2324" s="1" t="s">
        <v>8895</v>
      </c>
      <c r="Z2324" s="1" t="s">
        <v>8896</v>
      </c>
      <c r="AA2324" s="1" t="s">
        <v>40037</v>
      </c>
      <c r="AB2324" s="1" t="s">
        <v>196</v>
      </c>
      <c r="AC2324" s="1" t="s">
        <v>97</v>
      </c>
      <c r="AD2324" s="1" t="s">
        <v>98</v>
      </c>
      <c r="AE2324" s="1" t="s">
        <v>98</v>
      </c>
      <c r="AF2324" s="1"/>
      <c r="AG2324" s="1"/>
      <c r="AH2324" s="1"/>
      <c r="AI2324" s="1"/>
      <c r="AJ2324" s="1"/>
      <c r="AK2324" s="1"/>
      <c r="AL2324" s="1"/>
      <c r="AM2324" s="1"/>
      <c r="AN2324" s="1"/>
      <c r="AO2324" s="1"/>
      <c r="AP2324" s="1"/>
      <c r="AQ2324" s="1"/>
      <c r="AR2324" s="1"/>
      <c r="AS2324" s="1"/>
      <c r="AT2324" s="1"/>
      <c r="AU2324" s="1"/>
      <c r="AV2324" s="1"/>
      <c r="AW2324" s="1"/>
      <c r="AX2324" s="1"/>
      <c r="AY2324" s="1"/>
      <c r="AZ2324" s="1"/>
      <c r="BA2324" s="1"/>
      <c r="BB2324" s="1"/>
      <c r="BC2324" s="1"/>
      <c r="BD2324" s="1"/>
      <c r="BE2324" s="1"/>
      <c r="BF2324" s="1"/>
      <c r="BG2324" s="1"/>
      <c r="BH2324" s="1"/>
      <c r="BI2324" s="1"/>
      <c r="BJ2324" s="1"/>
      <c r="BK2324" s="1"/>
      <c r="BL2324" s="1"/>
      <c r="BM2324" s="1"/>
      <c r="BN2324" s="1"/>
      <c r="BO2324" s="1"/>
      <c r="BP2324" s="1"/>
      <c r="BQ2324" s="1"/>
      <c r="BR2324" s="1"/>
      <c r="BS2324" s="1"/>
      <c r="BT2324" s="1"/>
      <c r="BU2324" s="1" t="str">
        <f>HYPERLINK("https://nconnect.nicmar.ac.in/storage/profile/6a8861e7a2662.png","Download")</f>
        <v>0</v>
      </c>
      <c r="BV2324" s="3"/>
      <c r="BW2324" s="3"/>
    </row>
    <row r="2325" spans="1:75">
      <c r="A2325" s="1" t="s">
        <v>35074</v>
      </c>
      <c r="B2325" s="1" t="s">
        <v>13976</v>
      </c>
      <c r="C2325" s="1" t="s">
        <v>40038</v>
      </c>
      <c r="D2325" s="1"/>
      <c r="E2325" s="1"/>
      <c r="F2325" s="1"/>
      <c r="G2325" s="1"/>
      <c r="H2325" s="1" t="s">
        <v>40039</v>
      </c>
      <c r="I2325" s="1" t="s">
        <v>40039</v>
      </c>
      <c r="J2325" s="1"/>
      <c r="K2325" s="1"/>
      <c r="L2325" s="1"/>
      <c r="M2325" s="1"/>
      <c r="N2325" s="1"/>
      <c r="O2325" s="1"/>
      <c r="P2325" s="1"/>
      <c r="Q2325" s="1"/>
      <c r="R2325" s="1"/>
      <c r="S2325" s="1"/>
      <c r="T2325" s="1"/>
      <c r="U2325" s="1"/>
      <c r="V2325" s="1"/>
      <c r="W2325" s="1"/>
      <c r="X2325" s="1"/>
      <c r="Y2325" s="1"/>
      <c r="Z2325" s="1"/>
      <c r="AA2325" s="1"/>
      <c r="AB2325" s="1"/>
      <c r="AC2325" s="1"/>
      <c r="AD2325" s="1" t="s">
        <v>98</v>
      </c>
      <c r="AE2325" s="1" t="s">
        <v>98</v>
      </c>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t="s">
        <v>9653</v>
      </c>
      <c r="BV2325" s="3"/>
      <c r="BW2325" s="3"/>
    </row>
    <row r="2326" spans="1:75">
      <c r="A2326" s="1" t="s">
        <v>35074</v>
      </c>
      <c r="B2326" s="1" t="s">
        <v>13976</v>
      </c>
      <c r="C2326" s="1" t="s">
        <v>40040</v>
      </c>
      <c r="D2326" s="1" t="s">
        <v>15856</v>
      </c>
      <c r="E2326" s="1" t="s">
        <v>40041</v>
      </c>
      <c r="F2326" s="1" t="s">
        <v>14681</v>
      </c>
      <c r="G2326" s="1" t="s">
        <v>40042</v>
      </c>
      <c r="H2326" s="1" t="s">
        <v>40043</v>
      </c>
      <c r="I2326" s="1" t="s">
        <v>40043</v>
      </c>
      <c r="J2326" s="1">
        <v>7020215588</v>
      </c>
      <c r="K2326" s="1" t="s">
        <v>153</v>
      </c>
      <c r="L2326" s="1" t="s">
        <v>36513</v>
      </c>
      <c r="M2326" s="1" t="s">
        <v>86</v>
      </c>
      <c r="N2326" s="1" t="s">
        <v>4263</v>
      </c>
      <c r="O2326" s="1" t="s">
        <v>40044</v>
      </c>
      <c r="P2326" s="1" t="s">
        <v>122</v>
      </c>
      <c r="Q2326" s="1">
        <v>948247451715</v>
      </c>
      <c r="R2326" s="1" t="s">
        <v>40045</v>
      </c>
      <c r="S2326" s="1">
        <v>9423132440</v>
      </c>
      <c r="T2326" s="1" t="s">
        <v>22414</v>
      </c>
      <c r="U2326" s="1" t="s">
        <v>40046</v>
      </c>
      <c r="V2326" s="1">
        <v>9579253442</v>
      </c>
      <c r="W2326" s="1" t="s">
        <v>9679</v>
      </c>
      <c r="X2326" s="1" t="s">
        <v>40047</v>
      </c>
      <c r="Y2326" s="1" t="s">
        <v>910</v>
      </c>
      <c r="Z2326" s="1" t="s">
        <v>97</v>
      </c>
      <c r="AA2326" s="1" t="s">
        <v>40048</v>
      </c>
      <c r="AB2326" s="1" t="s">
        <v>196</v>
      </c>
      <c r="AC2326" s="1" t="s">
        <v>97</v>
      </c>
      <c r="AD2326" s="1" t="s">
        <v>98</v>
      </c>
      <c r="AE2326" s="1" t="s">
        <v>98</v>
      </c>
      <c r="AF2326" s="1" t="s">
        <v>40049</v>
      </c>
      <c r="AG2326" s="1" t="s">
        <v>19345</v>
      </c>
      <c r="AH2326" s="1" t="s">
        <v>174</v>
      </c>
      <c r="AI2326" s="1" t="s">
        <v>178</v>
      </c>
      <c r="AJ2326" s="1">
        <v>85</v>
      </c>
      <c r="AK2326" s="1"/>
      <c r="AL2326" s="1"/>
      <c r="AM2326" s="1"/>
      <c r="AN2326" s="1"/>
      <c r="AO2326" s="1"/>
      <c r="AP2326" s="1"/>
      <c r="AQ2326" s="1"/>
      <c r="AR2326" s="1"/>
      <c r="AS2326" s="1" t="s">
        <v>14158</v>
      </c>
      <c r="AT2326" s="1" t="s">
        <v>40050</v>
      </c>
      <c r="AU2326" s="1" t="s">
        <v>1040</v>
      </c>
      <c r="AV2326" s="1" t="s">
        <v>234</v>
      </c>
      <c r="AW2326" s="1">
        <v>87</v>
      </c>
      <c r="AX2326" s="1"/>
      <c r="AY2326" s="1" t="s">
        <v>40051</v>
      </c>
      <c r="AZ2326" s="1" t="s">
        <v>40052</v>
      </c>
      <c r="BA2326" s="1" t="s">
        <v>466</v>
      </c>
      <c r="BB2326" s="1" t="s">
        <v>467</v>
      </c>
      <c r="BC2326" s="1" t="s">
        <v>179</v>
      </c>
      <c r="BD2326" s="1" t="s">
        <v>14514</v>
      </c>
      <c r="BE2326" s="1">
        <v>83.88</v>
      </c>
      <c r="BF2326" s="1"/>
      <c r="BG2326" s="1"/>
      <c r="BH2326" s="1"/>
      <c r="BI2326" s="1"/>
      <c r="BJ2326" s="1"/>
      <c r="BK2326" s="1"/>
      <c r="BL2326" s="1"/>
      <c r="BM2326" s="1"/>
      <c r="BN2326" s="1"/>
      <c r="BO2326" s="1" t="s">
        <v>6132</v>
      </c>
      <c r="BP2326" s="1"/>
      <c r="BQ2326" s="1"/>
      <c r="BR2326" s="1"/>
      <c r="BS2326" s="1"/>
      <c r="BT2326" s="1"/>
      <c r="BU2326" s="1" t="str">
        <f>HYPERLINK("https://nconnect.nicmar.ac.in/storage/profile/6a847e054d530.png","Download")</f>
        <v>0</v>
      </c>
      <c r="BV2326" s="3"/>
      <c r="BW2326" s="3"/>
    </row>
    <row r="2327" spans="1:75">
      <c r="A2327" s="1" t="s">
        <v>35074</v>
      </c>
      <c r="B2327" s="1" t="s">
        <v>13976</v>
      </c>
      <c r="C2327" s="1" t="s">
        <v>40053</v>
      </c>
      <c r="D2327" s="1"/>
      <c r="E2327" s="1"/>
      <c r="F2327" s="1"/>
      <c r="G2327" s="1"/>
      <c r="H2327" s="1" t="s">
        <v>40054</v>
      </c>
      <c r="I2327" s="1" t="s">
        <v>40054</v>
      </c>
      <c r="J2327" s="1"/>
      <c r="K2327" s="1"/>
      <c r="L2327" s="1"/>
      <c r="M2327" s="1"/>
      <c r="N2327" s="1"/>
      <c r="O2327" s="1"/>
      <c r="P2327" s="1"/>
      <c r="Q2327" s="1"/>
      <c r="R2327" s="1"/>
      <c r="S2327" s="1"/>
      <c r="T2327" s="1"/>
      <c r="U2327" s="1"/>
      <c r="V2327" s="1"/>
      <c r="W2327" s="1"/>
      <c r="X2327" s="1"/>
      <c r="Y2327" s="1"/>
      <c r="Z2327" s="1"/>
      <c r="AA2327" s="1"/>
      <c r="AB2327" s="1"/>
      <c r="AC2327" s="1"/>
      <c r="AD2327" s="1" t="s">
        <v>98</v>
      </c>
      <c r="AE2327" s="1" t="s">
        <v>98</v>
      </c>
      <c r="AF2327" s="1"/>
      <c r="AG2327" s="1"/>
      <c r="AH2327" s="1"/>
      <c r="AI2327" s="1"/>
      <c r="AJ2327" s="1"/>
      <c r="AK2327" s="1"/>
      <c r="AL2327" s="1"/>
      <c r="AM2327" s="1"/>
      <c r="AN2327" s="1"/>
      <c r="AO2327" s="1"/>
      <c r="AP2327" s="1"/>
      <c r="AQ2327" s="1"/>
      <c r="AR2327" s="1"/>
      <c r="AS2327" s="1"/>
      <c r="AT2327" s="1"/>
      <c r="AU2327" s="1"/>
      <c r="AV2327" s="1"/>
      <c r="AW2327" s="1"/>
      <c r="AX2327" s="1"/>
      <c r="AY2327" s="1"/>
      <c r="AZ2327" s="1"/>
      <c r="BA2327" s="1"/>
      <c r="BB2327" s="1"/>
      <c r="BC2327" s="1"/>
      <c r="BD2327" s="1"/>
      <c r="BE2327" s="1"/>
      <c r="BF2327" s="1"/>
      <c r="BG2327" s="1"/>
      <c r="BH2327" s="1"/>
      <c r="BI2327" s="1"/>
      <c r="BJ2327" s="1"/>
      <c r="BK2327" s="1"/>
      <c r="BL2327" s="1"/>
      <c r="BM2327" s="1"/>
      <c r="BN2327" s="1"/>
      <c r="BO2327" s="1"/>
      <c r="BP2327" s="1"/>
      <c r="BQ2327" s="1"/>
      <c r="BR2327" s="1"/>
      <c r="BS2327" s="1"/>
      <c r="BT2327" s="1"/>
      <c r="BU2327" s="1" t="s">
        <v>9653</v>
      </c>
      <c r="BV2327" s="3"/>
      <c r="BW2327" s="3"/>
    </row>
    <row r="2328" spans="1:75">
      <c r="A2328" s="1" t="s">
        <v>35074</v>
      </c>
      <c r="B2328" s="1" t="s">
        <v>13976</v>
      </c>
      <c r="C2328" s="1" t="s">
        <v>40055</v>
      </c>
      <c r="D2328" s="1" t="s">
        <v>40056</v>
      </c>
      <c r="E2328" s="1" t="s">
        <v>24238</v>
      </c>
      <c r="F2328" s="1" t="s">
        <v>17574</v>
      </c>
      <c r="G2328" s="1" t="s">
        <v>40057</v>
      </c>
      <c r="H2328" s="1" t="s">
        <v>40058</v>
      </c>
      <c r="I2328" s="1" t="s">
        <v>40059</v>
      </c>
      <c r="J2328" s="1">
        <v>8484098225</v>
      </c>
      <c r="K2328" s="1" t="s">
        <v>153</v>
      </c>
      <c r="L2328" s="1" t="s">
        <v>40060</v>
      </c>
      <c r="M2328" s="1" t="s">
        <v>86</v>
      </c>
      <c r="N2328" s="1" t="s">
        <v>40061</v>
      </c>
      <c r="O2328" s="1" t="s">
        <v>16389</v>
      </c>
      <c r="P2328" s="1" t="s">
        <v>219</v>
      </c>
      <c r="Q2328" s="1">
        <v>936882671802</v>
      </c>
      <c r="R2328" s="1" t="s">
        <v>40062</v>
      </c>
      <c r="S2328" s="1">
        <v>9960310645</v>
      </c>
      <c r="T2328" s="1" t="s">
        <v>15073</v>
      </c>
      <c r="U2328" s="1" t="s">
        <v>40063</v>
      </c>
      <c r="V2328" s="1">
        <v>9960310645</v>
      </c>
      <c r="W2328" s="1" t="s">
        <v>14154</v>
      </c>
      <c r="X2328" s="1" t="s">
        <v>40064</v>
      </c>
      <c r="Y2328" s="1" t="s">
        <v>410</v>
      </c>
      <c r="Z2328" s="1" t="s">
        <v>97</v>
      </c>
      <c r="AA2328" s="1" t="s">
        <v>40064</v>
      </c>
      <c r="AB2328" s="1" t="s">
        <v>410</v>
      </c>
      <c r="AC2328" s="1" t="s">
        <v>97</v>
      </c>
      <c r="AD2328" s="1" t="s">
        <v>98</v>
      </c>
      <c r="AE2328" s="1" t="s">
        <v>98</v>
      </c>
      <c r="AF2328" s="1" t="s">
        <v>40065</v>
      </c>
      <c r="AG2328" s="1" t="s">
        <v>40066</v>
      </c>
      <c r="AH2328" s="1" t="s">
        <v>438</v>
      </c>
      <c r="AI2328" s="1" t="s">
        <v>603</v>
      </c>
      <c r="AJ2328" s="1">
        <v>84.0</v>
      </c>
      <c r="AK2328" s="1"/>
      <c r="AL2328" s="1" t="s">
        <v>40067</v>
      </c>
      <c r="AM2328" s="1" t="s">
        <v>40066</v>
      </c>
      <c r="AN2328" s="1" t="s">
        <v>465</v>
      </c>
      <c r="AO2328" s="1" t="s">
        <v>847</v>
      </c>
      <c r="AP2328" s="1" t="s">
        <v>1886</v>
      </c>
      <c r="AQ2328" s="1">
        <v>87.0</v>
      </c>
      <c r="AR2328" s="1"/>
      <c r="AS2328" s="1"/>
      <c r="AT2328" s="1"/>
      <c r="AU2328" s="1"/>
      <c r="AV2328" s="1"/>
      <c r="AW2328" s="1"/>
      <c r="AX2328" s="1"/>
      <c r="AY2328" s="1" t="s">
        <v>40068</v>
      </c>
      <c r="AZ2328" s="1" t="s">
        <v>40069</v>
      </c>
      <c r="BA2328" s="1" t="s">
        <v>466</v>
      </c>
      <c r="BB2328" s="1" t="s">
        <v>467</v>
      </c>
      <c r="BC2328" s="1" t="s">
        <v>289</v>
      </c>
      <c r="BD2328" s="1" t="s">
        <v>9688</v>
      </c>
      <c r="BE2328" s="1">
        <v>7.27</v>
      </c>
      <c r="BF2328" s="1"/>
      <c r="BG2328" s="1"/>
      <c r="BH2328" s="1"/>
      <c r="BI2328" s="1"/>
      <c r="BJ2328" s="1"/>
      <c r="BK2328" s="1"/>
      <c r="BL2328" s="1"/>
      <c r="BM2328" s="1"/>
      <c r="BN2328" s="1"/>
      <c r="BO2328" s="1" t="s">
        <v>40070</v>
      </c>
      <c r="BP2328" s="1"/>
      <c r="BQ2328" s="1"/>
      <c r="BR2328" s="1" t="s">
        <v>40071</v>
      </c>
      <c r="BS2328" s="1">
        <v>7</v>
      </c>
      <c r="BT2328" s="1" t="s">
        <v>849</v>
      </c>
      <c r="BU2328" s="1" t="str">
        <f>HYPERLINK("https://nconnect.nicmar.ac.in/storage/profile/6a85e13852258.png","Download")</f>
        <v>0</v>
      </c>
      <c r="BV2328" s="3"/>
      <c r="BW2328" s="3"/>
    </row>
    <row r="2329" spans="1:75">
      <c r="A2329" s="1" t="s">
        <v>35074</v>
      </c>
      <c r="B2329" s="1" t="s">
        <v>13976</v>
      </c>
      <c r="C2329" s="1" t="s">
        <v>40072</v>
      </c>
      <c r="D2329" s="1"/>
      <c r="E2329" s="1"/>
      <c r="F2329" s="1"/>
      <c r="G2329" s="1"/>
      <c r="H2329" s="1" t="s">
        <v>40073</v>
      </c>
      <c r="I2329" s="1" t="s">
        <v>40073</v>
      </c>
      <c r="J2329" s="1"/>
      <c r="K2329" s="1"/>
      <c r="L2329" s="1"/>
      <c r="M2329" s="1"/>
      <c r="N2329" s="1"/>
      <c r="O2329" s="1"/>
      <c r="P2329" s="1"/>
      <c r="Q2329" s="1"/>
      <c r="R2329" s="1"/>
      <c r="S2329" s="1"/>
      <c r="T2329" s="1"/>
      <c r="U2329" s="1"/>
      <c r="V2329" s="1"/>
      <c r="W2329" s="1"/>
      <c r="X2329" s="1"/>
      <c r="Y2329" s="1"/>
      <c r="Z2329" s="1"/>
      <c r="AA2329" s="1"/>
      <c r="AB2329" s="1"/>
      <c r="AC2329" s="1"/>
      <c r="AD2329" s="1" t="s">
        <v>98</v>
      </c>
      <c r="AE2329" s="1" t="s">
        <v>98</v>
      </c>
      <c r="AF2329" s="1"/>
      <c r="AG2329" s="1"/>
      <c r="AH2329" s="1"/>
      <c r="AI2329" s="1"/>
      <c r="AJ2329" s="1"/>
      <c r="AK2329" s="1"/>
      <c r="AL2329" s="1"/>
      <c r="AM2329" s="1"/>
      <c r="AN2329" s="1"/>
      <c r="AO2329" s="1"/>
      <c r="AP2329" s="1"/>
      <c r="AQ2329" s="1"/>
      <c r="AR2329" s="1"/>
      <c r="AS2329" s="1"/>
      <c r="AT2329" s="1"/>
      <c r="AU2329" s="1"/>
      <c r="AV2329" s="1"/>
      <c r="AW2329" s="1"/>
      <c r="AX2329" s="1"/>
      <c r="AY2329" s="1"/>
      <c r="AZ2329" s="1"/>
      <c r="BA2329" s="1"/>
      <c r="BB2329" s="1"/>
      <c r="BC2329" s="1"/>
      <c r="BD2329" s="1"/>
      <c r="BE2329" s="1"/>
      <c r="BF2329" s="1"/>
      <c r="BG2329" s="1"/>
      <c r="BH2329" s="1"/>
      <c r="BI2329" s="1"/>
      <c r="BJ2329" s="1"/>
      <c r="BK2329" s="1"/>
      <c r="BL2329" s="1"/>
      <c r="BM2329" s="1"/>
      <c r="BN2329" s="1"/>
      <c r="BO2329" s="1"/>
      <c r="BP2329" s="1"/>
      <c r="BQ2329" s="1"/>
      <c r="BR2329" s="1"/>
      <c r="BS2329" s="1"/>
      <c r="BT2329" s="1"/>
      <c r="BU2329" s="1" t="s">
        <v>9653</v>
      </c>
      <c r="BV2329" s="3"/>
      <c r="BW2329" s="3"/>
    </row>
    <row r="2330" spans="1:75">
      <c r="A2330" s="1" t="s">
        <v>35074</v>
      </c>
      <c r="B2330" s="1" t="s">
        <v>13976</v>
      </c>
      <c r="C2330" s="1" t="s">
        <v>40074</v>
      </c>
      <c r="D2330" s="1" t="s">
        <v>40075</v>
      </c>
      <c r="E2330" s="1" t="s">
        <v>14268</v>
      </c>
      <c r="F2330" s="1" t="s">
        <v>16567</v>
      </c>
      <c r="G2330" s="1" t="s">
        <v>40076</v>
      </c>
      <c r="H2330" s="1" t="s">
        <v>40077</v>
      </c>
      <c r="I2330" s="1" t="s">
        <v>40077</v>
      </c>
      <c r="J2330" s="1">
        <v>9766496054</v>
      </c>
      <c r="K2330" s="1" t="s">
        <v>84</v>
      </c>
      <c r="L2330" s="1" t="s">
        <v>40078</v>
      </c>
      <c r="M2330" s="1" t="s">
        <v>86</v>
      </c>
      <c r="N2330" s="1" t="s">
        <v>40079</v>
      </c>
      <c r="O2330" s="1" t="s">
        <v>39785</v>
      </c>
      <c r="P2330" s="1" t="s">
        <v>219</v>
      </c>
      <c r="Q2330" s="1">
        <v>232625806206</v>
      </c>
      <c r="R2330" s="1" t="s">
        <v>14268</v>
      </c>
      <c r="S2330" s="1">
        <v>8329181675</v>
      </c>
      <c r="T2330" s="1" t="s">
        <v>40080</v>
      </c>
      <c r="U2330" s="1" t="s">
        <v>40081</v>
      </c>
      <c r="V2330" s="1">
        <v>8600372522</v>
      </c>
      <c r="W2330" s="1" t="s">
        <v>21080</v>
      </c>
      <c r="X2330" s="1" t="s">
        <v>40082</v>
      </c>
      <c r="Y2330" s="1" t="s">
        <v>309</v>
      </c>
      <c r="Z2330" s="1" t="s">
        <v>97</v>
      </c>
      <c r="AA2330" s="1" t="s">
        <v>40083</v>
      </c>
      <c r="AB2330" s="1" t="s">
        <v>1779</v>
      </c>
      <c r="AC2330" s="1" t="s">
        <v>97</v>
      </c>
      <c r="AD2330" s="1" t="s">
        <v>98</v>
      </c>
      <c r="AE2330" s="1" t="s">
        <v>98</v>
      </c>
      <c r="AF2330" s="1" t="s">
        <v>40084</v>
      </c>
      <c r="AG2330" s="1" t="s">
        <v>40085</v>
      </c>
      <c r="AH2330" s="1" t="s">
        <v>1171</v>
      </c>
      <c r="AI2330" s="1" t="s">
        <v>579</v>
      </c>
      <c r="AJ2330" s="1">
        <v>72.6</v>
      </c>
      <c r="AK2330" s="1"/>
      <c r="AL2330" s="1" t="s">
        <v>40086</v>
      </c>
      <c r="AM2330" s="1" t="s">
        <v>40087</v>
      </c>
      <c r="AN2330" s="1" t="s">
        <v>2995</v>
      </c>
      <c r="AO2330" s="1" t="s">
        <v>40088</v>
      </c>
      <c r="AP2330" s="1" t="s">
        <v>14162</v>
      </c>
      <c r="AQ2330" s="1">
        <v>59.33</v>
      </c>
      <c r="AR2330" s="1"/>
      <c r="AS2330" s="1"/>
      <c r="AT2330" s="1"/>
      <c r="AU2330" s="1"/>
      <c r="AV2330" s="1"/>
      <c r="AW2330" s="1"/>
      <c r="AX2330" s="1"/>
      <c r="AY2330" s="1"/>
      <c r="AZ2330" s="1"/>
      <c r="BA2330" s="1"/>
      <c r="BB2330" s="1"/>
      <c r="BC2330" s="1"/>
      <c r="BD2330" s="1"/>
      <c r="BE2330" s="1"/>
      <c r="BF2330" s="1"/>
      <c r="BG2330" s="1"/>
      <c r="BH2330" s="1"/>
      <c r="BI2330" s="1"/>
      <c r="BJ2330" s="1"/>
      <c r="BK2330" s="1"/>
      <c r="BL2330" s="1"/>
      <c r="BM2330" s="1"/>
      <c r="BN2330" s="1"/>
      <c r="BO2330" s="1" t="s">
        <v>1890</v>
      </c>
      <c r="BP2330" s="1"/>
      <c r="BQ2330" s="1"/>
      <c r="BR2330" s="1"/>
      <c r="BS2330" s="1"/>
      <c r="BT2330" s="1"/>
      <c r="BU2330" s="1" t="str">
        <f>HYPERLINK("https://nconnect.nicmar.ac.in/storage/profile/6a85f311d0a2a.png","Download")</f>
        <v>0</v>
      </c>
      <c r="BV2330" s="3"/>
      <c r="BW2330" s="3"/>
    </row>
    <row r="2331" spans="1:75">
      <c r="A2331" s="1" t="s">
        <v>35074</v>
      </c>
      <c r="B2331" s="1" t="s">
        <v>13976</v>
      </c>
      <c r="C2331" s="1" t="s">
        <v>40089</v>
      </c>
      <c r="D2331" s="1"/>
      <c r="E2331" s="1"/>
      <c r="F2331" s="1"/>
      <c r="G2331" s="1"/>
      <c r="H2331" s="1" t="s">
        <v>40090</v>
      </c>
      <c r="I2331" s="1" t="s">
        <v>40090</v>
      </c>
      <c r="J2331" s="1"/>
      <c r="K2331" s="1"/>
      <c r="L2331" s="1"/>
      <c r="M2331" s="1"/>
      <c r="N2331" s="1"/>
      <c r="O2331" s="1"/>
      <c r="P2331" s="1"/>
      <c r="Q2331" s="1"/>
      <c r="R2331" s="1"/>
      <c r="S2331" s="1"/>
      <c r="T2331" s="1"/>
      <c r="U2331" s="1"/>
      <c r="V2331" s="1"/>
      <c r="W2331" s="1"/>
      <c r="X2331" s="1"/>
      <c r="Y2331" s="1"/>
      <c r="Z2331" s="1"/>
      <c r="AA2331" s="1"/>
      <c r="AB2331" s="1"/>
      <c r="AC2331" s="1"/>
      <c r="AD2331" s="1" t="s">
        <v>98</v>
      </c>
      <c r="AE2331" s="1" t="s">
        <v>98</v>
      </c>
      <c r="AF2331" s="1"/>
      <c r="AG2331" s="1"/>
      <c r="AH2331" s="1"/>
      <c r="AI2331" s="1"/>
      <c r="AJ2331" s="1"/>
      <c r="AK2331" s="1"/>
      <c r="AL2331" s="1"/>
      <c r="AM2331" s="1"/>
      <c r="AN2331" s="1"/>
      <c r="AO2331" s="1"/>
      <c r="AP2331" s="1"/>
      <c r="AQ2331" s="1"/>
      <c r="AR2331" s="1"/>
      <c r="AS2331" s="1"/>
      <c r="AT2331" s="1"/>
      <c r="AU2331" s="1"/>
      <c r="AV2331" s="1"/>
      <c r="AW2331" s="1"/>
      <c r="AX2331" s="1"/>
      <c r="AY2331" s="1"/>
      <c r="AZ2331" s="1"/>
      <c r="BA2331" s="1"/>
      <c r="BB2331" s="1"/>
      <c r="BC2331" s="1"/>
      <c r="BD2331" s="1"/>
      <c r="BE2331" s="1"/>
      <c r="BF2331" s="1"/>
      <c r="BG2331" s="1"/>
      <c r="BH2331" s="1"/>
      <c r="BI2331" s="1"/>
      <c r="BJ2331" s="1"/>
      <c r="BK2331" s="1"/>
      <c r="BL2331" s="1"/>
      <c r="BM2331" s="1"/>
      <c r="BN2331" s="1"/>
      <c r="BO2331" s="1"/>
      <c r="BP2331" s="1"/>
      <c r="BQ2331" s="1"/>
      <c r="BR2331" s="1"/>
      <c r="BS2331" s="1"/>
      <c r="BT2331" s="1"/>
      <c r="BU2331" s="1" t="s">
        <v>9653</v>
      </c>
      <c r="BV2331" s="3"/>
      <c r="BW2331" s="3"/>
    </row>
    <row r="2332" spans="1:75">
      <c r="A2332" s="1" t="s">
        <v>35074</v>
      </c>
      <c r="B2332" s="1" t="s">
        <v>13976</v>
      </c>
      <c r="C2332" s="1" t="s">
        <v>40091</v>
      </c>
      <c r="D2332" s="1"/>
      <c r="E2332" s="1"/>
      <c r="F2332" s="1"/>
      <c r="G2332" s="1"/>
      <c r="H2332" s="1" t="s">
        <v>40092</v>
      </c>
      <c r="I2332" s="1" t="s">
        <v>40092</v>
      </c>
      <c r="J2332" s="1"/>
      <c r="K2332" s="1"/>
      <c r="L2332" s="1"/>
      <c r="M2332" s="1"/>
      <c r="N2332" s="1"/>
      <c r="O2332" s="1"/>
      <c r="P2332" s="1"/>
      <c r="Q2332" s="1"/>
      <c r="R2332" s="1"/>
      <c r="S2332" s="1"/>
      <c r="T2332" s="1"/>
      <c r="U2332" s="1"/>
      <c r="V2332" s="1"/>
      <c r="W2332" s="1"/>
      <c r="X2332" s="1"/>
      <c r="Y2332" s="1"/>
      <c r="Z2332" s="1"/>
      <c r="AA2332" s="1"/>
      <c r="AB2332" s="1"/>
      <c r="AC2332" s="1"/>
      <c r="AD2332" s="1" t="s">
        <v>98</v>
      </c>
      <c r="AE2332" s="1" t="s">
        <v>98</v>
      </c>
      <c r="AF2332" s="1"/>
      <c r="AG2332" s="1"/>
      <c r="AH2332" s="1"/>
      <c r="AI2332" s="1"/>
      <c r="AJ2332" s="1"/>
      <c r="AK2332" s="1"/>
      <c r="AL2332" s="1"/>
      <c r="AM2332" s="1"/>
      <c r="AN2332" s="1"/>
      <c r="AO2332" s="1"/>
      <c r="AP2332" s="1"/>
      <c r="AQ2332" s="1"/>
      <c r="AR2332" s="1"/>
      <c r="AS2332" s="1"/>
      <c r="AT2332" s="1"/>
      <c r="AU2332" s="1"/>
      <c r="AV2332" s="1"/>
      <c r="AW2332" s="1"/>
      <c r="AX2332" s="1"/>
      <c r="AY2332" s="1"/>
      <c r="AZ2332" s="1"/>
      <c r="BA2332" s="1"/>
      <c r="BB2332" s="1"/>
      <c r="BC2332" s="1"/>
      <c r="BD2332" s="1"/>
      <c r="BE2332" s="1"/>
      <c r="BF2332" s="1"/>
      <c r="BG2332" s="1"/>
      <c r="BH2332" s="1"/>
      <c r="BI2332" s="1"/>
      <c r="BJ2332" s="1"/>
      <c r="BK2332" s="1"/>
      <c r="BL2332" s="1"/>
      <c r="BM2332" s="1"/>
      <c r="BN2332" s="1"/>
      <c r="BO2332" s="1"/>
      <c r="BP2332" s="1"/>
      <c r="BQ2332" s="1"/>
      <c r="BR2332" s="1"/>
      <c r="BS2332" s="1"/>
      <c r="BT2332" s="1"/>
      <c r="BU2332" s="1" t="s">
        <v>9653</v>
      </c>
      <c r="BV2332" s="3"/>
      <c r="BW2332" s="3"/>
    </row>
    <row r="2333" spans="1:75">
      <c r="A2333" s="1" t="s">
        <v>35074</v>
      </c>
      <c r="B2333" s="1" t="s">
        <v>13976</v>
      </c>
      <c r="C2333" s="1" t="s">
        <v>40093</v>
      </c>
      <c r="D2333" s="1" t="s">
        <v>40094</v>
      </c>
      <c r="E2333" s="1" t="s">
        <v>40095</v>
      </c>
      <c r="F2333" s="1" t="s">
        <v>40096</v>
      </c>
      <c r="G2333" s="1" t="s">
        <v>40097</v>
      </c>
      <c r="H2333" s="1" t="s">
        <v>40098</v>
      </c>
      <c r="I2333" s="1" t="s">
        <v>40098</v>
      </c>
      <c r="J2333" s="1">
        <v>9284040733</v>
      </c>
      <c r="K2333" s="1" t="s">
        <v>84</v>
      </c>
      <c r="L2333" s="1" t="s">
        <v>40099</v>
      </c>
      <c r="M2333" s="1" t="s">
        <v>86</v>
      </c>
      <c r="N2333" s="1" t="s">
        <v>40100</v>
      </c>
      <c r="O2333" s="1" t="s">
        <v>19967</v>
      </c>
      <c r="P2333" s="1" t="s">
        <v>219</v>
      </c>
      <c r="Q2333" s="1">
        <v>634841841546</v>
      </c>
      <c r="R2333" s="1" t="s">
        <v>40095</v>
      </c>
      <c r="S2333" s="1">
        <v>9420676795</v>
      </c>
      <c r="T2333" s="1" t="s">
        <v>3439</v>
      </c>
      <c r="U2333" s="1" t="s">
        <v>40101</v>
      </c>
      <c r="V2333" s="1">
        <v>7276657165</v>
      </c>
      <c r="W2333" s="1" t="s">
        <v>40102</v>
      </c>
      <c r="X2333" s="1" t="s">
        <v>40103</v>
      </c>
      <c r="Y2333" s="1" t="s">
        <v>1033</v>
      </c>
      <c r="Z2333" s="1" t="s">
        <v>97</v>
      </c>
      <c r="AA2333" s="1" t="s">
        <v>40103</v>
      </c>
      <c r="AB2333" s="1" t="s">
        <v>1033</v>
      </c>
      <c r="AC2333" s="1" t="s">
        <v>97</v>
      </c>
      <c r="AD2333" s="1" t="s">
        <v>98</v>
      </c>
      <c r="AE2333" s="1" t="s">
        <v>98</v>
      </c>
      <c r="AF2333" s="1" t="s">
        <v>40104</v>
      </c>
      <c r="AG2333" s="1" t="s">
        <v>40105</v>
      </c>
      <c r="AH2333" s="1" t="s">
        <v>167</v>
      </c>
      <c r="AI2333" s="1" t="s">
        <v>170</v>
      </c>
      <c r="AJ2333" s="1">
        <v>64.6</v>
      </c>
      <c r="AK2333" s="1">
        <v>6.8</v>
      </c>
      <c r="AL2333" s="1" t="s">
        <v>40106</v>
      </c>
      <c r="AM2333" s="1" t="s">
        <v>40107</v>
      </c>
      <c r="AN2333" s="1" t="s">
        <v>465</v>
      </c>
      <c r="AO2333" s="1" t="s">
        <v>106</v>
      </c>
      <c r="AP2333" s="1" t="s">
        <v>313</v>
      </c>
      <c r="AQ2333" s="1">
        <v>54.92</v>
      </c>
      <c r="AR2333" s="1"/>
      <c r="AS2333" s="1"/>
      <c r="AT2333" s="1"/>
      <c r="AU2333" s="1"/>
      <c r="AV2333" s="1"/>
      <c r="AW2333" s="1"/>
      <c r="AX2333" s="1"/>
      <c r="AY2333" s="1" t="s">
        <v>13994</v>
      </c>
      <c r="AZ2333" s="1" t="s">
        <v>40108</v>
      </c>
      <c r="BA2333" s="1" t="s">
        <v>466</v>
      </c>
      <c r="BB2333" s="1" t="s">
        <v>467</v>
      </c>
      <c r="BC2333" s="1" t="s">
        <v>206</v>
      </c>
      <c r="BD2333" s="1" t="s">
        <v>418</v>
      </c>
      <c r="BE2333" s="1">
        <v>68.8</v>
      </c>
      <c r="BF2333" s="1">
        <v>7.38</v>
      </c>
      <c r="BG2333" s="1"/>
      <c r="BH2333" s="1"/>
      <c r="BI2333" s="1"/>
      <c r="BJ2333" s="1"/>
      <c r="BK2333" s="1"/>
      <c r="BL2333" s="1"/>
      <c r="BM2333" s="1"/>
      <c r="BN2333" s="1"/>
      <c r="BO2333" s="1" t="s">
        <v>849</v>
      </c>
      <c r="BP2333" s="1"/>
      <c r="BQ2333" s="1"/>
      <c r="BR2333" s="1"/>
      <c r="BS2333" s="1"/>
      <c r="BT2333" s="1"/>
      <c r="BU2333" s="1" t="str">
        <f>HYPERLINK("https://nconnect.nicmar.ac.in/storage/profile/6a897aab3cc00.png","Download")</f>
        <v>0</v>
      </c>
      <c r="BV2333" s="3"/>
      <c r="BW2333" s="3"/>
    </row>
    <row r="2334" spans="1:75">
      <c r="A2334" s="1" t="s">
        <v>35074</v>
      </c>
      <c r="B2334" s="1" t="s">
        <v>13976</v>
      </c>
      <c r="C2334" s="1" t="s">
        <v>40109</v>
      </c>
      <c r="D2334" s="1" t="s">
        <v>40110</v>
      </c>
      <c r="E2334" s="1"/>
      <c r="F2334" s="1" t="s">
        <v>40111</v>
      </c>
      <c r="G2334" s="1" t="s">
        <v>40112</v>
      </c>
      <c r="H2334" s="1" t="s">
        <v>40113</v>
      </c>
      <c r="I2334" s="1" t="s">
        <v>40113</v>
      </c>
      <c r="J2334" s="1">
        <v>8434540908</v>
      </c>
      <c r="K2334" s="1" t="s">
        <v>84</v>
      </c>
      <c r="L2334" s="1" t="s">
        <v>22036</v>
      </c>
      <c r="M2334" s="1" t="s">
        <v>86</v>
      </c>
      <c r="N2334" s="1" t="s">
        <v>15810</v>
      </c>
      <c r="O2334" s="1" t="s">
        <v>40114</v>
      </c>
      <c r="P2334" s="1" t="s">
        <v>356</v>
      </c>
      <c r="Q2334" s="1">
        <v>753177456521</v>
      </c>
      <c r="R2334" s="1" t="s">
        <v>40115</v>
      </c>
      <c r="S2334" s="1">
        <v>8789591391</v>
      </c>
      <c r="T2334" s="1" t="s">
        <v>6569</v>
      </c>
      <c r="U2334" s="1" t="s">
        <v>40116</v>
      </c>
      <c r="V2334" s="1">
        <v>7631384671</v>
      </c>
      <c r="W2334" s="1" t="s">
        <v>40117</v>
      </c>
      <c r="X2334" s="1" t="s">
        <v>40118</v>
      </c>
      <c r="Y2334" s="1" t="s">
        <v>2200</v>
      </c>
      <c r="Z2334" s="1" t="s">
        <v>649</v>
      </c>
      <c r="AA2334" s="1" t="s">
        <v>40119</v>
      </c>
      <c r="AB2334" s="1" t="s">
        <v>196</v>
      </c>
      <c r="AC2334" s="1" t="s">
        <v>97</v>
      </c>
      <c r="AD2334" s="1" t="s">
        <v>98</v>
      </c>
      <c r="AE2334" s="1" t="s">
        <v>98</v>
      </c>
      <c r="AF2334" s="1" t="s">
        <v>40120</v>
      </c>
      <c r="AG2334" s="1" t="s">
        <v>40121</v>
      </c>
      <c r="AH2334" s="1" t="s">
        <v>200</v>
      </c>
      <c r="AI2334" s="1" t="s">
        <v>490</v>
      </c>
      <c r="AJ2334" s="1">
        <v>53.8</v>
      </c>
      <c r="AK2334" s="1"/>
      <c r="AL2334" s="1" t="s">
        <v>40122</v>
      </c>
      <c r="AM2334" s="1" t="s">
        <v>40121</v>
      </c>
      <c r="AN2334" s="1" t="s">
        <v>35580</v>
      </c>
      <c r="AO2334" s="1" t="s">
        <v>171</v>
      </c>
      <c r="AP2334" s="1" t="s">
        <v>417</v>
      </c>
      <c r="AQ2334" s="1">
        <v>79.8</v>
      </c>
      <c r="AR2334" s="1"/>
      <c r="AS2334" s="1"/>
      <c r="AT2334" s="1"/>
      <c r="AU2334" s="1"/>
      <c r="AV2334" s="1"/>
      <c r="AW2334" s="1"/>
      <c r="AX2334" s="1"/>
      <c r="AY2334" s="1" t="s">
        <v>40123</v>
      </c>
      <c r="AZ2334" s="1" t="s">
        <v>40124</v>
      </c>
      <c r="BA2334" s="1" t="s">
        <v>35582</v>
      </c>
      <c r="BB2334" s="1" t="s">
        <v>35583</v>
      </c>
      <c r="BC2334" s="1" t="s">
        <v>178</v>
      </c>
      <c r="BD2334" s="1" t="s">
        <v>179</v>
      </c>
      <c r="BE2334" s="1">
        <v>63.75</v>
      </c>
      <c r="BF2334" s="1"/>
      <c r="BG2334" s="1"/>
      <c r="BH2334" s="1"/>
      <c r="BI2334" s="1"/>
      <c r="BJ2334" s="1"/>
      <c r="BK2334" s="1"/>
      <c r="BL2334" s="1"/>
      <c r="BM2334" s="1"/>
      <c r="BN2334" s="1"/>
      <c r="BO2334" s="1" t="s">
        <v>1890</v>
      </c>
      <c r="BP2334" s="1"/>
      <c r="BQ2334" s="1"/>
      <c r="BR2334" s="1"/>
      <c r="BS2334" s="1"/>
      <c r="BT2334" s="1"/>
      <c r="BU2334" s="1" t="str">
        <f>HYPERLINK("https://nconnect.nicmar.ac.in/storage/profile/6a85ad2fabfa0.png","Download")</f>
        <v>0</v>
      </c>
      <c r="BV2334" s="3"/>
      <c r="BW2334" s="3"/>
    </row>
    <row r="2335" spans="1:75">
      <c r="A2335" s="1" t="s">
        <v>35074</v>
      </c>
      <c r="B2335" s="1" t="s">
        <v>13976</v>
      </c>
      <c r="C2335" s="1" t="s">
        <v>40125</v>
      </c>
      <c r="D2335" s="1" t="s">
        <v>17512</v>
      </c>
      <c r="E2335" s="1" t="s">
        <v>21023</v>
      </c>
      <c r="F2335" s="1" t="s">
        <v>40126</v>
      </c>
      <c r="G2335" s="1" t="s">
        <v>40127</v>
      </c>
      <c r="H2335" s="1" t="s">
        <v>40128</v>
      </c>
      <c r="I2335" s="1" t="s">
        <v>40129</v>
      </c>
      <c r="J2335" s="1">
        <v>7721029777</v>
      </c>
      <c r="K2335" s="1" t="s">
        <v>84</v>
      </c>
      <c r="L2335" s="1" t="s">
        <v>6797</v>
      </c>
      <c r="M2335" s="1" t="s">
        <v>86</v>
      </c>
      <c r="N2335" s="1" t="s">
        <v>40130</v>
      </c>
      <c r="O2335" s="1" t="s">
        <v>40131</v>
      </c>
      <c r="P2335" s="1" t="s">
        <v>122</v>
      </c>
      <c r="Q2335" s="1">
        <v>948889461799</v>
      </c>
      <c r="R2335" s="1" t="s">
        <v>40132</v>
      </c>
      <c r="S2335" s="1">
        <v>9503245147</v>
      </c>
      <c r="T2335" s="1" t="s">
        <v>15506</v>
      </c>
      <c r="U2335" s="1" t="s">
        <v>40133</v>
      </c>
      <c r="V2335" s="1">
        <v>8380075147</v>
      </c>
      <c r="W2335" s="1" t="s">
        <v>17448</v>
      </c>
      <c r="X2335" s="1" t="s">
        <v>40134</v>
      </c>
      <c r="Y2335" s="1" t="s">
        <v>196</v>
      </c>
      <c r="Z2335" s="1" t="s">
        <v>97</v>
      </c>
      <c r="AA2335" s="1" t="s">
        <v>40134</v>
      </c>
      <c r="AB2335" s="1" t="s">
        <v>196</v>
      </c>
      <c r="AC2335" s="1" t="s">
        <v>97</v>
      </c>
      <c r="AD2335" s="1" t="s">
        <v>98</v>
      </c>
      <c r="AE2335" s="1" t="s">
        <v>98</v>
      </c>
      <c r="AF2335" s="1"/>
      <c r="AG2335" s="1"/>
      <c r="AH2335" s="1"/>
      <c r="AI2335" s="1"/>
      <c r="AJ2335" s="1"/>
      <c r="AK2335" s="1"/>
      <c r="AL2335" s="1"/>
      <c r="AM2335" s="1"/>
      <c r="AN2335" s="1"/>
      <c r="AO2335" s="1"/>
      <c r="AP2335" s="1"/>
      <c r="AQ2335" s="1"/>
      <c r="AR2335" s="1"/>
      <c r="AS2335" s="1"/>
      <c r="AT2335" s="1"/>
      <c r="AU2335" s="1"/>
      <c r="AV2335" s="1"/>
      <c r="AW2335" s="1"/>
      <c r="AX2335" s="1"/>
      <c r="AY2335" s="1"/>
      <c r="AZ2335" s="1"/>
      <c r="BA2335" s="1"/>
      <c r="BB2335" s="1"/>
      <c r="BC2335" s="1"/>
      <c r="BD2335" s="1"/>
      <c r="BE2335" s="1"/>
      <c r="BF2335" s="1"/>
      <c r="BG2335" s="1"/>
      <c r="BH2335" s="1"/>
      <c r="BI2335" s="1"/>
      <c r="BJ2335" s="1"/>
      <c r="BK2335" s="1"/>
      <c r="BL2335" s="1"/>
      <c r="BM2335" s="1"/>
      <c r="BN2335" s="1"/>
      <c r="BO2335" s="1"/>
      <c r="BP2335" s="1"/>
      <c r="BQ2335" s="1"/>
      <c r="BR2335" s="1"/>
      <c r="BS2335" s="1"/>
      <c r="BT2335" s="1"/>
      <c r="BU2335" s="1" t="str">
        <f>HYPERLINK("https://nconnect.nicmar.ac.in/storage/profile/6a89977a3ac12.png","Download")</f>
        <v>0</v>
      </c>
      <c r="BV2335" s="3"/>
      <c r="BW2335" s="3"/>
    </row>
    <row r="2336" spans="1:75">
      <c r="A2336" s="1" t="s">
        <v>35074</v>
      </c>
      <c r="B2336" s="1" t="s">
        <v>13976</v>
      </c>
      <c r="C2336" s="1" t="s">
        <v>40135</v>
      </c>
      <c r="D2336" s="1" t="s">
        <v>40136</v>
      </c>
      <c r="E2336" s="1" t="s">
        <v>40137</v>
      </c>
      <c r="F2336" s="1" t="s">
        <v>24694</v>
      </c>
      <c r="G2336" s="1" t="s">
        <v>40138</v>
      </c>
      <c r="H2336" s="1" t="s">
        <v>40139</v>
      </c>
      <c r="I2336" s="1" t="s">
        <v>40139</v>
      </c>
      <c r="J2336" s="1">
        <v>9511881957</v>
      </c>
      <c r="K2336" s="1" t="s">
        <v>84</v>
      </c>
      <c r="L2336" s="1" t="s">
        <v>10605</v>
      </c>
      <c r="M2336" s="1" t="s">
        <v>86</v>
      </c>
      <c r="N2336" s="1" t="s">
        <v>14092</v>
      </c>
      <c r="O2336" s="1" t="s">
        <v>40140</v>
      </c>
      <c r="P2336" s="1" t="s">
        <v>219</v>
      </c>
      <c r="Q2336" s="1">
        <v>635108664127</v>
      </c>
      <c r="R2336" s="1" t="s">
        <v>40141</v>
      </c>
      <c r="S2336" s="1">
        <v>9422215015</v>
      </c>
      <c r="T2336" s="1" t="s">
        <v>40142</v>
      </c>
      <c r="U2336" s="1" t="s">
        <v>40143</v>
      </c>
      <c r="V2336" s="1">
        <v>8208443228</v>
      </c>
      <c r="W2336" s="1" t="s">
        <v>3441</v>
      </c>
      <c r="X2336" s="1" t="s">
        <v>40144</v>
      </c>
      <c r="Y2336" s="1" t="s">
        <v>9788</v>
      </c>
      <c r="Z2336" s="1" t="s">
        <v>97</v>
      </c>
      <c r="AA2336" s="1" t="s">
        <v>40144</v>
      </c>
      <c r="AB2336" s="1" t="s">
        <v>9788</v>
      </c>
      <c r="AC2336" s="1" t="s">
        <v>97</v>
      </c>
      <c r="AD2336" s="1" t="s">
        <v>98</v>
      </c>
      <c r="AE2336" s="1" t="s">
        <v>98</v>
      </c>
      <c r="AF2336" s="1" t="s">
        <v>40145</v>
      </c>
      <c r="AG2336" s="1" t="s">
        <v>40146</v>
      </c>
      <c r="AH2336" s="1" t="s">
        <v>174</v>
      </c>
      <c r="AI2336" s="1" t="s">
        <v>313</v>
      </c>
      <c r="AJ2336" s="1">
        <v>72.6</v>
      </c>
      <c r="AK2336" s="1">
        <v>7.2</v>
      </c>
      <c r="AL2336" s="1" t="s">
        <v>40147</v>
      </c>
      <c r="AM2336" s="1" t="s">
        <v>40146</v>
      </c>
      <c r="AN2336" s="1" t="s">
        <v>465</v>
      </c>
      <c r="AO2336" s="1" t="s">
        <v>315</v>
      </c>
      <c r="AP2336" s="1" t="s">
        <v>441</v>
      </c>
      <c r="AQ2336" s="1">
        <v>85.5</v>
      </c>
      <c r="AR2336" s="1">
        <v>8.5</v>
      </c>
      <c r="AS2336" s="1"/>
      <c r="AT2336" s="1"/>
      <c r="AU2336" s="1"/>
      <c r="AV2336" s="1"/>
      <c r="AW2336" s="1"/>
      <c r="AX2336" s="1"/>
      <c r="AY2336" s="1" t="s">
        <v>17435</v>
      </c>
      <c r="AZ2336" s="1" t="s">
        <v>40148</v>
      </c>
      <c r="BA2336" s="1" t="s">
        <v>466</v>
      </c>
      <c r="BB2336" s="1" t="s">
        <v>38485</v>
      </c>
      <c r="BC2336" s="1" t="s">
        <v>549</v>
      </c>
      <c r="BD2336" s="1" t="s">
        <v>1401</v>
      </c>
      <c r="BE2336" s="1">
        <v>76.1</v>
      </c>
      <c r="BF2336" s="1">
        <v>7.6</v>
      </c>
      <c r="BG2336" s="1"/>
      <c r="BH2336" s="1"/>
      <c r="BI2336" s="1"/>
      <c r="BJ2336" s="1"/>
      <c r="BK2336" s="1"/>
      <c r="BL2336" s="1"/>
      <c r="BM2336" s="1"/>
      <c r="BN2336" s="1"/>
      <c r="BO2336" s="1" t="s">
        <v>1890</v>
      </c>
      <c r="BP2336" s="1"/>
      <c r="BQ2336" s="1"/>
      <c r="BR2336" s="1"/>
      <c r="BS2336" s="1"/>
      <c r="BT2336" s="1" t="s">
        <v>40149</v>
      </c>
      <c r="BU2336" s="1" t="str">
        <f>HYPERLINK("https://nconnect.nicmar.ac.in/storage/profile/6a85dc3135d3c.png","Download")</f>
        <v>0</v>
      </c>
      <c r="BV2336" s="3"/>
      <c r="BW2336" s="3"/>
    </row>
    <row r="2337" spans="1:75">
      <c r="A2337" s="1" t="s">
        <v>35074</v>
      </c>
      <c r="B2337" s="1" t="s">
        <v>13976</v>
      </c>
      <c r="C2337" s="1" t="s">
        <v>40150</v>
      </c>
      <c r="D2337" s="1" t="s">
        <v>40151</v>
      </c>
      <c r="E2337" s="1" t="s">
        <v>1964</v>
      </c>
      <c r="F2337" s="1" t="s">
        <v>1964</v>
      </c>
      <c r="G2337" s="1" t="s">
        <v>40152</v>
      </c>
      <c r="H2337" s="1" t="s">
        <v>40153</v>
      </c>
      <c r="I2337" s="1" t="s">
        <v>40153</v>
      </c>
      <c r="J2337" s="1">
        <v>7549488629</v>
      </c>
      <c r="K2337" s="1" t="s">
        <v>153</v>
      </c>
      <c r="L2337" s="1" t="s">
        <v>37865</v>
      </c>
      <c r="M2337" s="1" t="s">
        <v>86</v>
      </c>
      <c r="N2337" s="1" t="s">
        <v>40154</v>
      </c>
      <c r="O2337" s="1" t="s">
        <v>40155</v>
      </c>
      <c r="P2337" s="1" t="s">
        <v>219</v>
      </c>
      <c r="Q2337" s="1">
        <v>987628257653</v>
      </c>
      <c r="R2337" s="1" t="s">
        <v>40156</v>
      </c>
      <c r="S2337" s="1">
        <v>8405804104</v>
      </c>
      <c r="T2337" s="1" t="s">
        <v>14316</v>
      </c>
      <c r="U2337" s="1" t="s">
        <v>40157</v>
      </c>
      <c r="V2337" s="1">
        <v>6200625194</v>
      </c>
      <c r="W2337" s="1" t="s">
        <v>14154</v>
      </c>
      <c r="X2337" s="1" t="s">
        <v>40158</v>
      </c>
      <c r="Y2337" s="1" t="s">
        <v>648</v>
      </c>
      <c r="Z2337" s="1" t="s">
        <v>649</v>
      </c>
      <c r="AA2337" s="1" t="s">
        <v>40158</v>
      </c>
      <c r="AB2337" s="1" t="s">
        <v>648</v>
      </c>
      <c r="AC2337" s="1" t="s">
        <v>649</v>
      </c>
      <c r="AD2337" s="1" t="s">
        <v>98</v>
      </c>
      <c r="AE2337" s="1" t="s">
        <v>98</v>
      </c>
      <c r="AF2337" s="1" t="s">
        <v>40159</v>
      </c>
      <c r="AG2337" s="1" t="s">
        <v>15646</v>
      </c>
      <c r="AH2337" s="1" t="s">
        <v>547</v>
      </c>
      <c r="AI2337" s="1" t="s">
        <v>178</v>
      </c>
      <c r="AJ2337" s="1">
        <v>71</v>
      </c>
      <c r="AK2337" s="1"/>
      <c r="AL2337" s="1" t="s">
        <v>40159</v>
      </c>
      <c r="AM2337" s="1" t="s">
        <v>40160</v>
      </c>
      <c r="AN2337" s="1" t="s">
        <v>465</v>
      </c>
      <c r="AO2337" s="1" t="s">
        <v>2304</v>
      </c>
      <c r="AP2337" s="1" t="s">
        <v>1400</v>
      </c>
      <c r="AQ2337" s="1">
        <v>67</v>
      </c>
      <c r="AR2337" s="1"/>
      <c r="AS2337" s="1"/>
      <c r="AT2337" s="1"/>
      <c r="AU2337" s="1"/>
      <c r="AV2337" s="1"/>
      <c r="AW2337" s="1"/>
      <c r="AX2337" s="1"/>
      <c r="AY2337" s="1" t="s">
        <v>40161</v>
      </c>
      <c r="AZ2337" s="1" t="s">
        <v>40162</v>
      </c>
      <c r="BA2337" s="1" t="s">
        <v>578</v>
      </c>
      <c r="BB2337" s="1" t="s">
        <v>39920</v>
      </c>
      <c r="BC2337" s="1" t="s">
        <v>110</v>
      </c>
      <c r="BD2337" s="1" t="s">
        <v>14162</v>
      </c>
      <c r="BE2337" s="1">
        <v>84</v>
      </c>
      <c r="BF2337" s="1">
        <v>8.8</v>
      </c>
      <c r="BG2337" s="1"/>
      <c r="BH2337" s="1"/>
      <c r="BI2337" s="1"/>
      <c r="BJ2337" s="1"/>
      <c r="BK2337" s="1"/>
      <c r="BL2337" s="1"/>
      <c r="BM2337" s="1"/>
      <c r="BN2337" s="1"/>
      <c r="BO2337" s="1" t="s">
        <v>40163</v>
      </c>
      <c r="BP2337" s="1"/>
      <c r="BQ2337" s="1"/>
      <c r="BR2337" s="1"/>
      <c r="BS2337" s="1"/>
      <c r="BT2337" s="1"/>
      <c r="BU2337" s="1" t="str">
        <f>HYPERLINK("https://nconnect.nicmar.ac.in/storage/profile/6a85f4288df48.png","Download")</f>
        <v>0</v>
      </c>
      <c r="BV2337" s="3"/>
      <c r="BW2337" s="3"/>
    </row>
    <row r="2338" spans="1:75">
      <c r="A2338" s="1" t="s">
        <v>35074</v>
      </c>
      <c r="B2338" s="1" t="s">
        <v>13976</v>
      </c>
      <c r="C2338" s="1" t="s">
        <v>40164</v>
      </c>
      <c r="D2338" s="1"/>
      <c r="E2338" s="1"/>
      <c r="F2338" s="1"/>
      <c r="G2338" s="1"/>
      <c r="H2338" s="1" t="s">
        <v>40165</v>
      </c>
      <c r="I2338" s="1" t="s">
        <v>40165</v>
      </c>
      <c r="J2338" s="1"/>
      <c r="K2338" s="1"/>
      <c r="L2338" s="1"/>
      <c r="M2338" s="1"/>
      <c r="N2338" s="1"/>
      <c r="O2338" s="1"/>
      <c r="P2338" s="1"/>
      <c r="Q2338" s="1"/>
      <c r="R2338" s="1"/>
      <c r="S2338" s="1"/>
      <c r="T2338" s="1"/>
      <c r="U2338" s="1"/>
      <c r="V2338" s="1"/>
      <c r="W2338" s="1"/>
      <c r="X2338" s="1"/>
      <c r="Y2338" s="1"/>
      <c r="Z2338" s="1"/>
      <c r="AA2338" s="1"/>
      <c r="AB2338" s="1"/>
      <c r="AC2338" s="1"/>
      <c r="AD2338" s="1" t="s">
        <v>98</v>
      </c>
      <c r="AE2338" s="1" t="s">
        <v>98</v>
      </c>
      <c r="AF2338" s="1"/>
      <c r="AG2338" s="1"/>
      <c r="AH2338" s="1"/>
      <c r="AI2338" s="1"/>
      <c r="AJ2338" s="1"/>
      <c r="AK2338" s="1"/>
      <c r="AL2338" s="1"/>
      <c r="AM2338" s="1"/>
      <c r="AN2338" s="1"/>
      <c r="AO2338" s="1"/>
      <c r="AP2338" s="1"/>
      <c r="AQ2338" s="1"/>
      <c r="AR2338" s="1"/>
      <c r="AS2338" s="1"/>
      <c r="AT2338" s="1"/>
      <c r="AU2338" s="1"/>
      <c r="AV2338" s="1"/>
      <c r="AW2338" s="1"/>
      <c r="AX2338" s="1"/>
      <c r="AY2338" s="1"/>
      <c r="AZ2338" s="1"/>
      <c r="BA2338" s="1"/>
      <c r="BB2338" s="1"/>
      <c r="BC2338" s="1"/>
      <c r="BD2338" s="1"/>
      <c r="BE2338" s="1"/>
      <c r="BF2338" s="1"/>
      <c r="BG2338" s="1"/>
      <c r="BH2338" s="1"/>
      <c r="BI2338" s="1"/>
      <c r="BJ2338" s="1"/>
      <c r="BK2338" s="1"/>
      <c r="BL2338" s="1"/>
      <c r="BM2338" s="1"/>
      <c r="BN2338" s="1"/>
      <c r="BO2338" s="1"/>
      <c r="BP2338" s="1"/>
      <c r="BQ2338" s="1"/>
      <c r="BR2338" s="1"/>
      <c r="BS2338" s="1"/>
      <c r="BT2338" s="1"/>
      <c r="BU2338" s="1" t="s">
        <v>9653</v>
      </c>
      <c r="BV2338" s="3"/>
      <c r="BW2338" s="3"/>
    </row>
    <row r="2339" spans="1:75">
      <c r="A2339" s="1" t="s">
        <v>35074</v>
      </c>
      <c r="B2339" s="1" t="s">
        <v>13976</v>
      </c>
      <c r="C2339" s="1" t="s">
        <v>40166</v>
      </c>
      <c r="D2339" s="1" t="s">
        <v>40167</v>
      </c>
      <c r="E2339" s="1"/>
      <c r="F2339" s="1" t="s">
        <v>14406</v>
      </c>
      <c r="G2339" s="1" t="s">
        <v>40168</v>
      </c>
      <c r="H2339" s="1" t="s">
        <v>40169</v>
      </c>
      <c r="I2339" s="1" t="s">
        <v>40169</v>
      </c>
      <c r="J2339" s="1">
        <v>8400830441</v>
      </c>
      <c r="K2339" s="1" t="s">
        <v>153</v>
      </c>
      <c r="L2339" s="1" t="s">
        <v>40170</v>
      </c>
      <c r="M2339" s="1" t="s">
        <v>86</v>
      </c>
      <c r="N2339" s="1" t="s">
        <v>16435</v>
      </c>
      <c r="O2339" s="1" t="s">
        <v>40171</v>
      </c>
      <c r="P2339" s="1" t="s">
        <v>356</v>
      </c>
      <c r="Q2339" s="1">
        <v>809536393548</v>
      </c>
      <c r="R2339" s="1" t="s">
        <v>40172</v>
      </c>
      <c r="S2339" s="1">
        <v>7394929305</v>
      </c>
      <c r="T2339" s="1" t="s">
        <v>40173</v>
      </c>
      <c r="U2339" s="1" t="s">
        <v>40174</v>
      </c>
      <c r="V2339" s="1">
        <v>9519134373</v>
      </c>
      <c r="W2339" s="1" t="s">
        <v>15148</v>
      </c>
      <c r="X2339" s="1" t="s">
        <v>40175</v>
      </c>
      <c r="Y2339" s="1" t="s">
        <v>21987</v>
      </c>
      <c r="Z2339" s="1" t="s">
        <v>544</v>
      </c>
      <c r="AA2339" s="1" t="s">
        <v>40175</v>
      </c>
      <c r="AB2339" s="1" t="s">
        <v>21987</v>
      </c>
      <c r="AC2339" s="1" t="s">
        <v>544</v>
      </c>
      <c r="AD2339" s="1" t="s">
        <v>98</v>
      </c>
      <c r="AE2339" s="1" t="s">
        <v>98</v>
      </c>
      <c r="AF2339" s="1" t="s">
        <v>40176</v>
      </c>
      <c r="AG2339" s="1" t="s">
        <v>40177</v>
      </c>
      <c r="AH2339" s="1" t="s">
        <v>977</v>
      </c>
      <c r="AI2339" s="1" t="s">
        <v>441</v>
      </c>
      <c r="AJ2339" s="1">
        <v>70</v>
      </c>
      <c r="AK2339" s="1"/>
      <c r="AL2339" s="1" t="s">
        <v>40178</v>
      </c>
      <c r="AM2339" s="1" t="s">
        <v>40177</v>
      </c>
      <c r="AN2339" s="1" t="s">
        <v>465</v>
      </c>
      <c r="AO2339" s="1" t="s">
        <v>1886</v>
      </c>
      <c r="AP2339" s="1" t="s">
        <v>955</v>
      </c>
      <c r="AQ2339" s="1">
        <v>66</v>
      </c>
      <c r="AR2339" s="1"/>
      <c r="AS2339" s="1"/>
      <c r="AT2339" s="1"/>
      <c r="AU2339" s="1"/>
      <c r="AV2339" s="1"/>
      <c r="AW2339" s="1"/>
      <c r="AX2339" s="1"/>
      <c r="AY2339" s="1" t="s">
        <v>40179</v>
      </c>
      <c r="AZ2339" s="1" t="s">
        <v>40180</v>
      </c>
      <c r="BA2339" s="1" t="s">
        <v>38008</v>
      </c>
      <c r="BB2339" s="1" t="s">
        <v>38431</v>
      </c>
      <c r="BC2339" s="1" t="s">
        <v>391</v>
      </c>
      <c r="BD2339" s="1" t="s">
        <v>14162</v>
      </c>
      <c r="BE2339" s="1">
        <v>80</v>
      </c>
      <c r="BF2339" s="1"/>
      <c r="BG2339" s="1"/>
      <c r="BH2339" s="1"/>
      <c r="BI2339" s="1"/>
      <c r="BJ2339" s="1"/>
      <c r="BK2339" s="1"/>
      <c r="BL2339" s="1"/>
      <c r="BM2339" s="1"/>
      <c r="BN2339" s="1"/>
      <c r="BO2339" s="1" t="s">
        <v>40181</v>
      </c>
      <c r="BP2339" s="1"/>
      <c r="BQ2339" s="1"/>
      <c r="BR2339" s="1" t="s">
        <v>40182</v>
      </c>
      <c r="BS2339" s="1">
        <v>12</v>
      </c>
      <c r="BT2339" s="1"/>
      <c r="BU2339" s="1" t="str">
        <f>HYPERLINK("https://nconnect.nicmar.ac.in/storage/profile/6a84a9c49df5a.png","Download")</f>
        <v>0</v>
      </c>
      <c r="BV2339" s="3"/>
      <c r="BW2339" s="3"/>
    </row>
    <row r="2340" spans="1:75">
      <c r="A2340" s="1" t="s">
        <v>35074</v>
      </c>
      <c r="B2340" s="1" t="s">
        <v>13976</v>
      </c>
      <c r="C2340" s="1" t="s">
        <v>40183</v>
      </c>
      <c r="D2340" s="1" t="s">
        <v>19626</v>
      </c>
      <c r="E2340" s="1" t="s">
        <v>40184</v>
      </c>
      <c r="F2340" s="1" t="s">
        <v>40185</v>
      </c>
      <c r="G2340" s="1" t="s">
        <v>40186</v>
      </c>
      <c r="H2340" s="1" t="s">
        <v>40187</v>
      </c>
      <c r="I2340" s="1" t="s">
        <v>40187</v>
      </c>
      <c r="J2340" s="1">
        <v>9823229144</v>
      </c>
      <c r="K2340" s="1" t="s">
        <v>153</v>
      </c>
      <c r="L2340" s="1" t="s">
        <v>9050</v>
      </c>
      <c r="M2340" s="1" t="s">
        <v>86</v>
      </c>
      <c r="N2340" s="1" t="s">
        <v>15041</v>
      </c>
      <c r="O2340" s="1" t="s">
        <v>40188</v>
      </c>
      <c r="P2340" s="1" t="s">
        <v>219</v>
      </c>
      <c r="Q2340" s="1">
        <v>267109474651</v>
      </c>
      <c r="R2340" s="1" t="s">
        <v>40189</v>
      </c>
      <c r="S2340" s="1">
        <v>9823226022</v>
      </c>
      <c r="T2340" s="1" t="s">
        <v>23666</v>
      </c>
      <c r="U2340" s="1" t="s">
        <v>40190</v>
      </c>
      <c r="V2340" s="1">
        <v>8308443255</v>
      </c>
      <c r="W2340" s="1" t="s">
        <v>15588</v>
      </c>
      <c r="X2340" s="1" t="s">
        <v>40191</v>
      </c>
      <c r="Y2340" s="1" t="s">
        <v>1779</v>
      </c>
      <c r="Z2340" s="1" t="s">
        <v>97</v>
      </c>
      <c r="AA2340" s="1" t="s">
        <v>40191</v>
      </c>
      <c r="AB2340" s="1" t="s">
        <v>1779</v>
      </c>
      <c r="AC2340" s="1" t="s">
        <v>97</v>
      </c>
      <c r="AD2340" s="1" t="s">
        <v>98</v>
      </c>
      <c r="AE2340" s="1" t="s">
        <v>98</v>
      </c>
      <c r="AF2340" s="1"/>
      <c r="AG2340" s="1"/>
      <c r="AH2340" s="1"/>
      <c r="AI2340" s="1"/>
      <c r="AJ2340" s="1"/>
      <c r="AK2340" s="1"/>
      <c r="AL2340" s="1"/>
      <c r="AM2340" s="1"/>
      <c r="AN2340" s="1"/>
      <c r="AO2340" s="1"/>
      <c r="AP2340" s="1"/>
      <c r="AQ2340" s="1"/>
      <c r="AR2340" s="1"/>
      <c r="AS2340" s="1"/>
      <c r="AT2340" s="1"/>
      <c r="AU2340" s="1"/>
      <c r="AV2340" s="1"/>
      <c r="AW2340" s="1"/>
      <c r="AX2340" s="1"/>
      <c r="AY2340" s="1"/>
      <c r="AZ2340" s="1"/>
      <c r="BA2340" s="1"/>
      <c r="BB2340" s="1"/>
      <c r="BC2340" s="1"/>
      <c r="BD2340" s="1"/>
      <c r="BE2340" s="1"/>
      <c r="BF2340" s="1"/>
      <c r="BG2340" s="1"/>
      <c r="BH2340" s="1"/>
      <c r="BI2340" s="1"/>
      <c r="BJ2340" s="1"/>
      <c r="BK2340" s="1"/>
      <c r="BL2340" s="1"/>
      <c r="BM2340" s="1"/>
      <c r="BN2340" s="1"/>
      <c r="BO2340" s="1"/>
      <c r="BP2340" s="1"/>
      <c r="BQ2340" s="1"/>
      <c r="BR2340" s="1" t="s">
        <v>40192</v>
      </c>
      <c r="BS2340" s="1">
        <v>9</v>
      </c>
      <c r="BT2340" s="1"/>
      <c r="BU2340" s="1" t="str">
        <f>HYPERLINK("https://nconnect.nicmar.ac.in/storage/profile/6a8598398b427.png","Download")</f>
        <v>0</v>
      </c>
      <c r="BV2340" s="3"/>
      <c r="BW2340" s="3"/>
    </row>
    <row r="2341" spans="1:75">
      <c r="A2341" s="1" t="s">
        <v>35074</v>
      </c>
      <c r="B2341" s="1" t="s">
        <v>13976</v>
      </c>
      <c r="C2341" s="1" t="s">
        <v>40193</v>
      </c>
      <c r="D2341" s="1" t="s">
        <v>14946</v>
      </c>
      <c r="E2341" s="1" t="s">
        <v>19002</v>
      </c>
      <c r="F2341" s="1" t="s">
        <v>40194</v>
      </c>
      <c r="G2341" s="1" t="s">
        <v>40195</v>
      </c>
      <c r="H2341" s="1" t="s">
        <v>40196</v>
      </c>
      <c r="I2341" s="1" t="s">
        <v>40196</v>
      </c>
      <c r="J2341" s="1">
        <v>9552853813</v>
      </c>
      <c r="K2341" s="1" t="s">
        <v>153</v>
      </c>
      <c r="L2341" s="1" t="s">
        <v>16673</v>
      </c>
      <c r="M2341" s="1" t="s">
        <v>86</v>
      </c>
      <c r="N2341" s="1" t="s">
        <v>40197</v>
      </c>
      <c r="O2341" s="1" t="s">
        <v>40198</v>
      </c>
      <c r="P2341" s="1" t="s">
        <v>219</v>
      </c>
      <c r="Q2341" s="1">
        <v>328322990962</v>
      </c>
      <c r="R2341" s="1" t="s">
        <v>40199</v>
      </c>
      <c r="S2341" s="1">
        <v>9422191822</v>
      </c>
      <c r="T2341" s="1" t="s">
        <v>16891</v>
      </c>
      <c r="U2341" s="1" t="s">
        <v>40200</v>
      </c>
      <c r="V2341" s="1">
        <v>8999982217</v>
      </c>
      <c r="W2341" s="1" t="s">
        <v>16891</v>
      </c>
      <c r="X2341" s="1" t="s">
        <v>40201</v>
      </c>
      <c r="Y2341" s="1" t="s">
        <v>624</v>
      </c>
      <c r="Z2341" s="1" t="s">
        <v>97</v>
      </c>
      <c r="AA2341" s="1" t="s">
        <v>40201</v>
      </c>
      <c r="AB2341" s="1" t="s">
        <v>624</v>
      </c>
      <c r="AC2341" s="1" t="s">
        <v>97</v>
      </c>
      <c r="AD2341" s="1" t="s">
        <v>98</v>
      </c>
      <c r="AE2341" s="1" t="s">
        <v>98</v>
      </c>
      <c r="AF2341" s="1" t="s">
        <v>40202</v>
      </c>
      <c r="AG2341" s="1" t="s">
        <v>40203</v>
      </c>
      <c r="AH2341" s="1" t="s">
        <v>286</v>
      </c>
      <c r="AI2341" s="1" t="s">
        <v>313</v>
      </c>
      <c r="AJ2341" s="1">
        <v>72</v>
      </c>
      <c r="AK2341" s="1">
        <v>7.8</v>
      </c>
      <c r="AL2341" s="1" t="s">
        <v>40204</v>
      </c>
      <c r="AM2341" s="1" t="s">
        <v>40205</v>
      </c>
      <c r="AN2341" s="1" t="s">
        <v>2995</v>
      </c>
      <c r="AO2341" s="1" t="s">
        <v>438</v>
      </c>
      <c r="AP2341" s="1" t="s">
        <v>549</v>
      </c>
      <c r="AQ2341" s="1">
        <v>93.0</v>
      </c>
      <c r="AR2341" s="1">
        <v>9.79</v>
      </c>
      <c r="AS2341" s="1"/>
      <c r="AT2341" s="1"/>
      <c r="AU2341" s="1"/>
      <c r="AV2341" s="1"/>
      <c r="AW2341" s="1"/>
      <c r="AX2341" s="1"/>
      <c r="AY2341" s="1" t="s">
        <v>40206</v>
      </c>
      <c r="AZ2341" s="1" t="s">
        <v>40207</v>
      </c>
      <c r="BA2341" s="1" t="s">
        <v>466</v>
      </c>
      <c r="BB2341" s="1" t="s">
        <v>1062</v>
      </c>
      <c r="BC2341" s="1" t="s">
        <v>848</v>
      </c>
      <c r="BD2341" s="1" t="s">
        <v>14162</v>
      </c>
      <c r="BE2341" s="1">
        <v>67.3</v>
      </c>
      <c r="BF2341" s="1">
        <v>6.73</v>
      </c>
      <c r="BG2341" s="1"/>
      <c r="BH2341" s="1"/>
      <c r="BI2341" s="1"/>
      <c r="BJ2341" s="1"/>
      <c r="BK2341" s="1"/>
      <c r="BL2341" s="1"/>
      <c r="BM2341" s="1"/>
      <c r="BN2341" s="1"/>
      <c r="BO2341" s="1" t="s">
        <v>40208</v>
      </c>
      <c r="BP2341" s="1"/>
      <c r="BQ2341" s="1"/>
      <c r="BR2341" s="1" t="s">
        <v>40209</v>
      </c>
      <c r="BS2341" s="1">
        <v>29</v>
      </c>
      <c r="BT2341" s="1" t="s">
        <v>40210</v>
      </c>
      <c r="BU2341" s="1" t="str">
        <f>HYPERLINK("https://nconnect.nicmar.ac.in/storage/profile/6a848923c8031.png","Download")</f>
        <v>0</v>
      </c>
      <c r="BV2341" s="3"/>
      <c r="BW2341" s="3"/>
    </row>
    <row r="2342" spans="1:75">
      <c r="A2342" s="1" t="s">
        <v>35074</v>
      </c>
      <c r="B2342" s="1" t="s">
        <v>13976</v>
      </c>
      <c r="C2342" s="1" t="s">
        <v>40211</v>
      </c>
      <c r="D2342" s="1"/>
      <c r="E2342" s="1"/>
      <c r="F2342" s="1"/>
      <c r="G2342" s="1"/>
      <c r="H2342" s="1" t="s">
        <v>40212</v>
      </c>
      <c r="I2342" s="1" t="s">
        <v>40212</v>
      </c>
      <c r="J2342" s="1"/>
      <c r="K2342" s="1"/>
      <c r="L2342" s="1"/>
      <c r="M2342" s="1"/>
      <c r="N2342" s="1"/>
      <c r="O2342" s="1"/>
      <c r="P2342" s="1"/>
      <c r="Q2342" s="1"/>
      <c r="R2342" s="1"/>
      <c r="S2342" s="1"/>
      <c r="T2342" s="1"/>
      <c r="U2342" s="1"/>
      <c r="V2342" s="1"/>
      <c r="W2342" s="1"/>
      <c r="X2342" s="1"/>
      <c r="Y2342" s="1"/>
      <c r="Z2342" s="1"/>
      <c r="AA2342" s="1"/>
      <c r="AB2342" s="1"/>
      <c r="AC2342" s="1"/>
      <c r="AD2342" s="1" t="s">
        <v>98</v>
      </c>
      <c r="AE2342" s="1" t="s">
        <v>98</v>
      </c>
      <c r="AF2342" s="1"/>
      <c r="AG2342" s="1"/>
      <c r="AH2342" s="1"/>
      <c r="AI2342" s="1"/>
      <c r="AJ2342" s="1"/>
      <c r="AK2342" s="1"/>
      <c r="AL2342" s="1"/>
      <c r="AM2342" s="1"/>
      <c r="AN2342" s="1"/>
      <c r="AO2342" s="1"/>
      <c r="AP2342" s="1"/>
      <c r="AQ2342" s="1"/>
      <c r="AR2342" s="1"/>
      <c r="AS2342" s="1"/>
      <c r="AT2342" s="1"/>
      <c r="AU2342" s="1"/>
      <c r="AV2342" s="1"/>
      <c r="AW2342" s="1"/>
      <c r="AX2342" s="1"/>
      <c r="AY2342" s="1"/>
      <c r="AZ2342" s="1"/>
      <c r="BA2342" s="1"/>
      <c r="BB2342" s="1"/>
      <c r="BC2342" s="1"/>
      <c r="BD2342" s="1"/>
      <c r="BE2342" s="1"/>
      <c r="BF2342" s="1"/>
      <c r="BG2342" s="1"/>
      <c r="BH2342" s="1"/>
      <c r="BI2342" s="1"/>
      <c r="BJ2342" s="1"/>
      <c r="BK2342" s="1"/>
      <c r="BL2342" s="1"/>
      <c r="BM2342" s="1"/>
      <c r="BN2342" s="1"/>
      <c r="BO2342" s="1"/>
      <c r="BP2342" s="1"/>
      <c r="BQ2342" s="1"/>
      <c r="BR2342" s="1"/>
      <c r="BS2342" s="1"/>
      <c r="BT2342" s="1"/>
      <c r="BU2342" s="1" t="s">
        <v>9653</v>
      </c>
      <c r="BV2342" s="3"/>
      <c r="BW2342" s="3"/>
    </row>
    <row r="2343" spans="1:75">
      <c r="A2343" s="1" t="s">
        <v>35074</v>
      </c>
      <c r="B2343" s="1" t="s">
        <v>13976</v>
      </c>
      <c r="C2343" s="1" t="s">
        <v>40213</v>
      </c>
      <c r="D2343" s="1" t="s">
        <v>40214</v>
      </c>
      <c r="E2343" s="1" t="s">
        <v>14268</v>
      </c>
      <c r="F2343" s="1" t="s">
        <v>25012</v>
      </c>
      <c r="G2343" s="1" t="s">
        <v>40215</v>
      </c>
      <c r="H2343" s="1" t="s">
        <v>40216</v>
      </c>
      <c r="I2343" s="1" t="s">
        <v>40216</v>
      </c>
      <c r="J2343" s="1">
        <v>7666565660</v>
      </c>
      <c r="K2343" s="1" t="s">
        <v>84</v>
      </c>
      <c r="L2343" s="1" t="s">
        <v>2297</v>
      </c>
      <c r="M2343" s="1" t="s">
        <v>86</v>
      </c>
      <c r="N2343" s="1" t="s">
        <v>40217</v>
      </c>
      <c r="O2343" s="1" t="s">
        <v>24466</v>
      </c>
      <c r="P2343" s="1" t="s">
        <v>356</v>
      </c>
      <c r="Q2343" s="1">
        <v>960180955820</v>
      </c>
      <c r="R2343" s="1" t="s">
        <v>40218</v>
      </c>
      <c r="S2343" s="1">
        <v>9422275797</v>
      </c>
      <c r="T2343" s="1" t="s">
        <v>40219</v>
      </c>
      <c r="U2343" s="1" t="s">
        <v>40220</v>
      </c>
      <c r="V2343" s="1">
        <v>9422275797</v>
      </c>
      <c r="W2343" s="1" t="s">
        <v>14154</v>
      </c>
      <c r="X2343" s="1" t="s">
        <v>40221</v>
      </c>
      <c r="Y2343" s="1" t="s">
        <v>309</v>
      </c>
      <c r="Z2343" s="1" t="s">
        <v>97</v>
      </c>
      <c r="AA2343" s="1" t="s">
        <v>40221</v>
      </c>
      <c r="AB2343" s="1" t="s">
        <v>309</v>
      </c>
      <c r="AC2343" s="1" t="s">
        <v>97</v>
      </c>
      <c r="AD2343" s="1" t="s">
        <v>98</v>
      </c>
      <c r="AE2343" s="1" t="s">
        <v>98</v>
      </c>
      <c r="AF2343" s="1"/>
      <c r="AG2343" s="1"/>
      <c r="AH2343" s="1"/>
      <c r="AI2343" s="1"/>
      <c r="AJ2343" s="1"/>
      <c r="AK2343" s="1"/>
      <c r="AL2343" s="1"/>
      <c r="AM2343" s="1"/>
      <c r="AN2343" s="1"/>
      <c r="AO2343" s="1"/>
      <c r="AP2343" s="1"/>
      <c r="AQ2343" s="1"/>
      <c r="AR2343" s="1"/>
      <c r="AS2343" s="1"/>
      <c r="AT2343" s="1"/>
      <c r="AU2343" s="1"/>
      <c r="AV2343" s="1"/>
      <c r="AW2343" s="1"/>
      <c r="AX2343" s="1"/>
      <c r="AY2343" s="1"/>
      <c r="AZ2343" s="1"/>
      <c r="BA2343" s="1"/>
      <c r="BB2343" s="1"/>
      <c r="BC2343" s="1"/>
      <c r="BD2343" s="1"/>
      <c r="BE2343" s="1"/>
      <c r="BF2343" s="1"/>
      <c r="BG2343" s="1"/>
      <c r="BH2343" s="1"/>
      <c r="BI2343" s="1"/>
      <c r="BJ2343" s="1"/>
      <c r="BK2343" s="1"/>
      <c r="BL2343" s="1"/>
      <c r="BM2343" s="1"/>
      <c r="BN2343" s="1"/>
      <c r="BO2343" s="1"/>
      <c r="BP2343" s="1"/>
      <c r="BQ2343" s="1"/>
      <c r="BR2343" s="1"/>
      <c r="BS2343" s="1"/>
      <c r="BT2343" s="1"/>
      <c r="BU2343" s="1" t="str">
        <f>HYPERLINK("https://nconnect.nicmar.ac.in/storage/profile/6a85d11a28dee.png","Download")</f>
        <v>0</v>
      </c>
      <c r="BV2343" s="3"/>
      <c r="BW2343" s="3"/>
    </row>
    <row r="2344" spans="1:75">
      <c r="A2344" s="1" t="s">
        <v>35074</v>
      </c>
      <c r="B2344" s="1" t="s">
        <v>13976</v>
      </c>
      <c r="C2344" s="1" t="s">
        <v>40222</v>
      </c>
      <c r="D2344" s="1" t="s">
        <v>40223</v>
      </c>
      <c r="E2344" s="1" t="s">
        <v>40224</v>
      </c>
      <c r="F2344" s="1" t="s">
        <v>40225</v>
      </c>
      <c r="G2344" s="1" t="s">
        <v>40226</v>
      </c>
      <c r="H2344" s="1" t="s">
        <v>40227</v>
      </c>
      <c r="I2344" s="1" t="s">
        <v>40227</v>
      </c>
      <c r="J2344" s="1">
        <v>8208367657</v>
      </c>
      <c r="K2344" s="1" t="s">
        <v>84</v>
      </c>
      <c r="L2344" s="1" t="s">
        <v>40228</v>
      </c>
      <c r="M2344" s="1" t="s">
        <v>86</v>
      </c>
      <c r="N2344" s="1" t="s">
        <v>40229</v>
      </c>
      <c r="O2344" s="1" t="s">
        <v>40230</v>
      </c>
      <c r="P2344" s="1" t="s">
        <v>122</v>
      </c>
      <c r="Q2344" s="1">
        <v>612937605103</v>
      </c>
      <c r="R2344" s="1" t="s">
        <v>40231</v>
      </c>
      <c r="S2344" s="1">
        <v>8588985505</v>
      </c>
      <c r="T2344" s="1" t="s">
        <v>40232</v>
      </c>
      <c r="U2344" s="1" t="s">
        <v>40233</v>
      </c>
      <c r="V2344" s="1">
        <v>9503194686</v>
      </c>
      <c r="W2344" s="1" t="s">
        <v>161</v>
      </c>
      <c r="X2344" s="1" t="s">
        <v>40234</v>
      </c>
      <c r="Y2344" s="1" t="s">
        <v>196</v>
      </c>
      <c r="Z2344" s="1" t="s">
        <v>97</v>
      </c>
      <c r="AA2344" s="1" t="s">
        <v>40234</v>
      </c>
      <c r="AB2344" s="1" t="s">
        <v>196</v>
      </c>
      <c r="AC2344" s="1" t="s">
        <v>97</v>
      </c>
      <c r="AD2344" s="1" t="s">
        <v>98</v>
      </c>
      <c r="AE2344" s="1" t="s">
        <v>98</v>
      </c>
      <c r="AF2344" s="1" t="s">
        <v>40235</v>
      </c>
      <c r="AG2344" s="1" t="s">
        <v>15152</v>
      </c>
      <c r="AH2344" s="1" t="s">
        <v>468</v>
      </c>
      <c r="AI2344" s="1" t="s">
        <v>1400</v>
      </c>
      <c r="AJ2344" s="1">
        <v>75</v>
      </c>
      <c r="AK2344" s="1"/>
      <c r="AL2344" s="1" t="s">
        <v>40236</v>
      </c>
      <c r="AM2344" s="1" t="s">
        <v>4090</v>
      </c>
      <c r="AN2344" s="1" t="s">
        <v>465</v>
      </c>
      <c r="AO2344" s="1" t="s">
        <v>178</v>
      </c>
      <c r="AP2344" s="1" t="s">
        <v>1400</v>
      </c>
      <c r="AQ2344" s="1">
        <v>60</v>
      </c>
      <c r="AR2344" s="1"/>
      <c r="AS2344" s="1"/>
      <c r="AT2344" s="1"/>
      <c r="AU2344" s="1"/>
      <c r="AV2344" s="1"/>
      <c r="AW2344" s="1"/>
      <c r="AX2344" s="1"/>
      <c r="AY2344" s="1" t="s">
        <v>20293</v>
      </c>
      <c r="AZ2344" s="1" t="s">
        <v>40237</v>
      </c>
      <c r="BA2344" s="1" t="s">
        <v>578</v>
      </c>
      <c r="BB2344" s="1" t="s">
        <v>39920</v>
      </c>
      <c r="BC2344" s="1" t="s">
        <v>1889</v>
      </c>
      <c r="BD2344" s="1" t="s">
        <v>14514</v>
      </c>
      <c r="BE2344" s="1">
        <v>80</v>
      </c>
      <c r="BF2344" s="1">
        <v>8.57</v>
      </c>
      <c r="BG2344" s="1"/>
      <c r="BH2344" s="1"/>
      <c r="BI2344" s="1"/>
      <c r="BJ2344" s="1"/>
      <c r="BK2344" s="1"/>
      <c r="BL2344" s="1"/>
      <c r="BM2344" s="1"/>
      <c r="BN2344" s="1"/>
      <c r="BO2344" s="1" t="s">
        <v>40238</v>
      </c>
      <c r="BP2344" s="1" t="s">
        <v>40239</v>
      </c>
      <c r="BQ2344" s="1" t="s">
        <v>20984</v>
      </c>
      <c r="BR2344" s="1"/>
      <c r="BS2344" s="1"/>
      <c r="BT2344" s="1"/>
      <c r="BU2344" s="1" t="str">
        <f>HYPERLINK("https://nconnect.nicmar.ac.in/storage/profile/6a855db5e6787.png","Download")</f>
        <v>0</v>
      </c>
      <c r="BV2344" s="3"/>
      <c r="BW2344" s="3"/>
    </row>
    <row r="2345" spans="1:75">
      <c r="A2345" s="1" t="s">
        <v>35074</v>
      </c>
      <c r="B2345" s="1" t="s">
        <v>13976</v>
      </c>
      <c r="C2345" s="1" t="s">
        <v>40240</v>
      </c>
      <c r="D2345" s="1" t="s">
        <v>40241</v>
      </c>
      <c r="E2345" s="1" t="s">
        <v>40242</v>
      </c>
      <c r="F2345" s="1" t="s">
        <v>40243</v>
      </c>
      <c r="G2345" s="1" t="s">
        <v>40244</v>
      </c>
      <c r="H2345" s="1" t="s">
        <v>40245</v>
      </c>
      <c r="I2345" s="1" t="s">
        <v>40245</v>
      </c>
      <c r="J2345" s="1">
        <v>9637184722</v>
      </c>
      <c r="K2345" s="1" t="s">
        <v>84</v>
      </c>
      <c r="L2345" s="1" t="s">
        <v>3477</v>
      </c>
      <c r="M2345" s="1" t="s">
        <v>86</v>
      </c>
      <c r="N2345" s="1" t="s">
        <v>40246</v>
      </c>
      <c r="O2345" s="1" t="s">
        <v>40247</v>
      </c>
      <c r="P2345" s="1" t="s">
        <v>89</v>
      </c>
      <c r="Q2345" s="1">
        <v>776382568040</v>
      </c>
      <c r="R2345" s="1" t="s">
        <v>40248</v>
      </c>
      <c r="S2345" s="1">
        <v>8275051401</v>
      </c>
      <c r="T2345" s="1" t="s">
        <v>40249</v>
      </c>
      <c r="U2345" s="1" t="s">
        <v>40250</v>
      </c>
      <c r="V2345" s="1">
        <v>9404046003</v>
      </c>
      <c r="W2345" s="1" t="s">
        <v>14212</v>
      </c>
      <c r="X2345" s="1" t="s">
        <v>40251</v>
      </c>
      <c r="Y2345" s="1" t="s">
        <v>9788</v>
      </c>
      <c r="Z2345" s="1" t="s">
        <v>97</v>
      </c>
      <c r="AA2345" s="1" t="s">
        <v>40252</v>
      </c>
      <c r="AB2345" s="1" t="s">
        <v>196</v>
      </c>
      <c r="AC2345" s="1" t="s">
        <v>97</v>
      </c>
      <c r="AD2345" s="1" t="s">
        <v>98</v>
      </c>
      <c r="AE2345" s="1" t="s">
        <v>98</v>
      </c>
      <c r="AF2345" s="1" t="s">
        <v>40253</v>
      </c>
      <c r="AG2345" s="1" t="s">
        <v>15816</v>
      </c>
      <c r="AH2345" s="1" t="s">
        <v>167</v>
      </c>
      <c r="AI2345" s="1" t="s">
        <v>704</v>
      </c>
      <c r="AJ2345" s="1">
        <v>69.4</v>
      </c>
      <c r="AK2345" s="1">
        <v>7.6</v>
      </c>
      <c r="AL2345" s="1" t="s">
        <v>40254</v>
      </c>
      <c r="AM2345" s="1" t="s">
        <v>40255</v>
      </c>
      <c r="AN2345" s="1" t="s">
        <v>35580</v>
      </c>
      <c r="AO2345" s="1" t="s">
        <v>388</v>
      </c>
      <c r="AP2345" s="1" t="s">
        <v>547</v>
      </c>
      <c r="AQ2345" s="1">
        <v>51.08</v>
      </c>
      <c r="AR2345" s="1"/>
      <c r="AS2345" s="1"/>
      <c r="AT2345" s="1"/>
      <c r="AU2345" s="1"/>
      <c r="AV2345" s="1"/>
      <c r="AW2345" s="1"/>
      <c r="AX2345" s="1"/>
      <c r="AY2345" s="1" t="s">
        <v>40256</v>
      </c>
      <c r="AZ2345" s="1" t="s">
        <v>40257</v>
      </c>
      <c r="BA2345" s="1" t="s">
        <v>35549</v>
      </c>
      <c r="BB2345" s="1" t="s">
        <v>35583</v>
      </c>
      <c r="BC2345" s="1" t="s">
        <v>206</v>
      </c>
      <c r="BD2345" s="1" t="s">
        <v>521</v>
      </c>
      <c r="BE2345" s="1">
        <v>76.69</v>
      </c>
      <c r="BF2345" s="1">
        <v>8.1</v>
      </c>
      <c r="BG2345" s="1"/>
      <c r="BH2345" s="1"/>
      <c r="BI2345" s="1"/>
      <c r="BJ2345" s="1"/>
      <c r="BK2345" s="1"/>
      <c r="BL2345" s="1"/>
      <c r="BM2345" s="1"/>
      <c r="BN2345" s="1"/>
      <c r="BO2345" s="1" t="s">
        <v>40258</v>
      </c>
      <c r="BP2345" s="1" t="s">
        <v>40259</v>
      </c>
      <c r="BQ2345" s="1" t="s">
        <v>292</v>
      </c>
      <c r="BR2345" s="1"/>
      <c r="BS2345" s="1"/>
      <c r="BT2345" s="1"/>
      <c r="BU2345" s="1" t="str">
        <f>HYPERLINK("https://nconnect.nicmar.ac.in/storage/profile/6a8684d9d6055.png","Download")</f>
        <v>0</v>
      </c>
      <c r="BV2345" s="3"/>
      <c r="BW2345" s="3"/>
    </row>
    <row r="2346" spans="1:75">
      <c r="A2346" s="1" t="s">
        <v>35074</v>
      </c>
      <c r="B2346" s="1" t="s">
        <v>13976</v>
      </c>
      <c r="C2346" s="1" t="s">
        <v>40260</v>
      </c>
      <c r="D2346" s="1" t="s">
        <v>40225</v>
      </c>
      <c r="E2346" s="1" t="s">
        <v>40261</v>
      </c>
      <c r="F2346" s="1" t="s">
        <v>40262</v>
      </c>
      <c r="G2346" s="1" t="s">
        <v>40263</v>
      </c>
      <c r="H2346" s="1" t="s">
        <v>40264</v>
      </c>
      <c r="I2346" s="1" t="s">
        <v>40265</v>
      </c>
      <c r="J2346" s="1">
        <v>9766604030</v>
      </c>
      <c r="K2346" s="1" t="s">
        <v>84</v>
      </c>
      <c r="L2346" s="1" t="s">
        <v>37193</v>
      </c>
      <c r="M2346" s="1" t="s">
        <v>86</v>
      </c>
      <c r="N2346" s="1" t="s">
        <v>7152</v>
      </c>
      <c r="O2346" s="1" t="s">
        <v>40266</v>
      </c>
      <c r="P2346" s="1" t="s">
        <v>356</v>
      </c>
      <c r="Q2346" s="1">
        <v>482484228832</v>
      </c>
      <c r="R2346" s="1" t="s">
        <v>40267</v>
      </c>
      <c r="S2346" s="1">
        <v>9096061411</v>
      </c>
      <c r="T2346" s="1" t="s">
        <v>13987</v>
      </c>
      <c r="U2346" s="1" t="s">
        <v>40268</v>
      </c>
      <c r="V2346" s="1">
        <v>9657232866</v>
      </c>
      <c r="W2346" s="1" t="s">
        <v>14154</v>
      </c>
      <c r="X2346" s="1" t="s">
        <v>40269</v>
      </c>
      <c r="Y2346" s="1" t="s">
        <v>196</v>
      </c>
      <c r="Z2346" s="1" t="s">
        <v>97</v>
      </c>
      <c r="AA2346" s="1" t="s">
        <v>40270</v>
      </c>
      <c r="AB2346" s="1" t="s">
        <v>196</v>
      </c>
      <c r="AC2346" s="1" t="s">
        <v>97</v>
      </c>
      <c r="AD2346" s="1" t="s">
        <v>98</v>
      </c>
      <c r="AE2346" s="1" t="s">
        <v>98</v>
      </c>
      <c r="AF2346" s="1" t="s">
        <v>40271</v>
      </c>
      <c r="AG2346" s="1" t="s">
        <v>40272</v>
      </c>
      <c r="AH2346" s="1" t="s">
        <v>627</v>
      </c>
      <c r="AI2346" s="1" t="s">
        <v>200</v>
      </c>
      <c r="AJ2346" s="1">
        <v>87.2</v>
      </c>
      <c r="AK2346" s="1"/>
      <c r="AL2346" s="1" t="s">
        <v>40273</v>
      </c>
      <c r="AM2346" s="1" t="s">
        <v>40272</v>
      </c>
      <c r="AN2346" s="1" t="s">
        <v>465</v>
      </c>
      <c r="AO2346" s="1" t="s">
        <v>171</v>
      </c>
      <c r="AP2346" s="1" t="s">
        <v>203</v>
      </c>
      <c r="AQ2346" s="1">
        <v>74.46</v>
      </c>
      <c r="AR2346" s="1"/>
      <c r="AS2346" s="1"/>
      <c r="AT2346" s="1"/>
      <c r="AU2346" s="1"/>
      <c r="AV2346" s="1"/>
      <c r="AW2346" s="1"/>
      <c r="AX2346" s="1"/>
      <c r="AY2346" s="1" t="s">
        <v>14262</v>
      </c>
      <c r="AZ2346" s="1" t="s">
        <v>40274</v>
      </c>
      <c r="BA2346" s="1" t="s">
        <v>466</v>
      </c>
      <c r="BB2346" s="1" t="s">
        <v>23143</v>
      </c>
      <c r="BC2346" s="1" t="s">
        <v>206</v>
      </c>
      <c r="BD2346" s="1" t="s">
        <v>179</v>
      </c>
      <c r="BE2346" s="1">
        <v>71.1</v>
      </c>
      <c r="BF2346" s="1">
        <v>7.94</v>
      </c>
      <c r="BG2346" s="1"/>
      <c r="BH2346" s="1"/>
      <c r="BI2346" s="1"/>
      <c r="BJ2346" s="1"/>
      <c r="BK2346" s="1"/>
      <c r="BL2346" s="1"/>
      <c r="BM2346" s="1"/>
      <c r="BN2346" s="1"/>
      <c r="BO2346" s="1" t="s">
        <v>40275</v>
      </c>
      <c r="BP2346" s="1" t="s">
        <v>40276</v>
      </c>
      <c r="BQ2346" s="1" t="s">
        <v>1152</v>
      </c>
      <c r="BR2346" s="1" t="s">
        <v>40277</v>
      </c>
      <c r="BS2346" s="1">
        <v>37</v>
      </c>
      <c r="BT2346" s="1" t="s">
        <v>40278</v>
      </c>
      <c r="BU2346" s="1" t="str">
        <f>HYPERLINK("https://nconnect.nicmar.ac.in/storage/profile/6a85d2db75cbd.png","Download")</f>
        <v>0</v>
      </c>
      <c r="BV2346" s="3"/>
      <c r="BW2346" s="3"/>
    </row>
    <row r="2347" spans="1:75">
      <c r="A2347" s="1" t="s">
        <v>35074</v>
      </c>
      <c r="B2347" s="1" t="s">
        <v>13976</v>
      </c>
      <c r="C2347" s="1" t="s">
        <v>40279</v>
      </c>
      <c r="D2347" s="1"/>
      <c r="E2347" s="1"/>
      <c r="F2347" s="1"/>
      <c r="G2347" s="1"/>
      <c r="H2347" s="1" t="s">
        <v>40280</v>
      </c>
      <c r="I2347" s="1" t="s">
        <v>40280</v>
      </c>
      <c r="J2347" s="1"/>
      <c r="K2347" s="1"/>
      <c r="L2347" s="1"/>
      <c r="M2347" s="1"/>
      <c r="N2347" s="1"/>
      <c r="O2347" s="1"/>
      <c r="P2347" s="1"/>
      <c r="Q2347" s="1"/>
      <c r="R2347" s="1"/>
      <c r="S2347" s="1"/>
      <c r="T2347" s="1"/>
      <c r="U2347" s="1"/>
      <c r="V2347" s="1"/>
      <c r="W2347" s="1"/>
      <c r="X2347" s="1"/>
      <c r="Y2347" s="1"/>
      <c r="Z2347" s="1"/>
      <c r="AA2347" s="1"/>
      <c r="AB2347" s="1"/>
      <c r="AC2347" s="1"/>
      <c r="AD2347" s="1" t="s">
        <v>98</v>
      </c>
      <c r="AE2347" s="1" t="s">
        <v>98</v>
      </c>
      <c r="AF2347" s="1"/>
      <c r="AG2347" s="1"/>
      <c r="AH2347" s="1"/>
      <c r="AI2347" s="1"/>
      <c r="AJ2347" s="1"/>
      <c r="AK2347" s="1"/>
      <c r="AL2347" s="1"/>
      <c r="AM2347" s="1"/>
      <c r="AN2347" s="1"/>
      <c r="AO2347" s="1"/>
      <c r="AP2347" s="1"/>
      <c r="AQ2347" s="1"/>
      <c r="AR2347" s="1"/>
      <c r="AS2347" s="1"/>
      <c r="AT2347" s="1"/>
      <c r="AU2347" s="1"/>
      <c r="AV2347" s="1"/>
      <c r="AW2347" s="1"/>
      <c r="AX2347" s="1"/>
      <c r="AY2347" s="1"/>
      <c r="AZ2347" s="1"/>
      <c r="BA2347" s="1"/>
      <c r="BB2347" s="1"/>
      <c r="BC2347" s="1"/>
      <c r="BD2347" s="1"/>
      <c r="BE2347" s="1"/>
      <c r="BF2347" s="1"/>
      <c r="BG2347" s="1"/>
      <c r="BH2347" s="1"/>
      <c r="BI2347" s="1"/>
      <c r="BJ2347" s="1"/>
      <c r="BK2347" s="1"/>
      <c r="BL2347" s="1"/>
      <c r="BM2347" s="1"/>
      <c r="BN2347" s="1"/>
      <c r="BO2347" s="1"/>
      <c r="BP2347" s="1"/>
      <c r="BQ2347" s="1"/>
      <c r="BR2347" s="1"/>
      <c r="BS2347" s="1"/>
      <c r="BT2347" s="1"/>
      <c r="BU2347" s="1" t="s">
        <v>9653</v>
      </c>
      <c r="BV2347" s="3"/>
      <c r="BW2347" s="3"/>
    </row>
    <row r="2348" spans="1:75">
      <c r="A2348" s="1" t="s">
        <v>35074</v>
      </c>
      <c r="B2348" s="1" t="s">
        <v>13976</v>
      </c>
      <c r="C2348" s="1" t="s">
        <v>40281</v>
      </c>
      <c r="D2348" s="1" t="s">
        <v>16397</v>
      </c>
      <c r="E2348" s="1" t="s">
        <v>35994</v>
      </c>
      <c r="F2348" s="1" t="s">
        <v>40282</v>
      </c>
      <c r="G2348" s="1" t="s">
        <v>40283</v>
      </c>
      <c r="H2348" s="1" t="s">
        <v>40284</v>
      </c>
      <c r="I2348" s="1" t="s">
        <v>40284</v>
      </c>
      <c r="J2348" s="1">
        <v>9545464779</v>
      </c>
      <c r="K2348" s="1" t="s">
        <v>84</v>
      </c>
      <c r="L2348" s="1" t="s">
        <v>20737</v>
      </c>
      <c r="M2348" s="1" t="s">
        <v>86</v>
      </c>
      <c r="N2348" s="1" t="s">
        <v>2298</v>
      </c>
      <c r="O2348" s="1" t="s">
        <v>40285</v>
      </c>
      <c r="P2348" s="1" t="s">
        <v>89</v>
      </c>
      <c r="Q2348" s="1">
        <v>670785786736</v>
      </c>
      <c r="R2348" s="1" t="s">
        <v>40286</v>
      </c>
      <c r="S2348" s="1">
        <v>9763612042</v>
      </c>
      <c r="T2348" s="1" t="s">
        <v>159</v>
      </c>
      <c r="U2348" s="1" t="s">
        <v>40287</v>
      </c>
      <c r="V2348" s="1">
        <v>9673752842</v>
      </c>
      <c r="W2348" s="1" t="s">
        <v>1257</v>
      </c>
      <c r="X2348" s="1" t="s">
        <v>40288</v>
      </c>
      <c r="Y2348" s="1" t="s">
        <v>224</v>
      </c>
      <c r="Z2348" s="1" t="s">
        <v>97</v>
      </c>
      <c r="AA2348" s="1" t="s">
        <v>40288</v>
      </c>
      <c r="AB2348" s="1" t="s">
        <v>224</v>
      </c>
      <c r="AC2348" s="1" t="s">
        <v>97</v>
      </c>
      <c r="AD2348" s="1" t="s">
        <v>98</v>
      </c>
      <c r="AE2348" s="1" t="s">
        <v>98</v>
      </c>
      <c r="AF2348" s="1" t="s">
        <v>975</v>
      </c>
      <c r="AG2348" s="1" t="s">
        <v>40289</v>
      </c>
      <c r="AH2348" s="1" t="s">
        <v>547</v>
      </c>
      <c r="AI2348" s="1" t="s">
        <v>603</v>
      </c>
      <c r="AJ2348" s="1">
        <v>81.4</v>
      </c>
      <c r="AK2348" s="1"/>
      <c r="AL2348" s="1" t="s">
        <v>40290</v>
      </c>
      <c r="AM2348" s="1" t="s">
        <v>40289</v>
      </c>
      <c r="AN2348" s="1" t="s">
        <v>6323</v>
      </c>
      <c r="AO2348" s="1" t="s">
        <v>2304</v>
      </c>
      <c r="AP2348" s="1" t="s">
        <v>1886</v>
      </c>
      <c r="AQ2348" s="1">
        <v>66</v>
      </c>
      <c r="AR2348" s="1"/>
      <c r="AS2348" s="1"/>
      <c r="AT2348" s="1"/>
      <c r="AU2348" s="1"/>
      <c r="AV2348" s="1"/>
      <c r="AW2348" s="1"/>
      <c r="AX2348" s="1"/>
      <c r="AY2348" s="1" t="s">
        <v>10273</v>
      </c>
      <c r="AZ2348" s="1" t="s">
        <v>40291</v>
      </c>
      <c r="BA2348" s="1" t="s">
        <v>35549</v>
      </c>
      <c r="BB2348" s="1" t="s">
        <v>1062</v>
      </c>
      <c r="BC2348" s="1" t="s">
        <v>110</v>
      </c>
      <c r="BD2348" s="1" t="s">
        <v>848</v>
      </c>
      <c r="BE2348" s="1">
        <v>72.11</v>
      </c>
      <c r="BF2348" s="1">
        <v>7.62</v>
      </c>
      <c r="BG2348" s="1"/>
      <c r="BH2348" s="1"/>
      <c r="BI2348" s="1"/>
      <c r="BJ2348" s="1"/>
      <c r="BK2348" s="1"/>
      <c r="BL2348" s="1"/>
      <c r="BM2348" s="1"/>
      <c r="BN2348" s="1"/>
      <c r="BO2348" s="1" t="s">
        <v>40292</v>
      </c>
      <c r="BP2348" s="1"/>
      <c r="BQ2348" s="1"/>
      <c r="BR2348" s="1" t="s">
        <v>40293</v>
      </c>
      <c r="BS2348" s="1">
        <v>8</v>
      </c>
      <c r="BT2348" s="1"/>
      <c r="BU2348" s="1" t="str">
        <f>HYPERLINK("https://nconnect.nicmar.ac.in/storage/profile/6a85eb706742c.png","Download")</f>
        <v>0</v>
      </c>
      <c r="BV2348" s="3"/>
      <c r="BW2348" s="3"/>
    </row>
    <row r="2349" spans="1:75">
      <c r="A2349" s="1" t="s">
        <v>35074</v>
      </c>
      <c r="B2349" s="1" t="s">
        <v>13976</v>
      </c>
      <c r="C2349" s="1" t="s">
        <v>40294</v>
      </c>
      <c r="D2349" s="1" t="s">
        <v>40295</v>
      </c>
      <c r="E2349" s="1" t="s">
        <v>40296</v>
      </c>
      <c r="F2349" s="1" t="s">
        <v>40297</v>
      </c>
      <c r="G2349" s="1" t="s">
        <v>40298</v>
      </c>
      <c r="H2349" s="1" t="s">
        <v>40299</v>
      </c>
      <c r="I2349" s="1" t="s">
        <v>40299</v>
      </c>
      <c r="J2349" s="1">
        <v>6398804775</v>
      </c>
      <c r="K2349" s="1" t="s">
        <v>84</v>
      </c>
      <c r="L2349" s="1" t="s">
        <v>40300</v>
      </c>
      <c r="M2349" s="1" t="s">
        <v>86</v>
      </c>
      <c r="N2349" s="1" t="s">
        <v>40301</v>
      </c>
      <c r="O2349" s="1" t="s">
        <v>40302</v>
      </c>
      <c r="P2349" s="1" t="s">
        <v>219</v>
      </c>
      <c r="Q2349" s="1">
        <v>790066814510</v>
      </c>
      <c r="R2349" s="1" t="s">
        <v>40303</v>
      </c>
      <c r="S2349" s="1">
        <v>7024853985</v>
      </c>
      <c r="T2349" s="1" t="s">
        <v>40304</v>
      </c>
      <c r="U2349" s="1" t="s">
        <v>40305</v>
      </c>
      <c r="V2349" s="1">
        <v>9131098459</v>
      </c>
      <c r="W2349" s="1" t="s">
        <v>10306</v>
      </c>
      <c r="X2349" s="1" t="s">
        <v>40306</v>
      </c>
      <c r="Y2349" s="1" t="s">
        <v>20854</v>
      </c>
      <c r="Z2349" s="1" t="s">
        <v>3419</v>
      </c>
      <c r="AA2349" s="1" t="s">
        <v>40306</v>
      </c>
      <c r="AB2349" s="1" t="s">
        <v>20854</v>
      </c>
      <c r="AC2349" s="1" t="s">
        <v>3419</v>
      </c>
      <c r="AD2349" s="1" t="s">
        <v>98</v>
      </c>
      <c r="AE2349" s="1" t="s">
        <v>98</v>
      </c>
      <c r="AF2349" s="1"/>
      <c r="AG2349" s="1"/>
      <c r="AH2349" s="1"/>
      <c r="AI2349" s="1"/>
      <c r="AJ2349" s="1"/>
      <c r="AK2349" s="1"/>
      <c r="AL2349" s="1"/>
      <c r="AM2349" s="1"/>
      <c r="AN2349" s="1"/>
      <c r="AO2349" s="1"/>
      <c r="AP2349" s="1"/>
      <c r="AQ2349" s="1"/>
      <c r="AR2349" s="1"/>
      <c r="AS2349" s="1"/>
      <c r="AT2349" s="1"/>
      <c r="AU2349" s="1"/>
      <c r="AV2349" s="1"/>
      <c r="AW2349" s="1"/>
      <c r="AX2349" s="1"/>
      <c r="AY2349" s="1"/>
      <c r="AZ2349" s="1"/>
      <c r="BA2349" s="1"/>
      <c r="BB2349" s="1"/>
      <c r="BC2349" s="1"/>
      <c r="BD2349" s="1"/>
      <c r="BE2349" s="1"/>
      <c r="BF2349" s="1"/>
      <c r="BG2349" s="1"/>
      <c r="BH2349" s="1"/>
      <c r="BI2349" s="1"/>
      <c r="BJ2349" s="1"/>
      <c r="BK2349" s="1"/>
      <c r="BL2349" s="1"/>
      <c r="BM2349" s="1"/>
      <c r="BN2349" s="1"/>
      <c r="BO2349" s="1"/>
      <c r="BP2349" s="1"/>
      <c r="BQ2349" s="1"/>
      <c r="BR2349" s="1"/>
      <c r="BS2349" s="1"/>
      <c r="BT2349" s="1"/>
      <c r="BU2349" s="1" t="str">
        <f>HYPERLINK("https://nconnect.nicmar.ac.in/storage/profile/6a85cf77d7e7d.png","Download")</f>
        <v>0</v>
      </c>
      <c r="BV2349" s="3"/>
      <c r="BW2349" s="3"/>
    </row>
    <row r="2350" spans="1:75">
      <c r="A2350" s="1" t="s">
        <v>35074</v>
      </c>
      <c r="B2350" s="1" t="s">
        <v>13976</v>
      </c>
      <c r="C2350" s="1" t="s">
        <v>40307</v>
      </c>
      <c r="D2350" s="1" t="s">
        <v>17492</v>
      </c>
      <c r="E2350" s="1" t="s">
        <v>40308</v>
      </c>
      <c r="F2350" s="1" t="s">
        <v>40309</v>
      </c>
      <c r="G2350" s="1" t="s">
        <v>40310</v>
      </c>
      <c r="H2350" s="1" t="s">
        <v>40311</v>
      </c>
      <c r="I2350" s="1" t="s">
        <v>40311</v>
      </c>
      <c r="J2350" s="1">
        <v>9924902501</v>
      </c>
      <c r="K2350" s="1" t="s">
        <v>84</v>
      </c>
      <c r="L2350" s="1" t="s">
        <v>40312</v>
      </c>
      <c r="M2350" s="1" t="s">
        <v>86</v>
      </c>
      <c r="N2350" s="1" t="s">
        <v>40313</v>
      </c>
      <c r="O2350" s="1" t="s">
        <v>40314</v>
      </c>
      <c r="P2350" s="1" t="s">
        <v>219</v>
      </c>
      <c r="Q2350" s="1">
        <v>386014394538</v>
      </c>
      <c r="R2350" s="1" t="s">
        <v>40315</v>
      </c>
      <c r="S2350" s="1">
        <v>9824258861</v>
      </c>
      <c r="T2350" s="1" t="s">
        <v>15679</v>
      </c>
      <c r="U2350" s="1" t="s">
        <v>40316</v>
      </c>
      <c r="V2350" s="1">
        <v>9664525787</v>
      </c>
      <c r="W2350" s="1" t="s">
        <v>14154</v>
      </c>
      <c r="X2350" s="1" t="s">
        <v>40317</v>
      </c>
      <c r="Y2350" s="1" t="s">
        <v>8166</v>
      </c>
      <c r="Z2350" s="1" t="s">
        <v>676</v>
      </c>
      <c r="AA2350" s="1" t="s">
        <v>40317</v>
      </c>
      <c r="AB2350" s="1" t="s">
        <v>8166</v>
      </c>
      <c r="AC2350" s="1" t="s">
        <v>676</v>
      </c>
      <c r="AD2350" s="1" t="s">
        <v>98</v>
      </c>
      <c r="AE2350" s="1" t="s">
        <v>98</v>
      </c>
      <c r="AF2350" s="1" t="s">
        <v>40318</v>
      </c>
      <c r="AG2350" s="1" t="s">
        <v>40319</v>
      </c>
      <c r="AH2350" s="1" t="s">
        <v>468</v>
      </c>
      <c r="AI2350" s="1" t="s">
        <v>845</v>
      </c>
      <c r="AJ2350" s="1">
        <v>80</v>
      </c>
      <c r="AK2350" s="1"/>
      <c r="AL2350" s="1" t="s">
        <v>40320</v>
      </c>
      <c r="AM2350" s="1" t="s">
        <v>40319</v>
      </c>
      <c r="AN2350" s="1" t="s">
        <v>35580</v>
      </c>
      <c r="AO2350" s="1" t="s">
        <v>289</v>
      </c>
      <c r="AP2350" s="1" t="s">
        <v>10037</v>
      </c>
      <c r="AQ2350" s="1">
        <v>70</v>
      </c>
      <c r="AR2350" s="1"/>
      <c r="AS2350" s="1"/>
      <c r="AT2350" s="1"/>
      <c r="AU2350" s="1"/>
      <c r="AV2350" s="1"/>
      <c r="AW2350" s="1"/>
      <c r="AX2350" s="1"/>
      <c r="AY2350" s="1" t="s">
        <v>40321</v>
      </c>
      <c r="AZ2350" s="1" t="s">
        <v>40322</v>
      </c>
      <c r="BA2350" s="1" t="s">
        <v>35549</v>
      </c>
      <c r="BB2350" s="1" t="s">
        <v>35615</v>
      </c>
      <c r="BC2350" s="1" t="s">
        <v>234</v>
      </c>
      <c r="BD2350" s="1" t="s">
        <v>14514</v>
      </c>
      <c r="BE2350" s="1">
        <v>78.67</v>
      </c>
      <c r="BF2350" s="1"/>
      <c r="BG2350" s="1"/>
      <c r="BH2350" s="1"/>
      <c r="BI2350" s="1"/>
      <c r="BJ2350" s="1"/>
      <c r="BK2350" s="1"/>
      <c r="BL2350" s="1"/>
      <c r="BM2350" s="1"/>
      <c r="BN2350" s="1"/>
      <c r="BO2350" s="1" t="s">
        <v>21883</v>
      </c>
      <c r="BP2350" s="1"/>
      <c r="BQ2350" s="1"/>
      <c r="BR2350" s="1"/>
      <c r="BS2350" s="1"/>
      <c r="BT2350" s="1" t="s">
        <v>40323</v>
      </c>
      <c r="BU2350" s="1" t="str">
        <f>HYPERLINK("https://nconnect.nicmar.ac.in/storage/profile/6a859a3a095bb.png","Download")</f>
        <v>0</v>
      </c>
      <c r="BV2350" s="3"/>
      <c r="BW2350" s="3"/>
    </row>
    <row r="2351" spans="1:75">
      <c r="A2351" s="1" t="s">
        <v>35074</v>
      </c>
      <c r="B2351" s="1" t="s">
        <v>13976</v>
      </c>
      <c r="C2351" s="1" t="s">
        <v>40324</v>
      </c>
      <c r="D2351" s="1"/>
      <c r="E2351" s="1"/>
      <c r="F2351" s="1"/>
      <c r="G2351" s="1"/>
      <c r="H2351" s="1" t="s">
        <v>40325</v>
      </c>
      <c r="I2351" s="1" t="s">
        <v>40325</v>
      </c>
      <c r="J2351" s="1"/>
      <c r="K2351" s="1"/>
      <c r="L2351" s="1"/>
      <c r="M2351" s="1"/>
      <c r="N2351" s="1"/>
      <c r="O2351" s="1"/>
      <c r="P2351" s="1"/>
      <c r="Q2351" s="1"/>
      <c r="R2351" s="1"/>
      <c r="S2351" s="1"/>
      <c r="T2351" s="1"/>
      <c r="U2351" s="1"/>
      <c r="V2351" s="1"/>
      <c r="W2351" s="1"/>
      <c r="X2351" s="1"/>
      <c r="Y2351" s="1"/>
      <c r="Z2351" s="1"/>
      <c r="AA2351" s="1"/>
      <c r="AB2351" s="1"/>
      <c r="AC2351" s="1"/>
      <c r="AD2351" s="1" t="s">
        <v>98</v>
      </c>
      <c r="AE2351" s="1" t="s">
        <v>98</v>
      </c>
      <c r="AF2351" s="1"/>
      <c r="AG2351" s="1"/>
      <c r="AH2351" s="1"/>
      <c r="AI2351" s="1"/>
      <c r="AJ2351" s="1"/>
      <c r="AK2351" s="1"/>
      <c r="AL2351" s="1"/>
      <c r="AM2351" s="1"/>
      <c r="AN2351" s="1"/>
      <c r="AO2351" s="1"/>
      <c r="AP2351" s="1"/>
      <c r="AQ2351" s="1"/>
      <c r="AR2351" s="1"/>
      <c r="AS2351" s="1"/>
      <c r="AT2351" s="1"/>
      <c r="AU2351" s="1"/>
      <c r="AV2351" s="1"/>
      <c r="AW2351" s="1"/>
      <c r="AX2351" s="1"/>
      <c r="AY2351" s="1"/>
      <c r="AZ2351" s="1"/>
      <c r="BA2351" s="1"/>
      <c r="BB2351" s="1"/>
      <c r="BC2351" s="1"/>
      <c r="BD2351" s="1"/>
      <c r="BE2351" s="1"/>
      <c r="BF2351" s="1"/>
      <c r="BG2351" s="1"/>
      <c r="BH2351" s="1"/>
      <c r="BI2351" s="1"/>
      <c r="BJ2351" s="1"/>
      <c r="BK2351" s="1"/>
      <c r="BL2351" s="1"/>
      <c r="BM2351" s="1"/>
      <c r="BN2351" s="1"/>
      <c r="BO2351" s="1"/>
      <c r="BP2351" s="1"/>
      <c r="BQ2351" s="1"/>
      <c r="BR2351" s="1"/>
      <c r="BS2351" s="1"/>
      <c r="BT2351" s="1"/>
      <c r="BU2351" s="1" t="s">
        <v>9653</v>
      </c>
      <c r="BV2351" s="3"/>
      <c r="BW2351" s="3"/>
    </row>
    <row r="2352" spans="1:75">
      <c r="A2352" s="1" t="s">
        <v>35074</v>
      </c>
      <c r="B2352" s="1" t="s">
        <v>13976</v>
      </c>
      <c r="C2352" s="1" t="s">
        <v>40326</v>
      </c>
      <c r="D2352" s="1"/>
      <c r="E2352" s="1"/>
      <c r="F2352" s="1"/>
      <c r="G2352" s="1"/>
      <c r="H2352" s="1" t="s">
        <v>40327</v>
      </c>
      <c r="I2352" s="1" t="s">
        <v>40327</v>
      </c>
      <c r="J2352" s="1"/>
      <c r="K2352" s="1"/>
      <c r="L2352" s="1"/>
      <c r="M2352" s="1"/>
      <c r="N2352" s="1"/>
      <c r="O2352" s="1"/>
      <c r="P2352" s="1"/>
      <c r="Q2352" s="1"/>
      <c r="R2352" s="1"/>
      <c r="S2352" s="1"/>
      <c r="T2352" s="1"/>
      <c r="U2352" s="1"/>
      <c r="V2352" s="1"/>
      <c r="W2352" s="1"/>
      <c r="X2352" s="1"/>
      <c r="Y2352" s="1"/>
      <c r="Z2352" s="1"/>
      <c r="AA2352" s="1"/>
      <c r="AB2352" s="1"/>
      <c r="AC2352" s="1"/>
      <c r="AD2352" s="1" t="s">
        <v>98</v>
      </c>
      <c r="AE2352" s="1" t="s">
        <v>98</v>
      </c>
      <c r="AF2352" s="1"/>
      <c r="AG2352" s="1"/>
      <c r="AH2352" s="1"/>
      <c r="AI2352" s="1"/>
      <c r="AJ2352" s="1"/>
      <c r="AK2352" s="1"/>
      <c r="AL2352" s="1"/>
      <c r="AM2352" s="1"/>
      <c r="AN2352" s="1"/>
      <c r="AO2352" s="1"/>
      <c r="AP2352" s="1"/>
      <c r="AQ2352" s="1"/>
      <c r="AR2352" s="1"/>
      <c r="AS2352" s="1"/>
      <c r="AT2352" s="1"/>
      <c r="AU2352" s="1"/>
      <c r="AV2352" s="1"/>
      <c r="AW2352" s="1"/>
      <c r="AX2352" s="1"/>
      <c r="AY2352" s="1"/>
      <c r="AZ2352" s="1"/>
      <c r="BA2352" s="1"/>
      <c r="BB2352" s="1"/>
      <c r="BC2352" s="1"/>
      <c r="BD2352" s="1"/>
      <c r="BE2352" s="1"/>
      <c r="BF2352" s="1"/>
      <c r="BG2352" s="1"/>
      <c r="BH2352" s="1"/>
      <c r="BI2352" s="1"/>
      <c r="BJ2352" s="1"/>
      <c r="BK2352" s="1"/>
      <c r="BL2352" s="1"/>
      <c r="BM2352" s="1"/>
      <c r="BN2352" s="1"/>
      <c r="BO2352" s="1"/>
      <c r="BP2352" s="1"/>
      <c r="BQ2352" s="1"/>
      <c r="BR2352" s="1"/>
      <c r="BS2352" s="1"/>
      <c r="BT2352" s="1"/>
      <c r="BU2352" s="1" t="s">
        <v>9653</v>
      </c>
      <c r="BV2352" s="3"/>
      <c r="BW2352" s="3"/>
    </row>
    <row r="2353" spans="1:75">
      <c r="A2353" s="1" t="s">
        <v>35074</v>
      </c>
      <c r="B2353" s="1" t="s">
        <v>13976</v>
      </c>
      <c r="C2353" s="1" t="s">
        <v>40328</v>
      </c>
      <c r="D2353" s="1"/>
      <c r="E2353" s="1"/>
      <c r="F2353" s="1"/>
      <c r="G2353" s="1"/>
      <c r="H2353" s="1" t="s">
        <v>40329</v>
      </c>
      <c r="I2353" s="1" t="s">
        <v>40329</v>
      </c>
      <c r="J2353" s="1"/>
      <c r="K2353" s="1"/>
      <c r="L2353" s="1"/>
      <c r="M2353" s="1"/>
      <c r="N2353" s="1"/>
      <c r="O2353" s="1"/>
      <c r="P2353" s="1"/>
      <c r="Q2353" s="1"/>
      <c r="R2353" s="1"/>
      <c r="S2353" s="1"/>
      <c r="T2353" s="1"/>
      <c r="U2353" s="1"/>
      <c r="V2353" s="1"/>
      <c r="W2353" s="1"/>
      <c r="X2353" s="1"/>
      <c r="Y2353" s="1"/>
      <c r="Z2353" s="1"/>
      <c r="AA2353" s="1"/>
      <c r="AB2353" s="1"/>
      <c r="AC2353" s="1"/>
      <c r="AD2353" s="1" t="s">
        <v>98</v>
      </c>
      <c r="AE2353" s="1" t="s">
        <v>98</v>
      </c>
      <c r="AF2353" s="1"/>
      <c r="AG2353" s="1"/>
      <c r="AH2353" s="1"/>
      <c r="AI2353" s="1"/>
      <c r="AJ2353" s="1"/>
      <c r="AK2353" s="1"/>
      <c r="AL2353" s="1"/>
      <c r="AM2353" s="1"/>
      <c r="AN2353" s="1"/>
      <c r="AO2353" s="1"/>
      <c r="AP2353" s="1"/>
      <c r="AQ2353" s="1"/>
      <c r="AR2353" s="1"/>
      <c r="AS2353" s="1"/>
      <c r="AT2353" s="1"/>
      <c r="AU2353" s="1"/>
      <c r="AV2353" s="1"/>
      <c r="AW2353" s="1"/>
      <c r="AX2353" s="1"/>
      <c r="AY2353" s="1"/>
      <c r="AZ2353" s="1"/>
      <c r="BA2353" s="1"/>
      <c r="BB2353" s="1"/>
      <c r="BC2353" s="1"/>
      <c r="BD2353" s="1"/>
      <c r="BE2353" s="1"/>
      <c r="BF2353" s="1"/>
      <c r="BG2353" s="1"/>
      <c r="BH2353" s="1"/>
      <c r="BI2353" s="1"/>
      <c r="BJ2353" s="1"/>
      <c r="BK2353" s="1"/>
      <c r="BL2353" s="1"/>
      <c r="BM2353" s="1"/>
      <c r="BN2353" s="1"/>
      <c r="BO2353" s="1"/>
      <c r="BP2353" s="1"/>
      <c r="BQ2353" s="1"/>
      <c r="BR2353" s="1"/>
      <c r="BS2353" s="1"/>
      <c r="BT2353" s="1"/>
      <c r="BU2353" s="1" t="s">
        <v>9653</v>
      </c>
      <c r="BV2353" s="3"/>
      <c r="BW2353" s="3"/>
    </row>
    <row r="2354" spans="1:75">
      <c r="A2354" s="1" t="s">
        <v>35074</v>
      </c>
      <c r="B2354" s="1" t="s">
        <v>13976</v>
      </c>
      <c r="C2354" s="1" t="s">
        <v>40330</v>
      </c>
      <c r="D2354" s="1"/>
      <c r="E2354" s="1"/>
      <c r="F2354" s="1"/>
      <c r="G2354" s="1"/>
      <c r="H2354" s="1" t="s">
        <v>40331</v>
      </c>
      <c r="I2354" s="1" t="s">
        <v>40331</v>
      </c>
      <c r="J2354" s="1"/>
      <c r="K2354" s="1"/>
      <c r="L2354" s="1"/>
      <c r="M2354" s="1"/>
      <c r="N2354" s="1"/>
      <c r="O2354" s="1"/>
      <c r="P2354" s="1"/>
      <c r="Q2354" s="1"/>
      <c r="R2354" s="1"/>
      <c r="S2354" s="1"/>
      <c r="T2354" s="1"/>
      <c r="U2354" s="1"/>
      <c r="V2354" s="1"/>
      <c r="W2354" s="1"/>
      <c r="X2354" s="1"/>
      <c r="Y2354" s="1"/>
      <c r="Z2354" s="1"/>
      <c r="AA2354" s="1"/>
      <c r="AB2354" s="1"/>
      <c r="AC2354" s="1"/>
      <c r="AD2354" s="1" t="s">
        <v>98</v>
      </c>
      <c r="AE2354" s="1" t="s">
        <v>98</v>
      </c>
      <c r="AF2354" s="1"/>
      <c r="AG2354" s="1"/>
      <c r="AH2354" s="1"/>
      <c r="AI2354" s="1"/>
      <c r="AJ2354" s="1"/>
      <c r="AK2354" s="1"/>
      <c r="AL2354" s="1"/>
      <c r="AM2354" s="1"/>
      <c r="AN2354" s="1"/>
      <c r="AO2354" s="1"/>
      <c r="AP2354" s="1"/>
      <c r="AQ2354" s="1"/>
      <c r="AR2354" s="1"/>
      <c r="AS2354" s="1"/>
      <c r="AT2354" s="1"/>
      <c r="AU2354" s="1"/>
      <c r="AV2354" s="1"/>
      <c r="AW2354" s="1"/>
      <c r="AX2354" s="1"/>
      <c r="AY2354" s="1"/>
      <c r="AZ2354" s="1"/>
      <c r="BA2354" s="1"/>
      <c r="BB2354" s="1"/>
      <c r="BC2354" s="1"/>
      <c r="BD2354" s="1"/>
      <c r="BE2354" s="1"/>
      <c r="BF2354" s="1"/>
      <c r="BG2354" s="1"/>
      <c r="BH2354" s="1"/>
      <c r="BI2354" s="1"/>
      <c r="BJ2354" s="1"/>
      <c r="BK2354" s="1"/>
      <c r="BL2354" s="1"/>
      <c r="BM2354" s="1"/>
      <c r="BN2354" s="1"/>
      <c r="BO2354" s="1"/>
      <c r="BP2354" s="1"/>
      <c r="BQ2354" s="1"/>
      <c r="BR2354" s="1"/>
      <c r="BS2354" s="1"/>
      <c r="BT2354" s="1"/>
      <c r="BU2354" s="1" t="s">
        <v>9653</v>
      </c>
      <c r="BV2354" s="3"/>
      <c r="BW2354" s="3"/>
    </row>
    <row r="2355" spans="1:75">
      <c r="A2355" s="1" t="s">
        <v>35074</v>
      </c>
      <c r="B2355" s="1" t="s">
        <v>13976</v>
      </c>
      <c r="C2355" s="1" t="s">
        <v>40332</v>
      </c>
      <c r="D2355" s="1"/>
      <c r="E2355" s="1"/>
      <c r="F2355" s="1"/>
      <c r="G2355" s="1"/>
      <c r="H2355" s="1" t="s">
        <v>40333</v>
      </c>
      <c r="I2355" s="1" t="s">
        <v>40333</v>
      </c>
      <c r="J2355" s="1"/>
      <c r="K2355" s="1"/>
      <c r="L2355" s="1"/>
      <c r="M2355" s="1"/>
      <c r="N2355" s="1"/>
      <c r="O2355" s="1"/>
      <c r="P2355" s="1"/>
      <c r="Q2355" s="1"/>
      <c r="R2355" s="1"/>
      <c r="S2355" s="1"/>
      <c r="T2355" s="1"/>
      <c r="U2355" s="1"/>
      <c r="V2355" s="1"/>
      <c r="W2355" s="1"/>
      <c r="X2355" s="1"/>
      <c r="Y2355" s="1"/>
      <c r="Z2355" s="1"/>
      <c r="AA2355" s="1"/>
      <c r="AB2355" s="1"/>
      <c r="AC2355" s="1"/>
      <c r="AD2355" s="1" t="s">
        <v>98</v>
      </c>
      <c r="AE2355" s="1" t="s">
        <v>98</v>
      </c>
      <c r="AF2355" s="1"/>
      <c r="AG2355" s="1"/>
      <c r="AH2355" s="1"/>
      <c r="AI2355" s="1"/>
      <c r="AJ2355" s="1"/>
      <c r="AK2355" s="1"/>
      <c r="AL2355" s="1"/>
      <c r="AM2355" s="1"/>
      <c r="AN2355" s="1"/>
      <c r="AO2355" s="1"/>
      <c r="AP2355" s="1"/>
      <c r="AQ2355" s="1"/>
      <c r="AR2355" s="1"/>
      <c r="AS2355" s="1"/>
      <c r="AT2355" s="1"/>
      <c r="AU2355" s="1"/>
      <c r="AV2355" s="1"/>
      <c r="AW2355" s="1"/>
      <c r="AX2355" s="1"/>
      <c r="AY2355" s="1"/>
      <c r="AZ2355" s="1"/>
      <c r="BA2355" s="1"/>
      <c r="BB2355" s="1"/>
      <c r="BC2355" s="1"/>
      <c r="BD2355" s="1"/>
      <c r="BE2355" s="1"/>
      <c r="BF2355" s="1"/>
      <c r="BG2355" s="1"/>
      <c r="BH2355" s="1"/>
      <c r="BI2355" s="1"/>
      <c r="BJ2355" s="1"/>
      <c r="BK2355" s="1"/>
      <c r="BL2355" s="1"/>
      <c r="BM2355" s="1"/>
      <c r="BN2355" s="1"/>
      <c r="BO2355" s="1"/>
      <c r="BP2355" s="1"/>
      <c r="BQ2355" s="1"/>
      <c r="BR2355" s="1"/>
      <c r="BS2355" s="1"/>
      <c r="BT2355" s="1"/>
      <c r="BU2355" s="1" t="s">
        <v>9653</v>
      </c>
      <c r="BV2355" s="3"/>
      <c r="BW2355" s="3"/>
    </row>
    <row r="2356" spans="1:75">
      <c r="A2356" s="1" t="s">
        <v>35074</v>
      </c>
      <c r="B2356" s="1" t="s">
        <v>13976</v>
      </c>
      <c r="C2356" s="1" t="s">
        <v>40334</v>
      </c>
      <c r="D2356" s="1"/>
      <c r="E2356" s="1"/>
      <c r="F2356" s="1"/>
      <c r="G2356" s="1"/>
      <c r="H2356" s="1" t="s">
        <v>40335</v>
      </c>
      <c r="I2356" s="1" t="s">
        <v>40335</v>
      </c>
      <c r="J2356" s="1"/>
      <c r="K2356" s="1"/>
      <c r="L2356" s="1"/>
      <c r="M2356" s="1"/>
      <c r="N2356" s="1"/>
      <c r="O2356" s="1"/>
      <c r="P2356" s="1"/>
      <c r="Q2356" s="1"/>
      <c r="R2356" s="1"/>
      <c r="S2356" s="1"/>
      <c r="T2356" s="1"/>
      <c r="U2356" s="1"/>
      <c r="V2356" s="1"/>
      <c r="W2356" s="1"/>
      <c r="X2356" s="1"/>
      <c r="Y2356" s="1"/>
      <c r="Z2356" s="1"/>
      <c r="AA2356" s="1"/>
      <c r="AB2356" s="1"/>
      <c r="AC2356" s="1"/>
      <c r="AD2356" s="1" t="s">
        <v>98</v>
      </c>
      <c r="AE2356" s="1" t="s">
        <v>98</v>
      </c>
      <c r="AF2356" s="1"/>
      <c r="AG2356" s="1"/>
      <c r="AH2356" s="1"/>
      <c r="AI2356" s="1"/>
      <c r="AJ2356" s="1"/>
      <c r="AK2356" s="1"/>
      <c r="AL2356" s="1"/>
      <c r="AM2356" s="1"/>
      <c r="AN2356" s="1"/>
      <c r="AO2356" s="1"/>
      <c r="AP2356" s="1"/>
      <c r="AQ2356" s="1"/>
      <c r="AR2356" s="1"/>
      <c r="AS2356" s="1"/>
      <c r="AT2356" s="1"/>
      <c r="AU2356" s="1"/>
      <c r="AV2356" s="1"/>
      <c r="AW2356" s="1"/>
      <c r="AX2356" s="1"/>
      <c r="AY2356" s="1"/>
      <c r="AZ2356" s="1"/>
      <c r="BA2356" s="1"/>
      <c r="BB2356" s="1"/>
      <c r="BC2356" s="1"/>
      <c r="BD2356" s="1"/>
      <c r="BE2356" s="1"/>
      <c r="BF2356" s="1"/>
      <c r="BG2356" s="1"/>
      <c r="BH2356" s="1"/>
      <c r="BI2356" s="1"/>
      <c r="BJ2356" s="1"/>
      <c r="BK2356" s="1"/>
      <c r="BL2356" s="1"/>
      <c r="BM2356" s="1"/>
      <c r="BN2356" s="1"/>
      <c r="BO2356" s="1"/>
      <c r="BP2356" s="1"/>
      <c r="BQ2356" s="1"/>
      <c r="BR2356" s="1"/>
      <c r="BS2356" s="1"/>
      <c r="BT2356" s="1"/>
      <c r="BU2356" s="1" t="s">
        <v>9653</v>
      </c>
      <c r="BV2356" s="3"/>
      <c r="BW2356" s="3"/>
    </row>
    <row r="2357" spans="1:75">
      <c r="A2357" s="1" t="s">
        <v>35074</v>
      </c>
      <c r="B2357" s="1" t="s">
        <v>13976</v>
      </c>
      <c r="C2357" s="1" t="s">
        <v>40336</v>
      </c>
      <c r="D2357" s="1" t="s">
        <v>19331</v>
      </c>
      <c r="E2357" s="1" t="s">
        <v>40337</v>
      </c>
      <c r="F2357" s="1" t="s">
        <v>40338</v>
      </c>
      <c r="G2357" s="1" t="s">
        <v>40339</v>
      </c>
      <c r="H2357" s="1" t="s">
        <v>40340</v>
      </c>
      <c r="I2357" s="1" t="s">
        <v>40340</v>
      </c>
      <c r="J2357" s="1">
        <v>9324917244</v>
      </c>
      <c r="K2357" s="1" t="s">
        <v>84</v>
      </c>
      <c r="L2357" s="1" t="s">
        <v>4411</v>
      </c>
      <c r="M2357" s="1" t="s">
        <v>86</v>
      </c>
      <c r="N2357" s="1" t="s">
        <v>40341</v>
      </c>
      <c r="O2357" s="1" t="s">
        <v>40342</v>
      </c>
      <c r="P2357" s="1" t="s">
        <v>89</v>
      </c>
      <c r="Q2357" s="1">
        <v>559955082947</v>
      </c>
      <c r="R2357" s="1" t="s">
        <v>40343</v>
      </c>
      <c r="S2357" s="1">
        <v>9322817623</v>
      </c>
      <c r="T2357" s="1" t="s">
        <v>40344</v>
      </c>
      <c r="U2357" s="1" t="s">
        <v>40345</v>
      </c>
      <c r="V2357" s="1">
        <v>9022320325</v>
      </c>
      <c r="W2357" s="1" t="s">
        <v>14032</v>
      </c>
      <c r="X2357" s="1" t="s">
        <v>40346</v>
      </c>
      <c r="Y2357" s="1" t="s">
        <v>1012</v>
      </c>
      <c r="Z2357" s="1" t="s">
        <v>97</v>
      </c>
      <c r="AA2357" s="1"/>
      <c r="AB2357" s="1" t="s">
        <v>1012</v>
      </c>
      <c r="AC2357" s="1" t="s">
        <v>97</v>
      </c>
      <c r="AD2357" s="1" t="s">
        <v>98</v>
      </c>
      <c r="AE2357" s="1" t="s">
        <v>98</v>
      </c>
      <c r="AF2357" s="1" t="s">
        <v>40347</v>
      </c>
      <c r="AG2357" s="1" t="s">
        <v>14238</v>
      </c>
      <c r="AH2357" s="1" t="s">
        <v>106</v>
      </c>
      <c r="AI2357" s="1" t="s">
        <v>547</v>
      </c>
      <c r="AJ2357" s="1">
        <v>81.4</v>
      </c>
      <c r="AK2357" s="1">
        <v>8.57</v>
      </c>
      <c r="AL2357" s="1"/>
      <c r="AM2357" s="1"/>
      <c r="AN2357" s="1"/>
      <c r="AO2357" s="1"/>
      <c r="AP2357" s="1"/>
      <c r="AQ2357" s="1"/>
      <c r="AR2357" s="1"/>
      <c r="AS2357" s="1" t="s">
        <v>40348</v>
      </c>
      <c r="AT2357" s="1" t="s">
        <v>40349</v>
      </c>
      <c r="AU2357" s="1" t="s">
        <v>315</v>
      </c>
      <c r="AV2357" s="1" t="s">
        <v>110</v>
      </c>
      <c r="AW2357" s="1">
        <v>82.3</v>
      </c>
      <c r="AX2357" s="1">
        <v>8.66</v>
      </c>
      <c r="AY2357" s="1" t="s">
        <v>23063</v>
      </c>
      <c r="AZ2357" s="1" t="s">
        <v>40350</v>
      </c>
      <c r="BA2357" s="1" t="s">
        <v>578</v>
      </c>
      <c r="BB2357" s="1" t="s">
        <v>23143</v>
      </c>
      <c r="BC2357" s="1" t="s">
        <v>110</v>
      </c>
      <c r="BD2357" s="1" t="s">
        <v>553</v>
      </c>
      <c r="BE2357" s="1">
        <v>61.36</v>
      </c>
      <c r="BF2357" s="1">
        <v>6.88</v>
      </c>
      <c r="BG2357" s="1"/>
      <c r="BH2357" s="1"/>
      <c r="BI2357" s="1"/>
      <c r="BJ2357" s="1"/>
      <c r="BK2357" s="1"/>
      <c r="BL2357" s="1"/>
      <c r="BM2357" s="1"/>
      <c r="BN2357" s="1"/>
      <c r="BO2357" s="1" t="s">
        <v>98</v>
      </c>
      <c r="BP2357" s="1"/>
      <c r="BQ2357" s="1"/>
      <c r="BR2357" s="1"/>
      <c r="BS2357" s="1"/>
      <c r="BT2357" s="1"/>
      <c r="BU2357" s="1" t="str">
        <f>HYPERLINK("https://nconnect.nicmar.ac.in/storage/profile/6a859e5557b53.png","Download")</f>
        <v>0</v>
      </c>
      <c r="BV2357" s="3"/>
      <c r="BW2357" s="3"/>
    </row>
    <row r="2358" spans="1:75">
      <c r="A2358" s="1" t="s">
        <v>35074</v>
      </c>
      <c r="B2358" s="1" t="s">
        <v>13976</v>
      </c>
      <c r="C2358" s="1" t="s">
        <v>40351</v>
      </c>
      <c r="D2358" s="1" t="s">
        <v>40352</v>
      </c>
      <c r="E2358" s="1" t="s">
        <v>40353</v>
      </c>
      <c r="F2358" s="1" t="s">
        <v>19031</v>
      </c>
      <c r="G2358" s="1" t="s">
        <v>40354</v>
      </c>
      <c r="H2358" s="1" t="s">
        <v>40355</v>
      </c>
      <c r="I2358" s="1" t="s">
        <v>40355</v>
      </c>
      <c r="J2358" s="1">
        <v>7990372456</v>
      </c>
      <c r="K2358" s="1" t="s">
        <v>84</v>
      </c>
      <c r="L2358" s="1" t="s">
        <v>8871</v>
      </c>
      <c r="M2358" s="1" t="s">
        <v>86</v>
      </c>
      <c r="N2358" s="1" t="s">
        <v>19073</v>
      </c>
      <c r="O2358" s="1" t="s">
        <v>40356</v>
      </c>
      <c r="P2358" s="1" t="s">
        <v>1693</v>
      </c>
      <c r="Q2358" s="1">
        <v>231637202190</v>
      </c>
      <c r="R2358" s="1" t="s">
        <v>40357</v>
      </c>
      <c r="S2358" s="1">
        <v>9824183010</v>
      </c>
      <c r="T2358" s="1" t="s">
        <v>14800</v>
      </c>
      <c r="U2358" s="1" t="s">
        <v>40358</v>
      </c>
      <c r="V2358" s="1">
        <v>9924641009</v>
      </c>
      <c r="W2358" s="1" t="s">
        <v>10306</v>
      </c>
      <c r="X2358" s="1" t="s">
        <v>40359</v>
      </c>
      <c r="Y2358" s="1" t="s">
        <v>5138</v>
      </c>
      <c r="Z2358" s="1" t="s">
        <v>676</v>
      </c>
      <c r="AA2358" s="1" t="s">
        <v>40359</v>
      </c>
      <c r="AB2358" s="1" t="s">
        <v>5138</v>
      </c>
      <c r="AC2358" s="1" t="s">
        <v>676</v>
      </c>
      <c r="AD2358" s="1" t="s">
        <v>98</v>
      </c>
      <c r="AE2358" s="1" t="s">
        <v>98</v>
      </c>
      <c r="AF2358" s="1" t="s">
        <v>40360</v>
      </c>
      <c r="AG2358" s="1" t="s">
        <v>40361</v>
      </c>
      <c r="AH2358" s="1" t="s">
        <v>106</v>
      </c>
      <c r="AI2358" s="1" t="s">
        <v>414</v>
      </c>
      <c r="AJ2358" s="1">
        <v>86.5</v>
      </c>
      <c r="AK2358" s="1"/>
      <c r="AL2358" s="1" t="s">
        <v>40360</v>
      </c>
      <c r="AM2358" s="1" t="s">
        <v>40361</v>
      </c>
      <c r="AN2358" s="1" t="s">
        <v>465</v>
      </c>
      <c r="AO2358" s="1" t="s">
        <v>468</v>
      </c>
      <c r="AP2358" s="1" t="s">
        <v>845</v>
      </c>
      <c r="AQ2358" s="1">
        <v>88</v>
      </c>
      <c r="AR2358" s="1"/>
      <c r="AS2358" s="1"/>
      <c r="AT2358" s="1"/>
      <c r="AU2358" s="1"/>
      <c r="AV2358" s="1"/>
      <c r="AW2358" s="1"/>
      <c r="AX2358" s="1"/>
      <c r="AY2358" s="1" t="s">
        <v>40362</v>
      </c>
      <c r="AZ2358" s="1" t="s">
        <v>40363</v>
      </c>
      <c r="BA2358" s="1" t="s">
        <v>578</v>
      </c>
      <c r="BB2358" s="1" t="s">
        <v>38485</v>
      </c>
      <c r="BC2358" s="1" t="s">
        <v>549</v>
      </c>
      <c r="BD2358" s="1" t="s">
        <v>607</v>
      </c>
      <c r="BE2358" s="1">
        <v>73.8</v>
      </c>
      <c r="BF2358" s="1">
        <v>7.88</v>
      </c>
      <c r="BG2358" s="1"/>
      <c r="BH2358" s="1"/>
      <c r="BI2358" s="1"/>
      <c r="BJ2358" s="1"/>
      <c r="BK2358" s="1"/>
      <c r="BL2358" s="1"/>
      <c r="BM2358" s="1"/>
      <c r="BN2358" s="1"/>
      <c r="BO2358" s="1" t="s">
        <v>40364</v>
      </c>
      <c r="BP2358" s="1"/>
      <c r="BQ2358" s="1"/>
      <c r="BR2358" s="1" t="s">
        <v>40365</v>
      </c>
      <c r="BS2358" s="1">
        <v>12</v>
      </c>
      <c r="BT2358" s="1"/>
      <c r="BU2358" s="1" t="str">
        <f>HYPERLINK("https://nconnect.nicmar.ac.in/storage/profile/6a85bd200653e.png","Download")</f>
        <v>0</v>
      </c>
      <c r="BV2358" s="3"/>
      <c r="BW2358" s="3"/>
    </row>
    <row r="2359" spans="1:75">
      <c r="A2359" s="1" t="s">
        <v>35074</v>
      </c>
      <c r="B2359" s="1" t="s">
        <v>13976</v>
      </c>
      <c r="C2359" s="1" t="s">
        <v>40366</v>
      </c>
      <c r="D2359" s="1"/>
      <c r="E2359" s="1"/>
      <c r="F2359" s="1"/>
      <c r="G2359" s="1"/>
      <c r="H2359" s="1" t="s">
        <v>40367</v>
      </c>
      <c r="I2359" s="1" t="s">
        <v>40367</v>
      </c>
      <c r="J2359" s="1"/>
      <c r="K2359" s="1"/>
      <c r="L2359" s="1"/>
      <c r="M2359" s="1"/>
      <c r="N2359" s="1"/>
      <c r="O2359" s="1"/>
      <c r="P2359" s="1"/>
      <c r="Q2359" s="1"/>
      <c r="R2359" s="1"/>
      <c r="S2359" s="1"/>
      <c r="T2359" s="1"/>
      <c r="U2359" s="1"/>
      <c r="V2359" s="1"/>
      <c r="W2359" s="1"/>
      <c r="X2359" s="1"/>
      <c r="Y2359" s="1"/>
      <c r="Z2359" s="1"/>
      <c r="AA2359" s="1"/>
      <c r="AB2359" s="1"/>
      <c r="AC2359" s="1"/>
      <c r="AD2359" s="1" t="s">
        <v>98</v>
      </c>
      <c r="AE2359" s="1" t="s">
        <v>98</v>
      </c>
      <c r="AF2359" s="1" t="s">
        <v>40368</v>
      </c>
      <c r="AG2359" s="1" t="s">
        <v>40369</v>
      </c>
      <c r="AH2359" s="1" t="s">
        <v>7331</v>
      </c>
      <c r="AI2359" s="1" t="s">
        <v>977</v>
      </c>
      <c r="AJ2359" s="1">
        <v>77</v>
      </c>
      <c r="AK2359" s="1"/>
      <c r="AL2359" s="1" t="s">
        <v>40370</v>
      </c>
      <c r="AM2359" s="1" t="s">
        <v>40371</v>
      </c>
      <c r="AN2359" s="1" t="s">
        <v>575</v>
      </c>
      <c r="AO2359" s="1" t="s">
        <v>468</v>
      </c>
      <c r="AP2359" s="1" t="s">
        <v>1886</v>
      </c>
      <c r="AQ2359" s="1">
        <v>62</v>
      </c>
      <c r="AR2359" s="1"/>
      <c r="AS2359" s="1"/>
      <c r="AT2359" s="1"/>
      <c r="AU2359" s="1"/>
      <c r="AV2359" s="1"/>
      <c r="AW2359" s="1"/>
      <c r="AX2359" s="1"/>
      <c r="AY2359" s="1" t="s">
        <v>40372</v>
      </c>
      <c r="AZ2359" s="1" t="s">
        <v>40373</v>
      </c>
      <c r="BA2359" s="1" t="s">
        <v>40374</v>
      </c>
      <c r="BB2359" s="1" t="s">
        <v>38485</v>
      </c>
      <c r="BC2359" s="1" t="s">
        <v>289</v>
      </c>
      <c r="BD2359" s="1" t="s">
        <v>14514</v>
      </c>
      <c r="BE2359" s="1">
        <v>55</v>
      </c>
      <c r="BF2359" s="1">
        <v>5.87</v>
      </c>
      <c r="BG2359" s="1"/>
      <c r="BH2359" s="1"/>
      <c r="BI2359" s="1"/>
      <c r="BJ2359" s="1"/>
      <c r="BK2359" s="1"/>
      <c r="BL2359" s="1"/>
      <c r="BM2359" s="1"/>
      <c r="BN2359" s="1"/>
      <c r="BO2359" s="1" t="s">
        <v>40375</v>
      </c>
      <c r="BP2359" s="1"/>
      <c r="BQ2359" s="1"/>
      <c r="BR2359" s="1"/>
      <c r="BS2359" s="1"/>
      <c r="BT2359" s="1"/>
      <c r="BU2359" s="1" t="s">
        <v>9653</v>
      </c>
      <c r="BV2359" s="3"/>
      <c r="BW2359" s="3"/>
    </row>
    <row r="2360" spans="1:75">
      <c r="A2360" s="1" t="s">
        <v>35074</v>
      </c>
      <c r="B2360" s="1" t="s">
        <v>13976</v>
      </c>
      <c r="C2360" s="1" t="s">
        <v>40376</v>
      </c>
      <c r="D2360" s="1"/>
      <c r="E2360" s="1"/>
      <c r="F2360" s="1"/>
      <c r="G2360" s="1"/>
      <c r="H2360" s="1" t="s">
        <v>40377</v>
      </c>
      <c r="I2360" s="1" t="s">
        <v>40377</v>
      </c>
      <c r="J2360" s="1"/>
      <c r="K2360" s="1"/>
      <c r="L2360" s="1"/>
      <c r="M2360" s="1"/>
      <c r="N2360" s="1"/>
      <c r="O2360" s="1"/>
      <c r="P2360" s="1"/>
      <c r="Q2360" s="1"/>
      <c r="R2360" s="1"/>
      <c r="S2360" s="1"/>
      <c r="T2360" s="1"/>
      <c r="U2360" s="1"/>
      <c r="V2360" s="1"/>
      <c r="W2360" s="1"/>
      <c r="X2360" s="1"/>
      <c r="Y2360" s="1"/>
      <c r="Z2360" s="1"/>
      <c r="AA2360" s="1"/>
      <c r="AB2360" s="1"/>
      <c r="AC2360" s="1"/>
      <c r="AD2360" s="1" t="s">
        <v>98</v>
      </c>
      <c r="AE2360" s="1" t="s">
        <v>98</v>
      </c>
      <c r="AF2360" s="1"/>
      <c r="AG2360" s="1"/>
      <c r="AH2360" s="1"/>
      <c r="AI2360" s="1"/>
      <c r="AJ2360" s="1"/>
      <c r="AK2360" s="1"/>
      <c r="AL2360" s="1"/>
      <c r="AM2360" s="1"/>
      <c r="AN2360" s="1"/>
      <c r="AO2360" s="1"/>
      <c r="AP2360" s="1"/>
      <c r="AQ2360" s="1"/>
      <c r="AR2360" s="1"/>
      <c r="AS2360" s="1"/>
      <c r="AT2360" s="1"/>
      <c r="AU2360" s="1"/>
      <c r="AV2360" s="1"/>
      <c r="AW2360" s="1"/>
      <c r="AX2360" s="1"/>
      <c r="AY2360" s="1"/>
      <c r="AZ2360" s="1"/>
      <c r="BA2360" s="1"/>
      <c r="BB2360" s="1"/>
      <c r="BC2360" s="1"/>
      <c r="BD2360" s="1"/>
      <c r="BE2360" s="1"/>
      <c r="BF2360" s="1"/>
      <c r="BG2360" s="1"/>
      <c r="BH2360" s="1"/>
      <c r="BI2360" s="1"/>
      <c r="BJ2360" s="1"/>
      <c r="BK2360" s="1"/>
      <c r="BL2360" s="1"/>
      <c r="BM2360" s="1"/>
      <c r="BN2360" s="1"/>
      <c r="BO2360" s="1"/>
      <c r="BP2360" s="1"/>
      <c r="BQ2360" s="1"/>
      <c r="BR2360" s="1"/>
      <c r="BS2360" s="1"/>
      <c r="BT2360" s="1"/>
      <c r="BU2360" s="1" t="s">
        <v>9653</v>
      </c>
      <c r="BV2360" s="3"/>
      <c r="BW2360" s="3"/>
    </row>
    <row r="2361" spans="1:75">
      <c r="A2361" s="1" t="s">
        <v>35074</v>
      </c>
      <c r="B2361" s="1" t="s">
        <v>13976</v>
      </c>
      <c r="C2361" s="1" t="s">
        <v>40378</v>
      </c>
      <c r="D2361" s="1" t="s">
        <v>40379</v>
      </c>
      <c r="E2361" s="1" t="s">
        <v>40380</v>
      </c>
      <c r="F2361" s="1" t="s">
        <v>40381</v>
      </c>
      <c r="G2361" s="1" t="s">
        <v>40382</v>
      </c>
      <c r="H2361" s="1" t="s">
        <v>40383</v>
      </c>
      <c r="I2361" s="1" t="s">
        <v>40383</v>
      </c>
      <c r="J2361" s="1">
        <v>8624846085</v>
      </c>
      <c r="K2361" s="1" t="s">
        <v>84</v>
      </c>
      <c r="L2361" s="1" t="s">
        <v>40384</v>
      </c>
      <c r="M2361" s="1" t="s">
        <v>86</v>
      </c>
      <c r="N2361" s="1" t="s">
        <v>6390</v>
      </c>
      <c r="O2361" s="1" t="s">
        <v>40385</v>
      </c>
      <c r="P2361" s="1" t="s">
        <v>18210</v>
      </c>
      <c r="Q2361" s="1">
        <v>288311506925</v>
      </c>
      <c r="R2361" s="1" t="s">
        <v>40386</v>
      </c>
      <c r="S2361" s="1">
        <v>8888238075</v>
      </c>
      <c r="T2361" s="1" t="s">
        <v>22414</v>
      </c>
      <c r="U2361" s="1" t="s">
        <v>40387</v>
      </c>
      <c r="V2361" s="1">
        <v>9623971895</v>
      </c>
      <c r="W2361" s="1" t="s">
        <v>14154</v>
      </c>
      <c r="X2361" s="1" t="s">
        <v>40388</v>
      </c>
      <c r="Y2361" s="1" t="s">
        <v>1989</v>
      </c>
      <c r="Z2361" s="1" t="s">
        <v>97</v>
      </c>
      <c r="AA2361" s="1" t="s">
        <v>40388</v>
      </c>
      <c r="AB2361" s="1" t="s">
        <v>1989</v>
      </c>
      <c r="AC2361" s="1" t="s">
        <v>97</v>
      </c>
      <c r="AD2361" s="1" t="s">
        <v>98</v>
      </c>
      <c r="AE2361" s="1" t="s">
        <v>98</v>
      </c>
      <c r="AF2361" s="1" t="s">
        <v>20649</v>
      </c>
      <c r="AG2361" s="1" t="s">
        <v>40389</v>
      </c>
      <c r="AH2361" s="1" t="s">
        <v>547</v>
      </c>
      <c r="AI2361" s="1" t="s">
        <v>178</v>
      </c>
      <c r="AJ2361" s="1">
        <v>75.2</v>
      </c>
      <c r="AK2361" s="1"/>
      <c r="AL2361" s="1" t="s">
        <v>20649</v>
      </c>
      <c r="AM2361" s="1" t="s">
        <v>40389</v>
      </c>
      <c r="AN2361" s="1" t="s">
        <v>465</v>
      </c>
      <c r="AO2361" s="1" t="s">
        <v>1192</v>
      </c>
      <c r="AP2361" s="1" t="s">
        <v>289</v>
      </c>
      <c r="AQ2361" s="1">
        <v>64.8</v>
      </c>
      <c r="AR2361" s="1"/>
      <c r="AS2361" s="1"/>
      <c r="AT2361" s="1"/>
      <c r="AU2361" s="1"/>
      <c r="AV2361" s="1"/>
      <c r="AW2361" s="1"/>
      <c r="AX2361" s="1"/>
      <c r="AY2361" s="1" t="s">
        <v>40390</v>
      </c>
      <c r="AZ2361" s="1" t="s">
        <v>40391</v>
      </c>
      <c r="BA2361" s="1" t="s">
        <v>578</v>
      </c>
      <c r="BB2361" s="1" t="s">
        <v>39920</v>
      </c>
      <c r="BC2361" s="1" t="s">
        <v>1889</v>
      </c>
      <c r="BD2361" s="1" t="s">
        <v>14514</v>
      </c>
      <c r="BE2361" s="1">
        <v>60.08</v>
      </c>
      <c r="BF2361" s="1">
        <v>6.83</v>
      </c>
      <c r="BG2361" s="1"/>
      <c r="BH2361" s="1"/>
      <c r="BI2361" s="1"/>
      <c r="BJ2361" s="1"/>
      <c r="BK2361" s="1"/>
      <c r="BL2361" s="1"/>
      <c r="BM2361" s="1"/>
      <c r="BN2361" s="1"/>
      <c r="BO2361" s="1" t="s">
        <v>40392</v>
      </c>
      <c r="BP2361" s="1"/>
      <c r="BQ2361" s="1"/>
      <c r="BR2361" s="1"/>
      <c r="BS2361" s="1"/>
      <c r="BT2361" s="1"/>
      <c r="BU2361" s="1" t="str">
        <f>HYPERLINK("https://nconnect.nicmar.ac.in/storage/profile/6a85f3e1d289f.png","Download")</f>
        <v>0</v>
      </c>
      <c r="BV2361" s="3"/>
      <c r="BW2361" s="3"/>
    </row>
    <row r="2362" spans="1:75">
      <c r="A2362" s="1" t="s">
        <v>35074</v>
      </c>
      <c r="B2362" s="1" t="s">
        <v>13976</v>
      </c>
      <c r="C2362" s="1" t="s">
        <v>40393</v>
      </c>
      <c r="D2362" s="1"/>
      <c r="E2362" s="1"/>
      <c r="F2362" s="1"/>
      <c r="G2362" s="1"/>
      <c r="H2362" s="1" t="s">
        <v>40394</v>
      </c>
      <c r="I2362" s="1" t="s">
        <v>40394</v>
      </c>
      <c r="J2362" s="1"/>
      <c r="K2362" s="1"/>
      <c r="L2362" s="1"/>
      <c r="M2362" s="1"/>
      <c r="N2362" s="1"/>
      <c r="O2362" s="1"/>
      <c r="P2362" s="1"/>
      <c r="Q2362" s="1"/>
      <c r="R2362" s="1"/>
      <c r="S2362" s="1"/>
      <c r="T2362" s="1"/>
      <c r="U2362" s="1"/>
      <c r="V2362" s="1"/>
      <c r="W2362" s="1"/>
      <c r="X2362" s="1"/>
      <c r="Y2362" s="1"/>
      <c r="Z2362" s="1"/>
      <c r="AA2362" s="1"/>
      <c r="AB2362" s="1"/>
      <c r="AC2362" s="1"/>
      <c r="AD2362" s="1" t="s">
        <v>98</v>
      </c>
      <c r="AE2362" s="1" t="s">
        <v>98</v>
      </c>
      <c r="AF2362" s="1"/>
      <c r="AG2362" s="1"/>
      <c r="AH2362" s="1"/>
      <c r="AI2362" s="1"/>
      <c r="AJ2362" s="1"/>
      <c r="AK2362" s="1"/>
      <c r="AL2362" s="1"/>
      <c r="AM2362" s="1"/>
      <c r="AN2362" s="1"/>
      <c r="AO2362" s="1"/>
      <c r="AP2362" s="1"/>
      <c r="AQ2362" s="1"/>
      <c r="AR2362" s="1"/>
      <c r="AS2362" s="1"/>
      <c r="AT2362" s="1"/>
      <c r="AU2362" s="1"/>
      <c r="AV2362" s="1"/>
      <c r="AW2362" s="1"/>
      <c r="AX2362" s="1"/>
      <c r="AY2362" s="1"/>
      <c r="AZ2362" s="1"/>
      <c r="BA2362" s="1"/>
      <c r="BB2362" s="1"/>
      <c r="BC2362" s="1"/>
      <c r="BD2362" s="1"/>
      <c r="BE2362" s="1"/>
      <c r="BF2362" s="1"/>
      <c r="BG2362" s="1"/>
      <c r="BH2362" s="1"/>
      <c r="BI2362" s="1"/>
      <c r="BJ2362" s="1"/>
      <c r="BK2362" s="1"/>
      <c r="BL2362" s="1"/>
      <c r="BM2362" s="1"/>
      <c r="BN2362" s="1"/>
      <c r="BO2362" s="1"/>
      <c r="BP2362" s="1"/>
      <c r="BQ2362" s="1"/>
      <c r="BR2362" s="1"/>
      <c r="BS2362" s="1"/>
      <c r="BT2362" s="1"/>
      <c r="BU2362" s="1" t="s">
        <v>9653</v>
      </c>
      <c r="BV2362" s="3"/>
      <c r="BW2362" s="3"/>
    </row>
    <row r="2363" spans="1:75">
      <c r="A2363" s="1" t="s">
        <v>26662</v>
      </c>
      <c r="B2363" s="1" t="s">
        <v>13976</v>
      </c>
      <c r="C2363" s="1" t="s">
        <v>40395</v>
      </c>
      <c r="D2363" s="1"/>
      <c r="E2363" s="1"/>
      <c r="F2363" s="1"/>
      <c r="G2363" s="1"/>
      <c r="H2363" s="1" t="s">
        <v>40396</v>
      </c>
      <c r="I2363" s="1" t="s">
        <v>40396</v>
      </c>
      <c r="J2363" s="1"/>
      <c r="K2363" s="1"/>
      <c r="L2363" s="1"/>
      <c r="M2363" s="1"/>
      <c r="N2363" s="1"/>
      <c r="O2363" s="1"/>
      <c r="P2363" s="1"/>
      <c r="Q2363" s="1"/>
      <c r="R2363" s="1"/>
      <c r="S2363" s="1"/>
      <c r="T2363" s="1"/>
      <c r="U2363" s="1"/>
      <c r="V2363" s="1"/>
      <c r="W2363" s="1"/>
      <c r="X2363" s="1"/>
      <c r="Y2363" s="1"/>
      <c r="Z2363" s="1"/>
      <c r="AA2363" s="1"/>
      <c r="AB2363" s="1"/>
      <c r="AC2363" s="1"/>
      <c r="AD2363" s="1" t="s">
        <v>98</v>
      </c>
      <c r="AE2363" s="1" t="s">
        <v>98</v>
      </c>
      <c r="AF2363" s="1"/>
      <c r="AG2363" s="1"/>
      <c r="AH2363" s="1"/>
      <c r="AI2363" s="1"/>
      <c r="AJ2363" s="1"/>
      <c r="AK2363" s="1"/>
      <c r="AL2363" s="1"/>
      <c r="AM2363" s="1"/>
      <c r="AN2363" s="1"/>
      <c r="AO2363" s="1"/>
      <c r="AP2363" s="1"/>
      <c r="AQ2363" s="1"/>
      <c r="AR2363" s="1"/>
      <c r="AS2363" s="1"/>
      <c r="AT2363" s="1"/>
      <c r="AU2363" s="1"/>
      <c r="AV2363" s="1"/>
      <c r="AW2363" s="1"/>
      <c r="AX2363" s="1"/>
      <c r="AY2363" s="1"/>
      <c r="AZ2363" s="1"/>
      <c r="BA2363" s="1"/>
      <c r="BB2363" s="1"/>
      <c r="BC2363" s="1"/>
      <c r="BD2363" s="1"/>
      <c r="BE2363" s="1"/>
      <c r="BF2363" s="1"/>
      <c r="BG2363" s="1"/>
      <c r="BH2363" s="1"/>
      <c r="BI2363" s="1"/>
      <c r="BJ2363" s="1"/>
      <c r="BK2363" s="1"/>
      <c r="BL2363" s="1"/>
      <c r="BM2363" s="1"/>
      <c r="BN2363" s="1"/>
      <c r="BO2363" s="1"/>
      <c r="BP2363" s="1"/>
      <c r="BQ2363" s="1"/>
      <c r="BR2363" s="1"/>
      <c r="BS2363" s="1"/>
      <c r="BT2363" s="1"/>
      <c r="BU2363" s="1" t="s">
        <v>9653</v>
      </c>
      <c r="BV2363" s="3"/>
      <c r="BW2363" s="3"/>
    </row>
    <row r="2364" spans="1:75">
      <c r="A2364" s="1" t="s">
        <v>26662</v>
      </c>
      <c r="B2364" s="1" t="s">
        <v>13976</v>
      </c>
      <c r="C2364" s="1" t="s">
        <v>40397</v>
      </c>
      <c r="D2364" s="1"/>
      <c r="E2364" s="1"/>
      <c r="F2364" s="1"/>
      <c r="G2364" s="1"/>
      <c r="H2364" s="1" t="s">
        <v>40398</v>
      </c>
      <c r="I2364" s="1" t="s">
        <v>40398</v>
      </c>
      <c r="J2364" s="1"/>
      <c r="K2364" s="1"/>
      <c r="L2364" s="1"/>
      <c r="M2364" s="1"/>
      <c r="N2364" s="1"/>
      <c r="O2364" s="1"/>
      <c r="P2364" s="1"/>
      <c r="Q2364" s="1"/>
      <c r="R2364" s="1"/>
      <c r="S2364" s="1"/>
      <c r="T2364" s="1"/>
      <c r="U2364" s="1"/>
      <c r="V2364" s="1"/>
      <c r="W2364" s="1"/>
      <c r="X2364" s="1"/>
      <c r="Y2364" s="1"/>
      <c r="Z2364" s="1"/>
      <c r="AA2364" s="1"/>
      <c r="AB2364" s="1"/>
      <c r="AC2364" s="1"/>
      <c r="AD2364" s="1" t="s">
        <v>98</v>
      </c>
      <c r="AE2364" s="1" t="s">
        <v>98</v>
      </c>
      <c r="AF2364" s="1"/>
      <c r="AG2364" s="1"/>
      <c r="AH2364" s="1"/>
      <c r="AI2364" s="1"/>
      <c r="AJ2364" s="1"/>
      <c r="AK2364" s="1"/>
      <c r="AL2364" s="1"/>
      <c r="AM2364" s="1"/>
      <c r="AN2364" s="1"/>
      <c r="AO2364" s="1"/>
      <c r="AP2364" s="1"/>
      <c r="AQ2364" s="1"/>
      <c r="AR2364" s="1"/>
      <c r="AS2364" s="1"/>
      <c r="AT2364" s="1"/>
      <c r="AU2364" s="1"/>
      <c r="AV2364" s="1"/>
      <c r="AW2364" s="1"/>
      <c r="AX2364" s="1"/>
      <c r="AY2364" s="1"/>
      <c r="AZ2364" s="1"/>
      <c r="BA2364" s="1"/>
      <c r="BB2364" s="1"/>
      <c r="BC2364" s="1"/>
      <c r="BD2364" s="1"/>
      <c r="BE2364" s="1"/>
      <c r="BF2364" s="1"/>
      <c r="BG2364" s="1"/>
      <c r="BH2364" s="1"/>
      <c r="BI2364" s="1"/>
      <c r="BJ2364" s="1"/>
      <c r="BK2364" s="1"/>
      <c r="BL2364" s="1"/>
      <c r="BM2364" s="1"/>
      <c r="BN2364" s="1"/>
      <c r="BO2364" s="1"/>
      <c r="BP2364" s="1"/>
      <c r="BQ2364" s="1"/>
      <c r="BR2364" s="1"/>
      <c r="BS2364" s="1"/>
      <c r="BT2364" s="1"/>
      <c r="BU2364" s="1" t="s">
        <v>9653</v>
      </c>
      <c r="BV2364" s="3"/>
      <c r="BW2364" s="3"/>
    </row>
    <row r="2365" spans="1:75">
      <c r="A2365" s="1" t="s">
        <v>26662</v>
      </c>
      <c r="B2365" s="1" t="s">
        <v>13976</v>
      </c>
      <c r="C2365" s="1" t="s">
        <v>40399</v>
      </c>
      <c r="D2365" s="1"/>
      <c r="E2365" s="1"/>
      <c r="F2365" s="1"/>
      <c r="G2365" s="1"/>
      <c r="H2365" s="1" t="s">
        <v>40400</v>
      </c>
      <c r="I2365" s="1" t="s">
        <v>40400</v>
      </c>
      <c r="J2365" s="1"/>
      <c r="K2365" s="1"/>
      <c r="L2365" s="1"/>
      <c r="M2365" s="1"/>
      <c r="N2365" s="1"/>
      <c r="O2365" s="1"/>
      <c r="P2365" s="1"/>
      <c r="Q2365" s="1"/>
      <c r="R2365" s="1"/>
      <c r="S2365" s="1"/>
      <c r="T2365" s="1"/>
      <c r="U2365" s="1"/>
      <c r="V2365" s="1"/>
      <c r="W2365" s="1"/>
      <c r="X2365" s="1"/>
      <c r="Y2365" s="1"/>
      <c r="Z2365" s="1"/>
      <c r="AA2365" s="1"/>
      <c r="AB2365" s="1"/>
      <c r="AC2365" s="1"/>
      <c r="AD2365" s="1" t="s">
        <v>98</v>
      </c>
      <c r="AE2365" s="1" t="s">
        <v>98</v>
      </c>
      <c r="AF2365" s="1"/>
      <c r="AG2365" s="1"/>
      <c r="AH2365" s="1"/>
      <c r="AI2365" s="1"/>
      <c r="AJ2365" s="1"/>
      <c r="AK2365" s="1"/>
      <c r="AL2365" s="1"/>
      <c r="AM2365" s="1"/>
      <c r="AN2365" s="1"/>
      <c r="AO2365" s="1"/>
      <c r="AP2365" s="1"/>
      <c r="AQ2365" s="1"/>
      <c r="AR2365" s="1"/>
      <c r="AS2365" s="1"/>
      <c r="AT2365" s="1"/>
      <c r="AU2365" s="1"/>
      <c r="AV2365" s="1"/>
      <c r="AW2365" s="1"/>
      <c r="AX2365" s="1"/>
      <c r="AY2365" s="1"/>
      <c r="AZ2365" s="1"/>
      <c r="BA2365" s="1"/>
      <c r="BB2365" s="1"/>
      <c r="BC2365" s="1"/>
      <c r="BD2365" s="1"/>
      <c r="BE2365" s="1"/>
      <c r="BF2365" s="1"/>
      <c r="BG2365" s="1"/>
      <c r="BH2365" s="1"/>
      <c r="BI2365" s="1"/>
      <c r="BJ2365" s="1"/>
      <c r="BK2365" s="1"/>
      <c r="BL2365" s="1"/>
      <c r="BM2365" s="1"/>
      <c r="BN2365" s="1"/>
      <c r="BO2365" s="1"/>
      <c r="BP2365" s="1"/>
      <c r="BQ2365" s="1"/>
      <c r="BR2365" s="1"/>
      <c r="BS2365" s="1"/>
      <c r="BT2365" s="1"/>
      <c r="BU2365" s="1" t="s">
        <v>9653</v>
      </c>
      <c r="BV2365" s="3"/>
      <c r="BW2365" s="3"/>
    </row>
    <row r="2366" spans="1:75">
      <c r="A2366" s="1" t="s">
        <v>26662</v>
      </c>
      <c r="B2366" s="1" t="s">
        <v>13976</v>
      </c>
      <c r="C2366" s="1" t="s">
        <v>40401</v>
      </c>
      <c r="D2366" s="1"/>
      <c r="E2366" s="1"/>
      <c r="F2366" s="1"/>
      <c r="G2366" s="1"/>
      <c r="H2366" s="1" t="s">
        <v>40402</v>
      </c>
      <c r="I2366" s="1" t="s">
        <v>40402</v>
      </c>
      <c r="J2366" s="1"/>
      <c r="K2366" s="1"/>
      <c r="L2366" s="1"/>
      <c r="M2366" s="1"/>
      <c r="N2366" s="1"/>
      <c r="O2366" s="1"/>
      <c r="P2366" s="1"/>
      <c r="Q2366" s="1"/>
      <c r="R2366" s="1"/>
      <c r="S2366" s="1"/>
      <c r="T2366" s="1"/>
      <c r="U2366" s="1"/>
      <c r="V2366" s="1"/>
      <c r="W2366" s="1"/>
      <c r="X2366" s="1"/>
      <c r="Y2366" s="1"/>
      <c r="Z2366" s="1"/>
      <c r="AA2366" s="1"/>
      <c r="AB2366" s="1"/>
      <c r="AC2366" s="1"/>
      <c r="AD2366" s="1" t="s">
        <v>98</v>
      </c>
      <c r="AE2366" s="1" t="s">
        <v>98</v>
      </c>
      <c r="AF2366" s="1"/>
      <c r="AG2366" s="1"/>
      <c r="AH2366" s="1"/>
      <c r="AI2366" s="1"/>
      <c r="AJ2366" s="1"/>
      <c r="AK2366" s="1"/>
      <c r="AL2366" s="1"/>
      <c r="AM2366" s="1"/>
      <c r="AN2366" s="1"/>
      <c r="AO2366" s="1"/>
      <c r="AP2366" s="1"/>
      <c r="AQ2366" s="1"/>
      <c r="AR2366" s="1"/>
      <c r="AS2366" s="1"/>
      <c r="AT2366" s="1"/>
      <c r="AU2366" s="1"/>
      <c r="AV2366" s="1"/>
      <c r="AW2366" s="1"/>
      <c r="AX2366" s="1"/>
      <c r="AY2366" s="1"/>
      <c r="AZ2366" s="1"/>
      <c r="BA2366" s="1"/>
      <c r="BB2366" s="1"/>
      <c r="BC2366" s="1"/>
      <c r="BD2366" s="1"/>
      <c r="BE2366" s="1"/>
      <c r="BF2366" s="1"/>
      <c r="BG2366" s="1"/>
      <c r="BH2366" s="1"/>
      <c r="BI2366" s="1"/>
      <c r="BJ2366" s="1"/>
      <c r="BK2366" s="1"/>
      <c r="BL2366" s="1"/>
      <c r="BM2366" s="1"/>
      <c r="BN2366" s="1"/>
      <c r="BO2366" s="1"/>
      <c r="BP2366" s="1"/>
      <c r="BQ2366" s="1"/>
      <c r="BR2366" s="1"/>
      <c r="BS2366" s="1"/>
      <c r="BT2366" s="1"/>
      <c r="BU2366" s="1" t="s">
        <v>9653</v>
      </c>
      <c r="BV2366" s="3"/>
      <c r="BW2366" s="3"/>
    </row>
    <row r="2367" spans="1:75">
      <c r="A2367" s="1" t="s">
        <v>26662</v>
      </c>
      <c r="B2367" s="1" t="s">
        <v>13976</v>
      </c>
      <c r="C2367" s="1" t="s">
        <v>40403</v>
      </c>
      <c r="D2367" s="1"/>
      <c r="E2367" s="1"/>
      <c r="F2367" s="1"/>
      <c r="G2367" s="1"/>
      <c r="H2367" s="1" t="s">
        <v>40404</v>
      </c>
      <c r="I2367" s="1" t="s">
        <v>40404</v>
      </c>
      <c r="J2367" s="1"/>
      <c r="K2367" s="1"/>
      <c r="L2367" s="1"/>
      <c r="M2367" s="1"/>
      <c r="N2367" s="1"/>
      <c r="O2367" s="1"/>
      <c r="P2367" s="1"/>
      <c r="Q2367" s="1"/>
      <c r="R2367" s="1"/>
      <c r="S2367" s="1"/>
      <c r="T2367" s="1"/>
      <c r="U2367" s="1"/>
      <c r="V2367" s="1"/>
      <c r="W2367" s="1"/>
      <c r="X2367" s="1"/>
      <c r="Y2367" s="1"/>
      <c r="Z2367" s="1"/>
      <c r="AA2367" s="1"/>
      <c r="AB2367" s="1"/>
      <c r="AC2367" s="1"/>
      <c r="AD2367" s="1" t="s">
        <v>98</v>
      </c>
      <c r="AE2367" s="1" t="s">
        <v>98</v>
      </c>
      <c r="AF2367" s="1"/>
      <c r="AG2367" s="1"/>
      <c r="AH2367" s="1"/>
      <c r="AI2367" s="1"/>
      <c r="AJ2367" s="1"/>
      <c r="AK2367" s="1"/>
      <c r="AL2367" s="1"/>
      <c r="AM2367" s="1"/>
      <c r="AN2367" s="1"/>
      <c r="AO2367" s="1"/>
      <c r="AP2367" s="1"/>
      <c r="AQ2367" s="1"/>
      <c r="AR2367" s="1"/>
      <c r="AS2367" s="1"/>
      <c r="AT2367" s="1"/>
      <c r="AU2367" s="1"/>
      <c r="AV2367" s="1"/>
      <c r="AW2367" s="1"/>
      <c r="AX2367" s="1"/>
      <c r="AY2367" s="1"/>
      <c r="AZ2367" s="1"/>
      <c r="BA2367" s="1"/>
      <c r="BB2367" s="1"/>
      <c r="BC2367" s="1"/>
      <c r="BD2367" s="1"/>
      <c r="BE2367" s="1"/>
      <c r="BF2367" s="1"/>
      <c r="BG2367" s="1"/>
      <c r="BH2367" s="1"/>
      <c r="BI2367" s="1"/>
      <c r="BJ2367" s="1"/>
      <c r="BK2367" s="1"/>
      <c r="BL2367" s="1"/>
      <c r="BM2367" s="1"/>
      <c r="BN2367" s="1"/>
      <c r="BO2367" s="1"/>
      <c r="BP2367" s="1"/>
      <c r="BQ2367" s="1"/>
      <c r="BR2367" s="1"/>
      <c r="BS2367" s="1"/>
      <c r="BT2367" s="1"/>
      <c r="BU2367" s="1" t="s">
        <v>9653</v>
      </c>
      <c r="BV2367" s="3"/>
      <c r="BW2367" s="3"/>
    </row>
    <row r="2368" spans="1:75">
      <c r="A2368" s="1" t="s">
        <v>26662</v>
      </c>
      <c r="B2368" s="1" t="s">
        <v>13976</v>
      </c>
      <c r="C2368" s="1" t="s">
        <v>40405</v>
      </c>
      <c r="D2368" s="1"/>
      <c r="E2368" s="1"/>
      <c r="F2368" s="1"/>
      <c r="G2368" s="1"/>
      <c r="H2368" s="1" t="s">
        <v>40406</v>
      </c>
      <c r="I2368" s="1" t="s">
        <v>40406</v>
      </c>
      <c r="J2368" s="1"/>
      <c r="K2368" s="1"/>
      <c r="L2368" s="1"/>
      <c r="M2368" s="1"/>
      <c r="N2368" s="1"/>
      <c r="O2368" s="1"/>
      <c r="P2368" s="1"/>
      <c r="Q2368" s="1"/>
      <c r="R2368" s="1"/>
      <c r="S2368" s="1"/>
      <c r="T2368" s="1"/>
      <c r="U2368" s="1"/>
      <c r="V2368" s="1"/>
      <c r="W2368" s="1"/>
      <c r="X2368" s="1"/>
      <c r="Y2368" s="1"/>
      <c r="Z2368" s="1"/>
      <c r="AA2368" s="1"/>
      <c r="AB2368" s="1"/>
      <c r="AC2368" s="1"/>
      <c r="AD2368" s="1" t="s">
        <v>98</v>
      </c>
      <c r="AE2368" s="1" t="s">
        <v>98</v>
      </c>
      <c r="AF2368" s="1"/>
      <c r="AG2368" s="1"/>
      <c r="AH2368" s="1"/>
      <c r="AI2368" s="1"/>
      <c r="AJ2368" s="1"/>
      <c r="AK2368" s="1"/>
      <c r="AL2368" s="1"/>
      <c r="AM2368" s="1"/>
      <c r="AN2368" s="1"/>
      <c r="AO2368" s="1"/>
      <c r="AP2368" s="1"/>
      <c r="AQ2368" s="1"/>
      <c r="AR2368" s="1"/>
      <c r="AS2368" s="1"/>
      <c r="AT2368" s="1"/>
      <c r="AU2368" s="1"/>
      <c r="AV2368" s="1"/>
      <c r="AW2368" s="1"/>
      <c r="AX2368" s="1"/>
      <c r="AY2368" s="1"/>
      <c r="AZ2368" s="1"/>
      <c r="BA2368" s="1"/>
      <c r="BB2368" s="1"/>
      <c r="BC2368" s="1"/>
      <c r="BD2368" s="1"/>
      <c r="BE2368" s="1"/>
      <c r="BF2368" s="1"/>
      <c r="BG2368" s="1"/>
      <c r="BH2368" s="1"/>
      <c r="BI2368" s="1"/>
      <c r="BJ2368" s="1"/>
      <c r="BK2368" s="1"/>
      <c r="BL2368" s="1"/>
      <c r="BM2368" s="1"/>
      <c r="BN2368" s="1"/>
      <c r="BO2368" s="1"/>
      <c r="BP2368" s="1"/>
      <c r="BQ2368" s="1"/>
      <c r="BR2368" s="1"/>
      <c r="BS2368" s="1"/>
      <c r="BT2368" s="1"/>
      <c r="BU2368" s="1" t="s">
        <v>9653</v>
      </c>
      <c r="BV2368" s="3"/>
      <c r="BW2368" s="3"/>
    </row>
    <row r="2369" spans="1:75">
      <c r="A2369" s="1" t="s">
        <v>26662</v>
      </c>
      <c r="B2369" s="1" t="s">
        <v>13976</v>
      </c>
      <c r="C2369" s="1" t="s">
        <v>40407</v>
      </c>
      <c r="D2369" s="1"/>
      <c r="E2369" s="1"/>
      <c r="F2369" s="1"/>
      <c r="G2369" s="1"/>
      <c r="H2369" s="1" t="s">
        <v>40408</v>
      </c>
      <c r="I2369" s="1" t="s">
        <v>40408</v>
      </c>
      <c r="J2369" s="1"/>
      <c r="K2369" s="1"/>
      <c r="L2369" s="1"/>
      <c r="M2369" s="1"/>
      <c r="N2369" s="1"/>
      <c r="O2369" s="1"/>
      <c r="P2369" s="1"/>
      <c r="Q2369" s="1"/>
      <c r="R2369" s="1"/>
      <c r="S2369" s="1"/>
      <c r="T2369" s="1"/>
      <c r="U2369" s="1"/>
      <c r="V2369" s="1"/>
      <c r="W2369" s="1"/>
      <c r="X2369" s="1"/>
      <c r="Y2369" s="1"/>
      <c r="Z2369" s="1"/>
      <c r="AA2369" s="1"/>
      <c r="AB2369" s="1"/>
      <c r="AC2369" s="1"/>
      <c r="AD2369" s="1" t="s">
        <v>98</v>
      </c>
      <c r="AE2369" s="1" t="s">
        <v>98</v>
      </c>
      <c r="AF2369" s="1"/>
      <c r="AG2369" s="1"/>
      <c r="AH2369" s="1"/>
      <c r="AI2369" s="1"/>
      <c r="AJ2369" s="1"/>
      <c r="AK2369" s="1"/>
      <c r="AL2369" s="1"/>
      <c r="AM2369" s="1"/>
      <c r="AN2369" s="1"/>
      <c r="AO2369" s="1"/>
      <c r="AP2369" s="1"/>
      <c r="AQ2369" s="1"/>
      <c r="AR2369" s="1"/>
      <c r="AS2369" s="1"/>
      <c r="AT2369" s="1"/>
      <c r="AU2369" s="1"/>
      <c r="AV2369" s="1"/>
      <c r="AW2369" s="1"/>
      <c r="AX2369" s="1"/>
      <c r="AY2369" s="1"/>
      <c r="AZ2369" s="1"/>
      <c r="BA2369" s="1"/>
      <c r="BB2369" s="1"/>
      <c r="BC2369" s="1"/>
      <c r="BD2369" s="1"/>
      <c r="BE2369" s="1"/>
      <c r="BF2369" s="1"/>
      <c r="BG2369" s="1"/>
      <c r="BH2369" s="1"/>
      <c r="BI2369" s="1"/>
      <c r="BJ2369" s="1"/>
      <c r="BK2369" s="1"/>
      <c r="BL2369" s="1"/>
      <c r="BM2369" s="1"/>
      <c r="BN2369" s="1"/>
      <c r="BO2369" s="1"/>
      <c r="BP2369" s="1"/>
      <c r="BQ2369" s="1"/>
      <c r="BR2369" s="1"/>
      <c r="BS2369" s="1"/>
      <c r="BT2369" s="1"/>
      <c r="BU2369" s="1" t="s">
        <v>9653</v>
      </c>
      <c r="BV2369" s="3"/>
      <c r="BW2369" s="3"/>
    </row>
    <row r="2370" spans="1:75">
      <c r="A2370" s="1" t="s">
        <v>26662</v>
      </c>
      <c r="B2370" s="1" t="s">
        <v>13976</v>
      </c>
      <c r="C2370" s="1" t="s">
        <v>40409</v>
      </c>
      <c r="D2370" s="1"/>
      <c r="E2370" s="1"/>
      <c r="F2370" s="1"/>
      <c r="G2370" s="1"/>
      <c r="H2370" s="1" t="s">
        <v>40410</v>
      </c>
      <c r="I2370" s="1" t="s">
        <v>40410</v>
      </c>
      <c r="J2370" s="1"/>
      <c r="K2370" s="1"/>
      <c r="L2370" s="1"/>
      <c r="M2370" s="1"/>
      <c r="N2370" s="1"/>
      <c r="O2370" s="1"/>
      <c r="P2370" s="1"/>
      <c r="Q2370" s="1"/>
      <c r="R2370" s="1"/>
      <c r="S2370" s="1"/>
      <c r="T2370" s="1"/>
      <c r="U2370" s="1"/>
      <c r="V2370" s="1"/>
      <c r="W2370" s="1"/>
      <c r="X2370" s="1"/>
      <c r="Y2370" s="1"/>
      <c r="Z2370" s="1"/>
      <c r="AA2370" s="1"/>
      <c r="AB2370" s="1"/>
      <c r="AC2370" s="1"/>
      <c r="AD2370" s="1" t="s">
        <v>98</v>
      </c>
      <c r="AE2370" s="1" t="s">
        <v>98</v>
      </c>
      <c r="AF2370" s="1"/>
      <c r="AG2370" s="1"/>
      <c r="AH2370" s="1"/>
      <c r="AI2370" s="1"/>
      <c r="AJ2370" s="1"/>
      <c r="AK2370" s="1"/>
      <c r="AL2370" s="1"/>
      <c r="AM2370" s="1"/>
      <c r="AN2370" s="1"/>
      <c r="AO2370" s="1"/>
      <c r="AP2370" s="1"/>
      <c r="AQ2370" s="1"/>
      <c r="AR2370" s="1"/>
      <c r="AS2370" s="1"/>
      <c r="AT2370" s="1"/>
      <c r="AU2370" s="1"/>
      <c r="AV2370" s="1"/>
      <c r="AW2370" s="1"/>
      <c r="AX2370" s="1"/>
      <c r="AY2370" s="1"/>
      <c r="AZ2370" s="1"/>
      <c r="BA2370" s="1"/>
      <c r="BB2370" s="1"/>
      <c r="BC2370" s="1"/>
      <c r="BD2370" s="1"/>
      <c r="BE2370" s="1"/>
      <c r="BF2370" s="1"/>
      <c r="BG2370" s="1"/>
      <c r="BH2370" s="1"/>
      <c r="BI2370" s="1"/>
      <c r="BJ2370" s="1"/>
      <c r="BK2370" s="1"/>
      <c r="BL2370" s="1"/>
      <c r="BM2370" s="1"/>
      <c r="BN2370" s="1"/>
      <c r="BO2370" s="1"/>
      <c r="BP2370" s="1"/>
      <c r="BQ2370" s="1"/>
      <c r="BR2370" s="1"/>
      <c r="BS2370" s="1"/>
      <c r="BT2370" s="1"/>
      <c r="BU2370" s="1" t="s">
        <v>9653</v>
      </c>
      <c r="BV2370" s="3"/>
      <c r="BW2370" s="3"/>
    </row>
    <row r="2371" spans="1:75">
      <c r="A2371" s="1" t="s">
        <v>26662</v>
      </c>
      <c r="B2371" s="1" t="s">
        <v>13976</v>
      </c>
      <c r="C2371" s="1" t="s">
        <v>40411</v>
      </c>
      <c r="D2371" s="1"/>
      <c r="E2371" s="1"/>
      <c r="F2371" s="1"/>
      <c r="G2371" s="1"/>
      <c r="H2371" s="1" t="s">
        <v>40412</v>
      </c>
      <c r="I2371" s="1" t="s">
        <v>40412</v>
      </c>
      <c r="J2371" s="1"/>
      <c r="K2371" s="1"/>
      <c r="L2371" s="1"/>
      <c r="M2371" s="1"/>
      <c r="N2371" s="1"/>
      <c r="O2371" s="1"/>
      <c r="P2371" s="1"/>
      <c r="Q2371" s="1"/>
      <c r="R2371" s="1"/>
      <c r="S2371" s="1"/>
      <c r="T2371" s="1"/>
      <c r="U2371" s="1"/>
      <c r="V2371" s="1"/>
      <c r="W2371" s="1"/>
      <c r="X2371" s="1"/>
      <c r="Y2371" s="1"/>
      <c r="Z2371" s="1"/>
      <c r="AA2371" s="1"/>
      <c r="AB2371" s="1"/>
      <c r="AC2371" s="1"/>
      <c r="AD2371" s="1" t="s">
        <v>98</v>
      </c>
      <c r="AE2371" s="1" t="s">
        <v>98</v>
      </c>
      <c r="AF2371" s="1"/>
      <c r="AG2371" s="1"/>
      <c r="AH2371" s="1"/>
      <c r="AI2371" s="1"/>
      <c r="AJ2371" s="1"/>
      <c r="AK2371" s="1"/>
      <c r="AL2371" s="1"/>
      <c r="AM2371" s="1"/>
      <c r="AN2371" s="1"/>
      <c r="AO2371" s="1"/>
      <c r="AP2371" s="1"/>
      <c r="AQ2371" s="1"/>
      <c r="AR2371" s="1"/>
      <c r="AS2371" s="1"/>
      <c r="AT2371" s="1"/>
      <c r="AU2371" s="1"/>
      <c r="AV2371" s="1"/>
      <c r="AW2371" s="1"/>
      <c r="AX2371" s="1"/>
      <c r="AY2371" s="1"/>
      <c r="AZ2371" s="1"/>
      <c r="BA2371" s="1"/>
      <c r="BB2371" s="1"/>
      <c r="BC2371" s="1"/>
      <c r="BD2371" s="1"/>
      <c r="BE2371" s="1"/>
      <c r="BF2371" s="1"/>
      <c r="BG2371" s="1"/>
      <c r="BH2371" s="1"/>
      <c r="BI2371" s="1"/>
      <c r="BJ2371" s="1"/>
      <c r="BK2371" s="1"/>
      <c r="BL2371" s="1"/>
      <c r="BM2371" s="1"/>
      <c r="BN2371" s="1"/>
      <c r="BO2371" s="1"/>
      <c r="BP2371" s="1"/>
      <c r="BQ2371" s="1"/>
      <c r="BR2371" s="1"/>
      <c r="BS2371" s="1"/>
      <c r="BT2371" s="1"/>
      <c r="BU2371" s="1" t="s">
        <v>9653</v>
      </c>
      <c r="BV2371" s="3"/>
      <c r="BW2371" s="3"/>
    </row>
    <row r="2372" spans="1:75">
      <c r="A2372" s="1" t="s">
        <v>26662</v>
      </c>
      <c r="B2372" s="1" t="s">
        <v>13976</v>
      </c>
      <c r="C2372" s="1" t="s">
        <v>40413</v>
      </c>
      <c r="D2372" s="1"/>
      <c r="E2372" s="1"/>
      <c r="F2372" s="1"/>
      <c r="G2372" s="1"/>
      <c r="H2372" s="1" t="s">
        <v>40414</v>
      </c>
      <c r="I2372" s="1" t="s">
        <v>40414</v>
      </c>
      <c r="J2372" s="1"/>
      <c r="K2372" s="1"/>
      <c r="L2372" s="1"/>
      <c r="M2372" s="1"/>
      <c r="N2372" s="1"/>
      <c r="O2372" s="1"/>
      <c r="P2372" s="1"/>
      <c r="Q2372" s="1"/>
      <c r="R2372" s="1"/>
      <c r="S2372" s="1"/>
      <c r="T2372" s="1"/>
      <c r="U2372" s="1"/>
      <c r="V2372" s="1"/>
      <c r="W2372" s="1"/>
      <c r="X2372" s="1"/>
      <c r="Y2372" s="1"/>
      <c r="Z2372" s="1"/>
      <c r="AA2372" s="1"/>
      <c r="AB2372" s="1"/>
      <c r="AC2372" s="1"/>
      <c r="AD2372" s="1" t="s">
        <v>98</v>
      </c>
      <c r="AE2372" s="1" t="s">
        <v>98</v>
      </c>
      <c r="AF2372" s="1"/>
      <c r="AG2372" s="1"/>
      <c r="AH2372" s="1"/>
      <c r="AI2372" s="1"/>
      <c r="AJ2372" s="1"/>
      <c r="AK2372" s="1"/>
      <c r="AL2372" s="1"/>
      <c r="AM2372" s="1"/>
      <c r="AN2372" s="1"/>
      <c r="AO2372" s="1"/>
      <c r="AP2372" s="1"/>
      <c r="AQ2372" s="1"/>
      <c r="AR2372" s="1"/>
      <c r="AS2372" s="1"/>
      <c r="AT2372" s="1"/>
      <c r="AU2372" s="1"/>
      <c r="AV2372" s="1"/>
      <c r="AW2372" s="1"/>
      <c r="AX2372" s="1"/>
      <c r="AY2372" s="1"/>
      <c r="AZ2372" s="1"/>
      <c r="BA2372" s="1"/>
      <c r="BB2372" s="1"/>
      <c r="BC2372" s="1"/>
      <c r="BD2372" s="1"/>
      <c r="BE2372" s="1"/>
      <c r="BF2372" s="1"/>
      <c r="BG2372" s="1"/>
      <c r="BH2372" s="1"/>
      <c r="BI2372" s="1"/>
      <c r="BJ2372" s="1"/>
      <c r="BK2372" s="1"/>
      <c r="BL2372" s="1"/>
      <c r="BM2372" s="1"/>
      <c r="BN2372" s="1"/>
      <c r="BO2372" s="1"/>
      <c r="BP2372" s="1"/>
      <c r="BQ2372" s="1"/>
      <c r="BR2372" s="1"/>
      <c r="BS2372" s="1"/>
      <c r="BT2372" s="1"/>
      <c r="BU2372" s="1" t="s">
        <v>9653</v>
      </c>
      <c r="BV2372" s="3"/>
      <c r="BW2372" s="3"/>
    </row>
    <row r="2373" spans="1:75">
      <c r="A2373" s="1" t="s">
        <v>26662</v>
      </c>
      <c r="B2373" s="1" t="s">
        <v>13976</v>
      </c>
      <c r="C2373" s="1" t="s">
        <v>40415</v>
      </c>
      <c r="D2373" s="1"/>
      <c r="E2373" s="1"/>
      <c r="F2373" s="1"/>
      <c r="G2373" s="1"/>
      <c r="H2373" s="1" t="s">
        <v>40416</v>
      </c>
      <c r="I2373" s="1" t="s">
        <v>40416</v>
      </c>
      <c r="J2373" s="1"/>
      <c r="K2373" s="1"/>
      <c r="L2373" s="1"/>
      <c r="M2373" s="1"/>
      <c r="N2373" s="1"/>
      <c r="O2373" s="1"/>
      <c r="P2373" s="1"/>
      <c r="Q2373" s="1"/>
      <c r="R2373" s="1"/>
      <c r="S2373" s="1"/>
      <c r="T2373" s="1"/>
      <c r="U2373" s="1"/>
      <c r="V2373" s="1"/>
      <c r="W2373" s="1"/>
      <c r="X2373" s="1"/>
      <c r="Y2373" s="1"/>
      <c r="Z2373" s="1"/>
      <c r="AA2373" s="1"/>
      <c r="AB2373" s="1"/>
      <c r="AC2373" s="1"/>
      <c r="AD2373" s="1" t="s">
        <v>98</v>
      </c>
      <c r="AE2373" s="1" t="s">
        <v>98</v>
      </c>
      <c r="AF2373" s="1"/>
      <c r="AG2373" s="1"/>
      <c r="AH2373" s="1"/>
      <c r="AI2373" s="1"/>
      <c r="AJ2373" s="1"/>
      <c r="AK2373" s="1"/>
      <c r="AL2373" s="1"/>
      <c r="AM2373" s="1"/>
      <c r="AN2373" s="1"/>
      <c r="AO2373" s="1"/>
      <c r="AP2373" s="1"/>
      <c r="AQ2373" s="1"/>
      <c r="AR2373" s="1"/>
      <c r="AS2373" s="1"/>
      <c r="AT2373" s="1"/>
      <c r="AU2373" s="1"/>
      <c r="AV2373" s="1"/>
      <c r="AW2373" s="1"/>
      <c r="AX2373" s="1"/>
      <c r="AY2373" s="1"/>
      <c r="AZ2373" s="1"/>
      <c r="BA2373" s="1"/>
      <c r="BB2373" s="1"/>
      <c r="BC2373" s="1"/>
      <c r="BD2373" s="1"/>
      <c r="BE2373" s="1"/>
      <c r="BF2373" s="1"/>
      <c r="BG2373" s="1"/>
      <c r="BH2373" s="1"/>
      <c r="BI2373" s="1"/>
      <c r="BJ2373" s="1"/>
      <c r="BK2373" s="1"/>
      <c r="BL2373" s="1"/>
      <c r="BM2373" s="1"/>
      <c r="BN2373" s="1"/>
      <c r="BO2373" s="1"/>
      <c r="BP2373" s="1"/>
      <c r="BQ2373" s="1"/>
      <c r="BR2373" s="1"/>
      <c r="BS2373" s="1"/>
      <c r="BT2373" s="1"/>
      <c r="BU2373" s="1" t="s">
        <v>9653</v>
      </c>
      <c r="BV2373" s="3"/>
      <c r="BW2373" s="3"/>
    </row>
    <row r="2374" spans="1:75">
      <c r="A2374" s="1" t="s">
        <v>26662</v>
      </c>
      <c r="B2374" s="1" t="s">
        <v>13976</v>
      </c>
      <c r="C2374" s="1" t="s">
        <v>40417</v>
      </c>
      <c r="D2374" s="1"/>
      <c r="E2374" s="1"/>
      <c r="F2374" s="1"/>
      <c r="G2374" s="1"/>
      <c r="H2374" s="1" t="s">
        <v>40418</v>
      </c>
      <c r="I2374" s="1" t="s">
        <v>40418</v>
      </c>
      <c r="J2374" s="1"/>
      <c r="K2374" s="1"/>
      <c r="L2374" s="1"/>
      <c r="M2374" s="1"/>
      <c r="N2374" s="1"/>
      <c r="O2374" s="1"/>
      <c r="P2374" s="1"/>
      <c r="Q2374" s="1"/>
      <c r="R2374" s="1"/>
      <c r="S2374" s="1"/>
      <c r="T2374" s="1"/>
      <c r="U2374" s="1"/>
      <c r="V2374" s="1"/>
      <c r="W2374" s="1"/>
      <c r="X2374" s="1"/>
      <c r="Y2374" s="1"/>
      <c r="Z2374" s="1"/>
      <c r="AA2374" s="1"/>
      <c r="AB2374" s="1"/>
      <c r="AC2374" s="1"/>
      <c r="AD2374" s="1" t="s">
        <v>98</v>
      </c>
      <c r="AE2374" s="1" t="s">
        <v>98</v>
      </c>
      <c r="AF2374" s="1"/>
      <c r="AG2374" s="1"/>
      <c r="AH2374" s="1"/>
      <c r="AI2374" s="1"/>
      <c r="AJ2374" s="1"/>
      <c r="AK2374" s="1"/>
      <c r="AL2374" s="1"/>
      <c r="AM2374" s="1"/>
      <c r="AN2374" s="1"/>
      <c r="AO2374" s="1"/>
      <c r="AP2374" s="1"/>
      <c r="AQ2374" s="1"/>
      <c r="AR2374" s="1"/>
      <c r="AS2374" s="1"/>
      <c r="AT2374" s="1"/>
      <c r="AU2374" s="1"/>
      <c r="AV2374" s="1"/>
      <c r="AW2374" s="1"/>
      <c r="AX2374" s="1"/>
      <c r="AY2374" s="1"/>
      <c r="AZ2374" s="1"/>
      <c r="BA2374" s="1"/>
      <c r="BB2374" s="1"/>
      <c r="BC2374" s="1"/>
      <c r="BD2374" s="1"/>
      <c r="BE2374" s="1"/>
      <c r="BF2374" s="1"/>
      <c r="BG2374" s="1"/>
      <c r="BH2374" s="1"/>
      <c r="BI2374" s="1"/>
      <c r="BJ2374" s="1"/>
      <c r="BK2374" s="1"/>
      <c r="BL2374" s="1"/>
      <c r="BM2374" s="1"/>
      <c r="BN2374" s="1"/>
      <c r="BO2374" s="1"/>
      <c r="BP2374" s="1"/>
      <c r="BQ2374" s="1"/>
      <c r="BR2374" s="1"/>
      <c r="BS2374" s="1"/>
      <c r="BT2374" s="1"/>
      <c r="BU2374" s="1" t="s">
        <v>9653</v>
      </c>
      <c r="BV2374" s="3"/>
      <c r="BW2374" s="3"/>
    </row>
    <row r="2375" spans="1:75">
      <c r="A2375" s="1" t="s">
        <v>26662</v>
      </c>
      <c r="B2375" s="1" t="s">
        <v>13976</v>
      </c>
      <c r="C2375" s="1" t="s">
        <v>40419</v>
      </c>
      <c r="D2375" s="1"/>
      <c r="E2375" s="1"/>
      <c r="F2375" s="1"/>
      <c r="G2375" s="1"/>
      <c r="H2375" s="1" t="s">
        <v>40420</v>
      </c>
      <c r="I2375" s="1" t="s">
        <v>40420</v>
      </c>
      <c r="J2375" s="1"/>
      <c r="K2375" s="1"/>
      <c r="L2375" s="1"/>
      <c r="M2375" s="1"/>
      <c r="N2375" s="1"/>
      <c r="O2375" s="1"/>
      <c r="P2375" s="1"/>
      <c r="Q2375" s="1"/>
      <c r="R2375" s="1"/>
      <c r="S2375" s="1"/>
      <c r="T2375" s="1"/>
      <c r="U2375" s="1"/>
      <c r="V2375" s="1"/>
      <c r="W2375" s="1"/>
      <c r="X2375" s="1"/>
      <c r="Y2375" s="1"/>
      <c r="Z2375" s="1"/>
      <c r="AA2375" s="1"/>
      <c r="AB2375" s="1"/>
      <c r="AC2375" s="1"/>
      <c r="AD2375" s="1" t="s">
        <v>98</v>
      </c>
      <c r="AE2375" s="1" t="s">
        <v>98</v>
      </c>
      <c r="AF2375" s="1"/>
      <c r="AG2375" s="1"/>
      <c r="AH2375" s="1"/>
      <c r="AI2375" s="1"/>
      <c r="AJ2375" s="1"/>
      <c r="AK2375" s="1"/>
      <c r="AL2375" s="1"/>
      <c r="AM2375" s="1"/>
      <c r="AN2375" s="1"/>
      <c r="AO2375" s="1"/>
      <c r="AP2375" s="1"/>
      <c r="AQ2375" s="1"/>
      <c r="AR2375" s="1"/>
      <c r="AS2375" s="1"/>
      <c r="AT2375" s="1"/>
      <c r="AU2375" s="1"/>
      <c r="AV2375" s="1"/>
      <c r="AW2375" s="1"/>
      <c r="AX2375" s="1"/>
      <c r="AY2375" s="1"/>
      <c r="AZ2375" s="1"/>
      <c r="BA2375" s="1"/>
      <c r="BB2375" s="1"/>
      <c r="BC2375" s="1"/>
      <c r="BD2375" s="1"/>
      <c r="BE2375" s="1"/>
      <c r="BF2375" s="1"/>
      <c r="BG2375" s="1"/>
      <c r="BH2375" s="1"/>
      <c r="BI2375" s="1"/>
      <c r="BJ2375" s="1"/>
      <c r="BK2375" s="1"/>
      <c r="BL2375" s="1"/>
      <c r="BM2375" s="1"/>
      <c r="BN2375" s="1"/>
      <c r="BO2375" s="1"/>
      <c r="BP2375" s="1"/>
      <c r="BQ2375" s="1"/>
      <c r="BR2375" s="1"/>
      <c r="BS2375" s="1"/>
      <c r="BT2375" s="1"/>
      <c r="BU2375" s="1" t="s">
        <v>9653</v>
      </c>
      <c r="BV2375" s="3"/>
      <c r="BW2375" s="3"/>
    </row>
    <row r="2376" spans="1:75">
      <c r="A2376" s="1" t="s">
        <v>26662</v>
      </c>
      <c r="B2376" s="1" t="s">
        <v>13976</v>
      </c>
      <c r="C2376" s="1" t="s">
        <v>40421</v>
      </c>
      <c r="D2376" s="1"/>
      <c r="E2376" s="1"/>
      <c r="F2376" s="1"/>
      <c r="G2376" s="1"/>
      <c r="H2376" s="1" t="s">
        <v>40422</v>
      </c>
      <c r="I2376" s="1" t="s">
        <v>40422</v>
      </c>
      <c r="J2376" s="1"/>
      <c r="K2376" s="1"/>
      <c r="L2376" s="1"/>
      <c r="M2376" s="1"/>
      <c r="N2376" s="1"/>
      <c r="O2376" s="1"/>
      <c r="P2376" s="1"/>
      <c r="Q2376" s="1"/>
      <c r="R2376" s="1"/>
      <c r="S2376" s="1"/>
      <c r="T2376" s="1"/>
      <c r="U2376" s="1"/>
      <c r="V2376" s="1"/>
      <c r="W2376" s="1"/>
      <c r="X2376" s="1"/>
      <c r="Y2376" s="1"/>
      <c r="Z2376" s="1"/>
      <c r="AA2376" s="1"/>
      <c r="AB2376" s="1"/>
      <c r="AC2376" s="1"/>
      <c r="AD2376" s="1" t="s">
        <v>98</v>
      </c>
      <c r="AE2376" s="1" t="s">
        <v>98</v>
      </c>
      <c r="AF2376" s="1"/>
      <c r="AG2376" s="1"/>
      <c r="AH2376" s="1"/>
      <c r="AI2376" s="1"/>
      <c r="AJ2376" s="1"/>
      <c r="AK2376" s="1"/>
      <c r="AL2376" s="1"/>
      <c r="AM2376" s="1"/>
      <c r="AN2376" s="1"/>
      <c r="AO2376" s="1"/>
      <c r="AP2376" s="1"/>
      <c r="AQ2376" s="1"/>
      <c r="AR2376" s="1"/>
      <c r="AS2376" s="1"/>
      <c r="AT2376" s="1"/>
      <c r="AU2376" s="1"/>
      <c r="AV2376" s="1"/>
      <c r="AW2376" s="1"/>
      <c r="AX2376" s="1"/>
      <c r="AY2376" s="1"/>
      <c r="AZ2376" s="1"/>
      <c r="BA2376" s="1"/>
      <c r="BB2376" s="1"/>
      <c r="BC2376" s="1"/>
      <c r="BD2376" s="1"/>
      <c r="BE2376" s="1"/>
      <c r="BF2376" s="1"/>
      <c r="BG2376" s="1"/>
      <c r="BH2376" s="1"/>
      <c r="BI2376" s="1"/>
      <c r="BJ2376" s="1"/>
      <c r="BK2376" s="1"/>
      <c r="BL2376" s="1"/>
      <c r="BM2376" s="1"/>
      <c r="BN2376" s="1"/>
      <c r="BO2376" s="1"/>
      <c r="BP2376" s="1"/>
      <c r="BQ2376" s="1"/>
      <c r="BR2376" s="1"/>
      <c r="BS2376" s="1"/>
      <c r="BT2376" s="1"/>
      <c r="BU2376" s="1" t="s">
        <v>9653</v>
      </c>
      <c r="BV2376" s="3"/>
      <c r="BW2376" s="3"/>
    </row>
    <row r="2377" spans="1:75">
      <c r="A2377" s="1" t="s">
        <v>26662</v>
      </c>
      <c r="B2377" s="1" t="s">
        <v>13976</v>
      </c>
      <c r="C2377" s="1" t="s">
        <v>40423</v>
      </c>
      <c r="D2377" s="1"/>
      <c r="E2377" s="1"/>
      <c r="F2377" s="1"/>
      <c r="G2377" s="1"/>
      <c r="H2377" s="1" t="s">
        <v>40424</v>
      </c>
      <c r="I2377" s="1" t="s">
        <v>40424</v>
      </c>
      <c r="J2377" s="1"/>
      <c r="K2377" s="1"/>
      <c r="L2377" s="1"/>
      <c r="M2377" s="1"/>
      <c r="N2377" s="1"/>
      <c r="O2377" s="1"/>
      <c r="P2377" s="1"/>
      <c r="Q2377" s="1"/>
      <c r="R2377" s="1"/>
      <c r="S2377" s="1"/>
      <c r="T2377" s="1"/>
      <c r="U2377" s="1"/>
      <c r="V2377" s="1"/>
      <c r="W2377" s="1"/>
      <c r="X2377" s="1"/>
      <c r="Y2377" s="1"/>
      <c r="Z2377" s="1"/>
      <c r="AA2377" s="1"/>
      <c r="AB2377" s="1"/>
      <c r="AC2377" s="1"/>
      <c r="AD2377" s="1" t="s">
        <v>98</v>
      </c>
      <c r="AE2377" s="1" t="s">
        <v>98</v>
      </c>
      <c r="AF2377" s="1"/>
      <c r="AG2377" s="1"/>
      <c r="AH2377" s="1"/>
      <c r="AI2377" s="1"/>
      <c r="AJ2377" s="1"/>
      <c r="AK2377" s="1"/>
      <c r="AL2377" s="1"/>
      <c r="AM2377" s="1"/>
      <c r="AN2377" s="1"/>
      <c r="AO2377" s="1"/>
      <c r="AP2377" s="1"/>
      <c r="AQ2377" s="1"/>
      <c r="AR2377" s="1"/>
      <c r="AS2377" s="1"/>
      <c r="AT2377" s="1"/>
      <c r="AU2377" s="1"/>
      <c r="AV2377" s="1"/>
      <c r="AW2377" s="1"/>
      <c r="AX2377" s="1"/>
      <c r="AY2377" s="1"/>
      <c r="AZ2377" s="1"/>
      <c r="BA2377" s="1"/>
      <c r="BB2377" s="1"/>
      <c r="BC2377" s="1"/>
      <c r="BD2377" s="1"/>
      <c r="BE2377" s="1"/>
      <c r="BF2377" s="1"/>
      <c r="BG2377" s="1"/>
      <c r="BH2377" s="1"/>
      <c r="BI2377" s="1"/>
      <c r="BJ2377" s="1"/>
      <c r="BK2377" s="1"/>
      <c r="BL2377" s="1"/>
      <c r="BM2377" s="1"/>
      <c r="BN2377" s="1"/>
      <c r="BO2377" s="1"/>
      <c r="BP2377" s="1"/>
      <c r="BQ2377" s="1"/>
      <c r="BR2377" s="1"/>
      <c r="BS2377" s="1"/>
      <c r="BT2377" s="1"/>
      <c r="BU2377" s="1" t="s">
        <v>9653</v>
      </c>
      <c r="BV2377" s="3"/>
      <c r="BW2377" s="3"/>
    </row>
    <row r="2378" spans="1:75">
      <c r="A2378" s="1" t="s">
        <v>26662</v>
      </c>
      <c r="B2378" s="1" t="s">
        <v>13976</v>
      </c>
      <c r="C2378" s="1" t="s">
        <v>40425</v>
      </c>
      <c r="D2378" s="1"/>
      <c r="E2378" s="1"/>
      <c r="F2378" s="1"/>
      <c r="G2378" s="1"/>
      <c r="H2378" s="1" t="s">
        <v>40426</v>
      </c>
      <c r="I2378" s="1" t="s">
        <v>40426</v>
      </c>
      <c r="J2378" s="1"/>
      <c r="K2378" s="1"/>
      <c r="L2378" s="1"/>
      <c r="M2378" s="1"/>
      <c r="N2378" s="1"/>
      <c r="O2378" s="1"/>
      <c r="P2378" s="1"/>
      <c r="Q2378" s="1"/>
      <c r="R2378" s="1"/>
      <c r="S2378" s="1"/>
      <c r="T2378" s="1"/>
      <c r="U2378" s="1"/>
      <c r="V2378" s="1"/>
      <c r="W2378" s="1"/>
      <c r="X2378" s="1"/>
      <c r="Y2378" s="1"/>
      <c r="Z2378" s="1"/>
      <c r="AA2378" s="1"/>
      <c r="AB2378" s="1"/>
      <c r="AC2378" s="1"/>
      <c r="AD2378" s="1" t="s">
        <v>98</v>
      </c>
      <c r="AE2378" s="1" t="s">
        <v>98</v>
      </c>
      <c r="AF2378" s="1"/>
      <c r="AG2378" s="1"/>
      <c r="AH2378" s="1"/>
      <c r="AI2378" s="1"/>
      <c r="AJ2378" s="1"/>
      <c r="AK2378" s="1"/>
      <c r="AL2378" s="1"/>
      <c r="AM2378" s="1"/>
      <c r="AN2378" s="1"/>
      <c r="AO2378" s="1"/>
      <c r="AP2378" s="1"/>
      <c r="AQ2378" s="1"/>
      <c r="AR2378" s="1"/>
      <c r="AS2378" s="1"/>
      <c r="AT2378" s="1"/>
      <c r="AU2378" s="1"/>
      <c r="AV2378" s="1"/>
      <c r="AW2378" s="1"/>
      <c r="AX2378" s="1"/>
      <c r="AY2378" s="1"/>
      <c r="AZ2378" s="1"/>
      <c r="BA2378" s="1"/>
      <c r="BB2378" s="1"/>
      <c r="BC2378" s="1"/>
      <c r="BD2378" s="1"/>
      <c r="BE2378" s="1"/>
      <c r="BF2378" s="1"/>
      <c r="BG2378" s="1"/>
      <c r="BH2378" s="1"/>
      <c r="BI2378" s="1"/>
      <c r="BJ2378" s="1"/>
      <c r="BK2378" s="1"/>
      <c r="BL2378" s="1"/>
      <c r="BM2378" s="1"/>
      <c r="BN2378" s="1"/>
      <c r="BO2378" s="1"/>
      <c r="BP2378" s="1"/>
      <c r="BQ2378" s="1"/>
      <c r="BR2378" s="1"/>
      <c r="BS2378" s="1"/>
      <c r="BT2378" s="1"/>
      <c r="BU2378" s="1" t="s">
        <v>9653</v>
      </c>
      <c r="BV2378" s="3"/>
      <c r="BW2378" s="3"/>
    </row>
    <row r="2379" spans="1:75">
      <c r="A2379" s="1" t="s">
        <v>26662</v>
      </c>
      <c r="B2379" s="1" t="s">
        <v>13976</v>
      </c>
      <c r="C2379" s="1" t="s">
        <v>40427</v>
      </c>
      <c r="D2379" s="1"/>
      <c r="E2379" s="1"/>
      <c r="F2379" s="1"/>
      <c r="G2379" s="1"/>
      <c r="H2379" s="1" t="s">
        <v>40428</v>
      </c>
      <c r="I2379" s="1" t="s">
        <v>40428</v>
      </c>
      <c r="J2379" s="1"/>
      <c r="K2379" s="1"/>
      <c r="L2379" s="1"/>
      <c r="M2379" s="1"/>
      <c r="N2379" s="1"/>
      <c r="O2379" s="1"/>
      <c r="P2379" s="1"/>
      <c r="Q2379" s="1"/>
      <c r="R2379" s="1"/>
      <c r="S2379" s="1"/>
      <c r="T2379" s="1"/>
      <c r="U2379" s="1"/>
      <c r="V2379" s="1"/>
      <c r="W2379" s="1"/>
      <c r="X2379" s="1"/>
      <c r="Y2379" s="1"/>
      <c r="Z2379" s="1"/>
      <c r="AA2379" s="1"/>
      <c r="AB2379" s="1"/>
      <c r="AC2379" s="1"/>
      <c r="AD2379" s="1" t="s">
        <v>98</v>
      </c>
      <c r="AE2379" s="1" t="s">
        <v>98</v>
      </c>
      <c r="AF2379" s="1"/>
      <c r="AG2379" s="1"/>
      <c r="AH2379" s="1"/>
      <c r="AI2379" s="1"/>
      <c r="AJ2379" s="1"/>
      <c r="AK2379" s="1"/>
      <c r="AL2379" s="1"/>
      <c r="AM2379" s="1"/>
      <c r="AN2379" s="1"/>
      <c r="AO2379" s="1"/>
      <c r="AP2379" s="1"/>
      <c r="AQ2379" s="1"/>
      <c r="AR2379" s="1"/>
      <c r="AS2379" s="1"/>
      <c r="AT2379" s="1"/>
      <c r="AU2379" s="1"/>
      <c r="AV2379" s="1"/>
      <c r="AW2379" s="1"/>
      <c r="AX2379" s="1"/>
      <c r="AY2379" s="1"/>
      <c r="AZ2379" s="1"/>
      <c r="BA2379" s="1"/>
      <c r="BB2379" s="1"/>
      <c r="BC2379" s="1"/>
      <c r="BD2379" s="1"/>
      <c r="BE2379" s="1"/>
      <c r="BF2379" s="1"/>
      <c r="BG2379" s="1"/>
      <c r="BH2379" s="1"/>
      <c r="BI2379" s="1"/>
      <c r="BJ2379" s="1"/>
      <c r="BK2379" s="1"/>
      <c r="BL2379" s="1"/>
      <c r="BM2379" s="1"/>
      <c r="BN2379" s="1"/>
      <c r="BO2379" s="1"/>
      <c r="BP2379" s="1"/>
      <c r="BQ2379" s="1"/>
      <c r="BR2379" s="1"/>
      <c r="BS2379" s="1"/>
      <c r="BT2379" s="1"/>
      <c r="BU2379" s="1" t="s">
        <v>9653</v>
      </c>
      <c r="BV2379" s="3"/>
      <c r="BW2379" s="3"/>
    </row>
    <row r="2380" spans="1:75">
      <c r="A2380" s="1" t="s">
        <v>26662</v>
      </c>
      <c r="B2380" s="1" t="s">
        <v>13976</v>
      </c>
      <c r="C2380" s="1" t="s">
        <v>40429</v>
      </c>
      <c r="D2380" s="1"/>
      <c r="E2380" s="1"/>
      <c r="F2380" s="1"/>
      <c r="G2380" s="1"/>
      <c r="H2380" s="1" t="s">
        <v>40430</v>
      </c>
      <c r="I2380" s="1" t="s">
        <v>40430</v>
      </c>
      <c r="J2380" s="1"/>
      <c r="K2380" s="1"/>
      <c r="L2380" s="1"/>
      <c r="M2380" s="1"/>
      <c r="N2380" s="1"/>
      <c r="O2380" s="1"/>
      <c r="P2380" s="1"/>
      <c r="Q2380" s="1"/>
      <c r="R2380" s="1"/>
      <c r="S2380" s="1"/>
      <c r="T2380" s="1"/>
      <c r="U2380" s="1"/>
      <c r="V2380" s="1"/>
      <c r="W2380" s="1"/>
      <c r="X2380" s="1"/>
      <c r="Y2380" s="1"/>
      <c r="Z2380" s="1"/>
      <c r="AA2380" s="1"/>
      <c r="AB2380" s="1"/>
      <c r="AC2380" s="1"/>
      <c r="AD2380" s="1" t="s">
        <v>98</v>
      </c>
      <c r="AE2380" s="1" t="s">
        <v>98</v>
      </c>
      <c r="AF2380" s="1"/>
      <c r="AG2380" s="1"/>
      <c r="AH2380" s="1"/>
      <c r="AI2380" s="1"/>
      <c r="AJ2380" s="1"/>
      <c r="AK2380" s="1"/>
      <c r="AL2380" s="1"/>
      <c r="AM2380" s="1"/>
      <c r="AN2380" s="1"/>
      <c r="AO2380" s="1"/>
      <c r="AP2380" s="1"/>
      <c r="AQ2380" s="1"/>
      <c r="AR2380" s="1"/>
      <c r="AS2380" s="1"/>
      <c r="AT2380" s="1"/>
      <c r="AU2380" s="1"/>
      <c r="AV2380" s="1"/>
      <c r="AW2380" s="1"/>
      <c r="AX2380" s="1"/>
      <c r="AY2380" s="1"/>
      <c r="AZ2380" s="1"/>
      <c r="BA2380" s="1"/>
      <c r="BB2380" s="1"/>
      <c r="BC2380" s="1"/>
      <c r="BD2380" s="1"/>
      <c r="BE2380" s="1"/>
      <c r="BF2380" s="1"/>
      <c r="BG2380" s="1"/>
      <c r="BH2380" s="1"/>
      <c r="BI2380" s="1"/>
      <c r="BJ2380" s="1"/>
      <c r="BK2380" s="1"/>
      <c r="BL2380" s="1"/>
      <c r="BM2380" s="1"/>
      <c r="BN2380" s="1"/>
      <c r="BO2380" s="1"/>
      <c r="BP2380" s="1"/>
      <c r="BQ2380" s="1"/>
      <c r="BR2380" s="1"/>
      <c r="BS2380" s="1"/>
      <c r="BT2380" s="1"/>
      <c r="BU2380" s="1" t="s">
        <v>9653</v>
      </c>
      <c r="BV2380" s="3"/>
      <c r="BW2380" s="3"/>
    </row>
    <row r="2381" spans="1:75">
      <c r="A2381" s="1" t="s">
        <v>26662</v>
      </c>
      <c r="B2381" s="1" t="s">
        <v>13976</v>
      </c>
      <c r="C2381" s="1" t="s">
        <v>40431</v>
      </c>
      <c r="D2381" s="1"/>
      <c r="E2381" s="1"/>
      <c r="F2381" s="1"/>
      <c r="G2381" s="1"/>
      <c r="H2381" s="1" t="s">
        <v>40432</v>
      </c>
      <c r="I2381" s="1" t="s">
        <v>40432</v>
      </c>
      <c r="J2381" s="1"/>
      <c r="K2381" s="1"/>
      <c r="L2381" s="1"/>
      <c r="M2381" s="1"/>
      <c r="N2381" s="1"/>
      <c r="O2381" s="1"/>
      <c r="P2381" s="1"/>
      <c r="Q2381" s="1"/>
      <c r="R2381" s="1"/>
      <c r="S2381" s="1"/>
      <c r="T2381" s="1"/>
      <c r="U2381" s="1"/>
      <c r="V2381" s="1"/>
      <c r="W2381" s="1"/>
      <c r="X2381" s="1"/>
      <c r="Y2381" s="1"/>
      <c r="Z2381" s="1"/>
      <c r="AA2381" s="1"/>
      <c r="AB2381" s="1"/>
      <c r="AC2381" s="1"/>
      <c r="AD2381" s="1" t="s">
        <v>98</v>
      </c>
      <c r="AE2381" s="1" t="s">
        <v>98</v>
      </c>
      <c r="AF2381" s="1"/>
      <c r="AG2381" s="1"/>
      <c r="AH2381" s="1"/>
      <c r="AI2381" s="1"/>
      <c r="AJ2381" s="1"/>
      <c r="AK2381" s="1"/>
      <c r="AL2381" s="1"/>
      <c r="AM2381" s="1"/>
      <c r="AN2381" s="1"/>
      <c r="AO2381" s="1"/>
      <c r="AP2381" s="1"/>
      <c r="AQ2381" s="1"/>
      <c r="AR2381" s="1"/>
      <c r="AS2381" s="1"/>
      <c r="AT2381" s="1"/>
      <c r="AU2381" s="1"/>
      <c r="AV2381" s="1"/>
      <c r="AW2381" s="1"/>
      <c r="AX2381" s="1"/>
      <c r="AY2381" s="1"/>
      <c r="AZ2381" s="1"/>
      <c r="BA2381" s="1"/>
      <c r="BB2381" s="1"/>
      <c r="BC2381" s="1"/>
      <c r="BD2381" s="1"/>
      <c r="BE2381" s="1"/>
      <c r="BF2381" s="1"/>
      <c r="BG2381" s="1"/>
      <c r="BH2381" s="1"/>
      <c r="BI2381" s="1"/>
      <c r="BJ2381" s="1"/>
      <c r="BK2381" s="1"/>
      <c r="BL2381" s="1"/>
      <c r="BM2381" s="1"/>
      <c r="BN2381" s="1"/>
      <c r="BO2381" s="1"/>
      <c r="BP2381" s="1"/>
      <c r="BQ2381" s="1"/>
      <c r="BR2381" s="1"/>
      <c r="BS2381" s="1"/>
      <c r="BT2381" s="1"/>
      <c r="BU2381" s="1" t="s">
        <v>9653</v>
      </c>
      <c r="BV2381" s="3"/>
      <c r="BW2381" s="3"/>
    </row>
    <row r="2382" spans="1:75">
      <c r="A2382" s="1" t="s">
        <v>26662</v>
      </c>
      <c r="B2382" s="1" t="s">
        <v>13976</v>
      </c>
      <c r="C2382" s="1" t="s">
        <v>40433</v>
      </c>
      <c r="D2382" s="1"/>
      <c r="E2382" s="1"/>
      <c r="F2382" s="1"/>
      <c r="G2382" s="1"/>
      <c r="H2382" s="1" t="s">
        <v>40434</v>
      </c>
      <c r="I2382" s="1" t="s">
        <v>40434</v>
      </c>
      <c r="J2382" s="1"/>
      <c r="K2382" s="1"/>
      <c r="L2382" s="1"/>
      <c r="M2382" s="1"/>
      <c r="N2382" s="1"/>
      <c r="O2382" s="1"/>
      <c r="P2382" s="1"/>
      <c r="Q2382" s="1"/>
      <c r="R2382" s="1"/>
      <c r="S2382" s="1"/>
      <c r="T2382" s="1"/>
      <c r="U2382" s="1"/>
      <c r="V2382" s="1"/>
      <c r="W2382" s="1"/>
      <c r="X2382" s="1"/>
      <c r="Y2382" s="1"/>
      <c r="Z2382" s="1"/>
      <c r="AA2382" s="1"/>
      <c r="AB2382" s="1"/>
      <c r="AC2382" s="1"/>
      <c r="AD2382" s="1" t="s">
        <v>98</v>
      </c>
      <c r="AE2382" s="1" t="s">
        <v>98</v>
      </c>
      <c r="AF2382" s="1"/>
      <c r="AG2382" s="1"/>
      <c r="AH2382" s="1"/>
      <c r="AI2382" s="1"/>
      <c r="AJ2382" s="1"/>
      <c r="AK2382" s="1"/>
      <c r="AL2382" s="1"/>
      <c r="AM2382" s="1"/>
      <c r="AN2382" s="1"/>
      <c r="AO2382" s="1"/>
      <c r="AP2382" s="1"/>
      <c r="AQ2382" s="1"/>
      <c r="AR2382" s="1"/>
      <c r="AS2382" s="1"/>
      <c r="AT2382" s="1"/>
      <c r="AU2382" s="1"/>
      <c r="AV2382" s="1"/>
      <c r="AW2382" s="1"/>
      <c r="AX2382" s="1"/>
      <c r="AY2382" s="1"/>
      <c r="AZ2382" s="1"/>
      <c r="BA2382" s="1"/>
      <c r="BB2382" s="1"/>
      <c r="BC2382" s="1"/>
      <c r="BD2382" s="1"/>
      <c r="BE2382" s="1"/>
      <c r="BF2382" s="1"/>
      <c r="BG2382" s="1"/>
      <c r="BH2382" s="1"/>
      <c r="BI2382" s="1"/>
      <c r="BJ2382" s="1"/>
      <c r="BK2382" s="1"/>
      <c r="BL2382" s="1"/>
      <c r="BM2382" s="1"/>
      <c r="BN2382" s="1"/>
      <c r="BO2382" s="1"/>
      <c r="BP2382" s="1"/>
      <c r="BQ2382" s="1"/>
      <c r="BR2382" s="1"/>
      <c r="BS2382" s="1"/>
      <c r="BT2382" s="1"/>
      <c r="BU2382" s="1" t="s">
        <v>9653</v>
      </c>
      <c r="BV2382" s="3"/>
      <c r="BW2382" s="3"/>
    </row>
    <row r="2383" spans="1:75">
      <c r="A2383" s="1" t="s">
        <v>26662</v>
      </c>
      <c r="B2383" s="1" t="s">
        <v>13976</v>
      </c>
      <c r="C2383" s="1" t="s">
        <v>40435</v>
      </c>
      <c r="D2383" s="1"/>
      <c r="E2383" s="1"/>
      <c r="F2383" s="1"/>
      <c r="G2383" s="1"/>
      <c r="H2383" s="1" t="s">
        <v>40436</v>
      </c>
      <c r="I2383" s="1" t="s">
        <v>40436</v>
      </c>
      <c r="J2383" s="1"/>
      <c r="K2383" s="1"/>
      <c r="L2383" s="1"/>
      <c r="M2383" s="1"/>
      <c r="N2383" s="1"/>
      <c r="O2383" s="1"/>
      <c r="P2383" s="1"/>
      <c r="Q2383" s="1"/>
      <c r="R2383" s="1"/>
      <c r="S2383" s="1"/>
      <c r="T2383" s="1"/>
      <c r="U2383" s="1"/>
      <c r="V2383" s="1"/>
      <c r="W2383" s="1"/>
      <c r="X2383" s="1"/>
      <c r="Y2383" s="1"/>
      <c r="Z2383" s="1"/>
      <c r="AA2383" s="1"/>
      <c r="AB2383" s="1"/>
      <c r="AC2383" s="1"/>
      <c r="AD2383" s="1" t="s">
        <v>98</v>
      </c>
      <c r="AE2383" s="1" t="s">
        <v>98</v>
      </c>
      <c r="AF2383" s="1"/>
      <c r="AG2383" s="1"/>
      <c r="AH2383" s="1"/>
      <c r="AI2383" s="1"/>
      <c r="AJ2383" s="1"/>
      <c r="AK2383" s="1"/>
      <c r="AL2383" s="1"/>
      <c r="AM2383" s="1"/>
      <c r="AN2383" s="1"/>
      <c r="AO2383" s="1"/>
      <c r="AP2383" s="1"/>
      <c r="AQ2383" s="1"/>
      <c r="AR2383" s="1"/>
      <c r="AS2383" s="1"/>
      <c r="AT2383" s="1"/>
      <c r="AU2383" s="1"/>
      <c r="AV2383" s="1"/>
      <c r="AW2383" s="1"/>
      <c r="AX2383" s="1"/>
      <c r="AY2383" s="1"/>
      <c r="AZ2383" s="1"/>
      <c r="BA2383" s="1"/>
      <c r="BB2383" s="1"/>
      <c r="BC2383" s="1"/>
      <c r="BD2383" s="1"/>
      <c r="BE2383" s="1"/>
      <c r="BF2383" s="1"/>
      <c r="BG2383" s="1"/>
      <c r="BH2383" s="1"/>
      <c r="BI2383" s="1"/>
      <c r="BJ2383" s="1"/>
      <c r="BK2383" s="1"/>
      <c r="BL2383" s="1"/>
      <c r="BM2383" s="1"/>
      <c r="BN2383" s="1"/>
      <c r="BO2383" s="1"/>
      <c r="BP2383" s="1"/>
      <c r="BQ2383" s="1"/>
      <c r="BR2383" s="1"/>
      <c r="BS2383" s="1"/>
      <c r="BT2383" s="1"/>
      <c r="BU2383" s="1" t="s">
        <v>9653</v>
      </c>
      <c r="BV2383" s="3"/>
      <c r="BW2383" s="3"/>
    </row>
    <row r="2384" spans="1:75">
      <c r="A2384" s="1" t="s">
        <v>26662</v>
      </c>
      <c r="B2384" s="1" t="s">
        <v>13976</v>
      </c>
      <c r="C2384" s="1" t="s">
        <v>40437</v>
      </c>
      <c r="D2384" s="1"/>
      <c r="E2384" s="1"/>
      <c r="F2384" s="1"/>
      <c r="G2384" s="1"/>
      <c r="H2384" s="1" t="s">
        <v>40438</v>
      </c>
      <c r="I2384" s="1" t="s">
        <v>40438</v>
      </c>
      <c r="J2384" s="1"/>
      <c r="K2384" s="1"/>
      <c r="L2384" s="1"/>
      <c r="M2384" s="1"/>
      <c r="N2384" s="1"/>
      <c r="O2384" s="1"/>
      <c r="P2384" s="1"/>
      <c r="Q2384" s="1"/>
      <c r="R2384" s="1"/>
      <c r="S2384" s="1"/>
      <c r="T2384" s="1"/>
      <c r="U2384" s="1"/>
      <c r="V2384" s="1"/>
      <c r="W2384" s="1"/>
      <c r="X2384" s="1"/>
      <c r="Y2384" s="1"/>
      <c r="Z2384" s="1"/>
      <c r="AA2384" s="1"/>
      <c r="AB2384" s="1"/>
      <c r="AC2384" s="1"/>
      <c r="AD2384" s="1" t="s">
        <v>98</v>
      </c>
      <c r="AE2384" s="1" t="s">
        <v>98</v>
      </c>
      <c r="AF2384" s="1"/>
      <c r="AG2384" s="1"/>
      <c r="AH2384" s="1"/>
      <c r="AI2384" s="1"/>
      <c r="AJ2384" s="1"/>
      <c r="AK2384" s="1"/>
      <c r="AL2384" s="1"/>
      <c r="AM2384" s="1"/>
      <c r="AN2384" s="1"/>
      <c r="AO2384" s="1"/>
      <c r="AP2384" s="1"/>
      <c r="AQ2384" s="1"/>
      <c r="AR2384" s="1"/>
      <c r="AS2384" s="1"/>
      <c r="AT2384" s="1"/>
      <c r="AU2384" s="1"/>
      <c r="AV2384" s="1"/>
      <c r="AW2384" s="1"/>
      <c r="AX2384" s="1"/>
      <c r="AY2384" s="1"/>
      <c r="AZ2384" s="1"/>
      <c r="BA2384" s="1"/>
      <c r="BB2384" s="1"/>
      <c r="BC2384" s="1"/>
      <c r="BD2384" s="1"/>
      <c r="BE2384" s="1"/>
      <c r="BF2384" s="1"/>
      <c r="BG2384" s="1"/>
      <c r="BH2384" s="1"/>
      <c r="BI2384" s="1"/>
      <c r="BJ2384" s="1"/>
      <c r="BK2384" s="1"/>
      <c r="BL2384" s="1"/>
      <c r="BM2384" s="1"/>
      <c r="BN2384" s="1"/>
      <c r="BO2384" s="1"/>
      <c r="BP2384" s="1"/>
      <c r="BQ2384" s="1"/>
      <c r="BR2384" s="1"/>
      <c r="BS2384" s="1"/>
      <c r="BT2384" s="1"/>
      <c r="BU2384" s="1" t="s">
        <v>9653</v>
      </c>
      <c r="BV2384" s="3"/>
      <c r="BW2384" s="3"/>
    </row>
    <row r="2385" spans="1:75">
      <c r="A2385" s="1" t="s">
        <v>26662</v>
      </c>
      <c r="B2385" s="1" t="s">
        <v>13976</v>
      </c>
      <c r="C2385" s="1" t="s">
        <v>40439</v>
      </c>
      <c r="D2385" s="1"/>
      <c r="E2385" s="1"/>
      <c r="F2385" s="1"/>
      <c r="G2385" s="1"/>
      <c r="H2385" s="1" t="s">
        <v>40440</v>
      </c>
      <c r="I2385" s="1" t="s">
        <v>40440</v>
      </c>
      <c r="J2385" s="1"/>
      <c r="K2385" s="1"/>
      <c r="L2385" s="1"/>
      <c r="M2385" s="1"/>
      <c r="N2385" s="1"/>
      <c r="O2385" s="1"/>
      <c r="P2385" s="1"/>
      <c r="Q2385" s="1"/>
      <c r="R2385" s="1"/>
      <c r="S2385" s="1"/>
      <c r="T2385" s="1"/>
      <c r="U2385" s="1"/>
      <c r="V2385" s="1"/>
      <c r="W2385" s="1"/>
      <c r="X2385" s="1"/>
      <c r="Y2385" s="1"/>
      <c r="Z2385" s="1"/>
      <c r="AA2385" s="1"/>
      <c r="AB2385" s="1"/>
      <c r="AC2385" s="1"/>
      <c r="AD2385" s="1" t="s">
        <v>98</v>
      </c>
      <c r="AE2385" s="1" t="s">
        <v>98</v>
      </c>
      <c r="AF2385" s="1"/>
      <c r="AG2385" s="1"/>
      <c r="AH2385" s="1"/>
      <c r="AI2385" s="1"/>
      <c r="AJ2385" s="1"/>
      <c r="AK2385" s="1"/>
      <c r="AL2385" s="1"/>
      <c r="AM2385" s="1"/>
      <c r="AN2385" s="1"/>
      <c r="AO2385" s="1"/>
      <c r="AP2385" s="1"/>
      <c r="AQ2385" s="1"/>
      <c r="AR2385" s="1"/>
      <c r="AS2385" s="1"/>
      <c r="AT2385" s="1"/>
      <c r="AU2385" s="1"/>
      <c r="AV2385" s="1"/>
      <c r="AW2385" s="1"/>
      <c r="AX2385" s="1"/>
      <c r="AY2385" s="1"/>
      <c r="AZ2385" s="1"/>
      <c r="BA2385" s="1"/>
      <c r="BB2385" s="1"/>
      <c r="BC2385" s="1"/>
      <c r="BD2385" s="1"/>
      <c r="BE2385" s="1"/>
      <c r="BF2385" s="1"/>
      <c r="BG2385" s="1"/>
      <c r="BH2385" s="1"/>
      <c r="BI2385" s="1"/>
      <c r="BJ2385" s="1"/>
      <c r="BK2385" s="1"/>
      <c r="BL2385" s="1"/>
      <c r="BM2385" s="1"/>
      <c r="BN2385" s="1"/>
      <c r="BO2385" s="1"/>
      <c r="BP2385" s="1"/>
      <c r="BQ2385" s="1"/>
      <c r="BR2385" s="1"/>
      <c r="BS2385" s="1"/>
      <c r="BT2385" s="1"/>
      <c r="BU2385" s="1" t="s">
        <v>9653</v>
      </c>
      <c r="BV2385" s="3"/>
      <c r="BW2385" s="3"/>
    </row>
    <row r="2386" spans="1:75">
      <c r="A2386" s="1" t="s">
        <v>26662</v>
      </c>
      <c r="B2386" s="1" t="s">
        <v>13976</v>
      </c>
      <c r="C2386" s="1" t="s">
        <v>40441</v>
      </c>
      <c r="D2386" s="1"/>
      <c r="E2386" s="1"/>
      <c r="F2386" s="1"/>
      <c r="G2386" s="1"/>
      <c r="H2386" s="1" t="s">
        <v>40442</v>
      </c>
      <c r="I2386" s="1" t="s">
        <v>40442</v>
      </c>
      <c r="J2386" s="1"/>
      <c r="K2386" s="1"/>
      <c r="L2386" s="1"/>
      <c r="M2386" s="1"/>
      <c r="N2386" s="1"/>
      <c r="O2386" s="1"/>
      <c r="P2386" s="1"/>
      <c r="Q2386" s="1"/>
      <c r="R2386" s="1"/>
      <c r="S2386" s="1"/>
      <c r="T2386" s="1"/>
      <c r="U2386" s="1"/>
      <c r="V2386" s="1"/>
      <c r="W2386" s="1"/>
      <c r="X2386" s="1"/>
      <c r="Y2386" s="1"/>
      <c r="Z2386" s="1"/>
      <c r="AA2386" s="1"/>
      <c r="AB2386" s="1"/>
      <c r="AC2386" s="1"/>
      <c r="AD2386" s="1" t="s">
        <v>98</v>
      </c>
      <c r="AE2386" s="1" t="s">
        <v>98</v>
      </c>
      <c r="AF2386" s="1"/>
      <c r="AG2386" s="1"/>
      <c r="AH2386" s="1"/>
      <c r="AI2386" s="1"/>
      <c r="AJ2386" s="1"/>
      <c r="AK2386" s="1"/>
      <c r="AL2386" s="1"/>
      <c r="AM2386" s="1"/>
      <c r="AN2386" s="1"/>
      <c r="AO2386" s="1"/>
      <c r="AP2386" s="1"/>
      <c r="AQ2386" s="1"/>
      <c r="AR2386" s="1"/>
      <c r="AS2386" s="1"/>
      <c r="AT2386" s="1"/>
      <c r="AU2386" s="1"/>
      <c r="AV2386" s="1"/>
      <c r="AW2386" s="1"/>
      <c r="AX2386" s="1"/>
      <c r="AY2386" s="1"/>
      <c r="AZ2386" s="1"/>
      <c r="BA2386" s="1"/>
      <c r="BB2386" s="1"/>
      <c r="BC2386" s="1"/>
      <c r="BD2386" s="1"/>
      <c r="BE2386" s="1"/>
      <c r="BF2386" s="1"/>
      <c r="BG2386" s="1"/>
      <c r="BH2386" s="1"/>
      <c r="BI2386" s="1"/>
      <c r="BJ2386" s="1"/>
      <c r="BK2386" s="1"/>
      <c r="BL2386" s="1"/>
      <c r="BM2386" s="1"/>
      <c r="BN2386" s="1"/>
      <c r="BO2386" s="1"/>
      <c r="BP2386" s="1"/>
      <c r="BQ2386" s="1"/>
      <c r="BR2386" s="1"/>
      <c r="BS2386" s="1"/>
      <c r="BT2386" s="1"/>
      <c r="BU2386" s="1" t="s">
        <v>9653</v>
      </c>
      <c r="BV2386" s="3"/>
      <c r="BW2386" s="3"/>
    </row>
    <row r="2387" spans="1:75">
      <c r="A2387" s="1" t="s">
        <v>26662</v>
      </c>
      <c r="B2387" s="1" t="s">
        <v>13976</v>
      </c>
      <c r="C2387" s="1" t="s">
        <v>40443</v>
      </c>
      <c r="D2387" s="1"/>
      <c r="E2387" s="1"/>
      <c r="F2387" s="1"/>
      <c r="G2387" s="1"/>
      <c r="H2387" s="1" t="s">
        <v>40444</v>
      </c>
      <c r="I2387" s="1" t="s">
        <v>40444</v>
      </c>
      <c r="J2387" s="1"/>
      <c r="K2387" s="1"/>
      <c r="L2387" s="1"/>
      <c r="M2387" s="1"/>
      <c r="N2387" s="1"/>
      <c r="O2387" s="1"/>
      <c r="P2387" s="1"/>
      <c r="Q2387" s="1"/>
      <c r="R2387" s="1"/>
      <c r="S2387" s="1"/>
      <c r="T2387" s="1"/>
      <c r="U2387" s="1"/>
      <c r="V2387" s="1"/>
      <c r="W2387" s="1"/>
      <c r="X2387" s="1"/>
      <c r="Y2387" s="1"/>
      <c r="Z2387" s="1"/>
      <c r="AA2387" s="1"/>
      <c r="AB2387" s="1"/>
      <c r="AC2387" s="1"/>
      <c r="AD2387" s="1" t="s">
        <v>98</v>
      </c>
      <c r="AE2387" s="1" t="s">
        <v>98</v>
      </c>
      <c r="AF2387" s="1"/>
      <c r="AG2387" s="1"/>
      <c r="AH2387" s="1"/>
      <c r="AI2387" s="1"/>
      <c r="AJ2387" s="1"/>
      <c r="AK2387" s="1"/>
      <c r="AL2387" s="1"/>
      <c r="AM2387" s="1"/>
      <c r="AN2387" s="1"/>
      <c r="AO2387" s="1"/>
      <c r="AP2387" s="1"/>
      <c r="AQ2387" s="1"/>
      <c r="AR2387" s="1"/>
      <c r="AS2387" s="1"/>
      <c r="AT2387" s="1"/>
      <c r="AU2387" s="1"/>
      <c r="AV2387" s="1"/>
      <c r="AW2387" s="1"/>
      <c r="AX2387" s="1"/>
      <c r="AY2387" s="1"/>
      <c r="AZ2387" s="1"/>
      <c r="BA2387" s="1"/>
      <c r="BB2387" s="1"/>
      <c r="BC2387" s="1"/>
      <c r="BD2387" s="1"/>
      <c r="BE2387" s="1"/>
      <c r="BF2387" s="1"/>
      <c r="BG2387" s="1"/>
      <c r="BH2387" s="1"/>
      <c r="BI2387" s="1"/>
      <c r="BJ2387" s="1"/>
      <c r="BK2387" s="1"/>
      <c r="BL2387" s="1"/>
      <c r="BM2387" s="1"/>
      <c r="BN2387" s="1"/>
      <c r="BO2387" s="1"/>
      <c r="BP2387" s="1"/>
      <c r="BQ2387" s="1"/>
      <c r="BR2387" s="1"/>
      <c r="BS2387" s="1"/>
      <c r="BT2387" s="1"/>
      <c r="BU2387" s="1" t="s">
        <v>9653</v>
      </c>
      <c r="BV2387" s="3"/>
      <c r="BW2387" s="3"/>
    </row>
    <row r="2388" spans="1:75">
      <c r="A2388" s="1" t="s">
        <v>26662</v>
      </c>
      <c r="B2388" s="1" t="s">
        <v>13976</v>
      </c>
      <c r="C2388" s="1" t="s">
        <v>40445</v>
      </c>
      <c r="D2388" s="1"/>
      <c r="E2388" s="1"/>
      <c r="F2388" s="1"/>
      <c r="G2388" s="1"/>
      <c r="H2388" s="1" t="s">
        <v>40446</v>
      </c>
      <c r="I2388" s="1" t="s">
        <v>40446</v>
      </c>
      <c r="J2388" s="1"/>
      <c r="K2388" s="1"/>
      <c r="L2388" s="1"/>
      <c r="M2388" s="1"/>
      <c r="N2388" s="1"/>
      <c r="O2388" s="1"/>
      <c r="P2388" s="1"/>
      <c r="Q2388" s="1"/>
      <c r="R2388" s="1"/>
      <c r="S2388" s="1"/>
      <c r="T2388" s="1"/>
      <c r="U2388" s="1"/>
      <c r="V2388" s="1"/>
      <c r="W2388" s="1"/>
      <c r="X2388" s="1"/>
      <c r="Y2388" s="1"/>
      <c r="Z2388" s="1"/>
      <c r="AA2388" s="1"/>
      <c r="AB2388" s="1"/>
      <c r="AC2388" s="1"/>
      <c r="AD2388" s="1" t="s">
        <v>98</v>
      </c>
      <c r="AE2388" s="1" t="s">
        <v>98</v>
      </c>
      <c r="AF2388" s="1"/>
      <c r="AG2388" s="1"/>
      <c r="AH2388" s="1"/>
      <c r="AI2388" s="1"/>
      <c r="AJ2388" s="1"/>
      <c r="AK2388" s="1"/>
      <c r="AL2388" s="1"/>
      <c r="AM2388" s="1"/>
      <c r="AN2388" s="1"/>
      <c r="AO2388" s="1"/>
      <c r="AP2388" s="1"/>
      <c r="AQ2388" s="1"/>
      <c r="AR2388" s="1"/>
      <c r="AS2388" s="1"/>
      <c r="AT2388" s="1"/>
      <c r="AU2388" s="1"/>
      <c r="AV2388" s="1"/>
      <c r="AW2388" s="1"/>
      <c r="AX2388" s="1"/>
      <c r="AY2388" s="1"/>
      <c r="AZ2388" s="1"/>
      <c r="BA2388" s="1"/>
      <c r="BB2388" s="1"/>
      <c r="BC2388" s="1"/>
      <c r="BD2388" s="1"/>
      <c r="BE2388" s="1"/>
      <c r="BF2388" s="1"/>
      <c r="BG2388" s="1"/>
      <c r="BH2388" s="1"/>
      <c r="BI2388" s="1"/>
      <c r="BJ2388" s="1"/>
      <c r="BK2388" s="1"/>
      <c r="BL2388" s="1"/>
      <c r="BM2388" s="1"/>
      <c r="BN2388" s="1"/>
      <c r="BO2388" s="1"/>
      <c r="BP2388" s="1"/>
      <c r="BQ2388" s="1"/>
      <c r="BR2388" s="1"/>
      <c r="BS2388" s="1"/>
      <c r="BT2388" s="1"/>
      <c r="BU2388" s="1" t="s">
        <v>9653</v>
      </c>
      <c r="BV2388" s="3"/>
      <c r="BW2388" s="3"/>
    </row>
    <row r="2389" spans="1:75">
      <c r="A2389" s="1" t="s">
        <v>26662</v>
      </c>
      <c r="B2389" s="1" t="s">
        <v>13976</v>
      </c>
      <c r="C2389" s="1" t="s">
        <v>40447</v>
      </c>
      <c r="D2389" s="1"/>
      <c r="E2389" s="1"/>
      <c r="F2389" s="1"/>
      <c r="G2389" s="1"/>
      <c r="H2389" s="1" t="s">
        <v>40448</v>
      </c>
      <c r="I2389" s="1" t="s">
        <v>40448</v>
      </c>
      <c r="J2389" s="1"/>
      <c r="K2389" s="1"/>
      <c r="L2389" s="1"/>
      <c r="M2389" s="1"/>
      <c r="N2389" s="1"/>
      <c r="O2389" s="1"/>
      <c r="P2389" s="1"/>
      <c r="Q2389" s="1"/>
      <c r="R2389" s="1"/>
      <c r="S2389" s="1"/>
      <c r="T2389" s="1"/>
      <c r="U2389" s="1"/>
      <c r="V2389" s="1"/>
      <c r="W2389" s="1"/>
      <c r="X2389" s="1"/>
      <c r="Y2389" s="1"/>
      <c r="Z2389" s="1"/>
      <c r="AA2389" s="1"/>
      <c r="AB2389" s="1"/>
      <c r="AC2389" s="1"/>
      <c r="AD2389" s="1" t="s">
        <v>98</v>
      </c>
      <c r="AE2389" s="1" t="s">
        <v>98</v>
      </c>
      <c r="AF2389" s="1"/>
      <c r="AG2389" s="1"/>
      <c r="AH2389" s="1"/>
      <c r="AI2389" s="1"/>
      <c r="AJ2389" s="1"/>
      <c r="AK2389" s="1"/>
      <c r="AL2389" s="1"/>
      <c r="AM2389" s="1"/>
      <c r="AN2389" s="1"/>
      <c r="AO2389" s="1"/>
      <c r="AP2389" s="1"/>
      <c r="AQ2389" s="1"/>
      <c r="AR2389" s="1"/>
      <c r="AS2389" s="1"/>
      <c r="AT2389" s="1"/>
      <c r="AU2389" s="1"/>
      <c r="AV2389" s="1"/>
      <c r="AW2389" s="1"/>
      <c r="AX2389" s="1"/>
      <c r="AY2389" s="1"/>
      <c r="AZ2389" s="1"/>
      <c r="BA2389" s="1"/>
      <c r="BB2389" s="1"/>
      <c r="BC2389" s="1"/>
      <c r="BD2389" s="1"/>
      <c r="BE2389" s="1"/>
      <c r="BF2389" s="1"/>
      <c r="BG2389" s="1"/>
      <c r="BH2389" s="1"/>
      <c r="BI2389" s="1"/>
      <c r="BJ2389" s="1"/>
      <c r="BK2389" s="1"/>
      <c r="BL2389" s="1"/>
      <c r="BM2389" s="1"/>
      <c r="BN2389" s="1"/>
      <c r="BO2389" s="1"/>
      <c r="BP2389" s="1"/>
      <c r="BQ2389" s="1"/>
      <c r="BR2389" s="1"/>
      <c r="BS2389" s="1"/>
      <c r="BT2389" s="1"/>
      <c r="BU2389" s="1" t="s">
        <v>9653</v>
      </c>
      <c r="BV2389" s="3"/>
      <c r="BW2389" s="3"/>
    </row>
    <row r="2390" spans="1:75">
      <c r="A2390" s="1" t="s">
        <v>26662</v>
      </c>
      <c r="B2390" s="1" t="s">
        <v>13976</v>
      </c>
      <c r="C2390" s="1" t="s">
        <v>40449</v>
      </c>
      <c r="D2390" s="1"/>
      <c r="E2390" s="1"/>
      <c r="F2390" s="1"/>
      <c r="G2390" s="1"/>
      <c r="H2390" s="1" t="s">
        <v>40450</v>
      </c>
      <c r="I2390" s="1" t="s">
        <v>40450</v>
      </c>
      <c r="J2390" s="1"/>
      <c r="K2390" s="1"/>
      <c r="L2390" s="1"/>
      <c r="M2390" s="1"/>
      <c r="N2390" s="1"/>
      <c r="O2390" s="1"/>
      <c r="P2390" s="1"/>
      <c r="Q2390" s="1"/>
      <c r="R2390" s="1"/>
      <c r="S2390" s="1"/>
      <c r="T2390" s="1"/>
      <c r="U2390" s="1"/>
      <c r="V2390" s="1"/>
      <c r="W2390" s="1"/>
      <c r="X2390" s="1"/>
      <c r="Y2390" s="1"/>
      <c r="Z2390" s="1"/>
      <c r="AA2390" s="1"/>
      <c r="AB2390" s="1"/>
      <c r="AC2390" s="1"/>
      <c r="AD2390" s="1" t="s">
        <v>98</v>
      </c>
      <c r="AE2390" s="1" t="s">
        <v>98</v>
      </c>
      <c r="AF2390" s="1"/>
      <c r="AG2390" s="1"/>
      <c r="AH2390" s="1"/>
      <c r="AI2390" s="1"/>
      <c r="AJ2390" s="1"/>
      <c r="AK2390" s="1"/>
      <c r="AL2390" s="1"/>
      <c r="AM2390" s="1"/>
      <c r="AN2390" s="1"/>
      <c r="AO2390" s="1"/>
      <c r="AP2390" s="1"/>
      <c r="AQ2390" s="1"/>
      <c r="AR2390" s="1"/>
      <c r="AS2390" s="1"/>
      <c r="AT2390" s="1"/>
      <c r="AU2390" s="1"/>
      <c r="AV2390" s="1"/>
      <c r="AW2390" s="1"/>
      <c r="AX2390" s="1"/>
      <c r="AY2390" s="1"/>
      <c r="AZ2390" s="1"/>
      <c r="BA2390" s="1"/>
      <c r="BB2390" s="1"/>
      <c r="BC2390" s="1"/>
      <c r="BD2390" s="1"/>
      <c r="BE2390" s="1"/>
      <c r="BF2390" s="1"/>
      <c r="BG2390" s="1"/>
      <c r="BH2390" s="1"/>
      <c r="BI2390" s="1"/>
      <c r="BJ2390" s="1"/>
      <c r="BK2390" s="1"/>
      <c r="BL2390" s="1"/>
      <c r="BM2390" s="1"/>
      <c r="BN2390" s="1"/>
      <c r="BO2390" s="1"/>
      <c r="BP2390" s="1"/>
      <c r="BQ2390" s="1"/>
      <c r="BR2390" s="1"/>
      <c r="BS2390" s="1"/>
      <c r="BT2390" s="1"/>
      <c r="BU2390" s="1" t="s">
        <v>9653</v>
      </c>
      <c r="BV2390" s="3"/>
      <c r="BW2390" s="3"/>
    </row>
    <row r="2391" spans="1:75">
      <c r="A2391" s="1" t="s">
        <v>26662</v>
      </c>
      <c r="B2391" s="1" t="s">
        <v>13976</v>
      </c>
      <c r="C2391" s="1" t="s">
        <v>40451</v>
      </c>
      <c r="D2391" s="1"/>
      <c r="E2391" s="1"/>
      <c r="F2391" s="1"/>
      <c r="G2391" s="1"/>
      <c r="H2391" s="1" t="s">
        <v>40452</v>
      </c>
      <c r="I2391" s="1" t="s">
        <v>40452</v>
      </c>
      <c r="J2391" s="1"/>
      <c r="K2391" s="1"/>
      <c r="L2391" s="1"/>
      <c r="M2391" s="1"/>
      <c r="N2391" s="1"/>
      <c r="O2391" s="1"/>
      <c r="P2391" s="1"/>
      <c r="Q2391" s="1"/>
      <c r="R2391" s="1"/>
      <c r="S2391" s="1"/>
      <c r="T2391" s="1"/>
      <c r="U2391" s="1"/>
      <c r="V2391" s="1"/>
      <c r="W2391" s="1"/>
      <c r="X2391" s="1"/>
      <c r="Y2391" s="1"/>
      <c r="Z2391" s="1"/>
      <c r="AA2391" s="1"/>
      <c r="AB2391" s="1"/>
      <c r="AC2391" s="1"/>
      <c r="AD2391" s="1" t="s">
        <v>98</v>
      </c>
      <c r="AE2391" s="1" t="s">
        <v>98</v>
      </c>
      <c r="AF2391" s="1"/>
      <c r="AG2391" s="1"/>
      <c r="AH2391" s="1"/>
      <c r="AI2391" s="1"/>
      <c r="AJ2391" s="1"/>
      <c r="AK2391" s="1"/>
      <c r="AL2391" s="1"/>
      <c r="AM2391" s="1"/>
      <c r="AN2391" s="1"/>
      <c r="AO2391" s="1"/>
      <c r="AP2391" s="1"/>
      <c r="AQ2391" s="1"/>
      <c r="AR2391" s="1"/>
      <c r="AS2391" s="1"/>
      <c r="AT2391" s="1"/>
      <c r="AU2391" s="1"/>
      <c r="AV2391" s="1"/>
      <c r="AW2391" s="1"/>
      <c r="AX2391" s="1"/>
      <c r="AY2391" s="1"/>
      <c r="AZ2391" s="1"/>
      <c r="BA2391" s="1"/>
      <c r="BB2391" s="1"/>
      <c r="BC2391" s="1"/>
      <c r="BD2391" s="1"/>
      <c r="BE2391" s="1"/>
      <c r="BF2391" s="1"/>
      <c r="BG2391" s="1"/>
      <c r="BH2391" s="1"/>
      <c r="BI2391" s="1"/>
      <c r="BJ2391" s="1"/>
      <c r="BK2391" s="1"/>
      <c r="BL2391" s="1"/>
      <c r="BM2391" s="1"/>
      <c r="BN2391" s="1"/>
      <c r="BO2391" s="1"/>
      <c r="BP2391" s="1"/>
      <c r="BQ2391" s="1"/>
      <c r="BR2391" s="1"/>
      <c r="BS2391" s="1"/>
      <c r="BT2391" s="1"/>
      <c r="BU2391" s="1" t="s">
        <v>9653</v>
      </c>
      <c r="BV2391" s="3"/>
      <c r="BW2391" s="3"/>
    </row>
    <row r="2392" spans="1:75">
      <c r="A2392" s="1" t="s">
        <v>26662</v>
      </c>
      <c r="B2392" s="1" t="s">
        <v>13976</v>
      </c>
      <c r="C2392" s="1" t="s">
        <v>40453</v>
      </c>
      <c r="D2392" s="1"/>
      <c r="E2392" s="1"/>
      <c r="F2392" s="1"/>
      <c r="G2392" s="1"/>
      <c r="H2392" s="1" t="s">
        <v>40454</v>
      </c>
      <c r="I2392" s="1" t="s">
        <v>40454</v>
      </c>
      <c r="J2392" s="1"/>
      <c r="K2392" s="1"/>
      <c r="L2392" s="1"/>
      <c r="M2392" s="1"/>
      <c r="N2392" s="1"/>
      <c r="O2392" s="1"/>
      <c r="P2392" s="1"/>
      <c r="Q2392" s="1"/>
      <c r="R2392" s="1"/>
      <c r="S2392" s="1"/>
      <c r="T2392" s="1"/>
      <c r="U2392" s="1"/>
      <c r="V2392" s="1"/>
      <c r="W2392" s="1"/>
      <c r="X2392" s="1"/>
      <c r="Y2392" s="1"/>
      <c r="Z2392" s="1"/>
      <c r="AA2392" s="1"/>
      <c r="AB2392" s="1"/>
      <c r="AC2392" s="1"/>
      <c r="AD2392" s="1" t="s">
        <v>98</v>
      </c>
      <c r="AE2392" s="1" t="s">
        <v>98</v>
      </c>
      <c r="AF2392" s="1"/>
      <c r="AG2392" s="1"/>
      <c r="AH2392" s="1"/>
      <c r="AI2392" s="1"/>
      <c r="AJ2392" s="1"/>
      <c r="AK2392" s="1"/>
      <c r="AL2392" s="1"/>
      <c r="AM2392" s="1"/>
      <c r="AN2392" s="1"/>
      <c r="AO2392" s="1"/>
      <c r="AP2392" s="1"/>
      <c r="AQ2392" s="1"/>
      <c r="AR2392" s="1"/>
      <c r="AS2392" s="1"/>
      <c r="AT2392" s="1"/>
      <c r="AU2392" s="1"/>
      <c r="AV2392" s="1"/>
      <c r="AW2392" s="1"/>
      <c r="AX2392" s="1"/>
      <c r="AY2392" s="1"/>
      <c r="AZ2392" s="1"/>
      <c r="BA2392" s="1"/>
      <c r="BB2392" s="1"/>
      <c r="BC2392" s="1"/>
      <c r="BD2392" s="1"/>
      <c r="BE2392" s="1"/>
      <c r="BF2392" s="1"/>
      <c r="BG2392" s="1"/>
      <c r="BH2392" s="1"/>
      <c r="BI2392" s="1"/>
      <c r="BJ2392" s="1"/>
      <c r="BK2392" s="1"/>
      <c r="BL2392" s="1"/>
      <c r="BM2392" s="1"/>
      <c r="BN2392" s="1"/>
      <c r="BO2392" s="1"/>
      <c r="BP2392" s="1"/>
      <c r="BQ2392" s="1"/>
      <c r="BR2392" s="1"/>
      <c r="BS2392" s="1"/>
      <c r="BT2392" s="1"/>
      <c r="BU2392" s="1" t="s">
        <v>9653</v>
      </c>
      <c r="BV2392" s="3"/>
      <c r="BW2392" s="3"/>
    </row>
    <row r="2393" spans="1:75">
      <c r="A2393" s="1" t="s">
        <v>26662</v>
      </c>
      <c r="B2393" s="1" t="s">
        <v>13976</v>
      </c>
      <c r="C2393" s="1" t="s">
        <v>40455</v>
      </c>
      <c r="D2393" s="1"/>
      <c r="E2393" s="1"/>
      <c r="F2393" s="1"/>
      <c r="G2393" s="1"/>
      <c r="H2393" s="1" t="s">
        <v>40456</v>
      </c>
      <c r="I2393" s="1" t="s">
        <v>40456</v>
      </c>
      <c r="J2393" s="1"/>
      <c r="K2393" s="1"/>
      <c r="L2393" s="1"/>
      <c r="M2393" s="1"/>
      <c r="N2393" s="1"/>
      <c r="O2393" s="1"/>
      <c r="P2393" s="1"/>
      <c r="Q2393" s="1"/>
      <c r="R2393" s="1"/>
      <c r="S2393" s="1"/>
      <c r="T2393" s="1"/>
      <c r="U2393" s="1"/>
      <c r="V2393" s="1"/>
      <c r="W2393" s="1"/>
      <c r="X2393" s="1"/>
      <c r="Y2393" s="1"/>
      <c r="Z2393" s="1"/>
      <c r="AA2393" s="1"/>
      <c r="AB2393" s="1"/>
      <c r="AC2393" s="1"/>
      <c r="AD2393" s="1" t="s">
        <v>98</v>
      </c>
      <c r="AE2393" s="1" t="s">
        <v>98</v>
      </c>
      <c r="AF2393" s="1"/>
      <c r="AG2393" s="1"/>
      <c r="AH2393" s="1"/>
      <c r="AI2393" s="1"/>
      <c r="AJ2393" s="1"/>
      <c r="AK2393" s="1"/>
      <c r="AL2393" s="1"/>
      <c r="AM2393" s="1"/>
      <c r="AN2393" s="1"/>
      <c r="AO2393" s="1"/>
      <c r="AP2393" s="1"/>
      <c r="AQ2393" s="1"/>
      <c r="AR2393" s="1"/>
      <c r="AS2393" s="1"/>
      <c r="AT2393" s="1"/>
      <c r="AU2393" s="1"/>
      <c r="AV2393" s="1"/>
      <c r="AW2393" s="1"/>
      <c r="AX2393" s="1"/>
      <c r="AY2393" s="1"/>
      <c r="AZ2393" s="1"/>
      <c r="BA2393" s="1"/>
      <c r="BB2393" s="1"/>
      <c r="BC2393" s="1"/>
      <c r="BD2393" s="1"/>
      <c r="BE2393" s="1"/>
      <c r="BF2393" s="1"/>
      <c r="BG2393" s="1"/>
      <c r="BH2393" s="1"/>
      <c r="BI2393" s="1"/>
      <c r="BJ2393" s="1"/>
      <c r="BK2393" s="1"/>
      <c r="BL2393" s="1"/>
      <c r="BM2393" s="1"/>
      <c r="BN2393" s="1"/>
      <c r="BO2393" s="1"/>
      <c r="BP2393" s="1"/>
      <c r="BQ2393" s="1"/>
      <c r="BR2393" s="1"/>
      <c r="BS2393" s="1"/>
      <c r="BT2393" s="1"/>
      <c r="BU2393" s="1" t="s">
        <v>9653</v>
      </c>
      <c r="BV2393" s="3"/>
      <c r="BW2393" s="3"/>
    </row>
    <row r="2394" spans="1:75">
      <c r="A2394" s="1" t="s">
        <v>26662</v>
      </c>
      <c r="B2394" s="1" t="s">
        <v>13976</v>
      </c>
      <c r="C2394" s="1" t="s">
        <v>40457</v>
      </c>
      <c r="D2394" s="1"/>
      <c r="E2394" s="1"/>
      <c r="F2394" s="1"/>
      <c r="G2394" s="1"/>
      <c r="H2394" s="1" t="s">
        <v>40458</v>
      </c>
      <c r="I2394" s="1" t="s">
        <v>40458</v>
      </c>
      <c r="J2394" s="1"/>
      <c r="K2394" s="1"/>
      <c r="L2394" s="1"/>
      <c r="M2394" s="1"/>
      <c r="N2394" s="1"/>
      <c r="O2394" s="1"/>
      <c r="P2394" s="1"/>
      <c r="Q2394" s="1"/>
      <c r="R2394" s="1"/>
      <c r="S2394" s="1"/>
      <c r="T2394" s="1"/>
      <c r="U2394" s="1"/>
      <c r="V2394" s="1"/>
      <c r="W2394" s="1"/>
      <c r="X2394" s="1"/>
      <c r="Y2394" s="1"/>
      <c r="Z2394" s="1"/>
      <c r="AA2394" s="1"/>
      <c r="AB2394" s="1"/>
      <c r="AC2394" s="1"/>
      <c r="AD2394" s="1" t="s">
        <v>98</v>
      </c>
      <c r="AE2394" s="1" t="s">
        <v>98</v>
      </c>
      <c r="AF2394" s="1"/>
      <c r="AG2394" s="1"/>
      <c r="AH2394" s="1"/>
      <c r="AI2394" s="1"/>
      <c r="AJ2394" s="1"/>
      <c r="AK2394" s="1"/>
      <c r="AL2394" s="1"/>
      <c r="AM2394" s="1"/>
      <c r="AN2394" s="1"/>
      <c r="AO2394" s="1"/>
      <c r="AP2394" s="1"/>
      <c r="AQ2394" s="1"/>
      <c r="AR2394" s="1"/>
      <c r="AS2394" s="1"/>
      <c r="AT2394" s="1"/>
      <c r="AU2394" s="1"/>
      <c r="AV2394" s="1"/>
      <c r="AW2394" s="1"/>
      <c r="AX2394" s="1"/>
      <c r="AY2394" s="1"/>
      <c r="AZ2394" s="1"/>
      <c r="BA2394" s="1"/>
      <c r="BB2394" s="1"/>
      <c r="BC2394" s="1"/>
      <c r="BD2394" s="1"/>
      <c r="BE2394" s="1"/>
      <c r="BF2394" s="1"/>
      <c r="BG2394" s="1"/>
      <c r="BH2394" s="1"/>
      <c r="BI2394" s="1"/>
      <c r="BJ2394" s="1"/>
      <c r="BK2394" s="1"/>
      <c r="BL2394" s="1"/>
      <c r="BM2394" s="1"/>
      <c r="BN2394" s="1"/>
      <c r="BO2394" s="1"/>
      <c r="BP2394" s="1"/>
      <c r="BQ2394" s="1"/>
      <c r="BR2394" s="1"/>
      <c r="BS2394" s="1"/>
      <c r="BT2394" s="1"/>
      <c r="BU2394" s="1" t="s">
        <v>9653</v>
      </c>
      <c r="BV2394" s="3"/>
      <c r="BW2394" s="3"/>
    </row>
    <row r="2395" spans="1:75">
      <c r="A2395" s="1" t="s">
        <v>26662</v>
      </c>
      <c r="B2395" s="1" t="s">
        <v>13976</v>
      </c>
      <c r="C2395" s="1" t="s">
        <v>40459</v>
      </c>
      <c r="D2395" s="1"/>
      <c r="E2395" s="1"/>
      <c r="F2395" s="1"/>
      <c r="G2395" s="1"/>
      <c r="H2395" s="1" t="s">
        <v>40460</v>
      </c>
      <c r="I2395" s="1" t="s">
        <v>40460</v>
      </c>
      <c r="J2395" s="1"/>
      <c r="K2395" s="1"/>
      <c r="L2395" s="1"/>
      <c r="M2395" s="1"/>
      <c r="N2395" s="1"/>
      <c r="O2395" s="1"/>
      <c r="P2395" s="1"/>
      <c r="Q2395" s="1"/>
      <c r="R2395" s="1"/>
      <c r="S2395" s="1"/>
      <c r="T2395" s="1"/>
      <c r="U2395" s="1"/>
      <c r="V2395" s="1"/>
      <c r="W2395" s="1"/>
      <c r="X2395" s="1"/>
      <c r="Y2395" s="1"/>
      <c r="Z2395" s="1"/>
      <c r="AA2395" s="1"/>
      <c r="AB2395" s="1"/>
      <c r="AC2395" s="1"/>
      <c r="AD2395" s="1" t="s">
        <v>98</v>
      </c>
      <c r="AE2395" s="1" t="s">
        <v>98</v>
      </c>
      <c r="AF2395" s="1"/>
      <c r="AG2395" s="1"/>
      <c r="AH2395" s="1"/>
      <c r="AI2395" s="1"/>
      <c r="AJ2395" s="1"/>
      <c r="AK2395" s="1"/>
      <c r="AL2395" s="1"/>
      <c r="AM2395" s="1"/>
      <c r="AN2395" s="1"/>
      <c r="AO2395" s="1"/>
      <c r="AP2395" s="1"/>
      <c r="AQ2395" s="1"/>
      <c r="AR2395" s="1"/>
      <c r="AS2395" s="1"/>
      <c r="AT2395" s="1"/>
      <c r="AU2395" s="1"/>
      <c r="AV2395" s="1"/>
      <c r="AW2395" s="1"/>
      <c r="AX2395" s="1"/>
      <c r="AY2395" s="1"/>
      <c r="AZ2395" s="1"/>
      <c r="BA2395" s="1"/>
      <c r="BB2395" s="1"/>
      <c r="BC2395" s="1"/>
      <c r="BD2395" s="1"/>
      <c r="BE2395" s="1"/>
      <c r="BF2395" s="1"/>
      <c r="BG2395" s="1"/>
      <c r="BH2395" s="1"/>
      <c r="BI2395" s="1"/>
      <c r="BJ2395" s="1"/>
      <c r="BK2395" s="1"/>
      <c r="BL2395" s="1"/>
      <c r="BM2395" s="1"/>
      <c r="BN2395" s="1"/>
      <c r="BO2395" s="1"/>
      <c r="BP2395" s="1"/>
      <c r="BQ2395" s="1"/>
      <c r="BR2395" s="1"/>
      <c r="BS2395" s="1"/>
      <c r="BT2395" s="1"/>
      <c r="BU2395" s="1" t="s">
        <v>9653</v>
      </c>
      <c r="BV2395" s="3"/>
      <c r="BW2395" s="3"/>
    </row>
    <row r="2396" spans="1:75">
      <c r="A2396" s="1" t="s">
        <v>26662</v>
      </c>
      <c r="B2396" s="1" t="s">
        <v>13976</v>
      </c>
      <c r="C2396" s="1" t="s">
        <v>40461</v>
      </c>
      <c r="D2396" s="1"/>
      <c r="E2396" s="1"/>
      <c r="F2396" s="1"/>
      <c r="G2396" s="1"/>
      <c r="H2396" s="1" t="s">
        <v>40462</v>
      </c>
      <c r="I2396" s="1" t="s">
        <v>40462</v>
      </c>
      <c r="J2396" s="1"/>
      <c r="K2396" s="1"/>
      <c r="L2396" s="1"/>
      <c r="M2396" s="1"/>
      <c r="N2396" s="1"/>
      <c r="O2396" s="1"/>
      <c r="P2396" s="1"/>
      <c r="Q2396" s="1"/>
      <c r="R2396" s="1"/>
      <c r="S2396" s="1"/>
      <c r="T2396" s="1"/>
      <c r="U2396" s="1"/>
      <c r="V2396" s="1"/>
      <c r="W2396" s="1"/>
      <c r="X2396" s="1"/>
      <c r="Y2396" s="1"/>
      <c r="Z2396" s="1"/>
      <c r="AA2396" s="1"/>
      <c r="AB2396" s="1"/>
      <c r="AC2396" s="1"/>
      <c r="AD2396" s="1" t="s">
        <v>98</v>
      </c>
      <c r="AE2396" s="1" t="s">
        <v>98</v>
      </c>
      <c r="AF2396" s="1"/>
      <c r="AG2396" s="1"/>
      <c r="AH2396" s="1"/>
      <c r="AI2396" s="1"/>
      <c r="AJ2396" s="1"/>
      <c r="AK2396" s="1"/>
      <c r="AL2396" s="1"/>
      <c r="AM2396" s="1"/>
      <c r="AN2396" s="1"/>
      <c r="AO2396" s="1"/>
      <c r="AP2396" s="1"/>
      <c r="AQ2396" s="1"/>
      <c r="AR2396" s="1"/>
      <c r="AS2396" s="1"/>
      <c r="AT2396" s="1"/>
      <c r="AU2396" s="1"/>
      <c r="AV2396" s="1"/>
      <c r="AW2396" s="1"/>
      <c r="AX2396" s="1"/>
      <c r="AY2396" s="1"/>
      <c r="AZ2396" s="1"/>
      <c r="BA2396" s="1"/>
      <c r="BB2396" s="1"/>
      <c r="BC2396" s="1"/>
      <c r="BD2396" s="1"/>
      <c r="BE2396" s="1"/>
      <c r="BF2396" s="1"/>
      <c r="BG2396" s="1"/>
      <c r="BH2396" s="1"/>
      <c r="BI2396" s="1"/>
      <c r="BJ2396" s="1"/>
      <c r="BK2396" s="1"/>
      <c r="BL2396" s="1"/>
      <c r="BM2396" s="1"/>
      <c r="BN2396" s="1"/>
      <c r="BO2396" s="1"/>
      <c r="BP2396" s="1"/>
      <c r="BQ2396" s="1"/>
      <c r="BR2396" s="1"/>
      <c r="BS2396" s="1"/>
      <c r="BT2396" s="1"/>
      <c r="BU2396" s="1" t="s">
        <v>9653</v>
      </c>
      <c r="BV2396" s="3"/>
      <c r="BW2396" s="3"/>
    </row>
    <row r="2397" spans="1:75">
      <c r="A2397" s="1" t="s">
        <v>26662</v>
      </c>
      <c r="B2397" s="1" t="s">
        <v>13976</v>
      </c>
      <c r="C2397" s="1" t="s">
        <v>40463</v>
      </c>
      <c r="D2397" s="1"/>
      <c r="E2397" s="1"/>
      <c r="F2397" s="1"/>
      <c r="G2397" s="1"/>
      <c r="H2397" s="1" t="s">
        <v>40464</v>
      </c>
      <c r="I2397" s="1" t="s">
        <v>40464</v>
      </c>
      <c r="J2397" s="1"/>
      <c r="K2397" s="1"/>
      <c r="L2397" s="1"/>
      <c r="M2397" s="1"/>
      <c r="N2397" s="1"/>
      <c r="O2397" s="1"/>
      <c r="P2397" s="1"/>
      <c r="Q2397" s="1"/>
      <c r="R2397" s="1"/>
      <c r="S2397" s="1"/>
      <c r="T2397" s="1"/>
      <c r="U2397" s="1"/>
      <c r="V2397" s="1"/>
      <c r="W2397" s="1"/>
      <c r="X2397" s="1"/>
      <c r="Y2397" s="1"/>
      <c r="Z2397" s="1"/>
      <c r="AA2397" s="1"/>
      <c r="AB2397" s="1"/>
      <c r="AC2397" s="1"/>
      <c r="AD2397" s="1" t="s">
        <v>98</v>
      </c>
      <c r="AE2397" s="1" t="s">
        <v>98</v>
      </c>
      <c r="AF2397" s="1"/>
      <c r="AG2397" s="1"/>
      <c r="AH2397" s="1"/>
      <c r="AI2397" s="1"/>
      <c r="AJ2397" s="1"/>
      <c r="AK2397" s="1"/>
      <c r="AL2397" s="1"/>
      <c r="AM2397" s="1"/>
      <c r="AN2397" s="1"/>
      <c r="AO2397" s="1"/>
      <c r="AP2397" s="1"/>
      <c r="AQ2397" s="1"/>
      <c r="AR2397" s="1"/>
      <c r="AS2397" s="1"/>
      <c r="AT2397" s="1"/>
      <c r="AU2397" s="1"/>
      <c r="AV2397" s="1"/>
      <c r="AW2397" s="1"/>
      <c r="AX2397" s="1"/>
      <c r="AY2397" s="1"/>
      <c r="AZ2397" s="1"/>
      <c r="BA2397" s="1"/>
      <c r="BB2397" s="1"/>
      <c r="BC2397" s="1"/>
      <c r="BD2397" s="1"/>
      <c r="BE2397" s="1"/>
      <c r="BF2397" s="1"/>
      <c r="BG2397" s="1"/>
      <c r="BH2397" s="1"/>
      <c r="BI2397" s="1"/>
      <c r="BJ2397" s="1"/>
      <c r="BK2397" s="1"/>
      <c r="BL2397" s="1"/>
      <c r="BM2397" s="1"/>
      <c r="BN2397" s="1"/>
      <c r="BO2397" s="1"/>
      <c r="BP2397" s="1"/>
      <c r="BQ2397" s="1"/>
      <c r="BR2397" s="1"/>
      <c r="BS2397" s="1"/>
      <c r="BT2397" s="1"/>
      <c r="BU2397" s="1" t="s">
        <v>9653</v>
      </c>
      <c r="BV2397" s="3"/>
      <c r="BW2397" s="3"/>
    </row>
    <row r="2398" spans="1:75">
      <c r="A2398" s="1" t="s">
        <v>26662</v>
      </c>
      <c r="B2398" s="1" t="s">
        <v>13976</v>
      </c>
      <c r="C2398" s="1" t="s">
        <v>40465</v>
      </c>
      <c r="D2398" s="1"/>
      <c r="E2398" s="1"/>
      <c r="F2398" s="1"/>
      <c r="G2398" s="1"/>
      <c r="H2398" s="1" t="s">
        <v>40466</v>
      </c>
      <c r="I2398" s="1" t="s">
        <v>40466</v>
      </c>
      <c r="J2398" s="1"/>
      <c r="K2398" s="1"/>
      <c r="L2398" s="1"/>
      <c r="M2398" s="1"/>
      <c r="N2398" s="1"/>
      <c r="O2398" s="1"/>
      <c r="P2398" s="1"/>
      <c r="Q2398" s="1"/>
      <c r="R2398" s="1"/>
      <c r="S2398" s="1"/>
      <c r="T2398" s="1"/>
      <c r="U2398" s="1"/>
      <c r="V2398" s="1"/>
      <c r="W2398" s="1"/>
      <c r="X2398" s="1"/>
      <c r="Y2398" s="1"/>
      <c r="Z2398" s="1"/>
      <c r="AA2398" s="1"/>
      <c r="AB2398" s="1"/>
      <c r="AC2398" s="1"/>
      <c r="AD2398" s="1" t="s">
        <v>98</v>
      </c>
      <c r="AE2398" s="1" t="s">
        <v>98</v>
      </c>
      <c r="AF2398" s="1"/>
      <c r="AG2398" s="1"/>
      <c r="AH2398" s="1"/>
      <c r="AI2398" s="1"/>
      <c r="AJ2398" s="1"/>
      <c r="AK2398" s="1"/>
      <c r="AL2398" s="1"/>
      <c r="AM2398" s="1"/>
      <c r="AN2398" s="1"/>
      <c r="AO2398" s="1"/>
      <c r="AP2398" s="1"/>
      <c r="AQ2398" s="1"/>
      <c r="AR2398" s="1"/>
      <c r="AS2398" s="1"/>
      <c r="AT2398" s="1"/>
      <c r="AU2398" s="1"/>
      <c r="AV2398" s="1"/>
      <c r="AW2398" s="1"/>
      <c r="AX2398" s="1"/>
      <c r="AY2398" s="1"/>
      <c r="AZ2398" s="1"/>
      <c r="BA2398" s="1"/>
      <c r="BB2398" s="1"/>
      <c r="BC2398" s="1"/>
      <c r="BD2398" s="1"/>
      <c r="BE2398" s="1"/>
      <c r="BF2398" s="1"/>
      <c r="BG2398" s="1"/>
      <c r="BH2398" s="1"/>
      <c r="BI2398" s="1"/>
      <c r="BJ2398" s="1"/>
      <c r="BK2398" s="1"/>
      <c r="BL2398" s="1"/>
      <c r="BM2398" s="1"/>
      <c r="BN2398" s="1"/>
      <c r="BO2398" s="1"/>
      <c r="BP2398" s="1"/>
      <c r="BQ2398" s="1"/>
      <c r="BR2398" s="1"/>
      <c r="BS2398" s="1"/>
      <c r="BT2398" s="1"/>
      <c r="BU2398" s="1" t="s">
        <v>9653</v>
      </c>
      <c r="BV2398" s="3"/>
      <c r="BW2398" s="3"/>
    </row>
    <row r="2399" spans="1:75">
      <c r="A2399" s="1" t="s">
        <v>26662</v>
      </c>
      <c r="B2399" s="1" t="s">
        <v>13976</v>
      </c>
      <c r="C2399" s="1" t="s">
        <v>40467</v>
      </c>
      <c r="D2399" s="1"/>
      <c r="E2399" s="1"/>
      <c r="F2399" s="1"/>
      <c r="G2399" s="1"/>
      <c r="H2399" s="1" t="s">
        <v>40468</v>
      </c>
      <c r="I2399" s="1" t="s">
        <v>40468</v>
      </c>
      <c r="J2399" s="1"/>
      <c r="K2399" s="1"/>
      <c r="L2399" s="1"/>
      <c r="M2399" s="1"/>
      <c r="N2399" s="1"/>
      <c r="O2399" s="1"/>
      <c r="P2399" s="1"/>
      <c r="Q2399" s="1"/>
      <c r="R2399" s="1"/>
      <c r="S2399" s="1"/>
      <c r="T2399" s="1"/>
      <c r="U2399" s="1"/>
      <c r="V2399" s="1"/>
      <c r="W2399" s="1"/>
      <c r="X2399" s="1"/>
      <c r="Y2399" s="1"/>
      <c r="Z2399" s="1"/>
      <c r="AA2399" s="1"/>
      <c r="AB2399" s="1"/>
      <c r="AC2399" s="1"/>
      <c r="AD2399" s="1" t="s">
        <v>98</v>
      </c>
      <c r="AE2399" s="1" t="s">
        <v>98</v>
      </c>
      <c r="AF2399" s="1"/>
      <c r="AG2399" s="1"/>
      <c r="AH2399" s="1"/>
      <c r="AI2399" s="1"/>
      <c r="AJ2399" s="1"/>
      <c r="AK2399" s="1"/>
      <c r="AL2399" s="1"/>
      <c r="AM2399" s="1"/>
      <c r="AN2399" s="1"/>
      <c r="AO2399" s="1"/>
      <c r="AP2399" s="1"/>
      <c r="AQ2399" s="1"/>
      <c r="AR2399" s="1"/>
      <c r="AS2399" s="1"/>
      <c r="AT2399" s="1"/>
      <c r="AU2399" s="1"/>
      <c r="AV2399" s="1"/>
      <c r="AW2399" s="1"/>
      <c r="AX2399" s="1"/>
      <c r="AY2399" s="1"/>
      <c r="AZ2399" s="1"/>
      <c r="BA2399" s="1"/>
      <c r="BB2399" s="1"/>
      <c r="BC2399" s="1"/>
      <c r="BD2399" s="1"/>
      <c r="BE2399" s="1"/>
      <c r="BF2399" s="1"/>
      <c r="BG2399" s="1"/>
      <c r="BH2399" s="1"/>
      <c r="BI2399" s="1"/>
      <c r="BJ2399" s="1"/>
      <c r="BK2399" s="1"/>
      <c r="BL2399" s="1"/>
      <c r="BM2399" s="1"/>
      <c r="BN2399" s="1"/>
      <c r="BO2399" s="1"/>
      <c r="BP2399" s="1"/>
      <c r="BQ2399" s="1"/>
      <c r="BR2399" s="1"/>
      <c r="BS2399" s="1"/>
      <c r="BT2399" s="1"/>
      <c r="BU2399" s="1" t="s">
        <v>9653</v>
      </c>
      <c r="BV2399" s="3"/>
      <c r="BW2399" s="3"/>
    </row>
    <row r="2400" spans="1:75">
      <c r="A2400" s="1" t="s">
        <v>26662</v>
      </c>
      <c r="B2400" s="1" t="s">
        <v>13976</v>
      </c>
      <c r="C2400" s="1" t="s">
        <v>40469</v>
      </c>
      <c r="D2400" s="1"/>
      <c r="E2400" s="1"/>
      <c r="F2400" s="1"/>
      <c r="G2400" s="1"/>
      <c r="H2400" s="1" t="s">
        <v>40470</v>
      </c>
      <c r="I2400" s="1" t="s">
        <v>40470</v>
      </c>
      <c r="J2400" s="1"/>
      <c r="K2400" s="1"/>
      <c r="L2400" s="1"/>
      <c r="M2400" s="1"/>
      <c r="N2400" s="1"/>
      <c r="O2400" s="1"/>
      <c r="P2400" s="1"/>
      <c r="Q2400" s="1"/>
      <c r="R2400" s="1"/>
      <c r="S2400" s="1"/>
      <c r="T2400" s="1"/>
      <c r="U2400" s="1"/>
      <c r="V2400" s="1"/>
      <c r="W2400" s="1"/>
      <c r="X2400" s="1"/>
      <c r="Y2400" s="1"/>
      <c r="Z2400" s="1"/>
      <c r="AA2400" s="1"/>
      <c r="AB2400" s="1"/>
      <c r="AC2400" s="1"/>
      <c r="AD2400" s="1" t="s">
        <v>98</v>
      </c>
      <c r="AE2400" s="1" t="s">
        <v>98</v>
      </c>
      <c r="AF2400" s="1"/>
      <c r="AG2400" s="1"/>
      <c r="AH2400" s="1"/>
      <c r="AI2400" s="1"/>
      <c r="AJ2400" s="1"/>
      <c r="AK2400" s="1"/>
      <c r="AL2400" s="1"/>
      <c r="AM2400" s="1"/>
      <c r="AN2400" s="1"/>
      <c r="AO2400" s="1"/>
      <c r="AP2400" s="1"/>
      <c r="AQ2400" s="1"/>
      <c r="AR2400" s="1"/>
      <c r="AS2400" s="1"/>
      <c r="AT2400" s="1"/>
      <c r="AU2400" s="1"/>
      <c r="AV2400" s="1"/>
      <c r="AW2400" s="1"/>
      <c r="AX2400" s="1"/>
      <c r="AY2400" s="1"/>
      <c r="AZ2400" s="1"/>
      <c r="BA2400" s="1"/>
      <c r="BB2400" s="1"/>
      <c r="BC2400" s="1"/>
      <c r="BD2400" s="1"/>
      <c r="BE2400" s="1"/>
      <c r="BF2400" s="1"/>
      <c r="BG2400" s="1"/>
      <c r="BH2400" s="1"/>
      <c r="BI2400" s="1"/>
      <c r="BJ2400" s="1"/>
      <c r="BK2400" s="1"/>
      <c r="BL2400" s="1"/>
      <c r="BM2400" s="1"/>
      <c r="BN2400" s="1"/>
      <c r="BO2400" s="1"/>
      <c r="BP2400" s="1"/>
      <c r="BQ2400" s="1"/>
      <c r="BR2400" s="1"/>
      <c r="BS2400" s="1"/>
      <c r="BT2400" s="1"/>
      <c r="BU2400" s="1" t="s">
        <v>9653</v>
      </c>
      <c r="BV2400" s="3"/>
      <c r="BW2400" s="3"/>
    </row>
    <row r="2401" spans="1:75">
      <c r="A2401" s="1" t="s">
        <v>26662</v>
      </c>
      <c r="B2401" s="1" t="s">
        <v>13976</v>
      </c>
      <c r="C2401" s="1" t="s">
        <v>40471</v>
      </c>
      <c r="D2401" s="1"/>
      <c r="E2401" s="1"/>
      <c r="F2401" s="1"/>
      <c r="G2401" s="1"/>
      <c r="H2401" s="1" t="s">
        <v>40472</v>
      </c>
      <c r="I2401" s="1" t="s">
        <v>40472</v>
      </c>
      <c r="J2401" s="1"/>
      <c r="K2401" s="1"/>
      <c r="L2401" s="1"/>
      <c r="M2401" s="1"/>
      <c r="N2401" s="1"/>
      <c r="O2401" s="1"/>
      <c r="P2401" s="1"/>
      <c r="Q2401" s="1"/>
      <c r="R2401" s="1"/>
      <c r="S2401" s="1"/>
      <c r="T2401" s="1"/>
      <c r="U2401" s="1"/>
      <c r="V2401" s="1"/>
      <c r="W2401" s="1"/>
      <c r="X2401" s="1"/>
      <c r="Y2401" s="1"/>
      <c r="Z2401" s="1"/>
      <c r="AA2401" s="1"/>
      <c r="AB2401" s="1"/>
      <c r="AC2401" s="1"/>
      <c r="AD2401" s="1" t="s">
        <v>98</v>
      </c>
      <c r="AE2401" s="1" t="s">
        <v>98</v>
      </c>
      <c r="AF2401" s="1"/>
      <c r="AG2401" s="1"/>
      <c r="AH2401" s="1"/>
      <c r="AI2401" s="1"/>
      <c r="AJ2401" s="1"/>
      <c r="AK2401" s="1"/>
      <c r="AL2401" s="1"/>
      <c r="AM2401" s="1"/>
      <c r="AN2401" s="1"/>
      <c r="AO2401" s="1"/>
      <c r="AP2401" s="1"/>
      <c r="AQ2401" s="1"/>
      <c r="AR2401" s="1"/>
      <c r="AS2401" s="1"/>
      <c r="AT2401" s="1"/>
      <c r="AU2401" s="1"/>
      <c r="AV2401" s="1"/>
      <c r="AW2401" s="1"/>
      <c r="AX2401" s="1"/>
      <c r="AY2401" s="1"/>
      <c r="AZ2401" s="1"/>
      <c r="BA2401" s="1"/>
      <c r="BB2401" s="1"/>
      <c r="BC2401" s="1"/>
      <c r="BD2401" s="1"/>
      <c r="BE2401" s="1"/>
      <c r="BF2401" s="1"/>
      <c r="BG2401" s="1"/>
      <c r="BH2401" s="1"/>
      <c r="BI2401" s="1"/>
      <c r="BJ2401" s="1"/>
      <c r="BK2401" s="1"/>
      <c r="BL2401" s="1"/>
      <c r="BM2401" s="1"/>
      <c r="BN2401" s="1"/>
      <c r="BO2401" s="1"/>
      <c r="BP2401" s="1"/>
      <c r="BQ2401" s="1"/>
      <c r="BR2401" s="1"/>
      <c r="BS2401" s="1"/>
      <c r="BT2401" s="1"/>
      <c r="BU2401" s="1" t="s">
        <v>9653</v>
      </c>
      <c r="BV2401" s="3"/>
      <c r="BW2401" s="3"/>
    </row>
    <row r="2402" spans="1:75">
      <c r="A2402" s="1" t="s">
        <v>26662</v>
      </c>
      <c r="B2402" s="1" t="s">
        <v>13976</v>
      </c>
      <c r="C2402" s="1" t="s">
        <v>40473</v>
      </c>
      <c r="D2402" s="1"/>
      <c r="E2402" s="1"/>
      <c r="F2402" s="1"/>
      <c r="G2402" s="1"/>
      <c r="H2402" s="1" t="s">
        <v>40474</v>
      </c>
      <c r="I2402" s="1" t="s">
        <v>40474</v>
      </c>
      <c r="J2402" s="1"/>
      <c r="K2402" s="1"/>
      <c r="L2402" s="1"/>
      <c r="M2402" s="1"/>
      <c r="N2402" s="1"/>
      <c r="O2402" s="1"/>
      <c r="P2402" s="1"/>
      <c r="Q2402" s="1"/>
      <c r="R2402" s="1"/>
      <c r="S2402" s="1"/>
      <c r="T2402" s="1"/>
      <c r="U2402" s="1"/>
      <c r="V2402" s="1"/>
      <c r="W2402" s="1"/>
      <c r="X2402" s="1"/>
      <c r="Y2402" s="1"/>
      <c r="Z2402" s="1"/>
      <c r="AA2402" s="1"/>
      <c r="AB2402" s="1"/>
      <c r="AC2402" s="1"/>
      <c r="AD2402" s="1" t="s">
        <v>98</v>
      </c>
      <c r="AE2402" s="1" t="s">
        <v>98</v>
      </c>
      <c r="AF2402" s="1"/>
      <c r="AG2402" s="1"/>
      <c r="AH2402" s="1"/>
      <c r="AI2402" s="1"/>
      <c r="AJ2402" s="1"/>
      <c r="AK2402" s="1"/>
      <c r="AL2402" s="1"/>
      <c r="AM2402" s="1"/>
      <c r="AN2402" s="1"/>
      <c r="AO2402" s="1"/>
      <c r="AP2402" s="1"/>
      <c r="AQ2402" s="1"/>
      <c r="AR2402" s="1"/>
      <c r="AS2402" s="1"/>
      <c r="AT2402" s="1"/>
      <c r="AU2402" s="1"/>
      <c r="AV2402" s="1"/>
      <c r="AW2402" s="1"/>
      <c r="AX2402" s="1"/>
      <c r="AY2402" s="1"/>
      <c r="AZ2402" s="1"/>
      <c r="BA2402" s="1"/>
      <c r="BB2402" s="1"/>
      <c r="BC2402" s="1"/>
      <c r="BD2402" s="1"/>
      <c r="BE2402" s="1"/>
      <c r="BF2402" s="1"/>
      <c r="BG2402" s="1"/>
      <c r="BH2402" s="1"/>
      <c r="BI2402" s="1"/>
      <c r="BJ2402" s="1"/>
      <c r="BK2402" s="1"/>
      <c r="BL2402" s="1"/>
      <c r="BM2402" s="1"/>
      <c r="BN2402" s="1"/>
      <c r="BO2402" s="1"/>
      <c r="BP2402" s="1"/>
      <c r="BQ2402" s="1"/>
      <c r="BR2402" s="1"/>
      <c r="BS2402" s="1"/>
      <c r="BT2402" s="1"/>
      <c r="BU2402" s="1" t="s">
        <v>9653</v>
      </c>
      <c r="BV2402" s="3"/>
      <c r="BW2402" s="3"/>
    </row>
    <row r="2403" spans="1:75">
      <c r="A2403" s="1" t="s">
        <v>26662</v>
      </c>
      <c r="B2403" s="1" t="s">
        <v>13976</v>
      </c>
      <c r="C2403" s="1" t="s">
        <v>40475</v>
      </c>
      <c r="D2403" s="1"/>
      <c r="E2403" s="1"/>
      <c r="F2403" s="1"/>
      <c r="G2403" s="1"/>
      <c r="H2403" s="1" t="s">
        <v>40476</v>
      </c>
      <c r="I2403" s="1" t="s">
        <v>40476</v>
      </c>
      <c r="J2403" s="1"/>
      <c r="K2403" s="1"/>
      <c r="L2403" s="1"/>
      <c r="M2403" s="1"/>
      <c r="N2403" s="1"/>
      <c r="O2403" s="1"/>
      <c r="P2403" s="1"/>
      <c r="Q2403" s="1"/>
      <c r="R2403" s="1"/>
      <c r="S2403" s="1"/>
      <c r="T2403" s="1"/>
      <c r="U2403" s="1"/>
      <c r="V2403" s="1"/>
      <c r="W2403" s="1"/>
      <c r="X2403" s="1"/>
      <c r="Y2403" s="1"/>
      <c r="Z2403" s="1"/>
      <c r="AA2403" s="1"/>
      <c r="AB2403" s="1"/>
      <c r="AC2403" s="1"/>
      <c r="AD2403" s="1" t="s">
        <v>98</v>
      </c>
      <c r="AE2403" s="1" t="s">
        <v>98</v>
      </c>
      <c r="AF2403" s="1"/>
      <c r="AG2403" s="1"/>
      <c r="AH2403" s="1"/>
      <c r="AI2403" s="1"/>
      <c r="AJ2403" s="1"/>
      <c r="AK2403" s="1"/>
      <c r="AL2403" s="1"/>
      <c r="AM2403" s="1"/>
      <c r="AN2403" s="1"/>
      <c r="AO2403" s="1"/>
      <c r="AP2403" s="1"/>
      <c r="AQ2403" s="1"/>
      <c r="AR2403" s="1"/>
      <c r="AS2403" s="1"/>
      <c r="AT2403" s="1"/>
      <c r="AU2403" s="1"/>
      <c r="AV2403" s="1"/>
      <c r="AW2403" s="1"/>
      <c r="AX2403" s="1"/>
      <c r="AY2403" s="1"/>
      <c r="AZ2403" s="1"/>
      <c r="BA2403" s="1"/>
      <c r="BB2403" s="1"/>
      <c r="BC2403" s="1"/>
      <c r="BD2403" s="1"/>
      <c r="BE2403" s="1"/>
      <c r="BF2403" s="1"/>
      <c r="BG2403" s="1"/>
      <c r="BH2403" s="1"/>
      <c r="BI2403" s="1"/>
      <c r="BJ2403" s="1"/>
      <c r="BK2403" s="1"/>
      <c r="BL2403" s="1"/>
      <c r="BM2403" s="1"/>
      <c r="BN2403" s="1"/>
      <c r="BO2403" s="1"/>
      <c r="BP2403" s="1"/>
      <c r="BQ2403" s="1"/>
      <c r="BR2403" s="1"/>
      <c r="BS2403" s="1"/>
      <c r="BT2403" s="1"/>
      <c r="BU2403" s="1" t="s">
        <v>9653</v>
      </c>
      <c r="BV2403" s="3"/>
      <c r="BW2403" s="3"/>
    </row>
    <row r="2404" spans="1:75">
      <c r="A2404" s="1" t="s">
        <v>26662</v>
      </c>
      <c r="B2404" s="1" t="s">
        <v>13976</v>
      </c>
      <c r="C2404" s="1" t="s">
        <v>40477</v>
      </c>
      <c r="D2404" s="1"/>
      <c r="E2404" s="1"/>
      <c r="F2404" s="1"/>
      <c r="G2404" s="1"/>
      <c r="H2404" s="1" t="s">
        <v>40478</v>
      </c>
      <c r="I2404" s="1" t="s">
        <v>40478</v>
      </c>
      <c r="J2404" s="1"/>
      <c r="K2404" s="1"/>
      <c r="L2404" s="1"/>
      <c r="M2404" s="1"/>
      <c r="N2404" s="1"/>
      <c r="O2404" s="1"/>
      <c r="P2404" s="1"/>
      <c r="Q2404" s="1"/>
      <c r="R2404" s="1"/>
      <c r="S2404" s="1"/>
      <c r="T2404" s="1"/>
      <c r="U2404" s="1"/>
      <c r="V2404" s="1"/>
      <c r="W2404" s="1"/>
      <c r="X2404" s="1"/>
      <c r="Y2404" s="1"/>
      <c r="Z2404" s="1"/>
      <c r="AA2404" s="1"/>
      <c r="AB2404" s="1"/>
      <c r="AC2404" s="1"/>
      <c r="AD2404" s="1" t="s">
        <v>98</v>
      </c>
      <c r="AE2404" s="1" t="s">
        <v>98</v>
      </c>
      <c r="AF2404" s="1"/>
      <c r="AG2404" s="1"/>
      <c r="AH2404" s="1"/>
      <c r="AI2404" s="1"/>
      <c r="AJ2404" s="1"/>
      <c r="AK2404" s="1"/>
      <c r="AL2404" s="1"/>
      <c r="AM2404" s="1"/>
      <c r="AN2404" s="1"/>
      <c r="AO2404" s="1"/>
      <c r="AP2404" s="1"/>
      <c r="AQ2404" s="1"/>
      <c r="AR2404" s="1"/>
      <c r="AS2404" s="1"/>
      <c r="AT2404" s="1"/>
      <c r="AU2404" s="1"/>
      <c r="AV2404" s="1"/>
      <c r="AW2404" s="1"/>
      <c r="AX2404" s="1"/>
      <c r="AY2404" s="1"/>
      <c r="AZ2404" s="1"/>
      <c r="BA2404" s="1"/>
      <c r="BB2404" s="1"/>
      <c r="BC2404" s="1"/>
      <c r="BD2404" s="1"/>
      <c r="BE2404" s="1"/>
      <c r="BF2404" s="1"/>
      <c r="BG2404" s="1"/>
      <c r="BH2404" s="1"/>
      <c r="BI2404" s="1"/>
      <c r="BJ2404" s="1"/>
      <c r="BK2404" s="1"/>
      <c r="BL2404" s="1"/>
      <c r="BM2404" s="1"/>
      <c r="BN2404" s="1"/>
      <c r="BO2404" s="1"/>
      <c r="BP2404" s="1"/>
      <c r="BQ2404" s="1"/>
      <c r="BR2404" s="1"/>
      <c r="BS2404" s="1"/>
      <c r="BT2404" s="1"/>
      <c r="BU2404" s="1" t="s">
        <v>9653</v>
      </c>
      <c r="BV2404" s="3"/>
      <c r="BW2404" s="3"/>
    </row>
    <row r="2405" spans="1:75">
      <c r="A2405" s="1" t="s">
        <v>26662</v>
      </c>
      <c r="B2405" s="1" t="s">
        <v>13976</v>
      </c>
      <c r="C2405" s="1" t="s">
        <v>40479</v>
      </c>
      <c r="D2405" s="1"/>
      <c r="E2405" s="1"/>
      <c r="F2405" s="1"/>
      <c r="G2405" s="1"/>
      <c r="H2405" s="1" t="s">
        <v>40480</v>
      </c>
      <c r="I2405" s="1" t="s">
        <v>40480</v>
      </c>
      <c r="J2405" s="1"/>
      <c r="K2405" s="1"/>
      <c r="L2405" s="1"/>
      <c r="M2405" s="1"/>
      <c r="N2405" s="1"/>
      <c r="O2405" s="1"/>
      <c r="P2405" s="1"/>
      <c r="Q2405" s="1"/>
      <c r="R2405" s="1"/>
      <c r="S2405" s="1"/>
      <c r="T2405" s="1"/>
      <c r="U2405" s="1"/>
      <c r="V2405" s="1"/>
      <c r="W2405" s="1"/>
      <c r="X2405" s="1"/>
      <c r="Y2405" s="1"/>
      <c r="Z2405" s="1"/>
      <c r="AA2405" s="1"/>
      <c r="AB2405" s="1"/>
      <c r="AC2405" s="1"/>
      <c r="AD2405" s="1" t="s">
        <v>98</v>
      </c>
      <c r="AE2405" s="1" t="s">
        <v>98</v>
      </c>
      <c r="AF2405" s="1"/>
      <c r="AG2405" s="1"/>
      <c r="AH2405" s="1"/>
      <c r="AI2405" s="1"/>
      <c r="AJ2405" s="1"/>
      <c r="AK2405" s="1"/>
      <c r="AL2405" s="1"/>
      <c r="AM2405" s="1"/>
      <c r="AN2405" s="1"/>
      <c r="AO2405" s="1"/>
      <c r="AP2405" s="1"/>
      <c r="AQ2405" s="1"/>
      <c r="AR2405" s="1"/>
      <c r="AS2405" s="1"/>
      <c r="AT2405" s="1"/>
      <c r="AU2405" s="1"/>
      <c r="AV2405" s="1"/>
      <c r="AW2405" s="1"/>
      <c r="AX2405" s="1"/>
      <c r="AY2405" s="1"/>
      <c r="AZ2405" s="1"/>
      <c r="BA2405" s="1"/>
      <c r="BB2405" s="1"/>
      <c r="BC2405" s="1"/>
      <c r="BD2405" s="1"/>
      <c r="BE2405" s="1"/>
      <c r="BF2405" s="1"/>
      <c r="BG2405" s="1"/>
      <c r="BH2405" s="1"/>
      <c r="BI2405" s="1"/>
      <c r="BJ2405" s="1"/>
      <c r="BK2405" s="1"/>
      <c r="BL2405" s="1"/>
      <c r="BM2405" s="1"/>
      <c r="BN2405" s="1"/>
      <c r="BO2405" s="1"/>
      <c r="BP2405" s="1"/>
      <c r="BQ2405" s="1"/>
      <c r="BR2405" s="1"/>
      <c r="BS2405" s="1"/>
      <c r="BT2405" s="1"/>
      <c r="BU2405" s="1" t="s">
        <v>9653</v>
      </c>
      <c r="BV2405" s="3"/>
      <c r="BW2405" s="3"/>
    </row>
    <row r="2406" spans="1:75">
      <c r="A2406" s="1" t="s">
        <v>26662</v>
      </c>
      <c r="B2406" s="1" t="s">
        <v>13976</v>
      </c>
      <c r="C2406" s="1" t="s">
        <v>40481</v>
      </c>
      <c r="D2406" s="1"/>
      <c r="E2406" s="1"/>
      <c r="F2406" s="1"/>
      <c r="G2406" s="1"/>
      <c r="H2406" s="1" t="s">
        <v>40482</v>
      </c>
      <c r="I2406" s="1" t="s">
        <v>40482</v>
      </c>
      <c r="J2406" s="1"/>
      <c r="K2406" s="1"/>
      <c r="L2406" s="1"/>
      <c r="M2406" s="1"/>
      <c r="N2406" s="1"/>
      <c r="O2406" s="1"/>
      <c r="P2406" s="1"/>
      <c r="Q2406" s="1"/>
      <c r="R2406" s="1"/>
      <c r="S2406" s="1"/>
      <c r="T2406" s="1"/>
      <c r="U2406" s="1"/>
      <c r="V2406" s="1"/>
      <c r="W2406" s="1"/>
      <c r="X2406" s="1"/>
      <c r="Y2406" s="1"/>
      <c r="Z2406" s="1"/>
      <c r="AA2406" s="1"/>
      <c r="AB2406" s="1"/>
      <c r="AC2406" s="1"/>
      <c r="AD2406" s="1" t="s">
        <v>98</v>
      </c>
      <c r="AE2406" s="1" t="s">
        <v>98</v>
      </c>
      <c r="AF2406" s="1"/>
      <c r="AG2406" s="1"/>
      <c r="AH2406" s="1"/>
      <c r="AI2406" s="1"/>
      <c r="AJ2406" s="1"/>
      <c r="AK2406" s="1"/>
      <c r="AL2406" s="1"/>
      <c r="AM2406" s="1"/>
      <c r="AN2406" s="1"/>
      <c r="AO2406" s="1"/>
      <c r="AP2406" s="1"/>
      <c r="AQ2406" s="1"/>
      <c r="AR2406" s="1"/>
      <c r="AS2406" s="1"/>
      <c r="AT2406" s="1"/>
      <c r="AU2406" s="1"/>
      <c r="AV2406" s="1"/>
      <c r="AW2406" s="1"/>
      <c r="AX2406" s="1"/>
      <c r="AY2406" s="1"/>
      <c r="AZ2406" s="1"/>
      <c r="BA2406" s="1"/>
      <c r="BB2406" s="1"/>
      <c r="BC2406" s="1"/>
      <c r="BD2406" s="1"/>
      <c r="BE2406" s="1"/>
      <c r="BF2406" s="1"/>
      <c r="BG2406" s="1"/>
      <c r="BH2406" s="1"/>
      <c r="BI2406" s="1"/>
      <c r="BJ2406" s="1"/>
      <c r="BK2406" s="1"/>
      <c r="BL2406" s="1"/>
      <c r="BM2406" s="1"/>
      <c r="BN2406" s="1"/>
      <c r="BO2406" s="1"/>
      <c r="BP2406" s="1"/>
      <c r="BQ2406" s="1"/>
      <c r="BR2406" s="1"/>
      <c r="BS2406" s="1"/>
      <c r="BT2406" s="1"/>
      <c r="BU2406" s="1" t="s">
        <v>9653</v>
      </c>
      <c r="BV2406" s="3"/>
      <c r="BW2406" s="3"/>
    </row>
    <row r="2407" spans="1:75">
      <c r="A2407" s="1" t="s">
        <v>26662</v>
      </c>
      <c r="B2407" s="1" t="s">
        <v>13976</v>
      </c>
      <c r="C2407" s="1" t="s">
        <v>40483</v>
      </c>
      <c r="D2407" s="1"/>
      <c r="E2407" s="1"/>
      <c r="F2407" s="1"/>
      <c r="G2407" s="1"/>
      <c r="H2407" s="1" t="s">
        <v>40484</v>
      </c>
      <c r="I2407" s="1" t="s">
        <v>40484</v>
      </c>
      <c r="J2407" s="1"/>
      <c r="K2407" s="1"/>
      <c r="L2407" s="1"/>
      <c r="M2407" s="1"/>
      <c r="N2407" s="1"/>
      <c r="O2407" s="1"/>
      <c r="P2407" s="1"/>
      <c r="Q2407" s="1"/>
      <c r="R2407" s="1"/>
      <c r="S2407" s="1"/>
      <c r="T2407" s="1"/>
      <c r="U2407" s="1"/>
      <c r="V2407" s="1"/>
      <c r="W2407" s="1"/>
      <c r="X2407" s="1"/>
      <c r="Y2407" s="1"/>
      <c r="Z2407" s="1"/>
      <c r="AA2407" s="1"/>
      <c r="AB2407" s="1"/>
      <c r="AC2407" s="1"/>
      <c r="AD2407" s="1" t="s">
        <v>98</v>
      </c>
      <c r="AE2407" s="1" t="s">
        <v>98</v>
      </c>
      <c r="AF2407" s="1"/>
      <c r="AG2407" s="1"/>
      <c r="AH2407" s="1"/>
      <c r="AI2407" s="1"/>
      <c r="AJ2407" s="1"/>
      <c r="AK2407" s="1"/>
      <c r="AL2407" s="1"/>
      <c r="AM2407" s="1"/>
      <c r="AN2407" s="1"/>
      <c r="AO2407" s="1"/>
      <c r="AP2407" s="1"/>
      <c r="AQ2407" s="1"/>
      <c r="AR2407" s="1"/>
      <c r="AS2407" s="1"/>
      <c r="AT2407" s="1"/>
      <c r="AU2407" s="1"/>
      <c r="AV2407" s="1"/>
      <c r="AW2407" s="1"/>
      <c r="AX2407" s="1"/>
      <c r="AY2407" s="1"/>
      <c r="AZ2407" s="1"/>
      <c r="BA2407" s="1"/>
      <c r="BB2407" s="1"/>
      <c r="BC2407" s="1"/>
      <c r="BD2407" s="1"/>
      <c r="BE2407" s="1"/>
      <c r="BF2407" s="1"/>
      <c r="BG2407" s="1"/>
      <c r="BH2407" s="1"/>
      <c r="BI2407" s="1"/>
      <c r="BJ2407" s="1"/>
      <c r="BK2407" s="1"/>
      <c r="BL2407" s="1"/>
      <c r="BM2407" s="1"/>
      <c r="BN2407" s="1"/>
      <c r="BO2407" s="1"/>
      <c r="BP2407" s="1"/>
      <c r="BQ2407" s="1"/>
      <c r="BR2407" s="1"/>
      <c r="BS2407" s="1"/>
      <c r="BT2407" s="1"/>
      <c r="BU2407" s="1" t="s">
        <v>9653</v>
      </c>
      <c r="BV2407" s="3"/>
      <c r="BW2407" s="3"/>
    </row>
    <row r="2408" spans="1:75">
      <c r="A2408" s="1" t="s">
        <v>26662</v>
      </c>
      <c r="B2408" s="1" t="s">
        <v>13976</v>
      </c>
      <c r="C2408" s="1" t="s">
        <v>40485</v>
      </c>
      <c r="D2408" s="1"/>
      <c r="E2408" s="1"/>
      <c r="F2408" s="1"/>
      <c r="G2408" s="1"/>
      <c r="H2408" s="1" t="s">
        <v>40486</v>
      </c>
      <c r="I2408" s="1" t="s">
        <v>40486</v>
      </c>
      <c r="J2408" s="1"/>
      <c r="K2408" s="1"/>
      <c r="L2408" s="1"/>
      <c r="M2408" s="1"/>
      <c r="N2408" s="1"/>
      <c r="O2408" s="1"/>
      <c r="P2408" s="1"/>
      <c r="Q2408" s="1"/>
      <c r="R2408" s="1"/>
      <c r="S2408" s="1"/>
      <c r="T2408" s="1"/>
      <c r="U2408" s="1"/>
      <c r="V2408" s="1"/>
      <c r="W2408" s="1"/>
      <c r="X2408" s="1"/>
      <c r="Y2408" s="1"/>
      <c r="Z2408" s="1"/>
      <c r="AA2408" s="1"/>
      <c r="AB2408" s="1"/>
      <c r="AC2408" s="1"/>
      <c r="AD2408" s="1" t="s">
        <v>98</v>
      </c>
      <c r="AE2408" s="1" t="s">
        <v>98</v>
      </c>
      <c r="AF2408" s="1"/>
      <c r="AG2408" s="1"/>
      <c r="AH2408" s="1"/>
      <c r="AI2408" s="1"/>
      <c r="AJ2408" s="1"/>
      <c r="AK2408" s="1"/>
      <c r="AL2408" s="1"/>
      <c r="AM2408" s="1"/>
      <c r="AN2408" s="1"/>
      <c r="AO2408" s="1"/>
      <c r="AP2408" s="1"/>
      <c r="AQ2408" s="1"/>
      <c r="AR2408" s="1"/>
      <c r="AS2408" s="1"/>
      <c r="AT2408" s="1"/>
      <c r="AU2408" s="1"/>
      <c r="AV2408" s="1"/>
      <c r="AW2408" s="1"/>
      <c r="AX2408" s="1"/>
      <c r="AY2408" s="1"/>
      <c r="AZ2408" s="1"/>
      <c r="BA2408" s="1"/>
      <c r="BB2408" s="1"/>
      <c r="BC2408" s="1"/>
      <c r="BD2408" s="1"/>
      <c r="BE2408" s="1"/>
      <c r="BF2408" s="1"/>
      <c r="BG2408" s="1"/>
      <c r="BH2408" s="1"/>
      <c r="BI2408" s="1"/>
      <c r="BJ2408" s="1"/>
      <c r="BK2408" s="1"/>
      <c r="BL2408" s="1"/>
      <c r="BM2408" s="1"/>
      <c r="BN2408" s="1"/>
      <c r="BO2408" s="1"/>
      <c r="BP2408" s="1"/>
      <c r="BQ2408" s="1"/>
      <c r="BR2408" s="1"/>
      <c r="BS2408" s="1"/>
      <c r="BT2408" s="1"/>
      <c r="BU2408" s="1" t="s">
        <v>9653</v>
      </c>
      <c r="BV2408" s="3"/>
      <c r="BW2408" s="3"/>
    </row>
    <row r="2409" spans="1:75">
      <c r="A2409" s="1" t="s">
        <v>26662</v>
      </c>
      <c r="B2409" s="1" t="s">
        <v>13976</v>
      </c>
      <c r="C2409" s="1" t="s">
        <v>40487</v>
      </c>
      <c r="D2409" s="1"/>
      <c r="E2409" s="1"/>
      <c r="F2409" s="1"/>
      <c r="G2409" s="1"/>
      <c r="H2409" s="1" t="s">
        <v>40488</v>
      </c>
      <c r="I2409" s="1" t="s">
        <v>40488</v>
      </c>
      <c r="J2409" s="1"/>
      <c r="K2409" s="1"/>
      <c r="L2409" s="1"/>
      <c r="M2409" s="1"/>
      <c r="N2409" s="1"/>
      <c r="O2409" s="1"/>
      <c r="P2409" s="1"/>
      <c r="Q2409" s="1"/>
      <c r="R2409" s="1"/>
      <c r="S2409" s="1"/>
      <c r="T2409" s="1"/>
      <c r="U2409" s="1"/>
      <c r="V2409" s="1"/>
      <c r="W2409" s="1"/>
      <c r="X2409" s="1"/>
      <c r="Y2409" s="1"/>
      <c r="Z2409" s="1"/>
      <c r="AA2409" s="1"/>
      <c r="AB2409" s="1"/>
      <c r="AC2409" s="1"/>
      <c r="AD2409" s="1" t="s">
        <v>98</v>
      </c>
      <c r="AE2409" s="1" t="s">
        <v>98</v>
      </c>
      <c r="AF2409" s="1"/>
      <c r="AG2409" s="1"/>
      <c r="AH2409" s="1"/>
      <c r="AI2409" s="1"/>
      <c r="AJ2409" s="1"/>
      <c r="AK2409" s="1"/>
      <c r="AL2409" s="1"/>
      <c r="AM2409" s="1"/>
      <c r="AN2409" s="1"/>
      <c r="AO2409" s="1"/>
      <c r="AP2409" s="1"/>
      <c r="AQ2409" s="1"/>
      <c r="AR2409" s="1"/>
      <c r="AS2409" s="1"/>
      <c r="AT2409" s="1"/>
      <c r="AU2409" s="1"/>
      <c r="AV2409" s="1"/>
      <c r="AW2409" s="1"/>
      <c r="AX2409" s="1"/>
      <c r="AY2409" s="1"/>
      <c r="AZ2409" s="1"/>
      <c r="BA2409" s="1"/>
      <c r="BB2409" s="1"/>
      <c r="BC2409" s="1"/>
      <c r="BD2409" s="1"/>
      <c r="BE2409" s="1"/>
      <c r="BF2409" s="1"/>
      <c r="BG2409" s="1"/>
      <c r="BH2409" s="1"/>
      <c r="BI2409" s="1"/>
      <c r="BJ2409" s="1"/>
      <c r="BK2409" s="1"/>
      <c r="BL2409" s="1"/>
      <c r="BM2409" s="1"/>
      <c r="BN2409" s="1"/>
      <c r="BO2409" s="1"/>
      <c r="BP2409" s="1"/>
      <c r="BQ2409" s="1"/>
      <c r="BR2409" s="1"/>
      <c r="BS2409" s="1"/>
      <c r="BT2409" s="1"/>
      <c r="BU2409" s="1" t="s">
        <v>9653</v>
      </c>
      <c r="BV2409" s="3"/>
      <c r="BW2409" s="3"/>
    </row>
    <row r="2410" spans="1:75">
      <c r="A2410" s="1" t="s">
        <v>26662</v>
      </c>
      <c r="B2410" s="1" t="s">
        <v>13976</v>
      </c>
      <c r="C2410" s="1" t="s">
        <v>40489</v>
      </c>
      <c r="D2410" s="1"/>
      <c r="E2410" s="1"/>
      <c r="F2410" s="1"/>
      <c r="G2410" s="1"/>
      <c r="H2410" s="1" t="s">
        <v>40490</v>
      </c>
      <c r="I2410" s="1" t="s">
        <v>40490</v>
      </c>
      <c r="J2410" s="1"/>
      <c r="K2410" s="1"/>
      <c r="L2410" s="1"/>
      <c r="M2410" s="1"/>
      <c r="N2410" s="1"/>
      <c r="O2410" s="1"/>
      <c r="P2410" s="1"/>
      <c r="Q2410" s="1"/>
      <c r="R2410" s="1"/>
      <c r="S2410" s="1"/>
      <c r="T2410" s="1"/>
      <c r="U2410" s="1"/>
      <c r="V2410" s="1"/>
      <c r="W2410" s="1"/>
      <c r="X2410" s="1"/>
      <c r="Y2410" s="1"/>
      <c r="Z2410" s="1"/>
      <c r="AA2410" s="1"/>
      <c r="AB2410" s="1"/>
      <c r="AC2410" s="1"/>
      <c r="AD2410" s="1" t="s">
        <v>98</v>
      </c>
      <c r="AE2410" s="1" t="s">
        <v>98</v>
      </c>
      <c r="AF2410" s="1"/>
      <c r="AG2410" s="1"/>
      <c r="AH2410" s="1"/>
      <c r="AI2410" s="1"/>
      <c r="AJ2410" s="1"/>
      <c r="AK2410" s="1"/>
      <c r="AL2410" s="1"/>
      <c r="AM2410" s="1"/>
      <c r="AN2410" s="1"/>
      <c r="AO2410" s="1"/>
      <c r="AP2410" s="1"/>
      <c r="AQ2410" s="1"/>
      <c r="AR2410" s="1"/>
      <c r="AS2410" s="1"/>
      <c r="AT2410" s="1"/>
      <c r="AU2410" s="1"/>
      <c r="AV2410" s="1"/>
      <c r="AW2410" s="1"/>
      <c r="AX2410" s="1"/>
      <c r="AY2410" s="1"/>
      <c r="AZ2410" s="1"/>
      <c r="BA2410" s="1"/>
      <c r="BB2410" s="1"/>
      <c r="BC2410" s="1"/>
      <c r="BD2410" s="1"/>
      <c r="BE2410" s="1"/>
      <c r="BF2410" s="1"/>
      <c r="BG2410" s="1"/>
      <c r="BH2410" s="1"/>
      <c r="BI2410" s="1"/>
      <c r="BJ2410" s="1"/>
      <c r="BK2410" s="1"/>
      <c r="BL2410" s="1"/>
      <c r="BM2410" s="1"/>
      <c r="BN2410" s="1"/>
      <c r="BO2410" s="1"/>
      <c r="BP2410" s="1"/>
      <c r="BQ2410" s="1"/>
      <c r="BR2410" s="1"/>
      <c r="BS2410" s="1"/>
      <c r="BT2410" s="1"/>
      <c r="BU2410" s="1" t="s">
        <v>9653</v>
      </c>
      <c r="BV2410" s="3"/>
      <c r="BW2410" s="3"/>
    </row>
    <row r="2411" spans="1:75">
      <c r="A2411" s="1" t="s">
        <v>26662</v>
      </c>
      <c r="B2411" s="1" t="s">
        <v>13976</v>
      </c>
      <c r="C2411" s="1" t="s">
        <v>40491</v>
      </c>
      <c r="D2411" s="1"/>
      <c r="E2411" s="1"/>
      <c r="F2411" s="1"/>
      <c r="G2411" s="1"/>
      <c r="H2411" s="1" t="s">
        <v>40492</v>
      </c>
      <c r="I2411" s="1" t="s">
        <v>40492</v>
      </c>
      <c r="J2411" s="1"/>
      <c r="K2411" s="1"/>
      <c r="L2411" s="1"/>
      <c r="M2411" s="1"/>
      <c r="N2411" s="1"/>
      <c r="O2411" s="1"/>
      <c r="P2411" s="1"/>
      <c r="Q2411" s="1"/>
      <c r="R2411" s="1"/>
      <c r="S2411" s="1"/>
      <c r="T2411" s="1"/>
      <c r="U2411" s="1"/>
      <c r="V2411" s="1"/>
      <c r="W2411" s="1"/>
      <c r="X2411" s="1"/>
      <c r="Y2411" s="1"/>
      <c r="Z2411" s="1"/>
      <c r="AA2411" s="1"/>
      <c r="AB2411" s="1"/>
      <c r="AC2411" s="1"/>
      <c r="AD2411" s="1" t="s">
        <v>98</v>
      </c>
      <c r="AE2411" s="1" t="s">
        <v>98</v>
      </c>
      <c r="AF2411" s="1"/>
      <c r="AG2411" s="1"/>
      <c r="AH2411" s="1"/>
      <c r="AI2411" s="1"/>
      <c r="AJ2411" s="1"/>
      <c r="AK2411" s="1"/>
      <c r="AL2411" s="1"/>
      <c r="AM2411" s="1"/>
      <c r="AN2411" s="1"/>
      <c r="AO2411" s="1"/>
      <c r="AP2411" s="1"/>
      <c r="AQ2411" s="1"/>
      <c r="AR2411" s="1"/>
      <c r="AS2411" s="1"/>
      <c r="AT2411" s="1"/>
      <c r="AU2411" s="1"/>
      <c r="AV2411" s="1"/>
      <c r="AW2411" s="1"/>
      <c r="AX2411" s="1"/>
      <c r="AY2411" s="1"/>
      <c r="AZ2411" s="1"/>
      <c r="BA2411" s="1"/>
      <c r="BB2411" s="1"/>
      <c r="BC2411" s="1"/>
      <c r="BD2411" s="1"/>
      <c r="BE2411" s="1"/>
      <c r="BF2411" s="1"/>
      <c r="BG2411" s="1"/>
      <c r="BH2411" s="1"/>
      <c r="BI2411" s="1"/>
      <c r="BJ2411" s="1"/>
      <c r="BK2411" s="1"/>
      <c r="BL2411" s="1"/>
      <c r="BM2411" s="1"/>
      <c r="BN2411" s="1"/>
      <c r="BO2411" s="1"/>
      <c r="BP2411" s="1"/>
      <c r="BQ2411" s="1"/>
      <c r="BR2411" s="1"/>
      <c r="BS2411" s="1"/>
      <c r="BT2411" s="1"/>
      <c r="BU2411" s="1" t="s">
        <v>9653</v>
      </c>
      <c r="BV2411" s="3"/>
      <c r="BW2411" s="3"/>
    </row>
    <row r="2412" spans="1:75">
      <c r="A2412" s="1" t="s">
        <v>26662</v>
      </c>
      <c r="B2412" s="1" t="s">
        <v>13976</v>
      </c>
      <c r="C2412" s="1" t="s">
        <v>40493</v>
      </c>
      <c r="D2412" s="1"/>
      <c r="E2412" s="1"/>
      <c r="F2412" s="1"/>
      <c r="G2412" s="1"/>
      <c r="H2412" s="1" t="s">
        <v>40494</v>
      </c>
      <c r="I2412" s="1" t="s">
        <v>40494</v>
      </c>
      <c r="J2412" s="1"/>
      <c r="K2412" s="1"/>
      <c r="L2412" s="1"/>
      <c r="M2412" s="1"/>
      <c r="N2412" s="1"/>
      <c r="O2412" s="1"/>
      <c r="P2412" s="1"/>
      <c r="Q2412" s="1"/>
      <c r="R2412" s="1"/>
      <c r="S2412" s="1"/>
      <c r="T2412" s="1"/>
      <c r="U2412" s="1"/>
      <c r="V2412" s="1"/>
      <c r="W2412" s="1"/>
      <c r="X2412" s="1"/>
      <c r="Y2412" s="1"/>
      <c r="Z2412" s="1"/>
      <c r="AA2412" s="1"/>
      <c r="AB2412" s="1"/>
      <c r="AC2412" s="1"/>
      <c r="AD2412" s="1" t="s">
        <v>98</v>
      </c>
      <c r="AE2412" s="1" t="s">
        <v>98</v>
      </c>
      <c r="AF2412" s="1"/>
      <c r="AG2412" s="1"/>
      <c r="AH2412" s="1"/>
      <c r="AI2412" s="1"/>
      <c r="AJ2412" s="1"/>
      <c r="AK2412" s="1"/>
      <c r="AL2412" s="1"/>
      <c r="AM2412" s="1"/>
      <c r="AN2412" s="1"/>
      <c r="AO2412" s="1"/>
      <c r="AP2412" s="1"/>
      <c r="AQ2412" s="1"/>
      <c r="AR2412" s="1"/>
      <c r="AS2412" s="1"/>
      <c r="AT2412" s="1"/>
      <c r="AU2412" s="1"/>
      <c r="AV2412" s="1"/>
      <c r="AW2412" s="1"/>
      <c r="AX2412" s="1"/>
      <c r="AY2412" s="1"/>
      <c r="AZ2412" s="1"/>
      <c r="BA2412" s="1"/>
      <c r="BB2412" s="1"/>
      <c r="BC2412" s="1"/>
      <c r="BD2412" s="1"/>
      <c r="BE2412" s="1"/>
      <c r="BF2412" s="1"/>
      <c r="BG2412" s="1"/>
      <c r="BH2412" s="1"/>
      <c r="BI2412" s="1"/>
      <c r="BJ2412" s="1"/>
      <c r="BK2412" s="1"/>
      <c r="BL2412" s="1"/>
      <c r="BM2412" s="1"/>
      <c r="BN2412" s="1"/>
      <c r="BO2412" s="1"/>
      <c r="BP2412" s="1"/>
      <c r="BQ2412" s="1"/>
      <c r="BR2412" s="1"/>
      <c r="BS2412" s="1"/>
      <c r="BT2412" s="1"/>
      <c r="BU2412" s="1" t="s">
        <v>9653</v>
      </c>
      <c r="BV2412" s="3"/>
      <c r="BW2412" s="3"/>
    </row>
    <row r="2413" spans="1:75">
      <c r="A2413" s="1" t="s">
        <v>26662</v>
      </c>
      <c r="B2413" s="1" t="s">
        <v>13976</v>
      </c>
      <c r="C2413" s="1" t="s">
        <v>40495</v>
      </c>
      <c r="D2413" s="1"/>
      <c r="E2413" s="1"/>
      <c r="F2413" s="1"/>
      <c r="G2413" s="1"/>
      <c r="H2413" s="1" t="s">
        <v>40496</v>
      </c>
      <c r="I2413" s="1" t="s">
        <v>40496</v>
      </c>
      <c r="J2413" s="1"/>
      <c r="K2413" s="1"/>
      <c r="L2413" s="1"/>
      <c r="M2413" s="1"/>
      <c r="N2413" s="1"/>
      <c r="O2413" s="1"/>
      <c r="P2413" s="1"/>
      <c r="Q2413" s="1"/>
      <c r="R2413" s="1"/>
      <c r="S2413" s="1"/>
      <c r="T2413" s="1"/>
      <c r="U2413" s="1"/>
      <c r="V2413" s="1"/>
      <c r="W2413" s="1"/>
      <c r="X2413" s="1"/>
      <c r="Y2413" s="1"/>
      <c r="Z2413" s="1"/>
      <c r="AA2413" s="1"/>
      <c r="AB2413" s="1"/>
      <c r="AC2413" s="1"/>
      <c r="AD2413" s="1" t="s">
        <v>98</v>
      </c>
      <c r="AE2413" s="1" t="s">
        <v>98</v>
      </c>
      <c r="AF2413" s="1"/>
      <c r="AG2413" s="1"/>
      <c r="AH2413" s="1"/>
      <c r="AI2413" s="1"/>
      <c r="AJ2413" s="1"/>
      <c r="AK2413" s="1"/>
      <c r="AL2413" s="1"/>
      <c r="AM2413" s="1"/>
      <c r="AN2413" s="1"/>
      <c r="AO2413" s="1"/>
      <c r="AP2413" s="1"/>
      <c r="AQ2413" s="1"/>
      <c r="AR2413" s="1"/>
      <c r="AS2413" s="1"/>
      <c r="AT2413" s="1"/>
      <c r="AU2413" s="1"/>
      <c r="AV2413" s="1"/>
      <c r="AW2413" s="1"/>
      <c r="AX2413" s="1"/>
      <c r="AY2413" s="1"/>
      <c r="AZ2413" s="1"/>
      <c r="BA2413" s="1"/>
      <c r="BB2413" s="1"/>
      <c r="BC2413" s="1"/>
      <c r="BD2413" s="1"/>
      <c r="BE2413" s="1"/>
      <c r="BF2413" s="1"/>
      <c r="BG2413" s="1"/>
      <c r="BH2413" s="1"/>
      <c r="BI2413" s="1"/>
      <c r="BJ2413" s="1"/>
      <c r="BK2413" s="1"/>
      <c r="BL2413" s="1"/>
      <c r="BM2413" s="1"/>
      <c r="BN2413" s="1"/>
      <c r="BO2413" s="1"/>
      <c r="BP2413" s="1"/>
      <c r="BQ2413" s="1"/>
      <c r="BR2413" s="1"/>
      <c r="BS2413" s="1"/>
      <c r="BT2413" s="1"/>
      <c r="BU2413" s="1" t="s">
        <v>9653</v>
      </c>
      <c r="BV2413" s="3"/>
      <c r="BW2413" s="3"/>
    </row>
    <row r="2414" spans="1:75">
      <c r="A2414" s="1" t="s">
        <v>26662</v>
      </c>
      <c r="B2414" s="1" t="s">
        <v>13976</v>
      </c>
      <c r="C2414" s="1" t="s">
        <v>40497</v>
      </c>
      <c r="D2414" s="1"/>
      <c r="E2414" s="1"/>
      <c r="F2414" s="1"/>
      <c r="G2414" s="1"/>
      <c r="H2414" s="1" t="s">
        <v>40498</v>
      </c>
      <c r="I2414" s="1" t="s">
        <v>40498</v>
      </c>
      <c r="J2414" s="1"/>
      <c r="K2414" s="1"/>
      <c r="L2414" s="1"/>
      <c r="M2414" s="1"/>
      <c r="N2414" s="1"/>
      <c r="O2414" s="1"/>
      <c r="P2414" s="1"/>
      <c r="Q2414" s="1"/>
      <c r="R2414" s="1"/>
      <c r="S2414" s="1"/>
      <c r="T2414" s="1"/>
      <c r="U2414" s="1"/>
      <c r="V2414" s="1"/>
      <c r="W2414" s="1"/>
      <c r="X2414" s="1"/>
      <c r="Y2414" s="1"/>
      <c r="Z2414" s="1"/>
      <c r="AA2414" s="1"/>
      <c r="AB2414" s="1"/>
      <c r="AC2414" s="1"/>
      <c r="AD2414" s="1" t="s">
        <v>98</v>
      </c>
      <c r="AE2414" s="1" t="s">
        <v>98</v>
      </c>
      <c r="AF2414" s="1"/>
      <c r="AG2414" s="1"/>
      <c r="AH2414" s="1"/>
      <c r="AI2414" s="1"/>
      <c r="AJ2414" s="1"/>
      <c r="AK2414" s="1"/>
      <c r="AL2414" s="1"/>
      <c r="AM2414" s="1"/>
      <c r="AN2414" s="1"/>
      <c r="AO2414" s="1"/>
      <c r="AP2414" s="1"/>
      <c r="AQ2414" s="1"/>
      <c r="AR2414" s="1"/>
      <c r="AS2414" s="1"/>
      <c r="AT2414" s="1"/>
      <c r="AU2414" s="1"/>
      <c r="AV2414" s="1"/>
      <c r="AW2414" s="1"/>
      <c r="AX2414" s="1"/>
      <c r="AY2414" s="1"/>
      <c r="AZ2414" s="1"/>
      <c r="BA2414" s="1"/>
      <c r="BB2414" s="1"/>
      <c r="BC2414" s="1"/>
      <c r="BD2414" s="1"/>
      <c r="BE2414" s="1"/>
      <c r="BF2414" s="1"/>
      <c r="BG2414" s="1"/>
      <c r="BH2414" s="1"/>
      <c r="BI2414" s="1"/>
      <c r="BJ2414" s="1"/>
      <c r="BK2414" s="1"/>
      <c r="BL2414" s="1"/>
      <c r="BM2414" s="1"/>
      <c r="BN2414" s="1"/>
      <c r="BO2414" s="1"/>
      <c r="BP2414" s="1"/>
      <c r="BQ2414" s="1"/>
      <c r="BR2414" s="1"/>
      <c r="BS2414" s="1"/>
      <c r="BT2414" s="1"/>
      <c r="BU2414" s="1" t="s">
        <v>9653</v>
      </c>
      <c r="BV2414" s="3"/>
      <c r="BW2414" s="3"/>
    </row>
    <row r="2415" spans="1:75">
      <c r="A2415" s="1" t="s">
        <v>26662</v>
      </c>
      <c r="B2415" s="1" t="s">
        <v>13976</v>
      </c>
      <c r="C2415" s="1" t="s">
        <v>40499</v>
      </c>
      <c r="D2415" s="1"/>
      <c r="E2415" s="1"/>
      <c r="F2415" s="1"/>
      <c r="G2415" s="1"/>
      <c r="H2415" s="1" t="s">
        <v>40500</v>
      </c>
      <c r="I2415" s="1" t="s">
        <v>40500</v>
      </c>
      <c r="J2415" s="1"/>
      <c r="K2415" s="1"/>
      <c r="L2415" s="1"/>
      <c r="M2415" s="1"/>
      <c r="N2415" s="1"/>
      <c r="O2415" s="1"/>
      <c r="P2415" s="1"/>
      <c r="Q2415" s="1"/>
      <c r="R2415" s="1"/>
      <c r="S2415" s="1"/>
      <c r="T2415" s="1"/>
      <c r="U2415" s="1"/>
      <c r="V2415" s="1"/>
      <c r="W2415" s="1"/>
      <c r="X2415" s="1"/>
      <c r="Y2415" s="1"/>
      <c r="Z2415" s="1"/>
      <c r="AA2415" s="1"/>
      <c r="AB2415" s="1"/>
      <c r="AC2415" s="1"/>
      <c r="AD2415" s="1" t="s">
        <v>98</v>
      </c>
      <c r="AE2415" s="1" t="s">
        <v>98</v>
      </c>
      <c r="AF2415" s="1"/>
      <c r="AG2415" s="1"/>
      <c r="AH2415" s="1"/>
      <c r="AI2415" s="1"/>
      <c r="AJ2415" s="1"/>
      <c r="AK2415" s="1"/>
      <c r="AL2415" s="1"/>
      <c r="AM2415" s="1"/>
      <c r="AN2415" s="1"/>
      <c r="AO2415" s="1"/>
      <c r="AP2415" s="1"/>
      <c r="AQ2415" s="1"/>
      <c r="AR2415" s="1"/>
      <c r="AS2415" s="1"/>
      <c r="AT2415" s="1"/>
      <c r="AU2415" s="1"/>
      <c r="AV2415" s="1"/>
      <c r="AW2415" s="1"/>
      <c r="AX2415" s="1"/>
      <c r="AY2415" s="1"/>
      <c r="AZ2415" s="1"/>
      <c r="BA2415" s="1"/>
      <c r="BB2415" s="1"/>
      <c r="BC2415" s="1"/>
      <c r="BD2415" s="1"/>
      <c r="BE2415" s="1"/>
      <c r="BF2415" s="1"/>
      <c r="BG2415" s="1"/>
      <c r="BH2415" s="1"/>
      <c r="BI2415" s="1"/>
      <c r="BJ2415" s="1"/>
      <c r="BK2415" s="1"/>
      <c r="BL2415" s="1"/>
      <c r="BM2415" s="1"/>
      <c r="BN2415" s="1"/>
      <c r="BO2415" s="1"/>
      <c r="BP2415" s="1"/>
      <c r="BQ2415" s="1"/>
      <c r="BR2415" s="1"/>
      <c r="BS2415" s="1"/>
      <c r="BT2415" s="1"/>
      <c r="BU2415" s="1" t="s">
        <v>9653</v>
      </c>
      <c r="BV2415" s="3"/>
      <c r="BW2415" s="3"/>
    </row>
    <row r="2416" spans="1:75">
      <c r="A2416" s="1" t="s">
        <v>26662</v>
      </c>
      <c r="B2416" s="1" t="s">
        <v>13976</v>
      </c>
      <c r="C2416" s="1" t="s">
        <v>40501</v>
      </c>
      <c r="D2416" s="1"/>
      <c r="E2416" s="1"/>
      <c r="F2416" s="1"/>
      <c r="G2416" s="1"/>
      <c r="H2416" s="1" t="s">
        <v>40502</v>
      </c>
      <c r="I2416" s="1" t="s">
        <v>40502</v>
      </c>
      <c r="J2416" s="1"/>
      <c r="K2416" s="1"/>
      <c r="L2416" s="1"/>
      <c r="M2416" s="1"/>
      <c r="N2416" s="1"/>
      <c r="O2416" s="1"/>
      <c r="P2416" s="1"/>
      <c r="Q2416" s="1"/>
      <c r="R2416" s="1"/>
      <c r="S2416" s="1"/>
      <c r="T2416" s="1"/>
      <c r="U2416" s="1"/>
      <c r="V2416" s="1"/>
      <c r="W2416" s="1"/>
      <c r="X2416" s="1"/>
      <c r="Y2416" s="1"/>
      <c r="Z2416" s="1"/>
      <c r="AA2416" s="1"/>
      <c r="AB2416" s="1"/>
      <c r="AC2416" s="1"/>
      <c r="AD2416" s="1" t="s">
        <v>98</v>
      </c>
      <c r="AE2416" s="1" t="s">
        <v>98</v>
      </c>
      <c r="AF2416" s="1"/>
      <c r="AG2416" s="1"/>
      <c r="AH2416" s="1"/>
      <c r="AI2416" s="1"/>
      <c r="AJ2416" s="1"/>
      <c r="AK2416" s="1"/>
      <c r="AL2416" s="1"/>
      <c r="AM2416" s="1"/>
      <c r="AN2416" s="1"/>
      <c r="AO2416" s="1"/>
      <c r="AP2416" s="1"/>
      <c r="AQ2416" s="1"/>
      <c r="AR2416" s="1"/>
      <c r="AS2416" s="1"/>
      <c r="AT2416" s="1"/>
      <c r="AU2416" s="1"/>
      <c r="AV2416" s="1"/>
      <c r="AW2416" s="1"/>
      <c r="AX2416" s="1"/>
      <c r="AY2416" s="1"/>
      <c r="AZ2416" s="1"/>
      <c r="BA2416" s="1"/>
      <c r="BB2416" s="1"/>
      <c r="BC2416" s="1"/>
      <c r="BD2416" s="1"/>
      <c r="BE2416" s="1"/>
      <c r="BF2416" s="1"/>
      <c r="BG2416" s="1"/>
      <c r="BH2416" s="1"/>
      <c r="BI2416" s="1"/>
      <c r="BJ2416" s="1"/>
      <c r="BK2416" s="1"/>
      <c r="BL2416" s="1"/>
      <c r="BM2416" s="1"/>
      <c r="BN2416" s="1"/>
      <c r="BO2416" s="1"/>
      <c r="BP2416" s="1"/>
      <c r="BQ2416" s="1"/>
      <c r="BR2416" s="1"/>
      <c r="BS2416" s="1"/>
      <c r="BT2416" s="1"/>
      <c r="BU2416" s="1" t="s">
        <v>9653</v>
      </c>
      <c r="BV2416" s="3"/>
      <c r="BW2416" s="3"/>
    </row>
    <row r="2417" spans="1:75">
      <c r="A2417" s="1" t="s">
        <v>26662</v>
      </c>
      <c r="B2417" s="1" t="s">
        <v>13976</v>
      </c>
      <c r="C2417" s="1" t="s">
        <v>40503</v>
      </c>
      <c r="D2417" s="1"/>
      <c r="E2417" s="1"/>
      <c r="F2417" s="1"/>
      <c r="G2417" s="1"/>
      <c r="H2417" s="1" t="s">
        <v>40504</v>
      </c>
      <c r="I2417" s="1" t="s">
        <v>40504</v>
      </c>
      <c r="J2417" s="1"/>
      <c r="K2417" s="1"/>
      <c r="L2417" s="1"/>
      <c r="M2417" s="1"/>
      <c r="N2417" s="1"/>
      <c r="O2417" s="1"/>
      <c r="P2417" s="1"/>
      <c r="Q2417" s="1"/>
      <c r="R2417" s="1"/>
      <c r="S2417" s="1"/>
      <c r="T2417" s="1"/>
      <c r="U2417" s="1"/>
      <c r="V2417" s="1"/>
      <c r="W2417" s="1"/>
      <c r="X2417" s="1"/>
      <c r="Y2417" s="1"/>
      <c r="Z2417" s="1"/>
      <c r="AA2417" s="1"/>
      <c r="AB2417" s="1"/>
      <c r="AC2417" s="1"/>
      <c r="AD2417" s="1" t="s">
        <v>98</v>
      </c>
      <c r="AE2417" s="1" t="s">
        <v>98</v>
      </c>
      <c r="AF2417" s="1"/>
      <c r="AG2417" s="1"/>
      <c r="AH2417" s="1"/>
      <c r="AI2417" s="1"/>
      <c r="AJ2417" s="1"/>
      <c r="AK2417" s="1"/>
      <c r="AL2417" s="1"/>
      <c r="AM2417" s="1"/>
      <c r="AN2417" s="1"/>
      <c r="AO2417" s="1"/>
      <c r="AP2417" s="1"/>
      <c r="AQ2417" s="1"/>
      <c r="AR2417" s="1"/>
      <c r="AS2417" s="1"/>
      <c r="AT2417" s="1"/>
      <c r="AU2417" s="1"/>
      <c r="AV2417" s="1"/>
      <c r="AW2417" s="1"/>
      <c r="AX2417" s="1"/>
      <c r="AY2417" s="1"/>
      <c r="AZ2417" s="1"/>
      <c r="BA2417" s="1"/>
      <c r="BB2417" s="1"/>
      <c r="BC2417" s="1"/>
      <c r="BD2417" s="1"/>
      <c r="BE2417" s="1"/>
      <c r="BF2417" s="1"/>
      <c r="BG2417" s="1"/>
      <c r="BH2417" s="1"/>
      <c r="BI2417" s="1"/>
      <c r="BJ2417" s="1"/>
      <c r="BK2417" s="1"/>
      <c r="BL2417" s="1"/>
      <c r="BM2417" s="1"/>
      <c r="BN2417" s="1"/>
      <c r="BO2417" s="1"/>
      <c r="BP2417" s="1"/>
      <c r="BQ2417" s="1"/>
      <c r="BR2417" s="1"/>
      <c r="BS2417" s="1"/>
      <c r="BT2417" s="1"/>
      <c r="BU2417" s="1" t="s">
        <v>9653</v>
      </c>
      <c r="BV2417" s="3"/>
      <c r="BW2417" s="3"/>
    </row>
    <row r="2418" spans="1:75">
      <c r="A2418" s="1" t="s">
        <v>26662</v>
      </c>
      <c r="B2418" s="1" t="s">
        <v>13976</v>
      </c>
      <c r="C2418" s="1" t="s">
        <v>40505</v>
      </c>
      <c r="D2418" s="1"/>
      <c r="E2418" s="1"/>
      <c r="F2418" s="1"/>
      <c r="G2418" s="1"/>
      <c r="H2418" s="1" t="s">
        <v>40506</v>
      </c>
      <c r="I2418" s="1" t="s">
        <v>40506</v>
      </c>
      <c r="J2418" s="1"/>
      <c r="K2418" s="1"/>
      <c r="L2418" s="1"/>
      <c r="M2418" s="1"/>
      <c r="N2418" s="1"/>
      <c r="O2418" s="1"/>
      <c r="P2418" s="1"/>
      <c r="Q2418" s="1"/>
      <c r="R2418" s="1"/>
      <c r="S2418" s="1"/>
      <c r="T2418" s="1"/>
      <c r="U2418" s="1"/>
      <c r="V2418" s="1"/>
      <c r="W2418" s="1"/>
      <c r="X2418" s="1"/>
      <c r="Y2418" s="1"/>
      <c r="Z2418" s="1"/>
      <c r="AA2418" s="1"/>
      <c r="AB2418" s="1"/>
      <c r="AC2418" s="1"/>
      <c r="AD2418" s="1" t="s">
        <v>98</v>
      </c>
      <c r="AE2418" s="1" t="s">
        <v>98</v>
      </c>
      <c r="AF2418" s="1"/>
      <c r="AG2418" s="1"/>
      <c r="AH2418" s="1"/>
      <c r="AI2418" s="1"/>
      <c r="AJ2418" s="1"/>
      <c r="AK2418" s="1"/>
      <c r="AL2418" s="1"/>
      <c r="AM2418" s="1"/>
      <c r="AN2418" s="1"/>
      <c r="AO2418" s="1"/>
      <c r="AP2418" s="1"/>
      <c r="AQ2418" s="1"/>
      <c r="AR2418" s="1"/>
      <c r="AS2418" s="1"/>
      <c r="AT2418" s="1"/>
      <c r="AU2418" s="1"/>
      <c r="AV2418" s="1"/>
      <c r="AW2418" s="1"/>
      <c r="AX2418" s="1"/>
      <c r="AY2418" s="1"/>
      <c r="AZ2418" s="1"/>
      <c r="BA2418" s="1"/>
      <c r="BB2418" s="1"/>
      <c r="BC2418" s="1"/>
      <c r="BD2418" s="1"/>
      <c r="BE2418" s="1"/>
      <c r="BF2418" s="1"/>
      <c r="BG2418" s="1"/>
      <c r="BH2418" s="1"/>
      <c r="BI2418" s="1"/>
      <c r="BJ2418" s="1"/>
      <c r="BK2418" s="1"/>
      <c r="BL2418" s="1"/>
      <c r="BM2418" s="1"/>
      <c r="BN2418" s="1"/>
      <c r="BO2418" s="1"/>
      <c r="BP2418" s="1"/>
      <c r="BQ2418" s="1"/>
      <c r="BR2418" s="1"/>
      <c r="BS2418" s="1"/>
      <c r="BT2418" s="1"/>
      <c r="BU2418" s="1" t="s">
        <v>9653</v>
      </c>
      <c r="BV2418" s="3"/>
      <c r="BW2418" s="3"/>
    </row>
    <row r="2419" spans="1:75">
      <c r="A2419" s="1" t="s">
        <v>26662</v>
      </c>
      <c r="B2419" s="1" t="s">
        <v>13976</v>
      </c>
      <c r="C2419" s="1" t="s">
        <v>40507</v>
      </c>
      <c r="D2419" s="1"/>
      <c r="E2419" s="1"/>
      <c r="F2419" s="1"/>
      <c r="G2419" s="1"/>
      <c r="H2419" s="1" t="s">
        <v>40508</v>
      </c>
      <c r="I2419" s="1" t="s">
        <v>40508</v>
      </c>
      <c r="J2419" s="1"/>
      <c r="K2419" s="1"/>
      <c r="L2419" s="1"/>
      <c r="M2419" s="1"/>
      <c r="N2419" s="1"/>
      <c r="O2419" s="1"/>
      <c r="P2419" s="1"/>
      <c r="Q2419" s="1"/>
      <c r="R2419" s="1"/>
      <c r="S2419" s="1"/>
      <c r="T2419" s="1"/>
      <c r="U2419" s="1"/>
      <c r="V2419" s="1"/>
      <c r="W2419" s="1"/>
      <c r="X2419" s="1"/>
      <c r="Y2419" s="1"/>
      <c r="Z2419" s="1"/>
      <c r="AA2419" s="1"/>
      <c r="AB2419" s="1"/>
      <c r="AC2419" s="1"/>
      <c r="AD2419" s="1" t="s">
        <v>98</v>
      </c>
      <c r="AE2419" s="1" t="s">
        <v>98</v>
      </c>
      <c r="AF2419" s="1"/>
      <c r="AG2419" s="1"/>
      <c r="AH2419" s="1"/>
      <c r="AI2419" s="1"/>
      <c r="AJ2419" s="1"/>
      <c r="AK2419" s="1"/>
      <c r="AL2419" s="1"/>
      <c r="AM2419" s="1"/>
      <c r="AN2419" s="1"/>
      <c r="AO2419" s="1"/>
      <c r="AP2419" s="1"/>
      <c r="AQ2419" s="1"/>
      <c r="AR2419" s="1"/>
      <c r="AS2419" s="1"/>
      <c r="AT2419" s="1"/>
      <c r="AU2419" s="1"/>
      <c r="AV2419" s="1"/>
      <c r="AW2419" s="1"/>
      <c r="AX2419" s="1"/>
      <c r="AY2419" s="1"/>
      <c r="AZ2419" s="1"/>
      <c r="BA2419" s="1"/>
      <c r="BB2419" s="1"/>
      <c r="BC2419" s="1"/>
      <c r="BD2419" s="1"/>
      <c r="BE2419" s="1"/>
      <c r="BF2419" s="1"/>
      <c r="BG2419" s="1"/>
      <c r="BH2419" s="1"/>
      <c r="BI2419" s="1"/>
      <c r="BJ2419" s="1"/>
      <c r="BK2419" s="1"/>
      <c r="BL2419" s="1"/>
      <c r="BM2419" s="1"/>
      <c r="BN2419" s="1"/>
      <c r="BO2419" s="1"/>
      <c r="BP2419" s="1"/>
      <c r="BQ2419" s="1"/>
      <c r="BR2419" s="1"/>
      <c r="BS2419" s="1"/>
      <c r="BT2419" s="1"/>
      <c r="BU2419" s="1" t="s">
        <v>9653</v>
      </c>
      <c r="BV2419" s="3"/>
      <c r="BW2419" s="3"/>
    </row>
    <row r="2420" spans="1:75">
      <c r="A2420" s="1" t="s">
        <v>26662</v>
      </c>
      <c r="B2420" s="1" t="s">
        <v>13976</v>
      </c>
      <c r="C2420" s="1" t="s">
        <v>40509</v>
      </c>
      <c r="D2420" s="1"/>
      <c r="E2420" s="1"/>
      <c r="F2420" s="1"/>
      <c r="G2420" s="1"/>
      <c r="H2420" s="1" t="s">
        <v>40510</v>
      </c>
      <c r="I2420" s="1" t="s">
        <v>40510</v>
      </c>
      <c r="J2420" s="1"/>
      <c r="K2420" s="1"/>
      <c r="L2420" s="1"/>
      <c r="M2420" s="1"/>
      <c r="N2420" s="1"/>
      <c r="O2420" s="1"/>
      <c r="P2420" s="1"/>
      <c r="Q2420" s="1"/>
      <c r="R2420" s="1"/>
      <c r="S2420" s="1"/>
      <c r="T2420" s="1"/>
      <c r="U2420" s="1"/>
      <c r="V2420" s="1"/>
      <c r="W2420" s="1"/>
      <c r="X2420" s="1"/>
      <c r="Y2420" s="1"/>
      <c r="Z2420" s="1"/>
      <c r="AA2420" s="1"/>
      <c r="AB2420" s="1"/>
      <c r="AC2420" s="1"/>
      <c r="AD2420" s="1" t="s">
        <v>98</v>
      </c>
      <c r="AE2420" s="1" t="s">
        <v>98</v>
      </c>
      <c r="AF2420" s="1"/>
      <c r="AG2420" s="1"/>
      <c r="AH2420" s="1"/>
      <c r="AI2420" s="1"/>
      <c r="AJ2420" s="1"/>
      <c r="AK2420" s="1"/>
      <c r="AL2420" s="1"/>
      <c r="AM2420" s="1"/>
      <c r="AN2420" s="1"/>
      <c r="AO2420" s="1"/>
      <c r="AP2420" s="1"/>
      <c r="AQ2420" s="1"/>
      <c r="AR2420" s="1"/>
      <c r="AS2420" s="1"/>
      <c r="AT2420" s="1"/>
      <c r="AU2420" s="1"/>
      <c r="AV2420" s="1"/>
      <c r="AW2420" s="1"/>
      <c r="AX2420" s="1"/>
      <c r="AY2420" s="1"/>
      <c r="AZ2420" s="1"/>
      <c r="BA2420" s="1"/>
      <c r="BB2420" s="1"/>
      <c r="BC2420" s="1"/>
      <c r="BD2420" s="1"/>
      <c r="BE2420" s="1"/>
      <c r="BF2420" s="1"/>
      <c r="BG2420" s="1"/>
      <c r="BH2420" s="1"/>
      <c r="BI2420" s="1"/>
      <c r="BJ2420" s="1"/>
      <c r="BK2420" s="1"/>
      <c r="BL2420" s="1"/>
      <c r="BM2420" s="1"/>
      <c r="BN2420" s="1"/>
      <c r="BO2420" s="1"/>
      <c r="BP2420" s="1"/>
      <c r="BQ2420" s="1"/>
      <c r="BR2420" s="1"/>
      <c r="BS2420" s="1"/>
      <c r="BT2420" s="1"/>
      <c r="BU2420" s="1" t="s">
        <v>9653</v>
      </c>
      <c r="BV2420" s="3"/>
      <c r="BW2420" s="3"/>
    </row>
    <row r="2421" spans="1:75">
      <c r="A2421" s="1" t="s">
        <v>26662</v>
      </c>
      <c r="B2421" s="1" t="s">
        <v>13976</v>
      </c>
      <c r="C2421" s="1" t="s">
        <v>40511</v>
      </c>
      <c r="D2421" s="1"/>
      <c r="E2421" s="1"/>
      <c r="F2421" s="1"/>
      <c r="G2421" s="1"/>
      <c r="H2421" s="1" t="s">
        <v>40512</v>
      </c>
      <c r="I2421" s="1" t="s">
        <v>40512</v>
      </c>
      <c r="J2421" s="1"/>
      <c r="K2421" s="1"/>
      <c r="L2421" s="1"/>
      <c r="M2421" s="1"/>
      <c r="N2421" s="1"/>
      <c r="O2421" s="1"/>
      <c r="P2421" s="1"/>
      <c r="Q2421" s="1"/>
      <c r="R2421" s="1"/>
      <c r="S2421" s="1"/>
      <c r="T2421" s="1"/>
      <c r="U2421" s="1"/>
      <c r="V2421" s="1"/>
      <c r="W2421" s="1"/>
      <c r="X2421" s="1"/>
      <c r="Y2421" s="1"/>
      <c r="Z2421" s="1"/>
      <c r="AA2421" s="1"/>
      <c r="AB2421" s="1"/>
      <c r="AC2421" s="1"/>
      <c r="AD2421" s="1" t="s">
        <v>98</v>
      </c>
      <c r="AE2421" s="1" t="s">
        <v>98</v>
      </c>
      <c r="AF2421" s="1"/>
      <c r="AG2421" s="1"/>
      <c r="AH2421" s="1"/>
      <c r="AI2421" s="1"/>
      <c r="AJ2421" s="1"/>
      <c r="AK2421" s="1"/>
      <c r="AL2421" s="1"/>
      <c r="AM2421" s="1"/>
      <c r="AN2421" s="1"/>
      <c r="AO2421" s="1"/>
      <c r="AP2421" s="1"/>
      <c r="AQ2421" s="1"/>
      <c r="AR2421" s="1"/>
      <c r="AS2421" s="1"/>
      <c r="AT2421" s="1"/>
      <c r="AU2421" s="1"/>
      <c r="AV2421" s="1"/>
      <c r="AW2421" s="1"/>
      <c r="AX2421" s="1"/>
      <c r="AY2421" s="1"/>
      <c r="AZ2421" s="1"/>
      <c r="BA2421" s="1"/>
      <c r="BB2421" s="1"/>
      <c r="BC2421" s="1"/>
      <c r="BD2421" s="1"/>
      <c r="BE2421" s="1"/>
      <c r="BF2421" s="1"/>
      <c r="BG2421" s="1"/>
      <c r="BH2421" s="1"/>
      <c r="BI2421" s="1"/>
      <c r="BJ2421" s="1"/>
      <c r="BK2421" s="1"/>
      <c r="BL2421" s="1"/>
      <c r="BM2421" s="1"/>
      <c r="BN2421" s="1"/>
      <c r="BO2421" s="1"/>
      <c r="BP2421" s="1"/>
      <c r="BQ2421" s="1"/>
      <c r="BR2421" s="1"/>
      <c r="BS2421" s="1"/>
      <c r="BT2421" s="1"/>
      <c r="BU2421" s="1" t="s">
        <v>9653</v>
      </c>
      <c r="BV2421" s="3"/>
      <c r="BW2421" s="3"/>
    </row>
    <row r="2422" spans="1:75">
      <c r="A2422" s="1" t="s">
        <v>26662</v>
      </c>
      <c r="B2422" s="1" t="s">
        <v>13976</v>
      </c>
      <c r="C2422" s="1" t="s">
        <v>40513</v>
      </c>
      <c r="D2422" s="1"/>
      <c r="E2422" s="1"/>
      <c r="F2422" s="1"/>
      <c r="G2422" s="1"/>
      <c r="H2422" s="1" t="s">
        <v>40514</v>
      </c>
      <c r="I2422" s="1" t="s">
        <v>40514</v>
      </c>
      <c r="J2422" s="1"/>
      <c r="K2422" s="1"/>
      <c r="L2422" s="1"/>
      <c r="M2422" s="1"/>
      <c r="N2422" s="1"/>
      <c r="O2422" s="1"/>
      <c r="P2422" s="1"/>
      <c r="Q2422" s="1"/>
      <c r="R2422" s="1"/>
      <c r="S2422" s="1"/>
      <c r="T2422" s="1"/>
      <c r="U2422" s="1"/>
      <c r="V2422" s="1"/>
      <c r="W2422" s="1"/>
      <c r="X2422" s="1"/>
      <c r="Y2422" s="1"/>
      <c r="Z2422" s="1"/>
      <c r="AA2422" s="1"/>
      <c r="AB2422" s="1"/>
      <c r="AC2422" s="1"/>
      <c r="AD2422" s="1" t="s">
        <v>98</v>
      </c>
      <c r="AE2422" s="1" t="s">
        <v>98</v>
      </c>
      <c r="AF2422" s="1"/>
      <c r="AG2422" s="1"/>
      <c r="AH2422" s="1"/>
      <c r="AI2422" s="1"/>
      <c r="AJ2422" s="1"/>
      <c r="AK2422" s="1"/>
      <c r="AL2422" s="1"/>
      <c r="AM2422" s="1"/>
      <c r="AN2422" s="1"/>
      <c r="AO2422" s="1"/>
      <c r="AP2422" s="1"/>
      <c r="AQ2422" s="1"/>
      <c r="AR2422" s="1"/>
      <c r="AS2422" s="1"/>
      <c r="AT2422" s="1"/>
      <c r="AU2422" s="1"/>
      <c r="AV2422" s="1"/>
      <c r="AW2422" s="1"/>
      <c r="AX2422" s="1"/>
      <c r="AY2422" s="1"/>
      <c r="AZ2422" s="1"/>
      <c r="BA2422" s="1"/>
      <c r="BB2422" s="1"/>
      <c r="BC2422" s="1"/>
      <c r="BD2422" s="1"/>
      <c r="BE2422" s="1"/>
      <c r="BF2422" s="1"/>
      <c r="BG2422" s="1"/>
      <c r="BH2422" s="1"/>
      <c r="BI2422" s="1"/>
      <c r="BJ2422" s="1"/>
      <c r="BK2422" s="1"/>
      <c r="BL2422" s="1"/>
      <c r="BM2422" s="1"/>
      <c r="BN2422" s="1"/>
      <c r="BO2422" s="1"/>
      <c r="BP2422" s="1"/>
      <c r="BQ2422" s="1"/>
      <c r="BR2422" s="1"/>
      <c r="BS2422" s="1"/>
      <c r="BT2422" s="1"/>
      <c r="BU2422" s="1" t="s">
        <v>9653</v>
      </c>
      <c r="BV2422" s="3"/>
      <c r="BW2422" s="3"/>
    </row>
    <row r="2423" spans="1:75">
      <c r="A2423" s="1" t="s">
        <v>26662</v>
      </c>
      <c r="B2423" s="1" t="s">
        <v>13976</v>
      </c>
      <c r="C2423" s="1" t="s">
        <v>40515</v>
      </c>
      <c r="D2423" s="1"/>
      <c r="E2423" s="1"/>
      <c r="F2423" s="1"/>
      <c r="G2423" s="1"/>
      <c r="H2423" s="1" t="s">
        <v>40516</v>
      </c>
      <c r="I2423" s="1" t="s">
        <v>40516</v>
      </c>
      <c r="J2423" s="1"/>
      <c r="K2423" s="1"/>
      <c r="L2423" s="1"/>
      <c r="M2423" s="1"/>
      <c r="N2423" s="1"/>
      <c r="O2423" s="1"/>
      <c r="P2423" s="1"/>
      <c r="Q2423" s="1"/>
      <c r="R2423" s="1"/>
      <c r="S2423" s="1"/>
      <c r="T2423" s="1"/>
      <c r="U2423" s="1"/>
      <c r="V2423" s="1"/>
      <c r="W2423" s="1"/>
      <c r="X2423" s="1"/>
      <c r="Y2423" s="1"/>
      <c r="Z2423" s="1"/>
      <c r="AA2423" s="1"/>
      <c r="AB2423" s="1"/>
      <c r="AC2423" s="1"/>
      <c r="AD2423" s="1" t="s">
        <v>98</v>
      </c>
      <c r="AE2423" s="1" t="s">
        <v>98</v>
      </c>
      <c r="AF2423" s="1"/>
      <c r="AG2423" s="1"/>
      <c r="AH2423" s="1"/>
      <c r="AI2423" s="1"/>
      <c r="AJ2423" s="1"/>
      <c r="AK2423" s="1"/>
      <c r="AL2423" s="1"/>
      <c r="AM2423" s="1"/>
      <c r="AN2423" s="1"/>
      <c r="AO2423" s="1"/>
      <c r="AP2423" s="1"/>
      <c r="AQ2423" s="1"/>
      <c r="AR2423" s="1"/>
      <c r="AS2423" s="1"/>
      <c r="AT2423" s="1"/>
      <c r="AU2423" s="1"/>
      <c r="AV2423" s="1"/>
      <c r="AW2423" s="1"/>
      <c r="AX2423" s="1"/>
      <c r="AY2423" s="1"/>
      <c r="AZ2423" s="1"/>
      <c r="BA2423" s="1"/>
      <c r="BB2423" s="1"/>
      <c r="BC2423" s="1"/>
      <c r="BD2423" s="1"/>
      <c r="BE2423" s="1"/>
      <c r="BF2423" s="1"/>
      <c r="BG2423" s="1"/>
      <c r="BH2423" s="1"/>
      <c r="BI2423" s="1"/>
      <c r="BJ2423" s="1"/>
      <c r="BK2423" s="1"/>
      <c r="BL2423" s="1"/>
      <c r="BM2423" s="1"/>
      <c r="BN2423" s="1"/>
      <c r="BO2423" s="1"/>
      <c r="BP2423" s="1"/>
      <c r="BQ2423" s="1"/>
      <c r="BR2423" s="1"/>
      <c r="BS2423" s="1"/>
      <c r="BT2423" s="1"/>
      <c r="BU2423" s="1" t="s">
        <v>9653</v>
      </c>
      <c r="BV2423" s="3"/>
      <c r="BW2423" s="3"/>
    </row>
    <row r="2424" spans="1:75">
      <c r="A2424" s="1" t="s">
        <v>26662</v>
      </c>
      <c r="B2424" s="1" t="s">
        <v>13976</v>
      </c>
      <c r="C2424" s="1" t="s">
        <v>40517</v>
      </c>
      <c r="D2424" s="1"/>
      <c r="E2424" s="1"/>
      <c r="F2424" s="1"/>
      <c r="G2424" s="1"/>
      <c r="H2424" s="1" t="s">
        <v>40518</v>
      </c>
      <c r="I2424" s="1" t="s">
        <v>40518</v>
      </c>
      <c r="J2424" s="1"/>
      <c r="K2424" s="1"/>
      <c r="L2424" s="1"/>
      <c r="M2424" s="1"/>
      <c r="N2424" s="1"/>
      <c r="O2424" s="1"/>
      <c r="P2424" s="1"/>
      <c r="Q2424" s="1"/>
      <c r="R2424" s="1"/>
      <c r="S2424" s="1"/>
      <c r="T2424" s="1"/>
      <c r="U2424" s="1"/>
      <c r="V2424" s="1"/>
      <c r="W2424" s="1"/>
      <c r="X2424" s="1"/>
      <c r="Y2424" s="1"/>
      <c r="Z2424" s="1"/>
      <c r="AA2424" s="1"/>
      <c r="AB2424" s="1"/>
      <c r="AC2424" s="1"/>
      <c r="AD2424" s="1" t="s">
        <v>98</v>
      </c>
      <c r="AE2424" s="1" t="s">
        <v>98</v>
      </c>
      <c r="AF2424" s="1"/>
      <c r="AG2424" s="1"/>
      <c r="AH2424" s="1"/>
      <c r="AI2424" s="1"/>
      <c r="AJ2424" s="1"/>
      <c r="AK2424" s="1"/>
      <c r="AL2424" s="1"/>
      <c r="AM2424" s="1"/>
      <c r="AN2424" s="1"/>
      <c r="AO2424" s="1"/>
      <c r="AP2424" s="1"/>
      <c r="AQ2424" s="1"/>
      <c r="AR2424" s="1"/>
      <c r="AS2424" s="1"/>
      <c r="AT2424" s="1"/>
      <c r="AU2424" s="1"/>
      <c r="AV2424" s="1"/>
      <c r="AW2424" s="1"/>
      <c r="AX2424" s="1"/>
      <c r="AY2424" s="1"/>
      <c r="AZ2424" s="1"/>
      <c r="BA2424" s="1"/>
      <c r="BB2424" s="1"/>
      <c r="BC2424" s="1"/>
      <c r="BD2424" s="1"/>
      <c r="BE2424" s="1"/>
      <c r="BF2424" s="1"/>
      <c r="BG2424" s="1"/>
      <c r="BH2424" s="1"/>
      <c r="BI2424" s="1"/>
      <c r="BJ2424" s="1"/>
      <c r="BK2424" s="1"/>
      <c r="BL2424" s="1"/>
      <c r="BM2424" s="1"/>
      <c r="BN2424" s="1"/>
      <c r="BO2424" s="1"/>
      <c r="BP2424" s="1"/>
      <c r="BQ2424" s="1"/>
      <c r="BR2424" s="1"/>
      <c r="BS2424" s="1"/>
      <c r="BT2424" s="1"/>
      <c r="BU2424" s="1" t="s">
        <v>9653</v>
      </c>
      <c r="BV2424" s="3"/>
      <c r="BW2424" s="3"/>
    </row>
    <row r="2425" spans="1:75">
      <c r="A2425" s="1" t="s">
        <v>26662</v>
      </c>
      <c r="B2425" s="1" t="s">
        <v>13976</v>
      </c>
      <c r="C2425" s="1" t="s">
        <v>40519</v>
      </c>
      <c r="D2425" s="1"/>
      <c r="E2425" s="1"/>
      <c r="F2425" s="1"/>
      <c r="G2425" s="1"/>
      <c r="H2425" s="1" t="s">
        <v>40520</v>
      </c>
      <c r="I2425" s="1" t="s">
        <v>40520</v>
      </c>
      <c r="J2425" s="1"/>
      <c r="K2425" s="1"/>
      <c r="L2425" s="1"/>
      <c r="M2425" s="1"/>
      <c r="N2425" s="1"/>
      <c r="O2425" s="1"/>
      <c r="P2425" s="1"/>
      <c r="Q2425" s="1"/>
      <c r="R2425" s="1"/>
      <c r="S2425" s="1"/>
      <c r="T2425" s="1"/>
      <c r="U2425" s="1"/>
      <c r="V2425" s="1"/>
      <c r="W2425" s="1"/>
      <c r="X2425" s="1"/>
      <c r="Y2425" s="1"/>
      <c r="Z2425" s="1"/>
      <c r="AA2425" s="1"/>
      <c r="AB2425" s="1"/>
      <c r="AC2425" s="1"/>
      <c r="AD2425" s="1" t="s">
        <v>98</v>
      </c>
      <c r="AE2425" s="1" t="s">
        <v>98</v>
      </c>
      <c r="AF2425" s="1"/>
      <c r="AG2425" s="1"/>
      <c r="AH2425" s="1"/>
      <c r="AI2425" s="1"/>
      <c r="AJ2425" s="1"/>
      <c r="AK2425" s="1"/>
      <c r="AL2425" s="1"/>
      <c r="AM2425" s="1"/>
      <c r="AN2425" s="1"/>
      <c r="AO2425" s="1"/>
      <c r="AP2425" s="1"/>
      <c r="AQ2425" s="1"/>
      <c r="AR2425" s="1"/>
      <c r="AS2425" s="1"/>
      <c r="AT2425" s="1"/>
      <c r="AU2425" s="1"/>
      <c r="AV2425" s="1"/>
      <c r="AW2425" s="1"/>
      <c r="AX2425" s="1"/>
      <c r="AY2425" s="1"/>
      <c r="AZ2425" s="1"/>
      <c r="BA2425" s="1"/>
      <c r="BB2425" s="1"/>
      <c r="BC2425" s="1"/>
      <c r="BD2425" s="1"/>
      <c r="BE2425" s="1"/>
      <c r="BF2425" s="1"/>
      <c r="BG2425" s="1"/>
      <c r="BH2425" s="1"/>
      <c r="BI2425" s="1"/>
      <c r="BJ2425" s="1"/>
      <c r="BK2425" s="1"/>
      <c r="BL2425" s="1"/>
      <c r="BM2425" s="1"/>
      <c r="BN2425" s="1"/>
      <c r="BO2425" s="1"/>
      <c r="BP2425" s="1"/>
      <c r="BQ2425" s="1"/>
      <c r="BR2425" s="1"/>
      <c r="BS2425" s="1"/>
      <c r="BT2425" s="1"/>
      <c r="BU2425" s="1" t="s">
        <v>9653</v>
      </c>
      <c r="BV2425" s="3"/>
      <c r="BW2425" s="3"/>
    </row>
    <row r="2426" spans="1:75">
      <c r="A2426" s="1" t="s">
        <v>26662</v>
      </c>
      <c r="B2426" s="1" t="s">
        <v>13976</v>
      </c>
      <c r="C2426" s="1" t="s">
        <v>40521</v>
      </c>
      <c r="D2426" s="1"/>
      <c r="E2426" s="1"/>
      <c r="F2426" s="1"/>
      <c r="G2426" s="1"/>
      <c r="H2426" s="1" t="s">
        <v>40522</v>
      </c>
      <c r="I2426" s="1" t="s">
        <v>40522</v>
      </c>
      <c r="J2426" s="1"/>
      <c r="K2426" s="1"/>
      <c r="L2426" s="1"/>
      <c r="M2426" s="1"/>
      <c r="N2426" s="1"/>
      <c r="O2426" s="1"/>
      <c r="P2426" s="1"/>
      <c r="Q2426" s="1"/>
      <c r="R2426" s="1"/>
      <c r="S2426" s="1"/>
      <c r="T2426" s="1"/>
      <c r="U2426" s="1"/>
      <c r="V2426" s="1"/>
      <c r="W2426" s="1"/>
      <c r="X2426" s="1"/>
      <c r="Y2426" s="1"/>
      <c r="Z2426" s="1"/>
      <c r="AA2426" s="1"/>
      <c r="AB2426" s="1"/>
      <c r="AC2426" s="1"/>
      <c r="AD2426" s="1" t="s">
        <v>98</v>
      </c>
      <c r="AE2426" s="1" t="s">
        <v>98</v>
      </c>
      <c r="AF2426" s="1"/>
      <c r="AG2426" s="1"/>
      <c r="AH2426" s="1"/>
      <c r="AI2426" s="1"/>
      <c r="AJ2426" s="1"/>
      <c r="AK2426" s="1"/>
      <c r="AL2426" s="1"/>
      <c r="AM2426" s="1"/>
      <c r="AN2426" s="1"/>
      <c r="AO2426" s="1"/>
      <c r="AP2426" s="1"/>
      <c r="AQ2426" s="1"/>
      <c r="AR2426" s="1"/>
      <c r="AS2426" s="1"/>
      <c r="AT2426" s="1"/>
      <c r="AU2426" s="1"/>
      <c r="AV2426" s="1"/>
      <c r="AW2426" s="1"/>
      <c r="AX2426" s="1"/>
      <c r="AY2426" s="1"/>
      <c r="AZ2426" s="1"/>
      <c r="BA2426" s="1"/>
      <c r="BB2426" s="1"/>
      <c r="BC2426" s="1"/>
      <c r="BD2426" s="1"/>
      <c r="BE2426" s="1"/>
      <c r="BF2426" s="1"/>
      <c r="BG2426" s="1"/>
      <c r="BH2426" s="1"/>
      <c r="BI2426" s="1"/>
      <c r="BJ2426" s="1"/>
      <c r="BK2426" s="1"/>
      <c r="BL2426" s="1"/>
      <c r="BM2426" s="1"/>
      <c r="BN2426" s="1"/>
      <c r="BO2426" s="1"/>
      <c r="BP2426" s="1"/>
      <c r="BQ2426" s="1"/>
      <c r="BR2426" s="1"/>
      <c r="BS2426" s="1"/>
      <c r="BT2426" s="1"/>
      <c r="BU2426" s="1" t="s">
        <v>9653</v>
      </c>
      <c r="BV2426" s="3"/>
      <c r="BW2426" s="3"/>
    </row>
    <row r="2427" spans="1:75">
      <c r="A2427" s="1" t="s">
        <v>26662</v>
      </c>
      <c r="B2427" s="1" t="s">
        <v>13976</v>
      </c>
      <c r="C2427" s="1" t="s">
        <v>40523</v>
      </c>
      <c r="D2427" s="1"/>
      <c r="E2427" s="1"/>
      <c r="F2427" s="1"/>
      <c r="G2427" s="1"/>
      <c r="H2427" s="1" t="s">
        <v>40524</v>
      </c>
      <c r="I2427" s="1" t="s">
        <v>40524</v>
      </c>
      <c r="J2427" s="1"/>
      <c r="K2427" s="1"/>
      <c r="L2427" s="1"/>
      <c r="M2427" s="1"/>
      <c r="N2427" s="1"/>
      <c r="O2427" s="1"/>
      <c r="P2427" s="1"/>
      <c r="Q2427" s="1"/>
      <c r="R2427" s="1"/>
      <c r="S2427" s="1"/>
      <c r="T2427" s="1"/>
      <c r="U2427" s="1"/>
      <c r="V2427" s="1"/>
      <c r="W2427" s="1"/>
      <c r="X2427" s="1"/>
      <c r="Y2427" s="1"/>
      <c r="Z2427" s="1"/>
      <c r="AA2427" s="1"/>
      <c r="AB2427" s="1"/>
      <c r="AC2427" s="1"/>
      <c r="AD2427" s="1" t="s">
        <v>98</v>
      </c>
      <c r="AE2427" s="1" t="s">
        <v>98</v>
      </c>
      <c r="AF2427" s="1"/>
      <c r="AG2427" s="1"/>
      <c r="AH2427" s="1"/>
      <c r="AI2427" s="1"/>
      <c r="AJ2427" s="1"/>
      <c r="AK2427" s="1"/>
      <c r="AL2427" s="1"/>
      <c r="AM2427" s="1"/>
      <c r="AN2427" s="1"/>
      <c r="AO2427" s="1"/>
      <c r="AP2427" s="1"/>
      <c r="AQ2427" s="1"/>
      <c r="AR2427" s="1"/>
      <c r="AS2427" s="1"/>
      <c r="AT2427" s="1"/>
      <c r="AU2427" s="1"/>
      <c r="AV2427" s="1"/>
      <c r="AW2427" s="1"/>
      <c r="AX2427" s="1"/>
      <c r="AY2427" s="1"/>
      <c r="AZ2427" s="1"/>
      <c r="BA2427" s="1"/>
      <c r="BB2427" s="1"/>
      <c r="BC2427" s="1"/>
      <c r="BD2427" s="1"/>
      <c r="BE2427" s="1"/>
      <c r="BF2427" s="1"/>
      <c r="BG2427" s="1"/>
      <c r="BH2427" s="1"/>
      <c r="BI2427" s="1"/>
      <c r="BJ2427" s="1"/>
      <c r="BK2427" s="1"/>
      <c r="BL2427" s="1"/>
      <c r="BM2427" s="1"/>
      <c r="BN2427" s="1"/>
      <c r="BO2427" s="1"/>
      <c r="BP2427" s="1"/>
      <c r="BQ2427" s="1"/>
      <c r="BR2427" s="1"/>
      <c r="BS2427" s="1"/>
      <c r="BT2427" s="1"/>
      <c r="BU2427" s="1" t="s">
        <v>9653</v>
      </c>
      <c r="BV2427" s="3"/>
      <c r="BW2427" s="3"/>
    </row>
    <row r="2428" spans="1:75">
      <c r="A2428" s="1" t="s">
        <v>26662</v>
      </c>
      <c r="B2428" s="1" t="s">
        <v>13976</v>
      </c>
      <c r="C2428" s="1" t="s">
        <v>40525</v>
      </c>
      <c r="D2428" s="1"/>
      <c r="E2428" s="1"/>
      <c r="F2428" s="1"/>
      <c r="G2428" s="1"/>
      <c r="H2428" s="1" t="s">
        <v>40526</v>
      </c>
      <c r="I2428" s="1" t="s">
        <v>40526</v>
      </c>
      <c r="J2428" s="1"/>
      <c r="K2428" s="1"/>
      <c r="L2428" s="1"/>
      <c r="M2428" s="1"/>
      <c r="N2428" s="1"/>
      <c r="O2428" s="1"/>
      <c r="P2428" s="1"/>
      <c r="Q2428" s="1"/>
      <c r="R2428" s="1"/>
      <c r="S2428" s="1"/>
      <c r="T2428" s="1"/>
      <c r="U2428" s="1"/>
      <c r="V2428" s="1"/>
      <c r="W2428" s="1"/>
      <c r="X2428" s="1"/>
      <c r="Y2428" s="1"/>
      <c r="Z2428" s="1"/>
      <c r="AA2428" s="1"/>
      <c r="AB2428" s="1"/>
      <c r="AC2428" s="1"/>
      <c r="AD2428" s="1" t="s">
        <v>98</v>
      </c>
      <c r="AE2428" s="1" t="s">
        <v>98</v>
      </c>
      <c r="AF2428" s="1"/>
      <c r="AG2428" s="1"/>
      <c r="AH2428" s="1"/>
      <c r="AI2428" s="1"/>
      <c r="AJ2428" s="1"/>
      <c r="AK2428" s="1"/>
      <c r="AL2428" s="1"/>
      <c r="AM2428" s="1"/>
      <c r="AN2428" s="1"/>
      <c r="AO2428" s="1"/>
      <c r="AP2428" s="1"/>
      <c r="AQ2428" s="1"/>
      <c r="AR2428" s="1"/>
      <c r="AS2428" s="1"/>
      <c r="AT2428" s="1"/>
      <c r="AU2428" s="1"/>
      <c r="AV2428" s="1"/>
      <c r="AW2428" s="1"/>
      <c r="AX2428" s="1"/>
      <c r="AY2428" s="1"/>
      <c r="AZ2428" s="1"/>
      <c r="BA2428" s="1"/>
      <c r="BB2428" s="1"/>
      <c r="BC2428" s="1"/>
      <c r="BD2428" s="1"/>
      <c r="BE2428" s="1"/>
      <c r="BF2428" s="1"/>
      <c r="BG2428" s="1"/>
      <c r="BH2428" s="1"/>
      <c r="BI2428" s="1"/>
      <c r="BJ2428" s="1"/>
      <c r="BK2428" s="1"/>
      <c r="BL2428" s="1"/>
      <c r="BM2428" s="1"/>
      <c r="BN2428" s="1"/>
      <c r="BO2428" s="1"/>
      <c r="BP2428" s="1"/>
      <c r="BQ2428" s="1"/>
      <c r="BR2428" s="1"/>
      <c r="BS2428" s="1"/>
      <c r="BT2428" s="1"/>
      <c r="BU2428" s="1" t="s">
        <v>9653</v>
      </c>
      <c r="BV2428" s="3"/>
      <c r="BW2428" s="3"/>
    </row>
    <row r="2429" spans="1:75">
      <c r="A2429" s="1" t="s">
        <v>26662</v>
      </c>
      <c r="B2429" s="1" t="s">
        <v>13976</v>
      </c>
      <c r="C2429" s="1" t="s">
        <v>40527</v>
      </c>
      <c r="D2429" s="1"/>
      <c r="E2429" s="1"/>
      <c r="F2429" s="1"/>
      <c r="G2429" s="1"/>
      <c r="H2429" s="1" t="s">
        <v>40528</v>
      </c>
      <c r="I2429" s="1" t="s">
        <v>40528</v>
      </c>
      <c r="J2429" s="1"/>
      <c r="K2429" s="1"/>
      <c r="L2429" s="1"/>
      <c r="M2429" s="1"/>
      <c r="N2429" s="1"/>
      <c r="O2429" s="1"/>
      <c r="P2429" s="1"/>
      <c r="Q2429" s="1"/>
      <c r="R2429" s="1"/>
      <c r="S2429" s="1"/>
      <c r="T2429" s="1"/>
      <c r="U2429" s="1"/>
      <c r="V2429" s="1"/>
      <c r="W2429" s="1"/>
      <c r="X2429" s="1"/>
      <c r="Y2429" s="1"/>
      <c r="Z2429" s="1"/>
      <c r="AA2429" s="1"/>
      <c r="AB2429" s="1"/>
      <c r="AC2429" s="1"/>
      <c r="AD2429" s="1" t="s">
        <v>98</v>
      </c>
      <c r="AE2429" s="1" t="s">
        <v>98</v>
      </c>
      <c r="AF2429" s="1"/>
      <c r="AG2429" s="1"/>
      <c r="AH2429" s="1"/>
      <c r="AI2429" s="1"/>
      <c r="AJ2429" s="1"/>
      <c r="AK2429" s="1"/>
      <c r="AL2429" s="1"/>
      <c r="AM2429" s="1"/>
      <c r="AN2429" s="1"/>
      <c r="AO2429" s="1"/>
      <c r="AP2429" s="1"/>
      <c r="AQ2429" s="1"/>
      <c r="AR2429" s="1"/>
      <c r="AS2429" s="1"/>
      <c r="AT2429" s="1"/>
      <c r="AU2429" s="1"/>
      <c r="AV2429" s="1"/>
      <c r="AW2429" s="1"/>
      <c r="AX2429" s="1"/>
      <c r="AY2429" s="1"/>
      <c r="AZ2429" s="1"/>
      <c r="BA2429" s="1"/>
      <c r="BB2429" s="1"/>
      <c r="BC2429" s="1"/>
      <c r="BD2429" s="1"/>
      <c r="BE2429" s="1"/>
      <c r="BF2429" s="1"/>
      <c r="BG2429" s="1"/>
      <c r="BH2429" s="1"/>
      <c r="BI2429" s="1"/>
      <c r="BJ2429" s="1"/>
      <c r="BK2429" s="1"/>
      <c r="BL2429" s="1"/>
      <c r="BM2429" s="1"/>
      <c r="BN2429" s="1"/>
      <c r="BO2429" s="1"/>
      <c r="BP2429" s="1"/>
      <c r="BQ2429" s="1"/>
      <c r="BR2429" s="1"/>
      <c r="BS2429" s="1"/>
      <c r="BT2429" s="1"/>
      <c r="BU2429" s="1" t="s">
        <v>9653</v>
      </c>
      <c r="BV2429" s="3"/>
      <c r="BW2429" s="3"/>
    </row>
    <row r="2430" spans="1:75">
      <c r="A2430" s="1" t="s">
        <v>26662</v>
      </c>
      <c r="B2430" s="1" t="s">
        <v>13976</v>
      </c>
      <c r="C2430" s="1" t="s">
        <v>40529</v>
      </c>
      <c r="D2430" s="1"/>
      <c r="E2430" s="1"/>
      <c r="F2430" s="1"/>
      <c r="G2430" s="1"/>
      <c r="H2430" s="1" t="s">
        <v>40530</v>
      </c>
      <c r="I2430" s="1" t="s">
        <v>40530</v>
      </c>
      <c r="J2430" s="1"/>
      <c r="K2430" s="1"/>
      <c r="L2430" s="1"/>
      <c r="M2430" s="1"/>
      <c r="N2430" s="1"/>
      <c r="O2430" s="1"/>
      <c r="P2430" s="1"/>
      <c r="Q2430" s="1"/>
      <c r="R2430" s="1"/>
      <c r="S2430" s="1"/>
      <c r="T2430" s="1"/>
      <c r="U2430" s="1"/>
      <c r="V2430" s="1"/>
      <c r="W2430" s="1"/>
      <c r="X2430" s="1"/>
      <c r="Y2430" s="1"/>
      <c r="Z2430" s="1"/>
      <c r="AA2430" s="1"/>
      <c r="AB2430" s="1"/>
      <c r="AC2430" s="1"/>
      <c r="AD2430" s="1" t="s">
        <v>98</v>
      </c>
      <c r="AE2430" s="1" t="s">
        <v>98</v>
      </c>
      <c r="AF2430" s="1"/>
      <c r="AG2430" s="1"/>
      <c r="AH2430" s="1"/>
      <c r="AI2430" s="1"/>
      <c r="AJ2430" s="1"/>
      <c r="AK2430" s="1"/>
      <c r="AL2430" s="1"/>
      <c r="AM2430" s="1"/>
      <c r="AN2430" s="1"/>
      <c r="AO2430" s="1"/>
      <c r="AP2430" s="1"/>
      <c r="AQ2430" s="1"/>
      <c r="AR2430" s="1"/>
      <c r="AS2430" s="1"/>
      <c r="AT2430" s="1"/>
      <c r="AU2430" s="1"/>
      <c r="AV2430" s="1"/>
      <c r="AW2430" s="1"/>
      <c r="AX2430" s="1"/>
      <c r="AY2430" s="1"/>
      <c r="AZ2430" s="1"/>
      <c r="BA2430" s="1"/>
      <c r="BB2430" s="1"/>
      <c r="BC2430" s="1"/>
      <c r="BD2430" s="1"/>
      <c r="BE2430" s="1"/>
      <c r="BF2430" s="1"/>
      <c r="BG2430" s="1"/>
      <c r="BH2430" s="1"/>
      <c r="BI2430" s="1"/>
      <c r="BJ2430" s="1"/>
      <c r="BK2430" s="1"/>
      <c r="BL2430" s="1"/>
      <c r="BM2430" s="1"/>
      <c r="BN2430" s="1"/>
      <c r="BO2430" s="1"/>
      <c r="BP2430" s="1"/>
      <c r="BQ2430" s="1"/>
      <c r="BR2430" s="1"/>
      <c r="BS2430" s="1"/>
      <c r="BT2430" s="1"/>
      <c r="BU2430" s="1" t="s">
        <v>9653</v>
      </c>
      <c r="BV2430" s="3"/>
      <c r="BW2430" s="3"/>
    </row>
    <row r="2431" spans="1:75">
      <c r="A2431" s="1" t="s">
        <v>26662</v>
      </c>
      <c r="B2431" s="1" t="s">
        <v>13976</v>
      </c>
      <c r="C2431" s="1" t="s">
        <v>40531</v>
      </c>
      <c r="D2431" s="1"/>
      <c r="E2431" s="1"/>
      <c r="F2431" s="1"/>
      <c r="G2431" s="1"/>
      <c r="H2431" s="1" t="s">
        <v>40532</v>
      </c>
      <c r="I2431" s="1" t="s">
        <v>40532</v>
      </c>
      <c r="J2431" s="1"/>
      <c r="K2431" s="1"/>
      <c r="L2431" s="1"/>
      <c r="M2431" s="1"/>
      <c r="N2431" s="1"/>
      <c r="O2431" s="1"/>
      <c r="P2431" s="1"/>
      <c r="Q2431" s="1"/>
      <c r="R2431" s="1"/>
      <c r="S2431" s="1"/>
      <c r="T2431" s="1"/>
      <c r="U2431" s="1"/>
      <c r="V2431" s="1"/>
      <c r="W2431" s="1"/>
      <c r="X2431" s="1"/>
      <c r="Y2431" s="1"/>
      <c r="Z2431" s="1"/>
      <c r="AA2431" s="1"/>
      <c r="AB2431" s="1"/>
      <c r="AC2431" s="1"/>
      <c r="AD2431" s="1" t="s">
        <v>98</v>
      </c>
      <c r="AE2431" s="1" t="s">
        <v>98</v>
      </c>
      <c r="AF2431" s="1"/>
      <c r="AG2431" s="1"/>
      <c r="AH2431" s="1"/>
      <c r="AI2431" s="1"/>
      <c r="AJ2431" s="1"/>
      <c r="AK2431" s="1"/>
      <c r="AL2431" s="1"/>
      <c r="AM2431" s="1"/>
      <c r="AN2431" s="1"/>
      <c r="AO2431" s="1"/>
      <c r="AP2431" s="1"/>
      <c r="AQ2431" s="1"/>
      <c r="AR2431" s="1"/>
      <c r="AS2431" s="1"/>
      <c r="AT2431" s="1"/>
      <c r="AU2431" s="1"/>
      <c r="AV2431" s="1"/>
      <c r="AW2431" s="1"/>
      <c r="AX2431" s="1"/>
      <c r="AY2431" s="1"/>
      <c r="AZ2431" s="1"/>
      <c r="BA2431" s="1"/>
      <c r="BB2431" s="1"/>
      <c r="BC2431" s="1"/>
      <c r="BD2431" s="1"/>
      <c r="BE2431" s="1"/>
      <c r="BF2431" s="1"/>
      <c r="BG2431" s="1"/>
      <c r="BH2431" s="1"/>
      <c r="BI2431" s="1"/>
      <c r="BJ2431" s="1"/>
      <c r="BK2431" s="1"/>
      <c r="BL2431" s="1"/>
      <c r="BM2431" s="1"/>
      <c r="BN2431" s="1"/>
      <c r="BO2431" s="1"/>
      <c r="BP2431" s="1"/>
      <c r="BQ2431" s="1"/>
      <c r="BR2431" s="1"/>
      <c r="BS2431" s="1"/>
      <c r="BT2431" s="1"/>
      <c r="BU2431" s="1" t="s">
        <v>9653</v>
      </c>
      <c r="BV2431" s="3"/>
      <c r="BW2431" s="3"/>
    </row>
    <row r="2432" spans="1:75">
      <c r="A2432" s="1" t="s">
        <v>26662</v>
      </c>
      <c r="B2432" s="1" t="s">
        <v>13976</v>
      </c>
      <c r="C2432" s="1" t="s">
        <v>40533</v>
      </c>
      <c r="D2432" s="1"/>
      <c r="E2432" s="1"/>
      <c r="F2432" s="1"/>
      <c r="G2432" s="1"/>
      <c r="H2432" s="1" t="s">
        <v>40534</v>
      </c>
      <c r="I2432" s="1" t="s">
        <v>40534</v>
      </c>
      <c r="J2432" s="1"/>
      <c r="K2432" s="1"/>
      <c r="L2432" s="1"/>
      <c r="M2432" s="1"/>
      <c r="N2432" s="1"/>
      <c r="O2432" s="1"/>
      <c r="P2432" s="1"/>
      <c r="Q2432" s="1"/>
      <c r="R2432" s="1"/>
      <c r="S2432" s="1"/>
      <c r="T2432" s="1"/>
      <c r="U2432" s="1"/>
      <c r="V2432" s="1"/>
      <c r="W2432" s="1"/>
      <c r="X2432" s="1"/>
      <c r="Y2432" s="1"/>
      <c r="Z2432" s="1"/>
      <c r="AA2432" s="1"/>
      <c r="AB2432" s="1"/>
      <c r="AC2432" s="1"/>
      <c r="AD2432" s="1" t="s">
        <v>98</v>
      </c>
      <c r="AE2432" s="1" t="s">
        <v>98</v>
      </c>
      <c r="AF2432" s="1"/>
      <c r="AG2432" s="1"/>
      <c r="AH2432" s="1"/>
      <c r="AI2432" s="1"/>
      <c r="AJ2432" s="1"/>
      <c r="AK2432" s="1"/>
      <c r="AL2432" s="1"/>
      <c r="AM2432" s="1"/>
      <c r="AN2432" s="1"/>
      <c r="AO2432" s="1"/>
      <c r="AP2432" s="1"/>
      <c r="AQ2432" s="1"/>
      <c r="AR2432" s="1"/>
      <c r="AS2432" s="1"/>
      <c r="AT2432" s="1"/>
      <c r="AU2432" s="1"/>
      <c r="AV2432" s="1"/>
      <c r="AW2432" s="1"/>
      <c r="AX2432" s="1"/>
      <c r="AY2432" s="1"/>
      <c r="AZ2432" s="1"/>
      <c r="BA2432" s="1"/>
      <c r="BB2432" s="1"/>
      <c r="BC2432" s="1"/>
      <c r="BD2432" s="1"/>
      <c r="BE2432" s="1"/>
      <c r="BF2432" s="1"/>
      <c r="BG2432" s="1"/>
      <c r="BH2432" s="1"/>
      <c r="BI2432" s="1"/>
      <c r="BJ2432" s="1"/>
      <c r="BK2432" s="1"/>
      <c r="BL2432" s="1"/>
      <c r="BM2432" s="1"/>
      <c r="BN2432" s="1"/>
      <c r="BO2432" s="1"/>
      <c r="BP2432" s="1"/>
      <c r="BQ2432" s="1"/>
      <c r="BR2432" s="1"/>
      <c r="BS2432" s="1"/>
      <c r="BT2432" s="1"/>
      <c r="BU2432" s="1" t="s">
        <v>9653</v>
      </c>
      <c r="BV2432" s="3"/>
      <c r="BW2432" s="3"/>
    </row>
    <row r="2433" spans="1:75">
      <c r="A2433" s="1" t="s">
        <v>26662</v>
      </c>
      <c r="B2433" s="1" t="s">
        <v>13976</v>
      </c>
      <c r="C2433" s="1" t="s">
        <v>40535</v>
      </c>
      <c r="D2433" s="1"/>
      <c r="E2433" s="1"/>
      <c r="F2433" s="1"/>
      <c r="G2433" s="1"/>
      <c r="H2433" s="1" t="s">
        <v>40536</v>
      </c>
      <c r="I2433" s="1" t="s">
        <v>40536</v>
      </c>
      <c r="J2433" s="1"/>
      <c r="K2433" s="1"/>
      <c r="L2433" s="1"/>
      <c r="M2433" s="1"/>
      <c r="N2433" s="1"/>
      <c r="O2433" s="1"/>
      <c r="P2433" s="1"/>
      <c r="Q2433" s="1"/>
      <c r="R2433" s="1"/>
      <c r="S2433" s="1"/>
      <c r="T2433" s="1"/>
      <c r="U2433" s="1"/>
      <c r="V2433" s="1"/>
      <c r="W2433" s="1"/>
      <c r="X2433" s="1"/>
      <c r="Y2433" s="1"/>
      <c r="Z2433" s="1"/>
      <c r="AA2433" s="1"/>
      <c r="AB2433" s="1"/>
      <c r="AC2433" s="1"/>
      <c r="AD2433" s="1" t="s">
        <v>98</v>
      </c>
      <c r="AE2433" s="1" t="s">
        <v>98</v>
      </c>
      <c r="AF2433" s="1"/>
      <c r="AG2433" s="1"/>
      <c r="AH2433" s="1"/>
      <c r="AI2433" s="1"/>
      <c r="AJ2433" s="1"/>
      <c r="AK2433" s="1"/>
      <c r="AL2433" s="1"/>
      <c r="AM2433" s="1"/>
      <c r="AN2433" s="1"/>
      <c r="AO2433" s="1"/>
      <c r="AP2433" s="1"/>
      <c r="AQ2433" s="1"/>
      <c r="AR2433" s="1"/>
      <c r="AS2433" s="1"/>
      <c r="AT2433" s="1"/>
      <c r="AU2433" s="1"/>
      <c r="AV2433" s="1"/>
      <c r="AW2433" s="1"/>
      <c r="AX2433" s="1"/>
      <c r="AY2433" s="1"/>
      <c r="AZ2433" s="1"/>
      <c r="BA2433" s="1"/>
      <c r="BB2433" s="1"/>
      <c r="BC2433" s="1"/>
      <c r="BD2433" s="1"/>
      <c r="BE2433" s="1"/>
      <c r="BF2433" s="1"/>
      <c r="BG2433" s="1"/>
      <c r="BH2433" s="1"/>
      <c r="BI2433" s="1"/>
      <c r="BJ2433" s="1"/>
      <c r="BK2433" s="1"/>
      <c r="BL2433" s="1"/>
      <c r="BM2433" s="1"/>
      <c r="BN2433" s="1"/>
      <c r="BO2433" s="1"/>
      <c r="BP2433" s="1"/>
      <c r="BQ2433" s="1"/>
      <c r="BR2433" s="1"/>
      <c r="BS2433" s="1"/>
      <c r="BT2433" s="1"/>
      <c r="BU2433" s="1" t="s">
        <v>9653</v>
      </c>
      <c r="BV2433" s="3"/>
      <c r="BW2433" s="3"/>
    </row>
    <row r="2434" spans="1:75">
      <c r="A2434" s="1" t="s">
        <v>26662</v>
      </c>
      <c r="B2434" s="1" t="s">
        <v>13976</v>
      </c>
      <c r="C2434" s="1" t="s">
        <v>40537</v>
      </c>
      <c r="D2434" s="1"/>
      <c r="E2434" s="1"/>
      <c r="F2434" s="1"/>
      <c r="G2434" s="1"/>
      <c r="H2434" s="1" t="s">
        <v>40538</v>
      </c>
      <c r="I2434" s="1" t="s">
        <v>40538</v>
      </c>
      <c r="J2434" s="1"/>
      <c r="K2434" s="1"/>
      <c r="L2434" s="1"/>
      <c r="M2434" s="1"/>
      <c r="N2434" s="1"/>
      <c r="O2434" s="1"/>
      <c r="P2434" s="1"/>
      <c r="Q2434" s="1"/>
      <c r="R2434" s="1"/>
      <c r="S2434" s="1"/>
      <c r="T2434" s="1"/>
      <c r="U2434" s="1"/>
      <c r="V2434" s="1"/>
      <c r="W2434" s="1"/>
      <c r="X2434" s="1"/>
      <c r="Y2434" s="1"/>
      <c r="Z2434" s="1"/>
      <c r="AA2434" s="1"/>
      <c r="AB2434" s="1"/>
      <c r="AC2434" s="1"/>
      <c r="AD2434" s="1" t="s">
        <v>98</v>
      </c>
      <c r="AE2434" s="1" t="s">
        <v>98</v>
      </c>
      <c r="AF2434" s="1"/>
      <c r="AG2434" s="1"/>
      <c r="AH2434" s="1"/>
      <c r="AI2434" s="1"/>
      <c r="AJ2434" s="1"/>
      <c r="AK2434" s="1"/>
      <c r="AL2434" s="1"/>
      <c r="AM2434" s="1"/>
      <c r="AN2434" s="1"/>
      <c r="AO2434" s="1"/>
      <c r="AP2434" s="1"/>
      <c r="AQ2434" s="1"/>
      <c r="AR2434" s="1"/>
      <c r="AS2434" s="1"/>
      <c r="AT2434" s="1"/>
      <c r="AU2434" s="1"/>
      <c r="AV2434" s="1"/>
      <c r="AW2434" s="1"/>
      <c r="AX2434" s="1"/>
      <c r="AY2434" s="1"/>
      <c r="AZ2434" s="1"/>
      <c r="BA2434" s="1"/>
      <c r="BB2434" s="1"/>
      <c r="BC2434" s="1"/>
      <c r="BD2434" s="1"/>
      <c r="BE2434" s="1"/>
      <c r="BF2434" s="1"/>
      <c r="BG2434" s="1"/>
      <c r="BH2434" s="1"/>
      <c r="BI2434" s="1"/>
      <c r="BJ2434" s="1"/>
      <c r="BK2434" s="1"/>
      <c r="BL2434" s="1"/>
      <c r="BM2434" s="1"/>
      <c r="BN2434" s="1"/>
      <c r="BO2434" s="1"/>
      <c r="BP2434" s="1"/>
      <c r="BQ2434" s="1"/>
      <c r="BR2434" s="1"/>
      <c r="BS2434" s="1"/>
      <c r="BT2434" s="1"/>
      <c r="BU2434" s="1" t="s">
        <v>9653</v>
      </c>
      <c r="BV2434" s="3"/>
      <c r="BW2434" s="3"/>
    </row>
    <row r="2435" spans="1:75">
      <c r="A2435" s="1" t="s">
        <v>26662</v>
      </c>
      <c r="B2435" s="1" t="s">
        <v>13976</v>
      </c>
      <c r="C2435" s="1" t="s">
        <v>40539</v>
      </c>
      <c r="D2435" s="1"/>
      <c r="E2435" s="1"/>
      <c r="F2435" s="1"/>
      <c r="G2435" s="1"/>
      <c r="H2435" s="1" t="s">
        <v>40540</v>
      </c>
      <c r="I2435" s="1" t="s">
        <v>40540</v>
      </c>
      <c r="J2435" s="1"/>
      <c r="K2435" s="1"/>
      <c r="L2435" s="1"/>
      <c r="M2435" s="1"/>
      <c r="N2435" s="1"/>
      <c r="O2435" s="1"/>
      <c r="P2435" s="1"/>
      <c r="Q2435" s="1"/>
      <c r="R2435" s="1"/>
      <c r="S2435" s="1"/>
      <c r="T2435" s="1"/>
      <c r="U2435" s="1"/>
      <c r="V2435" s="1"/>
      <c r="W2435" s="1"/>
      <c r="X2435" s="1"/>
      <c r="Y2435" s="1"/>
      <c r="Z2435" s="1"/>
      <c r="AA2435" s="1"/>
      <c r="AB2435" s="1"/>
      <c r="AC2435" s="1"/>
      <c r="AD2435" s="1" t="s">
        <v>98</v>
      </c>
      <c r="AE2435" s="1" t="s">
        <v>98</v>
      </c>
      <c r="AF2435" s="1"/>
      <c r="AG2435" s="1"/>
      <c r="AH2435" s="1"/>
      <c r="AI2435" s="1"/>
      <c r="AJ2435" s="1"/>
      <c r="AK2435" s="1"/>
      <c r="AL2435" s="1"/>
      <c r="AM2435" s="1"/>
      <c r="AN2435" s="1"/>
      <c r="AO2435" s="1"/>
      <c r="AP2435" s="1"/>
      <c r="AQ2435" s="1"/>
      <c r="AR2435" s="1"/>
      <c r="AS2435" s="1"/>
      <c r="AT2435" s="1"/>
      <c r="AU2435" s="1"/>
      <c r="AV2435" s="1"/>
      <c r="AW2435" s="1"/>
      <c r="AX2435" s="1"/>
      <c r="AY2435" s="1"/>
      <c r="AZ2435" s="1"/>
      <c r="BA2435" s="1"/>
      <c r="BB2435" s="1"/>
      <c r="BC2435" s="1"/>
      <c r="BD2435" s="1"/>
      <c r="BE2435" s="1"/>
      <c r="BF2435" s="1"/>
      <c r="BG2435" s="1"/>
      <c r="BH2435" s="1"/>
      <c r="BI2435" s="1"/>
      <c r="BJ2435" s="1"/>
      <c r="BK2435" s="1"/>
      <c r="BL2435" s="1"/>
      <c r="BM2435" s="1"/>
      <c r="BN2435" s="1"/>
      <c r="BO2435" s="1"/>
      <c r="BP2435" s="1"/>
      <c r="BQ2435" s="1"/>
      <c r="BR2435" s="1"/>
      <c r="BS2435" s="1"/>
      <c r="BT2435" s="1"/>
      <c r="BU2435" s="1" t="s">
        <v>9653</v>
      </c>
      <c r="BV2435" s="3"/>
      <c r="BW2435" s="3"/>
    </row>
    <row r="2436" spans="1:75">
      <c r="A2436" s="1" t="s">
        <v>26662</v>
      </c>
      <c r="B2436" s="1" t="s">
        <v>13976</v>
      </c>
      <c r="C2436" s="1" t="s">
        <v>40541</v>
      </c>
      <c r="D2436" s="1"/>
      <c r="E2436" s="1"/>
      <c r="F2436" s="1"/>
      <c r="G2436" s="1"/>
      <c r="H2436" s="1" t="s">
        <v>40542</v>
      </c>
      <c r="I2436" s="1" t="s">
        <v>40542</v>
      </c>
      <c r="J2436" s="1"/>
      <c r="K2436" s="1"/>
      <c r="L2436" s="1"/>
      <c r="M2436" s="1"/>
      <c r="N2436" s="1"/>
      <c r="O2436" s="1"/>
      <c r="P2436" s="1"/>
      <c r="Q2436" s="1"/>
      <c r="R2436" s="1"/>
      <c r="S2436" s="1"/>
      <c r="T2436" s="1"/>
      <c r="U2436" s="1"/>
      <c r="V2436" s="1"/>
      <c r="W2436" s="1"/>
      <c r="X2436" s="1"/>
      <c r="Y2436" s="1"/>
      <c r="Z2436" s="1"/>
      <c r="AA2436" s="1"/>
      <c r="AB2436" s="1"/>
      <c r="AC2436" s="1"/>
      <c r="AD2436" s="1" t="s">
        <v>98</v>
      </c>
      <c r="AE2436" s="1" t="s">
        <v>98</v>
      </c>
      <c r="AF2436" s="1"/>
      <c r="AG2436" s="1"/>
      <c r="AH2436" s="1"/>
      <c r="AI2436" s="1"/>
      <c r="AJ2436" s="1"/>
      <c r="AK2436" s="1"/>
      <c r="AL2436" s="1"/>
      <c r="AM2436" s="1"/>
      <c r="AN2436" s="1"/>
      <c r="AO2436" s="1"/>
      <c r="AP2436" s="1"/>
      <c r="AQ2436" s="1"/>
      <c r="AR2436" s="1"/>
      <c r="AS2436" s="1"/>
      <c r="AT2436" s="1"/>
      <c r="AU2436" s="1"/>
      <c r="AV2436" s="1"/>
      <c r="AW2436" s="1"/>
      <c r="AX2436" s="1"/>
      <c r="AY2436" s="1"/>
      <c r="AZ2436" s="1"/>
      <c r="BA2436" s="1"/>
      <c r="BB2436" s="1"/>
      <c r="BC2436" s="1"/>
      <c r="BD2436" s="1"/>
      <c r="BE2436" s="1"/>
      <c r="BF2436" s="1"/>
      <c r="BG2436" s="1"/>
      <c r="BH2436" s="1"/>
      <c r="BI2436" s="1"/>
      <c r="BJ2436" s="1"/>
      <c r="BK2436" s="1"/>
      <c r="BL2436" s="1"/>
      <c r="BM2436" s="1"/>
      <c r="BN2436" s="1"/>
      <c r="BO2436" s="1"/>
      <c r="BP2436" s="1"/>
      <c r="BQ2436" s="1"/>
      <c r="BR2436" s="1"/>
      <c r="BS2436" s="1"/>
      <c r="BT2436" s="1"/>
      <c r="BU2436" s="1" t="s">
        <v>9653</v>
      </c>
      <c r="BV2436" s="3"/>
      <c r="BW2436" s="3"/>
    </row>
    <row r="2437" spans="1:75">
      <c r="A2437" s="1" t="s">
        <v>26662</v>
      </c>
      <c r="B2437" s="1" t="s">
        <v>13976</v>
      </c>
      <c r="C2437" s="1" t="s">
        <v>40543</v>
      </c>
      <c r="D2437" s="1"/>
      <c r="E2437" s="1"/>
      <c r="F2437" s="1"/>
      <c r="G2437" s="1"/>
      <c r="H2437" s="1" t="s">
        <v>40544</v>
      </c>
      <c r="I2437" s="1" t="s">
        <v>40544</v>
      </c>
      <c r="J2437" s="1"/>
      <c r="K2437" s="1"/>
      <c r="L2437" s="1"/>
      <c r="M2437" s="1"/>
      <c r="N2437" s="1"/>
      <c r="O2437" s="1"/>
      <c r="P2437" s="1"/>
      <c r="Q2437" s="1"/>
      <c r="R2437" s="1"/>
      <c r="S2437" s="1"/>
      <c r="T2437" s="1"/>
      <c r="U2437" s="1"/>
      <c r="V2437" s="1"/>
      <c r="W2437" s="1"/>
      <c r="X2437" s="1"/>
      <c r="Y2437" s="1"/>
      <c r="Z2437" s="1"/>
      <c r="AA2437" s="1"/>
      <c r="AB2437" s="1"/>
      <c r="AC2437" s="1"/>
      <c r="AD2437" s="1" t="s">
        <v>98</v>
      </c>
      <c r="AE2437" s="1" t="s">
        <v>98</v>
      </c>
      <c r="AF2437" s="1"/>
      <c r="AG2437" s="1"/>
      <c r="AH2437" s="1"/>
      <c r="AI2437" s="1"/>
      <c r="AJ2437" s="1"/>
      <c r="AK2437" s="1"/>
      <c r="AL2437" s="1"/>
      <c r="AM2437" s="1"/>
      <c r="AN2437" s="1"/>
      <c r="AO2437" s="1"/>
      <c r="AP2437" s="1"/>
      <c r="AQ2437" s="1"/>
      <c r="AR2437" s="1"/>
      <c r="AS2437" s="1"/>
      <c r="AT2437" s="1"/>
      <c r="AU2437" s="1"/>
      <c r="AV2437" s="1"/>
      <c r="AW2437" s="1"/>
      <c r="AX2437" s="1"/>
      <c r="AY2437" s="1"/>
      <c r="AZ2437" s="1"/>
      <c r="BA2437" s="1"/>
      <c r="BB2437" s="1"/>
      <c r="BC2437" s="1"/>
      <c r="BD2437" s="1"/>
      <c r="BE2437" s="1"/>
      <c r="BF2437" s="1"/>
      <c r="BG2437" s="1"/>
      <c r="BH2437" s="1"/>
      <c r="BI2437" s="1"/>
      <c r="BJ2437" s="1"/>
      <c r="BK2437" s="1"/>
      <c r="BL2437" s="1"/>
      <c r="BM2437" s="1"/>
      <c r="BN2437" s="1"/>
      <c r="BO2437" s="1"/>
      <c r="BP2437" s="1"/>
      <c r="BQ2437" s="1"/>
      <c r="BR2437" s="1"/>
      <c r="BS2437" s="1"/>
      <c r="BT2437" s="1"/>
      <c r="BU2437" s="1" t="s">
        <v>9653</v>
      </c>
      <c r="BV2437" s="3"/>
      <c r="BW2437" s="3"/>
    </row>
    <row r="2438" spans="1:75">
      <c r="A2438" s="1" t="s">
        <v>26662</v>
      </c>
      <c r="B2438" s="1" t="s">
        <v>13976</v>
      </c>
      <c r="C2438" s="1" t="s">
        <v>40545</v>
      </c>
      <c r="D2438" s="1"/>
      <c r="E2438" s="1"/>
      <c r="F2438" s="1"/>
      <c r="G2438" s="1"/>
      <c r="H2438" s="1" t="s">
        <v>40546</v>
      </c>
      <c r="I2438" s="1" t="s">
        <v>40546</v>
      </c>
      <c r="J2438" s="1"/>
      <c r="K2438" s="1"/>
      <c r="L2438" s="1"/>
      <c r="M2438" s="1"/>
      <c r="N2438" s="1"/>
      <c r="O2438" s="1"/>
      <c r="P2438" s="1"/>
      <c r="Q2438" s="1"/>
      <c r="R2438" s="1"/>
      <c r="S2438" s="1"/>
      <c r="T2438" s="1"/>
      <c r="U2438" s="1"/>
      <c r="V2438" s="1"/>
      <c r="W2438" s="1"/>
      <c r="X2438" s="1"/>
      <c r="Y2438" s="1"/>
      <c r="Z2438" s="1"/>
      <c r="AA2438" s="1"/>
      <c r="AB2438" s="1"/>
      <c r="AC2438" s="1"/>
      <c r="AD2438" s="1" t="s">
        <v>98</v>
      </c>
      <c r="AE2438" s="1" t="s">
        <v>98</v>
      </c>
      <c r="AF2438" s="1"/>
      <c r="AG2438" s="1"/>
      <c r="AH2438" s="1"/>
      <c r="AI2438" s="1"/>
      <c r="AJ2438" s="1"/>
      <c r="AK2438" s="1"/>
      <c r="AL2438" s="1"/>
      <c r="AM2438" s="1"/>
      <c r="AN2438" s="1"/>
      <c r="AO2438" s="1"/>
      <c r="AP2438" s="1"/>
      <c r="AQ2438" s="1"/>
      <c r="AR2438" s="1"/>
      <c r="AS2438" s="1"/>
      <c r="AT2438" s="1"/>
      <c r="AU2438" s="1"/>
      <c r="AV2438" s="1"/>
      <c r="AW2438" s="1"/>
      <c r="AX2438" s="1"/>
      <c r="AY2438" s="1"/>
      <c r="AZ2438" s="1"/>
      <c r="BA2438" s="1"/>
      <c r="BB2438" s="1"/>
      <c r="BC2438" s="1"/>
      <c r="BD2438" s="1"/>
      <c r="BE2438" s="1"/>
      <c r="BF2438" s="1"/>
      <c r="BG2438" s="1"/>
      <c r="BH2438" s="1"/>
      <c r="BI2438" s="1"/>
      <c r="BJ2438" s="1"/>
      <c r="BK2438" s="1"/>
      <c r="BL2438" s="1"/>
      <c r="BM2438" s="1"/>
      <c r="BN2438" s="1"/>
      <c r="BO2438" s="1"/>
      <c r="BP2438" s="1"/>
      <c r="BQ2438" s="1"/>
      <c r="BR2438" s="1"/>
      <c r="BS2438" s="1"/>
      <c r="BT2438" s="1"/>
      <c r="BU2438" s="1" t="s">
        <v>9653</v>
      </c>
      <c r="BV2438" s="3"/>
      <c r="BW2438" s="3"/>
    </row>
    <row r="2439" spans="1:75">
      <c r="A2439" s="1" t="s">
        <v>26662</v>
      </c>
      <c r="B2439" s="1" t="s">
        <v>13976</v>
      </c>
      <c r="C2439" s="1" t="s">
        <v>40547</v>
      </c>
      <c r="D2439" s="1"/>
      <c r="E2439" s="1"/>
      <c r="F2439" s="1"/>
      <c r="G2439" s="1"/>
      <c r="H2439" s="1" t="s">
        <v>40548</v>
      </c>
      <c r="I2439" s="1" t="s">
        <v>40548</v>
      </c>
      <c r="J2439" s="1"/>
      <c r="K2439" s="1"/>
      <c r="L2439" s="1"/>
      <c r="M2439" s="1"/>
      <c r="N2439" s="1"/>
      <c r="O2439" s="1"/>
      <c r="P2439" s="1"/>
      <c r="Q2439" s="1"/>
      <c r="R2439" s="1"/>
      <c r="S2439" s="1"/>
      <c r="T2439" s="1"/>
      <c r="U2439" s="1"/>
      <c r="V2439" s="1"/>
      <c r="W2439" s="1"/>
      <c r="X2439" s="1"/>
      <c r="Y2439" s="1"/>
      <c r="Z2439" s="1"/>
      <c r="AA2439" s="1"/>
      <c r="AB2439" s="1"/>
      <c r="AC2439" s="1"/>
      <c r="AD2439" s="1" t="s">
        <v>98</v>
      </c>
      <c r="AE2439" s="1" t="s">
        <v>98</v>
      </c>
      <c r="AF2439" s="1"/>
      <c r="AG2439" s="1"/>
      <c r="AH2439" s="1"/>
      <c r="AI2439" s="1"/>
      <c r="AJ2439" s="1"/>
      <c r="AK2439" s="1"/>
      <c r="AL2439" s="1"/>
      <c r="AM2439" s="1"/>
      <c r="AN2439" s="1"/>
      <c r="AO2439" s="1"/>
      <c r="AP2439" s="1"/>
      <c r="AQ2439" s="1"/>
      <c r="AR2439" s="1"/>
      <c r="AS2439" s="1"/>
      <c r="AT2439" s="1"/>
      <c r="AU2439" s="1"/>
      <c r="AV2439" s="1"/>
      <c r="AW2439" s="1"/>
      <c r="AX2439" s="1"/>
      <c r="AY2439" s="1"/>
      <c r="AZ2439" s="1"/>
      <c r="BA2439" s="1"/>
      <c r="BB2439" s="1"/>
      <c r="BC2439" s="1"/>
      <c r="BD2439" s="1"/>
      <c r="BE2439" s="1"/>
      <c r="BF2439" s="1"/>
      <c r="BG2439" s="1"/>
      <c r="BH2439" s="1"/>
      <c r="BI2439" s="1"/>
      <c r="BJ2439" s="1"/>
      <c r="BK2439" s="1"/>
      <c r="BL2439" s="1"/>
      <c r="BM2439" s="1"/>
      <c r="BN2439" s="1"/>
      <c r="BO2439" s="1"/>
      <c r="BP2439" s="1"/>
      <c r="BQ2439" s="1"/>
      <c r="BR2439" s="1"/>
      <c r="BS2439" s="1"/>
      <c r="BT2439" s="1"/>
      <c r="BU2439" s="1" t="s">
        <v>9653</v>
      </c>
      <c r="BV2439" s="3"/>
      <c r="BW2439" s="3"/>
    </row>
    <row r="2440" spans="1:75">
      <c r="A2440" s="1" t="s">
        <v>26662</v>
      </c>
      <c r="B2440" s="1" t="s">
        <v>13976</v>
      </c>
      <c r="C2440" s="1" t="s">
        <v>40549</v>
      </c>
      <c r="D2440" s="1"/>
      <c r="E2440" s="1"/>
      <c r="F2440" s="1"/>
      <c r="G2440" s="1"/>
      <c r="H2440" s="1" t="s">
        <v>40550</v>
      </c>
      <c r="I2440" s="1" t="s">
        <v>40550</v>
      </c>
      <c r="J2440" s="1"/>
      <c r="K2440" s="1"/>
      <c r="L2440" s="1"/>
      <c r="M2440" s="1"/>
      <c r="N2440" s="1"/>
      <c r="O2440" s="1"/>
      <c r="P2440" s="1"/>
      <c r="Q2440" s="1"/>
      <c r="R2440" s="1"/>
      <c r="S2440" s="1"/>
      <c r="T2440" s="1"/>
      <c r="U2440" s="1"/>
      <c r="V2440" s="1"/>
      <c r="W2440" s="1"/>
      <c r="X2440" s="1"/>
      <c r="Y2440" s="1"/>
      <c r="Z2440" s="1"/>
      <c r="AA2440" s="1"/>
      <c r="AB2440" s="1"/>
      <c r="AC2440" s="1"/>
      <c r="AD2440" s="1" t="s">
        <v>98</v>
      </c>
      <c r="AE2440" s="1" t="s">
        <v>98</v>
      </c>
      <c r="AF2440" s="1"/>
      <c r="AG2440" s="1"/>
      <c r="AH2440" s="1"/>
      <c r="AI2440" s="1"/>
      <c r="AJ2440" s="1"/>
      <c r="AK2440" s="1"/>
      <c r="AL2440" s="1"/>
      <c r="AM2440" s="1"/>
      <c r="AN2440" s="1"/>
      <c r="AO2440" s="1"/>
      <c r="AP2440" s="1"/>
      <c r="AQ2440" s="1"/>
      <c r="AR2440" s="1"/>
      <c r="AS2440" s="1"/>
      <c r="AT2440" s="1"/>
      <c r="AU2440" s="1"/>
      <c r="AV2440" s="1"/>
      <c r="AW2440" s="1"/>
      <c r="AX2440" s="1"/>
      <c r="AY2440" s="1"/>
      <c r="AZ2440" s="1"/>
      <c r="BA2440" s="1"/>
      <c r="BB2440" s="1"/>
      <c r="BC2440" s="1"/>
      <c r="BD2440" s="1"/>
      <c r="BE2440" s="1"/>
      <c r="BF2440" s="1"/>
      <c r="BG2440" s="1"/>
      <c r="BH2440" s="1"/>
      <c r="BI2440" s="1"/>
      <c r="BJ2440" s="1"/>
      <c r="BK2440" s="1"/>
      <c r="BL2440" s="1"/>
      <c r="BM2440" s="1"/>
      <c r="BN2440" s="1"/>
      <c r="BO2440" s="1"/>
      <c r="BP2440" s="1"/>
      <c r="BQ2440" s="1"/>
      <c r="BR2440" s="1"/>
      <c r="BS2440" s="1"/>
      <c r="BT2440" s="1"/>
      <c r="BU2440" s="1" t="s">
        <v>9653</v>
      </c>
      <c r="BV2440" s="3"/>
      <c r="BW2440" s="3"/>
    </row>
    <row r="2441" spans="1:75">
      <c r="A2441" s="1" t="s">
        <v>26662</v>
      </c>
      <c r="B2441" s="1" t="s">
        <v>13976</v>
      </c>
      <c r="C2441" s="1" t="s">
        <v>40551</v>
      </c>
      <c r="D2441" s="1"/>
      <c r="E2441" s="1"/>
      <c r="F2441" s="1"/>
      <c r="G2441" s="1"/>
      <c r="H2441" s="1" t="s">
        <v>40552</v>
      </c>
      <c r="I2441" s="1" t="s">
        <v>40552</v>
      </c>
      <c r="J2441" s="1"/>
      <c r="K2441" s="1"/>
      <c r="L2441" s="1"/>
      <c r="M2441" s="1"/>
      <c r="N2441" s="1"/>
      <c r="O2441" s="1"/>
      <c r="P2441" s="1"/>
      <c r="Q2441" s="1"/>
      <c r="R2441" s="1"/>
      <c r="S2441" s="1"/>
      <c r="T2441" s="1"/>
      <c r="U2441" s="1"/>
      <c r="V2441" s="1"/>
      <c r="W2441" s="1"/>
      <c r="X2441" s="1"/>
      <c r="Y2441" s="1"/>
      <c r="Z2441" s="1"/>
      <c r="AA2441" s="1"/>
      <c r="AB2441" s="1"/>
      <c r="AC2441" s="1"/>
      <c r="AD2441" s="1" t="s">
        <v>98</v>
      </c>
      <c r="AE2441" s="1" t="s">
        <v>98</v>
      </c>
      <c r="AF2441" s="1"/>
      <c r="AG2441" s="1"/>
      <c r="AH2441" s="1"/>
      <c r="AI2441" s="1"/>
      <c r="AJ2441" s="1"/>
      <c r="AK2441" s="1"/>
      <c r="AL2441" s="1"/>
      <c r="AM2441" s="1"/>
      <c r="AN2441" s="1"/>
      <c r="AO2441" s="1"/>
      <c r="AP2441" s="1"/>
      <c r="AQ2441" s="1"/>
      <c r="AR2441" s="1"/>
      <c r="AS2441" s="1"/>
      <c r="AT2441" s="1"/>
      <c r="AU2441" s="1"/>
      <c r="AV2441" s="1"/>
      <c r="AW2441" s="1"/>
      <c r="AX2441" s="1"/>
      <c r="AY2441" s="1"/>
      <c r="AZ2441" s="1"/>
      <c r="BA2441" s="1"/>
      <c r="BB2441" s="1"/>
      <c r="BC2441" s="1"/>
      <c r="BD2441" s="1"/>
      <c r="BE2441" s="1"/>
      <c r="BF2441" s="1"/>
      <c r="BG2441" s="1"/>
      <c r="BH2441" s="1"/>
      <c r="BI2441" s="1"/>
      <c r="BJ2441" s="1"/>
      <c r="BK2441" s="1"/>
      <c r="BL2441" s="1"/>
      <c r="BM2441" s="1"/>
      <c r="BN2441" s="1"/>
      <c r="BO2441" s="1"/>
      <c r="BP2441" s="1"/>
      <c r="BQ2441" s="1"/>
      <c r="BR2441" s="1"/>
      <c r="BS2441" s="1"/>
      <c r="BT2441" s="1"/>
      <c r="BU2441" s="1" t="s">
        <v>9653</v>
      </c>
      <c r="BV2441" s="3"/>
      <c r="BW2441" s="3"/>
    </row>
    <row r="2442" spans="1:75">
      <c r="A2442" s="1" t="s">
        <v>26662</v>
      </c>
      <c r="B2442" s="1" t="s">
        <v>13976</v>
      </c>
      <c r="C2442" s="1" t="s">
        <v>40553</v>
      </c>
      <c r="D2442" s="1"/>
      <c r="E2442" s="1"/>
      <c r="F2442" s="1"/>
      <c r="G2442" s="1"/>
      <c r="H2442" s="1" t="s">
        <v>40554</v>
      </c>
      <c r="I2442" s="1" t="s">
        <v>40554</v>
      </c>
      <c r="J2442" s="1"/>
      <c r="K2442" s="1"/>
      <c r="L2442" s="1"/>
      <c r="M2442" s="1"/>
      <c r="N2442" s="1"/>
      <c r="O2442" s="1"/>
      <c r="P2442" s="1"/>
      <c r="Q2442" s="1"/>
      <c r="R2442" s="1"/>
      <c r="S2442" s="1"/>
      <c r="T2442" s="1"/>
      <c r="U2442" s="1"/>
      <c r="V2442" s="1"/>
      <c r="W2442" s="1"/>
      <c r="X2442" s="1"/>
      <c r="Y2442" s="1"/>
      <c r="Z2442" s="1"/>
      <c r="AA2442" s="1"/>
      <c r="AB2442" s="1"/>
      <c r="AC2442" s="1"/>
      <c r="AD2442" s="1" t="s">
        <v>98</v>
      </c>
      <c r="AE2442" s="1" t="s">
        <v>98</v>
      </c>
      <c r="AF2442" s="1"/>
      <c r="AG2442" s="1"/>
      <c r="AH2442" s="1"/>
      <c r="AI2442" s="1"/>
      <c r="AJ2442" s="1"/>
      <c r="AK2442" s="1"/>
      <c r="AL2442" s="1"/>
      <c r="AM2442" s="1"/>
      <c r="AN2442" s="1"/>
      <c r="AO2442" s="1"/>
      <c r="AP2442" s="1"/>
      <c r="AQ2442" s="1"/>
      <c r="AR2442" s="1"/>
      <c r="AS2442" s="1"/>
      <c r="AT2442" s="1"/>
      <c r="AU2442" s="1"/>
      <c r="AV2442" s="1"/>
      <c r="AW2442" s="1"/>
      <c r="AX2442" s="1"/>
      <c r="AY2442" s="1"/>
      <c r="AZ2442" s="1"/>
      <c r="BA2442" s="1"/>
      <c r="BB2442" s="1"/>
      <c r="BC2442" s="1"/>
      <c r="BD2442" s="1"/>
      <c r="BE2442" s="1"/>
      <c r="BF2442" s="1"/>
      <c r="BG2442" s="1"/>
      <c r="BH2442" s="1"/>
      <c r="BI2442" s="1"/>
      <c r="BJ2442" s="1"/>
      <c r="BK2442" s="1"/>
      <c r="BL2442" s="1"/>
      <c r="BM2442" s="1"/>
      <c r="BN2442" s="1"/>
      <c r="BO2442" s="1"/>
      <c r="BP2442" s="1"/>
      <c r="BQ2442" s="1"/>
      <c r="BR2442" s="1"/>
      <c r="BS2442" s="1"/>
      <c r="BT2442" s="1"/>
      <c r="BU2442" s="1" t="s">
        <v>9653</v>
      </c>
      <c r="BV2442" s="3"/>
      <c r="BW2442" s="3"/>
    </row>
    <row r="2443" spans="1:75">
      <c r="A2443" s="1" t="s">
        <v>26662</v>
      </c>
      <c r="B2443" s="1" t="s">
        <v>13976</v>
      </c>
      <c r="C2443" s="1" t="s">
        <v>40555</v>
      </c>
      <c r="D2443" s="1"/>
      <c r="E2443" s="1"/>
      <c r="F2443" s="1"/>
      <c r="G2443" s="1"/>
      <c r="H2443" s="1" t="s">
        <v>40556</v>
      </c>
      <c r="I2443" s="1" t="s">
        <v>40556</v>
      </c>
      <c r="J2443" s="1"/>
      <c r="K2443" s="1"/>
      <c r="L2443" s="1"/>
      <c r="M2443" s="1"/>
      <c r="N2443" s="1"/>
      <c r="O2443" s="1"/>
      <c r="P2443" s="1"/>
      <c r="Q2443" s="1"/>
      <c r="R2443" s="1"/>
      <c r="S2443" s="1"/>
      <c r="T2443" s="1"/>
      <c r="U2443" s="1"/>
      <c r="V2443" s="1"/>
      <c r="W2443" s="1"/>
      <c r="X2443" s="1"/>
      <c r="Y2443" s="1"/>
      <c r="Z2443" s="1"/>
      <c r="AA2443" s="1"/>
      <c r="AB2443" s="1"/>
      <c r="AC2443" s="1"/>
      <c r="AD2443" s="1" t="s">
        <v>98</v>
      </c>
      <c r="AE2443" s="1" t="s">
        <v>98</v>
      </c>
      <c r="AF2443" s="1"/>
      <c r="AG2443" s="1"/>
      <c r="AH2443" s="1"/>
      <c r="AI2443" s="1"/>
      <c r="AJ2443" s="1"/>
      <c r="AK2443" s="1"/>
      <c r="AL2443" s="1"/>
      <c r="AM2443" s="1"/>
      <c r="AN2443" s="1"/>
      <c r="AO2443" s="1"/>
      <c r="AP2443" s="1"/>
      <c r="AQ2443" s="1"/>
      <c r="AR2443" s="1"/>
      <c r="AS2443" s="1"/>
      <c r="AT2443" s="1"/>
      <c r="AU2443" s="1"/>
      <c r="AV2443" s="1"/>
      <c r="AW2443" s="1"/>
      <c r="AX2443" s="1"/>
      <c r="AY2443" s="1"/>
      <c r="AZ2443" s="1"/>
      <c r="BA2443" s="1"/>
      <c r="BB2443" s="1"/>
      <c r="BC2443" s="1"/>
      <c r="BD2443" s="1"/>
      <c r="BE2443" s="1"/>
      <c r="BF2443" s="1"/>
      <c r="BG2443" s="1"/>
      <c r="BH2443" s="1"/>
      <c r="BI2443" s="1"/>
      <c r="BJ2443" s="1"/>
      <c r="BK2443" s="1"/>
      <c r="BL2443" s="1"/>
      <c r="BM2443" s="1"/>
      <c r="BN2443" s="1"/>
      <c r="BO2443" s="1"/>
      <c r="BP2443" s="1"/>
      <c r="BQ2443" s="1"/>
      <c r="BR2443" s="1"/>
      <c r="BS2443" s="1"/>
      <c r="BT2443" s="1"/>
      <c r="BU2443" s="1" t="s">
        <v>9653</v>
      </c>
      <c r="BV2443" s="3"/>
      <c r="BW2443" s="3"/>
    </row>
    <row r="2444" spans="1:75">
      <c r="A2444" s="1" t="s">
        <v>26662</v>
      </c>
      <c r="B2444" s="1" t="s">
        <v>13976</v>
      </c>
      <c r="C2444" s="1" t="s">
        <v>40557</v>
      </c>
      <c r="D2444" s="1"/>
      <c r="E2444" s="1"/>
      <c r="F2444" s="1"/>
      <c r="G2444" s="1"/>
      <c r="H2444" s="1" t="s">
        <v>40558</v>
      </c>
      <c r="I2444" s="1" t="s">
        <v>40558</v>
      </c>
      <c r="J2444" s="1"/>
      <c r="K2444" s="1"/>
      <c r="L2444" s="1"/>
      <c r="M2444" s="1"/>
      <c r="N2444" s="1"/>
      <c r="O2444" s="1"/>
      <c r="P2444" s="1"/>
      <c r="Q2444" s="1"/>
      <c r="R2444" s="1"/>
      <c r="S2444" s="1"/>
      <c r="T2444" s="1"/>
      <c r="U2444" s="1"/>
      <c r="V2444" s="1"/>
      <c r="W2444" s="1"/>
      <c r="X2444" s="1"/>
      <c r="Y2444" s="1"/>
      <c r="Z2444" s="1"/>
      <c r="AA2444" s="1"/>
      <c r="AB2444" s="1"/>
      <c r="AC2444" s="1"/>
      <c r="AD2444" s="1" t="s">
        <v>98</v>
      </c>
      <c r="AE2444" s="1" t="s">
        <v>98</v>
      </c>
      <c r="AF2444" s="1"/>
      <c r="AG2444" s="1"/>
      <c r="AH2444" s="1"/>
      <c r="AI2444" s="1"/>
      <c r="AJ2444" s="1"/>
      <c r="AK2444" s="1"/>
      <c r="AL2444" s="1"/>
      <c r="AM2444" s="1"/>
      <c r="AN2444" s="1"/>
      <c r="AO2444" s="1"/>
      <c r="AP2444" s="1"/>
      <c r="AQ2444" s="1"/>
      <c r="AR2444" s="1"/>
      <c r="AS2444" s="1"/>
      <c r="AT2444" s="1"/>
      <c r="AU2444" s="1"/>
      <c r="AV2444" s="1"/>
      <c r="AW2444" s="1"/>
      <c r="AX2444" s="1"/>
      <c r="AY2444" s="1"/>
      <c r="AZ2444" s="1"/>
      <c r="BA2444" s="1"/>
      <c r="BB2444" s="1"/>
      <c r="BC2444" s="1"/>
      <c r="BD2444" s="1"/>
      <c r="BE2444" s="1"/>
      <c r="BF2444" s="1"/>
      <c r="BG2444" s="1"/>
      <c r="BH2444" s="1"/>
      <c r="BI2444" s="1"/>
      <c r="BJ2444" s="1"/>
      <c r="BK2444" s="1"/>
      <c r="BL2444" s="1"/>
      <c r="BM2444" s="1"/>
      <c r="BN2444" s="1"/>
      <c r="BO2444" s="1"/>
      <c r="BP2444" s="1"/>
      <c r="BQ2444" s="1"/>
      <c r="BR2444" s="1"/>
      <c r="BS2444" s="1"/>
      <c r="BT2444" s="1"/>
      <c r="BU2444" s="1" t="s">
        <v>9653</v>
      </c>
      <c r="BV2444" s="3"/>
      <c r="BW2444" s="3"/>
    </row>
    <row r="2445" spans="1:75">
      <c r="A2445" s="1" t="s">
        <v>26662</v>
      </c>
      <c r="B2445" s="1" t="s">
        <v>13976</v>
      </c>
      <c r="C2445" s="1" t="s">
        <v>40559</v>
      </c>
      <c r="D2445" s="1"/>
      <c r="E2445" s="1"/>
      <c r="F2445" s="1"/>
      <c r="G2445" s="1"/>
      <c r="H2445" s="1" t="s">
        <v>40560</v>
      </c>
      <c r="I2445" s="1" t="s">
        <v>40560</v>
      </c>
      <c r="J2445" s="1"/>
      <c r="K2445" s="1"/>
      <c r="L2445" s="1"/>
      <c r="M2445" s="1"/>
      <c r="N2445" s="1"/>
      <c r="O2445" s="1"/>
      <c r="P2445" s="1"/>
      <c r="Q2445" s="1"/>
      <c r="R2445" s="1"/>
      <c r="S2445" s="1"/>
      <c r="T2445" s="1"/>
      <c r="U2445" s="1"/>
      <c r="V2445" s="1"/>
      <c r="W2445" s="1"/>
      <c r="X2445" s="1"/>
      <c r="Y2445" s="1"/>
      <c r="Z2445" s="1"/>
      <c r="AA2445" s="1"/>
      <c r="AB2445" s="1"/>
      <c r="AC2445" s="1"/>
      <c r="AD2445" s="1" t="s">
        <v>98</v>
      </c>
      <c r="AE2445" s="1" t="s">
        <v>98</v>
      </c>
      <c r="AF2445" s="1"/>
      <c r="AG2445" s="1"/>
      <c r="AH2445" s="1"/>
      <c r="AI2445" s="1"/>
      <c r="AJ2445" s="1"/>
      <c r="AK2445" s="1"/>
      <c r="AL2445" s="1"/>
      <c r="AM2445" s="1"/>
      <c r="AN2445" s="1"/>
      <c r="AO2445" s="1"/>
      <c r="AP2445" s="1"/>
      <c r="AQ2445" s="1"/>
      <c r="AR2445" s="1"/>
      <c r="AS2445" s="1"/>
      <c r="AT2445" s="1"/>
      <c r="AU2445" s="1"/>
      <c r="AV2445" s="1"/>
      <c r="AW2445" s="1"/>
      <c r="AX2445" s="1"/>
      <c r="AY2445" s="1"/>
      <c r="AZ2445" s="1"/>
      <c r="BA2445" s="1"/>
      <c r="BB2445" s="1"/>
      <c r="BC2445" s="1"/>
      <c r="BD2445" s="1"/>
      <c r="BE2445" s="1"/>
      <c r="BF2445" s="1"/>
      <c r="BG2445" s="1"/>
      <c r="BH2445" s="1"/>
      <c r="BI2445" s="1"/>
      <c r="BJ2445" s="1"/>
      <c r="BK2445" s="1"/>
      <c r="BL2445" s="1"/>
      <c r="BM2445" s="1"/>
      <c r="BN2445" s="1"/>
      <c r="BO2445" s="1"/>
      <c r="BP2445" s="1"/>
      <c r="BQ2445" s="1"/>
      <c r="BR2445" s="1"/>
      <c r="BS2445" s="1"/>
      <c r="BT2445" s="1"/>
      <c r="BU2445" s="1" t="s">
        <v>9653</v>
      </c>
      <c r="BV2445" s="3"/>
      <c r="BW2445" s="3"/>
    </row>
    <row r="2446" spans="1:75">
      <c r="A2446" s="1" t="s">
        <v>26662</v>
      </c>
      <c r="B2446" s="1" t="s">
        <v>13976</v>
      </c>
      <c r="C2446" s="1" t="s">
        <v>40561</v>
      </c>
      <c r="D2446" s="1"/>
      <c r="E2446" s="1"/>
      <c r="F2446" s="1"/>
      <c r="G2446" s="1"/>
      <c r="H2446" s="1" t="s">
        <v>40562</v>
      </c>
      <c r="I2446" s="1" t="s">
        <v>40562</v>
      </c>
      <c r="J2446" s="1"/>
      <c r="K2446" s="1"/>
      <c r="L2446" s="1"/>
      <c r="M2446" s="1"/>
      <c r="N2446" s="1"/>
      <c r="O2446" s="1"/>
      <c r="P2446" s="1"/>
      <c r="Q2446" s="1"/>
      <c r="R2446" s="1"/>
      <c r="S2446" s="1"/>
      <c r="T2446" s="1"/>
      <c r="U2446" s="1"/>
      <c r="V2446" s="1"/>
      <c r="W2446" s="1"/>
      <c r="X2446" s="1"/>
      <c r="Y2446" s="1"/>
      <c r="Z2446" s="1"/>
      <c r="AA2446" s="1"/>
      <c r="AB2446" s="1"/>
      <c r="AC2446" s="1"/>
      <c r="AD2446" s="1" t="s">
        <v>98</v>
      </c>
      <c r="AE2446" s="1" t="s">
        <v>98</v>
      </c>
      <c r="AF2446" s="1"/>
      <c r="AG2446" s="1"/>
      <c r="AH2446" s="1"/>
      <c r="AI2446" s="1"/>
      <c r="AJ2446" s="1"/>
      <c r="AK2446" s="1"/>
      <c r="AL2446" s="1"/>
      <c r="AM2446" s="1"/>
      <c r="AN2446" s="1"/>
      <c r="AO2446" s="1"/>
      <c r="AP2446" s="1"/>
      <c r="AQ2446" s="1"/>
      <c r="AR2446" s="1"/>
      <c r="AS2446" s="1"/>
      <c r="AT2446" s="1"/>
      <c r="AU2446" s="1"/>
      <c r="AV2446" s="1"/>
      <c r="AW2446" s="1"/>
      <c r="AX2446" s="1"/>
      <c r="AY2446" s="1"/>
      <c r="AZ2446" s="1"/>
      <c r="BA2446" s="1"/>
      <c r="BB2446" s="1"/>
      <c r="BC2446" s="1"/>
      <c r="BD2446" s="1"/>
      <c r="BE2446" s="1"/>
      <c r="BF2446" s="1"/>
      <c r="BG2446" s="1"/>
      <c r="BH2446" s="1"/>
      <c r="BI2446" s="1"/>
      <c r="BJ2446" s="1"/>
      <c r="BK2446" s="1"/>
      <c r="BL2446" s="1"/>
      <c r="BM2446" s="1"/>
      <c r="BN2446" s="1"/>
      <c r="BO2446" s="1"/>
      <c r="BP2446" s="1"/>
      <c r="BQ2446" s="1"/>
      <c r="BR2446" s="1"/>
      <c r="BS2446" s="1"/>
      <c r="BT2446" s="1"/>
      <c r="BU2446" s="1" t="s">
        <v>9653</v>
      </c>
      <c r="BV2446" s="3"/>
      <c r="BW2446" s="3"/>
    </row>
    <row r="2447" spans="1:75">
      <c r="A2447" s="1" t="s">
        <v>26662</v>
      </c>
      <c r="B2447" s="1" t="s">
        <v>13976</v>
      </c>
      <c r="C2447" s="1" t="s">
        <v>40563</v>
      </c>
      <c r="D2447" s="1"/>
      <c r="E2447" s="1"/>
      <c r="F2447" s="1"/>
      <c r="G2447" s="1"/>
      <c r="H2447" s="1" t="s">
        <v>40564</v>
      </c>
      <c r="I2447" s="1" t="s">
        <v>40564</v>
      </c>
      <c r="J2447" s="1"/>
      <c r="K2447" s="1"/>
      <c r="L2447" s="1"/>
      <c r="M2447" s="1"/>
      <c r="N2447" s="1"/>
      <c r="O2447" s="1"/>
      <c r="P2447" s="1"/>
      <c r="Q2447" s="1"/>
      <c r="R2447" s="1"/>
      <c r="S2447" s="1"/>
      <c r="T2447" s="1"/>
      <c r="U2447" s="1"/>
      <c r="V2447" s="1"/>
      <c r="W2447" s="1"/>
      <c r="X2447" s="1"/>
      <c r="Y2447" s="1"/>
      <c r="Z2447" s="1"/>
      <c r="AA2447" s="1"/>
      <c r="AB2447" s="1"/>
      <c r="AC2447" s="1"/>
      <c r="AD2447" s="1" t="s">
        <v>98</v>
      </c>
      <c r="AE2447" s="1" t="s">
        <v>98</v>
      </c>
      <c r="AF2447" s="1"/>
      <c r="AG2447" s="1"/>
      <c r="AH2447" s="1"/>
      <c r="AI2447" s="1"/>
      <c r="AJ2447" s="1"/>
      <c r="AK2447" s="1"/>
      <c r="AL2447" s="1"/>
      <c r="AM2447" s="1"/>
      <c r="AN2447" s="1"/>
      <c r="AO2447" s="1"/>
      <c r="AP2447" s="1"/>
      <c r="AQ2447" s="1"/>
      <c r="AR2447" s="1"/>
      <c r="AS2447" s="1"/>
      <c r="AT2447" s="1"/>
      <c r="AU2447" s="1"/>
      <c r="AV2447" s="1"/>
      <c r="AW2447" s="1"/>
      <c r="AX2447" s="1"/>
      <c r="AY2447" s="1"/>
      <c r="AZ2447" s="1"/>
      <c r="BA2447" s="1"/>
      <c r="BB2447" s="1"/>
      <c r="BC2447" s="1"/>
      <c r="BD2447" s="1"/>
      <c r="BE2447" s="1"/>
      <c r="BF2447" s="1"/>
      <c r="BG2447" s="1"/>
      <c r="BH2447" s="1"/>
      <c r="BI2447" s="1"/>
      <c r="BJ2447" s="1"/>
      <c r="BK2447" s="1"/>
      <c r="BL2447" s="1"/>
      <c r="BM2447" s="1"/>
      <c r="BN2447" s="1"/>
      <c r="BO2447" s="1"/>
      <c r="BP2447" s="1"/>
      <c r="BQ2447" s="1"/>
      <c r="BR2447" s="1"/>
      <c r="BS2447" s="1"/>
      <c r="BT2447" s="1"/>
      <c r="BU2447" s="1" t="s">
        <v>9653</v>
      </c>
      <c r="BV2447" s="3"/>
      <c r="BW2447" s="3"/>
    </row>
    <row r="2448" spans="1:75">
      <c r="A2448" s="1" t="s">
        <v>26662</v>
      </c>
      <c r="B2448" s="1" t="s">
        <v>13976</v>
      </c>
      <c r="C2448" s="1" t="s">
        <v>40565</v>
      </c>
      <c r="D2448" s="1"/>
      <c r="E2448" s="1"/>
      <c r="F2448" s="1"/>
      <c r="G2448" s="1"/>
      <c r="H2448" s="1" t="s">
        <v>40566</v>
      </c>
      <c r="I2448" s="1" t="s">
        <v>40566</v>
      </c>
      <c r="J2448" s="1"/>
      <c r="K2448" s="1"/>
      <c r="L2448" s="1"/>
      <c r="M2448" s="1"/>
      <c r="N2448" s="1"/>
      <c r="O2448" s="1"/>
      <c r="P2448" s="1"/>
      <c r="Q2448" s="1"/>
      <c r="R2448" s="1"/>
      <c r="S2448" s="1"/>
      <c r="T2448" s="1"/>
      <c r="U2448" s="1"/>
      <c r="V2448" s="1"/>
      <c r="W2448" s="1"/>
      <c r="X2448" s="1"/>
      <c r="Y2448" s="1"/>
      <c r="Z2448" s="1"/>
      <c r="AA2448" s="1"/>
      <c r="AB2448" s="1"/>
      <c r="AC2448" s="1"/>
      <c r="AD2448" s="1" t="s">
        <v>98</v>
      </c>
      <c r="AE2448" s="1" t="s">
        <v>98</v>
      </c>
      <c r="AF2448" s="1"/>
      <c r="AG2448" s="1"/>
      <c r="AH2448" s="1"/>
      <c r="AI2448" s="1"/>
      <c r="AJ2448" s="1"/>
      <c r="AK2448" s="1"/>
      <c r="AL2448" s="1"/>
      <c r="AM2448" s="1"/>
      <c r="AN2448" s="1"/>
      <c r="AO2448" s="1"/>
      <c r="AP2448" s="1"/>
      <c r="AQ2448" s="1"/>
      <c r="AR2448" s="1"/>
      <c r="AS2448" s="1"/>
      <c r="AT2448" s="1"/>
      <c r="AU2448" s="1"/>
      <c r="AV2448" s="1"/>
      <c r="AW2448" s="1"/>
      <c r="AX2448" s="1"/>
      <c r="AY2448" s="1"/>
      <c r="AZ2448" s="1"/>
      <c r="BA2448" s="1"/>
      <c r="BB2448" s="1"/>
      <c r="BC2448" s="1"/>
      <c r="BD2448" s="1"/>
      <c r="BE2448" s="1"/>
      <c r="BF2448" s="1"/>
      <c r="BG2448" s="1"/>
      <c r="BH2448" s="1"/>
      <c r="BI2448" s="1"/>
      <c r="BJ2448" s="1"/>
      <c r="BK2448" s="1"/>
      <c r="BL2448" s="1"/>
      <c r="BM2448" s="1"/>
      <c r="BN2448" s="1"/>
      <c r="BO2448" s="1"/>
      <c r="BP2448" s="1"/>
      <c r="BQ2448" s="1"/>
      <c r="BR2448" s="1"/>
      <c r="BS2448" s="1"/>
      <c r="BT2448" s="1"/>
      <c r="BU2448" s="1" t="s">
        <v>9653</v>
      </c>
      <c r="BV2448" s="3"/>
      <c r="BW2448" s="3"/>
    </row>
    <row r="2449" spans="1:75">
      <c r="A2449" s="1" t="s">
        <v>26662</v>
      </c>
      <c r="B2449" s="1" t="s">
        <v>13976</v>
      </c>
      <c r="C2449" s="1" t="s">
        <v>40567</v>
      </c>
      <c r="D2449" s="1"/>
      <c r="E2449" s="1"/>
      <c r="F2449" s="1"/>
      <c r="G2449" s="1"/>
      <c r="H2449" s="1" t="s">
        <v>40568</v>
      </c>
      <c r="I2449" s="1" t="s">
        <v>40568</v>
      </c>
      <c r="J2449" s="1"/>
      <c r="K2449" s="1"/>
      <c r="L2449" s="1"/>
      <c r="M2449" s="1"/>
      <c r="N2449" s="1"/>
      <c r="O2449" s="1"/>
      <c r="P2449" s="1"/>
      <c r="Q2449" s="1"/>
      <c r="R2449" s="1"/>
      <c r="S2449" s="1"/>
      <c r="T2449" s="1"/>
      <c r="U2449" s="1"/>
      <c r="V2449" s="1"/>
      <c r="W2449" s="1"/>
      <c r="X2449" s="1"/>
      <c r="Y2449" s="1"/>
      <c r="Z2449" s="1"/>
      <c r="AA2449" s="1"/>
      <c r="AB2449" s="1"/>
      <c r="AC2449" s="1"/>
      <c r="AD2449" s="1" t="s">
        <v>98</v>
      </c>
      <c r="AE2449" s="1" t="s">
        <v>98</v>
      </c>
      <c r="AF2449" s="1"/>
      <c r="AG2449" s="1"/>
      <c r="AH2449" s="1"/>
      <c r="AI2449" s="1"/>
      <c r="AJ2449" s="1"/>
      <c r="AK2449" s="1"/>
      <c r="AL2449" s="1"/>
      <c r="AM2449" s="1"/>
      <c r="AN2449" s="1"/>
      <c r="AO2449" s="1"/>
      <c r="AP2449" s="1"/>
      <c r="AQ2449" s="1"/>
      <c r="AR2449" s="1"/>
      <c r="AS2449" s="1"/>
      <c r="AT2449" s="1"/>
      <c r="AU2449" s="1"/>
      <c r="AV2449" s="1"/>
      <c r="AW2449" s="1"/>
      <c r="AX2449" s="1"/>
      <c r="AY2449" s="1"/>
      <c r="AZ2449" s="1"/>
      <c r="BA2449" s="1"/>
      <c r="BB2449" s="1"/>
      <c r="BC2449" s="1"/>
      <c r="BD2449" s="1"/>
      <c r="BE2449" s="1"/>
      <c r="BF2449" s="1"/>
      <c r="BG2449" s="1"/>
      <c r="BH2449" s="1"/>
      <c r="BI2449" s="1"/>
      <c r="BJ2449" s="1"/>
      <c r="BK2449" s="1"/>
      <c r="BL2449" s="1"/>
      <c r="BM2449" s="1"/>
      <c r="BN2449" s="1"/>
      <c r="BO2449" s="1"/>
      <c r="BP2449" s="1"/>
      <c r="BQ2449" s="1"/>
      <c r="BR2449" s="1"/>
      <c r="BS2449" s="1"/>
      <c r="BT2449" s="1"/>
      <c r="BU2449" s="1" t="s">
        <v>9653</v>
      </c>
      <c r="BV2449" s="3"/>
      <c r="BW2449" s="3"/>
    </row>
    <row r="2450" spans="1:75">
      <c r="A2450" s="1" t="s">
        <v>26662</v>
      </c>
      <c r="B2450" s="1" t="s">
        <v>13976</v>
      </c>
      <c r="C2450" s="1" t="s">
        <v>40569</v>
      </c>
      <c r="D2450" s="1"/>
      <c r="E2450" s="1"/>
      <c r="F2450" s="1"/>
      <c r="G2450" s="1"/>
      <c r="H2450" s="1" t="s">
        <v>40570</v>
      </c>
      <c r="I2450" s="1" t="s">
        <v>40570</v>
      </c>
      <c r="J2450" s="1"/>
      <c r="K2450" s="1"/>
      <c r="L2450" s="1"/>
      <c r="M2450" s="1"/>
      <c r="N2450" s="1"/>
      <c r="O2450" s="1"/>
      <c r="P2450" s="1"/>
      <c r="Q2450" s="1"/>
      <c r="R2450" s="1"/>
      <c r="S2450" s="1"/>
      <c r="T2450" s="1"/>
      <c r="U2450" s="1"/>
      <c r="V2450" s="1"/>
      <c r="W2450" s="1"/>
      <c r="X2450" s="1"/>
      <c r="Y2450" s="1"/>
      <c r="Z2450" s="1"/>
      <c r="AA2450" s="1"/>
      <c r="AB2450" s="1"/>
      <c r="AC2450" s="1"/>
      <c r="AD2450" s="1" t="s">
        <v>98</v>
      </c>
      <c r="AE2450" s="1" t="s">
        <v>98</v>
      </c>
      <c r="AF2450" s="1"/>
      <c r="AG2450" s="1"/>
      <c r="AH2450" s="1"/>
      <c r="AI2450" s="1"/>
      <c r="AJ2450" s="1"/>
      <c r="AK2450" s="1"/>
      <c r="AL2450" s="1"/>
      <c r="AM2450" s="1"/>
      <c r="AN2450" s="1"/>
      <c r="AO2450" s="1"/>
      <c r="AP2450" s="1"/>
      <c r="AQ2450" s="1"/>
      <c r="AR2450" s="1"/>
      <c r="AS2450" s="1"/>
      <c r="AT2450" s="1"/>
      <c r="AU2450" s="1"/>
      <c r="AV2450" s="1"/>
      <c r="AW2450" s="1"/>
      <c r="AX2450" s="1"/>
      <c r="AY2450" s="1"/>
      <c r="AZ2450" s="1"/>
      <c r="BA2450" s="1"/>
      <c r="BB2450" s="1"/>
      <c r="BC2450" s="1"/>
      <c r="BD2450" s="1"/>
      <c r="BE2450" s="1"/>
      <c r="BF2450" s="1"/>
      <c r="BG2450" s="1"/>
      <c r="BH2450" s="1"/>
      <c r="BI2450" s="1"/>
      <c r="BJ2450" s="1"/>
      <c r="BK2450" s="1"/>
      <c r="BL2450" s="1"/>
      <c r="BM2450" s="1"/>
      <c r="BN2450" s="1"/>
      <c r="BO2450" s="1"/>
      <c r="BP2450" s="1"/>
      <c r="BQ2450" s="1"/>
      <c r="BR2450" s="1"/>
      <c r="BS2450" s="1"/>
      <c r="BT2450" s="1"/>
      <c r="BU2450" s="1" t="s">
        <v>9653</v>
      </c>
      <c r="BV2450" s="3"/>
      <c r="BW2450" s="3"/>
    </row>
    <row r="2451" spans="1:75">
      <c r="A2451" s="1" t="s">
        <v>26662</v>
      </c>
      <c r="B2451" s="1" t="s">
        <v>13976</v>
      </c>
      <c r="C2451" s="1" t="s">
        <v>40571</v>
      </c>
      <c r="D2451" s="1"/>
      <c r="E2451" s="1"/>
      <c r="F2451" s="1"/>
      <c r="G2451" s="1"/>
      <c r="H2451" s="1" t="s">
        <v>40572</v>
      </c>
      <c r="I2451" s="1" t="s">
        <v>40572</v>
      </c>
      <c r="J2451" s="1"/>
      <c r="K2451" s="1"/>
      <c r="L2451" s="1"/>
      <c r="M2451" s="1"/>
      <c r="N2451" s="1"/>
      <c r="O2451" s="1"/>
      <c r="P2451" s="1"/>
      <c r="Q2451" s="1"/>
      <c r="R2451" s="1"/>
      <c r="S2451" s="1"/>
      <c r="T2451" s="1"/>
      <c r="U2451" s="1"/>
      <c r="V2451" s="1"/>
      <c r="W2451" s="1"/>
      <c r="X2451" s="1"/>
      <c r="Y2451" s="1"/>
      <c r="Z2451" s="1"/>
      <c r="AA2451" s="1"/>
      <c r="AB2451" s="1"/>
      <c r="AC2451" s="1"/>
      <c r="AD2451" s="1" t="s">
        <v>98</v>
      </c>
      <c r="AE2451" s="1" t="s">
        <v>98</v>
      </c>
      <c r="AF2451" s="1"/>
      <c r="AG2451" s="1"/>
      <c r="AH2451" s="1"/>
      <c r="AI2451" s="1"/>
      <c r="AJ2451" s="1"/>
      <c r="AK2451" s="1"/>
      <c r="AL2451" s="1"/>
      <c r="AM2451" s="1"/>
      <c r="AN2451" s="1"/>
      <c r="AO2451" s="1"/>
      <c r="AP2451" s="1"/>
      <c r="AQ2451" s="1"/>
      <c r="AR2451" s="1"/>
      <c r="AS2451" s="1"/>
      <c r="AT2451" s="1"/>
      <c r="AU2451" s="1"/>
      <c r="AV2451" s="1"/>
      <c r="AW2451" s="1"/>
      <c r="AX2451" s="1"/>
      <c r="AY2451" s="1"/>
      <c r="AZ2451" s="1"/>
      <c r="BA2451" s="1"/>
      <c r="BB2451" s="1"/>
      <c r="BC2451" s="1"/>
      <c r="BD2451" s="1"/>
      <c r="BE2451" s="1"/>
      <c r="BF2451" s="1"/>
      <c r="BG2451" s="1"/>
      <c r="BH2451" s="1"/>
      <c r="BI2451" s="1"/>
      <c r="BJ2451" s="1"/>
      <c r="BK2451" s="1"/>
      <c r="BL2451" s="1"/>
      <c r="BM2451" s="1"/>
      <c r="BN2451" s="1"/>
      <c r="BO2451" s="1"/>
      <c r="BP2451" s="1"/>
      <c r="BQ2451" s="1"/>
      <c r="BR2451" s="1"/>
      <c r="BS2451" s="1"/>
      <c r="BT2451" s="1"/>
      <c r="BU2451" s="1" t="s">
        <v>9653</v>
      </c>
      <c r="BV2451" s="3"/>
      <c r="BW2451" s="3"/>
    </row>
    <row r="2452" spans="1:75">
      <c r="A2452" s="1" t="s">
        <v>26662</v>
      </c>
      <c r="B2452" s="1" t="s">
        <v>13976</v>
      </c>
      <c r="C2452" s="1" t="s">
        <v>40573</v>
      </c>
      <c r="D2452" s="1"/>
      <c r="E2452" s="1"/>
      <c r="F2452" s="1"/>
      <c r="G2452" s="1"/>
      <c r="H2452" s="1" t="s">
        <v>40574</v>
      </c>
      <c r="I2452" s="1" t="s">
        <v>40574</v>
      </c>
      <c r="J2452" s="1"/>
      <c r="K2452" s="1"/>
      <c r="L2452" s="1"/>
      <c r="M2452" s="1"/>
      <c r="N2452" s="1"/>
      <c r="O2452" s="1"/>
      <c r="P2452" s="1"/>
      <c r="Q2452" s="1"/>
      <c r="R2452" s="1"/>
      <c r="S2452" s="1"/>
      <c r="T2452" s="1"/>
      <c r="U2452" s="1"/>
      <c r="V2452" s="1"/>
      <c r="W2452" s="1"/>
      <c r="X2452" s="1"/>
      <c r="Y2452" s="1"/>
      <c r="Z2452" s="1"/>
      <c r="AA2452" s="1"/>
      <c r="AB2452" s="1"/>
      <c r="AC2452" s="1"/>
      <c r="AD2452" s="1" t="s">
        <v>98</v>
      </c>
      <c r="AE2452" s="1" t="s">
        <v>98</v>
      </c>
      <c r="AF2452" s="1"/>
      <c r="AG2452" s="1"/>
      <c r="AH2452" s="1"/>
      <c r="AI2452" s="1"/>
      <c r="AJ2452" s="1"/>
      <c r="AK2452" s="1"/>
      <c r="AL2452" s="1"/>
      <c r="AM2452" s="1"/>
      <c r="AN2452" s="1"/>
      <c r="AO2452" s="1"/>
      <c r="AP2452" s="1"/>
      <c r="AQ2452" s="1"/>
      <c r="AR2452" s="1"/>
      <c r="AS2452" s="1"/>
      <c r="AT2452" s="1"/>
      <c r="AU2452" s="1"/>
      <c r="AV2452" s="1"/>
      <c r="AW2452" s="1"/>
      <c r="AX2452" s="1"/>
      <c r="AY2452" s="1"/>
      <c r="AZ2452" s="1"/>
      <c r="BA2452" s="1"/>
      <c r="BB2452" s="1"/>
      <c r="BC2452" s="1"/>
      <c r="BD2452" s="1"/>
      <c r="BE2452" s="1"/>
      <c r="BF2452" s="1"/>
      <c r="BG2452" s="1"/>
      <c r="BH2452" s="1"/>
      <c r="BI2452" s="1"/>
      <c r="BJ2452" s="1"/>
      <c r="BK2452" s="1"/>
      <c r="BL2452" s="1"/>
      <c r="BM2452" s="1"/>
      <c r="BN2452" s="1"/>
      <c r="BO2452" s="1"/>
      <c r="BP2452" s="1"/>
      <c r="BQ2452" s="1"/>
      <c r="BR2452" s="1"/>
      <c r="BS2452" s="1"/>
      <c r="BT2452" s="1"/>
      <c r="BU2452" s="1" t="s">
        <v>9653</v>
      </c>
      <c r="BV2452" s="3"/>
      <c r="BW2452" s="3"/>
    </row>
    <row r="2453" spans="1:75">
      <c r="A2453" s="1" t="s">
        <v>26662</v>
      </c>
      <c r="B2453" s="1" t="s">
        <v>13976</v>
      </c>
      <c r="C2453" s="1" t="s">
        <v>40575</v>
      </c>
      <c r="D2453" s="1"/>
      <c r="E2453" s="1"/>
      <c r="F2453" s="1"/>
      <c r="G2453" s="1"/>
      <c r="H2453" s="1" t="s">
        <v>40576</v>
      </c>
      <c r="I2453" s="1" t="s">
        <v>40576</v>
      </c>
      <c r="J2453" s="1"/>
      <c r="K2453" s="1"/>
      <c r="L2453" s="1"/>
      <c r="M2453" s="1"/>
      <c r="N2453" s="1"/>
      <c r="O2453" s="1"/>
      <c r="P2453" s="1"/>
      <c r="Q2453" s="1"/>
      <c r="R2453" s="1"/>
      <c r="S2453" s="1"/>
      <c r="T2453" s="1"/>
      <c r="U2453" s="1"/>
      <c r="V2453" s="1"/>
      <c r="W2453" s="1"/>
      <c r="X2453" s="1"/>
      <c r="Y2453" s="1"/>
      <c r="Z2453" s="1"/>
      <c r="AA2453" s="1"/>
      <c r="AB2453" s="1"/>
      <c r="AC2453" s="1"/>
      <c r="AD2453" s="1" t="s">
        <v>98</v>
      </c>
      <c r="AE2453" s="1" t="s">
        <v>98</v>
      </c>
      <c r="AF2453" s="1"/>
      <c r="AG2453" s="1"/>
      <c r="AH2453" s="1"/>
      <c r="AI2453" s="1"/>
      <c r="AJ2453" s="1"/>
      <c r="AK2453" s="1"/>
      <c r="AL2453" s="1"/>
      <c r="AM2453" s="1"/>
      <c r="AN2453" s="1"/>
      <c r="AO2453" s="1"/>
      <c r="AP2453" s="1"/>
      <c r="AQ2453" s="1"/>
      <c r="AR2453" s="1"/>
      <c r="AS2453" s="1"/>
      <c r="AT2453" s="1"/>
      <c r="AU2453" s="1"/>
      <c r="AV2453" s="1"/>
      <c r="AW2453" s="1"/>
      <c r="AX2453" s="1"/>
      <c r="AY2453" s="1"/>
      <c r="AZ2453" s="1"/>
      <c r="BA2453" s="1"/>
      <c r="BB2453" s="1"/>
      <c r="BC2453" s="1"/>
      <c r="BD2453" s="1"/>
      <c r="BE2453" s="1"/>
      <c r="BF2453" s="1"/>
      <c r="BG2453" s="1"/>
      <c r="BH2453" s="1"/>
      <c r="BI2453" s="1"/>
      <c r="BJ2453" s="1"/>
      <c r="BK2453" s="1"/>
      <c r="BL2453" s="1"/>
      <c r="BM2453" s="1"/>
      <c r="BN2453" s="1"/>
      <c r="BO2453" s="1"/>
      <c r="BP2453" s="1"/>
      <c r="BQ2453" s="1"/>
      <c r="BR2453" s="1"/>
      <c r="BS2453" s="1"/>
      <c r="BT2453" s="1"/>
      <c r="BU2453" s="1" t="s">
        <v>9653</v>
      </c>
      <c r="BV2453" s="3"/>
      <c r="BW2453" s="3"/>
    </row>
    <row r="2454" spans="1:75">
      <c r="A2454" s="1" t="s">
        <v>26662</v>
      </c>
      <c r="B2454" s="1" t="s">
        <v>13976</v>
      </c>
      <c r="C2454" s="1" t="s">
        <v>40577</v>
      </c>
      <c r="D2454" s="1"/>
      <c r="E2454" s="1"/>
      <c r="F2454" s="1"/>
      <c r="G2454" s="1"/>
      <c r="H2454" s="1" t="s">
        <v>40578</v>
      </c>
      <c r="I2454" s="1" t="s">
        <v>40578</v>
      </c>
      <c r="J2454" s="1"/>
      <c r="K2454" s="1"/>
      <c r="L2454" s="1"/>
      <c r="M2454" s="1"/>
      <c r="N2454" s="1"/>
      <c r="O2454" s="1"/>
      <c r="P2454" s="1"/>
      <c r="Q2454" s="1"/>
      <c r="R2454" s="1"/>
      <c r="S2454" s="1"/>
      <c r="T2454" s="1"/>
      <c r="U2454" s="1"/>
      <c r="V2454" s="1"/>
      <c r="W2454" s="1"/>
      <c r="X2454" s="1"/>
      <c r="Y2454" s="1"/>
      <c r="Z2454" s="1"/>
      <c r="AA2454" s="1"/>
      <c r="AB2454" s="1"/>
      <c r="AC2454" s="1"/>
      <c r="AD2454" s="1" t="s">
        <v>98</v>
      </c>
      <c r="AE2454" s="1" t="s">
        <v>98</v>
      </c>
      <c r="AF2454" s="1"/>
      <c r="AG2454" s="1"/>
      <c r="AH2454" s="1"/>
      <c r="AI2454" s="1"/>
      <c r="AJ2454" s="1"/>
      <c r="AK2454" s="1"/>
      <c r="AL2454" s="1"/>
      <c r="AM2454" s="1"/>
      <c r="AN2454" s="1"/>
      <c r="AO2454" s="1"/>
      <c r="AP2454" s="1"/>
      <c r="AQ2454" s="1"/>
      <c r="AR2454" s="1"/>
      <c r="AS2454" s="1"/>
      <c r="AT2454" s="1"/>
      <c r="AU2454" s="1"/>
      <c r="AV2454" s="1"/>
      <c r="AW2454" s="1"/>
      <c r="AX2454" s="1"/>
      <c r="AY2454" s="1"/>
      <c r="AZ2454" s="1"/>
      <c r="BA2454" s="1"/>
      <c r="BB2454" s="1"/>
      <c r="BC2454" s="1"/>
      <c r="BD2454" s="1"/>
      <c r="BE2454" s="1"/>
      <c r="BF2454" s="1"/>
      <c r="BG2454" s="1"/>
      <c r="BH2454" s="1"/>
      <c r="BI2454" s="1"/>
      <c r="BJ2454" s="1"/>
      <c r="BK2454" s="1"/>
      <c r="BL2454" s="1"/>
      <c r="BM2454" s="1"/>
      <c r="BN2454" s="1"/>
      <c r="BO2454" s="1"/>
      <c r="BP2454" s="1"/>
      <c r="BQ2454" s="1"/>
      <c r="BR2454" s="1"/>
      <c r="BS2454" s="1"/>
      <c r="BT2454" s="1"/>
      <c r="BU2454" s="1" t="s">
        <v>9653</v>
      </c>
      <c r="BV2454" s="3"/>
      <c r="BW2454" s="3"/>
    </row>
    <row r="2455" spans="1:75">
      <c r="A2455" s="1" t="s">
        <v>26662</v>
      </c>
      <c r="B2455" s="1" t="s">
        <v>13976</v>
      </c>
      <c r="C2455" s="1" t="s">
        <v>40579</v>
      </c>
      <c r="D2455" s="1"/>
      <c r="E2455" s="1"/>
      <c r="F2455" s="1"/>
      <c r="G2455" s="1"/>
      <c r="H2455" s="1" t="s">
        <v>40580</v>
      </c>
      <c r="I2455" s="1" t="s">
        <v>40580</v>
      </c>
      <c r="J2455" s="1"/>
      <c r="K2455" s="1"/>
      <c r="L2455" s="1"/>
      <c r="M2455" s="1"/>
      <c r="N2455" s="1"/>
      <c r="O2455" s="1"/>
      <c r="P2455" s="1"/>
      <c r="Q2455" s="1"/>
      <c r="R2455" s="1"/>
      <c r="S2455" s="1"/>
      <c r="T2455" s="1"/>
      <c r="U2455" s="1"/>
      <c r="V2455" s="1"/>
      <c r="W2455" s="1"/>
      <c r="X2455" s="1"/>
      <c r="Y2455" s="1"/>
      <c r="Z2455" s="1"/>
      <c r="AA2455" s="1"/>
      <c r="AB2455" s="1"/>
      <c r="AC2455" s="1"/>
      <c r="AD2455" s="1" t="s">
        <v>98</v>
      </c>
      <c r="AE2455" s="1" t="s">
        <v>98</v>
      </c>
      <c r="AF2455" s="1"/>
      <c r="AG2455" s="1"/>
      <c r="AH2455" s="1"/>
      <c r="AI2455" s="1"/>
      <c r="AJ2455" s="1"/>
      <c r="AK2455" s="1"/>
      <c r="AL2455" s="1"/>
      <c r="AM2455" s="1"/>
      <c r="AN2455" s="1"/>
      <c r="AO2455" s="1"/>
      <c r="AP2455" s="1"/>
      <c r="AQ2455" s="1"/>
      <c r="AR2455" s="1"/>
      <c r="AS2455" s="1"/>
      <c r="AT2455" s="1"/>
      <c r="AU2455" s="1"/>
      <c r="AV2455" s="1"/>
      <c r="AW2455" s="1"/>
      <c r="AX2455" s="1"/>
      <c r="AY2455" s="1"/>
      <c r="AZ2455" s="1"/>
      <c r="BA2455" s="1"/>
      <c r="BB2455" s="1"/>
      <c r="BC2455" s="1"/>
      <c r="BD2455" s="1"/>
      <c r="BE2455" s="1"/>
      <c r="BF2455" s="1"/>
      <c r="BG2455" s="1"/>
      <c r="BH2455" s="1"/>
      <c r="BI2455" s="1"/>
      <c r="BJ2455" s="1"/>
      <c r="BK2455" s="1"/>
      <c r="BL2455" s="1"/>
      <c r="BM2455" s="1"/>
      <c r="BN2455" s="1"/>
      <c r="BO2455" s="1"/>
      <c r="BP2455" s="1"/>
      <c r="BQ2455" s="1"/>
      <c r="BR2455" s="1"/>
      <c r="BS2455" s="1"/>
      <c r="BT2455" s="1"/>
      <c r="BU2455" s="1" t="s">
        <v>9653</v>
      </c>
      <c r="BV2455" s="3"/>
      <c r="BW2455" s="3"/>
    </row>
    <row r="2456" spans="1:75">
      <c r="A2456" s="1" t="s">
        <v>26662</v>
      </c>
      <c r="B2456" s="1" t="s">
        <v>13976</v>
      </c>
      <c r="C2456" s="1" t="s">
        <v>40581</v>
      </c>
      <c r="D2456" s="1"/>
      <c r="E2456" s="1"/>
      <c r="F2456" s="1"/>
      <c r="G2456" s="1"/>
      <c r="H2456" s="1" t="s">
        <v>40582</v>
      </c>
      <c r="I2456" s="1" t="s">
        <v>40582</v>
      </c>
      <c r="J2456" s="1"/>
      <c r="K2456" s="1"/>
      <c r="L2456" s="1"/>
      <c r="M2456" s="1"/>
      <c r="N2456" s="1"/>
      <c r="O2456" s="1"/>
      <c r="P2456" s="1"/>
      <c r="Q2456" s="1"/>
      <c r="R2456" s="1"/>
      <c r="S2456" s="1"/>
      <c r="T2456" s="1"/>
      <c r="U2456" s="1"/>
      <c r="V2456" s="1"/>
      <c r="W2456" s="1"/>
      <c r="X2456" s="1"/>
      <c r="Y2456" s="1"/>
      <c r="Z2456" s="1"/>
      <c r="AA2456" s="1"/>
      <c r="AB2456" s="1"/>
      <c r="AC2456" s="1"/>
      <c r="AD2456" s="1" t="s">
        <v>98</v>
      </c>
      <c r="AE2456" s="1" t="s">
        <v>98</v>
      </c>
      <c r="AF2456" s="1"/>
      <c r="AG2456" s="1"/>
      <c r="AH2456" s="1"/>
      <c r="AI2456" s="1"/>
      <c r="AJ2456" s="1"/>
      <c r="AK2456" s="1"/>
      <c r="AL2456" s="1"/>
      <c r="AM2456" s="1"/>
      <c r="AN2456" s="1"/>
      <c r="AO2456" s="1"/>
      <c r="AP2456" s="1"/>
      <c r="AQ2456" s="1"/>
      <c r="AR2456" s="1"/>
      <c r="AS2456" s="1"/>
      <c r="AT2456" s="1"/>
      <c r="AU2456" s="1"/>
      <c r="AV2456" s="1"/>
      <c r="AW2456" s="1"/>
      <c r="AX2456" s="1"/>
      <c r="AY2456" s="1"/>
      <c r="AZ2456" s="1"/>
      <c r="BA2456" s="1"/>
      <c r="BB2456" s="1"/>
      <c r="BC2456" s="1"/>
      <c r="BD2456" s="1"/>
      <c r="BE2456" s="1"/>
      <c r="BF2456" s="1"/>
      <c r="BG2456" s="1"/>
      <c r="BH2456" s="1"/>
      <c r="BI2456" s="1"/>
      <c r="BJ2456" s="1"/>
      <c r="BK2456" s="1"/>
      <c r="BL2456" s="1"/>
      <c r="BM2456" s="1"/>
      <c r="BN2456" s="1"/>
      <c r="BO2456" s="1"/>
      <c r="BP2456" s="1"/>
      <c r="BQ2456" s="1"/>
      <c r="BR2456" s="1"/>
      <c r="BS2456" s="1"/>
      <c r="BT2456" s="1"/>
      <c r="BU2456" s="1" t="s">
        <v>9653</v>
      </c>
      <c r="BV2456" s="3"/>
      <c r="BW2456" s="3"/>
    </row>
    <row r="2457" spans="1:75">
      <c r="A2457" s="1" t="s">
        <v>26662</v>
      </c>
      <c r="B2457" s="1" t="s">
        <v>13976</v>
      </c>
      <c r="C2457" s="1" t="s">
        <v>40583</v>
      </c>
      <c r="D2457" s="1"/>
      <c r="E2457" s="1"/>
      <c r="F2457" s="1"/>
      <c r="G2457" s="1"/>
      <c r="H2457" s="1" t="s">
        <v>40584</v>
      </c>
      <c r="I2457" s="1" t="s">
        <v>40584</v>
      </c>
      <c r="J2457" s="1"/>
      <c r="K2457" s="1"/>
      <c r="L2457" s="1"/>
      <c r="M2457" s="1"/>
      <c r="N2457" s="1"/>
      <c r="O2457" s="1"/>
      <c r="P2457" s="1"/>
      <c r="Q2457" s="1"/>
      <c r="R2457" s="1"/>
      <c r="S2457" s="1"/>
      <c r="T2457" s="1"/>
      <c r="U2457" s="1"/>
      <c r="V2457" s="1"/>
      <c r="W2457" s="1"/>
      <c r="X2457" s="1"/>
      <c r="Y2457" s="1"/>
      <c r="Z2457" s="1"/>
      <c r="AA2457" s="1"/>
      <c r="AB2457" s="1"/>
      <c r="AC2457" s="1"/>
      <c r="AD2457" s="1" t="s">
        <v>98</v>
      </c>
      <c r="AE2457" s="1" t="s">
        <v>98</v>
      </c>
      <c r="AF2457" s="1"/>
      <c r="AG2457" s="1"/>
      <c r="AH2457" s="1"/>
      <c r="AI2457" s="1"/>
      <c r="AJ2457" s="1"/>
      <c r="AK2457" s="1"/>
      <c r="AL2457" s="1"/>
      <c r="AM2457" s="1"/>
      <c r="AN2457" s="1"/>
      <c r="AO2457" s="1"/>
      <c r="AP2457" s="1"/>
      <c r="AQ2457" s="1"/>
      <c r="AR2457" s="1"/>
      <c r="AS2457" s="1"/>
      <c r="AT2457" s="1"/>
      <c r="AU2457" s="1"/>
      <c r="AV2457" s="1"/>
      <c r="AW2457" s="1"/>
      <c r="AX2457" s="1"/>
      <c r="AY2457" s="1"/>
      <c r="AZ2457" s="1"/>
      <c r="BA2457" s="1"/>
      <c r="BB2457" s="1"/>
      <c r="BC2457" s="1"/>
      <c r="BD2457" s="1"/>
      <c r="BE2457" s="1"/>
      <c r="BF2457" s="1"/>
      <c r="BG2457" s="1"/>
      <c r="BH2457" s="1"/>
      <c r="BI2457" s="1"/>
      <c r="BJ2457" s="1"/>
      <c r="BK2457" s="1"/>
      <c r="BL2457" s="1"/>
      <c r="BM2457" s="1"/>
      <c r="BN2457" s="1"/>
      <c r="BO2457" s="1"/>
      <c r="BP2457" s="1"/>
      <c r="BQ2457" s="1"/>
      <c r="BR2457" s="1"/>
      <c r="BS2457" s="1"/>
      <c r="BT2457" s="1"/>
      <c r="BU2457" s="1" t="s">
        <v>9653</v>
      </c>
      <c r="BV2457" s="3"/>
      <c r="BW2457" s="3"/>
    </row>
    <row r="2458" spans="1:75">
      <c r="A2458" s="1" t="s">
        <v>26662</v>
      </c>
      <c r="B2458" s="1" t="s">
        <v>13976</v>
      </c>
      <c r="C2458" s="1" t="s">
        <v>40585</v>
      </c>
      <c r="D2458" s="1"/>
      <c r="E2458" s="1"/>
      <c r="F2458" s="1"/>
      <c r="G2458" s="1"/>
      <c r="H2458" s="1" t="s">
        <v>40586</v>
      </c>
      <c r="I2458" s="1" t="s">
        <v>40586</v>
      </c>
      <c r="J2458" s="1"/>
      <c r="K2458" s="1"/>
      <c r="L2458" s="1"/>
      <c r="M2458" s="1"/>
      <c r="N2458" s="1"/>
      <c r="O2458" s="1"/>
      <c r="P2458" s="1"/>
      <c r="Q2458" s="1"/>
      <c r="R2458" s="1"/>
      <c r="S2458" s="1"/>
      <c r="T2458" s="1"/>
      <c r="U2458" s="1"/>
      <c r="V2458" s="1"/>
      <c r="W2458" s="1"/>
      <c r="X2458" s="1"/>
      <c r="Y2458" s="1"/>
      <c r="Z2458" s="1"/>
      <c r="AA2458" s="1"/>
      <c r="AB2458" s="1"/>
      <c r="AC2458" s="1"/>
      <c r="AD2458" s="1" t="s">
        <v>98</v>
      </c>
      <c r="AE2458" s="1" t="s">
        <v>98</v>
      </c>
      <c r="AF2458" s="1"/>
      <c r="AG2458" s="1"/>
      <c r="AH2458" s="1"/>
      <c r="AI2458" s="1"/>
      <c r="AJ2458" s="1"/>
      <c r="AK2458" s="1"/>
      <c r="AL2458" s="1"/>
      <c r="AM2458" s="1"/>
      <c r="AN2458" s="1"/>
      <c r="AO2458" s="1"/>
      <c r="AP2458" s="1"/>
      <c r="AQ2458" s="1"/>
      <c r="AR2458" s="1"/>
      <c r="AS2458" s="1"/>
      <c r="AT2458" s="1"/>
      <c r="AU2458" s="1"/>
      <c r="AV2458" s="1"/>
      <c r="AW2458" s="1"/>
      <c r="AX2458" s="1"/>
      <c r="AY2458" s="1"/>
      <c r="AZ2458" s="1"/>
      <c r="BA2458" s="1"/>
      <c r="BB2458" s="1"/>
      <c r="BC2458" s="1"/>
      <c r="BD2458" s="1"/>
      <c r="BE2458" s="1"/>
      <c r="BF2458" s="1"/>
      <c r="BG2458" s="1"/>
      <c r="BH2458" s="1"/>
      <c r="BI2458" s="1"/>
      <c r="BJ2458" s="1"/>
      <c r="BK2458" s="1"/>
      <c r="BL2458" s="1"/>
      <c r="BM2458" s="1"/>
      <c r="BN2458" s="1"/>
      <c r="BO2458" s="1"/>
      <c r="BP2458" s="1"/>
      <c r="BQ2458" s="1"/>
      <c r="BR2458" s="1"/>
      <c r="BS2458" s="1"/>
      <c r="BT2458" s="1"/>
      <c r="BU2458" s="1" t="s">
        <v>9653</v>
      </c>
      <c r="BV2458" s="3"/>
      <c r="BW2458" s="3"/>
    </row>
    <row r="2459" spans="1:75">
      <c r="A2459" s="1" t="s">
        <v>26662</v>
      </c>
      <c r="B2459" s="1" t="s">
        <v>13976</v>
      </c>
      <c r="C2459" s="1" t="s">
        <v>40587</v>
      </c>
      <c r="D2459" s="1"/>
      <c r="E2459" s="1"/>
      <c r="F2459" s="1"/>
      <c r="G2459" s="1"/>
      <c r="H2459" s="1" t="s">
        <v>40588</v>
      </c>
      <c r="I2459" s="1" t="s">
        <v>40588</v>
      </c>
      <c r="J2459" s="1"/>
      <c r="K2459" s="1"/>
      <c r="L2459" s="1"/>
      <c r="M2459" s="1"/>
      <c r="N2459" s="1"/>
      <c r="O2459" s="1"/>
      <c r="P2459" s="1"/>
      <c r="Q2459" s="1"/>
      <c r="R2459" s="1"/>
      <c r="S2459" s="1"/>
      <c r="T2459" s="1"/>
      <c r="U2459" s="1"/>
      <c r="V2459" s="1"/>
      <c r="W2459" s="1"/>
      <c r="X2459" s="1"/>
      <c r="Y2459" s="1"/>
      <c r="Z2459" s="1"/>
      <c r="AA2459" s="1"/>
      <c r="AB2459" s="1"/>
      <c r="AC2459" s="1"/>
      <c r="AD2459" s="1" t="s">
        <v>98</v>
      </c>
      <c r="AE2459" s="1" t="s">
        <v>98</v>
      </c>
      <c r="AF2459" s="1"/>
      <c r="AG2459" s="1"/>
      <c r="AH2459" s="1"/>
      <c r="AI2459" s="1"/>
      <c r="AJ2459" s="1"/>
      <c r="AK2459" s="1"/>
      <c r="AL2459" s="1"/>
      <c r="AM2459" s="1"/>
      <c r="AN2459" s="1"/>
      <c r="AO2459" s="1"/>
      <c r="AP2459" s="1"/>
      <c r="AQ2459" s="1"/>
      <c r="AR2459" s="1"/>
      <c r="AS2459" s="1"/>
      <c r="AT2459" s="1"/>
      <c r="AU2459" s="1"/>
      <c r="AV2459" s="1"/>
      <c r="AW2459" s="1"/>
      <c r="AX2459" s="1"/>
      <c r="AY2459" s="1"/>
      <c r="AZ2459" s="1"/>
      <c r="BA2459" s="1"/>
      <c r="BB2459" s="1"/>
      <c r="BC2459" s="1"/>
      <c r="BD2459" s="1"/>
      <c r="BE2459" s="1"/>
      <c r="BF2459" s="1"/>
      <c r="BG2459" s="1"/>
      <c r="BH2459" s="1"/>
      <c r="BI2459" s="1"/>
      <c r="BJ2459" s="1"/>
      <c r="BK2459" s="1"/>
      <c r="BL2459" s="1"/>
      <c r="BM2459" s="1"/>
      <c r="BN2459" s="1"/>
      <c r="BO2459" s="1"/>
      <c r="BP2459" s="1"/>
      <c r="BQ2459" s="1"/>
      <c r="BR2459" s="1"/>
      <c r="BS2459" s="1"/>
      <c r="BT2459" s="1"/>
      <c r="BU2459" s="1" t="s">
        <v>9653</v>
      </c>
      <c r="BV2459" s="3"/>
      <c r="BW2459" s="3"/>
    </row>
    <row r="2460" spans="1:75">
      <c r="A2460" s="1" t="s">
        <v>26662</v>
      </c>
      <c r="B2460" s="1" t="s">
        <v>13976</v>
      </c>
      <c r="C2460" s="1" t="s">
        <v>40589</v>
      </c>
      <c r="D2460" s="1"/>
      <c r="E2460" s="1"/>
      <c r="F2460" s="1"/>
      <c r="G2460" s="1"/>
      <c r="H2460" s="1" t="s">
        <v>40590</v>
      </c>
      <c r="I2460" s="1" t="s">
        <v>40590</v>
      </c>
      <c r="J2460" s="1"/>
      <c r="K2460" s="1"/>
      <c r="L2460" s="1"/>
      <c r="M2460" s="1"/>
      <c r="N2460" s="1"/>
      <c r="O2460" s="1"/>
      <c r="P2460" s="1"/>
      <c r="Q2460" s="1"/>
      <c r="R2460" s="1"/>
      <c r="S2460" s="1"/>
      <c r="T2460" s="1"/>
      <c r="U2460" s="1"/>
      <c r="V2460" s="1"/>
      <c r="W2460" s="1"/>
      <c r="X2460" s="1"/>
      <c r="Y2460" s="1"/>
      <c r="Z2460" s="1"/>
      <c r="AA2460" s="1"/>
      <c r="AB2460" s="1"/>
      <c r="AC2460" s="1"/>
      <c r="AD2460" s="1" t="s">
        <v>98</v>
      </c>
      <c r="AE2460" s="1" t="s">
        <v>98</v>
      </c>
      <c r="AF2460" s="1"/>
      <c r="AG2460" s="1"/>
      <c r="AH2460" s="1"/>
      <c r="AI2460" s="1"/>
      <c r="AJ2460" s="1"/>
      <c r="AK2460" s="1"/>
      <c r="AL2460" s="1"/>
      <c r="AM2460" s="1"/>
      <c r="AN2460" s="1"/>
      <c r="AO2460" s="1"/>
      <c r="AP2460" s="1"/>
      <c r="AQ2460" s="1"/>
      <c r="AR2460" s="1"/>
      <c r="AS2460" s="1"/>
      <c r="AT2460" s="1"/>
      <c r="AU2460" s="1"/>
      <c r="AV2460" s="1"/>
      <c r="AW2460" s="1"/>
      <c r="AX2460" s="1"/>
      <c r="AY2460" s="1"/>
      <c r="AZ2460" s="1"/>
      <c r="BA2460" s="1"/>
      <c r="BB2460" s="1"/>
      <c r="BC2460" s="1"/>
      <c r="BD2460" s="1"/>
      <c r="BE2460" s="1"/>
      <c r="BF2460" s="1"/>
      <c r="BG2460" s="1"/>
      <c r="BH2460" s="1"/>
      <c r="BI2460" s="1"/>
      <c r="BJ2460" s="1"/>
      <c r="BK2460" s="1"/>
      <c r="BL2460" s="1"/>
      <c r="BM2460" s="1"/>
      <c r="BN2460" s="1"/>
      <c r="BO2460" s="1"/>
      <c r="BP2460" s="1"/>
      <c r="BQ2460" s="1"/>
      <c r="BR2460" s="1"/>
      <c r="BS2460" s="1"/>
      <c r="BT2460" s="1"/>
      <c r="BU2460" s="1" t="s">
        <v>9653</v>
      </c>
      <c r="BV2460" s="3"/>
      <c r="BW2460" s="3"/>
    </row>
    <row r="2461" spans="1:75">
      <c r="A2461" s="1" t="s">
        <v>26662</v>
      </c>
      <c r="B2461" s="1" t="s">
        <v>13976</v>
      </c>
      <c r="C2461" s="1" t="s">
        <v>40591</v>
      </c>
      <c r="D2461" s="1"/>
      <c r="E2461" s="1"/>
      <c r="F2461" s="1"/>
      <c r="G2461" s="1"/>
      <c r="H2461" s="1" t="s">
        <v>40592</v>
      </c>
      <c r="I2461" s="1" t="s">
        <v>40592</v>
      </c>
      <c r="J2461" s="1"/>
      <c r="K2461" s="1"/>
      <c r="L2461" s="1"/>
      <c r="M2461" s="1"/>
      <c r="N2461" s="1"/>
      <c r="O2461" s="1"/>
      <c r="P2461" s="1"/>
      <c r="Q2461" s="1"/>
      <c r="R2461" s="1"/>
      <c r="S2461" s="1"/>
      <c r="T2461" s="1"/>
      <c r="U2461" s="1"/>
      <c r="V2461" s="1"/>
      <c r="W2461" s="1"/>
      <c r="X2461" s="1"/>
      <c r="Y2461" s="1"/>
      <c r="Z2461" s="1"/>
      <c r="AA2461" s="1"/>
      <c r="AB2461" s="1"/>
      <c r="AC2461" s="1"/>
      <c r="AD2461" s="1" t="s">
        <v>98</v>
      </c>
      <c r="AE2461" s="1" t="s">
        <v>98</v>
      </c>
      <c r="AF2461" s="1"/>
      <c r="AG2461" s="1"/>
      <c r="AH2461" s="1"/>
      <c r="AI2461" s="1"/>
      <c r="AJ2461" s="1"/>
      <c r="AK2461" s="1"/>
      <c r="AL2461" s="1"/>
      <c r="AM2461" s="1"/>
      <c r="AN2461" s="1"/>
      <c r="AO2461" s="1"/>
      <c r="AP2461" s="1"/>
      <c r="AQ2461" s="1"/>
      <c r="AR2461" s="1"/>
      <c r="AS2461" s="1"/>
      <c r="AT2461" s="1"/>
      <c r="AU2461" s="1"/>
      <c r="AV2461" s="1"/>
      <c r="AW2461" s="1"/>
      <c r="AX2461" s="1"/>
      <c r="AY2461" s="1"/>
      <c r="AZ2461" s="1"/>
      <c r="BA2461" s="1"/>
      <c r="BB2461" s="1"/>
      <c r="BC2461" s="1"/>
      <c r="BD2461" s="1"/>
      <c r="BE2461" s="1"/>
      <c r="BF2461" s="1"/>
      <c r="BG2461" s="1"/>
      <c r="BH2461" s="1"/>
      <c r="BI2461" s="1"/>
      <c r="BJ2461" s="1"/>
      <c r="BK2461" s="1"/>
      <c r="BL2461" s="1"/>
      <c r="BM2461" s="1"/>
      <c r="BN2461" s="1"/>
      <c r="BO2461" s="1"/>
      <c r="BP2461" s="1"/>
      <c r="BQ2461" s="1"/>
      <c r="BR2461" s="1"/>
      <c r="BS2461" s="1"/>
      <c r="BT2461" s="1"/>
      <c r="BU2461" s="1" t="s">
        <v>9653</v>
      </c>
      <c r="BV2461" s="3"/>
      <c r="BW2461" s="3"/>
    </row>
    <row r="2462" spans="1:75">
      <c r="A2462" s="1" t="s">
        <v>26662</v>
      </c>
      <c r="B2462" s="1" t="s">
        <v>13976</v>
      </c>
      <c r="C2462" s="1" t="s">
        <v>40593</v>
      </c>
      <c r="D2462" s="1"/>
      <c r="E2462" s="1"/>
      <c r="F2462" s="1"/>
      <c r="G2462" s="1"/>
      <c r="H2462" s="1" t="s">
        <v>40594</v>
      </c>
      <c r="I2462" s="1" t="s">
        <v>40594</v>
      </c>
      <c r="J2462" s="1"/>
      <c r="K2462" s="1"/>
      <c r="L2462" s="1"/>
      <c r="M2462" s="1"/>
      <c r="N2462" s="1"/>
      <c r="O2462" s="1"/>
      <c r="P2462" s="1"/>
      <c r="Q2462" s="1"/>
      <c r="R2462" s="1"/>
      <c r="S2462" s="1"/>
      <c r="T2462" s="1"/>
      <c r="U2462" s="1"/>
      <c r="V2462" s="1"/>
      <c r="W2462" s="1"/>
      <c r="X2462" s="1"/>
      <c r="Y2462" s="1"/>
      <c r="Z2462" s="1"/>
      <c r="AA2462" s="1"/>
      <c r="AB2462" s="1"/>
      <c r="AC2462" s="1"/>
      <c r="AD2462" s="1" t="s">
        <v>98</v>
      </c>
      <c r="AE2462" s="1" t="s">
        <v>98</v>
      </c>
      <c r="AF2462" s="1"/>
      <c r="AG2462" s="1"/>
      <c r="AH2462" s="1"/>
      <c r="AI2462" s="1"/>
      <c r="AJ2462" s="1"/>
      <c r="AK2462" s="1"/>
      <c r="AL2462" s="1"/>
      <c r="AM2462" s="1"/>
      <c r="AN2462" s="1"/>
      <c r="AO2462" s="1"/>
      <c r="AP2462" s="1"/>
      <c r="AQ2462" s="1"/>
      <c r="AR2462" s="1"/>
      <c r="AS2462" s="1"/>
      <c r="AT2462" s="1"/>
      <c r="AU2462" s="1"/>
      <c r="AV2462" s="1"/>
      <c r="AW2462" s="1"/>
      <c r="AX2462" s="1"/>
      <c r="AY2462" s="1"/>
      <c r="AZ2462" s="1"/>
      <c r="BA2462" s="1"/>
      <c r="BB2462" s="1"/>
      <c r="BC2462" s="1"/>
      <c r="BD2462" s="1"/>
      <c r="BE2462" s="1"/>
      <c r="BF2462" s="1"/>
      <c r="BG2462" s="1"/>
      <c r="BH2462" s="1"/>
      <c r="BI2462" s="1"/>
      <c r="BJ2462" s="1"/>
      <c r="BK2462" s="1"/>
      <c r="BL2462" s="1"/>
      <c r="BM2462" s="1"/>
      <c r="BN2462" s="1"/>
      <c r="BO2462" s="1"/>
      <c r="BP2462" s="1"/>
      <c r="BQ2462" s="1"/>
      <c r="BR2462" s="1"/>
      <c r="BS2462" s="1"/>
      <c r="BT2462" s="1"/>
      <c r="BU2462" s="1" t="s">
        <v>9653</v>
      </c>
      <c r="BV2462" s="3"/>
      <c r="BW2462" s="3"/>
    </row>
    <row r="2463" spans="1:75">
      <c r="A2463" s="1" t="s">
        <v>26662</v>
      </c>
      <c r="B2463" s="1" t="s">
        <v>13976</v>
      </c>
      <c r="C2463" s="1" t="s">
        <v>40595</v>
      </c>
      <c r="D2463" s="1"/>
      <c r="E2463" s="1"/>
      <c r="F2463" s="1"/>
      <c r="G2463" s="1"/>
      <c r="H2463" s="1" t="s">
        <v>40596</v>
      </c>
      <c r="I2463" s="1" t="s">
        <v>40596</v>
      </c>
      <c r="J2463" s="1"/>
      <c r="K2463" s="1"/>
      <c r="L2463" s="1"/>
      <c r="M2463" s="1"/>
      <c r="N2463" s="1"/>
      <c r="O2463" s="1"/>
      <c r="P2463" s="1"/>
      <c r="Q2463" s="1"/>
      <c r="R2463" s="1"/>
      <c r="S2463" s="1"/>
      <c r="T2463" s="1"/>
      <c r="U2463" s="1"/>
      <c r="V2463" s="1"/>
      <c r="W2463" s="1"/>
      <c r="X2463" s="1"/>
      <c r="Y2463" s="1"/>
      <c r="Z2463" s="1"/>
      <c r="AA2463" s="1"/>
      <c r="AB2463" s="1"/>
      <c r="AC2463" s="1"/>
      <c r="AD2463" s="1" t="s">
        <v>98</v>
      </c>
      <c r="AE2463" s="1" t="s">
        <v>98</v>
      </c>
      <c r="AF2463" s="1"/>
      <c r="AG2463" s="1"/>
      <c r="AH2463" s="1"/>
      <c r="AI2463" s="1"/>
      <c r="AJ2463" s="1"/>
      <c r="AK2463" s="1"/>
      <c r="AL2463" s="1"/>
      <c r="AM2463" s="1"/>
      <c r="AN2463" s="1"/>
      <c r="AO2463" s="1"/>
      <c r="AP2463" s="1"/>
      <c r="AQ2463" s="1"/>
      <c r="AR2463" s="1"/>
      <c r="AS2463" s="1"/>
      <c r="AT2463" s="1"/>
      <c r="AU2463" s="1"/>
      <c r="AV2463" s="1"/>
      <c r="AW2463" s="1"/>
      <c r="AX2463" s="1"/>
      <c r="AY2463" s="1"/>
      <c r="AZ2463" s="1"/>
      <c r="BA2463" s="1"/>
      <c r="BB2463" s="1"/>
      <c r="BC2463" s="1"/>
      <c r="BD2463" s="1"/>
      <c r="BE2463" s="1"/>
      <c r="BF2463" s="1"/>
      <c r="BG2463" s="1"/>
      <c r="BH2463" s="1"/>
      <c r="BI2463" s="1"/>
      <c r="BJ2463" s="1"/>
      <c r="BK2463" s="1"/>
      <c r="BL2463" s="1"/>
      <c r="BM2463" s="1"/>
      <c r="BN2463" s="1"/>
      <c r="BO2463" s="1"/>
      <c r="BP2463" s="1"/>
      <c r="BQ2463" s="1"/>
      <c r="BR2463" s="1"/>
      <c r="BS2463" s="1"/>
      <c r="BT2463" s="1"/>
      <c r="BU2463" s="1" t="s">
        <v>9653</v>
      </c>
      <c r="BV2463" s="3"/>
      <c r="BW2463" s="3"/>
    </row>
    <row r="2464" spans="1:75">
      <c r="A2464" s="1" t="s">
        <v>26662</v>
      </c>
      <c r="B2464" s="1" t="s">
        <v>13976</v>
      </c>
      <c r="C2464" s="1" t="s">
        <v>40597</v>
      </c>
      <c r="D2464" s="1"/>
      <c r="E2464" s="1"/>
      <c r="F2464" s="1"/>
      <c r="G2464" s="1"/>
      <c r="H2464" s="1" t="s">
        <v>40598</v>
      </c>
      <c r="I2464" s="1" t="s">
        <v>40598</v>
      </c>
      <c r="J2464" s="1"/>
      <c r="K2464" s="1"/>
      <c r="L2464" s="1"/>
      <c r="M2464" s="1"/>
      <c r="N2464" s="1"/>
      <c r="O2464" s="1"/>
      <c r="P2464" s="1"/>
      <c r="Q2464" s="1"/>
      <c r="R2464" s="1"/>
      <c r="S2464" s="1"/>
      <c r="T2464" s="1"/>
      <c r="U2464" s="1"/>
      <c r="V2464" s="1"/>
      <c r="W2464" s="1"/>
      <c r="X2464" s="1"/>
      <c r="Y2464" s="1"/>
      <c r="Z2464" s="1"/>
      <c r="AA2464" s="1"/>
      <c r="AB2464" s="1"/>
      <c r="AC2464" s="1"/>
      <c r="AD2464" s="1" t="s">
        <v>98</v>
      </c>
      <c r="AE2464" s="1" t="s">
        <v>98</v>
      </c>
      <c r="AF2464" s="1"/>
      <c r="AG2464" s="1"/>
      <c r="AH2464" s="1"/>
      <c r="AI2464" s="1"/>
      <c r="AJ2464" s="1"/>
      <c r="AK2464" s="1"/>
      <c r="AL2464" s="1"/>
      <c r="AM2464" s="1"/>
      <c r="AN2464" s="1"/>
      <c r="AO2464" s="1"/>
      <c r="AP2464" s="1"/>
      <c r="AQ2464" s="1"/>
      <c r="AR2464" s="1"/>
      <c r="AS2464" s="1"/>
      <c r="AT2464" s="1"/>
      <c r="AU2464" s="1"/>
      <c r="AV2464" s="1"/>
      <c r="AW2464" s="1"/>
      <c r="AX2464" s="1"/>
      <c r="AY2464" s="1"/>
      <c r="AZ2464" s="1"/>
      <c r="BA2464" s="1"/>
      <c r="BB2464" s="1"/>
      <c r="BC2464" s="1"/>
      <c r="BD2464" s="1"/>
      <c r="BE2464" s="1"/>
      <c r="BF2464" s="1"/>
      <c r="BG2464" s="1"/>
      <c r="BH2464" s="1"/>
      <c r="BI2464" s="1"/>
      <c r="BJ2464" s="1"/>
      <c r="BK2464" s="1"/>
      <c r="BL2464" s="1"/>
      <c r="BM2464" s="1"/>
      <c r="BN2464" s="1"/>
      <c r="BO2464" s="1"/>
      <c r="BP2464" s="1"/>
      <c r="BQ2464" s="1"/>
      <c r="BR2464" s="1"/>
      <c r="BS2464" s="1"/>
      <c r="BT2464" s="1"/>
      <c r="BU2464" s="1" t="s">
        <v>9653</v>
      </c>
      <c r="BV2464" s="3"/>
      <c r="BW2464" s="3"/>
    </row>
    <row r="2465" spans="1:75">
      <c r="A2465" s="1" t="s">
        <v>26662</v>
      </c>
      <c r="B2465" s="1" t="s">
        <v>13976</v>
      </c>
      <c r="C2465" s="1" t="s">
        <v>40599</v>
      </c>
      <c r="D2465" s="1"/>
      <c r="E2465" s="1"/>
      <c r="F2465" s="1"/>
      <c r="G2465" s="1"/>
      <c r="H2465" s="1" t="s">
        <v>40600</v>
      </c>
      <c r="I2465" s="1" t="s">
        <v>40600</v>
      </c>
      <c r="J2465" s="1"/>
      <c r="K2465" s="1"/>
      <c r="L2465" s="1"/>
      <c r="M2465" s="1"/>
      <c r="N2465" s="1"/>
      <c r="O2465" s="1"/>
      <c r="P2465" s="1"/>
      <c r="Q2465" s="1"/>
      <c r="R2465" s="1"/>
      <c r="S2465" s="1"/>
      <c r="T2465" s="1"/>
      <c r="U2465" s="1"/>
      <c r="V2465" s="1"/>
      <c r="W2465" s="1"/>
      <c r="X2465" s="1"/>
      <c r="Y2465" s="1"/>
      <c r="Z2465" s="1"/>
      <c r="AA2465" s="1"/>
      <c r="AB2465" s="1"/>
      <c r="AC2465" s="1"/>
      <c r="AD2465" s="1" t="s">
        <v>98</v>
      </c>
      <c r="AE2465" s="1" t="s">
        <v>98</v>
      </c>
      <c r="AF2465" s="1"/>
      <c r="AG2465" s="1"/>
      <c r="AH2465" s="1"/>
      <c r="AI2465" s="1"/>
      <c r="AJ2465" s="1"/>
      <c r="AK2465" s="1"/>
      <c r="AL2465" s="1"/>
      <c r="AM2465" s="1"/>
      <c r="AN2465" s="1"/>
      <c r="AO2465" s="1"/>
      <c r="AP2465" s="1"/>
      <c r="AQ2465" s="1"/>
      <c r="AR2465" s="1"/>
      <c r="AS2465" s="1"/>
      <c r="AT2465" s="1"/>
      <c r="AU2465" s="1"/>
      <c r="AV2465" s="1"/>
      <c r="AW2465" s="1"/>
      <c r="AX2465" s="1"/>
      <c r="AY2465" s="1"/>
      <c r="AZ2465" s="1"/>
      <c r="BA2465" s="1"/>
      <c r="BB2465" s="1"/>
      <c r="BC2465" s="1"/>
      <c r="BD2465" s="1"/>
      <c r="BE2465" s="1"/>
      <c r="BF2465" s="1"/>
      <c r="BG2465" s="1"/>
      <c r="BH2465" s="1"/>
      <c r="BI2465" s="1"/>
      <c r="BJ2465" s="1"/>
      <c r="BK2465" s="1"/>
      <c r="BL2465" s="1"/>
      <c r="BM2465" s="1"/>
      <c r="BN2465" s="1"/>
      <c r="BO2465" s="1"/>
      <c r="BP2465" s="1"/>
      <c r="BQ2465" s="1"/>
      <c r="BR2465" s="1"/>
      <c r="BS2465" s="1"/>
      <c r="BT2465" s="1"/>
      <c r="BU2465" s="1" t="s">
        <v>9653</v>
      </c>
      <c r="BV2465" s="3"/>
      <c r="BW2465" s="3"/>
    </row>
    <row r="2466" spans="1:75">
      <c r="A2466" s="1" t="s">
        <v>26662</v>
      </c>
      <c r="B2466" s="1" t="s">
        <v>13976</v>
      </c>
      <c r="C2466" s="1" t="s">
        <v>40601</v>
      </c>
      <c r="D2466" s="1"/>
      <c r="E2466" s="1"/>
      <c r="F2466" s="1"/>
      <c r="G2466" s="1"/>
      <c r="H2466" s="1" t="s">
        <v>40602</v>
      </c>
      <c r="I2466" s="1" t="s">
        <v>40602</v>
      </c>
      <c r="J2466" s="1"/>
      <c r="K2466" s="1"/>
      <c r="L2466" s="1"/>
      <c r="M2466" s="1"/>
      <c r="N2466" s="1"/>
      <c r="O2466" s="1"/>
      <c r="P2466" s="1"/>
      <c r="Q2466" s="1"/>
      <c r="R2466" s="1"/>
      <c r="S2466" s="1"/>
      <c r="T2466" s="1"/>
      <c r="U2466" s="1"/>
      <c r="V2466" s="1"/>
      <c r="W2466" s="1"/>
      <c r="X2466" s="1"/>
      <c r="Y2466" s="1"/>
      <c r="Z2466" s="1"/>
      <c r="AA2466" s="1"/>
      <c r="AB2466" s="1"/>
      <c r="AC2466" s="1"/>
      <c r="AD2466" s="1" t="s">
        <v>98</v>
      </c>
      <c r="AE2466" s="1" t="s">
        <v>98</v>
      </c>
      <c r="AF2466" s="1"/>
      <c r="AG2466" s="1"/>
      <c r="AH2466" s="1"/>
      <c r="AI2466" s="1"/>
      <c r="AJ2466" s="1"/>
      <c r="AK2466" s="1"/>
      <c r="AL2466" s="1"/>
      <c r="AM2466" s="1"/>
      <c r="AN2466" s="1"/>
      <c r="AO2466" s="1"/>
      <c r="AP2466" s="1"/>
      <c r="AQ2466" s="1"/>
      <c r="AR2466" s="1"/>
      <c r="AS2466" s="1"/>
      <c r="AT2466" s="1"/>
      <c r="AU2466" s="1"/>
      <c r="AV2466" s="1"/>
      <c r="AW2466" s="1"/>
      <c r="AX2466" s="1"/>
      <c r="AY2466" s="1"/>
      <c r="AZ2466" s="1"/>
      <c r="BA2466" s="1"/>
      <c r="BB2466" s="1"/>
      <c r="BC2466" s="1"/>
      <c r="BD2466" s="1"/>
      <c r="BE2466" s="1"/>
      <c r="BF2466" s="1"/>
      <c r="BG2466" s="1"/>
      <c r="BH2466" s="1"/>
      <c r="BI2466" s="1"/>
      <c r="BJ2466" s="1"/>
      <c r="BK2466" s="1"/>
      <c r="BL2466" s="1"/>
      <c r="BM2466" s="1"/>
      <c r="BN2466" s="1"/>
      <c r="BO2466" s="1"/>
      <c r="BP2466" s="1"/>
      <c r="BQ2466" s="1"/>
      <c r="BR2466" s="1"/>
      <c r="BS2466" s="1"/>
      <c r="BT2466" s="1"/>
      <c r="BU2466" s="1" t="s">
        <v>9653</v>
      </c>
      <c r="BV2466" s="3"/>
      <c r="BW2466" s="3"/>
    </row>
    <row r="2467" spans="1:75">
      <c r="A2467" s="1" t="s">
        <v>26662</v>
      </c>
      <c r="B2467" s="1" t="s">
        <v>13976</v>
      </c>
      <c r="C2467" s="1" t="s">
        <v>40603</v>
      </c>
      <c r="D2467" s="1"/>
      <c r="E2467" s="1"/>
      <c r="F2467" s="1"/>
      <c r="G2467" s="1"/>
      <c r="H2467" s="1" t="s">
        <v>40604</v>
      </c>
      <c r="I2467" s="1" t="s">
        <v>40604</v>
      </c>
      <c r="J2467" s="1"/>
      <c r="K2467" s="1"/>
      <c r="L2467" s="1"/>
      <c r="M2467" s="1"/>
      <c r="N2467" s="1"/>
      <c r="O2467" s="1"/>
      <c r="P2467" s="1"/>
      <c r="Q2467" s="1"/>
      <c r="R2467" s="1"/>
      <c r="S2467" s="1"/>
      <c r="T2467" s="1"/>
      <c r="U2467" s="1"/>
      <c r="V2467" s="1"/>
      <c r="W2467" s="1"/>
      <c r="X2467" s="1"/>
      <c r="Y2467" s="1"/>
      <c r="Z2467" s="1"/>
      <c r="AA2467" s="1"/>
      <c r="AB2467" s="1"/>
      <c r="AC2467" s="1"/>
      <c r="AD2467" s="1" t="s">
        <v>98</v>
      </c>
      <c r="AE2467" s="1" t="s">
        <v>98</v>
      </c>
      <c r="AF2467" s="1"/>
      <c r="AG2467" s="1"/>
      <c r="AH2467" s="1"/>
      <c r="AI2467" s="1"/>
      <c r="AJ2467" s="1"/>
      <c r="AK2467" s="1"/>
      <c r="AL2467" s="1"/>
      <c r="AM2467" s="1"/>
      <c r="AN2467" s="1"/>
      <c r="AO2467" s="1"/>
      <c r="AP2467" s="1"/>
      <c r="AQ2467" s="1"/>
      <c r="AR2467" s="1"/>
      <c r="AS2467" s="1"/>
      <c r="AT2467" s="1"/>
      <c r="AU2467" s="1"/>
      <c r="AV2467" s="1"/>
      <c r="AW2467" s="1"/>
      <c r="AX2467" s="1"/>
      <c r="AY2467" s="1"/>
      <c r="AZ2467" s="1"/>
      <c r="BA2467" s="1"/>
      <c r="BB2467" s="1"/>
      <c r="BC2467" s="1"/>
      <c r="BD2467" s="1"/>
      <c r="BE2467" s="1"/>
      <c r="BF2467" s="1"/>
      <c r="BG2467" s="1"/>
      <c r="BH2467" s="1"/>
      <c r="BI2467" s="1"/>
      <c r="BJ2467" s="1"/>
      <c r="BK2467" s="1"/>
      <c r="BL2467" s="1"/>
      <c r="BM2467" s="1"/>
      <c r="BN2467" s="1"/>
      <c r="BO2467" s="1"/>
      <c r="BP2467" s="1"/>
      <c r="BQ2467" s="1"/>
      <c r="BR2467" s="1"/>
      <c r="BS2467" s="1"/>
      <c r="BT2467" s="1"/>
      <c r="BU2467" s="1" t="s">
        <v>9653</v>
      </c>
      <c r="BV2467" s="3"/>
      <c r="BW2467" s="3"/>
    </row>
    <row r="2468" spans="1:75">
      <c r="A2468" s="1" t="s">
        <v>26662</v>
      </c>
      <c r="B2468" s="1" t="s">
        <v>13976</v>
      </c>
      <c r="C2468" s="1" t="s">
        <v>40605</v>
      </c>
      <c r="D2468" s="1"/>
      <c r="E2468" s="1"/>
      <c r="F2468" s="1"/>
      <c r="G2468" s="1"/>
      <c r="H2468" s="1" t="s">
        <v>40606</v>
      </c>
      <c r="I2468" s="1" t="s">
        <v>40606</v>
      </c>
      <c r="J2468" s="1"/>
      <c r="K2468" s="1"/>
      <c r="L2468" s="1"/>
      <c r="M2468" s="1"/>
      <c r="N2468" s="1"/>
      <c r="O2468" s="1"/>
      <c r="P2468" s="1"/>
      <c r="Q2468" s="1"/>
      <c r="R2468" s="1"/>
      <c r="S2468" s="1"/>
      <c r="T2468" s="1"/>
      <c r="U2468" s="1"/>
      <c r="V2468" s="1"/>
      <c r="W2468" s="1"/>
      <c r="X2468" s="1"/>
      <c r="Y2468" s="1"/>
      <c r="Z2468" s="1"/>
      <c r="AA2468" s="1"/>
      <c r="AB2468" s="1"/>
      <c r="AC2468" s="1"/>
      <c r="AD2468" s="1" t="s">
        <v>98</v>
      </c>
      <c r="AE2468" s="1" t="s">
        <v>98</v>
      </c>
      <c r="AF2468" s="1"/>
      <c r="AG2468" s="1"/>
      <c r="AH2468" s="1"/>
      <c r="AI2468" s="1"/>
      <c r="AJ2468" s="1"/>
      <c r="AK2468" s="1"/>
      <c r="AL2468" s="1"/>
      <c r="AM2468" s="1"/>
      <c r="AN2468" s="1"/>
      <c r="AO2468" s="1"/>
      <c r="AP2468" s="1"/>
      <c r="AQ2468" s="1"/>
      <c r="AR2468" s="1"/>
      <c r="AS2468" s="1"/>
      <c r="AT2468" s="1"/>
      <c r="AU2468" s="1"/>
      <c r="AV2468" s="1"/>
      <c r="AW2468" s="1"/>
      <c r="AX2468" s="1"/>
      <c r="AY2468" s="1"/>
      <c r="AZ2468" s="1"/>
      <c r="BA2468" s="1"/>
      <c r="BB2468" s="1"/>
      <c r="BC2468" s="1"/>
      <c r="BD2468" s="1"/>
      <c r="BE2468" s="1"/>
      <c r="BF2468" s="1"/>
      <c r="BG2468" s="1"/>
      <c r="BH2468" s="1"/>
      <c r="BI2468" s="1"/>
      <c r="BJ2468" s="1"/>
      <c r="BK2468" s="1"/>
      <c r="BL2468" s="1"/>
      <c r="BM2468" s="1"/>
      <c r="BN2468" s="1"/>
      <c r="BO2468" s="1"/>
      <c r="BP2468" s="1"/>
      <c r="BQ2468" s="1"/>
      <c r="BR2468" s="1"/>
      <c r="BS2468" s="1"/>
      <c r="BT2468" s="1"/>
      <c r="BU2468" s="1" t="s">
        <v>9653</v>
      </c>
      <c r="BV2468" s="3"/>
      <c r="BW2468" s="3"/>
    </row>
    <row r="2469" spans="1:75">
      <c r="A2469" s="1" t="s">
        <v>26662</v>
      </c>
      <c r="B2469" s="1" t="s">
        <v>13976</v>
      </c>
      <c r="C2469" s="1" t="s">
        <v>40607</v>
      </c>
      <c r="D2469" s="1"/>
      <c r="E2469" s="1"/>
      <c r="F2469" s="1"/>
      <c r="G2469" s="1"/>
      <c r="H2469" s="1" t="s">
        <v>40608</v>
      </c>
      <c r="I2469" s="1" t="s">
        <v>40608</v>
      </c>
      <c r="J2469" s="1"/>
      <c r="K2469" s="1"/>
      <c r="L2469" s="1"/>
      <c r="M2469" s="1"/>
      <c r="N2469" s="1"/>
      <c r="O2469" s="1"/>
      <c r="P2469" s="1"/>
      <c r="Q2469" s="1"/>
      <c r="R2469" s="1"/>
      <c r="S2469" s="1"/>
      <c r="T2469" s="1"/>
      <c r="U2469" s="1"/>
      <c r="V2469" s="1"/>
      <c r="W2469" s="1"/>
      <c r="X2469" s="1"/>
      <c r="Y2469" s="1"/>
      <c r="Z2469" s="1"/>
      <c r="AA2469" s="1"/>
      <c r="AB2469" s="1"/>
      <c r="AC2469" s="1"/>
      <c r="AD2469" s="1" t="s">
        <v>98</v>
      </c>
      <c r="AE2469" s="1" t="s">
        <v>98</v>
      </c>
      <c r="AF2469" s="1"/>
      <c r="AG2469" s="1"/>
      <c r="AH2469" s="1"/>
      <c r="AI2469" s="1"/>
      <c r="AJ2469" s="1"/>
      <c r="AK2469" s="1"/>
      <c r="AL2469" s="1"/>
      <c r="AM2469" s="1"/>
      <c r="AN2469" s="1"/>
      <c r="AO2469" s="1"/>
      <c r="AP2469" s="1"/>
      <c r="AQ2469" s="1"/>
      <c r="AR2469" s="1"/>
      <c r="AS2469" s="1"/>
      <c r="AT2469" s="1"/>
      <c r="AU2469" s="1"/>
      <c r="AV2469" s="1"/>
      <c r="AW2469" s="1"/>
      <c r="AX2469" s="1"/>
      <c r="AY2469" s="1"/>
      <c r="AZ2469" s="1"/>
      <c r="BA2469" s="1"/>
      <c r="BB2469" s="1"/>
      <c r="BC2469" s="1"/>
      <c r="BD2469" s="1"/>
      <c r="BE2469" s="1"/>
      <c r="BF2469" s="1"/>
      <c r="BG2469" s="1"/>
      <c r="BH2469" s="1"/>
      <c r="BI2469" s="1"/>
      <c r="BJ2469" s="1"/>
      <c r="BK2469" s="1"/>
      <c r="BL2469" s="1"/>
      <c r="BM2469" s="1"/>
      <c r="BN2469" s="1"/>
      <c r="BO2469" s="1"/>
      <c r="BP2469" s="1"/>
      <c r="BQ2469" s="1"/>
      <c r="BR2469" s="1"/>
      <c r="BS2469" s="1"/>
      <c r="BT2469" s="1"/>
      <c r="BU2469" s="1" t="s">
        <v>9653</v>
      </c>
      <c r="BV2469" s="3"/>
      <c r="BW2469" s="3"/>
    </row>
    <row r="2470" spans="1:75">
      <c r="A2470" s="1" t="s">
        <v>26662</v>
      </c>
      <c r="B2470" s="1" t="s">
        <v>13976</v>
      </c>
      <c r="C2470" s="1" t="s">
        <v>40609</v>
      </c>
      <c r="D2470" s="1"/>
      <c r="E2470" s="1"/>
      <c r="F2470" s="1"/>
      <c r="G2470" s="1"/>
      <c r="H2470" s="1" t="s">
        <v>40610</v>
      </c>
      <c r="I2470" s="1" t="s">
        <v>40610</v>
      </c>
      <c r="J2470" s="1"/>
      <c r="K2470" s="1"/>
      <c r="L2470" s="1"/>
      <c r="M2470" s="1"/>
      <c r="N2470" s="1"/>
      <c r="O2470" s="1"/>
      <c r="P2470" s="1"/>
      <c r="Q2470" s="1"/>
      <c r="R2470" s="1"/>
      <c r="S2470" s="1"/>
      <c r="T2470" s="1"/>
      <c r="U2470" s="1"/>
      <c r="V2470" s="1"/>
      <c r="W2470" s="1"/>
      <c r="X2470" s="1"/>
      <c r="Y2470" s="1"/>
      <c r="Z2470" s="1"/>
      <c r="AA2470" s="1"/>
      <c r="AB2470" s="1"/>
      <c r="AC2470" s="1"/>
      <c r="AD2470" s="1" t="s">
        <v>98</v>
      </c>
      <c r="AE2470" s="1" t="s">
        <v>98</v>
      </c>
      <c r="AF2470" s="1"/>
      <c r="AG2470" s="1"/>
      <c r="AH2470" s="1"/>
      <c r="AI2470" s="1"/>
      <c r="AJ2470" s="1"/>
      <c r="AK2470" s="1"/>
      <c r="AL2470" s="1"/>
      <c r="AM2470" s="1"/>
      <c r="AN2470" s="1"/>
      <c r="AO2470" s="1"/>
      <c r="AP2470" s="1"/>
      <c r="AQ2470" s="1"/>
      <c r="AR2470" s="1"/>
      <c r="AS2470" s="1"/>
      <c r="AT2470" s="1"/>
      <c r="AU2470" s="1"/>
      <c r="AV2470" s="1"/>
      <c r="AW2470" s="1"/>
      <c r="AX2470" s="1"/>
      <c r="AY2470" s="1"/>
      <c r="AZ2470" s="1"/>
      <c r="BA2470" s="1"/>
      <c r="BB2470" s="1"/>
      <c r="BC2470" s="1"/>
      <c r="BD2470" s="1"/>
      <c r="BE2470" s="1"/>
      <c r="BF2470" s="1"/>
      <c r="BG2470" s="1"/>
      <c r="BH2470" s="1"/>
      <c r="BI2470" s="1"/>
      <c r="BJ2470" s="1"/>
      <c r="BK2470" s="1"/>
      <c r="BL2470" s="1"/>
      <c r="BM2470" s="1"/>
      <c r="BN2470" s="1"/>
      <c r="BO2470" s="1"/>
      <c r="BP2470" s="1"/>
      <c r="BQ2470" s="1"/>
      <c r="BR2470" s="1"/>
      <c r="BS2470" s="1"/>
      <c r="BT2470" s="1"/>
      <c r="BU2470" s="1" t="s">
        <v>9653</v>
      </c>
      <c r="BV2470" s="3"/>
      <c r="BW2470" s="3"/>
    </row>
    <row r="2471" spans="1:75">
      <c r="A2471" s="1" t="s">
        <v>26662</v>
      </c>
      <c r="B2471" s="1" t="s">
        <v>13976</v>
      </c>
      <c r="C2471" s="1" t="s">
        <v>40611</v>
      </c>
      <c r="D2471" s="1"/>
      <c r="E2471" s="1"/>
      <c r="F2471" s="1"/>
      <c r="G2471" s="1"/>
      <c r="H2471" s="1" t="s">
        <v>40612</v>
      </c>
      <c r="I2471" s="1" t="s">
        <v>40612</v>
      </c>
      <c r="J2471" s="1"/>
      <c r="K2471" s="1"/>
      <c r="L2471" s="1"/>
      <c r="M2471" s="1"/>
      <c r="N2471" s="1"/>
      <c r="O2471" s="1"/>
      <c r="P2471" s="1"/>
      <c r="Q2471" s="1"/>
      <c r="R2471" s="1"/>
      <c r="S2471" s="1"/>
      <c r="T2471" s="1"/>
      <c r="U2471" s="1"/>
      <c r="V2471" s="1"/>
      <c r="W2471" s="1"/>
      <c r="X2471" s="1"/>
      <c r="Y2471" s="1"/>
      <c r="Z2471" s="1"/>
      <c r="AA2471" s="1"/>
      <c r="AB2471" s="1"/>
      <c r="AC2471" s="1"/>
      <c r="AD2471" s="1" t="s">
        <v>98</v>
      </c>
      <c r="AE2471" s="1" t="s">
        <v>98</v>
      </c>
      <c r="AF2471" s="1"/>
      <c r="AG2471" s="1"/>
      <c r="AH2471" s="1"/>
      <c r="AI2471" s="1"/>
      <c r="AJ2471" s="1"/>
      <c r="AK2471" s="1"/>
      <c r="AL2471" s="1"/>
      <c r="AM2471" s="1"/>
      <c r="AN2471" s="1"/>
      <c r="AO2471" s="1"/>
      <c r="AP2471" s="1"/>
      <c r="AQ2471" s="1"/>
      <c r="AR2471" s="1"/>
      <c r="AS2471" s="1"/>
      <c r="AT2471" s="1"/>
      <c r="AU2471" s="1"/>
      <c r="AV2471" s="1"/>
      <c r="AW2471" s="1"/>
      <c r="AX2471" s="1"/>
      <c r="AY2471" s="1"/>
      <c r="AZ2471" s="1"/>
      <c r="BA2471" s="1"/>
      <c r="BB2471" s="1"/>
      <c r="BC2471" s="1"/>
      <c r="BD2471" s="1"/>
      <c r="BE2471" s="1"/>
      <c r="BF2471" s="1"/>
      <c r="BG2471" s="1"/>
      <c r="BH2471" s="1"/>
      <c r="BI2471" s="1"/>
      <c r="BJ2471" s="1"/>
      <c r="BK2471" s="1"/>
      <c r="BL2471" s="1"/>
      <c r="BM2471" s="1"/>
      <c r="BN2471" s="1"/>
      <c r="BO2471" s="1"/>
      <c r="BP2471" s="1"/>
      <c r="BQ2471" s="1"/>
      <c r="BR2471" s="1"/>
      <c r="BS2471" s="1"/>
      <c r="BT2471" s="1"/>
      <c r="BU2471" s="1" t="s">
        <v>9653</v>
      </c>
      <c r="BV2471" s="3"/>
      <c r="BW2471" s="3"/>
    </row>
    <row r="2472" spans="1:75">
      <c r="A2472" s="1" t="s">
        <v>26662</v>
      </c>
      <c r="B2472" s="1" t="s">
        <v>13976</v>
      </c>
      <c r="C2472" s="1" t="s">
        <v>40613</v>
      </c>
      <c r="D2472" s="1"/>
      <c r="E2472" s="1"/>
      <c r="F2472" s="1"/>
      <c r="G2472" s="1"/>
      <c r="H2472" s="1" t="s">
        <v>40614</v>
      </c>
      <c r="I2472" s="1" t="s">
        <v>40614</v>
      </c>
      <c r="J2472" s="1"/>
      <c r="K2472" s="1"/>
      <c r="L2472" s="1"/>
      <c r="M2472" s="1"/>
      <c r="N2472" s="1"/>
      <c r="O2472" s="1"/>
      <c r="P2472" s="1"/>
      <c r="Q2472" s="1"/>
      <c r="R2472" s="1"/>
      <c r="S2472" s="1"/>
      <c r="T2472" s="1"/>
      <c r="U2472" s="1"/>
      <c r="V2472" s="1"/>
      <c r="W2472" s="1"/>
      <c r="X2472" s="1"/>
      <c r="Y2472" s="1"/>
      <c r="Z2472" s="1"/>
      <c r="AA2472" s="1"/>
      <c r="AB2472" s="1"/>
      <c r="AC2472" s="1"/>
      <c r="AD2472" s="1" t="s">
        <v>98</v>
      </c>
      <c r="AE2472" s="1" t="s">
        <v>98</v>
      </c>
      <c r="AF2472" s="1"/>
      <c r="AG2472" s="1"/>
      <c r="AH2472" s="1"/>
      <c r="AI2472" s="1"/>
      <c r="AJ2472" s="1"/>
      <c r="AK2472" s="1"/>
      <c r="AL2472" s="1"/>
      <c r="AM2472" s="1"/>
      <c r="AN2472" s="1"/>
      <c r="AO2472" s="1"/>
      <c r="AP2472" s="1"/>
      <c r="AQ2472" s="1"/>
      <c r="AR2472" s="1"/>
      <c r="AS2472" s="1"/>
      <c r="AT2472" s="1"/>
      <c r="AU2472" s="1"/>
      <c r="AV2472" s="1"/>
      <c r="AW2472" s="1"/>
      <c r="AX2472" s="1"/>
      <c r="AY2472" s="1"/>
      <c r="AZ2472" s="1"/>
      <c r="BA2472" s="1"/>
      <c r="BB2472" s="1"/>
      <c r="BC2472" s="1"/>
      <c r="BD2472" s="1"/>
      <c r="BE2472" s="1"/>
      <c r="BF2472" s="1"/>
      <c r="BG2472" s="1"/>
      <c r="BH2472" s="1"/>
      <c r="BI2472" s="1"/>
      <c r="BJ2472" s="1"/>
      <c r="BK2472" s="1"/>
      <c r="BL2472" s="1"/>
      <c r="BM2472" s="1"/>
      <c r="BN2472" s="1"/>
      <c r="BO2472" s="1"/>
      <c r="BP2472" s="1"/>
      <c r="BQ2472" s="1"/>
      <c r="BR2472" s="1"/>
      <c r="BS2472" s="1"/>
      <c r="BT2472" s="1"/>
      <c r="BU2472" s="1" t="s">
        <v>9653</v>
      </c>
      <c r="BV2472" s="3"/>
      <c r="BW2472" s="3"/>
    </row>
    <row r="2473" spans="1:75">
      <c r="A2473" s="1" t="s">
        <v>26662</v>
      </c>
      <c r="B2473" s="1" t="s">
        <v>13976</v>
      </c>
      <c r="C2473" s="1" t="s">
        <v>40615</v>
      </c>
      <c r="D2473" s="1"/>
      <c r="E2473" s="1"/>
      <c r="F2473" s="1"/>
      <c r="G2473" s="1"/>
      <c r="H2473" s="1" t="s">
        <v>40616</v>
      </c>
      <c r="I2473" s="1" t="s">
        <v>40616</v>
      </c>
      <c r="J2473" s="1"/>
      <c r="K2473" s="1"/>
      <c r="L2473" s="1"/>
      <c r="M2473" s="1"/>
      <c r="N2473" s="1"/>
      <c r="O2473" s="1"/>
      <c r="P2473" s="1"/>
      <c r="Q2473" s="1"/>
      <c r="R2473" s="1"/>
      <c r="S2473" s="1"/>
      <c r="T2473" s="1"/>
      <c r="U2473" s="1"/>
      <c r="V2473" s="1"/>
      <c r="W2473" s="1"/>
      <c r="X2473" s="1"/>
      <c r="Y2473" s="1"/>
      <c r="Z2473" s="1"/>
      <c r="AA2473" s="1"/>
      <c r="AB2473" s="1"/>
      <c r="AC2473" s="1"/>
      <c r="AD2473" s="1" t="s">
        <v>98</v>
      </c>
      <c r="AE2473" s="1" t="s">
        <v>98</v>
      </c>
      <c r="AF2473" s="1"/>
      <c r="AG2473" s="1"/>
      <c r="AH2473" s="1"/>
      <c r="AI2473" s="1"/>
      <c r="AJ2473" s="1"/>
      <c r="AK2473" s="1"/>
      <c r="AL2473" s="1"/>
      <c r="AM2473" s="1"/>
      <c r="AN2473" s="1"/>
      <c r="AO2473" s="1"/>
      <c r="AP2473" s="1"/>
      <c r="AQ2473" s="1"/>
      <c r="AR2473" s="1"/>
      <c r="AS2473" s="1"/>
      <c r="AT2473" s="1"/>
      <c r="AU2473" s="1"/>
      <c r="AV2473" s="1"/>
      <c r="AW2473" s="1"/>
      <c r="AX2473" s="1"/>
      <c r="AY2473" s="1"/>
      <c r="AZ2473" s="1"/>
      <c r="BA2473" s="1"/>
      <c r="BB2473" s="1"/>
      <c r="BC2473" s="1"/>
      <c r="BD2473" s="1"/>
      <c r="BE2473" s="1"/>
      <c r="BF2473" s="1"/>
      <c r="BG2473" s="1"/>
      <c r="BH2473" s="1"/>
      <c r="BI2473" s="1"/>
      <c r="BJ2473" s="1"/>
      <c r="BK2473" s="1"/>
      <c r="BL2473" s="1"/>
      <c r="BM2473" s="1"/>
      <c r="BN2473" s="1"/>
      <c r="BO2473" s="1"/>
      <c r="BP2473" s="1"/>
      <c r="BQ2473" s="1"/>
      <c r="BR2473" s="1"/>
      <c r="BS2473" s="1"/>
      <c r="BT2473" s="1"/>
      <c r="BU2473" s="1" t="s">
        <v>9653</v>
      </c>
      <c r="BV2473" s="3"/>
      <c r="BW2473" s="3"/>
    </row>
    <row r="2474" spans="1:75">
      <c r="A2474" s="1" t="s">
        <v>26662</v>
      </c>
      <c r="B2474" s="1" t="s">
        <v>13976</v>
      </c>
      <c r="C2474" s="1" t="s">
        <v>40617</v>
      </c>
      <c r="D2474" s="1"/>
      <c r="E2474" s="1"/>
      <c r="F2474" s="1"/>
      <c r="G2474" s="1"/>
      <c r="H2474" s="1" t="s">
        <v>40618</v>
      </c>
      <c r="I2474" s="1" t="s">
        <v>40618</v>
      </c>
      <c r="J2474" s="1"/>
      <c r="K2474" s="1"/>
      <c r="L2474" s="1"/>
      <c r="M2474" s="1"/>
      <c r="N2474" s="1"/>
      <c r="O2474" s="1"/>
      <c r="P2474" s="1"/>
      <c r="Q2474" s="1"/>
      <c r="R2474" s="1"/>
      <c r="S2474" s="1"/>
      <c r="T2474" s="1"/>
      <c r="U2474" s="1"/>
      <c r="V2474" s="1"/>
      <c r="W2474" s="1"/>
      <c r="X2474" s="1"/>
      <c r="Y2474" s="1"/>
      <c r="Z2474" s="1"/>
      <c r="AA2474" s="1"/>
      <c r="AB2474" s="1"/>
      <c r="AC2474" s="1"/>
      <c r="AD2474" s="1" t="s">
        <v>98</v>
      </c>
      <c r="AE2474" s="1" t="s">
        <v>98</v>
      </c>
      <c r="AF2474" s="1"/>
      <c r="AG2474" s="1"/>
      <c r="AH2474" s="1"/>
      <c r="AI2474" s="1"/>
      <c r="AJ2474" s="1"/>
      <c r="AK2474" s="1"/>
      <c r="AL2474" s="1"/>
      <c r="AM2474" s="1"/>
      <c r="AN2474" s="1"/>
      <c r="AO2474" s="1"/>
      <c r="AP2474" s="1"/>
      <c r="AQ2474" s="1"/>
      <c r="AR2474" s="1"/>
      <c r="AS2474" s="1"/>
      <c r="AT2474" s="1"/>
      <c r="AU2474" s="1"/>
      <c r="AV2474" s="1"/>
      <c r="AW2474" s="1"/>
      <c r="AX2474" s="1"/>
      <c r="AY2474" s="1"/>
      <c r="AZ2474" s="1"/>
      <c r="BA2474" s="1"/>
      <c r="BB2474" s="1"/>
      <c r="BC2474" s="1"/>
      <c r="BD2474" s="1"/>
      <c r="BE2474" s="1"/>
      <c r="BF2474" s="1"/>
      <c r="BG2474" s="1"/>
      <c r="BH2474" s="1"/>
      <c r="BI2474" s="1"/>
      <c r="BJ2474" s="1"/>
      <c r="BK2474" s="1"/>
      <c r="BL2474" s="1"/>
      <c r="BM2474" s="1"/>
      <c r="BN2474" s="1"/>
      <c r="BO2474" s="1"/>
      <c r="BP2474" s="1"/>
      <c r="BQ2474" s="1"/>
      <c r="BR2474" s="1"/>
      <c r="BS2474" s="1"/>
      <c r="BT2474" s="1"/>
      <c r="BU2474" s="1" t="s">
        <v>9653</v>
      </c>
      <c r="BV2474" s="3"/>
      <c r="BW2474" s="3"/>
    </row>
    <row r="2475" spans="1:75">
      <c r="A2475" s="1" t="s">
        <v>26662</v>
      </c>
      <c r="B2475" s="1" t="s">
        <v>13976</v>
      </c>
      <c r="C2475" s="1" t="s">
        <v>40619</v>
      </c>
      <c r="D2475" s="1"/>
      <c r="E2475" s="1"/>
      <c r="F2475" s="1"/>
      <c r="G2475" s="1"/>
      <c r="H2475" s="1" t="s">
        <v>40620</v>
      </c>
      <c r="I2475" s="1" t="s">
        <v>40620</v>
      </c>
      <c r="J2475" s="1"/>
      <c r="K2475" s="1"/>
      <c r="L2475" s="1"/>
      <c r="M2475" s="1"/>
      <c r="N2475" s="1"/>
      <c r="O2475" s="1"/>
      <c r="P2475" s="1"/>
      <c r="Q2475" s="1"/>
      <c r="R2475" s="1"/>
      <c r="S2475" s="1"/>
      <c r="T2475" s="1"/>
      <c r="U2475" s="1"/>
      <c r="V2475" s="1"/>
      <c r="W2475" s="1"/>
      <c r="X2475" s="1"/>
      <c r="Y2475" s="1"/>
      <c r="Z2475" s="1"/>
      <c r="AA2475" s="1"/>
      <c r="AB2475" s="1"/>
      <c r="AC2475" s="1"/>
      <c r="AD2475" s="1" t="s">
        <v>98</v>
      </c>
      <c r="AE2475" s="1" t="s">
        <v>98</v>
      </c>
      <c r="AF2475" s="1"/>
      <c r="AG2475" s="1"/>
      <c r="AH2475" s="1"/>
      <c r="AI2475" s="1"/>
      <c r="AJ2475" s="1"/>
      <c r="AK2475" s="1"/>
      <c r="AL2475" s="1"/>
      <c r="AM2475" s="1"/>
      <c r="AN2475" s="1"/>
      <c r="AO2475" s="1"/>
      <c r="AP2475" s="1"/>
      <c r="AQ2475" s="1"/>
      <c r="AR2475" s="1"/>
      <c r="AS2475" s="1"/>
      <c r="AT2475" s="1"/>
      <c r="AU2475" s="1"/>
      <c r="AV2475" s="1"/>
      <c r="AW2475" s="1"/>
      <c r="AX2475" s="1"/>
      <c r="AY2475" s="1"/>
      <c r="AZ2475" s="1"/>
      <c r="BA2475" s="1"/>
      <c r="BB2475" s="1"/>
      <c r="BC2475" s="1"/>
      <c r="BD2475" s="1"/>
      <c r="BE2475" s="1"/>
      <c r="BF2475" s="1"/>
      <c r="BG2475" s="1"/>
      <c r="BH2475" s="1"/>
      <c r="BI2475" s="1"/>
      <c r="BJ2475" s="1"/>
      <c r="BK2475" s="1"/>
      <c r="BL2475" s="1"/>
      <c r="BM2475" s="1"/>
      <c r="BN2475" s="1"/>
      <c r="BO2475" s="1"/>
      <c r="BP2475" s="1"/>
      <c r="BQ2475" s="1"/>
      <c r="BR2475" s="1"/>
      <c r="BS2475" s="1"/>
      <c r="BT2475" s="1"/>
      <c r="BU2475" s="1" t="s">
        <v>9653</v>
      </c>
      <c r="BV2475" s="3"/>
      <c r="BW2475" s="3"/>
    </row>
    <row r="2476" spans="1:75">
      <c r="A2476" s="1" t="s">
        <v>26662</v>
      </c>
      <c r="B2476" s="1" t="s">
        <v>13976</v>
      </c>
      <c r="C2476" s="1" t="s">
        <v>40621</v>
      </c>
      <c r="D2476" s="1"/>
      <c r="E2476" s="1"/>
      <c r="F2476" s="1"/>
      <c r="G2476" s="1"/>
      <c r="H2476" s="1" t="s">
        <v>40622</v>
      </c>
      <c r="I2476" s="1" t="s">
        <v>40622</v>
      </c>
      <c r="J2476" s="1"/>
      <c r="K2476" s="1"/>
      <c r="L2476" s="1"/>
      <c r="M2476" s="1"/>
      <c r="N2476" s="1"/>
      <c r="O2476" s="1"/>
      <c r="P2476" s="1"/>
      <c r="Q2476" s="1"/>
      <c r="R2476" s="1"/>
      <c r="S2476" s="1"/>
      <c r="T2476" s="1"/>
      <c r="U2476" s="1"/>
      <c r="V2476" s="1"/>
      <c r="W2476" s="1"/>
      <c r="X2476" s="1"/>
      <c r="Y2476" s="1"/>
      <c r="Z2476" s="1"/>
      <c r="AA2476" s="1"/>
      <c r="AB2476" s="1"/>
      <c r="AC2476" s="1"/>
      <c r="AD2476" s="1" t="s">
        <v>98</v>
      </c>
      <c r="AE2476" s="1" t="s">
        <v>98</v>
      </c>
      <c r="AF2476" s="1"/>
      <c r="AG2476" s="1"/>
      <c r="AH2476" s="1"/>
      <c r="AI2476" s="1"/>
      <c r="AJ2476" s="1"/>
      <c r="AK2476" s="1"/>
      <c r="AL2476" s="1"/>
      <c r="AM2476" s="1"/>
      <c r="AN2476" s="1"/>
      <c r="AO2476" s="1"/>
      <c r="AP2476" s="1"/>
      <c r="AQ2476" s="1"/>
      <c r="AR2476" s="1"/>
      <c r="AS2476" s="1"/>
      <c r="AT2476" s="1"/>
      <c r="AU2476" s="1"/>
      <c r="AV2476" s="1"/>
      <c r="AW2476" s="1"/>
      <c r="AX2476" s="1"/>
      <c r="AY2476" s="1"/>
      <c r="AZ2476" s="1"/>
      <c r="BA2476" s="1"/>
      <c r="BB2476" s="1"/>
      <c r="BC2476" s="1"/>
      <c r="BD2476" s="1"/>
      <c r="BE2476" s="1"/>
      <c r="BF2476" s="1"/>
      <c r="BG2476" s="1"/>
      <c r="BH2476" s="1"/>
      <c r="BI2476" s="1"/>
      <c r="BJ2476" s="1"/>
      <c r="BK2476" s="1"/>
      <c r="BL2476" s="1"/>
      <c r="BM2476" s="1"/>
      <c r="BN2476" s="1"/>
      <c r="BO2476" s="1"/>
      <c r="BP2476" s="1"/>
      <c r="BQ2476" s="1"/>
      <c r="BR2476" s="1"/>
      <c r="BS2476" s="1"/>
      <c r="BT2476" s="1"/>
      <c r="BU2476" s="1" t="s">
        <v>9653</v>
      </c>
      <c r="BV2476" s="3"/>
      <c r="BW2476" s="3"/>
    </row>
    <row r="2477" spans="1:75">
      <c r="A2477" s="1" t="s">
        <v>26662</v>
      </c>
      <c r="B2477" s="1" t="s">
        <v>13976</v>
      </c>
      <c r="C2477" s="1" t="s">
        <v>40623</v>
      </c>
      <c r="D2477" s="1"/>
      <c r="E2477" s="1"/>
      <c r="F2477" s="1"/>
      <c r="G2477" s="1"/>
      <c r="H2477" s="1" t="s">
        <v>40624</v>
      </c>
      <c r="I2477" s="1" t="s">
        <v>40624</v>
      </c>
      <c r="J2477" s="1"/>
      <c r="K2477" s="1"/>
      <c r="L2477" s="1"/>
      <c r="M2477" s="1"/>
      <c r="N2477" s="1"/>
      <c r="O2477" s="1"/>
      <c r="P2477" s="1"/>
      <c r="Q2477" s="1"/>
      <c r="R2477" s="1"/>
      <c r="S2477" s="1"/>
      <c r="T2477" s="1"/>
      <c r="U2477" s="1"/>
      <c r="V2477" s="1"/>
      <c r="W2477" s="1"/>
      <c r="X2477" s="1"/>
      <c r="Y2477" s="1"/>
      <c r="Z2477" s="1"/>
      <c r="AA2477" s="1"/>
      <c r="AB2477" s="1"/>
      <c r="AC2477" s="1"/>
      <c r="AD2477" s="1" t="s">
        <v>98</v>
      </c>
      <c r="AE2477" s="1" t="s">
        <v>98</v>
      </c>
      <c r="AF2477" s="1"/>
      <c r="AG2477" s="1"/>
      <c r="AH2477" s="1"/>
      <c r="AI2477" s="1"/>
      <c r="AJ2477" s="1"/>
      <c r="AK2477" s="1"/>
      <c r="AL2477" s="1"/>
      <c r="AM2477" s="1"/>
      <c r="AN2477" s="1"/>
      <c r="AO2477" s="1"/>
      <c r="AP2477" s="1"/>
      <c r="AQ2477" s="1"/>
      <c r="AR2477" s="1"/>
      <c r="AS2477" s="1"/>
      <c r="AT2477" s="1"/>
      <c r="AU2477" s="1"/>
      <c r="AV2477" s="1"/>
      <c r="AW2477" s="1"/>
      <c r="AX2477" s="1"/>
      <c r="AY2477" s="1"/>
      <c r="AZ2477" s="1"/>
      <c r="BA2477" s="1"/>
      <c r="BB2477" s="1"/>
      <c r="BC2477" s="1"/>
      <c r="BD2477" s="1"/>
      <c r="BE2477" s="1"/>
      <c r="BF2477" s="1"/>
      <c r="BG2477" s="1"/>
      <c r="BH2477" s="1"/>
      <c r="BI2477" s="1"/>
      <c r="BJ2477" s="1"/>
      <c r="BK2477" s="1"/>
      <c r="BL2477" s="1"/>
      <c r="BM2477" s="1"/>
      <c r="BN2477" s="1"/>
      <c r="BO2477" s="1"/>
      <c r="BP2477" s="1"/>
      <c r="BQ2477" s="1"/>
      <c r="BR2477" s="1"/>
      <c r="BS2477" s="1"/>
      <c r="BT2477" s="1"/>
      <c r="BU2477" s="1" t="s">
        <v>9653</v>
      </c>
      <c r="BV2477" s="3"/>
      <c r="BW2477" s="3"/>
    </row>
    <row r="2478" spans="1:75">
      <c r="A2478" s="1" t="s">
        <v>26662</v>
      </c>
      <c r="B2478" s="1" t="s">
        <v>13976</v>
      </c>
      <c r="C2478" s="1" t="s">
        <v>40625</v>
      </c>
      <c r="D2478" s="1"/>
      <c r="E2478" s="1"/>
      <c r="F2478" s="1"/>
      <c r="G2478" s="1"/>
      <c r="H2478" s="1" t="s">
        <v>40626</v>
      </c>
      <c r="I2478" s="1" t="s">
        <v>40626</v>
      </c>
      <c r="J2478" s="1"/>
      <c r="K2478" s="1"/>
      <c r="L2478" s="1"/>
      <c r="M2478" s="1"/>
      <c r="N2478" s="1"/>
      <c r="O2478" s="1"/>
      <c r="P2478" s="1"/>
      <c r="Q2478" s="1"/>
      <c r="R2478" s="1"/>
      <c r="S2478" s="1"/>
      <c r="T2478" s="1"/>
      <c r="U2478" s="1"/>
      <c r="V2478" s="1"/>
      <c r="W2478" s="1"/>
      <c r="X2478" s="1"/>
      <c r="Y2478" s="1"/>
      <c r="Z2478" s="1"/>
      <c r="AA2478" s="1"/>
      <c r="AB2478" s="1"/>
      <c r="AC2478" s="1"/>
      <c r="AD2478" s="1" t="s">
        <v>98</v>
      </c>
      <c r="AE2478" s="1" t="s">
        <v>98</v>
      </c>
      <c r="AF2478" s="1"/>
      <c r="AG2478" s="1"/>
      <c r="AH2478" s="1"/>
      <c r="AI2478" s="1"/>
      <c r="AJ2478" s="1"/>
      <c r="AK2478" s="1"/>
      <c r="AL2478" s="1"/>
      <c r="AM2478" s="1"/>
      <c r="AN2478" s="1"/>
      <c r="AO2478" s="1"/>
      <c r="AP2478" s="1"/>
      <c r="AQ2478" s="1"/>
      <c r="AR2478" s="1"/>
      <c r="AS2478" s="1"/>
      <c r="AT2478" s="1"/>
      <c r="AU2478" s="1"/>
      <c r="AV2478" s="1"/>
      <c r="AW2478" s="1"/>
      <c r="AX2478" s="1"/>
      <c r="AY2478" s="1"/>
      <c r="AZ2478" s="1"/>
      <c r="BA2478" s="1"/>
      <c r="BB2478" s="1"/>
      <c r="BC2478" s="1"/>
      <c r="BD2478" s="1"/>
      <c r="BE2478" s="1"/>
      <c r="BF2478" s="1"/>
      <c r="BG2478" s="1"/>
      <c r="BH2478" s="1"/>
      <c r="BI2478" s="1"/>
      <c r="BJ2478" s="1"/>
      <c r="BK2478" s="1"/>
      <c r="BL2478" s="1"/>
      <c r="BM2478" s="1"/>
      <c r="BN2478" s="1"/>
      <c r="BO2478" s="1"/>
      <c r="BP2478" s="1"/>
      <c r="BQ2478" s="1"/>
      <c r="BR2478" s="1"/>
      <c r="BS2478" s="1"/>
      <c r="BT2478" s="1"/>
      <c r="BU2478" s="1" t="s">
        <v>9653</v>
      </c>
      <c r="BV2478" s="3"/>
      <c r="BW2478" s="3"/>
    </row>
    <row r="2479" spans="1:75">
      <c r="A2479" s="1" t="s">
        <v>26662</v>
      </c>
      <c r="B2479" s="1" t="s">
        <v>13976</v>
      </c>
      <c r="C2479" s="1" t="s">
        <v>40627</v>
      </c>
      <c r="D2479" s="1"/>
      <c r="E2479" s="1"/>
      <c r="F2479" s="1"/>
      <c r="G2479" s="1"/>
      <c r="H2479" s="1" t="s">
        <v>40628</v>
      </c>
      <c r="I2479" s="1" t="s">
        <v>40628</v>
      </c>
      <c r="J2479" s="1"/>
      <c r="K2479" s="1"/>
      <c r="L2479" s="1"/>
      <c r="M2479" s="1"/>
      <c r="N2479" s="1"/>
      <c r="O2479" s="1"/>
      <c r="P2479" s="1"/>
      <c r="Q2479" s="1"/>
      <c r="R2479" s="1"/>
      <c r="S2479" s="1"/>
      <c r="T2479" s="1"/>
      <c r="U2479" s="1"/>
      <c r="V2479" s="1"/>
      <c r="W2479" s="1"/>
      <c r="X2479" s="1"/>
      <c r="Y2479" s="1"/>
      <c r="Z2479" s="1"/>
      <c r="AA2479" s="1"/>
      <c r="AB2479" s="1"/>
      <c r="AC2479" s="1"/>
      <c r="AD2479" s="1" t="s">
        <v>98</v>
      </c>
      <c r="AE2479" s="1" t="s">
        <v>98</v>
      </c>
      <c r="AF2479" s="1"/>
      <c r="AG2479" s="1"/>
      <c r="AH2479" s="1"/>
      <c r="AI2479" s="1"/>
      <c r="AJ2479" s="1"/>
      <c r="AK2479" s="1"/>
      <c r="AL2479" s="1"/>
      <c r="AM2479" s="1"/>
      <c r="AN2479" s="1"/>
      <c r="AO2479" s="1"/>
      <c r="AP2479" s="1"/>
      <c r="AQ2479" s="1"/>
      <c r="AR2479" s="1"/>
      <c r="AS2479" s="1"/>
      <c r="AT2479" s="1"/>
      <c r="AU2479" s="1"/>
      <c r="AV2479" s="1"/>
      <c r="AW2479" s="1"/>
      <c r="AX2479" s="1"/>
      <c r="AY2479" s="1"/>
      <c r="AZ2479" s="1"/>
      <c r="BA2479" s="1"/>
      <c r="BB2479" s="1"/>
      <c r="BC2479" s="1"/>
      <c r="BD2479" s="1"/>
      <c r="BE2479" s="1"/>
      <c r="BF2479" s="1"/>
      <c r="BG2479" s="1"/>
      <c r="BH2479" s="1"/>
      <c r="BI2479" s="1"/>
      <c r="BJ2479" s="1"/>
      <c r="BK2479" s="1"/>
      <c r="BL2479" s="1"/>
      <c r="BM2479" s="1"/>
      <c r="BN2479" s="1"/>
      <c r="BO2479" s="1"/>
      <c r="BP2479" s="1"/>
      <c r="BQ2479" s="1"/>
      <c r="BR2479" s="1"/>
      <c r="BS2479" s="1"/>
      <c r="BT2479" s="1"/>
      <c r="BU2479" s="1" t="s">
        <v>9653</v>
      </c>
      <c r="BV2479" s="3"/>
      <c r="BW2479" s="3"/>
    </row>
    <row r="2480" spans="1:75">
      <c r="A2480" s="1" t="s">
        <v>26662</v>
      </c>
      <c r="B2480" s="1" t="s">
        <v>13976</v>
      </c>
      <c r="C2480" s="1" t="s">
        <v>40629</v>
      </c>
      <c r="D2480" s="1"/>
      <c r="E2480" s="1"/>
      <c r="F2480" s="1"/>
      <c r="G2480" s="1"/>
      <c r="H2480" s="1" t="s">
        <v>40630</v>
      </c>
      <c r="I2480" s="1" t="s">
        <v>40630</v>
      </c>
      <c r="J2480" s="1"/>
      <c r="K2480" s="1"/>
      <c r="L2480" s="1"/>
      <c r="M2480" s="1"/>
      <c r="N2480" s="1"/>
      <c r="O2480" s="1"/>
      <c r="P2480" s="1"/>
      <c r="Q2480" s="1"/>
      <c r="R2480" s="1"/>
      <c r="S2480" s="1"/>
      <c r="T2480" s="1"/>
      <c r="U2480" s="1"/>
      <c r="V2480" s="1"/>
      <c r="W2480" s="1"/>
      <c r="X2480" s="1"/>
      <c r="Y2480" s="1"/>
      <c r="Z2480" s="1"/>
      <c r="AA2480" s="1"/>
      <c r="AB2480" s="1"/>
      <c r="AC2480" s="1"/>
      <c r="AD2480" s="1" t="s">
        <v>98</v>
      </c>
      <c r="AE2480" s="1" t="s">
        <v>98</v>
      </c>
      <c r="AF2480" s="1"/>
      <c r="AG2480" s="1"/>
      <c r="AH2480" s="1"/>
      <c r="AI2480" s="1"/>
      <c r="AJ2480" s="1"/>
      <c r="AK2480" s="1"/>
      <c r="AL2480" s="1"/>
      <c r="AM2480" s="1"/>
      <c r="AN2480" s="1"/>
      <c r="AO2480" s="1"/>
      <c r="AP2480" s="1"/>
      <c r="AQ2480" s="1"/>
      <c r="AR2480" s="1"/>
      <c r="AS2480" s="1"/>
      <c r="AT2480" s="1"/>
      <c r="AU2480" s="1"/>
      <c r="AV2480" s="1"/>
      <c r="AW2480" s="1"/>
      <c r="AX2480" s="1"/>
      <c r="AY2480" s="1"/>
      <c r="AZ2480" s="1"/>
      <c r="BA2480" s="1"/>
      <c r="BB2480" s="1"/>
      <c r="BC2480" s="1"/>
      <c r="BD2480" s="1"/>
      <c r="BE2480" s="1"/>
      <c r="BF2480" s="1"/>
      <c r="BG2480" s="1"/>
      <c r="BH2480" s="1"/>
      <c r="BI2480" s="1"/>
      <c r="BJ2480" s="1"/>
      <c r="BK2480" s="1"/>
      <c r="BL2480" s="1"/>
      <c r="BM2480" s="1"/>
      <c r="BN2480" s="1"/>
      <c r="BO2480" s="1"/>
      <c r="BP2480" s="1"/>
      <c r="BQ2480" s="1"/>
      <c r="BR2480" s="1"/>
      <c r="BS2480" s="1"/>
      <c r="BT2480" s="1"/>
      <c r="BU2480" s="1" t="s">
        <v>9653</v>
      </c>
      <c r="BV2480" s="3"/>
      <c r="BW2480" s="3"/>
    </row>
    <row r="2481" spans="1:75">
      <c r="A2481" s="1" t="s">
        <v>26662</v>
      </c>
      <c r="B2481" s="1" t="s">
        <v>13976</v>
      </c>
      <c r="C2481" s="1" t="s">
        <v>40631</v>
      </c>
      <c r="D2481" s="1"/>
      <c r="E2481" s="1"/>
      <c r="F2481" s="1"/>
      <c r="G2481" s="1"/>
      <c r="H2481" s="1" t="s">
        <v>40632</v>
      </c>
      <c r="I2481" s="1" t="s">
        <v>40632</v>
      </c>
      <c r="J2481" s="1"/>
      <c r="K2481" s="1"/>
      <c r="L2481" s="1"/>
      <c r="M2481" s="1"/>
      <c r="N2481" s="1"/>
      <c r="O2481" s="1"/>
      <c r="P2481" s="1"/>
      <c r="Q2481" s="1"/>
      <c r="R2481" s="1"/>
      <c r="S2481" s="1"/>
      <c r="T2481" s="1"/>
      <c r="U2481" s="1"/>
      <c r="V2481" s="1"/>
      <c r="W2481" s="1"/>
      <c r="X2481" s="1"/>
      <c r="Y2481" s="1"/>
      <c r="Z2481" s="1"/>
      <c r="AA2481" s="1"/>
      <c r="AB2481" s="1"/>
      <c r="AC2481" s="1"/>
      <c r="AD2481" s="1" t="s">
        <v>98</v>
      </c>
      <c r="AE2481" s="1" t="s">
        <v>98</v>
      </c>
      <c r="AF2481" s="1"/>
      <c r="AG2481" s="1"/>
      <c r="AH2481" s="1"/>
      <c r="AI2481" s="1"/>
      <c r="AJ2481" s="1"/>
      <c r="AK2481" s="1"/>
      <c r="AL2481" s="1"/>
      <c r="AM2481" s="1"/>
      <c r="AN2481" s="1"/>
      <c r="AO2481" s="1"/>
      <c r="AP2481" s="1"/>
      <c r="AQ2481" s="1"/>
      <c r="AR2481" s="1"/>
      <c r="AS2481" s="1"/>
      <c r="AT2481" s="1"/>
      <c r="AU2481" s="1"/>
      <c r="AV2481" s="1"/>
      <c r="AW2481" s="1"/>
      <c r="AX2481" s="1"/>
      <c r="AY2481" s="1"/>
      <c r="AZ2481" s="1"/>
      <c r="BA2481" s="1"/>
      <c r="BB2481" s="1"/>
      <c r="BC2481" s="1"/>
      <c r="BD2481" s="1"/>
      <c r="BE2481" s="1"/>
      <c r="BF2481" s="1"/>
      <c r="BG2481" s="1"/>
      <c r="BH2481" s="1"/>
      <c r="BI2481" s="1"/>
      <c r="BJ2481" s="1"/>
      <c r="BK2481" s="1"/>
      <c r="BL2481" s="1"/>
      <c r="BM2481" s="1"/>
      <c r="BN2481" s="1"/>
      <c r="BO2481" s="1"/>
      <c r="BP2481" s="1"/>
      <c r="BQ2481" s="1"/>
      <c r="BR2481" s="1"/>
      <c r="BS2481" s="1"/>
      <c r="BT2481" s="1"/>
      <c r="BU2481" s="1" t="s">
        <v>9653</v>
      </c>
      <c r="BV2481" s="3"/>
      <c r="BW2481" s="3"/>
    </row>
    <row r="2482" spans="1:75">
      <c r="A2482" s="1" t="s">
        <v>26662</v>
      </c>
      <c r="B2482" s="1" t="s">
        <v>13976</v>
      </c>
      <c r="C2482" s="1" t="s">
        <v>40633</v>
      </c>
      <c r="D2482" s="1"/>
      <c r="E2482" s="1"/>
      <c r="F2482" s="1"/>
      <c r="G2482" s="1"/>
      <c r="H2482" s="1" t="s">
        <v>40634</v>
      </c>
      <c r="I2482" s="1" t="s">
        <v>40634</v>
      </c>
      <c r="J2482" s="1"/>
      <c r="K2482" s="1"/>
      <c r="L2482" s="1"/>
      <c r="M2482" s="1"/>
      <c r="N2482" s="1"/>
      <c r="O2482" s="1"/>
      <c r="P2482" s="1"/>
      <c r="Q2482" s="1"/>
      <c r="R2482" s="1"/>
      <c r="S2482" s="1"/>
      <c r="T2482" s="1"/>
      <c r="U2482" s="1"/>
      <c r="V2482" s="1"/>
      <c r="W2482" s="1"/>
      <c r="X2482" s="1"/>
      <c r="Y2482" s="1"/>
      <c r="Z2482" s="1"/>
      <c r="AA2482" s="1"/>
      <c r="AB2482" s="1"/>
      <c r="AC2482" s="1"/>
      <c r="AD2482" s="1" t="s">
        <v>98</v>
      </c>
      <c r="AE2482" s="1" t="s">
        <v>98</v>
      </c>
      <c r="AF2482" s="1"/>
      <c r="AG2482" s="1"/>
      <c r="AH2482" s="1"/>
      <c r="AI2482" s="1"/>
      <c r="AJ2482" s="1"/>
      <c r="AK2482" s="1"/>
      <c r="AL2482" s="1"/>
      <c r="AM2482" s="1"/>
      <c r="AN2482" s="1"/>
      <c r="AO2482" s="1"/>
      <c r="AP2482" s="1"/>
      <c r="AQ2482" s="1"/>
      <c r="AR2482" s="1"/>
      <c r="AS2482" s="1"/>
      <c r="AT2482" s="1"/>
      <c r="AU2482" s="1"/>
      <c r="AV2482" s="1"/>
      <c r="AW2482" s="1"/>
      <c r="AX2482" s="1"/>
      <c r="AY2482" s="1"/>
      <c r="AZ2482" s="1"/>
      <c r="BA2482" s="1"/>
      <c r="BB2482" s="1"/>
      <c r="BC2482" s="1"/>
      <c r="BD2482" s="1"/>
      <c r="BE2482" s="1"/>
      <c r="BF2482" s="1"/>
      <c r="BG2482" s="1"/>
      <c r="BH2482" s="1"/>
      <c r="BI2482" s="1"/>
      <c r="BJ2482" s="1"/>
      <c r="BK2482" s="1"/>
      <c r="BL2482" s="1"/>
      <c r="BM2482" s="1"/>
      <c r="BN2482" s="1"/>
      <c r="BO2482" s="1"/>
      <c r="BP2482" s="1"/>
      <c r="BQ2482" s="1"/>
      <c r="BR2482" s="1"/>
      <c r="BS2482" s="1"/>
      <c r="BT2482" s="1"/>
      <c r="BU2482" s="1" t="s">
        <v>9653</v>
      </c>
      <c r="BV2482" s="3"/>
      <c r="BW2482" s="3"/>
    </row>
    <row r="2483" spans="1:75">
      <c r="A2483" s="1" t="s">
        <v>26662</v>
      </c>
      <c r="B2483" s="1" t="s">
        <v>13976</v>
      </c>
      <c r="C2483" s="1" t="s">
        <v>40635</v>
      </c>
      <c r="D2483" s="1"/>
      <c r="E2483" s="1"/>
      <c r="F2483" s="1"/>
      <c r="G2483" s="1"/>
      <c r="H2483" s="1" t="s">
        <v>40636</v>
      </c>
      <c r="I2483" s="1" t="s">
        <v>40636</v>
      </c>
      <c r="J2483" s="1"/>
      <c r="K2483" s="1"/>
      <c r="L2483" s="1"/>
      <c r="M2483" s="1"/>
      <c r="N2483" s="1"/>
      <c r="O2483" s="1"/>
      <c r="P2483" s="1"/>
      <c r="Q2483" s="1"/>
      <c r="R2483" s="1"/>
      <c r="S2483" s="1"/>
      <c r="T2483" s="1"/>
      <c r="U2483" s="1"/>
      <c r="V2483" s="1"/>
      <c r="W2483" s="1"/>
      <c r="X2483" s="1"/>
      <c r="Y2483" s="1"/>
      <c r="Z2483" s="1"/>
      <c r="AA2483" s="1"/>
      <c r="AB2483" s="1"/>
      <c r="AC2483" s="1"/>
      <c r="AD2483" s="1" t="s">
        <v>98</v>
      </c>
      <c r="AE2483" s="1" t="s">
        <v>98</v>
      </c>
      <c r="AF2483" s="1"/>
      <c r="AG2483" s="1"/>
      <c r="AH2483" s="1"/>
      <c r="AI2483" s="1"/>
      <c r="AJ2483" s="1"/>
      <c r="AK2483" s="1"/>
      <c r="AL2483" s="1"/>
      <c r="AM2483" s="1"/>
      <c r="AN2483" s="1"/>
      <c r="AO2483" s="1"/>
      <c r="AP2483" s="1"/>
      <c r="AQ2483" s="1"/>
      <c r="AR2483" s="1"/>
      <c r="AS2483" s="1"/>
      <c r="AT2483" s="1"/>
      <c r="AU2483" s="1"/>
      <c r="AV2483" s="1"/>
      <c r="AW2483" s="1"/>
      <c r="AX2483" s="1"/>
      <c r="AY2483" s="1"/>
      <c r="AZ2483" s="1"/>
      <c r="BA2483" s="1"/>
      <c r="BB2483" s="1"/>
      <c r="BC2483" s="1"/>
      <c r="BD2483" s="1"/>
      <c r="BE2483" s="1"/>
      <c r="BF2483" s="1"/>
      <c r="BG2483" s="1"/>
      <c r="BH2483" s="1"/>
      <c r="BI2483" s="1"/>
      <c r="BJ2483" s="1"/>
      <c r="BK2483" s="1"/>
      <c r="BL2483" s="1"/>
      <c r="BM2483" s="1"/>
      <c r="BN2483" s="1"/>
      <c r="BO2483" s="1"/>
      <c r="BP2483" s="1"/>
      <c r="BQ2483" s="1"/>
      <c r="BR2483" s="1"/>
      <c r="BS2483" s="1"/>
      <c r="BT2483" s="1"/>
      <c r="BU2483" s="1" t="s">
        <v>9653</v>
      </c>
      <c r="BV2483" s="3"/>
      <c r="BW2483" s="3"/>
    </row>
    <row r="2484" spans="1:75">
      <c r="A2484" s="1" t="s">
        <v>26662</v>
      </c>
      <c r="B2484" s="1" t="s">
        <v>13976</v>
      </c>
      <c r="C2484" s="1" t="s">
        <v>40637</v>
      </c>
      <c r="D2484" s="1"/>
      <c r="E2484" s="1"/>
      <c r="F2484" s="1"/>
      <c r="G2484" s="1"/>
      <c r="H2484" s="1" t="s">
        <v>40638</v>
      </c>
      <c r="I2484" s="1" t="s">
        <v>40638</v>
      </c>
      <c r="J2484" s="1"/>
      <c r="K2484" s="1"/>
      <c r="L2484" s="1"/>
      <c r="M2484" s="1"/>
      <c r="N2484" s="1"/>
      <c r="O2484" s="1"/>
      <c r="P2484" s="1"/>
      <c r="Q2484" s="1"/>
      <c r="R2484" s="1"/>
      <c r="S2484" s="1"/>
      <c r="T2484" s="1"/>
      <c r="U2484" s="1"/>
      <c r="V2484" s="1"/>
      <c r="W2484" s="1"/>
      <c r="X2484" s="1"/>
      <c r="Y2484" s="1"/>
      <c r="Z2484" s="1"/>
      <c r="AA2484" s="1"/>
      <c r="AB2484" s="1"/>
      <c r="AC2484" s="1"/>
      <c r="AD2484" s="1" t="s">
        <v>98</v>
      </c>
      <c r="AE2484" s="1" t="s">
        <v>98</v>
      </c>
      <c r="AF2484" s="1"/>
      <c r="AG2484" s="1"/>
      <c r="AH2484" s="1"/>
      <c r="AI2484" s="1"/>
      <c r="AJ2484" s="1"/>
      <c r="AK2484" s="1"/>
      <c r="AL2484" s="1"/>
      <c r="AM2484" s="1"/>
      <c r="AN2484" s="1"/>
      <c r="AO2484" s="1"/>
      <c r="AP2484" s="1"/>
      <c r="AQ2484" s="1"/>
      <c r="AR2484" s="1"/>
      <c r="AS2484" s="1"/>
      <c r="AT2484" s="1"/>
      <c r="AU2484" s="1"/>
      <c r="AV2484" s="1"/>
      <c r="AW2484" s="1"/>
      <c r="AX2484" s="1"/>
      <c r="AY2484" s="1"/>
      <c r="AZ2484" s="1"/>
      <c r="BA2484" s="1"/>
      <c r="BB2484" s="1"/>
      <c r="BC2484" s="1"/>
      <c r="BD2484" s="1"/>
      <c r="BE2484" s="1"/>
      <c r="BF2484" s="1"/>
      <c r="BG2484" s="1"/>
      <c r="BH2484" s="1"/>
      <c r="BI2484" s="1"/>
      <c r="BJ2484" s="1"/>
      <c r="BK2484" s="1"/>
      <c r="BL2484" s="1"/>
      <c r="BM2484" s="1"/>
      <c r="BN2484" s="1"/>
      <c r="BO2484" s="1"/>
      <c r="BP2484" s="1"/>
      <c r="BQ2484" s="1"/>
      <c r="BR2484" s="1"/>
      <c r="BS2484" s="1"/>
      <c r="BT2484" s="1"/>
      <c r="BU2484" s="1" t="s">
        <v>9653</v>
      </c>
      <c r="BV2484" s="3"/>
      <c r="BW2484" s="3"/>
    </row>
    <row r="2485" spans="1:75">
      <c r="A2485" s="1" t="s">
        <v>26662</v>
      </c>
      <c r="B2485" s="1" t="s">
        <v>13976</v>
      </c>
      <c r="C2485" s="1" t="s">
        <v>40639</v>
      </c>
      <c r="D2485" s="1"/>
      <c r="E2485" s="1"/>
      <c r="F2485" s="1"/>
      <c r="G2485" s="1"/>
      <c r="H2485" s="1" t="s">
        <v>40640</v>
      </c>
      <c r="I2485" s="1" t="s">
        <v>40640</v>
      </c>
      <c r="J2485" s="1"/>
      <c r="K2485" s="1"/>
      <c r="L2485" s="1"/>
      <c r="M2485" s="1"/>
      <c r="N2485" s="1"/>
      <c r="O2485" s="1"/>
      <c r="P2485" s="1"/>
      <c r="Q2485" s="1"/>
      <c r="R2485" s="1"/>
      <c r="S2485" s="1"/>
      <c r="T2485" s="1"/>
      <c r="U2485" s="1"/>
      <c r="V2485" s="1"/>
      <c r="W2485" s="1"/>
      <c r="X2485" s="1"/>
      <c r="Y2485" s="1"/>
      <c r="Z2485" s="1"/>
      <c r="AA2485" s="1"/>
      <c r="AB2485" s="1"/>
      <c r="AC2485" s="1"/>
      <c r="AD2485" s="1" t="s">
        <v>98</v>
      </c>
      <c r="AE2485" s="1" t="s">
        <v>98</v>
      </c>
      <c r="AF2485" s="1"/>
      <c r="AG2485" s="1"/>
      <c r="AH2485" s="1"/>
      <c r="AI2485" s="1"/>
      <c r="AJ2485" s="1"/>
      <c r="AK2485" s="1"/>
      <c r="AL2485" s="1"/>
      <c r="AM2485" s="1"/>
      <c r="AN2485" s="1"/>
      <c r="AO2485" s="1"/>
      <c r="AP2485" s="1"/>
      <c r="AQ2485" s="1"/>
      <c r="AR2485" s="1"/>
      <c r="AS2485" s="1"/>
      <c r="AT2485" s="1"/>
      <c r="AU2485" s="1"/>
      <c r="AV2485" s="1"/>
      <c r="AW2485" s="1"/>
      <c r="AX2485" s="1"/>
      <c r="AY2485" s="1"/>
      <c r="AZ2485" s="1"/>
      <c r="BA2485" s="1"/>
      <c r="BB2485" s="1"/>
      <c r="BC2485" s="1"/>
      <c r="BD2485" s="1"/>
      <c r="BE2485" s="1"/>
      <c r="BF2485" s="1"/>
      <c r="BG2485" s="1"/>
      <c r="BH2485" s="1"/>
      <c r="BI2485" s="1"/>
      <c r="BJ2485" s="1"/>
      <c r="BK2485" s="1"/>
      <c r="BL2485" s="1"/>
      <c r="BM2485" s="1"/>
      <c r="BN2485" s="1"/>
      <c r="BO2485" s="1"/>
      <c r="BP2485" s="1"/>
      <c r="BQ2485" s="1"/>
      <c r="BR2485" s="1"/>
      <c r="BS2485" s="1"/>
      <c r="BT2485" s="1"/>
      <c r="BU2485" s="1" t="s">
        <v>9653</v>
      </c>
      <c r="BV2485" s="3"/>
      <c r="BW2485" s="3"/>
    </row>
    <row r="2486" spans="1:75">
      <c r="A2486" s="1" t="s">
        <v>26662</v>
      </c>
      <c r="B2486" s="1" t="s">
        <v>13976</v>
      </c>
      <c r="C2486" s="1" t="s">
        <v>40641</v>
      </c>
      <c r="D2486" s="1"/>
      <c r="E2486" s="1"/>
      <c r="F2486" s="1"/>
      <c r="G2486" s="1"/>
      <c r="H2486" s="1" t="s">
        <v>40642</v>
      </c>
      <c r="I2486" s="1" t="s">
        <v>40642</v>
      </c>
      <c r="J2486" s="1"/>
      <c r="K2486" s="1"/>
      <c r="L2486" s="1"/>
      <c r="M2486" s="1"/>
      <c r="N2486" s="1"/>
      <c r="O2486" s="1"/>
      <c r="P2486" s="1"/>
      <c r="Q2486" s="1"/>
      <c r="R2486" s="1"/>
      <c r="S2486" s="1"/>
      <c r="T2486" s="1"/>
      <c r="U2486" s="1"/>
      <c r="V2486" s="1"/>
      <c r="W2486" s="1"/>
      <c r="X2486" s="1"/>
      <c r="Y2486" s="1"/>
      <c r="Z2486" s="1"/>
      <c r="AA2486" s="1"/>
      <c r="AB2486" s="1"/>
      <c r="AC2486" s="1"/>
      <c r="AD2486" s="1" t="s">
        <v>98</v>
      </c>
      <c r="AE2486" s="1" t="s">
        <v>98</v>
      </c>
      <c r="AF2486" s="1"/>
      <c r="AG2486" s="1"/>
      <c r="AH2486" s="1"/>
      <c r="AI2486" s="1"/>
      <c r="AJ2486" s="1"/>
      <c r="AK2486" s="1"/>
      <c r="AL2486" s="1"/>
      <c r="AM2486" s="1"/>
      <c r="AN2486" s="1"/>
      <c r="AO2486" s="1"/>
      <c r="AP2486" s="1"/>
      <c r="AQ2486" s="1"/>
      <c r="AR2486" s="1"/>
      <c r="AS2486" s="1"/>
      <c r="AT2486" s="1"/>
      <c r="AU2486" s="1"/>
      <c r="AV2486" s="1"/>
      <c r="AW2486" s="1"/>
      <c r="AX2486" s="1"/>
      <c r="AY2486" s="1"/>
      <c r="AZ2486" s="1"/>
      <c r="BA2486" s="1"/>
      <c r="BB2486" s="1"/>
      <c r="BC2486" s="1"/>
      <c r="BD2486" s="1"/>
      <c r="BE2486" s="1"/>
      <c r="BF2486" s="1"/>
      <c r="BG2486" s="1"/>
      <c r="BH2486" s="1"/>
      <c r="BI2486" s="1"/>
      <c r="BJ2486" s="1"/>
      <c r="BK2486" s="1"/>
      <c r="BL2486" s="1"/>
      <c r="BM2486" s="1"/>
      <c r="BN2486" s="1"/>
      <c r="BO2486" s="1"/>
      <c r="BP2486" s="1"/>
      <c r="BQ2486" s="1"/>
      <c r="BR2486" s="1"/>
      <c r="BS2486" s="1"/>
      <c r="BT2486" s="1"/>
      <c r="BU2486" s="1" t="s">
        <v>9653</v>
      </c>
      <c r="BV2486" s="3"/>
      <c r="BW2486" s="3"/>
    </row>
    <row r="2487" spans="1:75">
      <c r="A2487" s="1" t="s">
        <v>26662</v>
      </c>
      <c r="B2487" s="1" t="s">
        <v>13976</v>
      </c>
      <c r="C2487" s="1" t="s">
        <v>40643</v>
      </c>
      <c r="D2487" s="1"/>
      <c r="E2487" s="1"/>
      <c r="F2487" s="1"/>
      <c r="G2487" s="1"/>
      <c r="H2487" s="1" t="s">
        <v>40644</v>
      </c>
      <c r="I2487" s="1" t="s">
        <v>40644</v>
      </c>
      <c r="J2487" s="1"/>
      <c r="K2487" s="1"/>
      <c r="L2487" s="1"/>
      <c r="M2487" s="1"/>
      <c r="N2487" s="1"/>
      <c r="O2487" s="1"/>
      <c r="P2487" s="1"/>
      <c r="Q2487" s="1"/>
      <c r="R2487" s="1"/>
      <c r="S2487" s="1"/>
      <c r="T2487" s="1"/>
      <c r="U2487" s="1"/>
      <c r="V2487" s="1"/>
      <c r="W2487" s="1"/>
      <c r="X2487" s="1"/>
      <c r="Y2487" s="1"/>
      <c r="Z2487" s="1"/>
      <c r="AA2487" s="1"/>
      <c r="AB2487" s="1"/>
      <c r="AC2487" s="1"/>
      <c r="AD2487" s="1" t="s">
        <v>98</v>
      </c>
      <c r="AE2487" s="1" t="s">
        <v>98</v>
      </c>
      <c r="AF2487" s="1"/>
      <c r="AG2487" s="1"/>
      <c r="AH2487" s="1"/>
      <c r="AI2487" s="1"/>
      <c r="AJ2487" s="1"/>
      <c r="AK2487" s="1"/>
      <c r="AL2487" s="1"/>
      <c r="AM2487" s="1"/>
      <c r="AN2487" s="1"/>
      <c r="AO2487" s="1"/>
      <c r="AP2487" s="1"/>
      <c r="AQ2487" s="1"/>
      <c r="AR2487" s="1"/>
      <c r="AS2487" s="1"/>
      <c r="AT2487" s="1"/>
      <c r="AU2487" s="1"/>
      <c r="AV2487" s="1"/>
      <c r="AW2487" s="1"/>
      <c r="AX2487" s="1"/>
      <c r="AY2487" s="1"/>
      <c r="AZ2487" s="1"/>
      <c r="BA2487" s="1"/>
      <c r="BB2487" s="1"/>
      <c r="BC2487" s="1"/>
      <c r="BD2487" s="1"/>
      <c r="BE2487" s="1"/>
      <c r="BF2487" s="1"/>
      <c r="BG2487" s="1"/>
      <c r="BH2487" s="1"/>
      <c r="BI2487" s="1"/>
      <c r="BJ2487" s="1"/>
      <c r="BK2487" s="1"/>
      <c r="BL2487" s="1"/>
      <c r="BM2487" s="1"/>
      <c r="BN2487" s="1"/>
      <c r="BO2487" s="1"/>
      <c r="BP2487" s="1"/>
      <c r="BQ2487" s="1"/>
      <c r="BR2487" s="1"/>
      <c r="BS2487" s="1"/>
      <c r="BT2487" s="1"/>
      <c r="BU2487" s="1" t="s">
        <v>9653</v>
      </c>
      <c r="BV2487" s="3"/>
      <c r="BW2487" s="3"/>
    </row>
    <row r="2488" spans="1:75">
      <c r="A2488" s="1" t="s">
        <v>26662</v>
      </c>
      <c r="B2488" s="1" t="s">
        <v>13976</v>
      </c>
      <c r="C2488" s="1" t="s">
        <v>40645</v>
      </c>
      <c r="D2488" s="1"/>
      <c r="E2488" s="1"/>
      <c r="F2488" s="1"/>
      <c r="G2488" s="1"/>
      <c r="H2488" s="1" t="s">
        <v>40646</v>
      </c>
      <c r="I2488" s="1" t="s">
        <v>40646</v>
      </c>
      <c r="J2488" s="1"/>
      <c r="K2488" s="1"/>
      <c r="L2488" s="1"/>
      <c r="M2488" s="1"/>
      <c r="N2488" s="1"/>
      <c r="O2488" s="1"/>
      <c r="P2488" s="1"/>
      <c r="Q2488" s="1"/>
      <c r="R2488" s="1"/>
      <c r="S2488" s="1"/>
      <c r="T2488" s="1"/>
      <c r="U2488" s="1"/>
      <c r="V2488" s="1"/>
      <c r="W2488" s="1"/>
      <c r="X2488" s="1"/>
      <c r="Y2488" s="1"/>
      <c r="Z2488" s="1"/>
      <c r="AA2488" s="1"/>
      <c r="AB2488" s="1"/>
      <c r="AC2488" s="1"/>
      <c r="AD2488" s="1" t="s">
        <v>98</v>
      </c>
      <c r="AE2488" s="1" t="s">
        <v>98</v>
      </c>
      <c r="AF2488" s="1"/>
      <c r="AG2488" s="1"/>
      <c r="AH2488" s="1"/>
      <c r="AI2488" s="1"/>
      <c r="AJ2488" s="1"/>
      <c r="AK2488" s="1"/>
      <c r="AL2488" s="1"/>
      <c r="AM2488" s="1"/>
      <c r="AN2488" s="1"/>
      <c r="AO2488" s="1"/>
      <c r="AP2488" s="1"/>
      <c r="AQ2488" s="1"/>
      <c r="AR2488" s="1"/>
      <c r="AS2488" s="1"/>
      <c r="AT2488" s="1"/>
      <c r="AU2488" s="1"/>
      <c r="AV2488" s="1"/>
      <c r="AW2488" s="1"/>
      <c r="AX2488" s="1"/>
      <c r="AY2488" s="1"/>
      <c r="AZ2488" s="1"/>
      <c r="BA2488" s="1"/>
      <c r="BB2488" s="1"/>
      <c r="BC2488" s="1"/>
      <c r="BD2488" s="1"/>
      <c r="BE2488" s="1"/>
      <c r="BF2488" s="1"/>
      <c r="BG2488" s="1"/>
      <c r="BH2488" s="1"/>
      <c r="BI2488" s="1"/>
      <c r="BJ2488" s="1"/>
      <c r="BK2488" s="1"/>
      <c r="BL2488" s="1"/>
      <c r="BM2488" s="1"/>
      <c r="BN2488" s="1"/>
      <c r="BO2488" s="1"/>
      <c r="BP2488" s="1"/>
      <c r="BQ2488" s="1"/>
      <c r="BR2488" s="1"/>
      <c r="BS2488" s="1"/>
      <c r="BT2488" s="1"/>
      <c r="BU2488" s="1" t="s">
        <v>9653</v>
      </c>
      <c r="BV2488" s="3"/>
      <c r="BW2488" s="3"/>
    </row>
    <row r="2489" spans="1:75">
      <c r="A2489" s="1" t="s">
        <v>26662</v>
      </c>
      <c r="B2489" s="1" t="s">
        <v>13976</v>
      </c>
      <c r="C2489" s="1" t="s">
        <v>40647</v>
      </c>
      <c r="D2489" s="1"/>
      <c r="E2489" s="1"/>
      <c r="F2489" s="1"/>
      <c r="G2489" s="1"/>
      <c r="H2489" s="1" t="s">
        <v>40648</v>
      </c>
      <c r="I2489" s="1" t="s">
        <v>40648</v>
      </c>
      <c r="J2489" s="1"/>
      <c r="K2489" s="1"/>
      <c r="L2489" s="1"/>
      <c r="M2489" s="1"/>
      <c r="N2489" s="1"/>
      <c r="O2489" s="1"/>
      <c r="P2489" s="1"/>
      <c r="Q2489" s="1"/>
      <c r="R2489" s="1"/>
      <c r="S2489" s="1"/>
      <c r="T2489" s="1"/>
      <c r="U2489" s="1"/>
      <c r="V2489" s="1"/>
      <c r="W2489" s="1"/>
      <c r="X2489" s="1"/>
      <c r="Y2489" s="1"/>
      <c r="Z2489" s="1"/>
      <c r="AA2489" s="1"/>
      <c r="AB2489" s="1"/>
      <c r="AC2489" s="1"/>
      <c r="AD2489" s="1" t="s">
        <v>98</v>
      </c>
      <c r="AE2489" s="1" t="s">
        <v>98</v>
      </c>
      <c r="AF2489" s="1"/>
      <c r="AG2489" s="1"/>
      <c r="AH2489" s="1"/>
      <c r="AI2489" s="1"/>
      <c r="AJ2489" s="1"/>
      <c r="AK2489" s="1"/>
      <c r="AL2489" s="1"/>
      <c r="AM2489" s="1"/>
      <c r="AN2489" s="1"/>
      <c r="AO2489" s="1"/>
      <c r="AP2489" s="1"/>
      <c r="AQ2489" s="1"/>
      <c r="AR2489" s="1"/>
      <c r="AS2489" s="1"/>
      <c r="AT2489" s="1"/>
      <c r="AU2489" s="1"/>
      <c r="AV2489" s="1"/>
      <c r="AW2489" s="1"/>
      <c r="AX2489" s="1"/>
      <c r="AY2489" s="1"/>
      <c r="AZ2489" s="1"/>
      <c r="BA2489" s="1"/>
      <c r="BB2489" s="1"/>
      <c r="BC2489" s="1"/>
      <c r="BD2489" s="1"/>
      <c r="BE2489" s="1"/>
      <c r="BF2489" s="1"/>
      <c r="BG2489" s="1"/>
      <c r="BH2489" s="1"/>
      <c r="BI2489" s="1"/>
      <c r="BJ2489" s="1"/>
      <c r="BK2489" s="1"/>
      <c r="BL2489" s="1"/>
      <c r="BM2489" s="1"/>
      <c r="BN2489" s="1"/>
      <c r="BO2489" s="1"/>
      <c r="BP2489" s="1"/>
      <c r="BQ2489" s="1"/>
      <c r="BR2489" s="1"/>
      <c r="BS2489" s="1"/>
      <c r="BT2489" s="1"/>
      <c r="BU2489" s="1" t="s">
        <v>9653</v>
      </c>
      <c r="BV2489" s="3"/>
      <c r="BW2489" s="3"/>
    </row>
    <row r="2490" spans="1:75">
      <c r="A2490" s="1" t="s">
        <v>26662</v>
      </c>
      <c r="B2490" s="1" t="s">
        <v>13976</v>
      </c>
      <c r="C2490" s="1" t="s">
        <v>40649</v>
      </c>
      <c r="D2490" s="1"/>
      <c r="E2490" s="1"/>
      <c r="F2490" s="1"/>
      <c r="G2490" s="1"/>
      <c r="H2490" s="1" t="s">
        <v>40650</v>
      </c>
      <c r="I2490" s="1" t="s">
        <v>40650</v>
      </c>
      <c r="J2490" s="1"/>
      <c r="K2490" s="1"/>
      <c r="L2490" s="1"/>
      <c r="M2490" s="1"/>
      <c r="N2490" s="1"/>
      <c r="O2490" s="1"/>
      <c r="P2490" s="1"/>
      <c r="Q2490" s="1"/>
      <c r="R2490" s="1"/>
      <c r="S2490" s="1"/>
      <c r="T2490" s="1"/>
      <c r="U2490" s="1"/>
      <c r="V2490" s="1"/>
      <c r="W2490" s="1"/>
      <c r="X2490" s="1"/>
      <c r="Y2490" s="1"/>
      <c r="Z2490" s="1"/>
      <c r="AA2490" s="1"/>
      <c r="AB2490" s="1"/>
      <c r="AC2490" s="1"/>
      <c r="AD2490" s="1" t="s">
        <v>98</v>
      </c>
      <c r="AE2490" s="1" t="s">
        <v>98</v>
      </c>
      <c r="AF2490" s="1"/>
      <c r="AG2490" s="1"/>
      <c r="AH2490" s="1"/>
      <c r="AI2490" s="1"/>
      <c r="AJ2490" s="1"/>
      <c r="AK2490" s="1"/>
      <c r="AL2490" s="1"/>
      <c r="AM2490" s="1"/>
      <c r="AN2490" s="1"/>
      <c r="AO2490" s="1"/>
      <c r="AP2490" s="1"/>
      <c r="AQ2490" s="1"/>
      <c r="AR2490" s="1"/>
      <c r="AS2490" s="1"/>
      <c r="AT2490" s="1"/>
      <c r="AU2490" s="1"/>
      <c r="AV2490" s="1"/>
      <c r="AW2490" s="1"/>
      <c r="AX2490" s="1"/>
      <c r="AY2490" s="1"/>
      <c r="AZ2490" s="1"/>
      <c r="BA2490" s="1"/>
      <c r="BB2490" s="1"/>
      <c r="BC2490" s="1"/>
      <c r="BD2490" s="1"/>
      <c r="BE2490" s="1"/>
      <c r="BF2490" s="1"/>
      <c r="BG2490" s="1"/>
      <c r="BH2490" s="1"/>
      <c r="BI2490" s="1"/>
      <c r="BJ2490" s="1"/>
      <c r="BK2490" s="1"/>
      <c r="BL2490" s="1"/>
      <c r="BM2490" s="1"/>
      <c r="BN2490" s="1"/>
      <c r="BO2490" s="1"/>
      <c r="BP2490" s="1"/>
      <c r="BQ2490" s="1"/>
      <c r="BR2490" s="1"/>
      <c r="BS2490" s="1"/>
      <c r="BT2490" s="1"/>
      <c r="BU2490" s="1" t="s">
        <v>9653</v>
      </c>
      <c r="BV2490" s="3"/>
      <c r="BW2490" s="3"/>
    </row>
    <row r="2491" spans="1:75">
      <c r="A2491" s="1" t="s">
        <v>26662</v>
      </c>
      <c r="B2491" s="1" t="s">
        <v>13976</v>
      </c>
      <c r="C2491" s="1" t="s">
        <v>40651</v>
      </c>
      <c r="D2491" s="1"/>
      <c r="E2491" s="1"/>
      <c r="F2491" s="1"/>
      <c r="G2491" s="1"/>
      <c r="H2491" s="1" t="s">
        <v>40652</v>
      </c>
      <c r="I2491" s="1" t="s">
        <v>40652</v>
      </c>
      <c r="J2491" s="1"/>
      <c r="K2491" s="1"/>
      <c r="L2491" s="1"/>
      <c r="M2491" s="1"/>
      <c r="N2491" s="1"/>
      <c r="O2491" s="1"/>
      <c r="P2491" s="1"/>
      <c r="Q2491" s="1"/>
      <c r="R2491" s="1"/>
      <c r="S2491" s="1"/>
      <c r="T2491" s="1"/>
      <c r="U2491" s="1"/>
      <c r="V2491" s="1"/>
      <c r="W2491" s="1"/>
      <c r="X2491" s="1"/>
      <c r="Y2491" s="1"/>
      <c r="Z2491" s="1"/>
      <c r="AA2491" s="1"/>
      <c r="AB2491" s="1"/>
      <c r="AC2491" s="1"/>
      <c r="AD2491" s="1" t="s">
        <v>98</v>
      </c>
      <c r="AE2491" s="1" t="s">
        <v>98</v>
      </c>
      <c r="AF2491" s="1"/>
      <c r="AG2491" s="1"/>
      <c r="AH2491" s="1"/>
      <c r="AI2491" s="1"/>
      <c r="AJ2491" s="1"/>
      <c r="AK2491" s="1"/>
      <c r="AL2491" s="1"/>
      <c r="AM2491" s="1"/>
      <c r="AN2491" s="1"/>
      <c r="AO2491" s="1"/>
      <c r="AP2491" s="1"/>
      <c r="AQ2491" s="1"/>
      <c r="AR2491" s="1"/>
      <c r="AS2491" s="1"/>
      <c r="AT2491" s="1"/>
      <c r="AU2491" s="1"/>
      <c r="AV2491" s="1"/>
      <c r="AW2491" s="1"/>
      <c r="AX2491" s="1"/>
      <c r="AY2491" s="1"/>
      <c r="AZ2491" s="1"/>
      <c r="BA2491" s="1"/>
      <c r="BB2491" s="1"/>
      <c r="BC2491" s="1"/>
      <c r="BD2491" s="1"/>
      <c r="BE2491" s="1"/>
      <c r="BF2491" s="1"/>
      <c r="BG2491" s="1"/>
      <c r="BH2491" s="1"/>
      <c r="BI2491" s="1"/>
      <c r="BJ2491" s="1"/>
      <c r="BK2491" s="1"/>
      <c r="BL2491" s="1"/>
      <c r="BM2491" s="1"/>
      <c r="BN2491" s="1"/>
      <c r="BO2491" s="1"/>
      <c r="BP2491" s="1"/>
      <c r="BQ2491" s="1"/>
      <c r="BR2491" s="1"/>
      <c r="BS2491" s="1"/>
      <c r="BT2491" s="1"/>
      <c r="BU2491" s="1" t="s">
        <v>9653</v>
      </c>
      <c r="BV2491" s="3"/>
      <c r="BW2491" s="3"/>
    </row>
    <row r="2492" spans="1:75">
      <c r="A2492" s="1" t="s">
        <v>26662</v>
      </c>
      <c r="B2492" s="1" t="s">
        <v>13976</v>
      </c>
      <c r="C2492" s="1" t="s">
        <v>40653</v>
      </c>
      <c r="D2492" s="1"/>
      <c r="E2492" s="1"/>
      <c r="F2492" s="1"/>
      <c r="G2492" s="1"/>
      <c r="H2492" s="1" t="s">
        <v>40654</v>
      </c>
      <c r="I2492" s="1" t="s">
        <v>40654</v>
      </c>
      <c r="J2492" s="1"/>
      <c r="K2492" s="1"/>
      <c r="L2492" s="1"/>
      <c r="M2492" s="1"/>
      <c r="N2492" s="1"/>
      <c r="O2492" s="1"/>
      <c r="P2492" s="1"/>
      <c r="Q2492" s="1"/>
      <c r="R2492" s="1"/>
      <c r="S2492" s="1"/>
      <c r="T2492" s="1"/>
      <c r="U2492" s="1"/>
      <c r="V2492" s="1"/>
      <c r="W2492" s="1"/>
      <c r="X2492" s="1"/>
      <c r="Y2492" s="1"/>
      <c r="Z2492" s="1"/>
      <c r="AA2492" s="1"/>
      <c r="AB2492" s="1"/>
      <c r="AC2492" s="1"/>
      <c r="AD2492" s="1" t="s">
        <v>98</v>
      </c>
      <c r="AE2492" s="1" t="s">
        <v>98</v>
      </c>
      <c r="AF2492" s="1"/>
      <c r="AG2492" s="1"/>
      <c r="AH2492" s="1"/>
      <c r="AI2492" s="1"/>
      <c r="AJ2492" s="1"/>
      <c r="AK2492" s="1"/>
      <c r="AL2492" s="1"/>
      <c r="AM2492" s="1"/>
      <c r="AN2492" s="1"/>
      <c r="AO2492" s="1"/>
      <c r="AP2492" s="1"/>
      <c r="AQ2492" s="1"/>
      <c r="AR2492" s="1"/>
      <c r="AS2492" s="1"/>
      <c r="AT2492" s="1"/>
      <c r="AU2492" s="1"/>
      <c r="AV2492" s="1"/>
      <c r="AW2492" s="1"/>
      <c r="AX2492" s="1"/>
      <c r="AY2492" s="1"/>
      <c r="AZ2492" s="1"/>
      <c r="BA2492" s="1"/>
      <c r="BB2492" s="1"/>
      <c r="BC2492" s="1"/>
      <c r="BD2492" s="1"/>
      <c r="BE2492" s="1"/>
      <c r="BF2492" s="1"/>
      <c r="BG2492" s="1"/>
      <c r="BH2492" s="1"/>
      <c r="BI2492" s="1"/>
      <c r="BJ2492" s="1"/>
      <c r="BK2492" s="1"/>
      <c r="BL2492" s="1"/>
      <c r="BM2492" s="1"/>
      <c r="BN2492" s="1"/>
      <c r="BO2492" s="1"/>
      <c r="BP2492" s="1"/>
      <c r="BQ2492" s="1"/>
      <c r="BR2492" s="1"/>
      <c r="BS2492" s="1"/>
      <c r="BT2492" s="1"/>
      <c r="BU2492" s="1" t="s">
        <v>9653</v>
      </c>
      <c r="BV2492" s="3"/>
      <c r="BW2492" s="3"/>
    </row>
    <row r="2493" spans="1:75">
      <c r="A2493" s="1" t="s">
        <v>26662</v>
      </c>
      <c r="B2493" s="1" t="s">
        <v>13976</v>
      </c>
      <c r="C2493" s="1" t="s">
        <v>40655</v>
      </c>
      <c r="D2493" s="1"/>
      <c r="E2493" s="1"/>
      <c r="F2493" s="1"/>
      <c r="G2493" s="1"/>
      <c r="H2493" s="1" t="s">
        <v>40656</v>
      </c>
      <c r="I2493" s="1" t="s">
        <v>40656</v>
      </c>
      <c r="J2493" s="1"/>
      <c r="K2493" s="1"/>
      <c r="L2493" s="1"/>
      <c r="M2493" s="1"/>
      <c r="N2493" s="1"/>
      <c r="O2493" s="1"/>
      <c r="P2493" s="1"/>
      <c r="Q2493" s="1"/>
      <c r="R2493" s="1"/>
      <c r="S2493" s="1"/>
      <c r="T2493" s="1"/>
      <c r="U2493" s="1"/>
      <c r="V2493" s="1"/>
      <c r="W2493" s="1"/>
      <c r="X2493" s="1"/>
      <c r="Y2493" s="1"/>
      <c r="Z2493" s="1"/>
      <c r="AA2493" s="1"/>
      <c r="AB2493" s="1"/>
      <c r="AC2493" s="1"/>
      <c r="AD2493" s="1" t="s">
        <v>98</v>
      </c>
      <c r="AE2493" s="1" t="s">
        <v>98</v>
      </c>
      <c r="AF2493" s="1"/>
      <c r="AG2493" s="1"/>
      <c r="AH2493" s="1"/>
      <c r="AI2493" s="1"/>
      <c r="AJ2493" s="1"/>
      <c r="AK2493" s="1"/>
      <c r="AL2493" s="1"/>
      <c r="AM2493" s="1"/>
      <c r="AN2493" s="1"/>
      <c r="AO2493" s="1"/>
      <c r="AP2493" s="1"/>
      <c r="AQ2493" s="1"/>
      <c r="AR2493" s="1"/>
      <c r="AS2493" s="1"/>
      <c r="AT2493" s="1"/>
      <c r="AU2493" s="1"/>
      <c r="AV2493" s="1"/>
      <c r="AW2493" s="1"/>
      <c r="AX2493" s="1"/>
      <c r="AY2493" s="1"/>
      <c r="AZ2493" s="1"/>
      <c r="BA2493" s="1"/>
      <c r="BB2493" s="1"/>
      <c r="BC2493" s="1"/>
      <c r="BD2493" s="1"/>
      <c r="BE2493" s="1"/>
      <c r="BF2493" s="1"/>
      <c r="BG2493" s="1"/>
      <c r="BH2493" s="1"/>
      <c r="BI2493" s="1"/>
      <c r="BJ2493" s="1"/>
      <c r="BK2493" s="1"/>
      <c r="BL2493" s="1"/>
      <c r="BM2493" s="1"/>
      <c r="BN2493" s="1"/>
      <c r="BO2493" s="1"/>
      <c r="BP2493" s="1"/>
      <c r="BQ2493" s="1"/>
      <c r="BR2493" s="1"/>
      <c r="BS2493" s="1"/>
      <c r="BT2493" s="1"/>
      <c r="BU2493" s="1" t="s">
        <v>9653</v>
      </c>
      <c r="BV2493" s="3"/>
      <c r="BW2493" s="3"/>
    </row>
    <row r="2494" spans="1:75">
      <c r="A2494" s="1" t="s">
        <v>26662</v>
      </c>
      <c r="B2494" s="1" t="s">
        <v>13976</v>
      </c>
      <c r="C2494" s="1" t="s">
        <v>40657</v>
      </c>
      <c r="D2494" s="1"/>
      <c r="E2494" s="1"/>
      <c r="F2494" s="1"/>
      <c r="G2494" s="1"/>
      <c r="H2494" s="1" t="s">
        <v>40658</v>
      </c>
      <c r="I2494" s="1" t="s">
        <v>40658</v>
      </c>
      <c r="J2494" s="1"/>
      <c r="K2494" s="1"/>
      <c r="L2494" s="1"/>
      <c r="M2494" s="1"/>
      <c r="N2494" s="1"/>
      <c r="O2494" s="1"/>
      <c r="P2494" s="1"/>
      <c r="Q2494" s="1"/>
      <c r="R2494" s="1"/>
      <c r="S2494" s="1"/>
      <c r="T2494" s="1"/>
      <c r="U2494" s="1"/>
      <c r="V2494" s="1"/>
      <c r="W2494" s="1"/>
      <c r="X2494" s="1"/>
      <c r="Y2494" s="1"/>
      <c r="Z2494" s="1"/>
      <c r="AA2494" s="1"/>
      <c r="AB2494" s="1"/>
      <c r="AC2494" s="1"/>
      <c r="AD2494" s="1" t="s">
        <v>98</v>
      </c>
      <c r="AE2494" s="1" t="s">
        <v>98</v>
      </c>
      <c r="AF2494" s="1"/>
      <c r="AG2494" s="1"/>
      <c r="AH2494" s="1"/>
      <c r="AI2494" s="1"/>
      <c r="AJ2494" s="1"/>
      <c r="AK2494" s="1"/>
      <c r="AL2494" s="1"/>
      <c r="AM2494" s="1"/>
      <c r="AN2494" s="1"/>
      <c r="AO2494" s="1"/>
      <c r="AP2494" s="1"/>
      <c r="AQ2494" s="1"/>
      <c r="AR2494" s="1"/>
      <c r="AS2494" s="1"/>
      <c r="AT2494" s="1"/>
      <c r="AU2494" s="1"/>
      <c r="AV2494" s="1"/>
      <c r="AW2494" s="1"/>
      <c r="AX2494" s="1"/>
      <c r="AY2494" s="1"/>
      <c r="AZ2494" s="1"/>
      <c r="BA2494" s="1"/>
      <c r="BB2494" s="1"/>
      <c r="BC2494" s="1"/>
      <c r="BD2494" s="1"/>
      <c r="BE2494" s="1"/>
      <c r="BF2494" s="1"/>
      <c r="BG2494" s="1"/>
      <c r="BH2494" s="1"/>
      <c r="BI2494" s="1"/>
      <c r="BJ2494" s="1"/>
      <c r="BK2494" s="1"/>
      <c r="BL2494" s="1"/>
      <c r="BM2494" s="1"/>
      <c r="BN2494" s="1"/>
      <c r="BO2494" s="1"/>
      <c r="BP2494" s="1"/>
      <c r="BQ2494" s="1"/>
      <c r="BR2494" s="1"/>
      <c r="BS2494" s="1"/>
      <c r="BT2494" s="1"/>
      <c r="BU2494" s="1" t="s">
        <v>9653</v>
      </c>
      <c r="BV2494" s="3"/>
      <c r="BW2494" s="3"/>
    </row>
    <row r="2495" spans="1:75">
      <c r="A2495" s="1" t="s">
        <v>26662</v>
      </c>
      <c r="B2495" s="1" t="s">
        <v>13976</v>
      </c>
      <c r="C2495" s="1" t="s">
        <v>40659</v>
      </c>
      <c r="D2495" s="1"/>
      <c r="E2495" s="1"/>
      <c r="F2495" s="1"/>
      <c r="G2495" s="1"/>
      <c r="H2495" s="1" t="s">
        <v>40660</v>
      </c>
      <c r="I2495" s="1" t="s">
        <v>40660</v>
      </c>
      <c r="J2495" s="1"/>
      <c r="K2495" s="1"/>
      <c r="L2495" s="1"/>
      <c r="M2495" s="1"/>
      <c r="N2495" s="1"/>
      <c r="O2495" s="1"/>
      <c r="P2495" s="1"/>
      <c r="Q2495" s="1"/>
      <c r="R2495" s="1"/>
      <c r="S2495" s="1"/>
      <c r="T2495" s="1"/>
      <c r="U2495" s="1"/>
      <c r="V2495" s="1"/>
      <c r="W2495" s="1"/>
      <c r="X2495" s="1"/>
      <c r="Y2495" s="1"/>
      <c r="Z2495" s="1"/>
      <c r="AA2495" s="1"/>
      <c r="AB2495" s="1"/>
      <c r="AC2495" s="1"/>
      <c r="AD2495" s="1" t="s">
        <v>98</v>
      </c>
      <c r="AE2495" s="1" t="s">
        <v>98</v>
      </c>
      <c r="AF2495" s="1"/>
      <c r="AG2495" s="1"/>
      <c r="AH2495" s="1"/>
      <c r="AI2495" s="1"/>
      <c r="AJ2495" s="1"/>
      <c r="AK2495" s="1"/>
      <c r="AL2495" s="1"/>
      <c r="AM2495" s="1"/>
      <c r="AN2495" s="1"/>
      <c r="AO2495" s="1"/>
      <c r="AP2495" s="1"/>
      <c r="AQ2495" s="1"/>
      <c r="AR2495" s="1"/>
      <c r="AS2495" s="1"/>
      <c r="AT2495" s="1"/>
      <c r="AU2495" s="1"/>
      <c r="AV2495" s="1"/>
      <c r="AW2495" s="1"/>
      <c r="AX2495" s="1"/>
      <c r="AY2495" s="1"/>
      <c r="AZ2495" s="1"/>
      <c r="BA2495" s="1"/>
      <c r="BB2495" s="1"/>
      <c r="BC2495" s="1"/>
      <c r="BD2495" s="1"/>
      <c r="BE2495" s="1"/>
      <c r="BF2495" s="1"/>
      <c r="BG2495" s="1"/>
      <c r="BH2495" s="1"/>
      <c r="BI2495" s="1"/>
      <c r="BJ2495" s="1"/>
      <c r="BK2495" s="1"/>
      <c r="BL2495" s="1"/>
      <c r="BM2495" s="1"/>
      <c r="BN2495" s="1"/>
      <c r="BO2495" s="1"/>
      <c r="BP2495" s="1"/>
      <c r="BQ2495" s="1"/>
      <c r="BR2495" s="1"/>
      <c r="BS2495" s="1"/>
      <c r="BT2495" s="1"/>
      <c r="BU2495" s="1" t="s">
        <v>9653</v>
      </c>
      <c r="BV2495" s="3"/>
      <c r="BW2495" s="3"/>
    </row>
    <row r="2496" spans="1:75">
      <c r="A2496" s="1" t="s">
        <v>26662</v>
      </c>
      <c r="B2496" s="1" t="s">
        <v>13976</v>
      </c>
      <c r="C2496" s="1" t="s">
        <v>40661</v>
      </c>
      <c r="D2496" s="1"/>
      <c r="E2496" s="1"/>
      <c r="F2496" s="1"/>
      <c r="G2496" s="1"/>
      <c r="H2496" s="1" t="s">
        <v>40662</v>
      </c>
      <c r="I2496" s="1" t="s">
        <v>40662</v>
      </c>
      <c r="J2496" s="1"/>
      <c r="K2496" s="1"/>
      <c r="L2496" s="1"/>
      <c r="M2496" s="1"/>
      <c r="N2496" s="1"/>
      <c r="O2496" s="1"/>
      <c r="P2496" s="1"/>
      <c r="Q2496" s="1"/>
      <c r="R2496" s="1"/>
      <c r="S2496" s="1"/>
      <c r="T2496" s="1"/>
      <c r="U2496" s="1"/>
      <c r="V2496" s="1"/>
      <c r="W2496" s="1"/>
      <c r="X2496" s="1"/>
      <c r="Y2496" s="1"/>
      <c r="Z2496" s="1"/>
      <c r="AA2496" s="1"/>
      <c r="AB2496" s="1"/>
      <c r="AC2496" s="1"/>
      <c r="AD2496" s="1" t="s">
        <v>98</v>
      </c>
      <c r="AE2496" s="1" t="s">
        <v>98</v>
      </c>
      <c r="AF2496" s="1"/>
      <c r="AG2496" s="1"/>
      <c r="AH2496" s="1"/>
      <c r="AI2496" s="1"/>
      <c r="AJ2496" s="1"/>
      <c r="AK2496" s="1"/>
      <c r="AL2496" s="1"/>
      <c r="AM2496" s="1"/>
      <c r="AN2496" s="1"/>
      <c r="AO2496" s="1"/>
      <c r="AP2496" s="1"/>
      <c r="AQ2496" s="1"/>
      <c r="AR2496" s="1"/>
      <c r="AS2496" s="1"/>
      <c r="AT2496" s="1"/>
      <c r="AU2496" s="1"/>
      <c r="AV2496" s="1"/>
      <c r="AW2496" s="1"/>
      <c r="AX2496" s="1"/>
      <c r="AY2496" s="1"/>
      <c r="AZ2496" s="1"/>
      <c r="BA2496" s="1"/>
      <c r="BB2496" s="1"/>
      <c r="BC2496" s="1"/>
      <c r="BD2496" s="1"/>
      <c r="BE2496" s="1"/>
      <c r="BF2496" s="1"/>
      <c r="BG2496" s="1"/>
      <c r="BH2496" s="1"/>
      <c r="BI2496" s="1"/>
      <c r="BJ2496" s="1"/>
      <c r="BK2496" s="1"/>
      <c r="BL2496" s="1"/>
      <c r="BM2496" s="1"/>
      <c r="BN2496" s="1"/>
      <c r="BO2496" s="1"/>
      <c r="BP2496" s="1"/>
      <c r="BQ2496" s="1"/>
      <c r="BR2496" s="1"/>
      <c r="BS2496" s="1"/>
      <c r="BT2496" s="1"/>
      <c r="BU2496" s="1" t="s">
        <v>9653</v>
      </c>
      <c r="BV2496" s="3"/>
      <c r="BW2496" s="3"/>
    </row>
    <row r="2497" spans="1:75">
      <c r="A2497" s="1" t="s">
        <v>26662</v>
      </c>
      <c r="B2497" s="1" t="s">
        <v>13976</v>
      </c>
      <c r="C2497" s="1" t="s">
        <v>40663</v>
      </c>
      <c r="D2497" s="1"/>
      <c r="E2497" s="1"/>
      <c r="F2497" s="1"/>
      <c r="G2497" s="1"/>
      <c r="H2497" s="1" t="s">
        <v>40664</v>
      </c>
      <c r="I2497" s="1" t="s">
        <v>40664</v>
      </c>
      <c r="J2497" s="1"/>
      <c r="K2497" s="1"/>
      <c r="L2497" s="1"/>
      <c r="M2497" s="1"/>
      <c r="N2497" s="1"/>
      <c r="O2497" s="1"/>
      <c r="P2497" s="1"/>
      <c r="Q2497" s="1"/>
      <c r="R2497" s="1"/>
      <c r="S2497" s="1"/>
      <c r="T2497" s="1"/>
      <c r="U2497" s="1"/>
      <c r="V2497" s="1"/>
      <c r="W2497" s="1"/>
      <c r="X2497" s="1"/>
      <c r="Y2497" s="1"/>
      <c r="Z2497" s="1"/>
      <c r="AA2497" s="1"/>
      <c r="AB2497" s="1"/>
      <c r="AC2497" s="1"/>
      <c r="AD2497" s="1" t="s">
        <v>98</v>
      </c>
      <c r="AE2497" s="1" t="s">
        <v>98</v>
      </c>
      <c r="AF2497" s="1"/>
      <c r="AG2497" s="1"/>
      <c r="AH2497" s="1"/>
      <c r="AI2497" s="1"/>
      <c r="AJ2497" s="1"/>
      <c r="AK2497" s="1"/>
      <c r="AL2497" s="1"/>
      <c r="AM2497" s="1"/>
      <c r="AN2497" s="1"/>
      <c r="AO2497" s="1"/>
      <c r="AP2497" s="1"/>
      <c r="AQ2497" s="1"/>
      <c r="AR2497" s="1"/>
      <c r="AS2497" s="1"/>
      <c r="AT2497" s="1"/>
      <c r="AU2497" s="1"/>
      <c r="AV2497" s="1"/>
      <c r="AW2497" s="1"/>
      <c r="AX2497" s="1"/>
      <c r="AY2497" s="1"/>
      <c r="AZ2497" s="1"/>
      <c r="BA2497" s="1"/>
      <c r="BB2497" s="1"/>
      <c r="BC2497" s="1"/>
      <c r="BD2497" s="1"/>
      <c r="BE2497" s="1"/>
      <c r="BF2497" s="1"/>
      <c r="BG2497" s="1"/>
      <c r="BH2497" s="1"/>
      <c r="BI2497" s="1"/>
      <c r="BJ2497" s="1"/>
      <c r="BK2497" s="1"/>
      <c r="BL2497" s="1"/>
      <c r="BM2497" s="1"/>
      <c r="BN2497" s="1"/>
      <c r="BO2497" s="1"/>
      <c r="BP2497" s="1"/>
      <c r="BQ2497" s="1"/>
      <c r="BR2497" s="1"/>
      <c r="BS2497" s="1"/>
      <c r="BT2497" s="1"/>
      <c r="BU2497" s="1" t="s">
        <v>9653</v>
      </c>
      <c r="BV2497" s="3"/>
      <c r="BW2497" s="3"/>
    </row>
    <row r="2498" spans="1:75">
      <c r="A2498" s="1" t="s">
        <v>26662</v>
      </c>
      <c r="B2498" s="1" t="s">
        <v>13976</v>
      </c>
      <c r="C2498" s="1" t="s">
        <v>40665</v>
      </c>
      <c r="D2498" s="1"/>
      <c r="E2498" s="1"/>
      <c r="F2498" s="1"/>
      <c r="G2498" s="1"/>
      <c r="H2498" s="1" t="s">
        <v>40666</v>
      </c>
      <c r="I2498" s="1" t="s">
        <v>40666</v>
      </c>
      <c r="J2498" s="1"/>
      <c r="K2498" s="1"/>
      <c r="L2498" s="1"/>
      <c r="M2498" s="1"/>
      <c r="N2498" s="1"/>
      <c r="O2498" s="1"/>
      <c r="P2498" s="1"/>
      <c r="Q2498" s="1"/>
      <c r="R2498" s="1"/>
      <c r="S2498" s="1"/>
      <c r="T2498" s="1"/>
      <c r="U2498" s="1"/>
      <c r="V2498" s="1"/>
      <c r="W2498" s="1"/>
      <c r="X2498" s="1"/>
      <c r="Y2498" s="1"/>
      <c r="Z2498" s="1"/>
      <c r="AA2498" s="1"/>
      <c r="AB2498" s="1"/>
      <c r="AC2498" s="1"/>
      <c r="AD2498" s="1" t="s">
        <v>98</v>
      </c>
      <c r="AE2498" s="1" t="s">
        <v>98</v>
      </c>
      <c r="AF2498" s="1"/>
      <c r="AG2498" s="1"/>
      <c r="AH2498" s="1"/>
      <c r="AI2498" s="1"/>
      <c r="AJ2498" s="1"/>
      <c r="AK2498" s="1"/>
      <c r="AL2498" s="1"/>
      <c r="AM2498" s="1"/>
      <c r="AN2498" s="1"/>
      <c r="AO2498" s="1"/>
      <c r="AP2498" s="1"/>
      <c r="AQ2498" s="1"/>
      <c r="AR2498" s="1"/>
      <c r="AS2498" s="1"/>
      <c r="AT2498" s="1"/>
      <c r="AU2498" s="1"/>
      <c r="AV2498" s="1"/>
      <c r="AW2498" s="1"/>
      <c r="AX2498" s="1"/>
      <c r="AY2498" s="1"/>
      <c r="AZ2498" s="1"/>
      <c r="BA2498" s="1"/>
      <c r="BB2498" s="1"/>
      <c r="BC2498" s="1"/>
      <c r="BD2498" s="1"/>
      <c r="BE2498" s="1"/>
      <c r="BF2498" s="1"/>
      <c r="BG2498" s="1"/>
      <c r="BH2498" s="1"/>
      <c r="BI2498" s="1"/>
      <c r="BJ2498" s="1"/>
      <c r="BK2498" s="1"/>
      <c r="BL2498" s="1"/>
      <c r="BM2498" s="1"/>
      <c r="BN2498" s="1"/>
      <c r="BO2498" s="1"/>
      <c r="BP2498" s="1"/>
      <c r="BQ2498" s="1"/>
      <c r="BR2498" s="1"/>
      <c r="BS2498" s="1"/>
      <c r="BT2498" s="1"/>
      <c r="BU2498" s="1" t="s">
        <v>9653</v>
      </c>
      <c r="BV2498" s="3"/>
      <c r="BW2498" s="3"/>
    </row>
    <row r="2499" spans="1:75">
      <c r="A2499" s="1" t="s">
        <v>26662</v>
      </c>
      <c r="B2499" s="1" t="s">
        <v>13976</v>
      </c>
      <c r="C2499" s="1" t="s">
        <v>40667</v>
      </c>
      <c r="D2499" s="1"/>
      <c r="E2499" s="1"/>
      <c r="F2499" s="1"/>
      <c r="G2499" s="1"/>
      <c r="H2499" s="1" t="s">
        <v>40668</v>
      </c>
      <c r="I2499" s="1" t="s">
        <v>40668</v>
      </c>
      <c r="J2499" s="1"/>
      <c r="K2499" s="1"/>
      <c r="L2499" s="1"/>
      <c r="M2499" s="1"/>
      <c r="N2499" s="1"/>
      <c r="O2499" s="1"/>
      <c r="P2499" s="1"/>
      <c r="Q2499" s="1"/>
      <c r="R2499" s="1"/>
      <c r="S2499" s="1"/>
      <c r="T2499" s="1"/>
      <c r="U2499" s="1"/>
      <c r="V2499" s="1"/>
      <c r="W2499" s="1"/>
      <c r="X2499" s="1"/>
      <c r="Y2499" s="1"/>
      <c r="Z2499" s="1"/>
      <c r="AA2499" s="1"/>
      <c r="AB2499" s="1"/>
      <c r="AC2499" s="1"/>
      <c r="AD2499" s="1" t="s">
        <v>98</v>
      </c>
      <c r="AE2499" s="1" t="s">
        <v>98</v>
      </c>
      <c r="AF2499" s="1"/>
      <c r="AG2499" s="1"/>
      <c r="AH2499" s="1"/>
      <c r="AI2499" s="1"/>
      <c r="AJ2499" s="1"/>
      <c r="AK2499" s="1"/>
      <c r="AL2499" s="1"/>
      <c r="AM2499" s="1"/>
      <c r="AN2499" s="1"/>
      <c r="AO2499" s="1"/>
      <c r="AP2499" s="1"/>
      <c r="AQ2499" s="1"/>
      <c r="AR2499" s="1"/>
      <c r="AS2499" s="1"/>
      <c r="AT2499" s="1"/>
      <c r="AU2499" s="1"/>
      <c r="AV2499" s="1"/>
      <c r="AW2499" s="1"/>
      <c r="AX2499" s="1"/>
      <c r="AY2499" s="1"/>
      <c r="AZ2499" s="1"/>
      <c r="BA2499" s="1"/>
      <c r="BB2499" s="1"/>
      <c r="BC2499" s="1"/>
      <c r="BD2499" s="1"/>
      <c r="BE2499" s="1"/>
      <c r="BF2499" s="1"/>
      <c r="BG2499" s="1"/>
      <c r="BH2499" s="1"/>
      <c r="BI2499" s="1"/>
      <c r="BJ2499" s="1"/>
      <c r="BK2499" s="1"/>
      <c r="BL2499" s="1"/>
      <c r="BM2499" s="1"/>
      <c r="BN2499" s="1"/>
      <c r="BO2499" s="1"/>
      <c r="BP2499" s="1"/>
      <c r="BQ2499" s="1"/>
      <c r="BR2499" s="1"/>
      <c r="BS2499" s="1"/>
      <c r="BT2499" s="1"/>
      <c r="BU2499" s="1" t="s">
        <v>9653</v>
      </c>
      <c r="BV2499" s="3"/>
      <c r="BW2499" s="3"/>
    </row>
    <row r="2500" spans="1:75">
      <c r="A2500" s="1" t="s">
        <v>26662</v>
      </c>
      <c r="B2500" s="1" t="s">
        <v>13976</v>
      </c>
      <c r="C2500" s="1" t="s">
        <v>40669</v>
      </c>
      <c r="D2500" s="1"/>
      <c r="E2500" s="1"/>
      <c r="F2500" s="1"/>
      <c r="G2500" s="1"/>
      <c r="H2500" s="1" t="s">
        <v>40670</v>
      </c>
      <c r="I2500" s="1" t="s">
        <v>40670</v>
      </c>
      <c r="J2500" s="1"/>
      <c r="K2500" s="1"/>
      <c r="L2500" s="1"/>
      <c r="M2500" s="1"/>
      <c r="N2500" s="1"/>
      <c r="O2500" s="1"/>
      <c r="P2500" s="1"/>
      <c r="Q2500" s="1"/>
      <c r="R2500" s="1"/>
      <c r="S2500" s="1"/>
      <c r="T2500" s="1"/>
      <c r="U2500" s="1"/>
      <c r="V2500" s="1"/>
      <c r="W2500" s="1"/>
      <c r="X2500" s="1"/>
      <c r="Y2500" s="1"/>
      <c r="Z2500" s="1"/>
      <c r="AA2500" s="1"/>
      <c r="AB2500" s="1"/>
      <c r="AC2500" s="1"/>
      <c r="AD2500" s="1" t="s">
        <v>98</v>
      </c>
      <c r="AE2500" s="1" t="s">
        <v>98</v>
      </c>
      <c r="AF2500" s="1"/>
      <c r="AG2500" s="1"/>
      <c r="AH2500" s="1"/>
      <c r="AI2500" s="1"/>
      <c r="AJ2500" s="1"/>
      <c r="AK2500" s="1"/>
      <c r="AL2500" s="1"/>
      <c r="AM2500" s="1"/>
      <c r="AN2500" s="1"/>
      <c r="AO2500" s="1"/>
      <c r="AP2500" s="1"/>
      <c r="AQ2500" s="1"/>
      <c r="AR2500" s="1"/>
      <c r="AS2500" s="1"/>
      <c r="AT2500" s="1"/>
      <c r="AU2500" s="1"/>
      <c r="AV2500" s="1"/>
      <c r="AW2500" s="1"/>
      <c r="AX2500" s="1"/>
      <c r="AY2500" s="1"/>
      <c r="AZ2500" s="1"/>
      <c r="BA2500" s="1"/>
      <c r="BB2500" s="1"/>
      <c r="BC2500" s="1"/>
      <c r="BD2500" s="1"/>
      <c r="BE2500" s="1"/>
      <c r="BF2500" s="1"/>
      <c r="BG2500" s="1"/>
      <c r="BH2500" s="1"/>
      <c r="BI2500" s="1"/>
      <c r="BJ2500" s="1"/>
      <c r="BK2500" s="1"/>
      <c r="BL2500" s="1"/>
      <c r="BM2500" s="1"/>
      <c r="BN2500" s="1"/>
      <c r="BO2500" s="1"/>
      <c r="BP2500" s="1"/>
      <c r="BQ2500" s="1"/>
      <c r="BR2500" s="1"/>
      <c r="BS2500" s="1"/>
      <c r="BT2500" s="1"/>
      <c r="BU2500" s="1" t="s">
        <v>9653</v>
      </c>
      <c r="BV2500" s="3"/>
      <c r="BW2500" s="3"/>
    </row>
    <row r="2501" spans="1:75">
      <c r="A2501" s="1" t="s">
        <v>35074</v>
      </c>
      <c r="B2501" s="1" t="s">
        <v>446</v>
      </c>
      <c r="C2501" s="1" t="s">
        <v>40671</v>
      </c>
      <c r="D2501" s="1"/>
      <c r="E2501" s="1"/>
      <c r="F2501" s="1"/>
      <c r="G2501" s="1"/>
      <c r="H2501" s="1" t="s">
        <v>40672</v>
      </c>
      <c r="I2501" s="1" t="s">
        <v>40672</v>
      </c>
      <c r="J2501" s="1"/>
      <c r="K2501" s="1"/>
      <c r="L2501" s="1"/>
      <c r="M2501" s="1"/>
      <c r="N2501" s="1"/>
      <c r="O2501" s="1"/>
      <c r="P2501" s="1"/>
      <c r="Q2501" s="1"/>
      <c r="R2501" s="1"/>
      <c r="S2501" s="1"/>
      <c r="T2501" s="1"/>
      <c r="U2501" s="1"/>
      <c r="V2501" s="1"/>
      <c r="W2501" s="1"/>
      <c r="X2501" s="1"/>
      <c r="Y2501" s="1"/>
      <c r="Z2501" s="1"/>
      <c r="AA2501" s="1"/>
      <c r="AB2501" s="1"/>
      <c r="AC2501" s="1"/>
      <c r="AD2501" s="1" t="s">
        <v>98</v>
      </c>
      <c r="AE2501" s="1" t="s">
        <v>98</v>
      </c>
      <c r="AF2501" s="1"/>
      <c r="AG2501" s="1"/>
      <c r="AH2501" s="1"/>
      <c r="AI2501" s="1"/>
      <c r="AJ2501" s="1"/>
      <c r="AK2501" s="1"/>
      <c r="AL2501" s="1"/>
      <c r="AM2501" s="1"/>
      <c r="AN2501" s="1"/>
      <c r="AO2501" s="1"/>
      <c r="AP2501" s="1"/>
      <c r="AQ2501" s="1"/>
      <c r="AR2501" s="1"/>
      <c r="AS2501" s="1"/>
      <c r="AT2501" s="1"/>
      <c r="AU2501" s="1"/>
      <c r="AV2501" s="1"/>
      <c r="AW2501" s="1"/>
      <c r="AX2501" s="1"/>
      <c r="AY2501" s="1"/>
      <c r="AZ2501" s="1"/>
      <c r="BA2501" s="1"/>
      <c r="BB2501" s="1"/>
      <c r="BC2501" s="1"/>
      <c r="BD2501" s="1"/>
      <c r="BE2501" s="1"/>
      <c r="BF2501" s="1"/>
      <c r="BG2501" s="1"/>
      <c r="BH2501" s="1"/>
      <c r="BI2501" s="1"/>
      <c r="BJ2501" s="1"/>
      <c r="BK2501" s="1"/>
      <c r="BL2501" s="1"/>
      <c r="BM2501" s="1"/>
      <c r="BN2501" s="1"/>
      <c r="BO2501" s="1"/>
      <c r="BP2501" s="1"/>
      <c r="BQ2501" s="1"/>
      <c r="BR2501" s="1"/>
      <c r="BS2501" s="1"/>
      <c r="BT2501" s="1"/>
      <c r="BU2501" s="1" t="s">
        <v>9653</v>
      </c>
      <c r="BV2501" s="3"/>
      <c r="BW2501" s="3"/>
    </row>
    <row r="2502" spans="1:75">
      <c r="A2502" s="1" t="s">
        <v>40673</v>
      </c>
      <c r="B2502" s="1" t="s">
        <v>76</v>
      </c>
      <c r="C2502" s="1" t="s">
        <v>40674</v>
      </c>
      <c r="D2502" s="1" t="s">
        <v>25973</v>
      </c>
      <c r="E2502" s="1" t="s">
        <v>40675</v>
      </c>
      <c r="F2502" s="1" t="s">
        <v>7146</v>
      </c>
      <c r="G2502" s="1" t="s">
        <v>40676</v>
      </c>
      <c r="H2502" s="1" t="s">
        <v>40677</v>
      </c>
      <c r="I2502" s="1" t="s">
        <v>40677</v>
      </c>
      <c r="J2502" s="1">
        <v>7447495790</v>
      </c>
      <c r="K2502" s="1" t="s">
        <v>153</v>
      </c>
      <c r="L2502" s="1" t="s">
        <v>40678</v>
      </c>
      <c r="M2502" s="1" t="s">
        <v>86</v>
      </c>
      <c r="N2502" s="1" t="s">
        <v>4857</v>
      </c>
      <c r="O2502" s="1" t="s">
        <v>88</v>
      </c>
      <c r="P2502" s="1" t="s">
        <v>219</v>
      </c>
      <c r="Q2502" s="1" t="s">
        <v>40679</v>
      </c>
      <c r="R2502" s="1" t="s">
        <v>40680</v>
      </c>
      <c r="S2502" s="1">
        <v>9422690620</v>
      </c>
      <c r="T2502" s="1" t="s">
        <v>926</v>
      </c>
      <c r="U2502" s="1" t="s">
        <v>40681</v>
      </c>
      <c r="V2502" s="1">
        <v>9922601605</v>
      </c>
      <c r="W2502" s="1" t="s">
        <v>161</v>
      </c>
      <c r="X2502" s="1" t="s">
        <v>40682</v>
      </c>
      <c r="Y2502" s="1" t="s">
        <v>1189</v>
      </c>
      <c r="Z2502" s="1" t="s">
        <v>97</v>
      </c>
      <c r="AA2502" s="1" t="s">
        <v>40683</v>
      </c>
      <c r="AB2502" s="1" t="s">
        <v>196</v>
      </c>
      <c r="AC2502" s="1" t="s">
        <v>97</v>
      </c>
      <c r="AD2502" s="1" t="s">
        <v>98</v>
      </c>
      <c r="AE2502" s="1" t="s">
        <v>98</v>
      </c>
      <c r="AF2502" s="1" t="s">
        <v>40684</v>
      </c>
      <c r="AG2502" s="1" t="s">
        <v>40685</v>
      </c>
      <c r="AH2502" s="1" t="s">
        <v>101</v>
      </c>
      <c r="AI2502" s="1" t="s">
        <v>1110</v>
      </c>
      <c r="AJ2502" s="1">
        <v>95.6</v>
      </c>
      <c r="AK2502" s="1"/>
      <c r="AL2502" s="1" t="s">
        <v>40686</v>
      </c>
      <c r="AM2502" s="1" t="s">
        <v>40687</v>
      </c>
      <c r="AN2502" s="1"/>
      <c r="AO2502" s="1" t="s">
        <v>167</v>
      </c>
      <c r="AP2502" s="1" t="s">
        <v>704</v>
      </c>
      <c r="AQ2502" s="1">
        <v>67.38</v>
      </c>
      <c r="AR2502" s="1"/>
      <c r="AS2502" s="1"/>
      <c r="AT2502" s="1"/>
      <c r="AU2502" s="1"/>
      <c r="AV2502" s="1"/>
      <c r="AW2502" s="1"/>
      <c r="AX2502" s="1"/>
      <c r="AY2502" s="1" t="s">
        <v>366</v>
      </c>
      <c r="AZ2502" s="1" t="s">
        <v>3966</v>
      </c>
      <c r="BA2502" s="1"/>
      <c r="BB2502" s="1"/>
      <c r="BC2502" s="1" t="s">
        <v>170</v>
      </c>
      <c r="BD2502" s="1" t="s">
        <v>847</v>
      </c>
      <c r="BE2502" s="1">
        <v>71.4</v>
      </c>
      <c r="BF2502" s="1">
        <v>7.89</v>
      </c>
      <c r="BG2502" s="1" t="s">
        <v>40688</v>
      </c>
      <c r="BH2502" s="1" t="s">
        <v>40689</v>
      </c>
      <c r="BI2502" s="1"/>
      <c r="BJ2502" s="1"/>
      <c r="BK2502" s="1" t="s">
        <v>871</v>
      </c>
      <c r="BL2502" s="1" t="s">
        <v>1267</v>
      </c>
      <c r="BM2502" s="1">
        <v>75.45</v>
      </c>
      <c r="BN2502" s="1">
        <v>8.2</v>
      </c>
      <c r="BO2502" s="1" t="s">
        <v>40690</v>
      </c>
      <c r="BP2502" s="1"/>
      <c r="BQ2502" s="1"/>
      <c r="BR2502" s="1" t="s">
        <v>40691</v>
      </c>
      <c r="BS2502" s="1">
        <v>21</v>
      </c>
      <c r="BT2502" s="1"/>
      <c r="BU2502" s="1" t="str">
        <f>HYPERLINK("https://nconnect.nicmar.ac.in/storage/profile/6a228f22b5594.png","Download")</f>
        <v>0</v>
      </c>
      <c r="BV2502" s="3"/>
      <c r="BW2502" s="3"/>
    </row>
    <row r="2503" spans="1:75">
      <c r="A2503" s="1" t="s">
        <v>40673</v>
      </c>
      <c r="B2503" s="1" t="s">
        <v>76</v>
      </c>
      <c r="C2503" s="1" t="s">
        <v>40692</v>
      </c>
      <c r="D2503" s="1" t="s">
        <v>5073</v>
      </c>
      <c r="E2503" s="1" t="s">
        <v>8325</v>
      </c>
      <c r="F2503" s="1" t="s">
        <v>40693</v>
      </c>
      <c r="G2503" s="1" t="s">
        <v>40694</v>
      </c>
      <c r="H2503" s="1" t="s">
        <v>40695</v>
      </c>
      <c r="I2503" s="1" t="s">
        <v>40695</v>
      </c>
      <c r="J2503" s="1">
        <v>7032924052</v>
      </c>
      <c r="K2503" s="1" t="s">
        <v>84</v>
      </c>
      <c r="L2503" s="1" t="s">
        <v>20245</v>
      </c>
      <c r="M2503" s="1" t="s">
        <v>86</v>
      </c>
      <c r="N2503" s="1" t="s">
        <v>4652</v>
      </c>
      <c r="O2503" s="1" t="s">
        <v>157</v>
      </c>
      <c r="P2503" s="1" t="s">
        <v>122</v>
      </c>
      <c r="Q2503" s="1" t="s">
        <v>40696</v>
      </c>
      <c r="R2503" s="1" t="s">
        <v>40697</v>
      </c>
      <c r="S2503" s="1">
        <v>9391525794</v>
      </c>
      <c r="T2503" s="1" t="s">
        <v>38033</v>
      </c>
      <c r="U2503" s="1" t="s">
        <v>40698</v>
      </c>
      <c r="V2503" s="1">
        <v>9959054052</v>
      </c>
      <c r="W2503" s="1" t="s">
        <v>541</v>
      </c>
      <c r="X2503" s="1" t="s">
        <v>40699</v>
      </c>
      <c r="Y2503" s="1" t="s">
        <v>1454</v>
      </c>
      <c r="Z2503" s="1" t="s">
        <v>281</v>
      </c>
      <c r="AA2503" s="1" t="s">
        <v>40699</v>
      </c>
      <c r="AB2503" s="1" t="s">
        <v>1454</v>
      </c>
      <c r="AC2503" s="1" t="s">
        <v>281</v>
      </c>
      <c r="AD2503" s="1" t="s">
        <v>98</v>
      </c>
      <c r="AE2503" s="1" t="s">
        <v>98</v>
      </c>
      <c r="AF2503" s="1" t="s">
        <v>40700</v>
      </c>
      <c r="AG2503" s="1" t="s">
        <v>2181</v>
      </c>
      <c r="AH2503" s="1" t="s">
        <v>627</v>
      </c>
      <c r="AI2503" s="1" t="s">
        <v>573</v>
      </c>
      <c r="AJ2503" s="1">
        <v>80.33</v>
      </c>
      <c r="AK2503" s="1"/>
      <c r="AL2503" s="1" t="s">
        <v>1843</v>
      </c>
      <c r="AM2503" s="1" t="s">
        <v>2343</v>
      </c>
      <c r="AN2503" s="1"/>
      <c r="AO2503" s="1" t="s">
        <v>388</v>
      </c>
      <c r="AP2503" s="1" t="s">
        <v>414</v>
      </c>
      <c r="AQ2503" s="1">
        <v>91.1</v>
      </c>
      <c r="AR2503" s="1"/>
      <c r="AS2503" s="1"/>
      <c r="AT2503" s="1"/>
      <c r="AU2503" s="1"/>
      <c r="AV2503" s="1"/>
      <c r="AW2503" s="1"/>
      <c r="AX2503" s="1"/>
      <c r="AY2503" s="1" t="s">
        <v>40701</v>
      </c>
      <c r="AZ2503" s="1" t="s">
        <v>40702</v>
      </c>
      <c r="BA2503" s="1"/>
      <c r="BB2503" s="1"/>
      <c r="BC2503" s="1" t="s">
        <v>315</v>
      </c>
      <c r="BD2503" s="1" t="s">
        <v>37515</v>
      </c>
      <c r="BE2503" s="1">
        <v>64.9</v>
      </c>
      <c r="BF2503" s="1">
        <v>7.24</v>
      </c>
      <c r="BG2503" s="1"/>
      <c r="BH2503" s="1"/>
      <c r="BI2503" s="1"/>
      <c r="BJ2503" s="1"/>
      <c r="BK2503" s="1"/>
      <c r="BL2503" s="1"/>
      <c r="BM2503" s="1"/>
      <c r="BN2503" s="1"/>
      <c r="BO2503" s="1" t="s">
        <v>40703</v>
      </c>
      <c r="BP2503" s="1"/>
      <c r="BQ2503" s="1"/>
      <c r="BR2503" s="1" t="s">
        <v>40704</v>
      </c>
      <c r="BS2503" s="1">
        <v>8</v>
      </c>
      <c r="BT2503" s="1" t="s">
        <v>40705</v>
      </c>
      <c r="BU2503" s="1" t="str">
        <f>HYPERLINK("https://nconnect.nicmar.ac.in/storage/profile/6a229f37c4f6e.png","Download")</f>
        <v>0</v>
      </c>
      <c r="BV2503" s="3"/>
      <c r="BW2503" s="3"/>
    </row>
    <row r="2504" spans="1:75">
      <c r="A2504" s="1" t="s">
        <v>40673</v>
      </c>
      <c r="B2504" s="1" t="s">
        <v>76</v>
      </c>
      <c r="C2504" s="1" t="s">
        <v>40706</v>
      </c>
      <c r="D2504" s="1" t="s">
        <v>40707</v>
      </c>
      <c r="E2504" s="1" t="s">
        <v>27851</v>
      </c>
      <c r="F2504" s="1" t="s">
        <v>40708</v>
      </c>
      <c r="G2504" s="1" t="s">
        <v>40709</v>
      </c>
      <c r="H2504" s="1" t="s">
        <v>40710</v>
      </c>
      <c r="I2504" s="1" t="s">
        <v>40710</v>
      </c>
      <c r="J2504" s="1">
        <v>8806168395</v>
      </c>
      <c r="K2504" s="1" t="s">
        <v>153</v>
      </c>
      <c r="L2504" s="1" t="s">
        <v>24935</v>
      </c>
      <c r="M2504" s="1" t="s">
        <v>86</v>
      </c>
      <c r="N2504" s="1" t="s">
        <v>40711</v>
      </c>
      <c r="O2504" s="1" t="s">
        <v>157</v>
      </c>
      <c r="P2504" s="1" t="s">
        <v>219</v>
      </c>
      <c r="Q2504" s="1" t="s">
        <v>40712</v>
      </c>
      <c r="R2504" s="1" t="s">
        <v>40713</v>
      </c>
      <c r="S2504" s="1">
        <v>9422252460</v>
      </c>
      <c r="T2504" s="1" t="s">
        <v>40714</v>
      </c>
      <c r="U2504" s="1" t="s">
        <v>40715</v>
      </c>
      <c r="V2504" s="1">
        <v>9423969885</v>
      </c>
      <c r="W2504" s="1" t="s">
        <v>94</v>
      </c>
      <c r="X2504" s="1" t="s">
        <v>40716</v>
      </c>
      <c r="Y2504" s="1" t="s">
        <v>910</v>
      </c>
      <c r="Z2504" s="1" t="s">
        <v>97</v>
      </c>
      <c r="AA2504" s="1" t="s">
        <v>40716</v>
      </c>
      <c r="AB2504" s="1" t="s">
        <v>910</v>
      </c>
      <c r="AC2504" s="1" t="s">
        <v>97</v>
      </c>
      <c r="AD2504" s="1" t="s">
        <v>98</v>
      </c>
      <c r="AE2504" s="1" t="s">
        <v>98</v>
      </c>
      <c r="AF2504" s="1" t="s">
        <v>40717</v>
      </c>
      <c r="AG2504" s="1" t="s">
        <v>40718</v>
      </c>
      <c r="AH2504" s="1" t="s">
        <v>166</v>
      </c>
      <c r="AI2504" s="1" t="s">
        <v>1111</v>
      </c>
      <c r="AJ2504" s="1">
        <v>90.0</v>
      </c>
      <c r="AK2504" s="1"/>
      <c r="AL2504" s="1" t="s">
        <v>40719</v>
      </c>
      <c r="AM2504" s="1" t="s">
        <v>40718</v>
      </c>
      <c r="AN2504" s="1"/>
      <c r="AO2504" s="1" t="s">
        <v>170</v>
      </c>
      <c r="AP2504" s="1" t="s">
        <v>1477</v>
      </c>
      <c r="AQ2504" s="1">
        <v>79.23</v>
      </c>
      <c r="AR2504" s="1"/>
      <c r="AS2504" s="1"/>
      <c r="AT2504" s="1"/>
      <c r="AU2504" s="1"/>
      <c r="AV2504" s="1"/>
      <c r="AW2504" s="1"/>
      <c r="AX2504" s="1"/>
      <c r="AY2504" s="1" t="s">
        <v>366</v>
      </c>
      <c r="AZ2504" s="1" t="s">
        <v>40720</v>
      </c>
      <c r="BA2504" s="1"/>
      <c r="BB2504" s="1"/>
      <c r="BC2504" s="1" t="s">
        <v>106</v>
      </c>
      <c r="BD2504" s="1" t="s">
        <v>579</v>
      </c>
      <c r="BE2504" s="1">
        <v>74.5</v>
      </c>
      <c r="BF2504" s="1">
        <v>8.2</v>
      </c>
      <c r="BG2504" s="1"/>
      <c r="BH2504" s="1"/>
      <c r="BI2504" s="1"/>
      <c r="BJ2504" s="1"/>
      <c r="BK2504" s="1"/>
      <c r="BL2504" s="1"/>
      <c r="BM2504" s="1"/>
      <c r="BN2504" s="1"/>
      <c r="BO2504" s="1" t="s">
        <v>40721</v>
      </c>
      <c r="BP2504" s="1"/>
      <c r="BQ2504" s="1"/>
      <c r="BR2504" s="1" t="s">
        <v>40722</v>
      </c>
      <c r="BS2504" s="1">
        <v>86</v>
      </c>
      <c r="BT2504" s="1" t="s">
        <v>40723</v>
      </c>
      <c r="BU2504" s="1" t="str">
        <f>HYPERLINK("https://nconnect.nicmar.ac.in/storage/profile/6a22a37637792.png","Download")</f>
        <v>0</v>
      </c>
      <c r="BV2504" s="3"/>
      <c r="BW2504" s="3"/>
    </row>
    <row r="2505" spans="1:75">
      <c r="A2505" s="1" t="s">
        <v>40673</v>
      </c>
      <c r="B2505" s="1" t="s">
        <v>76</v>
      </c>
      <c r="C2505" s="1" t="s">
        <v>40724</v>
      </c>
      <c r="D2505" s="1" t="s">
        <v>33259</v>
      </c>
      <c r="E2505" s="1"/>
      <c r="F2505" s="1" t="s">
        <v>40725</v>
      </c>
      <c r="G2505" s="1" t="s">
        <v>40726</v>
      </c>
      <c r="H2505" s="1" t="s">
        <v>40727</v>
      </c>
      <c r="I2505" s="1" t="s">
        <v>40727</v>
      </c>
      <c r="J2505" s="1">
        <v>9041258814</v>
      </c>
      <c r="K2505" s="1" t="s">
        <v>84</v>
      </c>
      <c r="L2505" s="1" t="s">
        <v>40728</v>
      </c>
      <c r="M2505" s="1" t="s">
        <v>86</v>
      </c>
      <c r="N2505" s="1" t="s">
        <v>40729</v>
      </c>
      <c r="O2505" s="1" t="s">
        <v>157</v>
      </c>
      <c r="P2505" s="1" t="s">
        <v>122</v>
      </c>
      <c r="Q2505" s="1" t="s">
        <v>40730</v>
      </c>
      <c r="R2505" s="1" t="s">
        <v>40731</v>
      </c>
      <c r="S2505" s="1">
        <v>9810107705</v>
      </c>
      <c r="T2505" s="1" t="s">
        <v>40732</v>
      </c>
      <c r="U2505" s="1" t="s">
        <v>40733</v>
      </c>
      <c r="V2505" s="1">
        <v>8130631490</v>
      </c>
      <c r="W2505" s="1" t="s">
        <v>40734</v>
      </c>
      <c r="X2505" s="1" t="s">
        <v>40735</v>
      </c>
      <c r="Y2505" s="1" t="s">
        <v>9226</v>
      </c>
      <c r="Z2505" s="1" t="s">
        <v>1739</v>
      </c>
      <c r="AA2505" s="1" t="s">
        <v>40735</v>
      </c>
      <c r="AB2505" s="1" t="s">
        <v>9226</v>
      </c>
      <c r="AC2505" s="1" t="s">
        <v>1739</v>
      </c>
      <c r="AD2505" s="1" t="s">
        <v>98</v>
      </c>
      <c r="AE2505" s="1" t="s">
        <v>98</v>
      </c>
      <c r="AF2505" s="1" t="s">
        <v>40736</v>
      </c>
      <c r="AG2505" s="1" t="s">
        <v>5553</v>
      </c>
      <c r="AH2505" s="1" t="s">
        <v>337</v>
      </c>
      <c r="AI2505" s="1" t="s">
        <v>2726</v>
      </c>
      <c r="AJ2505" s="1">
        <v>77.9</v>
      </c>
      <c r="AK2505" s="1">
        <v>8.2</v>
      </c>
      <c r="AL2505" s="1" t="s">
        <v>40736</v>
      </c>
      <c r="AM2505" s="1" t="s">
        <v>5553</v>
      </c>
      <c r="AN2505" s="1"/>
      <c r="AO2505" s="1" t="s">
        <v>133</v>
      </c>
      <c r="AP2505" s="1" t="s">
        <v>1262</v>
      </c>
      <c r="AQ2505" s="1">
        <v>57</v>
      </c>
      <c r="AR2505" s="1"/>
      <c r="AS2505" s="1"/>
      <c r="AT2505" s="1"/>
      <c r="AU2505" s="1"/>
      <c r="AV2505" s="1"/>
      <c r="AW2505" s="1"/>
      <c r="AX2505" s="1"/>
      <c r="AY2505" s="1" t="s">
        <v>40737</v>
      </c>
      <c r="AZ2505" s="1" t="s">
        <v>40738</v>
      </c>
      <c r="BA2505" s="1"/>
      <c r="BB2505" s="1"/>
      <c r="BC2505" s="1" t="s">
        <v>257</v>
      </c>
      <c r="BD2505" s="1" t="s">
        <v>109</v>
      </c>
      <c r="BE2505" s="1">
        <v>66.78</v>
      </c>
      <c r="BF2505" s="1">
        <v>7.42</v>
      </c>
      <c r="BG2505" s="1"/>
      <c r="BH2505" s="1"/>
      <c r="BI2505" s="1"/>
      <c r="BJ2505" s="1"/>
      <c r="BK2505" s="1"/>
      <c r="BL2505" s="1"/>
      <c r="BM2505" s="1"/>
      <c r="BN2505" s="1"/>
      <c r="BO2505" s="1" t="s">
        <v>40739</v>
      </c>
      <c r="BP2505" s="1" t="s">
        <v>40740</v>
      </c>
      <c r="BQ2505" s="1" t="s">
        <v>3426</v>
      </c>
      <c r="BR2505" s="1" t="s">
        <v>40741</v>
      </c>
      <c r="BS2505" s="1">
        <v>25</v>
      </c>
      <c r="BT2505" s="1" t="s">
        <v>40742</v>
      </c>
      <c r="BU2505" s="1" t="str">
        <f>HYPERLINK("https://nconnect.nicmar.ac.in/storage/profile/6a22aa8c81c79.png","Download")</f>
        <v>0</v>
      </c>
      <c r="BV2505" s="3"/>
      <c r="BW2505" s="3"/>
    </row>
    <row r="2506" spans="1:75">
      <c r="A2506" s="1" t="s">
        <v>40673</v>
      </c>
      <c r="B2506" s="1" t="s">
        <v>76</v>
      </c>
      <c r="C2506" s="1" t="s">
        <v>40743</v>
      </c>
      <c r="D2506" s="1" t="s">
        <v>10163</v>
      </c>
      <c r="E2506" s="1" t="s">
        <v>11111</v>
      </c>
      <c r="F2506" s="1" t="s">
        <v>40744</v>
      </c>
      <c r="G2506" s="1" t="s">
        <v>40745</v>
      </c>
      <c r="H2506" s="1" t="s">
        <v>40746</v>
      </c>
      <c r="I2506" s="1" t="s">
        <v>40746</v>
      </c>
      <c r="J2506" s="1">
        <v>7767970404</v>
      </c>
      <c r="K2506" s="1" t="s">
        <v>153</v>
      </c>
      <c r="L2506" s="1" t="s">
        <v>26494</v>
      </c>
      <c r="M2506" s="1" t="s">
        <v>86</v>
      </c>
      <c r="N2506" s="1" t="s">
        <v>40747</v>
      </c>
      <c r="O2506" s="1" t="s">
        <v>88</v>
      </c>
      <c r="P2506" s="1" t="s">
        <v>219</v>
      </c>
      <c r="Q2506" s="1" t="s">
        <v>40748</v>
      </c>
      <c r="R2506" s="1" t="s">
        <v>11111</v>
      </c>
      <c r="S2506" s="1">
        <v>9763437081</v>
      </c>
      <c r="T2506" s="1" t="s">
        <v>645</v>
      </c>
      <c r="U2506" s="1" t="s">
        <v>40749</v>
      </c>
      <c r="V2506" s="1">
        <v>9423007675</v>
      </c>
      <c r="W2506" s="1" t="s">
        <v>645</v>
      </c>
      <c r="X2506" s="1" t="s">
        <v>40750</v>
      </c>
      <c r="Y2506" s="1" t="s">
        <v>196</v>
      </c>
      <c r="Z2506" s="1" t="s">
        <v>97</v>
      </c>
      <c r="AA2506" s="1" t="s">
        <v>40750</v>
      </c>
      <c r="AB2506" s="1" t="s">
        <v>196</v>
      </c>
      <c r="AC2506" s="1" t="s">
        <v>97</v>
      </c>
      <c r="AD2506" s="1" t="s">
        <v>98</v>
      </c>
      <c r="AE2506" s="1" t="s">
        <v>98</v>
      </c>
      <c r="AF2506" s="1" t="s">
        <v>40751</v>
      </c>
      <c r="AG2506" s="1" t="s">
        <v>40752</v>
      </c>
      <c r="AH2506" s="1" t="s">
        <v>166</v>
      </c>
      <c r="AI2506" s="1" t="s">
        <v>1111</v>
      </c>
      <c r="AJ2506" s="1">
        <v>96.6</v>
      </c>
      <c r="AK2506" s="1"/>
      <c r="AL2506" s="1" t="s">
        <v>7439</v>
      </c>
      <c r="AM2506" s="1" t="s">
        <v>40752</v>
      </c>
      <c r="AN2506" s="1"/>
      <c r="AO2506" s="1" t="s">
        <v>170</v>
      </c>
      <c r="AP2506" s="1" t="s">
        <v>1477</v>
      </c>
      <c r="AQ2506" s="1">
        <v>88.77</v>
      </c>
      <c r="AR2506" s="1"/>
      <c r="AS2506" s="1"/>
      <c r="AT2506" s="1"/>
      <c r="AU2506" s="1"/>
      <c r="AV2506" s="1"/>
      <c r="AW2506" s="1"/>
      <c r="AX2506" s="1"/>
      <c r="AY2506" s="1" t="s">
        <v>366</v>
      </c>
      <c r="AZ2506" s="1" t="s">
        <v>40753</v>
      </c>
      <c r="BA2506" s="1"/>
      <c r="BB2506" s="1"/>
      <c r="BC2506" s="1" t="s">
        <v>1065</v>
      </c>
      <c r="BD2506" s="1" t="s">
        <v>579</v>
      </c>
      <c r="BE2506" s="1">
        <v>86.15</v>
      </c>
      <c r="BF2506" s="1">
        <v>9.68</v>
      </c>
      <c r="BG2506" s="1"/>
      <c r="BH2506" s="1"/>
      <c r="BI2506" s="1"/>
      <c r="BJ2506" s="1"/>
      <c r="BK2506" s="1"/>
      <c r="BL2506" s="1"/>
      <c r="BM2506" s="1"/>
      <c r="BN2506" s="1"/>
      <c r="BO2506" s="1" t="s">
        <v>40739</v>
      </c>
      <c r="BP2506" s="1" t="s">
        <v>40754</v>
      </c>
      <c r="BQ2506" s="1" t="s">
        <v>893</v>
      </c>
      <c r="BR2506" s="1" t="s">
        <v>40755</v>
      </c>
      <c r="BS2506" s="1">
        <v>35</v>
      </c>
      <c r="BT2506" s="1"/>
      <c r="BU2506" s="1" t="str">
        <f>HYPERLINK("https://nconnect.nicmar.ac.in/storage/profile/6a22b01e23288.png","Download")</f>
        <v>0</v>
      </c>
      <c r="BV2506" s="3"/>
      <c r="BW2506" s="3"/>
    </row>
    <row r="2507" spans="1:75">
      <c r="A2507" s="1" t="s">
        <v>40756</v>
      </c>
      <c r="B2507" s="1" t="s">
        <v>40757</v>
      </c>
      <c r="C2507" s="1" t="s">
        <v>40758</v>
      </c>
      <c r="D2507" s="1" t="s">
        <v>25270</v>
      </c>
      <c r="E2507" s="1"/>
      <c r="F2507" s="1" t="s">
        <v>961</v>
      </c>
      <c r="G2507" s="1" t="s">
        <v>40759</v>
      </c>
      <c r="H2507" s="1" t="s">
        <v>40760</v>
      </c>
      <c r="I2507" s="1" t="s">
        <v>40760</v>
      </c>
      <c r="J2507" s="1">
        <v>9755778896</v>
      </c>
      <c r="K2507" s="1" t="s">
        <v>84</v>
      </c>
      <c r="L2507" s="1" t="s">
        <v>40761</v>
      </c>
      <c r="M2507" s="1" t="s">
        <v>86</v>
      </c>
      <c r="N2507" s="1" t="s">
        <v>4652</v>
      </c>
      <c r="O2507" s="1" t="s">
        <v>157</v>
      </c>
      <c r="P2507" s="1" t="s">
        <v>89</v>
      </c>
      <c r="Q2507" s="1" t="s">
        <v>40762</v>
      </c>
      <c r="R2507" s="1" t="s">
        <v>40763</v>
      </c>
      <c r="S2507" s="1">
        <v>9827897453</v>
      </c>
      <c r="T2507" s="1" t="s">
        <v>40764</v>
      </c>
      <c r="U2507" s="1" t="s">
        <v>40765</v>
      </c>
      <c r="V2507" s="1">
        <v>9479041210</v>
      </c>
      <c r="W2507" s="1" t="s">
        <v>40766</v>
      </c>
      <c r="X2507" s="1" t="s">
        <v>40767</v>
      </c>
      <c r="Y2507" s="1" t="s">
        <v>40768</v>
      </c>
      <c r="Z2507" s="1" t="s">
        <v>2933</v>
      </c>
      <c r="AA2507" s="1" t="s">
        <v>40767</v>
      </c>
      <c r="AB2507" s="1" t="s">
        <v>40768</v>
      </c>
      <c r="AC2507" s="1" t="s">
        <v>2933</v>
      </c>
      <c r="AD2507" s="1" t="s">
        <v>98</v>
      </c>
      <c r="AE2507" s="1" t="s">
        <v>98</v>
      </c>
      <c r="AF2507" s="1" t="s">
        <v>40769</v>
      </c>
      <c r="AG2507" s="1" t="s">
        <v>40770</v>
      </c>
      <c r="AH2507" s="1" t="s">
        <v>4593</v>
      </c>
      <c r="AI2507" s="1" t="s">
        <v>337</v>
      </c>
      <c r="AJ2507" s="1">
        <v>83.67</v>
      </c>
      <c r="AK2507" s="1"/>
      <c r="AL2507" s="1" t="s">
        <v>40771</v>
      </c>
      <c r="AM2507" s="1" t="s">
        <v>40770</v>
      </c>
      <c r="AN2507" s="1"/>
      <c r="AO2507" s="1" t="s">
        <v>133</v>
      </c>
      <c r="AP2507" s="1" t="s">
        <v>1457</v>
      </c>
      <c r="AQ2507" s="1">
        <v>78.2</v>
      </c>
      <c r="AR2507" s="1"/>
      <c r="AS2507" s="1"/>
      <c r="AT2507" s="1"/>
      <c r="AU2507" s="1"/>
      <c r="AV2507" s="1"/>
      <c r="AW2507" s="1"/>
      <c r="AX2507" s="1"/>
      <c r="AY2507" s="1" t="s">
        <v>5338</v>
      </c>
      <c r="AZ2507" s="1" t="s">
        <v>40772</v>
      </c>
      <c r="BA2507" s="1"/>
      <c r="BB2507" s="1"/>
      <c r="BC2507" s="1" t="s">
        <v>804</v>
      </c>
      <c r="BD2507" s="1" t="s">
        <v>573</v>
      </c>
      <c r="BE2507" s="1">
        <v>73.2</v>
      </c>
      <c r="BF2507" s="1"/>
      <c r="BG2507" s="1"/>
      <c r="BH2507" s="1"/>
      <c r="BI2507" s="1"/>
      <c r="BJ2507" s="1"/>
      <c r="BK2507" s="1"/>
      <c r="BL2507" s="1"/>
      <c r="BM2507" s="1"/>
      <c r="BN2507" s="1"/>
      <c r="BO2507" s="1" t="s">
        <v>40773</v>
      </c>
      <c r="BP2507" s="1"/>
      <c r="BQ2507" s="1"/>
      <c r="BR2507" s="1"/>
      <c r="BS2507" s="1"/>
      <c r="BT2507" s="1"/>
      <c r="BU2507" s="1" t="str">
        <f>HYPERLINK("https://nconnect.nicmar.ac.in/storage/profile/6a263d01e588c.png","Download")</f>
        <v>0</v>
      </c>
      <c r="BV2507" s="3"/>
      <c r="BW2507" s="3"/>
    </row>
    <row r="2508" spans="1:75">
      <c r="A2508" s="1" t="s">
        <v>40756</v>
      </c>
      <c r="B2508" s="1" t="s">
        <v>40757</v>
      </c>
      <c r="C2508" s="1" t="s">
        <v>40774</v>
      </c>
      <c r="D2508" s="1" t="s">
        <v>40775</v>
      </c>
      <c r="E2508" s="1" t="s">
        <v>3778</v>
      </c>
      <c r="F2508" s="1" t="s">
        <v>116</v>
      </c>
      <c r="G2508" s="1" t="s">
        <v>40776</v>
      </c>
      <c r="H2508" s="1" t="s">
        <v>40777</v>
      </c>
      <c r="I2508" s="1" t="s">
        <v>40777</v>
      </c>
      <c r="J2508" s="1">
        <v>7902980092</v>
      </c>
      <c r="K2508" s="1" t="s">
        <v>84</v>
      </c>
      <c r="L2508" s="1" t="s">
        <v>40778</v>
      </c>
      <c r="M2508" s="1" t="s">
        <v>86</v>
      </c>
      <c r="N2508" s="1" t="s">
        <v>40779</v>
      </c>
      <c r="O2508" s="1" t="s">
        <v>157</v>
      </c>
      <c r="P2508" s="1" t="s">
        <v>122</v>
      </c>
      <c r="Q2508" s="1" t="s">
        <v>40780</v>
      </c>
      <c r="R2508" s="1" t="s">
        <v>40781</v>
      </c>
      <c r="S2508" s="1">
        <v>8281104396</v>
      </c>
      <c r="T2508" s="1" t="s">
        <v>5027</v>
      </c>
      <c r="U2508" s="1" t="s">
        <v>40782</v>
      </c>
      <c r="V2508" s="1">
        <v>8281103396</v>
      </c>
      <c r="W2508" s="1" t="s">
        <v>40783</v>
      </c>
      <c r="X2508" s="1" t="s">
        <v>40784</v>
      </c>
      <c r="Y2508" s="1" t="s">
        <v>1283</v>
      </c>
      <c r="Z2508" s="1" t="s">
        <v>130</v>
      </c>
      <c r="AA2508" s="1" t="s">
        <v>40784</v>
      </c>
      <c r="AB2508" s="1" t="s">
        <v>1283</v>
      </c>
      <c r="AC2508" s="1" t="s">
        <v>130</v>
      </c>
      <c r="AD2508" s="1" t="s">
        <v>98</v>
      </c>
      <c r="AE2508" s="1" t="s">
        <v>98</v>
      </c>
      <c r="AF2508" s="1" t="s">
        <v>40785</v>
      </c>
      <c r="AG2508" s="1" t="s">
        <v>40786</v>
      </c>
      <c r="AH2508" s="1" t="s">
        <v>101</v>
      </c>
      <c r="AI2508" s="1" t="s">
        <v>1110</v>
      </c>
      <c r="AJ2508" s="1">
        <v>73.0</v>
      </c>
      <c r="AK2508" s="1"/>
      <c r="AL2508" s="1" t="s">
        <v>40787</v>
      </c>
      <c r="AM2508" s="1" t="s">
        <v>40788</v>
      </c>
      <c r="AN2508" s="1" t="s">
        <v>465</v>
      </c>
      <c r="AO2508" s="1" t="s">
        <v>342</v>
      </c>
      <c r="AP2508" s="1" t="s">
        <v>573</v>
      </c>
      <c r="AQ2508" s="1">
        <v>63.91</v>
      </c>
      <c r="AR2508" s="1"/>
      <c r="AS2508" s="1"/>
      <c r="AT2508" s="1"/>
      <c r="AU2508" s="1"/>
      <c r="AV2508" s="1"/>
      <c r="AW2508" s="1"/>
      <c r="AX2508" s="1"/>
      <c r="AY2508" s="1" t="s">
        <v>40789</v>
      </c>
      <c r="AZ2508" s="1" t="s">
        <v>40790</v>
      </c>
      <c r="BA2508" s="1" t="s">
        <v>466</v>
      </c>
      <c r="BB2508" s="1" t="s">
        <v>40791</v>
      </c>
      <c r="BC2508" s="1" t="s">
        <v>106</v>
      </c>
      <c r="BD2508" s="1" t="s">
        <v>579</v>
      </c>
      <c r="BE2508" s="1">
        <v>64.6</v>
      </c>
      <c r="BF2508" s="1"/>
      <c r="BG2508" s="1"/>
      <c r="BH2508" s="1"/>
      <c r="BI2508" s="1"/>
      <c r="BJ2508" s="1"/>
      <c r="BK2508" s="1"/>
      <c r="BL2508" s="1"/>
      <c r="BM2508" s="1"/>
      <c r="BN2508" s="1"/>
      <c r="BO2508" s="1" t="s">
        <v>40792</v>
      </c>
      <c r="BP2508" s="1"/>
      <c r="BQ2508" s="1"/>
      <c r="BR2508" s="1" t="s">
        <v>40793</v>
      </c>
      <c r="BS2508" s="1">
        <v>2</v>
      </c>
      <c r="BT2508" s="1"/>
      <c r="BU2508" s="1" t="str">
        <f>HYPERLINK("https://nconnect.nicmar.ac.in/storage/profile/6a2643dfcb805.png","Download")</f>
        <v>0</v>
      </c>
      <c r="BV2508" s="3"/>
      <c r="BW2508" s="3"/>
    </row>
    <row r="2509" spans="1:75">
      <c r="A2509" s="1" t="s">
        <v>40794</v>
      </c>
      <c r="B2509" s="1" t="s">
        <v>446</v>
      </c>
      <c r="C2509" s="1" t="s">
        <v>40795</v>
      </c>
      <c r="D2509" s="1" t="s">
        <v>40796</v>
      </c>
      <c r="E2509" s="1"/>
      <c r="F2509" s="1" t="s">
        <v>2098</v>
      </c>
      <c r="G2509" s="1" t="s">
        <v>40797</v>
      </c>
      <c r="H2509" s="1" t="s">
        <v>40798</v>
      </c>
      <c r="I2509" s="1" t="s">
        <v>40799</v>
      </c>
      <c r="J2509" s="1">
        <v>9346714289</v>
      </c>
      <c r="K2509" s="1" t="s">
        <v>84</v>
      </c>
      <c r="L2509" s="1" t="s">
        <v>21166</v>
      </c>
      <c r="M2509" s="1" t="s">
        <v>86</v>
      </c>
      <c r="N2509" s="1" t="s">
        <v>13389</v>
      </c>
      <c r="O2509" s="1" t="s">
        <v>40800</v>
      </c>
      <c r="P2509" s="1" t="s">
        <v>219</v>
      </c>
      <c r="Q2509" s="1" t="s">
        <v>40801</v>
      </c>
      <c r="R2509" s="1" t="s">
        <v>40802</v>
      </c>
      <c r="S2509" s="1">
        <v>9908019108</v>
      </c>
      <c r="T2509" s="1" t="s">
        <v>40803</v>
      </c>
      <c r="U2509" s="1" t="s">
        <v>40804</v>
      </c>
      <c r="V2509" s="1">
        <v>7358756268</v>
      </c>
      <c r="W2509" s="1" t="s">
        <v>94</v>
      </c>
      <c r="X2509" s="1" t="s">
        <v>40805</v>
      </c>
      <c r="Y2509" s="1" t="s">
        <v>12907</v>
      </c>
      <c r="Z2509" s="1" t="s">
        <v>281</v>
      </c>
      <c r="AA2509" s="1" t="s">
        <v>40805</v>
      </c>
      <c r="AB2509" s="1" t="s">
        <v>12907</v>
      </c>
      <c r="AC2509" s="1" t="s">
        <v>281</v>
      </c>
      <c r="AD2509" s="1">
        <v>7.35</v>
      </c>
      <c r="AE2509" s="1" t="s">
        <v>98</v>
      </c>
      <c r="AF2509" s="1" t="s">
        <v>40806</v>
      </c>
      <c r="AG2509" s="1" t="s">
        <v>40807</v>
      </c>
      <c r="AH2509" s="1" t="s">
        <v>170</v>
      </c>
      <c r="AI2509" s="1" t="s">
        <v>313</v>
      </c>
      <c r="AJ2509" s="1">
        <v>74.67</v>
      </c>
      <c r="AK2509" s="1">
        <v>0</v>
      </c>
      <c r="AL2509" s="1" t="s">
        <v>40808</v>
      </c>
      <c r="AM2509" s="1" t="s">
        <v>40809</v>
      </c>
      <c r="AN2509" s="1"/>
      <c r="AO2509" s="1" t="s">
        <v>438</v>
      </c>
      <c r="AP2509" s="1" t="s">
        <v>847</v>
      </c>
      <c r="AQ2509" s="1">
        <v>70.83</v>
      </c>
      <c r="AR2509" s="1">
        <v>0</v>
      </c>
      <c r="AS2509" s="1"/>
      <c r="AT2509" s="1"/>
      <c r="AU2509" s="1"/>
      <c r="AV2509" s="1"/>
      <c r="AW2509" s="1"/>
      <c r="AX2509" s="1"/>
      <c r="AY2509" s="1" t="s">
        <v>550</v>
      </c>
      <c r="AZ2509" s="1" t="s">
        <v>8336</v>
      </c>
      <c r="BA2509" s="1"/>
      <c r="BB2509" s="1"/>
      <c r="BC2509" s="1" t="s">
        <v>441</v>
      </c>
      <c r="BD2509" s="1" t="s">
        <v>1401</v>
      </c>
      <c r="BE2509" s="1">
        <v>80</v>
      </c>
      <c r="BF2509" s="1">
        <v>8</v>
      </c>
      <c r="BG2509" s="1"/>
      <c r="BH2509" s="1"/>
      <c r="BI2509" s="1"/>
      <c r="BJ2509" s="1"/>
      <c r="BK2509" s="1"/>
      <c r="BL2509" s="1"/>
      <c r="BM2509" s="1"/>
      <c r="BN2509" s="1"/>
      <c r="BO2509" s="1" t="s">
        <v>40810</v>
      </c>
      <c r="BP2509" s="1"/>
      <c r="BQ2509" s="1"/>
      <c r="BR2509" s="1" t="s">
        <v>40811</v>
      </c>
      <c r="BS2509" s="1">
        <v>13</v>
      </c>
      <c r="BT2509" s="1" t="s">
        <v>40812</v>
      </c>
      <c r="BU2509" s="1" t="str">
        <f>HYPERLINK("https://nconnect.nicmar.ac.in/storage/profile/6a8f16a1b98e9.png","Download")</f>
        <v>0</v>
      </c>
      <c r="BV2509" s="3"/>
      <c r="BW2509" s="3"/>
    </row>
    <row r="2510" spans="1:75">
      <c r="A2510" s="1" t="s">
        <v>40794</v>
      </c>
      <c r="B2510" s="1" t="s">
        <v>446</v>
      </c>
      <c r="C2510" s="1" t="s">
        <v>40813</v>
      </c>
      <c r="D2510" s="1" t="s">
        <v>40814</v>
      </c>
      <c r="E2510" s="1" t="s">
        <v>40815</v>
      </c>
      <c r="F2510" s="1" t="s">
        <v>40816</v>
      </c>
      <c r="G2510" s="1" t="s">
        <v>40817</v>
      </c>
      <c r="H2510" s="1" t="s">
        <v>40818</v>
      </c>
      <c r="I2510" s="1" t="s">
        <v>40819</v>
      </c>
      <c r="J2510" s="1">
        <v>7829294049</v>
      </c>
      <c r="K2510" s="1" t="s">
        <v>84</v>
      </c>
      <c r="L2510" s="1" t="s">
        <v>15460</v>
      </c>
      <c r="M2510" s="1" t="s">
        <v>86</v>
      </c>
      <c r="N2510" s="1" t="s">
        <v>40820</v>
      </c>
      <c r="O2510" s="1" t="s">
        <v>40821</v>
      </c>
      <c r="P2510" s="1" t="s">
        <v>481</v>
      </c>
      <c r="Q2510" s="1" t="s">
        <v>40822</v>
      </c>
      <c r="R2510" s="1" t="s">
        <v>40823</v>
      </c>
      <c r="S2510" s="1">
        <v>9845062530</v>
      </c>
      <c r="T2510" s="1" t="s">
        <v>276</v>
      </c>
      <c r="U2510" s="1" t="s">
        <v>40824</v>
      </c>
      <c r="V2510" s="1">
        <v>9141107491</v>
      </c>
      <c r="W2510" s="1" t="s">
        <v>94</v>
      </c>
      <c r="X2510" s="1" t="s">
        <v>40825</v>
      </c>
      <c r="Y2510" s="1" t="s">
        <v>3132</v>
      </c>
      <c r="Z2510" s="1" t="s">
        <v>1210</v>
      </c>
      <c r="AA2510" s="1" t="s">
        <v>40825</v>
      </c>
      <c r="AB2510" s="1" t="s">
        <v>3132</v>
      </c>
      <c r="AC2510" s="1" t="s">
        <v>1210</v>
      </c>
      <c r="AD2510" s="1">
        <v>8.51</v>
      </c>
      <c r="AE2510" s="1" t="s">
        <v>98</v>
      </c>
      <c r="AF2510" s="1" t="s">
        <v>40826</v>
      </c>
      <c r="AG2510" s="1" t="s">
        <v>40827</v>
      </c>
      <c r="AH2510" s="1" t="s">
        <v>170</v>
      </c>
      <c r="AI2510" s="1" t="s">
        <v>171</v>
      </c>
      <c r="AJ2510" s="1">
        <v>89.83</v>
      </c>
      <c r="AK2510" s="1"/>
      <c r="AL2510" s="1" t="s">
        <v>40828</v>
      </c>
      <c r="AM2510" s="1" t="s">
        <v>40829</v>
      </c>
      <c r="AN2510" s="1" t="s">
        <v>465</v>
      </c>
      <c r="AO2510" s="1" t="s">
        <v>438</v>
      </c>
      <c r="AP2510" s="1" t="s">
        <v>178</v>
      </c>
      <c r="AQ2510" s="1">
        <v>80.16</v>
      </c>
      <c r="AR2510" s="1"/>
      <c r="AS2510" s="1"/>
      <c r="AT2510" s="1"/>
      <c r="AU2510" s="1"/>
      <c r="AV2510" s="1"/>
      <c r="AW2510" s="1"/>
      <c r="AX2510" s="1"/>
      <c r="AY2510" s="1" t="s">
        <v>12551</v>
      </c>
      <c r="AZ2510" s="1" t="s">
        <v>40830</v>
      </c>
      <c r="BA2510" s="1" t="s">
        <v>578</v>
      </c>
      <c r="BB2510" s="1" t="s">
        <v>467</v>
      </c>
      <c r="BC2510" s="1" t="s">
        <v>468</v>
      </c>
      <c r="BD2510" s="1" t="s">
        <v>207</v>
      </c>
      <c r="BE2510" s="1">
        <v>74.6</v>
      </c>
      <c r="BF2510" s="1">
        <v>7.46</v>
      </c>
      <c r="BG2510" s="1"/>
      <c r="BH2510" s="1"/>
      <c r="BI2510" s="1"/>
      <c r="BJ2510" s="1"/>
      <c r="BK2510" s="1"/>
      <c r="BL2510" s="1"/>
      <c r="BM2510" s="1"/>
      <c r="BN2510" s="1"/>
      <c r="BO2510" s="1" t="s">
        <v>40831</v>
      </c>
      <c r="BP2510" s="1" t="s">
        <v>40832</v>
      </c>
      <c r="BQ2510" s="1" t="s">
        <v>2245</v>
      </c>
      <c r="BR2510" s="1" t="s">
        <v>40833</v>
      </c>
      <c r="BS2510" s="1">
        <v>333</v>
      </c>
      <c r="BT2510" s="1" t="s">
        <v>40834</v>
      </c>
      <c r="BU2510" s="1" t="str">
        <f>HYPERLINK("https://nconnect.nicmar.ac.in/storage/profile/6a84a813138d6.png","Download")</f>
        <v>0</v>
      </c>
      <c r="BV2510" s="3"/>
      <c r="BW2510" s="4">
        <v>1</v>
      </c>
    </row>
    <row r="2511" spans="1:75">
      <c r="A2511" s="1" t="s">
        <v>40794</v>
      </c>
      <c r="B2511" s="1" t="s">
        <v>446</v>
      </c>
      <c r="C2511" s="1" t="s">
        <v>40835</v>
      </c>
      <c r="D2511" s="1" t="s">
        <v>35392</v>
      </c>
      <c r="E2511" s="1" t="s">
        <v>3932</v>
      </c>
      <c r="F2511" s="1" t="s">
        <v>40836</v>
      </c>
      <c r="G2511" s="1" t="s">
        <v>40837</v>
      </c>
      <c r="H2511" s="1" t="s">
        <v>40838</v>
      </c>
      <c r="I2511" s="1" t="s">
        <v>40839</v>
      </c>
      <c r="J2511" s="1">
        <v>9867833346</v>
      </c>
      <c r="K2511" s="1" t="s">
        <v>153</v>
      </c>
      <c r="L2511" s="1" t="s">
        <v>12151</v>
      </c>
      <c r="M2511" s="1" t="s">
        <v>86</v>
      </c>
      <c r="N2511" s="1" t="s">
        <v>3568</v>
      </c>
      <c r="O2511" s="1" t="s">
        <v>40840</v>
      </c>
      <c r="P2511" s="1" t="s">
        <v>481</v>
      </c>
      <c r="Q2511" s="1" t="s">
        <v>40841</v>
      </c>
      <c r="R2511" s="1" t="s">
        <v>3932</v>
      </c>
      <c r="S2511" s="1">
        <v>9892324307</v>
      </c>
      <c r="T2511" s="1" t="s">
        <v>125</v>
      </c>
      <c r="U2511" s="1" t="s">
        <v>25306</v>
      </c>
      <c r="V2511" s="1">
        <v>9867112680</v>
      </c>
      <c r="W2511" s="1" t="s">
        <v>221</v>
      </c>
      <c r="X2511" s="1" t="s">
        <v>40842</v>
      </c>
      <c r="Y2511" s="1" t="s">
        <v>2259</v>
      </c>
      <c r="Z2511" s="1" t="s">
        <v>97</v>
      </c>
      <c r="AA2511" s="1" t="s">
        <v>40842</v>
      </c>
      <c r="AB2511" s="1" t="s">
        <v>2259</v>
      </c>
      <c r="AC2511" s="1" t="s">
        <v>97</v>
      </c>
      <c r="AD2511" s="1">
        <v>8.49</v>
      </c>
      <c r="AE2511" s="1" t="s">
        <v>98</v>
      </c>
      <c r="AF2511" s="1" t="s">
        <v>40843</v>
      </c>
      <c r="AG2511" s="1" t="s">
        <v>165</v>
      </c>
      <c r="AH2511" s="1" t="s">
        <v>166</v>
      </c>
      <c r="AI2511" s="1" t="s">
        <v>1111</v>
      </c>
      <c r="AJ2511" s="1">
        <v>91</v>
      </c>
      <c r="AK2511" s="1">
        <v>0</v>
      </c>
      <c r="AL2511" s="1" t="s">
        <v>40844</v>
      </c>
      <c r="AM2511" s="1" t="s">
        <v>165</v>
      </c>
      <c r="AN2511" s="1"/>
      <c r="AO2511" s="1" t="s">
        <v>170</v>
      </c>
      <c r="AP2511" s="1" t="s">
        <v>1477</v>
      </c>
      <c r="AQ2511" s="1">
        <v>77.23</v>
      </c>
      <c r="AR2511" s="1">
        <v>0</v>
      </c>
      <c r="AS2511" s="1"/>
      <c r="AT2511" s="1"/>
      <c r="AU2511" s="1"/>
      <c r="AV2511" s="1"/>
      <c r="AW2511" s="1"/>
      <c r="AX2511" s="1"/>
      <c r="AY2511" s="1" t="s">
        <v>680</v>
      </c>
      <c r="AZ2511" s="1" t="s">
        <v>40845</v>
      </c>
      <c r="BA2511" s="1"/>
      <c r="BB2511" s="1"/>
      <c r="BC2511" s="1" t="s">
        <v>106</v>
      </c>
      <c r="BD2511" s="1" t="s">
        <v>234</v>
      </c>
      <c r="BE2511" s="1">
        <v>75.86</v>
      </c>
      <c r="BF2511" s="1">
        <v>8.63</v>
      </c>
      <c r="BG2511" s="1"/>
      <c r="BH2511" s="1"/>
      <c r="BI2511" s="1"/>
      <c r="BJ2511" s="1"/>
      <c r="BK2511" s="1"/>
      <c r="BL2511" s="1"/>
      <c r="BM2511" s="1"/>
      <c r="BN2511" s="1"/>
      <c r="BO2511" s="1" t="s">
        <v>40846</v>
      </c>
      <c r="BP2511" s="1" t="s">
        <v>40847</v>
      </c>
      <c r="BQ2511" s="1" t="s">
        <v>1152</v>
      </c>
      <c r="BR2511" s="1" t="s">
        <v>40848</v>
      </c>
      <c r="BS2511" s="1">
        <v>21</v>
      </c>
      <c r="BT2511" s="1"/>
      <c r="BU2511" s="1" t="str">
        <f>HYPERLINK("https://nconnect.nicmar.ac.in/storage/profile/ProfilePhoto_P25701096_463592.jpg","Download")</f>
        <v>0</v>
      </c>
      <c r="BV2511" s="3"/>
      <c r="BW2511" s="3"/>
    </row>
    <row r="2512" spans="1:75">
      <c r="A2512" s="1" t="s">
        <v>40794</v>
      </c>
      <c r="B2512" s="1" t="s">
        <v>446</v>
      </c>
      <c r="C2512" s="1" t="s">
        <v>40849</v>
      </c>
      <c r="D2512" s="1" t="s">
        <v>29672</v>
      </c>
      <c r="E2512" s="1"/>
      <c r="F2512" s="1" t="s">
        <v>31847</v>
      </c>
      <c r="G2512" s="1" t="s">
        <v>40850</v>
      </c>
      <c r="H2512" s="1" t="s">
        <v>40851</v>
      </c>
      <c r="I2512" s="1" t="s">
        <v>40852</v>
      </c>
      <c r="J2512" s="1">
        <v>9421513085</v>
      </c>
      <c r="K2512" s="1" t="s">
        <v>84</v>
      </c>
      <c r="L2512" s="1" t="s">
        <v>26979</v>
      </c>
      <c r="M2512" s="1" t="s">
        <v>86</v>
      </c>
      <c r="N2512" s="1" t="s">
        <v>6747</v>
      </c>
      <c r="O2512" s="1"/>
      <c r="P2512" s="1" t="s">
        <v>455</v>
      </c>
      <c r="Q2512" s="1" t="s">
        <v>40853</v>
      </c>
      <c r="R2512" s="1" t="s">
        <v>5171</v>
      </c>
      <c r="S2512" s="1">
        <v>9405403857</v>
      </c>
      <c r="T2512" s="1" t="s">
        <v>125</v>
      </c>
      <c r="U2512" s="1" t="s">
        <v>40854</v>
      </c>
      <c r="V2512" s="1">
        <v>9405403617</v>
      </c>
      <c r="W2512" s="1" t="s">
        <v>161</v>
      </c>
      <c r="X2512" s="1" t="s">
        <v>40855</v>
      </c>
      <c r="Y2512" s="1" t="s">
        <v>196</v>
      </c>
      <c r="Z2512" s="1" t="s">
        <v>97</v>
      </c>
      <c r="AA2512" s="1" t="s">
        <v>40856</v>
      </c>
      <c r="AB2512" s="1" t="s">
        <v>309</v>
      </c>
      <c r="AC2512" s="1" t="s">
        <v>97</v>
      </c>
      <c r="AD2512" s="1">
        <v>7.42</v>
      </c>
      <c r="AE2512" s="1" t="s">
        <v>98</v>
      </c>
      <c r="AF2512" s="1" t="s">
        <v>40857</v>
      </c>
      <c r="AG2512" s="1" t="s">
        <v>165</v>
      </c>
      <c r="AH2512" s="1" t="s">
        <v>166</v>
      </c>
      <c r="AI2512" s="1" t="s">
        <v>167</v>
      </c>
      <c r="AJ2512" s="1">
        <v>79.2</v>
      </c>
      <c r="AK2512" s="1"/>
      <c r="AL2512" s="1" t="s">
        <v>40857</v>
      </c>
      <c r="AM2512" s="1" t="s">
        <v>165</v>
      </c>
      <c r="AN2512" s="1" t="s">
        <v>465</v>
      </c>
      <c r="AO2512" s="1" t="s">
        <v>170</v>
      </c>
      <c r="AP2512" s="1" t="s">
        <v>171</v>
      </c>
      <c r="AQ2512" s="1">
        <v>66.92</v>
      </c>
      <c r="AR2512" s="1"/>
      <c r="AS2512" s="1"/>
      <c r="AT2512" s="1"/>
      <c r="AU2512" s="1"/>
      <c r="AV2512" s="1"/>
      <c r="AW2512" s="1"/>
      <c r="AX2512" s="1"/>
      <c r="AY2512" s="1" t="s">
        <v>4385</v>
      </c>
      <c r="AZ2512" s="1" t="s">
        <v>40858</v>
      </c>
      <c r="BA2512" s="1" t="s">
        <v>466</v>
      </c>
      <c r="BB2512" s="1" t="s">
        <v>467</v>
      </c>
      <c r="BC2512" s="1" t="s">
        <v>1065</v>
      </c>
      <c r="BD2512" s="1" t="s">
        <v>1400</v>
      </c>
      <c r="BE2512" s="1">
        <v>70.5</v>
      </c>
      <c r="BF2512" s="1">
        <v>7.8</v>
      </c>
      <c r="BG2512" s="1"/>
      <c r="BH2512" s="1" t="s">
        <v>1062</v>
      </c>
      <c r="BI2512" s="1"/>
      <c r="BJ2512" s="1"/>
      <c r="BK2512" s="1" t="s">
        <v>10037</v>
      </c>
      <c r="BL2512" s="1" t="s">
        <v>935</v>
      </c>
      <c r="BM2512" s="1">
        <v>63.38</v>
      </c>
      <c r="BN2512" s="1"/>
      <c r="BO2512" s="1" t="s">
        <v>40859</v>
      </c>
      <c r="BP2512" s="1" t="s">
        <v>40860</v>
      </c>
      <c r="BQ2512" s="1" t="s">
        <v>893</v>
      </c>
      <c r="BR2512" s="1" t="s">
        <v>40861</v>
      </c>
      <c r="BS2512" s="1">
        <v>47</v>
      </c>
      <c r="BT2512" s="1" t="s">
        <v>40862</v>
      </c>
      <c r="BU2512" s="1" t="str">
        <f>HYPERLINK("https://nconnect.nicmar.ac.in/storage/profile/6a84adcdadc8e.png","Download")</f>
        <v>0</v>
      </c>
      <c r="BV2512" s="3"/>
      <c r="BW2512" s="4">
        <v>1</v>
      </c>
    </row>
    <row r="2513" spans="1:75">
      <c r="A2513" s="1" t="s">
        <v>40863</v>
      </c>
      <c r="B2513" s="1" t="s">
        <v>446</v>
      </c>
      <c r="C2513" s="1" t="s">
        <v>40864</v>
      </c>
      <c r="D2513" s="1" t="s">
        <v>3218</v>
      </c>
      <c r="E2513" s="1" t="s">
        <v>40865</v>
      </c>
      <c r="F2513" s="1" t="s">
        <v>5842</v>
      </c>
      <c r="G2513" s="1" t="s">
        <v>40866</v>
      </c>
      <c r="H2513" s="1" t="s">
        <v>40867</v>
      </c>
      <c r="I2513" s="1" t="s">
        <v>40868</v>
      </c>
      <c r="J2513" s="1">
        <v>7397991328</v>
      </c>
      <c r="K2513" s="1" t="s">
        <v>84</v>
      </c>
      <c r="L2513" s="1" t="s">
        <v>39797</v>
      </c>
      <c r="M2513" s="1" t="s">
        <v>86</v>
      </c>
      <c r="N2513" s="1" t="s">
        <v>3568</v>
      </c>
      <c r="O2513" s="1" t="s">
        <v>157</v>
      </c>
      <c r="P2513" s="1" t="s">
        <v>507</v>
      </c>
      <c r="Q2513" s="1" t="s">
        <v>40869</v>
      </c>
      <c r="R2513" s="1" t="s">
        <v>40870</v>
      </c>
      <c r="S2513" s="1">
        <v>7030701647</v>
      </c>
      <c r="T2513" s="1" t="s">
        <v>40871</v>
      </c>
      <c r="U2513" s="1" t="s">
        <v>40872</v>
      </c>
      <c r="V2513" s="1">
        <v>9922014858</v>
      </c>
      <c r="W2513" s="1" t="s">
        <v>278</v>
      </c>
      <c r="X2513" s="1" t="s">
        <v>40873</v>
      </c>
      <c r="Y2513" s="1" t="s">
        <v>196</v>
      </c>
      <c r="Z2513" s="1" t="s">
        <v>97</v>
      </c>
      <c r="AA2513" s="1" t="s">
        <v>40873</v>
      </c>
      <c r="AB2513" s="1" t="s">
        <v>196</v>
      </c>
      <c r="AC2513" s="1" t="s">
        <v>97</v>
      </c>
      <c r="AD2513" s="1">
        <v>8.65</v>
      </c>
      <c r="AE2513" s="1" t="s">
        <v>98</v>
      </c>
      <c r="AF2513" s="1" t="s">
        <v>40874</v>
      </c>
      <c r="AG2513" s="1" t="s">
        <v>165</v>
      </c>
      <c r="AH2513" s="1" t="s">
        <v>106</v>
      </c>
      <c r="AI2513" s="1" t="s">
        <v>438</v>
      </c>
      <c r="AJ2513" s="1">
        <v>61.2</v>
      </c>
      <c r="AK2513" s="1"/>
      <c r="AL2513" s="1"/>
      <c r="AM2513" s="1"/>
      <c r="AN2513" s="1"/>
      <c r="AO2513" s="1"/>
      <c r="AP2513" s="1"/>
      <c r="AQ2513" s="1"/>
      <c r="AR2513" s="1"/>
      <c r="AS2513" s="1" t="s">
        <v>40875</v>
      </c>
      <c r="AT2513" s="1" t="s">
        <v>40876</v>
      </c>
      <c r="AU2513" s="1" t="s">
        <v>315</v>
      </c>
      <c r="AV2513" s="1" t="s">
        <v>1400</v>
      </c>
      <c r="AW2513" s="1">
        <v>81.11</v>
      </c>
      <c r="AX2513" s="1"/>
      <c r="AY2513" s="1" t="s">
        <v>40877</v>
      </c>
      <c r="AZ2513" s="1" t="s">
        <v>40878</v>
      </c>
      <c r="BA2513" s="1"/>
      <c r="BB2513" s="1"/>
      <c r="BC2513" s="1" t="s">
        <v>1889</v>
      </c>
      <c r="BD2513" s="1" t="s">
        <v>848</v>
      </c>
      <c r="BE2513" s="1">
        <v>61.14</v>
      </c>
      <c r="BF2513" s="1">
        <v>6.87</v>
      </c>
      <c r="BG2513" s="1"/>
      <c r="BH2513" s="1"/>
      <c r="BI2513" s="1"/>
      <c r="BJ2513" s="1"/>
      <c r="BK2513" s="1"/>
      <c r="BL2513" s="1"/>
      <c r="BM2513" s="1"/>
      <c r="BN2513" s="1"/>
      <c r="BO2513" s="1" t="s">
        <v>40879</v>
      </c>
      <c r="BP2513" s="1"/>
      <c r="BQ2513" s="1"/>
      <c r="BR2513" s="1" t="s">
        <v>40880</v>
      </c>
      <c r="BS2513" s="1">
        <v>12</v>
      </c>
      <c r="BT2513" s="1" t="s">
        <v>40881</v>
      </c>
      <c r="BU2513" s="1" t="str">
        <f>HYPERLINK("https://nconnect.nicmar.ac.in/storage/profile/ProfilePhoto_P25707001_689247.jpg","Download")</f>
        <v>0</v>
      </c>
      <c r="BV2513" s="3"/>
      <c r="BW2513" s="3"/>
    </row>
    <row r="2514" spans="1:75">
      <c r="A2514" s="1" t="s">
        <v>40863</v>
      </c>
      <c r="B2514" s="1" t="s">
        <v>446</v>
      </c>
      <c r="C2514" s="1" t="s">
        <v>40882</v>
      </c>
      <c r="D2514" s="1" t="s">
        <v>40883</v>
      </c>
      <c r="E2514" s="1"/>
      <c r="F2514" s="1" t="s">
        <v>40884</v>
      </c>
      <c r="G2514" s="1" t="s">
        <v>40885</v>
      </c>
      <c r="H2514" s="1" t="s">
        <v>40886</v>
      </c>
      <c r="I2514" s="1" t="s">
        <v>40887</v>
      </c>
      <c r="J2514" s="1">
        <v>6281993458</v>
      </c>
      <c r="K2514" s="1" t="s">
        <v>84</v>
      </c>
      <c r="L2514" s="1" t="s">
        <v>6522</v>
      </c>
      <c r="M2514" s="1" t="s">
        <v>86</v>
      </c>
      <c r="N2514" s="1" t="s">
        <v>1813</v>
      </c>
      <c r="O2514" s="1"/>
      <c r="P2514" s="1" t="s">
        <v>455</v>
      </c>
      <c r="Q2514" s="1" t="s">
        <v>40888</v>
      </c>
      <c r="R2514" s="1" t="s">
        <v>40889</v>
      </c>
      <c r="S2514" s="1">
        <v>7702066075</v>
      </c>
      <c r="T2514" s="1" t="s">
        <v>3586</v>
      </c>
      <c r="U2514" s="1" t="s">
        <v>40890</v>
      </c>
      <c r="V2514" s="1">
        <v>7702066075</v>
      </c>
      <c r="W2514" s="1" t="s">
        <v>1620</v>
      </c>
      <c r="X2514" s="1" t="s">
        <v>40891</v>
      </c>
      <c r="Y2514" s="1" t="s">
        <v>1454</v>
      </c>
      <c r="Z2514" s="1" t="s">
        <v>281</v>
      </c>
      <c r="AA2514" s="1" t="s">
        <v>40891</v>
      </c>
      <c r="AB2514" s="1" t="s">
        <v>1454</v>
      </c>
      <c r="AC2514" s="1" t="s">
        <v>281</v>
      </c>
      <c r="AD2514" s="1">
        <v>9.14</v>
      </c>
      <c r="AE2514" s="1" t="s">
        <v>98</v>
      </c>
      <c r="AF2514" s="1" t="s">
        <v>31690</v>
      </c>
      <c r="AG2514" s="1" t="s">
        <v>1418</v>
      </c>
      <c r="AH2514" s="1" t="s">
        <v>170</v>
      </c>
      <c r="AI2514" s="1" t="s">
        <v>286</v>
      </c>
      <c r="AJ2514" s="1">
        <v>98</v>
      </c>
      <c r="AK2514" s="1">
        <v>9.8</v>
      </c>
      <c r="AL2514" s="1"/>
      <c r="AM2514" s="1"/>
      <c r="AN2514" s="1"/>
      <c r="AO2514" s="1"/>
      <c r="AP2514" s="1"/>
      <c r="AQ2514" s="1"/>
      <c r="AR2514" s="1"/>
      <c r="AS2514" s="1" t="s">
        <v>439</v>
      </c>
      <c r="AT2514" s="1" t="s">
        <v>40892</v>
      </c>
      <c r="AU2514" s="1" t="s">
        <v>106</v>
      </c>
      <c r="AV2514" s="1" t="s">
        <v>2304</v>
      </c>
      <c r="AW2514" s="1">
        <v>82.28</v>
      </c>
      <c r="AX2514" s="1"/>
      <c r="AY2514" s="1" t="s">
        <v>40893</v>
      </c>
      <c r="AZ2514" s="1" t="s">
        <v>40894</v>
      </c>
      <c r="BA2514" s="1"/>
      <c r="BB2514" s="1"/>
      <c r="BC2514" s="1" t="s">
        <v>140</v>
      </c>
      <c r="BD2514" s="1" t="s">
        <v>1314</v>
      </c>
      <c r="BE2514" s="1">
        <v>76.4</v>
      </c>
      <c r="BF2514" s="1">
        <v>8.39</v>
      </c>
      <c r="BG2514" s="1"/>
      <c r="BH2514" s="1"/>
      <c r="BI2514" s="1"/>
      <c r="BJ2514" s="1"/>
      <c r="BK2514" s="1"/>
      <c r="BL2514" s="1"/>
      <c r="BM2514" s="1"/>
      <c r="BN2514" s="1"/>
      <c r="BO2514" s="1" t="s">
        <v>40895</v>
      </c>
      <c r="BP2514" s="1"/>
      <c r="BQ2514" s="1"/>
      <c r="BR2514" s="1" t="s">
        <v>40896</v>
      </c>
      <c r="BS2514" s="1">
        <v>45</v>
      </c>
      <c r="BT2514" s="1" t="s">
        <v>40897</v>
      </c>
      <c r="BU2514" s="1" t="str">
        <f>HYPERLINK("https://nconnect.nicmar.ac.in/storage/profile/ProfilePhoto_P25707002_857632.jpg","Download")</f>
        <v>0</v>
      </c>
      <c r="BV2514" s="3"/>
      <c r="BW2514" s="3"/>
    </row>
    <row r="2515" spans="1:75">
      <c r="A2515" s="1" t="s">
        <v>40863</v>
      </c>
      <c r="B2515" s="1" t="s">
        <v>446</v>
      </c>
      <c r="C2515" s="1" t="s">
        <v>40898</v>
      </c>
      <c r="D2515" s="1" t="s">
        <v>40899</v>
      </c>
      <c r="E2515" s="1" t="s">
        <v>26094</v>
      </c>
      <c r="F2515" s="1" t="s">
        <v>40900</v>
      </c>
      <c r="G2515" s="1" t="s">
        <v>40901</v>
      </c>
      <c r="H2515" s="1" t="s">
        <v>40902</v>
      </c>
      <c r="I2515" s="1" t="s">
        <v>40903</v>
      </c>
      <c r="J2515" s="1">
        <v>7264940210</v>
      </c>
      <c r="K2515" s="1" t="s">
        <v>153</v>
      </c>
      <c r="L2515" s="1" t="s">
        <v>28933</v>
      </c>
      <c r="M2515" s="1" t="s">
        <v>86</v>
      </c>
      <c r="N2515" s="1" t="s">
        <v>618</v>
      </c>
      <c r="O2515" s="1" t="s">
        <v>40904</v>
      </c>
      <c r="P2515" s="1" t="s">
        <v>219</v>
      </c>
      <c r="Q2515" s="1" t="s">
        <v>40905</v>
      </c>
      <c r="R2515" s="1" t="s">
        <v>40906</v>
      </c>
      <c r="S2515" s="1">
        <v>7841021061</v>
      </c>
      <c r="T2515" s="1" t="s">
        <v>98</v>
      </c>
      <c r="U2515" s="1" t="s">
        <v>40907</v>
      </c>
      <c r="V2515" s="1">
        <v>9960289259</v>
      </c>
      <c r="W2515" s="1" t="s">
        <v>159</v>
      </c>
      <c r="X2515" s="1" t="s">
        <v>40908</v>
      </c>
      <c r="Y2515" s="1" t="s">
        <v>1033</v>
      </c>
      <c r="Z2515" s="1" t="s">
        <v>97</v>
      </c>
      <c r="AA2515" s="1" t="s">
        <v>40909</v>
      </c>
      <c r="AB2515" s="1" t="s">
        <v>1033</v>
      </c>
      <c r="AC2515" s="1" t="s">
        <v>97</v>
      </c>
      <c r="AD2515" s="1">
        <v>9.51</v>
      </c>
      <c r="AE2515" s="1" t="s">
        <v>98</v>
      </c>
      <c r="AF2515" s="1" t="s">
        <v>40910</v>
      </c>
      <c r="AG2515" s="1" t="s">
        <v>165</v>
      </c>
      <c r="AH2515" s="1" t="s">
        <v>166</v>
      </c>
      <c r="AI2515" s="1" t="s">
        <v>167</v>
      </c>
      <c r="AJ2515" s="1">
        <v>94.6</v>
      </c>
      <c r="AK2515" s="1"/>
      <c r="AL2515" s="1" t="s">
        <v>40911</v>
      </c>
      <c r="AM2515" s="1" t="s">
        <v>165</v>
      </c>
      <c r="AN2515" s="1" t="s">
        <v>575</v>
      </c>
      <c r="AO2515" s="1" t="s">
        <v>170</v>
      </c>
      <c r="AP2515" s="1" t="s">
        <v>171</v>
      </c>
      <c r="AQ2515" s="1">
        <v>79.54</v>
      </c>
      <c r="AR2515" s="1"/>
      <c r="AS2515" s="1"/>
      <c r="AT2515" s="1"/>
      <c r="AU2515" s="1"/>
      <c r="AV2515" s="1"/>
      <c r="AW2515" s="1"/>
      <c r="AX2515" s="1"/>
      <c r="AY2515" s="1" t="s">
        <v>366</v>
      </c>
      <c r="AZ2515" s="1" t="s">
        <v>40912</v>
      </c>
      <c r="BA2515" s="1" t="s">
        <v>578</v>
      </c>
      <c r="BB2515" s="1" t="s">
        <v>467</v>
      </c>
      <c r="BC2515" s="1" t="s">
        <v>206</v>
      </c>
      <c r="BD2515" s="1" t="s">
        <v>179</v>
      </c>
      <c r="BE2515" s="1">
        <v>84.74</v>
      </c>
      <c r="BF2515" s="1">
        <v>8.92</v>
      </c>
      <c r="BG2515" s="1"/>
      <c r="BH2515" s="1"/>
      <c r="BI2515" s="1"/>
      <c r="BJ2515" s="1"/>
      <c r="BK2515" s="1"/>
      <c r="BL2515" s="1"/>
      <c r="BM2515" s="1"/>
      <c r="BN2515" s="1"/>
      <c r="BO2515" s="1" t="s">
        <v>40913</v>
      </c>
      <c r="BP2515" s="1" t="s">
        <v>40914</v>
      </c>
      <c r="BQ2515" s="1" t="s">
        <v>1070</v>
      </c>
      <c r="BR2515" s="1" t="s">
        <v>40915</v>
      </c>
      <c r="BS2515" s="1">
        <v>15</v>
      </c>
      <c r="BT2515" s="1" t="s">
        <v>40916</v>
      </c>
      <c r="BU2515" s="1" t="str">
        <f>HYPERLINK("https://nconnect.nicmar.ac.in/storage/profile/ProfilePhoto_P25707003_426789.jpg","Download")</f>
        <v>0</v>
      </c>
      <c r="BV2515" s="3"/>
      <c r="BW2515" s="3"/>
    </row>
    <row r="2516" spans="1:75">
      <c r="A2516" s="1" t="s">
        <v>40863</v>
      </c>
      <c r="B2516" s="1" t="s">
        <v>446</v>
      </c>
      <c r="C2516" s="1" t="s">
        <v>40917</v>
      </c>
      <c r="D2516" s="1" t="s">
        <v>40918</v>
      </c>
      <c r="E2516" s="1" t="s">
        <v>40919</v>
      </c>
      <c r="F2516" s="1" t="s">
        <v>40920</v>
      </c>
      <c r="G2516" s="1" t="s">
        <v>40921</v>
      </c>
      <c r="H2516" s="1" t="s">
        <v>40922</v>
      </c>
      <c r="I2516" s="1" t="s">
        <v>40923</v>
      </c>
      <c r="J2516" s="1">
        <v>9496455900</v>
      </c>
      <c r="K2516" s="1" t="s">
        <v>153</v>
      </c>
      <c r="L2516" s="1" t="s">
        <v>40924</v>
      </c>
      <c r="M2516" s="1" t="s">
        <v>86</v>
      </c>
      <c r="N2516" s="1" t="s">
        <v>17425</v>
      </c>
      <c r="O2516" s="1"/>
      <c r="P2516" s="1" t="s">
        <v>481</v>
      </c>
      <c r="Q2516" s="1" t="s">
        <v>40925</v>
      </c>
      <c r="R2516" s="1" t="s">
        <v>40926</v>
      </c>
      <c r="S2516" s="1">
        <v>9400000124</v>
      </c>
      <c r="T2516" s="1" t="s">
        <v>40927</v>
      </c>
      <c r="U2516" s="1" t="s">
        <v>40928</v>
      </c>
      <c r="V2516" s="1">
        <v>9496455800</v>
      </c>
      <c r="W2516" s="1" t="s">
        <v>161</v>
      </c>
      <c r="X2516" s="1" t="s">
        <v>40929</v>
      </c>
      <c r="Y2516" s="1" t="s">
        <v>701</v>
      </c>
      <c r="Z2516" s="1" t="s">
        <v>130</v>
      </c>
      <c r="AA2516" s="1" t="s">
        <v>40929</v>
      </c>
      <c r="AB2516" s="1" t="s">
        <v>701</v>
      </c>
      <c r="AC2516" s="1" t="s">
        <v>130</v>
      </c>
      <c r="AD2516" s="1">
        <v>8.88</v>
      </c>
      <c r="AE2516" s="1" t="s">
        <v>98</v>
      </c>
      <c r="AF2516" s="1" t="s">
        <v>40930</v>
      </c>
      <c r="AG2516" s="1" t="s">
        <v>1721</v>
      </c>
      <c r="AH2516" s="1" t="s">
        <v>2726</v>
      </c>
      <c r="AI2516" s="1" t="s">
        <v>134</v>
      </c>
      <c r="AJ2516" s="1">
        <v>83.6</v>
      </c>
      <c r="AK2516" s="1">
        <v>8.8</v>
      </c>
      <c r="AL2516" s="1" t="s">
        <v>40930</v>
      </c>
      <c r="AM2516" s="1" t="s">
        <v>312</v>
      </c>
      <c r="AN2516" s="1"/>
      <c r="AO2516" s="1" t="s">
        <v>1262</v>
      </c>
      <c r="AP2516" s="1" t="s">
        <v>136</v>
      </c>
      <c r="AQ2516" s="1">
        <v>81.6</v>
      </c>
      <c r="AR2516" s="1"/>
      <c r="AS2516" s="1"/>
      <c r="AT2516" s="1"/>
      <c r="AU2516" s="1"/>
      <c r="AV2516" s="1"/>
      <c r="AW2516" s="1"/>
      <c r="AX2516" s="1"/>
      <c r="AY2516" s="1" t="s">
        <v>706</v>
      </c>
      <c r="AZ2516" s="1" t="s">
        <v>22841</v>
      </c>
      <c r="BA2516" s="1"/>
      <c r="BB2516" s="1"/>
      <c r="BC2516" s="1" t="s">
        <v>136</v>
      </c>
      <c r="BD2516" s="1" t="s">
        <v>315</v>
      </c>
      <c r="BE2516" s="1">
        <v>66.45</v>
      </c>
      <c r="BF2516" s="1">
        <v>7.02</v>
      </c>
      <c r="BG2516" s="1"/>
      <c r="BH2516" s="1"/>
      <c r="BI2516" s="1"/>
      <c r="BJ2516" s="1"/>
      <c r="BK2516" s="1"/>
      <c r="BL2516" s="1"/>
      <c r="BM2516" s="1"/>
      <c r="BN2516" s="1"/>
      <c r="BO2516" s="1" t="s">
        <v>3814</v>
      </c>
      <c r="BP2516" s="1" t="s">
        <v>40931</v>
      </c>
      <c r="BQ2516" s="1" t="s">
        <v>1152</v>
      </c>
      <c r="BR2516" s="1" t="s">
        <v>40932</v>
      </c>
      <c r="BS2516" s="1">
        <v>1</v>
      </c>
      <c r="BT2516" s="1" t="s">
        <v>40933</v>
      </c>
      <c r="BU2516" s="1" t="str">
        <f>HYPERLINK("https://nconnect.nicmar.ac.in/storage/profile/ProfilePhoto_P25707004_475816.jpg","Download")</f>
        <v>0</v>
      </c>
      <c r="BV2516" s="3"/>
      <c r="BW2516" s="3"/>
    </row>
    <row r="2517" spans="1:75">
      <c r="A2517" s="1" t="s">
        <v>40863</v>
      </c>
      <c r="B2517" s="1" t="s">
        <v>446</v>
      </c>
      <c r="C2517" s="1" t="s">
        <v>40934</v>
      </c>
      <c r="D2517" s="1" t="s">
        <v>32673</v>
      </c>
      <c r="E2517" s="1"/>
      <c r="F2517" s="1" t="s">
        <v>40935</v>
      </c>
      <c r="G2517" s="1" t="s">
        <v>40936</v>
      </c>
      <c r="H2517" s="1" t="s">
        <v>40937</v>
      </c>
      <c r="I2517" s="1" t="s">
        <v>40938</v>
      </c>
      <c r="J2517" s="1">
        <v>9663116476</v>
      </c>
      <c r="K2517" s="1" t="s">
        <v>84</v>
      </c>
      <c r="L2517" s="1" t="s">
        <v>5155</v>
      </c>
      <c r="M2517" s="1" t="s">
        <v>86</v>
      </c>
      <c r="N2517" s="1" t="s">
        <v>14572</v>
      </c>
      <c r="O2517" s="1"/>
      <c r="P2517" s="1" t="s">
        <v>1028</v>
      </c>
      <c r="Q2517" s="1" t="s">
        <v>40939</v>
      </c>
      <c r="R2517" s="1" t="s">
        <v>40940</v>
      </c>
      <c r="S2517" s="1">
        <v>9164580389</v>
      </c>
      <c r="T2517" s="1" t="s">
        <v>382</v>
      </c>
      <c r="U2517" s="1" t="s">
        <v>40941</v>
      </c>
      <c r="V2517" s="1">
        <v>7922897285</v>
      </c>
      <c r="W2517" s="1" t="s">
        <v>541</v>
      </c>
      <c r="X2517" s="1" t="s">
        <v>40942</v>
      </c>
      <c r="Y2517" s="1" t="s">
        <v>9074</v>
      </c>
      <c r="Z2517" s="1" t="s">
        <v>1210</v>
      </c>
      <c r="AA2517" s="1" t="s">
        <v>40942</v>
      </c>
      <c r="AB2517" s="1" t="s">
        <v>9074</v>
      </c>
      <c r="AC2517" s="1" t="s">
        <v>1210</v>
      </c>
      <c r="AD2517" s="1">
        <v>7.51</v>
      </c>
      <c r="AE2517" s="1" t="s">
        <v>98</v>
      </c>
      <c r="AF2517" s="1" t="s">
        <v>40943</v>
      </c>
      <c r="AG2517" s="1" t="s">
        <v>40944</v>
      </c>
      <c r="AH2517" s="1" t="s">
        <v>3285</v>
      </c>
      <c r="AI2517" s="1" t="s">
        <v>704</v>
      </c>
      <c r="AJ2517" s="1">
        <v>77.9</v>
      </c>
      <c r="AK2517" s="1">
        <v>8.2</v>
      </c>
      <c r="AL2517" s="1" t="s">
        <v>40945</v>
      </c>
      <c r="AM2517" s="1" t="s">
        <v>40946</v>
      </c>
      <c r="AN2517" s="1"/>
      <c r="AO2517" s="1" t="s">
        <v>167</v>
      </c>
      <c r="AP2517" s="1" t="s">
        <v>414</v>
      </c>
      <c r="AQ2517" s="1">
        <v>57</v>
      </c>
      <c r="AR2517" s="1"/>
      <c r="AS2517" s="1"/>
      <c r="AT2517" s="1"/>
      <c r="AU2517" s="1"/>
      <c r="AV2517" s="1"/>
      <c r="AW2517" s="1"/>
      <c r="AX2517" s="1"/>
      <c r="AY2517" s="1" t="s">
        <v>40947</v>
      </c>
      <c r="AZ2517" s="1" t="s">
        <v>40946</v>
      </c>
      <c r="BA2517" s="1"/>
      <c r="BB2517" s="1"/>
      <c r="BC2517" s="1" t="s">
        <v>315</v>
      </c>
      <c r="BD2517" s="1" t="s">
        <v>1132</v>
      </c>
      <c r="BE2517" s="1">
        <v>0</v>
      </c>
      <c r="BF2517" s="1"/>
      <c r="BG2517" s="1"/>
      <c r="BH2517" s="1"/>
      <c r="BI2517" s="1"/>
      <c r="BJ2517" s="1"/>
      <c r="BK2517" s="1"/>
      <c r="BL2517" s="1"/>
      <c r="BM2517" s="1"/>
      <c r="BN2517" s="1"/>
      <c r="BO2517" s="1" t="s">
        <v>1890</v>
      </c>
      <c r="BP2517" s="1"/>
      <c r="BQ2517" s="1"/>
      <c r="BR2517" s="1" t="s">
        <v>40948</v>
      </c>
      <c r="BS2517" s="1">
        <v>20</v>
      </c>
      <c r="BT2517" s="1"/>
      <c r="BU2517" s="1" t="str">
        <f>HYPERLINK("https://nconnect.nicmar.ac.in/storage/profile/ProfilePhoto_P25707005_192873.jpg","Download")</f>
        <v>0</v>
      </c>
      <c r="BV2517" s="3"/>
      <c r="BW2517" s="3"/>
    </row>
    <row r="2518" spans="1:75">
      <c r="A2518" s="1" t="s">
        <v>40863</v>
      </c>
      <c r="B2518" s="1" t="s">
        <v>446</v>
      </c>
      <c r="C2518" s="1" t="s">
        <v>40949</v>
      </c>
      <c r="D2518" s="1" t="s">
        <v>40950</v>
      </c>
      <c r="E2518" s="1"/>
      <c r="F2518" s="1" t="s">
        <v>40951</v>
      </c>
      <c r="G2518" s="1" t="s">
        <v>40952</v>
      </c>
      <c r="H2518" s="1" t="s">
        <v>40953</v>
      </c>
      <c r="I2518" s="1" t="s">
        <v>40954</v>
      </c>
      <c r="J2518" s="1">
        <v>9502853807</v>
      </c>
      <c r="K2518" s="1" t="s">
        <v>84</v>
      </c>
      <c r="L2518" s="1" t="s">
        <v>17838</v>
      </c>
      <c r="M2518" s="1" t="s">
        <v>86</v>
      </c>
      <c r="N2518" s="1" t="s">
        <v>22216</v>
      </c>
      <c r="O2518" s="1"/>
      <c r="P2518" s="1" t="s">
        <v>507</v>
      </c>
      <c r="Q2518" s="1" t="s">
        <v>40955</v>
      </c>
      <c r="R2518" s="1" t="s">
        <v>40956</v>
      </c>
      <c r="S2518" s="1">
        <v>9618386467</v>
      </c>
      <c r="T2518" s="1" t="s">
        <v>159</v>
      </c>
      <c r="U2518" s="1" t="s">
        <v>40957</v>
      </c>
      <c r="V2518" s="1">
        <v>8897348079</v>
      </c>
      <c r="W2518" s="1" t="s">
        <v>40958</v>
      </c>
      <c r="X2518" s="1" t="s">
        <v>40959</v>
      </c>
      <c r="Y2518" s="1" t="s">
        <v>3590</v>
      </c>
      <c r="Z2518" s="1" t="s">
        <v>281</v>
      </c>
      <c r="AA2518" s="1" t="s">
        <v>40959</v>
      </c>
      <c r="AB2518" s="1" t="s">
        <v>3590</v>
      </c>
      <c r="AC2518" s="1" t="s">
        <v>281</v>
      </c>
      <c r="AD2518" s="1">
        <v>9.27</v>
      </c>
      <c r="AE2518" s="1" t="s">
        <v>98</v>
      </c>
      <c r="AF2518" s="1" t="s">
        <v>40960</v>
      </c>
      <c r="AG2518" s="1" t="s">
        <v>2341</v>
      </c>
      <c r="AH2518" s="1" t="s">
        <v>170</v>
      </c>
      <c r="AI2518" s="1" t="s">
        <v>286</v>
      </c>
      <c r="AJ2518" s="1">
        <v>87</v>
      </c>
      <c r="AK2518" s="1">
        <v>8.7</v>
      </c>
      <c r="AL2518" s="1" t="s">
        <v>1843</v>
      </c>
      <c r="AM2518" s="1" t="s">
        <v>2343</v>
      </c>
      <c r="AN2518" s="1" t="s">
        <v>465</v>
      </c>
      <c r="AO2518" s="1" t="s">
        <v>106</v>
      </c>
      <c r="AP2518" s="1" t="s">
        <v>603</v>
      </c>
      <c r="AQ2518" s="1">
        <v>74.7</v>
      </c>
      <c r="AR2518" s="1">
        <v>7.84</v>
      </c>
      <c r="AS2518" s="1"/>
      <c r="AT2518" s="1"/>
      <c r="AU2518" s="1"/>
      <c r="AV2518" s="1"/>
      <c r="AW2518" s="1"/>
      <c r="AX2518" s="1"/>
      <c r="AY2518" s="1" t="s">
        <v>40961</v>
      </c>
      <c r="AZ2518" s="1" t="s">
        <v>40962</v>
      </c>
      <c r="BA2518" s="1" t="s">
        <v>466</v>
      </c>
      <c r="BB2518" s="1" t="s">
        <v>40963</v>
      </c>
      <c r="BC2518" s="1" t="s">
        <v>468</v>
      </c>
      <c r="BD2518" s="1" t="s">
        <v>418</v>
      </c>
      <c r="BE2518" s="1">
        <v>85.1</v>
      </c>
      <c r="BF2518" s="1">
        <v>8.51</v>
      </c>
      <c r="BG2518" s="1"/>
      <c r="BH2518" s="1"/>
      <c r="BI2518" s="1"/>
      <c r="BJ2518" s="1"/>
      <c r="BK2518" s="1"/>
      <c r="BL2518" s="1"/>
      <c r="BM2518" s="1"/>
      <c r="BN2518" s="1"/>
      <c r="BO2518" s="1" t="s">
        <v>40964</v>
      </c>
      <c r="BP2518" s="1"/>
      <c r="BQ2518" s="1"/>
      <c r="BR2518" s="1" t="s">
        <v>40965</v>
      </c>
      <c r="BS2518" s="1">
        <v>26</v>
      </c>
      <c r="BT2518" s="1" t="s">
        <v>40966</v>
      </c>
      <c r="BU2518" s="1" t="str">
        <f>HYPERLINK("https://nconnect.nicmar.ac.in/storage/profile/ProfilePhoto_P25707007_687459.jpg","Download")</f>
        <v>0</v>
      </c>
      <c r="BV2518" s="3"/>
      <c r="BW2518" s="3"/>
    </row>
    <row r="2519" spans="1:75">
      <c r="A2519" s="1" t="s">
        <v>40863</v>
      </c>
      <c r="B2519" s="1" t="s">
        <v>446</v>
      </c>
      <c r="C2519" s="1" t="s">
        <v>40967</v>
      </c>
      <c r="D2519" s="1" t="s">
        <v>689</v>
      </c>
      <c r="E2519" s="1"/>
      <c r="F2519" s="1" t="s">
        <v>30424</v>
      </c>
      <c r="G2519" s="1" t="s">
        <v>40968</v>
      </c>
      <c r="H2519" s="1" t="s">
        <v>40969</v>
      </c>
      <c r="I2519" s="1" t="s">
        <v>40970</v>
      </c>
      <c r="J2519" s="1">
        <v>7907781254</v>
      </c>
      <c r="K2519" s="1" t="s">
        <v>153</v>
      </c>
      <c r="L2519" s="1" t="s">
        <v>40971</v>
      </c>
      <c r="M2519" s="1" t="s">
        <v>86</v>
      </c>
      <c r="N2519" s="1" t="s">
        <v>1300</v>
      </c>
      <c r="O2519" s="1"/>
      <c r="P2519" s="1" t="s">
        <v>507</v>
      </c>
      <c r="Q2519" s="1" t="s">
        <v>40972</v>
      </c>
      <c r="R2519" s="1" t="s">
        <v>40973</v>
      </c>
      <c r="S2519" s="1">
        <v>9048715537</v>
      </c>
      <c r="T2519" s="1" t="s">
        <v>839</v>
      </c>
      <c r="U2519" s="1" t="s">
        <v>40974</v>
      </c>
      <c r="V2519" s="1">
        <v>9946909937</v>
      </c>
      <c r="W2519" s="1" t="s">
        <v>1816</v>
      </c>
      <c r="X2519" s="1" t="s">
        <v>40975</v>
      </c>
      <c r="Y2519" s="1" t="s">
        <v>129</v>
      </c>
      <c r="Z2519" s="1" t="s">
        <v>130</v>
      </c>
      <c r="AA2519" s="1" t="s">
        <v>40975</v>
      </c>
      <c r="AB2519" s="1" t="s">
        <v>129</v>
      </c>
      <c r="AC2519" s="1" t="s">
        <v>130</v>
      </c>
      <c r="AD2519" s="1">
        <v>9.55</v>
      </c>
      <c r="AE2519" s="1" t="s">
        <v>98</v>
      </c>
      <c r="AF2519" s="1" t="s">
        <v>40976</v>
      </c>
      <c r="AG2519" s="1" t="s">
        <v>5972</v>
      </c>
      <c r="AH2519" s="1" t="s">
        <v>1213</v>
      </c>
      <c r="AI2519" s="1" t="s">
        <v>515</v>
      </c>
      <c r="AJ2519" s="1">
        <v>95</v>
      </c>
      <c r="AK2519" s="1"/>
      <c r="AL2519" s="1" t="s">
        <v>40977</v>
      </c>
      <c r="AM2519" s="1" t="s">
        <v>40978</v>
      </c>
      <c r="AN2519" s="1" t="s">
        <v>575</v>
      </c>
      <c r="AO2519" s="1" t="s">
        <v>166</v>
      </c>
      <c r="AP2519" s="1" t="s">
        <v>1111</v>
      </c>
      <c r="AQ2519" s="1">
        <v>96</v>
      </c>
      <c r="AR2519" s="1"/>
      <c r="AS2519" s="1"/>
      <c r="AT2519" s="1"/>
      <c r="AU2519" s="1"/>
      <c r="AV2519" s="1"/>
      <c r="AW2519" s="1"/>
      <c r="AX2519" s="1"/>
      <c r="AY2519" s="1" t="s">
        <v>40979</v>
      </c>
      <c r="AZ2519" s="1" t="s">
        <v>40980</v>
      </c>
      <c r="BA2519" s="1" t="s">
        <v>466</v>
      </c>
      <c r="BB2519" s="1" t="s">
        <v>467</v>
      </c>
      <c r="BC2519" s="1" t="s">
        <v>139</v>
      </c>
      <c r="BD2519" s="1" t="s">
        <v>1647</v>
      </c>
      <c r="BE2519" s="1">
        <v>73.95</v>
      </c>
      <c r="BF2519" s="1">
        <v>7.77</v>
      </c>
      <c r="BG2519" s="1"/>
      <c r="BH2519" s="1"/>
      <c r="BI2519" s="1"/>
      <c r="BJ2519" s="1"/>
      <c r="BK2519" s="1"/>
      <c r="BL2519" s="1"/>
      <c r="BM2519" s="1"/>
      <c r="BN2519" s="1"/>
      <c r="BO2519" s="1" t="s">
        <v>40981</v>
      </c>
      <c r="BP2519" s="1" t="s">
        <v>40982</v>
      </c>
      <c r="BQ2519" s="1" t="s">
        <v>8010</v>
      </c>
      <c r="BR2519" s="1" t="s">
        <v>40983</v>
      </c>
      <c r="BS2519" s="1">
        <v>10</v>
      </c>
      <c r="BT2519" s="1" t="s">
        <v>40984</v>
      </c>
      <c r="BU2519" s="1" t="str">
        <f>HYPERLINK("https://nconnect.nicmar.ac.in/storage/profile/ProfilePhoto_P25707008_267589.jpg","Download")</f>
        <v>0</v>
      </c>
      <c r="BV2519" s="3"/>
      <c r="BW2519" s="3"/>
    </row>
    <row r="2520" spans="1:75">
      <c r="A2520" s="1" t="s">
        <v>40863</v>
      </c>
      <c r="B2520" s="1" t="s">
        <v>446</v>
      </c>
      <c r="C2520" s="1" t="s">
        <v>40985</v>
      </c>
      <c r="D2520" s="1" t="s">
        <v>40986</v>
      </c>
      <c r="E2520" s="1"/>
      <c r="F2520" s="1" t="s">
        <v>40987</v>
      </c>
      <c r="G2520" s="1" t="s">
        <v>40988</v>
      </c>
      <c r="H2520" s="1" t="s">
        <v>40989</v>
      </c>
      <c r="I2520" s="1" t="s">
        <v>40990</v>
      </c>
      <c r="J2520" s="1">
        <v>8056007744</v>
      </c>
      <c r="K2520" s="1" t="s">
        <v>153</v>
      </c>
      <c r="L2520" s="1" t="s">
        <v>20226</v>
      </c>
      <c r="M2520" s="1" t="s">
        <v>86</v>
      </c>
      <c r="N2520" s="1" t="s">
        <v>40991</v>
      </c>
      <c r="O2520" s="1"/>
      <c r="P2520" s="1" t="s">
        <v>481</v>
      </c>
      <c r="Q2520" s="1" t="s">
        <v>40992</v>
      </c>
      <c r="R2520" s="1" t="s">
        <v>40993</v>
      </c>
      <c r="S2520" s="1">
        <v>9611211744</v>
      </c>
      <c r="T2520" s="1" t="s">
        <v>40994</v>
      </c>
      <c r="U2520" s="1" t="s">
        <v>40995</v>
      </c>
      <c r="V2520" s="1">
        <v>8056011186</v>
      </c>
      <c r="W2520" s="1" t="s">
        <v>94</v>
      </c>
      <c r="X2520" s="1" t="s">
        <v>40996</v>
      </c>
      <c r="Y2520" s="1" t="s">
        <v>1498</v>
      </c>
      <c r="Z2520" s="1" t="s">
        <v>570</v>
      </c>
      <c r="AA2520" s="1" t="s">
        <v>40996</v>
      </c>
      <c r="AB2520" s="1" t="s">
        <v>1498</v>
      </c>
      <c r="AC2520" s="1" t="s">
        <v>570</v>
      </c>
      <c r="AD2520" s="1">
        <v>9.98</v>
      </c>
      <c r="AE2520" s="1" t="s">
        <v>98</v>
      </c>
      <c r="AF2520" s="1" t="s">
        <v>40997</v>
      </c>
      <c r="AG2520" s="1" t="s">
        <v>40998</v>
      </c>
      <c r="AH2520" s="1" t="s">
        <v>284</v>
      </c>
      <c r="AI2520" s="1" t="s">
        <v>106</v>
      </c>
      <c r="AJ2520" s="1">
        <v>90.6</v>
      </c>
      <c r="AK2520" s="1"/>
      <c r="AL2520" s="1" t="s">
        <v>40997</v>
      </c>
      <c r="AM2520" s="1" t="s">
        <v>40998</v>
      </c>
      <c r="AN2520" s="1" t="s">
        <v>575</v>
      </c>
      <c r="AO2520" s="1" t="s">
        <v>106</v>
      </c>
      <c r="AP2520" s="1" t="s">
        <v>1040</v>
      </c>
      <c r="AQ2520" s="1">
        <v>93.2</v>
      </c>
      <c r="AR2520" s="1"/>
      <c r="AS2520" s="1"/>
      <c r="AT2520" s="1"/>
      <c r="AU2520" s="1"/>
      <c r="AV2520" s="1"/>
      <c r="AW2520" s="1"/>
      <c r="AX2520" s="1"/>
      <c r="AY2520" s="1" t="s">
        <v>40999</v>
      </c>
      <c r="AZ2520" s="1" t="s">
        <v>41000</v>
      </c>
      <c r="BA2520" s="1" t="s">
        <v>37920</v>
      </c>
      <c r="BB2520" s="1" t="s">
        <v>1062</v>
      </c>
      <c r="BC2520" s="1" t="s">
        <v>890</v>
      </c>
      <c r="BD2520" s="1" t="s">
        <v>579</v>
      </c>
      <c r="BE2520" s="1">
        <v>82.25</v>
      </c>
      <c r="BF2520" s="1">
        <v>8.22</v>
      </c>
      <c r="BG2520" s="1"/>
      <c r="BH2520" s="1"/>
      <c r="BI2520" s="1"/>
      <c r="BJ2520" s="1"/>
      <c r="BK2520" s="1"/>
      <c r="BL2520" s="1"/>
      <c r="BM2520" s="1"/>
      <c r="BN2520" s="1"/>
      <c r="BO2520" s="1" t="s">
        <v>41001</v>
      </c>
      <c r="BP2520" s="1" t="s">
        <v>41002</v>
      </c>
      <c r="BQ2520" s="1" t="s">
        <v>893</v>
      </c>
      <c r="BR2520" s="1" t="s">
        <v>41003</v>
      </c>
      <c r="BS2520" s="1">
        <v>8</v>
      </c>
      <c r="BT2520" s="1" t="s">
        <v>41004</v>
      </c>
      <c r="BU2520" s="1" t="str">
        <f>HYPERLINK("https://nconnect.nicmar.ac.in/storage/profile/ProfilePhoto_P25707011_829531.jpg","Download")</f>
        <v>0</v>
      </c>
      <c r="BV2520" s="3"/>
      <c r="BW2520" s="3"/>
    </row>
    <row r="2521" spans="1:75">
      <c r="A2521" s="1" t="s">
        <v>40863</v>
      </c>
      <c r="B2521" s="1" t="s">
        <v>446</v>
      </c>
      <c r="C2521" s="1" t="s">
        <v>41005</v>
      </c>
      <c r="D2521" s="1" t="s">
        <v>34570</v>
      </c>
      <c r="E2521" s="1" t="s">
        <v>3058</v>
      </c>
      <c r="F2521" s="1" t="s">
        <v>41006</v>
      </c>
      <c r="G2521" s="1" t="s">
        <v>41007</v>
      </c>
      <c r="H2521" s="1" t="s">
        <v>41008</v>
      </c>
      <c r="I2521" s="1" t="s">
        <v>41009</v>
      </c>
      <c r="J2521" s="1">
        <v>8830287545</v>
      </c>
      <c r="K2521" s="1" t="s">
        <v>153</v>
      </c>
      <c r="L2521" s="1" t="s">
        <v>41010</v>
      </c>
      <c r="M2521" s="1" t="s">
        <v>86</v>
      </c>
      <c r="N2521" s="1" t="s">
        <v>3568</v>
      </c>
      <c r="O2521" s="1"/>
      <c r="P2521" s="1" t="s">
        <v>455</v>
      </c>
      <c r="Q2521" s="1" t="s">
        <v>41011</v>
      </c>
      <c r="R2521" s="1" t="s">
        <v>41012</v>
      </c>
      <c r="S2521" s="1">
        <v>9561742713</v>
      </c>
      <c r="T2521" s="1" t="s">
        <v>3788</v>
      </c>
      <c r="U2521" s="1" t="s">
        <v>41013</v>
      </c>
      <c r="V2521" s="1">
        <v>7744983743</v>
      </c>
      <c r="W2521" s="1" t="s">
        <v>161</v>
      </c>
      <c r="X2521" s="1" t="s">
        <v>41014</v>
      </c>
      <c r="Y2521" s="1" t="s">
        <v>196</v>
      </c>
      <c r="Z2521" s="1" t="s">
        <v>97</v>
      </c>
      <c r="AA2521" s="1" t="s">
        <v>41014</v>
      </c>
      <c r="AB2521" s="1" t="s">
        <v>196</v>
      </c>
      <c r="AC2521" s="1" t="s">
        <v>97</v>
      </c>
      <c r="AD2521" s="1">
        <v>8.48</v>
      </c>
      <c r="AE2521" s="1" t="s">
        <v>98</v>
      </c>
      <c r="AF2521" s="1" t="s">
        <v>13968</v>
      </c>
      <c r="AG2521" s="1" t="s">
        <v>2745</v>
      </c>
      <c r="AH2521" s="1" t="s">
        <v>106</v>
      </c>
      <c r="AI2521" s="1" t="s">
        <v>414</v>
      </c>
      <c r="AJ2521" s="1">
        <v>67.2</v>
      </c>
      <c r="AK2521" s="1"/>
      <c r="AL2521" s="1"/>
      <c r="AM2521" s="1"/>
      <c r="AN2521" s="1"/>
      <c r="AO2521" s="1"/>
      <c r="AP2521" s="1"/>
      <c r="AQ2521" s="1"/>
      <c r="AR2521" s="1"/>
      <c r="AS2521" s="1" t="s">
        <v>7263</v>
      </c>
      <c r="AT2521" s="1" t="s">
        <v>41015</v>
      </c>
      <c r="AU2521" s="1" t="s">
        <v>206</v>
      </c>
      <c r="AV2521" s="1" t="s">
        <v>1400</v>
      </c>
      <c r="AW2521" s="1">
        <v>81.95</v>
      </c>
      <c r="AX2521" s="1"/>
      <c r="AY2521" s="1" t="s">
        <v>366</v>
      </c>
      <c r="AZ2521" s="1" t="s">
        <v>41016</v>
      </c>
      <c r="BA2521" s="1" t="s">
        <v>578</v>
      </c>
      <c r="BB2521" s="1" t="s">
        <v>467</v>
      </c>
      <c r="BC2521" s="1" t="s">
        <v>1889</v>
      </c>
      <c r="BD2521" s="1" t="s">
        <v>848</v>
      </c>
      <c r="BE2521" s="1">
        <v>58.91</v>
      </c>
      <c r="BF2521" s="1">
        <v>6.62</v>
      </c>
      <c r="BG2521" s="1"/>
      <c r="BH2521" s="1"/>
      <c r="BI2521" s="1"/>
      <c r="BJ2521" s="1"/>
      <c r="BK2521" s="1"/>
      <c r="BL2521" s="1"/>
      <c r="BM2521" s="1"/>
      <c r="BN2521" s="1"/>
      <c r="BO2521" s="1" t="s">
        <v>369</v>
      </c>
      <c r="BP2521" s="1"/>
      <c r="BQ2521" s="1"/>
      <c r="BR2521" s="1" t="s">
        <v>41017</v>
      </c>
      <c r="BS2521" s="1">
        <v>38</v>
      </c>
      <c r="BT2521" s="1" t="s">
        <v>41018</v>
      </c>
      <c r="BU2521" s="1" t="str">
        <f>HYPERLINK("https://nconnect.nicmar.ac.in/storage/profile/ProfilePhoto_P25707012_126357.jpg","Download")</f>
        <v>0</v>
      </c>
      <c r="BV2521" s="3"/>
      <c r="BW2521" s="3"/>
    </row>
    <row r="2522" spans="1:75">
      <c r="A2522" s="1" t="s">
        <v>40863</v>
      </c>
      <c r="B2522" s="1" t="s">
        <v>446</v>
      </c>
      <c r="C2522" s="1" t="s">
        <v>41019</v>
      </c>
      <c r="D2522" s="1" t="s">
        <v>36465</v>
      </c>
      <c r="E2522" s="1"/>
      <c r="F2522" s="1" t="s">
        <v>41020</v>
      </c>
      <c r="G2522" s="1" t="s">
        <v>41021</v>
      </c>
      <c r="H2522" s="1" t="s">
        <v>41022</v>
      </c>
      <c r="I2522" s="1" t="s">
        <v>41023</v>
      </c>
      <c r="J2522" s="1">
        <v>7982326477</v>
      </c>
      <c r="K2522" s="1" t="s">
        <v>153</v>
      </c>
      <c r="L2522" s="1" t="s">
        <v>41024</v>
      </c>
      <c r="M2522" s="1" t="s">
        <v>86</v>
      </c>
      <c r="N2522" s="1" t="s">
        <v>4278</v>
      </c>
      <c r="O2522" s="1"/>
      <c r="P2522" s="1" t="s">
        <v>507</v>
      </c>
      <c r="Q2522" s="1" t="s">
        <v>41025</v>
      </c>
      <c r="R2522" s="1" t="s">
        <v>41026</v>
      </c>
      <c r="S2522" s="1">
        <v>9910628505</v>
      </c>
      <c r="T2522" s="1" t="s">
        <v>41027</v>
      </c>
      <c r="U2522" s="1" t="s">
        <v>41028</v>
      </c>
      <c r="V2522" s="1">
        <v>9971408505</v>
      </c>
      <c r="W2522" s="1" t="s">
        <v>161</v>
      </c>
      <c r="X2522" s="1" t="s">
        <v>41029</v>
      </c>
      <c r="Y2522" s="1" t="s">
        <v>6853</v>
      </c>
      <c r="Z2522" s="1" t="s">
        <v>1739</v>
      </c>
      <c r="AA2522" s="1" t="s">
        <v>41030</v>
      </c>
      <c r="AB2522" s="1" t="s">
        <v>6489</v>
      </c>
      <c r="AC2522" s="1" t="s">
        <v>1739</v>
      </c>
      <c r="AD2522" s="1">
        <v>8.92</v>
      </c>
      <c r="AE2522" s="1" t="s">
        <v>98</v>
      </c>
      <c r="AF2522" s="1" t="s">
        <v>41031</v>
      </c>
      <c r="AG2522" s="1" t="s">
        <v>312</v>
      </c>
      <c r="AH2522" s="1" t="s">
        <v>1110</v>
      </c>
      <c r="AI2522" s="1" t="s">
        <v>627</v>
      </c>
      <c r="AJ2522" s="1">
        <v>66.5</v>
      </c>
      <c r="AK2522" s="1">
        <v>7</v>
      </c>
      <c r="AL2522" s="1" t="s">
        <v>41032</v>
      </c>
      <c r="AM2522" s="1" t="s">
        <v>312</v>
      </c>
      <c r="AN2522" s="1" t="s">
        <v>465</v>
      </c>
      <c r="AO2522" s="1" t="s">
        <v>704</v>
      </c>
      <c r="AP2522" s="1" t="s">
        <v>171</v>
      </c>
      <c r="AQ2522" s="1">
        <v>67.2</v>
      </c>
      <c r="AR2522" s="1">
        <v>7.07</v>
      </c>
      <c r="AS2522" s="1"/>
      <c r="AT2522" s="1"/>
      <c r="AU2522" s="1"/>
      <c r="AV2522" s="1"/>
      <c r="AW2522" s="1"/>
      <c r="AX2522" s="1"/>
      <c r="AY2522" s="1" t="s">
        <v>2553</v>
      </c>
      <c r="AZ2522" s="1" t="s">
        <v>41033</v>
      </c>
      <c r="BA2522" s="1" t="s">
        <v>5749</v>
      </c>
      <c r="BB2522" s="1" t="s">
        <v>24945</v>
      </c>
      <c r="BC2522" s="1" t="s">
        <v>174</v>
      </c>
      <c r="BD2522" s="1" t="s">
        <v>1889</v>
      </c>
      <c r="BE2522" s="1">
        <v>82.2</v>
      </c>
      <c r="BF2522" s="1">
        <v>8.22</v>
      </c>
      <c r="BG2522" s="1"/>
      <c r="BH2522" s="1"/>
      <c r="BI2522" s="1"/>
      <c r="BJ2522" s="1"/>
      <c r="BK2522" s="1"/>
      <c r="BL2522" s="1"/>
      <c r="BM2522" s="1"/>
      <c r="BN2522" s="1"/>
      <c r="BO2522" s="1" t="s">
        <v>41034</v>
      </c>
      <c r="BP2522" s="1"/>
      <c r="BQ2522" s="1"/>
      <c r="BR2522" s="1" t="s">
        <v>41035</v>
      </c>
      <c r="BS2522" s="1">
        <v>57</v>
      </c>
      <c r="BT2522" s="1"/>
      <c r="BU2522" s="1" t="str">
        <f>HYPERLINK("https://nconnect.nicmar.ac.in/storage/profile/ProfilePhoto_P25707013_359281.jpg","Download")</f>
        <v>0</v>
      </c>
      <c r="BV2522" s="3"/>
      <c r="BW2522" s="3"/>
    </row>
    <row r="2523" spans="1:75">
      <c r="A2523" s="1" t="s">
        <v>40863</v>
      </c>
      <c r="B2523" s="1" t="s">
        <v>446</v>
      </c>
      <c r="C2523" s="1" t="s">
        <v>41036</v>
      </c>
      <c r="D2523" s="1" t="s">
        <v>41037</v>
      </c>
      <c r="E2523" s="1" t="s">
        <v>41038</v>
      </c>
      <c r="F2523" s="1" t="s">
        <v>7180</v>
      </c>
      <c r="G2523" s="1" t="s">
        <v>41039</v>
      </c>
      <c r="H2523" s="1" t="s">
        <v>41040</v>
      </c>
      <c r="I2523" s="1" t="s">
        <v>41041</v>
      </c>
      <c r="J2523" s="1">
        <v>9823220351</v>
      </c>
      <c r="K2523" s="1" t="s">
        <v>84</v>
      </c>
      <c r="L2523" s="1" t="s">
        <v>41042</v>
      </c>
      <c r="M2523" s="1" t="s">
        <v>86</v>
      </c>
      <c r="N2523" s="1" t="s">
        <v>26511</v>
      </c>
      <c r="O2523" s="1"/>
      <c r="P2523" s="1" t="s">
        <v>481</v>
      </c>
      <c r="Q2523" s="1" t="s">
        <v>41043</v>
      </c>
      <c r="R2523" s="1" t="s">
        <v>41044</v>
      </c>
      <c r="S2523" s="1">
        <v>9420977474</v>
      </c>
      <c r="T2523" s="1" t="s">
        <v>159</v>
      </c>
      <c r="U2523" s="1" t="s">
        <v>41045</v>
      </c>
      <c r="V2523" s="1">
        <v>9822101690</v>
      </c>
      <c r="W2523" s="1" t="s">
        <v>161</v>
      </c>
      <c r="X2523" s="1" t="s">
        <v>41046</v>
      </c>
      <c r="Y2523" s="1" t="s">
        <v>11302</v>
      </c>
      <c r="Z2523" s="1" t="s">
        <v>6549</v>
      </c>
      <c r="AA2523" s="1" t="s">
        <v>41046</v>
      </c>
      <c r="AB2523" s="1" t="s">
        <v>11302</v>
      </c>
      <c r="AC2523" s="1" t="s">
        <v>6549</v>
      </c>
      <c r="AD2523" s="1">
        <v>9.79</v>
      </c>
      <c r="AE2523" s="1" t="s">
        <v>98</v>
      </c>
      <c r="AF2523" s="1" t="s">
        <v>41047</v>
      </c>
      <c r="AG2523" s="1" t="s">
        <v>26520</v>
      </c>
      <c r="AH2523" s="1" t="s">
        <v>106</v>
      </c>
      <c r="AI2523" s="1" t="s">
        <v>313</v>
      </c>
      <c r="AJ2523" s="1">
        <v>93.5</v>
      </c>
      <c r="AK2523" s="1"/>
      <c r="AL2523" s="1" t="s">
        <v>41048</v>
      </c>
      <c r="AM2523" s="1" t="s">
        <v>26520</v>
      </c>
      <c r="AN2523" s="1"/>
      <c r="AO2523" s="1" t="s">
        <v>468</v>
      </c>
      <c r="AP2523" s="1" t="s">
        <v>845</v>
      </c>
      <c r="AQ2523" s="1">
        <v>83.67</v>
      </c>
      <c r="AR2523" s="1"/>
      <c r="AS2523" s="1"/>
      <c r="AT2523" s="1"/>
      <c r="AU2523" s="1"/>
      <c r="AV2523" s="1"/>
      <c r="AW2523" s="1"/>
      <c r="AX2523" s="1"/>
      <c r="AY2523" s="1" t="s">
        <v>41049</v>
      </c>
      <c r="AZ2523" s="1" t="s">
        <v>41049</v>
      </c>
      <c r="BA2523" s="1"/>
      <c r="BB2523" s="1"/>
      <c r="BC2523" s="1" t="s">
        <v>606</v>
      </c>
      <c r="BD2523" s="1" t="s">
        <v>553</v>
      </c>
      <c r="BE2523" s="1">
        <v>78.4</v>
      </c>
      <c r="BF2523" s="1">
        <v>8.34</v>
      </c>
      <c r="BG2523" s="1"/>
      <c r="BH2523" s="1"/>
      <c r="BI2523" s="1"/>
      <c r="BJ2523" s="1"/>
      <c r="BK2523" s="1"/>
      <c r="BL2523" s="1"/>
      <c r="BM2523" s="1"/>
      <c r="BN2523" s="1"/>
      <c r="BO2523" s="1" t="s">
        <v>41050</v>
      </c>
      <c r="BP2523" s="1"/>
      <c r="BQ2523" s="1"/>
      <c r="BR2523" s="1" t="s">
        <v>41051</v>
      </c>
      <c r="BS2523" s="1">
        <v>15</v>
      </c>
      <c r="BT2523" s="1" t="s">
        <v>41052</v>
      </c>
      <c r="BU2523" s="1" t="str">
        <f>HYPERLINK("https://nconnect.nicmar.ac.in/storage/profile/ProfilePhoto_P25707014_759148.jpg","Download")</f>
        <v>0</v>
      </c>
      <c r="BV2523" s="3"/>
      <c r="BW2523" s="3"/>
    </row>
    <row r="2524" spans="1:75">
      <c r="A2524" s="1" t="s">
        <v>40863</v>
      </c>
      <c r="B2524" s="1" t="s">
        <v>446</v>
      </c>
      <c r="C2524" s="1" t="s">
        <v>41053</v>
      </c>
      <c r="D2524" s="1" t="s">
        <v>35296</v>
      </c>
      <c r="E2524" s="1"/>
      <c r="F2524" s="1" t="s">
        <v>38718</v>
      </c>
      <c r="G2524" s="1" t="s">
        <v>41054</v>
      </c>
      <c r="H2524" s="1" t="s">
        <v>41055</v>
      </c>
      <c r="I2524" s="1" t="s">
        <v>41056</v>
      </c>
      <c r="J2524" s="1">
        <v>9711938139</v>
      </c>
      <c r="K2524" s="1" t="s">
        <v>84</v>
      </c>
      <c r="L2524" s="1" t="s">
        <v>41057</v>
      </c>
      <c r="M2524" s="1" t="s">
        <v>86</v>
      </c>
      <c r="N2524" s="1" t="s">
        <v>2081</v>
      </c>
      <c r="O2524" s="1"/>
      <c r="P2524" s="1" t="s">
        <v>455</v>
      </c>
      <c r="Q2524" s="1" t="s">
        <v>41058</v>
      </c>
      <c r="R2524" s="1" t="s">
        <v>25857</v>
      </c>
      <c r="S2524" s="1">
        <v>9412833527</v>
      </c>
      <c r="T2524" s="1" t="s">
        <v>41059</v>
      </c>
      <c r="U2524" s="1" t="s">
        <v>41060</v>
      </c>
      <c r="V2524" s="1">
        <v>8299285539</v>
      </c>
      <c r="W2524" s="1" t="s">
        <v>161</v>
      </c>
      <c r="X2524" s="1" t="s">
        <v>41061</v>
      </c>
      <c r="Y2524" s="1" t="s">
        <v>14415</v>
      </c>
      <c r="Z2524" s="1" t="s">
        <v>544</v>
      </c>
      <c r="AA2524" s="1" t="s">
        <v>41061</v>
      </c>
      <c r="AB2524" s="1" t="s">
        <v>14415</v>
      </c>
      <c r="AC2524" s="1" t="s">
        <v>544</v>
      </c>
      <c r="AD2524" s="1">
        <v>9.17</v>
      </c>
      <c r="AE2524" s="1" t="s">
        <v>98</v>
      </c>
      <c r="AF2524" s="1" t="s">
        <v>41062</v>
      </c>
      <c r="AG2524" s="1" t="s">
        <v>41063</v>
      </c>
      <c r="AH2524" s="1" t="s">
        <v>801</v>
      </c>
      <c r="AI2524" s="1" t="s">
        <v>2726</v>
      </c>
      <c r="AJ2524" s="1">
        <v>87.4</v>
      </c>
      <c r="AK2524" s="1">
        <v>9.2</v>
      </c>
      <c r="AL2524" s="1" t="s">
        <v>31436</v>
      </c>
      <c r="AM2524" s="1" t="s">
        <v>41064</v>
      </c>
      <c r="AN2524" s="1"/>
      <c r="AO2524" s="1" t="s">
        <v>134</v>
      </c>
      <c r="AP2524" s="1" t="s">
        <v>1262</v>
      </c>
      <c r="AQ2524" s="1">
        <v>91.6</v>
      </c>
      <c r="AR2524" s="1"/>
      <c r="AS2524" s="1"/>
      <c r="AT2524" s="1"/>
      <c r="AU2524" s="1"/>
      <c r="AV2524" s="1"/>
      <c r="AW2524" s="1"/>
      <c r="AX2524" s="1"/>
      <c r="AY2524" s="1" t="s">
        <v>41065</v>
      </c>
      <c r="AZ2524" s="1" t="s">
        <v>41066</v>
      </c>
      <c r="BA2524" s="1"/>
      <c r="BB2524" s="1"/>
      <c r="BC2524" s="1" t="s">
        <v>136</v>
      </c>
      <c r="BD2524" s="1" t="s">
        <v>313</v>
      </c>
      <c r="BE2524" s="1">
        <v>61.4</v>
      </c>
      <c r="BF2524" s="1">
        <v>6.14</v>
      </c>
      <c r="BG2524" s="1"/>
      <c r="BH2524" s="1"/>
      <c r="BI2524" s="1"/>
      <c r="BJ2524" s="1"/>
      <c r="BK2524" s="1"/>
      <c r="BL2524" s="1"/>
      <c r="BM2524" s="1"/>
      <c r="BN2524" s="1"/>
      <c r="BO2524" s="1" t="s">
        <v>41067</v>
      </c>
      <c r="BP2524" s="1" t="s">
        <v>41068</v>
      </c>
      <c r="BQ2524" s="1" t="s">
        <v>2326</v>
      </c>
      <c r="BR2524" s="1" t="s">
        <v>41069</v>
      </c>
      <c r="BS2524" s="1">
        <v>36</v>
      </c>
      <c r="BT2524" s="1"/>
      <c r="BU2524" s="1" t="str">
        <f>HYPERLINK("https://nconnect.nicmar.ac.in/storage/profile/ProfilePhoto_P25707015_275148.jpg","Download")</f>
        <v>0</v>
      </c>
      <c r="BV2524" s="3"/>
      <c r="BW2524" s="3"/>
    </row>
    <row r="2525" spans="1:75">
      <c r="A2525" s="1" t="s">
        <v>40863</v>
      </c>
      <c r="B2525" s="1" t="s">
        <v>446</v>
      </c>
      <c r="C2525" s="1" t="s">
        <v>41070</v>
      </c>
      <c r="D2525" s="1" t="s">
        <v>41071</v>
      </c>
      <c r="E2525" s="1"/>
      <c r="F2525" s="1" t="s">
        <v>15653</v>
      </c>
      <c r="G2525" s="1" t="s">
        <v>41072</v>
      </c>
      <c r="H2525" s="1" t="s">
        <v>41073</v>
      </c>
      <c r="I2525" s="1" t="s">
        <v>41074</v>
      </c>
      <c r="J2525" s="1">
        <v>6374435346</v>
      </c>
      <c r="K2525" s="1" t="s">
        <v>153</v>
      </c>
      <c r="L2525" s="1" t="s">
        <v>10455</v>
      </c>
      <c r="M2525" s="1" t="s">
        <v>86</v>
      </c>
      <c r="N2525" s="1" t="s">
        <v>41075</v>
      </c>
      <c r="O2525" s="1"/>
      <c r="P2525" s="1" t="s">
        <v>455</v>
      </c>
      <c r="Q2525" s="1" t="s">
        <v>41076</v>
      </c>
      <c r="R2525" s="1" t="s">
        <v>41077</v>
      </c>
      <c r="S2525" s="1">
        <v>9283166157</v>
      </c>
      <c r="T2525" s="1" t="s">
        <v>41078</v>
      </c>
      <c r="U2525" s="1" t="s">
        <v>41079</v>
      </c>
      <c r="V2525" s="1">
        <v>9283798111</v>
      </c>
      <c r="W2525" s="1" t="s">
        <v>94</v>
      </c>
      <c r="X2525" s="1" t="s">
        <v>41080</v>
      </c>
      <c r="Y2525" s="1" t="s">
        <v>1498</v>
      </c>
      <c r="Z2525" s="1" t="s">
        <v>570</v>
      </c>
      <c r="AA2525" s="1" t="s">
        <v>41080</v>
      </c>
      <c r="AB2525" s="1" t="s">
        <v>1498</v>
      </c>
      <c r="AC2525" s="1" t="s">
        <v>570</v>
      </c>
      <c r="AD2525" s="1">
        <v>9.49</v>
      </c>
      <c r="AE2525" s="1" t="s">
        <v>98</v>
      </c>
      <c r="AF2525" s="1" t="s">
        <v>41081</v>
      </c>
      <c r="AG2525" s="1" t="s">
        <v>41082</v>
      </c>
      <c r="AH2525" s="1" t="s">
        <v>704</v>
      </c>
      <c r="AI2525" s="1" t="s">
        <v>171</v>
      </c>
      <c r="AJ2525" s="1">
        <v>85</v>
      </c>
      <c r="AK2525" s="1">
        <v>0</v>
      </c>
      <c r="AL2525" s="1" t="s">
        <v>41083</v>
      </c>
      <c r="AM2525" s="1" t="s">
        <v>41082</v>
      </c>
      <c r="AN2525" s="1"/>
      <c r="AO2525" s="1" t="s">
        <v>438</v>
      </c>
      <c r="AP2525" s="1" t="s">
        <v>417</v>
      </c>
      <c r="AQ2525" s="1">
        <v>75</v>
      </c>
      <c r="AR2525" s="1">
        <v>0</v>
      </c>
      <c r="AS2525" s="1"/>
      <c r="AT2525" s="1"/>
      <c r="AU2525" s="1"/>
      <c r="AV2525" s="1"/>
      <c r="AW2525" s="1"/>
      <c r="AX2525" s="1"/>
      <c r="AY2525" s="1" t="s">
        <v>576</v>
      </c>
      <c r="AZ2525" s="1" t="s">
        <v>41084</v>
      </c>
      <c r="BA2525" s="1"/>
      <c r="BB2525" s="1"/>
      <c r="BC2525" s="1" t="s">
        <v>890</v>
      </c>
      <c r="BD2525" s="1" t="s">
        <v>418</v>
      </c>
      <c r="BE2525" s="1">
        <v>87.3</v>
      </c>
      <c r="BF2525" s="1">
        <v>8.73</v>
      </c>
      <c r="BG2525" s="1"/>
      <c r="BH2525" s="1"/>
      <c r="BI2525" s="1"/>
      <c r="BJ2525" s="1"/>
      <c r="BK2525" s="1"/>
      <c r="BL2525" s="1"/>
      <c r="BM2525" s="1"/>
      <c r="BN2525" s="1"/>
      <c r="BO2525" s="1" t="s">
        <v>41085</v>
      </c>
      <c r="BP2525" s="1" t="s">
        <v>41086</v>
      </c>
      <c r="BQ2525" s="1" t="s">
        <v>2245</v>
      </c>
      <c r="BR2525" s="1" t="s">
        <v>41087</v>
      </c>
      <c r="BS2525" s="1">
        <v>26</v>
      </c>
      <c r="BT2525" s="1" t="s">
        <v>41088</v>
      </c>
      <c r="BU2525" s="1" t="str">
        <f>HYPERLINK("https://nconnect.nicmar.ac.in/storage/profile/ProfilePhoto_P25707016_126584.jpg","Download")</f>
        <v>0</v>
      </c>
      <c r="BV2525" s="3"/>
      <c r="BW2525" s="3"/>
    </row>
    <row r="2526" spans="1:75">
      <c r="A2526" s="1" t="s">
        <v>40863</v>
      </c>
      <c r="B2526" s="1" t="s">
        <v>446</v>
      </c>
      <c r="C2526" s="1" t="s">
        <v>41089</v>
      </c>
      <c r="D2526" s="1" t="s">
        <v>2620</v>
      </c>
      <c r="E2526" s="1"/>
      <c r="F2526" s="1" t="s">
        <v>28678</v>
      </c>
      <c r="G2526" s="1" t="s">
        <v>41090</v>
      </c>
      <c r="H2526" s="1" t="s">
        <v>41091</v>
      </c>
      <c r="I2526" s="1" t="s">
        <v>41092</v>
      </c>
      <c r="J2526" s="1">
        <v>7829595800</v>
      </c>
      <c r="K2526" s="1" t="s">
        <v>84</v>
      </c>
      <c r="L2526" s="1" t="s">
        <v>41093</v>
      </c>
      <c r="M2526" s="1" t="s">
        <v>86</v>
      </c>
      <c r="N2526" s="1" t="s">
        <v>13845</v>
      </c>
      <c r="O2526" s="1"/>
      <c r="P2526" s="1" t="s">
        <v>507</v>
      </c>
      <c r="Q2526" s="1" t="s">
        <v>41094</v>
      </c>
      <c r="R2526" s="1" t="s">
        <v>41095</v>
      </c>
      <c r="S2526" s="1">
        <v>7829595800</v>
      </c>
      <c r="T2526" s="1" t="s">
        <v>596</v>
      </c>
      <c r="U2526" s="1" t="s">
        <v>41096</v>
      </c>
      <c r="V2526" s="1">
        <v>9845336240</v>
      </c>
      <c r="W2526" s="1" t="s">
        <v>541</v>
      </c>
      <c r="X2526" s="1" t="s">
        <v>41097</v>
      </c>
      <c r="Y2526" s="1" t="s">
        <v>1944</v>
      </c>
      <c r="Z2526" s="1" t="s">
        <v>1210</v>
      </c>
      <c r="AA2526" s="1" t="s">
        <v>41097</v>
      </c>
      <c r="AB2526" s="1" t="s">
        <v>1944</v>
      </c>
      <c r="AC2526" s="1" t="s">
        <v>1210</v>
      </c>
      <c r="AD2526" s="1">
        <v>9.33</v>
      </c>
      <c r="AE2526" s="1" t="s">
        <v>98</v>
      </c>
      <c r="AF2526" s="1" t="s">
        <v>41098</v>
      </c>
      <c r="AG2526" s="1" t="s">
        <v>727</v>
      </c>
      <c r="AH2526" s="1" t="s">
        <v>1262</v>
      </c>
      <c r="AI2526" s="1" t="s">
        <v>1110</v>
      </c>
      <c r="AJ2526" s="1">
        <v>94.56</v>
      </c>
      <c r="AK2526" s="1"/>
      <c r="AL2526" s="1" t="s">
        <v>41099</v>
      </c>
      <c r="AM2526" s="1" t="s">
        <v>41100</v>
      </c>
      <c r="AN2526" s="1" t="s">
        <v>575</v>
      </c>
      <c r="AO2526" s="1" t="s">
        <v>284</v>
      </c>
      <c r="AP2526" s="1" t="s">
        <v>200</v>
      </c>
      <c r="AQ2526" s="1">
        <v>90.33</v>
      </c>
      <c r="AR2526" s="1"/>
      <c r="AS2526" s="1"/>
      <c r="AT2526" s="1"/>
      <c r="AU2526" s="1"/>
      <c r="AV2526" s="1"/>
      <c r="AW2526" s="1"/>
      <c r="AX2526" s="1"/>
      <c r="AY2526" s="1" t="s">
        <v>1217</v>
      </c>
      <c r="AZ2526" s="1" t="s">
        <v>41101</v>
      </c>
      <c r="BA2526" s="1" t="s">
        <v>578</v>
      </c>
      <c r="BB2526" s="1" t="s">
        <v>7898</v>
      </c>
      <c r="BC2526" s="1" t="s">
        <v>388</v>
      </c>
      <c r="BD2526" s="1" t="s">
        <v>441</v>
      </c>
      <c r="BE2526" s="1">
        <v>73.9</v>
      </c>
      <c r="BF2526" s="1">
        <v>8.14</v>
      </c>
      <c r="BG2526" s="1"/>
      <c r="BH2526" s="1"/>
      <c r="BI2526" s="1"/>
      <c r="BJ2526" s="1"/>
      <c r="BK2526" s="1"/>
      <c r="BL2526" s="1"/>
      <c r="BM2526" s="1"/>
      <c r="BN2526" s="1"/>
      <c r="BO2526" s="1" t="s">
        <v>41102</v>
      </c>
      <c r="BP2526" s="1"/>
      <c r="BQ2526" s="1"/>
      <c r="BR2526" s="1" t="s">
        <v>41103</v>
      </c>
      <c r="BS2526" s="1">
        <v>67</v>
      </c>
      <c r="BT2526" s="1" t="s">
        <v>41104</v>
      </c>
      <c r="BU2526" s="1" t="str">
        <f>HYPERLINK("https://nconnect.nicmar.ac.in/storage/profile/ProfilePhoto_P25707017_492153.jpg","Download")</f>
        <v>0</v>
      </c>
      <c r="BV2526" s="3"/>
      <c r="BW2526" s="3"/>
    </row>
    <row r="2527" spans="1:75">
      <c r="A2527" s="1" t="s">
        <v>40863</v>
      </c>
      <c r="B2527" s="1" t="s">
        <v>446</v>
      </c>
      <c r="C2527" s="1" t="s">
        <v>41105</v>
      </c>
      <c r="D2527" s="1" t="s">
        <v>17336</v>
      </c>
      <c r="E2527" s="1" t="s">
        <v>5230</v>
      </c>
      <c r="F2527" s="1" t="s">
        <v>41106</v>
      </c>
      <c r="G2527" s="1" t="s">
        <v>41107</v>
      </c>
      <c r="H2527" s="1" t="s">
        <v>41108</v>
      </c>
      <c r="I2527" s="1" t="s">
        <v>41109</v>
      </c>
      <c r="J2527" s="1">
        <v>8104914549</v>
      </c>
      <c r="K2527" s="1" t="s">
        <v>153</v>
      </c>
      <c r="L2527" s="1" t="s">
        <v>12495</v>
      </c>
      <c r="M2527" s="1" t="s">
        <v>86</v>
      </c>
      <c r="N2527" s="1" t="s">
        <v>618</v>
      </c>
      <c r="O2527" s="1" t="s">
        <v>41110</v>
      </c>
      <c r="P2527" s="1" t="s">
        <v>481</v>
      </c>
      <c r="Q2527" s="1" t="s">
        <v>41111</v>
      </c>
      <c r="R2527" s="1" t="s">
        <v>5230</v>
      </c>
      <c r="S2527" s="1">
        <v>9004879500</v>
      </c>
      <c r="T2527" s="1" t="s">
        <v>645</v>
      </c>
      <c r="U2527" s="1" t="s">
        <v>1796</v>
      </c>
      <c r="V2527" s="1">
        <v>9222992520</v>
      </c>
      <c r="W2527" s="1" t="s">
        <v>541</v>
      </c>
      <c r="X2527" s="1" t="s">
        <v>41112</v>
      </c>
      <c r="Y2527" s="1" t="s">
        <v>2259</v>
      </c>
      <c r="Z2527" s="1" t="s">
        <v>97</v>
      </c>
      <c r="AA2527" s="1" t="s">
        <v>41112</v>
      </c>
      <c r="AB2527" s="1" t="s">
        <v>2259</v>
      </c>
      <c r="AC2527" s="1" t="s">
        <v>97</v>
      </c>
      <c r="AD2527" s="1">
        <v>9.68</v>
      </c>
      <c r="AE2527" s="1" t="s">
        <v>98</v>
      </c>
      <c r="AF2527" s="1" t="s">
        <v>41113</v>
      </c>
      <c r="AG2527" s="1" t="s">
        <v>41114</v>
      </c>
      <c r="AH2527" s="1" t="s">
        <v>106</v>
      </c>
      <c r="AI2527" s="1" t="s">
        <v>414</v>
      </c>
      <c r="AJ2527" s="1">
        <v>83.8</v>
      </c>
      <c r="AK2527" s="1"/>
      <c r="AL2527" s="1" t="s">
        <v>41115</v>
      </c>
      <c r="AM2527" s="1" t="s">
        <v>41114</v>
      </c>
      <c r="AN2527" s="1"/>
      <c r="AO2527" s="1" t="s">
        <v>468</v>
      </c>
      <c r="AP2527" s="1" t="s">
        <v>549</v>
      </c>
      <c r="AQ2527" s="1">
        <v>91.17</v>
      </c>
      <c r="AR2527" s="1"/>
      <c r="AS2527" s="1"/>
      <c r="AT2527" s="1"/>
      <c r="AU2527" s="1"/>
      <c r="AV2527" s="1"/>
      <c r="AW2527" s="1"/>
      <c r="AX2527" s="1"/>
      <c r="AY2527" s="1" t="s">
        <v>680</v>
      </c>
      <c r="AZ2527" s="1" t="s">
        <v>41116</v>
      </c>
      <c r="BA2527" s="1"/>
      <c r="BB2527" s="1"/>
      <c r="BC2527" s="1" t="s">
        <v>871</v>
      </c>
      <c r="BD2527" s="1" t="s">
        <v>848</v>
      </c>
      <c r="BE2527" s="1">
        <v>70.5</v>
      </c>
      <c r="BF2527" s="1">
        <v>7.8</v>
      </c>
      <c r="BG2527" s="1"/>
      <c r="BH2527" s="1"/>
      <c r="BI2527" s="1"/>
      <c r="BJ2527" s="1"/>
      <c r="BK2527" s="1"/>
      <c r="BL2527" s="1"/>
      <c r="BM2527" s="1"/>
      <c r="BN2527" s="1"/>
      <c r="BO2527" s="1" t="s">
        <v>41117</v>
      </c>
      <c r="BP2527" s="1"/>
      <c r="BQ2527" s="1"/>
      <c r="BR2527" s="1" t="s">
        <v>41118</v>
      </c>
      <c r="BS2527" s="1">
        <v>8</v>
      </c>
      <c r="BT2527" s="1"/>
      <c r="BU2527" s="1" t="str">
        <f>HYPERLINK("https://nconnect.nicmar.ac.in/storage/profile/ProfilePhoto_P25707018_314526.jpg","Download")</f>
        <v>0</v>
      </c>
      <c r="BV2527" s="3"/>
      <c r="BW2527" s="3"/>
    </row>
    <row r="2528" spans="1:75">
      <c r="A2528" s="1" t="s">
        <v>40863</v>
      </c>
      <c r="B2528" s="1" t="s">
        <v>446</v>
      </c>
      <c r="C2528" s="1" t="s">
        <v>41119</v>
      </c>
      <c r="D2528" s="1" t="s">
        <v>35126</v>
      </c>
      <c r="E2528" s="1" t="s">
        <v>3529</v>
      </c>
      <c r="F2528" s="1" t="s">
        <v>41120</v>
      </c>
      <c r="G2528" s="1" t="s">
        <v>41121</v>
      </c>
      <c r="H2528" s="1" t="s">
        <v>41122</v>
      </c>
      <c r="I2528" s="1" t="s">
        <v>41123</v>
      </c>
      <c r="J2528" s="1">
        <v>7559492476</v>
      </c>
      <c r="K2528" s="1" t="s">
        <v>84</v>
      </c>
      <c r="L2528" s="1" t="s">
        <v>41124</v>
      </c>
      <c r="M2528" s="1" t="s">
        <v>86</v>
      </c>
      <c r="N2528" s="1" t="s">
        <v>6088</v>
      </c>
      <c r="O2528" s="1"/>
      <c r="P2528" s="1" t="s">
        <v>481</v>
      </c>
      <c r="Q2528" s="1" t="s">
        <v>41125</v>
      </c>
      <c r="R2528" s="1" t="s">
        <v>41126</v>
      </c>
      <c r="S2528" s="1">
        <v>9403107425</v>
      </c>
      <c r="T2528" s="1" t="s">
        <v>6733</v>
      </c>
      <c r="U2528" s="1" t="s">
        <v>41127</v>
      </c>
      <c r="V2528" s="1">
        <v>8975988838</v>
      </c>
      <c r="W2528" s="1" t="s">
        <v>161</v>
      </c>
      <c r="X2528" s="1" t="s">
        <v>41128</v>
      </c>
      <c r="Y2528" s="1" t="s">
        <v>1989</v>
      </c>
      <c r="Z2528" s="1" t="s">
        <v>97</v>
      </c>
      <c r="AA2528" s="1" t="s">
        <v>41128</v>
      </c>
      <c r="AB2528" s="1" t="s">
        <v>1989</v>
      </c>
      <c r="AC2528" s="1" t="s">
        <v>97</v>
      </c>
      <c r="AD2528" s="1">
        <v>8.64</v>
      </c>
      <c r="AE2528" s="1" t="s">
        <v>98</v>
      </c>
      <c r="AF2528" s="1" t="s">
        <v>41129</v>
      </c>
      <c r="AG2528" s="1" t="s">
        <v>41130</v>
      </c>
      <c r="AH2528" s="1" t="s">
        <v>170</v>
      </c>
      <c r="AI2528" s="1" t="s">
        <v>286</v>
      </c>
      <c r="AJ2528" s="1">
        <v>85</v>
      </c>
      <c r="AK2528" s="1"/>
      <c r="AL2528" s="1" t="s">
        <v>41131</v>
      </c>
      <c r="AM2528" s="1" t="s">
        <v>41132</v>
      </c>
      <c r="AN2528" s="1"/>
      <c r="AO2528" s="1" t="s">
        <v>438</v>
      </c>
      <c r="AP2528" s="1" t="s">
        <v>365</v>
      </c>
      <c r="AQ2528" s="1">
        <v>66.77</v>
      </c>
      <c r="AR2528" s="1"/>
      <c r="AS2528" s="1"/>
      <c r="AT2528" s="1"/>
      <c r="AU2528" s="1"/>
      <c r="AV2528" s="1"/>
      <c r="AW2528" s="1"/>
      <c r="AX2528" s="1"/>
      <c r="AY2528" s="1" t="s">
        <v>3713</v>
      </c>
      <c r="AZ2528" s="1" t="s">
        <v>41133</v>
      </c>
      <c r="BA2528" s="1"/>
      <c r="BB2528" s="1"/>
      <c r="BC2528" s="1" t="s">
        <v>1040</v>
      </c>
      <c r="BD2528" s="1" t="s">
        <v>848</v>
      </c>
      <c r="BE2528" s="1">
        <v>70.5</v>
      </c>
      <c r="BF2528" s="1">
        <v>7.55</v>
      </c>
      <c r="BG2528" s="1"/>
      <c r="BH2528" s="1"/>
      <c r="BI2528" s="1"/>
      <c r="BJ2528" s="1"/>
      <c r="BK2528" s="1"/>
      <c r="BL2528" s="1"/>
      <c r="BM2528" s="1"/>
      <c r="BN2528" s="1"/>
      <c r="BO2528" s="1" t="s">
        <v>41134</v>
      </c>
      <c r="BP2528" s="1"/>
      <c r="BQ2528" s="1"/>
      <c r="BR2528" s="1" t="s">
        <v>41135</v>
      </c>
      <c r="BS2528" s="1">
        <v>16</v>
      </c>
      <c r="BT2528" s="1"/>
      <c r="BU2528" s="1" t="str">
        <f>HYPERLINK("https://nconnect.nicmar.ac.in/storage/profile/ProfilePhoto_P25707021_512496.jpg","Download")</f>
        <v>0</v>
      </c>
      <c r="BV2528" s="3"/>
      <c r="BW2528" s="3"/>
    </row>
    <row r="2529" spans="1:75">
      <c r="A2529" s="1" t="s">
        <v>40863</v>
      </c>
      <c r="B2529" s="1" t="s">
        <v>446</v>
      </c>
      <c r="C2529" s="1" t="s">
        <v>41136</v>
      </c>
      <c r="D2529" s="1" t="s">
        <v>41137</v>
      </c>
      <c r="E2529" s="1"/>
      <c r="F2529" s="1" t="s">
        <v>1295</v>
      </c>
      <c r="G2529" s="1" t="s">
        <v>41138</v>
      </c>
      <c r="H2529" s="1" t="s">
        <v>41139</v>
      </c>
      <c r="I2529" s="1" t="s">
        <v>41140</v>
      </c>
      <c r="J2529" s="1">
        <v>8606379551</v>
      </c>
      <c r="K2529" s="1" t="s">
        <v>153</v>
      </c>
      <c r="L2529" s="1" t="s">
        <v>41141</v>
      </c>
      <c r="M2529" s="1" t="s">
        <v>86</v>
      </c>
      <c r="N2529" s="1" t="s">
        <v>9483</v>
      </c>
      <c r="O2529" s="1"/>
      <c r="P2529" s="1" t="s">
        <v>2684</v>
      </c>
      <c r="Q2529" s="1" t="s">
        <v>41142</v>
      </c>
      <c r="R2529" s="1" t="s">
        <v>41143</v>
      </c>
      <c r="S2529" s="1">
        <v>9847301887</v>
      </c>
      <c r="T2529" s="1" t="s">
        <v>41144</v>
      </c>
      <c r="U2529" s="1" t="s">
        <v>41145</v>
      </c>
      <c r="V2529" s="1">
        <v>9947824751</v>
      </c>
      <c r="W2529" s="1" t="s">
        <v>127</v>
      </c>
      <c r="X2529" s="1" t="s">
        <v>41146</v>
      </c>
      <c r="Y2529" s="1" t="s">
        <v>4916</v>
      </c>
      <c r="Z2529" s="1" t="s">
        <v>130</v>
      </c>
      <c r="AA2529" s="1" t="s">
        <v>41146</v>
      </c>
      <c r="AB2529" s="1" t="s">
        <v>4916</v>
      </c>
      <c r="AC2529" s="1" t="s">
        <v>130</v>
      </c>
      <c r="AD2529" s="1">
        <v>9.53</v>
      </c>
      <c r="AE2529" s="1" t="s">
        <v>98</v>
      </c>
      <c r="AF2529" s="1" t="s">
        <v>1624</v>
      </c>
      <c r="AG2529" s="1" t="s">
        <v>796</v>
      </c>
      <c r="AH2529" s="1" t="s">
        <v>490</v>
      </c>
      <c r="AI2529" s="1" t="s">
        <v>313</v>
      </c>
      <c r="AJ2529" s="1">
        <v>95.2</v>
      </c>
      <c r="AK2529" s="1"/>
      <c r="AL2529" s="1" t="s">
        <v>1624</v>
      </c>
      <c r="AM2529" s="1" t="s">
        <v>796</v>
      </c>
      <c r="AN2529" s="1"/>
      <c r="AO2529" s="1" t="s">
        <v>977</v>
      </c>
      <c r="AP2529" s="1" t="s">
        <v>549</v>
      </c>
      <c r="AQ2529" s="1">
        <v>94.2</v>
      </c>
      <c r="AR2529" s="1"/>
      <c r="AS2529" s="1"/>
      <c r="AT2529" s="1"/>
      <c r="AU2529" s="1"/>
      <c r="AV2529" s="1"/>
      <c r="AW2529" s="1"/>
      <c r="AX2529" s="1"/>
      <c r="AY2529" s="1" t="s">
        <v>137</v>
      </c>
      <c r="AZ2529" s="1" t="s">
        <v>41147</v>
      </c>
      <c r="BA2529" s="1"/>
      <c r="BB2529" s="1"/>
      <c r="BC2529" s="1" t="s">
        <v>140</v>
      </c>
      <c r="BD2529" s="1" t="s">
        <v>553</v>
      </c>
      <c r="BE2529" s="1">
        <v>80.3</v>
      </c>
      <c r="BF2529" s="1">
        <v>8.03</v>
      </c>
      <c r="BG2529" s="1"/>
      <c r="BH2529" s="1"/>
      <c r="BI2529" s="1"/>
      <c r="BJ2529" s="1"/>
      <c r="BK2529" s="1"/>
      <c r="BL2529" s="1"/>
      <c r="BM2529" s="1"/>
      <c r="BN2529" s="1"/>
      <c r="BO2529" s="1" t="s">
        <v>41148</v>
      </c>
      <c r="BP2529" s="1"/>
      <c r="BQ2529" s="1"/>
      <c r="BR2529" s="1" t="s">
        <v>41149</v>
      </c>
      <c r="BS2529" s="1">
        <v>19</v>
      </c>
      <c r="BT2529" s="1" t="s">
        <v>41150</v>
      </c>
      <c r="BU2529" s="1" t="str">
        <f>HYPERLINK("https://nconnect.nicmar.ac.in/storage/profile/ProfilePhoto_P25707022_251376.jpg","Download")</f>
        <v>0</v>
      </c>
      <c r="BV2529" s="3"/>
      <c r="BW2529" s="3"/>
    </row>
    <row r="2530" spans="1:75">
      <c r="A2530" s="1" t="s">
        <v>40863</v>
      </c>
      <c r="B2530" s="1" t="s">
        <v>446</v>
      </c>
      <c r="C2530" s="1" t="s">
        <v>41151</v>
      </c>
      <c r="D2530" s="1" t="s">
        <v>1787</v>
      </c>
      <c r="E2530" s="1" t="s">
        <v>2500</v>
      </c>
      <c r="F2530" s="1" t="s">
        <v>3040</v>
      </c>
      <c r="G2530" s="1" t="s">
        <v>41152</v>
      </c>
      <c r="H2530" s="1" t="s">
        <v>41153</v>
      </c>
      <c r="I2530" s="1" t="s">
        <v>41154</v>
      </c>
      <c r="J2530" s="1">
        <v>9145787174</v>
      </c>
      <c r="K2530" s="1" t="s">
        <v>84</v>
      </c>
      <c r="L2530" s="1" t="s">
        <v>39076</v>
      </c>
      <c r="M2530" s="1" t="s">
        <v>86</v>
      </c>
      <c r="N2530" s="1" t="s">
        <v>618</v>
      </c>
      <c r="O2530" s="1"/>
      <c r="P2530" s="1" t="s">
        <v>455</v>
      </c>
      <c r="Q2530" s="1" t="s">
        <v>41155</v>
      </c>
      <c r="R2530" s="1" t="s">
        <v>41156</v>
      </c>
      <c r="S2530" s="1">
        <v>7770064712</v>
      </c>
      <c r="T2530" s="1" t="s">
        <v>2375</v>
      </c>
      <c r="U2530" s="1" t="s">
        <v>41157</v>
      </c>
      <c r="V2530" s="1">
        <v>9923809791</v>
      </c>
      <c r="W2530" s="1" t="s">
        <v>161</v>
      </c>
      <c r="X2530" s="1" t="s">
        <v>41158</v>
      </c>
      <c r="Y2530" s="1" t="s">
        <v>196</v>
      </c>
      <c r="Z2530" s="1" t="s">
        <v>97</v>
      </c>
      <c r="AA2530" s="1" t="s">
        <v>41159</v>
      </c>
      <c r="AB2530" s="1" t="s">
        <v>5659</v>
      </c>
      <c r="AC2530" s="1" t="s">
        <v>97</v>
      </c>
      <c r="AD2530" s="1">
        <v>8.77</v>
      </c>
      <c r="AE2530" s="1" t="s">
        <v>98</v>
      </c>
      <c r="AF2530" s="1" t="s">
        <v>41160</v>
      </c>
      <c r="AG2530" s="1" t="s">
        <v>996</v>
      </c>
      <c r="AH2530" s="1" t="s">
        <v>167</v>
      </c>
      <c r="AI2530" s="1" t="s">
        <v>200</v>
      </c>
      <c r="AJ2530" s="1">
        <v>81.2</v>
      </c>
      <c r="AK2530" s="1"/>
      <c r="AL2530" s="1"/>
      <c r="AM2530" s="1"/>
      <c r="AN2530" s="1"/>
      <c r="AO2530" s="1"/>
      <c r="AP2530" s="1"/>
      <c r="AQ2530" s="1"/>
      <c r="AR2530" s="1"/>
      <c r="AS2530" s="1" t="s">
        <v>4638</v>
      </c>
      <c r="AT2530" s="1" t="s">
        <v>41161</v>
      </c>
      <c r="AU2530" s="1" t="s">
        <v>170</v>
      </c>
      <c r="AV2530" s="1" t="s">
        <v>175</v>
      </c>
      <c r="AW2530" s="1">
        <v>88.62</v>
      </c>
      <c r="AX2530" s="1"/>
      <c r="AY2530" s="1" t="s">
        <v>366</v>
      </c>
      <c r="AZ2530" s="1" t="s">
        <v>41162</v>
      </c>
      <c r="BA2530" s="1"/>
      <c r="BB2530" s="1"/>
      <c r="BC2530" s="1" t="s">
        <v>368</v>
      </c>
      <c r="BD2530" s="1" t="s">
        <v>955</v>
      </c>
      <c r="BE2530" s="1">
        <v>74.04</v>
      </c>
      <c r="BF2530" s="1">
        <v>8.32</v>
      </c>
      <c r="BG2530" s="1"/>
      <c r="BH2530" s="1"/>
      <c r="BI2530" s="1"/>
      <c r="BJ2530" s="1"/>
      <c r="BK2530" s="1"/>
      <c r="BL2530" s="1"/>
      <c r="BM2530" s="1"/>
      <c r="BN2530" s="1"/>
      <c r="BO2530" s="1" t="s">
        <v>41163</v>
      </c>
      <c r="BP2530" s="1" t="s">
        <v>41164</v>
      </c>
      <c r="BQ2530" s="1" t="s">
        <v>4149</v>
      </c>
      <c r="BR2530" s="1" t="s">
        <v>41165</v>
      </c>
      <c r="BS2530" s="1">
        <v>21</v>
      </c>
      <c r="BT2530" s="1" t="s">
        <v>41166</v>
      </c>
      <c r="BU2530" s="1" t="str">
        <f>HYPERLINK("https://nconnect.nicmar.ac.in/storage/profile/ProfilePhoto_P25707023_842739.jpg","Download")</f>
        <v>0</v>
      </c>
      <c r="BV2530" s="3"/>
      <c r="BW2530" s="3"/>
    </row>
    <row r="2531" spans="1:75">
      <c r="A2531" s="1" t="s">
        <v>40863</v>
      </c>
      <c r="B2531" s="1" t="s">
        <v>446</v>
      </c>
      <c r="C2531" s="1" t="s">
        <v>41167</v>
      </c>
      <c r="D2531" s="1" t="s">
        <v>6742</v>
      </c>
      <c r="E2531" s="1" t="s">
        <v>12847</v>
      </c>
      <c r="F2531" s="1" t="s">
        <v>41168</v>
      </c>
      <c r="G2531" s="1" t="s">
        <v>41169</v>
      </c>
      <c r="H2531" s="1" t="s">
        <v>41170</v>
      </c>
      <c r="I2531" s="1" t="s">
        <v>41171</v>
      </c>
      <c r="J2531" s="1">
        <v>9579173930</v>
      </c>
      <c r="K2531" s="1" t="s">
        <v>84</v>
      </c>
      <c r="L2531" s="1" t="s">
        <v>24075</v>
      </c>
      <c r="M2531" s="1" t="s">
        <v>86</v>
      </c>
      <c r="N2531" s="1" t="s">
        <v>618</v>
      </c>
      <c r="O2531" s="1"/>
      <c r="P2531" s="1"/>
      <c r="Q2531" s="1" t="s">
        <v>41172</v>
      </c>
      <c r="R2531" s="1" t="s">
        <v>41173</v>
      </c>
      <c r="S2531" s="1">
        <v>9545236769</v>
      </c>
      <c r="T2531" s="1" t="s">
        <v>2375</v>
      </c>
      <c r="U2531" s="1" t="s">
        <v>41174</v>
      </c>
      <c r="V2531" s="1">
        <v>9209683926</v>
      </c>
      <c r="W2531" s="1" t="s">
        <v>161</v>
      </c>
      <c r="X2531" s="1" t="s">
        <v>41175</v>
      </c>
      <c r="Y2531" s="1" t="s">
        <v>196</v>
      </c>
      <c r="Z2531" s="1" t="s">
        <v>97</v>
      </c>
      <c r="AA2531" s="1" t="s">
        <v>41176</v>
      </c>
      <c r="AB2531" s="1" t="s">
        <v>4302</v>
      </c>
      <c r="AC2531" s="1" t="s">
        <v>97</v>
      </c>
      <c r="AD2531" s="1">
        <v>9.56</v>
      </c>
      <c r="AE2531" s="1" t="s">
        <v>98</v>
      </c>
      <c r="AF2531" s="1" t="s">
        <v>39129</v>
      </c>
      <c r="AG2531" s="1" t="s">
        <v>41177</v>
      </c>
      <c r="AH2531" s="1" t="s">
        <v>106</v>
      </c>
      <c r="AI2531" s="1" t="s">
        <v>438</v>
      </c>
      <c r="AJ2531" s="1">
        <v>77.4</v>
      </c>
      <c r="AK2531" s="1"/>
      <c r="AL2531" s="1"/>
      <c r="AM2531" s="1"/>
      <c r="AN2531" s="1"/>
      <c r="AO2531" s="1"/>
      <c r="AP2531" s="1"/>
      <c r="AQ2531" s="1"/>
      <c r="AR2531" s="1"/>
      <c r="AS2531" s="1" t="s">
        <v>103</v>
      </c>
      <c r="AT2531" s="1" t="s">
        <v>41178</v>
      </c>
      <c r="AU2531" s="1" t="s">
        <v>206</v>
      </c>
      <c r="AV2531" s="1" t="s">
        <v>1400</v>
      </c>
      <c r="AW2531" s="1">
        <v>84.32</v>
      </c>
      <c r="AX2531" s="1"/>
      <c r="AY2531" s="1" t="s">
        <v>258</v>
      </c>
      <c r="AZ2531" s="1" t="s">
        <v>36722</v>
      </c>
      <c r="BA2531" s="1"/>
      <c r="BB2531" s="1"/>
      <c r="BC2531" s="1" t="s">
        <v>110</v>
      </c>
      <c r="BD2531" s="1" t="s">
        <v>848</v>
      </c>
      <c r="BE2531" s="1">
        <v>75.09</v>
      </c>
      <c r="BF2531" s="1">
        <v>8.51</v>
      </c>
      <c r="BG2531" s="1"/>
      <c r="BH2531" s="1"/>
      <c r="BI2531" s="1"/>
      <c r="BJ2531" s="1"/>
      <c r="BK2531" s="1"/>
      <c r="BL2531" s="1"/>
      <c r="BM2531" s="1"/>
      <c r="BN2531" s="1"/>
      <c r="BO2531" s="1" t="s">
        <v>41179</v>
      </c>
      <c r="BP2531" s="1"/>
      <c r="BQ2531" s="1"/>
      <c r="BR2531" s="1" t="s">
        <v>41180</v>
      </c>
      <c r="BS2531" s="1">
        <v>8</v>
      </c>
      <c r="BT2531" s="1"/>
      <c r="BU2531" s="1" t="str">
        <f>HYPERLINK("https://nconnect.nicmar.ac.in/storage/profile/ProfilePhoto_P25707024_269347.jpg","Download")</f>
        <v>0</v>
      </c>
      <c r="BV2531" s="3"/>
      <c r="BW2531" s="3"/>
    </row>
    <row r="2532" spans="1:75">
      <c r="A2532" s="1" t="s">
        <v>40863</v>
      </c>
      <c r="B2532" s="1" t="s">
        <v>446</v>
      </c>
      <c r="C2532" s="1" t="s">
        <v>41181</v>
      </c>
      <c r="D2532" s="1" t="s">
        <v>8342</v>
      </c>
      <c r="E2532" s="1"/>
      <c r="F2532" s="1" t="s">
        <v>41182</v>
      </c>
      <c r="G2532" s="1" t="s">
        <v>41183</v>
      </c>
      <c r="H2532" s="1" t="s">
        <v>41184</v>
      </c>
      <c r="I2532" s="1" t="s">
        <v>41185</v>
      </c>
      <c r="J2532" s="1">
        <v>7287024258</v>
      </c>
      <c r="K2532" s="1" t="s">
        <v>84</v>
      </c>
      <c r="L2532" s="1" t="s">
        <v>41186</v>
      </c>
      <c r="M2532" s="1" t="s">
        <v>86</v>
      </c>
      <c r="N2532" s="1" t="s">
        <v>22216</v>
      </c>
      <c r="O2532" s="1"/>
      <c r="P2532" s="1" t="s">
        <v>2062</v>
      </c>
      <c r="Q2532" s="1" t="s">
        <v>41187</v>
      </c>
      <c r="R2532" s="1" t="s">
        <v>41188</v>
      </c>
      <c r="S2532" s="1">
        <v>9848860100</v>
      </c>
      <c r="T2532" s="1" t="s">
        <v>41189</v>
      </c>
      <c r="U2532" s="1" t="s">
        <v>41190</v>
      </c>
      <c r="V2532" s="1">
        <v>7386167276</v>
      </c>
      <c r="W2532" s="1" t="s">
        <v>278</v>
      </c>
      <c r="X2532" s="1" t="s">
        <v>41191</v>
      </c>
      <c r="Y2532" s="1" t="s">
        <v>1454</v>
      </c>
      <c r="Z2532" s="1" t="s">
        <v>281</v>
      </c>
      <c r="AA2532" s="1" t="s">
        <v>41191</v>
      </c>
      <c r="AB2532" s="1" t="s">
        <v>1454</v>
      </c>
      <c r="AC2532" s="1" t="s">
        <v>281</v>
      </c>
      <c r="AD2532" s="1">
        <v>8.53</v>
      </c>
      <c r="AE2532" s="1" t="s">
        <v>98</v>
      </c>
      <c r="AF2532" s="1" t="s">
        <v>41192</v>
      </c>
      <c r="AG2532" s="1" t="s">
        <v>1418</v>
      </c>
      <c r="AH2532" s="1" t="s">
        <v>170</v>
      </c>
      <c r="AI2532" s="1" t="s">
        <v>286</v>
      </c>
      <c r="AJ2532" s="1">
        <v>92</v>
      </c>
      <c r="AK2532" s="1">
        <v>9.2</v>
      </c>
      <c r="AL2532" s="1"/>
      <c r="AM2532" s="1"/>
      <c r="AN2532" s="1"/>
      <c r="AO2532" s="1"/>
      <c r="AP2532" s="1"/>
      <c r="AQ2532" s="1"/>
      <c r="AR2532" s="1"/>
      <c r="AS2532" s="1" t="s">
        <v>439</v>
      </c>
      <c r="AT2532" s="1" t="s">
        <v>41193</v>
      </c>
      <c r="AU2532" s="1" t="s">
        <v>106</v>
      </c>
      <c r="AV2532" s="1" t="s">
        <v>2304</v>
      </c>
      <c r="AW2532" s="1">
        <v>78.68</v>
      </c>
      <c r="AX2532" s="1"/>
      <c r="AY2532" s="1" t="s">
        <v>41194</v>
      </c>
      <c r="AZ2532" s="1" t="s">
        <v>41195</v>
      </c>
      <c r="BA2532" s="1"/>
      <c r="BB2532" s="1"/>
      <c r="BC2532" s="1" t="s">
        <v>140</v>
      </c>
      <c r="BD2532" s="1" t="s">
        <v>1314</v>
      </c>
      <c r="BE2532" s="1">
        <v>78</v>
      </c>
      <c r="BF2532" s="1">
        <v>8.55</v>
      </c>
      <c r="BG2532" s="1"/>
      <c r="BH2532" s="1"/>
      <c r="BI2532" s="1"/>
      <c r="BJ2532" s="1"/>
      <c r="BK2532" s="1"/>
      <c r="BL2532" s="1"/>
      <c r="BM2532" s="1"/>
      <c r="BN2532" s="1"/>
      <c r="BO2532" s="1" t="s">
        <v>16080</v>
      </c>
      <c r="BP2532" s="1"/>
      <c r="BQ2532" s="1"/>
      <c r="BR2532" s="1" t="s">
        <v>41196</v>
      </c>
      <c r="BS2532" s="1">
        <v>15</v>
      </c>
      <c r="BT2532" s="1" t="s">
        <v>41197</v>
      </c>
      <c r="BU2532" s="1" t="str">
        <f>HYPERLINK("https://nconnect.nicmar.ac.in/storage/profile/ProfilePhoto_P25707025_542186.jpg","Download")</f>
        <v>0</v>
      </c>
      <c r="BV2532" s="3"/>
      <c r="BW2532" s="3"/>
    </row>
    <row r="2533" spans="1:75">
      <c r="A2533" s="1" t="s">
        <v>40863</v>
      </c>
      <c r="B2533" s="1" t="s">
        <v>446</v>
      </c>
      <c r="C2533" s="1" t="s">
        <v>41198</v>
      </c>
      <c r="D2533" s="1" t="s">
        <v>39400</v>
      </c>
      <c r="E2533" s="1"/>
      <c r="F2533" s="1" t="s">
        <v>3313</v>
      </c>
      <c r="G2533" s="1" t="s">
        <v>41199</v>
      </c>
      <c r="H2533" s="1" t="s">
        <v>41200</v>
      </c>
      <c r="I2533" s="1" t="s">
        <v>41201</v>
      </c>
      <c r="J2533" s="1">
        <v>8989534337</v>
      </c>
      <c r="K2533" s="1" t="s">
        <v>153</v>
      </c>
      <c r="L2533" s="1" t="s">
        <v>11886</v>
      </c>
      <c r="M2533" s="1" t="s">
        <v>86</v>
      </c>
      <c r="N2533" s="1" t="s">
        <v>11423</v>
      </c>
      <c r="O2533" s="1" t="s">
        <v>41202</v>
      </c>
      <c r="P2533" s="1" t="s">
        <v>219</v>
      </c>
      <c r="Q2533" s="1" t="s">
        <v>41203</v>
      </c>
      <c r="R2533" s="1" t="s">
        <v>41204</v>
      </c>
      <c r="S2533" s="1">
        <v>9424314510</v>
      </c>
      <c r="T2533" s="1" t="s">
        <v>645</v>
      </c>
      <c r="U2533" s="1" t="s">
        <v>41205</v>
      </c>
      <c r="V2533" s="1">
        <v>9343156882</v>
      </c>
      <c r="W2533" s="1" t="s">
        <v>7168</v>
      </c>
      <c r="X2533" s="1" t="s">
        <v>41206</v>
      </c>
      <c r="Y2533" s="1" t="s">
        <v>5641</v>
      </c>
      <c r="Z2533" s="1" t="s">
        <v>3419</v>
      </c>
      <c r="AA2533" s="1" t="s">
        <v>41206</v>
      </c>
      <c r="AB2533" s="1" t="s">
        <v>5641</v>
      </c>
      <c r="AC2533" s="1" t="s">
        <v>3419</v>
      </c>
      <c r="AD2533" s="1">
        <v>9.0</v>
      </c>
      <c r="AE2533" s="1" t="s">
        <v>98</v>
      </c>
      <c r="AF2533" s="1" t="s">
        <v>41207</v>
      </c>
      <c r="AG2533" s="1" t="s">
        <v>41208</v>
      </c>
      <c r="AH2533" s="1" t="s">
        <v>547</v>
      </c>
      <c r="AI2533" s="1" t="s">
        <v>178</v>
      </c>
      <c r="AJ2533" s="1">
        <v>75.4</v>
      </c>
      <c r="AK2533" s="1"/>
      <c r="AL2533" s="1" t="s">
        <v>41207</v>
      </c>
      <c r="AM2533" s="1" t="s">
        <v>41209</v>
      </c>
      <c r="AN2533" s="1" t="s">
        <v>465</v>
      </c>
      <c r="AO2533" s="1" t="s">
        <v>2304</v>
      </c>
      <c r="AP2533" s="1" t="s">
        <v>521</v>
      </c>
      <c r="AQ2533" s="1">
        <v>83.8</v>
      </c>
      <c r="AR2533" s="1"/>
      <c r="AS2533" s="1"/>
      <c r="AT2533" s="1"/>
      <c r="AU2533" s="1"/>
      <c r="AV2533" s="1"/>
      <c r="AW2533" s="1"/>
      <c r="AX2533" s="1"/>
      <c r="AY2533" s="1" t="s">
        <v>41210</v>
      </c>
      <c r="AZ2533" s="1" t="s">
        <v>41211</v>
      </c>
      <c r="BA2533" s="1" t="s">
        <v>35582</v>
      </c>
      <c r="BB2533" s="1" t="s">
        <v>35615</v>
      </c>
      <c r="BC2533" s="1" t="s">
        <v>110</v>
      </c>
      <c r="BD2533" s="1" t="s">
        <v>553</v>
      </c>
      <c r="BE2533" s="1">
        <v>71.3</v>
      </c>
      <c r="BF2533" s="1"/>
      <c r="BG2533" s="1"/>
      <c r="BH2533" s="1"/>
      <c r="BI2533" s="1"/>
      <c r="BJ2533" s="1"/>
      <c r="BK2533" s="1"/>
      <c r="BL2533" s="1"/>
      <c r="BM2533" s="1"/>
      <c r="BN2533" s="1"/>
      <c r="BO2533" s="1" t="s">
        <v>41212</v>
      </c>
      <c r="BP2533" s="1"/>
      <c r="BQ2533" s="1"/>
      <c r="BR2533" s="1" t="s">
        <v>41213</v>
      </c>
      <c r="BS2533" s="1">
        <v>25</v>
      </c>
      <c r="BT2533" s="1" t="s">
        <v>41214</v>
      </c>
      <c r="BU2533" s="1" t="str">
        <f>HYPERLINK("https://nconnect.nicmar.ac.in/storage/profile/ProfilePhoto_P25707026_581379.jpg","Download")</f>
        <v>0</v>
      </c>
      <c r="BV2533" s="3"/>
      <c r="BW2533" s="3"/>
    </row>
    <row r="2534" spans="1:75">
      <c r="A2534" s="1" t="s">
        <v>40863</v>
      </c>
      <c r="B2534" s="1" t="s">
        <v>446</v>
      </c>
      <c r="C2534" s="1" t="s">
        <v>41215</v>
      </c>
      <c r="D2534" s="1" t="s">
        <v>32620</v>
      </c>
      <c r="E2534" s="1"/>
      <c r="F2534" s="1" t="s">
        <v>5151</v>
      </c>
      <c r="G2534" s="1" t="s">
        <v>41216</v>
      </c>
      <c r="H2534" s="1" t="s">
        <v>41217</v>
      </c>
      <c r="I2534" s="1" t="s">
        <v>41218</v>
      </c>
      <c r="J2534" s="1">
        <v>9958096028</v>
      </c>
      <c r="K2534" s="1" t="s">
        <v>84</v>
      </c>
      <c r="L2534" s="1" t="s">
        <v>505</v>
      </c>
      <c r="M2534" s="1" t="s">
        <v>86</v>
      </c>
      <c r="N2534" s="1" t="s">
        <v>1101</v>
      </c>
      <c r="O2534" s="1" t="s">
        <v>41219</v>
      </c>
      <c r="P2534" s="1" t="s">
        <v>455</v>
      </c>
      <c r="Q2534" s="1" t="s">
        <v>41220</v>
      </c>
      <c r="R2534" s="1" t="s">
        <v>41221</v>
      </c>
      <c r="S2534" s="1">
        <v>9811041098</v>
      </c>
      <c r="T2534" s="1" t="s">
        <v>926</v>
      </c>
      <c r="U2534" s="1" t="s">
        <v>41222</v>
      </c>
      <c r="V2534" s="1">
        <v>9953267199</v>
      </c>
      <c r="W2534" s="1" t="s">
        <v>94</v>
      </c>
      <c r="X2534" s="1" t="s">
        <v>41223</v>
      </c>
      <c r="Y2534" s="1" t="s">
        <v>3767</v>
      </c>
      <c r="Z2534" s="1" t="s">
        <v>544</v>
      </c>
      <c r="AA2534" s="1" t="s">
        <v>41223</v>
      </c>
      <c r="AB2534" s="1" t="s">
        <v>3767</v>
      </c>
      <c r="AC2534" s="1" t="s">
        <v>544</v>
      </c>
      <c r="AD2534" s="1">
        <v>7.54</v>
      </c>
      <c r="AE2534" s="1" t="s">
        <v>98</v>
      </c>
      <c r="AF2534" s="1" t="s">
        <v>41224</v>
      </c>
      <c r="AG2534" s="1" t="s">
        <v>41225</v>
      </c>
      <c r="AH2534" s="1" t="s">
        <v>515</v>
      </c>
      <c r="AI2534" s="1" t="s">
        <v>1110</v>
      </c>
      <c r="AJ2534" s="1">
        <v>68.7</v>
      </c>
      <c r="AK2534" s="1"/>
      <c r="AL2534" s="1" t="s">
        <v>41226</v>
      </c>
      <c r="AM2534" s="1" t="s">
        <v>41227</v>
      </c>
      <c r="AN2534" s="1"/>
      <c r="AO2534" s="1" t="s">
        <v>1111</v>
      </c>
      <c r="AP2534" s="1" t="s">
        <v>200</v>
      </c>
      <c r="AQ2534" s="1">
        <v>67.8</v>
      </c>
      <c r="AR2534" s="1"/>
      <c r="AS2534" s="1"/>
      <c r="AT2534" s="1"/>
      <c r="AU2534" s="1"/>
      <c r="AV2534" s="1"/>
      <c r="AW2534" s="1"/>
      <c r="AX2534" s="1"/>
      <c r="AY2534" s="1" t="s">
        <v>41228</v>
      </c>
      <c r="AZ2534" s="1" t="s">
        <v>41229</v>
      </c>
      <c r="BA2534" s="1"/>
      <c r="BB2534" s="1"/>
      <c r="BC2534" s="1" t="s">
        <v>315</v>
      </c>
      <c r="BD2534" s="1" t="s">
        <v>1400</v>
      </c>
      <c r="BE2534" s="1">
        <v>69.4</v>
      </c>
      <c r="BF2534" s="1"/>
      <c r="BG2534" s="1"/>
      <c r="BH2534" s="1"/>
      <c r="BI2534" s="1"/>
      <c r="BJ2534" s="1"/>
      <c r="BK2534" s="1"/>
      <c r="BL2534" s="1"/>
      <c r="BM2534" s="1"/>
      <c r="BN2534" s="1"/>
      <c r="BO2534" s="1" t="s">
        <v>41230</v>
      </c>
      <c r="BP2534" s="1"/>
      <c r="BQ2534" s="1"/>
      <c r="BR2534" s="1" t="s">
        <v>41231</v>
      </c>
      <c r="BS2534" s="1">
        <v>17</v>
      </c>
      <c r="BT2534" s="1"/>
      <c r="BU2534" s="1" t="str">
        <f>HYPERLINK("https://nconnect.nicmar.ac.in/storage/profile/ProfilePhoto_P25707027_184539.jpg","Download")</f>
        <v>0</v>
      </c>
      <c r="BV2534" s="3"/>
      <c r="BW2534" s="3"/>
    </row>
    <row r="2535" spans="1:75">
      <c r="A2535" s="1" t="s">
        <v>40863</v>
      </c>
      <c r="B2535" s="1" t="s">
        <v>446</v>
      </c>
      <c r="C2535" s="1" t="s">
        <v>41232</v>
      </c>
      <c r="D2535" s="1" t="s">
        <v>7991</v>
      </c>
      <c r="E2535" s="1" t="s">
        <v>500</v>
      </c>
      <c r="F2535" s="1" t="s">
        <v>7310</v>
      </c>
      <c r="G2535" s="1" t="s">
        <v>41233</v>
      </c>
      <c r="H2535" s="1" t="s">
        <v>41234</v>
      </c>
      <c r="I2535" s="1" t="s">
        <v>41235</v>
      </c>
      <c r="J2535" s="1">
        <v>7507324914</v>
      </c>
      <c r="K2535" s="1" t="s">
        <v>84</v>
      </c>
      <c r="L2535" s="1" t="s">
        <v>857</v>
      </c>
      <c r="M2535" s="1" t="s">
        <v>86</v>
      </c>
      <c r="N2535" s="1" t="s">
        <v>618</v>
      </c>
      <c r="O2535" s="1"/>
      <c r="P2535" s="1" t="s">
        <v>507</v>
      </c>
      <c r="Q2535" s="1" t="s">
        <v>41236</v>
      </c>
      <c r="R2535" s="1" t="s">
        <v>41237</v>
      </c>
      <c r="S2535" s="1">
        <v>8806882121</v>
      </c>
      <c r="T2535" s="1" t="s">
        <v>839</v>
      </c>
      <c r="U2535" s="1" t="s">
        <v>41238</v>
      </c>
      <c r="V2535" s="1">
        <v>9922070273</v>
      </c>
      <c r="W2535" s="1" t="s">
        <v>94</v>
      </c>
      <c r="X2535" s="1" t="s">
        <v>41239</v>
      </c>
      <c r="Y2535" s="1" t="s">
        <v>196</v>
      </c>
      <c r="Z2535" s="1" t="s">
        <v>97</v>
      </c>
      <c r="AA2535" s="1" t="s">
        <v>41239</v>
      </c>
      <c r="AB2535" s="1" t="s">
        <v>196</v>
      </c>
      <c r="AC2535" s="1" t="s">
        <v>97</v>
      </c>
      <c r="AD2535" s="1">
        <v>8.53</v>
      </c>
      <c r="AE2535" s="1" t="s">
        <v>98</v>
      </c>
      <c r="AF2535" s="1" t="s">
        <v>7317</v>
      </c>
      <c r="AG2535" s="1" t="s">
        <v>7353</v>
      </c>
      <c r="AH2535" s="1" t="s">
        <v>438</v>
      </c>
      <c r="AI2535" s="1" t="s">
        <v>417</v>
      </c>
      <c r="AJ2535" s="1">
        <v>87.2</v>
      </c>
      <c r="AK2535" s="1"/>
      <c r="AL2535" s="1" t="s">
        <v>41240</v>
      </c>
      <c r="AM2535" s="1" t="s">
        <v>7353</v>
      </c>
      <c r="AN2535" s="1"/>
      <c r="AO2535" s="1" t="s">
        <v>178</v>
      </c>
      <c r="AP2535" s="1" t="s">
        <v>521</v>
      </c>
      <c r="AQ2535" s="1">
        <v>70.33</v>
      </c>
      <c r="AR2535" s="1"/>
      <c r="AS2535" s="1"/>
      <c r="AT2535" s="1"/>
      <c r="AU2535" s="1"/>
      <c r="AV2535" s="1"/>
      <c r="AW2535" s="1"/>
      <c r="AX2535" s="1"/>
      <c r="AY2535" s="1" t="s">
        <v>366</v>
      </c>
      <c r="AZ2535" s="1" t="s">
        <v>41241</v>
      </c>
      <c r="BA2535" s="1" t="s">
        <v>37920</v>
      </c>
      <c r="BB2535" s="1"/>
      <c r="BC2535" s="1" t="s">
        <v>110</v>
      </c>
      <c r="BD2535" s="1" t="s">
        <v>848</v>
      </c>
      <c r="BE2535" s="1">
        <v>69.9</v>
      </c>
      <c r="BF2535" s="1">
        <v>7.74</v>
      </c>
      <c r="BG2535" s="1"/>
      <c r="BH2535" s="1"/>
      <c r="BI2535" s="1"/>
      <c r="BJ2535" s="1"/>
      <c r="BK2535" s="1"/>
      <c r="BL2535" s="1"/>
      <c r="BM2535" s="1"/>
      <c r="BN2535" s="1"/>
      <c r="BO2535" s="1" t="s">
        <v>41242</v>
      </c>
      <c r="BP2535" s="1"/>
      <c r="BQ2535" s="1"/>
      <c r="BR2535" s="1" t="s">
        <v>41243</v>
      </c>
      <c r="BS2535" s="1">
        <v>8</v>
      </c>
      <c r="BT2535" s="1" t="s">
        <v>41244</v>
      </c>
      <c r="BU2535" s="1" t="str">
        <f>HYPERLINK("https://nconnect.nicmar.ac.in/storage/profile/ProfilePhoto_P25707028_695231.jpg","Download")</f>
        <v>0</v>
      </c>
      <c r="BV2535" s="3"/>
      <c r="BW2535" s="3"/>
    </row>
    <row r="2536" spans="1:75">
      <c r="A2536" s="1" t="s">
        <v>40863</v>
      </c>
      <c r="B2536" s="1" t="s">
        <v>446</v>
      </c>
      <c r="C2536" s="1" t="s">
        <v>41245</v>
      </c>
      <c r="D2536" s="1" t="s">
        <v>41246</v>
      </c>
      <c r="E2536" s="1" t="s">
        <v>5575</v>
      </c>
      <c r="F2536" s="1" t="s">
        <v>41247</v>
      </c>
      <c r="G2536" s="1" t="s">
        <v>41248</v>
      </c>
      <c r="H2536" s="1" t="s">
        <v>41249</v>
      </c>
      <c r="I2536" s="1" t="s">
        <v>41250</v>
      </c>
      <c r="J2536" s="1">
        <v>8805032088</v>
      </c>
      <c r="K2536" s="1" t="s">
        <v>84</v>
      </c>
      <c r="L2536" s="1" t="s">
        <v>16603</v>
      </c>
      <c r="M2536" s="1" t="s">
        <v>86</v>
      </c>
      <c r="N2536" s="1" t="s">
        <v>3568</v>
      </c>
      <c r="O2536" s="1"/>
      <c r="P2536" s="1" t="s">
        <v>455</v>
      </c>
      <c r="Q2536" s="1" t="s">
        <v>41251</v>
      </c>
      <c r="R2536" s="1" t="s">
        <v>5575</v>
      </c>
      <c r="S2536" s="1">
        <v>8830516177</v>
      </c>
      <c r="T2536" s="1" t="s">
        <v>159</v>
      </c>
      <c r="U2536" s="1" t="s">
        <v>7232</v>
      </c>
      <c r="V2536" s="1">
        <v>8830516177</v>
      </c>
      <c r="W2536" s="1" t="s">
        <v>161</v>
      </c>
      <c r="X2536" s="1" t="s">
        <v>41252</v>
      </c>
      <c r="Y2536" s="1" t="s">
        <v>1779</v>
      </c>
      <c r="Z2536" s="1" t="s">
        <v>97</v>
      </c>
      <c r="AA2536" s="1" t="s">
        <v>41252</v>
      </c>
      <c r="AB2536" s="1" t="s">
        <v>1779</v>
      </c>
      <c r="AC2536" s="1" t="s">
        <v>97</v>
      </c>
      <c r="AD2536" s="1">
        <v>8.85</v>
      </c>
      <c r="AE2536" s="1" t="s">
        <v>98</v>
      </c>
      <c r="AF2536" s="1" t="s">
        <v>41253</v>
      </c>
      <c r="AG2536" s="1" t="s">
        <v>41254</v>
      </c>
      <c r="AH2536" s="1" t="s">
        <v>170</v>
      </c>
      <c r="AI2536" s="1" t="s">
        <v>286</v>
      </c>
      <c r="AJ2536" s="1">
        <v>82.2</v>
      </c>
      <c r="AK2536" s="1"/>
      <c r="AL2536" s="1" t="s">
        <v>41255</v>
      </c>
      <c r="AM2536" s="1" t="s">
        <v>41254</v>
      </c>
      <c r="AN2536" s="1" t="s">
        <v>575</v>
      </c>
      <c r="AO2536" s="1" t="s">
        <v>438</v>
      </c>
      <c r="AP2536" s="1" t="s">
        <v>365</v>
      </c>
      <c r="AQ2536" s="1">
        <v>67.08</v>
      </c>
      <c r="AR2536" s="1"/>
      <c r="AS2536" s="1"/>
      <c r="AT2536" s="1"/>
      <c r="AU2536" s="1"/>
      <c r="AV2536" s="1"/>
      <c r="AW2536" s="1"/>
      <c r="AX2536" s="1"/>
      <c r="AY2536" s="1" t="s">
        <v>41256</v>
      </c>
      <c r="AZ2536" s="1" t="s">
        <v>41257</v>
      </c>
      <c r="BA2536" s="1" t="s">
        <v>466</v>
      </c>
      <c r="BB2536" s="1" t="s">
        <v>16204</v>
      </c>
      <c r="BC2536" s="1" t="s">
        <v>1171</v>
      </c>
      <c r="BD2536" s="1" t="s">
        <v>1089</v>
      </c>
      <c r="BE2536" s="1">
        <v>78.9</v>
      </c>
      <c r="BF2536" s="1">
        <v>7.89</v>
      </c>
      <c r="BG2536" s="1"/>
      <c r="BH2536" s="1"/>
      <c r="BI2536" s="1"/>
      <c r="BJ2536" s="1"/>
      <c r="BK2536" s="1"/>
      <c r="BL2536" s="1"/>
      <c r="BM2536" s="1"/>
      <c r="BN2536" s="1"/>
      <c r="BO2536" s="1" t="s">
        <v>1890</v>
      </c>
      <c r="BP2536" s="1"/>
      <c r="BQ2536" s="1"/>
      <c r="BR2536" s="1" t="s">
        <v>41258</v>
      </c>
      <c r="BS2536" s="1">
        <v>71</v>
      </c>
      <c r="BT2536" s="1" t="s">
        <v>41259</v>
      </c>
      <c r="BU2536" s="1" t="str">
        <f>HYPERLINK("https://nconnect.nicmar.ac.in/storage/profile/ProfilePhoto_P25707029_139628.jpg","Download")</f>
        <v>0</v>
      </c>
      <c r="BV2536" s="3"/>
      <c r="BW2536" s="3"/>
    </row>
    <row r="2537" spans="1:75">
      <c r="A2537" s="1" t="s">
        <v>40863</v>
      </c>
      <c r="B2537" s="1" t="s">
        <v>446</v>
      </c>
      <c r="C2537" s="1" t="s">
        <v>41260</v>
      </c>
      <c r="D2537" s="1" t="s">
        <v>41261</v>
      </c>
      <c r="E2537" s="1"/>
      <c r="F2537" s="1" t="s">
        <v>784</v>
      </c>
      <c r="G2537" s="1" t="s">
        <v>41262</v>
      </c>
      <c r="H2537" s="1" t="s">
        <v>41263</v>
      </c>
      <c r="I2537" s="1" t="s">
        <v>41264</v>
      </c>
      <c r="J2537" s="1">
        <v>9004254887</v>
      </c>
      <c r="K2537" s="1" t="s">
        <v>84</v>
      </c>
      <c r="L2537" s="1" t="s">
        <v>41265</v>
      </c>
      <c r="M2537" s="1" t="s">
        <v>86</v>
      </c>
      <c r="N2537" s="1" t="s">
        <v>1101</v>
      </c>
      <c r="O2537" s="1"/>
      <c r="P2537" s="1" t="s">
        <v>455</v>
      </c>
      <c r="Q2537" s="1" t="s">
        <v>41266</v>
      </c>
      <c r="R2537" s="1" t="s">
        <v>41267</v>
      </c>
      <c r="S2537" s="1">
        <v>9867614887</v>
      </c>
      <c r="T2537" s="1" t="s">
        <v>645</v>
      </c>
      <c r="U2537" s="1" t="s">
        <v>41268</v>
      </c>
      <c r="V2537" s="1">
        <v>9004243367</v>
      </c>
      <c r="W2537" s="1" t="s">
        <v>1257</v>
      </c>
      <c r="X2537" s="1" t="s">
        <v>41269</v>
      </c>
      <c r="Y2537" s="1" t="s">
        <v>1189</v>
      </c>
      <c r="Z2537" s="1" t="s">
        <v>97</v>
      </c>
      <c r="AA2537" s="1" t="s">
        <v>41269</v>
      </c>
      <c r="AB2537" s="1" t="s">
        <v>1189</v>
      </c>
      <c r="AC2537" s="1" t="s">
        <v>97</v>
      </c>
      <c r="AD2537" s="1">
        <v>9.1</v>
      </c>
      <c r="AE2537" s="1" t="s">
        <v>98</v>
      </c>
      <c r="AF2537" s="1" t="s">
        <v>41270</v>
      </c>
      <c r="AG2537" s="1" t="s">
        <v>1762</v>
      </c>
      <c r="AH2537" s="1" t="s">
        <v>166</v>
      </c>
      <c r="AI2537" s="1" t="s">
        <v>167</v>
      </c>
      <c r="AJ2537" s="1">
        <v>87.6</v>
      </c>
      <c r="AK2537" s="1">
        <v>9.6</v>
      </c>
      <c r="AL2537" s="1" t="s">
        <v>41271</v>
      </c>
      <c r="AM2537" s="1" t="s">
        <v>1968</v>
      </c>
      <c r="AN2537" s="1" t="s">
        <v>465</v>
      </c>
      <c r="AO2537" s="1" t="s">
        <v>170</v>
      </c>
      <c r="AP2537" s="1" t="s">
        <v>106</v>
      </c>
      <c r="AQ2537" s="1">
        <v>68.46</v>
      </c>
      <c r="AR2537" s="1"/>
      <c r="AS2537" s="1"/>
      <c r="AT2537" s="1"/>
      <c r="AU2537" s="1"/>
      <c r="AV2537" s="1"/>
      <c r="AW2537" s="1"/>
      <c r="AX2537" s="1"/>
      <c r="AY2537" s="1" t="s">
        <v>41272</v>
      </c>
      <c r="AZ2537" s="1" t="s">
        <v>41273</v>
      </c>
      <c r="BA2537" s="1" t="s">
        <v>578</v>
      </c>
      <c r="BB2537" s="1" t="s">
        <v>467</v>
      </c>
      <c r="BC2537" s="1" t="s">
        <v>1065</v>
      </c>
      <c r="BD2537" s="1" t="s">
        <v>1400</v>
      </c>
      <c r="BE2537" s="1">
        <v>78.4</v>
      </c>
      <c r="BF2537" s="1">
        <v>8.34</v>
      </c>
      <c r="BG2537" s="1"/>
      <c r="BH2537" s="1"/>
      <c r="BI2537" s="1"/>
      <c r="BJ2537" s="1"/>
      <c r="BK2537" s="1"/>
      <c r="BL2537" s="1"/>
      <c r="BM2537" s="1"/>
      <c r="BN2537" s="1"/>
      <c r="BO2537" s="1" t="s">
        <v>41274</v>
      </c>
      <c r="BP2537" s="1" t="s">
        <v>41275</v>
      </c>
      <c r="BQ2537" s="1" t="s">
        <v>1564</v>
      </c>
      <c r="BR2537" s="1" t="s">
        <v>41276</v>
      </c>
      <c r="BS2537" s="1">
        <v>15</v>
      </c>
      <c r="BT2537" s="1" t="s">
        <v>41277</v>
      </c>
      <c r="BU2537" s="1" t="str">
        <f>HYPERLINK("https://nconnect.nicmar.ac.in/storage/profile/ProfilePhoto_P25707030_263785.jpg","Download")</f>
        <v>0</v>
      </c>
      <c r="BV2537" s="3"/>
      <c r="BW2537" s="3"/>
    </row>
    <row r="2538" spans="1:75">
      <c r="A2538" s="1" t="s">
        <v>40863</v>
      </c>
      <c r="B2538" s="1" t="s">
        <v>446</v>
      </c>
      <c r="C2538" s="1" t="s">
        <v>41278</v>
      </c>
      <c r="D2538" s="1" t="s">
        <v>7705</v>
      </c>
      <c r="E2538" s="1" t="s">
        <v>762</v>
      </c>
      <c r="F2538" s="1" t="s">
        <v>5650</v>
      </c>
      <c r="G2538" s="1" t="s">
        <v>41279</v>
      </c>
      <c r="H2538" s="1" t="s">
        <v>41280</v>
      </c>
      <c r="I2538" s="1" t="s">
        <v>41281</v>
      </c>
      <c r="J2538" s="1">
        <v>9372852385</v>
      </c>
      <c r="K2538" s="1" t="s">
        <v>84</v>
      </c>
      <c r="L2538" s="1" t="s">
        <v>41282</v>
      </c>
      <c r="M2538" s="1" t="s">
        <v>86</v>
      </c>
      <c r="N2538" s="1" t="s">
        <v>3568</v>
      </c>
      <c r="O2538" s="1"/>
      <c r="P2538" s="1" t="s">
        <v>507</v>
      </c>
      <c r="Q2538" s="1" t="s">
        <v>41283</v>
      </c>
      <c r="R2538" s="1" t="s">
        <v>41284</v>
      </c>
      <c r="S2538" s="1">
        <v>8169978521</v>
      </c>
      <c r="T2538" s="1" t="s">
        <v>645</v>
      </c>
      <c r="U2538" s="1" t="s">
        <v>41285</v>
      </c>
      <c r="V2538" s="1">
        <v>8779067109</v>
      </c>
      <c r="W2538" s="1" t="s">
        <v>41286</v>
      </c>
      <c r="X2538" s="1" t="s">
        <v>41287</v>
      </c>
      <c r="Y2538" s="1" t="s">
        <v>1012</v>
      </c>
      <c r="Z2538" s="1" t="s">
        <v>97</v>
      </c>
      <c r="AA2538" s="1" t="s">
        <v>41287</v>
      </c>
      <c r="AB2538" s="1" t="s">
        <v>1012</v>
      </c>
      <c r="AC2538" s="1" t="s">
        <v>97</v>
      </c>
      <c r="AD2538" s="1">
        <v>8.85</v>
      </c>
      <c r="AE2538" s="1" t="s">
        <v>98</v>
      </c>
      <c r="AF2538" s="1" t="s">
        <v>26805</v>
      </c>
      <c r="AG2538" s="1" t="s">
        <v>3658</v>
      </c>
      <c r="AH2538" s="1" t="s">
        <v>1065</v>
      </c>
      <c r="AI2538" s="1" t="s">
        <v>206</v>
      </c>
      <c r="AJ2538" s="1">
        <v>64</v>
      </c>
      <c r="AK2538" s="1"/>
      <c r="AL2538" s="1"/>
      <c r="AM2538" s="1"/>
      <c r="AN2538" s="1"/>
      <c r="AO2538" s="1"/>
      <c r="AP2538" s="1"/>
      <c r="AQ2538" s="1"/>
      <c r="AR2538" s="1"/>
      <c r="AS2538" s="1" t="s">
        <v>439</v>
      </c>
      <c r="AT2538" s="1" t="s">
        <v>41288</v>
      </c>
      <c r="AU2538" s="1" t="s">
        <v>206</v>
      </c>
      <c r="AV2538" s="1" t="s">
        <v>1400</v>
      </c>
      <c r="AW2538" s="1">
        <v>73.53</v>
      </c>
      <c r="AX2538" s="1"/>
      <c r="AY2538" s="1" t="s">
        <v>680</v>
      </c>
      <c r="AZ2538" s="1" t="s">
        <v>41289</v>
      </c>
      <c r="BA2538" s="1"/>
      <c r="BB2538" s="1"/>
      <c r="BC2538" s="1" t="s">
        <v>110</v>
      </c>
      <c r="BD2538" s="1" t="s">
        <v>1401</v>
      </c>
      <c r="BE2538" s="1">
        <v>59.91</v>
      </c>
      <c r="BF2538" s="1"/>
      <c r="BG2538" s="1"/>
      <c r="BH2538" s="1"/>
      <c r="BI2538" s="1"/>
      <c r="BJ2538" s="1"/>
      <c r="BK2538" s="1"/>
      <c r="BL2538" s="1"/>
      <c r="BM2538" s="1"/>
      <c r="BN2538" s="1"/>
      <c r="BO2538" s="1" t="s">
        <v>369</v>
      </c>
      <c r="BP2538" s="1"/>
      <c r="BQ2538" s="1"/>
      <c r="BR2538" s="1" t="s">
        <v>41290</v>
      </c>
      <c r="BS2538" s="1">
        <v>13</v>
      </c>
      <c r="BT2538" s="1" t="s">
        <v>41291</v>
      </c>
      <c r="BU2538" s="1" t="str">
        <f>HYPERLINK("https://nconnect.nicmar.ac.in/storage/profile/ProfilePhoto_P25707031_731429.jpg","Download")</f>
        <v>0</v>
      </c>
      <c r="BV2538" s="3"/>
      <c r="BW2538" s="3"/>
    </row>
    <row r="2539" spans="1:75">
      <c r="A2539" s="1" t="s">
        <v>40863</v>
      </c>
      <c r="B2539" s="1" t="s">
        <v>446</v>
      </c>
      <c r="C2539" s="1" t="s">
        <v>41292</v>
      </c>
      <c r="D2539" s="1" t="s">
        <v>41293</v>
      </c>
      <c r="E2539" s="1"/>
      <c r="F2539" s="1" t="s">
        <v>41294</v>
      </c>
      <c r="G2539" s="1" t="s">
        <v>41295</v>
      </c>
      <c r="H2539" s="1" t="s">
        <v>41296</v>
      </c>
      <c r="I2539" s="1" t="s">
        <v>41297</v>
      </c>
      <c r="J2539" s="1">
        <v>8660783941</v>
      </c>
      <c r="K2539" s="1" t="s">
        <v>153</v>
      </c>
      <c r="L2539" s="1" t="s">
        <v>41298</v>
      </c>
      <c r="M2539" s="1" t="s">
        <v>86</v>
      </c>
      <c r="N2539" s="1" t="s">
        <v>618</v>
      </c>
      <c r="O2539" s="1"/>
      <c r="P2539" s="1" t="s">
        <v>455</v>
      </c>
      <c r="Q2539" s="1" t="s">
        <v>41299</v>
      </c>
      <c r="R2539" s="1" t="s">
        <v>41300</v>
      </c>
      <c r="S2539" s="1">
        <v>9075067936</v>
      </c>
      <c r="T2539" s="1" t="s">
        <v>6160</v>
      </c>
      <c r="U2539" s="1" t="s">
        <v>41301</v>
      </c>
      <c r="V2539" s="1">
        <v>9921949882</v>
      </c>
      <c r="W2539" s="1" t="s">
        <v>41302</v>
      </c>
      <c r="X2539" s="1" t="s">
        <v>41303</v>
      </c>
      <c r="Y2539" s="1" t="s">
        <v>196</v>
      </c>
      <c r="Z2539" s="1" t="s">
        <v>97</v>
      </c>
      <c r="AA2539" s="1" t="s">
        <v>41304</v>
      </c>
      <c r="AB2539" s="1" t="s">
        <v>196</v>
      </c>
      <c r="AC2539" s="1" t="s">
        <v>97</v>
      </c>
      <c r="AD2539" s="1">
        <v>8.43</v>
      </c>
      <c r="AE2539" s="1" t="s">
        <v>98</v>
      </c>
      <c r="AF2539" s="1" t="s">
        <v>4489</v>
      </c>
      <c r="AG2539" s="1" t="s">
        <v>41305</v>
      </c>
      <c r="AH2539" s="1" t="s">
        <v>438</v>
      </c>
      <c r="AI2539" s="1" t="s">
        <v>603</v>
      </c>
      <c r="AJ2539" s="1">
        <v>91.8</v>
      </c>
      <c r="AK2539" s="1"/>
      <c r="AL2539" s="1" t="s">
        <v>41306</v>
      </c>
      <c r="AM2539" s="1" t="s">
        <v>41305</v>
      </c>
      <c r="AN2539" s="1"/>
      <c r="AO2539" s="1" t="s">
        <v>441</v>
      </c>
      <c r="AP2539" s="1" t="s">
        <v>289</v>
      </c>
      <c r="AQ2539" s="1">
        <v>71.4</v>
      </c>
      <c r="AR2539" s="1"/>
      <c r="AS2539" s="1"/>
      <c r="AT2539" s="1"/>
      <c r="AU2539" s="1"/>
      <c r="AV2539" s="1"/>
      <c r="AW2539" s="1"/>
      <c r="AX2539" s="1"/>
      <c r="AY2539" s="1" t="s">
        <v>41307</v>
      </c>
      <c r="AZ2539" s="1" t="s">
        <v>41308</v>
      </c>
      <c r="BA2539" s="1"/>
      <c r="BB2539" s="1"/>
      <c r="BC2539" s="1" t="s">
        <v>110</v>
      </c>
      <c r="BD2539" s="1" t="s">
        <v>553</v>
      </c>
      <c r="BE2539" s="1">
        <v>75.27</v>
      </c>
      <c r="BF2539" s="1"/>
      <c r="BG2539" s="1"/>
      <c r="BH2539" s="1"/>
      <c r="BI2539" s="1"/>
      <c r="BJ2539" s="1"/>
      <c r="BK2539" s="1"/>
      <c r="BL2539" s="1"/>
      <c r="BM2539" s="1"/>
      <c r="BN2539" s="1"/>
      <c r="BO2539" s="1" t="s">
        <v>1890</v>
      </c>
      <c r="BP2539" s="1"/>
      <c r="BQ2539" s="1"/>
      <c r="BR2539" s="1"/>
      <c r="BS2539" s="1"/>
      <c r="BT2539" s="1" t="s">
        <v>41309</v>
      </c>
      <c r="BU2539" s="1" t="str">
        <f>HYPERLINK("https://nconnect.nicmar.ac.in/storage/profile/ProfilePhoto_P25707033_857492.jpg","Download")</f>
        <v>0</v>
      </c>
      <c r="BV2539" s="3"/>
      <c r="BW2539" s="3"/>
    </row>
    <row r="2540" spans="1:75">
      <c r="A2540" s="1" t="s">
        <v>40863</v>
      </c>
      <c r="B2540" s="1" t="s">
        <v>446</v>
      </c>
      <c r="C2540" s="1" t="s">
        <v>41310</v>
      </c>
      <c r="D2540" s="1" t="s">
        <v>41311</v>
      </c>
      <c r="E2540" s="1"/>
      <c r="F2540" s="1" t="s">
        <v>5151</v>
      </c>
      <c r="G2540" s="1" t="s">
        <v>41312</v>
      </c>
      <c r="H2540" s="1" t="s">
        <v>41313</v>
      </c>
      <c r="I2540" s="1" t="s">
        <v>41314</v>
      </c>
      <c r="J2540" s="1">
        <v>8126404019</v>
      </c>
      <c r="K2540" s="1" t="s">
        <v>84</v>
      </c>
      <c r="L2540" s="1" t="s">
        <v>41315</v>
      </c>
      <c r="M2540" s="1" t="s">
        <v>86</v>
      </c>
      <c r="N2540" s="1" t="s">
        <v>4278</v>
      </c>
      <c r="O2540" s="1"/>
      <c r="P2540" s="1" t="s">
        <v>455</v>
      </c>
      <c r="Q2540" s="1" t="s">
        <v>41316</v>
      </c>
      <c r="R2540" s="1" t="s">
        <v>41317</v>
      </c>
      <c r="S2540" s="1">
        <v>9457852818</v>
      </c>
      <c r="T2540" s="1" t="s">
        <v>645</v>
      </c>
      <c r="U2540" s="1" t="s">
        <v>41318</v>
      </c>
      <c r="V2540" s="1">
        <v>9457852819</v>
      </c>
      <c r="W2540" s="1" t="s">
        <v>94</v>
      </c>
      <c r="X2540" s="1" t="s">
        <v>41319</v>
      </c>
      <c r="Y2540" s="1" t="s">
        <v>17464</v>
      </c>
      <c r="Z2540" s="1" t="s">
        <v>544</v>
      </c>
      <c r="AA2540" s="1" t="s">
        <v>41319</v>
      </c>
      <c r="AB2540" s="1" t="s">
        <v>17464</v>
      </c>
      <c r="AC2540" s="1" t="s">
        <v>544</v>
      </c>
      <c r="AD2540" s="1">
        <v>7.35</v>
      </c>
      <c r="AE2540" s="1" t="s">
        <v>98</v>
      </c>
      <c r="AF2540" s="1" t="s">
        <v>41320</v>
      </c>
      <c r="AG2540" s="1" t="s">
        <v>41321</v>
      </c>
      <c r="AH2540" s="1" t="s">
        <v>515</v>
      </c>
      <c r="AI2540" s="1" t="s">
        <v>136</v>
      </c>
      <c r="AJ2540" s="1">
        <v>64.16</v>
      </c>
      <c r="AK2540" s="1"/>
      <c r="AL2540" s="1" t="s">
        <v>41320</v>
      </c>
      <c r="AM2540" s="1" t="s">
        <v>41322</v>
      </c>
      <c r="AN2540" s="1"/>
      <c r="AO2540" s="1" t="s">
        <v>1111</v>
      </c>
      <c r="AP2540" s="1" t="s">
        <v>573</v>
      </c>
      <c r="AQ2540" s="1">
        <v>57.6</v>
      </c>
      <c r="AR2540" s="1"/>
      <c r="AS2540" s="1"/>
      <c r="AT2540" s="1"/>
      <c r="AU2540" s="1"/>
      <c r="AV2540" s="1"/>
      <c r="AW2540" s="1"/>
      <c r="AX2540" s="1"/>
      <c r="AY2540" s="1" t="s">
        <v>41323</v>
      </c>
      <c r="AZ2540" s="1" t="s">
        <v>41324</v>
      </c>
      <c r="BA2540" s="1"/>
      <c r="BB2540" s="1"/>
      <c r="BC2540" s="1" t="s">
        <v>206</v>
      </c>
      <c r="BD2540" s="1" t="s">
        <v>40088</v>
      </c>
      <c r="BE2540" s="1">
        <v>62.07</v>
      </c>
      <c r="BF2540" s="1"/>
      <c r="BG2540" s="1" t="s">
        <v>41323</v>
      </c>
      <c r="BH2540" s="1" t="s">
        <v>38187</v>
      </c>
      <c r="BI2540" s="1"/>
      <c r="BJ2540" s="1"/>
      <c r="BK2540" s="1" t="s">
        <v>10037</v>
      </c>
      <c r="BL2540" s="1" t="s">
        <v>7737</v>
      </c>
      <c r="BM2540" s="1">
        <v>75.48</v>
      </c>
      <c r="BN2540" s="1"/>
      <c r="BO2540" s="1" t="s">
        <v>1890</v>
      </c>
      <c r="BP2540" s="1"/>
      <c r="BQ2540" s="1"/>
      <c r="BR2540" s="1" t="s">
        <v>41325</v>
      </c>
      <c r="BS2540" s="1">
        <v>13</v>
      </c>
      <c r="BT2540" s="1" t="s">
        <v>41326</v>
      </c>
      <c r="BU2540" s="1" t="str">
        <f>HYPERLINK("https://nconnect.nicmar.ac.in/storage/profile/ProfilePhoto_P25707034_398276.jpg","Download")</f>
        <v>0</v>
      </c>
      <c r="BV2540" s="3"/>
      <c r="BW2540" s="3"/>
    </row>
    <row r="2541" spans="1:75">
      <c r="A2541" s="1" t="s">
        <v>40863</v>
      </c>
      <c r="B2541" s="1" t="s">
        <v>446</v>
      </c>
      <c r="C2541" s="1" t="s">
        <v>41327</v>
      </c>
      <c r="D2541" s="1" t="s">
        <v>5418</v>
      </c>
      <c r="E2541" s="1" t="s">
        <v>9424</v>
      </c>
      <c r="F2541" s="1" t="s">
        <v>13423</v>
      </c>
      <c r="G2541" s="1" t="s">
        <v>41328</v>
      </c>
      <c r="H2541" s="1" t="s">
        <v>41329</v>
      </c>
      <c r="I2541" s="1" t="s">
        <v>41330</v>
      </c>
      <c r="J2541" s="1">
        <v>9067032223</v>
      </c>
      <c r="K2541" s="1" t="s">
        <v>153</v>
      </c>
      <c r="L2541" s="1" t="s">
        <v>8217</v>
      </c>
      <c r="M2541" s="1" t="s">
        <v>86</v>
      </c>
      <c r="N2541" s="1" t="s">
        <v>41331</v>
      </c>
      <c r="O2541" s="1" t="s">
        <v>41332</v>
      </c>
      <c r="P2541" s="1" t="s">
        <v>507</v>
      </c>
      <c r="Q2541" s="1" t="s">
        <v>41333</v>
      </c>
      <c r="R2541" s="1" t="s">
        <v>9424</v>
      </c>
      <c r="S2541" s="1">
        <v>9822396657</v>
      </c>
      <c r="T2541" s="1" t="s">
        <v>41334</v>
      </c>
      <c r="U2541" s="1" t="s">
        <v>2991</v>
      </c>
      <c r="V2541" s="1">
        <v>9021363301</v>
      </c>
      <c r="W2541" s="1" t="s">
        <v>41335</v>
      </c>
      <c r="X2541" s="1" t="s">
        <v>41336</v>
      </c>
      <c r="Y2541" s="1" t="s">
        <v>196</v>
      </c>
      <c r="Z2541" s="1" t="s">
        <v>97</v>
      </c>
      <c r="AA2541" s="1" t="s">
        <v>41337</v>
      </c>
      <c r="AB2541" s="1" t="s">
        <v>196</v>
      </c>
      <c r="AC2541" s="1" t="s">
        <v>97</v>
      </c>
      <c r="AD2541" s="1">
        <v>9.26</v>
      </c>
      <c r="AE2541" s="1" t="s">
        <v>98</v>
      </c>
      <c r="AF2541" s="1" t="s">
        <v>41338</v>
      </c>
      <c r="AG2541" s="1" t="s">
        <v>165</v>
      </c>
      <c r="AH2541" s="1" t="s">
        <v>102</v>
      </c>
      <c r="AI2541" s="1" t="s">
        <v>1111</v>
      </c>
      <c r="AJ2541" s="1">
        <v>85.4</v>
      </c>
      <c r="AK2541" s="1"/>
      <c r="AL2541" s="1" t="s">
        <v>41339</v>
      </c>
      <c r="AM2541" s="1" t="s">
        <v>165</v>
      </c>
      <c r="AN2541" s="1"/>
      <c r="AO2541" s="1" t="s">
        <v>518</v>
      </c>
      <c r="AP2541" s="1" t="s">
        <v>1477</v>
      </c>
      <c r="AQ2541" s="1">
        <v>59.38</v>
      </c>
      <c r="AR2541" s="1"/>
      <c r="AS2541" s="1"/>
      <c r="AT2541" s="1"/>
      <c r="AU2541" s="1"/>
      <c r="AV2541" s="1"/>
      <c r="AW2541" s="1"/>
      <c r="AX2541" s="1"/>
      <c r="AY2541" s="1" t="s">
        <v>366</v>
      </c>
      <c r="AZ2541" s="1" t="s">
        <v>41340</v>
      </c>
      <c r="BA2541" s="1"/>
      <c r="BB2541" s="1"/>
      <c r="BC2541" s="1" t="s">
        <v>25647</v>
      </c>
      <c r="BD2541" s="1" t="s">
        <v>579</v>
      </c>
      <c r="BE2541" s="1">
        <v>62.42</v>
      </c>
      <c r="BF2541" s="1">
        <v>7.01</v>
      </c>
      <c r="BG2541" s="1"/>
      <c r="BH2541" s="1"/>
      <c r="BI2541" s="1"/>
      <c r="BJ2541" s="1"/>
      <c r="BK2541" s="1"/>
      <c r="BL2541" s="1"/>
      <c r="BM2541" s="1"/>
      <c r="BN2541" s="1"/>
      <c r="BO2541" s="1" t="s">
        <v>41341</v>
      </c>
      <c r="BP2541" s="1" t="s">
        <v>41342</v>
      </c>
      <c r="BQ2541" s="1" t="s">
        <v>1564</v>
      </c>
      <c r="BR2541" s="1" t="s">
        <v>41343</v>
      </c>
      <c r="BS2541" s="1">
        <v>33</v>
      </c>
      <c r="BT2541" s="1"/>
      <c r="BU2541" s="1" t="str">
        <f>HYPERLINK("https://nconnect.nicmar.ac.in/storage/profile/ProfilePhoto_P25707035_892731.jpg","Download")</f>
        <v>0</v>
      </c>
      <c r="BV2541" s="3"/>
      <c r="BW2541" s="3"/>
    </row>
    <row r="2542" spans="1:75">
      <c r="A2542" s="1" t="s">
        <v>40863</v>
      </c>
      <c r="B2542" s="1" t="s">
        <v>446</v>
      </c>
      <c r="C2542" s="1" t="s">
        <v>41344</v>
      </c>
      <c r="D2542" s="1" t="s">
        <v>6896</v>
      </c>
      <c r="E2542" s="1" t="s">
        <v>2734</v>
      </c>
      <c r="F2542" s="1" t="s">
        <v>41345</v>
      </c>
      <c r="G2542" s="1" t="s">
        <v>41346</v>
      </c>
      <c r="H2542" s="1" t="s">
        <v>41347</v>
      </c>
      <c r="I2542" s="1" t="s">
        <v>41348</v>
      </c>
      <c r="J2542" s="1">
        <v>9967448276</v>
      </c>
      <c r="K2542" s="1" t="s">
        <v>84</v>
      </c>
      <c r="L2542" s="1" t="s">
        <v>41349</v>
      </c>
      <c r="M2542" s="1" t="s">
        <v>86</v>
      </c>
      <c r="N2542" s="1" t="s">
        <v>6193</v>
      </c>
      <c r="O2542" s="1"/>
      <c r="P2542" s="1" t="s">
        <v>455</v>
      </c>
      <c r="Q2542" s="1" t="s">
        <v>41350</v>
      </c>
      <c r="R2542" s="1" t="s">
        <v>41351</v>
      </c>
      <c r="S2542" s="1">
        <v>9867317957</v>
      </c>
      <c r="T2542" s="1" t="s">
        <v>6733</v>
      </c>
      <c r="U2542" s="1" t="s">
        <v>41352</v>
      </c>
      <c r="V2542" s="1">
        <v>9867043732</v>
      </c>
      <c r="W2542" s="1" t="s">
        <v>541</v>
      </c>
      <c r="X2542" s="1" t="s">
        <v>41353</v>
      </c>
      <c r="Y2542" s="1" t="s">
        <v>1189</v>
      </c>
      <c r="Z2542" s="1" t="s">
        <v>97</v>
      </c>
      <c r="AA2542" s="1" t="s">
        <v>41353</v>
      </c>
      <c r="AB2542" s="1" t="s">
        <v>1189</v>
      </c>
      <c r="AC2542" s="1" t="s">
        <v>97</v>
      </c>
      <c r="AD2542" s="1">
        <v>8.63</v>
      </c>
      <c r="AE2542" s="1" t="s">
        <v>98</v>
      </c>
      <c r="AF2542" s="1" t="s">
        <v>41354</v>
      </c>
      <c r="AG2542" s="1" t="s">
        <v>41355</v>
      </c>
      <c r="AH2542" s="1" t="s">
        <v>106</v>
      </c>
      <c r="AI2542" s="1" t="s">
        <v>414</v>
      </c>
      <c r="AJ2542" s="1">
        <v>81.8</v>
      </c>
      <c r="AK2542" s="1"/>
      <c r="AL2542" s="1" t="s">
        <v>41356</v>
      </c>
      <c r="AM2542" s="1" t="s">
        <v>165</v>
      </c>
      <c r="AN2542" s="1"/>
      <c r="AO2542" s="1" t="s">
        <v>178</v>
      </c>
      <c r="AP2542" s="1" t="s">
        <v>1192</v>
      </c>
      <c r="AQ2542" s="1">
        <v>75.17</v>
      </c>
      <c r="AR2542" s="1"/>
      <c r="AS2542" s="1"/>
      <c r="AT2542" s="1"/>
      <c r="AU2542" s="1"/>
      <c r="AV2542" s="1"/>
      <c r="AW2542" s="1"/>
      <c r="AX2542" s="1"/>
      <c r="AY2542" s="1" t="s">
        <v>258</v>
      </c>
      <c r="AZ2542" s="1" t="s">
        <v>41357</v>
      </c>
      <c r="BA2542" s="1"/>
      <c r="BB2542" s="1"/>
      <c r="BC2542" s="1" t="s">
        <v>871</v>
      </c>
      <c r="BD2542" s="1" t="s">
        <v>553</v>
      </c>
      <c r="BE2542" s="1">
        <v>68.39</v>
      </c>
      <c r="BF2542" s="1">
        <v>7.62</v>
      </c>
      <c r="BG2542" s="1"/>
      <c r="BH2542" s="1"/>
      <c r="BI2542" s="1"/>
      <c r="BJ2542" s="1"/>
      <c r="BK2542" s="1"/>
      <c r="BL2542" s="1"/>
      <c r="BM2542" s="1"/>
      <c r="BN2542" s="1"/>
      <c r="BO2542" s="1" t="s">
        <v>41358</v>
      </c>
      <c r="BP2542" s="1"/>
      <c r="BQ2542" s="1"/>
      <c r="BR2542" s="1" t="s">
        <v>41359</v>
      </c>
      <c r="BS2542" s="1">
        <v>8</v>
      </c>
      <c r="BT2542" s="1" t="s">
        <v>41360</v>
      </c>
      <c r="BU2542" s="1" t="str">
        <f>HYPERLINK("https://nconnect.nicmar.ac.in/storage/profile/ProfilePhoto_P25707036_319574.jpg","Download")</f>
        <v>0</v>
      </c>
      <c r="BV2542" s="3"/>
      <c r="BW2542" s="3"/>
    </row>
    <row r="2543" spans="1:75">
      <c r="A2543" s="1" t="s">
        <v>40863</v>
      </c>
      <c r="B2543" s="1" t="s">
        <v>446</v>
      </c>
      <c r="C2543" s="1" t="s">
        <v>41361</v>
      </c>
      <c r="D2543" s="1" t="s">
        <v>11148</v>
      </c>
      <c r="E2543" s="1" t="s">
        <v>12672</v>
      </c>
      <c r="F2543" s="1" t="s">
        <v>7180</v>
      </c>
      <c r="G2543" s="1" t="s">
        <v>41362</v>
      </c>
      <c r="H2543" s="1" t="s">
        <v>41363</v>
      </c>
      <c r="I2543" s="1" t="s">
        <v>41364</v>
      </c>
      <c r="J2543" s="1">
        <v>7768093156</v>
      </c>
      <c r="K2543" s="1" t="s">
        <v>84</v>
      </c>
      <c r="L2543" s="1" t="s">
        <v>12886</v>
      </c>
      <c r="M2543" s="1" t="s">
        <v>86</v>
      </c>
      <c r="N2543" s="1" t="s">
        <v>41365</v>
      </c>
      <c r="O2543" s="1"/>
      <c r="P2543" s="1" t="s">
        <v>481</v>
      </c>
      <c r="Q2543" s="1" t="s">
        <v>41366</v>
      </c>
      <c r="R2543" s="1" t="s">
        <v>41367</v>
      </c>
      <c r="S2543" s="1">
        <v>7972194378</v>
      </c>
      <c r="T2543" s="1" t="s">
        <v>11533</v>
      </c>
      <c r="U2543" s="1" t="s">
        <v>41368</v>
      </c>
      <c r="V2543" s="1">
        <v>8007342244</v>
      </c>
      <c r="W2543" s="1" t="s">
        <v>11533</v>
      </c>
      <c r="X2543" s="1" t="s">
        <v>41369</v>
      </c>
      <c r="Y2543" s="1" t="s">
        <v>1989</v>
      </c>
      <c r="Z2543" s="1" t="s">
        <v>97</v>
      </c>
      <c r="AA2543" s="1" t="s">
        <v>41369</v>
      </c>
      <c r="AB2543" s="1" t="s">
        <v>1989</v>
      </c>
      <c r="AC2543" s="1" t="s">
        <v>97</v>
      </c>
      <c r="AD2543" s="1">
        <v>9.44</v>
      </c>
      <c r="AE2543" s="1" t="s">
        <v>98</v>
      </c>
      <c r="AF2543" s="1" t="s">
        <v>41370</v>
      </c>
      <c r="AG2543" s="1" t="s">
        <v>41371</v>
      </c>
      <c r="AH2543" s="1" t="s">
        <v>388</v>
      </c>
      <c r="AI2543" s="1" t="s">
        <v>490</v>
      </c>
      <c r="AJ2543" s="1">
        <v>68.83</v>
      </c>
      <c r="AK2543" s="1"/>
      <c r="AL2543" s="1" t="s">
        <v>41372</v>
      </c>
      <c r="AM2543" s="1" t="s">
        <v>165</v>
      </c>
      <c r="AN2543" s="1"/>
      <c r="AO2543" s="1" t="s">
        <v>315</v>
      </c>
      <c r="AP2543" s="1" t="s">
        <v>603</v>
      </c>
      <c r="AQ2543" s="1">
        <v>65.08</v>
      </c>
      <c r="AR2543" s="1"/>
      <c r="AS2543" s="1"/>
      <c r="AT2543" s="1"/>
      <c r="AU2543" s="1"/>
      <c r="AV2543" s="1"/>
      <c r="AW2543" s="1"/>
      <c r="AX2543" s="1"/>
      <c r="AY2543" s="1" t="s">
        <v>1887</v>
      </c>
      <c r="AZ2543" s="1" t="s">
        <v>41373</v>
      </c>
      <c r="BA2543" s="1"/>
      <c r="BB2543" s="1"/>
      <c r="BC2543" s="1" t="s">
        <v>549</v>
      </c>
      <c r="BD2543" s="1" t="s">
        <v>418</v>
      </c>
      <c r="BE2543" s="1">
        <v>82.4</v>
      </c>
      <c r="BF2543" s="1">
        <v>8.74</v>
      </c>
      <c r="BG2543" s="1"/>
      <c r="BH2543" s="1"/>
      <c r="BI2543" s="1"/>
      <c r="BJ2543" s="1"/>
      <c r="BK2543" s="1"/>
      <c r="BL2543" s="1"/>
      <c r="BM2543" s="1"/>
      <c r="BN2543" s="1"/>
      <c r="BO2543" s="1" t="s">
        <v>41374</v>
      </c>
      <c r="BP2543" s="1"/>
      <c r="BQ2543" s="1"/>
      <c r="BR2543" s="1" t="s">
        <v>41375</v>
      </c>
      <c r="BS2543" s="1">
        <v>22</v>
      </c>
      <c r="BT2543" s="1" t="s">
        <v>41376</v>
      </c>
      <c r="BU2543" s="1" t="str">
        <f>HYPERLINK("https://nconnect.nicmar.ac.in/storage/profile/ProfilePhoto_P25707037_629387.jpg","Download")</f>
        <v>0</v>
      </c>
      <c r="BV2543" s="3"/>
      <c r="BW2543" s="3"/>
    </row>
    <row r="2544" spans="1:75">
      <c r="A2544" s="1" t="s">
        <v>40863</v>
      </c>
      <c r="B2544" s="1" t="s">
        <v>446</v>
      </c>
      <c r="C2544" s="1" t="s">
        <v>41377</v>
      </c>
      <c r="D2544" s="1" t="s">
        <v>41378</v>
      </c>
      <c r="E2544" s="1"/>
      <c r="F2544" s="1" t="s">
        <v>41379</v>
      </c>
      <c r="G2544" s="1" t="s">
        <v>41380</v>
      </c>
      <c r="H2544" s="1" t="s">
        <v>41381</v>
      </c>
      <c r="I2544" s="1" t="s">
        <v>41382</v>
      </c>
      <c r="J2544" s="1">
        <v>6289954906</v>
      </c>
      <c r="K2544" s="1" t="s">
        <v>153</v>
      </c>
      <c r="L2544" s="1" t="s">
        <v>35968</v>
      </c>
      <c r="M2544" s="1" t="s">
        <v>86</v>
      </c>
      <c r="N2544" s="1" t="s">
        <v>27171</v>
      </c>
      <c r="O2544" s="1"/>
      <c r="P2544" s="1" t="s">
        <v>507</v>
      </c>
      <c r="Q2544" s="1" t="s">
        <v>41383</v>
      </c>
      <c r="R2544" s="1" t="s">
        <v>41384</v>
      </c>
      <c r="S2544" s="1">
        <v>9682557989</v>
      </c>
      <c r="T2544" s="1" t="s">
        <v>41385</v>
      </c>
      <c r="U2544" s="1" t="s">
        <v>41386</v>
      </c>
      <c r="V2544" s="1">
        <v>9123944987</v>
      </c>
      <c r="W2544" s="1" t="s">
        <v>278</v>
      </c>
      <c r="X2544" s="1" t="s">
        <v>41387</v>
      </c>
      <c r="Y2544" s="1" t="s">
        <v>3282</v>
      </c>
      <c r="Z2544" s="1" t="s">
        <v>1234</v>
      </c>
      <c r="AA2544" s="1" t="s">
        <v>41387</v>
      </c>
      <c r="AB2544" s="1" t="s">
        <v>3282</v>
      </c>
      <c r="AC2544" s="1" t="s">
        <v>1234</v>
      </c>
      <c r="AD2544" s="1">
        <v>8.45</v>
      </c>
      <c r="AE2544" s="1" t="s">
        <v>98</v>
      </c>
      <c r="AF2544" s="1" t="s">
        <v>41388</v>
      </c>
      <c r="AG2544" s="1" t="s">
        <v>41389</v>
      </c>
      <c r="AH2544" s="1" t="s">
        <v>167</v>
      </c>
      <c r="AI2544" s="1" t="s">
        <v>170</v>
      </c>
      <c r="AJ2544" s="1">
        <v>77.9</v>
      </c>
      <c r="AK2544" s="1">
        <v>8.2</v>
      </c>
      <c r="AL2544" s="1" t="s">
        <v>41390</v>
      </c>
      <c r="AM2544" s="1" t="s">
        <v>41391</v>
      </c>
      <c r="AN2544" s="1"/>
      <c r="AO2544" s="1" t="s">
        <v>171</v>
      </c>
      <c r="AP2544" s="1" t="s">
        <v>438</v>
      </c>
      <c r="AQ2544" s="1">
        <v>65.2</v>
      </c>
      <c r="AR2544" s="1"/>
      <c r="AS2544" s="1"/>
      <c r="AT2544" s="1"/>
      <c r="AU2544" s="1"/>
      <c r="AV2544" s="1"/>
      <c r="AW2544" s="1"/>
      <c r="AX2544" s="1"/>
      <c r="AY2544" s="1" t="s">
        <v>35292</v>
      </c>
      <c r="AZ2544" s="1" t="s">
        <v>41392</v>
      </c>
      <c r="BA2544" s="1"/>
      <c r="BB2544" s="1"/>
      <c r="BC2544" s="1" t="s">
        <v>845</v>
      </c>
      <c r="BD2544" s="1" t="s">
        <v>1089</v>
      </c>
      <c r="BE2544" s="1">
        <v>69.4</v>
      </c>
      <c r="BF2544" s="1"/>
      <c r="BG2544" s="1"/>
      <c r="BH2544" s="1"/>
      <c r="BI2544" s="1"/>
      <c r="BJ2544" s="1"/>
      <c r="BK2544" s="1"/>
      <c r="BL2544" s="1"/>
      <c r="BM2544" s="1"/>
      <c r="BN2544" s="1"/>
      <c r="BO2544" s="1" t="s">
        <v>41393</v>
      </c>
      <c r="BP2544" s="1"/>
      <c r="BQ2544" s="1"/>
      <c r="BR2544" s="1" t="s">
        <v>41394</v>
      </c>
      <c r="BS2544" s="1">
        <v>8</v>
      </c>
      <c r="BT2544" s="1"/>
      <c r="BU2544" s="1" t="str">
        <f>HYPERLINK("https://nconnect.nicmar.ac.in/storage/profile/ProfilePhoto_P25707038_634579.jpg","Download")</f>
        <v>0</v>
      </c>
      <c r="BV2544" s="3"/>
      <c r="BW2544" s="3"/>
    </row>
    <row r="2545" spans="1:75">
      <c r="A2545" s="1" t="s">
        <v>40863</v>
      </c>
      <c r="B2545" s="1" t="s">
        <v>446</v>
      </c>
      <c r="C2545" s="1" t="s">
        <v>41395</v>
      </c>
      <c r="D2545" s="1" t="s">
        <v>41396</v>
      </c>
      <c r="E2545" s="1"/>
      <c r="F2545" s="1" t="s">
        <v>41397</v>
      </c>
      <c r="G2545" s="1" t="s">
        <v>41398</v>
      </c>
      <c r="H2545" s="1" t="s">
        <v>41399</v>
      </c>
      <c r="I2545" s="1" t="s">
        <v>41400</v>
      </c>
      <c r="J2545" s="1">
        <v>9115775205</v>
      </c>
      <c r="K2545" s="1" t="s">
        <v>153</v>
      </c>
      <c r="L2545" s="1" t="s">
        <v>41401</v>
      </c>
      <c r="M2545" s="1" t="s">
        <v>86</v>
      </c>
      <c r="N2545" s="1" t="s">
        <v>25605</v>
      </c>
      <c r="O2545" s="1" t="s">
        <v>157</v>
      </c>
      <c r="P2545" s="1" t="s">
        <v>89</v>
      </c>
      <c r="Q2545" s="1" t="s">
        <v>41402</v>
      </c>
      <c r="R2545" s="1" t="s">
        <v>41403</v>
      </c>
      <c r="S2545" s="1">
        <v>9811018149</v>
      </c>
      <c r="T2545" s="1" t="s">
        <v>41404</v>
      </c>
      <c r="U2545" s="1" t="s">
        <v>41405</v>
      </c>
      <c r="V2545" s="1">
        <v>9115711925</v>
      </c>
      <c r="W2545" s="1" t="s">
        <v>127</v>
      </c>
      <c r="X2545" s="1" t="s">
        <v>41406</v>
      </c>
      <c r="Y2545" s="1" t="s">
        <v>6489</v>
      </c>
      <c r="Z2545" s="1" t="s">
        <v>1739</v>
      </c>
      <c r="AA2545" s="1" t="s">
        <v>41406</v>
      </c>
      <c r="AB2545" s="1" t="s">
        <v>6489</v>
      </c>
      <c r="AC2545" s="1" t="s">
        <v>1739</v>
      </c>
      <c r="AD2545" s="1">
        <v>8.84</v>
      </c>
      <c r="AE2545" s="1" t="s">
        <v>98</v>
      </c>
      <c r="AF2545" s="1" t="s">
        <v>41407</v>
      </c>
      <c r="AG2545" s="1" t="s">
        <v>41408</v>
      </c>
      <c r="AH2545" s="1" t="s">
        <v>490</v>
      </c>
      <c r="AI2545" s="1" t="s">
        <v>313</v>
      </c>
      <c r="AJ2545" s="1">
        <v>75</v>
      </c>
      <c r="AK2545" s="1"/>
      <c r="AL2545" s="1" t="s">
        <v>41407</v>
      </c>
      <c r="AM2545" s="1" t="s">
        <v>41408</v>
      </c>
      <c r="AN2545" s="1"/>
      <c r="AO2545" s="1" t="s">
        <v>977</v>
      </c>
      <c r="AP2545" s="1" t="s">
        <v>549</v>
      </c>
      <c r="AQ2545" s="1">
        <v>89.2</v>
      </c>
      <c r="AR2545" s="1"/>
      <c r="AS2545" s="1"/>
      <c r="AT2545" s="1"/>
      <c r="AU2545" s="1"/>
      <c r="AV2545" s="1"/>
      <c r="AW2545" s="1"/>
      <c r="AX2545" s="1"/>
      <c r="AY2545" s="1" t="s">
        <v>41409</v>
      </c>
      <c r="AZ2545" s="1" t="s">
        <v>41410</v>
      </c>
      <c r="BA2545" s="1"/>
      <c r="BB2545" s="1"/>
      <c r="BC2545" s="1" t="s">
        <v>606</v>
      </c>
      <c r="BD2545" s="1" t="s">
        <v>418</v>
      </c>
      <c r="BE2545" s="1">
        <v>80</v>
      </c>
      <c r="BF2545" s="1">
        <v>8</v>
      </c>
      <c r="BG2545" s="1"/>
      <c r="BH2545" s="1"/>
      <c r="BI2545" s="1"/>
      <c r="BJ2545" s="1"/>
      <c r="BK2545" s="1"/>
      <c r="BL2545" s="1"/>
      <c r="BM2545" s="1"/>
      <c r="BN2545" s="1"/>
      <c r="BO2545" s="1" t="s">
        <v>41411</v>
      </c>
      <c r="BP2545" s="1"/>
      <c r="BQ2545" s="1"/>
      <c r="BR2545" s="1" t="s">
        <v>41412</v>
      </c>
      <c r="BS2545" s="1">
        <v>30</v>
      </c>
      <c r="BT2545" s="1" t="s">
        <v>41413</v>
      </c>
      <c r="BU2545" s="1" t="str">
        <f>HYPERLINK("https://nconnect.nicmar.ac.in/storage/profile/ProfilePhoto_P25707039_752349.jpg","Download")</f>
        <v>0</v>
      </c>
      <c r="BV2545" s="3"/>
      <c r="BW2545" s="3"/>
    </row>
    <row r="2546" spans="1:75">
      <c r="A2546" s="1" t="s">
        <v>40673</v>
      </c>
      <c r="B2546" s="1" t="s">
        <v>446</v>
      </c>
      <c r="C2546" s="1" t="s">
        <v>41414</v>
      </c>
      <c r="D2546" s="1" t="s">
        <v>41415</v>
      </c>
      <c r="E2546" s="1"/>
      <c r="F2546" s="1" t="s">
        <v>1320</v>
      </c>
      <c r="G2546" s="1" t="s">
        <v>41416</v>
      </c>
      <c r="H2546" s="1" t="s">
        <v>41417</v>
      </c>
      <c r="I2546" s="1" t="s">
        <v>41418</v>
      </c>
      <c r="J2546" s="1">
        <v>9361199118</v>
      </c>
      <c r="K2546" s="1" t="s">
        <v>84</v>
      </c>
      <c r="L2546" s="1" t="s">
        <v>9318</v>
      </c>
      <c r="M2546" s="1" t="s">
        <v>86</v>
      </c>
      <c r="N2546" s="1" t="s">
        <v>41419</v>
      </c>
      <c r="O2546" s="1"/>
      <c r="P2546" s="1" t="s">
        <v>5904</v>
      </c>
      <c r="Q2546" s="1" t="s">
        <v>41420</v>
      </c>
      <c r="R2546" s="1" t="s">
        <v>41421</v>
      </c>
      <c r="S2546" s="1">
        <v>9443007880</v>
      </c>
      <c r="T2546" s="1" t="s">
        <v>41422</v>
      </c>
      <c r="U2546" s="1" t="s">
        <v>41423</v>
      </c>
      <c r="V2546" s="1">
        <v>9486273559</v>
      </c>
      <c r="W2546" s="1" t="s">
        <v>278</v>
      </c>
      <c r="X2546" s="1" t="s">
        <v>41424</v>
      </c>
      <c r="Y2546" s="1" t="s">
        <v>9021</v>
      </c>
      <c r="Z2546" s="1" t="s">
        <v>570</v>
      </c>
      <c r="AA2546" s="1" t="s">
        <v>41424</v>
      </c>
      <c r="AB2546" s="1" t="s">
        <v>9021</v>
      </c>
      <c r="AC2546" s="1" t="s">
        <v>570</v>
      </c>
      <c r="AD2546" s="1">
        <v>8.37</v>
      </c>
      <c r="AE2546" s="1" t="s">
        <v>98</v>
      </c>
      <c r="AF2546" s="1" t="s">
        <v>41425</v>
      </c>
      <c r="AG2546" s="1" t="s">
        <v>16175</v>
      </c>
      <c r="AH2546" s="1" t="s">
        <v>101</v>
      </c>
      <c r="AI2546" s="1" t="s">
        <v>1110</v>
      </c>
      <c r="AJ2546" s="1">
        <v>97</v>
      </c>
      <c r="AK2546" s="1"/>
      <c r="AL2546" s="1" t="s">
        <v>41425</v>
      </c>
      <c r="AM2546" s="1" t="s">
        <v>16175</v>
      </c>
      <c r="AN2546" s="1" t="s">
        <v>575</v>
      </c>
      <c r="AO2546" s="1" t="s">
        <v>167</v>
      </c>
      <c r="AP2546" s="1" t="s">
        <v>200</v>
      </c>
      <c r="AQ2546" s="1">
        <v>59</v>
      </c>
      <c r="AR2546" s="1"/>
      <c r="AS2546" s="1"/>
      <c r="AT2546" s="1"/>
      <c r="AU2546" s="1"/>
      <c r="AV2546" s="1"/>
      <c r="AW2546" s="1"/>
      <c r="AX2546" s="1"/>
      <c r="AY2546" s="1" t="s">
        <v>576</v>
      </c>
      <c r="AZ2546" s="1" t="s">
        <v>41426</v>
      </c>
      <c r="BA2546" s="1" t="s">
        <v>682</v>
      </c>
      <c r="BB2546" s="1" t="s">
        <v>683</v>
      </c>
      <c r="BC2546" s="1" t="s">
        <v>1065</v>
      </c>
      <c r="BD2546" s="1" t="s">
        <v>234</v>
      </c>
      <c r="BE2546" s="1">
        <v>73</v>
      </c>
      <c r="BF2546" s="1">
        <v>7.33</v>
      </c>
      <c r="BG2546" s="1"/>
      <c r="BH2546" s="1"/>
      <c r="BI2546" s="1"/>
      <c r="BJ2546" s="1"/>
      <c r="BK2546" s="1"/>
      <c r="BL2546" s="1"/>
      <c r="BM2546" s="1"/>
      <c r="BN2546" s="1"/>
      <c r="BO2546" s="1" t="s">
        <v>41427</v>
      </c>
      <c r="BP2546" s="1"/>
      <c r="BQ2546" s="1"/>
      <c r="BR2546" s="1" t="s">
        <v>41428</v>
      </c>
      <c r="BS2546" s="1">
        <v>25</v>
      </c>
      <c r="BT2546" s="1" t="s">
        <v>41429</v>
      </c>
      <c r="BU2546" s="1" t="str">
        <f>HYPERLINK("https://nconnect.nicmar.ac.in/storage/profile/ProfilePhoto_P25706001_497368.jpg","Download")</f>
        <v>0</v>
      </c>
      <c r="BV2546" s="3"/>
      <c r="BW2546" s="3"/>
    </row>
    <row r="2547" spans="1:75">
      <c r="A2547" s="1" t="s">
        <v>40673</v>
      </c>
      <c r="B2547" s="1" t="s">
        <v>446</v>
      </c>
      <c r="C2547" s="1" t="s">
        <v>41430</v>
      </c>
      <c r="D2547" s="1" t="s">
        <v>13616</v>
      </c>
      <c r="E2547" s="1" t="s">
        <v>8139</v>
      </c>
      <c r="F2547" s="1" t="s">
        <v>8140</v>
      </c>
      <c r="G2547" s="1" t="s">
        <v>41431</v>
      </c>
      <c r="H2547" s="1" t="s">
        <v>41432</v>
      </c>
      <c r="I2547" s="1" t="s">
        <v>41433</v>
      </c>
      <c r="J2547" s="1">
        <v>8767396335</v>
      </c>
      <c r="K2547" s="1" t="s">
        <v>153</v>
      </c>
      <c r="L2547" s="1" t="s">
        <v>8144</v>
      </c>
      <c r="M2547" s="1" t="s">
        <v>86</v>
      </c>
      <c r="N2547" s="1" t="s">
        <v>41434</v>
      </c>
      <c r="O2547" s="1"/>
      <c r="P2547" s="1" t="s">
        <v>507</v>
      </c>
      <c r="Q2547" s="1" t="s">
        <v>41435</v>
      </c>
      <c r="R2547" s="1" t="s">
        <v>8139</v>
      </c>
      <c r="S2547" s="1">
        <v>8999722459</v>
      </c>
      <c r="T2547" s="1" t="s">
        <v>41436</v>
      </c>
      <c r="U2547" s="1" t="s">
        <v>6212</v>
      </c>
      <c r="V2547" s="1">
        <v>8788934800</v>
      </c>
      <c r="W2547" s="1" t="s">
        <v>161</v>
      </c>
      <c r="X2547" s="1" t="s">
        <v>41437</v>
      </c>
      <c r="Y2547" s="1" t="s">
        <v>1882</v>
      </c>
      <c r="Z2547" s="1" t="s">
        <v>97</v>
      </c>
      <c r="AA2547" s="1" t="s">
        <v>41437</v>
      </c>
      <c r="AB2547" s="1" t="s">
        <v>1882</v>
      </c>
      <c r="AC2547" s="1" t="s">
        <v>97</v>
      </c>
      <c r="AD2547" s="1">
        <v>7.85</v>
      </c>
      <c r="AE2547" s="1" t="s">
        <v>98</v>
      </c>
      <c r="AF2547" s="1" t="s">
        <v>8148</v>
      </c>
      <c r="AG2547" s="1" t="s">
        <v>26627</v>
      </c>
      <c r="AH2547" s="1" t="s">
        <v>573</v>
      </c>
      <c r="AI2547" s="1" t="s">
        <v>106</v>
      </c>
      <c r="AJ2547" s="1">
        <v>54.6</v>
      </c>
      <c r="AK2547" s="1">
        <v>5.74</v>
      </c>
      <c r="AL2547" s="1"/>
      <c r="AM2547" s="1"/>
      <c r="AN2547" s="1"/>
      <c r="AO2547" s="1"/>
      <c r="AP2547" s="1"/>
      <c r="AQ2547" s="1"/>
      <c r="AR2547" s="1"/>
      <c r="AS2547" s="1" t="s">
        <v>439</v>
      </c>
      <c r="AT2547" s="1" t="s">
        <v>8150</v>
      </c>
      <c r="AU2547" s="1" t="s">
        <v>1065</v>
      </c>
      <c r="AV2547" s="1" t="s">
        <v>441</v>
      </c>
      <c r="AW2547" s="1">
        <v>94.11</v>
      </c>
      <c r="AX2547" s="1">
        <v>9.66</v>
      </c>
      <c r="AY2547" s="1" t="s">
        <v>258</v>
      </c>
      <c r="AZ2547" s="1" t="s">
        <v>41438</v>
      </c>
      <c r="BA2547" s="1"/>
      <c r="BB2547" s="1"/>
      <c r="BC2547" s="1" t="s">
        <v>552</v>
      </c>
      <c r="BD2547" s="1" t="s">
        <v>1242</v>
      </c>
      <c r="BE2547" s="1">
        <v>58.96</v>
      </c>
      <c r="BF2547" s="1">
        <v>6.48</v>
      </c>
      <c r="BG2547" s="1"/>
      <c r="BH2547" s="1"/>
      <c r="BI2547" s="1"/>
      <c r="BJ2547" s="1"/>
      <c r="BK2547" s="1"/>
      <c r="BL2547" s="1"/>
      <c r="BM2547" s="1"/>
      <c r="BN2547" s="1"/>
      <c r="BO2547" s="1" t="s">
        <v>28364</v>
      </c>
      <c r="BP2547" s="1"/>
      <c r="BQ2547" s="1"/>
      <c r="BR2547" s="1" t="s">
        <v>41439</v>
      </c>
      <c r="BS2547" s="1">
        <v>12</v>
      </c>
      <c r="BT2547" s="1" t="s">
        <v>41440</v>
      </c>
      <c r="BU2547" s="1" t="str">
        <f>HYPERLINK("https://nconnect.nicmar.ac.in/storage/profile/ProfilePhoto_P25706002_764851.jpg","Download")</f>
        <v>0</v>
      </c>
      <c r="BV2547" s="3"/>
      <c r="BW2547" s="3"/>
    </row>
    <row r="2548" spans="1:75">
      <c r="A2548" s="1" t="s">
        <v>40673</v>
      </c>
      <c r="B2548" s="1" t="s">
        <v>446</v>
      </c>
      <c r="C2548" s="1" t="s">
        <v>41441</v>
      </c>
      <c r="D2548" s="1" t="s">
        <v>2829</v>
      </c>
      <c r="E2548" s="1" t="s">
        <v>7272</v>
      </c>
      <c r="F2548" s="1" t="s">
        <v>3546</v>
      </c>
      <c r="G2548" s="1" t="s">
        <v>41442</v>
      </c>
      <c r="H2548" s="1" t="s">
        <v>41443</v>
      </c>
      <c r="I2548" s="1" t="s">
        <v>41444</v>
      </c>
      <c r="J2548" s="1">
        <v>8714062285</v>
      </c>
      <c r="K2548" s="1" t="s">
        <v>84</v>
      </c>
      <c r="L2548" s="1" t="s">
        <v>15108</v>
      </c>
      <c r="M2548" s="1" t="s">
        <v>86</v>
      </c>
      <c r="N2548" s="1" t="s">
        <v>41445</v>
      </c>
      <c r="O2548" s="1"/>
      <c r="P2548" s="1" t="s">
        <v>1028</v>
      </c>
      <c r="Q2548" s="1" t="s">
        <v>41446</v>
      </c>
      <c r="R2548" s="1" t="s">
        <v>41447</v>
      </c>
      <c r="S2548" s="1">
        <v>8129913184</v>
      </c>
      <c r="T2548" s="1" t="s">
        <v>35541</v>
      </c>
      <c r="U2548" s="1" t="s">
        <v>41448</v>
      </c>
      <c r="V2548" s="1">
        <v>7994274119</v>
      </c>
      <c r="W2548" s="1" t="s">
        <v>127</v>
      </c>
      <c r="X2548" s="1" t="s">
        <v>41449</v>
      </c>
      <c r="Y2548" s="1" t="s">
        <v>4916</v>
      </c>
      <c r="Z2548" s="1" t="s">
        <v>130</v>
      </c>
      <c r="AA2548" s="1" t="s">
        <v>41449</v>
      </c>
      <c r="AB2548" s="1" t="s">
        <v>4916</v>
      </c>
      <c r="AC2548" s="1" t="s">
        <v>130</v>
      </c>
      <c r="AD2548" s="1">
        <v>9.38</v>
      </c>
      <c r="AE2548" s="1" t="s">
        <v>98</v>
      </c>
      <c r="AF2548" s="1" t="s">
        <v>41450</v>
      </c>
      <c r="AG2548" s="1" t="s">
        <v>41451</v>
      </c>
      <c r="AH2548" s="1" t="s">
        <v>1477</v>
      </c>
      <c r="AI2548" s="1" t="s">
        <v>313</v>
      </c>
      <c r="AJ2548" s="1">
        <v>91.4</v>
      </c>
      <c r="AK2548" s="1"/>
      <c r="AL2548" s="1" t="s">
        <v>41450</v>
      </c>
      <c r="AM2548" s="1" t="s">
        <v>41451</v>
      </c>
      <c r="AN2548" s="1" t="s">
        <v>575</v>
      </c>
      <c r="AO2548" s="1" t="s">
        <v>365</v>
      </c>
      <c r="AP2548" s="1" t="s">
        <v>549</v>
      </c>
      <c r="AQ2548" s="1">
        <v>95.2</v>
      </c>
      <c r="AR2548" s="1"/>
      <c r="AS2548" s="1"/>
      <c r="AT2548" s="1"/>
      <c r="AU2548" s="1"/>
      <c r="AV2548" s="1"/>
      <c r="AW2548" s="1"/>
      <c r="AX2548" s="1"/>
      <c r="AY2548" s="1" t="s">
        <v>41452</v>
      </c>
      <c r="AZ2548" s="1" t="s">
        <v>41453</v>
      </c>
      <c r="BA2548" s="1" t="s">
        <v>466</v>
      </c>
      <c r="BB2548" s="1" t="s">
        <v>7898</v>
      </c>
      <c r="BC2548" s="1" t="s">
        <v>871</v>
      </c>
      <c r="BD2548" s="1" t="s">
        <v>1401</v>
      </c>
      <c r="BE2548" s="1">
        <v>69.4</v>
      </c>
      <c r="BF2548" s="1">
        <v>6.94</v>
      </c>
      <c r="BG2548" s="1"/>
      <c r="BH2548" s="1"/>
      <c r="BI2548" s="1"/>
      <c r="BJ2548" s="1"/>
      <c r="BK2548" s="1"/>
      <c r="BL2548" s="1"/>
      <c r="BM2548" s="1"/>
      <c r="BN2548" s="1"/>
      <c r="BO2548" s="1" t="s">
        <v>41454</v>
      </c>
      <c r="BP2548" s="1"/>
      <c r="BQ2548" s="1"/>
      <c r="BR2548" s="1" t="s">
        <v>41455</v>
      </c>
      <c r="BS2548" s="1">
        <v>22</v>
      </c>
      <c r="BT2548" s="1"/>
      <c r="BU2548" s="1" t="str">
        <f>HYPERLINK("https://nconnect.nicmar.ac.in/storage/profile/ProfilePhoto_P25706003_729314.jpg","Download")</f>
        <v>0</v>
      </c>
      <c r="BV2548" s="3"/>
      <c r="BW2548" s="3"/>
    </row>
    <row r="2549" spans="1:75">
      <c r="A2549" s="1" t="s">
        <v>40673</v>
      </c>
      <c r="B2549" s="1" t="s">
        <v>446</v>
      </c>
      <c r="C2549" s="1" t="s">
        <v>41456</v>
      </c>
      <c r="D2549" s="1" t="s">
        <v>10163</v>
      </c>
      <c r="E2549" s="1"/>
      <c r="F2549" s="1" t="s">
        <v>20719</v>
      </c>
      <c r="G2549" s="1" t="s">
        <v>41457</v>
      </c>
      <c r="H2549" s="1" t="s">
        <v>41458</v>
      </c>
      <c r="I2549" s="1" t="s">
        <v>41459</v>
      </c>
      <c r="J2549" s="1">
        <v>8319054647</v>
      </c>
      <c r="K2549" s="1" t="s">
        <v>153</v>
      </c>
      <c r="L2549" s="1" t="s">
        <v>41460</v>
      </c>
      <c r="M2549" s="1" t="s">
        <v>86</v>
      </c>
      <c r="N2549" s="1" t="s">
        <v>1163</v>
      </c>
      <c r="O2549" s="1" t="s">
        <v>41461</v>
      </c>
      <c r="P2549" s="1" t="s">
        <v>455</v>
      </c>
      <c r="Q2549" s="1" t="s">
        <v>41462</v>
      </c>
      <c r="R2549" s="1" t="s">
        <v>41463</v>
      </c>
      <c r="S2549" s="1">
        <v>9752475429</v>
      </c>
      <c r="T2549" s="1" t="s">
        <v>37507</v>
      </c>
      <c r="U2549" s="1" t="s">
        <v>41464</v>
      </c>
      <c r="V2549" s="1">
        <v>8718097538</v>
      </c>
      <c r="W2549" s="1" t="s">
        <v>94</v>
      </c>
      <c r="X2549" s="1" t="s">
        <v>41465</v>
      </c>
      <c r="Y2549" s="1" t="s">
        <v>196</v>
      </c>
      <c r="Z2549" s="1" t="s">
        <v>97</v>
      </c>
      <c r="AA2549" s="1" t="s">
        <v>41466</v>
      </c>
      <c r="AB2549" s="1" t="s">
        <v>5335</v>
      </c>
      <c r="AC2549" s="1" t="s">
        <v>2933</v>
      </c>
      <c r="AD2549" s="1">
        <v>9.91</v>
      </c>
      <c r="AE2549" s="1" t="s">
        <v>98</v>
      </c>
      <c r="AF2549" s="1" t="s">
        <v>41467</v>
      </c>
      <c r="AG2549" s="1" t="s">
        <v>9059</v>
      </c>
      <c r="AH2549" s="1" t="s">
        <v>284</v>
      </c>
      <c r="AI2549" s="1" t="s">
        <v>170</v>
      </c>
      <c r="AJ2549" s="1">
        <v>95</v>
      </c>
      <c r="AK2549" s="1">
        <v>10</v>
      </c>
      <c r="AL2549" s="1" t="s">
        <v>41467</v>
      </c>
      <c r="AM2549" s="1" t="s">
        <v>9059</v>
      </c>
      <c r="AN2549" s="1" t="s">
        <v>465</v>
      </c>
      <c r="AO2549" s="1" t="s">
        <v>490</v>
      </c>
      <c r="AP2549" s="1" t="s">
        <v>313</v>
      </c>
      <c r="AQ2549" s="1">
        <v>87.6</v>
      </c>
      <c r="AR2549" s="1"/>
      <c r="AS2549" s="1"/>
      <c r="AT2549" s="1"/>
      <c r="AU2549" s="1"/>
      <c r="AV2549" s="1"/>
      <c r="AW2549" s="1"/>
      <c r="AX2549" s="1"/>
      <c r="AY2549" s="1" t="s">
        <v>11855</v>
      </c>
      <c r="AZ2549" s="1" t="s">
        <v>41468</v>
      </c>
      <c r="BA2549" s="1" t="s">
        <v>682</v>
      </c>
      <c r="BB2549" s="1" t="s">
        <v>683</v>
      </c>
      <c r="BC2549" s="1" t="s">
        <v>315</v>
      </c>
      <c r="BD2549" s="1" t="s">
        <v>1089</v>
      </c>
      <c r="BE2549" s="1">
        <v>85.7</v>
      </c>
      <c r="BF2549" s="1">
        <v>9.07</v>
      </c>
      <c r="BG2549" s="1"/>
      <c r="BH2549" s="1"/>
      <c r="BI2549" s="1"/>
      <c r="BJ2549" s="1"/>
      <c r="BK2549" s="1"/>
      <c r="BL2549" s="1"/>
      <c r="BM2549" s="1"/>
      <c r="BN2549" s="1"/>
      <c r="BO2549" s="1" t="s">
        <v>41469</v>
      </c>
      <c r="BP2549" s="1" t="s">
        <v>41470</v>
      </c>
      <c r="BQ2549" s="1" t="s">
        <v>2577</v>
      </c>
      <c r="BR2549" s="1" t="s">
        <v>41471</v>
      </c>
      <c r="BS2549" s="1">
        <v>22</v>
      </c>
      <c r="BT2549" s="1" t="s">
        <v>41472</v>
      </c>
      <c r="BU2549" s="1" t="str">
        <f>HYPERLINK("https://nconnect.nicmar.ac.in/storage/profile/ProfilePhoto_P25706004_745293.jpg","Download")</f>
        <v>0</v>
      </c>
      <c r="BV2549" s="3"/>
      <c r="BW2549" s="3"/>
    </row>
    <row r="2550" spans="1:75">
      <c r="A2550" s="1" t="s">
        <v>40673</v>
      </c>
      <c r="B2550" s="1" t="s">
        <v>446</v>
      </c>
      <c r="C2550" s="1" t="s">
        <v>41473</v>
      </c>
      <c r="D2550" s="1" t="s">
        <v>6981</v>
      </c>
      <c r="E2550" s="1"/>
      <c r="F2550" s="1" t="s">
        <v>41474</v>
      </c>
      <c r="G2550" s="1" t="s">
        <v>41475</v>
      </c>
      <c r="H2550" s="1" t="s">
        <v>41476</v>
      </c>
      <c r="I2550" s="1" t="s">
        <v>41477</v>
      </c>
      <c r="J2550" s="1">
        <v>9606169448</v>
      </c>
      <c r="K2550" s="1" t="s">
        <v>153</v>
      </c>
      <c r="L2550" s="1" t="s">
        <v>41478</v>
      </c>
      <c r="M2550" s="1" t="s">
        <v>86</v>
      </c>
      <c r="N2550" s="1" t="s">
        <v>10948</v>
      </c>
      <c r="O2550" s="1"/>
      <c r="P2550" s="1" t="s">
        <v>481</v>
      </c>
      <c r="Q2550" s="1" t="s">
        <v>41479</v>
      </c>
      <c r="R2550" s="1" t="s">
        <v>41480</v>
      </c>
      <c r="S2550" s="1">
        <v>9606169448</v>
      </c>
      <c r="T2550" s="1" t="s">
        <v>9909</v>
      </c>
      <c r="U2550" s="1" t="s">
        <v>41481</v>
      </c>
      <c r="V2550" s="1">
        <v>8970752252</v>
      </c>
      <c r="W2550" s="1" t="s">
        <v>6713</v>
      </c>
      <c r="X2550" s="1" t="s">
        <v>41482</v>
      </c>
      <c r="Y2550" s="1" t="s">
        <v>41483</v>
      </c>
      <c r="Z2550" s="1" t="s">
        <v>1210</v>
      </c>
      <c r="AA2550" s="1" t="s">
        <v>41484</v>
      </c>
      <c r="AB2550" s="1" t="s">
        <v>41483</v>
      </c>
      <c r="AC2550" s="1" t="s">
        <v>1210</v>
      </c>
      <c r="AD2550" s="1">
        <v>8.74</v>
      </c>
      <c r="AE2550" s="1" t="s">
        <v>98</v>
      </c>
      <c r="AF2550" s="1" t="s">
        <v>41485</v>
      </c>
      <c r="AG2550" s="1" t="s">
        <v>1946</v>
      </c>
      <c r="AH2550" s="1" t="s">
        <v>170</v>
      </c>
      <c r="AI2550" s="1" t="s">
        <v>490</v>
      </c>
      <c r="AJ2550" s="1">
        <v>89.12</v>
      </c>
      <c r="AK2550" s="1">
        <v>0</v>
      </c>
      <c r="AL2550" s="1" t="s">
        <v>41485</v>
      </c>
      <c r="AM2550" s="1" t="s">
        <v>4011</v>
      </c>
      <c r="AN2550" s="1" t="s">
        <v>575</v>
      </c>
      <c r="AO2550" s="1" t="s">
        <v>106</v>
      </c>
      <c r="AP2550" s="1" t="s">
        <v>603</v>
      </c>
      <c r="AQ2550" s="1">
        <v>83.8</v>
      </c>
      <c r="AR2550" s="1">
        <v>0</v>
      </c>
      <c r="AS2550" s="1"/>
      <c r="AT2550" s="1"/>
      <c r="AU2550" s="1"/>
      <c r="AV2550" s="1"/>
      <c r="AW2550" s="1"/>
      <c r="AX2550" s="1"/>
      <c r="AY2550" s="1" t="s">
        <v>40947</v>
      </c>
      <c r="AZ2550" s="1" t="s">
        <v>41486</v>
      </c>
      <c r="BA2550" s="1"/>
      <c r="BB2550" s="1"/>
      <c r="BC2550" s="1" t="s">
        <v>368</v>
      </c>
      <c r="BD2550" s="1" t="s">
        <v>1267</v>
      </c>
      <c r="BE2550" s="1">
        <v>70.86</v>
      </c>
      <c r="BF2550" s="1">
        <v>7.1</v>
      </c>
      <c r="BG2550" s="1"/>
      <c r="BH2550" s="1"/>
      <c r="BI2550" s="1"/>
      <c r="BJ2550" s="1"/>
      <c r="BK2550" s="1"/>
      <c r="BL2550" s="1"/>
      <c r="BM2550" s="1"/>
      <c r="BN2550" s="1"/>
      <c r="BO2550" s="1" t="s">
        <v>41487</v>
      </c>
      <c r="BP2550" s="1"/>
      <c r="BQ2550" s="1"/>
      <c r="BR2550" s="1" t="s">
        <v>41488</v>
      </c>
      <c r="BS2550" s="1">
        <v>13</v>
      </c>
      <c r="BT2550" s="1"/>
      <c r="BU2550" s="1" t="str">
        <f>HYPERLINK("https://nconnect.nicmar.ac.in/storage/profile/ProfilePhoto_P25706005_369741.jpg","Download")</f>
        <v>0</v>
      </c>
      <c r="BV2550" s="3"/>
      <c r="BW2550" s="3"/>
    </row>
    <row r="2551" spans="1:75">
      <c r="A2551" s="1" t="s">
        <v>40673</v>
      </c>
      <c r="B2551" s="1" t="s">
        <v>446</v>
      </c>
      <c r="C2551" s="1" t="s">
        <v>41489</v>
      </c>
      <c r="D2551" s="1" t="s">
        <v>29329</v>
      </c>
      <c r="E2551" s="1" t="s">
        <v>41490</v>
      </c>
      <c r="F2551" s="1" t="s">
        <v>9739</v>
      </c>
      <c r="G2551" s="1" t="s">
        <v>41491</v>
      </c>
      <c r="H2551" s="1" t="s">
        <v>41492</v>
      </c>
      <c r="I2551" s="1" t="s">
        <v>41493</v>
      </c>
      <c r="J2551" s="1">
        <v>8928234154</v>
      </c>
      <c r="K2551" s="1" t="s">
        <v>84</v>
      </c>
      <c r="L2551" s="1" t="s">
        <v>14390</v>
      </c>
      <c r="M2551" s="1" t="s">
        <v>86</v>
      </c>
      <c r="N2551" s="1" t="s">
        <v>41494</v>
      </c>
      <c r="O2551" s="1"/>
      <c r="P2551" s="1" t="s">
        <v>507</v>
      </c>
      <c r="Q2551" s="1" t="s">
        <v>41495</v>
      </c>
      <c r="R2551" s="1" t="s">
        <v>41496</v>
      </c>
      <c r="S2551" s="1">
        <v>8097449154</v>
      </c>
      <c r="T2551" s="1" t="s">
        <v>41497</v>
      </c>
      <c r="U2551" s="1" t="s">
        <v>41498</v>
      </c>
      <c r="V2551" s="1">
        <v>8850515128</v>
      </c>
      <c r="W2551" s="1" t="s">
        <v>1257</v>
      </c>
      <c r="X2551" s="1" t="s">
        <v>41499</v>
      </c>
      <c r="Y2551" s="1" t="s">
        <v>1882</v>
      </c>
      <c r="Z2551" s="1" t="s">
        <v>97</v>
      </c>
      <c r="AA2551" s="1" t="s">
        <v>41499</v>
      </c>
      <c r="AB2551" s="1" t="s">
        <v>1882</v>
      </c>
      <c r="AC2551" s="1" t="s">
        <v>97</v>
      </c>
      <c r="AD2551" s="1">
        <v>8.99</v>
      </c>
      <c r="AE2551" s="1" t="s">
        <v>98</v>
      </c>
      <c r="AF2551" s="1" t="s">
        <v>33842</v>
      </c>
      <c r="AG2551" s="1" t="s">
        <v>996</v>
      </c>
      <c r="AH2551" s="1" t="s">
        <v>170</v>
      </c>
      <c r="AI2551" s="1" t="s">
        <v>286</v>
      </c>
      <c r="AJ2551" s="1">
        <v>74.4</v>
      </c>
      <c r="AK2551" s="1"/>
      <c r="AL2551" s="1"/>
      <c r="AM2551" s="1"/>
      <c r="AN2551" s="1"/>
      <c r="AO2551" s="1"/>
      <c r="AP2551" s="1"/>
      <c r="AQ2551" s="1"/>
      <c r="AR2551" s="1"/>
      <c r="AS2551" s="1" t="s">
        <v>41500</v>
      </c>
      <c r="AT2551" s="1" t="s">
        <v>41501</v>
      </c>
      <c r="AU2551" s="1" t="s">
        <v>1065</v>
      </c>
      <c r="AV2551" s="1" t="s">
        <v>441</v>
      </c>
      <c r="AW2551" s="1">
        <v>87.72</v>
      </c>
      <c r="AX2551" s="1"/>
      <c r="AY2551" s="1" t="s">
        <v>680</v>
      </c>
      <c r="AZ2551" s="1" t="s">
        <v>41502</v>
      </c>
      <c r="BA2551" s="1"/>
      <c r="BB2551" s="1"/>
      <c r="BC2551" s="1" t="s">
        <v>441</v>
      </c>
      <c r="BD2551" s="1" t="s">
        <v>418</v>
      </c>
      <c r="BE2551" s="1">
        <v>69.07</v>
      </c>
      <c r="BF2551" s="1">
        <v>7.83</v>
      </c>
      <c r="BG2551" s="1"/>
      <c r="BH2551" s="1"/>
      <c r="BI2551" s="1"/>
      <c r="BJ2551" s="1"/>
      <c r="BK2551" s="1"/>
      <c r="BL2551" s="1"/>
      <c r="BM2551" s="1"/>
      <c r="BN2551" s="1"/>
      <c r="BO2551" s="1" t="s">
        <v>41503</v>
      </c>
      <c r="BP2551" s="1" t="s">
        <v>41504</v>
      </c>
      <c r="BQ2551" s="1" t="s">
        <v>292</v>
      </c>
      <c r="BR2551" s="1" t="s">
        <v>41505</v>
      </c>
      <c r="BS2551" s="1">
        <v>9</v>
      </c>
      <c r="BT2551" s="1"/>
      <c r="BU2551" s="1" t="str">
        <f>HYPERLINK("https://nconnect.nicmar.ac.in/storage/profile/ProfilePhoto_P25706006_148672.jpg","Download")</f>
        <v>0</v>
      </c>
      <c r="BV2551" s="3"/>
      <c r="BW2551" s="3"/>
    </row>
    <row r="2552" spans="1:75">
      <c r="A2552" s="1" t="s">
        <v>40673</v>
      </c>
      <c r="B2552" s="1" t="s">
        <v>446</v>
      </c>
      <c r="C2552" s="1" t="s">
        <v>41506</v>
      </c>
      <c r="D2552" s="1" t="s">
        <v>1075</v>
      </c>
      <c r="E2552" s="1" t="s">
        <v>4037</v>
      </c>
      <c r="F2552" s="1" t="s">
        <v>41507</v>
      </c>
      <c r="G2552" s="1" t="s">
        <v>41508</v>
      </c>
      <c r="H2552" s="1" t="s">
        <v>41509</v>
      </c>
      <c r="I2552" s="1" t="s">
        <v>41510</v>
      </c>
      <c r="J2552" s="1">
        <v>6301180283</v>
      </c>
      <c r="K2552" s="1" t="s">
        <v>84</v>
      </c>
      <c r="L2552" s="1" t="s">
        <v>25855</v>
      </c>
      <c r="M2552" s="1" t="s">
        <v>86</v>
      </c>
      <c r="N2552" s="1" t="s">
        <v>1449</v>
      </c>
      <c r="O2552" s="1"/>
      <c r="P2552" s="1" t="s">
        <v>2684</v>
      </c>
      <c r="Q2552" s="1" t="s">
        <v>41511</v>
      </c>
      <c r="R2552" s="1" t="s">
        <v>41512</v>
      </c>
      <c r="S2552" s="1">
        <v>9959680113</v>
      </c>
      <c r="T2552" s="1" t="s">
        <v>41513</v>
      </c>
      <c r="U2552" s="1" t="s">
        <v>41514</v>
      </c>
      <c r="V2552" s="1">
        <v>9000605652</v>
      </c>
      <c r="W2552" s="1" t="s">
        <v>541</v>
      </c>
      <c r="X2552" s="1" t="s">
        <v>41515</v>
      </c>
      <c r="Y2552" s="1" t="s">
        <v>3031</v>
      </c>
      <c r="Z2552" s="1" t="s">
        <v>461</v>
      </c>
      <c r="AA2552" s="1" t="s">
        <v>41515</v>
      </c>
      <c r="AB2552" s="1" t="s">
        <v>3031</v>
      </c>
      <c r="AC2552" s="1" t="s">
        <v>461</v>
      </c>
      <c r="AD2552" s="1">
        <v>9.5</v>
      </c>
      <c r="AE2552" s="1" t="s">
        <v>98</v>
      </c>
      <c r="AF2552" s="1" t="s">
        <v>41516</v>
      </c>
      <c r="AG2552" s="1" t="s">
        <v>41517</v>
      </c>
      <c r="AH2552" s="1" t="s">
        <v>101</v>
      </c>
      <c r="AI2552" s="1" t="s">
        <v>102</v>
      </c>
      <c r="AJ2552" s="1">
        <v>87</v>
      </c>
      <c r="AK2552" s="1">
        <v>8.7</v>
      </c>
      <c r="AL2552" s="1" t="s">
        <v>3033</v>
      </c>
      <c r="AM2552" s="1" t="s">
        <v>3034</v>
      </c>
      <c r="AN2552" s="1"/>
      <c r="AO2552" s="1" t="s">
        <v>167</v>
      </c>
      <c r="AP2552" s="1" t="s">
        <v>200</v>
      </c>
      <c r="AQ2552" s="1">
        <v>87.1</v>
      </c>
      <c r="AR2552" s="1">
        <v>8.71</v>
      </c>
      <c r="AS2552" s="1"/>
      <c r="AT2552" s="1"/>
      <c r="AU2552" s="1"/>
      <c r="AV2552" s="1"/>
      <c r="AW2552" s="1"/>
      <c r="AX2552" s="1"/>
      <c r="AY2552" s="1" t="s">
        <v>1823</v>
      </c>
      <c r="AZ2552" s="1" t="s">
        <v>41518</v>
      </c>
      <c r="BA2552" s="1"/>
      <c r="BB2552" s="1"/>
      <c r="BC2552" s="1" t="s">
        <v>170</v>
      </c>
      <c r="BD2552" s="1" t="s">
        <v>4093</v>
      </c>
      <c r="BE2552" s="1">
        <v>57.9</v>
      </c>
      <c r="BF2552" s="1">
        <v>6.29</v>
      </c>
      <c r="BG2552" s="1"/>
      <c r="BH2552" s="1"/>
      <c r="BI2552" s="1"/>
      <c r="BJ2552" s="1"/>
      <c r="BK2552" s="1"/>
      <c r="BL2552" s="1"/>
      <c r="BM2552" s="1"/>
      <c r="BN2552" s="1"/>
      <c r="BO2552" s="1" t="s">
        <v>41519</v>
      </c>
      <c r="BP2552" s="1" t="s">
        <v>41520</v>
      </c>
      <c r="BQ2552" s="1" t="s">
        <v>1357</v>
      </c>
      <c r="BR2552" s="1" t="s">
        <v>41521</v>
      </c>
      <c r="BS2552" s="1">
        <v>9</v>
      </c>
      <c r="BT2552" s="1"/>
      <c r="BU2552" s="1" t="str">
        <f>HYPERLINK("https://nconnect.nicmar.ac.in/storage/profile/ProfilePhoto_P25706007_459328.jpg","Download")</f>
        <v>0</v>
      </c>
      <c r="BV2552" s="3"/>
      <c r="BW2552" s="3"/>
    </row>
    <row r="2553" spans="1:75">
      <c r="A2553" s="1" t="s">
        <v>40673</v>
      </c>
      <c r="B2553" s="1" t="s">
        <v>446</v>
      </c>
      <c r="C2553" s="1" t="s">
        <v>41522</v>
      </c>
      <c r="D2553" s="1" t="s">
        <v>41523</v>
      </c>
      <c r="E2553" s="1"/>
      <c r="F2553" s="1" t="s">
        <v>41524</v>
      </c>
      <c r="G2553" s="1" t="s">
        <v>41525</v>
      </c>
      <c r="H2553" s="1" t="s">
        <v>41526</v>
      </c>
      <c r="I2553" s="1" t="s">
        <v>41527</v>
      </c>
      <c r="J2553" s="1">
        <v>9715208646</v>
      </c>
      <c r="K2553" s="1" t="s">
        <v>84</v>
      </c>
      <c r="L2553" s="1" t="s">
        <v>11116</v>
      </c>
      <c r="M2553" s="1" t="s">
        <v>86</v>
      </c>
      <c r="N2553" s="1" t="s">
        <v>2356</v>
      </c>
      <c r="O2553" s="1"/>
      <c r="P2553" s="1" t="s">
        <v>507</v>
      </c>
      <c r="Q2553" s="1" t="s">
        <v>41528</v>
      </c>
      <c r="R2553" s="1" t="s">
        <v>6935</v>
      </c>
      <c r="S2553" s="1">
        <v>8838717125</v>
      </c>
      <c r="T2553" s="1" t="s">
        <v>3396</v>
      </c>
      <c r="U2553" s="1" t="s">
        <v>41529</v>
      </c>
      <c r="V2553" s="1">
        <v>7305110126</v>
      </c>
      <c r="W2553" s="1" t="s">
        <v>161</v>
      </c>
      <c r="X2553" s="1" t="s">
        <v>41530</v>
      </c>
      <c r="Y2553" s="1" t="s">
        <v>14298</v>
      </c>
      <c r="Z2553" s="1" t="s">
        <v>570</v>
      </c>
      <c r="AA2553" s="1" t="s">
        <v>41530</v>
      </c>
      <c r="AB2553" s="1" t="s">
        <v>14298</v>
      </c>
      <c r="AC2553" s="1" t="s">
        <v>570</v>
      </c>
      <c r="AD2553" s="1">
        <v>8.32</v>
      </c>
      <c r="AE2553" s="1" t="s">
        <v>98</v>
      </c>
      <c r="AF2553" s="1" t="s">
        <v>41531</v>
      </c>
      <c r="AG2553" s="1" t="s">
        <v>312</v>
      </c>
      <c r="AH2553" s="1" t="s">
        <v>167</v>
      </c>
      <c r="AI2553" s="1" t="s">
        <v>170</v>
      </c>
      <c r="AJ2553" s="1">
        <v>84.5</v>
      </c>
      <c r="AK2553" s="1">
        <v>9</v>
      </c>
      <c r="AL2553" s="1" t="s">
        <v>41532</v>
      </c>
      <c r="AM2553" s="1" t="s">
        <v>312</v>
      </c>
      <c r="AN2553" s="1" t="s">
        <v>465</v>
      </c>
      <c r="AO2553" s="1" t="s">
        <v>106</v>
      </c>
      <c r="AP2553" s="1" t="s">
        <v>313</v>
      </c>
      <c r="AQ2553" s="1">
        <v>73.6</v>
      </c>
      <c r="AR2553" s="1">
        <v>7.74</v>
      </c>
      <c r="AS2553" s="1"/>
      <c r="AT2553" s="1"/>
      <c r="AU2553" s="1"/>
      <c r="AV2553" s="1"/>
      <c r="AW2553" s="1"/>
      <c r="AX2553" s="1"/>
      <c r="AY2553" s="1" t="s">
        <v>41533</v>
      </c>
      <c r="AZ2553" s="1" t="s">
        <v>41534</v>
      </c>
      <c r="BA2553" s="1" t="s">
        <v>466</v>
      </c>
      <c r="BB2553" s="1" t="s">
        <v>467</v>
      </c>
      <c r="BC2553" s="1" t="s">
        <v>315</v>
      </c>
      <c r="BD2553" s="1" t="s">
        <v>955</v>
      </c>
      <c r="BE2553" s="1">
        <v>80</v>
      </c>
      <c r="BF2553" s="1">
        <v>8</v>
      </c>
      <c r="BG2553" s="1"/>
      <c r="BH2553" s="1"/>
      <c r="BI2553" s="1"/>
      <c r="BJ2553" s="1"/>
      <c r="BK2553" s="1"/>
      <c r="BL2553" s="1"/>
      <c r="BM2553" s="1"/>
      <c r="BN2553" s="1"/>
      <c r="BO2553" s="1" t="s">
        <v>28364</v>
      </c>
      <c r="BP2553" s="1"/>
      <c r="BQ2553" s="1"/>
      <c r="BR2553" s="1" t="s">
        <v>41535</v>
      </c>
      <c r="BS2553" s="1">
        <v>8</v>
      </c>
      <c r="BT2553" s="1"/>
      <c r="BU2553" s="1" t="str">
        <f>HYPERLINK("https://nconnect.nicmar.ac.in/storage/profile/ProfilePhoto_P25706008_824173.jpg","Download")</f>
        <v>0</v>
      </c>
      <c r="BV2553" s="3"/>
      <c r="BW2553" s="3"/>
    </row>
    <row r="2554" spans="1:75">
      <c r="A2554" s="1" t="s">
        <v>40673</v>
      </c>
      <c r="B2554" s="1" t="s">
        <v>446</v>
      </c>
      <c r="C2554" s="1" t="s">
        <v>41536</v>
      </c>
      <c r="D2554" s="1" t="s">
        <v>6954</v>
      </c>
      <c r="E2554" s="1" t="s">
        <v>3058</v>
      </c>
      <c r="F2554" s="1" t="s">
        <v>41537</v>
      </c>
      <c r="G2554" s="1" t="s">
        <v>41538</v>
      </c>
      <c r="H2554" s="1" t="s">
        <v>41539</v>
      </c>
      <c r="I2554" s="1" t="s">
        <v>41540</v>
      </c>
      <c r="J2554" s="1">
        <v>9373022458</v>
      </c>
      <c r="K2554" s="1" t="s">
        <v>153</v>
      </c>
      <c r="L2554" s="1" t="s">
        <v>6968</v>
      </c>
      <c r="M2554" s="1" t="s">
        <v>86</v>
      </c>
      <c r="N2554" s="1" t="s">
        <v>41494</v>
      </c>
      <c r="O2554" s="1" t="s">
        <v>41541</v>
      </c>
      <c r="P2554" s="1" t="s">
        <v>507</v>
      </c>
      <c r="Q2554" s="1" t="s">
        <v>41542</v>
      </c>
      <c r="R2554" s="1" t="s">
        <v>41543</v>
      </c>
      <c r="S2554" s="1">
        <v>8550987765</v>
      </c>
      <c r="T2554" s="1" t="s">
        <v>41544</v>
      </c>
      <c r="U2554" s="1" t="s">
        <v>41545</v>
      </c>
      <c r="V2554" s="1">
        <v>7875757765</v>
      </c>
      <c r="W2554" s="1" t="s">
        <v>41546</v>
      </c>
      <c r="X2554" s="1" t="s">
        <v>41547</v>
      </c>
      <c r="Y2554" s="1" t="s">
        <v>196</v>
      </c>
      <c r="Z2554" s="1" t="s">
        <v>97</v>
      </c>
      <c r="AA2554" s="1" t="s">
        <v>41548</v>
      </c>
      <c r="AB2554" s="1" t="s">
        <v>196</v>
      </c>
      <c r="AC2554" s="1" t="s">
        <v>97</v>
      </c>
      <c r="AD2554" s="1">
        <v>9.69</v>
      </c>
      <c r="AE2554" s="1" t="s">
        <v>98</v>
      </c>
      <c r="AF2554" s="1" t="s">
        <v>41549</v>
      </c>
      <c r="AG2554" s="1" t="s">
        <v>41550</v>
      </c>
      <c r="AH2554" s="1" t="s">
        <v>106</v>
      </c>
      <c r="AI2554" s="1" t="s">
        <v>438</v>
      </c>
      <c r="AJ2554" s="1">
        <v>89.6</v>
      </c>
      <c r="AK2554" s="1"/>
      <c r="AL2554" s="1" t="s">
        <v>41551</v>
      </c>
      <c r="AM2554" s="1" t="s">
        <v>41550</v>
      </c>
      <c r="AN2554" s="1" t="s">
        <v>465</v>
      </c>
      <c r="AO2554" s="1" t="s">
        <v>178</v>
      </c>
      <c r="AP2554" s="1" t="s">
        <v>441</v>
      </c>
      <c r="AQ2554" s="1">
        <v>88.67</v>
      </c>
      <c r="AR2554" s="1"/>
      <c r="AS2554" s="1"/>
      <c r="AT2554" s="1"/>
      <c r="AU2554" s="1"/>
      <c r="AV2554" s="1"/>
      <c r="AW2554" s="1"/>
      <c r="AX2554" s="1"/>
      <c r="AY2554" s="1" t="s">
        <v>41552</v>
      </c>
      <c r="AZ2554" s="1" t="s">
        <v>27630</v>
      </c>
      <c r="BA2554" s="1" t="s">
        <v>466</v>
      </c>
      <c r="BB2554" s="1" t="s">
        <v>467</v>
      </c>
      <c r="BC2554" s="1" t="s">
        <v>871</v>
      </c>
      <c r="BD2554" s="1" t="s">
        <v>553</v>
      </c>
      <c r="BE2554" s="1">
        <v>76.19</v>
      </c>
      <c r="BF2554" s="1">
        <v>8.02</v>
      </c>
      <c r="BG2554" s="1"/>
      <c r="BH2554" s="1"/>
      <c r="BI2554" s="1"/>
      <c r="BJ2554" s="1"/>
      <c r="BK2554" s="1"/>
      <c r="BL2554" s="1"/>
      <c r="BM2554" s="1"/>
      <c r="BN2554" s="1"/>
      <c r="BO2554" s="1" t="s">
        <v>41553</v>
      </c>
      <c r="BP2554" s="1"/>
      <c r="BQ2554" s="1"/>
      <c r="BR2554" s="1" t="s">
        <v>41554</v>
      </c>
      <c r="BS2554" s="1">
        <v>21</v>
      </c>
      <c r="BT2554" s="1" t="s">
        <v>41555</v>
      </c>
      <c r="BU2554" s="1" t="str">
        <f>HYPERLINK("https://nconnect.nicmar.ac.in/storage/profile/ProfilePhoto_P25706009_795423.jpg","Download")</f>
        <v>0</v>
      </c>
      <c r="BV2554" s="3"/>
      <c r="BW2554" s="3"/>
    </row>
    <row r="2555" spans="1:75">
      <c r="A2555" s="1" t="s">
        <v>40673</v>
      </c>
      <c r="B2555" s="1" t="s">
        <v>446</v>
      </c>
      <c r="C2555" s="1" t="s">
        <v>41556</v>
      </c>
      <c r="D2555" s="1" t="s">
        <v>21949</v>
      </c>
      <c r="E2555" s="1"/>
      <c r="F2555" s="1" t="s">
        <v>41557</v>
      </c>
      <c r="G2555" s="1" t="s">
        <v>41558</v>
      </c>
      <c r="H2555" s="1" t="s">
        <v>41559</v>
      </c>
      <c r="I2555" s="1" t="s">
        <v>41560</v>
      </c>
      <c r="J2555" s="1">
        <v>9168339222</v>
      </c>
      <c r="K2555" s="1" t="s">
        <v>153</v>
      </c>
      <c r="L2555" s="1" t="s">
        <v>16755</v>
      </c>
      <c r="M2555" s="1" t="s">
        <v>86</v>
      </c>
      <c r="N2555" s="1" t="s">
        <v>41561</v>
      </c>
      <c r="O2555" s="1" t="s">
        <v>41562</v>
      </c>
      <c r="P2555" s="1" t="s">
        <v>2062</v>
      </c>
      <c r="Q2555" s="1" t="s">
        <v>41563</v>
      </c>
      <c r="R2555" s="1" t="s">
        <v>41564</v>
      </c>
      <c r="S2555" s="1">
        <v>9730753535</v>
      </c>
      <c r="T2555" s="1" t="s">
        <v>645</v>
      </c>
      <c r="U2555" s="1" t="s">
        <v>41565</v>
      </c>
      <c r="V2555" s="1">
        <v>9168339222</v>
      </c>
      <c r="W2555" s="1" t="s">
        <v>41566</v>
      </c>
      <c r="X2555" s="1" t="s">
        <v>41567</v>
      </c>
      <c r="Y2555" s="1" t="s">
        <v>196</v>
      </c>
      <c r="Z2555" s="1" t="s">
        <v>97</v>
      </c>
      <c r="AA2555" s="1" t="s">
        <v>41567</v>
      </c>
      <c r="AB2555" s="1" t="s">
        <v>196</v>
      </c>
      <c r="AC2555" s="1" t="s">
        <v>97</v>
      </c>
      <c r="AD2555" s="1">
        <v>9.43</v>
      </c>
      <c r="AE2555" s="1" t="s">
        <v>98</v>
      </c>
      <c r="AF2555" s="1" t="s">
        <v>41568</v>
      </c>
      <c r="AG2555" s="1" t="s">
        <v>41569</v>
      </c>
      <c r="AH2555" s="1" t="s">
        <v>438</v>
      </c>
      <c r="AI2555" s="1" t="s">
        <v>178</v>
      </c>
      <c r="AJ2555" s="1">
        <v>96.6</v>
      </c>
      <c r="AK2555" s="1"/>
      <c r="AL2555" s="1" t="s">
        <v>41570</v>
      </c>
      <c r="AM2555" s="1" t="s">
        <v>41571</v>
      </c>
      <c r="AN2555" s="1" t="s">
        <v>575</v>
      </c>
      <c r="AO2555" s="1" t="s">
        <v>890</v>
      </c>
      <c r="AP2555" s="1" t="s">
        <v>289</v>
      </c>
      <c r="AQ2555" s="1">
        <v>94.5</v>
      </c>
      <c r="AR2555" s="1"/>
      <c r="AS2555" s="1"/>
      <c r="AT2555" s="1"/>
      <c r="AU2555" s="1"/>
      <c r="AV2555" s="1"/>
      <c r="AW2555" s="1"/>
      <c r="AX2555" s="1"/>
      <c r="AY2555" s="1" t="s">
        <v>366</v>
      </c>
      <c r="AZ2555" s="1" t="s">
        <v>3966</v>
      </c>
      <c r="BA2555" s="1" t="s">
        <v>37920</v>
      </c>
      <c r="BB2555" s="1" t="s">
        <v>41572</v>
      </c>
      <c r="BC2555" s="1" t="s">
        <v>1400</v>
      </c>
      <c r="BD2555" s="1" t="s">
        <v>553</v>
      </c>
      <c r="BE2555" s="1">
        <v>85.52</v>
      </c>
      <c r="BF2555" s="1">
        <v>9.21</v>
      </c>
      <c r="BG2555" s="1"/>
      <c r="BH2555" s="1"/>
      <c r="BI2555" s="1"/>
      <c r="BJ2555" s="1"/>
      <c r="BK2555" s="1"/>
      <c r="BL2555" s="1"/>
      <c r="BM2555" s="1"/>
      <c r="BN2555" s="1"/>
      <c r="BO2555" s="1" t="s">
        <v>41573</v>
      </c>
      <c r="BP2555" s="1"/>
      <c r="BQ2555" s="1"/>
      <c r="BR2555" s="1" t="s">
        <v>41574</v>
      </c>
      <c r="BS2555" s="1">
        <v>8</v>
      </c>
      <c r="BT2555" s="1"/>
      <c r="BU2555" s="1" t="str">
        <f>HYPERLINK("https://nconnect.nicmar.ac.in/storage/profile/ProfilePhoto_P25706010_137249.jpg","Download")</f>
        <v>0</v>
      </c>
      <c r="BV2555" s="3"/>
      <c r="BW2555" s="3"/>
    </row>
    <row r="2556" spans="1:75">
      <c r="A2556" s="1" t="s">
        <v>40673</v>
      </c>
      <c r="B2556" s="1" t="s">
        <v>446</v>
      </c>
      <c r="C2556" s="1" t="s">
        <v>41575</v>
      </c>
      <c r="D2556" s="1" t="s">
        <v>422</v>
      </c>
      <c r="E2556" s="1" t="s">
        <v>663</v>
      </c>
      <c r="F2556" s="1" t="s">
        <v>41576</v>
      </c>
      <c r="G2556" s="1" t="s">
        <v>41577</v>
      </c>
      <c r="H2556" s="1" t="s">
        <v>41578</v>
      </c>
      <c r="I2556" s="1" t="s">
        <v>41579</v>
      </c>
      <c r="J2556" s="1">
        <v>7709765680</v>
      </c>
      <c r="K2556" s="1" t="s">
        <v>153</v>
      </c>
      <c r="L2556" s="1" t="s">
        <v>4752</v>
      </c>
      <c r="M2556" s="1" t="s">
        <v>86</v>
      </c>
      <c r="N2556" s="1" t="s">
        <v>1080</v>
      </c>
      <c r="O2556" s="1"/>
      <c r="P2556" s="1" t="s">
        <v>507</v>
      </c>
      <c r="Q2556" s="1" t="s">
        <v>41580</v>
      </c>
      <c r="R2556" s="1" t="s">
        <v>41581</v>
      </c>
      <c r="S2556" s="1">
        <v>9881461032</v>
      </c>
      <c r="T2556" s="1" t="s">
        <v>125</v>
      </c>
      <c r="U2556" s="1" t="s">
        <v>41582</v>
      </c>
      <c r="V2556" s="1">
        <v>9881461031</v>
      </c>
      <c r="W2556" s="1" t="s">
        <v>645</v>
      </c>
      <c r="X2556" s="1" t="s">
        <v>41583</v>
      </c>
      <c r="Y2556" s="1" t="s">
        <v>196</v>
      </c>
      <c r="Z2556" s="1" t="s">
        <v>97</v>
      </c>
      <c r="AA2556" s="1" t="s">
        <v>41583</v>
      </c>
      <c r="AB2556" s="1" t="s">
        <v>196</v>
      </c>
      <c r="AC2556" s="1" t="s">
        <v>97</v>
      </c>
      <c r="AD2556" s="1">
        <v>8.31</v>
      </c>
      <c r="AE2556" s="1" t="s">
        <v>98</v>
      </c>
      <c r="AF2556" s="1" t="s">
        <v>41584</v>
      </c>
      <c r="AG2556" s="1" t="s">
        <v>41585</v>
      </c>
      <c r="AH2556" s="1" t="s">
        <v>1110</v>
      </c>
      <c r="AI2556" s="1" t="s">
        <v>627</v>
      </c>
      <c r="AJ2556" s="1">
        <v>85.5</v>
      </c>
      <c r="AK2556" s="1">
        <v>9</v>
      </c>
      <c r="AL2556" s="1" t="s">
        <v>41586</v>
      </c>
      <c r="AM2556" s="1" t="s">
        <v>41587</v>
      </c>
      <c r="AN2556" s="1" t="s">
        <v>465</v>
      </c>
      <c r="AO2556" s="1" t="s">
        <v>388</v>
      </c>
      <c r="AP2556" s="1" t="s">
        <v>106</v>
      </c>
      <c r="AQ2556" s="1">
        <v>65.23</v>
      </c>
      <c r="AR2556" s="1"/>
      <c r="AS2556" s="1"/>
      <c r="AT2556" s="1"/>
      <c r="AU2556" s="1"/>
      <c r="AV2556" s="1"/>
      <c r="AW2556" s="1"/>
      <c r="AX2556" s="1"/>
      <c r="AY2556" s="1" t="s">
        <v>41588</v>
      </c>
      <c r="AZ2556" s="1" t="s">
        <v>41589</v>
      </c>
      <c r="BA2556" s="1" t="s">
        <v>682</v>
      </c>
      <c r="BB2556" s="1" t="s">
        <v>1561</v>
      </c>
      <c r="BC2556" s="1" t="s">
        <v>206</v>
      </c>
      <c r="BD2556" s="1" t="s">
        <v>1089</v>
      </c>
      <c r="BE2556" s="1">
        <v>67.2</v>
      </c>
      <c r="BF2556" s="1">
        <v>7.03</v>
      </c>
      <c r="BG2556" s="1"/>
      <c r="BH2556" s="1"/>
      <c r="BI2556" s="1"/>
      <c r="BJ2556" s="1"/>
      <c r="BK2556" s="1"/>
      <c r="BL2556" s="1"/>
      <c r="BM2556" s="1"/>
      <c r="BN2556" s="1"/>
      <c r="BO2556" s="1" t="s">
        <v>41590</v>
      </c>
      <c r="BP2556" s="1"/>
      <c r="BQ2556" s="1"/>
      <c r="BR2556" s="1" t="s">
        <v>41591</v>
      </c>
      <c r="BS2556" s="1">
        <v>30</v>
      </c>
      <c r="BT2556" s="1" t="s">
        <v>41592</v>
      </c>
      <c r="BU2556" s="1" t="str">
        <f>HYPERLINK("https://nconnect.nicmar.ac.in/storage/profile/ProfilePhoto_P25706011_687321.jpg","Download")</f>
        <v>0</v>
      </c>
      <c r="BV2556" s="3"/>
      <c r="BW2556" s="3"/>
    </row>
    <row r="2557" spans="1:75">
      <c r="A2557" s="1" t="s">
        <v>40673</v>
      </c>
      <c r="B2557" s="1" t="s">
        <v>446</v>
      </c>
      <c r="C2557" s="1" t="s">
        <v>41593</v>
      </c>
      <c r="D2557" s="1" t="s">
        <v>6136</v>
      </c>
      <c r="E2557" s="1"/>
      <c r="F2557" s="1" t="s">
        <v>41594</v>
      </c>
      <c r="G2557" s="1" t="s">
        <v>41595</v>
      </c>
      <c r="H2557" s="1" t="s">
        <v>41596</v>
      </c>
      <c r="I2557" s="1" t="s">
        <v>41597</v>
      </c>
      <c r="J2557" s="1">
        <v>8928716199</v>
      </c>
      <c r="K2557" s="1" t="s">
        <v>84</v>
      </c>
      <c r="L2557" s="1" t="s">
        <v>17341</v>
      </c>
      <c r="M2557" s="1" t="s">
        <v>86</v>
      </c>
      <c r="N2557" s="1" t="s">
        <v>87</v>
      </c>
      <c r="O2557" s="1" t="s">
        <v>41598</v>
      </c>
      <c r="P2557" s="1" t="s">
        <v>455</v>
      </c>
      <c r="Q2557" s="1" t="s">
        <v>41599</v>
      </c>
      <c r="R2557" s="1" t="s">
        <v>41600</v>
      </c>
      <c r="S2557" s="1">
        <v>8591610630</v>
      </c>
      <c r="T2557" s="1" t="s">
        <v>127</v>
      </c>
      <c r="U2557" s="1" t="s">
        <v>41601</v>
      </c>
      <c r="V2557" s="1">
        <v>7506955528</v>
      </c>
      <c r="W2557" s="1" t="s">
        <v>127</v>
      </c>
      <c r="X2557" s="1" t="s">
        <v>41602</v>
      </c>
      <c r="Y2557" s="1" t="s">
        <v>1012</v>
      </c>
      <c r="Z2557" s="1" t="s">
        <v>97</v>
      </c>
      <c r="AA2557" s="1" t="s">
        <v>41602</v>
      </c>
      <c r="AB2557" s="1" t="s">
        <v>1012</v>
      </c>
      <c r="AC2557" s="1" t="s">
        <v>97</v>
      </c>
      <c r="AD2557" s="1">
        <v>9.76</v>
      </c>
      <c r="AE2557" s="1" t="s">
        <v>98</v>
      </c>
      <c r="AF2557" s="1" t="s">
        <v>41603</v>
      </c>
      <c r="AG2557" s="1" t="s">
        <v>1968</v>
      </c>
      <c r="AH2557" s="1" t="s">
        <v>106</v>
      </c>
      <c r="AI2557" s="1" t="s">
        <v>414</v>
      </c>
      <c r="AJ2557" s="1">
        <v>82.6</v>
      </c>
      <c r="AK2557" s="1"/>
      <c r="AL2557" s="1" t="s">
        <v>41604</v>
      </c>
      <c r="AM2557" s="1" t="s">
        <v>1968</v>
      </c>
      <c r="AN2557" s="1" t="s">
        <v>575</v>
      </c>
      <c r="AO2557" s="1" t="s">
        <v>468</v>
      </c>
      <c r="AP2557" s="1" t="s">
        <v>441</v>
      </c>
      <c r="AQ2557" s="1">
        <v>90.33</v>
      </c>
      <c r="AR2557" s="1"/>
      <c r="AS2557" s="1"/>
      <c r="AT2557" s="1"/>
      <c r="AU2557" s="1"/>
      <c r="AV2557" s="1"/>
      <c r="AW2557" s="1"/>
      <c r="AX2557" s="1"/>
      <c r="AY2557" s="1" t="s">
        <v>366</v>
      </c>
      <c r="AZ2557" s="1" t="s">
        <v>41605</v>
      </c>
      <c r="BA2557" s="1" t="s">
        <v>37920</v>
      </c>
      <c r="BB2557" s="1" t="s">
        <v>36107</v>
      </c>
      <c r="BC2557" s="1" t="s">
        <v>552</v>
      </c>
      <c r="BD2557" s="1" t="s">
        <v>553</v>
      </c>
      <c r="BE2557" s="1">
        <v>63.32</v>
      </c>
      <c r="BF2557" s="1">
        <v>6.9</v>
      </c>
      <c r="BG2557" s="1"/>
      <c r="BH2557" s="1"/>
      <c r="BI2557" s="1"/>
      <c r="BJ2557" s="1"/>
      <c r="BK2557" s="1"/>
      <c r="BL2557" s="1"/>
      <c r="BM2557" s="1"/>
      <c r="BN2557" s="1"/>
      <c r="BO2557" s="1" t="s">
        <v>41606</v>
      </c>
      <c r="BP2557" s="1"/>
      <c r="BQ2557" s="1"/>
      <c r="BR2557" s="1" t="s">
        <v>41607</v>
      </c>
      <c r="BS2557" s="1">
        <v>9</v>
      </c>
      <c r="BT2557" s="1"/>
      <c r="BU2557" s="1" t="str">
        <f>HYPERLINK("https://nconnect.nicmar.ac.in/storage/profile/ProfilePhoto_P25706012_485726.jpg","Download")</f>
        <v>0</v>
      </c>
      <c r="BV2557" s="3"/>
      <c r="BW2557" s="3"/>
    </row>
    <row r="2558" spans="1:75">
      <c r="A2558" s="1" t="s">
        <v>40673</v>
      </c>
      <c r="B2558" s="1" t="s">
        <v>446</v>
      </c>
      <c r="C2558" s="1" t="s">
        <v>41608</v>
      </c>
      <c r="D2558" s="1" t="s">
        <v>3562</v>
      </c>
      <c r="E2558" s="1" t="s">
        <v>13140</v>
      </c>
      <c r="F2558" s="1" t="s">
        <v>3101</v>
      </c>
      <c r="G2558" s="1" t="s">
        <v>41609</v>
      </c>
      <c r="H2558" s="1" t="s">
        <v>41610</v>
      </c>
      <c r="I2558" s="1" t="s">
        <v>41611</v>
      </c>
      <c r="J2558" s="1">
        <v>9322877802</v>
      </c>
      <c r="K2558" s="1" t="s">
        <v>84</v>
      </c>
      <c r="L2558" s="1" t="s">
        <v>7605</v>
      </c>
      <c r="M2558" s="1" t="s">
        <v>86</v>
      </c>
      <c r="N2558" s="1" t="s">
        <v>3046</v>
      </c>
      <c r="O2558" s="1"/>
      <c r="P2558" s="1" t="s">
        <v>507</v>
      </c>
      <c r="Q2558" s="1" t="s">
        <v>41612</v>
      </c>
      <c r="R2558" s="1" t="s">
        <v>41613</v>
      </c>
      <c r="S2558" s="1">
        <v>7588434615</v>
      </c>
      <c r="T2558" s="1" t="s">
        <v>159</v>
      </c>
      <c r="U2558" s="1" t="s">
        <v>41614</v>
      </c>
      <c r="V2558" s="1">
        <v>9403813448</v>
      </c>
      <c r="W2558" s="1" t="s">
        <v>161</v>
      </c>
      <c r="X2558" s="1" t="s">
        <v>41615</v>
      </c>
      <c r="Y2558" s="1" t="s">
        <v>5030</v>
      </c>
      <c r="Z2558" s="1" t="s">
        <v>97</v>
      </c>
      <c r="AA2558" s="1" t="s">
        <v>41615</v>
      </c>
      <c r="AB2558" s="1" t="s">
        <v>5030</v>
      </c>
      <c r="AC2558" s="1" t="s">
        <v>97</v>
      </c>
      <c r="AD2558" s="1">
        <v>8.99</v>
      </c>
      <c r="AE2558" s="1" t="s">
        <v>98</v>
      </c>
      <c r="AF2558" s="1" t="s">
        <v>41616</v>
      </c>
      <c r="AG2558" s="1" t="s">
        <v>312</v>
      </c>
      <c r="AH2558" s="1" t="s">
        <v>7331</v>
      </c>
      <c r="AI2558" s="1" t="s">
        <v>106</v>
      </c>
      <c r="AJ2558" s="1">
        <v>56</v>
      </c>
      <c r="AK2558" s="1"/>
      <c r="AL2558" s="1" t="s">
        <v>41617</v>
      </c>
      <c r="AM2558" s="1" t="s">
        <v>41618</v>
      </c>
      <c r="AN2558" s="1" t="s">
        <v>575</v>
      </c>
      <c r="AO2558" s="1" t="s">
        <v>438</v>
      </c>
      <c r="AP2558" s="1" t="s">
        <v>417</v>
      </c>
      <c r="AQ2558" s="1">
        <v>77.38</v>
      </c>
      <c r="AR2558" s="1"/>
      <c r="AS2558" s="1"/>
      <c r="AT2558" s="1"/>
      <c r="AU2558" s="1"/>
      <c r="AV2558" s="1"/>
      <c r="AW2558" s="1"/>
      <c r="AX2558" s="1"/>
      <c r="AY2558" s="1" t="s">
        <v>41619</v>
      </c>
      <c r="AZ2558" s="1" t="s">
        <v>7030</v>
      </c>
      <c r="BA2558" s="1" t="s">
        <v>466</v>
      </c>
      <c r="BB2558" s="1" t="s">
        <v>467</v>
      </c>
      <c r="BC2558" s="1" t="s">
        <v>368</v>
      </c>
      <c r="BD2558" s="1" t="s">
        <v>5340</v>
      </c>
      <c r="BE2558" s="1">
        <v>61.6</v>
      </c>
      <c r="BF2558" s="1">
        <v>6.66</v>
      </c>
      <c r="BG2558" s="1"/>
      <c r="BH2558" s="1"/>
      <c r="BI2558" s="1"/>
      <c r="BJ2558" s="1"/>
      <c r="BK2558" s="1"/>
      <c r="BL2558" s="1"/>
      <c r="BM2558" s="1"/>
      <c r="BN2558" s="1"/>
      <c r="BO2558" s="1" t="s">
        <v>41620</v>
      </c>
      <c r="BP2558" s="1"/>
      <c r="BQ2558" s="1"/>
      <c r="BR2558" s="1" t="s">
        <v>41621</v>
      </c>
      <c r="BS2558" s="1">
        <v>21</v>
      </c>
      <c r="BT2558" s="1" t="s">
        <v>39103</v>
      </c>
      <c r="BU2558" s="1" t="str">
        <f>HYPERLINK("https://nconnect.nicmar.ac.in/storage/profile/ProfilePhoto_P25706013_549263.jpg","Download")</f>
        <v>0</v>
      </c>
      <c r="BV2558" s="3"/>
      <c r="BW2558" s="3"/>
    </row>
    <row r="2559" spans="1:75">
      <c r="A2559" s="1" t="s">
        <v>40673</v>
      </c>
      <c r="B2559" s="1" t="s">
        <v>446</v>
      </c>
      <c r="C2559" s="1" t="s">
        <v>41622</v>
      </c>
      <c r="D2559" s="1" t="s">
        <v>41623</v>
      </c>
      <c r="E2559" s="1" t="s">
        <v>41624</v>
      </c>
      <c r="F2559" s="1" t="s">
        <v>2641</v>
      </c>
      <c r="G2559" s="1" t="s">
        <v>41625</v>
      </c>
      <c r="H2559" s="1" t="s">
        <v>41626</v>
      </c>
      <c r="I2559" s="1" t="s">
        <v>41627</v>
      </c>
      <c r="J2559" s="1">
        <v>9347078940</v>
      </c>
      <c r="K2559" s="1" t="s">
        <v>153</v>
      </c>
      <c r="L2559" s="1" t="s">
        <v>20267</v>
      </c>
      <c r="M2559" s="1" t="s">
        <v>86</v>
      </c>
      <c r="N2559" s="1" t="s">
        <v>17231</v>
      </c>
      <c r="O2559" s="1"/>
      <c r="P2559" s="1" t="s">
        <v>1028</v>
      </c>
      <c r="Q2559" s="1" t="s">
        <v>41628</v>
      </c>
      <c r="R2559" s="1" t="s">
        <v>41629</v>
      </c>
      <c r="S2559" s="1">
        <v>9848099087</v>
      </c>
      <c r="T2559" s="1" t="s">
        <v>41630</v>
      </c>
      <c r="U2559" s="1" t="s">
        <v>41631</v>
      </c>
      <c r="V2559" s="1">
        <v>9441270786</v>
      </c>
      <c r="W2559" s="1" t="s">
        <v>541</v>
      </c>
      <c r="X2559" s="1" t="s">
        <v>41632</v>
      </c>
      <c r="Y2559" s="1" t="s">
        <v>3132</v>
      </c>
      <c r="Z2559" s="1" t="s">
        <v>1210</v>
      </c>
      <c r="AA2559" s="1" t="s">
        <v>41633</v>
      </c>
      <c r="AB2559" s="1" t="s">
        <v>725</v>
      </c>
      <c r="AC2559" s="1" t="s">
        <v>281</v>
      </c>
      <c r="AD2559" s="1">
        <v>8.47</v>
      </c>
      <c r="AE2559" s="1" t="s">
        <v>98</v>
      </c>
      <c r="AF2559" s="1" t="s">
        <v>41634</v>
      </c>
      <c r="AG2559" s="1" t="s">
        <v>41635</v>
      </c>
      <c r="AH2559" s="1" t="s">
        <v>284</v>
      </c>
      <c r="AI2559" s="1" t="s">
        <v>573</v>
      </c>
      <c r="AJ2559" s="1">
        <v>95</v>
      </c>
      <c r="AK2559" s="1">
        <v>10</v>
      </c>
      <c r="AL2559" s="1" t="s">
        <v>41636</v>
      </c>
      <c r="AM2559" s="1" t="s">
        <v>41637</v>
      </c>
      <c r="AN2559" s="1" t="s">
        <v>465</v>
      </c>
      <c r="AO2559" s="1" t="s">
        <v>170</v>
      </c>
      <c r="AP2559" s="1" t="s">
        <v>547</v>
      </c>
      <c r="AQ2559" s="1">
        <v>85.9</v>
      </c>
      <c r="AR2559" s="1">
        <v>8.5</v>
      </c>
      <c r="AS2559" s="1"/>
      <c r="AT2559" s="1"/>
      <c r="AU2559" s="1"/>
      <c r="AV2559" s="1"/>
      <c r="AW2559" s="1"/>
      <c r="AX2559" s="1"/>
      <c r="AY2559" s="1" t="s">
        <v>1217</v>
      </c>
      <c r="AZ2559" s="1" t="s">
        <v>41638</v>
      </c>
      <c r="BA2559" s="1" t="s">
        <v>682</v>
      </c>
      <c r="BB2559" s="1"/>
      <c r="BC2559" s="1" t="s">
        <v>1040</v>
      </c>
      <c r="BD2559" s="1" t="s">
        <v>1401</v>
      </c>
      <c r="BE2559" s="1">
        <v>64.2</v>
      </c>
      <c r="BF2559" s="1">
        <v>7.17</v>
      </c>
      <c r="BG2559" s="1"/>
      <c r="BH2559" s="1"/>
      <c r="BI2559" s="1"/>
      <c r="BJ2559" s="1"/>
      <c r="BK2559" s="1"/>
      <c r="BL2559" s="1"/>
      <c r="BM2559" s="1"/>
      <c r="BN2559" s="1"/>
      <c r="BO2559" s="1" t="s">
        <v>41639</v>
      </c>
      <c r="BP2559" s="1"/>
      <c r="BQ2559" s="1"/>
      <c r="BR2559" s="1" t="s">
        <v>41640</v>
      </c>
      <c r="BS2559" s="1">
        <v>8</v>
      </c>
      <c r="BT2559" s="1" t="s">
        <v>41641</v>
      </c>
      <c r="BU2559" s="1" t="str">
        <f>HYPERLINK("https://nconnect.nicmar.ac.in/storage/profile/ProfilePhoto_P25706014_412957.jpg","Download")</f>
        <v>0</v>
      </c>
      <c r="BV2559" s="3"/>
      <c r="BW2559" s="3"/>
    </row>
    <row r="2560" spans="1:75">
      <c r="A2560" s="1" t="s">
        <v>40673</v>
      </c>
      <c r="B2560" s="1" t="s">
        <v>446</v>
      </c>
      <c r="C2560" s="1" t="s">
        <v>41642</v>
      </c>
      <c r="D2560" s="1" t="s">
        <v>3218</v>
      </c>
      <c r="E2560" s="1" t="s">
        <v>41643</v>
      </c>
      <c r="F2560" s="1" t="s">
        <v>397</v>
      </c>
      <c r="G2560" s="1" t="s">
        <v>41644</v>
      </c>
      <c r="H2560" s="1" t="s">
        <v>41645</v>
      </c>
      <c r="I2560" s="1" t="s">
        <v>41646</v>
      </c>
      <c r="J2560" s="1">
        <v>8766764405</v>
      </c>
      <c r="K2560" s="1" t="s">
        <v>153</v>
      </c>
      <c r="L2560" s="1" t="s">
        <v>21027</v>
      </c>
      <c r="M2560" s="1" t="s">
        <v>86</v>
      </c>
      <c r="N2560" s="1" t="s">
        <v>1163</v>
      </c>
      <c r="O2560" s="1"/>
      <c r="P2560" s="1" t="s">
        <v>507</v>
      </c>
      <c r="Q2560" s="1" t="s">
        <v>41647</v>
      </c>
      <c r="R2560" s="1" t="s">
        <v>41648</v>
      </c>
      <c r="S2560" s="1">
        <v>7498507226</v>
      </c>
      <c r="T2560" s="1" t="s">
        <v>596</v>
      </c>
      <c r="U2560" s="1" t="s">
        <v>41649</v>
      </c>
      <c r="V2560" s="1">
        <v>7498507226</v>
      </c>
      <c r="W2560" s="1" t="s">
        <v>596</v>
      </c>
      <c r="X2560" s="1" t="s">
        <v>41650</v>
      </c>
      <c r="Y2560" s="1" t="s">
        <v>384</v>
      </c>
      <c r="Z2560" s="1" t="s">
        <v>97</v>
      </c>
      <c r="AA2560" s="1" t="s">
        <v>41650</v>
      </c>
      <c r="AB2560" s="1" t="s">
        <v>384</v>
      </c>
      <c r="AC2560" s="1" t="s">
        <v>97</v>
      </c>
      <c r="AD2560" s="1">
        <v>9.22</v>
      </c>
      <c r="AE2560" s="1" t="s">
        <v>98</v>
      </c>
      <c r="AF2560" s="1" t="s">
        <v>41651</v>
      </c>
      <c r="AG2560" s="1" t="s">
        <v>165</v>
      </c>
      <c r="AH2560" s="1" t="s">
        <v>1583</v>
      </c>
      <c r="AI2560" s="1" t="s">
        <v>515</v>
      </c>
      <c r="AJ2560" s="1">
        <v>75</v>
      </c>
      <c r="AK2560" s="1"/>
      <c r="AL2560" s="1" t="s">
        <v>41652</v>
      </c>
      <c r="AM2560" s="1" t="s">
        <v>165</v>
      </c>
      <c r="AN2560" s="1" t="s">
        <v>575</v>
      </c>
      <c r="AO2560" s="1" t="s">
        <v>342</v>
      </c>
      <c r="AP2560" s="1" t="s">
        <v>517</v>
      </c>
      <c r="AQ2560" s="1">
        <v>59.38</v>
      </c>
      <c r="AR2560" s="1"/>
      <c r="AS2560" s="1"/>
      <c r="AT2560" s="1"/>
      <c r="AU2560" s="1"/>
      <c r="AV2560" s="1"/>
      <c r="AW2560" s="1"/>
      <c r="AX2560" s="1"/>
      <c r="AY2560" s="1" t="s">
        <v>17010</v>
      </c>
      <c r="AZ2560" s="1" t="s">
        <v>41653</v>
      </c>
      <c r="BA2560" s="1" t="s">
        <v>578</v>
      </c>
      <c r="BB2560" s="1" t="s">
        <v>467</v>
      </c>
      <c r="BC2560" s="1" t="s">
        <v>1396</v>
      </c>
      <c r="BD2560" s="1" t="s">
        <v>175</v>
      </c>
      <c r="BE2560" s="1">
        <v>76.8</v>
      </c>
      <c r="BF2560" s="1">
        <v>8.43</v>
      </c>
      <c r="BG2560" s="1" t="s">
        <v>17010</v>
      </c>
      <c r="BH2560" s="1" t="s">
        <v>1586</v>
      </c>
      <c r="BI2560" s="1" t="s">
        <v>2209</v>
      </c>
      <c r="BJ2560" s="1" t="s">
        <v>1585</v>
      </c>
      <c r="BK2560" s="1" t="s">
        <v>178</v>
      </c>
      <c r="BL2560" s="1" t="s">
        <v>110</v>
      </c>
      <c r="BM2560" s="1">
        <v>79.6</v>
      </c>
      <c r="BN2560" s="1">
        <v>8.71</v>
      </c>
      <c r="BO2560" s="1" t="s">
        <v>41654</v>
      </c>
      <c r="BP2560" s="1"/>
      <c r="BQ2560" s="1"/>
      <c r="BR2560" s="1" t="s">
        <v>41655</v>
      </c>
      <c r="BS2560" s="1">
        <v>108</v>
      </c>
      <c r="BT2560" s="1" t="s">
        <v>41656</v>
      </c>
      <c r="BU2560" s="1" t="str">
        <f>HYPERLINK("https://nconnect.nicmar.ac.in/storage/profile/ProfilePhoto_P25706015_614758.jpg","Download")</f>
        <v>0</v>
      </c>
      <c r="BV2560" s="3"/>
      <c r="BW2560" s="3"/>
    </row>
    <row r="2561" spans="1:75">
      <c r="A2561" s="1" t="s">
        <v>40673</v>
      </c>
      <c r="B2561" s="1" t="s">
        <v>446</v>
      </c>
      <c r="C2561" s="1" t="s">
        <v>41657</v>
      </c>
      <c r="D2561" s="1" t="s">
        <v>41658</v>
      </c>
      <c r="E2561" s="1"/>
      <c r="F2561" s="1" t="s">
        <v>41659</v>
      </c>
      <c r="G2561" s="1" t="s">
        <v>41660</v>
      </c>
      <c r="H2561" s="1" t="s">
        <v>41661</v>
      </c>
      <c r="I2561" s="1" t="s">
        <v>41662</v>
      </c>
      <c r="J2561" s="1">
        <v>8762320684</v>
      </c>
      <c r="K2561" s="1" t="s">
        <v>153</v>
      </c>
      <c r="L2561" s="1" t="s">
        <v>10800</v>
      </c>
      <c r="M2561" s="1" t="s">
        <v>86</v>
      </c>
      <c r="N2561" s="1" t="s">
        <v>3980</v>
      </c>
      <c r="O2561" s="1"/>
      <c r="P2561" s="1" t="s">
        <v>455</v>
      </c>
      <c r="Q2561" s="1" t="s">
        <v>41663</v>
      </c>
      <c r="R2561" s="1" t="s">
        <v>41664</v>
      </c>
      <c r="S2561" s="1">
        <v>9741957096</v>
      </c>
      <c r="T2561" s="1" t="s">
        <v>839</v>
      </c>
      <c r="U2561" s="1" t="s">
        <v>41665</v>
      </c>
      <c r="V2561" s="1">
        <v>9902634494</v>
      </c>
      <c r="W2561" s="1" t="s">
        <v>161</v>
      </c>
      <c r="X2561" s="1" t="s">
        <v>41666</v>
      </c>
      <c r="Y2561" s="1" t="s">
        <v>1209</v>
      </c>
      <c r="Z2561" s="1" t="s">
        <v>1210</v>
      </c>
      <c r="AA2561" s="1" t="s">
        <v>41666</v>
      </c>
      <c r="AB2561" s="1" t="s">
        <v>1209</v>
      </c>
      <c r="AC2561" s="1" t="s">
        <v>1210</v>
      </c>
      <c r="AD2561" s="1">
        <v>9.5</v>
      </c>
      <c r="AE2561" s="1" t="s">
        <v>98</v>
      </c>
      <c r="AF2561" s="1" t="s">
        <v>41667</v>
      </c>
      <c r="AG2561" s="1" t="s">
        <v>41668</v>
      </c>
      <c r="AH2561" s="1" t="s">
        <v>106</v>
      </c>
      <c r="AI2561" s="1" t="s">
        <v>203</v>
      </c>
      <c r="AJ2561" s="1">
        <v>81.33</v>
      </c>
      <c r="AK2561" s="1"/>
      <c r="AL2561" s="1" t="s">
        <v>41669</v>
      </c>
      <c r="AM2561" s="1" t="s">
        <v>41670</v>
      </c>
      <c r="AN2561" s="1"/>
      <c r="AO2561" s="1" t="s">
        <v>417</v>
      </c>
      <c r="AP2561" s="1" t="s">
        <v>847</v>
      </c>
      <c r="AQ2561" s="1">
        <v>94.5</v>
      </c>
      <c r="AR2561" s="1"/>
      <c r="AS2561" s="1"/>
      <c r="AT2561" s="1"/>
      <c r="AU2561" s="1"/>
      <c r="AV2561" s="1"/>
      <c r="AW2561" s="1"/>
      <c r="AX2561" s="1"/>
      <c r="AY2561" s="1" t="s">
        <v>4012</v>
      </c>
      <c r="AZ2561" s="1" t="s">
        <v>41671</v>
      </c>
      <c r="BA2561" s="1"/>
      <c r="BB2561" s="1"/>
      <c r="BC2561" s="1" t="s">
        <v>871</v>
      </c>
      <c r="BD2561" s="1" t="s">
        <v>848</v>
      </c>
      <c r="BE2561" s="1">
        <v>84.4</v>
      </c>
      <c r="BF2561" s="1">
        <v>9.19</v>
      </c>
      <c r="BG2561" s="1"/>
      <c r="BH2561" s="1"/>
      <c r="BI2561" s="1"/>
      <c r="BJ2561" s="1"/>
      <c r="BK2561" s="1"/>
      <c r="BL2561" s="1"/>
      <c r="BM2561" s="1"/>
      <c r="BN2561" s="1"/>
      <c r="BO2561" s="1" t="s">
        <v>41672</v>
      </c>
      <c r="BP2561" s="1"/>
      <c r="BQ2561" s="1"/>
      <c r="BR2561" s="1" t="s">
        <v>41673</v>
      </c>
      <c r="BS2561" s="1">
        <v>39</v>
      </c>
      <c r="BT2561" s="1"/>
      <c r="BU2561" s="1" t="str">
        <f>HYPERLINK("https://nconnect.nicmar.ac.in/storage/profile/ProfilePhoto_P25706016_356284.jpg","Download")</f>
        <v>0</v>
      </c>
      <c r="BV2561" s="3"/>
      <c r="BW2561" s="3"/>
    </row>
    <row r="2562" spans="1:75">
      <c r="A2562" s="1" t="s">
        <v>40673</v>
      </c>
      <c r="B2562" s="1" t="s">
        <v>446</v>
      </c>
      <c r="C2562" s="1" t="s">
        <v>41674</v>
      </c>
      <c r="D2562" s="1" t="s">
        <v>41675</v>
      </c>
      <c r="E2562" s="1"/>
      <c r="F2562" s="1" t="s">
        <v>41676</v>
      </c>
      <c r="G2562" s="1" t="s">
        <v>41677</v>
      </c>
      <c r="H2562" s="1" t="s">
        <v>41678</v>
      </c>
      <c r="I2562" s="1" t="s">
        <v>41679</v>
      </c>
      <c r="J2562" s="1">
        <v>8137051093</v>
      </c>
      <c r="K2562" s="1" t="s">
        <v>84</v>
      </c>
      <c r="L2562" s="1" t="s">
        <v>7924</v>
      </c>
      <c r="M2562" s="1" t="s">
        <v>86</v>
      </c>
      <c r="N2562" s="1" t="s">
        <v>41680</v>
      </c>
      <c r="O2562" s="1"/>
      <c r="P2562" s="1" t="s">
        <v>481</v>
      </c>
      <c r="Q2562" s="1" t="s">
        <v>41681</v>
      </c>
      <c r="R2562" s="1" t="s">
        <v>41682</v>
      </c>
      <c r="S2562" s="1">
        <v>9967631093</v>
      </c>
      <c r="T2562" s="1" t="s">
        <v>2223</v>
      </c>
      <c r="U2562" s="1" t="s">
        <v>41683</v>
      </c>
      <c r="V2562" s="1">
        <v>7012228236</v>
      </c>
      <c r="W2562" s="1" t="s">
        <v>127</v>
      </c>
      <c r="X2562" s="1" t="s">
        <v>41684</v>
      </c>
      <c r="Y2562" s="1" t="s">
        <v>3190</v>
      </c>
      <c r="Z2562" s="1" t="s">
        <v>130</v>
      </c>
      <c r="AA2562" s="1" t="s">
        <v>41684</v>
      </c>
      <c r="AB2562" s="1" t="s">
        <v>3190</v>
      </c>
      <c r="AC2562" s="1" t="s">
        <v>130</v>
      </c>
      <c r="AD2562" s="1">
        <v>9.42</v>
      </c>
      <c r="AE2562" s="1" t="s">
        <v>98</v>
      </c>
      <c r="AF2562" s="1" t="s">
        <v>26035</v>
      </c>
      <c r="AG2562" s="1" t="s">
        <v>41685</v>
      </c>
      <c r="AH2562" s="1" t="s">
        <v>106</v>
      </c>
      <c r="AI2562" s="1" t="s">
        <v>315</v>
      </c>
      <c r="AJ2562" s="1">
        <v>94.4</v>
      </c>
      <c r="AK2562" s="1"/>
      <c r="AL2562" s="1" t="s">
        <v>41686</v>
      </c>
      <c r="AM2562" s="1" t="s">
        <v>41687</v>
      </c>
      <c r="AN2562" s="1" t="s">
        <v>575</v>
      </c>
      <c r="AO2562" s="1" t="s">
        <v>178</v>
      </c>
      <c r="AP2562" s="1" t="s">
        <v>549</v>
      </c>
      <c r="AQ2562" s="1">
        <v>99.33</v>
      </c>
      <c r="AR2562" s="1"/>
      <c r="AS2562" s="1"/>
      <c r="AT2562" s="1"/>
      <c r="AU2562" s="1"/>
      <c r="AV2562" s="1"/>
      <c r="AW2562" s="1"/>
      <c r="AX2562" s="1"/>
      <c r="AY2562" s="1" t="s">
        <v>137</v>
      </c>
      <c r="AZ2562" s="1" t="s">
        <v>41688</v>
      </c>
      <c r="BA2562" s="1" t="s">
        <v>466</v>
      </c>
      <c r="BB2562" s="1" t="s">
        <v>467</v>
      </c>
      <c r="BC2562" s="1" t="s">
        <v>552</v>
      </c>
      <c r="BD2562" s="1" t="s">
        <v>848</v>
      </c>
      <c r="BE2562" s="1">
        <v>83.3</v>
      </c>
      <c r="BF2562" s="1">
        <v>8.33</v>
      </c>
      <c r="BG2562" s="1"/>
      <c r="BH2562" s="1"/>
      <c r="BI2562" s="1"/>
      <c r="BJ2562" s="1"/>
      <c r="BK2562" s="1"/>
      <c r="BL2562" s="1"/>
      <c r="BM2562" s="1"/>
      <c r="BN2562" s="1"/>
      <c r="BO2562" s="1" t="s">
        <v>41689</v>
      </c>
      <c r="BP2562" s="1"/>
      <c r="BQ2562" s="1"/>
      <c r="BR2562" s="1" t="s">
        <v>41690</v>
      </c>
      <c r="BS2562" s="1">
        <v>10</v>
      </c>
      <c r="BT2562" s="1"/>
      <c r="BU2562" s="1" t="str">
        <f>HYPERLINK("https://nconnect.nicmar.ac.in/storage/profile/ProfilePhoto_P25706017_423976.jpg","Download")</f>
        <v>0</v>
      </c>
      <c r="BV2562" s="3"/>
      <c r="BW2562" s="3"/>
    </row>
    <row r="2563" spans="1:75">
      <c r="A2563" s="1" t="s">
        <v>40673</v>
      </c>
      <c r="B2563" s="1" t="s">
        <v>446</v>
      </c>
      <c r="C2563" s="1" t="s">
        <v>41691</v>
      </c>
      <c r="D2563" s="1" t="s">
        <v>740</v>
      </c>
      <c r="E2563" s="1" t="s">
        <v>4310</v>
      </c>
      <c r="F2563" s="1" t="s">
        <v>4154</v>
      </c>
      <c r="G2563" s="1" t="s">
        <v>41692</v>
      </c>
      <c r="H2563" s="1" t="s">
        <v>41693</v>
      </c>
      <c r="I2563" s="1" t="s">
        <v>41694</v>
      </c>
      <c r="J2563" s="1">
        <v>9284847427</v>
      </c>
      <c r="K2563" s="1" t="s">
        <v>153</v>
      </c>
      <c r="L2563" s="1" t="s">
        <v>41042</v>
      </c>
      <c r="M2563" s="1" t="s">
        <v>86</v>
      </c>
      <c r="N2563" s="1" t="s">
        <v>1163</v>
      </c>
      <c r="O2563" s="1" t="s">
        <v>41695</v>
      </c>
      <c r="P2563" s="1" t="s">
        <v>455</v>
      </c>
      <c r="Q2563" s="1" t="s">
        <v>41696</v>
      </c>
      <c r="R2563" s="1" t="s">
        <v>41697</v>
      </c>
      <c r="S2563" s="1">
        <v>8208760243</v>
      </c>
      <c r="T2563" s="1" t="s">
        <v>41698</v>
      </c>
      <c r="U2563" s="1" t="s">
        <v>41699</v>
      </c>
      <c r="V2563" s="1">
        <v>8080584637</v>
      </c>
      <c r="W2563" s="1" t="s">
        <v>161</v>
      </c>
      <c r="X2563" s="1" t="s">
        <v>41700</v>
      </c>
      <c r="Y2563" s="1" t="s">
        <v>309</v>
      </c>
      <c r="Z2563" s="1" t="s">
        <v>97</v>
      </c>
      <c r="AA2563" s="1" t="s">
        <v>41700</v>
      </c>
      <c r="AB2563" s="1" t="s">
        <v>309</v>
      </c>
      <c r="AC2563" s="1" t="s">
        <v>97</v>
      </c>
      <c r="AD2563" s="1">
        <v>8.6</v>
      </c>
      <c r="AE2563" s="1" t="s">
        <v>98</v>
      </c>
      <c r="AF2563" s="1" t="s">
        <v>41701</v>
      </c>
      <c r="AG2563" s="1" t="s">
        <v>41702</v>
      </c>
      <c r="AH2563" s="1" t="s">
        <v>170</v>
      </c>
      <c r="AI2563" s="1" t="s">
        <v>286</v>
      </c>
      <c r="AJ2563" s="1">
        <v>74.2</v>
      </c>
      <c r="AK2563" s="1">
        <v>7.81</v>
      </c>
      <c r="AL2563" s="1" t="s">
        <v>41701</v>
      </c>
      <c r="AM2563" s="1" t="s">
        <v>41702</v>
      </c>
      <c r="AN2563" s="1"/>
      <c r="AO2563" s="1" t="s">
        <v>315</v>
      </c>
      <c r="AP2563" s="1" t="s">
        <v>365</v>
      </c>
      <c r="AQ2563" s="1">
        <v>54</v>
      </c>
      <c r="AR2563" s="1">
        <v>5.6</v>
      </c>
      <c r="AS2563" s="1"/>
      <c r="AT2563" s="1"/>
      <c r="AU2563" s="1"/>
      <c r="AV2563" s="1"/>
      <c r="AW2563" s="1"/>
      <c r="AX2563" s="1"/>
      <c r="AY2563" s="1" t="s">
        <v>366</v>
      </c>
      <c r="AZ2563" s="1" t="s">
        <v>41703</v>
      </c>
      <c r="BA2563" s="1"/>
      <c r="BB2563" s="1"/>
      <c r="BC2563" s="1" t="s">
        <v>1171</v>
      </c>
      <c r="BD2563" s="1" t="s">
        <v>848</v>
      </c>
      <c r="BE2563" s="1">
        <v>61.41</v>
      </c>
      <c r="BF2563" s="1">
        <v>6.94</v>
      </c>
      <c r="BG2563" s="1"/>
      <c r="BH2563" s="1"/>
      <c r="BI2563" s="1"/>
      <c r="BJ2563" s="1"/>
      <c r="BK2563" s="1"/>
      <c r="BL2563" s="1"/>
      <c r="BM2563" s="1"/>
      <c r="BN2563" s="1"/>
      <c r="BO2563" s="1" t="s">
        <v>41704</v>
      </c>
      <c r="BP2563" s="1"/>
      <c r="BQ2563" s="1"/>
      <c r="BR2563" s="1" t="s">
        <v>41705</v>
      </c>
      <c r="BS2563" s="1">
        <v>30</v>
      </c>
      <c r="BT2563" s="1" t="s">
        <v>41706</v>
      </c>
      <c r="BU2563" s="1" t="str">
        <f>HYPERLINK("https://nconnect.nicmar.ac.in/storage/profile/ProfilePhoto_P25706018_657438.jpg","Download")</f>
        <v>0</v>
      </c>
      <c r="BV2563" s="3"/>
      <c r="BW2563" s="3"/>
    </row>
    <row r="2564" spans="1:75">
      <c r="A2564" s="1" t="s">
        <v>40673</v>
      </c>
      <c r="B2564" s="1" t="s">
        <v>446</v>
      </c>
      <c r="C2564" s="1" t="s">
        <v>41707</v>
      </c>
      <c r="D2564" s="1" t="s">
        <v>8050</v>
      </c>
      <c r="E2564" s="1"/>
      <c r="F2564" s="1" t="s">
        <v>116</v>
      </c>
      <c r="G2564" s="1" t="s">
        <v>41708</v>
      </c>
      <c r="H2564" s="1" t="s">
        <v>41709</v>
      </c>
      <c r="I2564" s="1" t="s">
        <v>41710</v>
      </c>
      <c r="J2564" s="1">
        <v>7561060571</v>
      </c>
      <c r="K2564" s="1" t="s">
        <v>84</v>
      </c>
      <c r="L2564" s="1" t="s">
        <v>26712</v>
      </c>
      <c r="M2564" s="1" t="s">
        <v>86</v>
      </c>
      <c r="N2564" s="1" t="s">
        <v>41711</v>
      </c>
      <c r="O2564" s="1"/>
      <c r="P2564" s="1" t="s">
        <v>481</v>
      </c>
      <c r="Q2564" s="1" t="s">
        <v>41712</v>
      </c>
      <c r="R2564" s="1" t="s">
        <v>41713</v>
      </c>
      <c r="S2564" s="1">
        <v>9880100998</v>
      </c>
      <c r="T2564" s="1" t="s">
        <v>41714</v>
      </c>
      <c r="U2564" s="1" t="s">
        <v>41715</v>
      </c>
      <c r="V2564" s="1">
        <v>9656736475</v>
      </c>
      <c r="W2564" s="1" t="s">
        <v>41714</v>
      </c>
      <c r="X2564" s="1" t="s">
        <v>41716</v>
      </c>
      <c r="Y2564" s="1" t="s">
        <v>1283</v>
      </c>
      <c r="Z2564" s="1" t="s">
        <v>130</v>
      </c>
      <c r="AA2564" s="1" t="s">
        <v>41716</v>
      </c>
      <c r="AB2564" s="1" t="s">
        <v>1283</v>
      </c>
      <c r="AC2564" s="1" t="s">
        <v>130</v>
      </c>
      <c r="AD2564" s="1">
        <v>7.88</v>
      </c>
      <c r="AE2564" s="1" t="s">
        <v>98</v>
      </c>
      <c r="AF2564" s="1" t="s">
        <v>41717</v>
      </c>
      <c r="AG2564" s="1" t="s">
        <v>2475</v>
      </c>
      <c r="AH2564" s="1" t="s">
        <v>101</v>
      </c>
      <c r="AI2564" s="1" t="s">
        <v>136</v>
      </c>
      <c r="AJ2564" s="1">
        <v>91.2</v>
      </c>
      <c r="AK2564" s="1">
        <v>9.6</v>
      </c>
      <c r="AL2564" s="1" t="s">
        <v>41718</v>
      </c>
      <c r="AM2564" s="1" t="s">
        <v>41719</v>
      </c>
      <c r="AN2564" s="1"/>
      <c r="AO2564" s="1" t="s">
        <v>166</v>
      </c>
      <c r="AP2564" s="1" t="s">
        <v>573</v>
      </c>
      <c r="AQ2564" s="1">
        <v>75.66</v>
      </c>
      <c r="AR2564" s="1"/>
      <c r="AS2564" s="1"/>
      <c r="AT2564" s="1"/>
      <c r="AU2564" s="1"/>
      <c r="AV2564" s="1"/>
      <c r="AW2564" s="1"/>
      <c r="AX2564" s="1"/>
      <c r="AY2564" s="1" t="s">
        <v>41720</v>
      </c>
      <c r="AZ2564" s="1" t="s">
        <v>41721</v>
      </c>
      <c r="BA2564" s="1"/>
      <c r="BB2564" s="1"/>
      <c r="BC2564" s="1" t="s">
        <v>388</v>
      </c>
      <c r="BD2564" s="1" t="s">
        <v>935</v>
      </c>
      <c r="BE2564" s="1">
        <v>61.45</v>
      </c>
      <c r="BF2564" s="1">
        <v>6.52</v>
      </c>
      <c r="BG2564" s="1"/>
      <c r="BH2564" s="1"/>
      <c r="BI2564" s="1"/>
      <c r="BJ2564" s="1"/>
      <c r="BK2564" s="1"/>
      <c r="BL2564" s="1"/>
      <c r="BM2564" s="1"/>
      <c r="BN2564" s="1"/>
      <c r="BO2564" s="1" t="s">
        <v>41722</v>
      </c>
      <c r="BP2564" s="1"/>
      <c r="BQ2564" s="1"/>
      <c r="BR2564" s="1" t="s">
        <v>41723</v>
      </c>
      <c r="BS2564" s="1">
        <v>124</v>
      </c>
      <c r="BT2564" s="1"/>
      <c r="BU2564" s="1" t="str">
        <f>HYPERLINK("https://nconnect.nicmar.ac.in/storage/profile/ProfilePhoto_P25706019_479825.jpg","Download")</f>
        <v>0</v>
      </c>
      <c r="BV2564" s="3"/>
      <c r="BW2564" s="3"/>
    </row>
    <row r="2565" spans="1:75">
      <c r="A2565" s="1" t="s">
        <v>40673</v>
      </c>
      <c r="B2565" s="1" t="s">
        <v>446</v>
      </c>
      <c r="C2565" s="1" t="s">
        <v>41724</v>
      </c>
      <c r="D2565" s="1" t="s">
        <v>41725</v>
      </c>
      <c r="E2565" s="1" t="s">
        <v>41726</v>
      </c>
      <c r="F2565" s="1" t="s">
        <v>9739</v>
      </c>
      <c r="G2565" s="1" t="s">
        <v>41727</v>
      </c>
      <c r="H2565" s="1" t="s">
        <v>41728</v>
      </c>
      <c r="I2565" s="1" t="s">
        <v>41729</v>
      </c>
      <c r="J2565" s="1">
        <v>9004206301</v>
      </c>
      <c r="K2565" s="1" t="s">
        <v>84</v>
      </c>
      <c r="L2565" s="1" t="s">
        <v>10474</v>
      </c>
      <c r="M2565" s="1" t="s">
        <v>86</v>
      </c>
      <c r="N2565" s="1" t="s">
        <v>618</v>
      </c>
      <c r="O2565" s="1"/>
      <c r="P2565" s="1" t="s">
        <v>455</v>
      </c>
      <c r="Q2565" s="1" t="s">
        <v>41730</v>
      </c>
      <c r="R2565" s="1" t="s">
        <v>41731</v>
      </c>
      <c r="S2565" s="1">
        <v>9004206301</v>
      </c>
      <c r="T2565" s="1" t="s">
        <v>41732</v>
      </c>
      <c r="U2565" s="1" t="s">
        <v>41733</v>
      </c>
      <c r="V2565" s="1">
        <v>9004526650</v>
      </c>
      <c r="W2565" s="1" t="s">
        <v>161</v>
      </c>
      <c r="X2565" s="1" t="s">
        <v>41734</v>
      </c>
      <c r="Y2565" s="1" t="s">
        <v>1882</v>
      </c>
      <c r="Z2565" s="1" t="s">
        <v>97</v>
      </c>
      <c r="AA2565" s="1" t="s">
        <v>41734</v>
      </c>
      <c r="AB2565" s="1" t="s">
        <v>1882</v>
      </c>
      <c r="AC2565" s="1" t="s">
        <v>97</v>
      </c>
      <c r="AD2565" s="1">
        <v>8.64</v>
      </c>
      <c r="AE2565" s="1" t="s">
        <v>98</v>
      </c>
      <c r="AF2565" s="1" t="s">
        <v>38262</v>
      </c>
      <c r="AG2565" s="1" t="s">
        <v>4324</v>
      </c>
      <c r="AH2565" s="1" t="s">
        <v>170</v>
      </c>
      <c r="AI2565" s="1" t="s">
        <v>286</v>
      </c>
      <c r="AJ2565" s="1">
        <v>79.6</v>
      </c>
      <c r="AK2565" s="1"/>
      <c r="AL2565" s="1"/>
      <c r="AM2565" s="1"/>
      <c r="AN2565" s="1"/>
      <c r="AO2565" s="1"/>
      <c r="AP2565" s="1"/>
      <c r="AQ2565" s="1"/>
      <c r="AR2565" s="1"/>
      <c r="AS2565" s="1" t="s">
        <v>25383</v>
      </c>
      <c r="AT2565" s="1" t="s">
        <v>41735</v>
      </c>
      <c r="AU2565" s="1" t="s">
        <v>1065</v>
      </c>
      <c r="AV2565" s="1" t="s">
        <v>441</v>
      </c>
      <c r="AW2565" s="1">
        <v>94.94</v>
      </c>
      <c r="AX2565" s="1"/>
      <c r="AY2565" s="1" t="s">
        <v>680</v>
      </c>
      <c r="AZ2565" s="1" t="s">
        <v>41736</v>
      </c>
      <c r="BA2565" s="1"/>
      <c r="BB2565" s="1"/>
      <c r="BC2565" s="1" t="s">
        <v>441</v>
      </c>
      <c r="BD2565" s="1" t="s">
        <v>418</v>
      </c>
      <c r="BE2565" s="1">
        <v>71.25</v>
      </c>
      <c r="BF2565" s="1">
        <v>8.16</v>
      </c>
      <c r="BG2565" s="1"/>
      <c r="BH2565" s="1"/>
      <c r="BI2565" s="1"/>
      <c r="BJ2565" s="1"/>
      <c r="BK2565" s="1"/>
      <c r="BL2565" s="1"/>
      <c r="BM2565" s="1"/>
      <c r="BN2565" s="1"/>
      <c r="BO2565" s="1" t="s">
        <v>41737</v>
      </c>
      <c r="BP2565" s="1" t="s">
        <v>41738</v>
      </c>
      <c r="BQ2565" s="1" t="s">
        <v>292</v>
      </c>
      <c r="BR2565" s="1" t="s">
        <v>41739</v>
      </c>
      <c r="BS2565" s="1">
        <v>22</v>
      </c>
      <c r="BT2565" s="1"/>
      <c r="BU2565" s="1" t="str">
        <f>HYPERLINK("https://nconnect.nicmar.ac.in/storage/profile/ProfilePhoto_P25706020_473619.jpg","Download")</f>
        <v>0</v>
      </c>
      <c r="BV2565" s="3"/>
      <c r="BW2565" s="3"/>
    </row>
    <row r="2566" spans="1:75">
      <c r="A2566" s="1" t="s">
        <v>40673</v>
      </c>
      <c r="B2566" s="1" t="s">
        <v>446</v>
      </c>
      <c r="C2566" s="1" t="s">
        <v>41740</v>
      </c>
      <c r="D2566" s="1" t="s">
        <v>41741</v>
      </c>
      <c r="E2566" s="1" t="s">
        <v>41742</v>
      </c>
      <c r="F2566" s="1" t="s">
        <v>27011</v>
      </c>
      <c r="G2566" s="1" t="s">
        <v>41743</v>
      </c>
      <c r="H2566" s="1" t="s">
        <v>41744</v>
      </c>
      <c r="I2566" s="1" t="s">
        <v>41745</v>
      </c>
      <c r="J2566" s="1">
        <v>9689699701</v>
      </c>
      <c r="K2566" s="1" t="s">
        <v>84</v>
      </c>
      <c r="L2566" s="1" t="s">
        <v>13111</v>
      </c>
      <c r="M2566" s="1" t="s">
        <v>86</v>
      </c>
      <c r="N2566" s="1" t="s">
        <v>1163</v>
      </c>
      <c r="O2566" s="1"/>
      <c r="P2566" s="1" t="s">
        <v>507</v>
      </c>
      <c r="Q2566" s="1" t="s">
        <v>41746</v>
      </c>
      <c r="R2566" s="1" t="s">
        <v>41747</v>
      </c>
      <c r="S2566" s="1">
        <v>7219251419</v>
      </c>
      <c r="T2566" s="1" t="s">
        <v>1964</v>
      </c>
      <c r="U2566" s="1" t="s">
        <v>41748</v>
      </c>
      <c r="V2566" s="1">
        <v>7038653171</v>
      </c>
      <c r="W2566" s="1" t="s">
        <v>1964</v>
      </c>
      <c r="X2566" s="1" t="s">
        <v>41749</v>
      </c>
      <c r="Y2566" s="1" t="s">
        <v>196</v>
      </c>
      <c r="Z2566" s="1" t="s">
        <v>97</v>
      </c>
      <c r="AA2566" s="1" t="s">
        <v>41749</v>
      </c>
      <c r="AB2566" s="1" t="s">
        <v>196</v>
      </c>
      <c r="AC2566" s="1" t="s">
        <v>97</v>
      </c>
      <c r="AD2566" s="1">
        <v>8.24</v>
      </c>
      <c r="AE2566" s="1" t="s">
        <v>98</v>
      </c>
      <c r="AF2566" s="1" t="s">
        <v>41750</v>
      </c>
      <c r="AG2566" s="1" t="s">
        <v>35876</v>
      </c>
      <c r="AH2566" s="1" t="s">
        <v>200</v>
      </c>
      <c r="AI2566" s="1" t="s">
        <v>286</v>
      </c>
      <c r="AJ2566" s="1">
        <v>75.8</v>
      </c>
      <c r="AK2566" s="1">
        <v>0</v>
      </c>
      <c r="AL2566" s="1" t="s">
        <v>41750</v>
      </c>
      <c r="AM2566" s="1" t="s">
        <v>35876</v>
      </c>
      <c r="AN2566" s="1" t="s">
        <v>575</v>
      </c>
      <c r="AO2566" s="1" t="s">
        <v>203</v>
      </c>
      <c r="AP2566" s="1" t="s">
        <v>365</v>
      </c>
      <c r="AQ2566" s="1">
        <v>53.23</v>
      </c>
      <c r="AR2566" s="1">
        <v>0</v>
      </c>
      <c r="AS2566" s="1"/>
      <c r="AT2566" s="1"/>
      <c r="AU2566" s="1"/>
      <c r="AV2566" s="1"/>
      <c r="AW2566" s="1"/>
      <c r="AX2566" s="1"/>
      <c r="AY2566" s="1" t="s">
        <v>41751</v>
      </c>
      <c r="AZ2566" s="1" t="s">
        <v>41752</v>
      </c>
      <c r="BA2566" s="1" t="s">
        <v>466</v>
      </c>
      <c r="BB2566" s="1" t="s">
        <v>467</v>
      </c>
      <c r="BC2566" s="1" t="s">
        <v>468</v>
      </c>
      <c r="BD2566" s="1" t="s">
        <v>848</v>
      </c>
      <c r="BE2566" s="1">
        <v>59.4</v>
      </c>
      <c r="BF2566" s="1">
        <v>6.69</v>
      </c>
      <c r="BG2566" s="1"/>
      <c r="BH2566" s="1" t="s">
        <v>6026</v>
      </c>
      <c r="BI2566" s="1"/>
      <c r="BJ2566" s="1"/>
      <c r="BK2566" s="1" t="s">
        <v>1401</v>
      </c>
      <c r="BL2566" s="1" t="s">
        <v>6755</v>
      </c>
      <c r="BM2566" s="1">
        <v>0</v>
      </c>
      <c r="BN2566" s="1">
        <v>0</v>
      </c>
      <c r="BO2566" s="1" t="s">
        <v>41753</v>
      </c>
      <c r="BP2566" s="1" t="s">
        <v>41754</v>
      </c>
      <c r="BQ2566" s="1" t="s">
        <v>2116</v>
      </c>
      <c r="BR2566" s="1" t="s">
        <v>41755</v>
      </c>
      <c r="BS2566" s="1">
        <v>37</v>
      </c>
      <c r="BT2566" s="1" t="s">
        <v>41756</v>
      </c>
      <c r="BU2566" s="1" t="str">
        <f>HYPERLINK("https://nconnect.nicmar.ac.in/storage/profile/6a809c162ee47.png","Download")</f>
        <v>0</v>
      </c>
      <c r="BV2566" s="3"/>
      <c r="BW2566" s="3"/>
    </row>
    <row r="2567" spans="1:75">
      <c r="A2567" s="1" t="s">
        <v>40673</v>
      </c>
      <c r="B2567" s="1" t="s">
        <v>446</v>
      </c>
      <c r="C2567" s="1" t="s">
        <v>41757</v>
      </c>
      <c r="D2567" s="1" t="s">
        <v>41758</v>
      </c>
      <c r="E2567" s="1" t="s">
        <v>663</v>
      </c>
      <c r="F2567" s="1" t="s">
        <v>2099</v>
      </c>
      <c r="G2567" s="1" t="s">
        <v>41759</v>
      </c>
      <c r="H2567" s="1" t="s">
        <v>41760</v>
      </c>
      <c r="I2567" s="1" t="s">
        <v>41761</v>
      </c>
      <c r="J2567" s="1">
        <v>8686005674</v>
      </c>
      <c r="K2567" s="1" t="s">
        <v>153</v>
      </c>
      <c r="L2567" s="1" t="s">
        <v>7857</v>
      </c>
      <c r="M2567" s="1" t="s">
        <v>86</v>
      </c>
      <c r="N2567" s="1" t="s">
        <v>7152</v>
      </c>
      <c r="O2567" s="1"/>
      <c r="P2567" s="1"/>
      <c r="Q2567" s="1" t="s">
        <v>41762</v>
      </c>
      <c r="R2567" s="1" t="s">
        <v>41763</v>
      </c>
      <c r="S2567" s="1">
        <v>7387600794</v>
      </c>
      <c r="T2567" s="1" t="s">
        <v>7840</v>
      </c>
      <c r="U2567" s="1" t="s">
        <v>41764</v>
      </c>
      <c r="V2567" s="1">
        <v>9657197972</v>
      </c>
      <c r="W2567" s="1" t="s">
        <v>771</v>
      </c>
      <c r="X2567" s="1" t="s">
        <v>41765</v>
      </c>
      <c r="Y2567" s="1" t="s">
        <v>1989</v>
      </c>
      <c r="Z2567" s="1" t="s">
        <v>97</v>
      </c>
      <c r="AA2567" s="1" t="s">
        <v>41765</v>
      </c>
      <c r="AB2567" s="1" t="s">
        <v>1989</v>
      </c>
      <c r="AC2567" s="1" t="s">
        <v>97</v>
      </c>
      <c r="AD2567" s="1">
        <v>8.74</v>
      </c>
      <c r="AE2567" s="1" t="s">
        <v>98</v>
      </c>
      <c r="AF2567" s="1" t="s">
        <v>41370</v>
      </c>
      <c r="AG2567" s="1" t="s">
        <v>41766</v>
      </c>
      <c r="AH2567" s="1" t="s">
        <v>106</v>
      </c>
      <c r="AI2567" s="1" t="s">
        <v>438</v>
      </c>
      <c r="AJ2567" s="1">
        <v>64.2</v>
      </c>
      <c r="AK2567" s="1"/>
      <c r="AL2567" s="1" t="s">
        <v>41767</v>
      </c>
      <c r="AM2567" s="1" t="s">
        <v>41768</v>
      </c>
      <c r="AN2567" s="1"/>
      <c r="AO2567" s="1" t="s">
        <v>438</v>
      </c>
      <c r="AP2567" s="1" t="s">
        <v>847</v>
      </c>
      <c r="AQ2567" s="1">
        <v>89.17</v>
      </c>
      <c r="AR2567" s="1"/>
      <c r="AS2567" s="1"/>
      <c r="AT2567" s="1"/>
      <c r="AU2567" s="1"/>
      <c r="AV2567" s="1"/>
      <c r="AW2567" s="1"/>
      <c r="AX2567" s="1"/>
      <c r="AY2567" s="1" t="s">
        <v>41769</v>
      </c>
      <c r="AZ2567" s="1" t="s">
        <v>41769</v>
      </c>
      <c r="BA2567" s="1"/>
      <c r="BB2567" s="1"/>
      <c r="BC2567" s="1" t="s">
        <v>289</v>
      </c>
      <c r="BD2567" s="1" t="s">
        <v>848</v>
      </c>
      <c r="BE2567" s="1">
        <v>71.6</v>
      </c>
      <c r="BF2567" s="1">
        <v>7.66</v>
      </c>
      <c r="BG2567" s="1"/>
      <c r="BH2567" s="1"/>
      <c r="BI2567" s="1"/>
      <c r="BJ2567" s="1"/>
      <c r="BK2567" s="1"/>
      <c r="BL2567" s="1"/>
      <c r="BM2567" s="1"/>
      <c r="BN2567" s="1"/>
      <c r="BO2567" s="1" t="s">
        <v>1114</v>
      </c>
      <c r="BP2567" s="1"/>
      <c r="BQ2567" s="1"/>
      <c r="BR2567" s="1" t="s">
        <v>41770</v>
      </c>
      <c r="BS2567" s="1">
        <v>31</v>
      </c>
      <c r="BT2567" s="1" t="s">
        <v>41771</v>
      </c>
      <c r="BU2567" s="1" t="str">
        <f>HYPERLINK("https://nconnect.nicmar.ac.in/storage/profile/ProfilePhoto_P25706022_813754.jpg","Download")</f>
        <v>0</v>
      </c>
      <c r="BV2567" s="3"/>
      <c r="BW2567" s="3"/>
    </row>
    <row r="2568" spans="1:75">
      <c r="A2568" s="1" t="s">
        <v>40673</v>
      </c>
      <c r="B2568" s="1" t="s">
        <v>446</v>
      </c>
      <c r="C2568" s="1" t="s">
        <v>41772</v>
      </c>
      <c r="D2568" s="1" t="s">
        <v>41773</v>
      </c>
      <c r="E2568" s="1"/>
      <c r="F2568" s="1" t="s">
        <v>41774</v>
      </c>
      <c r="G2568" s="1" t="s">
        <v>41775</v>
      </c>
      <c r="H2568" s="1" t="s">
        <v>41776</v>
      </c>
      <c r="I2568" s="1" t="s">
        <v>41777</v>
      </c>
      <c r="J2568" s="1">
        <v>9096037198</v>
      </c>
      <c r="K2568" s="1" t="s">
        <v>84</v>
      </c>
      <c r="L2568" s="1" t="s">
        <v>12458</v>
      </c>
      <c r="M2568" s="1" t="s">
        <v>86</v>
      </c>
      <c r="N2568" s="1" t="s">
        <v>990</v>
      </c>
      <c r="O2568" s="1"/>
      <c r="P2568" s="1" t="s">
        <v>455</v>
      </c>
      <c r="Q2568" s="1" t="s">
        <v>41778</v>
      </c>
      <c r="R2568" s="1" t="s">
        <v>41779</v>
      </c>
      <c r="S2568" s="1">
        <v>9422825932</v>
      </c>
      <c r="T2568" s="1" t="s">
        <v>4776</v>
      </c>
      <c r="U2568" s="1" t="s">
        <v>41780</v>
      </c>
      <c r="V2568" s="1">
        <v>9420041559</v>
      </c>
      <c r="W2568" s="1" t="s">
        <v>41781</v>
      </c>
      <c r="X2568" s="1" t="s">
        <v>41782</v>
      </c>
      <c r="Y2568" s="1" t="s">
        <v>96</v>
      </c>
      <c r="Z2568" s="1" t="s">
        <v>97</v>
      </c>
      <c r="AA2568" s="1" t="s">
        <v>41782</v>
      </c>
      <c r="AB2568" s="1" t="s">
        <v>96</v>
      </c>
      <c r="AC2568" s="1" t="s">
        <v>97</v>
      </c>
      <c r="AD2568" s="1">
        <v>7.62</v>
      </c>
      <c r="AE2568" s="1" t="s">
        <v>98</v>
      </c>
      <c r="AF2568" s="1" t="s">
        <v>41783</v>
      </c>
      <c r="AG2568" s="1" t="s">
        <v>41784</v>
      </c>
      <c r="AH2568" s="1" t="s">
        <v>1396</v>
      </c>
      <c r="AI2568" s="1" t="s">
        <v>170</v>
      </c>
      <c r="AJ2568" s="1">
        <v>74.8</v>
      </c>
      <c r="AK2568" s="1">
        <v>8.2</v>
      </c>
      <c r="AL2568" s="1" t="s">
        <v>26304</v>
      </c>
      <c r="AM2568" s="1" t="s">
        <v>41784</v>
      </c>
      <c r="AN2568" s="1"/>
      <c r="AO2568" s="1" t="s">
        <v>174</v>
      </c>
      <c r="AP2568" s="1" t="s">
        <v>203</v>
      </c>
      <c r="AQ2568" s="1">
        <v>59.08</v>
      </c>
      <c r="AR2568" s="1"/>
      <c r="AS2568" s="1"/>
      <c r="AT2568" s="1"/>
      <c r="AU2568" s="1"/>
      <c r="AV2568" s="1"/>
      <c r="AW2568" s="1"/>
      <c r="AX2568" s="1"/>
      <c r="AY2568" s="1" t="s">
        <v>27936</v>
      </c>
      <c r="AZ2568" s="1" t="s">
        <v>39053</v>
      </c>
      <c r="BA2568" s="1"/>
      <c r="BB2568" s="1"/>
      <c r="BC2568" s="1" t="s">
        <v>206</v>
      </c>
      <c r="BD2568" s="1" t="s">
        <v>179</v>
      </c>
      <c r="BE2568" s="1">
        <v>75.2</v>
      </c>
      <c r="BF2568" s="1">
        <v>8.02</v>
      </c>
      <c r="BG2568" s="1"/>
      <c r="BH2568" s="1"/>
      <c r="BI2568" s="1"/>
      <c r="BJ2568" s="1"/>
      <c r="BK2568" s="1"/>
      <c r="BL2568" s="1"/>
      <c r="BM2568" s="1"/>
      <c r="BN2568" s="1"/>
      <c r="BO2568" s="1" t="s">
        <v>28364</v>
      </c>
      <c r="BP2568" s="1"/>
      <c r="BQ2568" s="1"/>
      <c r="BR2568" s="1" t="s">
        <v>41785</v>
      </c>
      <c r="BS2568" s="1">
        <v>23</v>
      </c>
      <c r="BT2568" s="1"/>
      <c r="BU2568" s="1" t="str">
        <f>HYPERLINK("https://nconnect.nicmar.ac.in/storage/profile/ProfilePhoto_P25706023_352879.jpg","Download")</f>
        <v>0</v>
      </c>
      <c r="BV2568" s="3"/>
      <c r="BW2568" s="3"/>
    </row>
    <row r="2569" spans="1:75">
      <c r="A2569" s="1" t="s">
        <v>40673</v>
      </c>
      <c r="B2569" s="1" t="s">
        <v>446</v>
      </c>
      <c r="C2569" s="1" t="s">
        <v>41786</v>
      </c>
      <c r="D2569" s="1" t="s">
        <v>3666</v>
      </c>
      <c r="E2569" s="1" t="s">
        <v>5753</v>
      </c>
      <c r="F2569" s="1" t="s">
        <v>41787</v>
      </c>
      <c r="G2569" s="1" t="s">
        <v>41788</v>
      </c>
      <c r="H2569" s="1" t="s">
        <v>41789</v>
      </c>
      <c r="I2569" s="1" t="s">
        <v>41790</v>
      </c>
      <c r="J2569" s="1">
        <v>9082212775</v>
      </c>
      <c r="K2569" s="1" t="s">
        <v>84</v>
      </c>
      <c r="L2569" s="1" t="s">
        <v>41791</v>
      </c>
      <c r="M2569" s="1" t="s">
        <v>86</v>
      </c>
      <c r="N2569" s="1" t="s">
        <v>7467</v>
      </c>
      <c r="O2569" s="1" t="s">
        <v>41792</v>
      </c>
      <c r="P2569" s="1" t="s">
        <v>481</v>
      </c>
      <c r="Q2569" s="1" t="s">
        <v>41793</v>
      </c>
      <c r="R2569" s="1" t="s">
        <v>5753</v>
      </c>
      <c r="S2569" s="1">
        <v>9422179511</v>
      </c>
      <c r="T2569" s="1" t="s">
        <v>125</v>
      </c>
      <c r="U2569" s="1" t="s">
        <v>38900</v>
      </c>
      <c r="V2569" s="1">
        <v>8626057997</v>
      </c>
      <c r="W2569" s="1" t="s">
        <v>125</v>
      </c>
      <c r="X2569" s="1" t="s">
        <v>41794</v>
      </c>
      <c r="Y2569" s="1" t="s">
        <v>410</v>
      </c>
      <c r="Z2569" s="1" t="s">
        <v>97</v>
      </c>
      <c r="AA2569" s="1" t="s">
        <v>41794</v>
      </c>
      <c r="AB2569" s="1" t="s">
        <v>410</v>
      </c>
      <c r="AC2569" s="1" t="s">
        <v>97</v>
      </c>
      <c r="AD2569" s="1">
        <v>7.76</v>
      </c>
      <c r="AE2569" s="1" t="s">
        <v>98</v>
      </c>
      <c r="AF2569" s="1" t="s">
        <v>41795</v>
      </c>
      <c r="AG2569" s="1" t="s">
        <v>41796</v>
      </c>
      <c r="AH2569" s="1" t="s">
        <v>9719</v>
      </c>
      <c r="AI2569" s="1" t="s">
        <v>136</v>
      </c>
      <c r="AJ2569" s="1">
        <v>89.3</v>
      </c>
      <c r="AK2569" s="1">
        <v>9.4</v>
      </c>
      <c r="AL2569" s="1" t="s">
        <v>41797</v>
      </c>
      <c r="AM2569" s="1" t="s">
        <v>41796</v>
      </c>
      <c r="AN2569" s="1"/>
      <c r="AO2569" s="1" t="s">
        <v>166</v>
      </c>
      <c r="AP2569" s="1" t="s">
        <v>573</v>
      </c>
      <c r="AQ2569" s="1">
        <v>66.6</v>
      </c>
      <c r="AR2569" s="1">
        <v>7.01</v>
      </c>
      <c r="AS2569" s="1"/>
      <c r="AT2569" s="1"/>
      <c r="AU2569" s="1"/>
      <c r="AV2569" s="1"/>
      <c r="AW2569" s="1"/>
      <c r="AX2569" s="1"/>
      <c r="AY2569" s="1" t="s">
        <v>258</v>
      </c>
      <c r="AZ2569" s="1" t="s">
        <v>41798</v>
      </c>
      <c r="BA2569" s="1"/>
      <c r="BB2569" s="1"/>
      <c r="BC2569" s="1" t="s">
        <v>230</v>
      </c>
      <c r="BD2569" s="1" t="s">
        <v>935</v>
      </c>
      <c r="BE2569" s="1">
        <v>56.73</v>
      </c>
      <c r="BF2569" s="1">
        <v>6.3</v>
      </c>
      <c r="BG2569" s="1"/>
      <c r="BH2569" s="1"/>
      <c r="BI2569" s="1"/>
      <c r="BJ2569" s="1"/>
      <c r="BK2569" s="1"/>
      <c r="BL2569" s="1"/>
      <c r="BM2569" s="1"/>
      <c r="BN2569" s="1"/>
      <c r="BO2569" s="1" t="s">
        <v>41799</v>
      </c>
      <c r="BP2569" s="1"/>
      <c r="BQ2569" s="1"/>
      <c r="BR2569" s="1" t="s">
        <v>41800</v>
      </c>
      <c r="BS2569" s="1">
        <v>42</v>
      </c>
      <c r="BT2569" s="1" t="s">
        <v>41801</v>
      </c>
      <c r="BU2569" s="1" t="str">
        <f>HYPERLINK("https://nconnect.nicmar.ac.in/storage/profile/ProfilePhoto_P25706024_261895.jpg","Download")</f>
        <v>0</v>
      </c>
      <c r="BV2569" s="3"/>
      <c r="BW2569" s="3"/>
    </row>
    <row r="2570" spans="1:75">
      <c r="A2570" s="1" t="s">
        <v>40673</v>
      </c>
      <c r="B2570" s="1" t="s">
        <v>446</v>
      </c>
      <c r="C2570" s="1" t="s">
        <v>41802</v>
      </c>
      <c r="D2570" s="1" t="s">
        <v>41803</v>
      </c>
      <c r="E2570" s="1" t="s">
        <v>898</v>
      </c>
      <c r="F2570" s="1" t="s">
        <v>23344</v>
      </c>
      <c r="G2570" s="1" t="s">
        <v>41804</v>
      </c>
      <c r="H2570" s="1" t="s">
        <v>41805</v>
      </c>
      <c r="I2570" s="1" t="s">
        <v>41806</v>
      </c>
      <c r="J2570" s="1">
        <v>9404268121</v>
      </c>
      <c r="K2570" s="1" t="s">
        <v>153</v>
      </c>
      <c r="L2570" s="1" t="s">
        <v>4789</v>
      </c>
      <c r="M2570" s="1" t="s">
        <v>86</v>
      </c>
      <c r="N2570" s="1" t="s">
        <v>41807</v>
      </c>
      <c r="O2570" s="1" t="s">
        <v>41808</v>
      </c>
      <c r="P2570" s="1" t="s">
        <v>481</v>
      </c>
      <c r="Q2570" s="1" t="s">
        <v>41809</v>
      </c>
      <c r="R2570" s="1" t="s">
        <v>898</v>
      </c>
      <c r="S2570" s="1">
        <v>9422458595</v>
      </c>
      <c r="T2570" s="1" t="s">
        <v>159</v>
      </c>
      <c r="U2570" s="1" t="s">
        <v>5080</v>
      </c>
      <c r="V2570" s="1">
        <v>9767954080</v>
      </c>
      <c r="W2570" s="1" t="s">
        <v>161</v>
      </c>
      <c r="X2570" s="1" t="s">
        <v>41810</v>
      </c>
      <c r="Y2570" s="1" t="s">
        <v>196</v>
      </c>
      <c r="Z2570" s="1" t="s">
        <v>97</v>
      </c>
      <c r="AA2570" s="1" t="s">
        <v>41811</v>
      </c>
      <c r="AB2570" s="1" t="s">
        <v>196</v>
      </c>
      <c r="AC2570" s="1" t="s">
        <v>97</v>
      </c>
      <c r="AD2570" s="1">
        <v>8.44</v>
      </c>
      <c r="AE2570" s="1" t="s">
        <v>98</v>
      </c>
      <c r="AF2570" s="1" t="s">
        <v>41812</v>
      </c>
      <c r="AG2570" s="1" t="s">
        <v>41813</v>
      </c>
      <c r="AH2570" s="1" t="s">
        <v>167</v>
      </c>
      <c r="AI2570" s="1" t="s">
        <v>170</v>
      </c>
      <c r="AJ2570" s="1">
        <v>88</v>
      </c>
      <c r="AK2570" s="1">
        <v>9.6</v>
      </c>
      <c r="AL2570" s="1" t="s">
        <v>41814</v>
      </c>
      <c r="AM2570" s="1" t="s">
        <v>41815</v>
      </c>
      <c r="AN2570" s="1"/>
      <c r="AO2570" s="1" t="s">
        <v>170</v>
      </c>
      <c r="AP2570" s="1" t="s">
        <v>203</v>
      </c>
      <c r="AQ2570" s="1">
        <v>68.62</v>
      </c>
      <c r="AR2570" s="1"/>
      <c r="AS2570" s="1"/>
      <c r="AT2570" s="1"/>
      <c r="AU2570" s="1"/>
      <c r="AV2570" s="1"/>
      <c r="AW2570" s="1"/>
      <c r="AX2570" s="1"/>
      <c r="AY2570" s="1" t="s">
        <v>366</v>
      </c>
      <c r="AZ2570" s="1" t="s">
        <v>41816</v>
      </c>
      <c r="BA2570" s="1"/>
      <c r="BB2570" s="1"/>
      <c r="BC2570" s="1" t="s">
        <v>438</v>
      </c>
      <c r="BD2570" s="1" t="s">
        <v>418</v>
      </c>
      <c r="BE2570" s="1">
        <v>64.79</v>
      </c>
      <c r="BF2570" s="1">
        <v>7.28</v>
      </c>
      <c r="BG2570" s="1"/>
      <c r="BH2570" s="1"/>
      <c r="BI2570" s="1"/>
      <c r="BJ2570" s="1"/>
      <c r="BK2570" s="1"/>
      <c r="BL2570" s="1"/>
      <c r="BM2570" s="1"/>
      <c r="BN2570" s="1"/>
      <c r="BO2570" s="1" t="s">
        <v>41817</v>
      </c>
      <c r="BP2570" s="1" t="s">
        <v>41818</v>
      </c>
      <c r="BQ2570" s="1" t="s">
        <v>2116</v>
      </c>
      <c r="BR2570" s="1" t="s">
        <v>41819</v>
      </c>
      <c r="BS2570" s="1">
        <v>61</v>
      </c>
      <c r="BT2570" s="1" t="s">
        <v>41820</v>
      </c>
      <c r="BU2570" s="1" t="str">
        <f>HYPERLINK("https://nconnect.nicmar.ac.in/storage/profile/ProfilePhoto_P25706025_139682.jpg","Download")</f>
        <v>0</v>
      </c>
      <c r="BV2570" s="3"/>
      <c r="BW2570" s="3"/>
    </row>
    <row r="2571" spans="1:75">
      <c r="A2571" s="1" t="s">
        <v>40673</v>
      </c>
      <c r="B2571" s="1" t="s">
        <v>446</v>
      </c>
      <c r="C2571" s="1" t="s">
        <v>41821</v>
      </c>
      <c r="D2571" s="1" t="s">
        <v>30212</v>
      </c>
      <c r="E2571" s="1"/>
      <c r="F2571" s="1" t="s">
        <v>1853</v>
      </c>
      <c r="G2571" s="1" t="s">
        <v>41822</v>
      </c>
      <c r="H2571" s="1" t="s">
        <v>41823</v>
      </c>
      <c r="I2571" s="1" t="s">
        <v>41824</v>
      </c>
      <c r="J2571" s="1">
        <v>7019455055</v>
      </c>
      <c r="K2571" s="1" t="s">
        <v>84</v>
      </c>
      <c r="L2571" s="1" t="s">
        <v>41825</v>
      </c>
      <c r="M2571" s="1" t="s">
        <v>86</v>
      </c>
      <c r="N2571" s="1" t="s">
        <v>41826</v>
      </c>
      <c r="O2571" s="1"/>
      <c r="P2571" s="1" t="s">
        <v>455</v>
      </c>
      <c r="Q2571" s="1" t="s">
        <v>41827</v>
      </c>
      <c r="R2571" s="1" t="s">
        <v>41828</v>
      </c>
      <c r="S2571" s="1">
        <v>9845499155</v>
      </c>
      <c r="T2571" s="1" t="s">
        <v>839</v>
      </c>
      <c r="U2571" s="1" t="s">
        <v>41829</v>
      </c>
      <c r="V2571" s="1">
        <v>9980857755</v>
      </c>
      <c r="W2571" s="1" t="s">
        <v>161</v>
      </c>
      <c r="X2571" s="1" t="s">
        <v>41830</v>
      </c>
      <c r="Y2571" s="1" t="s">
        <v>3132</v>
      </c>
      <c r="Z2571" s="1" t="s">
        <v>1210</v>
      </c>
      <c r="AA2571" s="1" t="s">
        <v>41830</v>
      </c>
      <c r="AB2571" s="1" t="s">
        <v>3132</v>
      </c>
      <c r="AC2571" s="1" t="s">
        <v>1210</v>
      </c>
      <c r="AD2571" s="1">
        <v>9.38</v>
      </c>
      <c r="AE2571" s="1" t="s">
        <v>98</v>
      </c>
      <c r="AF2571" s="1" t="s">
        <v>2653</v>
      </c>
      <c r="AG2571" s="1" t="s">
        <v>9059</v>
      </c>
      <c r="AH2571" s="1" t="s">
        <v>171</v>
      </c>
      <c r="AI2571" s="1" t="s">
        <v>313</v>
      </c>
      <c r="AJ2571" s="1">
        <v>83.8</v>
      </c>
      <c r="AK2571" s="1">
        <v>8.38</v>
      </c>
      <c r="AL2571" s="1" t="s">
        <v>33578</v>
      </c>
      <c r="AM2571" s="1" t="s">
        <v>9059</v>
      </c>
      <c r="AN2571" s="1" t="s">
        <v>465</v>
      </c>
      <c r="AO2571" s="1" t="s">
        <v>438</v>
      </c>
      <c r="AP2571" s="1" t="s">
        <v>847</v>
      </c>
      <c r="AQ2571" s="1">
        <v>84.8</v>
      </c>
      <c r="AR2571" s="1">
        <v>8.48</v>
      </c>
      <c r="AS2571" s="1"/>
      <c r="AT2571" s="1"/>
      <c r="AU2571" s="1"/>
      <c r="AV2571" s="1"/>
      <c r="AW2571" s="1"/>
      <c r="AX2571" s="1"/>
      <c r="AY2571" s="1" t="s">
        <v>6669</v>
      </c>
      <c r="AZ2571" s="1" t="s">
        <v>41831</v>
      </c>
      <c r="BA2571" s="1" t="s">
        <v>578</v>
      </c>
      <c r="BB2571" s="1" t="s">
        <v>467</v>
      </c>
      <c r="BC2571" s="1" t="s">
        <v>871</v>
      </c>
      <c r="BD2571" s="1" t="s">
        <v>1401</v>
      </c>
      <c r="BE2571" s="1">
        <v>58.3</v>
      </c>
      <c r="BF2571" s="1">
        <v>5.83</v>
      </c>
      <c r="BG2571" s="1"/>
      <c r="BH2571" s="1"/>
      <c r="BI2571" s="1"/>
      <c r="BJ2571" s="1"/>
      <c r="BK2571" s="1"/>
      <c r="BL2571" s="1"/>
      <c r="BM2571" s="1"/>
      <c r="BN2571" s="1"/>
      <c r="BO2571" s="1" t="s">
        <v>25463</v>
      </c>
      <c r="BP2571" s="1"/>
      <c r="BQ2571" s="1"/>
      <c r="BR2571" s="1" t="s">
        <v>41832</v>
      </c>
      <c r="BS2571" s="1">
        <v>14</v>
      </c>
      <c r="BT2571" s="1"/>
      <c r="BU2571" s="1" t="str">
        <f>HYPERLINK("https://nconnect.nicmar.ac.in/storage/profile/ProfilePhoto_P25706026_736918.jpg","Download")</f>
        <v>0</v>
      </c>
      <c r="BV2571" s="3"/>
      <c r="BW2571" s="3"/>
    </row>
    <row r="2572" spans="1:75">
      <c r="A2572" s="1" t="s">
        <v>40794</v>
      </c>
      <c r="B2572" s="1" t="s">
        <v>446</v>
      </c>
      <c r="C2572" s="1" t="s">
        <v>41833</v>
      </c>
      <c r="D2572" s="1" t="s">
        <v>41834</v>
      </c>
      <c r="E2572" s="1"/>
      <c r="F2572" s="1" t="s">
        <v>27973</v>
      </c>
      <c r="G2572" s="1" t="s">
        <v>41835</v>
      </c>
      <c r="H2572" s="1" t="s">
        <v>41836</v>
      </c>
      <c r="I2572" s="1" t="s">
        <v>41837</v>
      </c>
      <c r="J2572" s="1">
        <v>9444018662</v>
      </c>
      <c r="K2572" s="1" t="s">
        <v>153</v>
      </c>
      <c r="L2572" s="1" t="s">
        <v>41838</v>
      </c>
      <c r="M2572" s="1" t="s">
        <v>86</v>
      </c>
      <c r="N2572" s="1" t="s">
        <v>41839</v>
      </c>
      <c r="O2572" s="1"/>
      <c r="P2572" s="1" t="s">
        <v>455</v>
      </c>
      <c r="Q2572" s="1" t="s">
        <v>41840</v>
      </c>
      <c r="R2572" s="1" t="s">
        <v>41841</v>
      </c>
      <c r="S2572" s="1">
        <v>9444018661</v>
      </c>
      <c r="T2572" s="1" t="s">
        <v>25437</v>
      </c>
      <c r="U2572" s="1" t="s">
        <v>41842</v>
      </c>
      <c r="V2572" s="1">
        <v>9444018663</v>
      </c>
      <c r="W2572" s="1" t="s">
        <v>2950</v>
      </c>
      <c r="X2572" s="1" t="s">
        <v>41843</v>
      </c>
      <c r="Y2572" s="1" t="s">
        <v>1498</v>
      </c>
      <c r="Z2572" s="1" t="s">
        <v>570</v>
      </c>
      <c r="AA2572" s="1" t="s">
        <v>41843</v>
      </c>
      <c r="AB2572" s="1" t="s">
        <v>1498</v>
      </c>
      <c r="AC2572" s="1" t="s">
        <v>570</v>
      </c>
      <c r="AD2572" s="1">
        <v>9.47</v>
      </c>
      <c r="AE2572" s="1" t="s">
        <v>98</v>
      </c>
      <c r="AF2572" s="1" t="s">
        <v>41844</v>
      </c>
      <c r="AG2572" s="1" t="s">
        <v>41845</v>
      </c>
      <c r="AH2572" s="1" t="s">
        <v>106</v>
      </c>
      <c r="AI2572" s="1" t="s">
        <v>313</v>
      </c>
      <c r="AJ2572" s="1">
        <v>90.6</v>
      </c>
      <c r="AK2572" s="1"/>
      <c r="AL2572" s="1" t="s">
        <v>41846</v>
      </c>
      <c r="AM2572" s="1" t="s">
        <v>41845</v>
      </c>
      <c r="AN2572" s="1" t="s">
        <v>575</v>
      </c>
      <c r="AO2572" s="1" t="s">
        <v>977</v>
      </c>
      <c r="AP2572" s="1" t="s">
        <v>549</v>
      </c>
      <c r="AQ2572" s="1">
        <v>96.4</v>
      </c>
      <c r="AR2572" s="1"/>
      <c r="AS2572" s="1"/>
      <c r="AT2572" s="1"/>
      <c r="AU2572" s="1"/>
      <c r="AV2572" s="1"/>
      <c r="AW2572" s="1"/>
      <c r="AX2572" s="1"/>
      <c r="AY2572" s="1" t="s">
        <v>41847</v>
      </c>
      <c r="AZ2572" s="1" t="s">
        <v>41848</v>
      </c>
      <c r="BA2572" s="1" t="s">
        <v>578</v>
      </c>
      <c r="BB2572" s="1" t="s">
        <v>467</v>
      </c>
      <c r="BC2572" s="1" t="s">
        <v>140</v>
      </c>
      <c r="BD2572" s="1" t="s">
        <v>848</v>
      </c>
      <c r="BE2572" s="1">
        <v>78.5</v>
      </c>
      <c r="BF2572" s="1">
        <v>7.85</v>
      </c>
      <c r="BG2572" s="1"/>
      <c r="BH2572" s="1"/>
      <c r="BI2572" s="1"/>
      <c r="BJ2572" s="1"/>
      <c r="BK2572" s="1"/>
      <c r="BL2572" s="1"/>
      <c r="BM2572" s="1"/>
      <c r="BN2572" s="1"/>
      <c r="BO2572" s="1" t="s">
        <v>6132</v>
      </c>
      <c r="BP2572" s="1"/>
      <c r="BQ2572" s="1"/>
      <c r="BR2572" s="1" t="s">
        <v>41849</v>
      </c>
      <c r="BS2572" s="1">
        <v>16</v>
      </c>
      <c r="BT2572" s="1" t="s">
        <v>41850</v>
      </c>
      <c r="BU2572" s="1" t="str">
        <f>HYPERLINK("https://nconnect.nicmar.ac.in/storage/profile/ProfilePhoto_P25701001_763985.jpg","Download")</f>
        <v>0</v>
      </c>
      <c r="BV2572" s="3"/>
      <c r="BW2572" s="3"/>
    </row>
    <row r="2573" spans="1:75">
      <c r="A2573" s="1" t="s">
        <v>40794</v>
      </c>
      <c r="B2573" s="1" t="s">
        <v>446</v>
      </c>
      <c r="C2573" s="1" t="s">
        <v>41851</v>
      </c>
      <c r="D2573" s="1" t="s">
        <v>9150</v>
      </c>
      <c r="E2573" s="1" t="s">
        <v>5753</v>
      </c>
      <c r="F2573" s="1" t="s">
        <v>41852</v>
      </c>
      <c r="G2573" s="1" t="s">
        <v>41853</v>
      </c>
      <c r="H2573" s="1" t="s">
        <v>41854</v>
      </c>
      <c r="I2573" s="1" t="s">
        <v>41855</v>
      </c>
      <c r="J2573" s="1">
        <v>8291698788</v>
      </c>
      <c r="K2573" s="1" t="s">
        <v>84</v>
      </c>
      <c r="L2573" s="1" t="s">
        <v>41856</v>
      </c>
      <c r="M2573" s="1" t="s">
        <v>86</v>
      </c>
      <c r="N2573" s="1" t="s">
        <v>618</v>
      </c>
      <c r="O2573" s="1"/>
      <c r="P2573" s="1" t="s">
        <v>481</v>
      </c>
      <c r="Q2573" s="1" t="s">
        <v>41857</v>
      </c>
      <c r="R2573" s="1" t="s">
        <v>5753</v>
      </c>
      <c r="S2573" s="1">
        <v>9820543834</v>
      </c>
      <c r="T2573" s="1" t="s">
        <v>41858</v>
      </c>
      <c r="U2573" s="1" t="s">
        <v>41859</v>
      </c>
      <c r="V2573" s="1">
        <v>9920943328</v>
      </c>
      <c r="W2573" s="1" t="s">
        <v>161</v>
      </c>
      <c r="X2573" s="1" t="s">
        <v>41860</v>
      </c>
      <c r="Y2573" s="1" t="s">
        <v>1012</v>
      </c>
      <c r="Z2573" s="1" t="s">
        <v>97</v>
      </c>
      <c r="AA2573" s="1" t="s">
        <v>41860</v>
      </c>
      <c r="AB2573" s="1" t="s">
        <v>1012</v>
      </c>
      <c r="AC2573" s="1" t="s">
        <v>97</v>
      </c>
      <c r="AD2573" s="1">
        <v>8.98</v>
      </c>
      <c r="AE2573" s="1" t="s">
        <v>98</v>
      </c>
      <c r="AF2573" s="1" t="s">
        <v>41861</v>
      </c>
      <c r="AG2573" s="1" t="s">
        <v>41862</v>
      </c>
      <c r="AH2573" s="1" t="s">
        <v>102</v>
      </c>
      <c r="AI2573" s="1" t="s">
        <v>1111</v>
      </c>
      <c r="AJ2573" s="1">
        <v>94.4</v>
      </c>
      <c r="AK2573" s="1"/>
      <c r="AL2573" s="1" t="s">
        <v>41863</v>
      </c>
      <c r="AM2573" s="1" t="s">
        <v>165</v>
      </c>
      <c r="AN2573" s="1" t="s">
        <v>575</v>
      </c>
      <c r="AO2573" s="1" t="s">
        <v>518</v>
      </c>
      <c r="AP2573" s="1" t="s">
        <v>1477</v>
      </c>
      <c r="AQ2573" s="1">
        <v>62.46</v>
      </c>
      <c r="AR2573" s="1"/>
      <c r="AS2573" s="1"/>
      <c r="AT2573" s="1"/>
      <c r="AU2573" s="1"/>
      <c r="AV2573" s="1"/>
      <c r="AW2573" s="1"/>
      <c r="AX2573" s="1"/>
      <c r="AY2573" s="1" t="s">
        <v>258</v>
      </c>
      <c r="AZ2573" s="1" t="s">
        <v>41864</v>
      </c>
      <c r="BA2573" s="1" t="s">
        <v>578</v>
      </c>
      <c r="BB2573" s="1" t="s">
        <v>467</v>
      </c>
      <c r="BC2573" s="1" t="s">
        <v>1065</v>
      </c>
      <c r="BD2573" s="1" t="s">
        <v>110</v>
      </c>
      <c r="BE2573" s="1">
        <v>65.79</v>
      </c>
      <c r="BF2573" s="1"/>
      <c r="BG2573" s="1"/>
      <c r="BH2573" s="1"/>
      <c r="BI2573" s="1"/>
      <c r="BJ2573" s="1"/>
      <c r="BK2573" s="1"/>
      <c r="BL2573" s="1"/>
      <c r="BM2573" s="1"/>
      <c r="BN2573" s="1"/>
      <c r="BO2573" s="1" t="s">
        <v>41865</v>
      </c>
      <c r="BP2573" s="1" t="s">
        <v>41866</v>
      </c>
      <c r="BQ2573" s="1" t="s">
        <v>1482</v>
      </c>
      <c r="BR2573" s="1" t="s">
        <v>41867</v>
      </c>
      <c r="BS2573" s="1">
        <v>47</v>
      </c>
      <c r="BT2573" s="1" t="s">
        <v>41868</v>
      </c>
      <c r="BU2573" s="1" t="str">
        <f>HYPERLINK("https://nconnect.nicmar.ac.in/storage/profile/ProfilePhoto_P25701002_568417.jpg","Download")</f>
        <v>0</v>
      </c>
      <c r="BV2573" s="3"/>
      <c r="BW2573" s="3"/>
    </row>
    <row r="2574" spans="1:75">
      <c r="A2574" s="1" t="s">
        <v>40794</v>
      </c>
      <c r="B2574" s="1" t="s">
        <v>446</v>
      </c>
      <c r="C2574" s="1" t="s">
        <v>41869</v>
      </c>
      <c r="D2574" s="1" t="s">
        <v>8398</v>
      </c>
      <c r="E2574" s="1" t="s">
        <v>41870</v>
      </c>
      <c r="F2574" s="1" t="s">
        <v>41871</v>
      </c>
      <c r="G2574" s="1" t="s">
        <v>41872</v>
      </c>
      <c r="H2574" s="1" t="s">
        <v>41873</v>
      </c>
      <c r="I2574" s="1" t="s">
        <v>41874</v>
      </c>
      <c r="J2574" s="1">
        <v>9022348931</v>
      </c>
      <c r="K2574" s="1" t="s">
        <v>84</v>
      </c>
      <c r="L2574" s="1" t="s">
        <v>17746</v>
      </c>
      <c r="M2574" s="1" t="s">
        <v>86</v>
      </c>
      <c r="N2574" s="1" t="s">
        <v>1163</v>
      </c>
      <c r="O2574" s="1" t="s">
        <v>41875</v>
      </c>
      <c r="P2574" s="1" t="s">
        <v>455</v>
      </c>
      <c r="Q2574" s="1" t="s">
        <v>41876</v>
      </c>
      <c r="R2574" s="1" t="s">
        <v>41877</v>
      </c>
      <c r="S2574" s="1">
        <v>7977074221</v>
      </c>
      <c r="T2574" s="1" t="s">
        <v>839</v>
      </c>
      <c r="U2574" s="1" t="s">
        <v>41878</v>
      </c>
      <c r="V2574" s="1">
        <v>7666060307</v>
      </c>
      <c r="W2574" s="1" t="s">
        <v>278</v>
      </c>
      <c r="X2574" s="1" t="s">
        <v>41879</v>
      </c>
      <c r="Y2574" s="1" t="s">
        <v>196</v>
      </c>
      <c r="Z2574" s="1" t="s">
        <v>97</v>
      </c>
      <c r="AA2574" s="1" t="s">
        <v>41879</v>
      </c>
      <c r="AB2574" s="1" t="s">
        <v>196</v>
      </c>
      <c r="AC2574" s="1" t="s">
        <v>97</v>
      </c>
      <c r="AD2574" s="1">
        <v>8.98</v>
      </c>
      <c r="AE2574" s="1" t="s">
        <v>98</v>
      </c>
      <c r="AF2574" s="1" t="s">
        <v>41880</v>
      </c>
      <c r="AG2574" s="1" t="s">
        <v>41881</v>
      </c>
      <c r="AH2574" s="1" t="s">
        <v>171</v>
      </c>
      <c r="AI2574" s="1" t="s">
        <v>313</v>
      </c>
      <c r="AJ2574" s="1">
        <v>75</v>
      </c>
      <c r="AK2574" s="1">
        <v>0</v>
      </c>
      <c r="AL2574" s="1" t="s">
        <v>41882</v>
      </c>
      <c r="AM2574" s="1" t="s">
        <v>165</v>
      </c>
      <c r="AN2574" s="1" t="s">
        <v>465</v>
      </c>
      <c r="AO2574" s="1" t="s">
        <v>417</v>
      </c>
      <c r="AP2574" s="1" t="s">
        <v>845</v>
      </c>
      <c r="AQ2574" s="1">
        <v>83.83</v>
      </c>
      <c r="AR2574" s="1">
        <v>0</v>
      </c>
      <c r="AS2574" s="1"/>
      <c r="AT2574" s="1"/>
      <c r="AU2574" s="1"/>
      <c r="AV2574" s="1"/>
      <c r="AW2574" s="1"/>
      <c r="AX2574" s="1"/>
      <c r="AY2574" s="1" t="s">
        <v>366</v>
      </c>
      <c r="AZ2574" s="1" t="s">
        <v>41883</v>
      </c>
      <c r="BA2574" s="1" t="s">
        <v>578</v>
      </c>
      <c r="BB2574" s="1" t="s">
        <v>467</v>
      </c>
      <c r="BC2574" s="1" t="s">
        <v>871</v>
      </c>
      <c r="BD2574" s="1" t="s">
        <v>1401</v>
      </c>
      <c r="BE2574" s="1">
        <v>71</v>
      </c>
      <c r="BF2574" s="1">
        <v>7.85</v>
      </c>
      <c r="BG2574" s="1"/>
      <c r="BH2574" s="1"/>
      <c r="BI2574" s="1"/>
      <c r="BJ2574" s="1"/>
      <c r="BK2574" s="1"/>
      <c r="BL2574" s="1"/>
      <c r="BM2574" s="1"/>
      <c r="BN2574" s="1"/>
      <c r="BO2574" s="1" t="s">
        <v>41884</v>
      </c>
      <c r="BP2574" s="1"/>
      <c r="BQ2574" s="1"/>
      <c r="BR2574" s="1" t="s">
        <v>41885</v>
      </c>
      <c r="BS2574" s="1">
        <v>17</v>
      </c>
      <c r="BT2574" s="1" t="s">
        <v>41886</v>
      </c>
      <c r="BU2574" s="1" t="str">
        <f>HYPERLINK("https://nconnect.nicmar.ac.in/storage/profile/ProfilePhoto_P25701003_852167.jpg","Download")</f>
        <v>0</v>
      </c>
      <c r="BV2574" s="3"/>
      <c r="BW2574" s="3"/>
    </row>
    <row r="2575" spans="1:75">
      <c r="A2575" s="1" t="s">
        <v>40794</v>
      </c>
      <c r="B2575" s="1" t="s">
        <v>446</v>
      </c>
      <c r="C2575" s="1" t="s">
        <v>41887</v>
      </c>
      <c r="D2575" s="1" t="s">
        <v>41888</v>
      </c>
      <c r="E2575" s="1"/>
      <c r="F2575" s="1" t="s">
        <v>41889</v>
      </c>
      <c r="G2575" s="1" t="s">
        <v>41890</v>
      </c>
      <c r="H2575" s="1" t="s">
        <v>41891</v>
      </c>
      <c r="I2575" s="1" t="s">
        <v>41892</v>
      </c>
      <c r="J2575" s="1">
        <v>9035847995</v>
      </c>
      <c r="K2575" s="1" t="s">
        <v>84</v>
      </c>
      <c r="L2575" s="1" t="s">
        <v>41893</v>
      </c>
      <c r="M2575" s="1" t="s">
        <v>86</v>
      </c>
      <c r="N2575" s="1" t="s">
        <v>11117</v>
      </c>
      <c r="O2575" s="1"/>
      <c r="P2575" s="1" t="s">
        <v>455</v>
      </c>
      <c r="Q2575" s="1" t="s">
        <v>41894</v>
      </c>
      <c r="R2575" s="1" t="s">
        <v>41895</v>
      </c>
      <c r="S2575" s="1">
        <v>9986833143</v>
      </c>
      <c r="T2575" s="1" t="s">
        <v>41896</v>
      </c>
      <c r="U2575" s="1" t="s">
        <v>41897</v>
      </c>
      <c r="V2575" s="1">
        <v>9986093146</v>
      </c>
      <c r="W2575" s="1" t="s">
        <v>94</v>
      </c>
      <c r="X2575" s="1" t="s">
        <v>41898</v>
      </c>
      <c r="Y2575" s="1" t="s">
        <v>3132</v>
      </c>
      <c r="Z2575" s="1" t="s">
        <v>1210</v>
      </c>
      <c r="AA2575" s="1" t="s">
        <v>41898</v>
      </c>
      <c r="AB2575" s="1" t="s">
        <v>3132</v>
      </c>
      <c r="AC2575" s="1" t="s">
        <v>1210</v>
      </c>
      <c r="AD2575" s="1">
        <v>7.95</v>
      </c>
      <c r="AE2575" s="1" t="s">
        <v>98</v>
      </c>
      <c r="AF2575" s="1" t="s">
        <v>41899</v>
      </c>
      <c r="AG2575" s="1" t="s">
        <v>34378</v>
      </c>
      <c r="AH2575" s="1" t="s">
        <v>200</v>
      </c>
      <c r="AI2575" s="1" t="s">
        <v>171</v>
      </c>
      <c r="AJ2575" s="1">
        <v>70.5</v>
      </c>
      <c r="AK2575" s="1"/>
      <c r="AL2575" s="1" t="s">
        <v>4796</v>
      </c>
      <c r="AM2575" s="1" t="s">
        <v>13852</v>
      </c>
      <c r="AN2575" s="1"/>
      <c r="AO2575" s="1" t="s">
        <v>414</v>
      </c>
      <c r="AP2575" s="1" t="s">
        <v>178</v>
      </c>
      <c r="AQ2575" s="1">
        <v>63.33</v>
      </c>
      <c r="AR2575" s="1"/>
      <c r="AS2575" s="1"/>
      <c r="AT2575" s="1"/>
      <c r="AU2575" s="1"/>
      <c r="AV2575" s="1"/>
      <c r="AW2575" s="1"/>
      <c r="AX2575" s="1"/>
      <c r="AY2575" s="1" t="s">
        <v>1217</v>
      </c>
      <c r="AZ2575" s="1" t="s">
        <v>41900</v>
      </c>
      <c r="BA2575" s="1"/>
      <c r="BB2575" s="1"/>
      <c r="BC2575" s="1" t="s">
        <v>175</v>
      </c>
      <c r="BD2575" s="1" t="s">
        <v>207</v>
      </c>
      <c r="BE2575" s="1">
        <v>65.2</v>
      </c>
      <c r="BF2575" s="1">
        <v>7.27</v>
      </c>
      <c r="BG2575" s="1"/>
      <c r="BH2575" s="1"/>
      <c r="BI2575" s="1"/>
      <c r="BJ2575" s="1"/>
      <c r="BK2575" s="1"/>
      <c r="BL2575" s="1"/>
      <c r="BM2575" s="1"/>
      <c r="BN2575" s="1"/>
      <c r="BO2575" s="1" t="s">
        <v>41901</v>
      </c>
      <c r="BP2575" s="1"/>
      <c r="BQ2575" s="1"/>
      <c r="BR2575" s="1" t="s">
        <v>41902</v>
      </c>
      <c r="BS2575" s="1">
        <v>17</v>
      </c>
      <c r="BT2575" s="1"/>
      <c r="BU2575" s="1" t="str">
        <f>HYPERLINK("https://nconnect.nicmar.ac.in/storage/profile/ProfilePhoto_P25701004_384192.jpg","Download")</f>
        <v>0</v>
      </c>
      <c r="BV2575" s="3"/>
      <c r="BW2575" s="3"/>
    </row>
    <row r="2576" spans="1:75">
      <c r="A2576" s="1" t="s">
        <v>40794</v>
      </c>
      <c r="B2576" s="1" t="s">
        <v>446</v>
      </c>
      <c r="C2576" s="1" t="s">
        <v>41903</v>
      </c>
      <c r="D2576" s="1" t="s">
        <v>41904</v>
      </c>
      <c r="E2576" s="1"/>
      <c r="F2576" s="1" t="s">
        <v>41905</v>
      </c>
      <c r="G2576" s="1" t="s">
        <v>41906</v>
      </c>
      <c r="H2576" s="1" t="s">
        <v>41907</v>
      </c>
      <c r="I2576" s="1" t="s">
        <v>41908</v>
      </c>
      <c r="J2576" s="1">
        <v>9840917479</v>
      </c>
      <c r="K2576" s="1" t="s">
        <v>153</v>
      </c>
      <c r="L2576" s="1" t="s">
        <v>41909</v>
      </c>
      <c r="M2576" s="1" t="s">
        <v>86</v>
      </c>
      <c r="N2576" s="1" t="s">
        <v>41910</v>
      </c>
      <c r="O2576" s="1"/>
      <c r="P2576" s="1" t="s">
        <v>481</v>
      </c>
      <c r="Q2576" s="1" t="s">
        <v>41911</v>
      </c>
      <c r="R2576" s="1" t="s">
        <v>41912</v>
      </c>
      <c r="S2576" s="1">
        <v>9894334005</v>
      </c>
      <c r="T2576" s="1" t="s">
        <v>32171</v>
      </c>
      <c r="U2576" s="1" t="s">
        <v>41913</v>
      </c>
      <c r="V2576" s="1">
        <v>9944434003</v>
      </c>
      <c r="W2576" s="1" t="s">
        <v>541</v>
      </c>
      <c r="X2576" s="1" t="s">
        <v>41914</v>
      </c>
      <c r="Y2576" s="1" t="s">
        <v>17159</v>
      </c>
      <c r="Z2576" s="1" t="s">
        <v>570</v>
      </c>
      <c r="AA2576" s="1" t="s">
        <v>41914</v>
      </c>
      <c r="AB2576" s="1" t="s">
        <v>17159</v>
      </c>
      <c r="AC2576" s="1" t="s">
        <v>570</v>
      </c>
      <c r="AD2576" s="1">
        <v>9.56</v>
      </c>
      <c r="AE2576" s="1" t="s">
        <v>98</v>
      </c>
      <c r="AF2576" s="1" t="s">
        <v>41915</v>
      </c>
      <c r="AG2576" s="1" t="s">
        <v>41916</v>
      </c>
      <c r="AH2576" s="1" t="s">
        <v>167</v>
      </c>
      <c r="AI2576" s="1" t="s">
        <v>573</v>
      </c>
      <c r="AJ2576" s="1">
        <v>81</v>
      </c>
      <c r="AK2576" s="1"/>
      <c r="AL2576" s="1" t="s">
        <v>41915</v>
      </c>
      <c r="AM2576" s="1" t="s">
        <v>41917</v>
      </c>
      <c r="AN2576" s="1" t="s">
        <v>575</v>
      </c>
      <c r="AO2576" s="1" t="s">
        <v>106</v>
      </c>
      <c r="AP2576" s="1" t="s">
        <v>313</v>
      </c>
      <c r="AQ2576" s="1">
        <v>82.4</v>
      </c>
      <c r="AR2576" s="1"/>
      <c r="AS2576" s="1"/>
      <c r="AT2576" s="1"/>
      <c r="AU2576" s="1"/>
      <c r="AV2576" s="1"/>
      <c r="AW2576" s="1"/>
      <c r="AX2576" s="1"/>
      <c r="AY2576" s="1" t="s">
        <v>21103</v>
      </c>
      <c r="AZ2576" s="1" t="s">
        <v>41918</v>
      </c>
      <c r="BA2576" s="1" t="s">
        <v>682</v>
      </c>
      <c r="BB2576" s="1" t="s">
        <v>683</v>
      </c>
      <c r="BC2576" s="1" t="s">
        <v>206</v>
      </c>
      <c r="BD2576" s="1" t="s">
        <v>207</v>
      </c>
      <c r="BE2576" s="1">
        <v>89.2</v>
      </c>
      <c r="BF2576" s="1">
        <v>8.92</v>
      </c>
      <c r="BG2576" s="1"/>
      <c r="BH2576" s="1"/>
      <c r="BI2576" s="1"/>
      <c r="BJ2576" s="1"/>
      <c r="BK2576" s="1"/>
      <c r="BL2576" s="1"/>
      <c r="BM2576" s="1"/>
      <c r="BN2576" s="1"/>
      <c r="BO2576" s="1" t="s">
        <v>41919</v>
      </c>
      <c r="BP2576" s="1"/>
      <c r="BQ2576" s="1"/>
      <c r="BR2576" s="1" t="s">
        <v>41920</v>
      </c>
      <c r="BS2576" s="1">
        <v>25</v>
      </c>
      <c r="BT2576" s="1" t="s">
        <v>41921</v>
      </c>
      <c r="BU2576" s="1" t="str">
        <f>HYPERLINK("https://nconnect.nicmar.ac.in/storage/profile/ProfilePhoto_P25701005_496138.jpg","Download")</f>
        <v>0</v>
      </c>
      <c r="BV2576" s="3"/>
      <c r="BW2576" s="3"/>
    </row>
    <row r="2577" spans="1:75">
      <c r="A2577" s="1" t="s">
        <v>40794</v>
      </c>
      <c r="B2577" s="1" t="s">
        <v>446</v>
      </c>
      <c r="C2577" s="1" t="s">
        <v>41922</v>
      </c>
      <c r="D2577" s="1" t="s">
        <v>761</v>
      </c>
      <c r="E2577" s="1" t="s">
        <v>3042</v>
      </c>
      <c r="F2577" s="1" t="s">
        <v>41020</v>
      </c>
      <c r="G2577" s="1" t="s">
        <v>41923</v>
      </c>
      <c r="H2577" s="1" t="s">
        <v>41924</v>
      </c>
      <c r="I2577" s="1" t="s">
        <v>41925</v>
      </c>
      <c r="J2577" s="1">
        <v>9834614044</v>
      </c>
      <c r="K2577" s="1" t="s">
        <v>84</v>
      </c>
      <c r="L2577" s="1" t="s">
        <v>41926</v>
      </c>
      <c r="M2577" s="1" t="s">
        <v>86</v>
      </c>
      <c r="N2577" s="1" t="s">
        <v>618</v>
      </c>
      <c r="O2577" s="1"/>
      <c r="P2577" s="1" t="s">
        <v>481</v>
      </c>
      <c r="Q2577" s="1" t="s">
        <v>41927</v>
      </c>
      <c r="R2577" s="1" t="s">
        <v>3042</v>
      </c>
      <c r="S2577" s="1">
        <v>8308522030</v>
      </c>
      <c r="T2577" s="1" t="s">
        <v>125</v>
      </c>
      <c r="U2577" s="1" t="s">
        <v>222</v>
      </c>
      <c r="V2577" s="1">
        <v>8308522030</v>
      </c>
      <c r="W2577" s="1" t="s">
        <v>161</v>
      </c>
      <c r="X2577" s="1" t="s">
        <v>41928</v>
      </c>
      <c r="Y2577" s="1"/>
      <c r="Z2577" s="1" t="s">
        <v>97</v>
      </c>
      <c r="AA2577" s="1" t="s">
        <v>41928</v>
      </c>
      <c r="AB2577" s="1"/>
      <c r="AC2577" s="1" t="s">
        <v>97</v>
      </c>
      <c r="AD2577" s="1">
        <v>8.12</v>
      </c>
      <c r="AE2577" s="1" t="s">
        <v>98</v>
      </c>
      <c r="AF2577" s="1" t="s">
        <v>41929</v>
      </c>
      <c r="AG2577" s="1" t="s">
        <v>41930</v>
      </c>
      <c r="AH2577" s="1" t="s">
        <v>167</v>
      </c>
      <c r="AI2577" s="1" t="s">
        <v>200</v>
      </c>
      <c r="AJ2577" s="1">
        <v>68.2</v>
      </c>
      <c r="AK2577" s="1"/>
      <c r="AL2577" s="1" t="s">
        <v>41931</v>
      </c>
      <c r="AM2577" s="1" t="s">
        <v>41932</v>
      </c>
      <c r="AN2577" s="1" t="s">
        <v>2995</v>
      </c>
      <c r="AO2577" s="1" t="s">
        <v>388</v>
      </c>
      <c r="AP2577" s="1" t="s">
        <v>313</v>
      </c>
      <c r="AQ2577" s="1">
        <v>63.08</v>
      </c>
      <c r="AR2577" s="1"/>
      <c r="AS2577" s="1" t="s">
        <v>439</v>
      </c>
      <c r="AT2577" s="1" t="s">
        <v>41933</v>
      </c>
      <c r="AU2577" s="1" t="s">
        <v>315</v>
      </c>
      <c r="AV2577" s="1" t="s">
        <v>552</v>
      </c>
      <c r="AW2577" s="1">
        <v>88.95</v>
      </c>
      <c r="AX2577" s="1"/>
      <c r="AY2577" s="1" t="s">
        <v>41934</v>
      </c>
      <c r="AZ2577" s="1" t="s">
        <v>41934</v>
      </c>
      <c r="BA2577" s="1" t="s">
        <v>466</v>
      </c>
      <c r="BB2577" s="1" t="s">
        <v>467</v>
      </c>
      <c r="BC2577" s="1" t="s">
        <v>441</v>
      </c>
      <c r="BD2577" s="1" t="s">
        <v>207</v>
      </c>
      <c r="BE2577" s="1">
        <v>86.7</v>
      </c>
      <c r="BF2577" s="1">
        <v>9.42</v>
      </c>
      <c r="BG2577" s="1"/>
      <c r="BH2577" s="1"/>
      <c r="BI2577" s="1"/>
      <c r="BJ2577" s="1"/>
      <c r="BK2577" s="1"/>
      <c r="BL2577" s="1"/>
      <c r="BM2577" s="1"/>
      <c r="BN2577" s="1"/>
      <c r="BO2577" s="1" t="s">
        <v>41935</v>
      </c>
      <c r="BP2577" s="1" t="s">
        <v>41936</v>
      </c>
      <c r="BQ2577" s="1" t="s">
        <v>2093</v>
      </c>
      <c r="BR2577" s="1" t="s">
        <v>41937</v>
      </c>
      <c r="BS2577" s="1">
        <v>23</v>
      </c>
      <c r="BT2577" s="1" t="s">
        <v>41938</v>
      </c>
      <c r="BU2577" s="1" t="str">
        <f>HYPERLINK("https://nconnect.nicmar.ac.in/storage/profile/ProfilePhoto_P25701007_349827.jpg","Download")</f>
        <v>0</v>
      </c>
      <c r="BV2577" s="3"/>
      <c r="BW2577" s="4">
        <v>1</v>
      </c>
    </row>
    <row r="2578" spans="1:75">
      <c r="A2578" s="1" t="s">
        <v>40794</v>
      </c>
      <c r="B2578" s="1" t="s">
        <v>446</v>
      </c>
      <c r="C2578" s="1" t="s">
        <v>41939</v>
      </c>
      <c r="D2578" s="1" t="s">
        <v>41940</v>
      </c>
      <c r="E2578" s="1" t="s">
        <v>11734</v>
      </c>
      <c r="F2578" s="1" t="s">
        <v>37942</v>
      </c>
      <c r="G2578" s="1" t="s">
        <v>41941</v>
      </c>
      <c r="H2578" s="1" t="s">
        <v>41942</v>
      </c>
      <c r="I2578" s="1" t="s">
        <v>41943</v>
      </c>
      <c r="J2578" s="1">
        <v>9920066672</v>
      </c>
      <c r="K2578" s="1" t="s">
        <v>84</v>
      </c>
      <c r="L2578" s="1" t="s">
        <v>9429</v>
      </c>
      <c r="M2578" s="1" t="s">
        <v>86</v>
      </c>
      <c r="N2578" s="1" t="s">
        <v>1163</v>
      </c>
      <c r="O2578" s="1"/>
      <c r="P2578" s="1" t="s">
        <v>507</v>
      </c>
      <c r="Q2578" s="1" t="s">
        <v>41944</v>
      </c>
      <c r="R2578" s="1" t="s">
        <v>41945</v>
      </c>
      <c r="S2578" s="1">
        <v>9867336930</v>
      </c>
      <c r="T2578" s="1" t="s">
        <v>9700</v>
      </c>
      <c r="U2578" s="1" t="s">
        <v>41946</v>
      </c>
      <c r="V2578" s="1">
        <v>9967361509</v>
      </c>
      <c r="W2578" s="1" t="s">
        <v>41947</v>
      </c>
      <c r="X2578" s="1" t="s">
        <v>41948</v>
      </c>
      <c r="Y2578" s="1" t="s">
        <v>2259</v>
      </c>
      <c r="Z2578" s="1" t="s">
        <v>97</v>
      </c>
      <c r="AA2578" s="1" t="s">
        <v>41948</v>
      </c>
      <c r="AB2578" s="1" t="s">
        <v>2259</v>
      </c>
      <c r="AC2578" s="1" t="s">
        <v>97</v>
      </c>
      <c r="AD2578" s="1">
        <v>9.4</v>
      </c>
      <c r="AE2578" s="1" t="s">
        <v>98</v>
      </c>
      <c r="AF2578" s="1" t="s">
        <v>41949</v>
      </c>
      <c r="AG2578" s="1" t="s">
        <v>2181</v>
      </c>
      <c r="AH2578" s="1" t="s">
        <v>1110</v>
      </c>
      <c r="AI2578" s="1" t="s">
        <v>627</v>
      </c>
      <c r="AJ2578" s="1">
        <v>93.5</v>
      </c>
      <c r="AK2578" s="1">
        <v>0</v>
      </c>
      <c r="AL2578" s="1" t="s">
        <v>41950</v>
      </c>
      <c r="AM2578" s="1" t="s">
        <v>165</v>
      </c>
      <c r="AN2578" s="1" t="s">
        <v>575</v>
      </c>
      <c r="AO2578" s="1" t="s">
        <v>170</v>
      </c>
      <c r="AP2578" s="1" t="s">
        <v>1477</v>
      </c>
      <c r="AQ2578" s="1">
        <v>76.46</v>
      </c>
      <c r="AR2578" s="1">
        <v>0</v>
      </c>
      <c r="AS2578" s="1"/>
      <c r="AT2578" s="1"/>
      <c r="AU2578" s="1"/>
      <c r="AV2578" s="1"/>
      <c r="AW2578" s="1"/>
      <c r="AX2578" s="1"/>
      <c r="AY2578" s="1" t="s">
        <v>258</v>
      </c>
      <c r="AZ2578" s="1" t="s">
        <v>41951</v>
      </c>
      <c r="BA2578" s="1" t="s">
        <v>682</v>
      </c>
      <c r="BB2578" s="1" t="s">
        <v>1561</v>
      </c>
      <c r="BC2578" s="1" t="s">
        <v>1065</v>
      </c>
      <c r="BD2578" s="1" t="s">
        <v>234</v>
      </c>
      <c r="BE2578" s="1">
        <v>76.23</v>
      </c>
      <c r="BF2578" s="1">
        <v>8.68</v>
      </c>
      <c r="BG2578" s="1"/>
      <c r="BH2578" s="1"/>
      <c r="BI2578" s="1"/>
      <c r="BJ2578" s="1"/>
      <c r="BK2578" s="1"/>
      <c r="BL2578" s="1"/>
      <c r="BM2578" s="1"/>
      <c r="BN2578" s="1"/>
      <c r="BO2578" s="1" t="s">
        <v>41952</v>
      </c>
      <c r="BP2578" s="1" t="s">
        <v>41953</v>
      </c>
      <c r="BQ2578" s="1" t="s">
        <v>582</v>
      </c>
      <c r="BR2578" s="1" t="s">
        <v>41954</v>
      </c>
      <c r="BS2578" s="1">
        <v>28</v>
      </c>
      <c r="BT2578" s="1" t="s">
        <v>41955</v>
      </c>
      <c r="BU2578" s="1" t="str">
        <f>HYPERLINK("https://nconnect.nicmar.ac.in/storage/profile/ProfilePhoto_P25701008_873691.jpg","Download")</f>
        <v>0</v>
      </c>
      <c r="BV2578" s="3"/>
      <c r="BW2578" s="3"/>
    </row>
    <row r="2579" spans="1:75">
      <c r="A2579" s="1" t="s">
        <v>40794</v>
      </c>
      <c r="B2579" s="1" t="s">
        <v>446</v>
      </c>
      <c r="C2579" s="1" t="s">
        <v>41956</v>
      </c>
      <c r="D2579" s="1" t="s">
        <v>11148</v>
      </c>
      <c r="E2579" s="1" t="s">
        <v>41957</v>
      </c>
      <c r="F2579" s="1" t="s">
        <v>41958</v>
      </c>
      <c r="G2579" s="1" t="s">
        <v>41959</v>
      </c>
      <c r="H2579" s="1" t="s">
        <v>41960</v>
      </c>
      <c r="I2579" s="1" t="s">
        <v>41961</v>
      </c>
      <c r="J2579" s="1">
        <v>9158000887</v>
      </c>
      <c r="K2579" s="1" t="s">
        <v>84</v>
      </c>
      <c r="L2579" s="1" t="s">
        <v>41962</v>
      </c>
      <c r="M2579" s="1" t="s">
        <v>86</v>
      </c>
      <c r="N2579" s="1" t="s">
        <v>618</v>
      </c>
      <c r="O2579" s="1"/>
      <c r="P2579" s="1" t="s">
        <v>507</v>
      </c>
      <c r="Q2579" s="1" t="s">
        <v>41963</v>
      </c>
      <c r="R2579" s="1" t="s">
        <v>41964</v>
      </c>
      <c r="S2579" s="1">
        <v>9823050152</v>
      </c>
      <c r="T2579" s="1" t="s">
        <v>926</v>
      </c>
      <c r="U2579" s="1" t="s">
        <v>41965</v>
      </c>
      <c r="V2579" s="1">
        <v>9673961431</v>
      </c>
      <c r="W2579" s="1" t="s">
        <v>41966</v>
      </c>
      <c r="X2579" s="1" t="s">
        <v>41967</v>
      </c>
      <c r="Y2579" s="1" t="s">
        <v>96</v>
      </c>
      <c r="Z2579" s="1" t="s">
        <v>97</v>
      </c>
      <c r="AA2579" s="1" t="s">
        <v>41967</v>
      </c>
      <c r="AB2579" s="1" t="s">
        <v>96</v>
      </c>
      <c r="AC2579" s="1" t="s">
        <v>97</v>
      </c>
      <c r="AD2579" s="1">
        <v>8.67</v>
      </c>
      <c r="AE2579" s="1" t="s">
        <v>98</v>
      </c>
      <c r="AF2579" s="1" t="s">
        <v>25494</v>
      </c>
      <c r="AG2579" s="1" t="s">
        <v>41968</v>
      </c>
      <c r="AH2579" s="1" t="s">
        <v>1110</v>
      </c>
      <c r="AI2579" s="1" t="s">
        <v>1111</v>
      </c>
      <c r="AJ2579" s="1">
        <v>95</v>
      </c>
      <c r="AK2579" s="1">
        <v>10</v>
      </c>
      <c r="AL2579" s="1" t="s">
        <v>25494</v>
      </c>
      <c r="AM2579" s="1" t="s">
        <v>41968</v>
      </c>
      <c r="AN2579" s="1" t="s">
        <v>575</v>
      </c>
      <c r="AO2579" s="1" t="s">
        <v>167</v>
      </c>
      <c r="AP2579" s="1" t="s">
        <v>171</v>
      </c>
      <c r="AQ2579" s="1">
        <v>81.2</v>
      </c>
      <c r="AR2579" s="1"/>
      <c r="AS2579" s="1"/>
      <c r="AT2579" s="1"/>
      <c r="AU2579" s="1"/>
      <c r="AV2579" s="1"/>
      <c r="AW2579" s="1"/>
      <c r="AX2579" s="1"/>
      <c r="AY2579" s="1" t="s">
        <v>366</v>
      </c>
      <c r="AZ2579" s="1" t="s">
        <v>41969</v>
      </c>
      <c r="BA2579" s="1" t="s">
        <v>682</v>
      </c>
      <c r="BB2579" s="1" t="s">
        <v>1561</v>
      </c>
      <c r="BC2579" s="1" t="s">
        <v>174</v>
      </c>
      <c r="BD2579" s="1" t="s">
        <v>179</v>
      </c>
      <c r="BE2579" s="1">
        <v>69.5</v>
      </c>
      <c r="BF2579" s="1">
        <v>8.94</v>
      </c>
      <c r="BG2579" s="1"/>
      <c r="BH2579" s="1"/>
      <c r="BI2579" s="1"/>
      <c r="BJ2579" s="1"/>
      <c r="BK2579" s="1"/>
      <c r="BL2579" s="1"/>
      <c r="BM2579" s="1"/>
      <c r="BN2579" s="1"/>
      <c r="BO2579" s="1" t="s">
        <v>41970</v>
      </c>
      <c r="BP2579" s="1" t="s">
        <v>41971</v>
      </c>
      <c r="BQ2579" s="1" t="s">
        <v>1174</v>
      </c>
      <c r="BR2579" s="1" t="s">
        <v>41972</v>
      </c>
      <c r="BS2579" s="1">
        <v>32</v>
      </c>
      <c r="BT2579" s="1"/>
      <c r="BU2579" s="1" t="str">
        <f>HYPERLINK("https://nconnect.nicmar.ac.in/storage/profile/ProfilePhoto_P25701009_968471.jpg","Download")</f>
        <v>0</v>
      </c>
      <c r="BV2579" s="3"/>
      <c r="BW2579" s="3"/>
    </row>
    <row r="2580" spans="1:75">
      <c r="A2580" s="1" t="s">
        <v>40794</v>
      </c>
      <c r="B2580" s="1" t="s">
        <v>446</v>
      </c>
      <c r="C2580" s="1" t="s">
        <v>41973</v>
      </c>
      <c r="D2580" s="1" t="s">
        <v>12993</v>
      </c>
      <c r="E2580" s="1"/>
      <c r="F2580" s="1" t="s">
        <v>9046</v>
      </c>
      <c r="G2580" s="1" t="s">
        <v>41974</v>
      </c>
      <c r="H2580" s="1" t="s">
        <v>41975</v>
      </c>
      <c r="I2580" s="1" t="s">
        <v>41976</v>
      </c>
      <c r="J2580" s="1">
        <v>8619291499</v>
      </c>
      <c r="K2580" s="1" t="s">
        <v>84</v>
      </c>
      <c r="L2580" s="1" t="s">
        <v>8519</v>
      </c>
      <c r="M2580" s="1" t="s">
        <v>86</v>
      </c>
      <c r="N2580" s="1" t="s">
        <v>41977</v>
      </c>
      <c r="O2580" s="1"/>
      <c r="P2580" s="1" t="s">
        <v>507</v>
      </c>
      <c r="Q2580" s="1" t="s">
        <v>41978</v>
      </c>
      <c r="R2580" s="1" t="s">
        <v>41979</v>
      </c>
      <c r="S2580" s="1">
        <v>9414165470</v>
      </c>
      <c r="T2580" s="1" t="s">
        <v>26388</v>
      </c>
      <c r="U2580" s="1" t="s">
        <v>41980</v>
      </c>
      <c r="V2580" s="1">
        <v>6378256693</v>
      </c>
      <c r="W2580" s="1" t="s">
        <v>161</v>
      </c>
      <c r="X2580" s="1" t="s">
        <v>41981</v>
      </c>
      <c r="Y2580" s="1" t="s">
        <v>41982</v>
      </c>
      <c r="Z2580" s="1" t="s">
        <v>2153</v>
      </c>
      <c r="AA2580" s="1" t="s">
        <v>41981</v>
      </c>
      <c r="AB2580" s="1" t="s">
        <v>41982</v>
      </c>
      <c r="AC2580" s="1" t="s">
        <v>2153</v>
      </c>
      <c r="AD2580" s="1">
        <v>8.58</v>
      </c>
      <c r="AE2580" s="1" t="s">
        <v>98</v>
      </c>
      <c r="AF2580" s="1" t="s">
        <v>41983</v>
      </c>
      <c r="AG2580" s="1" t="s">
        <v>41984</v>
      </c>
      <c r="AH2580" s="1" t="s">
        <v>1262</v>
      </c>
      <c r="AI2580" s="1" t="s">
        <v>136</v>
      </c>
      <c r="AJ2580" s="1">
        <v>76</v>
      </c>
      <c r="AK2580" s="1">
        <v>8</v>
      </c>
      <c r="AL2580" s="1" t="s">
        <v>41985</v>
      </c>
      <c r="AM2580" s="1" t="s">
        <v>41984</v>
      </c>
      <c r="AN2580" s="1"/>
      <c r="AO2580" s="1" t="s">
        <v>627</v>
      </c>
      <c r="AP2580" s="1" t="s">
        <v>573</v>
      </c>
      <c r="AQ2580" s="1">
        <v>69</v>
      </c>
      <c r="AR2580" s="1">
        <v>0</v>
      </c>
      <c r="AS2580" s="1"/>
      <c r="AT2580" s="1"/>
      <c r="AU2580" s="1"/>
      <c r="AV2580" s="1"/>
      <c r="AW2580" s="1"/>
      <c r="AX2580" s="1"/>
      <c r="AY2580" s="1" t="s">
        <v>41986</v>
      </c>
      <c r="AZ2580" s="1" t="s">
        <v>41987</v>
      </c>
      <c r="BA2580" s="1"/>
      <c r="BB2580" s="1"/>
      <c r="BC2580" s="1" t="s">
        <v>1065</v>
      </c>
      <c r="BD2580" s="1" t="s">
        <v>955</v>
      </c>
      <c r="BE2580" s="1">
        <v>75.2</v>
      </c>
      <c r="BF2580" s="1">
        <v>0</v>
      </c>
      <c r="BG2580" s="1"/>
      <c r="BH2580" s="1"/>
      <c r="BI2580" s="1"/>
      <c r="BJ2580" s="1"/>
      <c r="BK2580" s="1"/>
      <c r="BL2580" s="1"/>
      <c r="BM2580" s="1"/>
      <c r="BN2580" s="1"/>
      <c r="BO2580" s="1" t="s">
        <v>41988</v>
      </c>
      <c r="BP2580" s="1" t="s">
        <v>41989</v>
      </c>
      <c r="BQ2580" s="1" t="s">
        <v>582</v>
      </c>
      <c r="BR2580" s="1" t="s">
        <v>41990</v>
      </c>
      <c r="BS2580" s="1">
        <v>33</v>
      </c>
      <c r="BT2580" s="1" t="s">
        <v>41991</v>
      </c>
      <c r="BU2580" s="1" t="str">
        <f>HYPERLINK("https://nconnect.nicmar.ac.in/storage/profile/ProfilePhoto_P25701010_479156.jpg","Download")</f>
        <v>0</v>
      </c>
      <c r="BV2580" s="3"/>
      <c r="BW2580" s="3"/>
    </row>
    <row r="2581" spans="1:75">
      <c r="A2581" s="1" t="s">
        <v>40794</v>
      </c>
      <c r="B2581" s="1" t="s">
        <v>446</v>
      </c>
      <c r="C2581" s="1" t="s">
        <v>41992</v>
      </c>
      <c r="D2581" s="1" t="s">
        <v>25412</v>
      </c>
      <c r="E2581" s="1" t="s">
        <v>2098</v>
      </c>
      <c r="F2581" s="1" t="s">
        <v>6636</v>
      </c>
      <c r="G2581" s="1" t="s">
        <v>41993</v>
      </c>
      <c r="H2581" s="1" t="s">
        <v>41994</v>
      </c>
      <c r="I2581" s="1" t="s">
        <v>41995</v>
      </c>
      <c r="J2581" s="1">
        <v>9730539631</v>
      </c>
      <c r="K2581" s="1" t="s">
        <v>84</v>
      </c>
      <c r="L2581" s="1" t="s">
        <v>41996</v>
      </c>
      <c r="M2581" s="1" t="s">
        <v>86</v>
      </c>
      <c r="N2581" s="1" t="s">
        <v>41997</v>
      </c>
      <c r="O2581" s="1"/>
      <c r="P2581" s="1" t="s">
        <v>507</v>
      </c>
      <c r="Q2581" s="1" t="s">
        <v>41998</v>
      </c>
      <c r="R2581" s="1" t="s">
        <v>41999</v>
      </c>
      <c r="S2581" s="1">
        <v>9423419085</v>
      </c>
      <c r="T2581" s="1" t="s">
        <v>839</v>
      </c>
      <c r="U2581" s="1" t="s">
        <v>42000</v>
      </c>
      <c r="V2581" s="1">
        <v>9420284897</v>
      </c>
      <c r="W2581" s="1" t="s">
        <v>278</v>
      </c>
      <c r="X2581" s="1" t="s">
        <v>42001</v>
      </c>
      <c r="Y2581" s="1" t="s">
        <v>624</v>
      </c>
      <c r="Z2581" s="1" t="s">
        <v>97</v>
      </c>
      <c r="AA2581" s="1" t="s">
        <v>42001</v>
      </c>
      <c r="AB2581" s="1" t="s">
        <v>624</v>
      </c>
      <c r="AC2581" s="1" t="s">
        <v>97</v>
      </c>
      <c r="AD2581" s="1">
        <v>8.67</v>
      </c>
      <c r="AE2581" s="1" t="s">
        <v>98</v>
      </c>
      <c r="AF2581" s="1" t="s">
        <v>42002</v>
      </c>
      <c r="AG2581" s="1" t="s">
        <v>11321</v>
      </c>
      <c r="AH2581" s="1" t="s">
        <v>166</v>
      </c>
      <c r="AI2581" s="1" t="s">
        <v>284</v>
      </c>
      <c r="AJ2581" s="1">
        <v>74.8</v>
      </c>
      <c r="AK2581" s="1"/>
      <c r="AL2581" s="1"/>
      <c r="AM2581" s="1"/>
      <c r="AN2581" s="1"/>
      <c r="AO2581" s="1"/>
      <c r="AP2581" s="1"/>
      <c r="AQ2581" s="1"/>
      <c r="AR2581" s="1"/>
      <c r="AS2581" s="1" t="s">
        <v>4638</v>
      </c>
      <c r="AT2581" s="1" t="s">
        <v>42003</v>
      </c>
      <c r="AU2581" s="1" t="s">
        <v>139</v>
      </c>
      <c r="AV2581" s="1" t="s">
        <v>315</v>
      </c>
      <c r="AW2581" s="1">
        <v>78.4</v>
      </c>
      <c r="AX2581" s="1"/>
      <c r="AY2581" s="1" t="s">
        <v>366</v>
      </c>
      <c r="AZ2581" s="1" t="s">
        <v>42004</v>
      </c>
      <c r="BA2581" s="1"/>
      <c r="BB2581" s="1"/>
      <c r="BC2581" s="1" t="s">
        <v>206</v>
      </c>
      <c r="BD2581" s="1" t="s">
        <v>110</v>
      </c>
      <c r="BE2581" s="1">
        <v>83.69</v>
      </c>
      <c r="BF2581" s="1">
        <v>8.81</v>
      </c>
      <c r="BG2581" s="1"/>
      <c r="BH2581" s="1"/>
      <c r="BI2581" s="1"/>
      <c r="BJ2581" s="1"/>
      <c r="BK2581" s="1"/>
      <c r="BL2581" s="1"/>
      <c r="BM2581" s="1"/>
      <c r="BN2581" s="1"/>
      <c r="BO2581" s="1" t="s">
        <v>1114</v>
      </c>
      <c r="BP2581" s="1"/>
      <c r="BQ2581" s="1"/>
      <c r="BR2581" s="1" t="s">
        <v>42005</v>
      </c>
      <c r="BS2581" s="1">
        <v>162</v>
      </c>
      <c r="BT2581" s="1"/>
      <c r="BU2581" s="1" t="str">
        <f>HYPERLINK("https://nconnect.nicmar.ac.in/storage/profile/ProfilePhoto_P25701011_932476.jpg","Download")</f>
        <v>0</v>
      </c>
      <c r="BV2581" s="3"/>
      <c r="BW2581" s="3"/>
    </row>
    <row r="2582" spans="1:75">
      <c r="A2582" s="1" t="s">
        <v>40794</v>
      </c>
      <c r="B2582" s="1" t="s">
        <v>446</v>
      </c>
      <c r="C2582" s="1" t="s">
        <v>42006</v>
      </c>
      <c r="D2582" s="1" t="s">
        <v>33980</v>
      </c>
      <c r="E2582" s="1" t="s">
        <v>3217</v>
      </c>
      <c r="F2582" s="1" t="s">
        <v>1179</v>
      </c>
      <c r="G2582" s="1" t="s">
        <v>42007</v>
      </c>
      <c r="H2582" s="1" t="s">
        <v>42008</v>
      </c>
      <c r="I2582" s="1" t="s">
        <v>42009</v>
      </c>
      <c r="J2582" s="1">
        <v>8600656184</v>
      </c>
      <c r="K2582" s="1" t="s">
        <v>153</v>
      </c>
      <c r="L2582" s="1" t="s">
        <v>42010</v>
      </c>
      <c r="M2582" s="1" t="s">
        <v>86</v>
      </c>
      <c r="N2582" s="1" t="s">
        <v>42011</v>
      </c>
      <c r="O2582" s="1" t="s">
        <v>42012</v>
      </c>
      <c r="P2582" s="1" t="s">
        <v>481</v>
      </c>
      <c r="Q2582" s="1" t="s">
        <v>42013</v>
      </c>
      <c r="R2582" s="1" t="s">
        <v>42014</v>
      </c>
      <c r="S2582" s="1">
        <v>8275272059</v>
      </c>
      <c r="T2582" s="1" t="s">
        <v>1964</v>
      </c>
      <c r="U2582" s="1" t="s">
        <v>42015</v>
      </c>
      <c r="V2582" s="1">
        <v>8275272057</v>
      </c>
      <c r="W2582" s="1" t="s">
        <v>94</v>
      </c>
      <c r="X2582" s="1" t="s">
        <v>42016</v>
      </c>
      <c r="Y2582" s="1" t="s">
        <v>196</v>
      </c>
      <c r="Z2582" s="1" t="s">
        <v>97</v>
      </c>
      <c r="AA2582" s="1" t="s">
        <v>42017</v>
      </c>
      <c r="AB2582" s="1" t="s">
        <v>1989</v>
      </c>
      <c r="AC2582" s="1" t="s">
        <v>97</v>
      </c>
      <c r="AD2582" s="1">
        <v>8.33</v>
      </c>
      <c r="AE2582" s="1" t="s">
        <v>98</v>
      </c>
      <c r="AF2582" s="1" t="s">
        <v>42018</v>
      </c>
      <c r="AG2582" s="1" t="s">
        <v>165</v>
      </c>
      <c r="AH2582" s="1" t="s">
        <v>10573</v>
      </c>
      <c r="AI2582" s="1" t="s">
        <v>102</v>
      </c>
      <c r="AJ2582" s="1">
        <v>83</v>
      </c>
      <c r="AK2582" s="1"/>
      <c r="AL2582" s="1" t="s">
        <v>42019</v>
      </c>
      <c r="AM2582" s="1" t="s">
        <v>165</v>
      </c>
      <c r="AN2582" s="1" t="s">
        <v>575</v>
      </c>
      <c r="AO2582" s="1" t="s">
        <v>342</v>
      </c>
      <c r="AP2582" s="1" t="s">
        <v>200</v>
      </c>
      <c r="AQ2582" s="1">
        <v>67.54</v>
      </c>
      <c r="AR2582" s="1"/>
      <c r="AS2582" s="1"/>
      <c r="AT2582" s="1"/>
      <c r="AU2582" s="1"/>
      <c r="AV2582" s="1"/>
      <c r="AW2582" s="1"/>
      <c r="AX2582" s="1"/>
      <c r="AY2582" s="1" t="s">
        <v>13027</v>
      </c>
      <c r="AZ2582" s="1" t="s">
        <v>42020</v>
      </c>
      <c r="BA2582" s="1" t="s">
        <v>682</v>
      </c>
      <c r="BB2582" s="1" t="s">
        <v>683</v>
      </c>
      <c r="BC2582" s="1" t="s">
        <v>388</v>
      </c>
      <c r="BD2582" s="1" t="s">
        <v>1400</v>
      </c>
      <c r="BE2582" s="1">
        <v>75.69</v>
      </c>
      <c r="BF2582" s="1"/>
      <c r="BG2582" s="1"/>
      <c r="BH2582" s="1"/>
      <c r="BI2582" s="1"/>
      <c r="BJ2582" s="1"/>
      <c r="BK2582" s="1"/>
      <c r="BL2582" s="1"/>
      <c r="BM2582" s="1"/>
      <c r="BN2582" s="1"/>
      <c r="BO2582" s="1" t="s">
        <v>42021</v>
      </c>
      <c r="BP2582" s="1" t="s">
        <v>42022</v>
      </c>
      <c r="BQ2582" s="1" t="s">
        <v>1849</v>
      </c>
      <c r="BR2582" s="1" t="s">
        <v>42023</v>
      </c>
      <c r="BS2582" s="1">
        <v>36</v>
      </c>
      <c r="BT2582" s="1" t="s">
        <v>42024</v>
      </c>
      <c r="BU2582" s="1" t="str">
        <f>HYPERLINK("https://nconnect.nicmar.ac.in/storage/profile/ProfilePhoto_P25701013_148267.jpg","Download")</f>
        <v>0</v>
      </c>
      <c r="BV2582" s="3"/>
      <c r="BW2582" s="3"/>
    </row>
    <row r="2583" spans="1:75">
      <c r="A2583" s="1" t="s">
        <v>40794</v>
      </c>
      <c r="B2583" s="1" t="s">
        <v>446</v>
      </c>
      <c r="C2583" s="1" t="s">
        <v>42025</v>
      </c>
      <c r="D2583" s="1" t="s">
        <v>42026</v>
      </c>
      <c r="E2583" s="1"/>
      <c r="F2583" s="1" t="s">
        <v>42027</v>
      </c>
      <c r="G2583" s="1" t="s">
        <v>42028</v>
      </c>
      <c r="H2583" s="1" t="s">
        <v>42029</v>
      </c>
      <c r="I2583" s="1" t="s">
        <v>42030</v>
      </c>
      <c r="J2583" s="1">
        <v>9970758307</v>
      </c>
      <c r="K2583" s="1" t="s">
        <v>84</v>
      </c>
      <c r="L2583" s="1" t="s">
        <v>42031</v>
      </c>
      <c r="M2583" s="1" t="s">
        <v>86</v>
      </c>
      <c r="N2583" s="1" t="s">
        <v>42032</v>
      </c>
      <c r="O2583" s="1"/>
      <c r="P2583" s="1" t="s">
        <v>455</v>
      </c>
      <c r="Q2583" s="1" t="s">
        <v>42033</v>
      </c>
      <c r="R2583" s="1" t="s">
        <v>27203</v>
      </c>
      <c r="S2583" s="1">
        <v>9850849109</v>
      </c>
      <c r="T2583" s="1" t="s">
        <v>645</v>
      </c>
      <c r="U2583" s="1" t="s">
        <v>26108</v>
      </c>
      <c r="V2583" s="1">
        <v>9921145408</v>
      </c>
      <c r="W2583" s="1" t="s">
        <v>94</v>
      </c>
      <c r="X2583" s="1" t="s">
        <v>42034</v>
      </c>
      <c r="Y2583" s="1" t="s">
        <v>5030</v>
      </c>
      <c r="Z2583" s="1" t="s">
        <v>97</v>
      </c>
      <c r="AA2583" s="1" t="s">
        <v>42035</v>
      </c>
      <c r="AB2583" s="1" t="s">
        <v>10786</v>
      </c>
      <c r="AC2583" s="1" t="s">
        <v>461</v>
      </c>
      <c r="AD2583" s="1">
        <v>8.33</v>
      </c>
      <c r="AE2583" s="1" t="s">
        <v>98</v>
      </c>
      <c r="AF2583" s="1" t="s">
        <v>17700</v>
      </c>
      <c r="AG2583" s="1" t="s">
        <v>42036</v>
      </c>
      <c r="AH2583" s="1" t="s">
        <v>704</v>
      </c>
      <c r="AI2583" s="1" t="s">
        <v>171</v>
      </c>
      <c r="AJ2583" s="1">
        <v>60.4</v>
      </c>
      <c r="AK2583" s="1"/>
      <c r="AL2583" s="1" t="s">
        <v>42037</v>
      </c>
      <c r="AM2583" s="1" t="s">
        <v>42036</v>
      </c>
      <c r="AN2583" s="1" t="s">
        <v>35580</v>
      </c>
      <c r="AO2583" s="1" t="s">
        <v>203</v>
      </c>
      <c r="AP2583" s="1" t="s">
        <v>178</v>
      </c>
      <c r="AQ2583" s="1">
        <v>69.6</v>
      </c>
      <c r="AR2583" s="1"/>
      <c r="AS2583" s="1"/>
      <c r="AT2583" s="1"/>
      <c r="AU2583" s="1"/>
      <c r="AV2583" s="1"/>
      <c r="AW2583" s="1"/>
      <c r="AX2583" s="1"/>
      <c r="AY2583" s="1" t="s">
        <v>42038</v>
      </c>
      <c r="AZ2583" s="1" t="s">
        <v>42039</v>
      </c>
      <c r="BA2583" s="1" t="s">
        <v>35549</v>
      </c>
      <c r="BB2583" s="1" t="s">
        <v>23611</v>
      </c>
      <c r="BC2583" s="1" t="s">
        <v>1040</v>
      </c>
      <c r="BD2583" s="1" t="s">
        <v>9528</v>
      </c>
      <c r="BE2583" s="1">
        <v>80.37</v>
      </c>
      <c r="BF2583" s="1">
        <v>8.46</v>
      </c>
      <c r="BG2583" s="1"/>
      <c r="BH2583" s="1"/>
      <c r="BI2583" s="1"/>
      <c r="BJ2583" s="1"/>
      <c r="BK2583" s="1"/>
      <c r="BL2583" s="1"/>
      <c r="BM2583" s="1"/>
      <c r="BN2583" s="1"/>
      <c r="BO2583" s="1" t="s">
        <v>42040</v>
      </c>
      <c r="BP2583" s="1" t="s">
        <v>42041</v>
      </c>
      <c r="BQ2583" s="1" t="s">
        <v>292</v>
      </c>
      <c r="BR2583" s="1" t="s">
        <v>42042</v>
      </c>
      <c r="BS2583" s="1">
        <v>21</v>
      </c>
      <c r="BT2583" s="1"/>
      <c r="BU2583" s="1" t="str">
        <f>HYPERLINK("https://nconnect.nicmar.ac.in/storage/profile/ProfilePhoto_P25701014_782496.jpg","Download")</f>
        <v>0</v>
      </c>
      <c r="BV2583" s="3"/>
      <c r="BW2583" s="3"/>
    </row>
    <row r="2584" spans="1:75">
      <c r="A2584" s="1" t="s">
        <v>40794</v>
      </c>
      <c r="B2584" s="1" t="s">
        <v>446</v>
      </c>
      <c r="C2584" s="1" t="s">
        <v>42043</v>
      </c>
      <c r="D2584" s="1" t="s">
        <v>42044</v>
      </c>
      <c r="E2584" s="1" t="s">
        <v>2098</v>
      </c>
      <c r="F2584" s="1" t="s">
        <v>1179</v>
      </c>
      <c r="G2584" s="1" t="s">
        <v>42045</v>
      </c>
      <c r="H2584" s="1" t="s">
        <v>42046</v>
      </c>
      <c r="I2584" s="1" t="s">
        <v>42047</v>
      </c>
      <c r="J2584" s="1">
        <v>9372196514</v>
      </c>
      <c r="K2584" s="1" t="s">
        <v>84</v>
      </c>
      <c r="L2584" s="1" t="s">
        <v>17114</v>
      </c>
      <c r="M2584" s="1" t="s">
        <v>86</v>
      </c>
      <c r="N2584" s="1" t="s">
        <v>903</v>
      </c>
      <c r="O2584" s="1" t="s">
        <v>42048</v>
      </c>
      <c r="P2584" s="1" t="s">
        <v>122</v>
      </c>
      <c r="Q2584" s="1" t="s">
        <v>42049</v>
      </c>
      <c r="R2584" s="1" t="s">
        <v>26497</v>
      </c>
      <c r="S2584" s="1">
        <v>9403723082</v>
      </c>
      <c r="T2584" s="1" t="s">
        <v>127</v>
      </c>
      <c r="U2584" s="1" t="s">
        <v>42050</v>
      </c>
      <c r="V2584" s="1">
        <v>7276703959</v>
      </c>
      <c r="W2584" s="1" t="s">
        <v>161</v>
      </c>
      <c r="X2584" s="1" t="s">
        <v>42051</v>
      </c>
      <c r="Y2584" s="1" t="s">
        <v>1012</v>
      </c>
      <c r="Z2584" s="1" t="s">
        <v>97</v>
      </c>
      <c r="AA2584" s="1" t="s">
        <v>42051</v>
      </c>
      <c r="AB2584" s="1" t="s">
        <v>1012</v>
      </c>
      <c r="AC2584" s="1" t="s">
        <v>97</v>
      </c>
      <c r="AD2584" s="1">
        <v>8.53</v>
      </c>
      <c r="AE2584" s="1" t="s">
        <v>98</v>
      </c>
      <c r="AF2584" s="1" t="s">
        <v>42052</v>
      </c>
      <c r="AG2584" s="1" t="s">
        <v>2379</v>
      </c>
      <c r="AH2584" s="1" t="s">
        <v>200</v>
      </c>
      <c r="AI2584" s="1" t="s">
        <v>286</v>
      </c>
      <c r="AJ2584" s="1">
        <v>87.2</v>
      </c>
      <c r="AK2584" s="1"/>
      <c r="AL2584" s="1" t="s">
        <v>42053</v>
      </c>
      <c r="AM2584" s="1" t="s">
        <v>2379</v>
      </c>
      <c r="AN2584" s="1" t="s">
        <v>465</v>
      </c>
      <c r="AO2584" s="1" t="s">
        <v>203</v>
      </c>
      <c r="AP2584" s="1" t="s">
        <v>365</v>
      </c>
      <c r="AQ2584" s="1">
        <v>68.46</v>
      </c>
      <c r="AR2584" s="1"/>
      <c r="AS2584" s="1"/>
      <c r="AT2584" s="1"/>
      <c r="AU2584" s="1"/>
      <c r="AV2584" s="1"/>
      <c r="AW2584" s="1"/>
      <c r="AX2584" s="1"/>
      <c r="AY2584" s="1" t="s">
        <v>258</v>
      </c>
      <c r="AZ2584" s="1" t="s">
        <v>42054</v>
      </c>
      <c r="BA2584" s="1" t="s">
        <v>682</v>
      </c>
      <c r="BB2584" s="1" t="s">
        <v>1561</v>
      </c>
      <c r="BC2584" s="1" t="s">
        <v>368</v>
      </c>
      <c r="BD2584" s="1" t="s">
        <v>607</v>
      </c>
      <c r="BE2584" s="1">
        <v>65.72</v>
      </c>
      <c r="BF2584" s="1">
        <v>7.26</v>
      </c>
      <c r="BG2584" s="1"/>
      <c r="BH2584" s="1"/>
      <c r="BI2584" s="1"/>
      <c r="BJ2584" s="1"/>
      <c r="BK2584" s="1"/>
      <c r="BL2584" s="1"/>
      <c r="BM2584" s="1"/>
      <c r="BN2584" s="1"/>
      <c r="BO2584" s="1" t="s">
        <v>42055</v>
      </c>
      <c r="BP2584" s="1"/>
      <c r="BQ2584" s="1"/>
      <c r="BR2584" s="1" t="s">
        <v>42056</v>
      </c>
      <c r="BS2584" s="1">
        <v>26</v>
      </c>
      <c r="BT2584" s="1" t="s">
        <v>42057</v>
      </c>
      <c r="BU2584" s="1" t="str">
        <f>HYPERLINK("https://nconnect.nicmar.ac.in/storage/profile/ProfilePhoto_P25701015_578136.jpg","Download")</f>
        <v>0</v>
      </c>
      <c r="BV2584" s="3"/>
      <c r="BW2584" s="3"/>
    </row>
    <row r="2585" spans="1:75">
      <c r="A2585" s="1" t="s">
        <v>40794</v>
      </c>
      <c r="B2585" s="1" t="s">
        <v>446</v>
      </c>
      <c r="C2585" s="1" t="s">
        <v>42058</v>
      </c>
      <c r="D2585" s="1" t="s">
        <v>42059</v>
      </c>
      <c r="E2585" s="1"/>
      <c r="F2585" s="1" t="s">
        <v>530</v>
      </c>
      <c r="G2585" s="1" t="s">
        <v>42060</v>
      </c>
      <c r="H2585" s="1" t="s">
        <v>42061</v>
      </c>
      <c r="I2585" s="1" t="s">
        <v>42062</v>
      </c>
      <c r="J2585" s="1">
        <v>7990461595</v>
      </c>
      <c r="K2585" s="1" t="s">
        <v>153</v>
      </c>
      <c r="L2585" s="1" t="s">
        <v>563</v>
      </c>
      <c r="M2585" s="1" t="s">
        <v>86</v>
      </c>
      <c r="N2585" s="1" t="s">
        <v>4278</v>
      </c>
      <c r="O2585" s="1"/>
      <c r="P2585" s="1" t="s">
        <v>481</v>
      </c>
      <c r="Q2585" s="1" t="s">
        <v>42063</v>
      </c>
      <c r="R2585" s="1" t="s">
        <v>42064</v>
      </c>
      <c r="S2585" s="1">
        <v>9510058064</v>
      </c>
      <c r="T2585" s="1" t="s">
        <v>926</v>
      </c>
      <c r="U2585" s="1" t="s">
        <v>42065</v>
      </c>
      <c r="V2585" s="1">
        <v>9409145844</v>
      </c>
      <c r="W2585" s="1" t="s">
        <v>278</v>
      </c>
      <c r="X2585" s="1" t="s">
        <v>42066</v>
      </c>
      <c r="Y2585" s="1" t="s">
        <v>2880</v>
      </c>
      <c r="Z2585" s="1" t="s">
        <v>676</v>
      </c>
      <c r="AA2585" s="1" t="s">
        <v>42066</v>
      </c>
      <c r="AB2585" s="1" t="s">
        <v>2880</v>
      </c>
      <c r="AC2585" s="1" t="s">
        <v>676</v>
      </c>
      <c r="AD2585" s="1">
        <v>8.65</v>
      </c>
      <c r="AE2585" s="1" t="s">
        <v>98</v>
      </c>
      <c r="AF2585" s="1" t="s">
        <v>42067</v>
      </c>
      <c r="AG2585" s="1" t="s">
        <v>312</v>
      </c>
      <c r="AH2585" s="1" t="s">
        <v>170</v>
      </c>
      <c r="AI2585" s="1" t="s">
        <v>171</v>
      </c>
      <c r="AJ2585" s="1">
        <v>78.8</v>
      </c>
      <c r="AK2585" s="1"/>
      <c r="AL2585" s="1" t="s">
        <v>42068</v>
      </c>
      <c r="AM2585" s="1" t="s">
        <v>312</v>
      </c>
      <c r="AN2585" s="1" t="s">
        <v>465</v>
      </c>
      <c r="AO2585" s="1" t="s">
        <v>315</v>
      </c>
      <c r="AP2585" s="1" t="s">
        <v>178</v>
      </c>
      <c r="AQ2585" s="1">
        <v>86.2</v>
      </c>
      <c r="AR2585" s="1"/>
      <c r="AS2585" s="1"/>
      <c r="AT2585" s="1"/>
      <c r="AU2585" s="1"/>
      <c r="AV2585" s="1"/>
      <c r="AW2585" s="1"/>
      <c r="AX2585" s="1"/>
      <c r="AY2585" s="1" t="s">
        <v>6995</v>
      </c>
      <c r="AZ2585" s="1" t="s">
        <v>42069</v>
      </c>
      <c r="BA2585" s="1" t="s">
        <v>682</v>
      </c>
      <c r="BB2585" s="1" t="s">
        <v>683</v>
      </c>
      <c r="BC2585" s="1" t="s">
        <v>178</v>
      </c>
      <c r="BD2585" s="1" t="s">
        <v>553</v>
      </c>
      <c r="BE2585" s="1">
        <v>73.05</v>
      </c>
      <c r="BF2585" s="1">
        <v>7.69</v>
      </c>
      <c r="BG2585" s="1"/>
      <c r="BH2585" s="1"/>
      <c r="BI2585" s="1"/>
      <c r="BJ2585" s="1"/>
      <c r="BK2585" s="1"/>
      <c r="BL2585" s="1"/>
      <c r="BM2585" s="1"/>
      <c r="BN2585" s="1"/>
      <c r="BO2585" s="1" t="s">
        <v>42070</v>
      </c>
      <c r="BP2585" s="1"/>
      <c r="BQ2585" s="1"/>
      <c r="BR2585" s="1" t="s">
        <v>42071</v>
      </c>
      <c r="BS2585" s="1">
        <v>34</v>
      </c>
      <c r="BT2585" s="1" t="s">
        <v>42072</v>
      </c>
      <c r="BU2585" s="1" t="str">
        <f>HYPERLINK("https://nconnect.nicmar.ac.in/storage/profile/ProfilePhoto_P25701016_248953.jpg","Download")</f>
        <v>0</v>
      </c>
      <c r="BV2585" s="3"/>
      <c r="BW2585" s="3"/>
    </row>
    <row r="2586" spans="1:75">
      <c r="A2586" s="1" t="s">
        <v>40794</v>
      </c>
      <c r="B2586" s="1" t="s">
        <v>446</v>
      </c>
      <c r="C2586" s="1" t="s">
        <v>42073</v>
      </c>
      <c r="D2586" s="1" t="s">
        <v>11365</v>
      </c>
      <c r="E2586" s="1"/>
      <c r="F2586" s="1" t="s">
        <v>961</v>
      </c>
      <c r="G2586" s="1" t="s">
        <v>42074</v>
      </c>
      <c r="H2586" s="1" t="s">
        <v>42075</v>
      </c>
      <c r="I2586" s="1" t="s">
        <v>42076</v>
      </c>
      <c r="J2586" s="1">
        <v>9823350123</v>
      </c>
      <c r="K2586" s="1" t="s">
        <v>153</v>
      </c>
      <c r="L2586" s="1" t="s">
        <v>42077</v>
      </c>
      <c r="M2586" s="1" t="s">
        <v>86</v>
      </c>
      <c r="N2586" s="1" t="s">
        <v>1101</v>
      </c>
      <c r="O2586" s="1"/>
      <c r="P2586" s="1" t="s">
        <v>481</v>
      </c>
      <c r="Q2586" s="1" t="s">
        <v>42078</v>
      </c>
      <c r="R2586" s="1" t="s">
        <v>42079</v>
      </c>
      <c r="S2586" s="1">
        <v>9823590123</v>
      </c>
      <c r="T2586" s="1" t="s">
        <v>926</v>
      </c>
      <c r="U2586" s="1" t="s">
        <v>42080</v>
      </c>
      <c r="V2586" s="1">
        <v>9823510123</v>
      </c>
      <c r="W2586" s="1" t="s">
        <v>161</v>
      </c>
      <c r="X2586" s="1" t="s">
        <v>42081</v>
      </c>
      <c r="Y2586" s="1" t="s">
        <v>196</v>
      </c>
      <c r="Z2586" s="1" t="s">
        <v>97</v>
      </c>
      <c r="AA2586" s="1" t="s">
        <v>42082</v>
      </c>
      <c r="AB2586" s="1" t="s">
        <v>196</v>
      </c>
      <c r="AC2586" s="1" t="s">
        <v>97</v>
      </c>
      <c r="AD2586" s="1">
        <v>8.33</v>
      </c>
      <c r="AE2586" s="1" t="s">
        <v>98</v>
      </c>
      <c r="AF2586" s="1" t="s">
        <v>42083</v>
      </c>
      <c r="AG2586" s="1" t="s">
        <v>13345</v>
      </c>
      <c r="AH2586" s="1" t="s">
        <v>342</v>
      </c>
      <c r="AI2586" s="1" t="s">
        <v>284</v>
      </c>
      <c r="AJ2586" s="1">
        <v>76.16</v>
      </c>
      <c r="AK2586" s="1">
        <v>0</v>
      </c>
      <c r="AL2586" s="1" t="s">
        <v>42084</v>
      </c>
      <c r="AM2586" s="1" t="s">
        <v>13345</v>
      </c>
      <c r="AN2586" s="1" t="s">
        <v>35580</v>
      </c>
      <c r="AO2586" s="1" t="s">
        <v>388</v>
      </c>
      <c r="AP2586" s="1" t="s">
        <v>490</v>
      </c>
      <c r="AQ2586" s="1">
        <v>62.8</v>
      </c>
      <c r="AR2586" s="1">
        <v>0</v>
      </c>
      <c r="AS2586" s="1"/>
      <c r="AT2586" s="1"/>
      <c r="AU2586" s="1"/>
      <c r="AV2586" s="1"/>
      <c r="AW2586" s="1"/>
      <c r="AX2586" s="1"/>
      <c r="AY2586" s="1" t="s">
        <v>4232</v>
      </c>
      <c r="AZ2586" s="1" t="s">
        <v>42085</v>
      </c>
      <c r="BA2586" s="1" t="s">
        <v>35549</v>
      </c>
      <c r="BB2586" s="1" t="s">
        <v>36107</v>
      </c>
      <c r="BC2586" s="1" t="s">
        <v>174</v>
      </c>
      <c r="BD2586" s="1" t="s">
        <v>2304</v>
      </c>
      <c r="BE2586" s="1">
        <v>80.6</v>
      </c>
      <c r="BF2586" s="1">
        <v>8.81</v>
      </c>
      <c r="BG2586" s="1"/>
      <c r="BH2586" s="1"/>
      <c r="BI2586" s="1"/>
      <c r="BJ2586" s="1"/>
      <c r="BK2586" s="1"/>
      <c r="BL2586" s="1"/>
      <c r="BM2586" s="1"/>
      <c r="BN2586" s="1"/>
      <c r="BO2586" s="1" t="s">
        <v>42086</v>
      </c>
      <c r="BP2586" s="1" t="s">
        <v>42087</v>
      </c>
      <c r="BQ2586" s="1" t="s">
        <v>2462</v>
      </c>
      <c r="BR2586" s="1" t="s">
        <v>42088</v>
      </c>
      <c r="BS2586" s="1">
        <v>8</v>
      </c>
      <c r="BT2586" s="1"/>
      <c r="BU2586" s="1" t="str">
        <f>HYPERLINK("https://nconnect.nicmar.ac.in/storage/profile/ProfilePhoto_P25701017_283697.jpg","Download")</f>
        <v>0</v>
      </c>
      <c r="BV2586" s="3"/>
      <c r="BW2586" s="3"/>
    </row>
    <row r="2587" spans="1:75">
      <c r="A2587" s="1" t="s">
        <v>40794</v>
      </c>
      <c r="B2587" s="1" t="s">
        <v>446</v>
      </c>
      <c r="C2587" s="1" t="s">
        <v>42089</v>
      </c>
      <c r="D2587" s="1" t="s">
        <v>3350</v>
      </c>
      <c r="E2587" s="1" t="s">
        <v>2233</v>
      </c>
      <c r="F2587" s="1" t="s">
        <v>11351</v>
      </c>
      <c r="G2587" s="1" t="s">
        <v>42090</v>
      </c>
      <c r="H2587" s="1" t="s">
        <v>42091</v>
      </c>
      <c r="I2587" s="1" t="s">
        <v>42092</v>
      </c>
      <c r="J2587" s="1">
        <v>9405626394</v>
      </c>
      <c r="K2587" s="1" t="s">
        <v>84</v>
      </c>
      <c r="L2587" s="1" t="s">
        <v>5097</v>
      </c>
      <c r="M2587" s="1" t="s">
        <v>86</v>
      </c>
      <c r="N2587" s="1" t="s">
        <v>1163</v>
      </c>
      <c r="O2587" s="1"/>
      <c r="P2587" s="1" t="s">
        <v>507</v>
      </c>
      <c r="Q2587" s="1" t="s">
        <v>42093</v>
      </c>
      <c r="R2587" s="1" t="s">
        <v>2233</v>
      </c>
      <c r="S2587" s="1">
        <v>9420348065</v>
      </c>
      <c r="T2587" s="1" t="s">
        <v>5639</v>
      </c>
      <c r="U2587" s="1" t="s">
        <v>3000</v>
      </c>
      <c r="V2587" s="1">
        <v>7020828633</v>
      </c>
      <c r="W2587" s="1" t="s">
        <v>161</v>
      </c>
      <c r="X2587" s="1" t="s">
        <v>42094</v>
      </c>
      <c r="Y2587" s="1" t="s">
        <v>196</v>
      </c>
      <c r="Z2587" s="1" t="s">
        <v>97</v>
      </c>
      <c r="AA2587" s="1" t="s">
        <v>42095</v>
      </c>
      <c r="AB2587" s="1" t="s">
        <v>309</v>
      </c>
      <c r="AC2587" s="1" t="s">
        <v>97</v>
      </c>
      <c r="AD2587" s="1">
        <v>0.0</v>
      </c>
      <c r="AE2587" s="1" t="s">
        <v>98</v>
      </c>
      <c r="AF2587" s="1" t="s">
        <v>42096</v>
      </c>
      <c r="AG2587" s="1" t="s">
        <v>42097</v>
      </c>
      <c r="AH2587" s="1" t="s">
        <v>200</v>
      </c>
      <c r="AI2587" s="1" t="s">
        <v>286</v>
      </c>
      <c r="AJ2587" s="1">
        <v>74.6</v>
      </c>
      <c r="AK2587" s="1"/>
      <c r="AL2587" s="1" t="s">
        <v>42098</v>
      </c>
      <c r="AM2587" s="1" t="s">
        <v>42099</v>
      </c>
      <c r="AN2587" s="1"/>
      <c r="AO2587" s="1" t="s">
        <v>203</v>
      </c>
      <c r="AP2587" s="1" t="s">
        <v>365</v>
      </c>
      <c r="AQ2587" s="1">
        <v>60.62</v>
      </c>
      <c r="AR2587" s="1"/>
      <c r="AS2587" s="1"/>
      <c r="AT2587" s="1"/>
      <c r="AU2587" s="1"/>
      <c r="AV2587" s="1"/>
      <c r="AW2587" s="1"/>
      <c r="AX2587" s="1"/>
      <c r="AY2587" s="1" t="s">
        <v>366</v>
      </c>
      <c r="AZ2587" s="1" t="s">
        <v>42100</v>
      </c>
      <c r="BA2587" s="1"/>
      <c r="BB2587" s="1"/>
      <c r="BC2587" s="1" t="s">
        <v>368</v>
      </c>
      <c r="BD2587" s="1" t="s">
        <v>418</v>
      </c>
      <c r="BE2587" s="1">
        <v>60.96</v>
      </c>
      <c r="BF2587" s="1">
        <v>6.85</v>
      </c>
      <c r="BG2587" s="1"/>
      <c r="BH2587" s="1"/>
      <c r="BI2587" s="1"/>
      <c r="BJ2587" s="1"/>
      <c r="BK2587" s="1"/>
      <c r="BL2587" s="1"/>
      <c r="BM2587" s="1"/>
      <c r="BN2587" s="1"/>
      <c r="BO2587" s="1" t="s">
        <v>42101</v>
      </c>
      <c r="BP2587" s="1"/>
      <c r="BQ2587" s="1"/>
      <c r="BR2587" s="1" t="s">
        <v>42102</v>
      </c>
      <c r="BS2587" s="1">
        <v>43</v>
      </c>
      <c r="BT2587" s="1" t="s">
        <v>42103</v>
      </c>
      <c r="BU2587" s="1" t="str">
        <f>HYPERLINK("https://nconnect.nicmar.ac.in/storage/profile/ProfilePhoto_P25701018_163478.jpg","Download")</f>
        <v>0</v>
      </c>
      <c r="BV2587" s="3"/>
      <c r="BW2587" s="3"/>
    </row>
    <row r="2588" spans="1:75">
      <c r="A2588" s="1" t="s">
        <v>40794</v>
      </c>
      <c r="B2588" s="1" t="s">
        <v>446</v>
      </c>
      <c r="C2588" s="1" t="s">
        <v>42104</v>
      </c>
      <c r="D2588" s="1" t="s">
        <v>42105</v>
      </c>
      <c r="E2588" s="1" t="s">
        <v>6525</v>
      </c>
      <c r="F2588" s="1" t="s">
        <v>42106</v>
      </c>
      <c r="G2588" s="1" t="s">
        <v>42107</v>
      </c>
      <c r="H2588" s="1" t="s">
        <v>42108</v>
      </c>
      <c r="I2588" s="1" t="s">
        <v>42109</v>
      </c>
      <c r="J2588" s="1">
        <v>8655128267</v>
      </c>
      <c r="K2588" s="1" t="s">
        <v>153</v>
      </c>
      <c r="L2588" s="1" t="s">
        <v>7836</v>
      </c>
      <c r="M2588" s="1" t="s">
        <v>86</v>
      </c>
      <c r="N2588" s="1" t="s">
        <v>2433</v>
      </c>
      <c r="O2588" s="1" t="s">
        <v>42110</v>
      </c>
      <c r="P2588" s="1" t="s">
        <v>481</v>
      </c>
      <c r="Q2588" s="1" t="s">
        <v>42111</v>
      </c>
      <c r="R2588" s="1" t="s">
        <v>42112</v>
      </c>
      <c r="S2588" s="1">
        <v>9322891755</v>
      </c>
      <c r="T2588" s="1" t="s">
        <v>926</v>
      </c>
      <c r="U2588" s="1" t="s">
        <v>42113</v>
      </c>
      <c r="V2588" s="1">
        <v>9224413737</v>
      </c>
      <c r="W2588" s="1" t="s">
        <v>42114</v>
      </c>
      <c r="X2588" s="1" t="s">
        <v>42115</v>
      </c>
      <c r="Y2588" s="1" t="s">
        <v>1012</v>
      </c>
      <c r="Z2588" s="1" t="s">
        <v>97</v>
      </c>
      <c r="AA2588" s="1" t="s">
        <v>42115</v>
      </c>
      <c r="AB2588" s="1" t="s">
        <v>1012</v>
      </c>
      <c r="AC2588" s="1" t="s">
        <v>97</v>
      </c>
      <c r="AD2588" s="1">
        <v>8.4</v>
      </c>
      <c r="AE2588" s="1" t="s">
        <v>98</v>
      </c>
      <c r="AF2588" s="1" t="s">
        <v>42116</v>
      </c>
      <c r="AG2588" s="1" t="s">
        <v>42117</v>
      </c>
      <c r="AH2588" s="1" t="s">
        <v>1111</v>
      </c>
      <c r="AI2588" s="1" t="s">
        <v>200</v>
      </c>
      <c r="AJ2588" s="1">
        <v>82.8</v>
      </c>
      <c r="AK2588" s="1">
        <v>0</v>
      </c>
      <c r="AL2588" s="1" t="s">
        <v>42118</v>
      </c>
      <c r="AM2588" s="1" t="s">
        <v>42117</v>
      </c>
      <c r="AN2588" s="1" t="s">
        <v>575</v>
      </c>
      <c r="AO2588" s="1" t="s">
        <v>1477</v>
      </c>
      <c r="AP2588" s="1" t="s">
        <v>203</v>
      </c>
      <c r="AQ2588" s="1">
        <v>63.54</v>
      </c>
      <c r="AR2588" s="1">
        <v>0</v>
      </c>
      <c r="AS2588" s="1"/>
      <c r="AT2588" s="1"/>
      <c r="AU2588" s="1"/>
      <c r="AV2588" s="1"/>
      <c r="AW2588" s="1"/>
      <c r="AX2588" s="1"/>
      <c r="AY2588" s="1" t="s">
        <v>42119</v>
      </c>
      <c r="AZ2588" s="1" t="s">
        <v>42120</v>
      </c>
      <c r="BA2588" s="1" t="s">
        <v>682</v>
      </c>
      <c r="BB2588" s="1" t="s">
        <v>683</v>
      </c>
      <c r="BC2588" s="1" t="s">
        <v>206</v>
      </c>
      <c r="BD2588" s="1" t="s">
        <v>1314</v>
      </c>
      <c r="BE2588" s="1">
        <v>69.64</v>
      </c>
      <c r="BF2588" s="1">
        <v>7.79</v>
      </c>
      <c r="BG2588" s="1"/>
      <c r="BH2588" s="1"/>
      <c r="BI2588" s="1"/>
      <c r="BJ2588" s="1"/>
      <c r="BK2588" s="1"/>
      <c r="BL2588" s="1"/>
      <c r="BM2588" s="1"/>
      <c r="BN2588" s="1"/>
      <c r="BO2588" s="1" t="s">
        <v>42121</v>
      </c>
      <c r="BP2588" s="1" t="s">
        <v>42122</v>
      </c>
      <c r="BQ2588" s="1" t="s">
        <v>1070</v>
      </c>
      <c r="BR2588" s="1" t="s">
        <v>42123</v>
      </c>
      <c r="BS2588" s="1">
        <v>30</v>
      </c>
      <c r="BT2588" s="1" t="s">
        <v>42124</v>
      </c>
      <c r="BU2588" s="1" t="str">
        <f>HYPERLINK("https://nconnect.nicmar.ac.in/storage/profile/ProfilePhoto_P25701020_926453.jpg","Download")</f>
        <v>0</v>
      </c>
      <c r="BV2588" s="3"/>
      <c r="BW2588" s="3"/>
    </row>
    <row r="2589" spans="1:75">
      <c r="A2589" s="1" t="s">
        <v>40794</v>
      </c>
      <c r="B2589" s="1" t="s">
        <v>446</v>
      </c>
      <c r="C2589" s="1" t="s">
        <v>42125</v>
      </c>
      <c r="D2589" s="1" t="s">
        <v>2376</v>
      </c>
      <c r="E2589" s="1" t="s">
        <v>2098</v>
      </c>
      <c r="F2589" s="1" t="s">
        <v>42126</v>
      </c>
      <c r="G2589" s="1" t="s">
        <v>42127</v>
      </c>
      <c r="H2589" s="1" t="s">
        <v>42128</v>
      </c>
      <c r="I2589" s="1" t="s">
        <v>42129</v>
      </c>
      <c r="J2589" s="1">
        <v>8600497716</v>
      </c>
      <c r="K2589" s="1" t="s">
        <v>153</v>
      </c>
      <c r="L2589" s="1" t="s">
        <v>42130</v>
      </c>
      <c r="M2589" s="1" t="s">
        <v>86</v>
      </c>
      <c r="N2589" s="1" t="s">
        <v>4972</v>
      </c>
      <c r="O2589" s="1"/>
      <c r="P2589" s="1" t="s">
        <v>481</v>
      </c>
      <c r="Q2589" s="1" t="s">
        <v>42131</v>
      </c>
      <c r="R2589" s="1" t="s">
        <v>2098</v>
      </c>
      <c r="S2589" s="1">
        <v>9422556914</v>
      </c>
      <c r="T2589" s="1" t="s">
        <v>92</v>
      </c>
      <c r="U2589" s="1" t="s">
        <v>32429</v>
      </c>
      <c r="V2589" s="1">
        <v>9730244161</v>
      </c>
      <c r="W2589" s="1" t="s">
        <v>127</v>
      </c>
      <c r="X2589" s="1" t="s">
        <v>42132</v>
      </c>
      <c r="Y2589" s="1" t="s">
        <v>410</v>
      </c>
      <c r="Z2589" s="1" t="s">
        <v>97</v>
      </c>
      <c r="AA2589" s="1" t="s">
        <v>42132</v>
      </c>
      <c r="AB2589" s="1" t="s">
        <v>410</v>
      </c>
      <c r="AC2589" s="1" t="s">
        <v>97</v>
      </c>
      <c r="AD2589" s="1">
        <v>7.67</v>
      </c>
      <c r="AE2589" s="1" t="s">
        <v>98</v>
      </c>
      <c r="AF2589" s="1" t="s">
        <v>42133</v>
      </c>
      <c r="AG2589" s="1" t="s">
        <v>312</v>
      </c>
      <c r="AH2589" s="1" t="s">
        <v>170</v>
      </c>
      <c r="AI2589" s="1" t="s">
        <v>171</v>
      </c>
      <c r="AJ2589" s="1">
        <v>70</v>
      </c>
      <c r="AK2589" s="1">
        <v>0</v>
      </c>
      <c r="AL2589" s="1" t="s">
        <v>42134</v>
      </c>
      <c r="AM2589" s="1" t="s">
        <v>165</v>
      </c>
      <c r="AN2589" s="1"/>
      <c r="AO2589" s="1" t="s">
        <v>438</v>
      </c>
      <c r="AP2589" s="1" t="s">
        <v>417</v>
      </c>
      <c r="AQ2589" s="1">
        <v>65.38</v>
      </c>
      <c r="AR2589" s="1">
        <v>0</v>
      </c>
      <c r="AS2589" s="1"/>
      <c r="AT2589" s="1"/>
      <c r="AU2589" s="1"/>
      <c r="AV2589" s="1"/>
      <c r="AW2589" s="1"/>
      <c r="AX2589" s="1"/>
      <c r="AY2589" s="1" t="s">
        <v>997</v>
      </c>
      <c r="AZ2589" s="1" t="s">
        <v>42135</v>
      </c>
      <c r="BA2589" s="1"/>
      <c r="BB2589" s="1"/>
      <c r="BC2589" s="1" t="s">
        <v>178</v>
      </c>
      <c r="BD2589" s="1" t="s">
        <v>848</v>
      </c>
      <c r="BE2589" s="1">
        <v>60.7</v>
      </c>
      <c r="BF2589" s="1">
        <v>6.82</v>
      </c>
      <c r="BG2589" s="1"/>
      <c r="BH2589" s="1"/>
      <c r="BI2589" s="1"/>
      <c r="BJ2589" s="1"/>
      <c r="BK2589" s="1"/>
      <c r="BL2589" s="1"/>
      <c r="BM2589" s="1"/>
      <c r="BN2589" s="1"/>
      <c r="BO2589" s="1" t="s">
        <v>42136</v>
      </c>
      <c r="BP2589" s="1"/>
      <c r="BQ2589" s="1"/>
      <c r="BR2589" s="1" t="s">
        <v>42137</v>
      </c>
      <c r="BS2589" s="1">
        <v>27</v>
      </c>
      <c r="BT2589" s="1" t="s">
        <v>42138</v>
      </c>
      <c r="BU2589" s="1" t="str">
        <f>HYPERLINK("https://nconnect.nicmar.ac.in/storage/profile/ProfilePhoto_P25701021_792318.jpg","Download")</f>
        <v>0</v>
      </c>
      <c r="BV2589" s="3"/>
      <c r="BW2589" s="3"/>
    </row>
    <row r="2590" spans="1:75">
      <c r="A2590" s="1" t="s">
        <v>40794</v>
      </c>
      <c r="B2590" s="1" t="s">
        <v>446</v>
      </c>
      <c r="C2590" s="1" t="s">
        <v>42139</v>
      </c>
      <c r="D2590" s="1" t="s">
        <v>27135</v>
      </c>
      <c r="E2590" s="1" t="s">
        <v>4646</v>
      </c>
      <c r="F2590" s="1" t="s">
        <v>42140</v>
      </c>
      <c r="G2590" s="1" t="s">
        <v>42141</v>
      </c>
      <c r="H2590" s="1" t="s">
        <v>42142</v>
      </c>
      <c r="I2590" s="1" t="s">
        <v>42143</v>
      </c>
      <c r="J2590" s="1">
        <v>9156825990</v>
      </c>
      <c r="K2590" s="1" t="s">
        <v>153</v>
      </c>
      <c r="L2590" s="1" t="s">
        <v>9239</v>
      </c>
      <c r="M2590" s="1" t="s">
        <v>86</v>
      </c>
      <c r="N2590" s="1" t="s">
        <v>618</v>
      </c>
      <c r="O2590" s="1" t="s">
        <v>42144</v>
      </c>
      <c r="P2590" s="1" t="s">
        <v>455</v>
      </c>
      <c r="Q2590" s="1" t="s">
        <v>42145</v>
      </c>
      <c r="R2590" s="1" t="s">
        <v>4646</v>
      </c>
      <c r="S2590" s="1">
        <v>7720060261</v>
      </c>
      <c r="T2590" s="1" t="s">
        <v>382</v>
      </c>
      <c r="U2590" s="1" t="s">
        <v>13691</v>
      </c>
      <c r="V2590" s="1">
        <v>7720060264</v>
      </c>
      <c r="W2590" s="1" t="s">
        <v>161</v>
      </c>
      <c r="X2590" s="1" t="s">
        <v>42146</v>
      </c>
      <c r="Y2590" s="1" t="s">
        <v>410</v>
      </c>
      <c r="Z2590" s="1" t="s">
        <v>97</v>
      </c>
      <c r="AA2590" s="1" t="s">
        <v>42147</v>
      </c>
      <c r="AB2590" s="1" t="s">
        <v>196</v>
      </c>
      <c r="AC2590" s="1" t="s">
        <v>97</v>
      </c>
      <c r="AD2590" s="1">
        <v>9.07</v>
      </c>
      <c r="AE2590" s="1" t="s">
        <v>98</v>
      </c>
      <c r="AF2590" s="1" t="s">
        <v>42148</v>
      </c>
      <c r="AG2590" s="1" t="s">
        <v>312</v>
      </c>
      <c r="AH2590" s="1" t="s">
        <v>167</v>
      </c>
      <c r="AI2590" s="1" t="s">
        <v>170</v>
      </c>
      <c r="AJ2590" s="1">
        <v>91.2</v>
      </c>
      <c r="AK2590" s="1">
        <v>9.6</v>
      </c>
      <c r="AL2590" s="1" t="s">
        <v>42149</v>
      </c>
      <c r="AM2590" s="1" t="s">
        <v>42150</v>
      </c>
      <c r="AN2590" s="1" t="s">
        <v>465</v>
      </c>
      <c r="AO2590" s="1" t="s">
        <v>106</v>
      </c>
      <c r="AP2590" s="1" t="s">
        <v>438</v>
      </c>
      <c r="AQ2590" s="1">
        <v>76.62</v>
      </c>
      <c r="AR2590" s="1"/>
      <c r="AS2590" s="1"/>
      <c r="AT2590" s="1"/>
      <c r="AU2590" s="1"/>
      <c r="AV2590" s="1"/>
      <c r="AW2590" s="1"/>
      <c r="AX2590" s="1"/>
      <c r="AY2590" s="1" t="s">
        <v>366</v>
      </c>
      <c r="AZ2590" s="1" t="s">
        <v>42151</v>
      </c>
      <c r="BA2590" s="1" t="s">
        <v>682</v>
      </c>
      <c r="BB2590" s="1" t="s">
        <v>1561</v>
      </c>
      <c r="BC2590" s="1" t="s">
        <v>206</v>
      </c>
      <c r="BD2590" s="1" t="s">
        <v>418</v>
      </c>
      <c r="BE2590" s="1">
        <v>65.5</v>
      </c>
      <c r="BF2590" s="1">
        <v>7.3</v>
      </c>
      <c r="BG2590" s="1"/>
      <c r="BH2590" s="1"/>
      <c r="BI2590" s="1"/>
      <c r="BJ2590" s="1"/>
      <c r="BK2590" s="1"/>
      <c r="BL2590" s="1"/>
      <c r="BM2590" s="1"/>
      <c r="BN2590" s="1"/>
      <c r="BO2590" s="1" t="s">
        <v>42152</v>
      </c>
      <c r="BP2590" s="1"/>
      <c r="BQ2590" s="1"/>
      <c r="BR2590" s="1" t="s">
        <v>42153</v>
      </c>
      <c r="BS2590" s="1">
        <v>33</v>
      </c>
      <c r="BT2590" s="1" t="s">
        <v>42154</v>
      </c>
      <c r="BU2590" s="1" t="str">
        <f>HYPERLINK("https://nconnect.nicmar.ac.in/storage/profile/ProfilePhoto_P25701022_635789.jpg","Download")</f>
        <v>0</v>
      </c>
      <c r="BV2590" s="3"/>
      <c r="BW2590" s="3"/>
    </row>
    <row r="2591" spans="1:75">
      <c r="A2591" s="1" t="s">
        <v>40794</v>
      </c>
      <c r="B2591" s="1" t="s">
        <v>446</v>
      </c>
      <c r="C2591" s="1" t="s">
        <v>42155</v>
      </c>
      <c r="D2591" s="1" t="s">
        <v>7197</v>
      </c>
      <c r="E2591" s="1" t="s">
        <v>42156</v>
      </c>
      <c r="F2591" s="1" t="s">
        <v>42157</v>
      </c>
      <c r="G2591" s="1" t="s">
        <v>42158</v>
      </c>
      <c r="H2591" s="1" t="s">
        <v>42159</v>
      </c>
      <c r="I2591" s="1" t="s">
        <v>42160</v>
      </c>
      <c r="J2591" s="1">
        <v>7760817685</v>
      </c>
      <c r="K2591" s="1" t="s">
        <v>153</v>
      </c>
      <c r="L2591" s="1" t="s">
        <v>42161</v>
      </c>
      <c r="M2591" s="1" t="s">
        <v>86</v>
      </c>
      <c r="N2591" s="1" t="s">
        <v>42162</v>
      </c>
      <c r="O2591" s="1" t="s">
        <v>42163</v>
      </c>
      <c r="P2591" s="1" t="s">
        <v>122</v>
      </c>
      <c r="Q2591" s="1" t="s">
        <v>42164</v>
      </c>
      <c r="R2591" s="1" t="s">
        <v>42165</v>
      </c>
      <c r="S2591" s="1">
        <v>9900114476</v>
      </c>
      <c r="T2591" s="1" t="s">
        <v>839</v>
      </c>
      <c r="U2591" s="1" t="s">
        <v>42166</v>
      </c>
      <c r="V2591" s="1">
        <v>9986244476</v>
      </c>
      <c r="W2591" s="1" t="s">
        <v>4695</v>
      </c>
      <c r="X2591" s="1" t="s">
        <v>42167</v>
      </c>
      <c r="Y2591" s="1" t="s">
        <v>3132</v>
      </c>
      <c r="Z2591" s="1" t="s">
        <v>1210</v>
      </c>
      <c r="AA2591" s="1" t="s">
        <v>42167</v>
      </c>
      <c r="AB2591" s="1" t="s">
        <v>3132</v>
      </c>
      <c r="AC2591" s="1" t="s">
        <v>1210</v>
      </c>
      <c r="AD2591" s="1">
        <v>9.63</v>
      </c>
      <c r="AE2591" s="1" t="s">
        <v>98</v>
      </c>
      <c r="AF2591" s="1" t="s">
        <v>42168</v>
      </c>
      <c r="AG2591" s="1" t="s">
        <v>775</v>
      </c>
      <c r="AH2591" s="1" t="s">
        <v>166</v>
      </c>
      <c r="AI2591" s="1" t="s">
        <v>627</v>
      </c>
      <c r="AJ2591" s="1">
        <v>95</v>
      </c>
      <c r="AK2591" s="1">
        <v>10</v>
      </c>
      <c r="AL2591" s="1" t="s">
        <v>42168</v>
      </c>
      <c r="AM2591" s="1" t="s">
        <v>775</v>
      </c>
      <c r="AN2591" s="1" t="s">
        <v>575</v>
      </c>
      <c r="AO2591" s="1" t="s">
        <v>170</v>
      </c>
      <c r="AP2591" s="1" t="s">
        <v>171</v>
      </c>
      <c r="AQ2591" s="1">
        <v>95.4</v>
      </c>
      <c r="AR2591" s="1">
        <v>0</v>
      </c>
      <c r="AS2591" s="1"/>
      <c r="AT2591" s="1"/>
      <c r="AU2591" s="1"/>
      <c r="AV2591" s="1"/>
      <c r="AW2591" s="1"/>
      <c r="AX2591" s="1"/>
      <c r="AY2591" s="1" t="s">
        <v>731</v>
      </c>
      <c r="AZ2591" s="1" t="s">
        <v>42169</v>
      </c>
      <c r="BA2591" s="1" t="s">
        <v>682</v>
      </c>
      <c r="BB2591" s="1" t="s">
        <v>1561</v>
      </c>
      <c r="BC2591" s="1" t="s">
        <v>174</v>
      </c>
      <c r="BD2591" s="1" t="s">
        <v>234</v>
      </c>
      <c r="BE2591" s="1">
        <v>82.8</v>
      </c>
      <c r="BF2591" s="1">
        <v>9.03</v>
      </c>
      <c r="BG2591" s="1"/>
      <c r="BH2591" s="1"/>
      <c r="BI2591" s="1"/>
      <c r="BJ2591" s="1"/>
      <c r="BK2591" s="1"/>
      <c r="BL2591" s="1"/>
      <c r="BM2591" s="1"/>
      <c r="BN2591" s="1"/>
      <c r="BO2591" s="1" t="s">
        <v>42170</v>
      </c>
      <c r="BP2591" s="1" t="s">
        <v>42171</v>
      </c>
      <c r="BQ2591" s="1" t="s">
        <v>757</v>
      </c>
      <c r="BR2591" s="1" t="s">
        <v>42172</v>
      </c>
      <c r="BS2591" s="1">
        <v>25</v>
      </c>
      <c r="BT2591" s="1"/>
      <c r="BU2591" s="1" t="str">
        <f>HYPERLINK("https://nconnect.nicmar.ac.in/storage/profile/ProfilePhoto_P25701024_187362.jpg","Download")</f>
        <v>0</v>
      </c>
      <c r="BV2591" s="3"/>
      <c r="BW2591" s="3"/>
    </row>
    <row r="2592" spans="1:75">
      <c r="A2592" s="1" t="s">
        <v>40794</v>
      </c>
      <c r="B2592" s="1" t="s">
        <v>446</v>
      </c>
      <c r="C2592" s="1" t="s">
        <v>42173</v>
      </c>
      <c r="D2592" s="1" t="s">
        <v>3101</v>
      </c>
      <c r="E2592" s="1" t="s">
        <v>42174</v>
      </c>
      <c r="F2592" s="1" t="s">
        <v>13892</v>
      </c>
      <c r="G2592" s="1" t="s">
        <v>42175</v>
      </c>
      <c r="H2592" s="1" t="s">
        <v>42176</v>
      </c>
      <c r="I2592" s="1" t="s">
        <v>42177</v>
      </c>
      <c r="J2592" s="1">
        <v>8208157977</v>
      </c>
      <c r="K2592" s="1" t="s">
        <v>84</v>
      </c>
      <c r="L2592" s="1" t="s">
        <v>7134</v>
      </c>
      <c r="M2592" s="1" t="s">
        <v>86</v>
      </c>
      <c r="N2592" s="1" t="s">
        <v>1163</v>
      </c>
      <c r="O2592" s="1"/>
      <c r="P2592" s="1" t="s">
        <v>455</v>
      </c>
      <c r="Q2592" s="1" t="s">
        <v>42178</v>
      </c>
      <c r="R2592" s="1" t="s">
        <v>42179</v>
      </c>
      <c r="S2592" s="1">
        <v>9921560422</v>
      </c>
      <c r="T2592" s="1" t="s">
        <v>159</v>
      </c>
      <c r="U2592" s="1" t="s">
        <v>42180</v>
      </c>
      <c r="V2592" s="1">
        <v>9403884122</v>
      </c>
      <c r="W2592" s="1" t="s">
        <v>278</v>
      </c>
      <c r="X2592" s="1" t="s">
        <v>42181</v>
      </c>
      <c r="Y2592" s="1" t="s">
        <v>196</v>
      </c>
      <c r="Z2592" s="1" t="s">
        <v>97</v>
      </c>
      <c r="AA2592" s="1" t="s">
        <v>42182</v>
      </c>
      <c r="AB2592" s="1" t="s">
        <v>224</v>
      </c>
      <c r="AC2592" s="1" t="s">
        <v>97</v>
      </c>
      <c r="AD2592" s="1">
        <v>0.0</v>
      </c>
      <c r="AE2592" s="1" t="s">
        <v>98</v>
      </c>
      <c r="AF2592" s="1" t="s">
        <v>42183</v>
      </c>
      <c r="AG2592" s="1" t="s">
        <v>2379</v>
      </c>
      <c r="AH2592" s="1" t="s">
        <v>801</v>
      </c>
      <c r="AI2592" s="1" t="s">
        <v>170</v>
      </c>
      <c r="AJ2592" s="1">
        <v>78.8</v>
      </c>
      <c r="AK2592" s="1"/>
      <c r="AL2592" s="1" t="s">
        <v>12843</v>
      </c>
      <c r="AM2592" s="1" t="s">
        <v>2379</v>
      </c>
      <c r="AN2592" s="1"/>
      <c r="AO2592" s="1" t="s">
        <v>174</v>
      </c>
      <c r="AP2592" s="1" t="s">
        <v>203</v>
      </c>
      <c r="AQ2592" s="1">
        <v>63.23</v>
      </c>
      <c r="AR2592" s="1"/>
      <c r="AS2592" s="1"/>
      <c r="AT2592" s="1"/>
      <c r="AU2592" s="1"/>
      <c r="AV2592" s="1"/>
      <c r="AW2592" s="1"/>
      <c r="AX2592" s="1"/>
      <c r="AY2592" s="1" t="s">
        <v>340</v>
      </c>
      <c r="AZ2592" s="1" t="s">
        <v>42184</v>
      </c>
      <c r="BA2592" s="1"/>
      <c r="BB2592" s="1"/>
      <c r="BC2592" s="1" t="s">
        <v>206</v>
      </c>
      <c r="BD2592" s="1" t="s">
        <v>234</v>
      </c>
      <c r="BE2592" s="1">
        <v>58.51</v>
      </c>
      <c r="BF2592" s="1">
        <v>6.31</v>
      </c>
      <c r="BG2592" s="1"/>
      <c r="BH2592" s="1"/>
      <c r="BI2592" s="1"/>
      <c r="BJ2592" s="1"/>
      <c r="BK2592" s="1"/>
      <c r="BL2592" s="1"/>
      <c r="BM2592" s="1"/>
      <c r="BN2592" s="1"/>
      <c r="BO2592" s="1" t="s">
        <v>3308</v>
      </c>
      <c r="BP2592" s="1"/>
      <c r="BQ2592" s="1"/>
      <c r="BR2592" s="1" t="s">
        <v>42185</v>
      </c>
      <c r="BS2592" s="1">
        <v>7</v>
      </c>
      <c r="BT2592" s="1"/>
      <c r="BU2592" s="1" t="str">
        <f>HYPERLINK("https://nconnect.nicmar.ac.in/storage/profile/ProfilePhoto_P25701025_745183.jpg","Download")</f>
        <v>0</v>
      </c>
      <c r="BV2592" s="3"/>
      <c r="BW2592" s="3"/>
    </row>
    <row r="2593" spans="1:75">
      <c r="A2593" s="1" t="s">
        <v>40794</v>
      </c>
      <c r="B2593" s="1" t="s">
        <v>446</v>
      </c>
      <c r="C2593" s="1" t="s">
        <v>42186</v>
      </c>
      <c r="D2593" s="1" t="s">
        <v>42187</v>
      </c>
      <c r="E2593" s="1"/>
      <c r="F2593" s="1" t="s">
        <v>42188</v>
      </c>
      <c r="G2593" s="1" t="s">
        <v>42189</v>
      </c>
      <c r="H2593" s="1" t="s">
        <v>42190</v>
      </c>
      <c r="I2593" s="1" t="s">
        <v>42191</v>
      </c>
      <c r="J2593" s="1">
        <v>9108981990</v>
      </c>
      <c r="K2593" s="1" t="s">
        <v>84</v>
      </c>
      <c r="L2593" s="1" t="s">
        <v>23216</v>
      </c>
      <c r="M2593" s="1" t="s">
        <v>86</v>
      </c>
      <c r="N2593" s="1" t="s">
        <v>13845</v>
      </c>
      <c r="O2593" s="1"/>
      <c r="P2593" s="1" t="s">
        <v>507</v>
      </c>
      <c r="Q2593" s="1" t="s">
        <v>42192</v>
      </c>
      <c r="R2593" s="1" t="s">
        <v>42193</v>
      </c>
      <c r="S2593" s="1">
        <v>9844499891</v>
      </c>
      <c r="T2593" s="1" t="s">
        <v>42194</v>
      </c>
      <c r="U2593" s="1" t="s">
        <v>42195</v>
      </c>
      <c r="V2593" s="1">
        <v>9880088849</v>
      </c>
      <c r="W2593" s="1" t="s">
        <v>1257</v>
      </c>
      <c r="X2593" s="1" t="s">
        <v>42196</v>
      </c>
      <c r="Y2593" s="1" t="s">
        <v>13502</v>
      </c>
      <c r="Z2593" s="1" t="s">
        <v>1210</v>
      </c>
      <c r="AA2593" s="1" t="s">
        <v>42196</v>
      </c>
      <c r="AB2593" s="1" t="s">
        <v>13502</v>
      </c>
      <c r="AC2593" s="1" t="s">
        <v>1210</v>
      </c>
      <c r="AD2593" s="1">
        <v>7.88</v>
      </c>
      <c r="AE2593" s="1" t="s">
        <v>98</v>
      </c>
      <c r="AF2593" s="1" t="s">
        <v>42197</v>
      </c>
      <c r="AG2593" s="1" t="s">
        <v>312</v>
      </c>
      <c r="AH2593" s="1" t="s">
        <v>167</v>
      </c>
      <c r="AI2593" s="1" t="s">
        <v>170</v>
      </c>
      <c r="AJ2593" s="1">
        <v>89.3</v>
      </c>
      <c r="AK2593" s="1">
        <v>9.4</v>
      </c>
      <c r="AL2593" s="1" t="s">
        <v>42198</v>
      </c>
      <c r="AM2593" s="1" t="s">
        <v>13852</v>
      </c>
      <c r="AN2593" s="1" t="s">
        <v>575</v>
      </c>
      <c r="AO2593" s="1" t="s">
        <v>286</v>
      </c>
      <c r="AP2593" s="1" t="s">
        <v>414</v>
      </c>
      <c r="AQ2593" s="1">
        <v>81.33</v>
      </c>
      <c r="AR2593" s="1">
        <v>8.6</v>
      </c>
      <c r="AS2593" s="1"/>
      <c r="AT2593" s="1"/>
      <c r="AU2593" s="1"/>
      <c r="AV2593" s="1"/>
      <c r="AW2593" s="1"/>
      <c r="AX2593" s="1"/>
      <c r="AY2593" s="1" t="s">
        <v>7595</v>
      </c>
      <c r="AZ2593" s="1" t="s">
        <v>42199</v>
      </c>
      <c r="BA2593" s="1" t="s">
        <v>466</v>
      </c>
      <c r="BB2593" s="1" t="s">
        <v>467</v>
      </c>
      <c r="BC2593" s="1" t="s">
        <v>206</v>
      </c>
      <c r="BD2593" s="1" t="s">
        <v>179</v>
      </c>
      <c r="BE2593" s="1">
        <v>81.3</v>
      </c>
      <c r="BF2593" s="1">
        <v>8.13</v>
      </c>
      <c r="BG2593" s="1"/>
      <c r="BH2593" s="1"/>
      <c r="BI2593" s="1"/>
      <c r="BJ2593" s="1"/>
      <c r="BK2593" s="1"/>
      <c r="BL2593" s="1"/>
      <c r="BM2593" s="1"/>
      <c r="BN2593" s="1"/>
      <c r="BO2593" s="1" t="s">
        <v>1114</v>
      </c>
      <c r="BP2593" s="1" t="s">
        <v>42200</v>
      </c>
      <c r="BQ2593" s="1" t="s">
        <v>2245</v>
      </c>
      <c r="BR2593" s="1" t="s">
        <v>42201</v>
      </c>
      <c r="BS2593" s="1">
        <v>12</v>
      </c>
      <c r="BT2593" s="1"/>
      <c r="BU2593" s="1" t="str">
        <f>HYPERLINK("https://nconnect.nicmar.ac.in/storage/profile/ProfilePhoto_P25701026_834126.jpg","Download")</f>
        <v>0</v>
      </c>
      <c r="BV2593" s="3"/>
      <c r="BW2593" s="4">
        <v>1</v>
      </c>
    </row>
    <row r="2594" spans="1:75">
      <c r="A2594" s="1" t="s">
        <v>40794</v>
      </c>
      <c r="B2594" s="1" t="s">
        <v>446</v>
      </c>
      <c r="C2594" s="1" t="s">
        <v>42202</v>
      </c>
      <c r="D2594" s="1" t="s">
        <v>38211</v>
      </c>
      <c r="E2594" s="1"/>
      <c r="F2594" s="1" t="s">
        <v>2250</v>
      </c>
      <c r="G2594" s="1" t="s">
        <v>42203</v>
      </c>
      <c r="H2594" s="1" t="s">
        <v>42204</v>
      </c>
      <c r="I2594" s="1" t="s">
        <v>42205</v>
      </c>
      <c r="J2594" s="1">
        <v>9883267800</v>
      </c>
      <c r="K2594" s="1" t="s">
        <v>153</v>
      </c>
      <c r="L2594" s="1" t="s">
        <v>13038</v>
      </c>
      <c r="M2594" s="1" t="s">
        <v>86</v>
      </c>
      <c r="N2594" s="1" t="s">
        <v>42206</v>
      </c>
      <c r="O2594" s="1" t="s">
        <v>42207</v>
      </c>
      <c r="P2594" s="1" t="s">
        <v>455</v>
      </c>
      <c r="Q2594" s="1" t="s">
        <v>42208</v>
      </c>
      <c r="R2594" s="1" t="s">
        <v>42209</v>
      </c>
      <c r="S2594" s="1">
        <v>9339454513</v>
      </c>
      <c r="T2594" s="1" t="s">
        <v>839</v>
      </c>
      <c r="U2594" s="1" t="s">
        <v>42210</v>
      </c>
      <c r="V2594" s="1">
        <v>7003814005</v>
      </c>
      <c r="W2594" s="1" t="s">
        <v>94</v>
      </c>
      <c r="X2594" s="1" t="s">
        <v>42211</v>
      </c>
      <c r="Y2594" s="1" t="s">
        <v>3282</v>
      </c>
      <c r="Z2594" s="1" t="s">
        <v>1234</v>
      </c>
      <c r="AA2594" s="1" t="s">
        <v>42211</v>
      </c>
      <c r="AB2594" s="1" t="s">
        <v>3282</v>
      </c>
      <c r="AC2594" s="1" t="s">
        <v>1234</v>
      </c>
      <c r="AD2594" s="1">
        <v>8.98</v>
      </c>
      <c r="AE2594" s="1" t="s">
        <v>98</v>
      </c>
      <c r="AF2594" s="1" t="s">
        <v>42212</v>
      </c>
      <c r="AG2594" s="1" t="s">
        <v>312</v>
      </c>
      <c r="AH2594" s="1" t="s">
        <v>704</v>
      </c>
      <c r="AI2594" s="1" t="s">
        <v>286</v>
      </c>
      <c r="AJ2594" s="1">
        <v>85.4</v>
      </c>
      <c r="AK2594" s="1">
        <v>0</v>
      </c>
      <c r="AL2594" s="1" t="s">
        <v>42212</v>
      </c>
      <c r="AM2594" s="1" t="s">
        <v>312</v>
      </c>
      <c r="AN2594" s="1" t="s">
        <v>465</v>
      </c>
      <c r="AO2594" s="1" t="s">
        <v>547</v>
      </c>
      <c r="AP2594" s="1" t="s">
        <v>603</v>
      </c>
      <c r="AQ2594" s="1">
        <v>82</v>
      </c>
      <c r="AR2594" s="1">
        <v>0</v>
      </c>
      <c r="AS2594" s="1"/>
      <c r="AT2594" s="1"/>
      <c r="AU2594" s="1"/>
      <c r="AV2594" s="1"/>
      <c r="AW2594" s="1"/>
      <c r="AX2594" s="1"/>
      <c r="AY2594" s="1" t="s">
        <v>42213</v>
      </c>
      <c r="AZ2594" s="1" t="s">
        <v>42214</v>
      </c>
      <c r="BA2594" s="1" t="s">
        <v>682</v>
      </c>
      <c r="BB2594" s="1" t="s">
        <v>1561</v>
      </c>
      <c r="BC2594" s="1" t="s">
        <v>890</v>
      </c>
      <c r="BD2594" s="1" t="s">
        <v>848</v>
      </c>
      <c r="BE2594" s="1">
        <v>73.9</v>
      </c>
      <c r="BF2594" s="1">
        <v>7.89</v>
      </c>
      <c r="BG2594" s="1"/>
      <c r="BH2594" s="1"/>
      <c r="BI2594" s="1"/>
      <c r="BJ2594" s="1"/>
      <c r="BK2594" s="1"/>
      <c r="BL2594" s="1"/>
      <c r="BM2594" s="1"/>
      <c r="BN2594" s="1"/>
      <c r="BO2594" s="1" t="s">
        <v>42215</v>
      </c>
      <c r="BP2594" s="1"/>
      <c r="BQ2594" s="1"/>
      <c r="BR2594" s="1" t="s">
        <v>42216</v>
      </c>
      <c r="BS2594" s="1">
        <v>30</v>
      </c>
      <c r="BT2594" s="1" t="s">
        <v>42217</v>
      </c>
      <c r="BU2594" s="1" t="str">
        <f>HYPERLINK("https://nconnect.nicmar.ac.in/storage/profile/ProfilePhoto_P25701027_634982.jpg","Download")</f>
        <v>0</v>
      </c>
      <c r="BV2594" s="3"/>
      <c r="BW2594" s="3"/>
    </row>
    <row r="2595" spans="1:75">
      <c r="A2595" s="1" t="s">
        <v>40794</v>
      </c>
      <c r="B2595" s="1" t="s">
        <v>446</v>
      </c>
      <c r="C2595" s="1" t="s">
        <v>42218</v>
      </c>
      <c r="D2595" s="1" t="s">
        <v>42219</v>
      </c>
      <c r="E2595" s="1" t="s">
        <v>1612</v>
      </c>
      <c r="F2595" s="1" t="s">
        <v>13403</v>
      </c>
      <c r="G2595" s="1" t="s">
        <v>42220</v>
      </c>
      <c r="H2595" s="1" t="s">
        <v>42221</v>
      </c>
      <c r="I2595" s="1" t="s">
        <v>42222</v>
      </c>
      <c r="J2595" s="1">
        <v>9137393599</v>
      </c>
      <c r="K2595" s="1" t="s">
        <v>153</v>
      </c>
      <c r="L2595" s="1" t="s">
        <v>42223</v>
      </c>
      <c r="M2595" s="1" t="s">
        <v>86</v>
      </c>
      <c r="N2595" s="1" t="s">
        <v>1163</v>
      </c>
      <c r="O2595" s="1"/>
      <c r="P2595" s="1" t="s">
        <v>455</v>
      </c>
      <c r="Q2595" s="1" t="s">
        <v>42224</v>
      </c>
      <c r="R2595" s="1" t="s">
        <v>1612</v>
      </c>
      <c r="S2595" s="1">
        <v>9004414079</v>
      </c>
      <c r="T2595" s="1" t="s">
        <v>42225</v>
      </c>
      <c r="U2595" s="1" t="s">
        <v>10261</v>
      </c>
      <c r="V2595" s="1">
        <v>9653468457</v>
      </c>
      <c r="W2595" s="1" t="s">
        <v>94</v>
      </c>
      <c r="X2595" s="1" t="s">
        <v>42226</v>
      </c>
      <c r="Y2595" s="1" t="s">
        <v>2259</v>
      </c>
      <c r="Z2595" s="1" t="s">
        <v>97</v>
      </c>
      <c r="AA2595" s="1" t="s">
        <v>42226</v>
      </c>
      <c r="AB2595" s="1" t="s">
        <v>2259</v>
      </c>
      <c r="AC2595" s="1" t="s">
        <v>97</v>
      </c>
      <c r="AD2595" s="1">
        <v>9.12</v>
      </c>
      <c r="AE2595" s="1" t="s">
        <v>98</v>
      </c>
      <c r="AF2595" s="1" t="s">
        <v>10515</v>
      </c>
      <c r="AG2595" s="1" t="s">
        <v>1968</v>
      </c>
      <c r="AH2595" s="1" t="s">
        <v>101</v>
      </c>
      <c r="AI2595" s="1" t="s">
        <v>102</v>
      </c>
      <c r="AJ2595" s="1">
        <v>87.2</v>
      </c>
      <c r="AK2595" s="1"/>
      <c r="AL2595" s="1" t="s">
        <v>42227</v>
      </c>
      <c r="AM2595" s="1" t="s">
        <v>1968</v>
      </c>
      <c r="AN2595" s="1" t="s">
        <v>575</v>
      </c>
      <c r="AO2595" s="1" t="s">
        <v>105</v>
      </c>
      <c r="AP2595" s="1" t="s">
        <v>573</v>
      </c>
      <c r="AQ2595" s="1">
        <v>64</v>
      </c>
      <c r="AR2595" s="1"/>
      <c r="AS2595" s="1"/>
      <c r="AT2595" s="1"/>
      <c r="AU2595" s="1"/>
      <c r="AV2595" s="1"/>
      <c r="AW2595" s="1"/>
      <c r="AX2595" s="1"/>
      <c r="AY2595" s="1" t="s">
        <v>680</v>
      </c>
      <c r="AZ2595" s="1" t="s">
        <v>39352</v>
      </c>
      <c r="BA2595" s="1" t="s">
        <v>682</v>
      </c>
      <c r="BB2595" s="1" t="s">
        <v>1561</v>
      </c>
      <c r="BC2595" s="1" t="s">
        <v>230</v>
      </c>
      <c r="BD2595" s="1" t="s">
        <v>521</v>
      </c>
      <c r="BE2595" s="1">
        <v>71</v>
      </c>
      <c r="BF2595" s="1">
        <v>8.78</v>
      </c>
      <c r="BG2595" s="1"/>
      <c r="BH2595" s="1"/>
      <c r="BI2595" s="1"/>
      <c r="BJ2595" s="1"/>
      <c r="BK2595" s="1"/>
      <c r="BL2595" s="1"/>
      <c r="BM2595" s="1"/>
      <c r="BN2595" s="1"/>
      <c r="BO2595" s="1" t="s">
        <v>42228</v>
      </c>
      <c r="BP2595" s="1" t="s">
        <v>42229</v>
      </c>
      <c r="BQ2595" s="1" t="s">
        <v>2326</v>
      </c>
      <c r="BR2595" s="1" t="s">
        <v>42230</v>
      </c>
      <c r="BS2595" s="1">
        <v>26</v>
      </c>
      <c r="BT2595" s="1"/>
      <c r="BU2595" s="1" t="str">
        <f>HYPERLINK("https://nconnect.nicmar.ac.in/storage/profile/ProfilePhoto_P25701028_358741.jpg","Download")</f>
        <v>0</v>
      </c>
      <c r="BV2595" s="3"/>
      <c r="BW2595" s="3"/>
    </row>
    <row r="2596" spans="1:75">
      <c r="A2596" s="1" t="s">
        <v>40794</v>
      </c>
      <c r="B2596" s="1" t="s">
        <v>446</v>
      </c>
      <c r="C2596" s="1" t="s">
        <v>42231</v>
      </c>
      <c r="D2596" s="1" t="s">
        <v>42232</v>
      </c>
      <c r="E2596" s="1" t="s">
        <v>27448</v>
      </c>
      <c r="F2596" s="1" t="s">
        <v>42233</v>
      </c>
      <c r="G2596" s="1" t="s">
        <v>42234</v>
      </c>
      <c r="H2596" s="1" t="s">
        <v>42235</v>
      </c>
      <c r="I2596" s="1" t="s">
        <v>42236</v>
      </c>
      <c r="J2596" s="1">
        <v>9967603479</v>
      </c>
      <c r="K2596" s="1" t="s">
        <v>84</v>
      </c>
      <c r="L2596" s="1" t="s">
        <v>17212</v>
      </c>
      <c r="M2596" s="1" t="s">
        <v>86</v>
      </c>
      <c r="N2596" s="1" t="s">
        <v>903</v>
      </c>
      <c r="O2596" s="1" t="s">
        <v>42237</v>
      </c>
      <c r="P2596" s="1" t="s">
        <v>1028</v>
      </c>
      <c r="Q2596" s="1" t="s">
        <v>42238</v>
      </c>
      <c r="R2596" s="1" t="s">
        <v>42239</v>
      </c>
      <c r="S2596" s="1">
        <v>9967603479</v>
      </c>
      <c r="T2596" s="1" t="s">
        <v>13411</v>
      </c>
      <c r="U2596" s="1" t="s">
        <v>42240</v>
      </c>
      <c r="V2596" s="1">
        <v>9920591071</v>
      </c>
      <c r="W2596" s="1" t="s">
        <v>127</v>
      </c>
      <c r="X2596" s="1" t="s">
        <v>42241</v>
      </c>
      <c r="Y2596" s="1" t="s">
        <v>2259</v>
      </c>
      <c r="Z2596" s="1" t="s">
        <v>97</v>
      </c>
      <c r="AA2596" s="1" t="s">
        <v>42241</v>
      </c>
      <c r="AB2596" s="1" t="s">
        <v>2259</v>
      </c>
      <c r="AC2596" s="1" t="s">
        <v>97</v>
      </c>
      <c r="AD2596" s="1">
        <v>7.35</v>
      </c>
      <c r="AE2596" s="1" t="s">
        <v>98</v>
      </c>
      <c r="AF2596" s="1" t="s">
        <v>42242</v>
      </c>
      <c r="AG2596" s="1" t="s">
        <v>42243</v>
      </c>
      <c r="AH2596" s="1" t="s">
        <v>627</v>
      </c>
      <c r="AI2596" s="1" t="s">
        <v>573</v>
      </c>
      <c r="AJ2596" s="1">
        <v>79</v>
      </c>
      <c r="AK2596" s="1"/>
      <c r="AL2596" s="1" t="s">
        <v>33844</v>
      </c>
      <c r="AM2596" s="1" t="s">
        <v>42243</v>
      </c>
      <c r="AN2596" s="1"/>
      <c r="AO2596" s="1" t="s">
        <v>1065</v>
      </c>
      <c r="AP2596" s="1" t="s">
        <v>313</v>
      </c>
      <c r="AQ2596" s="1">
        <v>61.69</v>
      </c>
      <c r="AR2596" s="1"/>
      <c r="AS2596" s="1"/>
      <c r="AT2596" s="1"/>
      <c r="AU2596" s="1"/>
      <c r="AV2596" s="1"/>
      <c r="AW2596" s="1"/>
      <c r="AX2596" s="1"/>
      <c r="AY2596" s="1" t="s">
        <v>258</v>
      </c>
      <c r="AZ2596" s="1" t="s">
        <v>42244</v>
      </c>
      <c r="BA2596" s="1"/>
      <c r="BB2596" s="1"/>
      <c r="BC2596" s="1" t="s">
        <v>206</v>
      </c>
      <c r="BD2596" s="1" t="s">
        <v>955</v>
      </c>
      <c r="BE2596" s="1">
        <v>73.32</v>
      </c>
      <c r="BF2596" s="1">
        <v>8.21</v>
      </c>
      <c r="BG2596" s="1"/>
      <c r="BH2596" s="1"/>
      <c r="BI2596" s="1"/>
      <c r="BJ2596" s="1"/>
      <c r="BK2596" s="1"/>
      <c r="BL2596" s="1"/>
      <c r="BM2596" s="1"/>
      <c r="BN2596" s="1"/>
      <c r="BO2596" s="1" t="s">
        <v>28393</v>
      </c>
      <c r="BP2596" s="1" t="s">
        <v>42245</v>
      </c>
      <c r="BQ2596" s="1" t="s">
        <v>1070</v>
      </c>
      <c r="BR2596" s="1" t="s">
        <v>42246</v>
      </c>
      <c r="BS2596" s="1">
        <v>8</v>
      </c>
      <c r="BT2596" s="1" t="s">
        <v>42247</v>
      </c>
      <c r="BU2596" s="1" t="str">
        <f>HYPERLINK("https://nconnect.nicmar.ac.in/storage/profile/ProfilePhoto_P25701029_843927.jpg","Download")</f>
        <v>0</v>
      </c>
      <c r="BV2596" s="3"/>
      <c r="BW2596" s="3"/>
    </row>
    <row r="2597" spans="1:75">
      <c r="A2597" s="1" t="s">
        <v>40794</v>
      </c>
      <c r="B2597" s="1" t="s">
        <v>446</v>
      </c>
      <c r="C2597" s="1" t="s">
        <v>42248</v>
      </c>
      <c r="D2597" s="1" t="s">
        <v>42249</v>
      </c>
      <c r="E2597" s="1" t="s">
        <v>42250</v>
      </c>
      <c r="F2597" s="1" t="s">
        <v>42251</v>
      </c>
      <c r="G2597" s="1" t="s">
        <v>42252</v>
      </c>
      <c r="H2597" s="1" t="s">
        <v>42253</v>
      </c>
      <c r="I2597" s="1" t="s">
        <v>42254</v>
      </c>
      <c r="J2597" s="1">
        <v>7756019739</v>
      </c>
      <c r="K2597" s="1" t="s">
        <v>153</v>
      </c>
      <c r="L2597" s="1" t="s">
        <v>6087</v>
      </c>
      <c r="M2597" s="1" t="s">
        <v>86</v>
      </c>
      <c r="N2597" s="1" t="s">
        <v>1163</v>
      </c>
      <c r="O2597" s="1" t="s">
        <v>42255</v>
      </c>
      <c r="P2597" s="1" t="s">
        <v>219</v>
      </c>
      <c r="Q2597" s="1" t="s">
        <v>42256</v>
      </c>
      <c r="R2597" s="1" t="s">
        <v>42257</v>
      </c>
      <c r="S2597" s="1">
        <v>9850158134</v>
      </c>
      <c r="T2597" s="1" t="s">
        <v>42258</v>
      </c>
      <c r="U2597" s="1" t="s">
        <v>42259</v>
      </c>
      <c r="V2597" s="1">
        <v>9850819305</v>
      </c>
      <c r="W2597" s="1" t="s">
        <v>42260</v>
      </c>
      <c r="X2597" s="1" t="s">
        <v>42261</v>
      </c>
      <c r="Y2597" s="1" t="s">
        <v>196</v>
      </c>
      <c r="Z2597" s="1" t="s">
        <v>97</v>
      </c>
      <c r="AA2597" s="1" t="s">
        <v>42262</v>
      </c>
      <c r="AB2597" s="1" t="s">
        <v>410</v>
      </c>
      <c r="AC2597" s="1" t="s">
        <v>97</v>
      </c>
      <c r="AD2597" s="1">
        <v>8.33</v>
      </c>
      <c r="AE2597" s="1" t="s">
        <v>98</v>
      </c>
      <c r="AF2597" s="1" t="s">
        <v>42263</v>
      </c>
      <c r="AG2597" s="1" t="s">
        <v>312</v>
      </c>
      <c r="AH2597" s="1" t="s">
        <v>170</v>
      </c>
      <c r="AI2597" s="1" t="s">
        <v>106</v>
      </c>
      <c r="AJ2597" s="1">
        <v>89.4</v>
      </c>
      <c r="AK2597" s="1"/>
      <c r="AL2597" s="1" t="s">
        <v>42264</v>
      </c>
      <c r="AM2597" s="1" t="s">
        <v>312</v>
      </c>
      <c r="AN2597" s="1" t="s">
        <v>465</v>
      </c>
      <c r="AO2597" s="1" t="s">
        <v>106</v>
      </c>
      <c r="AP2597" s="1" t="s">
        <v>468</v>
      </c>
      <c r="AQ2597" s="1">
        <v>75</v>
      </c>
      <c r="AR2597" s="1"/>
      <c r="AS2597" s="1"/>
      <c r="AT2597" s="1"/>
      <c r="AU2597" s="1"/>
      <c r="AV2597" s="1"/>
      <c r="AW2597" s="1"/>
      <c r="AX2597" s="1"/>
      <c r="AY2597" s="1" t="s">
        <v>40877</v>
      </c>
      <c r="AZ2597" s="1" t="s">
        <v>42265</v>
      </c>
      <c r="BA2597" s="1" t="s">
        <v>682</v>
      </c>
      <c r="BB2597" s="1" t="s">
        <v>1561</v>
      </c>
      <c r="BC2597" s="1" t="s">
        <v>468</v>
      </c>
      <c r="BD2597" s="1" t="s">
        <v>848</v>
      </c>
      <c r="BE2597" s="1">
        <v>72.09</v>
      </c>
      <c r="BF2597" s="1">
        <v>8.1</v>
      </c>
      <c r="BG2597" s="1"/>
      <c r="BH2597" s="1"/>
      <c r="BI2597" s="1"/>
      <c r="BJ2597" s="1"/>
      <c r="BK2597" s="1"/>
      <c r="BL2597" s="1"/>
      <c r="BM2597" s="1"/>
      <c r="BN2597" s="1"/>
      <c r="BO2597" s="1" t="s">
        <v>42266</v>
      </c>
      <c r="BP2597" s="1"/>
      <c r="BQ2597" s="1"/>
      <c r="BR2597" s="1" t="s">
        <v>42267</v>
      </c>
      <c r="BS2597" s="1">
        <v>34</v>
      </c>
      <c r="BT2597" s="1" t="s">
        <v>42268</v>
      </c>
      <c r="BU2597" s="1" t="str">
        <f>HYPERLINK("https://nconnect.nicmar.ac.in/storage/profile/ProfilePhoto_P25701030_785132.jpg","Download")</f>
        <v>0</v>
      </c>
      <c r="BV2597" s="3"/>
      <c r="BW2597" s="3"/>
    </row>
    <row r="2598" spans="1:75">
      <c r="A2598" s="1" t="s">
        <v>40794</v>
      </c>
      <c r="B2598" s="1" t="s">
        <v>446</v>
      </c>
      <c r="C2598" s="1" t="s">
        <v>42269</v>
      </c>
      <c r="D2598" s="1" t="s">
        <v>1463</v>
      </c>
      <c r="E2598" s="1" t="s">
        <v>239</v>
      </c>
      <c r="F2598" s="1" t="s">
        <v>3874</v>
      </c>
      <c r="G2598" s="1" t="s">
        <v>42270</v>
      </c>
      <c r="H2598" s="1" t="s">
        <v>42271</v>
      </c>
      <c r="I2598" s="1" t="s">
        <v>42272</v>
      </c>
      <c r="J2598" s="1">
        <v>7887865509</v>
      </c>
      <c r="K2598" s="1" t="s">
        <v>153</v>
      </c>
      <c r="L2598" s="1" t="s">
        <v>42273</v>
      </c>
      <c r="M2598" s="1" t="s">
        <v>86</v>
      </c>
      <c r="N2598" s="1" t="s">
        <v>618</v>
      </c>
      <c r="O2598" s="1"/>
      <c r="P2598" s="1" t="s">
        <v>455</v>
      </c>
      <c r="Q2598" s="1" t="s">
        <v>42274</v>
      </c>
      <c r="R2598" s="1" t="s">
        <v>239</v>
      </c>
      <c r="S2598" s="1">
        <v>9823155662</v>
      </c>
      <c r="T2598" s="1" t="s">
        <v>9700</v>
      </c>
      <c r="U2598" s="1" t="s">
        <v>13350</v>
      </c>
      <c r="V2598" s="1">
        <v>9423106222</v>
      </c>
      <c r="W2598" s="1" t="s">
        <v>2950</v>
      </c>
      <c r="X2598" s="1" t="s">
        <v>42275</v>
      </c>
      <c r="Y2598" s="1" t="s">
        <v>196</v>
      </c>
      <c r="Z2598" s="1" t="s">
        <v>97</v>
      </c>
      <c r="AA2598" s="1" t="s">
        <v>42276</v>
      </c>
      <c r="AB2598" s="1" t="s">
        <v>410</v>
      </c>
      <c r="AC2598" s="1" t="s">
        <v>97</v>
      </c>
      <c r="AD2598" s="1">
        <v>9.28</v>
      </c>
      <c r="AE2598" s="1" t="s">
        <v>98</v>
      </c>
      <c r="AF2598" s="1" t="s">
        <v>42277</v>
      </c>
      <c r="AG2598" s="1" t="s">
        <v>775</v>
      </c>
      <c r="AH2598" s="1" t="s">
        <v>1111</v>
      </c>
      <c r="AI2598" s="1" t="s">
        <v>170</v>
      </c>
      <c r="AJ2598" s="1">
        <v>95</v>
      </c>
      <c r="AK2598" s="1">
        <v>10</v>
      </c>
      <c r="AL2598" s="1" t="s">
        <v>42278</v>
      </c>
      <c r="AM2598" s="1" t="s">
        <v>2379</v>
      </c>
      <c r="AN2598" s="1"/>
      <c r="AO2598" s="1" t="s">
        <v>106</v>
      </c>
      <c r="AP2598" s="1" t="s">
        <v>203</v>
      </c>
      <c r="AQ2598" s="1">
        <v>76</v>
      </c>
      <c r="AR2598" s="1">
        <v>0</v>
      </c>
      <c r="AS2598" s="1"/>
      <c r="AT2598" s="1"/>
      <c r="AU2598" s="1"/>
      <c r="AV2598" s="1"/>
      <c r="AW2598" s="1"/>
      <c r="AX2598" s="1"/>
      <c r="AY2598" s="1" t="s">
        <v>258</v>
      </c>
      <c r="AZ2598" s="1" t="s">
        <v>42279</v>
      </c>
      <c r="BA2598" s="1"/>
      <c r="BB2598" s="1"/>
      <c r="BC2598" s="1" t="s">
        <v>315</v>
      </c>
      <c r="BD2598" s="1" t="s">
        <v>418</v>
      </c>
      <c r="BE2598" s="1">
        <v>75.64</v>
      </c>
      <c r="BF2598" s="1">
        <v>8.6</v>
      </c>
      <c r="BG2598" s="1"/>
      <c r="BH2598" s="1"/>
      <c r="BI2598" s="1"/>
      <c r="BJ2598" s="1"/>
      <c r="BK2598" s="1"/>
      <c r="BL2598" s="1"/>
      <c r="BM2598" s="1"/>
      <c r="BN2598" s="1"/>
      <c r="BO2598" s="1" t="s">
        <v>42280</v>
      </c>
      <c r="BP2598" s="1" t="s">
        <v>42281</v>
      </c>
      <c r="BQ2598" s="1" t="s">
        <v>1043</v>
      </c>
      <c r="BR2598" s="1" t="s">
        <v>42282</v>
      </c>
      <c r="BS2598" s="1">
        <v>53</v>
      </c>
      <c r="BT2598" s="1" t="s">
        <v>42283</v>
      </c>
      <c r="BU2598" s="1" t="str">
        <f>HYPERLINK("https://nconnect.nicmar.ac.in/storage/profile/ProfilePhoto_P25701031_957842.jpg","Download")</f>
        <v>0</v>
      </c>
      <c r="BV2598" s="3"/>
      <c r="BW2598" s="3"/>
    </row>
    <row r="2599" spans="1:75">
      <c r="A2599" s="1" t="s">
        <v>40794</v>
      </c>
      <c r="B2599" s="1" t="s">
        <v>446</v>
      </c>
      <c r="C2599" s="1" t="s">
        <v>42284</v>
      </c>
      <c r="D2599" s="1" t="s">
        <v>42285</v>
      </c>
      <c r="E2599" s="1" t="s">
        <v>10368</v>
      </c>
      <c r="F2599" s="1" t="s">
        <v>42286</v>
      </c>
      <c r="G2599" s="1" t="s">
        <v>42287</v>
      </c>
      <c r="H2599" s="1" t="s">
        <v>42288</v>
      </c>
      <c r="I2599" s="1" t="s">
        <v>42289</v>
      </c>
      <c r="J2599" s="1">
        <v>8308644930</v>
      </c>
      <c r="K2599" s="1" t="s">
        <v>153</v>
      </c>
      <c r="L2599" s="1" t="s">
        <v>28050</v>
      </c>
      <c r="M2599" s="1" t="s">
        <v>86</v>
      </c>
      <c r="N2599" s="1" t="s">
        <v>2433</v>
      </c>
      <c r="O2599" s="1"/>
      <c r="P2599" s="1" t="s">
        <v>507</v>
      </c>
      <c r="Q2599" s="1" t="s">
        <v>42290</v>
      </c>
      <c r="R2599" s="1" t="s">
        <v>42291</v>
      </c>
      <c r="S2599" s="1">
        <v>9595097780</v>
      </c>
      <c r="T2599" s="1" t="s">
        <v>645</v>
      </c>
      <c r="U2599" s="1" t="s">
        <v>42292</v>
      </c>
      <c r="V2599" s="1">
        <v>9527085919</v>
      </c>
      <c r="W2599" s="1" t="s">
        <v>645</v>
      </c>
      <c r="X2599" s="1" t="s">
        <v>42293</v>
      </c>
      <c r="Y2599" s="1" t="s">
        <v>196</v>
      </c>
      <c r="Z2599" s="1" t="s">
        <v>97</v>
      </c>
      <c r="AA2599" s="1" t="s">
        <v>42293</v>
      </c>
      <c r="AB2599" s="1" t="s">
        <v>196</v>
      </c>
      <c r="AC2599" s="1" t="s">
        <v>97</v>
      </c>
      <c r="AD2599" s="1">
        <v>9.02</v>
      </c>
      <c r="AE2599" s="1" t="s">
        <v>98</v>
      </c>
      <c r="AF2599" s="1" t="s">
        <v>9897</v>
      </c>
      <c r="AG2599" s="1" t="s">
        <v>41881</v>
      </c>
      <c r="AH2599" s="1" t="s">
        <v>1110</v>
      </c>
      <c r="AI2599" s="1" t="s">
        <v>627</v>
      </c>
      <c r="AJ2599" s="1">
        <v>93.1</v>
      </c>
      <c r="AK2599" s="1">
        <v>9.8</v>
      </c>
      <c r="AL2599" s="1" t="s">
        <v>42294</v>
      </c>
      <c r="AM2599" s="1" t="s">
        <v>2379</v>
      </c>
      <c r="AN2599" s="1" t="s">
        <v>465</v>
      </c>
      <c r="AO2599" s="1" t="s">
        <v>573</v>
      </c>
      <c r="AP2599" s="1" t="s">
        <v>171</v>
      </c>
      <c r="AQ2599" s="1">
        <v>73.85</v>
      </c>
      <c r="AR2599" s="1"/>
      <c r="AS2599" s="1"/>
      <c r="AT2599" s="1"/>
      <c r="AU2599" s="1"/>
      <c r="AV2599" s="1"/>
      <c r="AW2599" s="1"/>
      <c r="AX2599" s="1"/>
      <c r="AY2599" s="1" t="s">
        <v>366</v>
      </c>
      <c r="AZ2599" s="1" t="s">
        <v>42265</v>
      </c>
      <c r="BA2599" s="1" t="s">
        <v>682</v>
      </c>
      <c r="BB2599" s="1" t="s">
        <v>683</v>
      </c>
      <c r="BC2599" s="1" t="s">
        <v>174</v>
      </c>
      <c r="BD2599" s="1" t="s">
        <v>579</v>
      </c>
      <c r="BE2599" s="1">
        <v>75.96</v>
      </c>
      <c r="BF2599" s="1">
        <v>8.4</v>
      </c>
      <c r="BG2599" s="1"/>
      <c r="BH2599" s="1"/>
      <c r="BI2599" s="1"/>
      <c r="BJ2599" s="1"/>
      <c r="BK2599" s="1"/>
      <c r="BL2599" s="1"/>
      <c r="BM2599" s="1"/>
      <c r="BN2599" s="1"/>
      <c r="BO2599" s="1" t="s">
        <v>42295</v>
      </c>
      <c r="BP2599" s="1" t="s">
        <v>42296</v>
      </c>
      <c r="BQ2599" s="1" t="s">
        <v>2213</v>
      </c>
      <c r="BR2599" s="1" t="s">
        <v>42297</v>
      </c>
      <c r="BS2599" s="1">
        <v>28</v>
      </c>
      <c r="BT2599" s="1" t="s">
        <v>42298</v>
      </c>
      <c r="BU2599" s="1" t="str">
        <f>HYPERLINK("https://nconnect.nicmar.ac.in/storage/profile/ProfilePhoto_P25701032_539862.jpg","Download")</f>
        <v>0</v>
      </c>
      <c r="BV2599" s="3"/>
      <c r="BW2599" s="3"/>
    </row>
    <row r="2600" spans="1:75">
      <c r="A2600" s="1" t="s">
        <v>40794</v>
      </c>
      <c r="B2600" s="1" t="s">
        <v>446</v>
      </c>
      <c r="C2600" s="1" t="s">
        <v>42299</v>
      </c>
      <c r="D2600" s="1" t="s">
        <v>42300</v>
      </c>
      <c r="E2600" s="1" t="s">
        <v>762</v>
      </c>
      <c r="F2600" s="1" t="s">
        <v>9986</v>
      </c>
      <c r="G2600" s="1" t="s">
        <v>42301</v>
      </c>
      <c r="H2600" s="1" t="s">
        <v>42302</v>
      </c>
      <c r="I2600" s="1" t="s">
        <v>42303</v>
      </c>
      <c r="J2600" s="1">
        <v>8999332569</v>
      </c>
      <c r="K2600" s="1" t="s">
        <v>84</v>
      </c>
      <c r="L2600" s="1" t="s">
        <v>41349</v>
      </c>
      <c r="M2600" s="1" t="s">
        <v>86</v>
      </c>
      <c r="N2600" s="1" t="s">
        <v>768</v>
      </c>
      <c r="O2600" s="1" t="s">
        <v>42304</v>
      </c>
      <c r="P2600" s="1" t="s">
        <v>507</v>
      </c>
      <c r="Q2600" s="1" t="s">
        <v>42305</v>
      </c>
      <c r="R2600" s="1" t="s">
        <v>762</v>
      </c>
      <c r="S2600" s="1">
        <v>9422915948</v>
      </c>
      <c r="T2600" s="1" t="s">
        <v>1104</v>
      </c>
      <c r="U2600" s="1" t="s">
        <v>42306</v>
      </c>
      <c r="V2600" s="1">
        <v>8668258137</v>
      </c>
      <c r="W2600" s="1" t="s">
        <v>161</v>
      </c>
      <c r="X2600" s="1" t="s">
        <v>42307</v>
      </c>
      <c r="Y2600" s="1" t="s">
        <v>224</v>
      </c>
      <c r="Z2600" s="1" t="s">
        <v>97</v>
      </c>
      <c r="AA2600" s="1" t="s">
        <v>42307</v>
      </c>
      <c r="AB2600" s="1" t="s">
        <v>224</v>
      </c>
      <c r="AC2600" s="1" t="s">
        <v>97</v>
      </c>
      <c r="AD2600" s="1">
        <v>8.65</v>
      </c>
      <c r="AE2600" s="1" t="s">
        <v>98</v>
      </c>
      <c r="AF2600" s="1" t="s">
        <v>42308</v>
      </c>
      <c r="AG2600" s="1" t="s">
        <v>42309</v>
      </c>
      <c r="AH2600" s="1" t="s">
        <v>286</v>
      </c>
      <c r="AI2600" s="1" t="s">
        <v>414</v>
      </c>
      <c r="AJ2600" s="1">
        <v>73.6</v>
      </c>
      <c r="AK2600" s="1">
        <v>0</v>
      </c>
      <c r="AL2600" s="1" t="s">
        <v>42310</v>
      </c>
      <c r="AM2600" s="1" t="s">
        <v>42309</v>
      </c>
      <c r="AN2600" s="1"/>
      <c r="AO2600" s="1" t="s">
        <v>977</v>
      </c>
      <c r="AP2600" s="1" t="s">
        <v>1171</v>
      </c>
      <c r="AQ2600" s="1">
        <v>85.83</v>
      </c>
      <c r="AR2600" s="1">
        <v>0</v>
      </c>
      <c r="AS2600" s="1"/>
      <c r="AT2600" s="1"/>
      <c r="AU2600" s="1"/>
      <c r="AV2600" s="1"/>
      <c r="AW2600" s="1"/>
      <c r="AX2600" s="1"/>
      <c r="AY2600" s="1" t="s">
        <v>340</v>
      </c>
      <c r="AZ2600" s="1" t="s">
        <v>42311</v>
      </c>
      <c r="BA2600" s="1"/>
      <c r="BB2600" s="1"/>
      <c r="BC2600" s="1" t="s">
        <v>847</v>
      </c>
      <c r="BD2600" s="1" t="s">
        <v>1089</v>
      </c>
      <c r="BE2600" s="1">
        <v>60.33</v>
      </c>
      <c r="BF2600" s="1">
        <v>0</v>
      </c>
      <c r="BG2600" s="1"/>
      <c r="BH2600" s="1"/>
      <c r="BI2600" s="1"/>
      <c r="BJ2600" s="1"/>
      <c r="BK2600" s="1"/>
      <c r="BL2600" s="1"/>
      <c r="BM2600" s="1"/>
      <c r="BN2600" s="1"/>
      <c r="BO2600" s="1" t="s">
        <v>42312</v>
      </c>
      <c r="BP2600" s="1"/>
      <c r="BQ2600" s="1"/>
      <c r="BR2600" s="1" t="s">
        <v>42313</v>
      </c>
      <c r="BS2600" s="1">
        <v>7</v>
      </c>
      <c r="BT2600" s="1" t="s">
        <v>42314</v>
      </c>
      <c r="BU2600" s="1" t="str">
        <f>HYPERLINK("https://nconnect.nicmar.ac.in/storage/profile/ProfilePhoto_P25701033_941258.jpg","Download")</f>
        <v>0</v>
      </c>
      <c r="BV2600" s="3"/>
      <c r="BW2600" s="3"/>
    </row>
    <row r="2601" spans="1:75">
      <c r="A2601" s="1" t="s">
        <v>40794</v>
      </c>
      <c r="B2601" s="1" t="s">
        <v>446</v>
      </c>
      <c r="C2601" s="1" t="s">
        <v>42315</v>
      </c>
      <c r="D2601" s="1" t="s">
        <v>116</v>
      </c>
      <c r="E2601" s="1"/>
      <c r="F2601" s="1" t="s">
        <v>42316</v>
      </c>
      <c r="G2601" s="1" t="s">
        <v>42317</v>
      </c>
      <c r="H2601" s="1" t="s">
        <v>42318</v>
      </c>
      <c r="I2601" s="1" t="s">
        <v>42319</v>
      </c>
      <c r="J2601" s="1">
        <v>9123555603</v>
      </c>
      <c r="K2601" s="1" t="s">
        <v>84</v>
      </c>
      <c r="L2601" s="1" t="s">
        <v>27381</v>
      </c>
      <c r="M2601" s="1" t="s">
        <v>86</v>
      </c>
      <c r="N2601" s="1" t="s">
        <v>12135</v>
      </c>
      <c r="O2601" s="1"/>
      <c r="P2601" s="1" t="s">
        <v>1028</v>
      </c>
      <c r="Q2601" s="1" t="s">
        <v>42320</v>
      </c>
      <c r="R2601" s="1" t="s">
        <v>42321</v>
      </c>
      <c r="S2601" s="1">
        <v>7358438796</v>
      </c>
      <c r="T2601" s="1" t="s">
        <v>42322</v>
      </c>
      <c r="U2601" s="1" t="s">
        <v>42323</v>
      </c>
      <c r="V2601" s="1">
        <v>8056810640</v>
      </c>
      <c r="W2601" s="1" t="s">
        <v>541</v>
      </c>
      <c r="X2601" s="1" t="s">
        <v>42324</v>
      </c>
      <c r="Y2601" s="1" t="s">
        <v>1498</v>
      </c>
      <c r="Z2601" s="1" t="s">
        <v>570</v>
      </c>
      <c r="AA2601" s="1" t="s">
        <v>42324</v>
      </c>
      <c r="AB2601" s="1" t="s">
        <v>1498</v>
      </c>
      <c r="AC2601" s="1" t="s">
        <v>570</v>
      </c>
      <c r="AD2601" s="1">
        <v>8.28</v>
      </c>
      <c r="AE2601" s="1" t="s">
        <v>98</v>
      </c>
      <c r="AF2601" s="1" t="s">
        <v>1624</v>
      </c>
      <c r="AG2601" s="1" t="s">
        <v>42325</v>
      </c>
      <c r="AH2601" s="1" t="s">
        <v>2726</v>
      </c>
      <c r="AI2601" s="1" t="s">
        <v>1262</v>
      </c>
      <c r="AJ2601" s="1">
        <v>74.1</v>
      </c>
      <c r="AK2601" s="1">
        <v>7.8</v>
      </c>
      <c r="AL2601" s="1" t="s">
        <v>1603</v>
      </c>
      <c r="AM2601" s="1" t="s">
        <v>3034</v>
      </c>
      <c r="AN2601" s="1"/>
      <c r="AO2601" s="1" t="s">
        <v>101</v>
      </c>
      <c r="AP2601" s="1" t="s">
        <v>284</v>
      </c>
      <c r="AQ2601" s="1">
        <v>92.3</v>
      </c>
      <c r="AR2601" s="1"/>
      <c r="AS2601" s="1"/>
      <c r="AT2601" s="1"/>
      <c r="AU2601" s="1"/>
      <c r="AV2601" s="1"/>
      <c r="AW2601" s="1"/>
      <c r="AX2601" s="1"/>
      <c r="AY2601" s="1" t="s">
        <v>42326</v>
      </c>
      <c r="AZ2601" s="1" t="s">
        <v>42327</v>
      </c>
      <c r="BA2601" s="1"/>
      <c r="BB2601" s="1"/>
      <c r="BC2601" s="1" t="s">
        <v>139</v>
      </c>
      <c r="BD2601" s="1" t="s">
        <v>441</v>
      </c>
      <c r="BE2601" s="1">
        <v>74.4</v>
      </c>
      <c r="BF2601" s="1">
        <v>7.44</v>
      </c>
      <c r="BG2601" s="1"/>
      <c r="BH2601" s="1"/>
      <c r="BI2601" s="1"/>
      <c r="BJ2601" s="1"/>
      <c r="BK2601" s="1"/>
      <c r="BL2601" s="1"/>
      <c r="BM2601" s="1"/>
      <c r="BN2601" s="1"/>
      <c r="BO2601" s="1" t="s">
        <v>42328</v>
      </c>
      <c r="BP2601" s="1" t="s">
        <v>42329</v>
      </c>
      <c r="BQ2601" s="1" t="s">
        <v>19293</v>
      </c>
      <c r="BR2601" s="1" t="s">
        <v>42330</v>
      </c>
      <c r="BS2601" s="1">
        <v>26</v>
      </c>
      <c r="BT2601" s="1"/>
      <c r="BU2601" s="1" t="str">
        <f>HYPERLINK("https://nconnect.nicmar.ac.in/storage/profile/ProfilePhoto_P25701034_463527.jpg","Download")</f>
        <v>0</v>
      </c>
      <c r="BV2601" s="3"/>
      <c r="BW2601" s="3"/>
    </row>
    <row r="2602" spans="1:75">
      <c r="A2602" s="1" t="s">
        <v>40794</v>
      </c>
      <c r="B2602" s="1" t="s">
        <v>446</v>
      </c>
      <c r="C2602" s="1" t="s">
        <v>42331</v>
      </c>
      <c r="D2602" s="1" t="s">
        <v>31185</v>
      </c>
      <c r="E2602" s="1" t="s">
        <v>2233</v>
      </c>
      <c r="F2602" s="1" t="s">
        <v>2250</v>
      </c>
      <c r="G2602" s="1" t="s">
        <v>42332</v>
      </c>
      <c r="H2602" s="1" t="s">
        <v>42333</v>
      </c>
      <c r="I2602" s="1" t="s">
        <v>42334</v>
      </c>
      <c r="J2602" s="1">
        <v>9619687622</v>
      </c>
      <c r="K2602" s="1" t="s">
        <v>153</v>
      </c>
      <c r="L2602" s="1" t="s">
        <v>42335</v>
      </c>
      <c r="M2602" s="1" t="s">
        <v>86</v>
      </c>
      <c r="N2602" s="1" t="s">
        <v>246</v>
      </c>
      <c r="O2602" s="1"/>
      <c r="P2602" s="1" t="s">
        <v>507</v>
      </c>
      <c r="Q2602" s="1" t="s">
        <v>42336</v>
      </c>
      <c r="R2602" s="1" t="s">
        <v>2233</v>
      </c>
      <c r="S2602" s="1">
        <v>9892424677</v>
      </c>
      <c r="T2602" s="1" t="s">
        <v>1620</v>
      </c>
      <c r="U2602" s="1" t="s">
        <v>8325</v>
      </c>
      <c r="V2602" s="1">
        <v>9819902653</v>
      </c>
      <c r="W2602" s="1" t="s">
        <v>94</v>
      </c>
      <c r="X2602" s="1" t="s">
        <v>42337</v>
      </c>
      <c r="Y2602" s="1" t="s">
        <v>2259</v>
      </c>
      <c r="Z2602" s="1" t="s">
        <v>97</v>
      </c>
      <c r="AA2602" s="1" t="s">
        <v>42338</v>
      </c>
      <c r="AB2602" s="1" t="s">
        <v>2259</v>
      </c>
      <c r="AC2602" s="1" t="s">
        <v>97</v>
      </c>
      <c r="AD2602" s="1">
        <v>9.14</v>
      </c>
      <c r="AE2602" s="1" t="s">
        <v>98</v>
      </c>
      <c r="AF2602" s="1" t="s">
        <v>42339</v>
      </c>
      <c r="AG2602" s="1" t="s">
        <v>2181</v>
      </c>
      <c r="AH2602" s="1" t="s">
        <v>284</v>
      </c>
      <c r="AI2602" s="1" t="s">
        <v>573</v>
      </c>
      <c r="AJ2602" s="1">
        <v>91.16</v>
      </c>
      <c r="AK2602" s="1">
        <v>0</v>
      </c>
      <c r="AL2602" s="1" t="s">
        <v>41950</v>
      </c>
      <c r="AM2602" s="1" t="s">
        <v>165</v>
      </c>
      <c r="AN2602" s="1" t="s">
        <v>575</v>
      </c>
      <c r="AO2602" s="1" t="s">
        <v>106</v>
      </c>
      <c r="AP2602" s="1" t="s">
        <v>203</v>
      </c>
      <c r="AQ2602" s="1">
        <v>73.69</v>
      </c>
      <c r="AR2602" s="1">
        <v>0</v>
      </c>
      <c r="AS2602" s="1"/>
      <c r="AT2602" s="1"/>
      <c r="AU2602" s="1"/>
      <c r="AV2602" s="1"/>
      <c r="AW2602" s="1"/>
      <c r="AX2602" s="1"/>
      <c r="AY2602" s="1" t="s">
        <v>258</v>
      </c>
      <c r="AZ2602" s="1" t="s">
        <v>42340</v>
      </c>
      <c r="BA2602" s="1" t="s">
        <v>682</v>
      </c>
      <c r="BB2602" s="1" t="s">
        <v>1561</v>
      </c>
      <c r="BC2602" s="1" t="s">
        <v>206</v>
      </c>
      <c r="BD2602" s="1" t="s">
        <v>418</v>
      </c>
      <c r="BE2602" s="1">
        <v>74.53</v>
      </c>
      <c r="BF2602" s="1">
        <v>8.45</v>
      </c>
      <c r="BG2602" s="1"/>
      <c r="BH2602" s="1"/>
      <c r="BI2602" s="1"/>
      <c r="BJ2602" s="1"/>
      <c r="BK2602" s="1"/>
      <c r="BL2602" s="1"/>
      <c r="BM2602" s="1"/>
      <c r="BN2602" s="1"/>
      <c r="BO2602" s="1" t="s">
        <v>42341</v>
      </c>
      <c r="BP2602" s="1" t="s">
        <v>42342</v>
      </c>
      <c r="BQ2602" s="1" t="s">
        <v>1043</v>
      </c>
      <c r="BR2602" s="1" t="s">
        <v>42343</v>
      </c>
      <c r="BS2602" s="1">
        <v>30</v>
      </c>
      <c r="BT2602" s="1"/>
      <c r="BU2602" s="1" t="str">
        <f>HYPERLINK("https://nconnect.nicmar.ac.in/storage/profile/ProfilePhoto_P25701035_827956.jpg","Download")</f>
        <v>0</v>
      </c>
      <c r="BV2602" s="3"/>
      <c r="BW2602" s="3"/>
    </row>
    <row r="2603" spans="1:75">
      <c r="A2603" s="1" t="s">
        <v>40794</v>
      </c>
      <c r="B2603" s="1" t="s">
        <v>446</v>
      </c>
      <c r="C2603" s="1" t="s">
        <v>42344</v>
      </c>
      <c r="D2603" s="1" t="s">
        <v>1900</v>
      </c>
      <c r="E2603" s="1"/>
      <c r="F2603" s="1" t="s">
        <v>42345</v>
      </c>
      <c r="G2603" s="1" t="s">
        <v>42346</v>
      </c>
      <c r="H2603" s="1" t="s">
        <v>42347</v>
      </c>
      <c r="I2603" s="1" t="s">
        <v>42348</v>
      </c>
      <c r="J2603" s="1">
        <v>9392753545</v>
      </c>
      <c r="K2603" s="1" t="s">
        <v>153</v>
      </c>
      <c r="L2603" s="1" t="s">
        <v>42349</v>
      </c>
      <c r="M2603" s="1" t="s">
        <v>86</v>
      </c>
      <c r="N2603" s="1" t="s">
        <v>42350</v>
      </c>
      <c r="O2603" s="1" t="s">
        <v>42351</v>
      </c>
      <c r="P2603" s="1" t="s">
        <v>507</v>
      </c>
      <c r="Q2603" s="1" t="s">
        <v>42352</v>
      </c>
      <c r="R2603" s="1" t="s">
        <v>42353</v>
      </c>
      <c r="S2603" s="1">
        <v>9885067159</v>
      </c>
      <c r="T2603" s="1" t="s">
        <v>839</v>
      </c>
      <c r="U2603" s="1" t="s">
        <v>42354</v>
      </c>
      <c r="V2603" s="1">
        <v>9347062402</v>
      </c>
      <c r="W2603" s="1" t="s">
        <v>541</v>
      </c>
      <c r="X2603" s="1" t="s">
        <v>42355</v>
      </c>
      <c r="Y2603" s="1" t="s">
        <v>12907</v>
      </c>
      <c r="Z2603" s="1" t="s">
        <v>281</v>
      </c>
      <c r="AA2603" s="1" t="s">
        <v>42355</v>
      </c>
      <c r="AB2603" s="1" t="s">
        <v>12907</v>
      </c>
      <c r="AC2603" s="1" t="s">
        <v>281</v>
      </c>
      <c r="AD2603" s="1">
        <v>8.79</v>
      </c>
      <c r="AE2603" s="1" t="s">
        <v>98</v>
      </c>
      <c r="AF2603" s="1" t="s">
        <v>42356</v>
      </c>
      <c r="AG2603" s="1" t="s">
        <v>312</v>
      </c>
      <c r="AH2603" s="1" t="s">
        <v>388</v>
      </c>
      <c r="AI2603" s="1" t="s">
        <v>171</v>
      </c>
      <c r="AJ2603" s="1">
        <v>87.8</v>
      </c>
      <c r="AK2603" s="1"/>
      <c r="AL2603" s="1" t="s">
        <v>3033</v>
      </c>
      <c r="AM2603" s="1" t="s">
        <v>42357</v>
      </c>
      <c r="AN2603" s="1" t="s">
        <v>465</v>
      </c>
      <c r="AO2603" s="1" t="s">
        <v>171</v>
      </c>
      <c r="AP2603" s="1" t="s">
        <v>365</v>
      </c>
      <c r="AQ2603" s="1">
        <v>95.7</v>
      </c>
      <c r="AR2603" s="1">
        <v>9.57</v>
      </c>
      <c r="AS2603" s="1"/>
      <c r="AT2603" s="1"/>
      <c r="AU2603" s="1"/>
      <c r="AV2603" s="1"/>
      <c r="AW2603" s="1"/>
      <c r="AX2603" s="1"/>
      <c r="AY2603" s="1" t="s">
        <v>42358</v>
      </c>
      <c r="AZ2603" s="1" t="s">
        <v>42359</v>
      </c>
      <c r="BA2603" s="1" t="s">
        <v>682</v>
      </c>
      <c r="BB2603" s="1" t="s">
        <v>1561</v>
      </c>
      <c r="BC2603" s="1" t="s">
        <v>175</v>
      </c>
      <c r="BD2603" s="1" t="s">
        <v>553</v>
      </c>
      <c r="BE2603" s="1">
        <v>81.2</v>
      </c>
      <c r="BF2603" s="1">
        <v>8.87</v>
      </c>
      <c r="BG2603" s="1"/>
      <c r="BH2603" s="1"/>
      <c r="BI2603" s="1"/>
      <c r="BJ2603" s="1"/>
      <c r="BK2603" s="1"/>
      <c r="BL2603" s="1"/>
      <c r="BM2603" s="1"/>
      <c r="BN2603" s="1"/>
      <c r="BO2603" s="1" t="s">
        <v>42360</v>
      </c>
      <c r="BP2603" s="1"/>
      <c r="BQ2603" s="1"/>
      <c r="BR2603" s="1" t="s">
        <v>42361</v>
      </c>
      <c r="BS2603" s="1">
        <v>35</v>
      </c>
      <c r="BT2603" s="1" t="s">
        <v>42362</v>
      </c>
      <c r="BU2603" s="1" t="str">
        <f>HYPERLINK("https://nconnect.nicmar.ac.in/storage/profile/ProfilePhoto_P25701036_451738.jpg","Download")</f>
        <v>0</v>
      </c>
      <c r="BV2603" s="3"/>
      <c r="BW2603" s="3"/>
    </row>
    <row r="2604" spans="1:75">
      <c r="A2604" s="1" t="s">
        <v>40794</v>
      </c>
      <c r="B2604" s="1" t="s">
        <v>446</v>
      </c>
      <c r="C2604" s="1" t="s">
        <v>42363</v>
      </c>
      <c r="D2604" s="1" t="s">
        <v>42364</v>
      </c>
      <c r="E2604" s="1"/>
      <c r="F2604" s="1" t="s">
        <v>42365</v>
      </c>
      <c r="G2604" s="1" t="s">
        <v>42366</v>
      </c>
      <c r="H2604" s="1" t="s">
        <v>42367</v>
      </c>
      <c r="I2604" s="1" t="s">
        <v>42368</v>
      </c>
      <c r="J2604" s="1">
        <v>7306280013</v>
      </c>
      <c r="K2604" s="1" t="s">
        <v>153</v>
      </c>
      <c r="L2604" s="1" t="s">
        <v>38913</v>
      </c>
      <c r="M2604" s="1" t="s">
        <v>86</v>
      </c>
      <c r="N2604" s="1" t="s">
        <v>42369</v>
      </c>
      <c r="O2604" s="1"/>
      <c r="P2604" s="1" t="s">
        <v>507</v>
      </c>
      <c r="Q2604" s="1" t="s">
        <v>42370</v>
      </c>
      <c r="R2604" s="1" t="s">
        <v>42371</v>
      </c>
      <c r="S2604" s="1">
        <v>8281347926</v>
      </c>
      <c r="T2604" s="1" t="s">
        <v>42372</v>
      </c>
      <c r="U2604" s="1" t="s">
        <v>42373</v>
      </c>
      <c r="V2604" s="1">
        <v>9495407926</v>
      </c>
      <c r="W2604" s="1" t="s">
        <v>42374</v>
      </c>
      <c r="X2604" s="1" t="s">
        <v>42375</v>
      </c>
      <c r="Y2604" s="1" t="s">
        <v>3190</v>
      </c>
      <c r="Z2604" s="1" t="s">
        <v>130</v>
      </c>
      <c r="AA2604" s="1" t="s">
        <v>42375</v>
      </c>
      <c r="AB2604" s="1" t="s">
        <v>3190</v>
      </c>
      <c r="AC2604" s="1" t="s">
        <v>130</v>
      </c>
      <c r="AD2604" s="1">
        <v>7.6</v>
      </c>
      <c r="AE2604" s="1" t="s">
        <v>98</v>
      </c>
      <c r="AF2604" s="1" t="s">
        <v>42376</v>
      </c>
      <c r="AG2604" s="1" t="s">
        <v>42377</v>
      </c>
      <c r="AH2604" s="1" t="s">
        <v>167</v>
      </c>
      <c r="AI2604" s="1" t="s">
        <v>573</v>
      </c>
      <c r="AJ2604" s="1">
        <v>71.67</v>
      </c>
      <c r="AK2604" s="1"/>
      <c r="AL2604" s="1" t="s">
        <v>42378</v>
      </c>
      <c r="AM2604" s="1" t="s">
        <v>42379</v>
      </c>
      <c r="AN2604" s="1"/>
      <c r="AO2604" s="1" t="s">
        <v>388</v>
      </c>
      <c r="AP2604" s="1" t="s">
        <v>313</v>
      </c>
      <c r="AQ2604" s="1">
        <v>77.4</v>
      </c>
      <c r="AR2604" s="1"/>
      <c r="AS2604" s="1"/>
      <c r="AT2604" s="1"/>
      <c r="AU2604" s="1" t="s">
        <v>179</v>
      </c>
      <c r="AV2604" s="1" t="s">
        <v>418</v>
      </c>
      <c r="AW2604" s="1"/>
      <c r="AX2604" s="1"/>
      <c r="AY2604" s="1" t="s">
        <v>137</v>
      </c>
      <c r="AZ2604" s="1" t="s">
        <v>42380</v>
      </c>
      <c r="BA2604" s="1"/>
      <c r="BB2604" s="1"/>
      <c r="BC2604" s="1" t="s">
        <v>315</v>
      </c>
      <c r="BD2604" s="1" t="s">
        <v>5278</v>
      </c>
      <c r="BE2604" s="1">
        <v>70.01</v>
      </c>
      <c r="BF2604" s="1"/>
      <c r="BG2604" s="1"/>
      <c r="BH2604" s="1"/>
      <c r="BI2604" s="1"/>
      <c r="BJ2604" s="1"/>
      <c r="BK2604" s="1"/>
      <c r="BL2604" s="1"/>
      <c r="BM2604" s="1"/>
      <c r="BN2604" s="1"/>
      <c r="BO2604" s="1" t="s">
        <v>42381</v>
      </c>
      <c r="BP2604" s="1"/>
      <c r="BQ2604" s="1"/>
      <c r="BR2604" s="1" t="s">
        <v>42382</v>
      </c>
      <c r="BS2604" s="1">
        <v>42</v>
      </c>
      <c r="BT2604" s="1" t="s">
        <v>42383</v>
      </c>
      <c r="BU2604" s="1" t="str">
        <f>HYPERLINK("https://nconnect.nicmar.ac.in/storage/profile/ProfilePhoto_P25701037_823671.jpg","Download")</f>
        <v>0</v>
      </c>
      <c r="BV2604" s="3"/>
      <c r="BW2604" s="3"/>
    </row>
    <row r="2605" spans="1:75">
      <c r="A2605" s="1" t="s">
        <v>40794</v>
      </c>
      <c r="B2605" s="1" t="s">
        <v>446</v>
      </c>
      <c r="C2605" s="1" t="s">
        <v>42384</v>
      </c>
      <c r="D2605" s="1" t="s">
        <v>42385</v>
      </c>
      <c r="E2605" s="1"/>
      <c r="F2605" s="1" t="s">
        <v>2735</v>
      </c>
      <c r="G2605" s="1" t="s">
        <v>42386</v>
      </c>
      <c r="H2605" s="1" t="s">
        <v>42387</v>
      </c>
      <c r="I2605" s="1" t="s">
        <v>42388</v>
      </c>
      <c r="J2605" s="1">
        <v>7838118203</v>
      </c>
      <c r="K2605" s="1" t="s">
        <v>84</v>
      </c>
      <c r="L2605" s="1" t="s">
        <v>33445</v>
      </c>
      <c r="M2605" s="1" t="s">
        <v>86</v>
      </c>
      <c r="N2605" s="1" t="s">
        <v>246</v>
      </c>
      <c r="O2605" s="1"/>
      <c r="P2605" s="1" t="s">
        <v>507</v>
      </c>
      <c r="Q2605" s="1" t="s">
        <v>42389</v>
      </c>
      <c r="R2605" s="1" t="s">
        <v>42390</v>
      </c>
      <c r="S2605" s="1">
        <v>7490047758</v>
      </c>
      <c r="T2605" s="1" t="s">
        <v>37507</v>
      </c>
      <c r="U2605" s="1" t="s">
        <v>42391</v>
      </c>
      <c r="V2605" s="1">
        <v>9540883202</v>
      </c>
      <c r="W2605" s="1" t="s">
        <v>541</v>
      </c>
      <c r="X2605" s="1" t="s">
        <v>42392</v>
      </c>
      <c r="Y2605" s="1" t="s">
        <v>3767</v>
      </c>
      <c r="Z2605" s="1" t="s">
        <v>544</v>
      </c>
      <c r="AA2605" s="1" t="s">
        <v>42392</v>
      </c>
      <c r="AB2605" s="1" t="s">
        <v>3767</v>
      </c>
      <c r="AC2605" s="1" t="s">
        <v>544</v>
      </c>
      <c r="AD2605" s="1">
        <v>8.37</v>
      </c>
      <c r="AE2605" s="1" t="s">
        <v>98</v>
      </c>
      <c r="AF2605" s="1" t="s">
        <v>24232</v>
      </c>
      <c r="AG2605" s="1" t="s">
        <v>42393</v>
      </c>
      <c r="AH2605" s="1" t="s">
        <v>3770</v>
      </c>
      <c r="AI2605" s="1" t="s">
        <v>134</v>
      </c>
      <c r="AJ2605" s="1">
        <v>64.6</v>
      </c>
      <c r="AK2605" s="1">
        <v>6.8</v>
      </c>
      <c r="AL2605" s="1" t="s">
        <v>42394</v>
      </c>
      <c r="AM2605" s="1" t="s">
        <v>42393</v>
      </c>
      <c r="AN2605" s="1"/>
      <c r="AO2605" s="1" t="s">
        <v>1262</v>
      </c>
      <c r="AP2605" s="1" t="s">
        <v>136</v>
      </c>
      <c r="AQ2605" s="1">
        <v>71.4</v>
      </c>
      <c r="AR2605" s="1"/>
      <c r="AS2605" s="1"/>
      <c r="AT2605" s="1"/>
      <c r="AU2605" s="1"/>
      <c r="AV2605" s="1"/>
      <c r="AW2605" s="1"/>
      <c r="AX2605" s="1"/>
      <c r="AY2605" s="1" t="s">
        <v>42395</v>
      </c>
      <c r="AZ2605" s="1" t="s">
        <v>42396</v>
      </c>
      <c r="BA2605" s="1"/>
      <c r="BB2605" s="1"/>
      <c r="BC2605" s="1" t="s">
        <v>139</v>
      </c>
      <c r="BD2605" s="1" t="s">
        <v>438</v>
      </c>
      <c r="BE2605" s="1">
        <v>63.8</v>
      </c>
      <c r="BF2605" s="1">
        <v>6.38</v>
      </c>
      <c r="BG2605" s="1"/>
      <c r="BH2605" s="1"/>
      <c r="BI2605" s="1"/>
      <c r="BJ2605" s="1"/>
      <c r="BK2605" s="1"/>
      <c r="BL2605" s="1"/>
      <c r="BM2605" s="1"/>
      <c r="BN2605" s="1"/>
      <c r="BO2605" s="1" t="s">
        <v>1114</v>
      </c>
      <c r="BP2605" s="1" t="s">
        <v>42397</v>
      </c>
      <c r="BQ2605" s="1" t="s">
        <v>143</v>
      </c>
      <c r="BR2605" s="1" t="s">
        <v>42398</v>
      </c>
      <c r="BS2605" s="1">
        <v>12</v>
      </c>
      <c r="BT2605" s="1" t="s">
        <v>42399</v>
      </c>
      <c r="BU2605" s="1" t="str">
        <f>HYPERLINK("https://nconnect.nicmar.ac.in/storage/profile/ProfilePhoto_P25701038_647513.jpg","Download")</f>
        <v>0</v>
      </c>
      <c r="BV2605" s="3"/>
      <c r="BW2605" s="3"/>
    </row>
    <row r="2606" spans="1:75">
      <c r="A2606" s="1" t="s">
        <v>40794</v>
      </c>
      <c r="B2606" s="1" t="s">
        <v>446</v>
      </c>
      <c r="C2606" s="1" t="s">
        <v>42400</v>
      </c>
      <c r="D2606" s="1" t="s">
        <v>42401</v>
      </c>
      <c r="E2606" s="1"/>
      <c r="F2606" s="1" t="s">
        <v>530</v>
      </c>
      <c r="G2606" s="1" t="s">
        <v>42402</v>
      </c>
      <c r="H2606" s="1" t="s">
        <v>42403</v>
      </c>
      <c r="I2606" s="1" t="s">
        <v>42404</v>
      </c>
      <c r="J2606" s="1">
        <v>9654994536</v>
      </c>
      <c r="K2606" s="1" t="s">
        <v>84</v>
      </c>
      <c r="L2606" s="1" t="s">
        <v>42405</v>
      </c>
      <c r="M2606" s="1" t="s">
        <v>86</v>
      </c>
      <c r="N2606" s="1" t="s">
        <v>42406</v>
      </c>
      <c r="O2606" s="1"/>
      <c r="P2606" s="1" t="s">
        <v>1028</v>
      </c>
      <c r="Q2606" s="1" t="s">
        <v>42407</v>
      </c>
      <c r="R2606" s="1" t="s">
        <v>42408</v>
      </c>
      <c r="S2606" s="1">
        <v>9910356567</v>
      </c>
      <c r="T2606" s="1" t="s">
        <v>839</v>
      </c>
      <c r="U2606" s="1" t="s">
        <v>42409</v>
      </c>
      <c r="V2606" s="1">
        <v>7838378900</v>
      </c>
      <c r="W2606" s="1" t="s">
        <v>541</v>
      </c>
      <c r="X2606" s="1" t="s">
        <v>42410</v>
      </c>
      <c r="Y2606" s="1" t="s">
        <v>25440</v>
      </c>
      <c r="Z2606" s="1" t="s">
        <v>1739</v>
      </c>
      <c r="AA2606" s="1" t="s">
        <v>42410</v>
      </c>
      <c r="AB2606" s="1" t="s">
        <v>25440</v>
      </c>
      <c r="AC2606" s="1" t="s">
        <v>1739</v>
      </c>
      <c r="AD2606" s="1">
        <v>8.47</v>
      </c>
      <c r="AE2606" s="1" t="s">
        <v>98</v>
      </c>
      <c r="AF2606" s="1" t="s">
        <v>42411</v>
      </c>
      <c r="AG2606" s="1" t="s">
        <v>42412</v>
      </c>
      <c r="AH2606" s="1" t="s">
        <v>3770</v>
      </c>
      <c r="AI2606" s="1" t="s">
        <v>1583</v>
      </c>
      <c r="AJ2606" s="1">
        <v>74.1</v>
      </c>
      <c r="AK2606" s="1">
        <v>7.8</v>
      </c>
      <c r="AL2606" s="1" t="s">
        <v>42413</v>
      </c>
      <c r="AM2606" s="1" t="s">
        <v>42412</v>
      </c>
      <c r="AN2606" s="1" t="s">
        <v>6323</v>
      </c>
      <c r="AO2606" s="1" t="s">
        <v>1214</v>
      </c>
      <c r="AP2606" s="1" t="s">
        <v>166</v>
      </c>
      <c r="AQ2606" s="1">
        <v>64.6</v>
      </c>
      <c r="AR2606" s="1"/>
      <c r="AS2606" s="1"/>
      <c r="AT2606" s="1"/>
      <c r="AU2606" s="1"/>
      <c r="AV2606" s="1"/>
      <c r="AW2606" s="1"/>
      <c r="AX2606" s="1"/>
      <c r="AY2606" s="1" t="s">
        <v>42414</v>
      </c>
      <c r="AZ2606" s="1" t="s">
        <v>42415</v>
      </c>
      <c r="BA2606" s="1" t="s">
        <v>682</v>
      </c>
      <c r="BB2606" s="1" t="s">
        <v>1561</v>
      </c>
      <c r="BC2606" s="1" t="s">
        <v>105</v>
      </c>
      <c r="BD2606" s="1" t="s">
        <v>175</v>
      </c>
      <c r="BE2606" s="1">
        <v>58.33</v>
      </c>
      <c r="BF2606" s="1">
        <v>6.14</v>
      </c>
      <c r="BG2606" s="1" t="s">
        <v>42414</v>
      </c>
      <c r="BH2606" s="1" t="s">
        <v>1062</v>
      </c>
      <c r="BI2606" s="1"/>
      <c r="BJ2606" s="1"/>
      <c r="BK2606" s="1" t="s">
        <v>175</v>
      </c>
      <c r="BL2606" s="1" t="s">
        <v>1400</v>
      </c>
      <c r="BM2606" s="1">
        <v>69.25</v>
      </c>
      <c r="BN2606" s="1">
        <v>7.29</v>
      </c>
      <c r="BO2606" s="1" t="s">
        <v>42416</v>
      </c>
      <c r="BP2606" s="1" t="s">
        <v>42417</v>
      </c>
      <c r="BQ2606" s="1" t="s">
        <v>9111</v>
      </c>
      <c r="BR2606" s="1" t="s">
        <v>42418</v>
      </c>
      <c r="BS2606" s="1">
        <v>14</v>
      </c>
      <c r="BT2606" s="1"/>
      <c r="BU2606" s="1" t="str">
        <f>HYPERLINK("https://nconnect.nicmar.ac.in/storage/profile/ProfilePhoto_P25701040_275319.jpg","Download")</f>
        <v>0</v>
      </c>
      <c r="BV2606" s="3"/>
      <c r="BW2606" s="3"/>
    </row>
    <row r="2607" spans="1:75">
      <c r="A2607" s="1" t="s">
        <v>40794</v>
      </c>
      <c r="B2607" s="1" t="s">
        <v>446</v>
      </c>
      <c r="C2607" s="1" t="s">
        <v>42419</v>
      </c>
      <c r="D2607" s="1" t="s">
        <v>2249</v>
      </c>
      <c r="E2607" s="1" t="s">
        <v>13490</v>
      </c>
      <c r="F2607" s="1" t="s">
        <v>10216</v>
      </c>
      <c r="G2607" s="1" t="s">
        <v>42420</v>
      </c>
      <c r="H2607" s="1" t="s">
        <v>42421</v>
      </c>
      <c r="I2607" s="1" t="s">
        <v>42422</v>
      </c>
      <c r="J2607" s="1">
        <v>7032613332</v>
      </c>
      <c r="K2607" s="1" t="s">
        <v>84</v>
      </c>
      <c r="L2607" s="1" t="s">
        <v>19800</v>
      </c>
      <c r="M2607" s="1" t="s">
        <v>86</v>
      </c>
      <c r="N2607" s="1" t="s">
        <v>42423</v>
      </c>
      <c r="O2607" s="1"/>
      <c r="P2607" s="1"/>
      <c r="Q2607" s="1" t="s">
        <v>42424</v>
      </c>
      <c r="R2607" s="1" t="s">
        <v>42425</v>
      </c>
      <c r="S2607" s="1">
        <v>9583257443</v>
      </c>
      <c r="T2607" s="1" t="s">
        <v>839</v>
      </c>
      <c r="U2607" s="1" t="s">
        <v>42426</v>
      </c>
      <c r="V2607" s="1">
        <v>9437359115</v>
      </c>
      <c r="W2607" s="1" t="s">
        <v>94</v>
      </c>
      <c r="X2607" s="1" t="s">
        <v>42427</v>
      </c>
      <c r="Y2607" s="1" t="s">
        <v>42428</v>
      </c>
      <c r="Z2607" s="1" t="s">
        <v>865</v>
      </c>
      <c r="AA2607" s="1" t="s">
        <v>42429</v>
      </c>
      <c r="AB2607" s="1" t="s">
        <v>42428</v>
      </c>
      <c r="AC2607" s="1" t="s">
        <v>865</v>
      </c>
      <c r="AD2607" s="1">
        <v>8.53</v>
      </c>
      <c r="AE2607" s="1" t="s">
        <v>98</v>
      </c>
      <c r="AF2607" s="1" t="s">
        <v>42430</v>
      </c>
      <c r="AG2607" s="1" t="s">
        <v>796</v>
      </c>
      <c r="AH2607" s="1" t="s">
        <v>1213</v>
      </c>
      <c r="AI2607" s="1" t="s">
        <v>136</v>
      </c>
      <c r="AJ2607" s="1">
        <v>83.6</v>
      </c>
      <c r="AK2607" s="1">
        <v>8.8</v>
      </c>
      <c r="AL2607" s="1" t="s">
        <v>25726</v>
      </c>
      <c r="AM2607" s="1" t="s">
        <v>42431</v>
      </c>
      <c r="AN2607" s="1"/>
      <c r="AO2607" s="1" t="s">
        <v>166</v>
      </c>
      <c r="AP2607" s="1" t="s">
        <v>704</v>
      </c>
      <c r="AQ2607" s="1">
        <v>79.5</v>
      </c>
      <c r="AR2607" s="1"/>
      <c r="AS2607" s="1"/>
      <c r="AT2607" s="1"/>
      <c r="AU2607" s="1"/>
      <c r="AV2607" s="1"/>
      <c r="AW2607" s="1"/>
      <c r="AX2607" s="1"/>
      <c r="AY2607" s="1" t="s">
        <v>42432</v>
      </c>
      <c r="AZ2607" s="1" t="s">
        <v>42433</v>
      </c>
      <c r="BA2607" s="1"/>
      <c r="BB2607" s="1"/>
      <c r="BC2607" s="1" t="s">
        <v>170</v>
      </c>
      <c r="BD2607" s="1" t="s">
        <v>441</v>
      </c>
      <c r="BE2607" s="1">
        <v>65.83</v>
      </c>
      <c r="BF2607" s="1">
        <v>6.93</v>
      </c>
      <c r="BG2607" s="1"/>
      <c r="BH2607" s="1"/>
      <c r="BI2607" s="1"/>
      <c r="BJ2607" s="1"/>
      <c r="BK2607" s="1"/>
      <c r="BL2607" s="1"/>
      <c r="BM2607" s="1"/>
      <c r="BN2607" s="1"/>
      <c r="BO2607" s="1" t="s">
        <v>42434</v>
      </c>
      <c r="BP2607" s="1" t="s">
        <v>42435</v>
      </c>
      <c r="BQ2607" s="1" t="s">
        <v>736</v>
      </c>
      <c r="BR2607" s="1" t="s">
        <v>42436</v>
      </c>
      <c r="BS2607" s="1">
        <v>8</v>
      </c>
      <c r="BT2607" s="1" t="s">
        <v>42437</v>
      </c>
      <c r="BU2607" s="1" t="str">
        <f>HYPERLINK("https://nconnect.nicmar.ac.in/storage/profile/ProfilePhoto_P25701041_738129.jpg","Download")</f>
        <v>0</v>
      </c>
      <c r="BV2607" s="3"/>
      <c r="BW2607" s="3"/>
    </row>
    <row r="2608" spans="1:75">
      <c r="A2608" s="1" t="s">
        <v>40794</v>
      </c>
      <c r="B2608" s="1" t="s">
        <v>446</v>
      </c>
      <c r="C2608" s="1" t="s">
        <v>42438</v>
      </c>
      <c r="D2608" s="1" t="s">
        <v>42439</v>
      </c>
      <c r="E2608" s="1" t="s">
        <v>761</v>
      </c>
      <c r="F2608" s="1" t="s">
        <v>10508</v>
      </c>
      <c r="G2608" s="1" t="s">
        <v>42440</v>
      </c>
      <c r="H2608" s="1" t="s">
        <v>42441</v>
      </c>
      <c r="I2608" s="1" t="s">
        <v>42442</v>
      </c>
      <c r="J2608" s="1">
        <v>9653349239</v>
      </c>
      <c r="K2608" s="1" t="s">
        <v>84</v>
      </c>
      <c r="L2608" s="1" t="s">
        <v>42443</v>
      </c>
      <c r="M2608" s="1" t="s">
        <v>86</v>
      </c>
      <c r="N2608" s="1" t="s">
        <v>11907</v>
      </c>
      <c r="O2608" s="1"/>
      <c r="P2608" s="1" t="s">
        <v>507</v>
      </c>
      <c r="Q2608" s="1" t="s">
        <v>42444</v>
      </c>
      <c r="R2608" s="1" t="s">
        <v>10508</v>
      </c>
      <c r="S2608" s="1">
        <v>8104714825</v>
      </c>
      <c r="T2608" s="1" t="s">
        <v>5639</v>
      </c>
      <c r="U2608" s="1" t="s">
        <v>38618</v>
      </c>
      <c r="V2608" s="1">
        <v>9920127760</v>
      </c>
      <c r="W2608" s="1" t="s">
        <v>8332</v>
      </c>
      <c r="X2608" s="1" t="s">
        <v>42445</v>
      </c>
      <c r="Y2608" s="1" t="s">
        <v>1882</v>
      </c>
      <c r="Z2608" s="1" t="s">
        <v>97</v>
      </c>
      <c r="AA2608" s="1" t="s">
        <v>42445</v>
      </c>
      <c r="AB2608" s="1" t="s">
        <v>1882</v>
      </c>
      <c r="AC2608" s="1" t="s">
        <v>97</v>
      </c>
      <c r="AD2608" s="1">
        <v>9.14</v>
      </c>
      <c r="AE2608" s="1" t="s">
        <v>98</v>
      </c>
      <c r="AF2608" s="1" t="s">
        <v>42446</v>
      </c>
      <c r="AG2608" s="1" t="s">
        <v>165</v>
      </c>
      <c r="AH2608" s="1" t="s">
        <v>9719</v>
      </c>
      <c r="AI2608" s="1" t="s">
        <v>133</v>
      </c>
      <c r="AJ2608" s="1">
        <v>88.73</v>
      </c>
      <c r="AK2608" s="1"/>
      <c r="AL2608" s="1" t="s">
        <v>42447</v>
      </c>
      <c r="AM2608" s="1" t="s">
        <v>165</v>
      </c>
      <c r="AN2608" s="1" t="s">
        <v>465</v>
      </c>
      <c r="AO2608" s="1" t="s">
        <v>133</v>
      </c>
      <c r="AP2608" s="1" t="s">
        <v>1262</v>
      </c>
      <c r="AQ2608" s="1">
        <v>71.54</v>
      </c>
      <c r="AR2608" s="1"/>
      <c r="AS2608" s="1"/>
      <c r="AT2608" s="1"/>
      <c r="AU2608" s="1"/>
      <c r="AV2608" s="1"/>
      <c r="AW2608" s="1"/>
      <c r="AX2608" s="1"/>
      <c r="AY2608" s="1" t="s">
        <v>680</v>
      </c>
      <c r="AZ2608" s="1" t="s">
        <v>42448</v>
      </c>
      <c r="BA2608" s="1" t="s">
        <v>682</v>
      </c>
      <c r="BB2608" s="1" t="s">
        <v>1479</v>
      </c>
      <c r="BC2608" s="1" t="s">
        <v>135</v>
      </c>
      <c r="BD2608" s="1" t="s">
        <v>313</v>
      </c>
      <c r="BE2608" s="1">
        <v>61.48</v>
      </c>
      <c r="BF2608" s="1">
        <v>6.97</v>
      </c>
      <c r="BG2608" s="1"/>
      <c r="BH2608" s="1"/>
      <c r="BI2608" s="1"/>
      <c r="BJ2608" s="1"/>
      <c r="BK2608" s="1"/>
      <c r="BL2608" s="1"/>
      <c r="BM2608" s="1"/>
      <c r="BN2608" s="1"/>
      <c r="BO2608" s="1" t="s">
        <v>42449</v>
      </c>
      <c r="BP2608" s="1" t="s">
        <v>42450</v>
      </c>
      <c r="BQ2608" s="1" t="s">
        <v>31161</v>
      </c>
      <c r="BR2608" s="1" t="s">
        <v>42451</v>
      </c>
      <c r="BS2608" s="1">
        <v>8</v>
      </c>
      <c r="BT2608" s="1"/>
      <c r="BU2608" s="1" t="str">
        <f>HYPERLINK("https://nconnect.nicmar.ac.in/storage/profile/ProfilePhoto_P25701042_567892.jpg","Download")</f>
        <v>0</v>
      </c>
      <c r="BV2608" s="3"/>
      <c r="BW2608" s="3"/>
    </row>
    <row r="2609" spans="1:75">
      <c r="A2609" s="1" t="s">
        <v>40794</v>
      </c>
      <c r="B2609" s="1" t="s">
        <v>446</v>
      </c>
      <c r="C2609" s="1" t="s">
        <v>42452</v>
      </c>
      <c r="D2609" s="1" t="s">
        <v>42453</v>
      </c>
      <c r="E2609" s="1" t="s">
        <v>2447</v>
      </c>
      <c r="F2609" s="1" t="s">
        <v>42454</v>
      </c>
      <c r="G2609" s="1" t="s">
        <v>42455</v>
      </c>
      <c r="H2609" s="1" t="s">
        <v>42456</v>
      </c>
      <c r="I2609" s="1" t="s">
        <v>42457</v>
      </c>
      <c r="J2609" s="1">
        <v>9594758807</v>
      </c>
      <c r="K2609" s="1" t="s">
        <v>84</v>
      </c>
      <c r="L2609" s="1" t="s">
        <v>42458</v>
      </c>
      <c r="M2609" s="1" t="s">
        <v>86</v>
      </c>
      <c r="N2609" s="1" t="s">
        <v>8520</v>
      </c>
      <c r="O2609" s="1"/>
      <c r="P2609" s="1" t="s">
        <v>455</v>
      </c>
      <c r="Q2609" s="1" t="s">
        <v>42459</v>
      </c>
      <c r="R2609" s="1" t="s">
        <v>2447</v>
      </c>
      <c r="S2609" s="1">
        <v>7738123076</v>
      </c>
      <c r="T2609" s="1" t="s">
        <v>125</v>
      </c>
      <c r="U2609" s="1" t="s">
        <v>4392</v>
      </c>
      <c r="V2609" s="1">
        <v>9967723580</v>
      </c>
      <c r="W2609" s="1" t="s">
        <v>278</v>
      </c>
      <c r="X2609" s="1" t="s">
        <v>42460</v>
      </c>
      <c r="Y2609" s="1" t="s">
        <v>1882</v>
      </c>
      <c r="Z2609" s="1" t="s">
        <v>97</v>
      </c>
      <c r="AA2609" s="1" t="s">
        <v>42460</v>
      </c>
      <c r="AB2609" s="1" t="s">
        <v>1882</v>
      </c>
      <c r="AC2609" s="1" t="s">
        <v>97</v>
      </c>
      <c r="AD2609" s="1">
        <v>9.12</v>
      </c>
      <c r="AE2609" s="1" t="s">
        <v>98</v>
      </c>
      <c r="AF2609" s="1" t="s">
        <v>42461</v>
      </c>
      <c r="AG2609" s="1" t="s">
        <v>1968</v>
      </c>
      <c r="AH2609" s="1" t="s">
        <v>101</v>
      </c>
      <c r="AI2609" s="1" t="s">
        <v>102</v>
      </c>
      <c r="AJ2609" s="1">
        <v>83.4</v>
      </c>
      <c r="AK2609" s="1"/>
      <c r="AL2609" s="1" t="s">
        <v>42462</v>
      </c>
      <c r="AM2609" s="1" t="s">
        <v>1968</v>
      </c>
      <c r="AN2609" s="1" t="s">
        <v>575</v>
      </c>
      <c r="AO2609" s="1" t="s">
        <v>167</v>
      </c>
      <c r="AP2609" s="1" t="s">
        <v>518</v>
      </c>
      <c r="AQ2609" s="1">
        <v>57.85</v>
      </c>
      <c r="AR2609" s="1"/>
      <c r="AS2609" s="1" t="s">
        <v>37953</v>
      </c>
      <c r="AT2609" s="1" t="s">
        <v>26916</v>
      </c>
      <c r="AU2609" s="1" t="s">
        <v>170</v>
      </c>
      <c r="AV2609" s="1" t="s">
        <v>313</v>
      </c>
      <c r="AW2609" s="1">
        <v>68.12</v>
      </c>
      <c r="AX2609" s="1"/>
      <c r="AY2609" s="1" t="s">
        <v>680</v>
      </c>
      <c r="AZ2609" s="1" t="s">
        <v>42463</v>
      </c>
      <c r="BA2609" s="1" t="s">
        <v>578</v>
      </c>
      <c r="BB2609" s="1" t="s">
        <v>23143</v>
      </c>
      <c r="BC2609" s="1" t="s">
        <v>206</v>
      </c>
      <c r="BD2609" s="1" t="s">
        <v>632</v>
      </c>
      <c r="BE2609" s="1">
        <v>73.38</v>
      </c>
      <c r="BF2609" s="1">
        <v>8.48</v>
      </c>
      <c r="BG2609" s="1"/>
      <c r="BH2609" s="1"/>
      <c r="BI2609" s="1"/>
      <c r="BJ2609" s="1"/>
      <c r="BK2609" s="1"/>
      <c r="BL2609" s="1"/>
      <c r="BM2609" s="1"/>
      <c r="BN2609" s="1"/>
      <c r="BO2609" s="1" t="s">
        <v>42464</v>
      </c>
      <c r="BP2609" s="1" t="s">
        <v>42465</v>
      </c>
      <c r="BQ2609" s="1" t="s">
        <v>143</v>
      </c>
      <c r="BR2609" s="1" t="s">
        <v>42466</v>
      </c>
      <c r="BS2609" s="1">
        <v>17</v>
      </c>
      <c r="BT2609" s="1" t="s">
        <v>42467</v>
      </c>
      <c r="BU2609" s="1" t="str">
        <f>HYPERLINK("https://nconnect.nicmar.ac.in/storage/profile/ProfilePhoto_P25701043_584167.jpg","Download")</f>
        <v>0</v>
      </c>
      <c r="BV2609" s="3"/>
      <c r="BW2609" s="3"/>
    </row>
    <row r="2610" spans="1:75">
      <c r="A2610" s="1" t="s">
        <v>40794</v>
      </c>
      <c r="B2610" s="1" t="s">
        <v>446</v>
      </c>
      <c r="C2610" s="1" t="s">
        <v>42468</v>
      </c>
      <c r="D2610" s="1" t="s">
        <v>32620</v>
      </c>
      <c r="E2610" s="1"/>
      <c r="F2610" s="1" t="s">
        <v>2250</v>
      </c>
      <c r="G2610" s="1" t="s">
        <v>42469</v>
      </c>
      <c r="H2610" s="1" t="s">
        <v>42470</v>
      </c>
      <c r="I2610" s="1" t="s">
        <v>42471</v>
      </c>
      <c r="J2610" s="1">
        <v>9764791512</v>
      </c>
      <c r="K2610" s="1" t="s">
        <v>84</v>
      </c>
      <c r="L2610" s="1" t="s">
        <v>42472</v>
      </c>
      <c r="M2610" s="1" t="s">
        <v>86</v>
      </c>
      <c r="N2610" s="1" t="s">
        <v>4278</v>
      </c>
      <c r="O2610" s="1"/>
      <c r="P2610" s="1" t="s">
        <v>1028</v>
      </c>
      <c r="Q2610" s="1" t="s">
        <v>42473</v>
      </c>
      <c r="R2610" s="1" t="s">
        <v>42474</v>
      </c>
      <c r="S2610" s="1">
        <v>9922443627</v>
      </c>
      <c r="T2610" s="1" t="s">
        <v>42475</v>
      </c>
      <c r="U2610" s="1" t="s">
        <v>42476</v>
      </c>
      <c r="V2610" s="1">
        <v>9370284656</v>
      </c>
      <c r="W2610" s="1" t="s">
        <v>94</v>
      </c>
      <c r="X2610" s="1" t="s">
        <v>42477</v>
      </c>
      <c r="Y2610" s="1" t="s">
        <v>196</v>
      </c>
      <c r="Z2610" s="1" t="s">
        <v>97</v>
      </c>
      <c r="AA2610" s="1" t="s">
        <v>42477</v>
      </c>
      <c r="AB2610" s="1" t="s">
        <v>196</v>
      </c>
      <c r="AC2610" s="1" t="s">
        <v>97</v>
      </c>
      <c r="AD2610" s="1">
        <v>8.51</v>
      </c>
      <c r="AE2610" s="1" t="s">
        <v>98</v>
      </c>
      <c r="AF2610" s="1" t="s">
        <v>37768</v>
      </c>
      <c r="AG2610" s="1" t="s">
        <v>42478</v>
      </c>
      <c r="AH2610" s="1" t="s">
        <v>515</v>
      </c>
      <c r="AI2610" s="1" t="s">
        <v>136</v>
      </c>
      <c r="AJ2610" s="1">
        <v>83.6</v>
      </c>
      <c r="AK2610" s="1">
        <v>8.8</v>
      </c>
      <c r="AL2610" s="1" t="s">
        <v>37768</v>
      </c>
      <c r="AM2610" s="1" t="s">
        <v>42478</v>
      </c>
      <c r="AN2610" s="1" t="s">
        <v>465</v>
      </c>
      <c r="AO2610" s="1" t="s">
        <v>1111</v>
      </c>
      <c r="AP2610" s="1" t="s">
        <v>573</v>
      </c>
      <c r="AQ2610" s="1">
        <v>89.4</v>
      </c>
      <c r="AR2610" s="1"/>
      <c r="AS2610" s="1"/>
      <c r="AT2610" s="1"/>
      <c r="AU2610" s="1"/>
      <c r="AV2610" s="1"/>
      <c r="AW2610" s="1"/>
      <c r="AX2610" s="1"/>
      <c r="AY2610" s="1" t="s">
        <v>36898</v>
      </c>
      <c r="AZ2610" s="1" t="s">
        <v>42479</v>
      </c>
      <c r="BA2610" s="1" t="s">
        <v>578</v>
      </c>
      <c r="BB2610" s="1" t="s">
        <v>467</v>
      </c>
      <c r="BC2610" s="1" t="s">
        <v>174</v>
      </c>
      <c r="BD2610" s="1" t="s">
        <v>1400</v>
      </c>
      <c r="BE2610" s="1">
        <v>85.6</v>
      </c>
      <c r="BF2610" s="1">
        <v>8.56</v>
      </c>
      <c r="BG2610" s="1"/>
      <c r="BH2610" s="1"/>
      <c r="BI2610" s="1"/>
      <c r="BJ2610" s="1"/>
      <c r="BK2610" s="1"/>
      <c r="BL2610" s="1"/>
      <c r="BM2610" s="1"/>
      <c r="BN2610" s="1"/>
      <c r="BO2610" s="1" t="s">
        <v>42480</v>
      </c>
      <c r="BP2610" s="1" t="s">
        <v>42481</v>
      </c>
      <c r="BQ2610" s="1" t="s">
        <v>9111</v>
      </c>
      <c r="BR2610" s="1" t="s">
        <v>42482</v>
      </c>
      <c r="BS2610" s="1">
        <v>29</v>
      </c>
      <c r="BT2610" s="1"/>
      <c r="BU2610" s="1" t="str">
        <f>HYPERLINK("https://nconnect.nicmar.ac.in/storage/profile/ProfilePhoto_P25701044_378594.jpg","Download")</f>
        <v>0</v>
      </c>
      <c r="BV2610" s="3"/>
      <c r="BW2610" s="4">
        <v>1</v>
      </c>
    </row>
    <row r="2611" spans="1:75">
      <c r="A2611" s="1" t="s">
        <v>40794</v>
      </c>
      <c r="B2611" s="1" t="s">
        <v>446</v>
      </c>
      <c r="C2611" s="1" t="s">
        <v>42483</v>
      </c>
      <c r="D2611" s="1" t="s">
        <v>32976</v>
      </c>
      <c r="E2611" s="1" t="s">
        <v>42484</v>
      </c>
      <c r="F2611" s="1" t="s">
        <v>11351</v>
      </c>
      <c r="G2611" s="1" t="s">
        <v>42485</v>
      </c>
      <c r="H2611" s="1" t="s">
        <v>42486</v>
      </c>
      <c r="I2611" s="1" t="s">
        <v>42487</v>
      </c>
      <c r="J2611" s="1">
        <v>8237192771</v>
      </c>
      <c r="K2611" s="1" t="s">
        <v>84</v>
      </c>
      <c r="L2611" s="1" t="s">
        <v>42488</v>
      </c>
      <c r="M2611" s="1" t="s">
        <v>86</v>
      </c>
      <c r="N2611" s="1" t="s">
        <v>4972</v>
      </c>
      <c r="O2611" s="1"/>
      <c r="P2611" s="1" t="s">
        <v>455</v>
      </c>
      <c r="Q2611" s="1" t="s">
        <v>42489</v>
      </c>
      <c r="R2611" s="1" t="s">
        <v>42490</v>
      </c>
      <c r="S2611" s="1">
        <v>9921298484</v>
      </c>
      <c r="T2611" s="1" t="s">
        <v>42491</v>
      </c>
      <c r="U2611" s="1" t="s">
        <v>42492</v>
      </c>
      <c r="V2611" s="1">
        <v>8485865531</v>
      </c>
      <c r="W2611" s="1" t="s">
        <v>278</v>
      </c>
      <c r="X2611" s="1" t="s">
        <v>42493</v>
      </c>
      <c r="Y2611" s="1" t="s">
        <v>196</v>
      </c>
      <c r="Z2611" s="1" t="s">
        <v>97</v>
      </c>
      <c r="AA2611" s="1" t="s">
        <v>42494</v>
      </c>
      <c r="AB2611" s="1" t="s">
        <v>1944</v>
      </c>
      <c r="AC2611" s="1" t="s">
        <v>1210</v>
      </c>
      <c r="AD2611" s="1">
        <v>7.81</v>
      </c>
      <c r="AE2611" s="1" t="s">
        <v>98</v>
      </c>
      <c r="AF2611" s="1" t="s">
        <v>42495</v>
      </c>
      <c r="AG2611" s="1" t="s">
        <v>165</v>
      </c>
      <c r="AH2611" s="1" t="s">
        <v>171</v>
      </c>
      <c r="AI2611" s="1" t="s">
        <v>438</v>
      </c>
      <c r="AJ2611" s="1">
        <v>74.6</v>
      </c>
      <c r="AK2611" s="1"/>
      <c r="AL2611" s="1" t="s">
        <v>42496</v>
      </c>
      <c r="AM2611" s="1" t="s">
        <v>165</v>
      </c>
      <c r="AN2611" s="1"/>
      <c r="AO2611" s="1" t="s">
        <v>468</v>
      </c>
      <c r="AP2611" s="1" t="s">
        <v>441</v>
      </c>
      <c r="AQ2611" s="1">
        <v>88.17</v>
      </c>
      <c r="AR2611" s="1"/>
      <c r="AS2611" s="1"/>
      <c r="AT2611" s="1"/>
      <c r="AU2611" s="1"/>
      <c r="AV2611" s="1"/>
      <c r="AW2611" s="1"/>
      <c r="AX2611" s="1"/>
      <c r="AY2611" s="1" t="s">
        <v>1217</v>
      </c>
      <c r="AZ2611" s="1" t="s">
        <v>42497</v>
      </c>
      <c r="BA2611" s="1"/>
      <c r="BB2611" s="1"/>
      <c r="BC2611" s="1" t="s">
        <v>606</v>
      </c>
      <c r="BD2611" s="1" t="s">
        <v>553</v>
      </c>
      <c r="BE2611" s="1">
        <v>77.1</v>
      </c>
      <c r="BF2611" s="1">
        <v>7.71</v>
      </c>
      <c r="BG2611" s="1"/>
      <c r="BH2611" s="1"/>
      <c r="BI2611" s="1"/>
      <c r="BJ2611" s="1"/>
      <c r="BK2611" s="1"/>
      <c r="BL2611" s="1"/>
      <c r="BM2611" s="1"/>
      <c r="BN2611" s="1"/>
      <c r="BO2611" s="1" t="s">
        <v>42498</v>
      </c>
      <c r="BP2611" s="1"/>
      <c r="BQ2611" s="1"/>
      <c r="BR2611" s="1" t="s">
        <v>42499</v>
      </c>
      <c r="BS2611" s="1">
        <v>27</v>
      </c>
      <c r="BT2611" s="1" t="s">
        <v>42103</v>
      </c>
      <c r="BU2611" s="1" t="str">
        <f>HYPERLINK("https://nconnect.nicmar.ac.in/storage/profile/ProfilePhoto_P25701045_798341.jpg","Download")</f>
        <v>0</v>
      </c>
      <c r="BV2611" s="3"/>
      <c r="BW2611" s="3"/>
    </row>
    <row r="2612" spans="1:75">
      <c r="A2612" s="1" t="s">
        <v>40794</v>
      </c>
      <c r="B2612" s="1" t="s">
        <v>446</v>
      </c>
      <c r="C2612" s="1" t="s">
        <v>42500</v>
      </c>
      <c r="D2612" s="1" t="s">
        <v>42501</v>
      </c>
      <c r="E2612" s="1"/>
      <c r="F2612" s="1" t="s">
        <v>12770</v>
      </c>
      <c r="G2612" s="1" t="s">
        <v>42502</v>
      </c>
      <c r="H2612" s="1" t="s">
        <v>42503</v>
      </c>
      <c r="I2612" s="1" t="s">
        <v>42504</v>
      </c>
      <c r="J2612" s="1">
        <v>9446578575</v>
      </c>
      <c r="K2612" s="1" t="s">
        <v>84</v>
      </c>
      <c r="L2612" s="1" t="s">
        <v>38289</v>
      </c>
      <c r="M2612" s="1" t="s">
        <v>86</v>
      </c>
      <c r="N2612" s="1" t="s">
        <v>42505</v>
      </c>
      <c r="O2612" s="1"/>
      <c r="P2612" s="1" t="s">
        <v>455</v>
      </c>
      <c r="Q2612" s="1" t="s">
        <v>42506</v>
      </c>
      <c r="R2612" s="1" t="s">
        <v>42507</v>
      </c>
      <c r="S2612" s="1">
        <v>9447915003</v>
      </c>
      <c r="T2612" s="1" t="s">
        <v>276</v>
      </c>
      <c r="U2612" s="1" t="s">
        <v>42508</v>
      </c>
      <c r="V2612" s="1">
        <v>9446574075</v>
      </c>
      <c r="W2612" s="1" t="s">
        <v>127</v>
      </c>
      <c r="X2612" s="1" t="s">
        <v>42509</v>
      </c>
      <c r="Y2612" s="1" t="s">
        <v>701</v>
      </c>
      <c r="Z2612" s="1" t="s">
        <v>130</v>
      </c>
      <c r="AA2612" s="1" t="s">
        <v>42509</v>
      </c>
      <c r="AB2612" s="1" t="s">
        <v>701</v>
      </c>
      <c r="AC2612" s="1" t="s">
        <v>130</v>
      </c>
      <c r="AD2612" s="1">
        <v>9.0</v>
      </c>
      <c r="AE2612" s="1" t="s">
        <v>98</v>
      </c>
      <c r="AF2612" s="1" t="s">
        <v>42510</v>
      </c>
      <c r="AG2612" s="1" t="s">
        <v>42511</v>
      </c>
      <c r="AH2612" s="1" t="s">
        <v>167</v>
      </c>
      <c r="AI2612" s="1" t="s">
        <v>170</v>
      </c>
      <c r="AJ2612" s="1">
        <v>95</v>
      </c>
      <c r="AK2612" s="1">
        <v>10</v>
      </c>
      <c r="AL2612" s="1" t="s">
        <v>42510</v>
      </c>
      <c r="AM2612" s="1" t="s">
        <v>42511</v>
      </c>
      <c r="AN2612" s="1" t="s">
        <v>575</v>
      </c>
      <c r="AO2612" s="1" t="s">
        <v>106</v>
      </c>
      <c r="AP2612" s="1" t="s">
        <v>313</v>
      </c>
      <c r="AQ2612" s="1">
        <v>83.8</v>
      </c>
      <c r="AR2612" s="1"/>
      <c r="AS2612" s="1"/>
      <c r="AT2612" s="1"/>
      <c r="AU2612" s="1"/>
      <c r="AV2612" s="1"/>
      <c r="AW2612" s="1"/>
      <c r="AX2612" s="1"/>
      <c r="AY2612" s="1" t="s">
        <v>137</v>
      </c>
      <c r="AZ2612" s="1" t="s">
        <v>42512</v>
      </c>
      <c r="BA2612" s="1" t="s">
        <v>466</v>
      </c>
      <c r="BB2612" s="1" t="s">
        <v>467</v>
      </c>
      <c r="BC2612" s="1" t="s">
        <v>438</v>
      </c>
      <c r="BD2612" s="1" t="s">
        <v>234</v>
      </c>
      <c r="BE2612" s="1">
        <v>80</v>
      </c>
      <c r="BF2612" s="1">
        <v>8</v>
      </c>
      <c r="BG2612" s="1"/>
      <c r="BH2612" s="1"/>
      <c r="BI2612" s="1"/>
      <c r="BJ2612" s="1"/>
      <c r="BK2612" s="1"/>
      <c r="BL2612" s="1"/>
      <c r="BM2612" s="1"/>
      <c r="BN2612" s="1"/>
      <c r="BO2612" s="1" t="s">
        <v>23254</v>
      </c>
      <c r="BP2612" s="1" t="s">
        <v>42513</v>
      </c>
      <c r="BQ2612" s="1" t="s">
        <v>1070</v>
      </c>
      <c r="BR2612" s="1" t="s">
        <v>42514</v>
      </c>
      <c r="BS2612" s="1">
        <v>9</v>
      </c>
      <c r="BT2612" s="1" t="s">
        <v>42515</v>
      </c>
      <c r="BU2612" s="1" t="str">
        <f>HYPERLINK("https://nconnect.nicmar.ac.in/storage/profile/ProfilePhoto_P25701047_179582.jpg","Download")</f>
        <v>0</v>
      </c>
      <c r="BV2612" s="3"/>
      <c r="BW2612" s="4">
        <v>1</v>
      </c>
    </row>
    <row r="2613" spans="1:75">
      <c r="A2613" s="1" t="s">
        <v>40794</v>
      </c>
      <c r="B2613" s="1" t="s">
        <v>446</v>
      </c>
      <c r="C2613" s="1" t="s">
        <v>42516</v>
      </c>
      <c r="D2613" s="1" t="s">
        <v>42517</v>
      </c>
      <c r="E2613" s="1"/>
      <c r="F2613" s="1" t="s">
        <v>42518</v>
      </c>
      <c r="G2613" s="1" t="s">
        <v>42519</v>
      </c>
      <c r="H2613" s="1" t="s">
        <v>42520</v>
      </c>
      <c r="I2613" s="1" t="s">
        <v>42521</v>
      </c>
      <c r="J2613" s="1">
        <v>7093809403</v>
      </c>
      <c r="K2613" s="1" t="s">
        <v>153</v>
      </c>
      <c r="L2613" s="1" t="s">
        <v>5097</v>
      </c>
      <c r="M2613" s="1" t="s">
        <v>86</v>
      </c>
      <c r="N2613" s="1" t="s">
        <v>17535</v>
      </c>
      <c r="O2613" s="1"/>
      <c r="P2613" s="1" t="s">
        <v>455</v>
      </c>
      <c r="Q2613" s="1" t="s">
        <v>42522</v>
      </c>
      <c r="R2613" s="1" t="s">
        <v>42523</v>
      </c>
      <c r="S2613" s="1">
        <v>7659009214</v>
      </c>
      <c r="T2613" s="1" t="s">
        <v>1964</v>
      </c>
      <c r="U2613" s="1" t="s">
        <v>42524</v>
      </c>
      <c r="V2613" s="1">
        <v>7659009214</v>
      </c>
      <c r="W2613" s="1" t="s">
        <v>159</v>
      </c>
      <c r="X2613" s="1" t="s">
        <v>42525</v>
      </c>
      <c r="Y2613" s="1" t="s">
        <v>15794</v>
      </c>
      <c r="Z2613" s="1" t="s">
        <v>281</v>
      </c>
      <c r="AA2613" s="1" t="s">
        <v>42525</v>
      </c>
      <c r="AB2613" s="1" t="s">
        <v>15794</v>
      </c>
      <c r="AC2613" s="1" t="s">
        <v>281</v>
      </c>
      <c r="AD2613" s="1">
        <v>8.49</v>
      </c>
      <c r="AE2613" s="1" t="s">
        <v>98</v>
      </c>
      <c r="AF2613" s="1" t="s">
        <v>42526</v>
      </c>
      <c r="AG2613" s="1" t="s">
        <v>42527</v>
      </c>
      <c r="AH2613" s="1" t="s">
        <v>1214</v>
      </c>
      <c r="AI2613" s="1" t="s">
        <v>313</v>
      </c>
      <c r="AJ2613" s="1">
        <v>79</v>
      </c>
      <c r="AK2613" s="1">
        <v>0</v>
      </c>
      <c r="AL2613" s="1" t="s">
        <v>42528</v>
      </c>
      <c r="AM2613" s="1" t="s">
        <v>42529</v>
      </c>
      <c r="AN2613" s="1" t="s">
        <v>465</v>
      </c>
      <c r="AO2613" s="1" t="s">
        <v>313</v>
      </c>
      <c r="AP2613" s="1" t="s">
        <v>549</v>
      </c>
      <c r="AQ2613" s="1">
        <v>82</v>
      </c>
      <c r="AR2613" s="1">
        <v>0</v>
      </c>
      <c r="AS2613" s="1"/>
      <c r="AT2613" s="1"/>
      <c r="AU2613" s="1"/>
      <c r="AV2613" s="1"/>
      <c r="AW2613" s="1"/>
      <c r="AX2613" s="1"/>
      <c r="AY2613" s="1" t="s">
        <v>42530</v>
      </c>
      <c r="AZ2613" s="1" t="s">
        <v>42531</v>
      </c>
      <c r="BA2613" s="1" t="s">
        <v>466</v>
      </c>
      <c r="BB2613" s="1" t="s">
        <v>467</v>
      </c>
      <c r="BC2613" s="1" t="s">
        <v>552</v>
      </c>
      <c r="BD2613" s="1" t="s">
        <v>553</v>
      </c>
      <c r="BE2613" s="1">
        <v>75</v>
      </c>
      <c r="BF2613" s="1">
        <v>7.98</v>
      </c>
      <c r="BG2613" s="1"/>
      <c r="BH2613" s="1"/>
      <c r="BI2613" s="1"/>
      <c r="BJ2613" s="1"/>
      <c r="BK2613" s="1"/>
      <c r="BL2613" s="1"/>
      <c r="BM2613" s="1"/>
      <c r="BN2613" s="1"/>
      <c r="BO2613" s="1" t="s">
        <v>42532</v>
      </c>
      <c r="BP2613" s="1"/>
      <c r="BQ2613" s="1"/>
      <c r="BR2613" s="1" t="s">
        <v>42533</v>
      </c>
      <c r="BS2613" s="1">
        <v>11</v>
      </c>
      <c r="BT2613" s="1" t="s">
        <v>42534</v>
      </c>
      <c r="BU2613" s="1" t="str">
        <f>HYPERLINK("https://nconnect.nicmar.ac.in/storage/profile/ProfilePhoto_P25701048_947136.jpg","Download")</f>
        <v>0</v>
      </c>
      <c r="BV2613" s="3"/>
      <c r="BW2613" s="4">
        <v>1</v>
      </c>
    </row>
    <row r="2614" spans="1:75">
      <c r="A2614" s="1" t="s">
        <v>40794</v>
      </c>
      <c r="B2614" s="1" t="s">
        <v>446</v>
      </c>
      <c r="C2614" s="1" t="s">
        <v>42535</v>
      </c>
      <c r="D2614" s="1" t="s">
        <v>31768</v>
      </c>
      <c r="E2614" s="1"/>
      <c r="F2614" s="1" t="s">
        <v>42536</v>
      </c>
      <c r="G2614" s="1" t="s">
        <v>42537</v>
      </c>
      <c r="H2614" s="1" t="s">
        <v>42538</v>
      </c>
      <c r="I2614" s="1" t="s">
        <v>42539</v>
      </c>
      <c r="J2614" s="1">
        <v>8840663508</v>
      </c>
      <c r="K2614" s="1" t="s">
        <v>84</v>
      </c>
      <c r="L2614" s="1" t="s">
        <v>42540</v>
      </c>
      <c r="M2614" s="1" t="s">
        <v>86</v>
      </c>
      <c r="N2614" s="1" t="s">
        <v>4278</v>
      </c>
      <c r="O2614" s="1"/>
      <c r="P2614" s="1" t="s">
        <v>481</v>
      </c>
      <c r="Q2614" s="1" t="s">
        <v>42541</v>
      </c>
      <c r="R2614" s="1" t="s">
        <v>42542</v>
      </c>
      <c r="S2614" s="1">
        <v>9935361255</v>
      </c>
      <c r="T2614" s="1" t="s">
        <v>1620</v>
      </c>
      <c r="U2614" s="1" t="s">
        <v>42543</v>
      </c>
      <c r="V2614" s="1">
        <v>9935301743</v>
      </c>
      <c r="W2614" s="1" t="s">
        <v>161</v>
      </c>
      <c r="X2614" s="1" t="s">
        <v>42544</v>
      </c>
      <c r="Y2614" s="1" t="s">
        <v>5551</v>
      </c>
      <c r="Z2614" s="1" t="s">
        <v>544</v>
      </c>
      <c r="AA2614" s="1" t="s">
        <v>42544</v>
      </c>
      <c r="AB2614" s="1" t="s">
        <v>5551</v>
      </c>
      <c r="AC2614" s="1" t="s">
        <v>544</v>
      </c>
      <c r="AD2614" s="1">
        <v>9.26</v>
      </c>
      <c r="AE2614" s="1" t="s">
        <v>98</v>
      </c>
      <c r="AF2614" s="1" t="s">
        <v>42545</v>
      </c>
      <c r="AG2614" s="1" t="s">
        <v>42546</v>
      </c>
      <c r="AH2614" s="1" t="s">
        <v>166</v>
      </c>
      <c r="AI2614" s="1" t="s">
        <v>627</v>
      </c>
      <c r="AJ2614" s="1">
        <v>88.16</v>
      </c>
      <c r="AK2614" s="1"/>
      <c r="AL2614" s="1" t="s">
        <v>42545</v>
      </c>
      <c r="AM2614" s="1" t="s">
        <v>42546</v>
      </c>
      <c r="AN2614" s="1" t="s">
        <v>465</v>
      </c>
      <c r="AO2614" s="1" t="s">
        <v>170</v>
      </c>
      <c r="AP2614" s="1" t="s">
        <v>490</v>
      </c>
      <c r="AQ2614" s="1">
        <v>87.8</v>
      </c>
      <c r="AR2614" s="1"/>
      <c r="AS2614" s="1"/>
      <c r="AT2614" s="1"/>
      <c r="AU2614" s="1"/>
      <c r="AV2614" s="1"/>
      <c r="AW2614" s="1"/>
      <c r="AX2614" s="1"/>
      <c r="AY2614" s="1" t="s">
        <v>7423</v>
      </c>
      <c r="AZ2614" s="1" t="s">
        <v>42547</v>
      </c>
      <c r="BA2614" s="1" t="s">
        <v>466</v>
      </c>
      <c r="BB2614" s="1" t="s">
        <v>6997</v>
      </c>
      <c r="BC2614" s="1" t="s">
        <v>315</v>
      </c>
      <c r="BD2614" s="1" t="s">
        <v>234</v>
      </c>
      <c r="BE2614" s="1">
        <v>78.4</v>
      </c>
      <c r="BF2614" s="1">
        <v>7.84</v>
      </c>
      <c r="BG2614" s="1"/>
      <c r="BH2614" s="1"/>
      <c r="BI2614" s="1"/>
      <c r="BJ2614" s="1"/>
      <c r="BK2614" s="1"/>
      <c r="BL2614" s="1"/>
      <c r="BM2614" s="1"/>
      <c r="BN2614" s="1"/>
      <c r="BO2614" s="1" t="s">
        <v>42548</v>
      </c>
      <c r="BP2614" s="1"/>
      <c r="BQ2614" s="1"/>
      <c r="BR2614" s="1" t="s">
        <v>42549</v>
      </c>
      <c r="BS2614" s="1">
        <v>36</v>
      </c>
      <c r="BT2614" s="1" t="s">
        <v>42550</v>
      </c>
      <c r="BU2614" s="1" t="str">
        <f>HYPERLINK("https://nconnect.nicmar.ac.in/storage/profile/ProfilePhoto_P25701049_942516.jpg","Download")</f>
        <v>0</v>
      </c>
      <c r="BV2614" s="3"/>
      <c r="BW2614" s="3"/>
    </row>
    <row r="2615" spans="1:75">
      <c r="A2615" s="1" t="s">
        <v>40794</v>
      </c>
      <c r="B2615" s="1" t="s">
        <v>446</v>
      </c>
      <c r="C2615" s="1" t="s">
        <v>42551</v>
      </c>
      <c r="D2615" s="1" t="s">
        <v>7668</v>
      </c>
      <c r="E2615" s="1" t="s">
        <v>4331</v>
      </c>
      <c r="F2615" s="1" t="s">
        <v>42552</v>
      </c>
      <c r="G2615" s="1" t="s">
        <v>42553</v>
      </c>
      <c r="H2615" s="1" t="s">
        <v>42554</v>
      </c>
      <c r="I2615" s="1" t="s">
        <v>42555</v>
      </c>
      <c r="J2615" s="1">
        <v>8999176687</v>
      </c>
      <c r="K2615" s="1" t="s">
        <v>84</v>
      </c>
      <c r="L2615" s="1" t="s">
        <v>6952</v>
      </c>
      <c r="M2615" s="1" t="s">
        <v>86</v>
      </c>
      <c r="N2615" s="1" t="s">
        <v>3568</v>
      </c>
      <c r="O2615" s="1"/>
      <c r="P2615" s="1" t="s">
        <v>507</v>
      </c>
      <c r="Q2615" s="1" t="s">
        <v>42556</v>
      </c>
      <c r="R2615" s="1" t="s">
        <v>42557</v>
      </c>
      <c r="S2615" s="1">
        <v>9766703688</v>
      </c>
      <c r="T2615" s="1" t="s">
        <v>125</v>
      </c>
      <c r="U2615" s="1" t="s">
        <v>42558</v>
      </c>
      <c r="V2615" s="1">
        <v>9970427289</v>
      </c>
      <c r="W2615" s="1" t="s">
        <v>161</v>
      </c>
      <c r="X2615" s="1" t="s">
        <v>42559</v>
      </c>
      <c r="Y2615" s="1" t="s">
        <v>196</v>
      </c>
      <c r="Z2615" s="1" t="s">
        <v>97</v>
      </c>
      <c r="AA2615" s="1" t="s">
        <v>42560</v>
      </c>
      <c r="AB2615" s="1" t="s">
        <v>251</v>
      </c>
      <c r="AC2615" s="1" t="s">
        <v>97</v>
      </c>
      <c r="AD2615" s="1">
        <v>8.67</v>
      </c>
      <c r="AE2615" s="1" t="s">
        <v>98</v>
      </c>
      <c r="AF2615" s="1" t="s">
        <v>42561</v>
      </c>
      <c r="AG2615" s="1" t="s">
        <v>2379</v>
      </c>
      <c r="AH2615" s="1" t="s">
        <v>102</v>
      </c>
      <c r="AI2615" s="1" t="s">
        <v>1111</v>
      </c>
      <c r="AJ2615" s="1">
        <v>73</v>
      </c>
      <c r="AK2615" s="1"/>
      <c r="AL2615" s="1" t="s">
        <v>42562</v>
      </c>
      <c r="AM2615" s="1" t="s">
        <v>2379</v>
      </c>
      <c r="AN2615" s="1" t="s">
        <v>465</v>
      </c>
      <c r="AO2615" s="1" t="s">
        <v>518</v>
      </c>
      <c r="AP2615" s="1" t="s">
        <v>1477</v>
      </c>
      <c r="AQ2615" s="1">
        <v>65.69</v>
      </c>
      <c r="AR2615" s="1"/>
      <c r="AS2615" s="1"/>
      <c r="AT2615" s="1"/>
      <c r="AU2615" s="1"/>
      <c r="AV2615" s="1"/>
      <c r="AW2615" s="1"/>
      <c r="AX2615" s="1"/>
      <c r="AY2615" s="1" t="s">
        <v>42563</v>
      </c>
      <c r="AZ2615" s="1" t="s">
        <v>42564</v>
      </c>
      <c r="BA2615" s="1" t="s">
        <v>578</v>
      </c>
      <c r="BB2615" s="1" t="s">
        <v>467</v>
      </c>
      <c r="BC2615" s="1" t="s">
        <v>174</v>
      </c>
      <c r="BD2615" s="1" t="s">
        <v>1400</v>
      </c>
      <c r="BE2615" s="1">
        <v>77.7</v>
      </c>
      <c r="BF2615" s="1">
        <v>9.11</v>
      </c>
      <c r="BG2615" s="1"/>
      <c r="BH2615" s="1"/>
      <c r="BI2615" s="1"/>
      <c r="BJ2615" s="1"/>
      <c r="BK2615" s="1"/>
      <c r="BL2615" s="1"/>
      <c r="BM2615" s="1"/>
      <c r="BN2615" s="1"/>
      <c r="BO2615" s="1" t="s">
        <v>42565</v>
      </c>
      <c r="BP2615" s="1" t="s">
        <v>42566</v>
      </c>
      <c r="BQ2615" s="1" t="s">
        <v>6365</v>
      </c>
      <c r="BR2615" s="1" t="s">
        <v>42567</v>
      </c>
      <c r="BS2615" s="1">
        <v>34</v>
      </c>
      <c r="BT2615" s="1" t="s">
        <v>42568</v>
      </c>
      <c r="BU2615" s="1" t="str">
        <f>HYPERLINK("https://nconnect.nicmar.ac.in/storage/profile/ProfilePhoto_P25701050_146523.jpg","Download")</f>
        <v>0</v>
      </c>
      <c r="BV2615" s="3"/>
      <c r="BW2615" s="4">
        <v>1</v>
      </c>
    </row>
    <row r="2616" spans="1:75">
      <c r="A2616" s="1" t="s">
        <v>40794</v>
      </c>
      <c r="B2616" s="1" t="s">
        <v>446</v>
      </c>
      <c r="C2616" s="1" t="s">
        <v>42569</v>
      </c>
      <c r="D2616" s="1" t="s">
        <v>6742</v>
      </c>
      <c r="E2616" s="1" t="s">
        <v>149</v>
      </c>
      <c r="F2616" s="1" t="s">
        <v>31335</v>
      </c>
      <c r="G2616" s="1" t="s">
        <v>42570</v>
      </c>
      <c r="H2616" s="1" t="s">
        <v>42571</v>
      </c>
      <c r="I2616" s="1" t="s">
        <v>42572</v>
      </c>
      <c r="J2616" s="1">
        <v>9765917945</v>
      </c>
      <c r="K2616" s="1" t="s">
        <v>84</v>
      </c>
      <c r="L2616" s="1" t="s">
        <v>5434</v>
      </c>
      <c r="M2616" s="1" t="s">
        <v>86</v>
      </c>
      <c r="N2616" s="1" t="s">
        <v>768</v>
      </c>
      <c r="O2616" s="1"/>
      <c r="P2616" s="1" t="s">
        <v>507</v>
      </c>
      <c r="Q2616" s="1" t="s">
        <v>42573</v>
      </c>
      <c r="R2616" s="1" t="s">
        <v>42574</v>
      </c>
      <c r="S2616" s="1">
        <v>9765554974</v>
      </c>
      <c r="T2616" s="1" t="s">
        <v>645</v>
      </c>
      <c r="U2616" s="1" t="s">
        <v>42575</v>
      </c>
      <c r="V2616" s="1">
        <v>9765480237</v>
      </c>
      <c r="W2616" s="1" t="s">
        <v>42576</v>
      </c>
      <c r="X2616" s="1" t="s">
        <v>42577</v>
      </c>
      <c r="Y2616" s="1" t="s">
        <v>910</v>
      </c>
      <c r="Z2616" s="1" t="s">
        <v>97</v>
      </c>
      <c r="AA2616" s="1" t="s">
        <v>42577</v>
      </c>
      <c r="AB2616" s="1" t="s">
        <v>910</v>
      </c>
      <c r="AC2616" s="1" t="s">
        <v>97</v>
      </c>
      <c r="AD2616" s="1">
        <v>9.3</v>
      </c>
      <c r="AE2616" s="1" t="s">
        <v>98</v>
      </c>
      <c r="AF2616" s="1" t="s">
        <v>42578</v>
      </c>
      <c r="AG2616" s="1" t="s">
        <v>25901</v>
      </c>
      <c r="AH2616" s="1" t="s">
        <v>170</v>
      </c>
      <c r="AI2616" s="1" t="s">
        <v>286</v>
      </c>
      <c r="AJ2616" s="1">
        <v>90.6</v>
      </c>
      <c r="AK2616" s="1">
        <v>0</v>
      </c>
      <c r="AL2616" s="1" t="s">
        <v>42579</v>
      </c>
      <c r="AM2616" s="1" t="s">
        <v>25901</v>
      </c>
      <c r="AN2616" s="1" t="s">
        <v>465</v>
      </c>
      <c r="AO2616" s="1" t="s">
        <v>438</v>
      </c>
      <c r="AP2616" s="1" t="s">
        <v>365</v>
      </c>
      <c r="AQ2616" s="1">
        <v>82.62</v>
      </c>
      <c r="AR2616" s="1">
        <v>0</v>
      </c>
      <c r="AS2616" s="1"/>
      <c r="AT2616" s="1"/>
      <c r="AU2616" s="1"/>
      <c r="AV2616" s="1"/>
      <c r="AW2616" s="1"/>
      <c r="AX2616" s="1"/>
      <c r="AY2616" s="1" t="s">
        <v>28128</v>
      </c>
      <c r="AZ2616" s="1" t="s">
        <v>42580</v>
      </c>
      <c r="BA2616" s="1" t="s">
        <v>682</v>
      </c>
      <c r="BB2616" s="1" t="s">
        <v>1479</v>
      </c>
      <c r="BC2616" s="1" t="s">
        <v>365</v>
      </c>
      <c r="BD2616" s="1" t="s">
        <v>1401</v>
      </c>
      <c r="BE2616" s="1">
        <v>72.35</v>
      </c>
      <c r="BF2616" s="1">
        <v>8.13</v>
      </c>
      <c r="BG2616" s="1"/>
      <c r="BH2616" s="1"/>
      <c r="BI2616" s="1"/>
      <c r="BJ2616" s="1"/>
      <c r="BK2616" s="1"/>
      <c r="BL2616" s="1"/>
      <c r="BM2616" s="1"/>
      <c r="BN2616" s="1"/>
      <c r="BO2616" s="1" t="s">
        <v>42581</v>
      </c>
      <c r="BP2616" s="1"/>
      <c r="BQ2616" s="1"/>
      <c r="BR2616" s="1" t="s">
        <v>42582</v>
      </c>
      <c r="BS2616" s="1">
        <v>29</v>
      </c>
      <c r="BT2616" s="1" t="s">
        <v>42583</v>
      </c>
      <c r="BU2616" s="1" t="str">
        <f>HYPERLINK("https://nconnect.nicmar.ac.in/storage/profile/ProfilePhoto_P25701051_864915.jpg","Download")</f>
        <v>0</v>
      </c>
      <c r="BV2616" s="3"/>
      <c r="BW2616" s="3"/>
    </row>
    <row r="2617" spans="1:75">
      <c r="A2617" s="1" t="s">
        <v>40794</v>
      </c>
      <c r="B2617" s="1" t="s">
        <v>446</v>
      </c>
      <c r="C2617" s="1" t="s">
        <v>42584</v>
      </c>
      <c r="D2617" s="1" t="s">
        <v>42585</v>
      </c>
      <c r="E2617" s="1" t="s">
        <v>7272</v>
      </c>
      <c r="F2617" s="1" t="s">
        <v>34092</v>
      </c>
      <c r="G2617" s="1" t="s">
        <v>42586</v>
      </c>
      <c r="H2617" s="1" t="s">
        <v>42587</v>
      </c>
      <c r="I2617" s="1" t="s">
        <v>42588</v>
      </c>
      <c r="J2617" s="1">
        <v>9309157441</v>
      </c>
      <c r="K2617" s="1" t="s">
        <v>84</v>
      </c>
      <c r="L2617" s="1" t="s">
        <v>7784</v>
      </c>
      <c r="M2617" s="1" t="s">
        <v>86</v>
      </c>
      <c r="N2617" s="1" t="s">
        <v>42589</v>
      </c>
      <c r="O2617" s="1"/>
      <c r="P2617" s="1" t="s">
        <v>455</v>
      </c>
      <c r="Q2617" s="1" t="s">
        <v>42590</v>
      </c>
      <c r="R2617" s="1" t="s">
        <v>7272</v>
      </c>
      <c r="S2617" s="1">
        <v>9834387576</v>
      </c>
      <c r="T2617" s="1" t="s">
        <v>926</v>
      </c>
      <c r="U2617" s="1" t="s">
        <v>5400</v>
      </c>
      <c r="V2617" s="1">
        <v>8668987708</v>
      </c>
      <c r="W2617" s="1" t="s">
        <v>161</v>
      </c>
      <c r="X2617" s="1" t="s">
        <v>42591</v>
      </c>
      <c r="Y2617" s="1" t="s">
        <v>196</v>
      </c>
      <c r="Z2617" s="1" t="s">
        <v>97</v>
      </c>
      <c r="AA2617" s="1" t="s">
        <v>42592</v>
      </c>
      <c r="AB2617" s="1" t="s">
        <v>5030</v>
      </c>
      <c r="AC2617" s="1" t="s">
        <v>97</v>
      </c>
      <c r="AD2617" s="1">
        <v>9.12</v>
      </c>
      <c r="AE2617" s="1" t="s">
        <v>98</v>
      </c>
      <c r="AF2617" s="1" t="s">
        <v>17700</v>
      </c>
      <c r="AG2617" s="1" t="s">
        <v>42593</v>
      </c>
      <c r="AH2617" s="1" t="s">
        <v>200</v>
      </c>
      <c r="AI2617" s="1" t="s">
        <v>106</v>
      </c>
      <c r="AJ2617" s="1">
        <v>67.6</v>
      </c>
      <c r="AK2617" s="1"/>
      <c r="AL2617" s="1" t="s">
        <v>42594</v>
      </c>
      <c r="AM2617" s="1" t="s">
        <v>12012</v>
      </c>
      <c r="AN2617" s="1"/>
      <c r="AO2617" s="1" t="s">
        <v>315</v>
      </c>
      <c r="AP2617" s="1" t="s">
        <v>178</v>
      </c>
      <c r="AQ2617" s="1">
        <v>67.23</v>
      </c>
      <c r="AR2617" s="1"/>
      <c r="AS2617" s="1"/>
      <c r="AT2617" s="1"/>
      <c r="AU2617" s="1"/>
      <c r="AV2617" s="1"/>
      <c r="AW2617" s="1"/>
      <c r="AX2617" s="1"/>
      <c r="AY2617" s="1" t="s">
        <v>42595</v>
      </c>
      <c r="AZ2617" s="1" t="s">
        <v>42596</v>
      </c>
      <c r="BA2617" s="1"/>
      <c r="BB2617" s="1"/>
      <c r="BC2617" s="1" t="s">
        <v>552</v>
      </c>
      <c r="BD2617" s="1" t="s">
        <v>553</v>
      </c>
      <c r="BE2617" s="1">
        <v>86.5</v>
      </c>
      <c r="BF2617" s="1">
        <v>8.65</v>
      </c>
      <c r="BG2617" s="1"/>
      <c r="BH2617" s="1"/>
      <c r="BI2617" s="1"/>
      <c r="BJ2617" s="1"/>
      <c r="BK2617" s="1"/>
      <c r="BL2617" s="1"/>
      <c r="BM2617" s="1"/>
      <c r="BN2617" s="1"/>
      <c r="BO2617" s="1" t="s">
        <v>42597</v>
      </c>
      <c r="BP2617" s="1"/>
      <c r="BQ2617" s="1"/>
      <c r="BR2617" s="1" t="s">
        <v>42598</v>
      </c>
      <c r="BS2617" s="1">
        <v>21</v>
      </c>
      <c r="BT2617" s="1" t="s">
        <v>42599</v>
      </c>
      <c r="BU2617" s="1" t="str">
        <f>HYPERLINK("https://nconnect.nicmar.ac.in/storage/profile/ProfilePhoto_P25701052_917684.jpg","Download")</f>
        <v>0</v>
      </c>
      <c r="BV2617" s="3"/>
      <c r="BW2617" s="3"/>
    </row>
    <row r="2618" spans="1:75">
      <c r="A2618" s="1" t="s">
        <v>40794</v>
      </c>
      <c r="B2618" s="1" t="s">
        <v>446</v>
      </c>
      <c r="C2618" s="1" t="s">
        <v>42600</v>
      </c>
      <c r="D2618" s="1" t="s">
        <v>42601</v>
      </c>
      <c r="E2618" s="1" t="s">
        <v>9165</v>
      </c>
      <c r="F2618" s="1" t="s">
        <v>42602</v>
      </c>
      <c r="G2618" s="1" t="s">
        <v>42603</v>
      </c>
      <c r="H2618" s="1" t="s">
        <v>42604</v>
      </c>
      <c r="I2618" s="1" t="s">
        <v>42605</v>
      </c>
      <c r="J2618" s="1">
        <v>8431755726</v>
      </c>
      <c r="K2618" s="1" t="s">
        <v>153</v>
      </c>
      <c r="L2618" s="1" t="s">
        <v>36815</v>
      </c>
      <c r="M2618" s="1" t="s">
        <v>86</v>
      </c>
      <c r="N2618" s="1" t="s">
        <v>4412</v>
      </c>
      <c r="O2618" s="1"/>
      <c r="P2618" s="1" t="s">
        <v>455</v>
      </c>
      <c r="Q2618" s="1" t="s">
        <v>42606</v>
      </c>
      <c r="R2618" s="1" t="s">
        <v>42607</v>
      </c>
      <c r="S2618" s="1">
        <v>9980125250</v>
      </c>
      <c r="T2618" s="1" t="s">
        <v>839</v>
      </c>
      <c r="U2618" s="1" t="s">
        <v>42608</v>
      </c>
      <c r="V2618" s="1">
        <v>8951135803</v>
      </c>
      <c r="W2618" s="1" t="s">
        <v>161</v>
      </c>
      <c r="X2618" s="1" t="s">
        <v>42609</v>
      </c>
      <c r="Y2618" s="1" t="s">
        <v>1623</v>
      </c>
      <c r="Z2618" s="1" t="s">
        <v>1210</v>
      </c>
      <c r="AA2618" s="1" t="s">
        <v>42609</v>
      </c>
      <c r="AB2618" s="1" t="s">
        <v>1623</v>
      </c>
      <c r="AC2618" s="1" t="s">
        <v>1210</v>
      </c>
      <c r="AD2618" s="1">
        <v>8.21</v>
      </c>
      <c r="AE2618" s="1" t="s">
        <v>98</v>
      </c>
      <c r="AF2618" s="1" t="s">
        <v>42610</v>
      </c>
      <c r="AG2618" s="1" t="s">
        <v>312</v>
      </c>
      <c r="AH2618" s="1" t="s">
        <v>106</v>
      </c>
      <c r="AI2618" s="1" t="s">
        <v>313</v>
      </c>
      <c r="AJ2618" s="1">
        <v>61.6</v>
      </c>
      <c r="AK2618" s="1"/>
      <c r="AL2618" s="1" t="s">
        <v>42611</v>
      </c>
      <c r="AM2618" s="1" t="s">
        <v>4615</v>
      </c>
      <c r="AN2618" s="1" t="s">
        <v>575</v>
      </c>
      <c r="AO2618" s="1" t="s">
        <v>315</v>
      </c>
      <c r="AP2618" s="1" t="s">
        <v>847</v>
      </c>
      <c r="AQ2618" s="1">
        <v>67</v>
      </c>
      <c r="AR2618" s="1"/>
      <c r="AS2618" s="1"/>
      <c r="AT2618" s="1"/>
      <c r="AU2618" s="1"/>
      <c r="AV2618" s="1"/>
      <c r="AW2618" s="1"/>
      <c r="AX2618" s="1"/>
      <c r="AY2618" s="1" t="s">
        <v>42612</v>
      </c>
      <c r="AZ2618" s="1" t="s">
        <v>42612</v>
      </c>
      <c r="BA2618" s="1" t="s">
        <v>578</v>
      </c>
      <c r="BB2618" s="1" t="s">
        <v>467</v>
      </c>
      <c r="BC2618" s="1" t="s">
        <v>871</v>
      </c>
      <c r="BD2618" s="1" t="s">
        <v>848</v>
      </c>
      <c r="BE2618" s="1">
        <v>71.2</v>
      </c>
      <c r="BF2618" s="1">
        <v>7.87</v>
      </c>
      <c r="BG2618" s="1"/>
      <c r="BH2618" s="1"/>
      <c r="BI2618" s="1"/>
      <c r="BJ2618" s="1"/>
      <c r="BK2618" s="1"/>
      <c r="BL2618" s="1"/>
      <c r="BM2618" s="1"/>
      <c r="BN2618" s="1"/>
      <c r="BO2618" s="1" t="s">
        <v>42613</v>
      </c>
      <c r="BP2618" s="1"/>
      <c r="BQ2618" s="1"/>
      <c r="BR2618" s="1" t="s">
        <v>42614</v>
      </c>
      <c r="BS2618" s="1">
        <v>16</v>
      </c>
      <c r="BT2618" s="1" t="s">
        <v>42615</v>
      </c>
      <c r="BU2618" s="1" t="str">
        <f>HYPERLINK("https://nconnect.nicmar.ac.in/storage/profile/ProfilePhoto_P25701053_372945.jpg","Download")</f>
        <v>0</v>
      </c>
      <c r="BV2618" s="3"/>
      <c r="BW2618" s="3"/>
    </row>
    <row r="2619" spans="1:75">
      <c r="A2619" s="1" t="s">
        <v>40794</v>
      </c>
      <c r="B2619" s="1" t="s">
        <v>446</v>
      </c>
      <c r="C2619" s="1" t="s">
        <v>42616</v>
      </c>
      <c r="D2619" s="1" t="s">
        <v>24541</v>
      </c>
      <c r="E2619" s="1" t="s">
        <v>32760</v>
      </c>
      <c r="F2619" s="1" t="s">
        <v>42617</v>
      </c>
      <c r="G2619" s="1" t="s">
        <v>42618</v>
      </c>
      <c r="H2619" s="1" t="s">
        <v>42619</v>
      </c>
      <c r="I2619" s="1" t="s">
        <v>42620</v>
      </c>
      <c r="J2619" s="1">
        <v>9588660285</v>
      </c>
      <c r="K2619" s="1" t="s">
        <v>153</v>
      </c>
      <c r="L2619" s="1" t="s">
        <v>41838</v>
      </c>
      <c r="M2619" s="1" t="s">
        <v>86</v>
      </c>
      <c r="N2619" s="1" t="s">
        <v>4972</v>
      </c>
      <c r="O2619" s="1"/>
      <c r="P2619" s="1" t="s">
        <v>481</v>
      </c>
      <c r="Q2619" s="1" t="s">
        <v>42621</v>
      </c>
      <c r="R2619" s="1" t="s">
        <v>42622</v>
      </c>
      <c r="S2619" s="1">
        <v>9422155873</v>
      </c>
      <c r="T2619" s="1" t="s">
        <v>839</v>
      </c>
      <c r="U2619" s="1" t="s">
        <v>42623</v>
      </c>
      <c r="V2619" s="1">
        <v>9422917492</v>
      </c>
      <c r="W2619" s="1" t="s">
        <v>839</v>
      </c>
      <c r="X2619" s="1" t="s">
        <v>42624</v>
      </c>
      <c r="Y2619" s="1" t="s">
        <v>224</v>
      </c>
      <c r="Z2619" s="1" t="s">
        <v>97</v>
      </c>
      <c r="AA2619" s="1" t="s">
        <v>42624</v>
      </c>
      <c r="AB2619" s="1" t="s">
        <v>224</v>
      </c>
      <c r="AC2619" s="1" t="s">
        <v>97</v>
      </c>
      <c r="AD2619" s="1">
        <v>7.6</v>
      </c>
      <c r="AE2619" s="1" t="s">
        <v>98</v>
      </c>
      <c r="AF2619" s="1" t="s">
        <v>42625</v>
      </c>
      <c r="AG2619" s="1" t="s">
        <v>35876</v>
      </c>
      <c r="AH2619" s="1" t="s">
        <v>286</v>
      </c>
      <c r="AI2619" s="1" t="s">
        <v>313</v>
      </c>
      <c r="AJ2619" s="1">
        <v>76.4</v>
      </c>
      <c r="AK2619" s="1"/>
      <c r="AL2619" s="1" t="s">
        <v>42626</v>
      </c>
      <c r="AM2619" s="1" t="s">
        <v>35876</v>
      </c>
      <c r="AN2619" s="1"/>
      <c r="AO2619" s="1" t="s">
        <v>603</v>
      </c>
      <c r="AP2619" s="1" t="s">
        <v>845</v>
      </c>
      <c r="AQ2619" s="1">
        <v>84.83</v>
      </c>
      <c r="AR2619" s="1"/>
      <c r="AS2619" s="1"/>
      <c r="AT2619" s="1"/>
      <c r="AU2619" s="1"/>
      <c r="AV2619" s="1"/>
      <c r="AW2619" s="1"/>
      <c r="AX2619" s="1"/>
      <c r="AY2619" s="1" t="s">
        <v>366</v>
      </c>
      <c r="AZ2619" s="1" t="s">
        <v>42627</v>
      </c>
      <c r="BA2619" s="1"/>
      <c r="BB2619" s="1"/>
      <c r="BC2619" s="1" t="s">
        <v>1192</v>
      </c>
      <c r="BD2619" s="1" t="s">
        <v>553</v>
      </c>
      <c r="BE2619" s="1">
        <v>72.77</v>
      </c>
      <c r="BF2619" s="1">
        <v>7.66</v>
      </c>
      <c r="BG2619" s="1"/>
      <c r="BH2619" s="1"/>
      <c r="BI2619" s="1"/>
      <c r="BJ2619" s="1"/>
      <c r="BK2619" s="1"/>
      <c r="BL2619" s="1"/>
      <c r="BM2619" s="1"/>
      <c r="BN2619" s="1"/>
      <c r="BO2619" s="1" t="s">
        <v>42628</v>
      </c>
      <c r="BP2619" s="1"/>
      <c r="BQ2619" s="1"/>
      <c r="BR2619" s="1" t="s">
        <v>42629</v>
      </c>
      <c r="BS2619" s="1">
        <v>27</v>
      </c>
      <c r="BT2619" s="1"/>
      <c r="BU2619" s="1" t="str">
        <f>HYPERLINK("https://nconnect.nicmar.ac.in/storage/profile/ProfilePhoto_P25701054_928375.jpg","Download")</f>
        <v>0</v>
      </c>
      <c r="BV2619" s="3"/>
      <c r="BW2619" s="3"/>
    </row>
    <row r="2620" spans="1:75">
      <c r="A2620" s="1" t="s">
        <v>40794</v>
      </c>
      <c r="B2620" s="1" t="s">
        <v>446</v>
      </c>
      <c r="C2620" s="1" t="s">
        <v>42630</v>
      </c>
      <c r="D2620" s="1" t="s">
        <v>4820</v>
      </c>
      <c r="E2620" s="1" t="s">
        <v>42631</v>
      </c>
      <c r="F2620" s="1" t="s">
        <v>2099</v>
      </c>
      <c r="G2620" s="1" t="s">
        <v>42632</v>
      </c>
      <c r="H2620" s="1" t="s">
        <v>42633</v>
      </c>
      <c r="I2620" s="1" t="s">
        <v>42634</v>
      </c>
      <c r="J2620" s="1">
        <v>7208881482</v>
      </c>
      <c r="K2620" s="1" t="s">
        <v>84</v>
      </c>
      <c r="L2620" s="1" t="s">
        <v>13636</v>
      </c>
      <c r="M2620" s="1" t="s">
        <v>86</v>
      </c>
      <c r="N2620" s="1" t="s">
        <v>1470</v>
      </c>
      <c r="O2620" s="1" t="s">
        <v>42635</v>
      </c>
      <c r="P2620" s="1" t="s">
        <v>455</v>
      </c>
      <c r="Q2620" s="1" t="s">
        <v>42636</v>
      </c>
      <c r="R2620" s="1" t="s">
        <v>42637</v>
      </c>
      <c r="S2620" s="1">
        <v>9769484706</v>
      </c>
      <c r="T2620" s="1" t="s">
        <v>42638</v>
      </c>
      <c r="U2620" s="1" t="s">
        <v>1955</v>
      </c>
      <c r="V2620" s="1">
        <v>8097713101</v>
      </c>
      <c r="W2620" s="1" t="s">
        <v>541</v>
      </c>
      <c r="X2620" s="1" t="s">
        <v>42639</v>
      </c>
      <c r="Y2620" s="1" t="s">
        <v>1012</v>
      </c>
      <c r="Z2620" s="1" t="s">
        <v>97</v>
      </c>
      <c r="AA2620" s="1" t="s">
        <v>42639</v>
      </c>
      <c r="AB2620" s="1" t="s">
        <v>1012</v>
      </c>
      <c r="AC2620" s="1" t="s">
        <v>97</v>
      </c>
      <c r="AD2620" s="1">
        <v>8.07</v>
      </c>
      <c r="AE2620" s="1" t="s">
        <v>98</v>
      </c>
      <c r="AF2620" s="1" t="s">
        <v>32650</v>
      </c>
      <c r="AG2620" s="1" t="s">
        <v>42640</v>
      </c>
      <c r="AH2620" s="1" t="s">
        <v>166</v>
      </c>
      <c r="AI2620" s="1" t="s">
        <v>627</v>
      </c>
      <c r="AJ2620" s="1">
        <v>68.4</v>
      </c>
      <c r="AK2620" s="1"/>
      <c r="AL2620" s="1"/>
      <c r="AM2620" s="1"/>
      <c r="AN2620" s="1" t="s">
        <v>2635</v>
      </c>
      <c r="AO2620" s="1"/>
      <c r="AP2620" s="1"/>
      <c r="AQ2620" s="1"/>
      <c r="AR2620" s="1"/>
      <c r="AS2620" s="1" t="s">
        <v>439</v>
      </c>
      <c r="AT2620" s="1" t="s">
        <v>42641</v>
      </c>
      <c r="AU2620" s="1" t="s">
        <v>1396</v>
      </c>
      <c r="AV2620" s="1" t="s">
        <v>438</v>
      </c>
      <c r="AW2620" s="1">
        <v>69.7</v>
      </c>
      <c r="AX2620" s="1"/>
      <c r="AY2620" s="1" t="s">
        <v>258</v>
      </c>
      <c r="AZ2620" s="1" t="s">
        <v>42642</v>
      </c>
      <c r="BA2620" s="1" t="s">
        <v>578</v>
      </c>
      <c r="BB2620" s="1" t="s">
        <v>467</v>
      </c>
      <c r="BC2620" s="1" t="s">
        <v>206</v>
      </c>
      <c r="BD2620" s="1" t="s">
        <v>110</v>
      </c>
      <c r="BE2620" s="1">
        <v>70.54</v>
      </c>
      <c r="BF2620" s="1"/>
      <c r="BG2620" s="1"/>
      <c r="BH2620" s="1"/>
      <c r="BI2620" s="1"/>
      <c r="BJ2620" s="1"/>
      <c r="BK2620" s="1"/>
      <c r="BL2620" s="1"/>
      <c r="BM2620" s="1"/>
      <c r="BN2620" s="1"/>
      <c r="BO2620" s="1" t="s">
        <v>42643</v>
      </c>
      <c r="BP2620" s="1" t="s">
        <v>42644</v>
      </c>
      <c r="BQ2620" s="1" t="s">
        <v>1070</v>
      </c>
      <c r="BR2620" s="1" t="s">
        <v>42645</v>
      </c>
      <c r="BS2620" s="1">
        <v>8</v>
      </c>
      <c r="BT2620" s="1" t="s">
        <v>42646</v>
      </c>
      <c r="BU2620" s="1" t="str">
        <f>HYPERLINK("https://nconnect.nicmar.ac.in/storage/profile/ProfilePhoto_P25701055_348719.jpg","Download")</f>
        <v>0</v>
      </c>
      <c r="BV2620" s="3"/>
      <c r="BW2620" s="3"/>
    </row>
    <row r="2621" spans="1:75">
      <c r="A2621" s="1" t="s">
        <v>40794</v>
      </c>
      <c r="B2621" s="1" t="s">
        <v>446</v>
      </c>
      <c r="C2621" s="1" t="s">
        <v>42647</v>
      </c>
      <c r="D2621" s="1" t="s">
        <v>7197</v>
      </c>
      <c r="E2621" s="1" t="s">
        <v>4310</v>
      </c>
      <c r="F2621" s="1" t="s">
        <v>30472</v>
      </c>
      <c r="G2621" s="1" t="s">
        <v>42648</v>
      </c>
      <c r="H2621" s="1" t="s">
        <v>42649</v>
      </c>
      <c r="I2621" s="1" t="s">
        <v>42650</v>
      </c>
      <c r="J2621" s="1">
        <v>8082190515</v>
      </c>
      <c r="K2621" s="1" t="s">
        <v>153</v>
      </c>
      <c r="L2621" s="1" t="s">
        <v>42651</v>
      </c>
      <c r="M2621" s="1" t="s">
        <v>86</v>
      </c>
      <c r="N2621" s="1" t="s">
        <v>618</v>
      </c>
      <c r="O2621" s="1"/>
      <c r="P2621" s="1" t="s">
        <v>507</v>
      </c>
      <c r="Q2621" s="1" t="s">
        <v>42652</v>
      </c>
      <c r="R2621" s="1" t="s">
        <v>4310</v>
      </c>
      <c r="S2621" s="1">
        <v>9870073746</v>
      </c>
      <c r="T2621" s="1" t="s">
        <v>42653</v>
      </c>
      <c r="U2621" s="1" t="s">
        <v>29883</v>
      </c>
      <c r="V2621" s="1">
        <v>9870073751</v>
      </c>
      <c r="W2621" s="1" t="s">
        <v>42654</v>
      </c>
      <c r="X2621" s="1" t="s">
        <v>42655</v>
      </c>
      <c r="Y2621" s="1" t="s">
        <v>2259</v>
      </c>
      <c r="Z2621" s="1" t="s">
        <v>97</v>
      </c>
      <c r="AA2621" s="1" t="s">
        <v>42655</v>
      </c>
      <c r="AB2621" s="1" t="s">
        <v>2259</v>
      </c>
      <c r="AC2621" s="1" t="s">
        <v>97</v>
      </c>
      <c r="AD2621" s="1">
        <v>8.91</v>
      </c>
      <c r="AE2621" s="1" t="s">
        <v>98</v>
      </c>
      <c r="AF2621" s="1" t="s">
        <v>42656</v>
      </c>
      <c r="AG2621" s="1" t="s">
        <v>4324</v>
      </c>
      <c r="AH2621" s="1" t="s">
        <v>1213</v>
      </c>
      <c r="AI2621" s="1" t="s">
        <v>101</v>
      </c>
      <c r="AJ2621" s="1">
        <v>94.4</v>
      </c>
      <c r="AK2621" s="1">
        <v>0</v>
      </c>
      <c r="AL2621" s="1" t="s">
        <v>42657</v>
      </c>
      <c r="AM2621" s="1" t="s">
        <v>4324</v>
      </c>
      <c r="AN2621" s="1" t="s">
        <v>6323</v>
      </c>
      <c r="AO2621" s="1" t="s">
        <v>166</v>
      </c>
      <c r="AP2621" s="1" t="s">
        <v>627</v>
      </c>
      <c r="AQ2621" s="1">
        <v>91.69</v>
      </c>
      <c r="AR2621" s="1">
        <v>0</v>
      </c>
      <c r="AS2621" s="1"/>
      <c r="AT2621" s="1"/>
      <c r="AU2621" s="1"/>
      <c r="AV2621" s="1"/>
      <c r="AW2621" s="1"/>
      <c r="AX2621" s="1"/>
      <c r="AY2621" s="1" t="s">
        <v>258</v>
      </c>
      <c r="AZ2621" s="1" t="s">
        <v>42658</v>
      </c>
      <c r="BA2621" s="1" t="s">
        <v>682</v>
      </c>
      <c r="BB2621" s="1" t="s">
        <v>1561</v>
      </c>
      <c r="BC2621" s="1" t="s">
        <v>139</v>
      </c>
      <c r="BD2621" s="1" t="s">
        <v>847</v>
      </c>
      <c r="BE2621" s="1">
        <v>66.68</v>
      </c>
      <c r="BF2621" s="1">
        <v>0</v>
      </c>
      <c r="BG2621" s="1"/>
      <c r="BH2621" s="1"/>
      <c r="BI2621" s="1"/>
      <c r="BJ2621" s="1"/>
      <c r="BK2621" s="1"/>
      <c r="BL2621" s="1"/>
      <c r="BM2621" s="1"/>
      <c r="BN2621" s="1"/>
      <c r="BO2621" s="1" t="s">
        <v>42659</v>
      </c>
      <c r="BP2621" s="1" t="s">
        <v>42660</v>
      </c>
      <c r="BQ2621" s="1" t="s">
        <v>19293</v>
      </c>
      <c r="BR2621" s="1" t="s">
        <v>42661</v>
      </c>
      <c r="BS2621" s="1">
        <v>43</v>
      </c>
      <c r="BT2621" s="1"/>
      <c r="BU2621" s="1" t="str">
        <f>HYPERLINK("https://nconnect.nicmar.ac.in/storage/profile/ProfilePhoto_P25701056_321589.jpg","Download")</f>
        <v>0</v>
      </c>
      <c r="BV2621" s="3"/>
      <c r="BW2621" s="3"/>
    </row>
    <row r="2622" spans="1:75">
      <c r="A2622" s="1" t="s">
        <v>40794</v>
      </c>
      <c r="B2622" s="1" t="s">
        <v>446</v>
      </c>
      <c r="C2622" s="1" t="s">
        <v>42662</v>
      </c>
      <c r="D2622" s="1" t="s">
        <v>42663</v>
      </c>
      <c r="E2622" s="1"/>
      <c r="F2622" s="1" t="s">
        <v>42664</v>
      </c>
      <c r="G2622" s="1" t="s">
        <v>42665</v>
      </c>
      <c r="H2622" s="1" t="s">
        <v>42666</v>
      </c>
      <c r="I2622" s="1" t="s">
        <v>42667</v>
      </c>
      <c r="J2622" s="1">
        <v>9774486918</v>
      </c>
      <c r="K2622" s="1" t="s">
        <v>84</v>
      </c>
      <c r="L2622" s="1" t="s">
        <v>42668</v>
      </c>
      <c r="M2622" s="1" t="s">
        <v>86</v>
      </c>
      <c r="N2622" s="1" t="s">
        <v>10869</v>
      </c>
      <c r="O2622" s="1" t="s">
        <v>42669</v>
      </c>
      <c r="P2622" s="1" t="s">
        <v>122</v>
      </c>
      <c r="Q2622" s="1" t="s">
        <v>42670</v>
      </c>
      <c r="R2622" s="1" t="s">
        <v>42671</v>
      </c>
      <c r="S2622" s="1">
        <v>9774862616</v>
      </c>
      <c r="T2622" s="1" t="s">
        <v>94</v>
      </c>
      <c r="U2622" s="1" t="s">
        <v>42672</v>
      </c>
      <c r="V2622" s="1">
        <v>9774012767</v>
      </c>
      <c r="W2622" s="1" t="s">
        <v>539</v>
      </c>
      <c r="X2622" s="1" t="s">
        <v>42673</v>
      </c>
      <c r="Y2622" s="1" t="s">
        <v>31467</v>
      </c>
      <c r="Z2622" s="1" t="s">
        <v>31468</v>
      </c>
      <c r="AA2622" s="1" t="s">
        <v>42673</v>
      </c>
      <c r="AB2622" s="1" t="s">
        <v>31467</v>
      </c>
      <c r="AC2622" s="1" t="s">
        <v>31468</v>
      </c>
      <c r="AD2622" s="1">
        <v>7.49</v>
      </c>
      <c r="AE2622" s="1" t="s">
        <v>98</v>
      </c>
      <c r="AF2622" s="1" t="s">
        <v>42674</v>
      </c>
      <c r="AG2622" s="1" t="s">
        <v>42675</v>
      </c>
      <c r="AH2622" s="1" t="s">
        <v>136</v>
      </c>
      <c r="AI2622" s="1" t="s">
        <v>284</v>
      </c>
      <c r="AJ2622" s="1">
        <v>89.3</v>
      </c>
      <c r="AK2622" s="1">
        <v>9.4</v>
      </c>
      <c r="AL2622" s="1" t="s">
        <v>31469</v>
      </c>
      <c r="AM2622" s="1" t="s">
        <v>42675</v>
      </c>
      <c r="AN2622" s="1" t="s">
        <v>575</v>
      </c>
      <c r="AO2622" s="1" t="s">
        <v>704</v>
      </c>
      <c r="AP2622" s="1" t="s">
        <v>286</v>
      </c>
      <c r="AQ2622" s="1">
        <v>70.2</v>
      </c>
      <c r="AR2622" s="1"/>
      <c r="AS2622" s="1"/>
      <c r="AT2622" s="1"/>
      <c r="AU2622" s="1"/>
      <c r="AV2622" s="1"/>
      <c r="AW2622" s="1"/>
      <c r="AX2622" s="1"/>
      <c r="AY2622" s="1" t="s">
        <v>42676</v>
      </c>
      <c r="AZ2622" s="1" t="s">
        <v>42676</v>
      </c>
      <c r="BA2622" s="1" t="s">
        <v>466</v>
      </c>
      <c r="BB2622" s="1" t="s">
        <v>467</v>
      </c>
      <c r="BC2622" s="1" t="s">
        <v>174</v>
      </c>
      <c r="BD2622" s="1" t="s">
        <v>632</v>
      </c>
      <c r="BE2622" s="1">
        <v>70.4</v>
      </c>
      <c r="BF2622" s="1">
        <v>7.04</v>
      </c>
      <c r="BG2622" s="1"/>
      <c r="BH2622" s="1"/>
      <c r="BI2622" s="1"/>
      <c r="BJ2622" s="1"/>
      <c r="BK2622" s="1"/>
      <c r="BL2622" s="1"/>
      <c r="BM2622" s="1"/>
      <c r="BN2622" s="1"/>
      <c r="BO2622" s="1" t="s">
        <v>1114</v>
      </c>
      <c r="BP2622" s="1" t="s">
        <v>42677</v>
      </c>
      <c r="BQ2622" s="1" t="s">
        <v>1152</v>
      </c>
      <c r="BR2622" s="1" t="s">
        <v>42678</v>
      </c>
      <c r="BS2622" s="1">
        <v>8</v>
      </c>
      <c r="BT2622" s="1"/>
      <c r="BU2622" s="1" t="str">
        <f>HYPERLINK("https://nconnect.nicmar.ac.in/storage/profile/6a8fde2ae4502.png","Download")</f>
        <v>0</v>
      </c>
      <c r="BV2622" s="3"/>
      <c r="BW2622" s="4">
        <v>1</v>
      </c>
    </row>
    <row r="2623" spans="1:75">
      <c r="A2623" s="1" t="s">
        <v>40794</v>
      </c>
      <c r="B2623" s="1" t="s">
        <v>446</v>
      </c>
      <c r="C2623" s="1" t="s">
        <v>42679</v>
      </c>
      <c r="D2623" s="1" t="s">
        <v>25764</v>
      </c>
      <c r="E2623" s="1" t="s">
        <v>530</v>
      </c>
      <c r="F2623" s="1" t="s">
        <v>42680</v>
      </c>
      <c r="G2623" s="1" t="s">
        <v>42681</v>
      </c>
      <c r="H2623" s="1" t="s">
        <v>42682</v>
      </c>
      <c r="I2623" s="1" t="s">
        <v>42683</v>
      </c>
      <c r="J2623" s="1">
        <v>9079355689</v>
      </c>
      <c r="K2623" s="1" t="s">
        <v>84</v>
      </c>
      <c r="L2623" s="1" t="s">
        <v>27036</v>
      </c>
      <c r="M2623" s="1" t="s">
        <v>86</v>
      </c>
      <c r="N2623" s="1" t="s">
        <v>87</v>
      </c>
      <c r="O2623" s="1" t="s">
        <v>42684</v>
      </c>
      <c r="P2623" s="1" t="s">
        <v>507</v>
      </c>
      <c r="Q2623" s="1" t="s">
        <v>42685</v>
      </c>
      <c r="R2623" s="1" t="s">
        <v>42686</v>
      </c>
      <c r="S2623" s="1">
        <v>7014937187</v>
      </c>
      <c r="T2623" s="1" t="s">
        <v>42687</v>
      </c>
      <c r="U2623" s="1" t="s">
        <v>42688</v>
      </c>
      <c r="V2623" s="1">
        <v>7568789701</v>
      </c>
      <c r="W2623" s="1" t="s">
        <v>94</v>
      </c>
      <c r="X2623" s="1" t="s">
        <v>42689</v>
      </c>
      <c r="Y2623" s="1" t="s">
        <v>29682</v>
      </c>
      <c r="Z2623" s="1" t="s">
        <v>2153</v>
      </c>
      <c r="AA2623" s="1" t="s">
        <v>42689</v>
      </c>
      <c r="AB2623" s="1" t="s">
        <v>29682</v>
      </c>
      <c r="AC2623" s="1" t="s">
        <v>2153</v>
      </c>
      <c r="AD2623" s="1">
        <v>8.28</v>
      </c>
      <c r="AE2623" s="1" t="s">
        <v>98</v>
      </c>
      <c r="AF2623" s="1" t="s">
        <v>42690</v>
      </c>
      <c r="AG2623" s="1" t="s">
        <v>796</v>
      </c>
      <c r="AH2623" s="1" t="s">
        <v>1110</v>
      </c>
      <c r="AI2623" s="1" t="s">
        <v>627</v>
      </c>
      <c r="AJ2623" s="1">
        <v>85.5</v>
      </c>
      <c r="AK2623" s="1">
        <v>9</v>
      </c>
      <c r="AL2623" s="1" t="s">
        <v>42690</v>
      </c>
      <c r="AM2623" s="1" t="s">
        <v>796</v>
      </c>
      <c r="AN2623" s="1" t="s">
        <v>465</v>
      </c>
      <c r="AO2623" s="1" t="s">
        <v>704</v>
      </c>
      <c r="AP2623" s="1" t="s">
        <v>171</v>
      </c>
      <c r="AQ2623" s="1">
        <v>64.2</v>
      </c>
      <c r="AR2623" s="1"/>
      <c r="AS2623" s="1"/>
      <c r="AT2623" s="1"/>
      <c r="AU2623" s="1"/>
      <c r="AV2623" s="1"/>
      <c r="AW2623" s="1"/>
      <c r="AX2623" s="1"/>
      <c r="AY2623" s="1" t="s">
        <v>42691</v>
      </c>
      <c r="AZ2623" s="1" t="s">
        <v>42692</v>
      </c>
      <c r="BA2623" s="1" t="s">
        <v>578</v>
      </c>
      <c r="BB2623" s="1" t="s">
        <v>19084</v>
      </c>
      <c r="BC2623" s="1" t="s">
        <v>1065</v>
      </c>
      <c r="BD2623" s="1" t="s">
        <v>179</v>
      </c>
      <c r="BE2623" s="1">
        <v>83.9</v>
      </c>
      <c r="BF2623" s="1">
        <v>8.39</v>
      </c>
      <c r="BG2623" s="1"/>
      <c r="BH2623" s="1"/>
      <c r="BI2623" s="1"/>
      <c r="BJ2623" s="1"/>
      <c r="BK2623" s="1"/>
      <c r="BL2623" s="1"/>
      <c r="BM2623" s="1"/>
      <c r="BN2623" s="1"/>
      <c r="BO2623" s="1" t="s">
        <v>42693</v>
      </c>
      <c r="BP2623" s="1" t="s">
        <v>42694</v>
      </c>
      <c r="BQ2623" s="1" t="s">
        <v>3949</v>
      </c>
      <c r="BR2623" s="1" t="s">
        <v>42695</v>
      </c>
      <c r="BS2623" s="1">
        <v>15</v>
      </c>
      <c r="BT2623" s="1" t="s">
        <v>42696</v>
      </c>
      <c r="BU2623" s="1" t="str">
        <f>HYPERLINK("https://nconnect.nicmar.ac.in/storage/profile/ProfilePhoto_P25701058_382415.jpg","Download")</f>
        <v>0</v>
      </c>
      <c r="BV2623" s="3"/>
      <c r="BW2623" s="4">
        <v>1</v>
      </c>
    </row>
    <row r="2624" spans="1:75">
      <c r="A2624" s="1" t="s">
        <v>40794</v>
      </c>
      <c r="B2624" s="1" t="s">
        <v>446</v>
      </c>
      <c r="C2624" s="1" t="s">
        <v>42697</v>
      </c>
      <c r="D2624" s="1" t="s">
        <v>34570</v>
      </c>
      <c r="E2624" s="1"/>
      <c r="F2624" s="1" t="s">
        <v>116</v>
      </c>
      <c r="G2624" s="1" t="s">
        <v>42698</v>
      </c>
      <c r="H2624" s="1" t="s">
        <v>42699</v>
      </c>
      <c r="I2624" s="1" t="s">
        <v>42700</v>
      </c>
      <c r="J2624" s="1">
        <v>8310554418</v>
      </c>
      <c r="K2624" s="1" t="s">
        <v>153</v>
      </c>
      <c r="L2624" s="1" t="s">
        <v>37471</v>
      </c>
      <c r="M2624" s="1" t="s">
        <v>86</v>
      </c>
      <c r="N2624" s="1" t="s">
        <v>42701</v>
      </c>
      <c r="O2624" s="1"/>
      <c r="P2624" s="1" t="s">
        <v>481</v>
      </c>
      <c r="Q2624" s="1" t="s">
        <v>42702</v>
      </c>
      <c r="R2624" s="1" t="s">
        <v>42703</v>
      </c>
      <c r="S2624" s="1">
        <v>9740448322</v>
      </c>
      <c r="T2624" s="1" t="s">
        <v>3788</v>
      </c>
      <c r="U2624" s="1" t="s">
        <v>42704</v>
      </c>
      <c r="V2624" s="1">
        <v>7892469730</v>
      </c>
      <c r="W2624" s="1" t="s">
        <v>278</v>
      </c>
      <c r="X2624" s="1" t="s">
        <v>42705</v>
      </c>
      <c r="Y2624" s="1" t="s">
        <v>3132</v>
      </c>
      <c r="Z2624" s="1" t="s">
        <v>1210</v>
      </c>
      <c r="AA2624" s="1" t="s">
        <v>42706</v>
      </c>
      <c r="AB2624" s="1" t="s">
        <v>3132</v>
      </c>
      <c r="AC2624" s="1" t="s">
        <v>1210</v>
      </c>
      <c r="AD2624" s="1">
        <v>7.53</v>
      </c>
      <c r="AE2624" s="1" t="s">
        <v>98</v>
      </c>
      <c r="AF2624" s="1" t="s">
        <v>42707</v>
      </c>
      <c r="AG2624" s="1" t="s">
        <v>1946</v>
      </c>
      <c r="AH2624" s="1" t="s">
        <v>171</v>
      </c>
      <c r="AI2624" s="1" t="s">
        <v>547</v>
      </c>
      <c r="AJ2624" s="1">
        <v>86.56</v>
      </c>
      <c r="AK2624" s="1"/>
      <c r="AL2624" s="1" t="s">
        <v>42708</v>
      </c>
      <c r="AM2624" s="1" t="s">
        <v>10955</v>
      </c>
      <c r="AN2624" s="1" t="s">
        <v>575</v>
      </c>
      <c r="AO2624" s="1" t="s">
        <v>438</v>
      </c>
      <c r="AP2624" s="1" t="s">
        <v>549</v>
      </c>
      <c r="AQ2624" s="1">
        <v>80.5</v>
      </c>
      <c r="AR2624" s="1"/>
      <c r="AS2624" s="1"/>
      <c r="AT2624" s="1"/>
      <c r="AU2624" s="1"/>
      <c r="AV2624" s="1"/>
      <c r="AW2624" s="1"/>
      <c r="AX2624" s="1"/>
      <c r="AY2624" s="1" t="s">
        <v>4187</v>
      </c>
      <c r="AZ2624" s="1" t="s">
        <v>42709</v>
      </c>
      <c r="BA2624" s="1" t="s">
        <v>578</v>
      </c>
      <c r="BB2624" s="1" t="s">
        <v>467</v>
      </c>
      <c r="BC2624" s="1" t="s">
        <v>871</v>
      </c>
      <c r="BD2624" s="1" t="s">
        <v>1401</v>
      </c>
      <c r="BE2624" s="1">
        <v>70.9</v>
      </c>
      <c r="BF2624" s="1">
        <v>7.84</v>
      </c>
      <c r="BG2624" s="1"/>
      <c r="BH2624" s="1"/>
      <c r="BI2624" s="1"/>
      <c r="BJ2624" s="1"/>
      <c r="BK2624" s="1"/>
      <c r="BL2624" s="1"/>
      <c r="BM2624" s="1"/>
      <c r="BN2624" s="1"/>
      <c r="BO2624" s="1" t="s">
        <v>42710</v>
      </c>
      <c r="BP2624" s="1"/>
      <c r="BQ2624" s="1"/>
      <c r="BR2624" s="1" t="s">
        <v>42711</v>
      </c>
      <c r="BS2624" s="1">
        <v>34</v>
      </c>
      <c r="BT2624" s="1"/>
      <c r="BU2624" s="1" t="str">
        <f>HYPERLINK("https://nconnect.nicmar.ac.in/storage/profile/ProfilePhoto_P25701059_618749.jpg","Download")</f>
        <v>0</v>
      </c>
      <c r="BV2624" s="3"/>
      <c r="BW2624" s="4">
        <v>1</v>
      </c>
    </row>
    <row r="2625" spans="1:75">
      <c r="A2625" s="1" t="s">
        <v>40794</v>
      </c>
      <c r="B2625" s="1" t="s">
        <v>446</v>
      </c>
      <c r="C2625" s="1" t="s">
        <v>42712</v>
      </c>
      <c r="D2625" s="1" t="s">
        <v>530</v>
      </c>
      <c r="E2625" s="1" t="s">
        <v>42713</v>
      </c>
      <c r="F2625" s="1" t="s">
        <v>19350</v>
      </c>
      <c r="G2625" s="1" t="s">
        <v>42714</v>
      </c>
      <c r="H2625" s="1" t="s">
        <v>42715</v>
      </c>
      <c r="I2625" s="1" t="s">
        <v>42716</v>
      </c>
      <c r="J2625" s="1">
        <v>8356041344</v>
      </c>
      <c r="K2625" s="1" t="s">
        <v>84</v>
      </c>
      <c r="L2625" s="1" t="s">
        <v>9822</v>
      </c>
      <c r="M2625" s="1" t="s">
        <v>86</v>
      </c>
      <c r="N2625" s="1" t="s">
        <v>618</v>
      </c>
      <c r="O2625" s="1"/>
      <c r="P2625" s="1" t="s">
        <v>507</v>
      </c>
      <c r="Q2625" s="1" t="s">
        <v>42717</v>
      </c>
      <c r="R2625" s="1" t="s">
        <v>42718</v>
      </c>
      <c r="S2625" s="1">
        <v>8080225626</v>
      </c>
      <c r="T2625" s="1" t="s">
        <v>42719</v>
      </c>
      <c r="U2625" s="1" t="s">
        <v>42720</v>
      </c>
      <c r="V2625" s="1">
        <v>9833733249</v>
      </c>
      <c r="W2625" s="1" t="s">
        <v>94</v>
      </c>
      <c r="X2625" s="1" t="s">
        <v>42721</v>
      </c>
      <c r="Y2625" s="1" t="s">
        <v>1012</v>
      </c>
      <c r="Z2625" s="1" t="s">
        <v>97</v>
      </c>
      <c r="AA2625" s="1" t="s">
        <v>42721</v>
      </c>
      <c r="AB2625" s="1" t="s">
        <v>1012</v>
      </c>
      <c r="AC2625" s="1" t="s">
        <v>97</v>
      </c>
      <c r="AD2625" s="1">
        <v>7.84</v>
      </c>
      <c r="AE2625" s="1" t="s">
        <v>98</v>
      </c>
      <c r="AF2625" s="1" t="s">
        <v>42722</v>
      </c>
      <c r="AG2625" s="1" t="s">
        <v>42723</v>
      </c>
      <c r="AH2625" s="1" t="s">
        <v>166</v>
      </c>
      <c r="AI2625" s="1" t="s">
        <v>167</v>
      </c>
      <c r="AJ2625" s="1">
        <v>71.6</v>
      </c>
      <c r="AK2625" s="1"/>
      <c r="AL2625" s="1"/>
      <c r="AM2625" s="1"/>
      <c r="AN2625" s="1"/>
      <c r="AO2625" s="1"/>
      <c r="AP2625" s="1"/>
      <c r="AQ2625" s="1"/>
      <c r="AR2625" s="1"/>
      <c r="AS2625" s="1" t="s">
        <v>103</v>
      </c>
      <c r="AT2625" s="1" t="s">
        <v>42724</v>
      </c>
      <c r="AU2625" s="1" t="s">
        <v>1396</v>
      </c>
      <c r="AV2625" s="1" t="s">
        <v>438</v>
      </c>
      <c r="AW2625" s="1">
        <v>72.18</v>
      </c>
      <c r="AX2625" s="1"/>
      <c r="AY2625" s="1" t="s">
        <v>258</v>
      </c>
      <c r="AZ2625" s="1" t="s">
        <v>42725</v>
      </c>
      <c r="BA2625" s="1"/>
      <c r="BB2625" s="1"/>
      <c r="BC2625" s="1" t="s">
        <v>206</v>
      </c>
      <c r="BD2625" s="1" t="s">
        <v>110</v>
      </c>
      <c r="BE2625" s="1">
        <v>74.4</v>
      </c>
      <c r="BF2625" s="1"/>
      <c r="BG2625" s="1"/>
      <c r="BH2625" s="1"/>
      <c r="BI2625" s="1"/>
      <c r="BJ2625" s="1"/>
      <c r="BK2625" s="1"/>
      <c r="BL2625" s="1"/>
      <c r="BM2625" s="1"/>
      <c r="BN2625" s="1"/>
      <c r="BO2625" s="1" t="s">
        <v>369</v>
      </c>
      <c r="BP2625" s="1" t="s">
        <v>42726</v>
      </c>
      <c r="BQ2625" s="1" t="s">
        <v>736</v>
      </c>
      <c r="BR2625" s="1" t="s">
        <v>42727</v>
      </c>
      <c r="BS2625" s="1">
        <v>72</v>
      </c>
      <c r="BT2625" s="1"/>
      <c r="BU2625" s="1" t="str">
        <f>HYPERLINK("https://nconnect.nicmar.ac.in/storage/profile/ProfilePhoto_P25701060_532694.jpg","Download")</f>
        <v>0</v>
      </c>
      <c r="BV2625" s="3"/>
      <c r="BW2625" s="4">
        <v>1</v>
      </c>
    </row>
    <row r="2626" spans="1:75">
      <c r="A2626" s="1" t="s">
        <v>40794</v>
      </c>
      <c r="B2626" s="1" t="s">
        <v>446</v>
      </c>
      <c r="C2626" s="1" t="s">
        <v>42728</v>
      </c>
      <c r="D2626" s="1" t="s">
        <v>42729</v>
      </c>
      <c r="E2626" s="1"/>
      <c r="F2626" s="1" t="s">
        <v>25733</v>
      </c>
      <c r="G2626" s="1" t="s">
        <v>42730</v>
      </c>
      <c r="H2626" s="1" t="s">
        <v>42731</v>
      </c>
      <c r="I2626" s="1" t="s">
        <v>42732</v>
      </c>
      <c r="J2626" s="1">
        <v>9330372646</v>
      </c>
      <c r="K2626" s="1" t="s">
        <v>84</v>
      </c>
      <c r="L2626" s="1" t="s">
        <v>38273</v>
      </c>
      <c r="M2626" s="1" t="s">
        <v>86</v>
      </c>
      <c r="N2626" s="1" t="s">
        <v>12270</v>
      </c>
      <c r="O2626" s="1" t="s">
        <v>21590</v>
      </c>
      <c r="P2626" s="1" t="s">
        <v>455</v>
      </c>
      <c r="Q2626" s="1" t="s">
        <v>42733</v>
      </c>
      <c r="R2626" s="1" t="s">
        <v>42734</v>
      </c>
      <c r="S2626" s="1">
        <v>9830827767</v>
      </c>
      <c r="T2626" s="1" t="s">
        <v>645</v>
      </c>
      <c r="U2626" s="1" t="s">
        <v>42735</v>
      </c>
      <c r="V2626" s="1">
        <v>9051451485</v>
      </c>
      <c r="W2626" s="1" t="s">
        <v>94</v>
      </c>
      <c r="X2626" s="1" t="s">
        <v>42736</v>
      </c>
      <c r="Y2626" s="1" t="s">
        <v>196</v>
      </c>
      <c r="Z2626" s="1" t="s">
        <v>97</v>
      </c>
      <c r="AA2626" s="1" t="s">
        <v>42737</v>
      </c>
      <c r="AB2626" s="1" t="s">
        <v>1233</v>
      </c>
      <c r="AC2626" s="1" t="s">
        <v>1234</v>
      </c>
      <c r="AD2626" s="1">
        <v>8.74</v>
      </c>
      <c r="AE2626" s="1" t="s">
        <v>98</v>
      </c>
      <c r="AF2626" s="1" t="s">
        <v>42738</v>
      </c>
      <c r="AG2626" s="1" t="s">
        <v>34378</v>
      </c>
      <c r="AH2626" s="1" t="s">
        <v>284</v>
      </c>
      <c r="AI2626" s="1" t="s">
        <v>573</v>
      </c>
      <c r="AJ2626" s="1">
        <v>86.67</v>
      </c>
      <c r="AK2626" s="1"/>
      <c r="AL2626" s="1" t="s">
        <v>42739</v>
      </c>
      <c r="AM2626" s="1" t="s">
        <v>42740</v>
      </c>
      <c r="AN2626" s="1" t="s">
        <v>575</v>
      </c>
      <c r="AO2626" s="1" t="s">
        <v>573</v>
      </c>
      <c r="AP2626" s="1" t="s">
        <v>313</v>
      </c>
      <c r="AQ2626" s="1">
        <v>83</v>
      </c>
      <c r="AR2626" s="1"/>
      <c r="AS2626" s="1"/>
      <c r="AT2626" s="1"/>
      <c r="AU2626" s="1"/>
      <c r="AV2626" s="1"/>
      <c r="AW2626" s="1"/>
      <c r="AX2626" s="1"/>
      <c r="AY2626" s="1" t="s">
        <v>27181</v>
      </c>
      <c r="AZ2626" s="1" t="s">
        <v>27182</v>
      </c>
      <c r="BA2626" s="1" t="s">
        <v>578</v>
      </c>
      <c r="BB2626" s="1" t="s">
        <v>467</v>
      </c>
      <c r="BC2626" s="1" t="s">
        <v>206</v>
      </c>
      <c r="BD2626" s="1" t="s">
        <v>935</v>
      </c>
      <c r="BE2626" s="1">
        <v>69.53</v>
      </c>
      <c r="BF2626" s="1"/>
      <c r="BG2626" s="1"/>
      <c r="BH2626" s="1"/>
      <c r="BI2626" s="1"/>
      <c r="BJ2626" s="1"/>
      <c r="BK2626" s="1"/>
      <c r="BL2626" s="1"/>
      <c r="BM2626" s="1"/>
      <c r="BN2626" s="1"/>
      <c r="BO2626" s="1" t="s">
        <v>42741</v>
      </c>
      <c r="BP2626" s="1" t="s">
        <v>42742</v>
      </c>
      <c r="BQ2626" s="1" t="s">
        <v>1152</v>
      </c>
      <c r="BR2626" s="1" t="s">
        <v>42743</v>
      </c>
      <c r="BS2626" s="1">
        <v>9</v>
      </c>
      <c r="BT2626" s="1"/>
      <c r="BU2626" s="1" t="str">
        <f>HYPERLINK("https://nconnect.nicmar.ac.in/storage/profile/6a8ea8ecdb238.png","Download")</f>
        <v>0</v>
      </c>
      <c r="BV2626" s="3"/>
      <c r="BW2626" s="3"/>
    </row>
    <row r="2627" spans="1:75">
      <c r="A2627" s="1" t="s">
        <v>40794</v>
      </c>
      <c r="B2627" s="1" t="s">
        <v>446</v>
      </c>
      <c r="C2627" s="1" t="s">
        <v>42744</v>
      </c>
      <c r="D2627" s="1" t="s">
        <v>4214</v>
      </c>
      <c r="E2627" s="1" t="s">
        <v>2233</v>
      </c>
      <c r="F2627" s="1" t="s">
        <v>42745</v>
      </c>
      <c r="G2627" s="1" t="s">
        <v>42746</v>
      </c>
      <c r="H2627" s="1" t="s">
        <v>42747</v>
      </c>
      <c r="I2627" s="1" t="s">
        <v>42748</v>
      </c>
      <c r="J2627" s="1">
        <v>8669116038</v>
      </c>
      <c r="K2627" s="1" t="s">
        <v>84</v>
      </c>
      <c r="L2627" s="1" t="s">
        <v>1253</v>
      </c>
      <c r="M2627" s="1" t="s">
        <v>86</v>
      </c>
      <c r="N2627" s="1" t="s">
        <v>26511</v>
      </c>
      <c r="O2627" s="1" t="s">
        <v>42749</v>
      </c>
      <c r="P2627" s="1" t="s">
        <v>481</v>
      </c>
      <c r="Q2627" s="1" t="s">
        <v>42750</v>
      </c>
      <c r="R2627" s="1" t="s">
        <v>42751</v>
      </c>
      <c r="S2627" s="1">
        <v>8007093453</v>
      </c>
      <c r="T2627" s="1" t="s">
        <v>42752</v>
      </c>
      <c r="U2627" s="1" t="s">
        <v>42753</v>
      </c>
      <c r="V2627" s="1">
        <v>9689548771</v>
      </c>
      <c r="W2627" s="1" t="s">
        <v>94</v>
      </c>
      <c r="X2627" s="1" t="s">
        <v>42754</v>
      </c>
      <c r="Y2627" s="1" t="s">
        <v>6548</v>
      </c>
      <c r="Z2627" s="1" t="s">
        <v>6549</v>
      </c>
      <c r="AA2627" s="1" t="s">
        <v>42754</v>
      </c>
      <c r="AB2627" s="1" t="s">
        <v>6548</v>
      </c>
      <c r="AC2627" s="1" t="s">
        <v>6549</v>
      </c>
      <c r="AD2627" s="1">
        <v>8.51</v>
      </c>
      <c r="AE2627" s="1" t="s">
        <v>98</v>
      </c>
      <c r="AF2627" s="1" t="s">
        <v>42755</v>
      </c>
      <c r="AG2627" s="1" t="s">
        <v>39020</v>
      </c>
      <c r="AH2627" s="1" t="s">
        <v>166</v>
      </c>
      <c r="AI2627" s="1" t="s">
        <v>627</v>
      </c>
      <c r="AJ2627" s="1">
        <v>80.83</v>
      </c>
      <c r="AK2627" s="1"/>
      <c r="AL2627" s="1" t="s">
        <v>42756</v>
      </c>
      <c r="AM2627" s="1" t="s">
        <v>39020</v>
      </c>
      <c r="AN2627" s="1" t="s">
        <v>575</v>
      </c>
      <c r="AO2627" s="1" t="s">
        <v>170</v>
      </c>
      <c r="AP2627" s="1" t="s">
        <v>171</v>
      </c>
      <c r="AQ2627" s="1">
        <v>66.67</v>
      </c>
      <c r="AR2627" s="1"/>
      <c r="AS2627" s="1"/>
      <c r="AT2627" s="1"/>
      <c r="AU2627" s="1"/>
      <c r="AV2627" s="1"/>
      <c r="AW2627" s="1"/>
      <c r="AX2627" s="1"/>
      <c r="AY2627" s="1" t="s">
        <v>11306</v>
      </c>
      <c r="AZ2627" s="1" t="s">
        <v>42757</v>
      </c>
      <c r="BA2627" s="1" t="s">
        <v>578</v>
      </c>
      <c r="BB2627" s="1" t="s">
        <v>467</v>
      </c>
      <c r="BC2627" s="1" t="s">
        <v>174</v>
      </c>
      <c r="BD2627" s="1" t="s">
        <v>1400</v>
      </c>
      <c r="BE2627" s="1">
        <v>66.92</v>
      </c>
      <c r="BF2627" s="1"/>
      <c r="BG2627" s="1"/>
      <c r="BH2627" s="1"/>
      <c r="BI2627" s="1"/>
      <c r="BJ2627" s="1"/>
      <c r="BK2627" s="1"/>
      <c r="BL2627" s="1"/>
      <c r="BM2627" s="1"/>
      <c r="BN2627" s="1"/>
      <c r="BO2627" s="1" t="s">
        <v>42758</v>
      </c>
      <c r="BP2627" s="1" t="s">
        <v>42759</v>
      </c>
      <c r="BQ2627" s="1" t="s">
        <v>1482</v>
      </c>
      <c r="BR2627" s="1" t="s">
        <v>42760</v>
      </c>
      <c r="BS2627" s="1">
        <v>37</v>
      </c>
      <c r="BT2627" s="1" t="s">
        <v>42761</v>
      </c>
      <c r="BU2627" s="1" t="str">
        <f>HYPERLINK("https://nconnect.nicmar.ac.in/storage/profile/ProfilePhoto_P25701062_418765.jpg","Download")</f>
        <v>0</v>
      </c>
      <c r="BV2627" s="3"/>
      <c r="BW2627" s="3"/>
    </row>
    <row r="2628" spans="1:75">
      <c r="A2628" s="1" t="s">
        <v>40794</v>
      </c>
      <c r="B2628" s="1" t="s">
        <v>446</v>
      </c>
      <c r="C2628" s="1" t="s">
        <v>42762</v>
      </c>
      <c r="D2628" s="1" t="s">
        <v>27118</v>
      </c>
      <c r="E2628" s="1"/>
      <c r="F2628" s="1" t="s">
        <v>37079</v>
      </c>
      <c r="G2628" s="1" t="s">
        <v>42763</v>
      </c>
      <c r="H2628" s="1" t="s">
        <v>42764</v>
      </c>
      <c r="I2628" s="1" t="s">
        <v>42765</v>
      </c>
      <c r="J2628" s="1">
        <v>9556521573</v>
      </c>
      <c r="K2628" s="1" t="s">
        <v>84</v>
      </c>
      <c r="L2628" s="1" t="s">
        <v>38112</v>
      </c>
      <c r="M2628" s="1" t="s">
        <v>86</v>
      </c>
      <c r="N2628" s="1" t="s">
        <v>881</v>
      </c>
      <c r="O2628" s="1"/>
      <c r="P2628" s="1" t="s">
        <v>481</v>
      </c>
      <c r="Q2628" s="1" t="s">
        <v>42766</v>
      </c>
      <c r="R2628" s="1" t="s">
        <v>42767</v>
      </c>
      <c r="S2628" s="1">
        <v>9437158463</v>
      </c>
      <c r="T2628" s="1" t="s">
        <v>839</v>
      </c>
      <c r="U2628" s="1" t="s">
        <v>42768</v>
      </c>
      <c r="V2628" s="1">
        <v>7008316854</v>
      </c>
      <c r="W2628" s="1" t="s">
        <v>541</v>
      </c>
      <c r="X2628" s="1" t="s">
        <v>42769</v>
      </c>
      <c r="Y2628" s="1" t="s">
        <v>9581</v>
      </c>
      <c r="Z2628" s="1" t="s">
        <v>865</v>
      </c>
      <c r="AA2628" s="1" t="s">
        <v>42769</v>
      </c>
      <c r="AB2628" s="1" t="s">
        <v>9581</v>
      </c>
      <c r="AC2628" s="1" t="s">
        <v>865</v>
      </c>
      <c r="AD2628" s="1">
        <v>8.91</v>
      </c>
      <c r="AE2628" s="1" t="s">
        <v>98</v>
      </c>
      <c r="AF2628" s="1" t="s">
        <v>42770</v>
      </c>
      <c r="AG2628" s="1" t="s">
        <v>42771</v>
      </c>
      <c r="AH2628" s="1" t="s">
        <v>167</v>
      </c>
      <c r="AI2628" s="1" t="s">
        <v>388</v>
      </c>
      <c r="AJ2628" s="1">
        <v>95</v>
      </c>
      <c r="AK2628" s="1">
        <v>10</v>
      </c>
      <c r="AL2628" s="1" t="s">
        <v>42772</v>
      </c>
      <c r="AM2628" s="1" t="s">
        <v>42773</v>
      </c>
      <c r="AN2628" s="1" t="s">
        <v>465</v>
      </c>
      <c r="AO2628" s="1" t="s">
        <v>174</v>
      </c>
      <c r="AP2628" s="1" t="s">
        <v>438</v>
      </c>
      <c r="AQ2628" s="1">
        <v>69</v>
      </c>
      <c r="AR2628" s="1"/>
      <c r="AS2628" s="1"/>
      <c r="AT2628" s="1"/>
      <c r="AU2628" s="1"/>
      <c r="AV2628" s="1"/>
      <c r="AW2628" s="1"/>
      <c r="AX2628" s="1"/>
      <c r="AY2628" s="1" t="s">
        <v>36446</v>
      </c>
      <c r="AZ2628" s="1" t="s">
        <v>36446</v>
      </c>
      <c r="BA2628" s="1" t="s">
        <v>682</v>
      </c>
      <c r="BB2628" s="1" t="s">
        <v>1561</v>
      </c>
      <c r="BC2628" s="1" t="s">
        <v>206</v>
      </c>
      <c r="BD2628" s="1" t="s">
        <v>418</v>
      </c>
      <c r="BE2628" s="1">
        <v>81.98</v>
      </c>
      <c r="BF2628" s="1">
        <v>8.19</v>
      </c>
      <c r="BG2628" s="1"/>
      <c r="BH2628" s="1"/>
      <c r="BI2628" s="1"/>
      <c r="BJ2628" s="1"/>
      <c r="BK2628" s="1"/>
      <c r="BL2628" s="1"/>
      <c r="BM2628" s="1"/>
      <c r="BN2628" s="1"/>
      <c r="BO2628" s="1" t="s">
        <v>42774</v>
      </c>
      <c r="BP2628" s="1" t="s">
        <v>42775</v>
      </c>
      <c r="BQ2628" s="1" t="s">
        <v>1043</v>
      </c>
      <c r="BR2628" s="1" t="s">
        <v>42776</v>
      </c>
      <c r="BS2628" s="1">
        <v>41</v>
      </c>
      <c r="BT2628" s="1"/>
      <c r="BU2628" s="1" t="str">
        <f>HYPERLINK("https://nconnect.nicmar.ac.in/storage/profile/ProfilePhoto_P25701063_213945.jpg","Download")</f>
        <v>0</v>
      </c>
      <c r="BV2628" s="3"/>
      <c r="BW2628" s="3"/>
    </row>
    <row r="2629" spans="1:75">
      <c r="A2629" s="1" t="s">
        <v>40794</v>
      </c>
      <c r="B2629" s="1" t="s">
        <v>446</v>
      </c>
      <c r="C2629" s="1" t="s">
        <v>42777</v>
      </c>
      <c r="D2629" s="1" t="s">
        <v>42778</v>
      </c>
      <c r="E2629" s="1" t="s">
        <v>5482</v>
      </c>
      <c r="F2629" s="1" t="s">
        <v>42779</v>
      </c>
      <c r="G2629" s="1" t="s">
        <v>42780</v>
      </c>
      <c r="H2629" s="1" t="s">
        <v>42781</v>
      </c>
      <c r="I2629" s="1" t="s">
        <v>42782</v>
      </c>
      <c r="J2629" s="1">
        <v>7507154125</v>
      </c>
      <c r="K2629" s="1" t="s">
        <v>153</v>
      </c>
      <c r="L2629" s="1" t="s">
        <v>42783</v>
      </c>
      <c r="M2629" s="1" t="s">
        <v>86</v>
      </c>
      <c r="N2629" s="1" t="s">
        <v>42784</v>
      </c>
      <c r="O2629" s="1"/>
      <c r="P2629" s="1" t="s">
        <v>455</v>
      </c>
      <c r="Q2629" s="1" t="s">
        <v>42785</v>
      </c>
      <c r="R2629" s="1" t="s">
        <v>42786</v>
      </c>
      <c r="S2629" s="1">
        <v>9823178125</v>
      </c>
      <c r="T2629" s="1" t="s">
        <v>645</v>
      </c>
      <c r="U2629" s="1" t="s">
        <v>42787</v>
      </c>
      <c r="V2629" s="1">
        <v>9422113125</v>
      </c>
      <c r="W2629" s="1" t="s">
        <v>839</v>
      </c>
      <c r="X2629" s="1" t="s">
        <v>42788</v>
      </c>
      <c r="Y2629" s="1" t="s">
        <v>196</v>
      </c>
      <c r="Z2629" s="1" t="s">
        <v>97</v>
      </c>
      <c r="AA2629" s="1" t="s">
        <v>42789</v>
      </c>
      <c r="AB2629" s="1" t="s">
        <v>410</v>
      </c>
      <c r="AC2629" s="1" t="s">
        <v>97</v>
      </c>
      <c r="AD2629" s="1">
        <v>9.58</v>
      </c>
      <c r="AE2629" s="1" t="s">
        <v>98</v>
      </c>
      <c r="AF2629" s="1" t="s">
        <v>42790</v>
      </c>
      <c r="AG2629" s="1" t="s">
        <v>7366</v>
      </c>
      <c r="AH2629" s="1" t="s">
        <v>167</v>
      </c>
      <c r="AI2629" s="1" t="s">
        <v>200</v>
      </c>
      <c r="AJ2629" s="1">
        <v>96.2</v>
      </c>
      <c r="AK2629" s="1"/>
      <c r="AL2629" s="1" t="s">
        <v>42791</v>
      </c>
      <c r="AM2629" s="1" t="s">
        <v>7366</v>
      </c>
      <c r="AN2629" s="1"/>
      <c r="AO2629" s="1" t="s">
        <v>106</v>
      </c>
      <c r="AP2629" s="1" t="s">
        <v>203</v>
      </c>
      <c r="AQ2629" s="1">
        <v>79.23</v>
      </c>
      <c r="AR2629" s="1"/>
      <c r="AS2629" s="1"/>
      <c r="AT2629" s="1"/>
      <c r="AU2629" s="1"/>
      <c r="AV2629" s="1"/>
      <c r="AW2629" s="1"/>
      <c r="AX2629" s="1"/>
      <c r="AY2629" s="1" t="s">
        <v>366</v>
      </c>
      <c r="AZ2629" s="1" t="s">
        <v>42792</v>
      </c>
      <c r="BA2629" s="1"/>
      <c r="BB2629" s="1"/>
      <c r="BC2629" s="1" t="s">
        <v>206</v>
      </c>
      <c r="BD2629" s="1" t="s">
        <v>1314</v>
      </c>
      <c r="BE2629" s="1">
        <v>72.96</v>
      </c>
      <c r="BF2629" s="1">
        <v>7.68</v>
      </c>
      <c r="BG2629" s="1"/>
      <c r="BH2629" s="1"/>
      <c r="BI2629" s="1"/>
      <c r="BJ2629" s="1"/>
      <c r="BK2629" s="1"/>
      <c r="BL2629" s="1"/>
      <c r="BM2629" s="1"/>
      <c r="BN2629" s="1"/>
      <c r="BO2629" s="1" t="s">
        <v>42793</v>
      </c>
      <c r="BP2629" s="1" t="s">
        <v>42794</v>
      </c>
      <c r="BQ2629" s="1" t="s">
        <v>1070</v>
      </c>
      <c r="BR2629" s="1" t="s">
        <v>42795</v>
      </c>
      <c r="BS2629" s="1">
        <v>86</v>
      </c>
      <c r="BT2629" s="1" t="s">
        <v>42796</v>
      </c>
      <c r="BU2629" s="1" t="str">
        <f>HYPERLINK("https://nconnect.nicmar.ac.in/storage/profile/ProfilePhoto_P25701064_689127.jpg","Download")</f>
        <v>0</v>
      </c>
      <c r="BV2629" s="3"/>
      <c r="BW2629" s="3"/>
    </row>
    <row r="2630" spans="1:75">
      <c r="A2630" s="1" t="s">
        <v>40794</v>
      </c>
      <c r="B2630" s="1" t="s">
        <v>446</v>
      </c>
      <c r="C2630" s="1" t="s">
        <v>42797</v>
      </c>
      <c r="D2630" s="1" t="s">
        <v>42059</v>
      </c>
      <c r="E2630" s="1" t="s">
        <v>29068</v>
      </c>
      <c r="F2630" s="1" t="s">
        <v>42798</v>
      </c>
      <c r="G2630" s="1" t="s">
        <v>42799</v>
      </c>
      <c r="H2630" s="1" t="s">
        <v>42800</v>
      </c>
      <c r="I2630" s="1" t="s">
        <v>42801</v>
      </c>
      <c r="J2630" s="1">
        <v>9447200447</v>
      </c>
      <c r="K2630" s="1" t="s">
        <v>153</v>
      </c>
      <c r="L2630" s="1" t="s">
        <v>15435</v>
      </c>
      <c r="M2630" s="1" t="s">
        <v>86</v>
      </c>
      <c r="N2630" s="1" t="s">
        <v>1300</v>
      </c>
      <c r="O2630" s="1"/>
      <c r="P2630" s="1" t="s">
        <v>481</v>
      </c>
      <c r="Q2630" s="1" t="s">
        <v>42802</v>
      </c>
      <c r="R2630" s="1" t="s">
        <v>42803</v>
      </c>
      <c r="S2630" s="1">
        <v>7510866844</v>
      </c>
      <c r="T2630" s="1" t="s">
        <v>42804</v>
      </c>
      <c r="U2630" s="1" t="s">
        <v>42805</v>
      </c>
      <c r="V2630" s="1">
        <v>7510866844</v>
      </c>
      <c r="W2630" s="1" t="s">
        <v>276</v>
      </c>
      <c r="X2630" s="1" t="s">
        <v>42806</v>
      </c>
      <c r="Y2630" s="1" t="s">
        <v>3190</v>
      </c>
      <c r="Z2630" s="1" t="s">
        <v>130</v>
      </c>
      <c r="AA2630" s="1" t="s">
        <v>42807</v>
      </c>
      <c r="AB2630" s="1" t="s">
        <v>19921</v>
      </c>
      <c r="AC2630" s="1" t="s">
        <v>130</v>
      </c>
      <c r="AD2630" s="1">
        <v>9.33</v>
      </c>
      <c r="AE2630" s="1" t="s">
        <v>98</v>
      </c>
      <c r="AF2630" s="1" t="s">
        <v>42808</v>
      </c>
      <c r="AG2630" s="1" t="s">
        <v>3155</v>
      </c>
      <c r="AH2630" s="1" t="s">
        <v>106</v>
      </c>
      <c r="AI2630" s="1" t="s">
        <v>313</v>
      </c>
      <c r="AJ2630" s="1">
        <v>96.2</v>
      </c>
      <c r="AK2630" s="1">
        <v>0</v>
      </c>
      <c r="AL2630" s="1" t="s">
        <v>22840</v>
      </c>
      <c r="AM2630" s="1" t="s">
        <v>3155</v>
      </c>
      <c r="AN2630" s="1" t="s">
        <v>575</v>
      </c>
      <c r="AO2630" s="1" t="s">
        <v>468</v>
      </c>
      <c r="AP2630" s="1" t="s">
        <v>549</v>
      </c>
      <c r="AQ2630" s="1">
        <v>89.6</v>
      </c>
      <c r="AR2630" s="1">
        <v>0</v>
      </c>
      <c r="AS2630" s="1"/>
      <c r="AT2630" s="1"/>
      <c r="AU2630" s="1"/>
      <c r="AV2630" s="1"/>
      <c r="AW2630" s="1"/>
      <c r="AX2630" s="1"/>
      <c r="AY2630" s="1" t="s">
        <v>137</v>
      </c>
      <c r="AZ2630" s="1" t="s">
        <v>42809</v>
      </c>
      <c r="BA2630" s="1" t="s">
        <v>466</v>
      </c>
      <c r="BB2630" s="1" t="s">
        <v>467</v>
      </c>
      <c r="BC2630" s="1" t="s">
        <v>140</v>
      </c>
      <c r="BD2630" s="1" t="s">
        <v>607</v>
      </c>
      <c r="BE2630" s="1">
        <v>93.3</v>
      </c>
      <c r="BF2630" s="1">
        <v>9.33</v>
      </c>
      <c r="BG2630" s="1"/>
      <c r="BH2630" s="1"/>
      <c r="BI2630" s="1"/>
      <c r="BJ2630" s="1"/>
      <c r="BK2630" s="1"/>
      <c r="BL2630" s="1"/>
      <c r="BM2630" s="1"/>
      <c r="BN2630" s="1"/>
      <c r="BO2630" s="1" t="s">
        <v>42810</v>
      </c>
      <c r="BP2630" s="1"/>
      <c r="BQ2630" s="1"/>
      <c r="BR2630" s="1" t="s">
        <v>42811</v>
      </c>
      <c r="BS2630" s="1">
        <v>18</v>
      </c>
      <c r="BT2630" s="1"/>
      <c r="BU2630" s="1" t="str">
        <f>HYPERLINK("https://nconnect.nicmar.ac.in/storage/profile/ProfilePhoto_P25701065_158739.jpg","Download")</f>
        <v>0</v>
      </c>
      <c r="BV2630" s="3"/>
      <c r="BW2630" s="4">
        <v>1</v>
      </c>
    </row>
    <row r="2631" spans="1:75">
      <c r="A2631" s="1" t="s">
        <v>40794</v>
      </c>
      <c r="B2631" s="1" t="s">
        <v>446</v>
      </c>
      <c r="C2631" s="1" t="s">
        <v>42812</v>
      </c>
      <c r="D2631" s="1" t="s">
        <v>37651</v>
      </c>
      <c r="E2631" s="1"/>
      <c r="F2631" s="1" t="s">
        <v>4019</v>
      </c>
      <c r="G2631" s="1" t="s">
        <v>42813</v>
      </c>
      <c r="H2631" s="1" t="s">
        <v>42814</v>
      </c>
      <c r="I2631" s="1" t="s">
        <v>42815</v>
      </c>
      <c r="J2631" s="1">
        <v>9004390493</v>
      </c>
      <c r="K2631" s="1" t="s">
        <v>153</v>
      </c>
      <c r="L2631" s="1" t="s">
        <v>5114</v>
      </c>
      <c r="M2631" s="1" t="s">
        <v>86</v>
      </c>
      <c r="N2631" s="1" t="s">
        <v>7185</v>
      </c>
      <c r="O2631" s="1" t="s">
        <v>42012</v>
      </c>
      <c r="P2631" s="1" t="s">
        <v>122</v>
      </c>
      <c r="Q2631" s="1" t="s">
        <v>42816</v>
      </c>
      <c r="R2631" s="1" t="s">
        <v>42817</v>
      </c>
      <c r="S2631" s="1">
        <v>9821529199</v>
      </c>
      <c r="T2631" s="1" t="s">
        <v>645</v>
      </c>
      <c r="U2631" s="1" t="s">
        <v>42818</v>
      </c>
      <c r="V2631" s="1">
        <v>9321149199</v>
      </c>
      <c r="W2631" s="1" t="s">
        <v>541</v>
      </c>
      <c r="X2631" s="1" t="s">
        <v>42819</v>
      </c>
      <c r="Y2631" s="1" t="s">
        <v>1012</v>
      </c>
      <c r="Z2631" s="1" t="s">
        <v>97</v>
      </c>
      <c r="AA2631" s="1" t="s">
        <v>42819</v>
      </c>
      <c r="AB2631" s="1" t="s">
        <v>1012</v>
      </c>
      <c r="AC2631" s="1" t="s">
        <v>97</v>
      </c>
      <c r="AD2631" s="1">
        <v>8.7</v>
      </c>
      <c r="AE2631" s="1" t="s">
        <v>98</v>
      </c>
      <c r="AF2631" s="1" t="s">
        <v>42820</v>
      </c>
      <c r="AG2631" s="1" t="s">
        <v>9508</v>
      </c>
      <c r="AH2631" s="1" t="s">
        <v>167</v>
      </c>
      <c r="AI2631" s="1" t="s">
        <v>170</v>
      </c>
      <c r="AJ2631" s="1">
        <v>85.5</v>
      </c>
      <c r="AK2631" s="1">
        <v>9</v>
      </c>
      <c r="AL2631" s="1" t="s">
        <v>42820</v>
      </c>
      <c r="AM2631" s="1" t="s">
        <v>9508</v>
      </c>
      <c r="AN2631" s="1" t="s">
        <v>465</v>
      </c>
      <c r="AO2631" s="1" t="s">
        <v>106</v>
      </c>
      <c r="AP2631" s="1" t="s">
        <v>313</v>
      </c>
      <c r="AQ2631" s="1">
        <v>71.6</v>
      </c>
      <c r="AR2631" s="1"/>
      <c r="AS2631" s="1"/>
      <c r="AT2631" s="1"/>
      <c r="AU2631" s="1"/>
      <c r="AV2631" s="1"/>
      <c r="AW2631" s="1"/>
      <c r="AX2631" s="1"/>
      <c r="AY2631" s="1" t="s">
        <v>258</v>
      </c>
      <c r="AZ2631" s="1" t="s">
        <v>42821</v>
      </c>
      <c r="BA2631" s="1" t="s">
        <v>682</v>
      </c>
      <c r="BB2631" s="1" t="s">
        <v>1561</v>
      </c>
      <c r="BC2631" s="1" t="s">
        <v>315</v>
      </c>
      <c r="BD2631" s="1" t="s">
        <v>418</v>
      </c>
      <c r="BE2631" s="1">
        <v>70.68</v>
      </c>
      <c r="BF2631" s="1">
        <v>7.93</v>
      </c>
      <c r="BG2631" s="1"/>
      <c r="BH2631" s="1"/>
      <c r="BI2631" s="1"/>
      <c r="BJ2631" s="1"/>
      <c r="BK2631" s="1"/>
      <c r="BL2631" s="1"/>
      <c r="BM2631" s="1"/>
      <c r="BN2631" s="1"/>
      <c r="BO2631" s="1" t="s">
        <v>42822</v>
      </c>
      <c r="BP2631" s="1" t="s">
        <v>42823</v>
      </c>
      <c r="BQ2631" s="1" t="s">
        <v>893</v>
      </c>
      <c r="BR2631" s="1" t="s">
        <v>42824</v>
      </c>
      <c r="BS2631" s="1">
        <v>34</v>
      </c>
      <c r="BT2631" s="1" t="s">
        <v>42825</v>
      </c>
      <c r="BU2631" s="1" t="str">
        <f>HYPERLINK("https://nconnect.nicmar.ac.in/storage/profile/ProfilePhoto_P25701066_926834.jpg","Download")</f>
        <v>0</v>
      </c>
      <c r="BV2631" s="3"/>
      <c r="BW2631" s="3"/>
    </row>
    <row r="2632" spans="1:75">
      <c r="A2632" s="1" t="s">
        <v>40794</v>
      </c>
      <c r="B2632" s="1" t="s">
        <v>446</v>
      </c>
      <c r="C2632" s="1" t="s">
        <v>42826</v>
      </c>
      <c r="D2632" s="1" t="s">
        <v>35392</v>
      </c>
      <c r="E2632" s="1" t="s">
        <v>38734</v>
      </c>
      <c r="F2632" s="1" t="s">
        <v>42827</v>
      </c>
      <c r="G2632" s="1" t="s">
        <v>42828</v>
      </c>
      <c r="H2632" s="1" t="s">
        <v>42829</v>
      </c>
      <c r="I2632" s="1" t="s">
        <v>42830</v>
      </c>
      <c r="J2632" s="1">
        <v>8766599124</v>
      </c>
      <c r="K2632" s="1" t="s">
        <v>153</v>
      </c>
      <c r="L2632" s="1" t="s">
        <v>39243</v>
      </c>
      <c r="M2632" s="1" t="s">
        <v>86</v>
      </c>
      <c r="N2632" s="1" t="s">
        <v>1163</v>
      </c>
      <c r="O2632" s="1" t="s">
        <v>42831</v>
      </c>
      <c r="P2632" s="1" t="s">
        <v>89</v>
      </c>
      <c r="Q2632" s="1" t="s">
        <v>42832</v>
      </c>
      <c r="R2632" s="1" t="s">
        <v>38734</v>
      </c>
      <c r="S2632" s="1">
        <v>9421874787</v>
      </c>
      <c r="T2632" s="1" t="s">
        <v>2950</v>
      </c>
      <c r="U2632" s="1" t="s">
        <v>40854</v>
      </c>
      <c r="V2632" s="1">
        <v>9403840824</v>
      </c>
      <c r="W2632" s="1" t="s">
        <v>839</v>
      </c>
      <c r="X2632" s="1" t="s">
        <v>42833</v>
      </c>
      <c r="Y2632" s="1" t="s">
        <v>224</v>
      </c>
      <c r="Z2632" s="1" t="s">
        <v>97</v>
      </c>
      <c r="AA2632" s="1" t="s">
        <v>42833</v>
      </c>
      <c r="AB2632" s="1" t="s">
        <v>224</v>
      </c>
      <c r="AC2632" s="1" t="s">
        <v>97</v>
      </c>
      <c r="AD2632" s="1">
        <v>8.47</v>
      </c>
      <c r="AE2632" s="1" t="s">
        <v>98</v>
      </c>
      <c r="AF2632" s="1" t="s">
        <v>42834</v>
      </c>
      <c r="AG2632" s="1" t="s">
        <v>42835</v>
      </c>
      <c r="AH2632" s="1" t="s">
        <v>170</v>
      </c>
      <c r="AI2632" s="1" t="s">
        <v>286</v>
      </c>
      <c r="AJ2632" s="1">
        <v>86.6</v>
      </c>
      <c r="AK2632" s="1"/>
      <c r="AL2632" s="1" t="s">
        <v>42836</v>
      </c>
      <c r="AM2632" s="1" t="s">
        <v>42837</v>
      </c>
      <c r="AN2632" s="1"/>
      <c r="AO2632" s="1" t="s">
        <v>313</v>
      </c>
      <c r="AP2632" s="1" t="s">
        <v>365</v>
      </c>
      <c r="AQ2632" s="1">
        <v>62.92</v>
      </c>
      <c r="AR2632" s="1"/>
      <c r="AS2632" s="1"/>
      <c r="AT2632" s="1"/>
      <c r="AU2632" s="1"/>
      <c r="AV2632" s="1"/>
      <c r="AW2632" s="1"/>
      <c r="AX2632" s="1"/>
      <c r="AY2632" s="1" t="s">
        <v>258</v>
      </c>
      <c r="AZ2632" s="1" t="s">
        <v>42054</v>
      </c>
      <c r="BA2632" s="1"/>
      <c r="BB2632" s="1"/>
      <c r="BC2632" s="1" t="s">
        <v>368</v>
      </c>
      <c r="BD2632" s="1" t="s">
        <v>607</v>
      </c>
      <c r="BE2632" s="1">
        <v>74.23</v>
      </c>
      <c r="BF2632" s="1">
        <v>8.41</v>
      </c>
      <c r="BG2632" s="1"/>
      <c r="BH2632" s="1"/>
      <c r="BI2632" s="1"/>
      <c r="BJ2632" s="1"/>
      <c r="BK2632" s="1"/>
      <c r="BL2632" s="1"/>
      <c r="BM2632" s="1"/>
      <c r="BN2632" s="1"/>
      <c r="BO2632" s="1" t="s">
        <v>42838</v>
      </c>
      <c r="BP2632" s="1"/>
      <c r="BQ2632" s="1"/>
      <c r="BR2632" s="1" t="s">
        <v>42839</v>
      </c>
      <c r="BS2632" s="1">
        <v>25</v>
      </c>
      <c r="BT2632" s="1" t="s">
        <v>42840</v>
      </c>
      <c r="BU2632" s="1" t="str">
        <f>HYPERLINK("https://nconnect.nicmar.ac.in/storage/profile/6a8fdec59af25.png","Download")</f>
        <v>0</v>
      </c>
      <c r="BV2632" s="3"/>
      <c r="BW2632" s="3"/>
    </row>
    <row r="2633" spans="1:75">
      <c r="A2633" s="1" t="s">
        <v>40794</v>
      </c>
      <c r="B2633" s="1" t="s">
        <v>446</v>
      </c>
      <c r="C2633" s="1" t="s">
        <v>42841</v>
      </c>
      <c r="D2633" s="1" t="s">
        <v>6599</v>
      </c>
      <c r="E2633" s="1" t="s">
        <v>762</v>
      </c>
      <c r="F2633" s="1" t="s">
        <v>8306</v>
      </c>
      <c r="G2633" s="1" t="s">
        <v>42842</v>
      </c>
      <c r="H2633" s="1" t="s">
        <v>42843</v>
      </c>
      <c r="I2633" s="1" t="s">
        <v>42844</v>
      </c>
      <c r="J2633" s="1">
        <v>9011527399</v>
      </c>
      <c r="K2633" s="1" t="s">
        <v>84</v>
      </c>
      <c r="L2633" s="1" t="s">
        <v>6226</v>
      </c>
      <c r="M2633" s="1" t="s">
        <v>86</v>
      </c>
      <c r="N2633" s="1" t="s">
        <v>2433</v>
      </c>
      <c r="O2633" s="1" t="s">
        <v>42845</v>
      </c>
      <c r="P2633" s="1" t="s">
        <v>507</v>
      </c>
      <c r="Q2633" s="1" t="s">
        <v>42846</v>
      </c>
      <c r="R2633" s="1" t="s">
        <v>42847</v>
      </c>
      <c r="S2633" s="1">
        <v>9921492794</v>
      </c>
      <c r="T2633" s="1" t="s">
        <v>42848</v>
      </c>
      <c r="U2633" s="1" t="s">
        <v>42849</v>
      </c>
      <c r="V2633" s="1">
        <v>8956941788</v>
      </c>
      <c r="W2633" s="1" t="s">
        <v>161</v>
      </c>
      <c r="X2633" s="1" t="s">
        <v>42850</v>
      </c>
      <c r="Y2633" s="1" t="s">
        <v>196</v>
      </c>
      <c r="Z2633" s="1" t="s">
        <v>97</v>
      </c>
      <c r="AA2633" s="1" t="s">
        <v>42851</v>
      </c>
      <c r="AB2633" s="1" t="s">
        <v>5181</v>
      </c>
      <c r="AC2633" s="1" t="s">
        <v>97</v>
      </c>
      <c r="AD2633" s="1">
        <v>7.23</v>
      </c>
      <c r="AE2633" s="1" t="s">
        <v>98</v>
      </c>
      <c r="AF2633" s="1" t="s">
        <v>42852</v>
      </c>
      <c r="AG2633" s="1" t="s">
        <v>42853</v>
      </c>
      <c r="AH2633" s="1" t="s">
        <v>438</v>
      </c>
      <c r="AI2633" s="1" t="s">
        <v>414</v>
      </c>
      <c r="AJ2633" s="1">
        <v>76.4</v>
      </c>
      <c r="AK2633" s="1">
        <v>0</v>
      </c>
      <c r="AL2633" s="1" t="s">
        <v>42854</v>
      </c>
      <c r="AM2633" s="1" t="s">
        <v>42855</v>
      </c>
      <c r="AN2633" s="1" t="s">
        <v>465</v>
      </c>
      <c r="AO2633" s="1" t="s">
        <v>847</v>
      </c>
      <c r="AP2633" s="1" t="s">
        <v>441</v>
      </c>
      <c r="AQ2633" s="1">
        <v>83</v>
      </c>
      <c r="AR2633" s="1">
        <v>0</v>
      </c>
      <c r="AS2633" s="1"/>
      <c r="AT2633" s="1"/>
      <c r="AU2633" s="1"/>
      <c r="AV2633" s="1"/>
      <c r="AW2633" s="1"/>
      <c r="AX2633" s="1"/>
      <c r="AY2633" s="1" t="s">
        <v>366</v>
      </c>
      <c r="AZ2633" s="1" t="s">
        <v>42856</v>
      </c>
      <c r="BA2633" s="1" t="s">
        <v>578</v>
      </c>
      <c r="BB2633" s="1" t="s">
        <v>467</v>
      </c>
      <c r="BC2633" s="1" t="s">
        <v>871</v>
      </c>
      <c r="BD2633" s="1" t="s">
        <v>848</v>
      </c>
      <c r="BE2633" s="1">
        <v>61.4</v>
      </c>
      <c r="BF2633" s="1">
        <v>6.89</v>
      </c>
      <c r="BG2633" s="1"/>
      <c r="BH2633" s="1"/>
      <c r="BI2633" s="1"/>
      <c r="BJ2633" s="1"/>
      <c r="BK2633" s="1"/>
      <c r="BL2633" s="1"/>
      <c r="BM2633" s="1"/>
      <c r="BN2633" s="1"/>
      <c r="BO2633" s="1" t="s">
        <v>1315</v>
      </c>
      <c r="BP2633" s="1"/>
      <c r="BQ2633" s="1"/>
      <c r="BR2633" s="1" t="s">
        <v>42857</v>
      </c>
      <c r="BS2633" s="1">
        <v>13</v>
      </c>
      <c r="BT2633" s="1" t="s">
        <v>42858</v>
      </c>
      <c r="BU2633" s="1" t="str">
        <f>HYPERLINK("https://nconnect.nicmar.ac.in/storage/profile/ProfilePhoto_P25701068_489276.jpg","Download")</f>
        <v>0</v>
      </c>
      <c r="BV2633" s="3"/>
      <c r="BW2633" s="3"/>
    </row>
    <row r="2634" spans="1:75">
      <c r="A2634" s="1" t="s">
        <v>40794</v>
      </c>
      <c r="B2634" s="1" t="s">
        <v>446</v>
      </c>
      <c r="C2634" s="1" t="s">
        <v>42859</v>
      </c>
      <c r="D2634" s="1" t="s">
        <v>42860</v>
      </c>
      <c r="E2634" s="1"/>
      <c r="F2634" s="1" t="s">
        <v>9986</v>
      </c>
      <c r="G2634" s="1" t="s">
        <v>42861</v>
      </c>
      <c r="H2634" s="1" t="s">
        <v>42862</v>
      </c>
      <c r="I2634" s="1" t="s">
        <v>42863</v>
      </c>
      <c r="J2634" s="1">
        <v>8260607704</v>
      </c>
      <c r="K2634" s="1" t="s">
        <v>153</v>
      </c>
      <c r="L2634" s="1" t="s">
        <v>19322</v>
      </c>
      <c r="M2634" s="1" t="s">
        <v>86</v>
      </c>
      <c r="N2634" s="1" t="s">
        <v>42864</v>
      </c>
      <c r="O2634" s="1"/>
      <c r="P2634" s="1" t="s">
        <v>507</v>
      </c>
      <c r="Q2634" s="1" t="s">
        <v>42865</v>
      </c>
      <c r="R2634" s="1" t="s">
        <v>42866</v>
      </c>
      <c r="S2634" s="1">
        <v>7008363900</v>
      </c>
      <c r="T2634" s="1" t="s">
        <v>221</v>
      </c>
      <c r="U2634" s="1" t="s">
        <v>42867</v>
      </c>
      <c r="V2634" s="1">
        <v>8984478363</v>
      </c>
      <c r="W2634" s="1" t="s">
        <v>94</v>
      </c>
      <c r="X2634" s="1" t="s">
        <v>42868</v>
      </c>
      <c r="Y2634" s="1" t="s">
        <v>42869</v>
      </c>
      <c r="Z2634" s="1" t="s">
        <v>865</v>
      </c>
      <c r="AA2634" s="1" t="s">
        <v>42868</v>
      </c>
      <c r="AB2634" s="1" t="s">
        <v>42869</v>
      </c>
      <c r="AC2634" s="1" t="s">
        <v>865</v>
      </c>
      <c r="AD2634" s="1">
        <v>8.0</v>
      </c>
      <c r="AE2634" s="1" t="s">
        <v>98</v>
      </c>
      <c r="AF2634" s="1" t="s">
        <v>42870</v>
      </c>
      <c r="AG2634" s="1" t="s">
        <v>37511</v>
      </c>
      <c r="AH2634" s="1" t="s">
        <v>704</v>
      </c>
      <c r="AI2634" s="1" t="s">
        <v>171</v>
      </c>
      <c r="AJ2634" s="1">
        <v>75.17</v>
      </c>
      <c r="AK2634" s="1"/>
      <c r="AL2634" s="1" t="s">
        <v>42871</v>
      </c>
      <c r="AM2634" s="1" t="s">
        <v>42872</v>
      </c>
      <c r="AN2634" s="1" t="s">
        <v>465</v>
      </c>
      <c r="AO2634" s="1" t="s">
        <v>170</v>
      </c>
      <c r="AP2634" s="1" t="s">
        <v>890</v>
      </c>
      <c r="AQ2634" s="1">
        <v>72.17</v>
      </c>
      <c r="AR2634" s="1"/>
      <c r="AS2634" s="1"/>
      <c r="AT2634" s="1"/>
      <c r="AU2634" s="1"/>
      <c r="AV2634" s="1"/>
      <c r="AW2634" s="1"/>
      <c r="AX2634" s="1"/>
      <c r="AY2634" s="1" t="s">
        <v>4127</v>
      </c>
      <c r="AZ2634" s="1" t="s">
        <v>42873</v>
      </c>
      <c r="BA2634" s="1" t="s">
        <v>5749</v>
      </c>
      <c r="BB2634" s="1" t="s">
        <v>24690</v>
      </c>
      <c r="BC2634" s="1" t="s">
        <v>233</v>
      </c>
      <c r="BD2634" s="1" t="s">
        <v>418</v>
      </c>
      <c r="BE2634" s="1">
        <v>76.4</v>
      </c>
      <c r="BF2634" s="1">
        <v>8.14</v>
      </c>
      <c r="BG2634" s="1"/>
      <c r="BH2634" s="1"/>
      <c r="BI2634" s="1"/>
      <c r="BJ2634" s="1"/>
      <c r="BK2634" s="1"/>
      <c r="BL2634" s="1"/>
      <c r="BM2634" s="1"/>
      <c r="BN2634" s="1"/>
      <c r="BO2634" s="1" t="s">
        <v>42874</v>
      </c>
      <c r="BP2634" s="1"/>
      <c r="BQ2634" s="1"/>
      <c r="BR2634" s="1" t="s">
        <v>42875</v>
      </c>
      <c r="BS2634" s="1">
        <v>14</v>
      </c>
      <c r="BT2634" s="1" t="s">
        <v>42876</v>
      </c>
      <c r="BU2634" s="1" t="str">
        <f>HYPERLINK("https://nconnect.nicmar.ac.in/storage/profile/ProfilePhoto_P25701070_249536.jpg","Download")</f>
        <v>0</v>
      </c>
      <c r="BV2634" s="3"/>
      <c r="BW2634" s="3"/>
    </row>
    <row r="2635" spans="1:75">
      <c r="A2635" s="1" t="s">
        <v>40794</v>
      </c>
      <c r="B2635" s="1" t="s">
        <v>446</v>
      </c>
      <c r="C2635" s="1" t="s">
        <v>42877</v>
      </c>
      <c r="D2635" s="1" t="s">
        <v>422</v>
      </c>
      <c r="E2635" s="1" t="s">
        <v>3217</v>
      </c>
      <c r="F2635" s="1" t="s">
        <v>42878</v>
      </c>
      <c r="G2635" s="1" t="s">
        <v>42879</v>
      </c>
      <c r="H2635" s="1" t="s">
        <v>42880</v>
      </c>
      <c r="I2635" s="1" t="s">
        <v>42881</v>
      </c>
      <c r="J2635" s="1">
        <v>9820511536</v>
      </c>
      <c r="K2635" s="1" t="s">
        <v>153</v>
      </c>
      <c r="L2635" s="1" t="s">
        <v>9922</v>
      </c>
      <c r="M2635" s="1" t="s">
        <v>86</v>
      </c>
      <c r="N2635" s="1" t="s">
        <v>618</v>
      </c>
      <c r="O2635" s="1"/>
      <c r="P2635" s="1" t="s">
        <v>455</v>
      </c>
      <c r="Q2635" s="1" t="s">
        <v>42882</v>
      </c>
      <c r="R2635" s="1" t="s">
        <v>3217</v>
      </c>
      <c r="S2635" s="1">
        <v>8108106699</v>
      </c>
      <c r="T2635" s="1" t="s">
        <v>839</v>
      </c>
      <c r="U2635" s="1" t="s">
        <v>5400</v>
      </c>
      <c r="V2635" s="1">
        <v>9930215114</v>
      </c>
      <c r="W2635" s="1" t="s">
        <v>839</v>
      </c>
      <c r="X2635" s="1" t="s">
        <v>42883</v>
      </c>
      <c r="Y2635" s="1" t="s">
        <v>1012</v>
      </c>
      <c r="Z2635" s="1" t="s">
        <v>97</v>
      </c>
      <c r="AA2635" s="1" t="s">
        <v>42884</v>
      </c>
      <c r="AB2635" s="1" t="s">
        <v>1012</v>
      </c>
      <c r="AC2635" s="1" t="s">
        <v>97</v>
      </c>
      <c r="AD2635" s="1">
        <v>8.23</v>
      </c>
      <c r="AE2635" s="1" t="s">
        <v>98</v>
      </c>
      <c r="AF2635" s="1" t="s">
        <v>42885</v>
      </c>
      <c r="AG2635" s="1" t="s">
        <v>42886</v>
      </c>
      <c r="AH2635" s="1" t="s">
        <v>170</v>
      </c>
      <c r="AI2635" s="1" t="s">
        <v>286</v>
      </c>
      <c r="AJ2635" s="1">
        <v>88.2</v>
      </c>
      <c r="AK2635" s="1">
        <v>0</v>
      </c>
      <c r="AL2635" s="1" t="s">
        <v>42885</v>
      </c>
      <c r="AM2635" s="1" t="s">
        <v>42886</v>
      </c>
      <c r="AN2635" s="1" t="s">
        <v>465</v>
      </c>
      <c r="AO2635" s="1" t="s">
        <v>438</v>
      </c>
      <c r="AP2635" s="1" t="s">
        <v>365</v>
      </c>
      <c r="AQ2635" s="1">
        <v>63.38</v>
      </c>
      <c r="AR2635" s="1">
        <v>0</v>
      </c>
      <c r="AS2635" s="1"/>
      <c r="AT2635" s="1"/>
      <c r="AU2635" s="1"/>
      <c r="AV2635" s="1"/>
      <c r="AW2635" s="1"/>
      <c r="AX2635" s="1"/>
      <c r="AY2635" s="1" t="s">
        <v>258</v>
      </c>
      <c r="AZ2635" s="1" t="s">
        <v>40845</v>
      </c>
      <c r="BA2635" s="1" t="s">
        <v>682</v>
      </c>
      <c r="BB2635" s="1" t="s">
        <v>683</v>
      </c>
      <c r="BC2635" s="1" t="s">
        <v>368</v>
      </c>
      <c r="BD2635" s="1" t="s">
        <v>553</v>
      </c>
      <c r="BE2635" s="1">
        <v>71.2</v>
      </c>
      <c r="BF2635" s="1">
        <v>8</v>
      </c>
      <c r="BG2635" s="1"/>
      <c r="BH2635" s="1"/>
      <c r="BI2635" s="1"/>
      <c r="BJ2635" s="1"/>
      <c r="BK2635" s="1"/>
      <c r="BL2635" s="1"/>
      <c r="BM2635" s="1"/>
      <c r="BN2635" s="1"/>
      <c r="BO2635" s="1" t="s">
        <v>2267</v>
      </c>
      <c r="BP2635" s="1"/>
      <c r="BQ2635" s="1"/>
      <c r="BR2635" s="1" t="s">
        <v>42887</v>
      </c>
      <c r="BS2635" s="1">
        <v>30</v>
      </c>
      <c r="BT2635" s="1" t="s">
        <v>42888</v>
      </c>
      <c r="BU2635" s="1" t="str">
        <f>HYPERLINK("https://nconnect.nicmar.ac.in/storage/profile/ProfilePhoto_P25701071_961527.jpg","Download")</f>
        <v>0</v>
      </c>
      <c r="BV2635" s="3"/>
      <c r="BW2635" s="3"/>
    </row>
    <row r="2636" spans="1:75">
      <c r="A2636" s="1" t="s">
        <v>40794</v>
      </c>
      <c r="B2636" s="1" t="s">
        <v>446</v>
      </c>
      <c r="C2636" s="1" t="s">
        <v>42889</v>
      </c>
      <c r="D2636" s="1" t="s">
        <v>25667</v>
      </c>
      <c r="E2636" s="1" t="s">
        <v>812</v>
      </c>
      <c r="F2636" s="1" t="s">
        <v>1997</v>
      </c>
      <c r="G2636" s="1" t="s">
        <v>42890</v>
      </c>
      <c r="H2636" s="1" t="s">
        <v>42891</v>
      </c>
      <c r="I2636" s="1" t="s">
        <v>42892</v>
      </c>
      <c r="J2636" s="1">
        <v>9481244339</v>
      </c>
      <c r="K2636" s="1" t="s">
        <v>84</v>
      </c>
      <c r="L2636" s="1" t="s">
        <v>42893</v>
      </c>
      <c r="M2636" s="1" t="s">
        <v>86</v>
      </c>
      <c r="N2636" s="1" t="s">
        <v>42894</v>
      </c>
      <c r="O2636" s="1"/>
      <c r="P2636" s="1" t="s">
        <v>507</v>
      </c>
      <c r="Q2636" s="1" t="s">
        <v>42895</v>
      </c>
      <c r="R2636" s="1" t="s">
        <v>42896</v>
      </c>
      <c r="S2636" s="1">
        <v>9341252448</v>
      </c>
      <c r="T2636" s="1" t="s">
        <v>92</v>
      </c>
      <c r="U2636" s="1" t="s">
        <v>42897</v>
      </c>
      <c r="V2636" s="1">
        <v>9448950426</v>
      </c>
      <c r="W2636" s="1" t="s">
        <v>541</v>
      </c>
      <c r="X2636" s="1" t="s">
        <v>42898</v>
      </c>
      <c r="Y2636" s="1" t="s">
        <v>3132</v>
      </c>
      <c r="Z2636" s="1" t="s">
        <v>1210</v>
      </c>
      <c r="AA2636" s="1" t="s">
        <v>42898</v>
      </c>
      <c r="AB2636" s="1" t="s">
        <v>3132</v>
      </c>
      <c r="AC2636" s="1" t="s">
        <v>1210</v>
      </c>
      <c r="AD2636" s="1">
        <v>8.35</v>
      </c>
      <c r="AE2636" s="1" t="s">
        <v>98</v>
      </c>
      <c r="AF2636" s="1" t="s">
        <v>42899</v>
      </c>
      <c r="AG2636" s="1" t="s">
        <v>42900</v>
      </c>
      <c r="AH2636" s="1" t="s">
        <v>167</v>
      </c>
      <c r="AI2636" s="1" t="s">
        <v>170</v>
      </c>
      <c r="AJ2636" s="1">
        <v>72.2</v>
      </c>
      <c r="AK2636" s="1">
        <v>7.6</v>
      </c>
      <c r="AL2636" s="1"/>
      <c r="AM2636" s="1"/>
      <c r="AN2636" s="1" t="s">
        <v>1062</v>
      </c>
      <c r="AO2636" s="1"/>
      <c r="AP2636" s="1"/>
      <c r="AQ2636" s="1"/>
      <c r="AR2636" s="1"/>
      <c r="AS2636" s="1" t="s">
        <v>103</v>
      </c>
      <c r="AT2636" s="1" t="s">
        <v>42901</v>
      </c>
      <c r="AU2636" s="1" t="s">
        <v>106</v>
      </c>
      <c r="AV2636" s="1" t="s">
        <v>871</v>
      </c>
      <c r="AW2636" s="1">
        <v>72.28</v>
      </c>
      <c r="AX2636" s="1"/>
      <c r="AY2636" s="1" t="s">
        <v>731</v>
      </c>
      <c r="AZ2636" s="1" t="s">
        <v>42902</v>
      </c>
      <c r="BA2636" s="1" t="s">
        <v>578</v>
      </c>
      <c r="BB2636" s="1" t="s">
        <v>467</v>
      </c>
      <c r="BC2636" s="1" t="s">
        <v>871</v>
      </c>
      <c r="BD2636" s="1" t="s">
        <v>1089</v>
      </c>
      <c r="BE2636" s="1">
        <v>69.2</v>
      </c>
      <c r="BF2636" s="1">
        <v>7.67</v>
      </c>
      <c r="BG2636" s="1"/>
      <c r="BH2636" s="1"/>
      <c r="BI2636" s="1"/>
      <c r="BJ2636" s="1"/>
      <c r="BK2636" s="1"/>
      <c r="BL2636" s="1"/>
      <c r="BM2636" s="1"/>
      <c r="BN2636" s="1"/>
      <c r="BO2636" s="1" t="s">
        <v>42903</v>
      </c>
      <c r="BP2636" s="1" t="s">
        <v>42904</v>
      </c>
      <c r="BQ2636" s="1" t="s">
        <v>471</v>
      </c>
      <c r="BR2636" s="1" t="s">
        <v>42905</v>
      </c>
      <c r="BS2636" s="1">
        <v>15</v>
      </c>
      <c r="BT2636" s="1"/>
      <c r="BU2636" s="1" t="str">
        <f>HYPERLINK("https://nconnect.nicmar.ac.in/storage/profile/ProfilePhoto_P25701073_431986.jpg","Download")</f>
        <v>0</v>
      </c>
      <c r="BV2636" s="3"/>
      <c r="BW2636" s="3"/>
    </row>
    <row r="2637" spans="1:75">
      <c r="A2637" s="1" t="s">
        <v>40794</v>
      </c>
      <c r="B2637" s="1" t="s">
        <v>446</v>
      </c>
      <c r="C2637" s="1" t="s">
        <v>42906</v>
      </c>
      <c r="D2637" s="1" t="s">
        <v>10470</v>
      </c>
      <c r="E2637" s="1" t="s">
        <v>530</v>
      </c>
      <c r="F2637" s="1" t="s">
        <v>1853</v>
      </c>
      <c r="G2637" s="1" t="s">
        <v>42907</v>
      </c>
      <c r="H2637" s="1" t="s">
        <v>42908</v>
      </c>
      <c r="I2637" s="1" t="s">
        <v>42909</v>
      </c>
      <c r="J2637" s="1">
        <v>9964579239</v>
      </c>
      <c r="K2637" s="1" t="s">
        <v>84</v>
      </c>
      <c r="L2637" s="1" t="s">
        <v>26439</v>
      </c>
      <c r="M2637" s="1" t="s">
        <v>86</v>
      </c>
      <c r="N2637" s="1" t="s">
        <v>42910</v>
      </c>
      <c r="O2637" s="1"/>
      <c r="P2637" s="1" t="s">
        <v>481</v>
      </c>
      <c r="Q2637" s="1" t="s">
        <v>42911</v>
      </c>
      <c r="R2637" s="1" t="s">
        <v>42912</v>
      </c>
      <c r="S2637" s="1">
        <v>9980540888</v>
      </c>
      <c r="T2637" s="1" t="s">
        <v>37507</v>
      </c>
      <c r="U2637" s="1" t="s">
        <v>42913</v>
      </c>
      <c r="V2637" s="1">
        <v>9980866476</v>
      </c>
      <c r="W2637" s="1" t="s">
        <v>278</v>
      </c>
      <c r="X2637" s="1" t="s">
        <v>42914</v>
      </c>
      <c r="Y2637" s="1" t="s">
        <v>3132</v>
      </c>
      <c r="Z2637" s="1" t="s">
        <v>1210</v>
      </c>
      <c r="AA2637" s="1" t="s">
        <v>42914</v>
      </c>
      <c r="AB2637" s="1" t="s">
        <v>3132</v>
      </c>
      <c r="AC2637" s="1" t="s">
        <v>1210</v>
      </c>
      <c r="AD2637" s="1">
        <v>8.56</v>
      </c>
      <c r="AE2637" s="1" t="s">
        <v>98</v>
      </c>
      <c r="AF2637" s="1" t="s">
        <v>42915</v>
      </c>
      <c r="AG2637" s="1" t="s">
        <v>42916</v>
      </c>
      <c r="AH2637" s="1" t="s">
        <v>1396</v>
      </c>
      <c r="AI2637" s="1" t="s">
        <v>573</v>
      </c>
      <c r="AJ2637" s="1">
        <v>68.8</v>
      </c>
      <c r="AK2637" s="1">
        <v>0</v>
      </c>
      <c r="AL2637" s="1"/>
      <c r="AM2637" s="1"/>
      <c r="AN2637" s="1"/>
      <c r="AO2637" s="1"/>
      <c r="AP2637" s="1"/>
      <c r="AQ2637" s="1"/>
      <c r="AR2637" s="1"/>
      <c r="AS2637" s="1" t="s">
        <v>42917</v>
      </c>
      <c r="AT2637" s="1" t="s">
        <v>42918</v>
      </c>
      <c r="AU2637" s="1" t="s">
        <v>18921</v>
      </c>
      <c r="AV2637" s="1" t="s">
        <v>233</v>
      </c>
      <c r="AW2637" s="1">
        <v>75</v>
      </c>
      <c r="AX2637" s="1">
        <v>0</v>
      </c>
      <c r="AY2637" s="1" t="s">
        <v>731</v>
      </c>
      <c r="AZ2637" s="1" t="s">
        <v>42919</v>
      </c>
      <c r="BA2637" s="1" t="s">
        <v>578</v>
      </c>
      <c r="BB2637" s="1" t="s">
        <v>23143</v>
      </c>
      <c r="BC2637" s="1" t="s">
        <v>847</v>
      </c>
      <c r="BD2637" s="1" t="s">
        <v>391</v>
      </c>
      <c r="BE2637" s="1">
        <v>61.3</v>
      </c>
      <c r="BF2637" s="1">
        <v>6.88</v>
      </c>
      <c r="BG2637" s="1"/>
      <c r="BH2637" s="1"/>
      <c r="BI2637" s="1"/>
      <c r="BJ2637" s="1"/>
      <c r="BK2637" s="1"/>
      <c r="BL2637" s="1"/>
      <c r="BM2637" s="1"/>
      <c r="BN2637" s="1"/>
      <c r="BO2637" s="1" t="s">
        <v>42920</v>
      </c>
      <c r="BP2637" s="1" t="s">
        <v>42921</v>
      </c>
      <c r="BQ2637" s="1" t="s">
        <v>8862</v>
      </c>
      <c r="BR2637" s="1" t="s">
        <v>42922</v>
      </c>
      <c r="BS2637" s="1">
        <v>56</v>
      </c>
      <c r="BT2637" s="1" t="s">
        <v>42923</v>
      </c>
      <c r="BU2637" s="1" t="str">
        <f>HYPERLINK("https://nconnect.nicmar.ac.in/storage/profile/ProfilePhoto_P25701074_918327.jpg","Download")</f>
        <v>0</v>
      </c>
      <c r="BV2637" s="3"/>
      <c r="BW2637" s="3"/>
    </row>
    <row r="2638" spans="1:75">
      <c r="A2638" s="1" t="s">
        <v>40794</v>
      </c>
      <c r="B2638" s="1" t="s">
        <v>446</v>
      </c>
      <c r="C2638" s="1" t="s">
        <v>42924</v>
      </c>
      <c r="D2638" s="1" t="s">
        <v>11148</v>
      </c>
      <c r="E2638" s="1" t="s">
        <v>4152</v>
      </c>
      <c r="F2638" s="1" t="s">
        <v>42925</v>
      </c>
      <c r="G2638" s="1" t="s">
        <v>42926</v>
      </c>
      <c r="H2638" s="1" t="s">
        <v>42927</v>
      </c>
      <c r="I2638" s="1" t="s">
        <v>42928</v>
      </c>
      <c r="J2638" s="1">
        <v>9637489494</v>
      </c>
      <c r="K2638" s="1" t="s">
        <v>84</v>
      </c>
      <c r="L2638" s="1" t="s">
        <v>5213</v>
      </c>
      <c r="M2638" s="1" t="s">
        <v>86</v>
      </c>
      <c r="N2638" s="1" t="s">
        <v>42929</v>
      </c>
      <c r="O2638" s="1" t="s">
        <v>42930</v>
      </c>
      <c r="P2638" s="1" t="s">
        <v>481</v>
      </c>
      <c r="Q2638" s="1" t="s">
        <v>42931</v>
      </c>
      <c r="R2638" s="1" t="s">
        <v>4152</v>
      </c>
      <c r="S2638" s="1">
        <v>9423363480</v>
      </c>
      <c r="T2638" s="1" t="s">
        <v>839</v>
      </c>
      <c r="U2638" s="1" t="s">
        <v>17175</v>
      </c>
      <c r="V2638" s="1">
        <v>8308722054</v>
      </c>
      <c r="W2638" s="1" t="s">
        <v>161</v>
      </c>
      <c r="X2638" s="1" t="s">
        <v>42932</v>
      </c>
      <c r="Y2638" s="1" t="s">
        <v>1012</v>
      </c>
      <c r="Z2638" s="1" t="s">
        <v>97</v>
      </c>
      <c r="AA2638" s="1" t="s">
        <v>42932</v>
      </c>
      <c r="AB2638" s="1" t="s">
        <v>1012</v>
      </c>
      <c r="AC2638" s="1" t="s">
        <v>97</v>
      </c>
      <c r="AD2638" s="1">
        <v>7.02</v>
      </c>
      <c r="AE2638" s="1" t="s">
        <v>98</v>
      </c>
      <c r="AF2638" s="1" t="s">
        <v>42933</v>
      </c>
      <c r="AG2638" s="1" t="s">
        <v>42934</v>
      </c>
      <c r="AH2638" s="1" t="s">
        <v>167</v>
      </c>
      <c r="AI2638" s="1" t="s">
        <v>170</v>
      </c>
      <c r="AJ2638" s="1">
        <v>83.4</v>
      </c>
      <c r="AK2638" s="1"/>
      <c r="AL2638" s="1" t="s">
        <v>42935</v>
      </c>
      <c r="AM2638" s="1" t="s">
        <v>42936</v>
      </c>
      <c r="AN2638" s="1" t="s">
        <v>465</v>
      </c>
      <c r="AO2638" s="1" t="s">
        <v>1065</v>
      </c>
      <c r="AP2638" s="1" t="s">
        <v>313</v>
      </c>
      <c r="AQ2638" s="1">
        <v>60</v>
      </c>
      <c r="AR2638" s="1">
        <v>6.31</v>
      </c>
      <c r="AS2638" s="1"/>
      <c r="AT2638" s="1"/>
      <c r="AU2638" s="1"/>
      <c r="AV2638" s="1"/>
      <c r="AW2638" s="1"/>
      <c r="AX2638" s="1"/>
      <c r="AY2638" s="1" t="s">
        <v>680</v>
      </c>
      <c r="AZ2638" s="1" t="s">
        <v>42937</v>
      </c>
      <c r="BA2638" s="1" t="s">
        <v>578</v>
      </c>
      <c r="BB2638" s="1" t="s">
        <v>467</v>
      </c>
      <c r="BC2638" s="1" t="s">
        <v>847</v>
      </c>
      <c r="BD2638" s="1" t="s">
        <v>1089</v>
      </c>
      <c r="BE2638" s="1">
        <v>60.22</v>
      </c>
      <c r="BF2638" s="1">
        <v>6.6</v>
      </c>
      <c r="BG2638" s="1"/>
      <c r="BH2638" s="1"/>
      <c r="BI2638" s="1"/>
      <c r="BJ2638" s="1"/>
      <c r="BK2638" s="1"/>
      <c r="BL2638" s="1"/>
      <c r="BM2638" s="1"/>
      <c r="BN2638" s="1"/>
      <c r="BO2638" s="1" t="s">
        <v>42938</v>
      </c>
      <c r="BP2638" s="1"/>
      <c r="BQ2638" s="1"/>
      <c r="BR2638" s="1" t="s">
        <v>42939</v>
      </c>
      <c r="BS2638" s="1">
        <v>35</v>
      </c>
      <c r="BT2638" s="1" t="s">
        <v>42940</v>
      </c>
      <c r="BU2638" s="1" t="str">
        <f>HYPERLINK("https://nconnect.nicmar.ac.in/storage/profile/ProfilePhoto_P25701075_871349.jpg","Download")</f>
        <v>0</v>
      </c>
      <c r="BV2638" s="3"/>
      <c r="BW2638" s="3"/>
    </row>
    <row r="2639" spans="1:75">
      <c r="A2639" s="1" t="s">
        <v>40794</v>
      </c>
      <c r="B2639" s="1" t="s">
        <v>446</v>
      </c>
      <c r="C2639" s="1" t="s">
        <v>42941</v>
      </c>
      <c r="D2639" s="1" t="s">
        <v>42942</v>
      </c>
      <c r="E2639" s="1" t="s">
        <v>23343</v>
      </c>
      <c r="F2639" s="1" t="s">
        <v>42943</v>
      </c>
      <c r="G2639" s="1" t="s">
        <v>42944</v>
      </c>
      <c r="H2639" s="1" t="s">
        <v>42945</v>
      </c>
      <c r="I2639" s="1" t="s">
        <v>42946</v>
      </c>
      <c r="J2639" s="1">
        <v>7249773022</v>
      </c>
      <c r="K2639" s="1" t="s">
        <v>84</v>
      </c>
      <c r="L2639" s="1" t="s">
        <v>18431</v>
      </c>
      <c r="M2639" s="1" t="s">
        <v>86</v>
      </c>
      <c r="N2639" s="1" t="s">
        <v>36053</v>
      </c>
      <c r="O2639" s="1" t="s">
        <v>42947</v>
      </c>
      <c r="P2639" s="1" t="s">
        <v>507</v>
      </c>
      <c r="Q2639" s="1" t="s">
        <v>42948</v>
      </c>
      <c r="R2639" s="1" t="s">
        <v>42949</v>
      </c>
      <c r="S2639" s="1">
        <v>9834795580</v>
      </c>
      <c r="T2639" s="1" t="s">
        <v>42950</v>
      </c>
      <c r="U2639" s="1" t="s">
        <v>42951</v>
      </c>
      <c r="V2639" s="1">
        <v>7249773022</v>
      </c>
      <c r="W2639" s="1" t="s">
        <v>33826</v>
      </c>
      <c r="X2639" s="1" t="s">
        <v>42952</v>
      </c>
      <c r="Y2639" s="1" t="s">
        <v>196</v>
      </c>
      <c r="Z2639" s="1" t="s">
        <v>97</v>
      </c>
      <c r="AA2639" s="1" t="s">
        <v>42952</v>
      </c>
      <c r="AB2639" s="1" t="s">
        <v>196</v>
      </c>
      <c r="AC2639" s="1" t="s">
        <v>97</v>
      </c>
      <c r="AD2639" s="1">
        <v>8.49</v>
      </c>
      <c r="AE2639" s="1" t="s">
        <v>98</v>
      </c>
      <c r="AF2639" s="1" t="s">
        <v>42953</v>
      </c>
      <c r="AG2639" s="1" t="s">
        <v>1968</v>
      </c>
      <c r="AH2639" s="1" t="s">
        <v>3112</v>
      </c>
      <c r="AI2639" s="1" t="s">
        <v>414</v>
      </c>
      <c r="AJ2639" s="1">
        <v>85.2</v>
      </c>
      <c r="AK2639" s="1"/>
      <c r="AL2639" s="1" t="s">
        <v>42954</v>
      </c>
      <c r="AM2639" s="1" t="s">
        <v>1968</v>
      </c>
      <c r="AN2639" s="1"/>
      <c r="AO2639" s="1" t="s">
        <v>315</v>
      </c>
      <c r="AP2639" s="1" t="s">
        <v>1192</v>
      </c>
      <c r="AQ2639" s="1">
        <v>85.17</v>
      </c>
      <c r="AR2639" s="1"/>
      <c r="AS2639" s="1"/>
      <c r="AT2639" s="1"/>
      <c r="AU2639" s="1"/>
      <c r="AV2639" s="1"/>
      <c r="AW2639" s="1"/>
      <c r="AX2639" s="1"/>
      <c r="AY2639" s="1" t="s">
        <v>366</v>
      </c>
      <c r="AZ2639" s="1" t="s">
        <v>42955</v>
      </c>
      <c r="BA2639" s="1"/>
      <c r="BB2639" s="1"/>
      <c r="BC2639" s="1" t="s">
        <v>549</v>
      </c>
      <c r="BD2639" s="1" t="s">
        <v>848</v>
      </c>
      <c r="BE2639" s="1">
        <v>70.8</v>
      </c>
      <c r="BF2639" s="1">
        <v>7.83</v>
      </c>
      <c r="BG2639" s="1"/>
      <c r="BH2639" s="1"/>
      <c r="BI2639" s="1"/>
      <c r="BJ2639" s="1"/>
      <c r="BK2639" s="1"/>
      <c r="BL2639" s="1"/>
      <c r="BM2639" s="1"/>
      <c r="BN2639" s="1"/>
      <c r="BO2639" s="1" t="s">
        <v>42956</v>
      </c>
      <c r="BP2639" s="1"/>
      <c r="BQ2639" s="1"/>
      <c r="BR2639" s="1" t="s">
        <v>42957</v>
      </c>
      <c r="BS2639" s="1">
        <v>15</v>
      </c>
      <c r="BT2639" s="1" t="s">
        <v>42958</v>
      </c>
      <c r="BU2639" s="1" t="str">
        <f>HYPERLINK("https://nconnect.nicmar.ac.in/storage/profile/ProfilePhoto_P25701076_837462.jpg","Download")</f>
        <v>0</v>
      </c>
      <c r="BV2639" s="3"/>
      <c r="BW2639" s="3"/>
    </row>
    <row r="2640" spans="1:75">
      <c r="A2640" s="1" t="s">
        <v>40794</v>
      </c>
      <c r="B2640" s="1" t="s">
        <v>446</v>
      </c>
      <c r="C2640" s="1" t="s">
        <v>42959</v>
      </c>
      <c r="D2640" s="1" t="s">
        <v>42960</v>
      </c>
      <c r="E2640" s="1"/>
      <c r="F2640" s="1" t="s">
        <v>530</v>
      </c>
      <c r="G2640" s="1" t="s">
        <v>42961</v>
      </c>
      <c r="H2640" s="1" t="s">
        <v>42962</v>
      </c>
      <c r="I2640" s="1" t="s">
        <v>42963</v>
      </c>
      <c r="J2640" s="1">
        <v>9873481483</v>
      </c>
      <c r="K2640" s="1" t="s">
        <v>153</v>
      </c>
      <c r="L2640" s="1" t="s">
        <v>42964</v>
      </c>
      <c r="M2640" s="1" t="s">
        <v>86</v>
      </c>
      <c r="N2640" s="1" t="s">
        <v>4278</v>
      </c>
      <c r="O2640" s="1"/>
      <c r="P2640" s="1" t="s">
        <v>481</v>
      </c>
      <c r="Q2640" s="1" t="s">
        <v>42965</v>
      </c>
      <c r="R2640" s="1" t="s">
        <v>42966</v>
      </c>
      <c r="S2640" s="1">
        <v>9891545415</v>
      </c>
      <c r="T2640" s="1" t="s">
        <v>926</v>
      </c>
      <c r="U2640" s="1" t="s">
        <v>42967</v>
      </c>
      <c r="V2640" s="1">
        <v>8882100200</v>
      </c>
      <c r="W2640" s="1" t="s">
        <v>8819</v>
      </c>
      <c r="X2640" s="1" t="s">
        <v>42968</v>
      </c>
      <c r="Y2640" s="1" t="s">
        <v>9226</v>
      </c>
      <c r="Z2640" s="1" t="s">
        <v>1739</v>
      </c>
      <c r="AA2640" s="1" t="s">
        <v>42968</v>
      </c>
      <c r="AB2640" s="1" t="s">
        <v>9226</v>
      </c>
      <c r="AC2640" s="1" t="s">
        <v>1739</v>
      </c>
      <c r="AD2640" s="1">
        <v>8.35</v>
      </c>
      <c r="AE2640" s="1" t="s">
        <v>98</v>
      </c>
      <c r="AF2640" s="1" t="s">
        <v>42969</v>
      </c>
      <c r="AG2640" s="1" t="s">
        <v>703</v>
      </c>
      <c r="AH2640" s="1" t="s">
        <v>11567</v>
      </c>
      <c r="AI2640" s="1" t="s">
        <v>517</v>
      </c>
      <c r="AJ2640" s="1">
        <v>85.5</v>
      </c>
      <c r="AK2640" s="1">
        <v>9</v>
      </c>
      <c r="AL2640" s="1" t="s">
        <v>42970</v>
      </c>
      <c r="AM2640" s="1" t="s">
        <v>703</v>
      </c>
      <c r="AN2640" s="1"/>
      <c r="AO2640" s="1" t="s">
        <v>704</v>
      </c>
      <c r="AP2640" s="1" t="s">
        <v>286</v>
      </c>
      <c r="AQ2640" s="1">
        <v>77.6</v>
      </c>
      <c r="AR2640" s="1">
        <v>8.16</v>
      </c>
      <c r="AS2640" s="1"/>
      <c r="AT2640" s="1"/>
      <c r="AU2640" s="1"/>
      <c r="AV2640" s="1"/>
      <c r="AW2640" s="1"/>
      <c r="AX2640" s="1"/>
      <c r="AY2640" s="1" t="s">
        <v>39117</v>
      </c>
      <c r="AZ2640" s="1" t="s">
        <v>38468</v>
      </c>
      <c r="BA2640" s="1"/>
      <c r="BB2640" s="1"/>
      <c r="BC2640" s="1" t="s">
        <v>174</v>
      </c>
      <c r="BD2640" s="1" t="s">
        <v>1400</v>
      </c>
      <c r="BE2640" s="1">
        <v>84</v>
      </c>
      <c r="BF2640" s="1">
        <v>8.9</v>
      </c>
      <c r="BG2640" s="1"/>
      <c r="BH2640" s="1"/>
      <c r="BI2640" s="1"/>
      <c r="BJ2640" s="1"/>
      <c r="BK2640" s="1"/>
      <c r="BL2640" s="1"/>
      <c r="BM2640" s="1"/>
      <c r="BN2640" s="1"/>
      <c r="BO2640" s="1" t="s">
        <v>16194</v>
      </c>
      <c r="BP2640" s="1" t="s">
        <v>42971</v>
      </c>
      <c r="BQ2640" s="1" t="s">
        <v>524</v>
      </c>
      <c r="BR2640" s="1" t="s">
        <v>42972</v>
      </c>
      <c r="BS2640" s="1">
        <v>14</v>
      </c>
      <c r="BT2640" s="1"/>
      <c r="BU2640" s="1" t="str">
        <f>HYPERLINK("https://nconnect.nicmar.ac.in/storage/profile/ProfilePhoto_P25701077_254678.jpg","Download")</f>
        <v>0</v>
      </c>
      <c r="BV2640" s="3"/>
      <c r="BW2640" s="4">
        <v>1</v>
      </c>
    </row>
    <row r="2641" spans="1:75">
      <c r="A2641" s="1" t="s">
        <v>40794</v>
      </c>
      <c r="B2641" s="1" t="s">
        <v>446</v>
      </c>
      <c r="C2641" s="1" t="s">
        <v>42973</v>
      </c>
      <c r="D2641" s="1" t="s">
        <v>3217</v>
      </c>
      <c r="E2641" s="1"/>
      <c r="F2641" s="1" t="s">
        <v>42974</v>
      </c>
      <c r="G2641" s="1" t="s">
        <v>42975</v>
      </c>
      <c r="H2641" s="1" t="s">
        <v>42976</v>
      </c>
      <c r="I2641" s="1" t="s">
        <v>42977</v>
      </c>
      <c r="J2641" s="1">
        <v>9566144140</v>
      </c>
      <c r="K2641" s="1" t="s">
        <v>84</v>
      </c>
      <c r="L2641" s="1" t="s">
        <v>23843</v>
      </c>
      <c r="M2641" s="1" t="s">
        <v>86</v>
      </c>
      <c r="N2641" s="1" t="s">
        <v>5777</v>
      </c>
      <c r="O2641" s="1"/>
      <c r="P2641" s="1" t="s">
        <v>1028</v>
      </c>
      <c r="Q2641" s="1" t="s">
        <v>42978</v>
      </c>
      <c r="R2641" s="1" t="s">
        <v>42974</v>
      </c>
      <c r="S2641" s="1">
        <v>9840084140</v>
      </c>
      <c r="T2641" s="1" t="s">
        <v>839</v>
      </c>
      <c r="U2641" s="1" t="s">
        <v>42979</v>
      </c>
      <c r="V2641" s="1">
        <v>9790888140</v>
      </c>
      <c r="W2641" s="1" t="s">
        <v>278</v>
      </c>
      <c r="X2641" s="1" t="s">
        <v>42980</v>
      </c>
      <c r="Y2641" s="1" t="s">
        <v>1498</v>
      </c>
      <c r="Z2641" s="1" t="s">
        <v>570</v>
      </c>
      <c r="AA2641" s="1" t="s">
        <v>42980</v>
      </c>
      <c r="AB2641" s="1" t="s">
        <v>1498</v>
      </c>
      <c r="AC2641" s="1" t="s">
        <v>570</v>
      </c>
      <c r="AD2641" s="1">
        <v>8.56</v>
      </c>
      <c r="AE2641" s="1" t="s">
        <v>98</v>
      </c>
      <c r="AF2641" s="1" t="s">
        <v>42981</v>
      </c>
      <c r="AG2641" s="1" t="s">
        <v>42982</v>
      </c>
      <c r="AH2641" s="1" t="s">
        <v>102</v>
      </c>
      <c r="AI2641" s="1" t="s">
        <v>1111</v>
      </c>
      <c r="AJ2641" s="1">
        <v>91.2</v>
      </c>
      <c r="AK2641" s="1"/>
      <c r="AL2641" s="1" t="s">
        <v>42981</v>
      </c>
      <c r="AM2641" s="1" t="s">
        <v>42982</v>
      </c>
      <c r="AN2641" s="1" t="s">
        <v>6380</v>
      </c>
      <c r="AO2641" s="1" t="s">
        <v>200</v>
      </c>
      <c r="AP2641" s="1" t="s">
        <v>286</v>
      </c>
      <c r="AQ2641" s="1">
        <v>73.91</v>
      </c>
      <c r="AR2641" s="1"/>
      <c r="AS2641" s="1"/>
      <c r="AT2641" s="1"/>
      <c r="AU2641" s="1"/>
      <c r="AV2641" s="1"/>
      <c r="AW2641" s="1"/>
      <c r="AX2641" s="1"/>
      <c r="AY2641" s="1" t="s">
        <v>41533</v>
      </c>
      <c r="AZ2641" s="1" t="s">
        <v>42983</v>
      </c>
      <c r="BA2641" s="1" t="s">
        <v>682</v>
      </c>
      <c r="BB2641" s="1" t="s">
        <v>683</v>
      </c>
      <c r="BC2641" s="1" t="s">
        <v>106</v>
      </c>
      <c r="BD2641" s="1" t="s">
        <v>179</v>
      </c>
      <c r="BE2641" s="1">
        <v>87.5</v>
      </c>
      <c r="BF2641" s="1">
        <v>8.75</v>
      </c>
      <c r="BG2641" s="1"/>
      <c r="BH2641" s="1"/>
      <c r="BI2641" s="1"/>
      <c r="BJ2641" s="1"/>
      <c r="BK2641" s="1"/>
      <c r="BL2641" s="1"/>
      <c r="BM2641" s="1"/>
      <c r="BN2641" s="1"/>
      <c r="BO2641" s="1" t="s">
        <v>42984</v>
      </c>
      <c r="BP2641" s="1" t="s">
        <v>42985</v>
      </c>
      <c r="BQ2641" s="1" t="s">
        <v>757</v>
      </c>
      <c r="BR2641" s="1" t="s">
        <v>42986</v>
      </c>
      <c r="BS2641" s="1">
        <v>33</v>
      </c>
      <c r="BT2641" s="1"/>
      <c r="BU2641" s="1" t="str">
        <f>HYPERLINK("https://nconnect.nicmar.ac.in/storage/profile/ProfilePhoto_P25701078_946752.jpg","Download")</f>
        <v>0</v>
      </c>
      <c r="BV2641" s="3"/>
      <c r="BW2641" s="3"/>
    </row>
    <row r="2642" spans="1:75">
      <c r="A2642" s="1" t="s">
        <v>40794</v>
      </c>
      <c r="B2642" s="1" t="s">
        <v>446</v>
      </c>
      <c r="C2642" s="1" t="s">
        <v>42987</v>
      </c>
      <c r="D2642" s="1" t="s">
        <v>3350</v>
      </c>
      <c r="E2642" s="1" t="s">
        <v>2500</v>
      </c>
      <c r="F2642" s="1" t="s">
        <v>30472</v>
      </c>
      <c r="G2642" s="1" t="s">
        <v>42988</v>
      </c>
      <c r="H2642" s="1" t="s">
        <v>42989</v>
      </c>
      <c r="I2642" s="1" t="s">
        <v>42990</v>
      </c>
      <c r="J2642" s="1">
        <v>9004509282</v>
      </c>
      <c r="K2642" s="1" t="s">
        <v>84</v>
      </c>
      <c r="L2642" s="1" t="s">
        <v>9267</v>
      </c>
      <c r="M2642" s="1" t="s">
        <v>86</v>
      </c>
      <c r="N2642" s="1" t="s">
        <v>2433</v>
      </c>
      <c r="O2642" s="1"/>
      <c r="P2642" s="1" t="s">
        <v>455</v>
      </c>
      <c r="Q2642" s="1" t="s">
        <v>42991</v>
      </c>
      <c r="R2642" s="1" t="s">
        <v>42992</v>
      </c>
      <c r="S2642" s="1">
        <v>9867932157</v>
      </c>
      <c r="T2642" s="1" t="s">
        <v>42993</v>
      </c>
      <c r="U2642" s="1" t="s">
        <v>42994</v>
      </c>
      <c r="V2642" s="1">
        <v>9969227556</v>
      </c>
      <c r="W2642" s="1" t="s">
        <v>94</v>
      </c>
      <c r="X2642" s="1" t="s">
        <v>42995</v>
      </c>
      <c r="Y2642" s="1" t="s">
        <v>2259</v>
      </c>
      <c r="Z2642" s="1" t="s">
        <v>97</v>
      </c>
      <c r="AA2642" s="1" t="s">
        <v>42995</v>
      </c>
      <c r="AB2642" s="1" t="s">
        <v>2259</v>
      </c>
      <c r="AC2642" s="1" t="s">
        <v>97</v>
      </c>
      <c r="AD2642" s="1">
        <v>8.88</v>
      </c>
      <c r="AE2642" s="1" t="s">
        <v>98</v>
      </c>
      <c r="AF2642" s="1" t="s">
        <v>42996</v>
      </c>
      <c r="AG2642" s="1" t="s">
        <v>2181</v>
      </c>
      <c r="AH2642" s="1" t="s">
        <v>1110</v>
      </c>
      <c r="AI2642" s="1" t="s">
        <v>627</v>
      </c>
      <c r="AJ2642" s="1">
        <v>88.33</v>
      </c>
      <c r="AK2642" s="1">
        <v>0</v>
      </c>
      <c r="AL2642" s="1" t="s">
        <v>42997</v>
      </c>
      <c r="AM2642" s="1" t="s">
        <v>165</v>
      </c>
      <c r="AN2642" s="1" t="s">
        <v>465</v>
      </c>
      <c r="AO2642" s="1" t="s">
        <v>170</v>
      </c>
      <c r="AP2642" s="1" t="s">
        <v>1477</v>
      </c>
      <c r="AQ2642" s="1">
        <v>81.54</v>
      </c>
      <c r="AR2642" s="1">
        <v>0</v>
      </c>
      <c r="AS2642" s="1"/>
      <c r="AT2642" s="1"/>
      <c r="AU2642" s="1"/>
      <c r="AV2642" s="1"/>
      <c r="AW2642" s="1"/>
      <c r="AX2642" s="1"/>
      <c r="AY2642" s="1" t="s">
        <v>258</v>
      </c>
      <c r="AZ2642" s="1" t="s">
        <v>42998</v>
      </c>
      <c r="BA2642" s="1" t="s">
        <v>682</v>
      </c>
      <c r="BB2642" s="1" t="s">
        <v>1561</v>
      </c>
      <c r="BC2642" s="1" t="s">
        <v>1065</v>
      </c>
      <c r="BD2642" s="1" t="s">
        <v>234</v>
      </c>
      <c r="BE2642" s="1">
        <v>78.08</v>
      </c>
      <c r="BF2642" s="1">
        <v>8.93</v>
      </c>
      <c r="BG2642" s="1"/>
      <c r="BH2642" s="1"/>
      <c r="BI2642" s="1"/>
      <c r="BJ2642" s="1"/>
      <c r="BK2642" s="1"/>
      <c r="BL2642" s="1"/>
      <c r="BM2642" s="1"/>
      <c r="BN2642" s="1"/>
      <c r="BO2642" s="1" t="s">
        <v>42999</v>
      </c>
      <c r="BP2642" s="1" t="s">
        <v>43000</v>
      </c>
      <c r="BQ2642" s="1" t="s">
        <v>4149</v>
      </c>
      <c r="BR2642" s="1" t="s">
        <v>43001</v>
      </c>
      <c r="BS2642" s="1">
        <v>29</v>
      </c>
      <c r="BT2642" s="1" t="s">
        <v>43002</v>
      </c>
      <c r="BU2642" s="1" t="str">
        <f>HYPERLINK("https://nconnect.nicmar.ac.in/storage/profile/ProfilePhoto_P25701080_291384.jpg","Download")</f>
        <v>0</v>
      </c>
      <c r="BV2642" s="3"/>
      <c r="BW2642" s="3"/>
    </row>
    <row r="2643" spans="1:75">
      <c r="A2643" s="1" t="s">
        <v>40794</v>
      </c>
      <c r="B2643" s="1" t="s">
        <v>446</v>
      </c>
      <c r="C2643" s="1" t="s">
        <v>43003</v>
      </c>
      <c r="D2643" s="1" t="s">
        <v>1320</v>
      </c>
      <c r="E2643" s="1"/>
      <c r="F2643" s="1" t="s">
        <v>43004</v>
      </c>
      <c r="G2643" s="1" t="s">
        <v>43005</v>
      </c>
      <c r="H2643" s="1" t="s">
        <v>43006</v>
      </c>
      <c r="I2643" s="1" t="s">
        <v>43007</v>
      </c>
      <c r="J2643" s="1">
        <v>8979187316</v>
      </c>
      <c r="K2643" s="1" t="s">
        <v>84</v>
      </c>
      <c r="L2643" s="1" t="s">
        <v>36590</v>
      </c>
      <c r="M2643" s="1" t="s">
        <v>86</v>
      </c>
      <c r="N2643" s="1" t="s">
        <v>11423</v>
      </c>
      <c r="O2643" s="1"/>
      <c r="P2643" s="1" t="s">
        <v>507</v>
      </c>
      <c r="Q2643" s="1" t="s">
        <v>43008</v>
      </c>
      <c r="R2643" s="1" t="s">
        <v>43009</v>
      </c>
      <c r="S2643" s="1">
        <v>8171585158</v>
      </c>
      <c r="T2643" s="1" t="s">
        <v>8778</v>
      </c>
      <c r="U2643" s="1" t="s">
        <v>43010</v>
      </c>
      <c r="V2643" s="1">
        <v>9927449224</v>
      </c>
      <c r="W2643" s="1" t="s">
        <v>278</v>
      </c>
      <c r="X2643" s="1" t="s">
        <v>43011</v>
      </c>
      <c r="Y2643" s="1" t="s">
        <v>196</v>
      </c>
      <c r="Z2643" s="1" t="s">
        <v>97</v>
      </c>
      <c r="AA2643" s="1" t="s">
        <v>43012</v>
      </c>
      <c r="AB2643" s="1" t="s">
        <v>19101</v>
      </c>
      <c r="AC2643" s="1" t="s">
        <v>7930</v>
      </c>
      <c r="AD2643" s="1">
        <v>6.65</v>
      </c>
      <c r="AE2643" s="1" t="s">
        <v>98</v>
      </c>
      <c r="AF2643" s="1" t="s">
        <v>43013</v>
      </c>
      <c r="AG2643" s="1" t="s">
        <v>312</v>
      </c>
      <c r="AH2643" s="1" t="s">
        <v>1110</v>
      </c>
      <c r="AI2643" s="1" t="s">
        <v>139</v>
      </c>
      <c r="AJ2643" s="1">
        <v>60.8</v>
      </c>
      <c r="AK2643" s="1">
        <v>6.4</v>
      </c>
      <c r="AL2643" s="1" t="s">
        <v>43014</v>
      </c>
      <c r="AM2643" s="1" t="s">
        <v>312</v>
      </c>
      <c r="AN2643" s="1"/>
      <c r="AO2643" s="1" t="s">
        <v>170</v>
      </c>
      <c r="AP2643" s="1" t="s">
        <v>171</v>
      </c>
      <c r="AQ2643" s="1">
        <v>46.16</v>
      </c>
      <c r="AR2643" s="1">
        <v>5.4</v>
      </c>
      <c r="AS2643" s="1" t="s">
        <v>43015</v>
      </c>
      <c r="AT2643" s="1" t="s">
        <v>43016</v>
      </c>
      <c r="AU2643" s="1" t="s">
        <v>17163</v>
      </c>
      <c r="AV2643" s="1" t="s">
        <v>847</v>
      </c>
      <c r="AW2643" s="1">
        <v>67.6</v>
      </c>
      <c r="AX2643" s="1"/>
      <c r="AY2643" s="1" t="s">
        <v>978</v>
      </c>
      <c r="AZ2643" s="1" t="s">
        <v>43017</v>
      </c>
      <c r="BA2643" s="1"/>
      <c r="BB2643" s="1"/>
      <c r="BC2643" s="1" t="s">
        <v>552</v>
      </c>
      <c r="BD2643" s="1" t="s">
        <v>4093</v>
      </c>
      <c r="BE2643" s="1">
        <v>67.9</v>
      </c>
      <c r="BF2643" s="1">
        <v>6.79</v>
      </c>
      <c r="BG2643" s="1"/>
      <c r="BH2643" s="1"/>
      <c r="BI2643" s="1"/>
      <c r="BJ2643" s="1"/>
      <c r="BK2643" s="1"/>
      <c r="BL2643" s="1"/>
      <c r="BM2643" s="1"/>
      <c r="BN2643" s="1"/>
      <c r="BO2643" s="1" t="s">
        <v>43018</v>
      </c>
      <c r="BP2643" s="1"/>
      <c r="BQ2643" s="1"/>
      <c r="BR2643" s="1" t="s">
        <v>43019</v>
      </c>
      <c r="BS2643" s="1">
        <v>89</v>
      </c>
      <c r="BT2643" s="1" t="s">
        <v>43020</v>
      </c>
      <c r="BU2643" s="1" t="str">
        <f>HYPERLINK("https://nconnect.nicmar.ac.in/storage/profile/ProfilePhoto_P25701082_517926.jpg","Download")</f>
        <v>0</v>
      </c>
      <c r="BV2643" s="3"/>
      <c r="BW2643" s="3"/>
    </row>
    <row r="2644" spans="1:75">
      <c r="A2644" s="1" t="s">
        <v>40794</v>
      </c>
      <c r="B2644" s="1" t="s">
        <v>446</v>
      </c>
      <c r="C2644" s="1" t="s">
        <v>43021</v>
      </c>
      <c r="D2644" s="1" t="s">
        <v>43022</v>
      </c>
      <c r="E2644" s="1"/>
      <c r="F2644" s="1" t="s">
        <v>43023</v>
      </c>
      <c r="G2644" s="1" t="s">
        <v>43024</v>
      </c>
      <c r="H2644" s="1" t="s">
        <v>43025</v>
      </c>
      <c r="I2644" s="1" t="s">
        <v>43026</v>
      </c>
      <c r="J2644" s="1">
        <v>7024089723</v>
      </c>
      <c r="K2644" s="1" t="s">
        <v>84</v>
      </c>
      <c r="L2644" s="1" t="s">
        <v>2254</v>
      </c>
      <c r="M2644" s="1" t="s">
        <v>86</v>
      </c>
      <c r="N2644" s="1" t="s">
        <v>246</v>
      </c>
      <c r="O2644" s="1"/>
      <c r="P2644" s="1" t="s">
        <v>455</v>
      </c>
      <c r="Q2644" s="1" t="s">
        <v>43027</v>
      </c>
      <c r="R2644" s="1" t="s">
        <v>43028</v>
      </c>
      <c r="S2644" s="1">
        <v>9893401711</v>
      </c>
      <c r="T2644" s="1" t="s">
        <v>6125</v>
      </c>
      <c r="U2644" s="1" t="s">
        <v>43029</v>
      </c>
      <c r="V2644" s="1">
        <v>9589041741</v>
      </c>
      <c r="W2644" s="1" t="s">
        <v>161</v>
      </c>
      <c r="X2644" s="1" t="s">
        <v>43030</v>
      </c>
      <c r="Y2644" s="1" t="s">
        <v>196</v>
      </c>
      <c r="Z2644" s="1" t="s">
        <v>97</v>
      </c>
      <c r="AA2644" s="1" t="s">
        <v>43031</v>
      </c>
      <c r="AB2644" s="1" t="s">
        <v>5641</v>
      </c>
      <c r="AC2644" s="1" t="s">
        <v>3419</v>
      </c>
      <c r="AD2644" s="1">
        <v>7.98</v>
      </c>
      <c r="AE2644" s="1" t="s">
        <v>98</v>
      </c>
      <c r="AF2644" s="1" t="s">
        <v>43032</v>
      </c>
      <c r="AG2644" s="1" t="s">
        <v>27558</v>
      </c>
      <c r="AH2644" s="1" t="s">
        <v>284</v>
      </c>
      <c r="AI2644" s="1" t="s">
        <v>518</v>
      </c>
      <c r="AJ2644" s="1">
        <v>77.7</v>
      </c>
      <c r="AK2644" s="1">
        <v>8.2</v>
      </c>
      <c r="AL2644" s="1" t="s">
        <v>43032</v>
      </c>
      <c r="AM2644" s="1" t="s">
        <v>27558</v>
      </c>
      <c r="AN2644" s="1"/>
      <c r="AO2644" s="1" t="s">
        <v>490</v>
      </c>
      <c r="AP2644" s="1" t="s">
        <v>547</v>
      </c>
      <c r="AQ2644" s="1">
        <v>77.8</v>
      </c>
      <c r="AR2644" s="1">
        <v>8.2</v>
      </c>
      <c r="AS2644" s="1"/>
      <c r="AT2644" s="1"/>
      <c r="AU2644" s="1"/>
      <c r="AV2644" s="1"/>
      <c r="AW2644" s="1"/>
      <c r="AX2644" s="1"/>
      <c r="AY2644" s="1" t="s">
        <v>43033</v>
      </c>
      <c r="AZ2644" s="1" t="s">
        <v>27558</v>
      </c>
      <c r="BA2644" s="1"/>
      <c r="BB2644" s="1"/>
      <c r="BC2644" s="1" t="s">
        <v>315</v>
      </c>
      <c r="BD2644" s="1" t="s">
        <v>207</v>
      </c>
      <c r="BE2644" s="1">
        <v>67</v>
      </c>
      <c r="BF2644" s="1">
        <v>6.76</v>
      </c>
      <c r="BG2644" s="1"/>
      <c r="BH2644" s="1"/>
      <c r="BI2644" s="1"/>
      <c r="BJ2644" s="1"/>
      <c r="BK2644" s="1"/>
      <c r="BL2644" s="1"/>
      <c r="BM2644" s="1"/>
      <c r="BN2644" s="1"/>
      <c r="BO2644" s="1" t="s">
        <v>43034</v>
      </c>
      <c r="BP2644" s="1"/>
      <c r="BQ2644" s="1"/>
      <c r="BR2644" s="1" t="s">
        <v>43035</v>
      </c>
      <c r="BS2644" s="1">
        <v>26</v>
      </c>
      <c r="BT2644" s="1"/>
      <c r="BU2644" s="1" t="str">
        <f>HYPERLINK("https://nconnect.nicmar.ac.in/storage/profile/ProfilePhoto_P25701083_263178.jpg","Download")</f>
        <v>0</v>
      </c>
      <c r="BV2644" s="3"/>
      <c r="BW2644" s="3"/>
    </row>
    <row r="2645" spans="1:75">
      <c r="A2645" s="1" t="s">
        <v>40794</v>
      </c>
      <c r="B2645" s="1" t="s">
        <v>446</v>
      </c>
      <c r="C2645" s="1" t="s">
        <v>43036</v>
      </c>
      <c r="D2645" s="1" t="s">
        <v>1893</v>
      </c>
      <c r="E2645" s="1"/>
      <c r="F2645" s="1" t="s">
        <v>1320</v>
      </c>
      <c r="G2645" s="1" t="s">
        <v>23564</v>
      </c>
      <c r="H2645" s="1" t="s">
        <v>43037</v>
      </c>
      <c r="I2645" s="1" t="s">
        <v>43038</v>
      </c>
      <c r="J2645" s="1">
        <v>6296086996</v>
      </c>
      <c r="K2645" s="1" t="s">
        <v>84</v>
      </c>
      <c r="L2645" s="1" t="s">
        <v>8310</v>
      </c>
      <c r="M2645" s="1" t="s">
        <v>86</v>
      </c>
      <c r="N2645" s="1" t="s">
        <v>27171</v>
      </c>
      <c r="O2645" s="1"/>
      <c r="P2645" s="1" t="s">
        <v>507</v>
      </c>
      <c r="Q2645" s="1" t="s">
        <v>43039</v>
      </c>
      <c r="R2645" s="1" t="s">
        <v>43040</v>
      </c>
      <c r="S2645" s="1">
        <v>9800112285</v>
      </c>
      <c r="T2645" s="1" t="s">
        <v>539</v>
      </c>
      <c r="U2645" s="1" t="s">
        <v>43041</v>
      </c>
      <c r="V2645" s="1">
        <v>9574448041</v>
      </c>
      <c r="W2645" s="1" t="s">
        <v>161</v>
      </c>
      <c r="X2645" s="1" t="s">
        <v>43042</v>
      </c>
      <c r="Y2645" s="1" t="s">
        <v>11375</v>
      </c>
      <c r="Z2645" s="1" t="s">
        <v>1234</v>
      </c>
      <c r="AA2645" s="1" t="s">
        <v>43043</v>
      </c>
      <c r="AB2645" s="1" t="s">
        <v>14726</v>
      </c>
      <c r="AC2645" s="1" t="s">
        <v>649</v>
      </c>
      <c r="AD2645" s="1">
        <v>8.7</v>
      </c>
      <c r="AE2645" s="1" t="s">
        <v>98</v>
      </c>
      <c r="AF2645" s="1" t="s">
        <v>43044</v>
      </c>
      <c r="AG2645" s="1" t="s">
        <v>312</v>
      </c>
      <c r="AH2645" s="1" t="s">
        <v>704</v>
      </c>
      <c r="AI2645" s="1" t="s">
        <v>171</v>
      </c>
      <c r="AJ2645" s="1">
        <v>72.4</v>
      </c>
      <c r="AK2645" s="1"/>
      <c r="AL2645" s="1" t="s">
        <v>43044</v>
      </c>
      <c r="AM2645" s="1" t="s">
        <v>312</v>
      </c>
      <c r="AN2645" s="1" t="s">
        <v>465</v>
      </c>
      <c r="AO2645" s="1" t="s">
        <v>547</v>
      </c>
      <c r="AP2645" s="1" t="s">
        <v>178</v>
      </c>
      <c r="AQ2645" s="1">
        <v>76.4</v>
      </c>
      <c r="AR2645" s="1"/>
      <c r="AS2645" s="1"/>
      <c r="AT2645" s="1"/>
      <c r="AU2645" s="1"/>
      <c r="AV2645" s="1"/>
      <c r="AW2645" s="1"/>
      <c r="AX2645" s="1"/>
      <c r="AY2645" s="1" t="s">
        <v>1240</v>
      </c>
      <c r="AZ2645" s="1" t="s">
        <v>43045</v>
      </c>
      <c r="BA2645" s="1" t="s">
        <v>466</v>
      </c>
      <c r="BB2645" s="1" t="s">
        <v>467</v>
      </c>
      <c r="BC2645" s="1" t="s">
        <v>890</v>
      </c>
      <c r="BD2645" s="1" t="s">
        <v>1089</v>
      </c>
      <c r="BE2645" s="1">
        <v>73.2</v>
      </c>
      <c r="BF2645" s="1">
        <v>8.07</v>
      </c>
      <c r="BG2645" s="1"/>
      <c r="BH2645" s="1"/>
      <c r="BI2645" s="1"/>
      <c r="BJ2645" s="1"/>
      <c r="BK2645" s="1"/>
      <c r="BL2645" s="1"/>
      <c r="BM2645" s="1"/>
      <c r="BN2645" s="1"/>
      <c r="BO2645" s="1" t="s">
        <v>43046</v>
      </c>
      <c r="BP2645" s="1"/>
      <c r="BQ2645" s="1"/>
      <c r="BR2645" s="1" t="s">
        <v>43047</v>
      </c>
      <c r="BS2645" s="1">
        <v>38</v>
      </c>
      <c r="BT2645" s="1" t="s">
        <v>43048</v>
      </c>
      <c r="BU2645" s="1" t="str">
        <f>HYPERLINK("https://nconnect.nicmar.ac.in/storage/profile/ProfilePhoto_P25701084_612374.jpg","Download")</f>
        <v>0</v>
      </c>
      <c r="BV2645" s="3"/>
      <c r="BW2645" s="4">
        <v>1</v>
      </c>
    </row>
    <row r="2646" spans="1:75">
      <c r="A2646" s="1" t="s">
        <v>40794</v>
      </c>
      <c r="B2646" s="1" t="s">
        <v>446</v>
      </c>
      <c r="C2646" s="1" t="s">
        <v>43049</v>
      </c>
      <c r="D2646" s="1" t="s">
        <v>12976</v>
      </c>
      <c r="E2646" s="1" t="s">
        <v>43050</v>
      </c>
      <c r="F2646" s="1" t="s">
        <v>1957</v>
      </c>
      <c r="G2646" s="1" t="s">
        <v>43051</v>
      </c>
      <c r="H2646" s="1" t="s">
        <v>43052</v>
      </c>
      <c r="I2646" s="1" t="s">
        <v>43053</v>
      </c>
      <c r="J2646" s="1">
        <v>9028389684</v>
      </c>
      <c r="K2646" s="1" t="s">
        <v>84</v>
      </c>
      <c r="L2646" s="1" t="s">
        <v>19665</v>
      </c>
      <c r="M2646" s="1" t="s">
        <v>86</v>
      </c>
      <c r="N2646" s="1" t="s">
        <v>3500</v>
      </c>
      <c r="O2646" s="1"/>
      <c r="P2646" s="1" t="s">
        <v>481</v>
      </c>
      <c r="Q2646" s="1" t="s">
        <v>43054</v>
      </c>
      <c r="R2646" s="1" t="s">
        <v>43050</v>
      </c>
      <c r="S2646" s="1">
        <v>8237153681</v>
      </c>
      <c r="T2646" s="1" t="s">
        <v>926</v>
      </c>
      <c r="U2646" s="1" t="s">
        <v>7197</v>
      </c>
      <c r="V2646" s="1">
        <v>9420058704</v>
      </c>
      <c r="W2646" s="1" t="s">
        <v>161</v>
      </c>
      <c r="X2646" s="1" t="s">
        <v>43055</v>
      </c>
      <c r="Y2646" s="1" t="s">
        <v>1189</v>
      </c>
      <c r="Z2646" s="1" t="s">
        <v>97</v>
      </c>
      <c r="AA2646" s="1" t="s">
        <v>43055</v>
      </c>
      <c r="AB2646" s="1" t="s">
        <v>1189</v>
      </c>
      <c r="AC2646" s="1" t="s">
        <v>97</v>
      </c>
      <c r="AD2646" s="1">
        <v>7.67</v>
      </c>
      <c r="AE2646" s="1" t="s">
        <v>98</v>
      </c>
      <c r="AF2646" s="1" t="s">
        <v>43056</v>
      </c>
      <c r="AG2646" s="1" t="s">
        <v>43057</v>
      </c>
      <c r="AH2646" s="1" t="s">
        <v>704</v>
      </c>
      <c r="AI2646" s="1" t="s">
        <v>553</v>
      </c>
      <c r="AJ2646" s="1">
        <v>60.04</v>
      </c>
      <c r="AK2646" s="1"/>
      <c r="AL2646" s="1"/>
      <c r="AM2646" s="1"/>
      <c r="AN2646" s="1" t="s">
        <v>1062</v>
      </c>
      <c r="AO2646" s="1"/>
      <c r="AP2646" s="1"/>
      <c r="AQ2646" s="1"/>
      <c r="AR2646" s="1"/>
      <c r="AS2646" s="1" t="s">
        <v>103</v>
      </c>
      <c r="AT2646" s="1" t="s">
        <v>43058</v>
      </c>
      <c r="AU2646" s="1" t="s">
        <v>174</v>
      </c>
      <c r="AV2646" s="1" t="s">
        <v>441</v>
      </c>
      <c r="AW2646" s="1">
        <v>87.11</v>
      </c>
      <c r="AX2646" s="1"/>
      <c r="AY2646" s="1" t="s">
        <v>9545</v>
      </c>
      <c r="AZ2646" s="1" t="s">
        <v>43059</v>
      </c>
      <c r="BA2646" s="1" t="s">
        <v>578</v>
      </c>
      <c r="BB2646" s="1" t="s">
        <v>467</v>
      </c>
      <c r="BC2646" s="1" t="s">
        <v>606</v>
      </c>
      <c r="BD2646" s="1" t="s">
        <v>1089</v>
      </c>
      <c r="BE2646" s="1">
        <v>66.2</v>
      </c>
      <c r="BF2646" s="1">
        <v>7.37</v>
      </c>
      <c r="BG2646" s="1"/>
      <c r="BH2646" s="1"/>
      <c r="BI2646" s="1"/>
      <c r="BJ2646" s="1"/>
      <c r="BK2646" s="1"/>
      <c r="BL2646" s="1"/>
      <c r="BM2646" s="1"/>
      <c r="BN2646" s="1"/>
      <c r="BO2646" s="1" t="s">
        <v>43060</v>
      </c>
      <c r="BP2646" s="1"/>
      <c r="BQ2646" s="1"/>
      <c r="BR2646" s="1" t="s">
        <v>43061</v>
      </c>
      <c r="BS2646" s="1">
        <v>13</v>
      </c>
      <c r="BT2646" s="1" t="s">
        <v>43062</v>
      </c>
      <c r="BU2646" s="1" t="str">
        <f>HYPERLINK("https://nconnect.nicmar.ac.in/storage/profile/ProfilePhoto_P25701085_372584.jpg","Download")</f>
        <v>0</v>
      </c>
      <c r="BV2646" s="3"/>
      <c r="BW2646" s="3"/>
    </row>
    <row r="2647" spans="1:75">
      <c r="A2647" s="1" t="s">
        <v>40794</v>
      </c>
      <c r="B2647" s="1" t="s">
        <v>446</v>
      </c>
      <c r="C2647" s="1" t="s">
        <v>43063</v>
      </c>
      <c r="D2647" s="1" t="s">
        <v>27926</v>
      </c>
      <c r="E2647" s="1"/>
      <c r="F2647" s="1" t="s">
        <v>25563</v>
      </c>
      <c r="G2647" s="1" t="s">
        <v>43064</v>
      </c>
      <c r="H2647" s="1" t="s">
        <v>43065</v>
      </c>
      <c r="I2647" s="1" t="s">
        <v>43066</v>
      </c>
      <c r="J2647" s="1">
        <v>8867909058</v>
      </c>
      <c r="K2647" s="1" t="s">
        <v>84</v>
      </c>
      <c r="L2647" s="1" t="s">
        <v>31030</v>
      </c>
      <c r="M2647" s="1" t="s">
        <v>86</v>
      </c>
      <c r="N2647" s="1" t="s">
        <v>26532</v>
      </c>
      <c r="O2647" s="1"/>
      <c r="P2647" s="1" t="s">
        <v>455</v>
      </c>
      <c r="Q2647" s="1" t="s">
        <v>43067</v>
      </c>
      <c r="R2647" s="1" t="s">
        <v>43068</v>
      </c>
      <c r="S2647" s="1">
        <v>9448285654</v>
      </c>
      <c r="T2647" s="1" t="s">
        <v>92</v>
      </c>
      <c r="U2647" s="1" t="s">
        <v>43069</v>
      </c>
      <c r="V2647" s="1">
        <v>9448282634</v>
      </c>
      <c r="W2647" s="1" t="s">
        <v>541</v>
      </c>
      <c r="X2647" s="1" t="s">
        <v>43070</v>
      </c>
      <c r="Y2647" s="1" t="s">
        <v>1209</v>
      </c>
      <c r="Z2647" s="1" t="s">
        <v>1210</v>
      </c>
      <c r="AA2647" s="1" t="s">
        <v>43070</v>
      </c>
      <c r="AB2647" s="1" t="s">
        <v>1209</v>
      </c>
      <c r="AC2647" s="1" t="s">
        <v>1210</v>
      </c>
      <c r="AD2647" s="1">
        <v>8.4</v>
      </c>
      <c r="AE2647" s="1" t="s">
        <v>98</v>
      </c>
      <c r="AF2647" s="1" t="s">
        <v>43071</v>
      </c>
      <c r="AG2647" s="1" t="s">
        <v>312</v>
      </c>
      <c r="AH2647" s="1" t="s">
        <v>167</v>
      </c>
      <c r="AI2647" s="1" t="s">
        <v>170</v>
      </c>
      <c r="AJ2647" s="1">
        <v>83.6</v>
      </c>
      <c r="AK2647" s="1">
        <v>8.8</v>
      </c>
      <c r="AL2647" s="1" t="s">
        <v>43072</v>
      </c>
      <c r="AM2647" s="1" t="s">
        <v>43073</v>
      </c>
      <c r="AN2647" s="1"/>
      <c r="AO2647" s="1" t="s">
        <v>174</v>
      </c>
      <c r="AP2647" s="1" t="s">
        <v>547</v>
      </c>
      <c r="AQ2647" s="1">
        <v>80.16</v>
      </c>
      <c r="AR2647" s="1"/>
      <c r="AS2647" s="1"/>
      <c r="AT2647" s="1"/>
      <c r="AU2647" s="1"/>
      <c r="AV2647" s="1"/>
      <c r="AW2647" s="1"/>
      <c r="AX2647" s="1"/>
      <c r="AY2647" s="1" t="s">
        <v>43074</v>
      </c>
      <c r="AZ2647" s="1" t="s">
        <v>43074</v>
      </c>
      <c r="BA2647" s="1"/>
      <c r="BB2647" s="1"/>
      <c r="BC2647" s="1" t="s">
        <v>206</v>
      </c>
      <c r="BD2647" s="1" t="s">
        <v>1267</v>
      </c>
      <c r="BE2647" s="1">
        <v>80.6</v>
      </c>
      <c r="BF2647" s="1">
        <v>8.81</v>
      </c>
      <c r="BG2647" s="1"/>
      <c r="BH2647" s="1"/>
      <c r="BI2647" s="1"/>
      <c r="BJ2647" s="1"/>
      <c r="BK2647" s="1"/>
      <c r="BL2647" s="1"/>
      <c r="BM2647" s="1"/>
      <c r="BN2647" s="1"/>
      <c r="BO2647" s="1" t="s">
        <v>43075</v>
      </c>
      <c r="BP2647" s="1" t="s">
        <v>43076</v>
      </c>
      <c r="BQ2647" s="1" t="s">
        <v>1152</v>
      </c>
      <c r="BR2647" s="1" t="s">
        <v>43077</v>
      </c>
      <c r="BS2647" s="1">
        <v>13</v>
      </c>
      <c r="BT2647" s="1"/>
      <c r="BU2647" s="1" t="str">
        <f>HYPERLINK("https://nconnect.nicmar.ac.in/storage/profile/ProfilePhoto_P25701087_365981.jpg","Download")</f>
        <v>0</v>
      </c>
      <c r="BV2647" s="3"/>
      <c r="BW2647" s="4">
        <v>1</v>
      </c>
    </row>
    <row r="2648" spans="1:75">
      <c r="A2648" s="1" t="s">
        <v>40794</v>
      </c>
      <c r="B2648" s="1" t="s">
        <v>446</v>
      </c>
      <c r="C2648" s="1" t="s">
        <v>43078</v>
      </c>
      <c r="D2648" s="1" t="s">
        <v>42300</v>
      </c>
      <c r="E2648" s="1" t="s">
        <v>35161</v>
      </c>
      <c r="F2648" s="1" t="s">
        <v>43079</v>
      </c>
      <c r="G2648" s="1" t="s">
        <v>43080</v>
      </c>
      <c r="H2648" s="1" t="s">
        <v>43081</v>
      </c>
      <c r="I2648" s="1" t="s">
        <v>43082</v>
      </c>
      <c r="J2648" s="1">
        <v>8788891256</v>
      </c>
      <c r="K2648" s="1" t="s">
        <v>84</v>
      </c>
      <c r="L2648" s="1" t="s">
        <v>7134</v>
      </c>
      <c r="M2648" s="1" t="s">
        <v>86</v>
      </c>
      <c r="N2648" s="1" t="s">
        <v>903</v>
      </c>
      <c r="O2648" s="1"/>
      <c r="P2648" s="1" t="s">
        <v>481</v>
      </c>
      <c r="Q2648" s="1" t="s">
        <v>43083</v>
      </c>
      <c r="R2648" s="1" t="s">
        <v>35161</v>
      </c>
      <c r="S2648" s="1">
        <v>9326183951</v>
      </c>
      <c r="T2648" s="1" t="s">
        <v>98</v>
      </c>
      <c r="U2648" s="1" t="s">
        <v>5271</v>
      </c>
      <c r="V2648" s="1">
        <v>9326183951</v>
      </c>
      <c r="W2648" s="1" t="s">
        <v>94</v>
      </c>
      <c r="X2648" s="1" t="s">
        <v>43084</v>
      </c>
      <c r="Y2648" s="1" t="s">
        <v>96</v>
      </c>
      <c r="Z2648" s="1" t="s">
        <v>97</v>
      </c>
      <c r="AA2648" s="1" t="s">
        <v>43084</v>
      </c>
      <c r="AB2648" s="1" t="s">
        <v>96</v>
      </c>
      <c r="AC2648" s="1" t="s">
        <v>97</v>
      </c>
      <c r="AD2648" s="1">
        <v>7.88</v>
      </c>
      <c r="AE2648" s="1" t="s">
        <v>98</v>
      </c>
      <c r="AF2648" s="1" t="s">
        <v>43085</v>
      </c>
      <c r="AG2648" s="1" t="s">
        <v>165</v>
      </c>
      <c r="AH2648" s="1" t="s">
        <v>166</v>
      </c>
      <c r="AI2648" s="1" t="s">
        <v>1111</v>
      </c>
      <c r="AJ2648" s="1">
        <v>79.4</v>
      </c>
      <c r="AK2648" s="1"/>
      <c r="AL2648" s="1" t="s">
        <v>43086</v>
      </c>
      <c r="AM2648" s="1" t="s">
        <v>165</v>
      </c>
      <c r="AN2648" s="1"/>
      <c r="AO2648" s="1" t="s">
        <v>170</v>
      </c>
      <c r="AP2648" s="1" t="s">
        <v>1477</v>
      </c>
      <c r="AQ2648" s="1">
        <v>75.23</v>
      </c>
      <c r="AR2648" s="1"/>
      <c r="AS2648" s="1"/>
      <c r="AT2648" s="1"/>
      <c r="AU2648" s="1"/>
      <c r="AV2648" s="1"/>
      <c r="AW2648" s="1"/>
      <c r="AX2648" s="1"/>
      <c r="AY2648" s="1" t="s">
        <v>43087</v>
      </c>
      <c r="AZ2648" s="1" t="s">
        <v>4902</v>
      </c>
      <c r="BA2648" s="1"/>
      <c r="BB2648" s="1"/>
      <c r="BC2648" s="1" t="s">
        <v>174</v>
      </c>
      <c r="BD2648" s="1" t="s">
        <v>234</v>
      </c>
      <c r="BE2648" s="1">
        <v>82.2</v>
      </c>
      <c r="BF2648" s="1">
        <v>8.72</v>
      </c>
      <c r="BG2648" s="1"/>
      <c r="BH2648" s="1"/>
      <c r="BI2648" s="1"/>
      <c r="BJ2648" s="1"/>
      <c r="BK2648" s="1"/>
      <c r="BL2648" s="1"/>
      <c r="BM2648" s="1"/>
      <c r="BN2648" s="1"/>
      <c r="BO2648" s="1" t="s">
        <v>43088</v>
      </c>
      <c r="BP2648" s="1" t="s">
        <v>43089</v>
      </c>
      <c r="BQ2648" s="1" t="s">
        <v>4149</v>
      </c>
      <c r="BR2648" s="1" t="s">
        <v>43090</v>
      </c>
      <c r="BS2648" s="1">
        <v>33</v>
      </c>
      <c r="BT2648" s="1" t="s">
        <v>43091</v>
      </c>
      <c r="BU2648" s="1" t="str">
        <f>HYPERLINK("https://nconnect.nicmar.ac.in/storage/profile/ProfilePhoto_P25701088_378519.jpg","Download")</f>
        <v>0</v>
      </c>
      <c r="BV2648" s="3"/>
      <c r="BW2648" s="3"/>
    </row>
    <row r="2649" spans="1:75">
      <c r="A2649" s="1" t="s">
        <v>40794</v>
      </c>
      <c r="B2649" s="1" t="s">
        <v>446</v>
      </c>
      <c r="C2649" s="1" t="s">
        <v>43092</v>
      </c>
      <c r="D2649" s="1" t="s">
        <v>940</v>
      </c>
      <c r="E2649" s="1" t="s">
        <v>2098</v>
      </c>
      <c r="F2649" s="1" t="s">
        <v>3218</v>
      </c>
      <c r="G2649" s="1" t="s">
        <v>43093</v>
      </c>
      <c r="H2649" s="1" t="s">
        <v>43094</v>
      </c>
      <c r="I2649" s="1" t="s">
        <v>43095</v>
      </c>
      <c r="J2649" s="1">
        <v>7410544726</v>
      </c>
      <c r="K2649" s="1" t="s">
        <v>84</v>
      </c>
      <c r="L2649" s="1" t="s">
        <v>43096</v>
      </c>
      <c r="M2649" s="1" t="s">
        <v>86</v>
      </c>
      <c r="N2649" s="1" t="s">
        <v>43097</v>
      </c>
      <c r="O2649" s="1"/>
      <c r="P2649" s="1" t="s">
        <v>455</v>
      </c>
      <c r="Q2649" s="1" t="s">
        <v>43098</v>
      </c>
      <c r="R2649" s="1" t="s">
        <v>43099</v>
      </c>
      <c r="S2649" s="1">
        <v>7767889890</v>
      </c>
      <c r="T2649" s="1" t="s">
        <v>221</v>
      </c>
      <c r="U2649" s="1" t="s">
        <v>43100</v>
      </c>
      <c r="V2649" s="1">
        <v>8421622695</v>
      </c>
      <c r="W2649" s="1" t="s">
        <v>161</v>
      </c>
      <c r="X2649" s="1" t="s">
        <v>43101</v>
      </c>
      <c r="Y2649" s="1" t="s">
        <v>196</v>
      </c>
      <c r="Z2649" s="1" t="s">
        <v>97</v>
      </c>
      <c r="AA2649" s="1" t="s">
        <v>43101</v>
      </c>
      <c r="AB2649" s="1" t="s">
        <v>196</v>
      </c>
      <c r="AC2649" s="1" t="s">
        <v>97</v>
      </c>
      <c r="AD2649" s="1">
        <v>7.26</v>
      </c>
      <c r="AE2649" s="1" t="s">
        <v>98</v>
      </c>
      <c r="AF2649" s="1" t="s">
        <v>43102</v>
      </c>
      <c r="AG2649" s="1" t="s">
        <v>312</v>
      </c>
      <c r="AH2649" s="1" t="s">
        <v>490</v>
      </c>
      <c r="AI2649" s="1" t="s">
        <v>313</v>
      </c>
      <c r="AJ2649" s="1">
        <v>82.8</v>
      </c>
      <c r="AK2649" s="1"/>
      <c r="AL2649" s="1" t="s">
        <v>43102</v>
      </c>
      <c r="AM2649" s="1" t="s">
        <v>312</v>
      </c>
      <c r="AN2649" s="1" t="s">
        <v>465</v>
      </c>
      <c r="AO2649" s="1" t="s">
        <v>977</v>
      </c>
      <c r="AP2649" s="1" t="s">
        <v>549</v>
      </c>
      <c r="AQ2649" s="1">
        <v>80</v>
      </c>
      <c r="AR2649" s="1"/>
      <c r="AS2649" s="1"/>
      <c r="AT2649" s="1"/>
      <c r="AU2649" s="1"/>
      <c r="AV2649" s="1"/>
      <c r="AW2649" s="1"/>
      <c r="AX2649" s="1"/>
      <c r="AY2649" s="1" t="s">
        <v>366</v>
      </c>
      <c r="AZ2649" s="1" t="s">
        <v>43103</v>
      </c>
      <c r="BA2649" s="1" t="s">
        <v>466</v>
      </c>
      <c r="BB2649" s="1" t="s">
        <v>467</v>
      </c>
      <c r="BC2649" s="1" t="s">
        <v>871</v>
      </c>
      <c r="BD2649" s="1" t="s">
        <v>848</v>
      </c>
      <c r="BE2649" s="1">
        <v>66.7</v>
      </c>
      <c r="BF2649" s="1">
        <v>7.42</v>
      </c>
      <c r="BG2649" s="1"/>
      <c r="BH2649" s="1"/>
      <c r="BI2649" s="1"/>
      <c r="BJ2649" s="1"/>
      <c r="BK2649" s="1"/>
      <c r="BL2649" s="1"/>
      <c r="BM2649" s="1"/>
      <c r="BN2649" s="1"/>
      <c r="BO2649" s="1" t="s">
        <v>1114</v>
      </c>
      <c r="BP2649" s="1"/>
      <c r="BQ2649" s="1"/>
      <c r="BR2649" s="1" t="s">
        <v>43104</v>
      </c>
      <c r="BS2649" s="1">
        <v>47</v>
      </c>
      <c r="BT2649" s="1"/>
      <c r="BU2649" s="1" t="str">
        <f>HYPERLINK("https://nconnect.nicmar.ac.in/storage/profile/ProfilePhoto_P25701089_251937.jpg","Download")</f>
        <v>0</v>
      </c>
      <c r="BV2649" s="3"/>
      <c r="BW2649" s="3"/>
    </row>
    <row r="2650" spans="1:75">
      <c r="A2650" s="1" t="s">
        <v>40794</v>
      </c>
      <c r="B2650" s="1" t="s">
        <v>446</v>
      </c>
      <c r="C2650" s="1" t="s">
        <v>43105</v>
      </c>
      <c r="D2650" s="1" t="s">
        <v>43106</v>
      </c>
      <c r="E2650" s="1" t="s">
        <v>587</v>
      </c>
      <c r="F2650" s="1" t="s">
        <v>11506</v>
      </c>
      <c r="G2650" s="1" t="s">
        <v>43107</v>
      </c>
      <c r="H2650" s="1" t="s">
        <v>43108</v>
      </c>
      <c r="I2650" s="1" t="s">
        <v>43109</v>
      </c>
      <c r="J2650" s="1">
        <v>9744966172</v>
      </c>
      <c r="K2650" s="1" t="s">
        <v>84</v>
      </c>
      <c r="L2650" s="1" t="s">
        <v>43110</v>
      </c>
      <c r="M2650" s="1" t="s">
        <v>86</v>
      </c>
      <c r="N2650" s="1" t="s">
        <v>11866</v>
      </c>
      <c r="O2650" s="1"/>
      <c r="P2650" s="1" t="s">
        <v>507</v>
      </c>
      <c r="Q2650" s="1" t="s">
        <v>43111</v>
      </c>
      <c r="R2650" s="1" t="s">
        <v>43112</v>
      </c>
      <c r="S2650" s="1">
        <v>9188391930</v>
      </c>
      <c r="T2650" s="1" t="s">
        <v>125</v>
      </c>
      <c r="U2650" s="1" t="s">
        <v>43113</v>
      </c>
      <c r="V2650" s="1">
        <v>9747870930</v>
      </c>
      <c r="W2650" s="1" t="s">
        <v>161</v>
      </c>
      <c r="X2650" s="1" t="s">
        <v>43114</v>
      </c>
      <c r="Y2650" s="1" t="s">
        <v>19921</v>
      </c>
      <c r="Z2650" s="1" t="s">
        <v>130</v>
      </c>
      <c r="AA2650" s="1" t="s">
        <v>43114</v>
      </c>
      <c r="AB2650" s="1" t="s">
        <v>19921</v>
      </c>
      <c r="AC2650" s="1" t="s">
        <v>130</v>
      </c>
      <c r="AD2650" s="1">
        <v>6.51</v>
      </c>
      <c r="AE2650" s="1" t="s">
        <v>98</v>
      </c>
      <c r="AF2650" s="1" t="s">
        <v>43115</v>
      </c>
      <c r="AG2650" s="1" t="s">
        <v>43116</v>
      </c>
      <c r="AH2650" s="1" t="s">
        <v>1213</v>
      </c>
      <c r="AI2650" s="1" t="s">
        <v>101</v>
      </c>
      <c r="AJ2650" s="1">
        <v>66.5</v>
      </c>
      <c r="AK2650" s="1"/>
      <c r="AL2650" s="1" t="s">
        <v>43117</v>
      </c>
      <c r="AM2650" s="1" t="s">
        <v>43118</v>
      </c>
      <c r="AN2650" s="1" t="s">
        <v>575</v>
      </c>
      <c r="AO2650" s="1" t="s">
        <v>166</v>
      </c>
      <c r="AP2650" s="1" t="s">
        <v>167</v>
      </c>
      <c r="AQ2650" s="1">
        <v>68</v>
      </c>
      <c r="AR2650" s="1"/>
      <c r="AS2650" s="1"/>
      <c r="AT2650" s="1"/>
      <c r="AU2650" s="1"/>
      <c r="AV2650" s="1"/>
      <c r="AW2650" s="1"/>
      <c r="AX2650" s="1"/>
      <c r="AY2650" s="1" t="s">
        <v>43119</v>
      </c>
      <c r="AZ2650" s="1" t="s">
        <v>43120</v>
      </c>
      <c r="BA2650" s="1" t="s">
        <v>466</v>
      </c>
      <c r="BB2650" s="1" t="s">
        <v>467</v>
      </c>
      <c r="BC2650" s="1" t="s">
        <v>1396</v>
      </c>
      <c r="BD2650" s="1" t="s">
        <v>549</v>
      </c>
      <c r="BE2650" s="1">
        <v>74.94</v>
      </c>
      <c r="BF2650" s="1"/>
      <c r="BG2650" s="1"/>
      <c r="BH2650" s="1"/>
      <c r="BI2650" s="1"/>
      <c r="BJ2650" s="1"/>
      <c r="BK2650" s="1"/>
      <c r="BL2650" s="1"/>
      <c r="BM2650" s="1"/>
      <c r="BN2650" s="1"/>
      <c r="BO2650" s="1" t="s">
        <v>43121</v>
      </c>
      <c r="BP2650" s="1" t="s">
        <v>43122</v>
      </c>
      <c r="BQ2650" s="1" t="s">
        <v>2326</v>
      </c>
      <c r="BR2650" s="1" t="s">
        <v>43123</v>
      </c>
      <c r="BS2650" s="1">
        <v>33</v>
      </c>
      <c r="BT2650" s="1" t="s">
        <v>43124</v>
      </c>
      <c r="BU2650" s="1" t="str">
        <f>HYPERLINK("https://nconnect.nicmar.ac.in/storage/profile/ProfilePhoto_P25701090_859126.jpg","Download")</f>
        <v>0</v>
      </c>
      <c r="BV2650" s="3"/>
      <c r="BW2650" s="3"/>
    </row>
    <row r="2651" spans="1:75">
      <c r="A2651" s="1" t="s">
        <v>40794</v>
      </c>
      <c r="B2651" s="1" t="s">
        <v>446</v>
      </c>
      <c r="C2651" s="1" t="s">
        <v>43125</v>
      </c>
      <c r="D2651" s="1" t="s">
        <v>3502</v>
      </c>
      <c r="E2651" s="1" t="s">
        <v>43126</v>
      </c>
      <c r="F2651" s="1" t="s">
        <v>16824</v>
      </c>
      <c r="G2651" s="1" t="s">
        <v>43127</v>
      </c>
      <c r="H2651" s="1" t="s">
        <v>43128</v>
      </c>
      <c r="I2651" s="1" t="s">
        <v>43129</v>
      </c>
      <c r="J2651" s="1">
        <v>9348687343</v>
      </c>
      <c r="K2651" s="1" t="s">
        <v>153</v>
      </c>
      <c r="L2651" s="1" t="s">
        <v>34373</v>
      </c>
      <c r="M2651" s="1" t="s">
        <v>86</v>
      </c>
      <c r="N2651" s="1" t="s">
        <v>881</v>
      </c>
      <c r="O2651" s="1"/>
      <c r="P2651" s="1" t="s">
        <v>2062</v>
      </c>
      <c r="Q2651" s="1" t="s">
        <v>43130</v>
      </c>
      <c r="R2651" s="1" t="s">
        <v>43131</v>
      </c>
      <c r="S2651" s="1">
        <v>9556702907</v>
      </c>
      <c r="T2651" s="1" t="s">
        <v>43132</v>
      </c>
      <c r="U2651" s="1" t="s">
        <v>43133</v>
      </c>
      <c r="V2651" s="1">
        <v>7735563982</v>
      </c>
      <c r="W2651" s="1" t="s">
        <v>38932</v>
      </c>
      <c r="X2651" s="1" t="s">
        <v>43134</v>
      </c>
      <c r="Y2651" s="1" t="s">
        <v>39279</v>
      </c>
      <c r="Z2651" s="1" t="s">
        <v>865</v>
      </c>
      <c r="AA2651" s="1" t="s">
        <v>43134</v>
      </c>
      <c r="AB2651" s="1" t="s">
        <v>39279</v>
      </c>
      <c r="AC2651" s="1" t="s">
        <v>865</v>
      </c>
      <c r="AD2651" s="1">
        <v>8.3</v>
      </c>
      <c r="AE2651" s="1" t="s">
        <v>98</v>
      </c>
      <c r="AF2651" s="1" t="s">
        <v>43135</v>
      </c>
      <c r="AG2651" s="1" t="s">
        <v>37511</v>
      </c>
      <c r="AH2651" s="1" t="s">
        <v>1262</v>
      </c>
      <c r="AI2651" s="1" t="s">
        <v>136</v>
      </c>
      <c r="AJ2651" s="1">
        <v>81.33</v>
      </c>
      <c r="AK2651" s="1"/>
      <c r="AL2651" s="1" t="s">
        <v>43136</v>
      </c>
      <c r="AM2651" s="1" t="s">
        <v>1582</v>
      </c>
      <c r="AN2651" s="1"/>
      <c r="AO2651" s="1" t="s">
        <v>136</v>
      </c>
      <c r="AP2651" s="1" t="s">
        <v>573</v>
      </c>
      <c r="AQ2651" s="1">
        <v>64.16</v>
      </c>
      <c r="AR2651" s="1"/>
      <c r="AS2651" s="1"/>
      <c r="AT2651" s="1"/>
      <c r="AU2651" s="1"/>
      <c r="AV2651" s="1"/>
      <c r="AW2651" s="1"/>
      <c r="AX2651" s="1"/>
      <c r="AY2651" s="1" t="s">
        <v>37118</v>
      </c>
      <c r="AZ2651" s="1" t="s">
        <v>42214</v>
      </c>
      <c r="BA2651" s="1"/>
      <c r="BB2651" s="1"/>
      <c r="BC2651" s="1" t="s">
        <v>106</v>
      </c>
      <c r="BD2651" s="1" t="s">
        <v>955</v>
      </c>
      <c r="BE2651" s="1">
        <v>70.6</v>
      </c>
      <c r="BF2651" s="1">
        <v>7.56</v>
      </c>
      <c r="BG2651" s="1"/>
      <c r="BH2651" s="1"/>
      <c r="BI2651" s="1"/>
      <c r="BJ2651" s="1"/>
      <c r="BK2651" s="1"/>
      <c r="BL2651" s="1"/>
      <c r="BM2651" s="1"/>
      <c r="BN2651" s="1"/>
      <c r="BO2651" s="1" t="s">
        <v>43137</v>
      </c>
      <c r="BP2651" s="1" t="s">
        <v>43138</v>
      </c>
      <c r="BQ2651" s="1" t="s">
        <v>4149</v>
      </c>
      <c r="BR2651" s="1" t="s">
        <v>43139</v>
      </c>
      <c r="BS2651" s="1">
        <v>27</v>
      </c>
      <c r="BT2651" s="1"/>
      <c r="BU2651" s="1" t="str">
        <f>HYPERLINK("https://nconnect.nicmar.ac.in/storage/profile/ProfilePhoto_P25701091_628517.jpg","Download")</f>
        <v>0</v>
      </c>
      <c r="BV2651" s="3"/>
      <c r="BW2651" s="3"/>
    </row>
    <row r="2652" spans="1:75">
      <c r="A2652" s="1" t="s">
        <v>40794</v>
      </c>
      <c r="B2652" s="1" t="s">
        <v>446</v>
      </c>
      <c r="C2652" s="1" t="s">
        <v>43140</v>
      </c>
      <c r="D2652" s="1" t="s">
        <v>43141</v>
      </c>
      <c r="E2652" s="1"/>
      <c r="F2652" s="1" t="s">
        <v>530</v>
      </c>
      <c r="G2652" s="1" t="s">
        <v>43142</v>
      </c>
      <c r="H2652" s="1" t="s">
        <v>43143</v>
      </c>
      <c r="I2652" s="1" t="s">
        <v>43144</v>
      </c>
      <c r="J2652" s="1">
        <v>9466906697</v>
      </c>
      <c r="K2652" s="1" t="s">
        <v>153</v>
      </c>
      <c r="L2652" s="1" t="s">
        <v>43145</v>
      </c>
      <c r="M2652" s="1" t="s">
        <v>86</v>
      </c>
      <c r="N2652" s="1" t="s">
        <v>13162</v>
      </c>
      <c r="O2652" s="1"/>
      <c r="P2652" s="1" t="s">
        <v>507</v>
      </c>
      <c r="Q2652" s="1" t="s">
        <v>43146</v>
      </c>
      <c r="R2652" s="1" t="s">
        <v>2233</v>
      </c>
      <c r="S2652" s="1">
        <v>9973081111</v>
      </c>
      <c r="T2652" s="1" t="s">
        <v>839</v>
      </c>
      <c r="U2652" s="1" t="s">
        <v>43147</v>
      </c>
      <c r="V2652" s="1">
        <v>9835627621</v>
      </c>
      <c r="W2652" s="1" t="s">
        <v>94</v>
      </c>
      <c r="X2652" s="1" t="s">
        <v>43148</v>
      </c>
      <c r="Y2652" s="1" t="s">
        <v>5219</v>
      </c>
      <c r="Z2652" s="1" t="s">
        <v>3419</v>
      </c>
      <c r="AA2652" s="1" t="s">
        <v>43148</v>
      </c>
      <c r="AB2652" s="1" t="s">
        <v>5219</v>
      </c>
      <c r="AC2652" s="1" t="s">
        <v>3419</v>
      </c>
      <c r="AD2652" s="1">
        <v>7.47</v>
      </c>
      <c r="AE2652" s="1" t="s">
        <v>98</v>
      </c>
      <c r="AF2652" s="1" t="s">
        <v>43149</v>
      </c>
      <c r="AG2652" s="1" t="s">
        <v>312</v>
      </c>
      <c r="AH2652" s="1" t="s">
        <v>3770</v>
      </c>
      <c r="AI2652" s="1" t="s">
        <v>3421</v>
      </c>
      <c r="AJ2652" s="1">
        <v>66.5</v>
      </c>
      <c r="AK2652" s="1">
        <v>7</v>
      </c>
      <c r="AL2652" s="1" t="s">
        <v>43149</v>
      </c>
      <c r="AM2652" s="1" t="s">
        <v>312</v>
      </c>
      <c r="AN2652" s="1"/>
      <c r="AO2652" s="1" t="s">
        <v>1214</v>
      </c>
      <c r="AP2652" s="1" t="s">
        <v>1110</v>
      </c>
      <c r="AQ2652" s="1">
        <v>72.8</v>
      </c>
      <c r="AR2652" s="1"/>
      <c r="AS2652" s="1"/>
      <c r="AT2652" s="1"/>
      <c r="AU2652" s="1"/>
      <c r="AV2652" s="1"/>
      <c r="AW2652" s="1"/>
      <c r="AX2652" s="1"/>
      <c r="AY2652" s="1" t="s">
        <v>43150</v>
      </c>
      <c r="AZ2652" s="1" t="s">
        <v>43151</v>
      </c>
      <c r="BA2652" s="1"/>
      <c r="BB2652" s="1"/>
      <c r="BC2652" s="1" t="s">
        <v>342</v>
      </c>
      <c r="BD2652" s="1" t="s">
        <v>1065</v>
      </c>
      <c r="BE2652" s="1">
        <v>84.2</v>
      </c>
      <c r="BF2652" s="1">
        <v>8.42</v>
      </c>
      <c r="BG2652" s="1"/>
      <c r="BH2652" s="1"/>
      <c r="BI2652" s="1"/>
      <c r="BJ2652" s="1"/>
      <c r="BK2652" s="1"/>
      <c r="BL2652" s="1"/>
      <c r="BM2652" s="1"/>
      <c r="BN2652" s="1"/>
      <c r="BO2652" s="1" t="s">
        <v>43152</v>
      </c>
      <c r="BP2652" s="1" t="s">
        <v>43153</v>
      </c>
      <c r="BQ2652" s="1" t="s">
        <v>7108</v>
      </c>
      <c r="BR2652" s="1" t="s">
        <v>43154</v>
      </c>
      <c r="BS2652" s="1">
        <v>7</v>
      </c>
      <c r="BT2652" s="1" t="s">
        <v>38649</v>
      </c>
      <c r="BU2652" s="1" t="str">
        <f>HYPERLINK("https://nconnect.nicmar.ac.in/storage/profile/ProfilePhoto_P25701092_936487.jpg","Download")</f>
        <v>0</v>
      </c>
      <c r="BV2652" s="3"/>
      <c r="BW2652" s="3"/>
    </row>
    <row r="2653" spans="1:75">
      <c r="A2653" s="1" t="s">
        <v>40794</v>
      </c>
      <c r="B2653" s="1" t="s">
        <v>446</v>
      </c>
      <c r="C2653" s="1" t="s">
        <v>43155</v>
      </c>
      <c r="D2653" s="1" t="s">
        <v>43156</v>
      </c>
      <c r="E2653" s="1" t="s">
        <v>2772</v>
      </c>
      <c r="F2653" s="1" t="s">
        <v>1853</v>
      </c>
      <c r="G2653" s="1" t="s">
        <v>43157</v>
      </c>
      <c r="H2653" s="1" t="s">
        <v>43158</v>
      </c>
      <c r="I2653" s="1" t="s">
        <v>43159</v>
      </c>
      <c r="J2653" s="1">
        <v>8086277999</v>
      </c>
      <c r="K2653" s="1" t="s">
        <v>153</v>
      </c>
      <c r="L2653" s="1" t="s">
        <v>24996</v>
      </c>
      <c r="M2653" s="1" t="s">
        <v>86</v>
      </c>
      <c r="N2653" s="1" t="s">
        <v>20559</v>
      </c>
      <c r="O2653" s="1"/>
      <c r="P2653" s="1" t="s">
        <v>507</v>
      </c>
      <c r="Q2653" s="1" t="s">
        <v>43160</v>
      </c>
      <c r="R2653" s="1" t="s">
        <v>43161</v>
      </c>
      <c r="S2653" s="1">
        <v>8086777999</v>
      </c>
      <c r="T2653" s="1" t="s">
        <v>4894</v>
      </c>
      <c r="U2653" s="1" t="s">
        <v>43162</v>
      </c>
      <c r="V2653" s="1">
        <v>9946086565</v>
      </c>
      <c r="W2653" s="1" t="s">
        <v>278</v>
      </c>
      <c r="X2653" s="1" t="s">
        <v>43163</v>
      </c>
      <c r="Y2653" s="1" t="s">
        <v>1283</v>
      </c>
      <c r="Z2653" s="1" t="s">
        <v>130</v>
      </c>
      <c r="AA2653" s="1" t="s">
        <v>43163</v>
      </c>
      <c r="AB2653" s="1" t="s">
        <v>1283</v>
      </c>
      <c r="AC2653" s="1" t="s">
        <v>130</v>
      </c>
      <c r="AD2653" s="1">
        <v>8.95</v>
      </c>
      <c r="AE2653" s="1" t="s">
        <v>98</v>
      </c>
      <c r="AF2653" s="1" t="s">
        <v>27983</v>
      </c>
      <c r="AG2653" s="1" t="s">
        <v>34378</v>
      </c>
      <c r="AH2653" s="1" t="s">
        <v>167</v>
      </c>
      <c r="AI2653" s="1" t="s">
        <v>573</v>
      </c>
      <c r="AJ2653" s="1">
        <v>90.83</v>
      </c>
      <c r="AK2653" s="1"/>
      <c r="AL2653" s="1" t="s">
        <v>43164</v>
      </c>
      <c r="AM2653" s="1" t="s">
        <v>703</v>
      </c>
      <c r="AN2653" s="1" t="s">
        <v>575</v>
      </c>
      <c r="AO2653" s="1" t="s">
        <v>106</v>
      </c>
      <c r="AP2653" s="1" t="s">
        <v>313</v>
      </c>
      <c r="AQ2653" s="1">
        <v>81.4</v>
      </c>
      <c r="AR2653" s="1"/>
      <c r="AS2653" s="1"/>
      <c r="AT2653" s="1"/>
      <c r="AU2653" s="1"/>
      <c r="AV2653" s="1"/>
      <c r="AW2653" s="1"/>
      <c r="AX2653" s="1"/>
      <c r="AY2653" s="1" t="s">
        <v>7207</v>
      </c>
      <c r="AZ2653" s="1" t="s">
        <v>43165</v>
      </c>
      <c r="BA2653" s="1" t="s">
        <v>682</v>
      </c>
      <c r="BB2653" s="1" t="s">
        <v>683</v>
      </c>
      <c r="BC2653" s="1" t="s">
        <v>315</v>
      </c>
      <c r="BD2653" s="1" t="s">
        <v>1089</v>
      </c>
      <c r="BE2653" s="1">
        <v>71.6</v>
      </c>
      <c r="BF2653" s="1">
        <v>7.66</v>
      </c>
      <c r="BG2653" s="1"/>
      <c r="BH2653" s="1"/>
      <c r="BI2653" s="1"/>
      <c r="BJ2653" s="1"/>
      <c r="BK2653" s="1"/>
      <c r="BL2653" s="1"/>
      <c r="BM2653" s="1"/>
      <c r="BN2653" s="1"/>
      <c r="BO2653" s="1" t="s">
        <v>43166</v>
      </c>
      <c r="BP2653" s="1" t="s">
        <v>43167</v>
      </c>
      <c r="BQ2653" s="1" t="s">
        <v>1357</v>
      </c>
      <c r="BR2653" s="1" t="s">
        <v>43168</v>
      </c>
      <c r="BS2653" s="1">
        <v>23</v>
      </c>
      <c r="BT2653" s="1" t="s">
        <v>43169</v>
      </c>
      <c r="BU2653" s="1" t="str">
        <f>HYPERLINK("https://nconnect.nicmar.ac.in/storage/profile/ProfilePhoto_P25701093_486973.jpg","Download")</f>
        <v>0</v>
      </c>
      <c r="BV2653" s="3"/>
      <c r="BW2653" s="3"/>
    </row>
    <row r="2654" spans="1:75">
      <c r="A2654" s="1" t="s">
        <v>40794</v>
      </c>
      <c r="B2654" s="1" t="s">
        <v>446</v>
      </c>
      <c r="C2654" s="1" t="s">
        <v>43170</v>
      </c>
      <c r="D2654" s="1" t="s">
        <v>761</v>
      </c>
      <c r="E2654" s="1" t="s">
        <v>6862</v>
      </c>
      <c r="F2654" s="1" t="s">
        <v>43171</v>
      </c>
      <c r="G2654" s="1" t="s">
        <v>43172</v>
      </c>
      <c r="H2654" s="1" t="s">
        <v>43173</v>
      </c>
      <c r="I2654" s="1" t="s">
        <v>43174</v>
      </c>
      <c r="J2654" s="1">
        <v>9730973919</v>
      </c>
      <c r="K2654" s="1" t="s">
        <v>84</v>
      </c>
      <c r="L2654" s="1" t="s">
        <v>38289</v>
      </c>
      <c r="M2654" s="1" t="s">
        <v>86</v>
      </c>
      <c r="N2654" s="1" t="s">
        <v>13516</v>
      </c>
      <c r="O2654" s="1"/>
      <c r="P2654" s="1" t="s">
        <v>507</v>
      </c>
      <c r="Q2654" s="1" t="s">
        <v>43175</v>
      </c>
      <c r="R2654" s="1" t="s">
        <v>6862</v>
      </c>
      <c r="S2654" s="1">
        <v>9096805125</v>
      </c>
      <c r="T2654" s="1" t="s">
        <v>43176</v>
      </c>
      <c r="U2654" s="1" t="s">
        <v>37181</v>
      </c>
      <c r="V2654" s="1">
        <v>8788885048</v>
      </c>
      <c r="W2654" s="1" t="s">
        <v>161</v>
      </c>
      <c r="X2654" s="1" t="s">
        <v>43177</v>
      </c>
      <c r="Y2654" s="1" t="s">
        <v>224</v>
      </c>
      <c r="Z2654" s="1" t="s">
        <v>97</v>
      </c>
      <c r="AA2654" s="1" t="s">
        <v>43177</v>
      </c>
      <c r="AB2654" s="1" t="s">
        <v>224</v>
      </c>
      <c r="AC2654" s="1" t="s">
        <v>97</v>
      </c>
      <c r="AD2654" s="1">
        <v>8.26</v>
      </c>
      <c r="AE2654" s="1" t="s">
        <v>98</v>
      </c>
      <c r="AF2654" s="1" t="s">
        <v>43178</v>
      </c>
      <c r="AG2654" s="1" t="s">
        <v>2670</v>
      </c>
      <c r="AH2654" s="1" t="s">
        <v>166</v>
      </c>
      <c r="AI2654" s="1" t="s">
        <v>627</v>
      </c>
      <c r="AJ2654" s="1">
        <v>83.6</v>
      </c>
      <c r="AK2654" s="1"/>
      <c r="AL2654" s="1" t="s">
        <v>43179</v>
      </c>
      <c r="AM2654" s="1" t="s">
        <v>2670</v>
      </c>
      <c r="AN2654" s="1" t="s">
        <v>465</v>
      </c>
      <c r="AO2654" s="1" t="s">
        <v>170</v>
      </c>
      <c r="AP2654" s="1" t="s">
        <v>171</v>
      </c>
      <c r="AQ2654" s="1">
        <v>65.08</v>
      </c>
      <c r="AR2654" s="1"/>
      <c r="AS2654" s="1"/>
      <c r="AT2654" s="1"/>
      <c r="AU2654" s="1"/>
      <c r="AV2654" s="1"/>
      <c r="AW2654" s="1"/>
      <c r="AX2654" s="1"/>
      <c r="AY2654" s="1" t="s">
        <v>43180</v>
      </c>
      <c r="AZ2654" s="1" t="s">
        <v>28246</v>
      </c>
      <c r="BA2654" s="1" t="s">
        <v>578</v>
      </c>
      <c r="BB2654" s="1" t="s">
        <v>467</v>
      </c>
      <c r="BC2654" s="1" t="s">
        <v>1065</v>
      </c>
      <c r="BD2654" s="1" t="s">
        <v>289</v>
      </c>
      <c r="BE2654" s="1">
        <v>89.58</v>
      </c>
      <c r="BF2654" s="1">
        <v>9.43</v>
      </c>
      <c r="BG2654" s="1"/>
      <c r="BH2654" s="1"/>
      <c r="BI2654" s="1"/>
      <c r="BJ2654" s="1"/>
      <c r="BK2654" s="1"/>
      <c r="BL2654" s="1"/>
      <c r="BM2654" s="1"/>
      <c r="BN2654" s="1"/>
      <c r="BO2654" s="1" t="s">
        <v>43181</v>
      </c>
      <c r="BP2654" s="1"/>
      <c r="BQ2654" s="1"/>
      <c r="BR2654" s="1" t="s">
        <v>43182</v>
      </c>
      <c r="BS2654" s="1">
        <v>21</v>
      </c>
      <c r="BT2654" s="1" t="s">
        <v>43183</v>
      </c>
      <c r="BU2654" s="1" t="str">
        <f>HYPERLINK("https://nconnect.nicmar.ac.in/storage/profile/ProfilePhoto_P25701094_546218.jpg","Download")</f>
        <v>0</v>
      </c>
      <c r="BV2654" s="3"/>
      <c r="BW2654" s="4">
        <v>1</v>
      </c>
    </row>
    <row r="2655" spans="1:75">
      <c r="A2655" s="1" t="s">
        <v>40794</v>
      </c>
      <c r="B2655" s="1" t="s">
        <v>446</v>
      </c>
      <c r="C2655" s="1" t="s">
        <v>43184</v>
      </c>
      <c r="D2655" s="1" t="s">
        <v>43185</v>
      </c>
      <c r="E2655" s="1"/>
      <c r="F2655" s="1" t="s">
        <v>1020</v>
      </c>
      <c r="G2655" s="1" t="s">
        <v>43186</v>
      </c>
      <c r="H2655" s="1" t="s">
        <v>43187</v>
      </c>
      <c r="I2655" s="1" t="s">
        <v>43188</v>
      </c>
      <c r="J2655" s="1">
        <v>9400878285</v>
      </c>
      <c r="K2655" s="1" t="s">
        <v>84</v>
      </c>
      <c r="L2655" s="1" t="s">
        <v>745</v>
      </c>
      <c r="M2655" s="1" t="s">
        <v>86</v>
      </c>
      <c r="N2655" s="1" t="s">
        <v>121</v>
      </c>
      <c r="O2655" s="1"/>
      <c r="P2655" s="1" t="s">
        <v>455</v>
      </c>
      <c r="Q2655" s="1" t="s">
        <v>43189</v>
      </c>
      <c r="R2655" s="1" t="s">
        <v>43190</v>
      </c>
      <c r="S2655" s="1">
        <v>9495282885</v>
      </c>
      <c r="T2655" s="1" t="s">
        <v>43191</v>
      </c>
      <c r="U2655" s="1" t="s">
        <v>43192</v>
      </c>
      <c r="V2655" s="1">
        <v>9778750339</v>
      </c>
      <c r="W2655" s="1" t="s">
        <v>278</v>
      </c>
      <c r="X2655" s="1" t="s">
        <v>43193</v>
      </c>
      <c r="Y2655" s="1" t="s">
        <v>599</v>
      </c>
      <c r="Z2655" s="1" t="s">
        <v>130</v>
      </c>
      <c r="AA2655" s="1" t="s">
        <v>43193</v>
      </c>
      <c r="AB2655" s="1" t="s">
        <v>599</v>
      </c>
      <c r="AC2655" s="1" t="s">
        <v>130</v>
      </c>
      <c r="AD2655" s="1">
        <v>8.63</v>
      </c>
      <c r="AE2655" s="1" t="s">
        <v>98</v>
      </c>
      <c r="AF2655" s="1" t="s">
        <v>7064</v>
      </c>
      <c r="AG2655" s="1" t="s">
        <v>703</v>
      </c>
      <c r="AH2655" s="1" t="s">
        <v>170</v>
      </c>
      <c r="AI2655" s="1" t="s">
        <v>171</v>
      </c>
      <c r="AJ2655" s="1">
        <v>69.8</v>
      </c>
      <c r="AK2655" s="1"/>
      <c r="AL2655" s="1" t="s">
        <v>43194</v>
      </c>
      <c r="AM2655" s="1" t="s">
        <v>43118</v>
      </c>
      <c r="AN2655" s="1" t="s">
        <v>575</v>
      </c>
      <c r="AO2655" s="1" t="s">
        <v>438</v>
      </c>
      <c r="AP2655" s="1" t="s">
        <v>178</v>
      </c>
      <c r="AQ2655" s="1">
        <v>77.1</v>
      </c>
      <c r="AR2655" s="1"/>
      <c r="AS2655" s="1"/>
      <c r="AT2655" s="1"/>
      <c r="AU2655" s="1"/>
      <c r="AV2655" s="1"/>
      <c r="AW2655" s="1"/>
      <c r="AX2655" s="1"/>
      <c r="AY2655" s="1" t="s">
        <v>43195</v>
      </c>
      <c r="AZ2655" s="1" t="s">
        <v>43196</v>
      </c>
      <c r="BA2655" s="1" t="s">
        <v>466</v>
      </c>
      <c r="BB2655" s="1" t="s">
        <v>467</v>
      </c>
      <c r="BC2655" s="1" t="s">
        <v>1647</v>
      </c>
      <c r="BD2655" s="1" t="s">
        <v>418</v>
      </c>
      <c r="BE2655" s="1">
        <v>69.3</v>
      </c>
      <c r="BF2655" s="1">
        <v>6.93</v>
      </c>
      <c r="BG2655" s="1"/>
      <c r="BH2655" s="1"/>
      <c r="BI2655" s="1"/>
      <c r="BJ2655" s="1"/>
      <c r="BK2655" s="1"/>
      <c r="BL2655" s="1"/>
      <c r="BM2655" s="1"/>
      <c r="BN2655" s="1"/>
      <c r="BO2655" s="1" t="s">
        <v>43197</v>
      </c>
      <c r="BP2655" s="1"/>
      <c r="BQ2655" s="1"/>
      <c r="BR2655" s="1" t="s">
        <v>43198</v>
      </c>
      <c r="BS2655" s="1">
        <v>56</v>
      </c>
      <c r="BT2655" s="1" t="s">
        <v>43199</v>
      </c>
      <c r="BU2655" s="1" t="str">
        <f>HYPERLINK("https://nconnect.nicmar.ac.in/storage/profile/ProfilePhoto_P25701095_712486.jpg","Download")</f>
        <v>0</v>
      </c>
      <c r="BV2655" s="3"/>
      <c r="BW2655" s="3"/>
    </row>
    <row r="2656" spans="1:75">
      <c r="A2656" s="1" t="s">
        <v>40794</v>
      </c>
      <c r="B2656" s="1" t="s">
        <v>446</v>
      </c>
      <c r="C2656" s="1" t="s">
        <v>43200</v>
      </c>
      <c r="D2656" s="1" t="s">
        <v>43201</v>
      </c>
      <c r="E2656" s="1" t="s">
        <v>5753</v>
      </c>
      <c r="F2656" s="1" t="s">
        <v>43202</v>
      </c>
      <c r="G2656" s="1" t="s">
        <v>43203</v>
      </c>
      <c r="H2656" s="1" t="s">
        <v>43204</v>
      </c>
      <c r="I2656" s="1" t="s">
        <v>43205</v>
      </c>
      <c r="J2656" s="1">
        <v>9890631803</v>
      </c>
      <c r="K2656" s="1" t="s">
        <v>153</v>
      </c>
      <c r="L2656" s="1" t="s">
        <v>43206</v>
      </c>
      <c r="M2656" s="1" t="s">
        <v>86</v>
      </c>
      <c r="N2656" s="1" t="s">
        <v>3046</v>
      </c>
      <c r="O2656" s="1"/>
      <c r="P2656" s="1" t="s">
        <v>507</v>
      </c>
      <c r="Q2656" s="1" t="s">
        <v>43207</v>
      </c>
      <c r="R2656" s="1" t="s">
        <v>43208</v>
      </c>
      <c r="S2656" s="1">
        <v>9890631803</v>
      </c>
      <c r="T2656" s="1" t="s">
        <v>127</v>
      </c>
      <c r="U2656" s="1" t="s">
        <v>43209</v>
      </c>
      <c r="V2656" s="1">
        <v>9890631803</v>
      </c>
      <c r="W2656" s="1" t="s">
        <v>278</v>
      </c>
      <c r="X2656" s="1" t="s">
        <v>43210</v>
      </c>
      <c r="Y2656" s="1" t="s">
        <v>910</v>
      </c>
      <c r="Z2656" s="1" t="s">
        <v>97</v>
      </c>
      <c r="AA2656" s="1" t="s">
        <v>43210</v>
      </c>
      <c r="AB2656" s="1" t="s">
        <v>910</v>
      </c>
      <c r="AC2656" s="1" t="s">
        <v>97</v>
      </c>
      <c r="AD2656" s="1">
        <v>8.3</v>
      </c>
      <c r="AE2656" s="1" t="s">
        <v>98</v>
      </c>
      <c r="AF2656" s="1" t="s">
        <v>43211</v>
      </c>
      <c r="AG2656" s="1" t="s">
        <v>996</v>
      </c>
      <c r="AH2656" s="1" t="s">
        <v>490</v>
      </c>
      <c r="AI2656" s="1" t="s">
        <v>414</v>
      </c>
      <c r="AJ2656" s="1">
        <v>75.6</v>
      </c>
      <c r="AK2656" s="1">
        <v>0</v>
      </c>
      <c r="AL2656" s="1" t="s">
        <v>43212</v>
      </c>
      <c r="AM2656" s="1" t="s">
        <v>5121</v>
      </c>
      <c r="AN2656" s="1"/>
      <c r="AO2656" s="1" t="s">
        <v>977</v>
      </c>
      <c r="AP2656" s="1" t="s">
        <v>845</v>
      </c>
      <c r="AQ2656" s="1">
        <v>81.83</v>
      </c>
      <c r="AR2656" s="1">
        <v>0</v>
      </c>
      <c r="AS2656" s="1"/>
      <c r="AT2656" s="1"/>
      <c r="AU2656" s="1"/>
      <c r="AV2656" s="1"/>
      <c r="AW2656" s="1"/>
      <c r="AX2656" s="1"/>
      <c r="AY2656" s="1" t="s">
        <v>366</v>
      </c>
      <c r="AZ2656" s="1" t="s">
        <v>43213</v>
      </c>
      <c r="BA2656" s="1"/>
      <c r="BB2656" s="1"/>
      <c r="BC2656" s="1" t="s">
        <v>441</v>
      </c>
      <c r="BD2656" s="1" t="s">
        <v>553</v>
      </c>
      <c r="BE2656" s="1">
        <v>68.7</v>
      </c>
      <c r="BF2656" s="1">
        <v>7.62</v>
      </c>
      <c r="BG2656" s="1"/>
      <c r="BH2656" s="1"/>
      <c r="BI2656" s="1"/>
      <c r="BJ2656" s="1"/>
      <c r="BK2656" s="1"/>
      <c r="BL2656" s="1"/>
      <c r="BM2656" s="1"/>
      <c r="BN2656" s="1"/>
      <c r="BO2656" s="1" t="s">
        <v>43214</v>
      </c>
      <c r="BP2656" s="1"/>
      <c r="BQ2656" s="1"/>
      <c r="BR2656" s="1" t="s">
        <v>43215</v>
      </c>
      <c r="BS2656" s="1">
        <v>11</v>
      </c>
      <c r="BT2656" s="1"/>
      <c r="BU2656" s="1" t="str">
        <f>HYPERLINK("https://nconnect.nicmar.ac.in/storage/profile/ProfilePhoto_P25701097_691845.jpg","Download")</f>
        <v>0</v>
      </c>
      <c r="BV2656" s="3"/>
      <c r="BW2656" s="3"/>
    </row>
    <row r="2657" spans="1:75">
      <c r="A2657" s="1" t="s">
        <v>40794</v>
      </c>
      <c r="B2657" s="1" t="s">
        <v>446</v>
      </c>
      <c r="C2657" s="1" t="s">
        <v>43216</v>
      </c>
      <c r="D2657" s="1" t="s">
        <v>43217</v>
      </c>
      <c r="E2657" s="1" t="s">
        <v>5753</v>
      </c>
      <c r="F2657" s="1" t="s">
        <v>43218</v>
      </c>
      <c r="G2657" s="1" t="s">
        <v>43219</v>
      </c>
      <c r="H2657" s="1" t="s">
        <v>43220</v>
      </c>
      <c r="I2657" s="1" t="s">
        <v>43221</v>
      </c>
      <c r="J2657" s="1">
        <v>9152324205</v>
      </c>
      <c r="K2657" s="1" t="s">
        <v>153</v>
      </c>
      <c r="L2657" s="1" t="s">
        <v>17296</v>
      </c>
      <c r="M2657" s="1" t="s">
        <v>86</v>
      </c>
      <c r="N2657" s="1" t="s">
        <v>13162</v>
      </c>
      <c r="O2657" s="1"/>
      <c r="P2657" s="1" t="s">
        <v>1028</v>
      </c>
      <c r="Q2657" s="1" t="s">
        <v>43222</v>
      </c>
      <c r="R2657" s="1" t="s">
        <v>5753</v>
      </c>
      <c r="S2657" s="1">
        <v>9819448052</v>
      </c>
      <c r="T2657" s="1" t="s">
        <v>3898</v>
      </c>
      <c r="U2657" s="1" t="s">
        <v>43223</v>
      </c>
      <c r="V2657" s="1">
        <v>9819448052</v>
      </c>
      <c r="W2657" s="1" t="s">
        <v>161</v>
      </c>
      <c r="X2657" s="1" t="s">
        <v>43224</v>
      </c>
      <c r="Y2657" s="1" t="s">
        <v>1882</v>
      </c>
      <c r="Z2657" s="1" t="s">
        <v>97</v>
      </c>
      <c r="AA2657" s="1" t="s">
        <v>43224</v>
      </c>
      <c r="AB2657" s="1" t="s">
        <v>1882</v>
      </c>
      <c r="AC2657" s="1" t="s">
        <v>97</v>
      </c>
      <c r="AD2657" s="1">
        <v>9.21</v>
      </c>
      <c r="AE2657" s="1" t="s">
        <v>98</v>
      </c>
      <c r="AF2657" s="1" t="s">
        <v>43225</v>
      </c>
      <c r="AG2657" s="1" t="s">
        <v>4324</v>
      </c>
      <c r="AH2657" s="1" t="s">
        <v>1213</v>
      </c>
      <c r="AI2657" s="1" t="s">
        <v>515</v>
      </c>
      <c r="AJ2657" s="1">
        <v>93</v>
      </c>
      <c r="AK2657" s="1">
        <v>0</v>
      </c>
      <c r="AL2657" s="1" t="s">
        <v>43226</v>
      </c>
      <c r="AM2657" s="1" t="s">
        <v>4324</v>
      </c>
      <c r="AN2657" s="1" t="s">
        <v>6380</v>
      </c>
      <c r="AO2657" s="1" t="s">
        <v>166</v>
      </c>
      <c r="AP2657" s="1" t="s">
        <v>517</v>
      </c>
      <c r="AQ2657" s="1">
        <v>82.31</v>
      </c>
      <c r="AR2657" s="1">
        <v>0</v>
      </c>
      <c r="AS2657" s="1"/>
      <c r="AT2657" s="1"/>
      <c r="AU2657" s="1"/>
      <c r="AV2657" s="1"/>
      <c r="AW2657" s="1"/>
      <c r="AX2657" s="1"/>
      <c r="AY2657" s="1" t="s">
        <v>680</v>
      </c>
      <c r="AZ2657" s="1" t="s">
        <v>43227</v>
      </c>
      <c r="BA2657" s="1" t="s">
        <v>682</v>
      </c>
      <c r="BB2657" s="1" t="s">
        <v>1561</v>
      </c>
      <c r="BC2657" s="1" t="s">
        <v>167</v>
      </c>
      <c r="BD2657" s="1" t="s">
        <v>847</v>
      </c>
      <c r="BE2657" s="1">
        <v>67.72</v>
      </c>
      <c r="BF2657" s="1">
        <v>7.78</v>
      </c>
      <c r="BG2657" s="1"/>
      <c r="BH2657" s="1"/>
      <c r="BI2657" s="1"/>
      <c r="BJ2657" s="1"/>
      <c r="BK2657" s="1"/>
      <c r="BL2657" s="1"/>
      <c r="BM2657" s="1"/>
      <c r="BN2657" s="1"/>
      <c r="BO2657" s="1" t="s">
        <v>43228</v>
      </c>
      <c r="BP2657" s="1" t="s">
        <v>43229</v>
      </c>
      <c r="BQ2657" s="1" t="s">
        <v>3426</v>
      </c>
      <c r="BR2657" s="1" t="s">
        <v>43230</v>
      </c>
      <c r="BS2657" s="1">
        <v>27</v>
      </c>
      <c r="BT2657" s="1" t="s">
        <v>43231</v>
      </c>
      <c r="BU2657" s="1" t="str">
        <f>HYPERLINK("https://nconnect.nicmar.ac.in/storage/profile/ProfilePhoto_P25701098_726394.jpg","Download")</f>
        <v>0</v>
      </c>
      <c r="BV2657" s="3"/>
      <c r="BW2657" s="3"/>
    </row>
    <row r="2658" spans="1:75">
      <c r="A2658" s="1" t="s">
        <v>40794</v>
      </c>
      <c r="B2658" s="1" t="s">
        <v>446</v>
      </c>
      <c r="C2658" s="1" t="s">
        <v>43232</v>
      </c>
      <c r="D2658" s="1" t="s">
        <v>1525</v>
      </c>
      <c r="E2658" s="1" t="s">
        <v>8035</v>
      </c>
      <c r="F2658" s="1" t="s">
        <v>37942</v>
      </c>
      <c r="G2658" s="1" t="s">
        <v>43233</v>
      </c>
      <c r="H2658" s="1" t="s">
        <v>43234</v>
      </c>
      <c r="I2658" s="1" t="s">
        <v>43235</v>
      </c>
      <c r="J2658" s="1">
        <v>9405938803</v>
      </c>
      <c r="K2658" s="1" t="s">
        <v>84</v>
      </c>
      <c r="L2658" s="1" t="s">
        <v>3222</v>
      </c>
      <c r="M2658" s="1" t="s">
        <v>86</v>
      </c>
      <c r="N2658" s="1" t="s">
        <v>1163</v>
      </c>
      <c r="O2658" s="1"/>
      <c r="P2658" s="1" t="s">
        <v>1028</v>
      </c>
      <c r="Q2658" s="1" t="s">
        <v>43236</v>
      </c>
      <c r="R2658" s="1" t="s">
        <v>43237</v>
      </c>
      <c r="S2658" s="1">
        <v>9822658872</v>
      </c>
      <c r="T2658" s="1" t="s">
        <v>4776</v>
      </c>
      <c r="U2658" s="1" t="s">
        <v>43238</v>
      </c>
      <c r="V2658" s="1">
        <v>9404464961</v>
      </c>
      <c r="W2658" s="1" t="s">
        <v>4776</v>
      </c>
      <c r="X2658" s="1" t="s">
        <v>43239</v>
      </c>
      <c r="Y2658" s="1" t="s">
        <v>196</v>
      </c>
      <c r="Z2658" s="1" t="s">
        <v>97</v>
      </c>
      <c r="AA2658" s="1" t="s">
        <v>43240</v>
      </c>
      <c r="AB2658" s="1" t="s">
        <v>5030</v>
      </c>
      <c r="AC2658" s="1" t="s">
        <v>97</v>
      </c>
      <c r="AD2658" s="1">
        <v>8.42</v>
      </c>
      <c r="AE2658" s="1" t="s">
        <v>98</v>
      </c>
      <c r="AF2658" s="1" t="s">
        <v>43241</v>
      </c>
      <c r="AG2658" s="1" t="s">
        <v>996</v>
      </c>
      <c r="AH2658" s="1" t="s">
        <v>284</v>
      </c>
      <c r="AI2658" s="1" t="s">
        <v>200</v>
      </c>
      <c r="AJ2658" s="1">
        <v>88</v>
      </c>
      <c r="AK2658" s="1"/>
      <c r="AL2658" s="1" t="s">
        <v>43242</v>
      </c>
      <c r="AM2658" s="1" t="s">
        <v>996</v>
      </c>
      <c r="AN2658" s="1" t="s">
        <v>465</v>
      </c>
      <c r="AO2658" s="1" t="s">
        <v>286</v>
      </c>
      <c r="AP2658" s="1" t="s">
        <v>203</v>
      </c>
      <c r="AQ2658" s="1">
        <v>60.62</v>
      </c>
      <c r="AR2658" s="1"/>
      <c r="AS2658" s="1"/>
      <c r="AT2658" s="1"/>
      <c r="AU2658" s="1"/>
      <c r="AV2658" s="1"/>
      <c r="AW2658" s="1"/>
      <c r="AX2658" s="1"/>
      <c r="AY2658" s="1" t="s">
        <v>2286</v>
      </c>
      <c r="AZ2658" s="1" t="s">
        <v>43243</v>
      </c>
      <c r="BA2658" s="1" t="s">
        <v>578</v>
      </c>
      <c r="BB2658" s="1" t="s">
        <v>23143</v>
      </c>
      <c r="BC2658" s="1" t="s">
        <v>206</v>
      </c>
      <c r="BD2658" s="1" t="s">
        <v>955</v>
      </c>
      <c r="BE2658" s="1">
        <v>79</v>
      </c>
      <c r="BF2658" s="1">
        <v>8.25</v>
      </c>
      <c r="BG2658" s="1"/>
      <c r="BH2658" s="1"/>
      <c r="BI2658" s="1"/>
      <c r="BJ2658" s="1"/>
      <c r="BK2658" s="1"/>
      <c r="BL2658" s="1"/>
      <c r="BM2658" s="1"/>
      <c r="BN2658" s="1"/>
      <c r="BO2658" s="1" t="s">
        <v>43244</v>
      </c>
      <c r="BP2658" s="1" t="s">
        <v>43245</v>
      </c>
      <c r="BQ2658" s="1" t="s">
        <v>4149</v>
      </c>
      <c r="BR2658" s="1" t="s">
        <v>43246</v>
      </c>
      <c r="BS2658" s="1">
        <v>8</v>
      </c>
      <c r="BT2658" s="1" t="s">
        <v>43247</v>
      </c>
      <c r="BU2658" s="1" t="str">
        <f>HYPERLINK("https://nconnect.nicmar.ac.in/storage/profile/ProfilePhoto_P25701099_675183.jpg","Download")</f>
        <v>0</v>
      </c>
      <c r="BV2658" s="3"/>
      <c r="BW2658" s="3"/>
    </row>
    <row r="2659" spans="1:75">
      <c r="A2659" s="1" t="s">
        <v>40794</v>
      </c>
      <c r="B2659" s="1" t="s">
        <v>446</v>
      </c>
      <c r="C2659" s="1" t="s">
        <v>43248</v>
      </c>
      <c r="D2659" s="1" t="s">
        <v>5041</v>
      </c>
      <c r="E2659" s="1"/>
      <c r="F2659" s="1" t="s">
        <v>43249</v>
      </c>
      <c r="G2659" s="1" t="s">
        <v>43250</v>
      </c>
      <c r="H2659" s="1" t="s">
        <v>43251</v>
      </c>
      <c r="I2659" s="1" t="s">
        <v>43252</v>
      </c>
      <c r="J2659" s="1">
        <v>8744008487</v>
      </c>
      <c r="K2659" s="1" t="s">
        <v>153</v>
      </c>
      <c r="L2659" s="1" t="s">
        <v>43253</v>
      </c>
      <c r="M2659" s="1" t="s">
        <v>86</v>
      </c>
      <c r="N2659" s="1" t="s">
        <v>1101</v>
      </c>
      <c r="O2659" s="1" t="s">
        <v>43254</v>
      </c>
      <c r="P2659" s="1" t="s">
        <v>507</v>
      </c>
      <c r="Q2659" s="1" t="s">
        <v>43255</v>
      </c>
      <c r="R2659" s="1" t="s">
        <v>43256</v>
      </c>
      <c r="S2659" s="1">
        <v>8527696836</v>
      </c>
      <c r="T2659" s="1" t="s">
        <v>3898</v>
      </c>
      <c r="U2659" s="1" t="s">
        <v>43257</v>
      </c>
      <c r="V2659" s="1">
        <v>9811513381</v>
      </c>
      <c r="W2659" s="1" t="s">
        <v>94</v>
      </c>
      <c r="X2659" s="1" t="s">
        <v>43258</v>
      </c>
      <c r="Y2659" s="1" t="s">
        <v>25440</v>
      </c>
      <c r="Z2659" s="1" t="s">
        <v>1739</v>
      </c>
      <c r="AA2659" s="1" t="s">
        <v>43258</v>
      </c>
      <c r="AB2659" s="1" t="s">
        <v>25440</v>
      </c>
      <c r="AC2659" s="1" t="s">
        <v>1739</v>
      </c>
      <c r="AD2659" s="1">
        <v>9.12</v>
      </c>
      <c r="AE2659" s="1" t="s">
        <v>98</v>
      </c>
      <c r="AF2659" s="1" t="s">
        <v>43259</v>
      </c>
      <c r="AG2659" s="1" t="s">
        <v>9059</v>
      </c>
      <c r="AH2659" s="1" t="s">
        <v>1110</v>
      </c>
      <c r="AI2659" s="1" t="s">
        <v>1111</v>
      </c>
      <c r="AJ2659" s="1">
        <v>95</v>
      </c>
      <c r="AK2659" s="1">
        <v>10</v>
      </c>
      <c r="AL2659" s="1" t="s">
        <v>43259</v>
      </c>
      <c r="AM2659" s="1" t="s">
        <v>9059</v>
      </c>
      <c r="AN2659" s="1" t="s">
        <v>465</v>
      </c>
      <c r="AO2659" s="1" t="s">
        <v>704</v>
      </c>
      <c r="AP2659" s="1" t="s">
        <v>286</v>
      </c>
      <c r="AQ2659" s="1">
        <v>91.2</v>
      </c>
      <c r="AR2659" s="1">
        <v>0</v>
      </c>
      <c r="AS2659" s="1"/>
      <c r="AT2659" s="1"/>
      <c r="AU2659" s="1"/>
      <c r="AV2659" s="1"/>
      <c r="AW2659" s="1"/>
      <c r="AX2659" s="1"/>
      <c r="AY2659" s="1" t="s">
        <v>2553</v>
      </c>
      <c r="AZ2659" s="1" t="s">
        <v>25613</v>
      </c>
      <c r="BA2659" s="1" t="s">
        <v>466</v>
      </c>
      <c r="BB2659" s="1" t="s">
        <v>467</v>
      </c>
      <c r="BC2659" s="1" t="s">
        <v>1065</v>
      </c>
      <c r="BD2659" s="1" t="s">
        <v>632</v>
      </c>
      <c r="BE2659" s="1">
        <v>84.3</v>
      </c>
      <c r="BF2659" s="1">
        <v>8.43</v>
      </c>
      <c r="BG2659" s="1"/>
      <c r="BH2659" s="1"/>
      <c r="BI2659" s="1"/>
      <c r="BJ2659" s="1"/>
      <c r="BK2659" s="1"/>
      <c r="BL2659" s="1"/>
      <c r="BM2659" s="1"/>
      <c r="BN2659" s="1"/>
      <c r="BO2659" s="1" t="s">
        <v>43260</v>
      </c>
      <c r="BP2659" s="1" t="s">
        <v>43261</v>
      </c>
      <c r="BQ2659" s="1" t="s">
        <v>345</v>
      </c>
      <c r="BR2659" s="1" t="s">
        <v>43262</v>
      </c>
      <c r="BS2659" s="1">
        <v>10</v>
      </c>
      <c r="BT2659" s="1"/>
      <c r="BU2659" s="1" t="str">
        <f>HYPERLINK("https://nconnect.nicmar.ac.in/storage/profile/ProfilePhoto_P25701100_954627.jpg","Download")</f>
        <v>0</v>
      </c>
      <c r="BV2659" s="3"/>
      <c r="BW2659" s="3"/>
    </row>
    <row r="2660" spans="1:75">
      <c r="A2660" s="1" t="s">
        <v>40794</v>
      </c>
      <c r="B2660" s="1" t="s">
        <v>446</v>
      </c>
      <c r="C2660" s="1" t="s">
        <v>43263</v>
      </c>
      <c r="D2660" s="1" t="s">
        <v>9691</v>
      </c>
      <c r="E2660" s="1" t="s">
        <v>373</v>
      </c>
      <c r="F2660" s="1" t="s">
        <v>43264</v>
      </c>
      <c r="G2660" s="1" t="s">
        <v>43265</v>
      </c>
      <c r="H2660" s="1" t="s">
        <v>43266</v>
      </c>
      <c r="I2660" s="1" t="s">
        <v>43267</v>
      </c>
      <c r="J2660" s="1">
        <v>8693861231</v>
      </c>
      <c r="K2660" s="1" t="s">
        <v>84</v>
      </c>
      <c r="L2660" s="1" t="s">
        <v>43268</v>
      </c>
      <c r="M2660" s="1" t="s">
        <v>86</v>
      </c>
      <c r="N2660" s="1" t="s">
        <v>768</v>
      </c>
      <c r="O2660" s="1"/>
      <c r="P2660" s="1" t="s">
        <v>507</v>
      </c>
      <c r="Q2660" s="1" t="s">
        <v>43269</v>
      </c>
      <c r="R2660" s="1" t="s">
        <v>43270</v>
      </c>
      <c r="S2660" s="1">
        <v>9833531682</v>
      </c>
      <c r="T2660" s="1" t="s">
        <v>6733</v>
      </c>
      <c r="U2660" s="1" t="s">
        <v>43271</v>
      </c>
      <c r="V2660" s="1">
        <v>9833545101</v>
      </c>
      <c r="W2660" s="1" t="s">
        <v>541</v>
      </c>
      <c r="X2660" s="1" t="s">
        <v>43272</v>
      </c>
      <c r="Y2660" s="1" t="s">
        <v>1012</v>
      </c>
      <c r="Z2660" s="1" t="s">
        <v>97</v>
      </c>
      <c r="AA2660" s="1" t="s">
        <v>43272</v>
      </c>
      <c r="AB2660" s="1" t="s">
        <v>1012</v>
      </c>
      <c r="AC2660" s="1" t="s">
        <v>97</v>
      </c>
      <c r="AD2660" s="1">
        <v>0.0</v>
      </c>
      <c r="AE2660" s="1" t="s">
        <v>98</v>
      </c>
      <c r="AF2660" s="1" t="s">
        <v>43273</v>
      </c>
      <c r="AG2660" s="1" t="s">
        <v>3052</v>
      </c>
      <c r="AH2660" s="1" t="s">
        <v>167</v>
      </c>
      <c r="AI2660" s="1" t="s">
        <v>200</v>
      </c>
      <c r="AJ2660" s="1">
        <v>76.8</v>
      </c>
      <c r="AK2660" s="1">
        <v>0</v>
      </c>
      <c r="AL2660" s="1"/>
      <c r="AM2660" s="1"/>
      <c r="AN2660" s="1"/>
      <c r="AO2660" s="1"/>
      <c r="AP2660" s="1"/>
      <c r="AQ2660" s="1"/>
      <c r="AR2660" s="1"/>
      <c r="AS2660" s="1" t="s">
        <v>103</v>
      </c>
      <c r="AT2660" s="1" t="s">
        <v>43274</v>
      </c>
      <c r="AU2660" s="1" t="s">
        <v>388</v>
      </c>
      <c r="AV2660" s="1" t="s">
        <v>977</v>
      </c>
      <c r="AW2660" s="1">
        <v>70.68</v>
      </c>
      <c r="AX2660" s="1">
        <v>0</v>
      </c>
      <c r="AY2660" s="1" t="s">
        <v>258</v>
      </c>
      <c r="AZ2660" s="1" t="s">
        <v>43275</v>
      </c>
      <c r="BA2660" s="1"/>
      <c r="BB2660" s="1"/>
      <c r="BC2660" s="1" t="s">
        <v>1040</v>
      </c>
      <c r="BD2660" s="1" t="s">
        <v>1242</v>
      </c>
      <c r="BE2660" s="1">
        <v>67.18</v>
      </c>
      <c r="BF2660" s="1">
        <v>7.54</v>
      </c>
      <c r="BG2660" s="1"/>
      <c r="BH2660" s="1"/>
      <c r="BI2660" s="1"/>
      <c r="BJ2660" s="1"/>
      <c r="BK2660" s="1"/>
      <c r="BL2660" s="1"/>
      <c r="BM2660" s="1"/>
      <c r="BN2660" s="1"/>
      <c r="BO2660" s="1" t="s">
        <v>1826</v>
      </c>
      <c r="BP2660" s="1" t="s">
        <v>43276</v>
      </c>
      <c r="BQ2660" s="1" t="s">
        <v>3404</v>
      </c>
      <c r="BR2660" s="1" t="s">
        <v>43277</v>
      </c>
      <c r="BS2660" s="1">
        <v>14</v>
      </c>
      <c r="BT2660" s="1" t="s">
        <v>43278</v>
      </c>
      <c r="BU2660" s="1" t="str">
        <f>HYPERLINK("https://nconnect.nicmar.ac.in/storage/profile/ProfilePhoto_P25701101_637518.jpg","Download")</f>
        <v>0</v>
      </c>
      <c r="BV2660" s="3"/>
      <c r="BW2660" s="3"/>
    </row>
    <row r="2661" spans="1:75">
      <c r="A2661" s="1" t="s">
        <v>40794</v>
      </c>
      <c r="B2661" s="1" t="s">
        <v>446</v>
      </c>
      <c r="C2661" s="1" t="s">
        <v>43279</v>
      </c>
      <c r="D2661" s="1" t="s">
        <v>3666</v>
      </c>
      <c r="E2661" s="1" t="s">
        <v>7638</v>
      </c>
      <c r="F2661" s="1" t="s">
        <v>43280</v>
      </c>
      <c r="G2661" s="1" t="s">
        <v>43281</v>
      </c>
      <c r="H2661" s="1" t="s">
        <v>43282</v>
      </c>
      <c r="I2661" s="1" t="s">
        <v>43283</v>
      </c>
      <c r="J2661" s="1">
        <v>7218656369</v>
      </c>
      <c r="K2661" s="1" t="s">
        <v>84</v>
      </c>
      <c r="L2661" s="1" t="s">
        <v>43284</v>
      </c>
      <c r="M2661" s="1" t="s">
        <v>86</v>
      </c>
      <c r="N2661" s="1" t="s">
        <v>43285</v>
      </c>
      <c r="O2661" s="1" t="s">
        <v>43286</v>
      </c>
      <c r="P2661" s="1" t="s">
        <v>1028</v>
      </c>
      <c r="Q2661" s="1" t="s">
        <v>43287</v>
      </c>
      <c r="R2661" s="1" t="s">
        <v>43288</v>
      </c>
      <c r="S2661" s="1">
        <v>9922404837</v>
      </c>
      <c r="T2661" s="1" t="s">
        <v>839</v>
      </c>
      <c r="U2661" s="1" t="s">
        <v>43289</v>
      </c>
      <c r="V2661" s="1">
        <v>8669241127</v>
      </c>
      <c r="W2661" s="1" t="s">
        <v>278</v>
      </c>
      <c r="X2661" s="1" t="s">
        <v>43290</v>
      </c>
      <c r="Y2661" s="1" t="s">
        <v>196</v>
      </c>
      <c r="Z2661" s="1" t="s">
        <v>97</v>
      </c>
      <c r="AA2661" s="1" t="s">
        <v>43290</v>
      </c>
      <c r="AB2661" s="1" t="s">
        <v>196</v>
      </c>
      <c r="AC2661" s="1" t="s">
        <v>97</v>
      </c>
      <c r="AD2661" s="1">
        <v>7.42</v>
      </c>
      <c r="AE2661" s="1" t="s">
        <v>98</v>
      </c>
      <c r="AF2661" s="1" t="s">
        <v>43291</v>
      </c>
      <c r="AG2661" s="1" t="s">
        <v>3658</v>
      </c>
      <c r="AH2661" s="1" t="s">
        <v>102</v>
      </c>
      <c r="AI2661" s="1" t="s">
        <v>1111</v>
      </c>
      <c r="AJ2661" s="1">
        <v>80.6</v>
      </c>
      <c r="AK2661" s="1">
        <v>0</v>
      </c>
      <c r="AL2661" s="1" t="s">
        <v>43292</v>
      </c>
      <c r="AM2661" s="1" t="s">
        <v>3658</v>
      </c>
      <c r="AN2661" s="1"/>
      <c r="AO2661" s="1" t="s">
        <v>139</v>
      </c>
      <c r="AP2661" s="1" t="s">
        <v>171</v>
      </c>
      <c r="AQ2661" s="1">
        <v>61.23</v>
      </c>
      <c r="AR2661" s="1">
        <v>0</v>
      </c>
      <c r="AS2661" s="1"/>
      <c r="AT2661" s="1"/>
      <c r="AU2661" s="1"/>
      <c r="AV2661" s="1"/>
      <c r="AW2661" s="1"/>
      <c r="AX2661" s="1"/>
      <c r="AY2661" s="1" t="s">
        <v>366</v>
      </c>
      <c r="AZ2661" s="1" t="s">
        <v>43293</v>
      </c>
      <c r="BA2661" s="1"/>
      <c r="BB2661" s="1"/>
      <c r="BC2661" s="1" t="s">
        <v>106</v>
      </c>
      <c r="BD2661" s="1" t="s">
        <v>579</v>
      </c>
      <c r="BE2661" s="1">
        <v>79.36</v>
      </c>
      <c r="BF2661" s="1">
        <v>8.68</v>
      </c>
      <c r="BG2661" s="1"/>
      <c r="BH2661" s="1"/>
      <c r="BI2661" s="1"/>
      <c r="BJ2661" s="1"/>
      <c r="BK2661" s="1"/>
      <c r="BL2661" s="1"/>
      <c r="BM2661" s="1"/>
      <c r="BN2661" s="1"/>
      <c r="BO2661" s="1" t="s">
        <v>43294</v>
      </c>
      <c r="BP2661" s="1" t="s">
        <v>43295</v>
      </c>
      <c r="BQ2661" s="1" t="s">
        <v>4149</v>
      </c>
      <c r="BR2661" s="1" t="s">
        <v>43296</v>
      </c>
      <c r="BS2661" s="1">
        <v>29</v>
      </c>
      <c r="BT2661" s="1" t="s">
        <v>43297</v>
      </c>
      <c r="BU2661" s="1" t="str">
        <f>HYPERLINK("https://nconnect.nicmar.ac.in/storage/profile/ProfilePhoto_P25701102_496235.jpg","Download")</f>
        <v>0</v>
      </c>
      <c r="BV2661" s="3"/>
      <c r="BW2661" s="3"/>
    </row>
    <row r="2662" spans="1:75">
      <c r="A2662" s="1" t="s">
        <v>40794</v>
      </c>
      <c r="B2662" s="1" t="s">
        <v>446</v>
      </c>
      <c r="C2662" s="1" t="s">
        <v>43298</v>
      </c>
      <c r="D2662" s="1" t="s">
        <v>43299</v>
      </c>
      <c r="E2662" s="1"/>
      <c r="F2662" s="1" t="s">
        <v>9336</v>
      </c>
      <c r="G2662" s="1" t="s">
        <v>43300</v>
      </c>
      <c r="H2662" s="1" t="s">
        <v>43301</v>
      </c>
      <c r="I2662" s="1" t="s">
        <v>43302</v>
      </c>
      <c r="J2662" s="1">
        <v>8075609422</v>
      </c>
      <c r="K2662" s="1" t="s">
        <v>153</v>
      </c>
      <c r="L2662" s="1" t="s">
        <v>6141</v>
      </c>
      <c r="M2662" s="1" t="s">
        <v>86</v>
      </c>
      <c r="N2662" s="1" t="s">
        <v>43303</v>
      </c>
      <c r="O2662" s="1"/>
      <c r="P2662" s="1" t="s">
        <v>507</v>
      </c>
      <c r="Q2662" s="1" t="s">
        <v>43304</v>
      </c>
      <c r="R2662" s="1" t="s">
        <v>43305</v>
      </c>
      <c r="S2662" s="1">
        <v>9895392174</v>
      </c>
      <c r="T2662" s="1" t="s">
        <v>43306</v>
      </c>
      <c r="U2662" s="1" t="s">
        <v>43307</v>
      </c>
      <c r="V2662" s="1">
        <v>9497780012</v>
      </c>
      <c r="W2662" s="1" t="s">
        <v>43308</v>
      </c>
      <c r="X2662" s="1" t="s">
        <v>43309</v>
      </c>
      <c r="Y2662" s="1" t="s">
        <v>5313</v>
      </c>
      <c r="Z2662" s="1" t="s">
        <v>130</v>
      </c>
      <c r="AA2662" s="1" t="s">
        <v>43309</v>
      </c>
      <c r="AB2662" s="1" t="s">
        <v>5313</v>
      </c>
      <c r="AC2662" s="1" t="s">
        <v>130</v>
      </c>
      <c r="AD2662" s="1">
        <v>8.79</v>
      </c>
      <c r="AE2662" s="1" t="s">
        <v>98</v>
      </c>
      <c r="AF2662" s="1" t="s">
        <v>43310</v>
      </c>
      <c r="AG2662" s="1" t="s">
        <v>42379</v>
      </c>
      <c r="AH2662" s="1" t="s">
        <v>848</v>
      </c>
      <c r="AI2662" s="1" t="s">
        <v>313</v>
      </c>
      <c r="AJ2662" s="1">
        <v>93.8</v>
      </c>
      <c r="AK2662" s="1"/>
      <c r="AL2662" s="1" t="s">
        <v>43311</v>
      </c>
      <c r="AM2662" s="1" t="s">
        <v>42379</v>
      </c>
      <c r="AN2662" s="1"/>
      <c r="AO2662" s="1" t="s">
        <v>468</v>
      </c>
      <c r="AP2662" s="1" t="s">
        <v>549</v>
      </c>
      <c r="AQ2662" s="1">
        <v>94.2</v>
      </c>
      <c r="AR2662" s="1"/>
      <c r="AS2662" s="1"/>
      <c r="AT2662" s="1"/>
      <c r="AU2662" s="1"/>
      <c r="AV2662" s="1"/>
      <c r="AW2662" s="1"/>
      <c r="AX2662" s="1"/>
      <c r="AY2662" s="1" t="s">
        <v>137</v>
      </c>
      <c r="AZ2662" s="1" t="s">
        <v>43312</v>
      </c>
      <c r="BA2662" s="1"/>
      <c r="BB2662" s="1"/>
      <c r="BC2662" s="1" t="s">
        <v>140</v>
      </c>
      <c r="BD2662" s="1" t="s">
        <v>607</v>
      </c>
      <c r="BE2662" s="1">
        <v>81</v>
      </c>
      <c r="BF2662" s="1">
        <v>8.1</v>
      </c>
      <c r="BG2662" s="1"/>
      <c r="BH2662" s="1"/>
      <c r="BI2662" s="1"/>
      <c r="BJ2662" s="1"/>
      <c r="BK2662" s="1"/>
      <c r="BL2662" s="1"/>
      <c r="BM2662" s="1"/>
      <c r="BN2662" s="1"/>
      <c r="BO2662" s="1" t="s">
        <v>369</v>
      </c>
      <c r="BP2662" s="1"/>
      <c r="BQ2662" s="1"/>
      <c r="BR2662" s="1" t="s">
        <v>43313</v>
      </c>
      <c r="BS2662" s="1">
        <v>14</v>
      </c>
      <c r="BT2662" s="1"/>
      <c r="BU2662" s="1" t="str">
        <f>HYPERLINK("https://nconnect.nicmar.ac.in/storage/profile/ProfilePhoto_P25701106_756483.jpg","Download")</f>
        <v>0</v>
      </c>
      <c r="BV2662" s="3"/>
      <c r="BW2662" s="3"/>
    </row>
    <row r="2663" spans="1:75">
      <c r="A2663" s="1" t="s">
        <v>40794</v>
      </c>
      <c r="B2663" s="1" t="s">
        <v>446</v>
      </c>
      <c r="C2663" s="1" t="s">
        <v>43314</v>
      </c>
      <c r="D2663" s="1" t="s">
        <v>43315</v>
      </c>
      <c r="E2663" s="1"/>
      <c r="F2663" s="1" t="s">
        <v>3238</v>
      </c>
      <c r="G2663" s="1" t="s">
        <v>43316</v>
      </c>
      <c r="H2663" s="1" t="s">
        <v>43317</v>
      </c>
      <c r="I2663" s="1" t="s">
        <v>43318</v>
      </c>
      <c r="J2663" s="1">
        <v>8075544038</v>
      </c>
      <c r="K2663" s="1" t="s">
        <v>153</v>
      </c>
      <c r="L2663" s="1" t="s">
        <v>16388</v>
      </c>
      <c r="M2663" s="1" t="s">
        <v>86</v>
      </c>
      <c r="N2663" s="1" t="s">
        <v>1300</v>
      </c>
      <c r="O2663" s="1"/>
      <c r="P2663" s="1" t="s">
        <v>481</v>
      </c>
      <c r="Q2663" s="1" t="s">
        <v>43319</v>
      </c>
      <c r="R2663" s="1" t="s">
        <v>43320</v>
      </c>
      <c r="S2663" s="1">
        <v>9497002922</v>
      </c>
      <c r="T2663" s="1" t="s">
        <v>43321</v>
      </c>
      <c r="U2663" s="1" t="s">
        <v>43322</v>
      </c>
      <c r="V2663" s="1">
        <v>9497002921</v>
      </c>
      <c r="W2663" s="1" t="s">
        <v>43323</v>
      </c>
      <c r="X2663" s="1" t="s">
        <v>43324</v>
      </c>
      <c r="Y2663" s="1" t="s">
        <v>3190</v>
      </c>
      <c r="Z2663" s="1" t="s">
        <v>130</v>
      </c>
      <c r="AA2663" s="1" t="s">
        <v>43324</v>
      </c>
      <c r="AB2663" s="1" t="s">
        <v>3190</v>
      </c>
      <c r="AC2663" s="1" t="s">
        <v>130</v>
      </c>
      <c r="AD2663" s="1">
        <v>8.42</v>
      </c>
      <c r="AE2663" s="1" t="s">
        <v>98</v>
      </c>
      <c r="AF2663" s="1" t="s">
        <v>43325</v>
      </c>
      <c r="AG2663" s="1" t="s">
        <v>3155</v>
      </c>
      <c r="AH2663" s="1" t="s">
        <v>106</v>
      </c>
      <c r="AI2663" s="1" t="s">
        <v>313</v>
      </c>
      <c r="AJ2663" s="1">
        <v>94</v>
      </c>
      <c r="AK2663" s="1"/>
      <c r="AL2663" s="1" t="s">
        <v>43325</v>
      </c>
      <c r="AM2663" s="1" t="s">
        <v>3155</v>
      </c>
      <c r="AN2663" s="1" t="s">
        <v>575</v>
      </c>
      <c r="AO2663" s="1" t="s">
        <v>468</v>
      </c>
      <c r="AP2663" s="1" t="s">
        <v>549</v>
      </c>
      <c r="AQ2663" s="1">
        <v>91.8</v>
      </c>
      <c r="AR2663" s="1"/>
      <c r="AS2663" s="1"/>
      <c r="AT2663" s="1"/>
      <c r="AU2663" s="1"/>
      <c r="AV2663" s="1"/>
      <c r="AW2663" s="1"/>
      <c r="AX2663" s="1"/>
      <c r="AY2663" s="1" t="s">
        <v>137</v>
      </c>
      <c r="AZ2663" s="1" t="s">
        <v>43326</v>
      </c>
      <c r="BA2663" s="1" t="s">
        <v>466</v>
      </c>
      <c r="BB2663" s="1" t="s">
        <v>467</v>
      </c>
      <c r="BC2663" s="1" t="s">
        <v>140</v>
      </c>
      <c r="BD2663" s="1" t="s">
        <v>607</v>
      </c>
      <c r="BE2663" s="1">
        <v>79</v>
      </c>
      <c r="BF2663" s="1">
        <v>7.9</v>
      </c>
      <c r="BG2663" s="1"/>
      <c r="BH2663" s="1"/>
      <c r="BI2663" s="1"/>
      <c r="BJ2663" s="1"/>
      <c r="BK2663" s="1"/>
      <c r="BL2663" s="1"/>
      <c r="BM2663" s="1"/>
      <c r="BN2663" s="1"/>
      <c r="BO2663" s="1" t="s">
        <v>43327</v>
      </c>
      <c r="BP2663" s="1"/>
      <c r="BQ2663" s="1"/>
      <c r="BR2663" s="1" t="s">
        <v>43328</v>
      </c>
      <c r="BS2663" s="1">
        <v>15</v>
      </c>
      <c r="BT2663" s="1"/>
      <c r="BU2663" s="1" t="str">
        <f>HYPERLINK("https://nconnect.nicmar.ac.in/storage/profile/ProfilePhoto_P25701107_574683.jpg","Download")</f>
        <v>0</v>
      </c>
      <c r="BV2663" s="3"/>
      <c r="BW2663" s="4">
        <v>1</v>
      </c>
    </row>
    <row r="2664" spans="1:75">
      <c r="A2664" s="1" t="s">
        <v>40794</v>
      </c>
      <c r="B2664" s="1" t="s">
        <v>446</v>
      </c>
      <c r="C2664" s="1" t="s">
        <v>43329</v>
      </c>
      <c r="D2664" s="1" t="s">
        <v>43330</v>
      </c>
      <c r="E2664" s="1"/>
      <c r="F2664" s="1" t="s">
        <v>8253</v>
      </c>
      <c r="G2664" s="1" t="s">
        <v>43331</v>
      </c>
      <c r="H2664" s="1" t="s">
        <v>43332</v>
      </c>
      <c r="I2664" s="1" t="s">
        <v>43333</v>
      </c>
      <c r="J2664" s="1">
        <v>9032895270</v>
      </c>
      <c r="K2664" s="1" t="s">
        <v>153</v>
      </c>
      <c r="L2664" s="1" t="s">
        <v>43334</v>
      </c>
      <c r="M2664" s="1" t="s">
        <v>86</v>
      </c>
      <c r="N2664" s="1" t="s">
        <v>43335</v>
      </c>
      <c r="O2664" s="1" t="s">
        <v>43336</v>
      </c>
      <c r="P2664" s="1" t="s">
        <v>122</v>
      </c>
      <c r="Q2664" s="1" t="s">
        <v>43337</v>
      </c>
      <c r="R2664" s="1" t="s">
        <v>43338</v>
      </c>
      <c r="S2664" s="1">
        <v>9849296415</v>
      </c>
      <c r="T2664" s="1" t="s">
        <v>645</v>
      </c>
      <c r="U2664" s="1" t="s">
        <v>43339</v>
      </c>
      <c r="V2664" s="1">
        <v>7207850120</v>
      </c>
      <c r="W2664" s="1" t="s">
        <v>94</v>
      </c>
      <c r="X2664" s="1" t="s">
        <v>43340</v>
      </c>
      <c r="Y2664" s="1" t="s">
        <v>3031</v>
      </c>
      <c r="Z2664" s="1" t="s">
        <v>461</v>
      </c>
      <c r="AA2664" s="1" t="s">
        <v>43340</v>
      </c>
      <c r="AB2664" s="1" t="s">
        <v>3031</v>
      </c>
      <c r="AC2664" s="1" t="s">
        <v>461</v>
      </c>
      <c r="AD2664" s="1">
        <v>9.56</v>
      </c>
      <c r="AE2664" s="1" t="s">
        <v>98</v>
      </c>
      <c r="AF2664" s="1" t="s">
        <v>43341</v>
      </c>
      <c r="AG2664" s="1" t="s">
        <v>312</v>
      </c>
      <c r="AH2664" s="1" t="s">
        <v>1111</v>
      </c>
      <c r="AI2664" s="1" t="s">
        <v>573</v>
      </c>
      <c r="AJ2664" s="1">
        <v>93.1</v>
      </c>
      <c r="AK2664" s="1">
        <v>9.8</v>
      </c>
      <c r="AL2664" s="1" t="s">
        <v>43341</v>
      </c>
      <c r="AM2664" s="1" t="s">
        <v>796</v>
      </c>
      <c r="AN2664" s="1" t="s">
        <v>465</v>
      </c>
      <c r="AO2664" s="1" t="s">
        <v>1477</v>
      </c>
      <c r="AP2664" s="1" t="s">
        <v>313</v>
      </c>
      <c r="AQ2664" s="1">
        <v>73.6</v>
      </c>
      <c r="AR2664" s="1">
        <v>7.7</v>
      </c>
      <c r="AS2664" s="1"/>
      <c r="AT2664" s="1"/>
      <c r="AU2664" s="1"/>
      <c r="AV2664" s="1"/>
      <c r="AW2664" s="1"/>
      <c r="AX2664" s="1"/>
      <c r="AY2664" s="1" t="s">
        <v>36446</v>
      </c>
      <c r="AZ2664" s="1" t="s">
        <v>36446</v>
      </c>
      <c r="BA2664" s="1" t="s">
        <v>682</v>
      </c>
      <c r="BB2664" s="1" t="s">
        <v>1479</v>
      </c>
      <c r="BC2664" s="1" t="s">
        <v>315</v>
      </c>
      <c r="BD2664" s="1" t="s">
        <v>1268</v>
      </c>
      <c r="BE2664" s="1">
        <v>85.01</v>
      </c>
      <c r="BF2664" s="1">
        <v>8.5</v>
      </c>
      <c r="BG2664" s="1"/>
      <c r="BH2664" s="1"/>
      <c r="BI2664" s="1"/>
      <c r="BJ2664" s="1"/>
      <c r="BK2664" s="1"/>
      <c r="BL2664" s="1"/>
      <c r="BM2664" s="1"/>
      <c r="BN2664" s="1"/>
      <c r="BO2664" s="1" t="s">
        <v>43342</v>
      </c>
      <c r="BP2664" s="1"/>
      <c r="BQ2664" s="1"/>
      <c r="BR2664" s="1" t="s">
        <v>43343</v>
      </c>
      <c r="BS2664" s="1">
        <v>102</v>
      </c>
      <c r="BT2664" s="1" t="s">
        <v>43344</v>
      </c>
      <c r="BU2664" s="1" t="str">
        <f>HYPERLINK("https://nconnect.nicmar.ac.in/storage/profile/ProfilePhoto_P25701108_691235.jpg","Download")</f>
        <v>0</v>
      </c>
      <c r="BV2664" s="3"/>
      <c r="BW2664" s="3"/>
    </row>
    <row r="2665" spans="1:75">
      <c r="A2665" s="1" t="s">
        <v>40794</v>
      </c>
      <c r="B2665" s="1" t="s">
        <v>446</v>
      </c>
      <c r="C2665" s="1" t="s">
        <v>43345</v>
      </c>
      <c r="D2665" s="1" t="s">
        <v>13616</v>
      </c>
      <c r="E2665" s="1" t="s">
        <v>4646</v>
      </c>
      <c r="F2665" s="1" t="s">
        <v>43346</v>
      </c>
      <c r="G2665" s="1" t="s">
        <v>43347</v>
      </c>
      <c r="H2665" s="1" t="s">
        <v>43348</v>
      </c>
      <c r="I2665" s="1" t="s">
        <v>43349</v>
      </c>
      <c r="J2665" s="1">
        <v>9175848577</v>
      </c>
      <c r="K2665" s="1" t="s">
        <v>153</v>
      </c>
      <c r="L2665" s="1" t="s">
        <v>7710</v>
      </c>
      <c r="M2665" s="1" t="s">
        <v>86</v>
      </c>
      <c r="N2665" s="1" t="s">
        <v>13162</v>
      </c>
      <c r="O2665" s="1"/>
      <c r="P2665" s="1" t="s">
        <v>507</v>
      </c>
      <c r="Q2665" s="1" t="s">
        <v>43350</v>
      </c>
      <c r="R2665" s="1" t="s">
        <v>4646</v>
      </c>
      <c r="S2665" s="1">
        <v>9850432962</v>
      </c>
      <c r="T2665" s="1" t="s">
        <v>6733</v>
      </c>
      <c r="U2665" s="1" t="s">
        <v>43351</v>
      </c>
      <c r="V2665" s="1">
        <v>9860304093</v>
      </c>
      <c r="W2665" s="1" t="s">
        <v>161</v>
      </c>
      <c r="X2665" s="1" t="s">
        <v>43352</v>
      </c>
      <c r="Y2665" s="1" t="s">
        <v>196</v>
      </c>
      <c r="Z2665" s="1" t="s">
        <v>97</v>
      </c>
      <c r="AA2665" s="1" t="s">
        <v>43352</v>
      </c>
      <c r="AB2665" s="1" t="s">
        <v>196</v>
      </c>
      <c r="AC2665" s="1" t="s">
        <v>97</v>
      </c>
      <c r="AD2665" s="1">
        <v>8.79</v>
      </c>
      <c r="AE2665" s="1" t="s">
        <v>98</v>
      </c>
      <c r="AF2665" s="1" t="s">
        <v>11912</v>
      </c>
      <c r="AG2665" s="1" t="s">
        <v>43353</v>
      </c>
      <c r="AH2665" s="1" t="s">
        <v>106</v>
      </c>
      <c r="AI2665" s="1" t="s">
        <v>414</v>
      </c>
      <c r="AJ2665" s="1">
        <v>85</v>
      </c>
      <c r="AK2665" s="1">
        <v>0</v>
      </c>
      <c r="AL2665" s="1" t="s">
        <v>10987</v>
      </c>
      <c r="AM2665" s="1" t="s">
        <v>202</v>
      </c>
      <c r="AN2665" s="1" t="s">
        <v>465</v>
      </c>
      <c r="AO2665" s="1" t="s">
        <v>315</v>
      </c>
      <c r="AP2665" s="1" t="s">
        <v>1192</v>
      </c>
      <c r="AQ2665" s="1">
        <v>89</v>
      </c>
      <c r="AR2665" s="1">
        <v>0</v>
      </c>
      <c r="AS2665" s="1"/>
      <c r="AT2665" s="1"/>
      <c r="AU2665" s="1"/>
      <c r="AV2665" s="1"/>
      <c r="AW2665" s="1"/>
      <c r="AX2665" s="1"/>
      <c r="AY2665" s="1" t="s">
        <v>31572</v>
      </c>
      <c r="AZ2665" s="1" t="s">
        <v>43354</v>
      </c>
      <c r="BA2665" s="1" t="s">
        <v>466</v>
      </c>
      <c r="BB2665" s="1" t="s">
        <v>467</v>
      </c>
      <c r="BC2665" s="1" t="s">
        <v>441</v>
      </c>
      <c r="BD2665" s="1" t="s">
        <v>553</v>
      </c>
      <c r="BE2665" s="1">
        <v>73.15</v>
      </c>
      <c r="BF2665" s="1">
        <v>7.92</v>
      </c>
      <c r="BG2665" s="1"/>
      <c r="BH2665" s="1"/>
      <c r="BI2665" s="1"/>
      <c r="BJ2665" s="1"/>
      <c r="BK2665" s="1"/>
      <c r="BL2665" s="1"/>
      <c r="BM2665" s="1"/>
      <c r="BN2665" s="1"/>
      <c r="BO2665" s="1" t="s">
        <v>43355</v>
      </c>
      <c r="BP2665" s="1"/>
      <c r="BQ2665" s="1"/>
      <c r="BR2665" s="1" t="s">
        <v>43356</v>
      </c>
      <c r="BS2665" s="1">
        <v>94</v>
      </c>
      <c r="BT2665" s="1"/>
      <c r="BU2665" s="1" t="str">
        <f>HYPERLINK("https://nconnect.nicmar.ac.in/storage/profile/ProfilePhoto_P25701109_872635.jpg","Download")</f>
        <v>0</v>
      </c>
      <c r="BV2665" s="3"/>
      <c r="BW2665" s="3"/>
    </row>
    <row r="2666" spans="1:75">
      <c r="A2666" s="1" t="s">
        <v>40794</v>
      </c>
      <c r="B2666" s="1" t="s">
        <v>446</v>
      </c>
      <c r="C2666" s="1" t="s">
        <v>43357</v>
      </c>
      <c r="D2666" s="1" t="s">
        <v>9208</v>
      </c>
      <c r="E2666" s="1" t="s">
        <v>43358</v>
      </c>
      <c r="F2666" s="1" t="s">
        <v>3667</v>
      </c>
      <c r="G2666" s="1" t="s">
        <v>43359</v>
      </c>
      <c r="H2666" s="1" t="s">
        <v>43360</v>
      </c>
      <c r="I2666" s="1" t="s">
        <v>43361</v>
      </c>
      <c r="J2666" s="1">
        <v>9892289489</v>
      </c>
      <c r="K2666" s="1" t="s">
        <v>153</v>
      </c>
      <c r="L2666" s="1" t="s">
        <v>5689</v>
      </c>
      <c r="M2666" s="1" t="s">
        <v>86</v>
      </c>
      <c r="N2666" s="1" t="s">
        <v>1184</v>
      </c>
      <c r="O2666" s="1"/>
      <c r="P2666" s="1" t="s">
        <v>1028</v>
      </c>
      <c r="Q2666" s="1" t="s">
        <v>43362</v>
      </c>
      <c r="R2666" s="1" t="s">
        <v>43363</v>
      </c>
      <c r="S2666" s="1">
        <v>9284816870</v>
      </c>
      <c r="T2666" s="1" t="s">
        <v>645</v>
      </c>
      <c r="U2666" s="1" t="s">
        <v>43364</v>
      </c>
      <c r="V2666" s="1">
        <v>7020503464</v>
      </c>
      <c r="W2666" s="1" t="s">
        <v>161</v>
      </c>
      <c r="X2666" s="1" t="s">
        <v>43365</v>
      </c>
      <c r="Y2666" s="1" t="s">
        <v>1189</v>
      </c>
      <c r="Z2666" s="1" t="s">
        <v>97</v>
      </c>
      <c r="AA2666" s="1" t="s">
        <v>43365</v>
      </c>
      <c r="AB2666" s="1" t="s">
        <v>1189</v>
      </c>
      <c r="AC2666" s="1" t="s">
        <v>97</v>
      </c>
      <c r="AD2666" s="1">
        <v>9.7</v>
      </c>
      <c r="AE2666" s="1" t="s">
        <v>98</v>
      </c>
      <c r="AF2666" s="1" t="s">
        <v>43366</v>
      </c>
      <c r="AG2666" s="1" t="s">
        <v>629</v>
      </c>
      <c r="AH2666" s="1" t="s">
        <v>286</v>
      </c>
      <c r="AI2666" s="1" t="s">
        <v>414</v>
      </c>
      <c r="AJ2666" s="1">
        <v>85.2</v>
      </c>
      <c r="AK2666" s="1"/>
      <c r="AL2666" s="1" t="s">
        <v>43367</v>
      </c>
      <c r="AM2666" s="1" t="s">
        <v>629</v>
      </c>
      <c r="AN2666" s="1"/>
      <c r="AO2666" s="1" t="s">
        <v>468</v>
      </c>
      <c r="AP2666" s="1" t="s">
        <v>847</v>
      </c>
      <c r="AQ2666" s="1">
        <v>88</v>
      </c>
      <c r="AR2666" s="1"/>
      <c r="AS2666" s="1"/>
      <c r="AT2666" s="1"/>
      <c r="AU2666" s="1"/>
      <c r="AV2666" s="1"/>
      <c r="AW2666" s="1"/>
      <c r="AX2666" s="1"/>
      <c r="AY2666" s="1" t="s">
        <v>258</v>
      </c>
      <c r="AZ2666" s="1" t="s">
        <v>43368</v>
      </c>
      <c r="BA2666" s="1"/>
      <c r="BB2666" s="1"/>
      <c r="BC2666" s="1" t="s">
        <v>871</v>
      </c>
      <c r="BD2666" s="1" t="s">
        <v>848</v>
      </c>
      <c r="BE2666" s="1">
        <v>74.4</v>
      </c>
      <c r="BF2666" s="1">
        <v>8.19</v>
      </c>
      <c r="BG2666" s="1"/>
      <c r="BH2666" s="1"/>
      <c r="BI2666" s="1"/>
      <c r="BJ2666" s="1"/>
      <c r="BK2666" s="1"/>
      <c r="BL2666" s="1"/>
      <c r="BM2666" s="1"/>
      <c r="BN2666" s="1"/>
      <c r="BO2666" s="1" t="s">
        <v>43369</v>
      </c>
      <c r="BP2666" s="1"/>
      <c r="BQ2666" s="1"/>
      <c r="BR2666" s="1" t="s">
        <v>43370</v>
      </c>
      <c r="BS2666" s="1">
        <v>13</v>
      </c>
      <c r="BT2666" s="1"/>
      <c r="BU2666" s="1" t="str">
        <f>HYPERLINK("https://nconnect.nicmar.ac.in/storage/profile/ProfilePhoto_P25701110_927538.jpg","Download")</f>
        <v>0</v>
      </c>
      <c r="BV2666" s="3"/>
      <c r="BW2666" s="3"/>
    </row>
    <row r="2667" spans="1:75">
      <c r="A2667" s="1" t="s">
        <v>40794</v>
      </c>
      <c r="B2667" s="1" t="s">
        <v>446</v>
      </c>
      <c r="C2667" s="1" t="s">
        <v>43371</v>
      </c>
      <c r="D2667" s="1" t="s">
        <v>43372</v>
      </c>
      <c r="E2667" s="1" t="s">
        <v>2405</v>
      </c>
      <c r="F2667" s="1" t="s">
        <v>1179</v>
      </c>
      <c r="G2667" s="1" t="s">
        <v>43373</v>
      </c>
      <c r="H2667" s="1" t="s">
        <v>43374</v>
      </c>
      <c r="I2667" s="1" t="s">
        <v>43375</v>
      </c>
      <c r="J2667" s="1">
        <v>9082014027</v>
      </c>
      <c r="K2667" s="1" t="s">
        <v>153</v>
      </c>
      <c r="L2667" s="1" t="s">
        <v>2314</v>
      </c>
      <c r="M2667" s="1" t="s">
        <v>86</v>
      </c>
      <c r="N2667" s="1" t="s">
        <v>2433</v>
      </c>
      <c r="O2667" s="1"/>
      <c r="P2667" s="1" t="s">
        <v>455</v>
      </c>
      <c r="Q2667" s="1" t="s">
        <v>43376</v>
      </c>
      <c r="R2667" s="1" t="s">
        <v>43377</v>
      </c>
      <c r="S2667" s="1">
        <v>9967435701</v>
      </c>
      <c r="T2667" s="1" t="s">
        <v>6971</v>
      </c>
      <c r="U2667" s="1" t="s">
        <v>43378</v>
      </c>
      <c r="V2667" s="1">
        <v>9967435703</v>
      </c>
      <c r="W2667" s="1" t="s">
        <v>94</v>
      </c>
      <c r="X2667" s="1" t="s">
        <v>43379</v>
      </c>
      <c r="Y2667" s="1" t="s">
        <v>2259</v>
      </c>
      <c r="Z2667" s="1" t="s">
        <v>97</v>
      </c>
      <c r="AA2667" s="1" t="s">
        <v>43379</v>
      </c>
      <c r="AB2667" s="1" t="s">
        <v>2259</v>
      </c>
      <c r="AC2667" s="1" t="s">
        <v>97</v>
      </c>
      <c r="AD2667" s="1">
        <v>9.81</v>
      </c>
      <c r="AE2667" s="1" t="s">
        <v>98</v>
      </c>
      <c r="AF2667" s="1" t="s">
        <v>43380</v>
      </c>
      <c r="AG2667" s="1" t="s">
        <v>165</v>
      </c>
      <c r="AH2667" s="1" t="s">
        <v>167</v>
      </c>
      <c r="AI2667" s="1" t="s">
        <v>200</v>
      </c>
      <c r="AJ2667" s="1">
        <v>92.8</v>
      </c>
      <c r="AK2667" s="1"/>
      <c r="AL2667" s="1" t="s">
        <v>43381</v>
      </c>
      <c r="AM2667" s="1" t="s">
        <v>165</v>
      </c>
      <c r="AN2667" s="1" t="s">
        <v>465</v>
      </c>
      <c r="AO2667" s="1" t="s">
        <v>106</v>
      </c>
      <c r="AP2667" s="1" t="s">
        <v>203</v>
      </c>
      <c r="AQ2667" s="1">
        <v>80.31</v>
      </c>
      <c r="AR2667" s="1"/>
      <c r="AS2667" s="1"/>
      <c r="AT2667" s="1"/>
      <c r="AU2667" s="1"/>
      <c r="AV2667" s="1"/>
      <c r="AW2667" s="1"/>
      <c r="AX2667" s="1"/>
      <c r="AY2667" s="1" t="s">
        <v>43382</v>
      </c>
      <c r="AZ2667" s="1" t="s">
        <v>43383</v>
      </c>
      <c r="BA2667" s="1" t="s">
        <v>682</v>
      </c>
      <c r="BB2667" s="1" t="s">
        <v>1561</v>
      </c>
      <c r="BC2667" s="1" t="s">
        <v>438</v>
      </c>
      <c r="BD2667" s="1" t="s">
        <v>1089</v>
      </c>
      <c r="BE2667" s="1">
        <v>69.28</v>
      </c>
      <c r="BF2667" s="1"/>
      <c r="BG2667" s="1"/>
      <c r="BH2667" s="1"/>
      <c r="BI2667" s="1"/>
      <c r="BJ2667" s="1"/>
      <c r="BK2667" s="1"/>
      <c r="BL2667" s="1"/>
      <c r="BM2667" s="1"/>
      <c r="BN2667" s="1"/>
      <c r="BO2667" s="1" t="s">
        <v>43384</v>
      </c>
      <c r="BP2667" s="1" t="s">
        <v>43385</v>
      </c>
      <c r="BQ2667" s="1" t="s">
        <v>471</v>
      </c>
      <c r="BR2667" s="1" t="s">
        <v>43386</v>
      </c>
      <c r="BS2667" s="1">
        <v>21</v>
      </c>
      <c r="BT2667" s="1"/>
      <c r="BU2667" s="1" t="str">
        <f>HYPERLINK("https://nconnect.nicmar.ac.in/storage/profile/ProfilePhoto_P25701111_263478.jpg","Download")</f>
        <v>0</v>
      </c>
      <c r="BV2667" s="3"/>
      <c r="BW2667" s="3"/>
    </row>
    <row r="2668" spans="1:75">
      <c r="A2668" s="1" t="s">
        <v>40794</v>
      </c>
      <c r="B2668" s="1" t="s">
        <v>446</v>
      </c>
      <c r="C2668" s="1" t="s">
        <v>43387</v>
      </c>
      <c r="D2668" s="1" t="s">
        <v>422</v>
      </c>
      <c r="E2668" s="1" t="s">
        <v>7759</v>
      </c>
      <c r="F2668" s="1" t="s">
        <v>4019</v>
      </c>
      <c r="G2668" s="1" t="s">
        <v>43388</v>
      </c>
      <c r="H2668" s="1" t="s">
        <v>43389</v>
      </c>
      <c r="I2668" s="1" t="s">
        <v>43390</v>
      </c>
      <c r="J2668" s="1">
        <v>9820704906</v>
      </c>
      <c r="K2668" s="1" t="s">
        <v>153</v>
      </c>
      <c r="L2668" s="1" t="s">
        <v>7095</v>
      </c>
      <c r="M2668" s="1" t="s">
        <v>86</v>
      </c>
      <c r="N2668" s="1" t="s">
        <v>12459</v>
      </c>
      <c r="O2668" s="1" t="s">
        <v>43391</v>
      </c>
      <c r="P2668" s="1" t="s">
        <v>481</v>
      </c>
      <c r="Q2668" s="1" t="s">
        <v>43392</v>
      </c>
      <c r="R2668" s="1" t="s">
        <v>7759</v>
      </c>
      <c r="S2668" s="1">
        <v>9820704106</v>
      </c>
      <c r="T2668" s="1" t="s">
        <v>926</v>
      </c>
      <c r="U2668" s="1" t="s">
        <v>43393</v>
      </c>
      <c r="V2668" s="1">
        <v>8879295836</v>
      </c>
      <c r="W2668" s="1" t="s">
        <v>43394</v>
      </c>
      <c r="X2668" s="1" t="s">
        <v>43395</v>
      </c>
      <c r="Y2668" s="1" t="s">
        <v>2259</v>
      </c>
      <c r="Z2668" s="1" t="s">
        <v>97</v>
      </c>
      <c r="AA2668" s="1" t="s">
        <v>43395</v>
      </c>
      <c r="AB2668" s="1" t="s">
        <v>2259</v>
      </c>
      <c r="AC2668" s="1" t="s">
        <v>97</v>
      </c>
      <c r="AD2668" s="1">
        <v>7.93</v>
      </c>
      <c r="AE2668" s="1" t="s">
        <v>98</v>
      </c>
      <c r="AF2668" s="1" t="s">
        <v>43396</v>
      </c>
      <c r="AG2668" s="1" t="s">
        <v>165</v>
      </c>
      <c r="AH2668" s="1" t="s">
        <v>166</v>
      </c>
      <c r="AI2668" s="1" t="s">
        <v>1111</v>
      </c>
      <c r="AJ2668" s="1">
        <v>84</v>
      </c>
      <c r="AK2668" s="1"/>
      <c r="AL2668" s="1" t="s">
        <v>43397</v>
      </c>
      <c r="AM2668" s="1" t="s">
        <v>3658</v>
      </c>
      <c r="AN2668" s="1" t="s">
        <v>465</v>
      </c>
      <c r="AO2668" s="1" t="s">
        <v>170</v>
      </c>
      <c r="AP2668" s="1" t="s">
        <v>1477</v>
      </c>
      <c r="AQ2668" s="1">
        <v>64.77</v>
      </c>
      <c r="AR2668" s="1"/>
      <c r="AS2668" s="1"/>
      <c r="AT2668" s="1"/>
      <c r="AU2668" s="1"/>
      <c r="AV2668" s="1"/>
      <c r="AW2668" s="1"/>
      <c r="AX2668" s="1"/>
      <c r="AY2668" s="1" t="s">
        <v>258</v>
      </c>
      <c r="AZ2668" s="1" t="s">
        <v>43398</v>
      </c>
      <c r="BA2668" s="1" t="s">
        <v>682</v>
      </c>
      <c r="BB2668" s="1" t="s">
        <v>1479</v>
      </c>
      <c r="BC2668" s="1" t="s">
        <v>174</v>
      </c>
      <c r="BD2668" s="1" t="s">
        <v>579</v>
      </c>
      <c r="BE2668" s="1">
        <v>67.57</v>
      </c>
      <c r="BF2668" s="1"/>
      <c r="BG2668" s="1"/>
      <c r="BH2668" s="1"/>
      <c r="BI2668" s="1"/>
      <c r="BJ2668" s="1"/>
      <c r="BK2668" s="1"/>
      <c r="BL2668" s="1"/>
      <c r="BM2668" s="1"/>
      <c r="BN2668" s="1"/>
      <c r="BO2668" s="1" t="s">
        <v>43399</v>
      </c>
      <c r="BP2668" s="1" t="s">
        <v>43400</v>
      </c>
      <c r="BQ2668" s="1" t="s">
        <v>4149</v>
      </c>
      <c r="BR2668" s="1" t="s">
        <v>43401</v>
      </c>
      <c r="BS2668" s="1">
        <v>50</v>
      </c>
      <c r="BT2668" s="1" t="s">
        <v>43402</v>
      </c>
      <c r="BU2668" s="1" t="str">
        <f>HYPERLINK("https://nconnect.nicmar.ac.in/storage/profile/ProfilePhoto_P25701112_923457.jpg","Download")</f>
        <v>0</v>
      </c>
      <c r="BV2668" s="3"/>
      <c r="BW2668" s="3"/>
    </row>
    <row r="2669" spans="1:75">
      <c r="A2669" s="1" t="s">
        <v>40794</v>
      </c>
      <c r="B2669" s="1" t="s">
        <v>446</v>
      </c>
      <c r="C2669" s="1" t="s">
        <v>43403</v>
      </c>
      <c r="D2669" s="1" t="s">
        <v>3160</v>
      </c>
      <c r="E2669" s="1" t="s">
        <v>43404</v>
      </c>
      <c r="F2669" s="1" t="s">
        <v>43405</v>
      </c>
      <c r="G2669" s="1" t="s">
        <v>43406</v>
      </c>
      <c r="H2669" s="1" t="s">
        <v>43407</v>
      </c>
      <c r="I2669" s="1" t="s">
        <v>43408</v>
      </c>
      <c r="J2669" s="1">
        <v>8983922594</v>
      </c>
      <c r="K2669" s="1" t="s">
        <v>153</v>
      </c>
      <c r="L2669" s="1" t="s">
        <v>4789</v>
      </c>
      <c r="M2669" s="1" t="s">
        <v>86</v>
      </c>
      <c r="N2669" s="1" t="s">
        <v>43409</v>
      </c>
      <c r="O2669" s="1"/>
      <c r="P2669" s="1" t="s">
        <v>481</v>
      </c>
      <c r="Q2669" s="1" t="s">
        <v>43410</v>
      </c>
      <c r="R2669" s="1" t="s">
        <v>43404</v>
      </c>
      <c r="S2669" s="1">
        <v>9373247991</v>
      </c>
      <c r="T2669" s="1" t="s">
        <v>15111</v>
      </c>
      <c r="U2669" s="1" t="s">
        <v>43411</v>
      </c>
      <c r="V2669" s="1">
        <v>8767071491</v>
      </c>
      <c r="W2669" s="1" t="s">
        <v>161</v>
      </c>
      <c r="X2669" s="1" t="s">
        <v>43412</v>
      </c>
      <c r="Y2669" s="1" t="s">
        <v>1779</v>
      </c>
      <c r="Z2669" s="1" t="s">
        <v>97</v>
      </c>
      <c r="AA2669" s="1" t="s">
        <v>43412</v>
      </c>
      <c r="AB2669" s="1" t="s">
        <v>1779</v>
      </c>
      <c r="AC2669" s="1" t="s">
        <v>97</v>
      </c>
      <c r="AD2669" s="1">
        <v>7.49</v>
      </c>
      <c r="AE2669" s="1" t="s">
        <v>98</v>
      </c>
      <c r="AF2669" s="1" t="s">
        <v>43413</v>
      </c>
      <c r="AG2669" s="1" t="s">
        <v>43414</v>
      </c>
      <c r="AH2669" s="1" t="s">
        <v>170</v>
      </c>
      <c r="AI2669" s="1" t="s">
        <v>171</v>
      </c>
      <c r="AJ2669" s="1">
        <v>86.4</v>
      </c>
      <c r="AK2669" s="1"/>
      <c r="AL2669" s="1" t="s">
        <v>43415</v>
      </c>
      <c r="AM2669" s="1" t="s">
        <v>43416</v>
      </c>
      <c r="AN2669" s="1" t="s">
        <v>575</v>
      </c>
      <c r="AO2669" s="1" t="s">
        <v>438</v>
      </c>
      <c r="AP2669" s="1" t="s">
        <v>417</v>
      </c>
      <c r="AQ2669" s="1">
        <v>69.38</v>
      </c>
      <c r="AR2669" s="1"/>
      <c r="AS2669" s="1"/>
      <c r="AT2669" s="1"/>
      <c r="AU2669" s="1"/>
      <c r="AV2669" s="1"/>
      <c r="AW2669" s="1"/>
      <c r="AX2669" s="1"/>
      <c r="AY2669" s="1" t="s">
        <v>1906</v>
      </c>
      <c r="AZ2669" s="1" t="s">
        <v>28310</v>
      </c>
      <c r="BA2669" s="1" t="s">
        <v>578</v>
      </c>
      <c r="BB2669" s="1" t="s">
        <v>467</v>
      </c>
      <c r="BC2669" s="1" t="s">
        <v>847</v>
      </c>
      <c r="BD2669" s="1" t="s">
        <v>207</v>
      </c>
      <c r="BE2669" s="1">
        <v>72.62</v>
      </c>
      <c r="BF2669" s="1">
        <v>8.16</v>
      </c>
      <c r="BG2669" s="1"/>
      <c r="BH2669" s="1"/>
      <c r="BI2669" s="1"/>
      <c r="BJ2669" s="1"/>
      <c r="BK2669" s="1"/>
      <c r="BL2669" s="1"/>
      <c r="BM2669" s="1"/>
      <c r="BN2669" s="1"/>
      <c r="BO2669" s="1" t="s">
        <v>43417</v>
      </c>
      <c r="BP2669" s="1" t="s">
        <v>43418</v>
      </c>
      <c r="BQ2669" s="1" t="s">
        <v>9405</v>
      </c>
      <c r="BR2669" s="1" t="s">
        <v>43419</v>
      </c>
      <c r="BS2669" s="1">
        <v>14</v>
      </c>
      <c r="BT2669" s="1" t="s">
        <v>43420</v>
      </c>
      <c r="BU2669" s="1" t="str">
        <f>HYPERLINK("https://nconnect.nicmar.ac.in/storage/profile/ProfilePhoto_P25701113_867329.jpg","Download")</f>
        <v>0</v>
      </c>
      <c r="BV2669" s="3"/>
      <c r="BW2669" s="3"/>
    </row>
    <row r="2670" spans="1:75">
      <c r="A2670" s="1" t="s">
        <v>40794</v>
      </c>
      <c r="B2670" s="1" t="s">
        <v>446</v>
      </c>
      <c r="C2670" s="1" t="s">
        <v>43421</v>
      </c>
      <c r="D2670" s="1" t="s">
        <v>2272</v>
      </c>
      <c r="E2670" s="1" t="s">
        <v>28028</v>
      </c>
      <c r="F2670" s="1" t="s">
        <v>31663</v>
      </c>
      <c r="G2670" s="1" t="s">
        <v>43422</v>
      </c>
      <c r="H2670" s="1" t="s">
        <v>43423</v>
      </c>
      <c r="I2670" s="1" t="s">
        <v>43424</v>
      </c>
      <c r="J2670" s="1">
        <v>9096671532</v>
      </c>
      <c r="K2670" s="1" t="s">
        <v>84</v>
      </c>
      <c r="L2670" s="1" t="s">
        <v>43425</v>
      </c>
      <c r="M2670" s="1" t="s">
        <v>86</v>
      </c>
      <c r="N2670" s="1" t="s">
        <v>2433</v>
      </c>
      <c r="O2670" s="1"/>
      <c r="P2670" s="1" t="s">
        <v>455</v>
      </c>
      <c r="Q2670" s="1" t="s">
        <v>43426</v>
      </c>
      <c r="R2670" s="1" t="s">
        <v>43427</v>
      </c>
      <c r="S2670" s="1">
        <v>8459962221</v>
      </c>
      <c r="T2670" s="1" t="s">
        <v>926</v>
      </c>
      <c r="U2670" s="1" t="s">
        <v>43428</v>
      </c>
      <c r="V2670" s="1">
        <v>9175309590</v>
      </c>
      <c r="W2670" s="1" t="s">
        <v>1257</v>
      </c>
      <c r="X2670" s="1" t="s">
        <v>43429</v>
      </c>
      <c r="Y2670" s="1" t="s">
        <v>96</v>
      </c>
      <c r="Z2670" s="1" t="s">
        <v>97</v>
      </c>
      <c r="AA2670" s="1" t="s">
        <v>43429</v>
      </c>
      <c r="AB2670" s="1" t="s">
        <v>96</v>
      </c>
      <c r="AC2670" s="1" t="s">
        <v>97</v>
      </c>
      <c r="AD2670" s="1">
        <v>7.81</v>
      </c>
      <c r="AE2670" s="1" t="s">
        <v>98</v>
      </c>
      <c r="AF2670" s="1" t="s">
        <v>31672</v>
      </c>
      <c r="AG2670" s="1" t="s">
        <v>43430</v>
      </c>
      <c r="AH2670" s="1" t="s">
        <v>200</v>
      </c>
      <c r="AI2670" s="1" t="s">
        <v>286</v>
      </c>
      <c r="AJ2670" s="1">
        <v>86</v>
      </c>
      <c r="AK2670" s="1"/>
      <c r="AL2670" s="1" t="s">
        <v>43431</v>
      </c>
      <c r="AM2670" s="1" t="s">
        <v>43430</v>
      </c>
      <c r="AN2670" s="1" t="s">
        <v>465</v>
      </c>
      <c r="AO2670" s="1" t="s">
        <v>438</v>
      </c>
      <c r="AP2670" s="1" t="s">
        <v>178</v>
      </c>
      <c r="AQ2670" s="1">
        <v>74.92</v>
      </c>
      <c r="AR2670" s="1"/>
      <c r="AS2670" s="1"/>
      <c r="AT2670" s="1"/>
      <c r="AU2670" s="1"/>
      <c r="AV2670" s="1"/>
      <c r="AW2670" s="1"/>
      <c r="AX2670" s="1"/>
      <c r="AY2670" s="1" t="s">
        <v>19882</v>
      </c>
      <c r="AZ2670" s="1" t="s">
        <v>43432</v>
      </c>
      <c r="BA2670" s="1" t="s">
        <v>466</v>
      </c>
      <c r="BB2670" s="1" t="s">
        <v>39920</v>
      </c>
      <c r="BC2670" s="1" t="s">
        <v>233</v>
      </c>
      <c r="BD2670" s="1" t="s">
        <v>1089</v>
      </c>
      <c r="BE2670" s="1">
        <v>71.7</v>
      </c>
      <c r="BF2670" s="1">
        <v>7.67</v>
      </c>
      <c r="BG2670" s="1"/>
      <c r="BH2670" s="1"/>
      <c r="BI2670" s="1"/>
      <c r="BJ2670" s="1"/>
      <c r="BK2670" s="1"/>
      <c r="BL2670" s="1"/>
      <c r="BM2670" s="1"/>
      <c r="BN2670" s="1"/>
      <c r="BO2670" s="1" t="s">
        <v>43433</v>
      </c>
      <c r="BP2670" s="1" t="s">
        <v>43434</v>
      </c>
      <c r="BQ2670" s="1" t="s">
        <v>471</v>
      </c>
      <c r="BR2670" s="1" t="s">
        <v>43435</v>
      </c>
      <c r="BS2670" s="1">
        <v>30</v>
      </c>
      <c r="BT2670" s="1" t="s">
        <v>43436</v>
      </c>
      <c r="BU2670" s="1" t="str">
        <f>HYPERLINK("https://nconnect.nicmar.ac.in/storage/profile/ProfilePhoto_P25701114_583712.jpg","Download")</f>
        <v>0</v>
      </c>
      <c r="BV2670" s="3"/>
      <c r="BW2670" s="4">
        <v>1</v>
      </c>
    </row>
    <row r="2671" spans="1:75">
      <c r="A2671" s="1" t="s">
        <v>40794</v>
      </c>
      <c r="B2671" s="1" t="s">
        <v>446</v>
      </c>
      <c r="C2671" s="1" t="s">
        <v>43437</v>
      </c>
      <c r="D2671" s="1" t="s">
        <v>3255</v>
      </c>
      <c r="E2671" s="1"/>
      <c r="F2671" s="1" t="s">
        <v>500</v>
      </c>
      <c r="G2671" s="1" t="s">
        <v>43438</v>
      </c>
      <c r="H2671" s="1" t="s">
        <v>43439</v>
      </c>
      <c r="I2671" s="1" t="s">
        <v>43440</v>
      </c>
      <c r="J2671" s="1">
        <v>9946022220</v>
      </c>
      <c r="K2671" s="1" t="s">
        <v>153</v>
      </c>
      <c r="L2671" s="1" t="s">
        <v>25960</v>
      </c>
      <c r="M2671" s="1" t="s">
        <v>86</v>
      </c>
      <c r="N2671" s="1" t="s">
        <v>43441</v>
      </c>
      <c r="O2671" s="1"/>
      <c r="P2671" s="1" t="s">
        <v>455</v>
      </c>
      <c r="Q2671" s="1" t="s">
        <v>43442</v>
      </c>
      <c r="R2671" s="1" t="s">
        <v>43443</v>
      </c>
      <c r="S2671" s="1">
        <v>9447056861</v>
      </c>
      <c r="T2671" s="1" t="s">
        <v>839</v>
      </c>
      <c r="U2671" s="1" t="s">
        <v>43444</v>
      </c>
      <c r="V2671" s="1">
        <v>9495956861</v>
      </c>
      <c r="W2671" s="1" t="s">
        <v>2950</v>
      </c>
      <c r="X2671" s="1" t="s">
        <v>43445</v>
      </c>
      <c r="Y2671" s="1" t="s">
        <v>3190</v>
      </c>
      <c r="Z2671" s="1" t="s">
        <v>130</v>
      </c>
      <c r="AA2671" s="1" t="s">
        <v>43445</v>
      </c>
      <c r="AB2671" s="1" t="s">
        <v>3190</v>
      </c>
      <c r="AC2671" s="1" t="s">
        <v>130</v>
      </c>
      <c r="AD2671" s="1">
        <v>8.21</v>
      </c>
      <c r="AE2671" s="1" t="s">
        <v>98</v>
      </c>
      <c r="AF2671" s="1" t="s">
        <v>43446</v>
      </c>
      <c r="AG2671" s="1" t="s">
        <v>2181</v>
      </c>
      <c r="AH2671" s="1" t="s">
        <v>134</v>
      </c>
      <c r="AI2671" s="1" t="s">
        <v>1214</v>
      </c>
      <c r="AJ2671" s="1">
        <v>91.83</v>
      </c>
      <c r="AK2671" s="1"/>
      <c r="AL2671" s="1" t="s">
        <v>43446</v>
      </c>
      <c r="AM2671" s="1" t="s">
        <v>2181</v>
      </c>
      <c r="AN2671" s="1" t="s">
        <v>465</v>
      </c>
      <c r="AO2671" s="1" t="s">
        <v>136</v>
      </c>
      <c r="AP2671" s="1" t="s">
        <v>627</v>
      </c>
      <c r="AQ2671" s="1">
        <v>89.2</v>
      </c>
      <c r="AR2671" s="1"/>
      <c r="AS2671" s="1"/>
      <c r="AT2671" s="1"/>
      <c r="AU2671" s="1"/>
      <c r="AV2671" s="1"/>
      <c r="AW2671" s="1"/>
      <c r="AX2671" s="1"/>
      <c r="AY2671" s="1" t="s">
        <v>137</v>
      </c>
      <c r="AZ2671" s="1" t="s">
        <v>43447</v>
      </c>
      <c r="BA2671" s="1" t="s">
        <v>682</v>
      </c>
      <c r="BB2671" s="1" t="s">
        <v>1479</v>
      </c>
      <c r="BC2671" s="1" t="s">
        <v>1396</v>
      </c>
      <c r="BD2671" s="1" t="s">
        <v>847</v>
      </c>
      <c r="BE2671" s="1">
        <v>68.25</v>
      </c>
      <c r="BF2671" s="1">
        <v>7.22</v>
      </c>
      <c r="BG2671" s="1"/>
      <c r="BH2671" s="1"/>
      <c r="BI2671" s="1"/>
      <c r="BJ2671" s="1"/>
      <c r="BK2671" s="1"/>
      <c r="BL2671" s="1"/>
      <c r="BM2671" s="1"/>
      <c r="BN2671" s="1"/>
      <c r="BO2671" s="1" t="s">
        <v>43448</v>
      </c>
      <c r="BP2671" s="1" t="s">
        <v>43449</v>
      </c>
      <c r="BQ2671" s="1" t="s">
        <v>19293</v>
      </c>
      <c r="BR2671" s="1" t="s">
        <v>43450</v>
      </c>
      <c r="BS2671" s="1">
        <v>32</v>
      </c>
      <c r="BT2671" s="1"/>
      <c r="BU2671" s="1" t="str">
        <f>HYPERLINK("https://nconnect.nicmar.ac.in/storage/profile/ProfilePhoto_P25701115_284369.jpg","Download")</f>
        <v>0</v>
      </c>
      <c r="BV2671" s="3"/>
      <c r="BW2671" s="3"/>
    </row>
    <row r="2672" spans="1:75">
      <c r="A2672" s="1" t="s">
        <v>40794</v>
      </c>
      <c r="B2672" s="1" t="s">
        <v>446</v>
      </c>
      <c r="C2672" s="1" t="s">
        <v>43451</v>
      </c>
      <c r="D2672" s="1" t="s">
        <v>43452</v>
      </c>
      <c r="E2672" s="1" t="s">
        <v>30088</v>
      </c>
      <c r="F2672" s="1" t="s">
        <v>43453</v>
      </c>
      <c r="G2672" s="1" t="s">
        <v>43454</v>
      </c>
      <c r="H2672" s="1" t="s">
        <v>43455</v>
      </c>
      <c r="I2672" s="1" t="s">
        <v>43456</v>
      </c>
      <c r="J2672" s="1">
        <v>8855054441</v>
      </c>
      <c r="K2672" s="1" t="s">
        <v>153</v>
      </c>
      <c r="L2672" s="1" t="s">
        <v>3567</v>
      </c>
      <c r="M2672" s="1" t="s">
        <v>86</v>
      </c>
      <c r="N2672" s="1" t="s">
        <v>43457</v>
      </c>
      <c r="O2672" s="1"/>
      <c r="P2672" s="1" t="s">
        <v>507</v>
      </c>
      <c r="Q2672" s="1" t="s">
        <v>43458</v>
      </c>
      <c r="R2672" s="1" t="s">
        <v>43459</v>
      </c>
      <c r="S2672" s="1">
        <v>9422569447</v>
      </c>
      <c r="T2672" s="1" t="s">
        <v>645</v>
      </c>
      <c r="U2672" s="1" t="s">
        <v>43460</v>
      </c>
      <c r="V2672" s="1">
        <v>9823782374</v>
      </c>
      <c r="W2672" s="1" t="s">
        <v>127</v>
      </c>
      <c r="X2672" s="1" t="s">
        <v>43461</v>
      </c>
      <c r="Y2672" s="1" t="s">
        <v>196</v>
      </c>
      <c r="Z2672" s="1" t="s">
        <v>97</v>
      </c>
      <c r="AA2672" s="1" t="s">
        <v>43461</v>
      </c>
      <c r="AB2672" s="1" t="s">
        <v>196</v>
      </c>
      <c r="AC2672" s="1" t="s">
        <v>97</v>
      </c>
      <c r="AD2672" s="1">
        <v>7.65</v>
      </c>
      <c r="AE2672" s="1" t="s">
        <v>98</v>
      </c>
      <c r="AF2672" s="1" t="s">
        <v>34037</v>
      </c>
      <c r="AG2672" s="1" t="s">
        <v>43462</v>
      </c>
      <c r="AH2672" s="1" t="s">
        <v>200</v>
      </c>
      <c r="AI2672" s="1" t="s">
        <v>286</v>
      </c>
      <c r="AJ2672" s="1">
        <v>76</v>
      </c>
      <c r="AK2672" s="1"/>
      <c r="AL2672" s="1" t="s">
        <v>43463</v>
      </c>
      <c r="AM2672" s="1" t="s">
        <v>43462</v>
      </c>
      <c r="AN2672" s="1"/>
      <c r="AO2672" s="1" t="s">
        <v>203</v>
      </c>
      <c r="AP2672" s="1" t="s">
        <v>365</v>
      </c>
      <c r="AQ2672" s="1">
        <v>60</v>
      </c>
      <c r="AR2672" s="1"/>
      <c r="AS2672" s="1"/>
      <c r="AT2672" s="1"/>
      <c r="AU2672" s="1"/>
      <c r="AV2672" s="1"/>
      <c r="AW2672" s="1"/>
      <c r="AX2672" s="1"/>
      <c r="AY2672" s="1" t="s">
        <v>43464</v>
      </c>
      <c r="AZ2672" s="1" t="s">
        <v>43462</v>
      </c>
      <c r="BA2672" s="1"/>
      <c r="BB2672" s="1"/>
      <c r="BC2672" s="1" t="s">
        <v>468</v>
      </c>
      <c r="BD2672" s="1" t="s">
        <v>848</v>
      </c>
      <c r="BE2672" s="1">
        <v>60.4</v>
      </c>
      <c r="BF2672" s="1">
        <v>6.79</v>
      </c>
      <c r="BG2672" s="1"/>
      <c r="BH2672" s="1"/>
      <c r="BI2672" s="1"/>
      <c r="BJ2672" s="1"/>
      <c r="BK2672" s="1"/>
      <c r="BL2672" s="1"/>
      <c r="BM2672" s="1"/>
      <c r="BN2672" s="1"/>
      <c r="BO2672" s="1" t="s">
        <v>43465</v>
      </c>
      <c r="BP2672" s="1"/>
      <c r="BQ2672" s="1"/>
      <c r="BR2672" s="1" t="s">
        <v>43466</v>
      </c>
      <c r="BS2672" s="1">
        <v>19</v>
      </c>
      <c r="BT2672" s="1"/>
      <c r="BU2672" s="1" t="str">
        <f>HYPERLINK("https://nconnect.nicmar.ac.in/storage/profile/ProfilePhoto_P25701116_873219.jpg","Download")</f>
        <v>0</v>
      </c>
      <c r="BV2672" s="3"/>
      <c r="BW2672" s="3"/>
    </row>
    <row r="2673" spans="1:75">
      <c r="A2673" s="1" t="s">
        <v>40794</v>
      </c>
      <c r="B2673" s="1" t="s">
        <v>446</v>
      </c>
      <c r="C2673" s="1" t="s">
        <v>43467</v>
      </c>
      <c r="D2673" s="1" t="s">
        <v>1319</v>
      </c>
      <c r="E2673" s="1" t="s">
        <v>27362</v>
      </c>
      <c r="F2673" s="1" t="s">
        <v>43468</v>
      </c>
      <c r="G2673" s="1" t="s">
        <v>43469</v>
      </c>
      <c r="H2673" s="1" t="s">
        <v>43470</v>
      </c>
      <c r="I2673" s="1" t="s">
        <v>43471</v>
      </c>
      <c r="J2673" s="1">
        <v>8788412691</v>
      </c>
      <c r="K2673" s="1" t="s">
        <v>84</v>
      </c>
      <c r="L2673" s="1" t="s">
        <v>19225</v>
      </c>
      <c r="M2673" s="1" t="s">
        <v>86</v>
      </c>
      <c r="N2673" s="1" t="s">
        <v>38198</v>
      </c>
      <c r="O2673" s="1"/>
      <c r="P2673" s="1" t="s">
        <v>481</v>
      </c>
      <c r="Q2673" s="1" t="s">
        <v>43472</v>
      </c>
      <c r="R2673" s="1" t="s">
        <v>27362</v>
      </c>
      <c r="S2673" s="1">
        <v>8788410175</v>
      </c>
      <c r="T2673" s="1" t="s">
        <v>159</v>
      </c>
      <c r="U2673" s="1" t="s">
        <v>43473</v>
      </c>
      <c r="V2673" s="1">
        <v>8830240742</v>
      </c>
      <c r="W2673" s="1" t="s">
        <v>161</v>
      </c>
      <c r="X2673" s="1" t="s">
        <v>43474</v>
      </c>
      <c r="Y2673" s="1" t="s">
        <v>196</v>
      </c>
      <c r="Z2673" s="1" t="s">
        <v>97</v>
      </c>
      <c r="AA2673" s="1" t="s">
        <v>43475</v>
      </c>
      <c r="AB2673" s="1" t="s">
        <v>1779</v>
      </c>
      <c r="AC2673" s="1" t="s">
        <v>97</v>
      </c>
      <c r="AD2673" s="1" t="s">
        <v>98</v>
      </c>
      <c r="AE2673" s="1" t="s">
        <v>98</v>
      </c>
      <c r="AF2673" s="1" t="s">
        <v>43476</v>
      </c>
      <c r="AG2673" s="1" t="s">
        <v>3052</v>
      </c>
      <c r="AH2673" s="1" t="s">
        <v>167</v>
      </c>
      <c r="AI2673" s="1" t="s">
        <v>170</v>
      </c>
      <c r="AJ2673" s="1">
        <v>69</v>
      </c>
      <c r="AK2673" s="1">
        <v>7.26</v>
      </c>
      <c r="AL2673" s="1"/>
      <c r="AM2673" s="1"/>
      <c r="AN2673" s="1"/>
      <c r="AO2673" s="1"/>
      <c r="AP2673" s="1"/>
      <c r="AQ2673" s="1"/>
      <c r="AR2673" s="1"/>
      <c r="AS2673" s="1" t="s">
        <v>439</v>
      </c>
      <c r="AT2673" s="1" t="s">
        <v>43477</v>
      </c>
      <c r="AU2673" s="1" t="s">
        <v>230</v>
      </c>
      <c r="AV2673" s="1" t="s">
        <v>175</v>
      </c>
      <c r="AW2673" s="1">
        <v>75.95</v>
      </c>
      <c r="AX2673" s="1"/>
      <c r="AY2673" s="1" t="s">
        <v>40877</v>
      </c>
      <c r="AZ2673" s="1" t="s">
        <v>43478</v>
      </c>
      <c r="BA2673" s="1"/>
      <c r="BB2673" s="1"/>
      <c r="BC2673" s="1" t="s">
        <v>603</v>
      </c>
      <c r="BD2673" s="1" t="s">
        <v>179</v>
      </c>
      <c r="BE2673" s="1">
        <v>73</v>
      </c>
      <c r="BF2673" s="1">
        <v>7.69</v>
      </c>
      <c r="BG2673" s="1"/>
      <c r="BH2673" s="1"/>
      <c r="BI2673" s="1"/>
      <c r="BJ2673" s="1"/>
      <c r="BK2673" s="1"/>
      <c r="BL2673" s="1"/>
      <c r="BM2673" s="1"/>
      <c r="BN2673" s="1"/>
      <c r="BO2673" s="1" t="s">
        <v>43479</v>
      </c>
      <c r="BP2673" s="1"/>
      <c r="BQ2673" s="1"/>
      <c r="BR2673" s="1"/>
      <c r="BS2673" s="1"/>
      <c r="BT2673" s="1"/>
      <c r="BU2673" s="1" t="str">
        <f>HYPERLINK("https://nconnect.nicmar.ac.in/storage/profile/ProfilePhoto_P25701117_619824.jpg","Download")</f>
        <v>0</v>
      </c>
      <c r="BV2673" s="3"/>
      <c r="BW2673" s="3"/>
    </row>
    <row r="2674" spans="1:75">
      <c r="A2674" s="1" t="s">
        <v>40794</v>
      </c>
      <c r="B2674" s="1" t="s">
        <v>446</v>
      </c>
      <c r="C2674" s="1" t="s">
        <v>43480</v>
      </c>
      <c r="D2674" s="1" t="s">
        <v>43481</v>
      </c>
      <c r="E2674" s="1"/>
      <c r="F2674" s="1" t="s">
        <v>1380</v>
      </c>
      <c r="G2674" s="1" t="s">
        <v>43482</v>
      </c>
      <c r="H2674" s="1" t="s">
        <v>43483</v>
      </c>
      <c r="I2674" s="1" t="s">
        <v>43484</v>
      </c>
      <c r="J2674" s="1">
        <v>8250495051</v>
      </c>
      <c r="K2674" s="1" t="s">
        <v>84</v>
      </c>
      <c r="L2674" s="1" t="s">
        <v>2811</v>
      </c>
      <c r="M2674" s="1" t="s">
        <v>86</v>
      </c>
      <c r="N2674" s="1" t="s">
        <v>43485</v>
      </c>
      <c r="O2674" s="1"/>
      <c r="P2674" s="1" t="s">
        <v>507</v>
      </c>
      <c r="Q2674" s="1" t="s">
        <v>43486</v>
      </c>
      <c r="R2674" s="1" t="s">
        <v>43487</v>
      </c>
      <c r="S2674" s="1">
        <v>9775056818</v>
      </c>
      <c r="T2674" s="1" t="s">
        <v>43488</v>
      </c>
      <c r="U2674" s="1" t="s">
        <v>43489</v>
      </c>
      <c r="V2674" s="1">
        <v>7001637715</v>
      </c>
      <c r="W2674" s="1" t="s">
        <v>541</v>
      </c>
      <c r="X2674" s="1" t="s">
        <v>43490</v>
      </c>
      <c r="Y2674" s="1" t="s">
        <v>2818</v>
      </c>
      <c r="Z2674" s="1" t="s">
        <v>1234</v>
      </c>
      <c r="AA2674" s="1" t="s">
        <v>43490</v>
      </c>
      <c r="AB2674" s="1" t="s">
        <v>2818</v>
      </c>
      <c r="AC2674" s="1" t="s">
        <v>1234</v>
      </c>
      <c r="AD2674" s="1">
        <v>8.58</v>
      </c>
      <c r="AE2674" s="1" t="s">
        <v>98</v>
      </c>
      <c r="AF2674" s="1" t="s">
        <v>43491</v>
      </c>
      <c r="AG2674" s="1" t="s">
        <v>775</v>
      </c>
      <c r="AH2674" s="1" t="s">
        <v>1262</v>
      </c>
      <c r="AI2674" s="1" t="s">
        <v>136</v>
      </c>
      <c r="AJ2674" s="1">
        <v>83.6</v>
      </c>
      <c r="AK2674" s="1">
        <v>8.8</v>
      </c>
      <c r="AL2674" s="1" t="s">
        <v>43492</v>
      </c>
      <c r="AM2674" s="1" t="s">
        <v>775</v>
      </c>
      <c r="AN2674" s="1" t="s">
        <v>575</v>
      </c>
      <c r="AO2674" s="1" t="s">
        <v>4231</v>
      </c>
      <c r="AP2674" s="1" t="s">
        <v>573</v>
      </c>
      <c r="AQ2674" s="1">
        <v>63</v>
      </c>
      <c r="AR2674" s="1"/>
      <c r="AS2674" s="1"/>
      <c r="AT2674" s="1"/>
      <c r="AU2674" s="1"/>
      <c r="AV2674" s="1"/>
      <c r="AW2674" s="1"/>
      <c r="AX2674" s="1"/>
      <c r="AY2674" s="1" t="s">
        <v>3625</v>
      </c>
      <c r="AZ2674" s="1" t="s">
        <v>43493</v>
      </c>
      <c r="BA2674" s="1" t="s">
        <v>682</v>
      </c>
      <c r="BB2674" s="1" t="s">
        <v>1561</v>
      </c>
      <c r="BC2674" s="1" t="s">
        <v>230</v>
      </c>
      <c r="BD2674" s="1" t="s">
        <v>289</v>
      </c>
      <c r="BE2674" s="1">
        <v>73</v>
      </c>
      <c r="BF2674" s="1">
        <v>8.05</v>
      </c>
      <c r="BG2674" s="1"/>
      <c r="BH2674" s="1"/>
      <c r="BI2674" s="1"/>
      <c r="BJ2674" s="1"/>
      <c r="BK2674" s="1"/>
      <c r="BL2674" s="1"/>
      <c r="BM2674" s="1"/>
      <c r="BN2674" s="1"/>
      <c r="BO2674" s="1" t="s">
        <v>43494</v>
      </c>
      <c r="BP2674" s="1" t="s">
        <v>43495</v>
      </c>
      <c r="BQ2674" s="1" t="s">
        <v>345</v>
      </c>
      <c r="BR2674" s="1" t="s">
        <v>43496</v>
      </c>
      <c r="BS2674" s="1">
        <v>35</v>
      </c>
      <c r="BT2674" s="1" t="s">
        <v>43497</v>
      </c>
      <c r="BU2674" s="1" t="str">
        <f>HYPERLINK("https://nconnect.nicmar.ac.in/storage/profile/ProfilePhoto_P25701118_392456.jpg","Download")</f>
        <v>0</v>
      </c>
      <c r="BV2674" s="3"/>
      <c r="BW2674" s="3"/>
    </row>
    <row r="2675" spans="1:75">
      <c r="A2675" s="1" t="s">
        <v>40794</v>
      </c>
      <c r="B2675" s="1" t="s">
        <v>446</v>
      </c>
      <c r="C2675" s="1" t="s">
        <v>43498</v>
      </c>
      <c r="D2675" s="1" t="s">
        <v>43499</v>
      </c>
      <c r="E2675" s="1" t="s">
        <v>5073</v>
      </c>
      <c r="F2675" s="1" t="s">
        <v>43500</v>
      </c>
      <c r="G2675" s="1" t="s">
        <v>43501</v>
      </c>
      <c r="H2675" s="1" t="s">
        <v>43502</v>
      </c>
      <c r="I2675" s="1" t="s">
        <v>43503</v>
      </c>
      <c r="J2675" s="1">
        <v>8484829112</v>
      </c>
      <c r="K2675" s="1" t="s">
        <v>84</v>
      </c>
      <c r="L2675" s="1" t="s">
        <v>2520</v>
      </c>
      <c r="M2675" s="1" t="s">
        <v>86</v>
      </c>
      <c r="N2675" s="1" t="s">
        <v>3500</v>
      </c>
      <c r="O2675" s="1"/>
      <c r="P2675" s="1" t="s">
        <v>507</v>
      </c>
      <c r="Q2675" s="1" t="s">
        <v>43504</v>
      </c>
      <c r="R2675" s="1" t="s">
        <v>43505</v>
      </c>
      <c r="S2675" s="1">
        <v>9075079808</v>
      </c>
      <c r="T2675" s="1" t="s">
        <v>4654</v>
      </c>
      <c r="U2675" s="1" t="s">
        <v>43506</v>
      </c>
      <c r="V2675" s="1">
        <v>8999814029</v>
      </c>
      <c r="W2675" s="1" t="s">
        <v>43394</v>
      </c>
      <c r="X2675" s="1" t="s">
        <v>43507</v>
      </c>
      <c r="Y2675" s="1" t="s">
        <v>410</v>
      </c>
      <c r="Z2675" s="1" t="s">
        <v>97</v>
      </c>
      <c r="AA2675" s="1" t="s">
        <v>43507</v>
      </c>
      <c r="AB2675" s="1" t="s">
        <v>410</v>
      </c>
      <c r="AC2675" s="1" t="s">
        <v>97</v>
      </c>
      <c r="AD2675" s="1">
        <v>8.02</v>
      </c>
      <c r="AE2675" s="1" t="s">
        <v>98</v>
      </c>
      <c r="AF2675" s="1" t="s">
        <v>26837</v>
      </c>
      <c r="AG2675" s="1" t="s">
        <v>312</v>
      </c>
      <c r="AH2675" s="1" t="s">
        <v>490</v>
      </c>
      <c r="AI2675" s="1" t="s">
        <v>547</v>
      </c>
      <c r="AJ2675" s="1">
        <v>86.8</v>
      </c>
      <c r="AK2675" s="1"/>
      <c r="AL2675" s="1" t="s">
        <v>43508</v>
      </c>
      <c r="AM2675" s="1" t="s">
        <v>312</v>
      </c>
      <c r="AN2675" s="1" t="s">
        <v>465</v>
      </c>
      <c r="AO2675" s="1" t="s">
        <v>547</v>
      </c>
      <c r="AP2675" s="1" t="s">
        <v>549</v>
      </c>
      <c r="AQ2675" s="1">
        <v>70.4</v>
      </c>
      <c r="AR2675" s="1"/>
      <c r="AS2675" s="1"/>
      <c r="AT2675" s="1"/>
      <c r="AU2675" s="1"/>
      <c r="AV2675" s="1"/>
      <c r="AW2675" s="1"/>
      <c r="AX2675" s="1"/>
      <c r="AY2675" s="1" t="s">
        <v>43509</v>
      </c>
      <c r="AZ2675" s="1" t="s">
        <v>43510</v>
      </c>
      <c r="BA2675" s="1" t="s">
        <v>466</v>
      </c>
      <c r="BB2675" s="1" t="s">
        <v>467</v>
      </c>
      <c r="BC2675" s="1" t="s">
        <v>871</v>
      </c>
      <c r="BD2675" s="1" t="s">
        <v>607</v>
      </c>
      <c r="BE2675" s="1">
        <v>75</v>
      </c>
      <c r="BF2675" s="1">
        <v>7.5</v>
      </c>
      <c r="BG2675" s="1"/>
      <c r="BH2675" s="1"/>
      <c r="BI2675" s="1"/>
      <c r="BJ2675" s="1"/>
      <c r="BK2675" s="1"/>
      <c r="BL2675" s="1"/>
      <c r="BM2675" s="1"/>
      <c r="BN2675" s="1"/>
      <c r="BO2675" s="1" t="s">
        <v>43511</v>
      </c>
      <c r="BP2675" s="1"/>
      <c r="BQ2675" s="1"/>
      <c r="BR2675" s="1" t="s">
        <v>43512</v>
      </c>
      <c r="BS2675" s="1">
        <v>16</v>
      </c>
      <c r="BT2675" s="1" t="s">
        <v>43513</v>
      </c>
      <c r="BU2675" s="1" t="str">
        <f>HYPERLINK("https://nconnect.nicmar.ac.in/storage/profile/ProfilePhoto_P25701119_274135.jpg","Download")</f>
        <v>0</v>
      </c>
      <c r="BV2675" s="3"/>
      <c r="BW2675" s="3"/>
    </row>
    <row r="2676" spans="1:75">
      <c r="A2676" s="1" t="s">
        <v>40794</v>
      </c>
      <c r="B2676" s="1" t="s">
        <v>446</v>
      </c>
      <c r="C2676" s="1" t="s">
        <v>43514</v>
      </c>
      <c r="D2676" s="1" t="s">
        <v>7272</v>
      </c>
      <c r="E2676" s="1" t="s">
        <v>1964</v>
      </c>
      <c r="F2676" s="1" t="s">
        <v>812</v>
      </c>
      <c r="G2676" s="1" t="s">
        <v>43515</v>
      </c>
      <c r="H2676" s="1" t="s">
        <v>43516</v>
      </c>
      <c r="I2676" s="1" t="s">
        <v>43517</v>
      </c>
      <c r="J2676" s="1">
        <v>8248911254</v>
      </c>
      <c r="K2676" s="1" t="s">
        <v>84</v>
      </c>
      <c r="L2676" s="1" t="s">
        <v>43518</v>
      </c>
      <c r="M2676" s="1" t="s">
        <v>86</v>
      </c>
      <c r="N2676" s="1" t="s">
        <v>21965</v>
      </c>
      <c r="O2676" s="1"/>
      <c r="P2676" s="1" t="s">
        <v>670</v>
      </c>
      <c r="Q2676" s="1" t="s">
        <v>43519</v>
      </c>
      <c r="R2676" s="1" t="s">
        <v>43520</v>
      </c>
      <c r="S2676" s="1">
        <v>9842414447</v>
      </c>
      <c r="T2676" s="1" t="s">
        <v>839</v>
      </c>
      <c r="U2676" s="1" t="s">
        <v>43521</v>
      </c>
      <c r="V2676" s="1">
        <v>7695873931</v>
      </c>
      <c r="W2676" s="1" t="s">
        <v>278</v>
      </c>
      <c r="X2676" s="1" t="s">
        <v>43522</v>
      </c>
      <c r="Y2676" s="1" t="s">
        <v>7283</v>
      </c>
      <c r="Z2676" s="1" t="s">
        <v>570</v>
      </c>
      <c r="AA2676" s="1" t="s">
        <v>43522</v>
      </c>
      <c r="AB2676" s="1" t="s">
        <v>7283</v>
      </c>
      <c r="AC2676" s="1" t="s">
        <v>570</v>
      </c>
      <c r="AD2676" s="1">
        <v>8.12</v>
      </c>
      <c r="AE2676" s="1" t="s">
        <v>98</v>
      </c>
      <c r="AF2676" s="1" t="s">
        <v>43523</v>
      </c>
      <c r="AG2676" s="1" t="s">
        <v>8637</v>
      </c>
      <c r="AH2676" s="1" t="s">
        <v>167</v>
      </c>
      <c r="AI2676" s="1" t="s">
        <v>200</v>
      </c>
      <c r="AJ2676" s="1">
        <v>87.8</v>
      </c>
      <c r="AK2676" s="1"/>
      <c r="AL2676" s="1" t="s">
        <v>43524</v>
      </c>
      <c r="AM2676" s="1" t="s">
        <v>8637</v>
      </c>
      <c r="AN2676" s="1" t="s">
        <v>6380</v>
      </c>
      <c r="AO2676" s="1" t="s">
        <v>106</v>
      </c>
      <c r="AP2676" s="1" t="s">
        <v>547</v>
      </c>
      <c r="AQ2676" s="1">
        <v>73.16</v>
      </c>
      <c r="AR2676" s="1"/>
      <c r="AS2676" s="1"/>
      <c r="AT2676" s="1"/>
      <c r="AU2676" s="1"/>
      <c r="AV2676" s="1"/>
      <c r="AW2676" s="1"/>
      <c r="AX2676" s="1"/>
      <c r="AY2676" s="1" t="s">
        <v>576</v>
      </c>
      <c r="AZ2676" s="1" t="s">
        <v>43525</v>
      </c>
      <c r="BA2676" s="1" t="s">
        <v>682</v>
      </c>
      <c r="BB2676" s="1" t="s">
        <v>1561</v>
      </c>
      <c r="BC2676" s="1" t="s">
        <v>206</v>
      </c>
      <c r="BD2676" s="1" t="s">
        <v>1401</v>
      </c>
      <c r="BE2676" s="1">
        <v>69.6</v>
      </c>
      <c r="BF2676" s="1">
        <v>6.96</v>
      </c>
      <c r="BG2676" s="1"/>
      <c r="BH2676" s="1"/>
      <c r="BI2676" s="1"/>
      <c r="BJ2676" s="1"/>
      <c r="BK2676" s="1"/>
      <c r="BL2676" s="1"/>
      <c r="BM2676" s="1"/>
      <c r="BN2676" s="1"/>
      <c r="BO2676" s="1" t="s">
        <v>43526</v>
      </c>
      <c r="BP2676" s="1"/>
      <c r="BQ2676" s="1"/>
      <c r="BR2676" s="1" t="s">
        <v>43527</v>
      </c>
      <c r="BS2676" s="1">
        <v>28</v>
      </c>
      <c r="BT2676" s="1" t="s">
        <v>43528</v>
      </c>
      <c r="BU2676" s="1" t="str">
        <f>HYPERLINK("https://nconnect.nicmar.ac.in/storage/profile/ProfilePhoto_P25701120_461395.jpg","Download")</f>
        <v>0</v>
      </c>
      <c r="BV2676" s="3"/>
      <c r="BW2676" s="3"/>
    </row>
    <row r="2677" spans="1:75">
      <c r="A2677" s="1" t="s">
        <v>40794</v>
      </c>
      <c r="B2677" s="1" t="s">
        <v>446</v>
      </c>
      <c r="C2677" s="1" t="s">
        <v>43529</v>
      </c>
      <c r="D2677" s="1" t="s">
        <v>12265</v>
      </c>
      <c r="E2677" s="1" t="s">
        <v>4966</v>
      </c>
      <c r="F2677" s="1" t="s">
        <v>43530</v>
      </c>
      <c r="G2677" s="1" t="s">
        <v>43531</v>
      </c>
      <c r="H2677" s="1" t="s">
        <v>43532</v>
      </c>
      <c r="I2677" s="1" t="s">
        <v>43533</v>
      </c>
      <c r="J2677" s="1">
        <v>9967731823</v>
      </c>
      <c r="K2677" s="1" t="s">
        <v>84</v>
      </c>
      <c r="L2677" s="1" t="s">
        <v>43534</v>
      </c>
      <c r="M2677" s="1" t="s">
        <v>86</v>
      </c>
      <c r="N2677" s="1" t="s">
        <v>8520</v>
      </c>
      <c r="O2677" s="1"/>
      <c r="P2677" s="1" t="s">
        <v>455</v>
      </c>
      <c r="Q2677" s="1" t="s">
        <v>43535</v>
      </c>
      <c r="R2677" s="1" t="s">
        <v>43536</v>
      </c>
      <c r="S2677" s="1">
        <v>9730899942</v>
      </c>
      <c r="T2677" s="1" t="s">
        <v>645</v>
      </c>
      <c r="U2677" s="1" t="s">
        <v>43537</v>
      </c>
      <c r="V2677" s="1">
        <v>8779004469</v>
      </c>
      <c r="W2677" s="1" t="s">
        <v>645</v>
      </c>
      <c r="X2677" s="1" t="s">
        <v>43538</v>
      </c>
      <c r="Y2677" s="1" t="s">
        <v>1012</v>
      </c>
      <c r="Z2677" s="1" t="s">
        <v>97</v>
      </c>
      <c r="AA2677" s="1" t="s">
        <v>43538</v>
      </c>
      <c r="AB2677" s="1" t="s">
        <v>1012</v>
      </c>
      <c r="AC2677" s="1" t="s">
        <v>97</v>
      </c>
      <c r="AD2677" s="1">
        <v>8.05</v>
      </c>
      <c r="AE2677" s="1" t="s">
        <v>98</v>
      </c>
      <c r="AF2677" s="1" t="s">
        <v>43539</v>
      </c>
      <c r="AG2677" s="1" t="s">
        <v>43540</v>
      </c>
      <c r="AH2677" s="1" t="s">
        <v>1262</v>
      </c>
      <c r="AI2677" s="1" t="s">
        <v>136</v>
      </c>
      <c r="AJ2677" s="1">
        <v>81.16</v>
      </c>
      <c r="AK2677" s="1"/>
      <c r="AL2677" s="1" t="s">
        <v>43541</v>
      </c>
      <c r="AM2677" s="1" t="s">
        <v>3829</v>
      </c>
      <c r="AN2677" s="1"/>
      <c r="AO2677" s="1" t="s">
        <v>517</v>
      </c>
      <c r="AP2677" s="1" t="s">
        <v>518</v>
      </c>
      <c r="AQ2677" s="1">
        <v>74.61</v>
      </c>
      <c r="AR2677" s="1"/>
      <c r="AS2677" s="1"/>
      <c r="AT2677" s="1"/>
      <c r="AU2677" s="1"/>
      <c r="AV2677" s="1"/>
      <c r="AW2677" s="1"/>
      <c r="AX2677" s="1"/>
      <c r="AY2677" s="1" t="s">
        <v>366</v>
      </c>
      <c r="AZ2677" s="1" t="s">
        <v>43542</v>
      </c>
      <c r="BA2677" s="1"/>
      <c r="BB2677" s="1"/>
      <c r="BC2677" s="1" t="s">
        <v>573</v>
      </c>
      <c r="BD2677" s="1" t="s">
        <v>1400</v>
      </c>
      <c r="BE2677" s="1">
        <v>84.86</v>
      </c>
      <c r="BF2677" s="1">
        <v>9.24</v>
      </c>
      <c r="BG2677" s="1"/>
      <c r="BH2677" s="1"/>
      <c r="BI2677" s="1"/>
      <c r="BJ2677" s="1"/>
      <c r="BK2677" s="1"/>
      <c r="BL2677" s="1"/>
      <c r="BM2677" s="1"/>
      <c r="BN2677" s="1"/>
      <c r="BO2677" s="1" t="s">
        <v>43543</v>
      </c>
      <c r="BP2677" s="1" t="s">
        <v>43544</v>
      </c>
      <c r="BQ2677" s="1" t="s">
        <v>6365</v>
      </c>
      <c r="BR2677" s="1" t="s">
        <v>43545</v>
      </c>
      <c r="BS2677" s="1">
        <v>49</v>
      </c>
      <c r="BT2677" s="1"/>
      <c r="BU2677" s="1" t="str">
        <f>HYPERLINK("https://nconnect.nicmar.ac.in/storage/profile/ProfilePhoto_P25701121_753814.jpg","Download")</f>
        <v>0</v>
      </c>
      <c r="BV2677" s="3"/>
      <c r="BW2677" s="3"/>
    </row>
    <row r="2678" spans="1:75">
      <c r="A2678" s="1" t="s">
        <v>40794</v>
      </c>
      <c r="B2678" s="1" t="s">
        <v>446</v>
      </c>
      <c r="C2678" s="1" t="s">
        <v>43546</v>
      </c>
      <c r="D2678" s="1" t="s">
        <v>1787</v>
      </c>
      <c r="E2678" s="1"/>
      <c r="F2678" s="1" t="s">
        <v>3998</v>
      </c>
      <c r="G2678" s="1" t="s">
        <v>43547</v>
      </c>
      <c r="H2678" s="1" t="s">
        <v>43548</v>
      </c>
      <c r="I2678" s="1" t="s">
        <v>43549</v>
      </c>
      <c r="J2678" s="1">
        <v>8660975315</v>
      </c>
      <c r="K2678" s="1" t="s">
        <v>84</v>
      </c>
      <c r="L2678" s="1" t="s">
        <v>2520</v>
      </c>
      <c r="M2678" s="1" t="s">
        <v>86</v>
      </c>
      <c r="N2678" s="1" t="s">
        <v>1203</v>
      </c>
      <c r="O2678" s="1"/>
      <c r="P2678" s="1" t="s">
        <v>2062</v>
      </c>
      <c r="Q2678" s="1" t="s">
        <v>43550</v>
      </c>
      <c r="R2678" s="1" t="s">
        <v>43551</v>
      </c>
      <c r="S2678" s="1">
        <v>9845167495</v>
      </c>
      <c r="T2678" s="1" t="s">
        <v>4693</v>
      </c>
      <c r="U2678" s="1" t="s">
        <v>29391</v>
      </c>
      <c r="V2678" s="1">
        <v>9019924093</v>
      </c>
      <c r="W2678" s="1" t="s">
        <v>94</v>
      </c>
      <c r="X2678" s="1" t="s">
        <v>43552</v>
      </c>
      <c r="Y2678" s="1" t="s">
        <v>3132</v>
      </c>
      <c r="Z2678" s="1" t="s">
        <v>1210</v>
      </c>
      <c r="AA2678" s="1" t="s">
        <v>43552</v>
      </c>
      <c r="AB2678" s="1" t="s">
        <v>3132</v>
      </c>
      <c r="AC2678" s="1" t="s">
        <v>1210</v>
      </c>
      <c r="AD2678" s="1">
        <v>8.19</v>
      </c>
      <c r="AE2678" s="1" t="s">
        <v>98</v>
      </c>
      <c r="AF2678" s="1" t="s">
        <v>43553</v>
      </c>
      <c r="AG2678" s="1" t="s">
        <v>43554</v>
      </c>
      <c r="AH2678" s="1" t="s">
        <v>170</v>
      </c>
      <c r="AI2678" s="1" t="s">
        <v>106</v>
      </c>
      <c r="AJ2678" s="1">
        <v>85.34</v>
      </c>
      <c r="AK2678" s="1"/>
      <c r="AL2678" s="1" t="s">
        <v>43555</v>
      </c>
      <c r="AM2678" s="1" t="s">
        <v>43556</v>
      </c>
      <c r="AN2678" s="1" t="s">
        <v>575</v>
      </c>
      <c r="AO2678" s="1" t="s">
        <v>106</v>
      </c>
      <c r="AP2678" s="1" t="s">
        <v>468</v>
      </c>
      <c r="AQ2678" s="1">
        <v>73.5</v>
      </c>
      <c r="AR2678" s="1"/>
      <c r="AS2678" s="1"/>
      <c r="AT2678" s="1"/>
      <c r="AU2678" s="1"/>
      <c r="AV2678" s="1"/>
      <c r="AW2678" s="1"/>
      <c r="AX2678" s="1"/>
      <c r="AY2678" s="1" t="s">
        <v>1217</v>
      </c>
      <c r="AZ2678" s="1" t="s">
        <v>43557</v>
      </c>
      <c r="BA2678" s="1" t="s">
        <v>578</v>
      </c>
      <c r="BB2678" s="1" t="s">
        <v>23143</v>
      </c>
      <c r="BC2678" s="1" t="s">
        <v>233</v>
      </c>
      <c r="BD2678" s="1" t="s">
        <v>207</v>
      </c>
      <c r="BE2678" s="1">
        <v>69.4</v>
      </c>
      <c r="BF2678" s="1">
        <v>7.69</v>
      </c>
      <c r="BG2678" s="1"/>
      <c r="BH2678" s="1"/>
      <c r="BI2678" s="1"/>
      <c r="BJ2678" s="1"/>
      <c r="BK2678" s="1"/>
      <c r="BL2678" s="1"/>
      <c r="BM2678" s="1"/>
      <c r="BN2678" s="1"/>
      <c r="BO2678" s="1" t="s">
        <v>43558</v>
      </c>
      <c r="BP2678" s="1" t="s">
        <v>43559</v>
      </c>
      <c r="BQ2678" s="1" t="s">
        <v>2116</v>
      </c>
      <c r="BR2678" s="1" t="s">
        <v>43560</v>
      </c>
      <c r="BS2678" s="1">
        <v>30</v>
      </c>
      <c r="BT2678" s="1"/>
      <c r="BU2678" s="1" t="str">
        <f>HYPERLINK("https://nconnect.nicmar.ac.in/storage/profile/ProfilePhoto_P25701122_936541.jpg","Download")</f>
        <v>0</v>
      </c>
      <c r="BV2678" s="3"/>
      <c r="BW2678" s="3"/>
    </row>
    <row r="2679" spans="1:75">
      <c r="A2679" s="1" t="s">
        <v>40794</v>
      </c>
      <c r="B2679" s="1" t="s">
        <v>446</v>
      </c>
      <c r="C2679" s="1" t="s">
        <v>43561</v>
      </c>
      <c r="D2679" s="1" t="s">
        <v>2829</v>
      </c>
      <c r="E2679" s="1" t="s">
        <v>2273</v>
      </c>
      <c r="F2679" s="1" t="s">
        <v>43562</v>
      </c>
      <c r="G2679" s="1" t="s">
        <v>43563</v>
      </c>
      <c r="H2679" s="1" t="s">
        <v>43564</v>
      </c>
      <c r="I2679" s="1" t="s">
        <v>43565</v>
      </c>
      <c r="J2679" s="1">
        <v>8208789217</v>
      </c>
      <c r="K2679" s="1" t="s">
        <v>84</v>
      </c>
      <c r="L2679" s="1" t="s">
        <v>9697</v>
      </c>
      <c r="M2679" s="1" t="s">
        <v>86</v>
      </c>
      <c r="N2679" s="1" t="s">
        <v>13211</v>
      </c>
      <c r="O2679" s="1"/>
      <c r="P2679" s="1" t="s">
        <v>2062</v>
      </c>
      <c r="Q2679" s="1" t="s">
        <v>43566</v>
      </c>
      <c r="R2679" s="1" t="s">
        <v>43567</v>
      </c>
      <c r="S2679" s="1">
        <v>9420304648</v>
      </c>
      <c r="T2679" s="1" t="s">
        <v>127</v>
      </c>
      <c r="U2679" s="1" t="s">
        <v>43568</v>
      </c>
      <c r="V2679" s="1">
        <v>9011395779</v>
      </c>
      <c r="W2679" s="1" t="s">
        <v>9122</v>
      </c>
      <c r="X2679" s="1" t="s">
        <v>43569</v>
      </c>
      <c r="Y2679" s="1" t="s">
        <v>624</v>
      </c>
      <c r="Z2679" s="1" t="s">
        <v>97</v>
      </c>
      <c r="AA2679" s="1" t="s">
        <v>43569</v>
      </c>
      <c r="AB2679" s="1" t="s">
        <v>624</v>
      </c>
      <c r="AC2679" s="1" t="s">
        <v>97</v>
      </c>
      <c r="AD2679" s="1">
        <v>7.6</v>
      </c>
      <c r="AE2679" s="1" t="s">
        <v>98</v>
      </c>
      <c r="AF2679" s="1" t="s">
        <v>43570</v>
      </c>
      <c r="AG2679" s="1" t="s">
        <v>165</v>
      </c>
      <c r="AH2679" s="1" t="s">
        <v>166</v>
      </c>
      <c r="AI2679" s="1" t="s">
        <v>627</v>
      </c>
      <c r="AJ2679" s="1">
        <v>81.4</v>
      </c>
      <c r="AK2679" s="1"/>
      <c r="AL2679" s="1" t="s">
        <v>43571</v>
      </c>
      <c r="AM2679" s="1" t="s">
        <v>165</v>
      </c>
      <c r="AN2679" s="1" t="s">
        <v>465</v>
      </c>
      <c r="AO2679" s="1" t="s">
        <v>170</v>
      </c>
      <c r="AP2679" s="1" t="s">
        <v>490</v>
      </c>
      <c r="AQ2679" s="1">
        <v>60</v>
      </c>
      <c r="AR2679" s="1"/>
      <c r="AS2679" s="1"/>
      <c r="AT2679" s="1"/>
      <c r="AU2679" s="1"/>
      <c r="AV2679" s="1"/>
      <c r="AW2679" s="1"/>
      <c r="AX2679" s="1"/>
      <c r="AY2679" s="1" t="s">
        <v>997</v>
      </c>
      <c r="AZ2679" s="1" t="s">
        <v>43572</v>
      </c>
      <c r="BA2679" s="1" t="s">
        <v>578</v>
      </c>
      <c r="BB2679" s="1" t="s">
        <v>23143</v>
      </c>
      <c r="BC2679" s="1" t="s">
        <v>106</v>
      </c>
      <c r="BD2679" s="1" t="s">
        <v>1400</v>
      </c>
      <c r="BE2679" s="1">
        <v>85.2</v>
      </c>
      <c r="BF2679" s="1">
        <v>9.27</v>
      </c>
      <c r="BG2679" s="1"/>
      <c r="BH2679" s="1"/>
      <c r="BI2679" s="1"/>
      <c r="BJ2679" s="1"/>
      <c r="BK2679" s="1"/>
      <c r="BL2679" s="1"/>
      <c r="BM2679" s="1"/>
      <c r="BN2679" s="1"/>
      <c r="BO2679" s="1" t="s">
        <v>43573</v>
      </c>
      <c r="BP2679" s="1"/>
      <c r="BQ2679" s="1"/>
      <c r="BR2679" s="1" t="s">
        <v>43574</v>
      </c>
      <c r="BS2679" s="1">
        <v>16</v>
      </c>
      <c r="BT2679" s="1" t="s">
        <v>43575</v>
      </c>
      <c r="BU2679" s="1" t="str">
        <f>HYPERLINK("https://nconnect.nicmar.ac.in/storage/profile/ProfilePhoto_P25701123_957821.jpg","Download")</f>
        <v>0</v>
      </c>
      <c r="BV2679" s="3"/>
      <c r="BW2679" s="3"/>
    </row>
    <row r="2680" spans="1:75">
      <c r="A2680" s="1" t="s">
        <v>40794</v>
      </c>
      <c r="B2680" s="1" t="s">
        <v>446</v>
      </c>
      <c r="C2680" s="1" t="s">
        <v>43576</v>
      </c>
      <c r="D2680" s="1" t="s">
        <v>5863</v>
      </c>
      <c r="E2680" s="1"/>
      <c r="F2680" s="1" t="s">
        <v>43577</v>
      </c>
      <c r="G2680" s="1" t="s">
        <v>43578</v>
      </c>
      <c r="H2680" s="1" t="s">
        <v>43579</v>
      </c>
      <c r="I2680" s="1" t="s">
        <v>43580</v>
      </c>
      <c r="J2680" s="1">
        <v>8590312588</v>
      </c>
      <c r="K2680" s="1" t="s">
        <v>84</v>
      </c>
      <c r="L2680" s="1" t="s">
        <v>43581</v>
      </c>
      <c r="M2680" s="1" t="s">
        <v>86</v>
      </c>
      <c r="N2680" s="1" t="s">
        <v>5194</v>
      </c>
      <c r="O2680" s="1" t="s">
        <v>43582</v>
      </c>
      <c r="P2680" s="1" t="s">
        <v>122</v>
      </c>
      <c r="Q2680" s="1" t="s">
        <v>43583</v>
      </c>
      <c r="R2680" s="1" t="s">
        <v>43584</v>
      </c>
      <c r="S2680" s="1">
        <v>9447601528</v>
      </c>
      <c r="T2680" s="1" t="s">
        <v>839</v>
      </c>
      <c r="U2680" s="1" t="s">
        <v>43585</v>
      </c>
      <c r="V2680" s="1">
        <v>9446015158</v>
      </c>
      <c r="W2680" s="1" t="s">
        <v>43586</v>
      </c>
      <c r="X2680" s="1" t="s">
        <v>43587</v>
      </c>
      <c r="Y2680" s="1" t="s">
        <v>2526</v>
      </c>
      <c r="Z2680" s="1" t="s">
        <v>130</v>
      </c>
      <c r="AA2680" s="1" t="s">
        <v>43588</v>
      </c>
      <c r="AB2680" s="1" t="s">
        <v>2526</v>
      </c>
      <c r="AC2680" s="1" t="s">
        <v>130</v>
      </c>
      <c r="AD2680" s="1">
        <v>8.81</v>
      </c>
      <c r="AE2680" s="1" t="s">
        <v>98</v>
      </c>
      <c r="AF2680" s="1" t="s">
        <v>43589</v>
      </c>
      <c r="AG2680" s="1" t="s">
        <v>775</v>
      </c>
      <c r="AH2680" s="1" t="s">
        <v>167</v>
      </c>
      <c r="AI2680" s="1" t="s">
        <v>170</v>
      </c>
      <c r="AJ2680" s="1">
        <v>95</v>
      </c>
      <c r="AK2680" s="1">
        <v>10</v>
      </c>
      <c r="AL2680" s="1" t="s">
        <v>43589</v>
      </c>
      <c r="AM2680" s="1" t="s">
        <v>775</v>
      </c>
      <c r="AN2680" s="1" t="s">
        <v>575</v>
      </c>
      <c r="AO2680" s="1" t="s">
        <v>171</v>
      </c>
      <c r="AP2680" s="1" t="s">
        <v>313</v>
      </c>
      <c r="AQ2680" s="1">
        <v>77</v>
      </c>
      <c r="AR2680" s="1"/>
      <c r="AS2680" s="1"/>
      <c r="AT2680" s="1"/>
      <c r="AU2680" s="1"/>
      <c r="AV2680" s="1"/>
      <c r="AW2680" s="1"/>
      <c r="AX2680" s="1"/>
      <c r="AY2680" s="1" t="s">
        <v>137</v>
      </c>
      <c r="AZ2680" s="1" t="s">
        <v>43590</v>
      </c>
      <c r="BA2680" s="1" t="s">
        <v>466</v>
      </c>
      <c r="BB2680" s="1" t="s">
        <v>467</v>
      </c>
      <c r="BC2680" s="1" t="s">
        <v>890</v>
      </c>
      <c r="BD2680" s="1" t="s">
        <v>1132</v>
      </c>
      <c r="BE2680" s="1">
        <v>71.7</v>
      </c>
      <c r="BF2680" s="1">
        <v>7.17</v>
      </c>
      <c r="BG2680" s="1"/>
      <c r="BH2680" s="1"/>
      <c r="BI2680" s="1"/>
      <c r="BJ2680" s="1"/>
      <c r="BK2680" s="1"/>
      <c r="BL2680" s="1"/>
      <c r="BM2680" s="1"/>
      <c r="BN2680" s="1"/>
      <c r="BO2680" s="1" t="s">
        <v>43591</v>
      </c>
      <c r="BP2680" s="1"/>
      <c r="BQ2680" s="1"/>
      <c r="BR2680" s="1" t="s">
        <v>43592</v>
      </c>
      <c r="BS2680" s="1">
        <v>39</v>
      </c>
      <c r="BT2680" s="1" t="s">
        <v>43593</v>
      </c>
      <c r="BU2680" s="1" t="str">
        <f>HYPERLINK("https://nconnect.nicmar.ac.in/storage/profile/ProfilePhoto_P25701124_429365.jpg","Download")</f>
        <v>0</v>
      </c>
      <c r="BV2680" s="3"/>
      <c r="BW2680" s="4">
        <v>1</v>
      </c>
    </row>
    <row r="2681" spans="1:75">
      <c r="A2681" s="1" t="s">
        <v>40794</v>
      </c>
      <c r="B2681" s="1" t="s">
        <v>446</v>
      </c>
      <c r="C2681" s="1" t="s">
        <v>43594</v>
      </c>
      <c r="D2681" s="1" t="s">
        <v>2991</v>
      </c>
      <c r="E2681" s="1" t="s">
        <v>3042</v>
      </c>
      <c r="F2681" s="1" t="s">
        <v>43595</v>
      </c>
      <c r="G2681" s="1" t="s">
        <v>43596</v>
      </c>
      <c r="H2681" s="1" t="s">
        <v>43597</v>
      </c>
      <c r="I2681" s="1" t="s">
        <v>43598</v>
      </c>
      <c r="J2681" s="1">
        <v>8850501926</v>
      </c>
      <c r="K2681" s="1" t="s">
        <v>153</v>
      </c>
      <c r="L2681" s="1" t="s">
        <v>3124</v>
      </c>
      <c r="M2681" s="1" t="s">
        <v>86</v>
      </c>
      <c r="N2681" s="1" t="s">
        <v>1163</v>
      </c>
      <c r="O2681" s="1"/>
      <c r="P2681" s="1" t="s">
        <v>507</v>
      </c>
      <c r="Q2681" s="1" t="s">
        <v>43599</v>
      </c>
      <c r="R2681" s="1" t="s">
        <v>43600</v>
      </c>
      <c r="S2681" s="1">
        <v>9323194754</v>
      </c>
      <c r="T2681" s="1" t="s">
        <v>645</v>
      </c>
      <c r="U2681" s="1" t="s">
        <v>43601</v>
      </c>
      <c r="V2681" s="1">
        <v>9322609892</v>
      </c>
      <c r="W2681" s="1" t="s">
        <v>645</v>
      </c>
      <c r="X2681" s="1" t="s">
        <v>43602</v>
      </c>
      <c r="Y2681" s="1" t="s">
        <v>1012</v>
      </c>
      <c r="Z2681" s="1" t="s">
        <v>97</v>
      </c>
      <c r="AA2681" s="1" t="s">
        <v>43602</v>
      </c>
      <c r="AB2681" s="1" t="s">
        <v>1012</v>
      </c>
      <c r="AC2681" s="1" t="s">
        <v>97</v>
      </c>
      <c r="AD2681" s="1">
        <v>9.49</v>
      </c>
      <c r="AE2681" s="1" t="s">
        <v>98</v>
      </c>
      <c r="AF2681" s="1" t="s">
        <v>43603</v>
      </c>
      <c r="AG2681" s="1" t="s">
        <v>165</v>
      </c>
      <c r="AH2681" s="1" t="s">
        <v>166</v>
      </c>
      <c r="AI2681" s="1" t="s">
        <v>1111</v>
      </c>
      <c r="AJ2681" s="1">
        <v>74.2</v>
      </c>
      <c r="AK2681" s="1"/>
      <c r="AL2681" s="1" t="s">
        <v>43604</v>
      </c>
      <c r="AM2681" s="1" t="s">
        <v>165</v>
      </c>
      <c r="AN2681" s="1"/>
      <c r="AO2681" s="1" t="s">
        <v>170</v>
      </c>
      <c r="AP2681" s="1" t="s">
        <v>1477</v>
      </c>
      <c r="AQ2681" s="1">
        <v>68.92</v>
      </c>
      <c r="AR2681" s="1"/>
      <c r="AS2681" s="1"/>
      <c r="AT2681" s="1"/>
      <c r="AU2681" s="1"/>
      <c r="AV2681" s="1"/>
      <c r="AW2681" s="1"/>
      <c r="AX2681" s="1"/>
      <c r="AY2681" s="1" t="s">
        <v>680</v>
      </c>
      <c r="AZ2681" s="1" t="s">
        <v>43605</v>
      </c>
      <c r="BA2681" s="1"/>
      <c r="BB2681" s="1"/>
      <c r="BC2681" s="1" t="s">
        <v>106</v>
      </c>
      <c r="BD2681" s="1" t="s">
        <v>579</v>
      </c>
      <c r="BE2681" s="1">
        <v>68.53</v>
      </c>
      <c r="BF2681" s="1"/>
      <c r="BG2681" s="1"/>
      <c r="BH2681" s="1"/>
      <c r="BI2681" s="1"/>
      <c r="BJ2681" s="1"/>
      <c r="BK2681" s="1"/>
      <c r="BL2681" s="1"/>
      <c r="BM2681" s="1"/>
      <c r="BN2681" s="1"/>
      <c r="BO2681" s="1" t="s">
        <v>43606</v>
      </c>
      <c r="BP2681" s="1" t="s">
        <v>43607</v>
      </c>
      <c r="BQ2681" s="1" t="s">
        <v>1564</v>
      </c>
      <c r="BR2681" s="1" t="s">
        <v>43608</v>
      </c>
      <c r="BS2681" s="1">
        <v>24</v>
      </c>
      <c r="BT2681" s="1" t="s">
        <v>43609</v>
      </c>
      <c r="BU2681" s="1" t="str">
        <f>HYPERLINK("https://nconnect.nicmar.ac.in/storage/profile/ProfilePhoto_P25701125_465728.jpg","Download")</f>
        <v>0</v>
      </c>
      <c r="BV2681" s="3"/>
      <c r="BW2681" s="3"/>
    </row>
    <row r="2682" spans="1:75">
      <c r="A2682" s="1" t="s">
        <v>40794</v>
      </c>
      <c r="B2682" s="1" t="s">
        <v>446</v>
      </c>
      <c r="C2682" s="1" t="s">
        <v>43610</v>
      </c>
      <c r="D2682" s="1" t="s">
        <v>673</v>
      </c>
      <c r="E2682" s="1" t="s">
        <v>1020</v>
      </c>
      <c r="F2682" s="1" t="s">
        <v>37107</v>
      </c>
      <c r="G2682" s="1" t="s">
        <v>43611</v>
      </c>
      <c r="H2682" s="1" t="s">
        <v>43612</v>
      </c>
      <c r="I2682" s="1" t="s">
        <v>43613</v>
      </c>
      <c r="J2682" s="1">
        <v>9082686887</v>
      </c>
      <c r="K2682" s="1" t="s">
        <v>153</v>
      </c>
      <c r="L2682" s="1" t="s">
        <v>8563</v>
      </c>
      <c r="M2682" s="1" t="s">
        <v>86</v>
      </c>
      <c r="N2682" s="1" t="s">
        <v>618</v>
      </c>
      <c r="O2682" s="1"/>
      <c r="P2682" s="1" t="s">
        <v>455</v>
      </c>
      <c r="Q2682" s="1" t="s">
        <v>43614</v>
      </c>
      <c r="R2682" s="1" t="s">
        <v>1020</v>
      </c>
      <c r="S2682" s="1">
        <v>9821478286</v>
      </c>
      <c r="T2682" s="1" t="s">
        <v>382</v>
      </c>
      <c r="U2682" s="1" t="s">
        <v>34147</v>
      </c>
      <c r="V2682" s="1">
        <v>9167117909</v>
      </c>
      <c r="W2682" s="1" t="s">
        <v>541</v>
      </c>
      <c r="X2682" s="1" t="s">
        <v>43615</v>
      </c>
      <c r="Y2682" s="1" t="s">
        <v>1882</v>
      </c>
      <c r="Z2682" s="1" t="s">
        <v>97</v>
      </c>
      <c r="AA2682" s="1" t="s">
        <v>43615</v>
      </c>
      <c r="AB2682" s="1" t="s">
        <v>1882</v>
      </c>
      <c r="AC2682" s="1" t="s">
        <v>97</v>
      </c>
      <c r="AD2682" s="1">
        <v>9.79</v>
      </c>
      <c r="AE2682" s="1" t="s">
        <v>98</v>
      </c>
      <c r="AF2682" s="1" t="s">
        <v>43616</v>
      </c>
      <c r="AG2682" s="1" t="s">
        <v>165</v>
      </c>
      <c r="AH2682" s="1" t="s">
        <v>167</v>
      </c>
      <c r="AI2682" s="1" t="s">
        <v>200</v>
      </c>
      <c r="AJ2682" s="1">
        <v>91.2</v>
      </c>
      <c r="AK2682" s="1"/>
      <c r="AL2682" s="1" t="s">
        <v>43617</v>
      </c>
      <c r="AM2682" s="1" t="s">
        <v>165</v>
      </c>
      <c r="AN2682" s="1" t="s">
        <v>465</v>
      </c>
      <c r="AO2682" s="1" t="s">
        <v>106</v>
      </c>
      <c r="AP2682" s="1" t="s">
        <v>203</v>
      </c>
      <c r="AQ2682" s="1">
        <v>73.85</v>
      </c>
      <c r="AR2682" s="1"/>
      <c r="AS2682" s="1"/>
      <c r="AT2682" s="1"/>
      <c r="AU2682" s="1"/>
      <c r="AV2682" s="1"/>
      <c r="AW2682" s="1"/>
      <c r="AX2682" s="1"/>
      <c r="AY2682" s="1" t="s">
        <v>258</v>
      </c>
      <c r="AZ2682" s="1" t="s">
        <v>681</v>
      </c>
      <c r="BA2682" s="1" t="s">
        <v>682</v>
      </c>
      <c r="BB2682" s="1"/>
      <c r="BC2682" s="1" t="s">
        <v>206</v>
      </c>
      <c r="BD2682" s="1" t="s">
        <v>418</v>
      </c>
      <c r="BE2682" s="1">
        <v>74.23</v>
      </c>
      <c r="BF2682" s="1">
        <v>8.41</v>
      </c>
      <c r="BG2682" s="1"/>
      <c r="BH2682" s="1"/>
      <c r="BI2682" s="1"/>
      <c r="BJ2682" s="1"/>
      <c r="BK2682" s="1"/>
      <c r="BL2682" s="1"/>
      <c r="BM2682" s="1"/>
      <c r="BN2682" s="1"/>
      <c r="BO2682" s="1" t="s">
        <v>43618</v>
      </c>
      <c r="BP2682" s="1"/>
      <c r="BQ2682" s="1"/>
      <c r="BR2682" s="1" t="s">
        <v>43619</v>
      </c>
      <c r="BS2682" s="1">
        <v>77</v>
      </c>
      <c r="BT2682" s="1"/>
      <c r="BU2682" s="1" t="str">
        <f>HYPERLINK("https://nconnect.nicmar.ac.in/storage/profile/ProfilePhoto_P25701126_826341.jpg","Download")</f>
        <v>0</v>
      </c>
      <c r="BV2682" s="3"/>
      <c r="BW2682" s="3"/>
    </row>
    <row r="2683" spans="1:75">
      <c r="A2683" s="1" t="s">
        <v>40794</v>
      </c>
      <c r="B2683" s="1" t="s">
        <v>446</v>
      </c>
      <c r="C2683" s="1" t="s">
        <v>43620</v>
      </c>
      <c r="D2683" s="1" t="s">
        <v>43621</v>
      </c>
      <c r="E2683" s="1" t="s">
        <v>1404</v>
      </c>
      <c r="F2683" s="1" t="s">
        <v>8325</v>
      </c>
      <c r="G2683" s="1" t="s">
        <v>43622</v>
      </c>
      <c r="H2683" s="1" t="s">
        <v>43623</v>
      </c>
      <c r="I2683" s="1" t="s">
        <v>43624</v>
      </c>
      <c r="J2683" s="1">
        <v>7991021702</v>
      </c>
      <c r="K2683" s="1" t="s">
        <v>84</v>
      </c>
      <c r="L2683" s="1" t="s">
        <v>43625</v>
      </c>
      <c r="M2683" s="1" t="s">
        <v>86</v>
      </c>
      <c r="N2683" s="1" t="s">
        <v>43626</v>
      </c>
      <c r="O2683" s="1"/>
      <c r="P2683" s="1" t="s">
        <v>455</v>
      </c>
      <c r="Q2683" s="1" t="s">
        <v>43627</v>
      </c>
      <c r="R2683" s="1" t="s">
        <v>43628</v>
      </c>
      <c r="S2683" s="1">
        <v>9437003236</v>
      </c>
      <c r="T2683" s="1" t="s">
        <v>926</v>
      </c>
      <c r="U2683" s="1" t="s">
        <v>43629</v>
      </c>
      <c r="V2683" s="1">
        <v>7008466585</v>
      </c>
      <c r="W2683" s="1" t="s">
        <v>161</v>
      </c>
      <c r="X2683" s="1" t="s">
        <v>43630</v>
      </c>
      <c r="Y2683" s="1" t="s">
        <v>43631</v>
      </c>
      <c r="Z2683" s="1" t="s">
        <v>865</v>
      </c>
      <c r="AA2683" s="1" t="s">
        <v>43630</v>
      </c>
      <c r="AB2683" s="1" t="s">
        <v>43631</v>
      </c>
      <c r="AC2683" s="1" t="s">
        <v>865</v>
      </c>
      <c r="AD2683" s="1">
        <v>8.07</v>
      </c>
      <c r="AE2683" s="1" t="s">
        <v>98</v>
      </c>
      <c r="AF2683" s="1" t="s">
        <v>11394</v>
      </c>
      <c r="AG2683" s="1" t="s">
        <v>43632</v>
      </c>
      <c r="AH2683" s="1" t="s">
        <v>286</v>
      </c>
      <c r="AI2683" s="1" t="s">
        <v>313</v>
      </c>
      <c r="AJ2683" s="1">
        <v>92.3</v>
      </c>
      <c r="AK2683" s="1">
        <v>0</v>
      </c>
      <c r="AL2683" s="1" t="s">
        <v>11394</v>
      </c>
      <c r="AM2683" s="1" t="s">
        <v>43632</v>
      </c>
      <c r="AN2683" s="1"/>
      <c r="AO2683" s="1" t="s">
        <v>603</v>
      </c>
      <c r="AP2683" s="1" t="s">
        <v>1192</v>
      </c>
      <c r="AQ2683" s="1">
        <v>95.6</v>
      </c>
      <c r="AR2683" s="1">
        <v>0</v>
      </c>
      <c r="AS2683" s="1"/>
      <c r="AT2683" s="1"/>
      <c r="AU2683" s="1"/>
      <c r="AV2683" s="1"/>
      <c r="AW2683" s="1"/>
      <c r="AX2683" s="1"/>
      <c r="AY2683" s="1" t="s">
        <v>43633</v>
      </c>
      <c r="AZ2683" s="1" t="s">
        <v>43634</v>
      </c>
      <c r="BA2683" s="1"/>
      <c r="BB2683" s="1"/>
      <c r="BC2683" s="1" t="s">
        <v>606</v>
      </c>
      <c r="BD2683" s="1" t="s">
        <v>848</v>
      </c>
      <c r="BE2683" s="1">
        <v>81.9</v>
      </c>
      <c r="BF2683" s="1">
        <v>8.19</v>
      </c>
      <c r="BG2683" s="1"/>
      <c r="BH2683" s="1"/>
      <c r="BI2683" s="1"/>
      <c r="BJ2683" s="1"/>
      <c r="BK2683" s="1"/>
      <c r="BL2683" s="1"/>
      <c r="BM2683" s="1"/>
      <c r="BN2683" s="1"/>
      <c r="BO2683" s="1" t="s">
        <v>43635</v>
      </c>
      <c r="BP2683" s="1"/>
      <c r="BQ2683" s="1"/>
      <c r="BR2683" s="1" t="s">
        <v>43636</v>
      </c>
      <c r="BS2683" s="1">
        <v>10</v>
      </c>
      <c r="BT2683" s="1"/>
      <c r="BU2683" s="1" t="str">
        <f>HYPERLINK("https://nconnect.nicmar.ac.in/storage/profile/ProfilePhoto_P25701127_942376.jpg","Download")</f>
        <v>0</v>
      </c>
      <c r="BV2683" s="3"/>
      <c r="BW2683" s="3"/>
    </row>
    <row r="2684" spans="1:75">
      <c r="A2684" s="1" t="s">
        <v>40794</v>
      </c>
      <c r="B2684" s="1" t="s">
        <v>446</v>
      </c>
      <c r="C2684" s="1" t="s">
        <v>43637</v>
      </c>
      <c r="D2684" s="1" t="s">
        <v>43638</v>
      </c>
      <c r="E2684" s="1"/>
      <c r="F2684" s="1" t="s">
        <v>3998</v>
      </c>
      <c r="G2684" s="1" t="s">
        <v>43639</v>
      </c>
      <c r="H2684" s="1" t="s">
        <v>43640</v>
      </c>
      <c r="I2684" s="1" t="s">
        <v>43641</v>
      </c>
      <c r="J2684" s="1">
        <v>6382383935</v>
      </c>
      <c r="K2684" s="1" t="s">
        <v>153</v>
      </c>
      <c r="L2684" s="1" t="s">
        <v>42077</v>
      </c>
      <c r="M2684" s="1" t="s">
        <v>155</v>
      </c>
      <c r="N2684" s="1" t="s">
        <v>41910</v>
      </c>
      <c r="O2684" s="1"/>
      <c r="P2684" s="1" t="s">
        <v>507</v>
      </c>
      <c r="Q2684" s="1" t="s">
        <v>43642</v>
      </c>
      <c r="R2684" s="1" t="s">
        <v>43643</v>
      </c>
      <c r="S2684" s="1">
        <v>9443618484</v>
      </c>
      <c r="T2684" s="1" t="s">
        <v>29982</v>
      </c>
      <c r="U2684" s="1" t="s">
        <v>43644</v>
      </c>
      <c r="V2684" s="1">
        <v>9443617819</v>
      </c>
      <c r="W2684" s="1" t="s">
        <v>541</v>
      </c>
      <c r="X2684" s="1" t="s">
        <v>43645</v>
      </c>
      <c r="Y2684" s="1" t="s">
        <v>9770</v>
      </c>
      <c r="Z2684" s="1" t="s">
        <v>570</v>
      </c>
      <c r="AA2684" s="1" t="s">
        <v>43645</v>
      </c>
      <c r="AB2684" s="1" t="s">
        <v>9770</v>
      </c>
      <c r="AC2684" s="1" t="s">
        <v>570</v>
      </c>
      <c r="AD2684" s="1">
        <v>8.72</v>
      </c>
      <c r="AE2684" s="1" t="s">
        <v>98</v>
      </c>
      <c r="AF2684" s="1" t="s">
        <v>25881</v>
      </c>
      <c r="AG2684" s="1" t="s">
        <v>43646</v>
      </c>
      <c r="AH2684" s="1" t="s">
        <v>136</v>
      </c>
      <c r="AI2684" s="1" t="s">
        <v>627</v>
      </c>
      <c r="AJ2684" s="1">
        <v>95</v>
      </c>
      <c r="AK2684" s="1">
        <v>10</v>
      </c>
      <c r="AL2684" s="1" t="s">
        <v>25881</v>
      </c>
      <c r="AM2684" s="1" t="s">
        <v>43646</v>
      </c>
      <c r="AN2684" s="1" t="s">
        <v>465</v>
      </c>
      <c r="AO2684" s="1" t="s">
        <v>573</v>
      </c>
      <c r="AP2684" s="1" t="s">
        <v>171</v>
      </c>
      <c r="AQ2684" s="1">
        <v>90.2</v>
      </c>
      <c r="AR2684" s="1"/>
      <c r="AS2684" s="1"/>
      <c r="AT2684" s="1"/>
      <c r="AU2684" s="1"/>
      <c r="AV2684" s="1"/>
      <c r="AW2684" s="1"/>
      <c r="AX2684" s="1"/>
      <c r="AY2684" s="1" t="s">
        <v>576</v>
      </c>
      <c r="AZ2684" s="1" t="s">
        <v>43647</v>
      </c>
      <c r="BA2684" s="1" t="s">
        <v>682</v>
      </c>
      <c r="BB2684" s="1" t="s">
        <v>1479</v>
      </c>
      <c r="BC2684" s="1" t="s">
        <v>174</v>
      </c>
      <c r="BD2684" s="1" t="s">
        <v>579</v>
      </c>
      <c r="BE2684" s="1">
        <v>76.6</v>
      </c>
      <c r="BF2684" s="1">
        <v>7.66</v>
      </c>
      <c r="BG2684" s="1"/>
      <c r="BH2684" s="1"/>
      <c r="BI2684" s="1"/>
      <c r="BJ2684" s="1"/>
      <c r="BK2684" s="1"/>
      <c r="BL2684" s="1"/>
      <c r="BM2684" s="1"/>
      <c r="BN2684" s="1"/>
      <c r="BO2684" s="1" t="s">
        <v>43648</v>
      </c>
      <c r="BP2684" s="1" t="s">
        <v>43649</v>
      </c>
      <c r="BQ2684" s="1" t="s">
        <v>658</v>
      </c>
      <c r="BR2684" s="1" t="s">
        <v>43650</v>
      </c>
      <c r="BS2684" s="1">
        <v>78</v>
      </c>
      <c r="BT2684" s="1"/>
      <c r="BU2684" s="1" t="str">
        <f>HYPERLINK("https://nconnect.nicmar.ac.in/storage/profile/ProfilePhoto_P25701128_269574.jpg","Download")</f>
        <v>0</v>
      </c>
      <c r="BV2684" s="3"/>
      <c r="BW2684" s="3"/>
    </row>
    <row r="2685" spans="1:75">
      <c r="A2685" s="1" t="s">
        <v>40794</v>
      </c>
      <c r="B2685" s="1" t="s">
        <v>446</v>
      </c>
      <c r="C2685" s="1" t="s">
        <v>43651</v>
      </c>
      <c r="D2685" s="1" t="s">
        <v>14185</v>
      </c>
      <c r="E2685" s="1" t="s">
        <v>7638</v>
      </c>
      <c r="F2685" s="1" t="s">
        <v>1179</v>
      </c>
      <c r="G2685" s="1" t="s">
        <v>43652</v>
      </c>
      <c r="H2685" s="1" t="s">
        <v>43653</v>
      </c>
      <c r="I2685" s="1" t="s">
        <v>43654</v>
      </c>
      <c r="J2685" s="1">
        <v>8591865773</v>
      </c>
      <c r="K2685" s="1" t="s">
        <v>153</v>
      </c>
      <c r="L2685" s="1" t="s">
        <v>24935</v>
      </c>
      <c r="M2685" s="1" t="s">
        <v>86</v>
      </c>
      <c r="N2685" s="1" t="s">
        <v>1470</v>
      </c>
      <c r="O2685" s="1"/>
      <c r="P2685" s="1" t="s">
        <v>507</v>
      </c>
      <c r="Q2685" s="1" t="s">
        <v>43655</v>
      </c>
      <c r="R2685" s="1" t="s">
        <v>43656</v>
      </c>
      <c r="S2685" s="1">
        <v>9833895560</v>
      </c>
      <c r="T2685" s="1" t="s">
        <v>92</v>
      </c>
      <c r="U2685" s="1" t="s">
        <v>43657</v>
      </c>
      <c r="V2685" s="1">
        <v>9920975560</v>
      </c>
      <c r="W2685" s="1" t="s">
        <v>94</v>
      </c>
      <c r="X2685" s="1" t="s">
        <v>43658</v>
      </c>
      <c r="Y2685" s="1" t="s">
        <v>1012</v>
      </c>
      <c r="Z2685" s="1" t="s">
        <v>97</v>
      </c>
      <c r="AA2685" s="1" t="s">
        <v>43658</v>
      </c>
      <c r="AB2685" s="1" t="s">
        <v>1012</v>
      </c>
      <c r="AC2685" s="1" t="s">
        <v>97</v>
      </c>
      <c r="AD2685" s="1">
        <v>9.19</v>
      </c>
      <c r="AE2685" s="1" t="s">
        <v>98</v>
      </c>
      <c r="AF2685" s="1" t="s">
        <v>43659</v>
      </c>
      <c r="AG2685" s="1" t="s">
        <v>43660</v>
      </c>
      <c r="AH2685" s="1" t="s">
        <v>1110</v>
      </c>
      <c r="AI2685" s="1" t="s">
        <v>627</v>
      </c>
      <c r="AJ2685" s="1">
        <v>90</v>
      </c>
      <c r="AK2685" s="1"/>
      <c r="AL2685" s="1" t="s">
        <v>43661</v>
      </c>
      <c r="AM2685" s="1" t="s">
        <v>43662</v>
      </c>
      <c r="AN2685" s="1"/>
      <c r="AO2685" s="1" t="s">
        <v>704</v>
      </c>
      <c r="AP2685" s="1" t="s">
        <v>1477</v>
      </c>
      <c r="AQ2685" s="1">
        <v>79.69</v>
      </c>
      <c r="AR2685" s="1"/>
      <c r="AS2685" s="1"/>
      <c r="AT2685" s="1"/>
      <c r="AU2685" s="1"/>
      <c r="AV2685" s="1"/>
      <c r="AW2685" s="1"/>
      <c r="AX2685" s="1"/>
      <c r="AY2685" s="1" t="s">
        <v>258</v>
      </c>
      <c r="AZ2685" s="1" t="s">
        <v>39352</v>
      </c>
      <c r="BA2685" s="1"/>
      <c r="BB2685" s="1"/>
      <c r="BC2685" s="1" t="s">
        <v>171</v>
      </c>
      <c r="BD2685" s="1" t="s">
        <v>579</v>
      </c>
      <c r="BE2685" s="1">
        <v>72.01</v>
      </c>
      <c r="BF2685" s="1">
        <v>8.11</v>
      </c>
      <c r="BG2685" s="1"/>
      <c r="BH2685" s="1"/>
      <c r="BI2685" s="1"/>
      <c r="BJ2685" s="1"/>
      <c r="BK2685" s="1"/>
      <c r="BL2685" s="1"/>
      <c r="BM2685" s="1"/>
      <c r="BN2685" s="1"/>
      <c r="BO2685" s="1" t="s">
        <v>43663</v>
      </c>
      <c r="BP2685" s="1" t="s">
        <v>43664</v>
      </c>
      <c r="BQ2685" s="1" t="s">
        <v>780</v>
      </c>
      <c r="BR2685" s="1" t="s">
        <v>43665</v>
      </c>
      <c r="BS2685" s="1">
        <v>31</v>
      </c>
      <c r="BT2685" s="1"/>
      <c r="BU2685" s="1" t="str">
        <f>HYPERLINK("https://nconnect.nicmar.ac.in/storage/profile/ProfilePhoto_P25701129_129463.jpg","Download")</f>
        <v>0</v>
      </c>
      <c r="BV2685" s="3"/>
      <c r="BW2685" s="3"/>
    </row>
    <row r="2686" spans="1:75">
      <c r="A2686" s="1" t="s">
        <v>40794</v>
      </c>
      <c r="B2686" s="1" t="s">
        <v>446</v>
      </c>
      <c r="C2686" s="1" t="s">
        <v>43666</v>
      </c>
      <c r="D2686" s="1" t="s">
        <v>43667</v>
      </c>
      <c r="E2686" s="1"/>
      <c r="F2686" s="1" t="s">
        <v>7759</v>
      </c>
      <c r="G2686" s="1" t="s">
        <v>43668</v>
      </c>
      <c r="H2686" s="1" t="s">
        <v>43669</v>
      </c>
      <c r="I2686" s="1" t="s">
        <v>43670</v>
      </c>
      <c r="J2686" s="1">
        <v>8977175493</v>
      </c>
      <c r="K2686" s="1" t="s">
        <v>84</v>
      </c>
      <c r="L2686" s="1" t="s">
        <v>24837</v>
      </c>
      <c r="M2686" s="1" t="s">
        <v>86</v>
      </c>
      <c r="N2686" s="1" t="s">
        <v>22216</v>
      </c>
      <c r="O2686" s="1" t="s">
        <v>43671</v>
      </c>
      <c r="P2686" s="1" t="s">
        <v>507</v>
      </c>
      <c r="Q2686" s="1" t="s">
        <v>43672</v>
      </c>
      <c r="R2686" s="1" t="s">
        <v>43673</v>
      </c>
      <c r="S2686" s="1">
        <v>8121205217</v>
      </c>
      <c r="T2686" s="1" t="s">
        <v>43674</v>
      </c>
      <c r="U2686" s="1" t="s">
        <v>43675</v>
      </c>
      <c r="V2686" s="1">
        <v>8121205217</v>
      </c>
      <c r="W2686" s="1" t="s">
        <v>278</v>
      </c>
      <c r="X2686" s="1" t="s">
        <v>43676</v>
      </c>
      <c r="Y2686" s="1" t="s">
        <v>12907</v>
      </c>
      <c r="Z2686" s="1" t="s">
        <v>281</v>
      </c>
      <c r="AA2686" s="1" t="s">
        <v>43676</v>
      </c>
      <c r="AB2686" s="1" t="s">
        <v>12907</v>
      </c>
      <c r="AC2686" s="1" t="s">
        <v>281</v>
      </c>
      <c r="AD2686" s="1">
        <v>7.72</v>
      </c>
      <c r="AE2686" s="1" t="s">
        <v>98</v>
      </c>
      <c r="AF2686" s="1" t="s">
        <v>1437</v>
      </c>
      <c r="AG2686" s="1" t="s">
        <v>2341</v>
      </c>
      <c r="AH2686" s="1" t="s">
        <v>170</v>
      </c>
      <c r="AI2686" s="1" t="s">
        <v>286</v>
      </c>
      <c r="AJ2686" s="1">
        <v>97</v>
      </c>
      <c r="AK2686" s="1">
        <v>9.7</v>
      </c>
      <c r="AL2686" s="1" t="s">
        <v>3033</v>
      </c>
      <c r="AM2686" s="1" t="s">
        <v>2343</v>
      </c>
      <c r="AN2686" s="1" t="s">
        <v>465</v>
      </c>
      <c r="AO2686" s="1" t="s">
        <v>438</v>
      </c>
      <c r="AP2686" s="1" t="s">
        <v>178</v>
      </c>
      <c r="AQ2686" s="1">
        <v>71.53</v>
      </c>
      <c r="AR2686" s="1">
        <v>7.53</v>
      </c>
      <c r="AS2686" s="1"/>
      <c r="AT2686" s="1"/>
      <c r="AU2686" s="1"/>
      <c r="AV2686" s="1"/>
      <c r="AW2686" s="1"/>
      <c r="AX2686" s="1"/>
      <c r="AY2686" s="1" t="s">
        <v>493</v>
      </c>
      <c r="AZ2686" s="1" t="s">
        <v>43677</v>
      </c>
      <c r="BA2686" s="1" t="s">
        <v>466</v>
      </c>
      <c r="BB2686" s="1" t="s">
        <v>467</v>
      </c>
      <c r="BC2686" s="1" t="s">
        <v>1171</v>
      </c>
      <c r="BD2686" s="1" t="s">
        <v>1314</v>
      </c>
      <c r="BE2686" s="1">
        <v>66.7</v>
      </c>
      <c r="BF2686" s="1">
        <v>7.17</v>
      </c>
      <c r="BG2686" s="1"/>
      <c r="BH2686" s="1"/>
      <c r="BI2686" s="1"/>
      <c r="BJ2686" s="1"/>
      <c r="BK2686" s="1"/>
      <c r="BL2686" s="1"/>
      <c r="BM2686" s="1"/>
      <c r="BN2686" s="1"/>
      <c r="BO2686" s="1" t="s">
        <v>1114</v>
      </c>
      <c r="BP2686" s="1"/>
      <c r="BQ2686" s="1"/>
      <c r="BR2686" s="1" t="s">
        <v>43678</v>
      </c>
      <c r="BS2686" s="1">
        <v>21</v>
      </c>
      <c r="BT2686" s="1"/>
      <c r="BU2686" s="1" t="str">
        <f>HYPERLINK("https://nconnect.nicmar.ac.in/storage/profile/ProfilePhoto_P25701130_516472.jpg","Download")</f>
        <v>0</v>
      </c>
      <c r="BV2686" s="3"/>
      <c r="BW2686" s="3"/>
    </row>
    <row r="2687" spans="1:75">
      <c r="A2687" s="1" t="s">
        <v>40794</v>
      </c>
      <c r="B2687" s="1" t="s">
        <v>446</v>
      </c>
      <c r="C2687" s="1" t="s">
        <v>43679</v>
      </c>
      <c r="D2687" s="1" t="s">
        <v>43680</v>
      </c>
      <c r="E2687" s="1"/>
      <c r="F2687" s="1" t="s">
        <v>6443</v>
      </c>
      <c r="G2687" s="1" t="s">
        <v>43681</v>
      </c>
      <c r="H2687" s="1" t="s">
        <v>43682</v>
      </c>
      <c r="I2687" s="1" t="s">
        <v>43683</v>
      </c>
      <c r="J2687" s="1">
        <v>9894282616</v>
      </c>
      <c r="K2687" s="1" t="s">
        <v>84</v>
      </c>
      <c r="L2687" s="1" t="s">
        <v>9155</v>
      </c>
      <c r="M2687" s="1" t="s">
        <v>86</v>
      </c>
      <c r="N2687" s="1" t="s">
        <v>2356</v>
      </c>
      <c r="O2687" s="1" t="s">
        <v>43684</v>
      </c>
      <c r="P2687" s="1" t="s">
        <v>5904</v>
      </c>
      <c r="Q2687" s="1" t="s">
        <v>43685</v>
      </c>
      <c r="R2687" s="1" t="s">
        <v>43686</v>
      </c>
      <c r="S2687" s="1">
        <v>9443133856</v>
      </c>
      <c r="T2687" s="1" t="s">
        <v>92</v>
      </c>
      <c r="U2687" s="1" t="s">
        <v>43687</v>
      </c>
      <c r="V2687" s="1">
        <v>9486686717</v>
      </c>
      <c r="W2687" s="1" t="s">
        <v>43688</v>
      </c>
      <c r="X2687" s="1" t="s">
        <v>43689</v>
      </c>
      <c r="Y2687" s="1" t="s">
        <v>9021</v>
      </c>
      <c r="Z2687" s="1" t="s">
        <v>570</v>
      </c>
      <c r="AA2687" s="1" t="s">
        <v>43689</v>
      </c>
      <c r="AB2687" s="1" t="s">
        <v>9021</v>
      </c>
      <c r="AC2687" s="1" t="s">
        <v>570</v>
      </c>
      <c r="AD2687" s="1">
        <v>7.86</v>
      </c>
      <c r="AE2687" s="1" t="s">
        <v>98</v>
      </c>
      <c r="AF2687" s="1" t="s">
        <v>43690</v>
      </c>
      <c r="AG2687" s="1" t="s">
        <v>43691</v>
      </c>
      <c r="AH2687" s="1" t="s">
        <v>170</v>
      </c>
      <c r="AI2687" s="1" t="s">
        <v>286</v>
      </c>
      <c r="AJ2687" s="1">
        <v>75.4</v>
      </c>
      <c r="AK2687" s="1">
        <v>0</v>
      </c>
      <c r="AL2687" s="1" t="s">
        <v>43690</v>
      </c>
      <c r="AM2687" s="1" t="s">
        <v>43691</v>
      </c>
      <c r="AN2687" s="1"/>
      <c r="AO2687" s="1" t="s">
        <v>438</v>
      </c>
      <c r="AP2687" s="1" t="s">
        <v>603</v>
      </c>
      <c r="AQ2687" s="1">
        <v>63.16</v>
      </c>
      <c r="AR2687" s="1">
        <v>0</v>
      </c>
      <c r="AS2687" s="1"/>
      <c r="AT2687" s="1"/>
      <c r="AU2687" s="1"/>
      <c r="AV2687" s="1"/>
      <c r="AW2687" s="1"/>
      <c r="AX2687" s="1"/>
      <c r="AY2687" s="1" t="s">
        <v>43692</v>
      </c>
      <c r="AZ2687" s="1" t="s">
        <v>43691</v>
      </c>
      <c r="BA2687" s="1"/>
      <c r="BB2687" s="1"/>
      <c r="BC2687" s="1" t="s">
        <v>178</v>
      </c>
      <c r="BD2687" s="1" t="s">
        <v>207</v>
      </c>
      <c r="BE2687" s="1">
        <v>69.43</v>
      </c>
      <c r="BF2687" s="1">
        <v>6.94</v>
      </c>
      <c r="BG2687" s="1"/>
      <c r="BH2687" s="1"/>
      <c r="BI2687" s="1"/>
      <c r="BJ2687" s="1"/>
      <c r="BK2687" s="1"/>
      <c r="BL2687" s="1"/>
      <c r="BM2687" s="1"/>
      <c r="BN2687" s="1"/>
      <c r="BO2687" s="1" t="s">
        <v>43693</v>
      </c>
      <c r="BP2687" s="1" t="s">
        <v>43694</v>
      </c>
      <c r="BQ2687" s="1" t="s">
        <v>471</v>
      </c>
      <c r="BR2687" s="1" t="s">
        <v>43695</v>
      </c>
      <c r="BS2687" s="1">
        <v>10</v>
      </c>
      <c r="BT2687" s="1"/>
      <c r="BU2687" s="1" t="str">
        <f>HYPERLINK("https://nconnect.nicmar.ac.in/storage/profile/ProfilePhoto_P25701131_359184.jpg","Download")</f>
        <v>0</v>
      </c>
      <c r="BV2687" s="3"/>
      <c r="BW2687" s="3"/>
    </row>
    <row r="2688" spans="1:75">
      <c r="A2688" s="1" t="s">
        <v>40794</v>
      </c>
      <c r="B2688" s="1" t="s">
        <v>446</v>
      </c>
      <c r="C2688" s="1" t="s">
        <v>43696</v>
      </c>
      <c r="D2688" s="1" t="s">
        <v>43697</v>
      </c>
      <c r="E2688" s="1" t="s">
        <v>7510</v>
      </c>
      <c r="F2688" s="1" t="s">
        <v>43698</v>
      </c>
      <c r="G2688" s="1" t="s">
        <v>43699</v>
      </c>
      <c r="H2688" s="1" t="s">
        <v>43700</v>
      </c>
      <c r="I2688" s="1" t="s">
        <v>43701</v>
      </c>
      <c r="J2688" s="1">
        <v>9890351124</v>
      </c>
      <c r="K2688" s="1" t="s">
        <v>84</v>
      </c>
      <c r="L2688" s="1" t="s">
        <v>43702</v>
      </c>
      <c r="M2688" s="1" t="s">
        <v>86</v>
      </c>
      <c r="N2688" s="1" t="s">
        <v>4972</v>
      </c>
      <c r="O2688" s="1" t="s">
        <v>43703</v>
      </c>
      <c r="P2688" s="1" t="s">
        <v>1028</v>
      </c>
      <c r="Q2688" s="1" t="s">
        <v>43704</v>
      </c>
      <c r="R2688" s="1" t="s">
        <v>7510</v>
      </c>
      <c r="S2688" s="1">
        <v>8208822498</v>
      </c>
      <c r="T2688" s="1" t="s">
        <v>92</v>
      </c>
      <c r="U2688" s="1" t="s">
        <v>19597</v>
      </c>
      <c r="V2688" s="1">
        <v>9890351124</v>
      </c>
      <c r="W2688" s="1" t="s">
        <v>278</v>
      </c>
      <c r="X2688" s="1" t="s">
        <v>43705</v>
      </c>
      <c r="Y2688" s="1" t="s">
        <v>410</v>
      </c>
      <c r="Z2688" s="1" t="s">
        <v>97</v>
      </c>
      <c r="AA2688" s="1" t="s">
        <v>43705</v>
      </c>
      <c r="AB2688" s="1" t="s">
        <v>410</v>
      </c>
      <c r="AC2688" s="1" t="s">
        <v>97</v>
      </c>
      <c r="AD2688" s="1">
        <v>8.81</v>
      </c>
      <c r="AE2688" s="1" t="s">
        <v>98</v>
      </c>
      <c r="AF2688" s="1" t="s">
        <v>43706</v>
      </c>
      <c r="AG2688" s="1" t="s">
        <v>43707</v>
      </c>
      <c r="AH2688" s="1" t="s">
        <v>166</v>
      </c>
      <c r="AI2688" s="1" t="s">
        <v>627</v>
      </c>
      <c r="AJ2688" s="1">
        <v>91.2</v>
      </c>
      <c r="AK2688" s="1">
        <v>9.6</v>
      </c>
      <c r="AL2688" s="1" t="s">
        <v>43706</v>
      </c>
      <c r="AM2688" s="1" t="s">
        <v>43707</v>
      </c>
      <c r="AN2688" s="1" t="s">
        <v>465</v>
      </c>
      <c r="AO2688" s="1" t="s">
        <v>170</v>
      </c>
      <c r="AP2688" s="1" t="s">
        <v>106</v>
      </c>
      <c r="AQ2688" s="1">
        <v>78.2</v>
      </c>
      <c r="AR2688" s="1"/>
      <c r="AS2688" s="1"/>
      <c r="AT2688" s="1"/>
      <c r="AU2688" s="1"/>
      <c r="AV2688" s="1"/>
      <c r="AW2688" s="1"/>
      <c r="AX2688" s="1"/>
      <c r="AY2688" s="1" t="s">
        <v>4270</v>
      </c>
      <c r="AZ2688" s="1" t="s">
        <v>43708</v>
      </c>
      <c r="BA2688" s="1" t="s">
        <v>466</v>
      </c>
      <c r="BB2688" s="1" t="s">
        <v>23143</v>
      </c>
      <c r="BC2688" s="1" t="s">
        <v>174</v>
      </c>
      <c r="BD2688" s="1" t="s">
        <v>1400</v>
      </c>
      <c r="BE2688" s="1">
        <v>79.15</v>
      </c>
      <c r="BF2688" s="1">
        <v>7.91</v>
      </c>
      <c r="BG2688" s="1"/>
      <c r="BH2688" s="1"/>
      <c r="BI2688" s="1"/>
      <c r="BJ2688" s="1"/>
      <c r="BK2688" s="1"/>
      <c r="BL2688" s="1"/>
      <c r="BM2688" s="1"/>
      <c r="BN2688" s="1"/>
      <c r="BO2688" s="1" t="s">
        <v>43709</v>
      </c>
      <c r="BP2688" s="1" t="s">
        <v>43710</v>
      </c>
      <c r="BQ2688" s="1" t="s">
        <v>2213</v>
      </c>
      <c r="BR2688" s="1" t="s">
        <v>43711</v>
      </c>
      <c r="BS2688" s="1">
        <v>8</v>
      </c>
      <c r="BT2688" s="1" t="s">
        <v>38488</v>
      </c>
      <c r="BU2688" s="1" t="str">
        <f>HYPERLINK("https://nconnect.nicmar.ac.in/storage/profile/ProfilePhoto_P25701132_857361.jpg","Download")</f>
        <v>0</v>
      </c>
      <c r="BV2688" s="3"/>
      <c r="BW2688" s="4">
        <v>1</v>
      </c>
    </row>
    <row r="2689" spans="1:75">
      <c r="A2689" s="1" t="s">
        <v>40794</v>
      </c>
      <c r="B2689" s="1" t="s">
        <v>446</v>
      </c>
      <c r="C2689" s="1" t="s">
        <v>43712</v>
      </c>
      <c r="D2689" s="1" t="s">
        <v>6742</v>
      </c>
      <c r="E2689" s="1" t="s">
        <v>4310</v>
      </c>
      <c r="F2689" s="1" t="s">
        <v>1179</v>
      </c>
      <c r="G2689" s="1" t="s">
        <v>43713</v>
      </c>
      <c r="H2689" s="1" t="s">
        <v>43714</v>
      </c>
      <c r="I2689" s="1" t="s">
        <v>43715</v>
      </c>
      <c r="J2689" s="1">
        <v>6360045973</v>
      </c>
      <c r="K2689" s="1" t="s">
        <v>84</v>
      </c>
      <c r="L2689" s="1" t="s">
        <v>43716</v>
      </c>
      <c r="M2689" s="1" t="s">
        <v>86</v>
      </c>
      <c r="N2689" s="1" t="s">
        <v>43717</v>
      </c>
      <c r="O2689" s="1"/>
      <c r="P2689" s="1" t="s">
        <v>481</v>
      </c>
      <c r="Q2689" s="1" t="s">
        <v>43718</v>
      </c>
      <c r="R2689" s="1" t="s">
        <v>43719</v>
      </c>
      <c r="S2689" s="1">
        <v>9448141076</v>
      </c>
      <c r="T2689" s="1" t="s">
        <v>43720</v>
      </c>
      <c r="U2689" s="1" t="s">
        <v>5288</v>
      </c>
      <c r="V2689" s="1">
        <v>9449280278</v>
      </c>
      <c r="W2689" s="1" t="s">
        <v>161</v>
      </c>
      <c r="X2689" s="1" t="s">
        <v>43721</v>
      </c>
      <c r="Y2689" s="1" t="s">
        <v>6871</v>
      </c>
      <c r="Z2689" s="1" t="s">
        <v>1210</v>
      </c>
      <c r="AA2689" s="1" t="s">
        <v>43721</v>
      </c>
      <c r="AB2689" s="1" t="s">
        <v>6871</v>
      </c>
      <c r="AC2689" s="1" t="s">
        <v>1210</v>
      </c>
      <c r="AD2689" s="1">
        <v>8.19</v>
      </c>
      <c r="AE2689" s="1" t="s">
        <v>98</v>
      </c>
      <c r="AF2689" s="1" t="s">
        <v>43722</v>
      </c>
      <c r="AG2689" s="1" t="s">
        <v>43723</v>
      </c>
      <c r="AH2689" s="1" t="s">
        <v>174</v>
      </c>
      <c r="AI2689" s="1" t="s">
        <v>414</v>
      </c>
      <c r="AJ2689" s="1">
        <v>78</v>
      </c>
      <c r="AK2689" s="1"/>
      <c r="AL2689" s="1" t="s">
        <v>43722</v>
      </c>
      <c r="AM2689" s="1" t="s">
        <v>43724</v>
      </c>
      <c r="AN2689" s="1"/>
      <c r="AO2689" s="1" t="s">
        <v>438</v>
      </c>
      <c r="AP2689" s="1" t="s">
        <v>845</v>
      </c>
      <c r="AQ2689" s="1">
        <v>84.4</v>
      </c>
      <c r="AR2689" s="1"/>
      <c r="AS2689" s="1"/>
      <c r="AT2689" s="1"/>
      <c r="AU2689" s="1"/>
      <c r="AV2689" s="1"/>
      <c r="AW2689" s="1"/>
      <c r="AX2689" s="1"/>
      <c r="AY2689" s="1" t="s">
        <v>43725</v>
      </c>
      <c r="AZ2689" s="1" t="s">
        <v>43726</v>
      </c>
      <c r="BA2689" s="1"/>
      <c r="BB2689" s="1"/>
      <c r="BC2689" s="1" t="s">
        <v>549</v>
      </c>
      <c r="BD2689" s="1" t="s">
        <v>4093</v>
      </c>
      <c r="BE2689" s="1">
        <v>75.84</v>
      </c>
      <c r="BF2689" s="1">
        <v>3.32</v>
      </c>
      <c r="BG2689" s="1"/>
      <c r="BH2689" s="1"/>
      <c r="BI2689" s="1"/>
      <c r="BJ2689" s="1"/>
      <c r="BK2689" s="1"/>
      <c r="BL2689" s="1"/>
      <c r="BM2689" s="1"/>
      <c r="BN2689" s="1"/>
      <c r="BO2689" s="1" t="s">
        <v>43727</v>
      </c>
      <c r="BP2689" s="1" t="s">
        <v>43728</v>
      </c>
      <c r="BQ2689" s="1" t="s">
        <v>2245</v>
      </c>
      <c r="BR2689" s="1" t="s">
        <v>43729</v>
      </c>
      <c r="BS2689" s="1">
        <v>38</v>
      </c>
      <c r="BT2689" s="1"/>
      <c r="BU2689" s="1" t="str">
        <f>HYPERLINK("https://nconnect.nicmar.ac.in/storage/profile/ProfilePhoto_P25701133_312596.jpg","Download")</f>
        <v>0</v>
      </c>
      <c r="BV2689" s="3"/>
      <c r="BW2689" s="3"/>
    </row>
    <row r="2690" spans="1:75">
      <c r="A2690" s="1" t="s">
        <v>40794</v>
      </c>
      <c r="B2690" s="1" t="s">
        <v>446</v>
      </c>
      <c r="C2690" s="1" t="s">
        <v>43730</v>
      </c>
      <c r="D2690" s="1" t="s">
        <v>34570</v>
      </c>
      <c r="E2690" s="1" t="s">
        <v>43731</v>
      </c>
      <c r="F2690" s="1" t="s">
        <v>43732</v>
      </c>
      <c r="G2690" s="1" t="s">
        <v>43733</v>
      </c>
      <c r="H2690" s="1" t="s">
        <v>43734</v>
      </c>
      <c r="I2690" s="1" t="s">
        <v>43735</v>
      </c>
      <c r="J2690" s="1">
        <v>7620624332</v>
      </c>
      <c r="K2690" s="1" t="s">
        <v>153</v>
      </c>
      <c r="L2690" s="1" t="s">
        <v>9922</v>
      </c>
      <c r="M2690" s="1" t="s">
        <v>86</v>
      </c>
      <c r="N2690" s="1" t="s">
        <v>17803</v>
      </c>
      <c r="O2690" s="1"/>
      <c r="P2690" s="1" t="s">
        <v>507</v>
      </c>
      <c r="Q2690" s="1" t="s">
        <v>43736</v>
      </c>
      <c r="R2690" s="1" t="s">
        <v>43731</v>
      </c>
      <c r="S2690" s="1">
        <v>9420584437</v>
      </c>
      <c r="T2690" s="1" t="s">
        <v>43737</v>
      </c>
      <c r="U2690" s="1" t="s">
        <v>43738</v>
      </c>
      <c r="V2690" s="1">
        <v>7757064437</v>
      </c>
      <c r="W2690" s="1" t="s">
        <v>278</v>
      </c>
      <c r="X2690" s="1" t="s">
        <v>43739</v>
      </c>
      <c r="Y2690" s="1" t="s">
        <v>1989</v>
      </c>
      <c r="Z2690" s="1" t="s">
        <v>97</v>
      </c>
      <c r="AA2690" s="1" t="s">
        <v>43739</v>
      </c>
      <c r="AB2690" s="1" t="s">
        <v>1989</v>
      </c>
      <c r="AC2690" s="1" t="s">
        <v>97</v>
      </c>
      <c r="AD2690" s="1">
        <v>9.16</v>
      </c>
      <c r="AE2690" s="1" t="s">
        <v>98</v>
      </c>
      <c r="AF2690" s="1" t="s">
        <v>43740</v>
      </c>
      <c r="AG2690" s="1" t="s">
        <v>43741</v>
      </c>
      <c r="AH2690" s="1" t="s">
        <v>170</v>
      </c>
      <c r="AI2690" s="1" t="s">
        <v>106</v>
      </c>
      <c r="AJ2690" s="1">
        <v>94.2</v>
      </c>
      <c r="AK2690" s="1"/>
      <c r="AL2690" s="1"/>
      <c r="AM2690" s="1"/>
      <c r="AN2690" s="1" t="s">
        <v>1062</v>
      </c>
      <c r="AO2690" s="1"/>
      <c r="AP2690" s="1"/>
      <c r="AQ2690" s="1"/>
      <c r="AR2690" s="1"/>
      <c r="AS2690" s="1" t="s">
        <v>439</v>
      </c>
      <c r="AT2690" s="1" t="s">
        <v>43742</v>
      </c>
      <c r="AU2690" s="1" t="s">
        <v>106</v>
      </c>
      <c r="AV2690" s="1" t="s">
        <v>847</v>
      </c>
      <c r="AW2690" s="1">
        <v>95.16</v>
      </c>
      <c r="AX2690" s="1"/>
      <c r="AY2690" s="1" t="s">
        <v>1038</v>
      </c>
      <c r="AZ2690" s="1" t="s">
        <v>43743</v>
      </c>
      <c r="BA2690" s="1" t="s">
        <v>466</v>
      </c>
      <c r="BB2690" s="1" t="s">
        <v>467</v>
      </c>
      <c r="BC2690" s="1" t="s">
        <v>847</v>
      </c>
      <c r="BD2690" s="1" t="s">
        <v>207</v>
      </c>
      <c r="BE2690" s="1">
        <v>84.1</v>
      </c>
      <c r="BF2690" s="1">
        <v>9.16</v>
      </c>
      <c r="BG2690" s="1"/>
      <c r="BH2690" s="1"/>
      <c r="BI2690" s="1"/>
      <c r="BJ2690" s="1"/>
      <c r="BK2690" s="1"/>
      <c r="BL2690" s="1"/>
      <c r="BM2690" s="1"/>
      <c r="BN2690" s="1"/>
      <c r="BO2690" s="1" t="s">
        <v>43744</v>
      </c>
      <c r="BP2690" s="1" t="s">
        <v>43745</v>
      </c>
      <c r="BQ2690" s="1" t="s">
        <v>2245</v>
      </c>
      <c r="BR2690" s="1" t="s">
        <v>43746</v>
      </c>
      <c r="BS2690" s="1">
        <v>21</v>
      </c>
      <c r="BT2690" s="1"/>
      <c r="BU2690" s="1" t="str">
        <f>HYPERLINK("https://nconnect.nicmar.ac.in/storage/profile/ProfilePhoto_P25701134_183274.jpg","Download")</f>
        <v>0</v>
      </c>
      <c r="BV2690" s="3"/>
      <c r="BW2690" s="3"/>
    </row>
    <row r="2691" spans="1:75">
      <c r="A2691" s="1" t="s">
        <v>40794</v>
      </c>
      <c r="B2691" s="1" t="s">
        <v>446</v>
      </c>
      <c r="C2691" s="1" t="s">
        <v>43747</v>
      </c>
      <c r="D2691" s="1" t="s">
        <v>9889</v>
      </c>
      <c r="E2691" s="1" t="s">
        <v>2233</v>
      </c>
      <c r="F2691" s="1" t="s">
        <v>43748</v>
      </c>
      <c r="G2691" s="1" t="s">
        <v>43749</v>
      </c>
      <c r="H2691" s="1" t="s">
        <v>43750</v>
      </c>
      <c r="I2691" s="1" t="s">
        <v>43751</v>
      </c>
      <c r="J2691" s="1">
        <v>7977649274</v>
      </c>
      <c r="K2691" s="1" t="s">
        <v>84</v>
      </c>
      <c r="L2691" s="1" t="s">
        <v>43752</v>
      </c>
      <c r="M2691" s="1" t="s">
        <v>86</v>
      </c>
      <c r="N2691" s="1" t="s">
        <v>43753</v>
      </c>
      <c r="O2691" s="1"/>
      <c r="P2691" s="1" t="s">
        <v>455</v>
      </c>
      <c r="Q2691" s="1" t="s">
        <v>43754</v>
      </c>
      <c r="R2691" s="1" t="s">
        <v>43755</v>
      </c>
      <c r="S2691" s="1">
        <v>9820284959</v>
      </c>
      <c r="T2691" s="1" t="s">
        <v>6733</v>
      </c>
      <c r="U2691" s="1" t="s">
        <v>43756</v>
      </c>
      <c r="V2691" s="1">
        <v>9322850563</v>
      </c>
      <c r="W2691" s="1" t="s">
        <v>161</v>
      </c>
      <c r="X2691" s="1" t="s">
        <v>43757</v>
      </c>
      <c r="Y2691" s="1" t="s">
        <v>1012</v>
      </c>
      <c r="Z2691" s="1" t="s">
        <v>97</v>
      </c>
      <c r="AA2691" s="1" t="s">
        <v>43757</v>
      </c>
      <c r="AB2691" s="1" t="s">
        <v>1012</v>
      </c>
      <c r="AC2691" s="1" t="s">
        <v>97</v>
      </c>
      <c r="AD2691" s="1">
        <v>8.53</v>
      </c>
      <c r="AE2691" s="1" t="s">
        <v>98</v>
      </c>
      <c r="AF2691" s="1" t="s">
        <v>10379</v>
      </c>
      <c r="AG2691" s="1" t="s">
        <v>165</v>
      </c>
      <c r="AH2691" s="1" t="s">
        <v>43758</v>
      </c>
      <c r="AI2691" s="1" t="s">
        <v>1111</v>
      </c>
      <c r="AJ2691" s="1">
        <v>77.4</v>
      </c>
      <c r="AK2691" s="1">
        <v>0</v>
      </c>
      <c r="AL2691" s="1" t="s">
        <v>43759</v>
      </c>
      <c r="AM2691" s="1" t="s">
        <v>165</v>
      </c>
      <c r="AN2691" s="1"/>
      <c r="AO2691" s="1" t="s">
        <v>1396</v>
      </c>
      <c r="AP2691" s="1" t="s">
        <v>286</v>
      </c>
      <c r="AQ2691" s="1">
        <v>62.62</v>
      </c>
      <c r="AR2691" s="1">
        <v>0</v>
      </c>
      <c r="AS2691" s="1"/>
      <c r="AT2691" s="1"/>
      <c r="AU2691" s="1"/>
      <c r="AV2691" s="1"/>
      <c r="AW2691" s="1"/>
      <c r="AX2691" s="1"/>
      <c r="AY2691" s="1" t="s">
        <v>680</v>
      </c>
      <c r="AZ2691" s="1" t="s">
        <v>43760</v>
      </c>
      <c r="BA2691" s="1"/>
      <c r="BB2691" s="1"/>
      <c r="BC2691" s="1" t="s">
        <v>174</v>
      </c>
      <c r="BD2691" s="1" t="s">
        <v>579</v>
      </c>
      <c r="BE2691" s="1">
        <v>58.78</v>
      </c>
      <c r="BF2691" s="1">
        <v>6.59</v>
      </c>
      <c r="BG2691" s="1"/>
      <c r="BH2691" s="1"/>
      <c r="BI2691" s="1"/>
      <c r="BJ2691" s="1"/>
      <c r="BK2691" s="1"/>
      <c r="BL2691" s="1"/>
      <c r="BM2691" s="1"/>
      <c r="BN2691" s="1"/>
      <c r="BO2691" s="1" t="s">
        <v>43761</v>
      </c>
      <c r="BP2691" s="1" t="s">
        <v>43762</v>
      </c>
      <c r="BQ2691" s="1" t="s">
        <v>582</v>
      </c>
      <c r="BR2691" s="1" t="s">
        <v>43763</v>
      </c>
      <c r="BS2691" s="1">
        <v>27</v>
      </c>
      <c r="BT2691" s="1"/>
      <c r="BU2691" s="1" t="str">
        <f>HYPERLINK("https://nconnect.nicmar.ac.in/storage/profile/ProfilePhoto_P25701135_748916.jpg","Download")</f>
        <v>0</v>
      </c>
      <c r="BV2691" s="3"/>
      <c r="BW2691" s="3"/>
    </row>
    <row r="2692" spans="1:75">
      <c r="A2692" s="1" t="s">
        <v>40794</v>
      </c>
      <c r="B2692" s="1" t="s">
        <v>446</v>
      </c>
      <c r="C2692" s="1" t="s">
        <v>43764</v>
      </c>
      <c r="D2692" s="1" t="s">
        <v>43765</v>
      </c>
      <c r="E2692" s="1" t="s">
        <v>6880</v>
      </c>
      <c r="F2692" s="1" t="s">
        <v>5151</v>
      </c>
      <c r="G2692" s="1" t="s">
        <v>43766</v>
      </c>
      <c r="H2692" s="1" t="s">
        <v>43767</v>
      </c>
      <c r="I2692" s="1" t="s">
        <v>43768</v>
      </c>
      <c r="J2692" s="1">
        <v>9167756977</v>
      </c>
      <c r="K2692" s="1" t="s">
        <v>153</v>
      </c>
      <c r="L2692" s="1" t="s">
        <v>20605</v>
      </c>
      <c r="M2692" s="1" t="s">
        <v>86</v>
      </c>
      <c r="N2692" s="1" t="s">
        <v>43769</v>
      </c>
      <c r="O2692" s="1"/>
      <c r="P2692" s="1" t="s">
        <v>507</v>
      </c>
      <c r="Q2692" s="1" t="s">
        <v>43770</v>
      </c>
      <c r="R2692" s="1" t="s">
        <v>43771</v>
      </c>
      <c r="S2692" s="1">
        <v>9819844128</v>
      </c>
      <c r="T2692" s="1" t="s">
        <v>839</v>
      </c>
      <c r="U2692" s="1" t="s">
        <v>43772</v>
      </c>
      <c r="V2692" s="1">
        <v>9819575594</v>
      </c>
      <c r="W2692" s="1" t="s">
        <v>541</v>
      </c>
      <c r="X2692" s="1" t="s">
        <v>43773</v>
      </c>
      <c r="Y2692" s="1" t="s">
        <v>2259</v>
      </c>
      <c r="Z2692" s="1" t="s">
        <v>97</v>
      </c>
      <c r="AA2692" s="1" t="s">
        <v>43773</v>
      </c>
      <c r="AB2692" s="1" t="s">
        <v>2259</v>
      </c>
      <c r="AC2692" s="1" t="s">
        <v>97</v>
      </c>
      <c r="AD2692" s="1">
        <v>9.53</v>
      </c>
      <c r="AE2692" s="1" t="s">
        <v>98</v>
      </c>
      <c r="AF2692" s="1" t="s">
        <v>2261</v>
      </c>
      <c r="AG2692" s="1" t="s">
        <v>165</v>
      </c>
      <c r="AH2692" s="1" t="s">
        <v>102</v>
      </c>
      <c r="AI2692" s="1" t="s">
        <v>1111</v>
      </c>
      <c r="AJ2692" s="1">
        <v>86.8</v>
      </c>
      <c r="AK2692" s="1"/>
      <c r="AL2692" s="1" t="s">
        <v>36259</v>
      </c>
      <c r="AM2692" s="1" t="s">
        <v>165</v>
      </c>
      <c r="AN2692" s="1"/>
      <c r="AO2692" s="1" t="s">
        <v>167</v>
      </c>
      <c r="AP2692" s="1" t="s">
        <v>1477</v>
      </c>
      <c r="AQ2692" s="1">
        <v>72.31</v>
      </c>
      <c r="AR2692" s="1"/>
      <c r="AS2692" s="1"/>
      <c r="AT2692" s="1"/>
      <c r="AU2692" s="1"/>
      <c r="AV2692" s="1"/>
      <c r="AW2692" s="1"/>
      <c r="AX2692" s="1"/>
      <c r="AY2692" s="1" t="s">
        <v>258</v>
      </c>
      <c r="AZ2692" s="1" t="s">
        <v>43227</v>
      </c>
      <c r="BA2692" s="1"/>
      <c r="BB2692" s="1"/>
      <c r="BC2692" s="1" t="s">
        <v>174</v>
      </c>
      <c r="BD2692" s="1" t="s">
        <v>579</v>
      </c>
      <c r="BE2692" s="1">
        <v>77.86</v>
      </c>
      <c r="BF2692" s="1"/>
      <c r="BG2692" s="1"/>
      <c r="BH2692" s="1"/>
      <c r="BI2692" s="1"/>
      <c r="BJ2692" s="1"/>
      <c r="BK2692" s="1"/>
      <c r="BL2692" s="1"/>
      <c r="BM2692" s="1"/>
      <c r="BN2692" s="1"/>
      <c r="BO2692" s="1" t="s">
        <v>43774</v>
      </c>
      <c r="BP2692" s="1" t="s">
        <v>43775</v>
      </c>
      <c r="BQ2692" s="1" t="s">
        <v>1152</v>
      </c>
      <c r="BR2692" s="1" t="s">
        <v>43776</v>
      </c>
      <c r="BS2692" s="1">
        <v>27</v>
      </c>
      <c r="BT2692" s="1" t="s">
        <v>43777</v>
      </c>
      <c r="BU2692" s="1" t="str">
        <f>HYPERLINK("https://nconnect.nicmar.ac.in/storage/profile/ProfilePhoto_P25701136_172468.jpg","Download")</f>
        <v>0</v>
      </c>
      <c r="BV2692" s="3"/>
      <c r="BW2692" s="3"/>
    </row>
    <row r="2693" spans="1:75">
      <c r="A2693" s="1" t="s">
        <v>40794</v>
      </c>
      <c r="B2693" s="1" t="s">
        <v>446</v>
      </c>
      <c r="C2693" s="1" t="s">
        <v>43778</v>
      </c>
      <c r="D2693" s="1" t="s">
        <v>30088</v>
      </c>
      <c r="E2693" s="1" t="s">
        <v>11218</v>
      </c>
      <c r="F2693" s="1" t="s">
        <v>43779</v>
      </c>
      <c r="G2693" s="1" t="s">
        <v>43780</v>
      </c>
      <c r="H2693" s="1" t="s">
        <v>43781</v>
      </c>
      <c r="I2693" s="1" t="s">
        <v>43782</v>
      </c>
      <c r="J2693" s="1">
        <v>8806600943</v>
      </c>
      <c r="K2693" s="1" t="s">
        <v>153</v>
      </c>
      <c r="L2693" s="1" t="s">
        <v>5397</v>
      </c>
      <c r="M2693" s="1" t="s">
        <v>86</v>
      </c>
      <c r="N2693" s="1" t="s">
        <v>1470</v>
      </c>
      <c r="O2693" s="1" t="s">
        <v>43783</v>
      </c>
      <c r="P2693" s="1" t="s">
        <v>507</v>
      </c>
      <c r="Q2693" s="1" t="s">
        <v>43784</v>
      </c>
      <c r="R2693" s="1" t="s">
        <v>11218</v>
      </c>
      <c r="S2693" s="1">
        <v>9511821507</v>
      </c>
      <c r="T2693" s="1" t="s">
        <v>839</v>
      </c>
      <c r="U2693" s="1" t="s">
        <v>43785</v>
      </c>
      <c r="V2693" s="1">
        <v>8806223092</v>
      </c>
      <c r="W2693" s="1" t="s">
        <v>541</v>
      </c>
      <c r="X2693" s="1" t="s">
        <v>43786</v>
      </c>
      <c r="Y2693" s="1" t="s">
        <v>5083</v>
      </c>
      <c r="Z2693" s="1" t="s">
        <v>97</v>
      </c>
      <c r="AA2693" s="1" t="s">
        <v>43786</v>
      </c>
      <c r="AB2693" s="1" t="s">
        <v>5083</v>
      </c>
      <c r="AC2693" s="1" t="s">
        <v>97</v>
      </c>
      <c r="AD2693" s="1">
        <v>7.91</v>
      </c>
      <c r="AE2693" s="1" t="s">
        <v>98</v>
      </c>
      <c r="AF2693" s="1" t="s">
        <v>43787</v>
      </c>
      <c r="AG2693" s="1" t="s">
        <v>4862</v>
      </c>
      <c r="AH2693" s="1" t="s">
        <v>1111</v>
      </c>
      <c r="AI2693" s="1" t="s">
        <v>200</v>
      </c>
      <c r="AJ2693" s="1">
        <v>89.3</v>
      </c>
      <c r="AK2693" s="1">
        <v>9.4</v>
      </c>
      <c r="AL2693" s="1" t="s">
        <v>43788</v>
      </c>
      <c r="AM2693" s="1" t="s">
        <v>43789</v>
      </c>
      <c r="AN2693" s="1" t="s">
        <v>465</v>
      </c>
      <c r="AO2693" s="1" t="s">
        <v>286</v>
      </c>
      <c r="AP2693" s="1" t="s">
        <v>203</v>
      </c>
      <c r="AQ2693" s="1">
        <v>69.23</v>
      </c>
      <c r="AR2693" s="1"/>
      <c r="AS2693" s="1"/>
      <c r="AT2693" s="1"/>
      <c r="AU2693" s="1"/>
      <c r="AV2693" s="1"/>
      <c r="AW2693" s="1"/>
      <c r="AX2693" s="1"/>
      <c r="AY2693" s="1" t="s">
        <v>366</v>
      </c>
      <c r="AZ2693" s="1" t="s">
        <v>43790</v>
      </c>
      <c r="BA2693" s="1" t="s">
        <v>682</v>
      </c>
      <c r="BB2693" s="1" t="s">
        <v>683</v>
      </c>
      <c r="BC2693" s="1" t="s">
        <v>438</v>
      </c>
      <c r="BD2693" s="1" t="s">
        <v>1314</v>
      </c>
      <c r="BE2693" s="1">
        <v>66.48</v>
      </c>
      <c r="BF2693" s="1">
        <v>7.47</v>
      </c>
      <c r="BG2693" s="1"/>
      <c r="BH2693" s="1"/>
      <c r="BI2693" s="1"/>
      <c r="BJ2693" s="1"/>
      <c r="BK2693" s="1"/>
      <c r="BL2693" s="1"/>
      <c r="BM2693" s="1"/>
      <c r="BN2693" s="1"/>
      <c r="BO2693" s="1" t="s">
        <v>43791</v>
      </c>
      <c r="BP2693" s="1" t="s">
        <v>43792</v>
      </c>
      <c r="BQ2693" s="1" t="s">
        <v>471</v>
      </c>
      <c r="BR2693" s="1" t="s">
        <v>43793</v>
      </c>
      <c r="BS2693" s="1">
        <v>28</v>
      </c>
      <c r="BT2693" s="1"/>
      <c r="BU2693" s="1" t="str">
        <f>HYPERLINK("https://nconnect.nicmar.ac.in/storage/profile/ProfilePhoto_P25701137_312786.jpg","Download")</f>
        <v>0</v>
      </c>
      <c r="BV2693" s="3"/>
      <c r="BW2693" s="3"/>
    </row>
    <row r="2694" spans="1:75">
      <c r="A2694" s="1" t="s">
        <v>40794</v>
      </c>
      <c r="B2694" s="1" t="s">
        <v>446</v>
      </c>
      <c r="C2694" s="1" t="s">
        <v>43794</v>
      </c>
      <c r="D2694" s="1" t="s">
        <v>43795</v>
      </c>
      <c r="E2694" s="1" t="s">
        <v>1021</v>
      </c>
      <c r="F2694" s="1" t="s">
        <v>43796</v>
      </c>
      <c r="G2694" s="1" t="s">
        <v>43797</v>
      </c>
      <c r="H2694" s="1" t="s">
        <v>43798</v>
      </c>
      <c r="I2694" s="1" t="s">
        <v>43799</v>
      </c>
      <c r="J2694" s="1">
        <v>7020585299</v>
      </c>
      <c r="K2694" s="1" t="s">
        <v>153</v>
      </c>
      <c r="L2694" s="1" t="s">
        <v>11260</v>
      </c>
      <c r="M2694" s="1" t="s">
        <v>86</v>
      </c>
      <c r="N2694" s="1" t="s">
        <v>618</v>
      </c>
      <c r="O2694" s="1"/>
      <c r="P2694" s="1" t="s">
        <v>1028</v>
      </c>
      <c r="Q2694" s="1" t="s">
        <v>43800</v>
      </c>
      <c r="R2694" s="1" t="s">
        <v>1021</v>
      </c>
      <c r="S2694" s="1">
        <v>9822303569</v>
      </c>
      <c r="T2694" s="1" t="s">
        <v>926</v>
      </c>
      <c r="U2694" s="1" t="s">
        <v>43801</v>
      </c>
      <c r="V2694" s="1">
        <v>9822899620</v>
      </c>
      <c r="W2694" s="1" t="s">
        <v>161</v>
      </c>
      <c r="X2694" s="1" t="s">
        <v>43802</v>
      </c>
      <c r="Y2694" s="1" t="s">
        <v>1779</v>
      </c>
      <c r="Z2694" s="1" t="s">
        <v>97</v>
      </c>
      <c r="AA2694" s="1" t="s">
        <v>43802</v>
      </c>
      <c r="AB2694" s="1" t="s">
        <v>1779</v>
      </c>
      <c r="AC2694" s="1" t="s">
        <v>97</v>
      </c>
      <c r="AD2694" s="1">
        <v>9.86</v>
      </c>
      <c r="AE2694" s="1" t="s">
        <v>98</v>
      </c>
      <c r="AF2694" s="1" t="s">
        <v>31570</v>
      </c>
      <c r="AG2694" s="1" t="s">
        <v>775</v>
      </c>
      <c r="AH2694" s="1" t="s">
        <v>167</v>
      </c>
      <c r="AI2694" s="1" t="s">
        <v>170</v>
      </c>
      <c r="AJ2694" s="1">
        <v>95</v>
      </c>
      <c r="AK2694" s="1">
        <v>10</v>
      </c>
      <c r="AL2694" s="1" t="s">
        <v>31570</v>
      </c>
      <c r="AM2694" s="1" t="s">
        <v>775</v>
      </c>
      <c r="AN2694" s="1"/>
      <c r="AO2694" s="1" t="s">
        <v>106</v>
      </c>
      <c r="AP2694" s="1" t="s">
        <v>313</v>
      </c>
      <c r="AQ2694" s="1">
        <v>90.2</v>
      </c>
      <c r="AR2694" s="1">
        <v>0</v>
      </c>
      <c r="AS2694" s="1"/>
      <c r="AT2694" s="1"/>
      <c r="AU2694" s="1"/>
      <c r="AV2694" s="1"/>
      <c r="AW2694" s="1"/>
      <c r="AX2694" s="1"/>
      <c r="AY2694" s="1" t="s">
        <v>258</v>
      </c>
      <c r="AZ2694" s="1" t="s">
        <v>43803</v>
      </c>
      <c r="BA2694" s="1"/>
      <c r="BB2694" s="1"/>
      <c r="BC2694" s="1" t="s">
        <v>315</v>
      </c>
      <c r="BD2694" s="1" t="s">
        <v>1314</v>
      </c>
      <c r="BE2694" s="1">
        <v>71.2</v>
      </c>
      <c r="BF2694" s="1">
        <v>8</v>
      </c>
      <c r="BG2694" s="1"/>
      <c r="BH2694" s="1"/>
      <c r="BI2694" s="1"/>
      <c r="BJ2694" s="1"/>
      <c r="BK2694" s="1"/>
      <c r="BL2694" s="1"/>
      <c r="BM2694" s="1"/>
      <c r="BN2694" s="1"/>
      <c r="BO2694" s="1" t="s">
        <v>43804</v>
      </c>
      <c r="BP2694" s="1" t="s">
        <v>43805</v>
      </c>
      <c r="BQ2694" s="1" t="s">
        <v>9405</v>
      </c>
      <c r="BR2694" s="1" t="s">
        <v>43806</v>
      </c>
      <c r="BS2694" s="1">
        <v>29</v>
      </c>
      <c r="BT2694" s="1"/>
      <c r="BU2694" s="1" t="str">
        <f>HYPERLINK("https://nconnect.nicmar.ac.in/storage/profile/ProfilePhoto_P25701138_614237.jpg","Download")</f>
        <v>0</v>
      </c>
      <c r="BV2694" s="3"/>
      <c r="BW2694" s="3"/>
    </row>
    <row r="2695" spans="1:75">
      <c r="A2695" s="1" t="s">
        <v>40794</v>
      </c>
      <c r="B2695" s="1" t="s">
        <v>446</v>
      </c>
      <c r="C2695" s="1" t="s">
        <v>43807</v>
      </c>
      <c r="D2695" s="1" t="s">
        <v>43808</v>
      </c>
      <c r="E2695" s="1" t="s">
        <v>1964</v>
      </c>
      <c r="F2695" s="1" t="s">
        <v>43809</v>
      </c>
      <c r="G2695" s="1" t="s">
        <v>43810</v>
      </c>
      <c r="H2695" s="1" t="s">
        <v>43811</v>
      </c>
      <c r="I2695" s="1" t="s">
        <v>43812</v>
      </c>
      <c r="J2695" s="1">
        <v>9167170423</v>
      </c>
      <c r="K2695" s="1" t="s">
        <v>153</v>
      </c>
      <c r="L2695" s="1" t="s">
        <v>43813</v>
      </c>
      <c r="M2695" s="1" t="s">
        <v>86</v>
      </c>
      <c r="N2695" s="1" t="s">
        <v>43814</v>
      </c>
      <c r="O2695" s="1"/>
      <c r="P2695" s="1" t="s">
        <v>1028</v>
      </c>
      <c r="Q2695" s="1" t="s">
        <v>43815</v>
      </c>
      <c r="R2695" s="1" t="s">
        <v>43809</v>
      </c>
      <c r="S2695" s="1">
        <v>9833703789</v>
      </c>
      <c r="T2695" s="1" t="s">
        <v>43816</v>
      </c>
      <c r="U2695" s="1" t="s">
        <v>43817</v>
      </c>
      <c r="V2695" s="1">
        <v>9769014918</v>
      </c>
      <c r="W2695" s="1" t="s">
        <v>278</v>
      </c>
      <c r="X2695" s="1" t="s">
        <v>43818</v>
      </c>
      <c r="Y2695" s="1" t="s">
        <v>1189</v>
      </c>
      <c r="Z2695" s="1" t="s">
        <v>97</v>
      </c>
      <c r="AA2695" s="1" t="s">
        <v>43819</v>
      </c>
      <c r="AB2695" s="1" t="s">
        <v>1882</v>
      </c>
      <c r="AC2695" s="1" t="s">
        <v>97</v>
      </c>
      <c r="AD2695" s="1">
        <v>7.65</v>
      </c>
      <c r="AE2695" s="1" t="s">
        <v>98</v>
      </c>
      <c r="AF2695" s="1" t="s">
        <v>43820</v>
      </c>
      <c r="AG2695" s="1" t="s">
        <v>1968</v>
      </c>
      <c r="AH2695" s="1" t="s">
        <v>166</v>
      </c>
      <c r="AI2695" s="1" t="s">
        <v>167</v>
      </c>
      <c r="AJ2695" s="1">
        <v>72.2</v>
      </c>
      <c r="AK2695" s="1"/>
      <c r="AL2695" s="1"/>
      <c r="AM2695" s="1"/>
      <c r="AN2695" s="1"/>
      <c r="AO2695" s="1"/>
      <c r="AP2695" s="1"/>
      <c r="AQ2695" s="1"/>
      <c r="AR2695" s="1"/>
      <c r="AS2695" s="1" t="s">
        <v>103</v>
      </c>
      <c r="AT2695" s="1" t="s">
        <v>43821</v>
      </c>
      <c r="AU2695" s="1" t="s">
        <v>139</v>
      </c>
      <c r="AV2695" s="1" t="s">
        <v>438</v>
      </c>
      <c r="AW2695" s="1">
        <v>70.06</v>
      </c>
      <c r="AX2695" s="1"/>
      <c r="AY2695" s="1" t="s">
        <v>680</v>
      </c>
      <c r="AZ2695" s="1" t="s">
        <v>43822</v>
      </c>
      <c r="BA2695" s="1" t="s">
        <v>578</v>
      </c>
      <c r="BB2695" s="1" t="s">
        <v>467</v>
      </c>
      <c r="BC2695" s="1" t="s">
        <v>206</v>
      </c>
      <c r="BD2695" s="1" t="s">
        <v>110</v>
      </c>
      <c r="BE2695" s="1">
        <v>71.01</v>
      </c>
      <c r="BF2695" s="1"/>
      <c r="BG2695" s="1"/>
      <c r="BH2695" s="1" t="s">
        <v>6026</v>
      </c>
      <c r="BI2695" s="1"/>
      <c r="BJ2695" s="1"/>
      <c r="BK2695" s="1" t="s">
        <v>1401</v>
      </c>
      <c r="BL2695" s="1" t="s">
        <v>43823</v>
      </c>
      <c r="BM2695" s="1">
        <v>0</v>
      </c>
      <c r="BN2695" s="1"/>
      <c r="BO2695" s="1" t="s">
        <v>43824</v>
      </c>
      <c r="BP2695" s="1" t="s">
        <v>43825</v>
      </c>
      <c r="BQ2695" s="1" t="s">
        <v>2245</v>
      </c>
      <c r="BR2695" s="1" t="s">
        <v>43826</v>
      </c>
      <c r="BS2695" s="1">
        <v>8</v>
      </c>
      <c r="BT2695" s="1" t="s">
        <v>43827</v>
      </c>
      <c r="BU2695" s="1" t="str">
        <f>HYPERLINK("https://nconnect.nicmar.ac.in/storage/profile/ProfilePhoto_P25701139_685329.jpg","Download")</f>
        <v>0</v>
      </c>
      <c r="BV2695" s="3"/>
      <c r="BW2695" s="4">
        <v>1</v>
      </c>
    </row>
    <row r="2696" spans="1:75">
      <c r="A2696" s="1" t="s">
        <v>40794</v>
      </c>
      <c r="B2696" s="1" t="s">
        <v>446</v>
      </c>
      <c r="C2696" s="1" t="s">
        <v>43828</v>
      </c>
      <c r="D2696" s="1" t="s">
        <v>3041</v>
      </c>
      <c r="E2696" s="1" t="s">
        <v>1136</v>
      </c>
      <c r="F2696" s="1" t="s">
        <v>1179</v>
      </c>
      <c r="G2696" s="1" t="s">
        <v>43829</v>
      </c>
      <c r="H2696" s="1" t="s">
        <v>43830</v>
      </c>
      <c r="I2696" s="1" t="s">
        <v>43831</v>
      </c>
      <c r="J2696" s="1">
        <v>9850059829</v>
      </c>
      <c r="K2696" s="1" t="s">
        <v>153</v>
      </c>
      <c r="L2696" s="1" t="s">
        <v>43832</v>
      </c>
      <c r="M2696" s="1" t="s">
        <v>86</v>
      </c>
      <c r="N2696" s="1" t="s">
        <v>6088</v>
      </c>
      <c r="O2696" s="1"/>
      <c r="P2696" s="1" t="s">
        <v>481</v>
      </c>
      <c r="Q2696" s="1" t="s">
        <v>43833</v>
      </c>
      <c r="R2696" s="1" t="s">
        <v>1136</v>
      </c>
      <c r="S2696" s="1">
        <v>9272630873</v>
      </c>
      <c r="T2696" s="1" t="s">
        <v>645</v>
      </c>
      <c r="U2696" s="1" t="s">
        <v>34195</v>
      </c>
      <c r="V2696" s="1">
        <v>9822553515</v>
      </c>
      <c r="W2696" s="1" t="s">
        <v>278</v>
      </c>
      <c r="X2696" s="1" t="s">
        <v>43834</v>
      </c>
      <c r="Y2696" s="1" t="s">
        <v>5181</v>
      </c>
      <c r="Z2696" s="1" t="s">
        <v>97</v>
      </c>
      <c r="AA2696" s="1" t="s">
        <v>43834</v>
      </c>
      <c r="AB2696" s="1" t="s">
        <v>5181</v>
      </c>
      <c r="AC2696" s="1" t="s">
        <v>97</v>
      </c>
      <c r="AD2696" s="1">
        <v>7.91</v>
      </c>
      <c r="AE2696" s="1" t="s">
        <v>98</v>
      </c>
      <c r="AF2696" s="1" t="s">
        <v>43835</v>
      </c>
      <c r="AG2696" s="1" t="s">
        <v>165</v>
      </c>
      <c r="AH2696" s="1" t="s">
        <v>170</v>
      </c>
      <c r="AI2696" s="1" t="s">
        <v>106</v>
      </c>
      <c r="AJ2696" s="1">
        <v>84.2</v>
      </c>
      <c r="AK2696" s="1"/>
      <c r="AL2696" s="1" t="s">
        <v>43836</v>
      </c>
      <c r="AM2696" s="1" t="s">
        <v>165</v>
      </c>
      <c r="AN2696" s="1"/>
      <c r="AO2696" s="1" t="s">
        <v>438</v>
      </c>
      <c r="AP2696" s="1" t="s">
        <v>1040</v>
      </c>
      <c r="AQ2696" s="1">
        <v>63.85</v>
      </c>
      <c r="AR2696" s="1"/>
      <c r="AS2696" s="1"/>
      <c r="AT2696" s="1"/>
      <c r="AU2696" s="1"/>
      <c r="AV2696" s="1"/>
      <c r="AW2696" s="1"/>
      <c r="AX2696" s="1"/>
      <c r="AY2696" s="1" t="s">
        <v>366</v>
      </c>
      <c r="AZ2696" s="1" t="s">
        <v>43837</v>
      </c>
      <c r="BA2696" s="1"/>
      <c r="BB2696" s="1"/>
      <c r="BC2696" s="1" t="s">
        <v>368</v>
      </c>
      <c r="BD2696" s="1" t="s">
        <v>848</v>
      </c>
      <c r="BE2696" s="1">
        <v>59.5</v>
      </c>
      <c r="BF2696" s="1">
        <v>6.69</v>
      </c>
      <c r="BG2696" s="1"/>
      <c r="BH2696" s="1"/>
      <c r="BI2696" s="1"/>
      <c r="BJ2696" s="1"/>
      <c r="BK2696" s="1"/>
      <c r="BL2696" s="1"/>
      <c r="BM2696" s="1"/>
      <c r="BN2696" s="1"/>
      <c r="BO2696" s="1" t="s">
        <v>43838</v>
      </c>
      <c r="BP2696" s="1"/>
      <c r="BQ2696" s="1"/>
      <c r="BR2696" s="1" t="s">
        <v>43839</v>
      </c>
      <c r="BS2696" s="1">
        <v>24</v>
      </c>
      <c r="BT2696" s="1" t="s">
        <v>43840</v>
      </c>
      <c r="BU2696" s="1" t="str">
        <f>HYPERLINK("https://nconnect.nicmar.ac.in/storage/profile/ProfilePhoto_P25701140_987256.jpg","Download")</f>
        <v>0</v>
      </c>
      <c r="BV2696" s="3"/>
      <c r="BW2696" s="3"/>
    </row>
    <row r="2697" spans="1:75">
      <c r="A2697" s="1" t="s">
        <v>40794</v>
      </c>
      <c r="B2697" s="1" t="s">
        <v>446</v>
      </c>
      <c r="C2697" s="1" t="s">
        <v>43841</v>
      </c>
      <c r="D2697" s="1" t="s">
        <v>43842</v>
      </c>
      <c r="E2697" s="1" t="s">
        <v>500</v>
      </c>
      <c r="F2697" s="1" t="s">
        <v>43843</v>
      </c>
      <c r="G2697" s="1" t="s">
        <v>43844</v>
      </c>
      <c r="H2697" s="1" t="s">
        <v>43845</v>
      </c>
      <c r="I2697" s="1" t="s">
        <v>43846</v>
      </c>
      <c r="J2697" s="1">
        <v>9922911601</v>
      </c>
      <c r="K2697" s="1" t="s">
        <v>84</v>
      </c>
      <c r="L2697" s="1" t="s">
        <v>43847</v>
      </c>
      <c r="M2697" s="1" t="s">
        <v>86</v>
      </c>
      <c r="N2697" s="1" t="s">
        <v>4652</v>
      </c>
      <c r="O2697" s="1"/>
      <c r="P2697" s="1" t="s">
        <v>507</v>
      </c>
      <c r="Q2697" s="1" t="s">
        <v>43848</v>
      </c>
      <c r="R2697" s="1" t="s">
        <v>43849</v>
      </c>
      <c r="S2697" s="1">
        <v>9527601601</v>
      </c>
      <c r="T2697" s="1" t="s">
        <v>4693</v>
      </c>
      <c r="U2697" s="1" t="s">
        <v>43850</v>
      </c>
      <c r="V2697" s="1">
        <v>9850881601</v>
      </c>
      <c r="W2697" s="1" t="s">
        <v>127</v>
      </c>
      <c r="X2697" s="1" t="s">
        <v>43851</v>
      </c>
      <c r="Y2697" s="1" t="s">
        <v>163</v>
      </c>
      <c r="Z2697" s="1" t="s">
        <v>97</v>
      </c>
      <c r="AA2697" s="1" t="s">
        <v>43851</v>
      </c>
      <c r="AB2697" s="1" t="s">
        <v>163</v>
      </c>
      <c r="AC2697" s="1" t="s">
        <v>97</v>
      </c>
      <c r="AD2697" s="1">
        <v>8.79</v>
      </c>
      <c r="AE2697" s="1" t="s">
        <v>98</v>
      </c>
      <c r="AF2697" s="1" t="s">
        <v>43852</v>
      </c>
      <c r="AG2697" s="1" t="s">
        <v>1968</v>
      </c>
      <c r="AH2697" s="1" t="s">
        <v>167</v>
      </c>
      <c r="AI2697" s="1" t="s">
        <v>200</v>
      </c>
      <c r="AJ2697" s="1">
        <v>86</v>
      </c>
      <c r="AK2697" s="1"/>
      <c r="AL2697" s="1" t="s">
        <v>43853</v>
      </c>
      <c r="AM2697" s="1" t="s">
        <v>1968</v>
      </c>
      <c r="AN2697" s="1" t="s">
        <v>465</v>
      </c>
      <c r="AO2697" s="1" t="s">
        <v>106</v>
      </c>
      <c r="AP2697" s="1" t="s">
        <v>203</v>
      </c>
      <c r="AQ2697" s="1">
        <v>65.08</v>
      </c>
      <c r="AR2697" s="1"/>
      <c r="AS2697" s="1"/>
      <c r="AT2697" s="1"/>
      <c r="AU2697" s="1"/>
      <c r="AV2697" s="1"/>
      <c r="AW2697" s="1"/>
      <c r="AX2697" s="1"/>
      <c r="AY2697" s="1" t="s">
        <v>366</v>
      </c>
      <c r="AZ2697" s="1" t="s">
        <v>43854</v>
      </c>
      <c r="BA2697" s="1" t="s">
        <v>578</v>
      </c>
      <c r="BB2697" s="1" t="s">
        <v>23143</v>
      </c>
      <c r="BC2697" s="1" t="s">
        <v>206</v>
      </c>
      <c r="BD2697" s="1" t="s">
        <v>579</v>
      </c>
      <c r="BE2697" s="1">
        <v>72</v>
      </c>
      <c r="BF2697" s="1">
        <v>8.09</v>
      </c>
      <c r="BG2697" s="1"/>
      <c r="BH2697" s="1"/>
      <c r="BI2697" s="1"/>
      <c r="BJ2697" s="1"/>
      <c r="BK2697" s="1"/>
      <c r="BL2697" s="1"/>
      <c r="BM2697" s="1"/>
      <c r="BN2697" s="1"/>
      <c r="BO2697" s="1" t="s">
        <v>43855</v>
      </c>
      <c r="BP2697" s="1" t="s">
        <v>43856</v>
      </c>
      <c r="BQ2697" s="1" t="s">
        <v>1152</v>
      </c>
      <c r="BR2697" s="1" t="s">
        <v>43857</v>
      </c>
      <c r="BS2697" s="1">
        <v>47</v>
      </c>
      <c r="BT2697" s="1"/>
      <c r="BU2697" s="1" t="str">
        <f>HYPERLINK("https://nconnect.nicmar.ac.in/storage/profile/ProfilePhoto_P25701141_658723.jpg","Download")</f>
        <v>0</v>
      </c>
      <c r="BV2697" s="3"/>
      <c r="BW2697" s="4">
        <v>1</v>
      </c>
    </row>
    <row r="2698" spans="1:75">
      <c r="A2698" s="1" t="s">
        <v>40794</v>
      </c>
      <c r="B2698" s="1" t="s">
        <v>446</v>
      </c>
      <c r="C2698" s="1" t="s">
        <v>43858</v>
      </c>
      <c r="D2698" s="1" t="s">
        <v>3545</v>
      </c>
      <c r="E2698" s="1" t="s">
        <v>43859</v>
      </c>
      <c r="F2698" s="1" t="s">
        <v>13825</v>
      </c>
      <c r="G2698" s="1" t="s">
        <v>43860</v>
      </c>
      <c r="H2698" s="1" t="s">
        <v>43861</v>
      </c>
      <c r="I2698" s="1" t="s">
        <v>43862</v>
      </c>
      <c r="J2698" s="1">
        <v>7249631292</v>
      </c>
      <c r="K2698" s="1" t="s">
        <v>84</v>
      </c>
      <c r="L2698" s="1" t="s">
        <v>12438</v>
      </c>
      <c r="M2698" s="1" t="s">
        <v>86</v>
      </c>
      <c r="N2698" s="1" t="s">
        <v>618</v>
      </c>
      <c r="O2698" s="1"/>
      <c r="P2698" s="1" t="s">
        <v>5904</v>
      </c>
      <c r="Q2698" s="1" t="s">
        <v>43863</v>
      </c>
      <c r="R2698" s="1" t="s">
        <v>43859</v>
      </c>
      <c r="S2698" s="1">
        <v>9552929250</v>
      </c>
      <c r="T2698" s="1" t="s">
        <v>159</v>
      </c>
      <c r="U2698" s="1" t="s">
        <v>29289</v>
      </c>
      <c r="V2698" s="1">
        <v>7249831292</v>
      </c>
      <c r="W2698" s="1" t="s">
        <v>159</v>
      </c>
      <c r="X2698" s="1" t="s">
        <v>43864</v>
      </c>
      <c r="Y2698" s="1" t="s">
        <v>5181</v>
      </c>
      <c r="Z2698" s="1" t="s">
        <v>97</v>
      </c>
      <c r="AA2698" s="1" t="s">
        <v>43864</v>
      </c>
      <c r="AB2698" s="1" t="s">
        <v>5181</v>
      </c>
      <c r="AC2698" s="1" t="s">
        <v>97</v>
      </c>
      <c r="AD2698" s="1">
        <v>7.86</v>
      </c>
      <c r="AE2698" s="1" t="s">
        <v>98</v>
      </c>
      <c r="AF2698" s="1" t="s">
        <v>43865</v>
      </c>
      <c r="AG2698" s="1" t="s">
        <v>1310</v>
      </c>
      <c r="AH2698" s="1" t="s">
        <v>573</v>
      </c>
      <c r="AI2698" s="1" t="s">
        <v>171</v>
      </c>
      <c r="AJ2698" s="1">
        <v>61.17</v>
      </c>
      <c r="AK2698" s="1"/>
      <c r="AL2698" s="1" t="s">
        <v>43866</v>
      </c>
      <c r="AM2698" s="1" t="s">
        <v>25901</v>
      </c>
      <c r="AN2698" s="1" t="s">
        <v>2995</v>
      </c>
      <c r="AO2698" s="1" t="s">
        <v>438</v>
      </c>
      <c r="AP2698" s="1" t="s">
        <v>178</v>
      </c>
      <c r="AQ2698" s="1">
        <v>70.46</v>
      </c>
      <c r="AR2698" s="1"/>
      <c r="AS2698" s="1"/>
      <c r="AT2698" s="1"/>
      <c r="AU2698" s="1"/>
      <c r="AV2698" s="1"/>
      <c r="AW2698" s="1"/>
      <c r="AX2698" s="1"/>
      <c r="AY2698" s="1" t="s">
        <v>43867</v>
      </c>
      <c r="AZ2698" s="1" t="s">
        <v>2670</v>
      </c>
      <c r="BA2698" s="1" t="s">
        <v>43868</v>
      </c>
      <c r="BB2698" s="1" t="s">
        <v>38714</v>
      </c>
      <c r="BC2698" s="1" t="s">
        <v>1171</v>
      </c>
      <c r="BD2698" s="1" t="s">
        <v>1089</v>
      </c>
      <c r="BE2698" s="1">
        <v>79.3</v>
      </c>
      <c r="BF2698" s="1">
        <v>7.93</v>
      </c>
      <c r="BG2698" s="1"/>
      <c r="BH2698" s="1"/>
      <c r="BI2698" s="1"/>
      <c r="BJ2698" s="1"/>
      <c r="BK2698" s="1"/>
      <c r="BL2698" s="1"/>
      <c r="BM2698" s="1"/>
      <c r="BN2698" s="1"/>
      <c r="BO2698" s="1" t="s">
        <v>43869</v>
      </c>
      <c r="BP2698" s="1"/>
      <c r="BQ2698" s="1"/>
      <c r="BR2698" s="1" t="s">
        <v>43870</v>
      </c>
      <c r="BS2698" s="1">
        <v>8</v>
      </c>
      <c r="BT2698" s="1"/>
      <c r="BU2698" s="1" t="str">
        <f>HYPERLINK("https://nconnect.nicmar.ac.in/storage/profile/ProfilePhoto_P25701142_867349.jpg","Download")</f>
        <v>0</v>
      </c>
      <c r="BV2698" s="3"/>
      <c r="BW2698" s="3"/>
    </row>
    <row r="2699" spans="1:75">
      <c r="A2699" s="1" t="s">
        <v>40794</v>
      </c>
      <c r="B2699" s="1" t="s">
        <v>446</v>
      </c>
      <c r="C2699" s="1" t="s">
        <v>43871</v>
      </c>
      <c r="D2699" s="1" t="s">
        <v>1319</v>
      </c>
      <c r="E2699" s="1" t="s">
        <v>149</v>
      </c>
      <c r="F2699" s="1" t="s">
        <v>43872</v>
      </c>
      <c r="G2699" s="1" t="s">
        <v>43873</v>
      </c>
      <c r="H2699" s="1" t="s">
        <v>43874</v>
      </c>
      <c r="I2699" s="1" t="s">
        <v>43875</v>
      </c>
      <c r="J2699" s="1">
        <v>7843092944</v>
      </c>
      <c r="K2699" s="1" t="s">
        <v>84</v>
      </c>
      <c r="L2699" s="1" t="s">
        <v>43876</v>
      </c>
      <c r="M2699" s="1" t="s">
        <v>86</v>
      </c>
      <c r="N2699" s="1" t="s">
        <v>618</v>
      </c>
      <c r="O2699" s="1"/>
      <c r="P2699" s="1" t="s">
        <v>507</v>
      </c>
      <c r="Q2699" s="1" t="s">
        <v>43877</v>
      </c>
      <c r="R2699" s="1" t="s">
        <v>149</v>
      </c>
      <c r="S2699" s="1">
        <v>9922811058</v>
      </c>
      <c r="T2699" s="1" t="s">
        <v>7168</v>
      </c>
      <c r="U2699" s="1" t="s">
        <v>6765</v>
      </c>
      <c r="V2699" s="1">
        <v>9730166806</v>
      </c>
      <c r="W2699" s="1" t="s">
        <v>161</v>
      </c>
      <c r="X2699" s="1" t="s">
        <v>43878</v>
      </c>
      <c r="Y2699" s="1" t="s">
        <v>1989</v>
      </c>
      <c r="Z2699" s="1" t="s">
        <v>97</v>
      </c>
      <c r="AA2699" s="1" t="s">
        <v>43878</v>
      </c>
      <c r="AB2699" s="1" t="s">
        <v>1989</v>
      </c>
      <c r="AC2699" s="1" t="s">
        <v>97</v>
      </c>
      <c r="AD2699" s="1">
        <v>7.47</v>
      </c>
      <c r="AE2699" s="1" t="s">
        <v>98</v>
      </c>
      <c r="AF2699" s="1" t="s">
        <v>43879</v>
      </c>
      <c r="AG2699" s="1" t="s">
        <v>165</v>
      </c>
      <c r="AH2699" s="1" t="s">
        <v>101</v>
      </c>
      <c r="AI2699" s="1" t="s">
        <v>102</v>
      </c>
      <c r="AJ2699" s="1">
        <v>77.4</v>
      </c>
      <c r="AK2699" s="1"/>
      <c r="AL2699" s="1" t="s">
        <v>43879</v>
      </c>
      <c r="AM2699" s="1" t="s">
        <v>165</v>
      </c>
      <c r="AN2699" s="1" t="s">
        <v>465</v>
      </c>
      <c r="AO2699" s="1" t="s">
        <v>167</v>
      </c>
      <c r="AP2699" s="1" t="s">
        <v>518</v>
      </c>
      <c r="AQ2699" s="1">
        <v>63.54</v>
      </c>
      <c r="AR2699" s="1"/>
      <c r="AS2699" s="1" t="s">
        <v>103</v>
      </c>
      <c r="AT2699" s="1" t="s">
        <v>43880</v>
      </c>
      <c r="AU2699" s="1" t="s">
        <v>388</v>
      </c>
      <c r="AV2699" s="1" t="s">
        <v>438</v>
      </c>
      <c r="AW2699" s="1">
        <v>65.45</v>
      </c>
      <c r="AX2699" s="1"/>
      <c r="AY2699" s="1" t="s">
        <v>1038</v>
      </c>
      <c r="AZ2699" s="1" t="s">
        <v>43881</v>
      </c>
      <c r="BA2699" s="1" t="s">
        <v>466</v>
      </c>
      <c r="BB2699" s="1" t="s">
        <v>467</v>
      </c>
      <c r="BC2699" s="1" t="s">
        <v>315</v>
      </c>
      <c r="BD2699" s="1" t="s">
        <v>1886</v>
      </c>
      <c r="BE2699" s="1">
        <v>77.77</v>
      </c>
      <c r="BF2699" s="1">
        <v>8.41</v>
      </c>
      <c r="BG2699" s="1"/>
      <c r="BH2699" s="1"/>
      <c r="BI2699" s="1"/>
      <c r="BJ2699" s="1"/>
      <c r="BK2699" s="1"/>
      <c r="BL2699" s="1"/>
      <c r="BM2699" s="1"/>
      <c r="BN2699" s="1"/>
      <c r="BO2699" s="1" t="s">
        <v>43882</v>
      </c>
      <c r="BP2699" s="1" t="s">
        <v>43883</v>
      </c>
      <c r="BQ2699" s="1" t="s">
        <v>582</v>
      </c>
      <c r="BR2699" s="1" t="s">
        <v>43884</v>
      </c>
      <c r="BS2699" s="1">
        <v>8</v>
      </c>
      <c r="BT2699" s="1"/>
      <c r="BU2699" s="1" t="str">
        <f>HYPERLINK("https://nconnect.nicmar.ac.in/storage/profile/ProfilePhoto_P25701143_256148.jpg","Download")</f>
        <v>0</v>
      </c>
      <c r="BV2699" s="3"/>
      <c r="BW2699" s="3"/>
    </row>
    <row r="2700" spans="1:75">
      <c r="A2700" s="1" t="s">
        <v>40794</v>
      </c>
      <c r="B2700" s="1" t="s">
        <v>446</v>
      </c>
      <c r="C2700" s="1" t="s">
        <v>43885</v>
      </c>
      <c r="D2700" s="1" t="s">
        <v>7813</v>
      </c>
      <c r="E2700" s="1" t="s">
        <v>18083</v>
      </c>
      <c r="F2700" s="1" t="s">
        <v>43886</v>
      </c>
      <c r="G2700" s="1" t="s">
        <v>43887</v>
      </c>
      <c r="H2700" s="1" t="s">
        <v>43888</v>
      </c>
      <c r="I2700" s="1" t="s">
        <v>43889</v>
      </c>
      <c r="J2700" s="1">
        <v>8767022422</v>
      </c>
      <c r="K2700" s="1" t="s">
        <v>84</v>
      </c>
      <c r="L2700" s="1" t="s">
        <v>12287</v>
      </c>
      <c r="M2700" s="1" t="s">
        <v>86</v>
      </c>
      <c r="N2700" s="1" t="s">
        <v>1027</v>
      </c>
      <c r="O2700" s="1"/>
      <c r="P2700" s="1" t="s">
        <v>455</v>
      </c>
      <c r="Q2700" s="1" t="s">
        <v>43890</v>
      </c>
      <c r="R2700" s="1" t="s">
        <v>43891</v>
      </c>
      <c r="S2700" s="1">
        <v>9420081217</v>
      </c>
      <c r="T2700" s="1" t="s">
        <v>839</v>
      </c>
      <c r="U2700" s="1" t="s">
        <v>43892</v>
      </c>
      <c r="V2700" s="1">
        <v>9422207681</v>
      </c>
      <c r="W2700" s="1" t="s">
        <v>161</v>
      </c>
      <c r="X2700" s="1" t="s">
        <v>43893</v>
      </c>
      <c r="Y2700" s="1" t="s">
        <v>196</v>
      </c>
      <c r="Z2700" s="1" t="s">
        <v>97</v>
      </c>
      <c r="AA2700" s="1" t="s">
        <v>43893</v>
      </c>
      <c r="AB2700" s="1" t="s">
        <v>196</v>
      </c>
      <c r="AC2700" s="1" t="s">
        <v>97</v>
      </c>
      <c r="AD2700" s="1">
        <v>8.21</v>
      </c>
      <c r="AE2700" s="1" t="s">
        <v>98</v>
      </c>
      <c r="AF2700" s="1" t="s">
        <v>43894</v>
      </c>
      <c r="AG2700" s="1" t="s">
        <v>1968</v>
      </c>
      <c r="AH2700" s="1" t="s">
        <v>170</v>
      </c>
      <c r="AI2700" s="1" t="s">
        <v>286</v>
      </c>
      <c r="AJ2700" s="1">
        <v>79.8</v>
      </c>
      <c r="AK2700" s="1"/>
      <c r="AL2700" s="1" t="s">
        <v>43895</v>
      </c>
      <c r="AM2700" s="1" t="s">
        <v>1968</v>
      </c>
      <c r="AN2700" s="1" t="s">
        <v>465</v>
      </c>
      <c r="AO2700" s="1" t="s">
        <v>438</v>
      </c>
      <c r="AP2700" s="1" t="s">
        <v>365</v>
      </c>
      <c r="AQ2700" s="1">
        <v>61.08</v>
      </c>
      <c r="AR2700" s="1"/>
      <c r="AS2700" s="1"/>
      <c r="AT2700" s="1"/>
      <c r="AU2700" s="1"/>
      <c r="AV2700" s="1"/>
      <c r="AW2700" s="1"/>
      <c r="AX2700" s="1"/>
      <c r="AY2700" s="1" t="s">
        <v>40877</v>
      </c>
      <c r="AZ2700" s="1" t="s">
        <v>43896</v>
      </c>
      <c r="BA2700" s="1" t="s">
        <v>682</v>
      </c>
      <c r="BB2700" s="1" t="s">
        <v>1479</v>
      </c>
      <c r="BC2700" s="1" t="s">
        <v>365</v>
      </c>
      <c r="BD2700" s="1" t="s">
        <v>848</v>
      </c>
      <c r="BE2700" s="1">
        <v>65.32</v>
      </c>
      <c r="BF2700" s="1">
        <v>7.34</v>
      </c>
      <c r="BG2700" s="1"/>
      <c r="BH2700" s="1"/>
      <c r="BI2700" s="1"/>
      <c r="BJ2700" s="1"/>
      <c r="BK2700" s="1"/>
      <c r="BL2700" s="1"/>
      <c r="BM2700" s="1"/>
      <c r="BN2700" s="1"/>
      <c r="BO2700" s="1" t="s">
        <v>43897</v>
      </c>
      <c r="BP2700" s="1"/>
      <c r="BQ2700" s="1"/>
      <c r="BR2700" s="1" t="s">
        <v>43898</v>
      </c>
      <c r="BS2700" s="1">
        <v>34</v>
      </c>
      <c r="BT2700" s="1" t="s">
        <v>43899</v>
      </c>
      <c r="BU2700" s="1" t="str">
        <f>HYPERLINK("https://nconnect.nicmar.ac.in/storage/profile/ProfilePhoto_P25701144_961284.jpg","Download")</f>
        <v>0</v>
      </c>
      <c r="BV2700" s="3"/>
      <c r="BW2700" s="3"/>
    </row>
    <row r="2701" spans="1:75">
      <c r="A2701" s="1" t="s">
        <v>40794</v>
      </c>
      <c r="B2701" s="1" t="s">
        <v>446</v>
      </c>
      <c r="C2701" s="1" t="s">
        <v>43900</v>
      </c>
      <c r="D2701" s="1" t="s">
        <v>43901</v>
      </c>
      <c r="E2701" s="1"/>
      <c r="F2701" s="1" t="s">
        <v>43902</v>
      </c>
      <c r="G2701" s="1" t="s">
        <v>43903</v>
      </c>
      <c r="H2701" s="1" t="s">
        <v>43904</v>
      </c>
      <c r="I2701" s="1" t="s">
        <v>43905</v>
      </c>
      <c r="J2701" s="1">
        <v>9123170638</v>
      </c>
      <c r="K2701" s="1" t="s">
        <v>84</v>
      </c>
      <c r="L2701" s="1" t="s">
        <v>43906</v>
      </c>
      <c r="M2701" s="1" t="s">
        <v>86</v>
      </c>
      <c r="N2701" s="1" t="s">
        <v>33137</v>
      </c>
      <c r="O2701" s="1"/>
      <c r="P2701" s="1" t="s">
        <v>1028</v>
      </c>
      <c r="Q2701" s="1" t="s">
        <v>43907</v>
      </c>
      <c r="R2701" s="1" t="s">
        <v>43908</v>
      </c>
      <c r="S2701" s="1">
        <v>7004176990</v>
      </c>
      <c r="T2701" s="1" t="s">
        <v>125</v>
      </c>
      <c r="U2701" s="1" t="s">
        <v>43909</v>
      </c>
      <c r="V2701" s="1">
        <v>7004176990</v>
      </c>
      <c r="W2701" s="1" t="s">
        <v>541</v>
      </c>
      <c r="X2701" s="1" t="s">
        <v>43910</v>
      </c>
      <c r="Y2701" s="1" t="s">
        <v>8299</v>
      </c>
      <c r="Z2701" s="1" t="s">
        <v>2955</v>
      </c>
      <c r="AA2701" s="1" t="s">
        <v>43910</v>
      </c>
      <c r="AB2701" s="1" t="s">
        <v>8299</v>
      </c>
      <c r="AC2701" s="1" t="s">
        <v>2955</v>
      </c>
      <c r="AD2701" s="1">
        <v>8.07</v>
      </c>
      <c r="AE2701" s="1" t="s">
        <v>98</v>
      </c>
      <c r="AF2701" s="1" t="s">
        <v>43911</v>
      </c>
      <c r="AG2701" s="1" t="s">
        <v>43912</v>
      </c>
      <c r="AH2701" s="1" t="s">
        <v>31156</v>
      </c>
      <c r="AI2701" s="1" t="s">
        <v>1262</v>
      </c>
      <c r="AJ2701" s="1">
        <v>68.4</v>
      </c>
      <c r="AK2701" s="1">
        <v>7.2</v>
      </c>
      <c r="AL2701" s="1" t="s">
        <v>43913</v>
      </c>
      <c r="AM2701" s="1" t="s">
        <v>43914</v>
      </c>
      <c r="AN2701" s="1"/>
      <c r="AO2701" s="1" t="s">
        <v>1214</v>
      </c>
      <c r="AP2701" s="1" t="s">
        <v>4940</v>
      </c>
      <c r="AQ2701" s="1">
        <v>60.19</v>
      </c>
      <c r="AR2701" s="1"/>
      <c r="AS2701" s="1"/>
      <c r="AT2701" s="1"/>
      <c r="AU2701" s="1"/>
      <c r="AV2701" s="1"/>
      <c r="AW2701" s="1"/>
      <c r="AX2701" s="1"/>
      <c r="AY2701" s="1" t="s">
        <v>1240</v>
      </c>
      <c r="AZ2701" s="1" t="s">
        <v>43915</v>
      </c>
      <c r="BA2701" s="1"/>
      <c r="BB2701" s="1"/>
      <c r="BC2701" s="1" t="s">
        <v>388</v>
      </c>
      <c r="BD2701" s="1" t="s">
        <v>549</v>
      </c>
      <c r="BE2701" s="1">
        <v>65.4</v>
      </c>
      <c r="BF2701" s="1">
        <v>7.26</v>
      </c>
      <c r="BG2701" s="1"/>
      <c r="BH2701" s="1"/>
      <c r="BI2701" s="1"/>
      <c r="BJ2701" s="1"/>
      <c r="BK2701" s="1"/>
      <c r="BL2701" s="1"/>
      <c r="BM2701" s="1"/>
      <c r="BN2701" s="1"/>
      <c r="BO2701" s="1" t="s">
        <v>43916</v>
      </c>
      <c r="BP2701" s="1"/>
      <c r="BQ2701" s="1"/>
      <c r="BR2701" s="1" t="s">
        <v>43917</v>
      </c>
      <c r="BS2701" s="1">
        <v>9</v>
      </c>
      <c r="BT2701" s="1" t="s">
        <v>43918</v>
      </c>
      <c r="BU2701" s="1" t="str">
        <f>HYPERLINK("https://nconnect.nicmar.ac.in/storage/profile/ProfilePhoto_P25701145_172436.jpg","Download")</f>
        <v>0</v>
      </c>
      <c r="BV2701" s="3"/>
      <c r="BW2701" s="3"/>
    </row>
    <row r="2702" spans="1:75">
      <c r="A2702" s="1" t="s">
        <v>40794</v>
      </c>
      <c r="B2702" s="1" t="s">
        <v>446</v>
      </c>
      <c r="C2702" s="1" t="s">
        <v>43919</v>
      </c>
      <c r="D2702" s="1" t="s">
        <v>6030</v>
      </c>
      <c r="E2702" s="1" t="s">
        <v>5466</v>
      </c>
      <c r="F2702" s="1" t="s">
        <v>762</v>
      </c>
      <c r="G2702" s="1" t="s">
        <v>43920</v>
      </c>
      <c r="H2702" s="1" t="s">
        <v>43921</v>
      </c>
      <c r="I2702" s="1" t="s">
        <v>43922</v>
      </c>
      <c r="J2702" s="1">
        <v>9326542755</v>
      </c>
      <c r="K2702" s="1" t="s">
        <v>84</v>
      </c>
      <c r="L2702" s="1" t="s">
        <v>36305</v>
      </c>
      <c r="M2702" s="1" t="s">
        <v>86</v>
      </c>
      <c r="N2702" s="1" t="s">
        <v>4972</v>
      </c>
      <c r="O2702" s="1"/>
      <c r="P2702" s="1" t="s">
        <v>481</v>
      </c>
      <c r="Q2702" s="1" t="s">
        <v>43923</v>
      </c>
      <c r="R2702" s="1" t="s">
        <v>762</v>
      </c>
      <c r="S2702" s="1">
        <v>9223394330</v>
      </c>
      <c r="T2702" s="1" t="s">
        <v>645</v>
      </c>
      <c r="U2702" s="1" t="s">
        <v>2281</v>
      </c>
      <c r="V2702" s="1">
        <v>9833954330</v>
      </c>
      <c r="W2702" s="1" t="s">
        <v>4695</v>
      </c>
      <c r="X2702" s="1" t="s">
        <v>43924</v>
      </c>
      <c r="Y2702" s="1" t="s">
        <v>1012</v>
      </c>
      <c r="Z2702" s="1" t="s">
        <v>97</v>
      </c>
      <c r="AA2702" s="1" t="s">
        <v>43924</v>
      </c>
      <c r="AB2702" s="1" t="s">
        <v>1012</v>
      </c>
      <c r="AC2702" s="1" t="s">
        <v>97</v>
      </c>
      <c r="AD2702" s="1">
        <v>8.28</v>
      </c>
      <c r="AE2702" s="1" t="s">
        <v>98</v>
      </c>
      <c r="AF2702" s="1" t="s">
        <v>43925</v>
      </c>
      <c r="AG2702" s="1" t="s">
        <v>165</v>
      </c>
      <c r="AH2702" s="1" t="s">
        <v>170</v>
      </c>
      <c r="AI2702" s="1" t="s">
        <v>106</v>
      </c>
      <c r="AJ2702" s="1">
        <v>92.6</v>
      </c>
      <c r="AK2702" s="1"/>
      <c r="AL2702" s="1" t="s">
        <v>43926</v>
      </c>
      <c r="AM2702" s="1" t="s">
        <v>165</v>
      </c>
      <c r="AN2702" s="1" t="s">
        <v>465</v>
      </c>
      <c r="AO2702" s="1" t="s">
        <v>438</v>
      </c>
      <c r="AP2702" s="1" t="s">
        <v>417</v>
      </c>
      <c r="AQ2702" s="1">
        <v>81.38</v>
      </c>
      <c r="AR2702" s="1"/>
      <c r="AS2702" s="1"/>
      <c r="AT2702" s="1"/>
      <c r="AU2702" s="1"/>
      <c r="AV2702" s="1"/>
      <c r="AW2702" s="1"/>
      <c r="AX2702" s="1"/>
      <c r="AY2702" s="1" t="s">
        <v>258</v>
      </c>
      <c r="AZ2702" s="1" t="s">
        <v>43927</v>
      </c>
      <c r="BA2702" s="1" t="s">
        <v>578</v>
      </c>
      <c r="BB2702" s="1" t="s">
        <v>467</v>
      </c>
      <c r="BC2702" s="1" t="s">
        <v>178</v>
      </c>
      <c r="BD2702" s="1" t="s">
        <v>1089</v>
      </c>
      <c r="BE2702" s="1">
        <v>73.65</v>
      </c>
      <c r="BF2702" s="1">
        <v>8.15</v>
      </c>
      <c r="BG2702" s="1"/>
      <c r="BH2702" s="1"/>
      <c r="BI2702" s="1"/>
      <c r="BJ2702" s="1"/>
      <c r="BK2702" s="1"/>
      <c r="BL2702" s="1"/>
      <c r="BM2702" s="1"/>
      <c r="BN2702" s="1"/>
      <c r="BO2702" s="1" t="s">
        <v>43928</v>
      </c>
      <c r="BP2702" s="1" t="s">
        <v>43929</v>
      </c>
      <c r="BQ2702" s="1" t="s">
        <v>893</v>
      </c>
      <c r="BR2702" s="1" t="s">
        <v>43930</v>
      </c>
      <c r="BS2702" s="1">
        <v>14</v>
      </c>
      <c r="BT2702" s="1" t="s">
        <v>43931</v>
      </c>
      <c r="BU2702" s="1" t="str">
        <f>HYPERLINK("https://nconnect.nicmar.ac.in/storage/profile/ProfilePhoto_P25701147_438629.jpg","Download")</f>
        <v>0</v>
      </c>
      <c r="BV2702" s="3"/>
      <c r="BW2702" s="3"/>
    </row>
    <row r="2703" spans="1:75">
      <c r="A2703" s="1" t="s">
        <v>40794</v>
      </c>
      <c r="B2703" s="1" t="s">
        <v>446</v>
      </c>
      <c r="C2703" s="1" t="s">
        <v>43932</v>
      </c>
      <c r="D2703" s="1" t="s">
        <v>2097</v>
      </c>
      <c r="E2703" s="1"/>
      <c r="F2703" s="1" t="s">
        <v>239</v>
      </c>
      <c r="G2703" s="1" t="s">
        <v>43933</v>
      </c>
      <c r="H2703" s="1" t="s">
        <v>43934</v>
      </c>
      <c r="I2703" s="1" t="s">
        <v>43935</v>
      </c>
      <c r="J2703" s="1">
        <v>9304045767</v>
      </c>
      <c r="K2703" s="1" t="s">
        <v>84</v>
      </c>
      <c r="L2703" s="1" t="s">
        <v>43936</v>
      </c>
      <c r="M2703" s="1" t="s">
        <v>86</v>
      </c>
      <c r="N2703" s="1" t="s">
        <v>87</v>
      </c>
      <c r="O2703" s="1" t="s">
        <v>43937</v>
      </c>
      <c r="P2703" s="1" t="s">
        <v>455</v>
      </c>
      <c r="Q2703" s="1" t="s">
        <v>43938</v>
      </c>
      <c r="R2703" s="1" t="s">
        <v>43939</v>
      </c>
      <c r="S2703" s="1">
        <v>9431720013</v>
      </c>
      <c r="T2703" s="1" t="s">
        <v>125</v>
      </c>
      <c r="U2703" s="1" t="s">
        <v>5386</v>
      </c>
      <c r="V2703" s="1">
        <v>7979755542</v>
      </c>
      <c r="W2703" s="1" t="s">
        <v>278</v>
      </c>
      <c r="X2703" s="1" t="s">
        <v>43940</v>
      </c>
      <c r="Y2703" s="1" t="s">
        <v>196</v>
      </c>
      <c r="Z2703" s="1" t="s">
        <v>97</v>
      </c>
      <c r="AA2703" s="1" t="s">
        <v>43941</v>
      </c>
      <c r="AB2703" s="1" t="s">
        <v>8299</v>
      </c>
      <c r="AC2703" s="1" t="s">
        <v>2955</v>
      </c>
      <c r="AD2703" s="1">
        <v>7.63</v>
      </c>
      <c r="AE2703" s="1" t="s">
        <v>98</v>
      </c>
      <c r="AF2703" s="1" t="s">
        <v>43911</v>
      </c>
      <c r="AG2703" s="1" t="s">
        <v>775</v>
      </c>
      <c r="AH2703" s="1" t="s">
        <v>3421</v>
      </c>
      <c r="AI2703" s="1" t="s">
        <v>1262</v>
      </c>
      <c r="AJ2703" s="1">
        <v>64.6</v>
      </c>
      <c r="AK2703" s="1">
        <v>6.8</v>
      </c>
      <c r="AL2703" s="1" t="s">
        <v>43911</v>
      </c>
      <c r="AM2703" s="1" t="s">
        <v>312</v>
      </c>
      <c r="AN2703" s="1"/>
      <c r="AO2703" s="1" t="s">
        <v>1110</v>
      </c>
      <c r="AP2703" s="1" t="s">
        <v>627</v>
      </c>
      <c r="AQ2703" s="1">
        <v>65</v>
      </c>
      <c r="AR2703" s="1">
        <v>6.9</v>
      </c>
      <c r="AS2703" s="1"/>
      <c r="AT2703" s="1"/>
      <c r="AU2703" s="1"/>
      <c r="AV2703" s="1"/>
      <c r="AW2703" s="1"/>
      <c r="AX2703" s="1"/>
      <c r="AY2703" s="1" t="s">
        <v>43942</v>
      </c>
      <c r="AZ2703" s="1" t="s">
        <v>43943</v>
      </c>
      <c r="BA2703" s="1"/>
      <c r="BB2703" s="1"/>
      <c r="BC2703" s="1" t="s">
        <v>230</v>
      </c>
      <c r="BD2703" s="1" t="s">
        <v>549</v>
      </c>
      <c r="BE2703" s="1">
        <v>70</v>
      </c>
      <c r="BF2703" s="1">
        <v>7.82</v>
      </c>
      <c r="BG2703" s="1"/>
      <c r="BH2703" s="1"/>
      <c r="BI2703" s="1"/>
      <c r="BJ2703" s="1"/>
      <c r="BK2703" s="1"/>
      <c r="BL2703" s="1"/>
      <c r="BM2703" s="1"/>
      <c r="BN2703" s="1"/>
      <c r="BO2703" s="1" t="s">
        <v>8688</v>
      </c>
      <c r="BP2703" s="1"/>
      <c r="BQ2703" s="1"/>
      <c r="BR2703" s="1" t="s">
        <v>43944</v>
      </c>
      <c r="BS2703" s="1">
        <v>16</v>
      </c>
      <c r="BT2703" s="1" t="s">
        <v>43945</v>
      </c>
      <c r="BU2703" s="1" t="str">
        <f>HYPERLINK("https://nconnect.nicmar.ac.in/storage/profile/ProfilePhoto_P25701148_372981.jpg","Download")</f>
        <v>0</v>
      </c>
      <c r="BV2703" s="3"/>
      <c r="BW2703" s="3"/>
    </row>
    <row r="2704" spans="1:75">
      <c r="A2704" s="1" t="s">
        <v>40794</v>
      </c>
      <c r="B2704" s="1" t="s">
        <v>446</v>
      </c>
      <c r="C2704" s="1" t="s">
        <v>43946</v>
      </c>
      <c r="D2704" s="1" t="s">
        <v>43947</v>
      </c>
      <c r="E2704" s="1"/>
      <c r="F2704" s="1" t="s">
        <v>43948</v>
      </c>
      <c r="G2704" s="1" t="s">
        <v>43949</v>
      </c>
      <c r="H2704" s="1" t="s">
        <v>43950</v>
      </c>
      <c r="I2704" s="1" t="s">
        <v>43951</v>
      </c>
      <c r="J2704" s="1">
        <v>7207535559</v>
      </c>
      <c r="K2704" s="1" t="s">
        <v>153</v>
      </c>
      <c r="L2704" s="1" t="s">
        <v>43952</v>
      </c>
      <c r="M2704" s="1" t="s">
        <v>86</v>
      </c>
      <c r="N2704" s="1" t="s">
        <v>43953</v>
      </c>
      <c r="O2704" s="1" t="s">
        <v>43954</v>
      </c>
      <c r="P2704" s="1" t="s">
        <v>1028</v>
      </c>
      <c r="Q2704" s="1" t="s">
        <v>43955</v>
      </c>
      <c r="R2704" s="1" t="s">
        <v>43956</v>
      </c>
      <c r="S2704" s="1">
        <v>7702615999</v>
      </c>
      <c r="T2704" s="1" t="s">
        <v>159</v>
      </c>
      <c r="U2704" s="1" t="s">
        <v>43957</v>
      </c>
      <c r="V2704" s="1">
        <v>9030888805</v>
      </c>
      <c r="W2704" s="1" t="s">
        <v>161</v>
      </c>
      <c r="X2704" s="1" t="s">
        <v>43958</v>
      </c>
      <c r="Y2704" s="1" t="s">
        <v>1416</v>
      </c>
      <c r="Z2704" s="1" t="s">
        <v>281</v>
      </c>
      <c r="AA2704" s="1" t="s">
        <v>43958</v>
      </c>
      <c r="AB2704" s="1" t="s">
        <v>1416</v>
      </c>
      <c r="AC2704" s="1" t="s">
        <v>281</v>
      </c>
      <c r="AD2704" s="1">
        <v>8.16</v>
      </c>
      <c r="AE2704" s="1" t="s">
        <v>98</v>
      </c>
      <c r="AF2704" s="1" t="s">
        <v>43959</v>
      </c>
      <c r="AG2704" s="1" t="s">
        <v>43960</v>
      </c>
      <c r="AH2704" s="1" t="s">
        <v>170</v>
      </c>
      <c r="AI2704" s="1" t="s">
        <v>286</v>
      </c>
      <c r="AJ2704" s="1">
        <v>92</v>
      </c>
      <c r="AK2704" s="1">
        <v>9.2</v>
      </c>
      <c r="AL2704" s="1" t="s">
        <v>285</v>
      </c>
      <c r="AM2704" s="1" t="s">
        <v>43960</v>
      </c>
      <c r="AN2704" s="1"/>
      <c r="AO2704" s="1" t="s">
        <v>438</v>
      </c>
      <c r="AP2704" s="1" t="s">
        <v>603</v>
      </c>
      <c r="AQ2704" s="1">
        <v>71.6</v>
      </c>
      <c r="AR2704" s="1">
        <v>7.69</v>
      </c>
      <c r="AS2704" s="1"/>
      <c r="AT2704" s="1"/>
      <c r="AU2704" s="1"/>
      <c r="AV2704" s="1"/>
      <c r="AW2704" s="1"/>
      <c r="AX2704" s="1"/>
      <c r="AY2704" s="1" t="s">
        <v>43961</v>
      </c>
      <c r="AZ2704" s="1" t="s">
        <v>43961</v>
      </c>
      <c r="BA2704" s="1"/>
      <c r="BB2704" s="1"/>
      <c r="BC2704" s="1" t="s">
        <v>178</v>
      </c>
      <c r="BD2704" s="1" t="s">
        <v>1314</v>
      </c>
      <c r="BE2704" s="1">
        <v>77.9</v>
      </c>
      <c r="BF2704" s="1">
        <v>8.54</v>
      </c>
      <c r="BG2704" s="1"/>
      <c r="BH2704" s="1"/>
      <c r="BI2704" s="1"/>
      <c r="BJ2704" s="1"/>
      <c r="BK2704" s="1"/>
      <c r="BL2704" s="1"/>
      <c r="BM2704" s="1"/>
      <c r="BN2704" s="1"/>
      <c r="BO2704" s="1" t="s">
        <v>43962</v>
      </c>
      <c r="BP2704" s="1"/>
      <c r="BQ2704" s="1"/>
      <c r="BR2704" s="1" t="s">
        <v>43963</v>
      </c>
      <c r="BS2704" s="1">
        <v>15</v>
      </c>
      <c r="BT2704" s="1" t="s">
        <v>43964</v>
      </c>
      <c r="BU2704" s="1" t="str">
        <f>HYPERLINK("https://nconnect.nicmar.ac.in/storage/profile/ProfilePhoto_P25701149_837291.jpg","Download")</f>
        <v>0</v>
      </c>
      <c r="BV2704" s="3"/>
      <c r="BW2704" s="3"/>
    </row>
    <row r="2705" spans="1:75">
      <c r="A2705" s="1" t="s">
        <v>40794</v>
      </c>
      <c r="B2705" s="1" t="s">
        <v>446</v>
      </c>
      <c r="C2705" s="1" t="s">
        <v>43965</v>
      </c>
      <c r="D2705" s="1" t="s">
        <v>43966</v>
      </c>
      <c r="E2705" s="1"/>
      <c r="F2705" s="1" t="s">
        <v>43967</v>
      </c>
      <c r="G2705" s="1" t="s">
        <v>43968</v>
      </c>
      <c r="H2705" s="1" t="s">
        <v>43969</v>
      </c>
      <c r="I2705" s="1" t="s">
        <v>43970</v>
      </c>
      <c r="J2705" s="1">
        <v>9322215902</v>
      </c>
      <c r="K2705" s="1" t="s">
        <v>153</v>
      </c>
      <c r="L2705" s="1" t="s">
        <v>23216</v>
      </c>
      <c r="M2705" s="1" t="s">
        <v>86</v>
      </c>
      <c r="N2705" s="1" t="s">
        <v>43971</v>
      </c>
      <c r="O2705" s="1"/>
      <c r="P2705" s="1" t="s">
        <v>481</v>
      </c>
      <c r="Q2705" s="1" t="s">
        <v>43972</v>
      </c>
      <c r="R2705" s="1" t="s">
        <v>43973</v>
      </c>
      <c r="S2705" s="1">
        <v>9987085902</v>
      </c>
      <c r="T2705" s="1" t="s">
        <v>645</v>
      </c>
      <c r="U2705" s="1" t="s">
        <v>43974</v>
      </c>
      <c r="V2705" s="1">
        <v>7021805690</v>
      </c>
      <c r="W2705" s="1" t="s">
        <v>161</v>
      </c>
      <c r="X2705" s="1" t="s">
        <v>43975</v>
      </c>
      <c r="Y2705" s="1" t="s">
        <v>1012</v>
      </c>
      <c r="Z2705" s="1" t="s">
        <v>97</v>
      </c>
      <c r="AA2705" s="1" t="s">
        <v>43975</v>
      </c>
      <c r="AB2705" s="1" t="s">
        <v>1012</v>
      </c>
      <c r="AC2705" s="1" t="s">
        <v>97</v>
      </c>
      <c r="AD2705" s="1">
        <v>8.7</v>
      </c>
      <c r="AE2705" s="1" t="s">
        <v>98</v>
      </c>
      <c r="AF2705" s="1" t="s">
        <v>43976</v>
      </c>
      <c r="AG2705" s="1" t="s">
        <v>312</v>
      </c>
      <c r="AH2705" s="1" t="s">
        <v>167</v>
      </c>
      <c r="AI2705" s="1" t="s">
        <v>170</v>
      </c>
      <c r="AJ2705" s="1">
        <v>91.2</v>
      </c>
      <c r="AK2705" s="1">
        <v>9.6</v>
      </c>
      <c r="AL2705" s="1" t="s">
        <v>43976</v>
      </c>
      <c r="AM2705" s="1" t="s">
        <v>312</v>
      </c>
      <c r="AN2705" s="1" t="s">
        <v>465</v>
      </c>
      <c r="AO2705" s="1" t="s">
        <v>171</v>
      </c>
      <c r="AP2705" s="1" t="s">
        <v>313</v>
      </c>
      <c r="AQ2705" s="1">
        <v>87.4</v>
      </c>
      <c r="AR2705" s="1"/>
      <c r="AS2705" s="1"/>
      <c r="AT2705" s="1"/>
      <c r="AU2705" s="1"/>
      <c r="AV2705" s="1"/>
      <c r="AW2705" s="1"/>
      <c r="AX2705" s="1"/>
      <c r="AY2705" s="1" t="s">
        <v>680</v>
      </c>
      <c r="AZ2705" s="1" t="s">
        <v>43977</v>
      </c>
      <c r="BA2705" s="1" t="s">
        <v>682</v>
      </c>
      <c r="BB2705" s="1" t="s">
        <v>1561</v>
      </c>
      <c r="BC2705" s="1" t="s">
        <v>315</v>
      </c>
      <c r="BD2705" s="1" t="s">
        <v>1314</v>
      </c>
      <c r="BE2705" s="1">
        <v>73.79</v>
      </c>
      <c r="BF2705" s="1">
        <v>8.35</v>
      </c>
      <c r="BG2705" s="1"/>
      <c r="BH2705" s="1"/>
      <c r="BI2705" s="1"/>
      <c r="BJ2705" s="1"/>
      <c r="BK2705" s="1"/>
      <c r="BL2705" s="1"/>
      <c r="BM2705" s="1"/>
      <c r="BN2705" s="1"/>
      <c r="BO2705" s="1" t="s">
        <v>43978</v>
      </c>
      <c r="BP2705" s="1" t="s">
        <v>43979</v>
      </c>
      <c r="BQ2705" s="1" t="s">
        <v>2577</v>
      </c>
      <c r="BR2705" s="1" t="s">
        <v>43980</v>
      </c>
      <c r="BS2705" s="1">
        <v>36</v>
      </c>
      <c r="BT2705" s="1" t="s">
        <v>43981</v>
      </c>
      <c r="BU2705" s="1" t="str">
        <f>HYPERLINK("https://nconnect.nicmar.ac.in/storage/profile/ProfilePhoto_P25701151_132857.jpg","Download")</f>
        <v>0</v>
      </c>
      <c r="BV2705" s="3"/>
      <c r="BW2705" s="3"/>
    </row>
    <row r="2706" spans="1:75">
      <c r="A2706" s="1" t="s">
        <v>40794</v>
      </c>
      <c r="B2706" s="1" t="s">
        <v>446</v>
      </c>
      <c r="C2706" s="1" t="s">
        <v>43982</v>
      </c>
      <c r="D2706" s="1" t="s">
        <v>7813</v>
      </c>
      <c r="E2706" s="1"/>
      <c r="F2706" s="1" t="s">
        <v>6636</v>
      </c>
      <c r="G2706" s="1" t="s">
        <v>43983</v>
      </c>
      <c r="H2706" s="1" t="s">
        <v>43984</v>
      </c>
      <c r="I2706" s="1" t="s">
        <v>43985</v>
      </c>
      <c r="J2706" s="1">
        <v>9773336261</v>
      </c>
      <c r="K2706" s="1" t="s">
        <v>84</v>
      </c>
      <c r="L2706" s="1" t="s">
        <v>1079</v>
      </c>
      <c r="M2706" s="1" t="s">
        <v>86</v>
      </c>
      <c r="N2706" s="1" t="s">
        <v>4278</v>
      </c>
      <c r="O2706" s="1"/>
      <c r="P2706" s="1" t="s">
        <v>455</v>
      </c>
      <c r="Q2706" s="1" t="s">
        <v>43986</v>
      </c>
      <c r="R2706" s="1" t="s">
        <v>43987</v>
      </c>
      <c r="S2706" s="1">
        <v>9001992323</v>
      </c>
      <c r="T2706" s="1" t="s">
        <v>839</v>
      </c>
      <c r="U2706" s="1" t="s">
        <v>43988</v>
      </c>
      <c r="V2706" s="1">
        <v>7878100252</v>
      </c>
      <c r="W2706" s="1" t="s">
        <v>161</v>
      </c>
      <c r="X2706" s="1" t="s">
        <v>43989</v>
      </c>
      <c r="Y2706" s="1" t="s">
        <v>41982</v>
      </c>
      <c r="Z2706" s="1" t="s">
        <v>2153</v>
      </c>
      <c r="AA2706" s="1" t="s">
        <v>43989</v>
      </c>
      <c r="AB2706" s="1" t="s">
        <v>41982</v>
      </c>
      <c r="AC2706" s="1" t="s">
        <v>2153</v>
      </c>
      <c r="AD2706" s="1">
        <v>7.44</v>
      </c>
      <c r="AE2706" s="1" t="s">
        <v>98</v>
      </c>
      <c r="AF2706" s="1" t="s">
        <v>43990</v>
      </c>
      <c r="AG2706" s="1" t="s">
        <v>43991</v>
      </c>
      <c r="AH2706" s="1" t="s">
        <v>704</v>
      </c>
      <c r="AI2706" s="1" t="s">
        <v>286</v>
      </c>
      <c r="AJ2706" s="1">
        <v>82</v>
      </c>
      <c r="AK2706" s="1"/>
      <c r="AL2706" s="1" t="s">
        <v>43990</v>
      </c>
      <c r="AM2706" s="1" t="s">
        <v>43991</v>
      </c>
      <c r="AN2706" s="1"/>
      <c r="AO2706" s="1" t="s">
        <v>547</v>
      </c>
      <c r="AP2706" s="1" t="s">
        <v>603</v>
      </c>
      <c r="AQ2706" s="1">
        <v>72</v>
      </c>
      <c r="AR2706" s="1"/>
      <c r="AS2706" s="1"/>
      <c r="AT2706" s="1"/>
      <c r="AU2706" s="1"/>
      <c r="AV2706" s="1"/>
      <c r="AW2706" s="1"/>
      <c r="AX2706" s="1"/>
      <c r="AY2706" s="1" t="s">
        <v>9545</v>
      </c>
      <c r="AZ2706" s="1" t="s">
        <v>43992</v>
      </c>
      <c r="BA2706" s="1"/>
      <c r="BB2706" s="1"/>
      <c r="BC2706" s="1" t="s">
        <v>1647</v>
      </c>
      <c r="BD2706" s="1" t="s">
        <v>418</v>
      </c>
      <c r="BE2706" s="1">
        <v>66.48</v>
      </c>
      <c r="BF2706" s="1">
        <v>7.45</v>
      </c>
      <c r="BG2706" s="1"/>
      <c r="BH2706" s="1"/>
      <c r="BI2706" s="1"/>
      <c r="BJ2706" s="1"/>
      <c r="BK2706" s="1"/>
      <c r="BL2706" s="1"/>
      <c r="BM2706" s="1"/>
      <c r="BN2706" s="1"/>
      <c r="BO2706" s="1" t="s">
        <v>43993</v>
      </c>
      <c r="BP2706" s="1" t="s">
        <v>43994</v>
      </c>
      <c r="BQ2706" s="1" t="s">
        <v>471</v>
      </c>
      <c r="BR2706" s="1" t="s">
        <v>43995</v>
      </c>
      <c r="BS2706" s="1">
        <v>8</v>
      </c>
      <c r="BT2706" s="1" t="s">
        <v>43996</v>
      </c>
      <c r="BU2706" s="1" t="str">
        <f>HYPERLINK("https://nconnect.nicmar.ac.in/storage/profile/ProfilePhoto_P25701152_148367.jpg","Download")</f>
        <v>0</v>
      </c>
      <c r="BV2706" s="3"/>
      <c r="BW2706" s="3"/>
    </row>
    <row r="2707" spans="1:75">
      <c r="A2707" s="1" t="s">
        <v>40794</v>
      </c>
      <c r="B2707" s="1" t="s">
        <v>446</v>
      </c>
      <c r="C2707" s="1" t="s">
        <v>43997</v>
      </c>
      <c r="D2707" s="1" t="s">
        <v>43998</v>
      </c>
      <c r="E2707" s="1" t="s">
        <v>43999</v>
      </c>
      <c r="F2707" s="1" t="s">
        <v>3218</v>
      </c>
      <c r="G2707" s="1" t="s">
        <v>44000</v>
      </c>
      <c r="H2707" s="1" t="s">
        <v>44001</v>
      </c>
      <c r="I2707" s="1" t="s">
        <v>44002</v>
      </c>
      <c r="J2707" s="1">
        <v>8669796805</v>
      </c>
      <c r="K2707" s="1" t="s">
        <v>84</v>
      </c>
      <c r="L2707" s="1" t="s">
        <v>44003</v>
      </c>
      <c r="M2707" s="1" t="s">
        <v>86</v>
      </c>
      <c r="N2707" s="1" t="s">
        <v>1163</v>
      </c>
      <c r="O2707" s="1" t="s">
        <v>44004</v>
      </c>
      <c r="P2707" s="1" t="s">
        <v>481</v>
      </c>
      <c r="Q2707" s="1" t="s">
        <v>44005</v>
      </c>
      <c r="R2707" s="1" t="s">
        <v>44006</v>
      </c>
      <c r="S2707" s="1">
        <v>9637282922</v>
      </c>
      <c r="T2707" s="1" t="s">
        <v>539</v>
      </c>
      <c r="U2707" s="1" t="s">
        <v>44007</v>
      </c>
      <c r="V2707" s="1">
        <v>7385223090</v>
      </c>
      <c r="W2707" s="1" t="s">
        <v>539</v>
      </c>
      <c r="X2707" s="1" t="s">
        <v>44008</v>
      </c>
      <c r="Y2707" s="1" t="s">
        <v>163</v>
      </c>
      <c r="Z2707" s="1" t="s">
        <v>97</v>
      </c>
      <c r="AA2707" s="1" t="s">
        <v>44008</v>
      </c>
      <c r="AB2707" s="1" t="s">
        <v>163</v>
      </c>
      <c r="AC2707" s="1" t="s">
        <v>97</v>
      </c>
      <c r="AD2707" s="1">
        <v>7.51</v>
      </c>
      <c r="AE2707" s="1" t="s">
        <v>98</v>
      </c>
      <c r="AF2707" s="1" t="s">
        <v>44009</v>
      </c>
      <c r="AG2707" s="1" t="s">
        <v>165</v>
      </c>
      <c r="AH2707" s="1" t="s">
        <v>200</v>
      </c>
      <c r="AI2707" s="1" t="s">
        <v>286</v>
      </c>
      <c r="AJ2707" s="1">
        <v>84.6</v>
      </c>
      <c r="AK2707" s="1"/>
      <c r="AL2707" s="1" t="s">
        <v>44010</v>
      </c>
      <c r="AM2707" s="1" t="s">
        <v>165</v>
      </c>
      <c r="AN2707" s="1" t="s">
        <v>465</v>
      </c>
      <c r="AO2707" s="1" t="s">
        <v>203</v>
      </c>
      <c r="AP2707" s="1" t="s">
        <v>365</v>
      </c>
      <c r="AQ2707" s="1">
        <v>68</v>
      </c>
      <c r="AR2707" s="1"/>
      <c r="AS2707" s="1"/>
      <c r="AT2707" s="1"/>
      <c r="AU2707" s="1"/>
      <c r="AV2707" s="1"/>
      <c r="AW2707" s="1"/>
      <c r="AX2707" s="1"/>
      <c r="AY2707" s="1" t="s">
        <v>107</v>
      </c>
      <c r="AZ2707" s="1" t="s">
        <v>44011</v>
      </c>
      <c r="BA2707" s="1" t="s">
        <v>466</v>
      </c>
      <c r="BB2707" s="1" t="s">
        <v>23143</v>
      </c>
      <c r="BC2707" s="1" t="s">
        <v>368</v>
      </c>
      <c r="BD2707" s="1" t="s">
        <v>1089</v>
      </c>
      <c r="BE2707" s="1">
        <v>70.2</v>
      </c>
      <c r="BF2707" s="1">
        <v>7.52</v>
      </c>
      <c r="BG2707" s="1"/>
      <c r="BH2707" s="1"/>
      <c r="BI2707" s="1"/>
      <c r="BJ2707" s="1"/>
      <c r="BK2707" s="1"/>
      <c r="BL2707" s="1"/>
      <c r="BM2707" s="1"/>
      <c r="BN2707" s="1"/>
      <c r="BO2707" s="1" t="s">
        <v>44012</v>
      </c>
      <c r="BP2707" s="1"/>
      <c r="BQ2707" s="1"/>
      <c r="BR2707" s="1" t="s">
        <v>44013</v>
      </c>
      <c r="BS2707" s="1">
        <v>61</v>
      </c>
      <c r="BT2707" s="1" t="s">
        <v>44014</v>
      </c>
      <c r="BU2707" s="1" t="str">
        <f>HYPERLINK("https://nconnect.nicmar.ac.in/storage/profile/ProfilePhoto_P25701103_576182.jpg","Download")</f>
        <v>0</v>
      </c>
      <c r="BV2707" s="3"/>
      <c r="BW2707" s="4">
        <v>1</v>
      </c>
    </row>
    <row r="2708" spans="1:75">
      <c r="A2708" s="1" t="s">
        <v>40794</v>
      </c>
      <c r="B2708" s="1" t="s">
        <v>446</v>
      </c>
      <c r="C2708" s="1" t="s">
        <v>44015</v>
      </c>
      <c r="D2708" s="1" t="s">
        <v>875</v>
      </c>
      <c r="E2708" s="1"/>
      <c r="F2708" s="1" t="s">
        <v>6636</v>
      </c>
      <c r="G2708" s="1" t="s">
        <v>44016</v>
      </c>
      <c r="H2708" s="1" t="s">
        <v>44017</v>
      </c>
      <c r="I2708" s="1" t="s">
        <v>44018</v>
      </c>
      <c r="J2708" s="1">
        <v>6392907773</v>
      </c>
      <c r="K2708" s="1" t="s">
        <v>84</v>
      </c>
      <c r="L2708" s="1" t="s">
        <v>2873</v>
      </c>
      <c r="M2708" s="1" t="s">
        <v>86</v>
      </c>
      <c r="N2708" s="1" t="s">
        <v>246</v>
      </c>
      <c r="O2708" s="1" t="s">
        <v>44019</v>
      </c>
      <c r="P2708" s="1" t="s">
        <v>455</v>
      </c>
      <c r="Q2708" s="1" t="s">
        <v>44020</v>
      </c>
      <c r="R2708" s="1" t="s">
        <v>44021</v>
      </c>
      <c r="S2708" s="1">
        <v>9450314853</v>
      </c>
      <c r="T2708" s="1" t="s">
        <v>127</v>
      </c>
      <c r="U2708" s="1" t="s">
        <v>44022</v>
      </c>
      <c r="V2708" s="1">
        <v>9219661019</v>
      </c>
      <c r="W2708" s="1" t="s">
        <v>161</v>
      </c>
      <c r="X2708" s="1" t="s">
        <v>44023</v>
      </c>
      <c r="Y2708" s="1" t="s">
        <v>21987</v>
      </c>
      <c r="Z2708" s="1" t="s">
        <v>544</v>
      </c>
      <c r="AA2708" s="1" t="s">
        <v>44024</v>
      </c>
      <c r="AB2708" s="1" t="s">
        <v>44025</v>
      </c>
      <c r="AC2708" s="1" t="s">
        <v>544</v>
      </c>
      <c r="AD2708" s="1">
        <v>8.86</v>
      </c>
      <c r="AE2708" s="1" t="s">
        <v>98</v>
      </c>
      <c r="AF2708" s="1" t="s">
        <v>44026</v>
      </c>
      <c r="AG2708" s="1" t="s">
        <v>44027</v>
      </c>
      <c r="AH2708" s="1" t="s">
        <v>573</v>
      </c>
      <c r="AI2708" s="1" t="s">
        <v>171</v>
      </c>
      <c r="AJ2708" s="1">
        <v>63.2</v>
      </c>
      <c r="AK2708" s="1"/>
      <c r="AL2708" s="1" t="s">
        <v>44028</v>
      </c>
      <c r="AM2708" s="1" t="s">
        <v>44029</v>
      </c>
      <c r="AN2708" s="1" t="s">
        <v>44030</v>
      </c>
      <c r="AO2708" s="1" t="s">
        <v>178</v>
      </c>
      <c r="AP2708" s="1" t="s">
        <v>549</v>
      </c>
      <c r="AQ2708" s="1">
        <v>86.54</v>
      </c>
      <c r="AR2708" s="1"/>
      <c r="AS2708" s="1"/>
      <c r="AT2708" s="1"/>
      <c r="AU2708" s="1"/>
      <c r="AV2708" s="1"/>
      <c r="AW2708" s="1"/>
      <c r="AX2708" s="1"/>
      <c r="AY2708" s="1" t="s">
        <v>44031</v>
      </c>
      <c r="AZ2708" s="1" t="s">
        <v>44032</v>
      </c>
      <c r="BA2708" s="1" t="s">
        <v>37920</v>
      </c>
      <c r="BB2708" s="1" t="s">
        <v>38507</v>
      </c>
      <c r="BC2708" s="1" t="s">
        <v>549</v>
      </c>
      <c r="BD2708" s="1" t="s">
        <v>848</v>
      </c>
      <c r="BE2708" s="1">
        <v>80.3</v>
      </c>
      <c r="BF2708" s="1">
        <v>8.03</v>
      </c>
      <c r="BG2708" s="1"/>
      <c r="BH2708" s="1"/>
      <c r="BI2708" s="1"/>
      <c r="BJ2708" s="1"/>
      <c r="BK2708" s="1"/>
      <c r="BL2708" s="1"/>
      <c r="BM2708" s="1"/>
      <c r="BN2708" s="1"/>
      <c r="BO2708" s="1" t="s">
        <v>44033</v>
      </c>
      <c r="BP2708" s="1"/>
      <c r="BQ2708" s="1"/>
      <c r="BR2708" s="1" t="s">
        <v>44034</v>
      </c>
      <c r="BS2708" s="1">
        <v>15</v>
      </c>
      <c r="BT2708" s="1" t="s">
        <v>44035</v>
      </c>
      <c r="BU2708" s="1" t="str">
        <f>HYPERLINK("https://nconnect.nicmar.ac.in/storage/profile/ProfilePhoto_P25701104_261935.jpg","Download")</f>
        <v>0</v>
      </c>
      <c r="BV2708" s="3"/>
      <c r="BW2708" s="3"/>
    </row>
    <row r="2709" spans="1:75">
      <c r="A2709" s="1" t="s">
        <v>44036</v>
      </c>
      <c r="B2709" s="1" t="s">
        <v>13976</v>
      </c>
      <c r="C2709" s="1" t="s">
        <v>44037</v>
      </c>
      <c r="D2709" s="1" t="s">
        <v>44038</v>
      </c>
      <c r="E2709" s="1"/>
      <c r="F2709" s="1" t="s">
        <v>44039</v>
      </c>
      <c r="G2709" s="1" t="s">
        <v>44040</v>
      </c>
      <c r="H2709" s="1" t="s">
        <v>44041</v>
      </c>
      <c r="I2709" s="1" t="s">
        <v>44041</v>
      </c>
      <c r="J2709" s="1">
        <v>9418876711</v>
      </c>
      <c r="K2709" s="1" t="s">
        <v>84</v>
      </c>
      <c r="L2709" s="1" t="s">
        <v>44042</v>
      </c>
      <c r="M2709" s="1" t="s">
        <v>155</v>
      </c>
      <c r="N2709" s="1" t="s">
        <v>40729</v>
      </c>
      <c r="O2709" s="1" t="s">
        <v>157</v>
      </c>
      <c r="P2709" s="1" t="s">
        <v>122</v>
      </c>
      <c r="Q2709" s="1" t="s">
        <v>991</v>
      </c>
      <c r="R2709" s="1" t="s">
        <v>44043</v>
      </c>
      <c r="S2709" s="1">
        <v>9418876712</v>
      </c>
      <c r="T2709" s="1" t="s">
        <v>44044</v>
      </c>
      <c r="U2709" s="1" t="s">
        <v>44045</v>
      </c>
      <c r="V2709" s="1">
        <v>9418876713</v>
      </c>
      <c r="W2709" s="1" t="s">
        <v>14234</v>
      </c>
      <c r="X2709" s="1" t="s">
        <v>44046</v>
      </c>
      <c r="Y2709" s="1" t="s">
        <v>44047</v>
      </c>
      <c r="Z2709" s="1" t="s">
        <v>676</v>
      </c>
      <c r="AA2709" s="1" t="s">
        <v>44046</v>
      </c>
      <c r="AB2709" s="1" t="s">
        <v>44047</v>
      </c>
      <c r="AC2709" s="1" t="s">
        <v>676</v>
      </c>
      <c r="AD2709" s="1">
        <v>8.0</v>
      </c>
      <c r="AE2709" s="1" t="s">
        <v>98</v>
      </c>
      <c r="AF2709" s="1" t="s">
        <v>44048</v>
      </c>
      <c r="AG2709" s="1" t="s">
        <v>44048</v>
      </c>
      <c r="AH2709" s="1" t="s">
        <v>166</v>
      </c>
      <c r="AI2709" s="1" t="s">
        <v>1111</v>
      </c>
      <c r="AJ2709" s="1">
        <v>89.15</v>
      </c>
      <c r="AK2709" s="1">
        <v>8</v>
      </c>
      <c r="AL2709" s="1" t="s">
        <v>44049</v>
      </c>
      <c r="AM2709" s="1" t="s">
        <v>44050</v>
      </c>
      <c r="AN2709" s="1" t="s">
        <v>575</v>
      </c>
      <c r="AO2709" s="1" t="s">
        <v>167</v>
      </c>
      <c r="AP2709" s="1" t="s">
        <v>106</v>
      </c>
      <c r="AQ2709" s="1">
        <v>65.0</v>
      </c>
      <c r="AR2709" s="1"/>
      <c r="AS2709" s="1"/>
      <c r="AT2709" s="1"/>
      <c r="AU2709" s="1"/>
      <c r="AV2709" s="1"/>
      <c r="AW2709" s="1"/>
      <c r="AX2709" s="1"/>
      <c r="AY2709" s="1" t="s">
        <v>44051</v>
      </c>
      <c r="AZ2709" s="1" t="s">
        <v>44052</v>
      </c>
      <c r="BA2709" s="1" t="s">
        <v>578</v>
      </c>
      <c r="BB2709" s="1" t="s">
        <v>3661</v>
      </c>
      <c r="BC2709" s="1" t="s">
        <v>1065</v>
      </c>
      <c r="BD2709" s="1" t="s">
        <v>632</v>
      </c>
      <c r="BE2709" s="1">
        <v>61.0</v>
      </c>
      <c r="BF2709" s="1"/>
      <c r="BG2709" s="1"/>
      <c r="BH2709" s="1"/>
      <c r="BI2709" s="1"/>
      <c r="BJ2709" s="1"/>
      <c r="BK2709" s="1"/>
      <c r="BL2709" s="1"/>
      <c r="BM2709" s="1"/>
      <c r="BN2709" s="1"/>
      <c r="BO2709" s="1" t="s">
        <v>44053</v>
      </c>
      <c r="BP2709" s="1" t="s">
        <v>44054</v>
      </c>
      <c r="BQ2709" s="1" t="s">
        <v>12940</v>
      </c>
      <c r="BR2709" s="1" t="s">
        <v>44055</v>
      </c>
      <c r="BS2709" s="1">
        <v>10</v>
      </c>
      <c r="BT2709" s="1"/>
      <c r="BU2709" s="1" t="str">
        <f>HYPERLINK("https://nconnect.nicmar.ac.in/storage/profile/6a7047586c45a.png","Download")</f>
        <v>0</v>
      </c>
      <c r="BV2709" s="3"/>
      <c r="BW2709" s="4">
        <v>1</v>
      </c>
    </row>
    <row r="2710" spans="1:75">
      <c r="A2710" s="1" t="s">
        <v>44036</v>
      </c>
      <c r="B2710" s="1" t="s">
        <v>13976</v>
      </c>
      <c r="C2710" s="1" t="s">
        <v>44056</v>
      </c>
      <c r="D2710" s="1" t="s">
        <v>44038</v>
      </c>
      <c r="E2710" s="1"/>
      <c r="F2710" s="1" t="s">
        <v>44057</v>
      </c>
      <c r="G2710" s="1" t="s">
        <v>44058</v>
      </c>
      <c r="H2710" s="1" t="s">
        <v>44059</v>
      </c>
      <c r="I2710" s="1" t="s">
        <v>44059</v>
      </c>
      <c r="J2710" s="1">
        <v>9812551533</v>
      </c>
      <c r="K2710" s="1" t="s">
        <v>84</v>
      </c>
      <c r="L2710" s="1" t="s">
        <v>44060</v>
      </c>
      <c r="M2710" s="1" t="s">
        <v>155</v>
      </c>
      <c r="N2710" s="1" t="s">
        <v>8293</v>
      </c>
      <c r="O2710" s="1" t="s">
        <v>14445</v>
      </c>
      <c r="P2710" s="1" t="s">
        <v>89</v>
      </c>
      <c r="Q2710" s="1">
        <v>124578569245</v>
      </c>
      <c r="R2710" s="1" t="s">
        <v>44061</v>
      </c>
      <c r="S2710" s="1">
        <v>8168832890</v>
      </c>
      <c r="T2710" s="1" t="s">
        <v>44062</v>
      </c>
      <c r="U2710" s="1" t="s">
        <v>44063</v>
      </c>
      <c r="V2710" s="1">
        <v>8168932890</v>
      </c>
      <c r="W2710" s="1" t="s">
        <v>44062</v>
      </c>
      <c r="X2710" s="1" t="s">
        <v>44064</v>
      </c>
      <c r="Y2710" s="1" t="s">
        <v>44065</v>
      </c>
      <c r="Z2710" s="1" t="s">
        <v>1700</v>
      </c>
      <c r="AA2710" s="1" t="s">
        <v>44064</v>
      </c>
      <c r="AB2710" s="1" t="s">
        <v>44065</v>
      </c>
      <c r="AC2710" s="1" t="s">
        <v>1700</v>
      </c>
      <c r="AD2710" s="1">
        <v>8.5</v>
      </c>
      <c r="AE2710" s="1" t="s">
        <v>98</v>
      </c>
      <c r="AF2710" s="1" t="s">
        <v>44066</v>
      </c>
      <c r="AG2710" s="1" t="s">
        <v>44067</v>
      </c>
      <c r="AH2710" s="1" t="s">
        <v>170</v>
      </c>
      <c r="AI2710" s="1" t="s">
        <v>171</v>
      </c>
      <c r="AJ2710" s="1">
        <v>75</v>
      </c>
      <c r="AK2710" s="1">
        <v>7.5</v>
      </c>
      <c r="AL2710" s="1" t="s">
        <v>44068</v>
      </c>
      <c r="AM2710" s="1" t="s">
        <v>44067</v>
      </c>
      <c r="AN2710" s="1" t="s">
        <v>35580</v>
      </c>
      <c r="AO2710" s="1" t="s">
        <v>106</v>
      </c>
      <c r="AP2710" s="1" t="s">
        <v>313</v>
      </c>
      <c r="AQ2710" s="1">
        <v>80</v>
      </c>
      <c r="AR2710" s="1">
        <v>8</v>
      </c>
      <c r="AS2710" s="1" t="s">
        <v>44069</v>
      </c>
      <c r="AT2710" s="1" t="s">
        <v>44070</v>
      </c>
      <c r="AU2710" s="1" t="s">
        <v>438</v>
      </c>
      <c r="AV2710" s="1" t="s">
        <v>417</v>
      </c>
      <c r="AW2710" s="1">
        <v>65</v>
      </c>
      <c r="AX2710" s="1">
        <v>6</v>
      </c>
      <c r="AY2710" s="1" t="s">
        <v>44070</v>
      </c>
      <c r="AZ2710" s="1" t="s">
        <v>44071</v>
      </c>
      <c r="BA2710" s="1" t="s">
        <v>38008</v>
      </c>
      <c r="BB2710" s="1" t="s">
        <v>37921</v>
      </c>
      <c r="BC2710" s="1" t="s">
        <v>468</v>
      </c>
      <c r="BD2710" s="1" t="s">
        <v>234</v>
      </c>
      <c r="BE2710" s="1">
        <v>60</v>
      </c>
      <c r="BF2710" s="1">
        <v>6</v>
      </c>
      <c r="BG2710" s="1" t="s">
        <v>44070</v>
      </c>
      <c r="BH2710" s="1" t="s">
        <v>44071</v>
      </c>
      <c r="BI2710" s="1" t="s">
        <v>21842</v>
      </c>
      <c r="BJ2710" s="1" t="s">
        <v>18271</v>
      </c>
      <c r="BK2710" s="1" t="s">
        <v>955</v>
      </c>
      <c r="BL2710" s="1" t="s">
        <v>848</v>
      </c>
      <c r="BM2710" s="1">
        <v>75</v>
      </c>
      <c r="BN2710" s="1">
        <v>7</v>
      </c>
      <c r="BO2710" s="1" t="s">
        <v>44072</v>
      </c>
      <c r="BP2710" s="1" t="s">
        <v>44073</v>
      </c>
      <c r="BQ2710" s="1" t="s">
        <v>1070</v>
      </c>
      <c r="BR2710" s="1" t="s">
        <v>44074</v>
      </c>
      <c r="BS2710" s="1">
        <v>11</v>
      </c>
      <c r="BT2710" s="1"/>
      <c r="BU2710" s="1" t="str">
        <f>HYPERLINK("https://nconnect.nicmar.ac.in/storage/profile/6a83e6da5491d.png","Download")</f>
        <v>0</v>
      </c>
      <c r="BV2710" s="3"/>
      <c r="BW2710" s="4">
        <v>1</v>
      </c>
    </row>
    <row r="2711" spans="1:75">
      <c r="A2711" s="1" t="s">
        <v>44036</v>
      </c>
      <c r="B2711" s="1" t="s">
        <v>13976</v>
      </c>
      <c r="C2711" s="1" t="s">
        <v>44075</v>
      </c>
      <c r="D2711" s="1" t="s">
        <v>44076</v>
      </c>
      <c r="E2711" s="1"/>
      <c r="F2711" s="1" t="s">
        <v>44077</v>
      </c>
      <c r="G2711" s="1" t="s">
        <v>44078</v>
      </c>
      <c r="H2711" s="1" t="s">
        <v>44079</v>
      </c>
      <c r="I2711" s="1" t="s">
        <v>44079</v>
      </c>
      <c r="J2711" s="1">
        <v>9812551533</v>
      </c>
      <c r="K2711" s="1" t="s">
        <v>84</v>
      </c>
      <c r="L2711" s="1" t="s">
        <v>44080</v>
      </c>
      <c r="M2711" s="1" t="s">
        <v>86</v>
      </c>
      <c r="N2711" s="1" t="s">
        <v>44081</v>
      </c>
      <c r="O2711" s="1" t="s">
        <v>44082</v>
      </c>
      <c r="P2711" s="1" t="s">
        <v>18210</v>
      </c>
      <c r="Q2711" s="1">
        <v>98745612301235</v>
      </c>
      <c r="R2711" s="1" t="s">
        <v>44083</v>
      </c>
      <c r="S2711" s="1">
        <v>8168832890</v>
      </c>
      <c r="T2711" s="1" t="s">
        <v>44062</v>
      </c>
      <c r="U2711" s="1" t="s">
        <v>44063</v>
      </c>
      <c r="V2711" s="1">
        <v>8168832890</v>
      </c>
      <c r="W2711" s="1" t="s">
        <v>44062</v>
      </c>
      <c r="X2711" s="1" t="s">
        <v>44084</v>
      </c>
      <c r="Y2711" s="1" t="s">
        <v>44065</v>
      </c>
      <c r="Z2711" s="1" t="s">
        <v>1700</v>
      </c>
      <c r="AA2711" s="1" t="s">
        <v>44084</v>
      </c>
      <c r="AB2711" s="1" t="s">
        <v>44065</v>
      </c>
      <c r="AC2711" s="1" t="s">
        <v>1700</v>
      </c>
      <c r="AD2711" s="1">
        <v>7.5</v>
      </c>
      <c r="AE2711" s="1" t="s">
        <v>98</v>
      </c>
      <c r="AF2711" s="1" t="s">
        <v>44069</v>
      </c>
      <c r="AG2711" s="1" t="s">
        <v>44068</v>
      </c>
      <c r="AH2711" s="1" t="s">
        <v>1262</v>
      </c>
      <c r="AI2711" s="1" t="s">
        <v>136</v>
      </c>
      <c r="AJ2711" s="1">
        <v>78</v>
      </c>
      <c r="AK2711" s="1">
        <v>7</v>
      </c>
      <c r="AL2711" s="1" t="s">
        <v>44069</v>
      </c>
      <c r="AM2711" s="1" t="s">
        <v>44068</v>
      </c>
      <c r="AN2711" s="1" t="s">
        <v>2635</v>
      </c>
      <c r="AO2711" s="1" t="s">
        <v>342</v>
      </c>
      <c r="AP2711" s="1" t="s">
        <v>1396</v>
      </c>
      <c r="AQ2711" s="1">
        <v>85</v>
      </c>
      <c r="AR2711" s="1">
        <v>8</v>
      </c>
      <c r="AS2711" s="1"/>
      <c r="AT2711" s="1"/>
      <c r="AU2711" s="1"/>
      <c r="AV2711" s="1"/>
      <c r="AW2711" s="1"/>
      <c r="AX2711" s="1"/>
      <c r="AY2711" s="1" t="s">
        <v>44070</v>
      </c>
      <c r="AZ2711" s="1" t="s">
        <v>44070</v>
      </c>
      <c r="BA2711" s="1" t="s">
        <v>38008</v>
      </c>
      <c r="BB2711" s="1" t="s">
        <v>44085</v>
      </c>
      <c r="BC2711" s="1" t="s">
        <v>139</v>
      </c>
      <c r="BD2711" s="1" t="s">
        <v>2863</v>
      </c>
      <c r="BE2711" s="1">
        <v>75</v>
      </c>
      <c r="BF2711" s="1">
        <v>7</v>
      </c>
      <c r="BG2711" s="1" t="s">
        <v>44070</v>
      </c>
      <c r="BH2711" s="1" t="s">
        <v>44070</v>
      </c>
      <c r="BI2711" s="1" t="s">
        <v>44086</v>
      </c>
      <c r="BJ2711" s="1" t="s">
        <v>37921</v>
      </c>
      <c r="BK2711" s="1" t="s">
        <v>13133</v>
      </c>
      <c r="BL2711" s="1" t="s">
        <v>549</v>
      </c>
      <c r="BM2711" s="1">
        <v>80</v>
      </c>
      <c r="BN2711" s="1">
        <v>8</v>
      </c>
      <c r="BO2711" s="1" t="s">
        <v>44087</v>
      </c>
      <c r="BP2711" s="1" t="s">
        <v>44088</v>
      </c>
      <c r="BQ2711" s="1" t="s">
        <v>3971</v>
      </c>
      <c r="BR2711" s="1" t="s">
        <v>44089</v>
      </c>
      <c r="BS2711" s="1">
        <v>14</v>
      </c>
      <c r="BT2711" s="1"/>
      <c r="BU2711" s="1" t="str">
        <f>HYPERLINK("https://nconnect.nicmar.ac.in/storage/profile/6a83e9f2b4140.png","Download")</f>
        <v>0</v>
      </c>
      <c r="BV2711" s="3"/>
      <c r="BW2711" s="4">
        <v>1</v>
      </c>
    </row>
    <row r="2712" spans="1:75">
      <c r="A2712" s="1" t="s">
        <v>44036</v>
      </c>
      <c r="B2712" s="1" t="s">
        <v>13976</v>
      </c>
      <c r="C2712" s="1" t="s">
        <v>44090</v>
      </c>
      <c r="D2712" s="1" t="s">
        <v>44091</v>
      </c>
      <c r="E2712" s="1"/>
      <c r="F2712" s="1" t="s">
        <v>44092</v>
      </c>
      <c r="G2712" s="1" t="s">
        <v>44093</v>
      </c>
      <c r="H2712" s="1" t="s">
        <v>44094</v>
      </c>
      <c r="I2712" s="1" t="s">
        <v>44094</v>
      </c>
      <c r="J2712" s="1">
        <v>9999097262</v>
      </c>
      <c r="K2712" s="1" t="s">
        <v>84</v>
      </c>
      <c r="L2712" s="1" t="s">
        <v>44095</v>
      </c>
      <c r="M2712" s="1" t="s">
        <v>86</v>
      </c>
      <c r="N2712" s="1" t="s">
        <v>4857</v>
      </c>
      <c r="O2712" s="1" t="s">
        <v>157</v>
      </c>
      <c r="P2712" s="1" t="s">
        <v>122</v>
      </c>
      <c r="Q2712" s="1" t="s">
        <v>44096</v>
      </c>
      <c r="R2712" s="1" t="s">
        <v>44048</v>
      </c>
      <c r="S2712" s="1">
        <v>9999097263</v>
      </c>
      <c r="T2712" s="1" t="s">
        <v>44097</v>
      </c>
      <c r="U2712" s="1" t="s">
        <v>44048</v>
      </c>
      <c r="V2712" s="1">
        <v>9999097265</v>
      </c>
      <c r="W2712" s="1" t="s">
        <v>44097</v>
      </c>
      <c r="X2712" s="1" t="s">
        <v>44097</v>
      </c>
      <c r="Y2712" s="1" t="s">
        <v>44098</v>
      </c>
      <c r="Z2712" s="1" t="s">
        <v>676</v>
      </c>
      <c r="AA2712" s="1" t="s">
        <v>44097</v>
      </c>
      <c r="AB2712" s="1" t="s">
        <v>44098</v>
      </c>
      <c r="AC2712" s="1" t="s">
        <v>676</v>
      </c>
      <c r="AD2712" s="1">
        <v>7.5</v>
      </c>
      <c r="AE2712" s="1" t="s">
        <v>98</v>
      </c>
      <c r="AF2712" s="1" t="s">
        <v>44066</v>
      </c>
      <c r="AG2712" s="1" t="s">
        <v>44099</v>
      </c>
      <c r="AH2712" s="1" t="s">
        <v>15515</v>
      </c>
      <c r="AI2712" s="1" t="s">
        <v>14162</v>
      </c>
      <c r="AJ2712" s="1">
        <v>75</v>
      </c>
      <c r="AK2712" s="1"/>
      <c r="AL2712" s="1" t="s">
        <v>44100</v>
      </c>
      <c r="AM2712" s="1" t="s">
        <v>44101</v>
      </c>
      <c r="AN2712" s="1" t="s">
        <v>465</v>
      </c>
      <c r="AO2712" s="1" t="s">
        <v>15515</v>
      </c>
      <c r="AP2712" s="1" t="s">
        <v>14162</v>
      </c>
      <c r="AQ2712" s="1">
        <v>75</v>
      </c>
      <c r="AR2712" s="1"/>
      <c r="AS2712" s="1"/>
      <c r="AT2712" s="1"/>
      <c r="AU2712" s="1"/>
      <c r="AV2712" s="1"/>
      <c r="AW2712" s="1"/>
      <c r="AX2712" s="1"/>
      <c r="AY2712" s="1" t="s">
        <v>44102</v>
      </c>
      <c r="AZ2712" s="1" t="s">
        <v>44102</v>
      </c>
      <c r="BA2712" s="1" t="s">
        <v>40374</v>
      </c>
      <c r="BB2712" s="1" t="s">
        <v>40791</v>
      </c>
      <c r="BC2712" s="1" t="s">
        <v>44103</v>
      </c>
      <c r="BD2712" s="1" t="s">
        <v>14514</v>
      </c>
      <c r="BE2712" s="1">
        <v>85</v>
      </c>
      <c r="BF2712" s="1"/>
      <c r="BG2712" s="1"/>
      <c r="BH2712" s="1"/>
      <c r="BI2712" s="1"/>
      <c r="BJ2712" s="1"/>
      <c r="BK2712" s="1"/>
      <c r="BL2712" s="1"/>
      <c r="BM2712" s="1"/>
      <c r="BN2712" s="1"/>
      <c r="BO2712" s="1" t="s">
        <v>6132</v>
      </c>
      <c r="BP2712" s="1"/>
      <c r="BQ2712" s="1"/>
      <c r="BR2712" s="1" t="s">
        <v>44104</v>
      </c>
      <c r="BS2712" s="1">
        <v>3</v>
      </c>
      <c r="BT2712" s="1"/>
      <c r="BU2712" s="1" t="str">
        <f>HYPERLINK("https://nconnect.nicmar.ac.in/storage/profile/6a8e69d2df6c5.png","Download")</f>
        <v>0</v>
      </c>
      <c r="BV2712" s="3"/>
      <c r="BW2712" s="3"/>
    </row>
    <row r="2713" spans="1:75">
      <c r="A2713" s="1" t="s">
        <v>44036</v>
      </c>
      <c r="B2713" s="1" t="s">
        <v>13976</v>
      </c>
      <c r="C2713" s="1" t="s">
        <v>44105</v>
      </c>
      <c r="D2713" s="1" t="s">
        <v>44106</v>
      </c>
      <c r="E2713" s="1"/>
      <c r="F2713" s="1" t="s">
        <v>44107</v>
      </c>
      <c r="G2713" s="1" t="s">
        <v>44108</v>
      </c>
      <c r="H2713" s="1" t="s">
        <v>44109</v>
      </c>
      <c r="I2713" s="1" t="s">
        <v>44109</v>
      </c>
      <c r="J2713" s="1">
        <v>9990907268</v>
      </c>
      <c r="K2713" s="1" t="s">
        <v>84</v>
      </c>
      <c r="L2713" s="1" t="s">
        <v>44110</v>
      </c>
      <c r="M2713" s="1" t="s">
        <v>86</v>
      </c>
      <c r="N2713" s="1" t="s">
        <v>8293</v>
      </c>
      <c r="O2713" s="1" t="s">
        <v>157</v>
      </c>
      <c r="P2713" s="1" t="s">
        <v>89</v>
      </c>
      <c r="Q2713" s="1" t="s">
        <v>44096</v>
      </c>
      <c r="R2713" s="1" t="s">
        <v>44048</v>
      </c>
      <c r="S2713" s="1">
        <v>9990907269</v>
      </c>
      <c r="T2713" s="1" t="s">
        <v>44048</v>
      </c>
      <c r="U2713" s="1" t="s">
        <v>44048</v>
      </c>
      <c r="V2713" s="1">
        <v>9990907260</v>
      </c>
      <c r="W2713" s="1" t="s">
        <v>44048</v>
      </c>
      <c r="X2713" s="1" t="s">
        <v>44048</v>
      </c>
      <c r="Y2713" s="1" t="s">
        <v>9226</v>
      </c>
      <c r="Z2713" s="1" t="s">
        <v>1739</v>
      </c>
      <c r="AA2713" s="1" t="s">
        <v>44048</v>
      </c>
      <c r="AB2713" s="1" t="s">
        <v>9226</v>
      </c>
      <c r="AC2713" s="1" t="s">
        <v>1739</v>
      </c>
      <c r="AD2713" s="1" t="s">
        <v>98</v>
      </c>
      <c r="AE2713" s="1" t="s">
        <v>98</v>
      </c>
      <c r="AF2713" s="1"/>
      <c r="AG2713" s="1"/>
      <c r="AH2713" s="1"/>
      <c r="AI2713" s="1"/>
      <c r="AJ2713" s="1"/>
      <c r="AK2713" s="1"/>
      <c r="AL2713" s="1"/>
      <c r="AM2713" s="1"/>
      <c r="AN2713" s="1"/>
      <c r="AO2713" s="1"/>
      <c r="AP2713" s="1"/>
      <c r="AQ2713" s="1"/>
      <c r="AR2713" s="1"/>
      <c r="AS2713" s="1"/>
      <c r="AT2713" s="1"/>
      <c r="AU2713" s="1"/>
      <c r="AV2713" s="1"/>
      <c r="AW2713" s="1"/>
      <c r="AX2713" s="1"/>
      <c r="AY2713" s="1"/>
      <c r="AZ2713" s="1"/>
      <c r="BA2713" s="1"/>
      <c r="BB2713" s="1"/>
      <c r="BC2713" s="1"/>
      <c r="BD2713" s="1"/>
      <c r="BE2713" s="1"/>
      <c r="BF2713" s="1"/>
      <c r="BG2713" s="1"/>
      <c r="BH2713" s="1"/>
      <c r="BI2713" s="1"/>
      <c r="BJ2713" s="1"/>
      <c r="BK2713" s="1"/>
      <c r="BL2713" s="1"/>
      <c r="BM2713" s="1"/>
      <c r="BN2713" s="1"/>
      <c r="BO2713" s="1"/>
      <c r="BP2713" s="1"/>
      <c r="BQ2713" s="1"/>
      <c r="BR2713" s="1"/>
      <c r="BS2713" s="1"/>
      <c r="BT2713" s="1"/>
      <c r="BU2713" s="1" t="s">
        <v>9653</v>
      </c>
      <c r="BV2713" s="3"/>
      <c r="BW2713" s="3"/>
    </row>
    <row r="2714" spans="1:75">
      <c r="A2714" s="1" t="s">
        <v>40756</v>
      </c>
      <c r="B2714" s="1" t="s">
        <v>44111</v>
      </c>
      <c r="C2714" s="1" t="s">
        <v>44112</v>
      </c>
      <c r="D2714" s="1" t="s">
        <v>44113</v>
      </c>
      <c r="E2714" s="1" t="s">
        <v>44114</v>
      </c>
      <c r="F2714" s="1" t="s">
        <v>44115</v>
      </c>
      <c r="G2714" s="1" t="s">
        <v>44116</v>
      </c>
      <c r="H2714" s="1" t="s">
        <v>44117</v>
      </c>
      <c r="I2714" s="1" t="s">
        <v>44118</v>
      </c>
      <c r="J2714" s="1">
        <v>7767961989</v>
      </c>
      <c r="K2714" s="1" t="s">
        <v>84</v>
      </c>
      <c r="L2714" s="1" t="s">
        <v>44119</v>
      </c>
      <c r="M2714" s="1" t="s">
        <v>86</v>
      </c>
      <c r="N2714" s="1" t="s">
        <v>23038</v>
      </c>
      <c r="O2714" s="1" t="s">
        <v>44120</v>
      </c>
      <c r="P2714" s="1" t="s">
        <v>89</v>
      </c>
      <c r="Q2714" s="1">
        <v>981820510399</v>
      </c>
      <c r="R2714" s="1" t="s">
        <v>19680</v>
      </c>
      <c r="S2714" s="1">
        <v>9922019483</v>
      </c>
      <c r="T2714" s="1" t="s">
        <v>13987</v>
      </c>
      <c r="U2714" s="1" t="s">
        <v>44121</v>
      </c>
      <c r="V2714" s="1">
        <v>9356805259</v>
      </c>
      <c r="W2714" s="1" t="s">
        <v>14154</v>
      </c>
      <c r="X2714" s="1" t="s">
        <v>44122</v>
      </c>
      <c r="Y2714" s="1" t="s">
        <v>1145</v>
      </c>
      <c r="Z2714" s="1" t="s">
        <v>97</v>
      </c>
      <c r="AA2714" s="1" t="s">
        <v>44123</v>
      </c>
      <c r="AB2714" s="1" t="s">
        <v>196</v>
      </c>
      <c r="AC2714" s="1" t="s">
        <v>97</v>
      </c>
      <c r="AD2714" s="1" t="s">
        <v>98</v>
      </c>
      <c r="AE2714" s="1" t="s">
        <v>98</v>
      </c>
      <c r="AF2714" s="1" t="s">
        <v>44124</v>
      </c>
      <c r="AG2714" s="1" t="s">
        <v>21839</v>
      </c>
      <c r="AH2714" s="1" t="s">
        <v>166</v>
      </c>
      <c r="AI2714" s="1" t="s">
        <v>1111</v>
      </c>
      <c r="AJ2714" s="1">
        <v>90.4</v>
      </c>
      <c r="AK2714" s="1"/>
      <c r="AL2714" s="1"/>
      <c r="AM2714" s="1"/>
      <c r="AN2714" s="1"/>
      <c r="AO2714" s="1"/>
      <c r="AP2714" s="1"/>
      <c r="AQ2714" s="1"/>
      <c r="AR2714" s="1"/>
      <c r="AS2714" s="1" t="s">
        <v>14787</v>
      </c>
      <c r="AT2714" s="1" t="s">
        <v>44125</v>
      </c>
      <c r="AU2714" s="1" t="s">
        <v>170</v>
      </c>
      <c r="AV2714" s="1" t="s">
        <v>977</v>
      </c>
      <c r="AW2714" s="1">
        <v>87.74</v>
      </c>
      <c r="AX2714" s="1"/>
      <c r="AY2714" s="1" t="s">
        <v>14160</v>
      </c>
      <c r="AZ2714" s="1" t="s">
        <v>44126</v>
      </c>
      <c r="BA2714" s="1" t="s">
        <v>578</v>
      </c>
      <c r="BB2714" s="1" t="s">
        <v>467</v>
      </c>
      <c r="BC2714" s="1" t="s">
        <v>468</v>
      </c>
      <c r="BD2714" s="1" t="s">
        <v>579</v>
      </c>
      <c r="BE2714" s="1">
        <v>75.9</v>
      </c>
      <c r="BF2714" s="1">
        <v>8.34</v>
      </c>
      <c r="BG2714" s="1"/>
      <c r="BH2714" s="1"/>
      <c r="BI2714" s="1"/>
      <c r="BJ2714" s="1"/>
      <c r="BK2714" s="1"/>
      <c r="BL2714" s="1"/>
      <c r="BM2714" s="1"/>
      <c r="BN2714" s="1"/>
      <c r="BO2714" s="1" t="s">
        <v>849</v>
      </c>
      <c r="BP2714" s="1"/>
      <c r="BQ2714" s="1"/>
      <c r="BR2714" s="1"/>
      <c r="BS2714" s="1"/>
      <c r="BT2714" s="1" t="s">
        <v>44127</v>
      </c>
      <c r="BU2714" s="1" t="str">
        <f>HYPERLINK("https://nconnect.nicmar.ac.in/storage/profile/6a7b534d07582.png","Download")</f>
        <v>0</v>
      </c>
      <c r="BV2714" s="3"/>
      <c r="BW2714" s="3"/>
    </row>
    <row r="2715" spans="1:75">
      <c r="A2715" s="1" t="s">
        <v>40756</v>
      </c>
      <c r="B2715" s="1" t="s">
        <v>44111</v>
      </c>
      <c r="C2715" s="1" t="s">
        <v>44128</v>
      </c>
      <c r="D2715" s="1" t="s">
        <v>44129</v>
      </c>
      <c r="E2715" s="1"/>
      <c r="F2715" s="1" t="s">
        <v>587</v>
      </c>
      <c r="G2715" s="1" t="s">
        <v>44130</v>
      </c>
      <c r="H2715" s="1" t="s">
        <v>44131</v>
      </c>
      <c r="I2715" s="1" t="s">
        <v>44131</v>
      </c>
      <c r="J2715" s="1">
        <v>8355832192</v>
      </c>
      <c r="K2715" s="1" t="s">
        <v>153</v>
      </c>
      <c r="L2715" s="1" t="s">
        <v>44132</v>
      </c>
      <c r="M2715" s="1" t="s">
        <v>155</v>
      </c>
      <c r="N2715" s="1" t="s">
        <v>17950</v>
      </c>
      <c r="O2715" s="1" t="s">
        <v>44133</v>
      </c>
      <c r="P2715" s="1" t="s">
        <v>219</v>
      </c>
      <c r="Q2715" s="1">
        <v>987502601432</v>
      </c>
      <c r="R2715" s="1" t="s">
        <v>44134</v>
      </c>
      <c r="S2715" s="1">
        <v>9496131962</v>
      </c>
      <c r="T2715" s="1" t="s">
        <v>44135</v>
      </c>
      <c r="U2715" s="1" t="s">
        <v>44136</v>
      </c>
      <c r="V2715" s="1">
        <v>9497389962</v>
      </c>
      <c r="W2715" s="1" t="s">
        <v>14234</v>
      </c>
      <c r="X2715" s="1" t="s">
        <v>44137</v>
      </c>
      <c r="Y2715" s="1" t="s">
        <v>19584</v>
      </c>
      <c r="Z2715" s="1" t="s">
        <v>130</v>
      </c>
      <c r="AA2715" s="1" t="s">
        <v>44138</v>
      </c>
      <c r="AB2715" s="1" t="s">
        <v>1189</v>
      </c>
      <c r="AC2715" s="1" t="s">
        <v>97</v>
      </c>
      <c r="AD2715" s="1" t="s">
        <v>98</v>
      </c>
      <c r="AE2715" s="1" t="s">
        <v>98</v>
      </c>
      <c r="AF2715" s="1" t="s">
        <v>44139</v>
      </c>
      <c r="AG2715" s="1" t="s">
        <v>44140</v>
      </c>
      <c r="AH2715" s="1" t="s">
        <v>3112</v>
      </c>
      <c r="AI2715" s="1" t="s">
        <v>797</v>
      </c>
      <c r="AJ2715" s="1">
        <v>90</v>
      </c>
      <c r="AK2715" s="1"/>
      <c r="AL2715" s="1" t="s">
        <v>44141</v>
      </c>
      <c r="AM2715" s="1" t="s">
        <v>44142</v>
      </c>
      <c r="AN2715" s="1" t="s">
        <v>575</v>
      </c>
      <c r="AO2715" s="1" t="s">
        <v>7331</v>
      </c>
      <c r="AP2715" s="1" t="s">
        <v>799</v>
      </c>
      <c r="AQ2715" s="1">
        <v>82.33</v>
      </c>
      <c r="AR2715" s="1"/>
      <c r="AS2715" s="1" t="s">
        <v>14158</v>
      </c>
      <c r="AT2715" s="1" t="s">
        <v>44143</v>
      </c>
      <c r="AU2715" s="1" t="s">
        <v>4593</v>
      </c>
      <c r="AV2715" s="1" t="s">
        <v>3421</v>
      </c>
      <c r="AW2715" s="1">
        <v>80.0</v>
      </c>
      <c r="AX2715" s="1">
        <v>8.54</v>
      </c>
      <c r="AY2715" s="1" t="s">
        <v>44144</v>
      </c>
      <c r="AZ2715" s="1" t="s">
        <v>44145</v>
      </c>
      <c r="BA2715" s="1" t="s">
        <v>466</v>
      </c>
      <c r="BB2715" s="1" t="s">
        <v>467</v>
      </c>
      <c r="BC2715" s="1" t="s">
        <v>1583</v>
      </c>
      <c r="BD2715" s="1" t="s">
        <v>167</v>
      </c>
      <c r="BE2715" s="1">
        <v>72.47</v>
      </c>
      <c r="BF2715" s="1">
        <v>7.7</v>
      </c>
      <c r="BG2715" s="1"/>
      <c r="BH2715" s="1"/>
      <c r="BI2715" s="1"/>
      <c r="BJ2715" s="1"/>
      <c r="BK2715" s="1"/>
      <c r="BL2715" s="1"/>
      <c r="BM2715" s="1"/>
      <c r="BN2715" s="1"/>
      <c r="BO2715" s="1" t="s">
        <v>44146</v>
      </c>
      <c r="BP2715" s="1" t="s">
        <v>44147</v>
      </c>
      <c r="BQ2715" s="1" t="s">
        <v>2326</v>
      </c>
      <c r="BR2715" s="1" t="s">
        <v>44148</v>
      </c>
      <c r="BS2715" s="1">
        <v>58</v>
      </c>
      <c r="BT2715" s="1"/>
      <c r="BU2715" s="1" t="str">
        <f>HYPERLINK("https://nconnect.nicmar.ac.in/storage/profile/6a7b3ff33e174.png","Download")</f>
        <v>0</v>
      </c>
      <c r="BV2715" s="3"/>
      <c r="BW2715" s="3"/>
    </row>
    <row r="2716" spans="1:75">
      <c r="A2716" s="1" t="s">
        <v>40756</v>
      </c>
      <c r="B2716" s="1" t="s">
        <v>44111</v>
      </c>
      <c r="C2716" s="1" t="s">
        <v>44149</v>
      </c>
      <c r="D2716" s="1" t="s">
        <v>15035</v>
      </c>
      <c r="E2716" s="1" t="s">
        <v>21774</v>
      </c>
      <c r="F2716" s="1" t="s">
        <v>21329</v>
      </c>
      <c r="G2716" s="1" t="s">
        <v>44150</v>
      </c>
      <c r="H2716" s="1" t="s">
        <v>44151</v>
      </c>
      <c r="I2716" s="1" t="s">
        <v>44152</v>
      </c>
      <c r="J2716" s="1">
        <v>8390074104</v>
      </c>
      <c r="K2716" s="1" t="s">
        <v>84</v>
      </c>
      <c r="L2716" s="1" t="s">
        <v>38929</v>
      </c>
      <c r="M2716" s="1" t="s">
        <v>86</v>
      </c>
      <c r="N2716" s="1" t="s">
        <v>768</v>
      </c>
      <c r="O2716" s="1" t="s">
        <v>44153</v>
      </c>
      <c r="P2716" s="1" t="s">
        <v>219</v>
      </c>
      <c r="Q2716" s="1">
        <v>474560779022</v>
      </c>
      <c r="R2716" s="1" t="s">
        <v>44154</v>
      </c>
      <c r="S2716" s="1">
        <v>9049458548</v>
      </c>
      <c r="T2716" s="1" t="s">
        <v>13987</v>
      </c>
      <c r="U2716" s="1" t="s">
        <v>44155</v>
      </c>
      <c r="V2716" s="1">
        <v>7249358548</v>
      </c>
      <c r="W2716" s="1" t="s">
        <v>14154</v>
      </c>
      <c r="X2716" s="1" t="s">
        <v>44156</v>
      </c>
      <c r="Y2716" s="1" t="s">
        <v>1145</v>
      </c>
      <c r="Z2716" s="1" t="s">
        <v>97</v>
      </c>
      <c r="AA2716" s="1" t="s">
        <v>44157</v>
      </c>
      <c r="AB2716" s="1" t="s">
        <v>196</v>
      </c>
      <c r="AC2716" s="1" t="s">
        <v>97</v>
      </c>
      <c r="AD2716" s="1" t="s">
        <v>98</v>
      </c>
      <c r="AE2716" s="1" t="s">
        <v>98</v>
      </c>
      <c r="AF2716" s="1" t="s">
        <v>44158</v>
      </c>
      <c r="AG2716" s="1" t="s">
        <v>14157</v>
      </c>
      <c r="AH2716" s="1" t="s">
        <v>167</v>
      </c>
      <c r="AI2716" s="1" t="s">
        <v>200</v>
      </c>
      <c r="AJ2716" s="1">
        <v>79.4</v>
      </c>
      <c r="AK2716" s="1"/>
      <c r="AL2716" s="1"/>
      <c r="AM2716" s="1"/>
      <c r="AN2716" s="1"/>
      <c r="AO2716" s="1"/>
      <c r="AP2716" s="1"/>
      <c r="AQ2716" s="1"/>
      <c r="AR2716" s="1"/>
      <c r="AS2716" s="1" t="s">
        <v>14377</v>
      </c>
      <c r="AT2716" s="1" t="s">
        <v>44159</v>
      </c>
      <c r="AU2716" s="1" t="s">
        <v>170</v>
      </c>
      <c r="AV2716" s="1" t="s">
        <v>468</v>
      </c>
      <c r="AW2716" s="1">
        <v>92.84</v>
      </c>
      <c r="AX2716" s="1"/>
      <c r="AY2716" s="1" t="s">
        <v>14160</v>
      </c>
      <c r="AZ2716" s="1" t="s">
        <v>44160</v>
      </c>
      <c r="BA2716" s="1" t="s">
        <v>466</v>
      </c>
      <c r="BB2716" s="1" t="s">
        <v>467</v>
      </c>
      <c r="BC2716" s="1" t="s">
        <v>1040</v>
      </c>
      <c r="BD2716" s="1" t="s">
        <v>234</v>
      </c>
      <c r="BE2716" s="1">
        <v>85.7</v>
      </c>
      <c r="BF2716" s="1">
        <v>9.32</v>
      </c>
      <c r="BG2716" s="1"/>
      <c r="BH2716" s="1"/>
      <c r="BI2716" s="1"/>
      <c r="BJ2716" s="1"/>
      <c r="BK2716" s="1"/>
      <c r="BL2716" s="1"/>
      <c r="BM2716" s="1"/>
      <c r="BN2716" s="1"/>
      <c r="BO2716" s="1" t="s">
        <v>44161</v>
      </c>
      <c r="BP2716" s="1" t="s">
        <v>44162</v>
      </c>
      <c r="BQ2716" s="1" t="s">
        <v>1849</v>
      </c>
      <c r="BR2716" s="1" t="s">
        <v>44163</v>
      </c>
      <c r="BS2716" s="1">
        <v>26</v>
      </c>
      <c r="BT2716" s="1"/>
      <c r="BU2716" s="1" t="str">
        <f>HYPERLINK("https://nconnect.nicmar.ac.in/storage/profile/6a783d68f314b.png","Download")</f>
        <v>0</v>
      </c>
      <c r="BV2716" s="3"/>
      <c r="BW2716" s="3"/>
    </row>
    <row r="2717" spans="1:75">
      <c r="A2717" s="1" t="s">
        <v>40756</v>
      </c>
      <c r="B2717" s="1" t="s">
        <v>44111</v>
      </c>
      <c r="C2717" s="1" t="s">
        <v>44164</v>
      </c>
      <c r="D2717" s="1" t="s">
        <v>29922</v>
      </c>
      <c r="E2717" s="1"/>
      <c r="F2717" s="1" t="s">
        <v>44165</v>
      </c>
      <c r="G2717" s="1" t="s">
        <v>44166</v>
      </c>
      <c r="H2717" s="1" t="s">
        <v>44167</v>
      </c>
      <c r="I2717" s="1" t="s">
        <v>44168</v>
      </c>
      <c r="J2717" s="1">
        <v>9047533615</v>
      </c>
      <c r="K2717" s="1" t="s">
        <v>84</v>
      </c>
      <c r="L2717" s="1" t="s">
        <v>21890</v>
      </c>
      <c r="M2717" s="1" t="s">
        <v>86</v>
      </c>
      <c r="N2717" s="1" t="s">
        <v>44169</v>
      </c>
      <c r="O2717" s="1" t="s">
        <v>44170</v>
      </c>
      <c r="P2717" s="1" t="s">
        <v>219</v>
      </c>
      <c r="Q2717" s="1">
        <v>506548587203</v>
      </c>
      <c r="R2717" s="1" t="s">
        <v>44171</v>
      </c>
      <c r="S2717" s="1">
        <v>8903799251</v>
      </c>
      <c r="T2717" s="1" t="s">
        <v>44172</v>
      </c>
      <c r="U2717" s="1" t="s">
        <v>44173</v>
      </c>
      <c r="V2717" s="1">
        <v>6383106489</v>
      </c>
      <c r="W2717" s="1" t="s">
        <v>10306</v>
      </c>
      <c r="X2717" s="1" t="s">
        <v>44174</v>
      </c>
      <c r="Y2717" s="1" t="s">
        <v>18215</v>
      </c>
      <c r="Z2717" s="1" t="s">
        <v>570</v>
      </c>
      <c r="AA2717" s="1" t="s">
        <v>44174</v>
      </c>
      <c r="AB2717" s="1" t="s">
        <v>18215</v>
      </c>
      <c r="AC2717" s="1" t="s">
        <v>570</v>
      </c>
      <c r="AD2717" s="1" t="s">
        <v>98</v>
      </c>
      <c r="AE2717" s="1" t="s">
        <v>98</v>
      </c>
      <c r="AF2717" s="1" t="s">
        <v>44175</v>
      </c>
      <c r="AG2717" s="1" t="s">
        <v>8637</v>
      </c>
      <c r="AH2717" s="1" t="s">
        <v>166</v>
      </c>
      <c r="AI2717" s="1" t="s">
        <v>1111</v>
      </c>
      <c r="AJ2717" s="1">
        <v>97.2</v>
      </c>
      <c r="AK2717" s="1">
        <v>9.72</v>
      </c>
      <c r="AL2717" s="1" t="s">
        <v>44175</v>
      </c>
      <c r="AM2717" s="1" t="s">
        <v>8637</v>
      </c>
      <c r="AN2717" s="1" t="s">
        <v>575</v>
      </c>
      <c r="AO2717" s="1" t="s">
        <v>167</v>
      </c>
      <c r="AP2717" s="1" t="s">
        <v>286</v>
      </c>
      <c r="AQ2717" s="1">
        <v>75</v>
      </c>
      <c r="AR2717" s="1">
        <v>7.5</v>
      </c>
      <c r="AS2717" s="1"/>
      <c r="AT2717" s="1"/>
      <c r="AU2717" s="1"/>
      <c r="AV2717" s="1"/>
      <c r="AW2717" s="1"/>
      <c r="AX2717" s="1"/>
      <c r="AY2717" s="1" t="s">
        <v>44176</v>
      </c>
      <c r="AZ2717" s="1" t="s">
        <v>44177</v>
      </c>
      <c r="BA2717" s="1" t="s">
        <v>466</v>
      </c>
      <c r="BB2717" s="1" t="s">
        <v>467</v>
      </c>
      <c r="BC2717" s="1" t="s">
        <v>174</v>
      </c>
      <c r="BD2717" s="1" t="s">
        <v>632</v>
      </c>
      <c r="BE2717" s="1">
        <v>73.07</v>
      </c>
      <c r="BF2717" s="1">
        <v>7.69</v>
      </c>
      <c r="BG2717" s="1"/>
      <c r="BH2717" s="1"/>
      <c r="BI2717" s="1"/>
      <c r="BJ2717" s="1"/>
      <c r="BK2717" s="1"/>
      <c r="BL2717" s="1"/>
      <c r="BM2717" s="1"/>
      <c r="BN2717" s="1"/>
      <c r="BO2717" s="1" t="s">
        <v>44178</v>
      </c>
      <c r="BP2717" s="1" t="s">
        <v>44179</v>
      </c>
      <c r="BQ2717" s="1" t="s">
        <v>736</v>
      </c>
      <c r="BR2717" s="1" t="s">
        <v>44180</v>
      </c>
      <c r="BS2717" s="1">
        <v>49</v>
      </c>
      <c r="BT2717" s="1" t="s">
        <v>44181</v>
      </c>
      <c r="BU2717" s="1" t="str">
        <f>HYPERLINK("https://nconnect.nicmar.ac.in/storage/profile/6a7894a493d41.png","Download")</f>
        <v>0</v>
      </c>
      <c r="BV2717" s="3"/>
      <c r="BW2717" s="3"/>
    </row>
    <row r="2718" spans="1:75">
      <c r="A2718" s="1" t="s">
        <v>40756</v>
      </c>
      <c r="B2718" s="1" t="s">
        <v>44111</v>
      </c>
      <c r="C2718" s="1" t="s">
        <v>44182</v>
      </c>
      <c r="D2718" s="1" t="s">
        <v>8341</v>
      </c>
      <c r="E2718" s="1"/>
      <c r="F2718" s="1" t="s">
        <v>44183</v>
      </c>
      <c r="G2718" s="1" t="s">
        <v>44184</v>
      </c>
      <c r="H2718" s="1" t="s">
        <v>44185</v>
      </c>
      <c r="I2718" s="1" t="s">
        <v>44185</v>
      </c>
      <c r="J2718" s="1">
        <v>8547303768</v>
      </c>
      <c r="K2718" s="1" t="s">
        <v>84</v>
      </c>
      <c r="L2718" s="1" t="s">
        <v>44186</v>
      </c>
      <c r="M2718" s="1" t="s">
        <v>86</v>
      </c>
      <c r="N2718" s="1" t="s">
        <v>15894</v>
      </c>
      <c r="O2718" s="1" t="s">
        <v>44187</v>
      </c>
      <c r="P2718" s="1" t="s">
        <v>219</v>
      </c>
      <c r="Q2718" s="1">
        <v>593550078191</v>
      </c>
      <c r="R2718" s="1" t="s">
        <v>44188</v>
      </c>
      <c r="S2718" s="1">
        <v>9744727861</v>
      </c>
      <c r="T2718" s="1" t="s">
        <v>44189</v>
      </c>
      <c r="U2718" s="1" t="s">
        <v>44190</v>
      </c>
      <c r="V2718" s="1">
        <v>6282708883</v>
      </c>
      <c r="W2718" s="1" t="s">
        <v>161</v>
      </c>
      <c r="X2718" s="1" t="s">
        <v>44191</v>
      </c>
      <c r="Y2718" s="1" t="s">
        <v>4916</v>
      </c>
      <c r="Z2718" s="1" t="s">
        <v>130</v>
      </c>
      <c r="AA2718" s="1" t="s">
        <v>44191</v>
      </c>
      <c r="AB2718" s="1" t="s">
        <v>4916</v>
      </c>
      <c r="AC2718" s="1" t="s">
        <v>130</v>
      </c>
      <c r="AD2718" s="1" t="s">
        <v>98</v>
      </c>
      <c r="AE2718" s="1" t="s">
        <v>98</v>
      </c>
      <c r="AF2718" s="1" t="s">
        <v>25918</v>
      </c>
      <c r="AG2718" s="1" t="s">
        <v>796</v>
      </c>
      <c r="AH2718" s="1" t="s">
        <v>167</v>
      </c>
      <c r="AI2718" s="1" t="s">
        <v>200</v>
      </c>
      <c r="AJ2718" s="1">
        <v>87.4</v>
      </c>
      <c r="AK2718" s="1">
        <v>9.2</v>
      </c>
      <c r="AL2718" s="1" t="s">
        <v>44192</v>
      </c>
      <c r="AM2718" s="1" t="s">
        <v>33541</v>
      </c>
      <c r="AN2718" s="1" t="s">
        <v>6380</v>
      </c>
      <c r="AO2718" s="1" t="s">
        <v>170</v>
      </c>
      <c r="AP2718" s="1" t="s">
        <v>414</v>
      </c>
      <c r="AQ2718" s="1">
        <v>70.0</v>
      </c>
      <c r="AR2718" s="1"/>
      <c r="AS2718" s="1"/>
      <c r="AT2718" s="1"/>
      <c r="AU2718" s="1"/>
      <c r="AV2718" s="1"/>
      <c r="AW2718" s="1"/>
      <c r="AX2718" s="1"/>
      <c r="AY2718" s="1" t="s">
        <v>576</v>
      </c>
      <c r="AZ2718" s="1" t="s">
        <v>44193</v>
      </c>
      <c r="BA2718" s="1" t="s">
        <v>578</v>
      </c>
      <c r="BB2718" s="1" t="s">
        <v>467</v>
      </c>
      <c r="BC2718" s="1" t="s">
        <v>206</v>
      </c>
      <c r="BD2718" s="1" t="s">
        <v>179</v>
      </c>
      <c r="BE2718" s="1">
        <v>76.1</v>
      </c>
      <c r="BF2718" s="1">
        <v>7.61</v>
      </c>
      <c r="BG2718" s="1"/>
      <c r="BH2718" s="1"/>
      <c r="BI2718" s="1"/>
      <c r="BJ2718" s="1"/>
      <c r="BK2718" s="1"/>
      <c r="BL2718" s="1"/>
      <c r="BM2718" s="1"/>
      <c r="BN2718" s="1"/>
      <c r="BO2718" s="1" t="s">
        <v>44194</v>
      </c>
      <c r="BP2718" s="1" t="s">
        <v>44195</v>
      </c>
      <c r="BQ2718" s="1" t="s">
        <v>780</v>
      </c>
      <c r="BR2718" s="1" t="s">
        <v>44196</v>
      </c>
      <c r="BS2718" s="1">
        <v>2</v>
      </c>
      <c r="BT2718" s="1"/>
      <c r="BU2718" s="1" t="str">
        <f>HYPERLINK("https://nconnect.nicmar.ac.in/storage/profile/6a7719338e3dd.png","Download")</f>
        <v>0</v>
      </c>
      <c r="BV2718" s="3"/>
      <c r="BW2718" s="3"/>
    </row>
    <row r="2719" spans="1:75">
      <c r="A2719" s="1" t="s">
        <v>40756</v>
      </c>
      <c r="B2719" s="1" t="s">
        <v>44111</v>
      </c>
      <c r="C2719" s="1" t="s">
        <v>44197</v>
      </c>
      <c r="D2719" s="1" t="s">
        <v>13978</v>
      </c>
      <c r="E2719" s="1" t="s">
        <v>24238</v>
      </c>
      <c r="F2719" s="1" t="s">
        <v>44198</v>
      </c>
      <c r="G2719" s="1" t="s">
        <v>44199</v>
      </c>
      <c r="H2719" s="1" t="s">
        <v>44200</v>
      </c>
      <c r="I2719" s="1" t="s">
        <v>44200</v>
      </c>
      <c r="J2719" s="1">
        <v>8459556713</v>
      </c>
      <c r="K2719" s="1" t="s">
        <v>84</v>
      </c>
      <c r="L2719" s="1" t="s">
        <v>3784</v>
      </c>
      <c r="M2719" s="1" t="s">
        <v>86</v>
      </c>
      <c r="N2719" s="1" t="s">
        <v>6390</v>
      </c>
      <c r="O2719" s="1" t="s">
        <v>44201</v>
      </c>
      <c r="P2719" s="1" t="s">
        <v>122</v>
      </c>
      <c r="Q2719" s="1" t="s">
        <v>44202</v>
      </c>
      <c r="R2719" s="1" t="s">
        <v>24238</v>
      </c>
      <c r="S2719" s="1">
        <v>8087136654</v>
      </c>
      <c r="T2719" s="1" t="s">
        <v>13987</v>
      </c>
      <c r="U2719" s="1" t="s">
        <v>44203</v>
      </c>
      <c r="V2719" s="1">
        <v>9975066811</v>
      </c>
      <c r="W2719" s="1" t="s">
        <v>44204</v>
      </c>
      <c r="X2719" s="1" t="s">
        <v>44205</v>
      </c>
      <c r="Y2719" s="1" t="s">
        <v>910</v>
      </c>
      <c r="Z2719" s="1" t="s">
        <v>97</v>
      </c>
      <c r="AA2719" s="1" t="s">
        <v>44205</v>
      </c>
      <c r="AB2719" s="1" t="s">
        <v>910</v>
      </c>
      <c r="AC2719" s="1" t="s">
        <v>97</v>
      </c>
      <c r="AD2719" s="1" t="s">
        <v>98</v>
      </c>
      <c r="AE2719" s="1" t="s">
        <v>98</v>
      </c>
      <c r="AF2719" s="1" t="s">
        <v>44206</v>
      </c>
      <c r="AG2719" s="1" t="s">
        <v>44207</v>
      </c>
      <c r="AH2719" s="1" t="s">
        <v>170</v>
      </c>
      <c r="AI2719" s="1" t="s">
        <v>106</v>
      </c>
      <c r="AJ2719" s="1">
        <v>91.2</v>
      </c>
      <c r="AK2719" s="1"/>
      <c r="AL2719" s="1" t="s">
        <v>44206</v>
      </c>
      <c r="AM2719" s="1" t="s">
        <v>44207</v>
      </c>
      <c r="AN2719" s="1" t="s">
        <v>575</v>
      </c>
      <c r="AO2719" s="1" t="s">
        <v>438</v>
      </c>
      <c r="AP2719" s="1" t="s">
        <v>178</v>
      </c>
      <c r="AQ2719" s="1">
        <v>70.31</v>
      </c>
      <c r="AR2719" s="1"/>
      <c r="AS2719" s="1"/>
      <c r="AT2719" s="1"/>
      <c r="AU2719" s="1"/>
      <c r="AV2719" s="1"/>
      <c r="AW2719" s="1"/>
      <c r="AX2719" s="1"/>
      <c r="AY2719" s="1" t="s">
        <v>14160</v>
      </c>
      <c r="AZ2719" s="1" t="s">
        <v>44208</v>
      </c>
      <c r="BA2719" s="1" t="s">
        <v>578</v>
      </c>
      <c r="BB2719" s="1" t="s">
        <v>467</v>
      </c>
      <c r="BC2719" s="1" t="s">
        <v>1040</v>
      </c>
      <c r="BD2719" s="1" t="s">
        <v>207</v>
      </c>
      <c r="BE2719" s="1">
        <v>73.6</v>
      </c>
      <c r="BF2719" s="1">
        <v>8.11</v>
      </c>
      <c r="BG2719" s="1"/>
      <c r="BH2719" s="1"/>
      <c r="BI2719" s="1"/>
      <c r="BJ2719" s="1"/>
      <c r="BK2719" s="1"/>
      <c r="BL2719" s="1"/>
      <c r="BM2719" s="1"/>
      <c r="BN2719" s="1"/>
      <c r="BO2719" s="1" t="s">
        <v>44209</v>
      </c>
      <c r="BP2719" s="1"/>
      <c r="BQ2719" s="1"/>
      <c r="BR2719" s="1"/>
      <c r="BS2719" s="1"/>
      <c r="BT2719" s="1" t="s">
        <v>11309</v>
      </c>
      <c r="BU2719" s="1" t="str">
        <f>HYPERLINK("https://nconnect.nicmar.ac.in/storage/profile/6a773ef581cb9.png","Download")</f>
        <v>0</v>
      </c>
      <c r="BV2719" s="3"/>
      <c r="BW2719" s="3"/>
    </row>
    <row r="2720" spans="1:75">
      <c r="A2720" s="1" t="s">
        <v>40756</v>
      </c>
      <c r="B2720" s="1" t="s">
        <v>44111</v>
      </c>
      <c r="C2720" s="1" t="s">
        <v>44210</v>
      </c>
      <c r="D2720" s="1" t="s">
        <v>22780</v>
      </c>
      <c r="E2720" s="1" t="s">
        <v>44211</v>
      </c>
      <c r="F2720" s="1" t="s">
        <v>19794</v>
      </c>
      <c r="G2720" s="1" t="s">
        <v>44212</v>
      </c>
      <c r="H2720" s="1" t="s">
        <v>44213</v>
      </c>
      <c r="I2720" s="1" t="s">
        <v>44214</v>
      </c>
      <c r="J2720" s="1">
        <v>8698695085</v>
      </c>
      <c r="K2720" s="1" t="s">
        <v>84</v>
      </c>
      <c r="L2720" s="1" t="s">
        <v>6226</v>
      </c>
      <c r="M2720" s="1" t="s">
        <v>86</v>
      </c>
      <c r="N2720" s="1" t="s">
        <v>355</v>
      </c>
      <c r="O2720" s="1" t="s">
        <v>44215</v>
      </c>
      <c r="P2720" s="1" t="s">
        <v>219</v>
      </c>
      <c r="Q2720" s="1">
        <v>843640006231</v>
      </c>
      <c r="R2720" s="1" t="s">
        <v>44211</v>
      </c>
      <c r="S2720" s="1">
        <v>9890599100</v>
      </c>
      <c r="T2720" s="1" t="s">
        <v>14953</v>
      </c>
      <c r="U2720" s="1" t="s">
        <v>44216</v>
      </c>
      <c r="V2720" s="1">
        <v>8668902961</v>
      </c>
      <c r="W2720" s="1" t="s">
        <v>10306</v>
      </c>
      <c r="X2720" s="1" t="s">
        <v>44217</v>
      </c>
      <c r="Y2720" s="1" t="s">
        <v>5030</v>
      </c>
      <c r="Z2720" s="1" t="s">
        <v>97</v>
      </c>
      <c r="AA2720" s="1" t="s">
        <v>44217</v>
      </c>
      <c r="AB2720" s="1" t="s">
        <v>5030</v>
      </c>
      <c r="AC2720" s="1" t="s">
        <v>97</v>
      </c>
      <c r="AD2720" s="1" t="s">
        <v>98</v>
      </c>
      <c r="AE2720" s="1" t="s">
        <v>98</v>
      </c>
      <c r="AF2720" s="1" t="s">
        <v>44218</v>
      </c>
      <c r="AG2720" s="1" t="s">
        <v>16528</v>
      </c>
      <c r="AH2720" s="1" t="s">
        <v>106</v>
      </c>
      <c r="AI2720" s="1" t="s">
        <v>313</v>
      </c>
      <c r="AJ2720" s="1">
        <v>88.4</v>
      </c>
      <c r="AK2720" s="1"/>
      <c r="AL2720" s="1"/>
      <c r="AM2720" s="1"/>
      <c r="AN2720" s="1"/>
      <c r="AO2720" s="1"/>
      <c r="AP2720" s="1"/>
      <c r="AQ2720" s="1"/>
      <c r="AR2720" s="1"/>
      <c r="AS2720" s="1" t="s">
        <v>14158</v>
      </c>
      <c r="AT2720" s="1" t="s">
        <v>44219</v>
      </c>
      <c r="AU2720" s="1" t="s">
        <v>206</v>
      </c>
      <c r="AV2720" s="1" t="s">
        <v>14162</v>
      </c>
      <c r="AW2720" s="1">
        <v>86.63</v>
      </c>
      <c r="AX2720" s="1"/>
      <c r="AY2720" s="1" t="s">
        <v>44220</v>
      </c>
      <c r="AZ2720" s="1" t="s">
        <v>44221</v>
      </c>
      <c r="BA2720" s="1" t="s">
        <v>466</v>
      </c>
      <c r="BB2720" s="1" t="s">
        <v>467</v>
      </c>
      <c r="BC2720" s="1" t="s">
        <v>2765</v>
      </c>
      <c r="BD2720" s="1" t="s">
        <v>553</v>
      </c>
      <c r="BE2720" s="1">
        <v>73.15</v>
      </c>
      <c r="BF2720" s="1">
        <v>8.64</v>
      </c>
      <c r="BG2720" s="1"/>
      <c r="BH2720" s="1"/>
      <c r="BI2720" s="1"/>
      <c r="BJ2720" s="1"/>
      <c r="BK2720" s="1"/>
      <c r="BL2720" s="1"/>
      <c r="BM2720" s="1"/>
      <c r="BN2720" s="1"/>
      <c r="BO2720" s="1" t="s">
        <v>260</v>
      </c>
      <c r="BP2720" s="1" t="s">
        <v>44222</v>
      </c>
      <c r="BQ2720" s="1" t="s">
        <v>658</v>
      </c>
      <c r="BR2720" s="1"/>
      <c r="BS2720" s="1"/>
      <c r="BT2720" s="1"/>
      <c r="BU2720" s="1" t="str">
        <f>HYPERLINK("https://nconnect.nicmar.ac.in/storage/profile/6a7786aa7f2a9.png","Download")</f>
        <v>0</v>
      </c>
      <c r="BV2720" s="3"/>
      <c r="BW2720" s="3"/>
    </row>
    <row r="2721" spans="1:75">
      <c r="A2721" s="1" t="s">
        <v>40756</v>
      </c>
      <c r="B2721" s="1" t="s">
        <v>44111</v>
      </c>
      <c r="C2721" s="1" t="s">
        <v>44223</v>
      </c>
      <c r="D2721" s="1" t="s">
        <v>17760</v>
      </c>
      <c r="E2721" s="1" t="s">
        <v>17186</v>
      </c>
      <c r="F2721" s="1" t="s">
        <v>44224</v>
      </c>
      <c r="G2721" s="1" t="s">
        <v>44225</v>
      </c>
      <c r="H2721" s="1" t="s">
        <v>44226</v>
      </c>
      <c r="I2721" s="1" t="s">
        <v>44227</v>
      </c>
      <c r="J2721" s="1">
        <v>9763819311</v>
      </c>
      <c r="K2721" s="1" t="s">
        <v>84</v>
      </c>
      <c r="L2721" s="1" t="s">
        <v>20570</v>
      </c>
      <c r="M2721" s="1" t="s">
        <v>86</v>
      </c>
      <c r="N2721" s="1" t="s">
        <v>39614</v>
      </c>
      <c r="O2721" s="1" t="s">
        <v>10967</v>
      </c>
      <c r="P2721" s="1" t="s">
        <v>219</v>
      </c>
      <c r="Q2721" s="1">
        <v>316777895017</v>
      </c>
      <c r="R2721" s="1" t="s">
        <v>17186</v>
      </c>
      <c r="S2721" s="1">
        <v>8412040134</v>
      </c>
      <c r="T2721" s="1" t="s">
        <v>44228</v>
      </c>
      <c r="U2721" s="1" t="s">
        <v>44229</v>
      </c>
      <c r="V2721" s="1">
        <v>9421508180</v>
      </c>
      <c r="W2721" s="1" t="s">
        <v>14154</v>
      </c>
      <c r="X2721" s="1" t="s">
        <v>44230</v>
      </c>
      <c r="Y2721" s="1" t="s">
        <v>5181</v>
      </c>
      <c r="Z2721" s="1" t="s">
        <v>97</v>
      </c>
      <c r="AA2721" s="1" t="s">
        <v>44231</v>
      </c>
      <c r="AB2721" s="1" t="s">
        <v>196</v>
      </c>
      <c r="AC2721" s="1" t="s">
        <v>97</v>
      </c>
      <c r="AD2721" s="1" t="s">
        <v>98</v>
      </c>
      <c r="AE2721" s="1" t="s">
        <v>98</v>
      </c>
      <c r="AF2721" s="1" t="s">
        <v>44232</v>
      </c>
      <c r="AG2721" s="1" t="s">
        <v>44233</v>
      </c>
      <c r="AH2721" s="1" t="s">
        <v>101</v>
      </c>
      <c r="AI2721" s="1" t="s">
        <v>603</v>
      </c>
      <c r="AJ2721" s="1">
        <v>89.4</v>
      </c>
      <c r="AK2721" s="1"/>
      <c r="AL2721" s="1"/>
      <c r="AM2721" s="1"/>
      <c r="AN2721" s="1"/>
      <c r="AO2721" s="1"/>
      <c r="AP2721" s="1"/>
      <c r="AQ2721" s="1"/>
      <c r="AR2721" s="1"/>
      <c r="AS2721" s="1" t="s">
        <v>14158</v>
      </c>
      <c r="AT2721" s="1" t="s">
        <v>44234</v>
      </c>
      <c r="AU2721" s="1" t="s">
        <v>368</v>
      </c>
      <c r="AV2721" s="1" t="s">
        <v>179</v>
      </c>
      <c r="AW2721" s="1">
        <v>78.29</v>
      </c>
      <c r="AX2721" s="1"/>
      <c r="AY2721" s="1" t="s">
        <v>14160</v>
      </c>
      <c r="AZ2721" s="1" t="s">
        <v>44235</v>
      </c>
      <c r="BA2721" s="1" t="s">
        <v>466</v>
      </c>
      <c r="BB2721" s="1" t="s">
        <v>467</v>
      </c>
      <c r="BC2721" s="1" t="s">
        <v>1267</v>
      </c>
      <c r="BD2721" s="1" t="s">
        <v>14514</v>
      </c>
      <c r="BE2721" s="1">
        <v>75</v>
      </c>
      <c r="BF2721" s="1">
        <v>8.25</v>
      </c>
      <c r="BG2721" s="1"/>
      <c r="BH2721" s="1"/>
      <c r="BI2721" s="1"/>
      <c r="BJ2721" s="1"/>
      <c r="BK2721" s="1"/>
      <c r="BL2721" s="1"/>
      <c r="BM2721" s="1"/>
      <c r="BN2721" s="1"/>
      <c r="BO2721" s="1" t="s">
        <v>44236</v>
      </c>
      <c r="BP2721" s="1"/>
      <c r="BQ2721" s="1"/>
      <c r="BR2721" s="1"/>
      <c r="BS2721" s="1"/>
      <c r="BT2721" s="1" t="s">
        <v>44237</v>
      </c>
      <c r="BU2721" s="1" t="str">
        <f>HYPERLINK("https://nconnect.nicmar.ac.in/storage/profile/6a79dc1a863d9.png","Download")</f>
        <v>0</v>
      </c>
      <c r="BV2721" s="3"/>
      <c r="BW2721" s="3"/>
    </row>
    <row r="2722" spans="1:75">
      <c r="A2722" s="1" t="s">
        <v>40756</v>
      </c>
      <c r="B2722" s="1" t="s">
        <v>44111</v>
      </c>
      <c r="C2722" s="1" t="s">
        <v>44238</v>
      </c>
      <c r="D2722" s="1" t="s">
        <v>44239</v>
      </c>
      <c r="E2722" s="1" t="s">
        <v>44240</v>
      </c>
      <c r="F2722" s="1" t="s">
        <v>44241</v>
      </c>
      <c r="G2722" s="1" t="s">
        <v>44242</v>
      </c>
      <c r="H2722" s="1" t="s">
        <v>44243</v>
      </c>
      <c r="I2722" s="1" t="s">
        <v>44244</v>
      </c>
      <c r="J2722" s="1">
        <v>7083606348</v>
      </c>
      <c r="K2722" s="1" t="s">
        <v>84</v>
      </c>
      <c r="L2722" s="1" t="s">
        <v>9118</v>
      </c>
      <c r="M2722" s="1" t="s">
        <v>86</v>
      </c>
      <c r="N2722" s="1" t="s">
        <v>4263</v>
      </c>
      <c r="O2722" s="1" t="s">
        <v>44245</v>
      </c>
      <c r="P2722" s="1" t="s">
        <v>122</v>
      </c>
      <c r="Q2722" s="1">
        <v>670502660600</v>
      </c>
      <c r="R2722" s="1" t="s">
        <v>44240</v>
      </c>
      <c r="S2722" s="1">
        <v>9850535390</v>
      </c>
      <c r="T2722" s="1" t="s">
        <v>3439</v>
      </c>
      <c r="U2722" s="1" t="s">
        <v>14726</v>
      </c>
      <c r="V2722" s="1">
        <v>9834113798</v>
      </c>
      <c r="W2722" s="1" t="s">
        <v>14154</v>
      </c>
      <c r="X2722" s="1" t="s">
        <v>44246</v>
      </c>
      <c r="Y2722" s="1" t="s">
        <v>1989</v>
      </c>
      <c r="Z2722" s="1" t="s">
        <v>97</v>
      </c>
      <c r="AA2722" s="1" t="s">
        <v>44246</v>
      </c>
      <c r="AB2722" s="1" t="s">
        <v>1989</v>
      </c>
      <c r="AC2722" s="1" t="s">
        <v>97</v>
      </c>
      <c r="AD2722" s="1" t="s">
        <v>98</v>
      </c>
      <c r="AE2722" s="1" t="s">
        <v>98</v>
      </c>
      <c r="AF2722" s="1" t="s">
        <v>44247</v>
      </c>
      <c r="AG2722" s="1" t="s">
        <v>14157</v>
      </c>
      <c r="AH2722" s="1" t="s">
        <v>167</v>
      </c>
      <c r="AI2722" s="1" t="s">
        <v>200</v>
      </c>
      <c r="AJ2722" s="1">
        <v>78.2</v>
      </c>
      <c r="AK2722" s="1"/>
      <c r="AL2722" s="1"/>
      <c r="AM2722" s="1"/>
      <c r="AN2722" s="1"/>
      <c r="AO2722" s="1"/>
      <c r="AP2722" s="1"/>
      <c r="AQ2722" s="1"/>
      <c r="AR2722" s="1"/>
      <c r="AS2722" s="1" t="s">
        <v>467</v>
      </c>
      <c r="AT2722" s="1" t="s">
        <v>44234</v>
      </c>
      <c r="AU2722" s="1" t="s">
        <v>388</v>
      </c>
      <c r="AV2722" s="1" t="s">
        <v>417</v>
      </c>
      <c r="AW2722" s="1">
        <v>71.69</v>
      </c>
      <c r="AX2722" s="1"/>
      <c r="AY2722" s="1" t="s">
        <v>44248</v>
      </c>
      <c r="AZ2722" s="1" t="s">
        <v>44249</v>
      </c>
      <c r="BA2722" s="1" t="s">
        <v>466</v>
      </c>
      <c r="BB2722" s="1" t="s">
        <v>467</v>
      </c>
      <c r="BC2722" s="1" t="s">
        <v>1040</v>
      </c>
      <c r="BD2722" s="1" t="s">
        <v>955</v>
      </c>
      <c r="BE2722" s="1">
        <v>71.5</v>
      </c>
      <c r="BF2722" s="1">
        <v>7.65</v>
      </c>
      <c r="BG2722" s="1"/>
      <c r="BH2722" s="1"/>
      <c r="BI2722" s="1"/>
      <c r="BJ2722" s="1"/>
      <c r="BK2722" s="1"/>
      <c r="BL2722" s="1"/>
      <c r="BM2722" s="1"/>
      <c r="BN2722" s="1"/>
      <c r="BO2722" s="1" t="s">
        <v>44250</v>
      </c>
      <c r="BP2722" s="1" t="s">
        <v>44251</v>
      </c>
      <c r="BQ2722" s="1" t="s">
        <v>9111</v>
      </c>
      <c r="BR2722" s="1"/>
      <c r="BS2722" s="1"/>
      <c r="BT2722" s="1"/>
      <c r="BU2722" s="1" t="str">
        <f>HYPERLINK("https://nconnect.nicmar.ac.in/storage/profile/6a78592cde9a4.png","Download")</f>
        <v>0</v>
      </c>
      <c r="BV2722" s="3"/>
      <c r="BW2722" s="3"/>
    </row>
    <row r="2723" spans="1:75">
      <c r="A2723" s="1" t="s">
        <v>40756</v>
      </c>
      <c r="B2723" s="1" t="s">
        <v>44111</v>
      </c>
      <c r="C2723" s="1" t="s">
        <v>44252</v>
      </c>
      <c r="D2723" s="1" t="s">
        <v>44253</v>
      </c>
      <c r="E2723" s="1" t="s">
        <v>44254</v>
      </c>
      <c r="F2723" s="1" t="s">
        <v>44255</v>
      </c>
      <c r="G2723" s="1" t="s">
        <v>44256</v>
      </c>
      <c r="H2723" s="1" t="s">
        <v>44257</v>
      </c>
      <c r="I2723" s="1" t="s">
        <v>44258</v>
      </c>
      <c r="J2723" s="1">
        <v>8421230665</v>
      </c>
      <c r="K2723" s="1" t="s">
        <v>153</v>
      </c>
      <c r="L2723" s="1" t="s">
        <v>18620</v>
      </c>
      <c r="M2723" s="1" t="s">
        <v>86</v>
      </c>
      <c r="N2723" s="1" t="s">
        <v>13145</v>
      </c>
      <c r="O2723" s="1" t="s">
        <v>44259</v>
      </c>
      <c r="P2723" s="1" t="s">
        <v>122</v>
      </c>
      <c r="Q2723" s="1">
        <v>527069697053</v>
      </c>
      <c r="R2723" s="1" t="s">
        <v>44254</v>
      </c>
      <c r="S2723" s="1">
        <v>9156885297</v>
      </c>
      <c r="T2723" s="1" t="s">
        <v>14192</v>
      </c>
      <c r="U2723" s="1" t="s">
        <v>44260</v>
      </c>
      <c r="V2723" s="1">
        <v>8600096961</v>
      </c>
      <c r="W2723" s="1" t="s">
        <v>3441</v>
      </c>
      <c r="X2723" s="1" t="s">
        <v>44261</v>
      </c>
      <c r="Y2723" s="1" t="s">
        <v>309</v>
      </c>
      <c r="Z2723" s="1" t="s">
        <v>97</v>
      </c>
      <c r="AA2723" s="1" t="s">
        <v>44261</v>
      </c>
      <c r="AB2723" s="1" t="s">
        <v>309</v>
      </c>
      <c r="AC2723" s="1" t="s">
        <v>97</v>
      </c>
      <c r="AD2723" s="1" t="s">
        <v>98</v>
      </c>
      <c r="AE2723" s="1" t="s">
        <v>98</v>
      </c>
      <c r="AF2723" s="1" t="s">
        <v>44262</v>
      </c>
      <c r="AG2723" s="1" t="s">
        <v>14157</v>
      </c>
      <c r="AH2723" s="1" t="s">
        <v>167</v>
      </c>
      <c r="AI2723" s="1" t="s">
        <v>573</v>
      </c>
      <c r="AJ2723" s="1">
        <v>93</v>
      </c>
      <c r="AK2723" s="1"/>
      <c r="AL2723" s="1"/>
      <c r="AM2723" s="1"/>
      <c r="AN2723" s="1"/>
      <c r="AO2723" s="1"/>
      <c r="AP2723" s="1"/>
      <c r="AQ2723" s="1"/>
      <c r="AR2723" s="1"/>
      <c r="AS2723" s="1" t="s">
        <v>14158</v>
      </c>
      <c r="AT2723" s="1" t="s">
        <v>44263</v>
      </c>
      <c r="AU2723" s="1" t="s">
        <v>388</v>
      </c>
      <c r="AV2723" s="1" t="s">
        <v>175</v>
      </c>
      <c r="AW2723" s="1">
        <v>85.84</v>
      </c>
      <c r="AX2723" s="1"/>
      <c r="AY2723" s="1" t="s">
        <v>44264</v>
      </c>
      <c r="AZ2723" s="1" t="s">
        <v>44265</v>
      </c>
      <c r="BA2723" s="1" t="s">
        <v>578</v>
      </c>
      <c r="BB2723" s="1" t="s">
        <v>467</v>
      </c>
      <c r="BC2723" s="1" t="s">
        <v>368</v>
      </c>
      <c r="BD2723" s="1" t="s">
        <v>234</v>
      </c>
      <c r="BE2723" s="1">
        <v>84.74</v>
      </c>
      <c r="BF2723" s="1"/>
      <c r="BG2723" s="1"/>
      <c r="BH2723" s="1"/>
      <c r="BI2723" s="1"/>
      <c r="BJ2723" s="1"/>
      <c r="BK2723" s="1"/>
      <c r="BL2723" s="1"/>
      <c r="BM2723" s="1"/>
      <c r="BN2723" s="1"/>
      <c r="BO2723" s="1" t="s">
        <v>44266</v>
      </c>
      <c r="BP2723" s="1" t="s">
        <v>44267</v>
      </c>
      <c r="BQ2723" s="1" t="s">
        <v>757</v>
      </c>
      <c r="BR2723" s="1"/>
      <c r="BS2723" s="1"/>
      <c r="BT2723" s="1"/>
      <c r="BU2723" s="1" t="str">
        <f>HYPERLINK("https://nconnect.nicmar.ac.in/storage/profile/6a7889384e4dd.png","Download")</f>
        <v>0</v>
      </c>
      <c r="BV2723" s="3"/>
      <c r="BW2723" s="3"/>
    </row>
    <row r="2724" spans="1:75">
      <c r="A2724" s="1" t="s">
        <v>40756</v>
      </c>
      <c r="B2724" s="1" t="s">
        <v>44111</v>
      </c>
      <c r="C2724" s="1" t="s">
        <v>44268</v>
      </c>
      <c r="D2724" s="1" t="s">
        <v>44269</v>
      </c>
      <c r="E2724" s="1" t="s">
        <v>44270</v>
      </c>
      <c r="F2724" s="1" t="s">
        <v>16498</v>
      </c>
      <c r="G2724" s="1" t="s">
        <v>44271</v>
      </c>
      <c r="H2724" s="1" t="s">
        <v>44272</v>
      </c>
      <c r="I2724" s="1" t="s">
        <v>44273</v>
      </c>
      <c r="J2724" s="1">
        <v>9370049656</v>
      </c>
      <c r="K2724" s="1" t="s">
        <v>84</v>
      </c>
      <c r="L2724" s="1" t="s">
        <v>44274</v>
      </c>
      <c r="M2724" s="1" t="s">
        <v>86</v>
      </c>
      <c r="N2724" s="1" t="s">
        <v>768</v>
      </c>
      <c r="O2724" s="1" t="s">
        <v>44275</v>
      </c>
      <c r="P2724" s="1" t="s">
        <v>122</v>
      </c>
      <c r="Q2724" s="1">
        <v>820868112156</v>
      </c>
      <c r="R2724" s="1" t="s">
        <v>44270</v>
      </c>
      <c r="S2724" s="1">
        <v>9175972697</v>
      </c>
      <c r="T2724" s="1" t="s">
        <v>14335</v>
      </c>
      <c r="U2724" s="1" t="s">
        <v>44276</v>
      </c>
      <c r="V2724" s="1">
        <v>7263821341</v>
      </c>
      <c r="W2724" s="1" t="s">
        <v>14335</v>
      </c>
      <c r="X2724" s="1" t="s">
        <v>44277</v>
      </c>
      <c r="Y2724" s="1" t="s">
        <v>1989</v>
      </c>
      <c r="Z2724" s="1" t="s">
        <v>97</v>
      </c>
      <c r="AA2724" s="1" t="s">
        <v>44277</v>
      </c>
      <c r="AB2724" s="1" t="s">
        <v>1989</v>
      </c>
      <c r="AC2724" s="1" t="s">
        <v>97</v>
      </c>
      <c r="AD2724" s="1" t="s">
        <v>98</v>
      </c>
      <c r="AE2724" s="1" t="s">
        <v>98</v>
      </c>
      <c r="AF2724" s="1" t="s">
        <v>44278</v>
      </c>
      <c r="AG2724" s="1" t="s">
        <v>14238</v>
      </c>
      <c r="AH2724" s="1" t="s">
        <v>167</v>
      </c>
      <c r="AI2724" s="1" t="s">
        <v>170</v>
      </c>
      <c r="AJ2724" s="1">
        <v>92.4</v>
      </c>
      <c r="AK2724" s="1"/>
      <c r="AL2724" s="1"/>
      <c r="AM2724" s="1"/>
      <c r="AN2724" s="1"/>
      <c r="AO2724" s="1"/>
      <c r="AP2724" s="1"/>
      <c r="AQ2724" s="1"/>
      <c r="AR2724" s="1"/>
      <c r="AS2724" s="1" t="s">
        <v>14656</v>
      </c>
      <c r="AT2724" s="1" t="s">
        <v>44279</v>
      </c>
      <c r="AU2724" s="1" t="s">
        <v>230</v>
      </c>
      <c r="AV2724" s="1" t="s">
        <v>178</v>
      </c>
      <c r="AW2724" s="1">
        <v>92.63</v>
      </c>
      <c r="AX2724" s="1"/>
      <c r="AY2724" s="1" t="s">
        <v>13994</v>
      </c>
      <c r="AZ2724" s="1" t="s">
        <v>44280</v>
      </c>
      <c r="BA2724" s="1" t="s">
        <v>466</v>
      </c>
      <c r="BB2724" s="1" t="s">
        <v>467</v>
      </c>
      <c r="BC2724" s="1" t="s">
        <v>1040</v>
      </c>
      <c r="BD2724" s="1" t="s">
        <v>391</v>
      </c>
      <c r="BE2724" s="1">
        <v>75.97</v>
      </c>
      <c r="BF2724" s="1">
        <v>8.09</v>
      </c>
      <c r="BG2724" s="1"/>
      <c r="BH2724" s="1"/>
      <c r="BI2724" s="1"/>
      <c r="BJ2724" s="1"/>
      <c r="BK2724" s="1"/>
      <c r="BL2724" s="1"/>
      <c r="BM2724" s="1"/>
      <c r="BN2724" s="1"/>
      <c r="BO2724" s="1" t="s">
        <v>44281</v>
      </c>
      <c r="BP2724" s="1" t="s">
        <v>44282</v>
      </c>
      <c r="BQ2724" s="1" t="s">
        <v>8862</v>
      </c>
      <c r="BR2724" s="1"/>
      <c r="BS2724" s="1"/>
      <c r="BT2724" s="1" t="s">
        <v>44283</v>
      </c>
      <c r="BU2724" s="1" t="str">
        <f>HYPERLINK("https://nconnect.nicmar.ac.in/storage/profile/6a761cd47898b.png","Download")</f>
        <v>0</v>
      </c>
      <c r="BV2724" s="3"/>
      <c r="BW2724" s="3"/>
    </row>
    <row r="2725" spans="1:75">
      <c r="A2725" s="1" t="s">
        <v>40756</v>
      </c>
      <c r="B2725" s="1" t="s">
        <v>44111</v>
      </c>
      <c r="C2725" s="1" t="s">
        <v>44284</v>
      </c>
      <c r="D2725" s="1" t="s">
        <v>44285</v>
      </c>
      <c r="E2725" s="1" t="s">
        <v>1361</v>
      </c>
      <c r="F2725" s="1" t="s">
        <v>1853</v>
      </c>
      <c r="G2725" s="1" t="s">
        <v>44286</v>
      </c>
      <c r="H2725" s="1" t="s">
        <v>44287</v>
      </c>
      <c r="I2725" s="1" t="s">
        <v>44287</v>
      </c>
      <c r="J2725" s="1">
        <v>9901490835</v>
      </c>
      <c r="K2725" s="1" t="s">
        <v>153</v>
      </c>
      <c r="L2725" s="1" t="s">
        <v>44288</v>
      </c>
      <c r="M2725" s="1" t="s">
        <v>86</v>
      </c>
      <c r="N2725" s="1" t="s">
        <v>44289</v>
      </c>
      <c r="O2725" s="1" t="s">
        <v>44290</v>
      </c>
      <c r="P2725" s="1" t="s">
        <v>122</v>
      </c>
      <c r="Q2725" s="1" t="s">
        <v>44291</v>
      </c>
      <c r="R2725" s="1" t="s">
        <v>44292</v>
      </c>
      <c r="S2725" s="1">
        <v>8105688725</v>
      </c>
      <c r="T2725" s="1" t="s">
        <v>16425</v>
      </c>
      <c r="U2725" s="1" t="s">
        <v>44293</v>
      </c>
      <c r="V2725" s="1">
        <v>7676977358</v>
      </c>
      <c r="W2725" s="1" t="s">
        <v>18072</v>
      </c>
      <c r="X2725" s="1" t="s">
        <v>44294</v>
      </c>
      <c r="Y2725" s="1" t="s">
        <v>9929</v>
      </c>
      <c r="Z2725" s="1" t="s">
        <v>1210</v>
      </c>
      <c r="AA2725" s="1" t="s">
        <v>44294</v>
      </c>
      <c r="AB2725" s="1" t="s">
        <v>9929</v>
      </c>
      <c r="AC2725" s="1" t="s">
        <v>1210</v>
      </c>
      <c r="AD2725" s="1" t="s">
        <v>98</v>
      </c>
      <c r="AE2725" s="1" t="s">
        <v>98</v>
      </c>
      <c r="AF2725" s="1" t="s">
        <v>44295</v>
      </c>
      <c r="AG2725" s="1" t="s">
        <v>1946</v>
      </c>
      <c r="AH2725" s="1" t="s">
        <v>170</v>
      </c>
      <c r="AI2725" s="1" t="s">
        <v>490</v>
      </c>
      <c r="AJ2725" s="1">
        <v>89.12</v>
      </c>
      <c r="AK2725" s="1"/>
      <c r="AL2725" s="1" t="s">
        <v>44296</v>
      </c>
      <c r="AM2725" s="1" t="s">
        <v>44297</v>
      </c>
      <c r="AN2725" s="1" t="s">
        <v>575</v>
      </c>
      <c r="AO2725" s="1" t="s">
        <v>106</v>
      </c>
      <c r="AP2725" s="1" t="s">
        <v>603</v>
      </c>
      <c r="AQ2725" s="1">
        <v>86.33</v>
      </c>
      <c r="AR2725" s="1"/>
      <c r="AS2725" s="1"/>
      <c r="AT2725" s="1"/>
      <c r="AU2725" s="1"/>
      <c r="AV2725" s="1"/>
      <c r="AW2725" s="1"/>
      <c r="AX2725" s="1"/>
      <c r="AY2725" s="1" t="s">
        <v>44298</v>
      </c>
      <c r="AZ2725" s="1" t="s">
        <v>44299</v>
      </c>
      <c r="BA2725" s="1" t="s">
        <v>578</v>
      </c>
      <c r="BB2725" s="1" t="s">
        <v>467</v>
      </c>
      <c r="BC2725" s="1" t="s">
        <v>175</v>
      </c>
      <c r="BD2725" s="1" t="s">
        <v>1089</v>
      </c>
      <c r="BE2725" s="1">
        <v>81.8</v>
      </c>
      <c r="BF2725" s="1">
        <v>8.93</v>
      </c>
      <c r="BG2725" s="1"/>
      <c r="BH2725" s="1"/>
      <c r="BI2725" s="1"/>
      <c r="BJ2725" s="1"/>
      <c r="BK2725" s="1"/>
      <c r="BL2725" s="1"/>
      <c r="BM2725" s="1"/>
      <c r="BN2725" s="1"/>
      <c r="BO2725" s="1" t="s">
        <v>44300</v>
      </c>
      <c r="BP2725" s="1" t="s">
        <v>44301</v>
      </c>
      <c r="BQ2725" s="1" t="s">
        <v>757</v>
      </c>
      <c r="BR2725" s="1" t="s">
        <v>44302</v>
      </c>
      <c r="BS2725" s="1">
        <v>4</v>
      </c>
      <c r="BT2725" s="1" t="s">
        <v>44303</v>
      </c>
      <c r="BU2725" s="1" t="str">
        <f>HYPERLINK("https://nconnect.nicmar.ac.in/storage/profile/6a775781845f6.png","Download")</f>
        <v>0</v>
      </c>
      <c r="BV2725" s="3"/>
      <c r="BW2725" s="3"/>
    </row>
    <row r="2726" spans="1:75">
      <c r="A2726" s="1" t="s">
        <v>40756</v>
      </c>
      <c r="B2726" s="1" t="s">
        <v>44111</v>
      </c>
      <c r="C2726" s="1" t="s">
        <v>44304</v>
      </c>
      <c r="D2726" s="1" t="s">
        <v>16929</v>
      </c>
      <c r="E2726" s="1" t="s">
        <v>44305</v>
      </c>
      <c r="F2726" s="1" t="s">
        <v>44306</v>
      </c>
      <c r="G2726" s="1" t="s">
        <v>44307</v>
      </c>
      <c r="H2726" s="1" t="s">
        <v>44308</v>
      </c>
      <c r="I2726" s="1" t="s">
        <v>44308</v>
      </c>
      <c r="J2726" s="1">
        <v>9673073102</v>
      </c>
      <c r="K2726" s="1" t="s">
        <v>84</v>
      </c>
      <c r="L2726" s="1" t="s">
        <v>27763</v>
      </c>
      <c r="M2726" s="1" t="s">
        <v>86</v>
      </c>
      <c r="N2726" s="1" t="s">
        <v>355</v>
      </c>
      <c r="O2726" s="1" t="s">
        <v>44309</v>
      </c>
      <c r="P2726" s="1" t="s">
        <v>219</v>
      </c>
      <c r="Q2726" s="1">
        <v>410027681323</v>
      </c>
      <c r="R2726" s="1" t="s">
        <v>44310</v>
      </c>
      <c r="S2726" s="1">
        <v>8605461132</v>
      </c>
      <c r="T2726" s="1" t="s">
        <v>2177</v>
      </c>
      <c r="U2726" s="1" t="s">
        <v>44311</v>
      </c>
      <c r="V2726" s="1">
        <v>9822480303</v>
      </c>
      <c r="W2726" s="1" t="s">
        <v>2177</v>
      </c>
      <c r="X2726" s="1" t="s">
        <v>44312</v>
      </c>
      <c r="Y2726" s="1" t="s">
        <v>6548</v>
      </c>
      <c r="Z2726" s="1" t="s">
        <v>6549</v>
      </c>
      <c r="AA2726" s="1" t="s">
        <v>44312</v>
      </c>
      <c r="AB2726" s="1" t="s">
        <v>6548</v>
      </c>
      <c r="AC2726" s="1" t="s">
        <v>6549</v>
      </c>
      <c r="AD2726" s="1" t="s">
        <v>98</v>
      </c>
      <c r="AE2726" s="1" t="s">
        <v>98</v>
      </c>
      <c r="AF2726" s="1" t="s">
        <v>44313</v>
      </c>
      <c r="AG2726" s="1" t="s">
        <v>44314</v>
      </c>
      <c r="AH2726" s="1" t="s">
        <v>1213</v>
      </c>
      <c r="AI2726" s="1" t="s">
        <v>515</v>
      </c>
      <c r="AJ2726" s="1">
        <v>78.0</v>
      </c>
      <c r="AK2726" s="1"/>
      <c r="AL2726" s="1" t="s">
        <v>44315</v>
      </c>
      <c r="AM2726" s="1" t="s">
        <v>44314</v>
      </c>
      <c r="AN2726" s="1" t="s">
        <v>575</v>
      </c>
      <c r="AO2726" s="1" t="s">
        <v>342</v>
      </c>
      <c r="AP2726" s="1" t="s">
        <v>1111</v>
      </c>
      <c r="AQ2726" s="1">
        <v>72.0</v>
      </c>
      <c r="AR2726" s="1"/>
      <c r="AS2726" s="1"/>
      <c r="AT2726" s="1"/>
      <c r="AU2726" s="1"/>
      <c r="AV2726" s="1"/>
      <c r="AW2726" s="1"/>
      <c r="AX2726" s="1"/>
      <c r="AY2726" s="1" t="s">
        <v>44316</v>
      </c>
      <c r="AZ2726" s="1" t="s">
        <v>16158</v>
      </c>
      <c r="BA2726" s="1" t="s">
        <v>578</v>
      </c>
      <c r="BB2726" s="1" t="s">
        <v>467</v>
      </c>
      <c r="BC2726" s="1" t="s">
        <v>167</v>
      </c>
      <c r="BD2726" s="1" t="s">
        <v>1040</v>
      </c>
      <c r="BE2726" s="1">
        <v>66.83</v>
      </c>
      <c r="BF2726" s="1"/>
      <c r="BG2726" s="1"/>
      <c r="BH2726" s="1"/>
      <c r="BI2726" s="1"/>
      <c r="BJ2726" s="1"/>
      <c r="BK2726" s="1"/>
      <c r="BL2726" s="1"/>
      <c r="BM2726" s="1"/>
      <c r="BN2726" s="1"/>
      <c r="BO2726" s="1" t="s">
        <v>44317</v>
      </c>
      <c r="BP2726" s="1" t="s">
        <v>44318</v>
      </c>
      <c r="BQ2726" s="1" t="s">
        <v>31161</v>
      </c>
      <c r="BR2726" s="1"/>
      <c r="BS2726" s="1"/>
      <c r="BT2726" s="1" t="s">
        <v>44319</v>
      </c>
      <c r="BU2726" s="1" t="str">
        <f>HYPERLINK("https://nconnect.nicmar.ac.in/storage/profile/6a7898fedd86c.png","Download")</f>
        <v>0</v>
      </c>
      <c r="BV2726" s="3"/>
      <c r="BW2726" s="3"/>
    </row>
    <row r="2727" spans="1:75">
      <c r="A2727" s="1" t="s">
        <v>40756</v>
      </c>
      <c r="B2727" s="1" t="s">
        <v>44111</v>
      </c>
      <c r="C2727" s="1" t="s">
        <v>44320</v>
      </c>
      <c r="D2727" s="1" t="s">
        <v>16630</v>
      </c>
      <c r="E2727" s="1" t="s">
        <v>22251</v>
      </c>
      <c r="F2727" s="1" t="s">
        <v>44321</v>
      </c>
      <c r="G2727" s="1" t="s">
        <v>44322</v>
      </c>
      <c r="H2727" s="1" t="s">
        <v>44323</v>
      </c>
      <c r="I2727" s="1" t="s">
        <v>44323</v>
      </c>
      <c r="J2727" s="1">
        <v>7350521741</v>
      </c>
      <c r="K2727" s="1" t="s">
        <v>84</v>
      </c>
      <c r="L2727" s="1" t="s">
        <v>32779</v>
      </c>
      <c r="M2727" s="1" t="s">
        <v>86</v>
      </c>
      <c r="N2727" s="1" t="s">
        <v>4263</v>
      </c>
      <c r="O2727" s="1" t="s">
        <v>44324</v>
      </c>
      <c r="P2727" s="1" t="s">
        <v>219</v>
      </c>
      <c r="Q2727" s="1">
        <v>891959965319</v>
      </c>
      <c r="R2727" s="1" t="s">
        <v>22251</v>
      </c>
      <c r="S2727" s="1">
        <v>8830555741</v>
      </c>
      <c r="T2727" s="1" t="s">
        <v>19228</v>
      </c>
      <c r="U2727" s="1" t="s">
        <v>44325</v>
      </c>
      <c r="V2727" s="1">
        <v>7499122752</v>
      </c>
      <c r="W2727" s="1" t="s">
        <v>14710</v>
      </c>
      <c r="X2727" s="1" t="s">
        <v>44326</v>
      </c>
      <c r="Y2727" s="1" t="s">
        <v>910</v>
      </c>
      <c r="Z2727" s="1" t="s">
        <v>97</v>
      </c>
      <c r="AA2727" s="1" t="s">
        <v>44327</v>
      </c>
      <c r="AB2727" s="1" t="s">
        <v>196</v>
      </c>
      <c r="AC2727" s="1" t="s">
        <v>97</v>
      </c>
      <c r="AD2727" s="1" t="s">
        <v>98</v>
      </c>
      <c r="AE2727" s="1" t="s">
        <v>98</v>
      </c>
      <c r="AF2727" s="1" t="s">
        <v>44328</v>
      </c>
      <c r="AG2727" s="1" t="s">
        <v>14238</v>
      </c>
      <c r="AH2727" s="1" t="s">
        <v>101</v>
      </c>
      <c r="AI2727" s="1" t="s">
        <v>102</v>
      </c>
      <c r="AJ2727" s="1">
        <v>83.2</v>
      </c>
      <c r="AK2727" s="1"/>
      <c r="AL2727" s="1" t="s">
        <v>44329</v>
      </c>
      <c r="AM2727" s="1" t="s">
        <v>14238</v>
      </c>
      <c r="AN2727" s="1" t="s">
        <v>575</v>
      </c>
      <c r="AO2727" s="1" t="s">
        <v>167</v>
      </c>
      <c r="AP2727" s="1" t="s">
        <v>518</v>
      </c>
      <c r="AQ2727" s="1">
        <v>60.15</v>
      </c>
      <c r="AR2727" s="1"/>
      <c r="AS2727" s="1"/>
      <c r="AT2727" s="1"/>
      <c r="AU2727" s="1"/>
      <c r="AV2727" s="1"/>
      <c r="AW2727" s="1"/>
      <c r="AX2727" s="1"/>
      <c r="AY2727" s="1" t="s">
        <v>16643</v>
      </c>
      <c r="AZ2727" s="1" t="s">
        <v>44330</v>
      </c>
      <c r="BA2727" s="1" t="s">
        <v>578</v>
      </c>
      <c r="BB2727" s="1" t="s">
        <v>467</v>
      </c>
      <c r="BC2727" s="1" t="s">
        <v>230</v>
      </c>
      <c r="BD2727" s="1" t="s">
        <v>110</v>
      </c>
      <c r="BE2727" s="1">
        <v>64.2</v>
      </c>
      <c r="BF2727" s="1">
        <v>7.17</v>
      </c>
      <c r="BG2727" s="1"/>
      <c r="BH2727" s="1"/>
      <c r="BI2727" s="1"/>
      <c r="BJ2727" s="1"/>
      <c r="BK2727" s="1"/>
      <c r="BL2727" s="1"/>
      <c r="BM2727" s="1"/>
      <c r="BN2727" s="1"/>
      <c r="BO2727" s="1" t="s">
        <v>44331</v>
      </c>
      <c r="BP2727" s="1" t="s">
        <v>44332</v>
      </c>
      <c r="BQ2727" s="1" t="s">
        <v>2326</v>
      </c>
      <c r="BR2727" s="1"/>
      <c r="BS2727" s="1"/>
      <c r="BT2727" s="1"/>
      <c r="BU2727" s="1" t="str">
        <f>HYPERLINK("https://nconnect.nicmar.ac.in/storage/profile/6a784bfc39662.png","Download")</f>
        <v>0</v>
      </c>
      <c r="BV2727" s="3"/>
      <c r="BW2727" s="3"/>
    </row>
    <row r="2728" spans="1:75">
      <c r="A2728" s="1" t="s">
        <v>40756</v>
      </c>
      <c r="B2728" s="1" t="s">
        <v>44111</v>
      </c>
      <c r="C2728" s="1" t="s">
        <v>44333</v>
      </c>
      <c r="D2728" s="1" t="s">
        <v>44334</v>
      </c>
      <c r="E2728" s="1"/>
      <c r="F2728" s="1" t="s">
        <v>44335</v>
      </c>
      <c r="G2728" s="1" t="s">
        <v>44336</v>
      </c>
      <c r="H2728" s="1" t="s">
        <v>44337</v>
      </c>
      <c r="I2728" s="1" t="s">
        <v>44337</v>
      </c>
      <c r="J2728" s="1">
        <v>8466906759</v>
      </c>
      <c r="K2728" s="1" t="s">
        <v>84</v>
      </c>
      <c r="L2728" s="1" t="s">
        <v>44338</v>
      </c>
      <c r="M2728" s="1" t="s">
        <v>86</v>
      </c>
      <c r="N2728" s="1" t="s">
        <v>17535</v>
      </c>
      <c r="O2728" s="1" t="s">
        <v>44339</v>
      </c>
      <c r="P2728" s="1" t="s">
        <v>89</v>
      </c>
      <c r="Q2728" s="1">
        <v>532157386920</v>
      </c>
      <c r="R2728" s="1" t="s">
        <v>44340</v>
      </c>
      <c r="S2728" s="1">
        <v>9618119559</v>
      </c>
      <c r="T2728" s="1" t="s">
        <v>13987</v>
      </c>
      <c r="U2728" s="1" t="s">
        <v>44341</v>
      </c>
      <c r="V2728" s="1">
        <v>9618119559</v>
      </c>
      <c r="W2728" s="1" t="s">
        <v>10306</v>
      </c>
      <c r="X2728" s="1" t="s">
        <v>44342</v>
      </c>
      <c r="Y2728" s="1" t="s">
        <v>3522</v>
      </c>
      <c r="Z2728" s="1" t="s">
        <v>281</v>
      </c>
      <c r="AA2728" s="1" t="s">
        <v>44343</v>
      </c>
      <c r="AB2728" s="1" t="s">
        <v>3522</v>
      </c>
      <c r="AC2728" s="1" t="s">
        <v>281</v>
      </c>
      <c r="AD2728" s="1" t="s">
        <v>98</v>
      </c>
      <c r="AE2728" s="1" t="s">
        <v>98</v>
      </c>
      <c r="AF2728" s="1" t="s">
        <v>44344</v>
      </c>
      <c r="AG2728" s="1" t="s">
        <v>44345</v>
      </c>
      <c r="AH2728" s="1" t="s">
        <v>170</v>
      </c>
      <c r="AI2728" s="1" t="s">
        <v>490</v>
      </c>
      <c r="AJ2728" s="1">
        <v>83.0</v>
      </c>
      <c r="AK2728" s="1">
        <v>8.3</v>
      </c>
      <c r="AL2728" s="1"/>
      <c r="AM2728" s="1"/>
      <c r="AN2728" s="1"/>
      <c r="AO2728" s="1"/>
      <c r="AP2728" s="1"/>
      <c r="AQ2728" s="1"/>
      <c r="AR2728" s="1"/>
      <c r="AS2728" s="1" t="s">
        <v>439</v>
      </c>
      <c r="AT2728" s="1" t="s">
        <v>44346</v>
      </c>
      <c r="AU2728" s="1" t="s">
        <v>106</v>
      </c>
      <c r="AV2728" s="1" t="s">
        <v>2304</v>
      </c>
      <c r="AW2728" s="1">
        <v>85.51</v>
      </c>
      <c r="AX2728" s="1"/>
      <c r="AY2728" s="1" t="s">
        <v>33959</v>
      </c>
      <c r="AZ2728" s="1" t="s">
        <v>44347</v>
      </c>
      <c r="BA2728" s="1" t="s">
        <v>466</v>
      </c>
      <c r="BB2728" s="1" t="s">
        <v>467</v>
      </c>
      <c r="BC2728" s="1" t="s">
        <v>1802</v>
      </c>
      <c r="BD2728" s="1" t="s">
        <v>1314</v>
      </c>
      <c r="BE2728" s="1">
        <v>69.7</v>
      </c>
      <c r="BF2728" s="1">
        <v>7.72</v>
      </c>
      <c r="BG2728" s="1"/>
      <c r="BH2728" s="1"/>
      <c r="BI2728" s="1"/>
      <c r="BJ2728" s="1"/>
      <c r="BK2728" s="1"/>
      <c r="BL2728" s="1"/>
      <c r="BM2728" s="1"/>
      <c r="BN2728" s="1"/>
      <c r="BO2728" s="1" t="s">
        <v>44348</v>
      </c>
      <c r="BP2728" s="1" t="s">
        <v>44349</v>
      </c>
      <c r="BQ2728" s="1" t="s">
        <v>6365</v>
      </c>
      <c r="BR2728" s="1" t="s">
        <v>44350</v>
      </c>
      <c r="BS2728" s="1">
        <v>55</v>
      </c>
      <c r="BT2728" s="1"/>
      <c r="BU2728" s="1" t="str">
        <f>HYPERLINK("https://nconnect.nicmar.ac.in/storage/profile/6a7756d9c95a3.png","Download")</f>
        <v>0</v>
      </c>
      <c r="BV2728" s="3"/>
      <c r="BW2728" s="3"/>
    </row>
    <row r="2729" spans="1:75">
      <c r="A2729" s="1" t="s">
        <v>40756</v>
      </c>
      <c r="B2729" s="1" t="s">
        <v>44111</v>
      </c>
      <c r="C2729" s="1" t="s">
        <v>44351</v>
      </c>
      <c r="D2729" s="1" t="s">
        <v>16286</v>
      </c>
      <c r="E2729" s="1" t="s">
        <v>17186</v>
      </c>
      <c r="F2729" s="1" t="s">
        <v>44352</v>
      </c>
      <c r="G2729" s="1" t="s">
        <v>44353</v>
      </c>
      <c r="H2729" s="1" t="s">
        <v>44354</v>
      </c>
      <c r="I2729" s="1" t="s">
        <v>44354</v>
      </c>
      <c r="J2729" s="1">
        <v>8483911332</v>
      </c>
      <c r="K2729" s="1" t="s">
        <v>84</v>
      </c>
      <c r="L2729" s="1" t="s">
        <v>38929</v>
      </c>
      <c r="M2729" s="1" t="s">
        <v>86</v>
      </c>
      <c r="N2729" s="1" t="s">
        <v>9268</v>
      </c>
      <c r="O2729" s="1" t="s">
        <v>44355</v>
      </c>
      <c r="P2729" s="1" t="s">
        <v>219</v>
      </c>
      <c r="Q2729" s="1">
        <v>204564860073</v>
      </c>
      <c r="R2729" s="1" t="s">
        <v>17186</v>
      </c>
      <c r="S2729" s="1">
        <v>8378866743</v>
      </c>
      <c r="T2729" s="1" t="s">
        <v>13987</v>
      </c>
      <c r="U2729" s="1" t="s">
        <v>44356</v>
      </c>
      <c r="V2729" s="1">
        <v>8793644133</v>
      </c>
      <c r="W2729" s="1" t="s">
        <v>14032</v>
      </c>
      <c r="X2729" s="1" t="s">
        <v>44357</v>
      </c>
      <c r="Y2729" s="1" t="s">
        <v>384</v>
      </c>
      <c r="Z2729" s="1" t="s">
        <v>97</v>
      </c>
      <c r="AA2729" s="1" t="s">
        <v>44357</v>
      </c>
      <c r="AB2729" s="1" t="s">
        <v>384</v>
      </c>
      <c r="AC2729" s="1" t="s">
        <v>97</v>
      </c>
      <c r="AD2729" s="1" t="s">
        <v>98</v>
      </c>
      <c r="AE2729" s="1" t="s">
        <v>98</v>
      </c>
      <c r="AF2729" s="1" t="s">
        <v>44358</v>
      </c>
      <c r="AG2729" s="1" t="s">
        <v>14098</v>
      </c>
      <c r="AH2729" s="1" t="s">
        <v>167</v>
      </c>
      <c r="AI2729" s="1" t="s">
        <v>200</v>
      </c>
      <c r="AJ2729" s="1">
        <v>79</v>
      </c>
      <c r="AK2729" s="1"/>
      <c r="AL2729" s="1"/>
      <c r="AM2729" s="1"/>
      <c r="AN2729" s="1"/>
      <c r="AO2729" s="1"/>
      <c r="AP2729" s="1"/>
      <c r="AQ2729" s="1"/>
      <c r="AR2729" s="1"/>
      <c r="AS2729" s="1" t="s">
        <v>21915</v>
      </c>
      <c r="AT2729" s="1" t="s">
        <v>44359</v>
      </c>
      <c r="AU2729" s="1" t="s">
        <v>230</v>
      </c>
      <c r="AV2729" s="1" t="s">
        <v>441</v>
      </c>
      <c r="AW2729" s="1">
        <v>86.47</v>
      </c>
      <c r="AX2729" s="1"/>
      <c r="AY2729" s="1" t="s">
        <v>13994</v>
      </c>
      <c r="AZ2729" s="1" t="s">
        <v>44360</v>
      </c>
      <c r="BA2729" s="1" t="s">
        <v>466</v>
      </c>
      <c r="BB2729" s="1" t="s">
        <v>467</v>
      </c>
      <c r="BC2729" s="1" t="s">
        <v>140</v>
      </c>
      <c r="BD2729" s="1" t="s">
        <v>1089</v>
      </c>
      <c r="BE2729" s="1">
        <v>64.6</v>
      </c>
      <c r="BF2729" s="1">
        <v>6.96</v>
      </c>
      <c r="BG2729" s="1"/>
      <c r="BH2729" s="1"/>
      <c r="BI2729" s="1"/>
      <c r="BJ2729" s="1"/>
      <c r="BK2729" s="1"/>
      <c r="BL2729" s="1"/>
      <c r="BM2729" s="1"/>
      <c r="BN2729" s="1"/>
      <c r="BO2729" s="1" t="s">
        <v>44361</v>
      </c>
      <c r="BP2729" s="1" t="s">
        <v>44362</v>
      </c>
      <c r="BQ2729" s="1" t="s">
        <v>582</v>
      </c>
      <c r="BR2729" s="1" t="s">
        <v>44363</v>
      </c>
      <c r="BS2729" s="1">
        <v>5</v>
      </c>
      <c r="BT2729" s="1" t="s">
        <v>44364</v>
      </c>
      <c r="BU2729" s="1" t="str">
        <f>HYPERLINK("https://nconnect.nicmar.ac.in/storage/profile/6a7a255d2c7c9.png","Download")</f>
        <v>0</v>
      </c>
      <c r="BV2729" s="3"/>
      <c r="BW2729" s="3"/>
    </row>
    <row r="2730" spans="1:75">
      <c r="A2730" s="1" t="s">
        <v>40756</v>
      </c>
      <c r="B2730" s="1" t="s">
        <v>44111</v>
      </c>
      <c r="C2730" s="1" t="s">
        <v>44365</v>
      </c>
      <c r="D2730" s="1" t="s">
        <v>44366</v>
      </c>
      <c r="E2730" s="1" t="s">
        <v>44367</v>
      </c>
      <c r="F2730" s="1" t="s">
        <v>44368</v>
      </c>
      <c r="G2730" s="1" t="s">
        <v>44369</v>
      </c>
      <c r="H2730" s="1" t="s">
        <v>44370</v>
      </c>
      <c r="I2730" s="1" t="s">
        <v>44370</v>
      </c>
      <c r="J2730" s="1">
        <v>7447238137</v>
      </c>
      <c r="K2730" s="1" t="s">
        <v>84</v>
      </c>
      <c r="L2730" s="1" t="s">
        <v>1655</v>
      </c>
      <c r="M2730" s="1" t="s">
        <v>86</v>
      </c>
      <c r="N2730" s="1" t="s">
        <v>4263</v>
      </c>
      <c r="O2730" s="1" t="s">
        <v>44371</v>
      </c>
      <c r="P2730" s="1" t="s">
        <v>219</v>
      </c>
      <c r="Q2730" s="1">
        <v>810109280467</v>
      </c>
      <c r="R2730" s="1" t="s">
        <v>44372</v>
      </c>
      <c r="S2730" s="1">
        <v>8698138581</v>
      </c>
      <c r="T2730" s="1" t="s">
        <v>44373</v>
      </c>
      <c r="U2730" s="1" t="s">
        <v>44374</v>
      </c>
      <c r="V2730" s="1">
        <v>7709078351</v>
      </c>
      <c r="W2730" s="1" t="s">
        <v>14154</v>
      </c>
      <c r="X2730" s="1" t="s">
        <v>44375</v>
      </c>
      <c r="Y2730" s="1" t="s">
        <v>384</v>
      </c>
      <c r="Z2730" s="1" t="s">
        <v>97</v>
      </c>
      <c r="AA2730" s="1" t="s">
        <v>44375</v>
      </c>
      <c r="AB2730" s="1" t="s">
        <v>384</v>
      </c>
      <c r="AC2730" s="1" t="s">
        <v>97</v>
      </c>
      <c r="AD2730" s="1" t="s">
        <v>98</v>
      </c>
      <c r="AE2730" s="1" t="s">
        <v>98</v>
      </c>
      <c r="AF2730" s="1" t="s">
        <v>44376</v>
      </c>
      <c r="AG2730" s="1" t="s">
        <v>20291</v>
      </c>
      <c r="AH2730" s="1" t="s">
        <v>166</v>
      </c>
      <c r="AI2730" s="1" t="s">
        <v>1111</v>
      </c>
      <c r="AJ2730" s="1">
        <v>84.0</v>
      </c>
      <c r="AK2730" s="1"/>
      <c r="AL2730" s="1" t="s">
        <v>44377</v>
      </c>
      <c r="AM2730" s="1" t="s">
        <v>20291</v>
      </c>
      <c r="AN2730" s="1" t="s">
        <v>575</v>
      </c>
      <c r="AO2730" s="1" t="s">
        <v>170</v>
      </c>
      <c r="AP2730" s="1" t="s">
        <v>286</v>
      </c>
      <c r="AQ2730" s="1">
        <v>70.15</v>
      </c>
      <c r="AR2730" s="1"/>
      <c r="AS2730" s="1"/>
      <c r="AT2730" s="1"/>
      <c r="AU2730" s="1"/>
      <c r="AV2730" s="1"/>
      <c r="AW2730" s="1"/>
      <c r="AX2730" s="1"/>
      <c r="AY2730" s="1" t="s">
        <v>44378</v>
      </c>
      <c r="AZ2730" s="1" t="s">
        <v>44379</v>
      </c>
      <c r="BA2730" s="1" t="s">
        <v>466</v>
      </c>
      <c r="BB2730" s="1" t="s">
        <v>467</v>
      </c>
      <c r="BC2730" s="1" t="s">
        <v>1065</v>
      </c>
      <c r="BD2730" s="1" t="s">
        <v>1825</v>
      </c>
      <c r="BE2730" s="1">
        <v>76.3</v>
      </c>
      <c r="BF2730" s="1">
        <v>8.13</v>
      </c>
      <c r="BG2730" s="1"/>
      <c r="BH2730" s="1"/>
      <c r="BI2730" s="1"/>
      <c r="BJ2730" s="1"/>
      <c r="BK2730" s="1"/>
      <c r="BL2730" s="1"/>
      <c r="BM2730" s="1"/>
      <c r="BN2730" s="1"/>
      <c r="BO2730" s="1" t="s">
        <v>849</v>
      </c>
      <c r="BP2730" s="1" t="s">
        <v>44380</v>
      </c>
      <c r="BQ2730" s="1" t="s">
        <v>4149</v>
      </c>
      <c r="BR2730" s="1" t="s">
        <v>44381</v>
      </c>
      <c r="BS2730" s="1">
        <v>25</v>
      </c>
      <c r="BT2730" s="1"/>
      <c r="BU2730" s="1" t="str">
        <f>HYPERLINK("https://nconnect.nicmar.ac.in/storage/profile/6a78ada4397c1.png","Download")</f>
        <v>0</v>
      </c>
      <c r="BV2730" s="3"/>
      <c r="BW2730" s="3"/>
    </row>
    <row r="2731" spans="1:75">
      <c r="A2731" s="1" t="s">
        <v>40756</v>
      </c>
      <c r="B2731" s="1" t="s">
        <v>44111</v>
      </c>
      <c r="C2731" s="1" t="s">
        <v>44382</v>
      </c>
      <c r="D2731" s="1" t="s">
        <v>19317</v>
      </c>
      <c r="E2731" s="1" t="s">
        <v>44383</v>
      </c>
      <c r="F2731" s="1" t="s">
        <v>44384</v>
      </c>
      <c r="G2731" s="1" t="s">
        <v>44385</v>
      </c>
      <c r="H2731" s="1" t="s">
        <v>44386</v>
      </c>
      <c r="I2731" s="1" t="s">
        <v>44386</v>
      </c>
      <c r="J2731" s="1">
        <v>8149689807</v>
      </c>
      <c r="K2731" s="1" t="s">
        <v>84</v>
      </c>
      <c r="L2731" s="1" t="s">
        <v>44387</v>
      </c>
      <c r="M2731" s="1" t="s">
        <v>86</v>
      </c>
      <c r="N2731" s="1" t="s">
        <v>39614</v>
      </c>
      <c r="O2731" s="1" t="s">
        <v>44388</v>
      </c>
      <c r="P2731" s="1" t="s">
        <v>122</v>
      </c>
      <c r="Q2731" s="1">
        <v>730785537404</v>
      </c>
      <c r="R2731" s="1" t="s">
        <v>44383</v>
      </c>
      <c r="S2731" s="1">
        <v>9421321402</v>
      </c>
      <c r="T2731" s="1" t="s">
        <v>44389</v>
      </c>
      <c r="U2731" s="1" t="s">
        <v>44390</v>
      </c>
      <c r="V2731" s="1">
        <v>7447676580</v>
      </c>
      <c r="W2731" s="1" t="s">
        <v>10306</v>
      </c>
      <c r="X2731" s="1" t="s">
        <v>44391</v>
      </c>
      <c r="Y2731" s="1" t="s">
        <v>1145</v>
      </c>
      <c r="Z2731" s="1" t="s">
        <v>97</v>
      </c>
      <c r="AA2731" s="1" t="s">
        <v>44392</v>
      </c>
      <c r="AB2731" s="1" t="s">
        <v>196</v>
      </c>
      <c r="AC2731" s="1" t="s">
        <v>97</v>
      </c>
      <c r="AD2731" s="1" t="s">
        <v>98</v>
      </c>
      <c r="AE2731" s="1" t="s">
        <v>98</v>
      </c>
      <c r="AF2731" s="1" t="s">
        <v>44393</v>
      </c>
      <c r="AG2731" s="1" t="s">
        <v>44394</v>
      </c>
      <c r="AH2731" s="1" t="s">
        <v>3965</v>
      </c>
      <c r="AI2731" s="1" t="s">
        <v>1457</v>
      </c>
      <c r="AJ2731" s="1">
        <v>83.4</v>
      </c>
      <c r="AK2731" s="1"/>
      <c r="AL2731" s="1" t="s">
        <v>17565</v>
      </c>
      <c r="AM2731" s="1" t="s">
        <v>44394</v>
      </c>
      <c r="AN2731" s="1" t="s">
        <v>465</v>
      </c>
      <c r="AO2731" s="1" t="s">
        <v>1213</v>
      </c>
      <c r="AP2731" s="1" t="s">
        <v>11567</v>
      </c>
      <c r="AQ2731" s="1">
        <v>53.54</v>
      </c>
      <c r="AR2731" s="1"/>
      <c r="AS2731" s="1" t="s">
        <v>14158</v>
      </c>
      <c r="AT2731" s="1" t="s">
        <v>44395</v>
      </c>
      <c r="AU2731" s="1" t="s">
        <v>342</v>
      </c>
      <c r="AV2731" s="1" t="s">
        <v>170</v>
      </c>
      <c r="AW2731" s="1">
        <v>75.82</v>
      </c>
      <c r="AX2731" s="1"/>
      <c r="AY2731" s="1" t="s">
        <v>14160</v>
      </c>
      <c r="AZ2731" s="1" t="s">
        <v>44396</v>
      </c>
      <c r="BA2731" s="1" t="s">
        <v>578</v>
      </c>
      <c r="BB2731" s="1" t="s">
        <v>467</v>
      </c>
      <c r="BC2731" s="1" t="s">
        <v>230</v>
      </c>
      <c r="BD2731" s="1" t="s">
        <v>549</v>
      </c>
      <c r="BE2731" s="1">
        <v>58</v>
      </c>
      <c r="BF2731" s="1">
        <v>7.6</v>
      </c>
      <c r="BG2731" s="1"/>
      <c r="BH2731" s="1"/>
      <c r="BI2731" s="1"/>
      <c r="BJ2731" s="1"/>
      <c r="BK2731" s="1"/>
      <c r="BL2731" s="1"/>
      <c r="BM2731" s="1"/>
      <c r="BN2731" s="1"/>
      <c r="BO2731" s="1" t="s">
        <v>849</v>
      </c>
      <c r="BP2731" s="1"/>
      <c r="BQ2731" s="1"/>
      <c r="BR2731" s="1"/>
      <c r="BS2731" s="1"/>
      <c r="BT2731" s="1" t="s">
        <v>44397</v>
      </c>
      <c r="BU2731" s="1" t="str">
        <f>HYPERLINK("https://nconnect.nicmar.ac.in/storage/profile/6a774f476974f.png","Download")</f>
        <v>0</v>
      </c>
      <c r="BV2731" s="3"/>
      <c r="BW2731" s="3"/>
    </row>
    <row r="2732" spans="1:75">
      <c r="A2732" s="1" t="s">
        <v>40756</v>
      </c>
      <c r="B2732" s="1" t="s">
        <v>44111</v>
      </c>
      <c r="C2732" s="1" t="s">
        <v>44398</v>
      </c>
      <c r="D2732" s="1" t="s">
        <v>24541</v>
      </c>
      <c r="E2732" s="1" t="s">
        <v>4707</v>
      </c>
      <c r="F2732" s="1" t="s">
        <v>44399</v>
      </c>
      <c r="G2732" s="1" t="s">
        <v>44400</v>
      </c>
      <c r="H2732" s="1" t="s">
        <v>44401</v>
      </c>
      <c r="I2732" s="1" t="s">
        <v>44402</v>
      </c>
      <c r="J2732" s="1">
        <v>9137961422</v>
      </c>
      <c r="K2732" s="1" t="s">
        <v>153</v>
      </c>
      <c r="L2732" s="1" t="s">
        <v>38815</v>
      </c>
      <c r="M2732" s="1" t="s">
        <v>86</v>
      </c>
      <c r="N2732" s="1" t="s">
        <v>44403</v>
      </c>
      <c r="O2732" s="1" t="s">
        <v>44404</v>
      </c>
      <c r="P2732" s="1" t="s">
        <v>122</v>
      </c>
      <c r="Q2732" s="1">
        <v>631214712946</v>
      </c>
      <c r="R2732" s="1" t="s">
        <v>4707</v>
      </c>
      <c r="S2732" s="1">
        <v>8693022201</v>
      </c>
      <c r="T2732" s="1" t="s">
        <v>645</v>
      </c>
      <c r="U2732" s="1" t="s">
        <v>44405</v>
      </c>
      <c r="V2732" s="1">
        <v>9930794861</v>
      </c>
      <c r="W2732" s="1" t="s">
        <v>278</v>
      </c>
      <c r="X2732" s="1" t="s">
        <v>44406</v>
      </c>
      <c r="Y2732" s="1" t="s">
        <v>1882</v>
      </c>
      <c r="Z2732" s="1" t="s">
        <v>97</v>
      </c>
      <c r="AA2732" s="1" t="s">
        <v>44406</v>
      </c>
      <c r="AB2732" s="1" t="s">
        <v>1882</v>
      </c>
      <c r="AC2732" s="1" t="s">
        <v>97</v>
      </c>
      <c r="AD2732" s="1" t="s">
        <v>98</v>
      </c>
      <c r="AE2732" s="1" t="s">
        <v>98</v>
      </c>
      <c r="AF2732" s="1" t="s">
        <v>19878</v>
      </c>
      <c r="AG2732" s="1" t="s">
        <v>18795</v>
      </c>
      <c r="AH2732" s="1" t="s">
        <v>170</v>
      </c>
      <c r="AI2732" s="1" t="s">
        <v>286</v>
      </c>
      <c r="AJ2732" s="1">
        <v>78.2</v>
      </c>
      <c r="AK2732" s="1"/>
      <c r="AL2732" s="1"/>
      <c r="AM2732" s="1"/>
      <c r="AN2732" s="1"/>
      <c r="AO2732" s="1"/>
      <c r="AP2732" s="1"/>
      <c r="AQ2732" s="1"/>
      <c r="AR2732" s="1"/>
      <c r="AS2732" s="1" t="s">
        <v>14158</v>
      </c>
      <c r="AT2732" s="1" t="s">
        <v>15629</v>
      </c>
      <c r="AU2732" s="1" t="s">
        <v>106</v>
      </c>
      <c r="AV2732" s="1" t="s">
        <v>549</v>
      </c>
      <c r="AW2732" s="1">
        <v>82.28</v>
      </c>
      <c r="AX2732" s="1"/>
      <c r="AY2732" s="1" t="s">
        <v>14059</v>
      </c>
      <c r="AZ2732" s="1" t="s">
        <v>44407</v>
      </c>
      <c r="BA2732" s="1" t="s">
        <v>578</v>
      </c>
      <c r="BB2732" s="1" t="s">
        <v>467</v>
      </c>
      <c r="BC2732" s="1" t="s">
        <v>441</v>
      </c>
      <c r="BD2732" s="1" t="s">
        <v>1089</v>
      </c>
      <c r="BE2732" s="1">
        <v>61.83</v>
      </c>
      <c r="BF2732" s="1">
        <v>6.88</v>
      </c>
      <c r="BG2732" s="1"/>
      <c r="BH2732" s="1"/>
      <c r="BI2732" s="1"/>
      <c r="BJ2732" s="1"/>
      <c r="BK2732" s="1"/>
      <c r="BL2732" s="1"/>
      <c r="BM2732" s="1"/>
      <c r="BN2732" s="1"/>
      <c r="BO2732" s="1" t="s">
        <v>44408</v>
      </c>
      <c r="BP2732" s="1" t="s">
        <v>44409</v>
      </c>
      <c r="BQ2732" s="1" t="s">
        <v>1152</v>
      </c>
      <c r="BR2732" s="1"/>
      <c r="BS2732" s="1"/>
      <c r="BT2732" s="1" t="s">
        <v>44410</v>
      </c>
      <c r="BU2732" s="1" t="str">
        <f>HYPERLINK("https://nconnect.nicmar.ac.in/storage/profile/6a771359eb538.png","Download")</f>
        <v>0</v>
      </c>
      <c r="BV2732" s="3"/>
      <c r="BW2732" s="3"/>
    </row>
    <row r="2733" spans="1:75">
      <c r="A2733" s="1" t="s">
        <v>40756</v>
      </c>
      <c r="B2733" s="1" t="s">
        <v>44111</v>
      </c>
      <c r="C2733" s="1" t="s">
        <v>44411</v>
      </c>
      <c r="D2733" s="1" t="s">
        <v>16144</v>
      </c>
      <c r="E2733" s="1" t="s">
        <v>44412</v>
      </c>
      <c r="F2733" s="1" t="s">
        <v>14460</v>
      </c>
      <c r="G2733" s="1" t="s">
        <v>44413</v>
      </c>
      <c r="H2733" s="1" t="s">
        <v>44414</v>
      </c>
      <c r="I2733" s="1" t="s">
        <v>44414</v>
      </c>
      <c r="J2733" s="1">
        <v>7410122253</v>
      </c>
      <c r="K2733" s="1" t="s">
        <v>84</v>
      </c>
      <c r="L2733" s="1" t="s">
        <v>8503</v>
      </c>
      <c r="M2733" s="1" t="s">
        <v>86</v>
      </c>
      <c r="N2733" s="1" t="s">
        <v>44415</v>
      </c>
      <c r="O2733" s="1" t="s">
        <v>44416</v>
      </c>
      <c r="P2733" s="1" t="s">
        <v>89</v>
      </c>
      <c r="Q2733" s="1">
        <v>207380438439</v>
      </c>
      <c r="R2733" s="1" t="s">
        <v>44412</v>
      </c>
      <c r="S2733" s="1">
        <v>9226367212</v>
      </c>
      <c r="T2733" s="1" t="s">
        <v>2177</v>
      </c>
      <c r="U2733" s="1" t="s">
        <v>44417</v>
      </c>
      <c r="V2733" s="1">
        <v>9168998134</v>
      </c>
      <c r="W2733" s="1" t="s">
        <v>14234</v>
      </c>
      <c r="X2733" s="1" t="s">
        <v>44418</v>
      </c>
      <c r="Y2733" s="1" t="s">
        <v>1189</v>
      </c>
      <c r="Z2733" s="1" t="s">
        <v>97</v>
      </c>
      <c r="AA2733" s="1" t="s">
        <v>44418</v>
      </c>
      <c r="AB2733" s="1" t="s">
        <v>1189</v>
      </c>
      <c r="AC2733" s="1" t="s">
        <v>97</v>
      </c>
      <c r="AD2733" s="1" t="s">
        <v>98</v>
      </c>
      <c r="AE2733" s="1" t="s">
        <v>98</v>
      </c>
      <c r="AF2733" s="1" t="s">
        <v>18974</v>
      </c>
      <c r="AG2733" s="1" t="s">
        <v>17617</v>
      </c>
      <c r="AH2733" s="1" t="s">
        <v>167</v>
      </c>
      <c r="AI2733" s="1" t="s">
        <v>200</v>
      </c>
      <c r="AJ2733" s="1">
        <v>74</v>
      </c>
      <c r="AK2733" s="1"/>
      <c r="AL2733" s="1" t="s">
        <v>44419</v>
      </c>
      <c r="AM2733" s="1" t="s">
        <v>22654</v>
      </c>
      <c r="AN2733" s="1" t="s">
        <v>575</v>
      </c>
      <c r="AO2733" s="1" t="s">
        <v>106</v>
      </c>
      <c r="AP2733" s="1" t="s">
        <v>203</v>
      </c>
      <c r="AQ2733" s="1">
        <v>60.62</v>
      </c>
      <c r="AR2733" s="1"/>
      <c r="AS2733" s="1"/>
      <c r="AT2733" s="1"/>
      <c r="AU2733" s="1"/>
      <c r="AV2733" s="1"/>
      <c r="AW2733" s="1"/>
      <c r="AX2733" s="1"/>
      <c r="AY2733" s="1" t="s">
        <v>14059</v>
      </c>
      <c r="AZ2733" s="1" t="s">
        <v>44420</v>
      </c>
      <c r="BA2733" s="1" t="s">
        <v>578</v>
      </c>
      <c r="BB2733" s="1" t="s">
        <v>467</v>
      </c>
      <c r="BC2733" s="1" t="s">
        <v>438</v>
      </c>
      <c r="BD2733" s="1" t="s">
        <v>179</v>
      </c>
      <c r="BE2733" s="1">
        <v>71.75</v>
      </c>
      <c r="BF2733" s="1"/>
      <c r="BG2733" s="1"/>
      <c r="BH2733" s="1"/>
      <c r="BI2733" s="1"/>
      <c r="BJ2733" s="1"/>
      <c r="BK2733" s="1"/>
      <c r="BL2733" s="1"/>
      <c r="BM2733" s="1"/>
      <c r="BN2733" s="1"/>
      <c r="BO2733" s="1" t="s">
        <v>44421</v>
      </c>
      <c r="BP2733" s="1" t="s">
        <v>44422</v>
      </c>
      <c r="BQ2733" s="1" t="s">
        <v>3404</v>
      </c>
      <c r="BR2733" s="1"/>
      <c r="BS2733" s="1"/>
      <c r="BT2733" s="1"/>
      <c r="BU2733" s="1" t="str">
        <f>HYPERLINK("https://nconnect.nicmar.ac.in/storage/profile/6a89812eae88b.png","Download")</f>
        <v>0</v>
      </c>
      <c r="BV2733" s="3"/>
      <c r="BW2733" s="3"/>
    </row>
    <row r="2734" spans="1:75">
      <c r="A2734" s="1" t="s">
        <v>40756</v>
      </c>
      <c r="B2734" s="1" t="s">
        <v>44111</v>
      </c>
      <c r="C2734" s="1" t="s">
        <v>44423</v>
      </c>
      <c r="D2734" s="1" t="s">
        <v>44424</v>
      </c>
      <c r="E2734" s="1" t="s">
        <v>44425</v>
      </c>
      <c r="F2734" s="1" t="s">
        <v>44426</v>
      </c>
      <c r="G2734" s="1" t="s">
        <v>44427</v>
      </c>
      <c r="H2734" s="1" t="s">
        <v>44428</v>
      </c>
      <c r="I2734" s="1" t="s">
        <v>44428</v>
      </c>
      <c r="J2734" s="1">
        <v>8551880590</v>
      </c>
      <c r="K2734" s="1" t="s">
        <v>153</v>
      </c>
      <c r="L2734" s="1" t="s">
        <v>15411</v>
      </c>
      <c r="M2734" s="1" t="s">
        <v>86</v>
      </c>
      <c r="N2734" s="1" t="s">
        <v>13145</v>
      </c>
      <c r="O2734" s="1" t="s">
        <v>44429</v>
      </c>
      <c r="P2734" s="1" t="s">
        <v>219</v>
      </c>
      <c r="Q2734" s="1">
        <v>359187162612</v>
      </c>
      <c r="R2734" s="1" t="s">
        <v>44425</v>
      </c>
      <c r="S2734" s="1">
        <v>8390063379</v>
      </c>
      <c r="T2734" s="1" t="s">
        <v>25209</v>
      </c>
      <c r="U2734" s="1" t="s">
        <v>44430</v>
      </c>
      <c r="V2734" s="1">
        <v>9158459078</v>
      </c>
      <c r="W2734" s="1" t="s">
        <v>14154</v>
      </c>
      <c r="X2734" s="1" t="s">
        <v>44431</v>
      </c>
      <c r="Y2734" s="1" t="s">
        <v>224</v>
      </c>
      <c r="Z2734" s="1" t="s">
        <v>97</v>
      </c>
      <c r="AA2734" s="1" t="s">
        <v>44431</v>
      </c>
      <c r="AB2734" s="1" t="s">
        <v>224</v>
      </c>
      <c r="AC2734" s="1" t="s">
        <v>97</v>
      </c>
      <c r="AD2734" s="1" t="s">
        <v>98</v>
      </c>
      <c r="AE2734" s="1" t="s">
        <v>98</v>
      </c>
      <c r="AF2734" s="1" t="s">
        <v>44432</v>
      </c>
      <c r="AG2734" s="1" t="s">
        <v>24146</v>
      </c>
      <c r="AH2734" s="1" t="s">
        <v>627</v>
      </c>
      <c r="AI2734" s="1" t="s">
        <v>170</v>
      </c>
      <c r="AJ2734" s="1">
        <v>97</v>
      </c>
      <c r="AK2734" s="1"/>
      <c r="AL2734" s="1" t="s">
        <v>44433</v>
      </c>
      <c r="AM2734" s="1" t="s">
        <v>44434</v>
      </c>
      <c r="AN2734" s="1" t="s">
        <v>6380</v>
      </c>
      <c r="AO2734" s="1" t="s">
        <v>174</v>
      </c>
      <c r="AP2734" s="1" t="s">
        <v>313</v>
      </c>
      <c r="AQ2734" s="1">
        <v>76.77</v>
      </c>
      <c r="AR2734" s="1"/>
      <c r="AS2734" s="1" t="s">
        <v>14158</v>
      </c>
      <c r="AT2734" s="1" t="s">
        <v>19692</v>
      </c>
      <c r="AU2734" s="1" t="s">
        <v>315</v>
      </c>
      <c r="AV2734" s="1" t="s">
        <v>552</v>
      </c>
      <c r="AW2734" s="1">
        <v>85.89</v>
      </c>
      <c r="AX2734" s="1"/>
      <c r="AY2734" s="1" t="s">
        <v>14884</v>
      </c>
      <c r="AZ2734" s="1" t="s">
        <v>21882</v>
      </c>
      <c r="BA2734" s="1" t="s">
        <v>466</v>
      </c>
      <c r="BB2734" s="1" t="s">
        <v>467</v>
      </c>
      <c r="BC2734" s="1" t="s">
        <v>871</v>
      </c>
      <c r="BD2734" s="1" t="s">
        <v>1089</v>
      </c>
      <c r="BE2734" s="1">
        <v>76.1</v>
      </c>
      <c r="BF2734" s="1">
        <v>8.36</v>
      </c>
      <c r="BG2734" s="1"/>
      <c r="BH2734" s="1"/>
      <c r="BI2734" s="1"/>
      <c r="BJ2734" s="1"/>
      <c r="BK2734" s="1"/>
      <c r="BL2734" s="1"/>
      <c r="BM2734" s="1"/>
      <c r="BN2734" s="1"/>
      <c r="BO2734" s="1" t="s">
        <v>44435</v>
      </c>
      <c r="BP2734" s="1" t="s">
        <v>44436</v>
      </c>
      <c r="BQ2734" s="1" t="s">
        <v>582</v>
      </c>
      <c r="BR2734" s="1" t="s">
        <v>44437</v>
      </c>
      <c r="BS2734" s="1">
        <v>25</v>
      </c>
      <c r="BT2734" s="1"/>
      <c r="BU2734" s="1" t="str">
        <f>HYPERLINK("https://nconnect.nicmar.ac.in/storage/profile/6a78839a0f588.png","Download")</f>
        <v>0</v>
      </c>
      <c r="BV2734" s="3"/>
      <c r="BW2734" s="3"/>
    </row>
    <row r="2735" spans="1:75">
      <c r="A2735" s="1" t="s">
        <v>40756</v>
      </c>
      <c r="B2735" s="1" t="s">
        <v>44111</v>
      </c>
      <c r="C2735" s="1" t="s">
        <v>44438</v>
      </c>
      <c r="D2735" s="1" t="s">
        <v>44439</v>
      </c>
      <c r="E2735" s="1" t="s">
        <v>17853</v>
      </c>
      <c r="F2735" s="1" t="s">
        <v>44440</v>
      </c>
      <c r="G2735" s="1" t="s">
        <v>44441</v>
      </c>
      <c r="H2735" s="1" t="s">
        <v>44442</v>
      </c>
      <c r="I2735" s="1" t="s">
        <v>44442</v>
      </c>
      <c r="J2735" s="1">
        <v>7719082119</v>
      </c>
      <c r="K2735" s="1" t="s">
        <v>84</v>
      </c>
      <c r="L2735" s="1" t="s">
        <v>8959</v>
      </c>
      <c r="M2735" s="1" t="s">
        <v>86</v>
      </c>
      <c r="N2735" s="1" t="s">
        <v>22768</v>
      </c>
      <c r="O2735" s="1" t="s">
        <v>44443</v>
      </c>
      <c r="P2735" s="1" t="s">
        <v>356</v>
      </c>
      <c r="Q2735" s="1" t="s">
        <v>44444</v>
      </c>
      <c r="R2735" s="1" t="s">
        <v>44445</v>
      </c>
      <c r="S2735" s="1">
        <v>9004413057</v>
      </c>
      <c r="T2735" s="1" t="s">
        <v>44446</v>
      </c>
      <c r="U2735" s="1" t="s">
        <v>44447</v>
      </c>
      <c r="V2735" s="1">
        <v>7774900982</v>
      </c>
      <c r="W2735" s="1" t="s">
        <v>14154</v>
      </c>
      <c r="X2735" s="1" t="s">
        <v>44448</v>
      </c>
      <c r="Y2735" s="1" t="s">
        <v>196</v>
      </c>
      <c r="Z2735" s="1" t="s">
        <v>97</v>
      </c>
      <c r="AA2735" s="1" t="s">
        <v>44448</v>
      </c>
      <c r="AB2735" s="1" t="s">
        <v>196</v>
      </c>
      <c r="AC2735" s="1" t="s">
        <v>97</v>
      </c>
      <c r="AD2735" s="1" t="s">
        <v>98</v>
      </c>
      <c r="AE2735" s="1" t="s">
        <v>98</v>
      </c>
      <c r="AF2735" s="1" t="s">
        <v>44449</v>
      </c>
      <c r="AG2735" s="1" t="s">
        <v>23189</v>
      </c>
      <c r="AH2735" s="1" t="s">
        <v>3965</v>
      </c>
      <c r="AI2735" s="1" t="s">
        <v>1457</v>
      </c>
      <c r="AJ2735" s="1">
        <v>68.0</v>
      </c>
      <c r="AK2735" s="1"/>
      <c r="AL2735" s="1" t="s">
        <v>44450</v>
      </c>
      <c r="AM2735" s="1" t="s">
        <v>23189</v>
      </c>
      <c r="AN2735" s="1" t="s">
        <v>465</v>
      </c>
      <c r="AO2735" s="1" t="s">
        <v>3967</v>
      </c>
      <c r="AP2735" s="1" t="s">
        <v>517</v>
      </c>
      <c r="AQ2735" s="1">
        <v>47.85</v>
      </c>
      <c r="AR2735" s="1"/>
      <c r="AS2735" s="1" t="s">
        <v>14528</v>
      </c>
      <c r="AT2735" s="1" t="s">
        <v>44451</v>
      </c>
      <c r="AU2735" s="1" t="s">
        <v>1396</v>
      </c>
      <c r="AV2735" s="1" t="s">
        <v>178</v>
      </c>
      <c r="AW2735" s="1">
        <v>66.67</v>
      </c>
      <c r="AX2735" s="1"/>
      <c r="AY2735" s="1" t="s">
        <v>14530</v>
      </c>
      <c r="AZ2735" s="1" t="s">
        <v>44452</v>
      </c>
      <c r="BA2735" s="1" t="s">
        <v>578</v>
      </c>
      <c r="BB2735" s="1" t="s">
        <v>467</v>
      </c>
      <c r="BC2735" s="1" t="s">
        <v>178</v>
      </c>
      <c r="BD2735" s="1" t="s">
        <v>579</v>
      </c>
      <c r="BE2735" s="1">
        <v>71.0</v>
      </c>
      <c r="BF2735" s="1">
        <v>7.85</v>
      </c>
      <c r="BG2735" s="1"/>
      <c r="BH2735" s="1"/>
      <c r="BI2735" s="1"/>
      <c r="BJ2735" s="1"/>
      <c r="BK2735" s="1"/>
      <c r="BL2735" s="1"/>
      <c r="BM2735" s="1"/>
      <c r="BN2735" s="1"/>
      <c r="BO2735" s="1" t="s">
        <v>849</v>
      </c>
      <c r="BP2735" s="1"/>
      <c r="BQ2735" s="1"/>
      <c r="BR2735" s="1"/>
      <c r="BS2735" s="1"/>
      <c r="BT2735" s="1"/>
      <c r="BU2735" s="1" t="str">
        <f>HYPERLINK("https://nconnect.nicmar.ac.in/storage/profile/6a78c74ce7154.png","Download")</f>
        <v>0</v>
      </c>
      <c r="BV2735" s="3"/>
      <c r="BW2735" s="3"/>
    </row>
    <row r="2736" spans="1:75">
      <c r="A2736" s="1" t="s">
        <v>40756</v>
      </c>
      <c r="B2736" s="1" t="s">
        <v>44111</v>
      </c>
      <c r="C2736" s="1" t="s">
        <v>44453</v>
      </c>
      <c r="D2736" s="1" t="s">
        <v>44454</v>
      </c>
      <c r="E2736" s="1" t="s">
        <v>15430</v>
      </c>
      <c r="F2736" s="1" t="s">
        <v>44455</v>
      </c>
      <c r="G2736" s="1" t="s">
        <v>44456</v>
      </c>
      <c r="H2736" s="1" t="s">
        <v>44457</v>
      </c>
      <c r="I2736" s="1" t="s">
        <v>44457</v>
      </c>
      <c r="J2736" s="1">
        <v>9325383397</v>
      </c>
      <c r="K2736" s="1" t="s">
        <v>84</v>
      </c>
      <c r="L2736" s="1" t="s">
        <v>43813</v>
      </c>
      <c r="M2736" s="1" t="s">
        <v>86</v>
      </c>
      <c r="N2736" s="1" t="s">
        <v>44458</v>
      </c>
      <c r="O2736" s="1" t="s">
        <v>44459</v>
      </c>
      <c r="P2736" s="1" t="s">
        <v>219</v>
      </c>
      <c r="Q2736" s="1">
        <v>594024402173</v>
      </c>
      <c r="R2736" s="1" t="s">
        <v>15430</v>
      </c>
      <c r="S2736" s="1">
        <v>9689870568</v>
      </c>
      <c r="T2736" s="1" t="s">
        <v>25209</v>
      </c>
      <c r="U2736" s="1" t="s">
        <v>44460</v>
      </c>
      <c r="V2736" s="1">
        <v>9689870568</v>
      </c>
      <c r="W2736" s="1" t="s">
        <v>14710</v>
      </c>
      <c r="X2736" s="1" t="s">
        <v>44461</v>
      </c>
      <c r="Y2736" s="1" t="s">
        <v>384</v>
      </c>
      <c r="Z2736" s="1" t="s">
        <v>97</v>
      </c>
      <c r="AA2736" s="1" t="s">
        <v>44461</v>
      </c>
      <c r="AB2736" s="1" t="s">
        <v>384</v>
      </c>
      <c r="AC2736" s="1" t="s">
        <v>97</v>
      </c>
      <c r="AD2736" s="1" t="s">
        <v>98</v>
      </c>
      <c r="AE2736" s="1" t="s">
        <v>98</v>
      </c>
      <c r="AF2736" s="1" t="s">
        <v>44462</v>
      </c>
      <c r="AG2736" s="1" t="s">
        <v>44463</v>
      </c>
      <c r="AH2736" s="1" t="s">
        <v>166</v>
      </c>
      <c r="AI2736" s="1" t="s">
        <v>627</v>
      </c>
      <c r="AJ2736" s="1">
        <v>71.6</v>
      </c>
      <c r="AK2736" s="1"/>
      <c r="AL2736" s="1" t="s">
        <v>44464</v>
      </c>
      <c r="AM2736" s="1" t="s">
        <v>44463</v>
      </c>
      <c r="AN2736" s="1" t="s">
        <v>575</v>
      </c>
      <c r="AO2736" s="1" t="s">
        <v>170</v>
      </c>
      <c r="AP2736" s="1" t="s">
        <v>171</v>
      </c>
      <c r="AQ2736" s="1">
        <v>70.62</v>
      </c>
      <c r="AR2736" s="1"/>
      <c r="AS2736" s="1"/>
      <c r="AT2736" s="1"/>
      <c r="AU2736" s="1"/>
      <c r="AV2736" s="1"/>
      <c r="AW2736" s="1"/>
      <c r="AX2736" s="1"/>
      <c r="AY2736" s="1" t="s">
        <v>19233</v>
      </c>
      <c r="AZ2736" s="1" t="s">
        <v>44465</v>
      </c>
      <c r="BA2736" s="1" t="s">
        <v>466</v>
      </c>
      <c r="BB2736" s="1" t="s">
        <v>467</v>
      </c>
      <c r="BC2736" s="1" t="s">
        <v>174</v>
      </c>
      <c r="BD2736" s="1" t="s">
        <v>110</v>
      </c>
      <c r="BE2736" s="1">
        <v>70.05</v>
      </c>
      <c r="BF2736" s="1">
        <v>7.55</v>
      </c>
      <c r="BG2736" s="1"/>
      <c r="BH2736" s="1"/>
      <c r="BI2736" s="1"/>
      <c r="BJ2736" s="1"/>
      <c r="BK2736" s="1"/>
      <c r="BL2736" s="1"/>
      <c r="BM2736" s="1"/>
      <c r="BN2736" s="1"/>
      <c r="BO2736" s="1" t="s">
        <v>849</v>
      </c>
      <c r="BP2736" s="1"/>
      <c r="BQ2736" s="1"/>
      <c r="BR2736" s="1"/>
      <c r="BS2736" s="1"/>
      <c r="BT2736" s="1"/>
      <c r="BU2736" s="1" t="str">
        <f>HYPERLINK("https://nconnect.nicmar.ac.in/storage/profile/6a78ab3806c32.png","Download")</f>
        <v>0</v>
      </c>
      <c r="BV2736" s="3"/>
      <c r="BW2736" s="3"/>
    </row>
    <row r="2737" spans="1:75">
      <c r="A2737" s="1" t="s">
        <v>40756</v>
      </c>
      <c r="B2737" s="1" t="s">
        <v>44111</v>
      </c>
      <c r="C2737" s="1" t="s">
        <v>44466</v>
      </c>
      <c r="D2737" s="1" t="s">
        <v>44467</v>
      </c>
      <c r="E2737" s="1"/>
      <c r="F2737" s="1" t="s">
        <v>44468</v>
      </c>
      <c r="G2737" s="1" t="s">
        <v>44469</v>
      </c>
      <c r="H2737" s="1" t="s">
        <v>44470</v>
      </c>
      <c r="I2737" s="1" t="s">
        <v>44470</v>
      </c>
      <c r="J2737" s="1">
        <v>9663791056</v>
      </c>
      <c r="K2737" s="1" t="s">
        <v>84</v>
      </c>
      <c r="L2737" s="1" t="s">
        <v>29423</v>
      </c>
      <c r="M2737" s="1" t="s">
        <v>86</v>
      </c>
      <c r="N2737" s="1" t="s">
        <v>44471</v>
      </c>
      <c r="O2737" s="1" t="s">
        <v>44472</v>
      </c>
      <c r="P2737" s="1" t="s">
        <v>122</v>
      </c>
      <c r="Q2737" s="1">
        <v>291911512148</v>
      </c>
      <c r="R2737" s="1" t="s">
        <v>44473</v>
      </c>
      <c r="S2737" s="1">
        <v>9686872499</v>
      </c>
      <c r="T2737" s="1" t="s">
        <v>14192</v>
      </c>
      <c r="U2737" s="1" t="s">
        <v>44474</v>
      </c>
      <c r="V2737" s="1">
        <v>9686872526</v>
      </c>
      <c r="W2737" s="1" t="s">
        <v>16921</v>
      </c>
      <c r="X2737" s="1" t="s">
        <v>44475</v>
      </c>
      <c r="Y2737" s="1" t="s">
        <v>13502</v>
      </c>
      <c r="Z2737" s="1" t="s">
        <v>1210</v>
      </c>
      <c r="AA2737" s="1" t="s">
        <v>44475</v>
      </c>
      <c r="AB2737" s="1" t="s">
        <v>13502</v>
      </c>
      <c r="AC2737" s="1" t="s">
        <v>1210</v>
      </c>
      <c r="AD2737" s="1" t="s">
        <v>98</v>
      </c>
      <c r="AE2737" s="1" t="s">
        <v>98</v>
      </c>
      <c r="AF2737" s="1" t="s">
        <v>44476</v>
      </c>
      <c r="AG2737" s="1" t="s">
        <v>1946</v>
      </c>
      <c r="AH2737" s="1" t="s">
        <v>101</v>
      </c>
      <c r="AI2737" s="1" t="s">
        <v>1110</v>
      </c>
      <c r="AJ2737" s="1">
        <v>61.28</v>
      </c>
      <c r="AK2737" s="1"/>
      <c r="AL2737" s="1" t="s">
        <v>44477</v>
      </c>
      <c r="AM2737" s="1" t="s">
        <v>44478</v>
      </c>
      <c r="AN2737" s="1" t="s">
        <v>575</v>
      </c>
      <c r="AO2737" s="1" t="s">
        <v>342</v>
      </c>
      <c r="AP2737" s="1" t="s">
        <v>286</v>
      </c>
      <c r="AQ2737" s="1">
        <v>46.83</v>
      </c>
      <c r="AR2737" s="1"/>
      <c r="AS2737" s="1" t="s">
        <v>17920</v>
      </c>
      <c r="AT2737" s="1" t="s">
        <v>44479</v>
      </c>
      <c r="AU2737" s="1" t="s">
        <v>388</v>
      </c>
      <c r="AV2737" s="1" t="s">
        <v>417</v>
      </c>
      <c r="AW2737" s="1">
        <v>78.98</v>
      </c>
      <c r="AX2737" s="1"/>
      <c r="AY2737" s="1" t="s">
        <v>731</v>
      </c>
      <c r="AZ2737" s="1" t="s">
        <v>44480</v>
      </c>
      <c r="BA2737" s="1" t="s">
        <v>578</v>
      </c>
      <c r="BB2737" s="1" t="s">
        <v>467</v>
      </c>
      <c r="BC2737" s="1" t="s">
        <v>1040</v>
      </c>
      <c r="BD2737" s="1" t="s">
        <v>179</v>
      </c>
      <c r="BE2737" s="1">
        <v>69.5</v>
      </c>
      <c r="BF2737" s="1">
        <v>7.7</v>
      </c>
      <c r="BG2737" s="1"/>
      <c r="BH2737" s="1"/>
      <c r="BI2737" s="1"/>
      <c r="BJ2737" s="1"/>
      <c r="BK2737" s="1"/>
      <c r="BL2737" s="1"/>
      <c r="BM2737" s="1"/>
      <c r="BN2737" s="1"/>
      <c r="BO2737" s="1" t="s">
        <v>44481</v>
      </c>
      <c r="BP2737" s="1" t="s">
        <v>44482</v>
      </c>
      <c r="BQ2737" s="1" t="s">
        <v>10925</v>
      </c>
      <c r="BR2737" s="1"/>
      <c r="BS2737" s="1"/>
      <c r="BT2737" s="1"/>
      <c r="BU2737" s="1" t="str">
        <f>HYPERLINK("https://nconnect.nicmar.ac.in/storage/profile/6a78988b71cf3.png","Download")</f>
        <v>0</v>
      </c>
      <c r="BV2737" s="3"/>
      <c r="BW2737" s="3"/>
    </row>
    <row r="2738" spans="1:75">
      <c r="A2738" s="1" t="s">
        <v>40756</v>
      </c>
      <c r="B2738" s="1" t="s">
        <v>44111</v>
      </c>
      <c r="C2738" s="1" t="s">
        <v>44483</v>
      </c>
      <c r="D2738" s="1" t="s">
        <v>44484</v>
      </c>
      <c r="E2738" s="1" t="s">
        <v>44485</v>
      </c>
      <c r="F2738" s="1" t="s">
        <v>44486</v>
      </c>
      <c r="G2738" s="1" t="s">
        <v>44487</v>
      </c>
      <c r="H2738" s="1" t="s">
        <v>44488</v>
      </c>
      <c r="I2738" s="1" t="s">
        <v>44488</v>
      </c>
      <c r="J2738" s="1">
        <v>7744015521</v>
      </c>
      <c r="K2738" s="1" t="s">
        <v>153</v>
      </c>
      <c r="L2738" s="1" t="s">
        <v>44489</v>
      </c>
      <c r="M2738" s="1" t="s">
        <v>86</v>
      </c>
      <c r="N2738" s="1" t="s">
        <v>6390</v>
      </c>
      <c r="O2738" s="1" t="s">
        <v>44490</v>
      </c>
      <c r="P2738" s="1" t="s">
        <v>122</v>
      </c>
      <c r="Q2738" s="1">
        <v>235175715034</v>
      </c>
      <c r="R2738" s="1" t="s">
        <v>44491</v>
      </c>
      <c r="S2738" s="1">
        <v>9421936689</v>
      </c>
      <c r="T2738" s="1" t="s">
        <v>44492</v>
      </c>
      <c r="U2738" s="1" t="s">
        <v>44493</v>
      </c>
      <c r="V2738" s="1">
        <v>9309947798</v>
      </c>
      <c r="W2738" s="1" t="s">
        <v>9679</v>
      </c>
      <c r="X2738" s="1" t="s">
        <v>44494</v>
      </c>
      <c r="Y2738" s="1" t="s">
        <v>410</v>
      </c>
      <c r="Z2738" s="1" t="s">
        <v>97</v>
      </c>
      <c r="AA2738" s="1" t="s">
        <v>44495</v>
      </c>
      <c r="AB2738" s="1" t="s">
        <v>196</v>
      </c>
      <c r="AC2738" s="1" t="s">
        <v>97</v>
      </c>
      <c r="AD2738" s="1" t="s">
        <v>98</v>
      </c>
      <c r="AE2738" s="1" t="s">
        <v>98</v>
      </c>
      <c r="AF2738" s="1" t="s">
        <v>44496</v>
      </c>
      <c r="AG2738" s="1" t="s">
        <v>17651</v>
      </c>
      <c r="AH2738" s="1" t="s">
        <v>337</v>
      </c>
      <c r="AI2738" s="1" t="s">
        <v>3965</v>
      </c>
      <c r="AJ2738" s="1">
        <v>74.6</v>
      </c>
      <c r="AK2738" s="1"/>
      <c r="AL2738" s="1" t="s">
        <v>44496</v>
      </c>
      <c r="AM2738" s="1" t="s">
        <v>17651</v>
      </c>
      <c r="AN2738" s="1" t="s">
        <v>575</v>
      </c>
      <c r="AO2738" s="1" t="s">
        <v>133</v>
      </c>
      <c r="AP2738" s="1" t="s">
        <v>3967</v>
      </c>
      <c r="AQ2738" s="1">
        <v>64.46</v>
      </c>
      <c r="AR2738" s="1"/>
      <c r="AS2738" s="1"/>
      <c r="AT2738" s="1"/>
      <c r="AU2738" s="1"/>
      <c r="AV2738" s="1"/>
      <c r="AW2738" s="1"/>
      <c r="AX2738" s="1"/>
      <c r="AY2738" s="1" t="s">
        <v>23316</v>
      </c>
      <c r="AZ2738" s="1" t="s">
        <v>44497</v>
      </c>
      <c r="BA2738" s="1" t="s">
        <v>578</v>
      </c>
      <c r="BB2738" s="1" t="s">
        <v>467</v>
      </c>
      <c r="BC2738" s="1" t="s">
        <v>135</v>
      </c>
      <c r="BD2738" s="1" t="s">
        <v>106</v>
      </c>
      <c r="BE2738" s="1">
        <v>69.6</v>
      </c>
      <c r="BF2738" s="1">
        <v>7.71</v>
      </c>
      <c r="BG2738" s="1"/>
      <c r="BH2738" s="1"/>
      <c r="BI2738" s="1"/>
      <c r="BJ2738" s="1"/>
      <c r="BK2738" s="1"/>
      <c r="BL2738" s="1"/>
      <c r="BM2738" s="1"/>
      <c r="BN2738" s="1"/>
      <c r="BO2738" s="1" t="s">
        <v>44498</v>
      </c>
      <c r="BP2738" s="1" t="s">
        <v>44499</v>
      </c>
      <c r="BQ2738" s="1" t="s">
        <v>18863</v>
      </c>
      <c r="BR2738" s="1"/>
      <c r="BS2738" s="1"/>
      <c r="BT2738" s="1" t="s">
        <v>44500</v>
      </c>
      <c r="BU2738" s="1" t="str">
        <f>HYPERLINK("https://nconnect.nicmar.ac.in/storage/profile/6a76e517d0cee.png","Download")</f>
        <v>0</v>
      </c>
      <c r="BV2738" s="3"/>
      <c r="BW2738" s="3"/>
    </row>
    <row r="2739" spans="1:75">
      <c r="A2739" s="1" t="s">
        <v>40756</v>
      </c>
      <c r="B2739" s="1" t="s">
        <v>44111</v>
      </c>
      <c r="C2739" s="1" t="s">
        <v>44501</v>
      </c>
      <c r="D2739" s="1" t="s">
        <v>44502</v>
      </c>
      <c r="E2739" s="1" t="s">
        <v>44503</v>
      </c>
      <c r="F2739" s="1" t="s">
        <v>44504</v>
      </c>
      <c r="G2739" s="1" t="s">
        <v>44505</v>
      </c>
      <c r="H2739" s="1" t="s">
        <v>44506</v>
      </c>
      <c r="I2739" s="1" t="s">
        <v>44507</v>
      </c>
      <c r="J2739" s="1">
        <v>7798346899</v>
      </c>
      <c r="K2739" s="1" t="s">
        <v>84</v>
      </c>
      <c r="L2739" s="1" t="s">
        <v>44508</v>
      </c>
      <c r="M2739" s="1" t="s">
        <v>86</v>
      </c>
      <c r="N2739" s="1" t="s">
        <v>768</v>
      </c>
      <c r="O2739" s="1" t="s">
        <v>14445</v>
      </c>
      <c r="P2739" s="1" t="s">
        <v>356</v>
      </c>
      <c r="Q2739" s="1">
        <v>875994381429</v>
      </c>
      <c r="R2739" s="1" t="s">
        <v>44509</v>
      </c>
      <c r="S2739" s="1">
        <v>9223544065</v>
      </c>
      <c r="T2739" s="1" t="s">
        <v>44510</v>
      </c>
      <c r="U2739" s="1" t="s">
        <v>44511</v>
      </c>
      <c r="V2739" s="1">
        <v>9890321641</v>
      </c>
      <c r="W2739" s="1" t="s">
        <v>14154</v>
      </c>
      <c r="X2739" s="1" t="s">
        <v>44512</v>
      </c>
      <c r="Y2739" s="1" t="s">
        <v>4302</v>
      </c>
      <c r="Z2739" s="1" t="s">
        <v>97</v>
      </c>
      <c r="AA2739" s="1" t="s">
        <v>44512</v>
      </c>
      <c r="AB2739" s="1" t="s">
        <v>4302</v>
      </c>
      <c r="AC2739" s="1" t="s">
        <v>97</v>
      </c>
      <c r="AD2739" s="1" t="s">
        <v>98</v>
      </c>
      <c r="AE2739" s="1" t="s">
        <v>98</v>
      </c>
      <c r="AF2739" s="1" t="s">
        <v>24824</v>
      </c>
      <c r="AG2739" s="1" t="s">
        <v>44513</v>
      </c>
      <c r="AH2739" s="1" t="s">
        <v>4593</v>
      </c>
      <c r="AI2739" s="1" t="s">
        <v>337</v>
      </c>
      <c r="AJ2739" s="1">
        <v>88.0</v>
      </c>
      <c r="AK2739" s="1"/>
      <c r="AL2739" s="1"/>
      <c r="AM2739" s="1"/>
      <c r="AN2739" s="1"/>
      <c r="AO2739" s="1"/>
      <c r="AP2739" s="1"/>
      <c r="AQ2739" s="1"/>
      <c r="AR2739" s="1"/>
      <c r="AS2739" s="1" t="s">
        <v>44514</v>
      </c>
      <c r="AT2739" s="1" t="s">
        <v>44515</v>
      </c>
      <c r="AU2739" s="1" t="s">
        <v>3285</v>
      </c>
      <c r="AV2739" s="1" t="s">
        <v>101</v>
      </c>
      <c r="AW2739" s="1">
        <v>81.07</v>
      </c>
      <c r="AX2739" s="1"/>
      <c r="AY2739" s="1" t="s">
        <v>14380</v>
      </c>
      <c r="AZ2739" s="1" t="s">
        <v>44516</v>
      </c>
      <c r="BA2739" s="1" t="s">
        <v>578</v>
      </c>
      <c r="BB2739" s="1" t="s">
        <v>467</v>
      </c>
      <c r="BC2739" s="1" t="s">
        <v>438</v>
      </c>
      <c r="BD2739" s="1" t="s">
        <v>632</v>
      </c>
      <c r="BE2739" s="1">
        <v>62.5</v>
      </c>
      <c r="BF2739" s="1">
        <v>6.95</v>
      </c>
      <c r="BG2739" s="1"/>
      <c r="BH2739" s="1"/>
      <c r="BI2739" s="1"/>
      <c r="BJ2739" s="1"/>
      <c r="BK2739" s="1"/>
      <c r="BL2739" s="1"/>
      <c r="BM2739" s="1"/>
      <c r="BN2739" s="1"/>
      <c r="BO2739" s="1" t="s">
        <v>1114</v>
      </c>
      <c r="BP2739" s="1" t="s">
        <v>44517</v>
      </c>
      <c r="BQ2739" s="1" t="s">
        <v>44518</v>
      </c>
      <c r="BR2739" s="1"/>
      <c r="BS2739" s="1"/>
      <c r="BT2739" s="1" t="s">
        <v>44519</v>
      </c>
      <c r="BU2739" s="1" t="str">
        <f>HYPERLINK("https://nconnect.nicmar.ac.in/storage/profile/6a79bd3a093d6.png","Download")</f>
        <v>0</v>
      </c>
      <c r="BV2739" s="3"/>
      <c r="BW2739" s="3"/>
    </row>
    <row r="2740" spans="1:75">
      <c r="A2740" s="1" t="s">
        <v>40756</v>
      </c>
      <c r="B2740" s="1" t="s">
        <v>44111</v>
      </c>
      <c r="C2740" s="1" t="s">
        <v>44520</v>
      </c>
      <c r="D2740" s="1" t="s">
        <v>16286</v>
      </c>
      <c r="E2740" s="1" t="s">
        <v>15067</v>
      </c>
      <c r="F2740" s="1" t="s">
        <v>14460</v>
      </c>
      <c r="G2740" s="1" t="s">
        <v>44521</v>
      </c>
      <c r="H2740" s="1" t="s">
        <v>44522</v>
      </c>
      <c r="I2740" s="1" t="s">
        <v>44522</v>
      </c>
      <c r="J2740" s="1">
        <v>7058194750</v>
      </c>
      <c r="K2740" s="1" t="s">
        <v>84</v>
      </c>
      <c r="L2740" s="1" t="s">
        <v>13897</v>
      </c>
      <c r="M2740" s="1" t="s">
        <v>86</v>
      </c>
      <c r="N2740" s="1" t="s">
        <v>44523</v>
      </c>
      <c r="O2740" s="1" t="s">
        <v>44524</v>
      </c>
      <c r="P2740" s="1" t="s">
        <v>219</v>
      </c>
      <c r="Q2740" s="1">
        <v>310992264384</v>
      </c>
      <c r="R2740" s="1" t="s">
        <v>44525</v>
      </c>
      <c r="S2740" s="1">
        <v>9850037561</v>
      </c>
      <c r="T2740" s="1" t="s">
        <v>44526</v>
      </c>
      <c r="U2740" s="1" t="s">
        <v>44527</v>
      </c>
      <c r="V2740" s="1">
        <v>8767842993</v>
      </c>
      <c r="W2740" s="1" t="s">
        <v>14154</v>
      </c>
      <c r="X2740" s="1" t="s">
        <v>44528</v>
      </c>
      <c r="Y2740" s="1" t="s">
        <v>5659</v>
      </c>
      <c r="Z2740" s="1" t="s">
        <v>97</v>
      </c>
      <c r="AA2740" s="1" t="s">
        <v>44528</v>
      </c>
      <c r="AB2740" s="1" t="s">
        <v>5659</v>
      </c>
      <c r="AC2740" s="1" t="s">
        <v>97</v>
      </c>
      <c r="AD2740" s="1" t="s">
        <v>98</v>
      </c>
      <c r="AE2740" s="1" t="s">
        <v>98</v>
      </c>
      <c r="AF2740" s="1" t="s">
        <v>44529</v>
      </c>
      <c r="AG2740" s="1" t="s">
        <v>44530</v>
      </c>
      <c r="AH2740" s="1" t="s">
        <v>166</v>
      </c>
      <c r="AI2740" s="1" t="s">
        <v>167</v>
      </c>
      <c r="AJ2740" s="1">
        <v>72.4</v>
      </c>
      <c r="AK2740" s="1"/>
      <c r="AL2740" s="1"/>
      <c r="AM2740" s="1"/>
      <c r="AN2740" s="1"/>
      <c r="AO2740" s="1"/>
      <c r="AP2740" s="1"/>
      <c r="AQ2740" s="1"/>
      <c r="AR2740" s="1"/>
      <c r="AS2740" s="1" t="s">
        <v>14377</v>
      </c>
      <c r="AT2740" s="1" t="s">
        <v>44531</v>
      </c>
      <c r="AU2740" s="1" t="s">
        <v>1396</v>
      </c>
      <c r="AV2740" s="1" t="s">
        <v>438</v>
      </c>
      <c r="AW2740" s="1">
        <v>78.73</v>
      </c>
      <c r="AX2740" s="1"/>
      <c r="AY2740" s="1" t="s">
        <v>44532</v>
      </c>
      <c r="AZ2740" s="1" t="s">
        <v>44533</v>
      </c>
      <c r="BA2740" s="1" t="s">
        <v>578</v>
      </c>
      <c r="BB2740" s="1" t="s">
        <v>467</v>
      </c>
      <c r="BC2740" s="1" t="s">
        <v>206</v>
      </c>
      <c r="BD2740" s="1" t="s">
        <v>110</v>
      </c>
      <c r="BE2740" s="1">
        <v>84.97</v>
      </c>
      <c r="BF2740" s="1"/>
      <c r="BG2740" s="1"/>
      <c r="BH2740" s="1"/>
      <c r="BI2740" s="1"/>
      <c r="BJ2740" s="1"/>
      <c r="BK2740" s="1"/>
      <c r="BL2740" s="1"/>
      <c r="BM2740" s="1"/>
      <c r="BN2740" s="1"/>
      <c r="BO2740" s="1" t="s">
        <v>44534</v>
      </c>
      <c r="BP2740" s="1" t="s">
        <v>44535</v>
      </c>
      <c r="BQ2740" s="1" t="s">
        <v>3404</v>
      </c>
      <c r="BR2740" s="1" t="s">
        <v>44536</v>
      </c>
      <c r="BS2740" s="1">
        <v>37</v>
      </c>
      <c r="BT2740" s="1" t="s">
        <v>44537</v>
      </c>
      <c r="BU2740" s="1" t="str">
        <f>HYPERLINK("https://nconnect.nicmar.ac.in/storage/profile/6a7a8f4e2bf5c.png","Download")</f>
        <v>0</v>
      </c>
      <c r="BV2740" s="3"/>
      <c r="BW2740" s="3"/>
    </row>
    <row r="2741" spans="1:75">
      <c r="A2741" s="1" t="s">
        <v>40756</v>
      </c>
      <c r="B2741" s="1" t="s">
        <v>44111</v>
      </c>
      <c r="C2741" s="1" t="s">
        <v>44538</v>
      </c>
      <c r="D2741" s="1" t="s">
        <v>16615</v>
      </c>
      <c r="E2741" s="1" t="s">
        <v>20359</v>
      </c>
      <c r="F2741" s="1" t="s">
        <v>19794</v>
      </c>
      <c r="G2741" s="1" t="s">
        <v>44539</v>
      </c>
      <c r="H2741" s="1" t="s">
        <v>44540</v>
      </c>
      <c r="I2741" s="1" t="s">
        <v>44540</v>
      </c>
      <c r="J2741" s="1">
        <v>9594074921</v>
      </c>
      <c r="K2741" s="1" t="s">
        <v>153</v>
      </c>
      <c r="L2741" s="1" t="s">
        <v>44541</v>
      </c>
      <c r="M2741" s="1" t="s">
        <v>86</v>
      </c>
      <c r="N2741" s="1" t="s">
        <v>768</v>
      </c>
      <c r="O2741" s="1" t="s">
        <v>2146</v>
      </c>
      <c r="P2741" s="1" t="s">
        <v>122</v>
      </c>
      <c r="Q2741" s="1">
        <v>985722742765</v>
      </c>
      <c r="R2741" s="1" t="s">
        <v>20359</v>
      </c>
      <c r="S2741" s="1">
        <v>8451974255</v>
      </c>
      <c r="T2741" s="1" t="s">
        <v>2177</v>
      </c>
      <c r="U2741" s="1" t="s">
        <v>24628</v>
      </c>
      <c r="V2741" s="1">
        <v>9209315940</v>
      </c>
      <c r="W2741" s="1" t="s">
        <v>14154</v>
      </c>
      <c r="X2741" s="1" t="s">
        <v>44542</v>
      </c>
      <c r="Y2741" s="1" t="s">
        <v>1012</v>
      </c>
      <c r="Z2741" s="1" t="s">
        <v>97</v>
      </c>
      <c r="AA2741" s="1" t="s">
        <v>44543</v>
      </c>
      <c r="AB2741" s="1" t="s">
        <v>196</v>
      </c>
      <c r="AC2741" s="1" t="s">
        <v>97</v>
      </c>
      <c r="AD2741" s="1" t="s">
        <v>98</v>
      </c>
      <c r="AE2741" s="1" t="s">
        <v>98</v>
      </c>
      <c r="AF2741" s="1" t="s">
        <v>44544</v>
      </c>
      <c r="AG2741" s="1" t="s">
        <v>44545</v>
      </c>
      <c r="AH2741" s="1" t="s">
        <v>3285</v>
      </c>
      <c r="AI2741" s="1" t="s">
        <v>133</v>
      </c>
      <c r="AJ2741" s="1">
        <v>89.45</v>
      </c>
      <c r="AK2741" s="1"/>
      <c r="AL2741" s="1"/>
      <c r="AM2741" s="1"/>
      <c r="AN2741" s="1"/>
      <c r="AO2741" s="1"/>
      <c r="AP2741" s="1"/>
      <c r="AQ2741" s="1"/>
      <c r="AR2741" s="1"/>
      <c r="AS2741" s="1" t="s">
        <v>467</v>
      </c>
      <c r="AT2741" s="1" t="s">
        <v>44546</v>
      </c>
      <c r="AU2741" s="1" t="s">
        <v>133</v>
      </c>
      <c r="AV2741" s="1" t="s">
        <v>166</v>
      </c>
      <c r="AW2741" s="1">
        <v>77.27</v>
      </c>
      <c r="AX2741" s="1"/>
      <c r="AY2741" s="1" t="s">
        <v>23063</v>
      </c>
      <c r="AZ2741" s="1" t="s">
        <v>44547</v>
      </c>
      <c r="BA2741" s="1" t="s">
        <v>578</v>
      </c>
      <c r="BB2741" s="1" t="s">
        <v>467</v>
      </c>
      <c r="BC2741" s="1" t="s">
        <v>342</v>
      </c>
      <c r="BD2741" s="1" t="s">
        <v>106</v>
      </c>
      <c r="BE2741" s="1">
        <v>68.24</v>
      </c>
      <c r="BF2741" s="1">
        <v>7.6</v>
      </c>
      <c r="BG2741" s="1"/>
      <c r="BH2741" s="1"/>
      <c r="BI2741" s="1"/>
      <c r="BJ2741" s="1"/>
      <c r="BK2741" s="1"/>
      <c r="BL2741" s="1"/>
      <c r="BM2741" s="1"/>
      <c r="BN2741" s="1"/>
      <c r="BO2741" s="1" t="s">
        <v>44548</v>
      </c>
      <c r="BP2741" s="1" t="s">
        <v>44549</v>
      </c>
      <c r="BQ2741" s="1" t="s">
        <v>1152</v>
      </c>
      <c r="BR2741" s="1"/>
      <c r="BS2741" s="1"/>
      <c r="BT2741" s="1"/>
      <c r="BU2741" s="1" t="str">
        <f>HYPERLINK("https://nconnect.nicmar.ac.in/storage/profile/6a76dd2a47ae6.png","Download")</f>
        <v>0</v>
      </c>
      <c r="BV2741" s="3"/>
      <c r="BW2741" s="3"/>
    </row>
    <row r="2742" spans="1:75">
      <c r="A2742" s="1" t="s">
        <v>40756</v>
      </c>
      <c r="B2742" s="1" t="s">
        <v>44111</v>
      </c>
      <c r="C2742" s="1" t="s">
        <v>44550</v>
      </c>
      <c r="D2742" s="1" t="s">
        <v>24770</v>
      </c>
      <c r="E2742" s="1" t="s">
        <v>44551</v>
      </c>
      <c r="F2742" s="1" t="s">
        <v>44552</v>
      </c>
      <c r="G2742" s="1" t="s">
        <v>44553</v>
      </c>
      <c r="H2742" s="1" t="s">
        <v>44554</v>
      </c>
      <c r="I2742" s="1" t="s">
        <v>44554</v>
      </c>
      <c r="J2742" s="1">
        <v>7709050830</v>
      </c>
      <c r="K2742" s="1" t="s">
        <v>84</v>
      </c>
      <c r="L2742" s="1" t="s">
        <v>8419</v>
      </c>
      <c r="M2742" s="1" t="s">
        <v>86</v>
      </c>
      <c r="N2742" s="1" t="s">
        <v>8520</v>
      </c>
      <c r="O2742" s="1" t="s">
        <v>23275</v>
      </c>
      <c r="P2742" s="1" t="s">
        <v>219</v>
      </c>
      <c r="Q2742" s="1">
        <v>718404521109</v>
      </c>
      <c r="R2742" s="1" t="s">
        <v>20829</v>
      </c>
      <c r="S2742" s="1">
        <v>9970427675</v>
      </c>
      <c r="T2742" s="1" t="s">
        <v>18623</v>
      </c>
      <c r="U2742" s="1" t="s">
        <v>44555</v>
      </c>
      <c r="V2742" s="1">
        <v>8446992391</v>
      </c>
      <c r="W2742" s="1" t="s">
        <v>14154</v>
      </c>
      <c r="X2742" s="1" t="s">
        <v>44556</v>
      </c>
      <c r="Y2742" s="1" t="s">
        <v>224</v>
      </c>
      <c r="Z2742" s="1" t="s">
        <v>97</v>
      </c>
      <c r="AA2742" s="1" t="s">
        <v>44556</v>
      </c>
      <c r="AB2742" s="1" t="s">
        <v>224</v>
      </c>
      <c r="AC2742" s="1" t="s">
        <v>97</v>
      </c>
      <c r="AD2742" s="1" t="s">
        <v>98</v>
      </c>
      <c r="AE2742" s="1" t="s">
        <v>98</v>
      </c>
      <c r="AF2742" s="1" t="s">
        <v>44557</v>
      </c>
      <c r="AG2742" s="1" t="s">
        <v>44558</v>
      </c>
      <c r="AH2742" s="1" t="s">
        <v>166</v>
      </c>
      <c r="AI2742" s="1" t="s">
        <v>1111</v>
      </c>
      <c r="AJ2742" s="1">
        <v>72.4</v>
      </c>
      <c r="AK2742" s="1"/>
      <c r="AL2742" s="1" t="s">
        <v>44559</v>
      </c>
      <c r="AM2742" s="1" t="s">
        <v>44558</v>
      </c>
      <c r="AN2742" s="1" t="s">
        <v>575</v>
      </c>
      <c r="AO2742" s="1" t="s">
        <v>388</v>
      </c>
      <c r="AP2742" s="1" t="s">
        <v>1477</v>
      </c>
      <c r="AQ2742" s="1">
        <v>61.38</v>
      </c>
      <c r="AR2742" s="1"/>
      <c r="AS2742" s="1"/>
      <c r="AT2742" s="1"/>
      <c r="AU2742" s="1"/>
      <c r="AV2742" s="1"/>
      <c r="AW2742" s="1"/>
      <c r="AX2742" s="1"/>
      <c r="AY2742" s="1" t="s">
        <v>14752</v>
      </c>
      <c r="AZ2742" s="1" t="s">
        <v>44560</v>
      </c>
      <c r="BA2742" s="1" t="s">
        <v>466</v>
      </c>
      <c r="BB2742" s="1" t="s">
        <v>467</v>
      </c>
      <c r="BC2742" s="1" t="s">
        <v>1065</v>
      </c>
      <c r="BD2742" s="1" t="s">
        <v>632</v>
      </c>
      <c r="BE2742" s="1">
        <v>72.2</v>
      </c>
      <c r="BF2742" s="1">
        <v>7.72</v>
      </c>
      <c r="BG2742" s="1"/>
      <c r="BH2742" s="1"/>
      <c r="BI2742" s="1"/>
      <c r="BJ2742" s="1"/>
      <c r="BK2742" s="1"/>
      <c r="BL2742" s="1"/>
      <c r="BM2742" s="1"/>
      <c r="BN2742" s="1"/>
      <c r="BO2742" s="1" t="s">
        <v>44561</v>
      </c>
      <c r="BP2742" s="1" t="s">
        <v>44562</v>
      </c>
      <c r="BQ2742" s="1" t="s">
        <v>736</v>
      </c>
      <c r="BR2742" s="1"/>
      <c r="BS2742" s="1"/>
      <c r="BT2742" s="1"/>
      <c r="BU2742" s="1" t="str">
        <f>HYPERLINK("https://nconnect.nicmar.ac.in/storage/profile/6a789c2ccfd2d.png","Download")</f>
        <v>0</v>
      </c>
      <c r="BV2742" s="3"/>
      <c r="BW2742" s="3"/>
    </row>
    <row r="2743" spans="1:75">
      <c r="A2743" s="1" t="s">
        <v>40756</v>
      </c>
      <c r="B2743" s="1" t="s">
        <v>44111</v>
      </c>
      <c r="C2743" s="1" t="s">
        <v>44563</v>
      </c>
      <c r="D2743" s="1" t="s">
        <v>17708</v>
      </c>
      <c r="E2743" s="1" t="s">
        <v>44564</v>
      </c>
      <c r="F2743" s="1" t="s">
        <v>44565</v>
      </c>
      <c r="G2743" s="1" t="s">
        <v>44566</v>
      </c>
      <c r="H2743" s="1" t="s">
        <v>44567</v>
      </c>
      <c r="I2743" s="1" t="s">
        <v>44567</v>
      </c>
      <c r="J2743" s="1">
        <v>8108359705</v>
      </c>
      <c r="K2743" s="1" t="s">
        <v>84</v>
      </c>
      <c r="L2743" s="1" t="s">
        <v>7905</v>
      </c>
      <c r="M2743" s="1" t="s">
        <v>86</v>
      </c>
      <c r="N2743" s="1" t="s">
        <v>8520</v>
      </c>
      <c r="O2743" s="1" t="s">
        <v>44568</v>
      </c>
      <c r="P2743" s="1" t="s">
        <v>356</v>
      </c>
      <c r="Q2743" s="1">
        <v>269547662937</v>
      </c>
      <c r="R2743" s="1" t="s">
        <v>44564</v>
      </c>
      <c r="S2743" s="1">
        <v>9869059273</v>
      </c>
      <c r="T2743" s="1" t="s">
        <v>15073</v>
      </c>
      <c r="U2743" s="1" t="s">
        <v>44569</v>
      </c>
      <c r="V2743" s="1">
        <v>9969102127</v>
      </c>
      <c r="W2743" s="1" t="s">
        <v>14154</v>
      </c>
      <c r="X2743" s="1" t="s">
        <v>44570</v>
      </c>
      <c r="Y2743" s="1" t="s">
        <v>1882</v>
      </c>
      <c r="Z2743" s="1" t="s">
        <v>97</v>
      </c>
      <c r="AA2743" s="1" t="s">
        <v>44570</v>
      </c>
      <c r="AB2743" s="1" t="s">
        <v>1882</v>
      </c>
      <c r="AC2743" s="1" t="s">
        <v>97</v>
      </c>
      <c r="AD2743" s="1" t="s">
        <v>98</v>
      </c>
      <c r="AE2743" s="1" t="s">
        <v>98</v>
      </c>
      <c r="AF2743" s="1" t="s">
        <v>44571</v>
      </c>
      <c r="AG2743" s="1" t="s">
        <v>23643</v>
      </c>
      <c r="AH2743" s="1" t="s">
        <v>342</v>
      </c>
      <c r="AI2743" s="1" t="s">
        <v>1111</v>
      </c>
      <c r="AJ2743" s="1">
        <v>88.2</v>
      </c>
      <c r="AK2743" s="1"/>
      <c r="AL2743" s="1" t="s">
        <v>44572</v>
      </c>
      <c r="AM2743" s="1" t="s">
        <v>23643</v>
      </c>
      <c r="AN2743" s="1" t="s">
        <v>575</v>
      </c>
      <c r="AO2743" s="1" t="s">
        <v>1396</v>
      </c>
      <c r="AP2743" s="1" t="s">
        <v>1477</v>
      </c>
      <c r="AQ2743" s="1">
        <v>61.23</v>
      </c>
      <c r="AR2743" s="1"/>
      <c r="AS2743" s="1"/>
      <c r="AT2743" s="1"/>
      <c r="AU2743" s="1"/>
      <c r="AV2743" s="1"/>
      <c r="AW2743" s="1"/>
      <c r="AX2743" s="1"/>
      <c r="AY2743" s="1" t="s">
        <v>14081</v>
      </c>
      <c r="AZ2743" s="1" t="s">
        <v>44573</v>
      </c>
      <c r="BA2743" s="1" t="s">
        <v>578</v>
      </c>
      <c r="BB2743" s="1" t="s">
        <v>467</v>
      </c>
      <c r="BC2743" s="1" t="s">
        <v>174</v>
      </c>
      <c r="BD2743" s="1" t="s">
        <v>632</v>
      </c>
      <c r="BE2743" s="1">
        <v>69.17</v>
      </c>
      <c r="BF2743" s="1">
        <v>7.75</v>
      </c>
      <c r="BG2743" s="1"/>
      <c r="BH2743" s="1"/>
      <c r="BI2743" s="1"/>
      <c r="BJ2743" s="1"/>
      <c r="BK2743" s="1"/>
      <c r="BL2743" s="1"/>
      <c r="BM2743" s="1"/>
      <c r="BN2743" s="1"/>
      <c r="BO2743" s="1" t="s">
        <v>44574</v>
      </c>
      <c r="BP2743" s="1" t="s">
        <v>44575</v>
      </c>
      <c r="BQ2743" s="1" t="s">
        <v>6652</v>
      </c>
      <c r="BR2743" s="1" t="s">
        <v>44576</v>
      </c>
      <c r="BS2743" s="1">
        <v>8</v>
      </c>
      <c r="BT2743" s="1" t="s">
        <v>44577</v>
      </c>
      <c r="BU2743" s="1" t="str">
        <f>HYPERLINK("https://nconnect.nicmar.ac.in/storage/profile/6a83ce4300afb.png","Download")</f>
        <v>0</v>
      </c>
      <c r="BV2743" s="3"/>
      <c r="BW2743" s="3"/>
    </row>
    <row r="2744" spans="1:75">
      <c r="A2744" s="1" t="s">
        <v>40756</v>
      </c>
      <c r="B2744" s="1" t="s">
        <v>44111</v>
      </c>
      <c r="C2744" s="1" t="s">
        <v>44578</v>
      </c>
      <c r="D2744" s="1" t="s">
        <v>44579</v>
      </c>
      <c r="E2744" s="1" t="s">
        <v>16287</v>
      </c>
      <c r="F2744" s="1" t="s">
        <v>44580</v>
      </c>
      <c r="G2744" s="1" t="s">
        <v>44581</v>
      </c>
      <c r="H2744" s="1" t="s">
        <v>44582</v>
      </c>
      <c r="I2744" s="1" t="s">
        <v>44582</v>
      </c>
      <c r="J2744" s="1">
        <v>9870626585</v>
      </c>
      <c r="K2744" s="1" t="s">
        <v>84</v>
      </c>
      <c r="L2744" s="1" t="s">
        <v>12238</v>
      </c>
      <c r="M2744" s="1" t="s">
        <v>86</v>
      </c>
      <c r="N2744" s="1" t="s">
        <v>6390</v>
      </c>
      <c r="O2744" s="1" t="s">
        <v>44583</v>
      </c>
      <c r="P2744" s="1" t="s">
        <v>122</v>
      </c>
      <c r="Q2744" s="1">
        <v>356065113351</v>
      </c>
      <c r="R2744" s="1" t="s">
        <v>16287</v>
      </c>
      <c r="S2744" s="1">
        <v>9819351470</v>
      </c>
      <c r="T2744" s="1" t="s">
        <v>44584</v>
      </c>
      <c r="U2744" s="1" t="s">
        <v>18369</v>
      </c>
      <c r="V2744" s="1">
        <v>8591721229</v>
      </c>
      <c r="W2744" s="1" t="s">
        <v>44584</v>
      </c>
      <c r="X2744" s="1" t="s">
        <v>44585</v>
      </c>
      <c r="Y2744" s="1" t="s">
        <v>1882</v>
      </c>
      <c r="Z2744" s="1" t="s">
        <v>97</v>
      </c>
      <c r="AA2744" s="1" t="s">
        <v>44585</v>
      </c>
      <c r="AB2744" s="1" t="s">
        <v>1882</v>
      </c>
      <c r="AC2744" s="1" t="s">
        <v>97</v>
      </c>
      <c r="AD2744" s="1" t="s">
        <v>98</v>
      </c>
      <c r="AE2744" s="1" t="s">
        <v>98</v>
      </c>
      <c r="AF2744" s="1" t="s">
        <v>44586</v>
      </c>
      <c r="AG2744" s="1" t="s">
        <v>17617</v>
      </c>
      <c r="AH2744" s="1" t="s">
        <v>1111</v>
      </c>
      <c r="AI2744" s="1" t="s">
        <v>200</v>
      </c>
      <c r="AJ2744" s="1">
        <v>77.0</v>
      </c>
      <c r="AK2744" s="1"/>
      <c r="AL2744" s="1" t="s">
        <v>44587</v>
      </c>
      <c r="AM2744" s="1" t="s">
        <v>22654</v>
      </c>
      <c r="AN2744" s="1" t="s">
        <v>465</v>
      </c>
      <c r="AO2744" s="1" t="s">
        <v>1477</v>
      </c>
      <c r="AP2744" s="1" t="s">
        <v>203</v>
      </c>
      <c r="AQ2744" s="1">
        <v>49.54</v>
      </c>
      <c r="AR2744" s="1"/>
      <c r="AS2744" s="1" t="s">
        <v>467</v>
      </c>
      <c r="AT2744" s="1" t="s">
        <v>44588</v>
      </c>
      <c r="AU2744" s="1" t="s">
        <v>206</v>
      </c>
      <c r="AV2744" s="1" t="s">
        <v>441</v>
      </c>
      <c r="AW2744" s="1">
        <v>77.63</v>
      </c>
      <c r="AX2744" s="1"/>
      <c r="AY2744" s="1" t="s">
        <v>17105</v>
      </c>
      <c r="AZ2744" s="1" t="s">
        <v>44589</v>
      </c>
      <c r="BA2744" s="1" t="s">
        <v>466</v>
      </c>
      <c r="BB2744" s="1" t="s">
        <v>467</v>
      </c>
      <c r="BC2744" s="1" t="s">
        <v>871</v>
      </c>
      <c r="BD2744" s="1" t="s">
        <v>5278</v>
      </c>
      <c r="BE2744" s="1">
        <v>61.83</v>
      </c>
      <c r="BF2744" s="1"/>
      <c r="BG2744" s="1"/>
      <c r="BH2744" s="1"/>
      <c r="BI2744" s="1"/>
      <c r="BJ2744" s="1"/>
      <c r="BK2744" s="1"/>
      <c r="BL2744" s="1"/>
      <c r="BM2744" s="1"/>
      <c r="BN2744" s="1"/>
      <c r="BO2744" s="1" t="s">
        <v>849</v>
      </c>
      <c r="BP2744" s="1" t="s">
        <v>44590</v>
      </c>
      <c r="BQ2744" s="1" t="s">
        <v>4149</v>
      </c>
      <c r="BR2744" s="1"/>
      <c r="BS2744" s="1"/>
      <c r="BT2744" s="1"/>
      <c r="BU2744" s="1" t="str">
        <f>HYPERLINK("https://nconnect.nicmar.ac.in/storage/profile/6a76417736f8e.png","Download")</f>
        <v>0</v>
      </c>
      <c r="BV2744" s="3"/>
      <c r="BW2744" s="3"/>
    </row>
    <row r="2745" spans="1:75">
      <c r="A2745" s="1" t="s">
        <v>40756</v>
      </c>
      <c r="B2745" s="1" t="s">
        <v>44111</v>
      </c>
      <c r="C2745" s="1" t="s">
        <v>44591</v>
      </c>
      <c r="D2745" s="1" t="s">
        <v>1135</v>
      </c>
      <c r="E2745" s="1"/>
      <c r="F2745" s="1" t="s">
        <v>1320</v>
      </c>
      <c r="G2745" s="1" t="s">
        <v>44592</v>
      </c>
      <c r="H2745" s="1" t="s">
        <v>44593</v>
      </c>
      <c r="I2745" s="1" t="s">
        <v>44594</v>
      </c>
      <c r="J2745" s="1">
        <v>7677705037</v>
      </c>
      <c r="K2745" s="1" t="s">
        <v>84</v>
      </c>
      <c r="L2745" s="1" t="s">
        <v>44595</v>
      </c>
      <c r="M2745" s="1" t="s">
        <v>155</v>
      </c>
      <c r="N2745" s="1" t="s">
        <v>4857</v>
      </c>
      <c r="O2745" s="1" t="s">
        <v>44596</v>
      </c>
      <c r="P2745" s="1" t="s">
        <v>122</v>
      </c>
      <c r="Q2745" s="1">
        <v>320606602866</v>
      </c>
      <c r="R2745" s="1" t="s">
        <v>44597</v>
      </c>
      <c r="S2745" s="1">
        <v>9835465902</v>
      </c>
      <c r="T2745" s="1" t="s">
        <v>44598</v>
      </c>
      <c r="U2745" s="1" t="s">
        <v>44599</v>
      </c>
      <c r="V2745" s="1">
        <v>9905015573</v>
      </c>
      <c r="W2745" s="1" t="s">
        <v>14154</v>
      </c>
      <c r="X2745" s="1" t="s">
        <v>44600</v>
      </c>
      <c r="Y2745" s="1" t="s">
        <v>648</v>
      </c>
      <c r="Z2745" s="1" t="s">
        <v>649</v>
      </c>
      <c r="AA2745" s="1" t="s">
        <v>44601</v>
      </c>
      <c r="AB2745" s="1" t="s">
        <v>648</v>
      </c>
      <c r="AC2745" s="1" t="s">
        <v>649</v>
      </c>
      <c r="AD2745" s="1" t="s">
        <v>98</v>
      </c>
      <c r="AE2745" s="1" t="s">
        <v>98</v>
      </c>
      <c r="AF2745" s="1" t="s">
        <v>44602</v>
      </c>
      <c r="AG2745" s="1" t="s">
        <v>44603</v>
      </c>
      <c r="AH2745" s="1" t="s">
        <v>34284</v>
      </c>
      <c r="AI2745" s="1" t="s">
        <v>134</v>
      </c>
      <c r="AJ2745" s="1">
        <v>68.4</v>
      </c>
      <c r="AK2745" s="1">
        <v>7.2</v>
      </c>
      <c r="AL2745" s="1" t="s">
        <v>44604</v>
      </c>
      <c r="AM2745" s="1" t="s">
        <v>44603</v>
      </c>
      <c r="AN2745" s="1" t="s">
        <v>465</v>
      </c>
      <c r="AO2745" s="1" t="s">
        <v>1213</v>
      </c>
      <c r="AP2745" s="1" t="s">
        <v>136</v>
      </c>
      <c r="AQ2745" s="1">
        <v>76.2</v>
      </c>
      <c r="AR2745" s="1"/>
      <c r="AS2745" s="1"/>
      <c r="AT2745" s="1"/>
      <c r="AU2745" s="1"/>
      <c r="AV2745" s="1"/>
      <c r="AW2745" s="1"/>
      <c r="AX2745" s="1"/>
      <c r="AY2745" s="1" t="s">
        <v>44605</v>
      </c>
      <c r="AZ2745" s="1" t="s">
        <v>44606</v>
      </c>
      <c r="BA2745" s="1" t="s">
        <v>466</v>
      </c>
      <c r="BB2745" s="1" t="s">
        <v>467</v>
      </c>
      <c r="BC2745" s="1" t="s">
        <v>105</v>
      </c>
      <c r="BD2745" s="1" t="s">
        <v>13133</v>
      </c>
      <c r="BE2745" s="1">
        <v>76.52</v>
      </c>
      <c r="BF2745" s="1"/>
      <c r="BG2745" s="1"/>
      <c r="BH2745" s="1"/>
      <c r="BI2745" s="1" t="s">
        <v>44607</v>
      </c>
      <c r="BJ2745" s="1" t="s">
        <v>44608</v>
      </c>
      <c r="BK2745" s="1"/>
      <c r="BL2745" s="1"/>
      <c r="BM2745" s="1"/>
      <c r="BN2745" s="1"/>
      <c r="BO2745" s="1" t="s">
        <v>1666</v>
      </c>
      <c r="BP2745" s="1" t="s">
        <v>44609</v>
      </c>
      <c r="BQ2745" s="1" t="s">
        <v>39288</v>
      </c>
      <c r="BR2745" s="1" t="s">
        <v>44610</v>
      </c>
      <c r="BS2745" s="1">
        <v>2</v>
      </c>
      <c r="BT2745" s="1" t="s">
        <v>44611</v>
      </c>
      <c r="BU2745" s="1" t="str">
        <f>HYPERLINK("https://nconnect.nicmar.ac.in/storage/profile/6a77463b6de1d.png","Download")</f>
        <v>0</v>
      </c>
      <c r="BV2745" s="3"/>
      <c r="BW2745" s="3"/>
    </row>
    <row r="2746" spans="1:75">
      <c r="A2746" s="1" t="s">
        <v>40756</v>
      </c>
      <c r="B2746" s="1" t="s">
        <v>44111</v>
      </c>
      <c r="C2746" s="1" t="s">
        <v>44612</v>
      </c>
      <c r="D2746" s="1" t="s">
        <v>44613</v>
      </c>
      <c r="E2746" s="1" t="s">
        <v>44614</v>
      </c>
      <c r="F2746" s="1" t="s">
        <v>14250</v>
      </c>
      <c r="G2746" s="1" t="s">
        <v>44615</v>
      </c>
      <c r="H2746" s="1" t="s">
        <v>44616</v>
      </c>
      <c r="I2746" s="1" t="s">
        <v>44617</v>
      </c>
      <c r="J2746" s="1">
        <v>8600673302</v>
      </c>
      <c r="K2746" s="1" t="s">
        <v>84</v>
      </c>
      <c r="L2746" s="1" t="s">
        <v>44618</v>
      </c>
      <c r="M2746" s="1" t="s">
        <v>86</v>
      </c>
      <c r="N2746" s="1" t="s">
        <v>6390</v>
      </c>
      <c r="O2746" s="1" t="s">
        <v>44619</v>
      </c>
      <c r="P2746" s="1" t="s">
        <v>89</v>
      </c>
      <c r="Q2746" s="1">
        <v>692123140317</v>
      </c>
      <c r="R2746" s="1" t="s">
        <v>44614</v>
      </c>
      <c r="S2746" s="1">
        <v>7588618936</v>
      </c>
      <c r="T2746" s="1" t="s">
        <v>18489</v>
      </c>
      <c r="U2746" s="1" t="s">
        <v>44620</v>
      </c>
      <c r="V2746" s="1">
        <v>7588618936</v>
      </c>
      <c r="W2746" s="1" t="s">
        <v>14234</v>
      </c>
      <c r="X2746" s="1" t="s">
        <v>44621</v>
      </c>
      <c r="Y2746" s="1" t="s">
        <v>910</v>
      </c>
      <c r="Z2746" s="1" t="s">
        <v>97</v>
      </c>
      <c r="AA2746" s="1" t="s">
        <v>44621</v>
      </c>
      <c r="AB2746" s="1" t="s">
        <v>910</v>
      </c>
      <c r="AC2746" s="1" t="s">
        <v>97</v>
      </c>
      <c r="AD2746" s="1" t="s">
        <v>98</v>
      </c>
      <c r="AE2746" s="1" t="s">
        <v>98</v>
      </c>
      <c r="AF2746" s="1" t="s">
        <v>44622</v>
      </c>
      <c r="AG2746" s="1" t="s">
        <v>44623</v>
      </c>
      <c r="AH2746" s="1" t="s">
        <v>3965</v>
      </c>
      <c r="AI2746" s="1" t="s">
        <v>1457</v>
      </c>
      <c r="AJ2746" s="1">
        <v>83.64</v>
      </c>
      <c r="AK2746" s="1"/>
      <c r="AL2746" s="1" t="s">
        <v>44624</v>
      </c>
      <c r="AM2746" s="1" t="s">
        <v>44623</v>
      </c>
      <c r="AN2746" s="1" t="s">
        <v>465</v>
      </c>
      <c r="AO2746" s="1" t="s">
        <v>1214</v>
      </c>
      <c r="AP2746" s="1" t="s">
        <v>11567</v>
      </c>
      <c r="AQ2746" s="1">
        <v>65.54</v>
      </c>
      <c r="AR2746" s="1"/>
      <c r="AS2746" s="1"/>
      <c r="AT2746" s="1"/>
      <c r="AU2746" s="1"/>
      <c r="AV2746" s="1"/>
      <c r="AW2746" s="1"/>
      <c r="AX2746" s="1"/>
      <c r="AY2746" s="1" t="s">
        <v>44625</v>
      </c>
      <c r="AZ2746" s="1" t="s">
        <v>44626</v>
      </c>
      <c r="BA2746" s="1" t="s">
        <v>578</v>
      </c>
      <c r="BB2746" s="1" t="s">
        <v>467</v>
      </c>
      <c r="BC2746" s="1" t="s">
        <v>166</v>
      </c>
      <c r="BD2746" s="1" t="s">
        <v>2304</v>
      </c>
      <c r="BE2746" s="1">
        <v>60</v>
      </c>
      <c r="BF2746" s="1">
        <v>6.75</v>
      </c>
      <c r="BG2746" s="1"/>
      <c r="BH2746" s="1"/>
      <c r="BI2746" s="1"/>
      <c r="BJ2746" s="1"/>
      <c r="BK2746" s="1"/>
      <c r="BL2746" s="1"/>
      <c r="BM2746" s="1"/>
      <c r="BN2746" s="1"/>
      <c r="BO2746" s="1" t="s">
        <v>44627</v>
      </c>
      <c r="BP2746" s="1" t="s">
        <v>44628</v>
      </c>
      <c r="BQ2746" s="1" t="s">
        <v>3971</v>
      </c>
      <c r="BR2746" s="1"/>
      <c r="BS2746" s="1"/>
      <c r="BT2746" s="1"/>
      <c r="BU2746" s="1" t="str">
        <f>HYPERLINK("https://nconnect.nicmar.ac.in/storage/profile/6a783618cf149.png","Download")</f>
        <v>0</v>
      </c>
      <c r="BV2746" s="3"/>
      <c r="BW2746" s="3"/>
    </row>
    <row r="2747" spans="1:75">
      <c r="A2747" s="1" t="s">
        <v>40756</v>
      </c>
      <c r="B2747" s="1" t="s">
        <v>44111</v>
      </c>
      <c r="C2747" s="1" t="s">
        <v>44629</v>
      </c>
      <c r="D2747" s="1" t="s">
        <v>15498</v>
      </c>
      <c r="E2747" s="1" t="s">
        <v>24238</v>
      </c>
      <c r="F2747" s="1" t="s">
        <v>44630</v>
      </c>
      <c r="G2747" s="1" t="s">
        <v>44631</v>
      </c>
      <c r="H2747" s="1" t="s">
        <v>44632</v>
      </c>
      <c r="I2747" s="1" t="s">
        <v>44632</v>
      </c>
      <c r="J2747" s="1">
        <v>8108884333</v>
      </c>
      <c r="K2747" s="1" t="s">
        <v>84</v>
      </c>
      <c r="L2747" s="1" t="s">
        <v>44633</v>
      </c>
      <c r="M2747" s="1" t="s">
        <v>86</v>
      </c>
      <c r="N2747" s="1" t="s">
        <v>44634</v>
      </c>
      <c r="O2747" s="1" t="s">
        <v>44635</v>
      </c>
      <c r="P2747" s="1" t="s">
        <v>356</v>
      </c>
      <c r="Q2747" s="1">
        <v>309894726455</v>
      </c>
      <c r="R2747" s="1" t="s">
        <v>44636</v>
      </c>
      <c r="S2747" s="1">
        <v>9730724575</v>
      </c>
      <c r="T2747" s="1" t="s">
        <v>13987</v>
      </c>
      <c r="U2747" s="1" t="s">
        <v>44637</v>
      </c>
      <c r="V2747" s="1">
        <v>8652572677</v>
      </c>
      <c r="W2747" s="1" t="s">
        <v>14212</v>
      </c>
      <c r="X2747" s="1" t="s">
        <v>44638</v>
      </c>
      <c r="Y2747" s="1" t="s">
        <v>5030</v>
      </c>
      <c r="Z2747" s="1" t="s">
        <v>97</v>
      </c>
      <c r="AA2747" s="1" t="s">
        <v>44638</v>
      </c>
      <c r="AB2747" s="1" t="s">
        <v>5030</v>
      </c>
      <c r="AC2747" s="1" t="s">
        <v>97</v>
      </c>
      <c r="AD2747" s="1" t="s">
        <v>98</v>
      </c>
      <c r="AE2747" s="1" t="s">
        <v>98</v>
      </c>
      <c r="AF2747" s="1" t="s">
        <v>44639</v>
      </c>
      <c r="AG2747" s="1" t="s">
        <v>44640</v>
      </c>
      <c r="AH2747" s="1" t="s">
        <v>3112</v>
      </c>
      <c r="AI2747" s="1" t="s">
        <v>573</v>
      </c>
      <c r="AJ2747" s="1">
        <v>65.2</v>
      </c>
      <c r="AK2747" s="1"/>
      <c r="AL2747" s="1" t="s">
        <v>44641</v>
      </c>
      <c r="AM2747" s="1" t="s">
        <v>44642</v>
      </c>
      <c r="AN2747" s="1" t="s">
        <v>575</v>
      </c>
      <c r="AO2747" s="1" t="s">
        <v>388</v>
      </c>
      <c r="AP2747" s="1" t="s">
        <v>315</v>
      </c>
      <c r="AQ2747" s="1">
        <v>51.69</v>
      </c>
      <c r="AR2747" s="1"/>
      <c r="AS2747" s="1" t="s">
        <v>14713</v>
      </c>
      <c r="AT2747" s="1" t="s">
        <v>44643</v>
      </c>
      <c r="AU2747" s="1" t="s">
        <v>206</v>
      </c>
      <c r="AV2747" s="1" t="s">
        <v>441</v>
      </c>
      <c r="AW2747" s="1">
        <v>73.58</v>
      </c>
      <c r="AX2747" s="1"/>
      <c r="AY2747" s="1" t="s">
        <v>44644</v>
      </c>
      <c r="AZ2747" s="1" t="s">
        <v>44645</v>
      </c>
      <c r="BA2747" s="1" t="s">
        <v>578</v>
      </c>
      <c r="BB2747" s="1" t="s">
        <v>467</v>
      </c>
      <c r="BC2747" s="1" t="s">
        <v>871</v>
      </c>
      <c r="BD2747" s="1" t="s">
        <v>1242</v>
      </c>
      <c r="BE2747" s="1">
        <v>64.57</v>
      </c>
      <c r="BF2747" s="1">
        <v>7.03</v>
      </c>
      <c r="BG2747" s="1" t="s">
        <v>44646</v>
      </c>
      <c r="BH2747" s="1" t="s">
        <v>196</v>
      </c>
      <c r="BI2747" s="1" t="s">
        <v>44647</v>
      </c>
      <c r="BJ2747" s="1" t="s">
        <v>44648</v>
      </c>
      <c r="BK2747" s="1" t="s">
        <v>14162</v>
      </c>
      <c r="BL2747" s="1"/>
      <c r="BM2747" s="1"/>
      <c r="BN2747" s="1"/>
      <c r="BO2747" s="1" t="s">
        <v>44649</v>
      </c>
      <c r="BP2747" s="1"/>
      <c r="BQ2747" s="1"/>
      <c r="BR2747" s="1"/>
      <c r="BS2747" s="1"/>
      <c r="BT2747" s="1"/>
      <c r="BU2747" s="1" t="str">
        <f>HYPERLINK("https://nconnect.nicmar.ac.in/storage/profile/6a78682410593.png","Download")</f>
        <v>0</v>
      </c>
      <c r="BV2747" s="3"/>
      <c r="BW2747" s="3"/>
    </row>
    <row r="2748" spans="1:75">
      <c r="A2748" s="1" t="s">
        <v>40756</v>
      </c>
      <c r="B2748" s="1" t="s">
        <v>44111</v>
      </c>
      <c r="C2748" s="1" t="s">
        <v>44650</v>
      </c>
      <c r="D2748" s="1" t="s">
        <v>13139</v>
      </c>
      <c r="E2748" s="1" t="s">
        <v>1320</v>
      </c>
      <c r="F2748" s="1" t="s">
        <v>33584</v>
      </c>
      <c r="G2748" s="1" t="s">
        <v>44651</v>
      </c>
      <c r="H2748" s="1" t="s">
        <v>44652</v>
      </c>
      <c r="I2748" s="1" t="s">
        <v>44653</v>
      </c>
      <c r="J2748" s="1">
        <v>7379411715</v>
      </c>
      <c r="K2748" s="1" t="s">
        <v>84</v>
      </c>
      <c r="L2748" s="1" t="s">
        <v>44654</v>
      </c>
      <c r="M2748" s="1" t="s">
        <v>86</v>
      </c>
      <c r="N2748" s="1" t="s">
        <v>13274</v>
      </c>
      <c r="O2748" s="1" t="s">
        <v>44655</v>
      </c>
      <c r="P2748" s="1" t="s">
        <v>89</v>
      </c>
      <c r="Q2748" s="1">
        <v>378952692653</v>
      </c>
      <c r="R2748" s="1" t="s">
        <v>44656</v>
      </c>
      <c r="S2748" s="1">
        <v>8787248261</v>
      </c>
      <c r="T2748" s="1" t="s">
        <v>15111</v>
      </c>
      <c r="U2748" s="1" t="s">
        <v>44657</v>
      </c>
      <c r="V2748" s="1">
        <v>8787248261</v>
      </c>
      <c r="W2748" s="1" t="s">
        <v>94</v>
      </c>
      <c r="X2748" s="1" t="s">
        <v>44658</v>
      </c>
      <c r="Y2748" s="1" t="s">
        <v>18856</v>
      </c>
      <c r="Z2748" s="1" t="s">
        <v>544</v>
      </c>
      <c r="AA2748" s="1" t="s">
        <v>44658</v>
      </c>
      <c r="AB2748" s="1" t="s">
        <v>18856</v>
      </c>
      <c r="AC2748" s="1" t="s">
        <v>544</v>
      </c>
      <c r="AD2748" s="1" t="s">
        <v>98</v>
      </c>
      <c r="AE2748" s="1" t="s">
        <v>98</v>
      </c>
      <c r="AF2748" s="1" t="s">
        <v>44659</v>
      </c>
      <c r="AG2748" s="1" t="s">
        <v>44660</v>
      </c>
      <c r="AH2748" s="1" t="s">
        <v>167</v>
      </c>
      <c r="AI2748" s="1" t="s">
        <v>573</v>
      </c>
      <c r="AJ2748" s="1">
        <v>63.5</v>
      </c>
      <c r="AK2748" s="1"/>
      <c r="AL2748" s="1" t="s">
        <v>44659</v>
      </c>
      <c r="AM2748" s="1" t="s">
        <v>44661</v>
      </c>
      <c r="AN2748" s="1" t="s">
        <v>465</v>
      </c>
      <c r="AO2748" s="1" t="s">
        <v>106</v>
      </c>
      <c r="AP2748" s="1" t="s">
        <v>313</v>
      </c>
      <c r="AQ2748" s="1">
        <v>60.59</v>
      </c>
      <c r="AR2748" s="1"/>
      <c r="AS2748" s="1"/>
      <c r="AT2748" s="1"/>
      <c r="AU2748" s="1"/>
      <c r="AV2748" s="1"/>
      <c r="AW2748" s="1"/>
      <c r="AX2748" s="1"/>
      <c r="AY2748" s="1" t="s">
        <v>44662</v>
      </c>
      <c r="AZ2748" s="1" t="s">
        <v>44663</v>
      </c>
      <c r="BA2748" s="1" t="s">
        <v>466</v>
      </c>
      <c r="BB2748" s="1" t="s">
        <v>467</v>
      </c>
      <c r="BC2748" s="1" t="s">
        <v>206</v>
      </c>
      <c r="BD2748" s="1" t="s">
        <v>179</v>
      </c>
      <c r="BE2748" s="1">
        <v>74.2</v>
      </c>
      <c r="BF2748" s="1">
        <v>7.42</v>
      </c>
      <c r="BG2748" s="1"/>
      <c r="BH2748" s="1"/>
      <c r="BI2748" s="1"/>
      <c r="BJ2748" s="1"/>
      <c r="BK2748" s="1"/>
      <c r="BL2748" s="1"/>
      <c r="BM2748" s="1"/>
      <c r="BN2748" s="1"/>
      <c r="BO2748" s="1" t="s">
        <v>260</v>
      </c>
      <c r="BP2748" s="1"/>
      <c r="BQ2748" s="1"/>
      <c r="BR2748" s="1" t="s">
        <v>44664</v>
      </c>
      <c r="BS2748" s="1">
        <v>4</v>
      </c>
      <c r="BT2748" s="1"/>
      <c r="BU2748" s="1" t="str">
        <f>HYPERLINK("https://nconnect.nicmar.ac.in/storage/profile/6a771976545c3.png","Download")</f>
        <v>0</v>
      </c>
      <c r="BV2748" s="3"/>
      <c r="BW2748" s="3"/>
    </row>
    <row r="2749" spans="1:75">
      <c r="A2749" s="1" t="s">
        <v>40756</v>
      </c>
      <c r="B2749" s="1" t="s">
        <v>44111</v>
      </c>
      <c r="C2749" s="1" t="s">
        <v>44665</v>
      </c>
      <c r="D2749" s="1" t="s">
        <v>44439</v>
      </c>
      <c r="E2749" s="1" t="s">
        <v>25202</v>
      </c>
      <c r="F2749" s="1" t="s">
        <v>44666</v>
      </c>
      <c r="G2749" s="1" t="s">
        <v>44667</v>
      </c>
      <c r="H2749" s="1" t="s">
        <v>44668</v>
      </c>
      <c r="I2749" s="1" t="s">
        <v>44668</v>
      </c>
      <c r="J2749" s="1">
        <v>7219465171</v>
      </c>
      <c r="K2749" s="1" t="s">
        <v>84</v>
      </c>
      <c r="L2749" s="1" t="s">
        <v>44669</v>
      </c>
      <c r="M2749" s="1" t="s">
        <v>86</v>
      </c>
      <c r="N2749" s="1" t="s">
        <v>44670</v>
      </c>
      <c r="O2749" s="1" t="s">
        <v>44671</v>
      </c>
      <c r="P2749" s="1" t="s">
        <v>219</v>
      </c>
      <c r="Q2749" s="1">
        <v>497831772064</v>
      </c>
      <c r="R2749" s="1" t="s">
        <v>25202</v>
      </c>
      <c r="S2749" s="1">
        <v>9158229375</v>
      </c>
      <c r="T2749" s="1" t="s">
        <v>15073</v>
      </c>
      <c r="U2749" s="1" t="s">
        <v>39838</v>
      </c>
      <c r="V2749" s="1">
        <v>7507562955</v>
      </c>
      <c r="W2749" s="1" t="s">
        <v>14154</v>
      </c>
      <c r="X2749" s="1" t="s">
        <v>44672</v>
      </c>
      <c r="Y2749" s="1" t="s">
        <v>224</v>
      </c>
      <c r="Z2749" s="1" t="s">
        <v>97</v>
      </c>
      <c r="AA2749" s="1" t="s">
        <v>44672</v>
      </c>
      <c r="AB2749" s="1" t="s">
        <v>224</v>
      </c>
      <c r="AC2749" s="1" t="s">
        <v>97</v>
      </c>
      <c r="AD2749" s="1" t="s">
        <v>98</v>
      </c>
      <c r="AE2749" s="1" t="s">
        <v>98</v>
      </c>
      <c r="AF2749" s="1" t="s">
        <v>44673</v>
      </c>
      <c r="AG2749" s="1" t="s">
        <v>24146</v>
      </c>
      <c r="AH2749" s="1" t="s">
        <v>101</v>
      </c>
      <c r="AI2749" s="1" t="s">
        <v>166</v>
      </c>
      <c r="AJ2749" s="1">
        <v>71.8</v>
      </c>
      <c r="AK2749" s="1"/>
      <c r="AL2749" s="1" t="s">
        <v>44674</v>
      </c>
      <c r="AM2749" s="1" t="s">
        <v>24146</v>
      </c>
      <c r="AN2749" s="1" t="s">
        <v>575</v>
      </c>
      <c r="AO2749" s="1" t="s">
        <v>167</v>
      </c>
      <c r="AP2749" s="1" t="s">
        <v>388</v>
      </c>
      <c r="AQ2749" s="1">
        <v>57.23</v>
      </c>
      <c r="AR2749" s="1"/>
      <c r="AS2749" s="1" t="s">
        <v>15317</v>
      </c>
      <c r="AT2749" s="1" t="s">
        <v>44675</v>
      </c>
      <c r="AU2749" s="1" t="s">
        <v>388</v>
      </c>
      <c r="AV2749" s="1" t="s">
        <v>438</v>
      </c>
      <c r="AW2749" s="1">
        <v>81.21</v>
      </c>
      <c r="AX2749" s="1"/>
      <c r="AY2749" s="1" t="s">
        <v>44676</v>
      </c>
      <c r="AZ2749" s="1" t="s">
        <v>44677</v>
      </c>
      <c r="BA2749" s="1" t="s">
        <v>578</v>
      </c>
      <c r="BB2749" s="1" t="s">
        <v>467</v>
      </c>
      <c r="BC2749" s="1" t="s">
        <v>315</v>
      </c>
      <c r="BD2749" s="1" t="s">
        <v>1400</v>
      </c>
      <c r="BE2749" s="1">
        <v>85.7</v>
      </c>
      <c r="BF2749" s="1">
        <v>9.6</v>
      </c>
      <c r="BG2749" s="1"/>
      <c r="BH2749" s="1"/>
      <c r="BI2749" s="1"/>
      <c r="BJ2749" s="1"/>
      <c r="BK2749" s="1"/>
      <c r="BL2749" s="1"/>
      <c r="BM2749" s="1"/>
      <c r="BN2749" s="1"/>
      <c r="BO2749" s="1" t="s">
        <v>44678</v>
      </c>
      <c r="BP2749" s="1"/>
      <c r="BQ2749" s="1"/>
      <c r="BR2749" s="1"/>
      <c r="BS2749" s="1"/>
      <c r="BT2749" s="1" t="s">
        <v>44679</v>
      </c>
      <c r="BU2749" s="1" t="str">
        <f>HYPERLINK("https://nconnect.nicmar.ac.in/storage/profile/6a776f69ee9d1.png","Download")</f>
        <v>0</v>
      </c>
      <c r="BV2749" s="3"/>
      <c r="BW2749" s="3"/>
    </row>
    <row r="2750" spans="1:75">
      <c r="A2750" s="1" t="s">
        <v>40756</v>
      </c>
      <c r="B2750" s="1" t="s">
        <v>44111</v>
      </c>
      <c r="C2750" s="1" t="s">
        <v>44680</v>
      </c>
      <c r="D2750" s="1" t="s">
        <v>15497</v>
      </c>
      <c r="E2750" s="1" t="s">
        <v>22251</v>
      </c>
      <c r="F2750" s="1" t="s">
        <v>19794</v>
      </c>
      <c r="G2750" s="1" t="s">
        <v>44681</v>
      </c>
      <c r="H2750" s="1" t="s">
        <v>44682</v>
      </c>
      <c r="I2750" s="1" t="s">
        <v>44682</v>
      </c>
      <c r="J2750" s="1">
        <v>7775852980</v>
      </c>
      <c r="K2750" s="1" t="s">
        <v>84</v>
      </c>
      <c r="L2750" s="1" t="s">
        <v>7296</v>
      </c>
      <c r="M2750" s="1" t="s">
        <v>86</v>
      </c>
      <c r="N2750" s="1" t="s">
        <v>9268</v>
      </c>
      <c r="O2750" s="1" t="s">
        <v>44683</v>
      </c>
      <c r="P2750" s="1" t="s">
        <v>16271</v>
      </c>
      <c r="Q2750" s="1">
        <v>930080558384</v>
      </c>
      <c r="R2750" s="1" t="s">
        <v>44684</v>
      </c>
      <c r="S2750" s="1">
        <v>9823773066</v>
      </c>
      <c r="T2750" s="1" t="s">
        <v>18351</v>
      </c>
      <c r="U2750" s="1" t="s">
        <v>44685</v>
      </c>
      <c r="V2750" s="1">
        <v>7378911769</v>
      </c>
      <c r="W2750" s="1" t="s">
        <v>10306</v>
      </c>
      <c r="X2750" s="1" t="s">
        <v>44686</v>
      </c>
      <c r="Y2750" s="1" t="s">
        <v>224</v>
      </c>
      <c r="Z2750" s="1" t="s">
        <v>97</v>
      </c>
      <c r="AA2750" s="1" t="s">
        <v>44687</v>
      </c>
      <c r="AB2750" s="1" t="s">
        <v>224</v>
      </c>
      <c r="AC2750" s="1" t="s">
        <v>97</v>
      </c>
      <c r="AD2750" s="1" t="s">
        <v>98</v>
      </c>
      <c r="AE2750" s="1" t="s">
        <v>98</v>
      </c>
      <c r="AF2750" s="1" t="s">
        <v>44688</v>
      </c>
      <c r="AG2750" s="1" t="s">
        <v>44689</v>
      </c>
      <c r="AH2750" s="1" t="s">
        <v>166</v>
      </c>
      <c r="AI2750" s="1" t="s">
        <v>1111</v>
      </c>
      <c r="AJ2750" s="1">
        <v>70.4</v>
      </c>
      <c r="AK2750" s="1"/>
      <c r="AL2750" s="1"/>
      <c r="AM2750" s="1"/>
      <c r="AN2750" s="1"/>
      <c r="AO2750" s="1"/>
      <c r="AP2750" s="1"/>
      <c r="AQ2750" s="1"/>
      <c r="AR2750" s="1"/>
      <c r="AS2750" s="1" t="s">
        <v>467</v>
      </c>
      <c r="AT2750" s="1" t="s">
        <v>44690</v>
      </c>
      <c r="AU2750" s="1" t="s">
        <v>139</v>
      </c>
      <c r="AV2750" s="1" t="s">
        <v>438</v>
      </c>
      <c r="AW2750" s="1">
        <v>84.13</v>
      </c>
      <c r="AX2750" s="1"/>
      <c r="AY2750" s="1" t="s">
        <v>19550</v>
      </c>
      <c r="AZ2750" s="1" t="s">
        <v>44691</v>
      </c>
      <c r="BA2750" s="1" t="s">
        <v>578</v>
      </c>
      <c r="BB2750" s="1" t="s">
        <v>467</v>
      </c>
      <c r="BC2750" s="1" t="s">
        <v>206</v>
      </c>
      <c r="BD2750" s="1" t="s">
        <v>1400</v>
      </c>
      <c r="BE2750" s="1">
        <v>83.7</v>
      </c>
      <c r="BF2750" s="1">
        <v>9.52</v>
      </c>
      <c r="BG2750" s="1"/>
      <c r="BH2750" s="1"/>
      <c r="BI2750" s="1"/>
      <c r="BJ2750" s="1"/>
      <c r="BK2750" s="1"/>
      <c r="BL2750" s="1"/>
      <c r="BM2750" s="1"/>
      <c r="BN2750" s="1"/>
      <c r="BO2750" s="1" t="s">
        <v>44692</v>
      </c>
      <c r="BP2750" s="1" t="s">
        <v>44693</v>
      </c>
      <c r="BQ2750" s="1" t="s">
        <v>345</v>
      </c>
      <c r="BR2750" s="1"/>
      <c r="BS2750" s="1"/>
      <c r="BT2750" s="1" t="s">
        <v>44694</v>
      </c>
      <c r="BU2750" s="1" t="str">
        <f>HYPERLINK("https://nconnect.nicmar.ac.in/storage/profile/6a78243e73ccf.png","Download")</f>
        <v>0</v>
      </c>
      <c r="BV2750" s="3"/>
      <c r="BW2750" s="3"/>
    </row>
    <row r="2751" spans="1:75">
      <c r="A2751" s="1" t="s">
        <v>40756</v>
      </c>
      <c r="B2751" s="1" t="s">
        <v>44111</v>
      </c>
      <c r="C2751" s="1" t="s">
        <v>44695</v>
      </c>
      <c r="D2751" s="1" t="s">
        <v>15139</v>
      </c>
      <c r="E2751" s="1" t="s">
        <v>15498</v>
      </c>
      <c r="F2751" s="1" t="s">
        <v>44696</v>
      </c>
      <c r="G2751" s="1" t="s">
        <v>44697</v>
      </c>
      <c r="H2751" s="1" t="s">
        <v>44698</v>
      </c>
      <c r="I2751" s="1" t="s">
        <v>44699</v>
      </c>
      <c r="J2751" s="1">
        <v>9112611113</v>
      </c>
      <c r="K2751" s="1" t="s">
        <v>84</v>
      </c>
      <c r="L2751" s="1" t="s">
        <v>24379</v>
      </c>
      <c r="M2751" s="1" t="s">
        <v>86</v>
      </c>
      <c r="N2751" s="1" t="s">
        <v>768</v>
      </c>
      <c r="O2751" s="1" t="s">
        <v>157</v>
      </c>
      <c r="P2751" s="1" t="s">
        <v>122</v>
      </c>
      <c r="Q2751" s="1">
        <v>362646385986</v>
      </c>
      <c r="R2751" s="1" t="s">
        <v>44700</v>
      </c>
      <c r="S2751" s="1">
        <v>8983136574</v>
      </c>
      <c r="T2751" s="1" t="s">
        <v>18674</v>
      </c>
      <c r="U2751" s="1" t="s">
        <v>44701</v>
      </c>
      <c r="V2751" s="1">
        <v>8983136574</v>
      </c>
      <c r="W2751" s="1" t="s">
        <v>10306</v>
      </c>
      <c r="X2751" s="1" t="s">
        <v>44702</v>
      </c>
      <c r="Y2751" s="1" t="s">
        <v>96</v>
      </c>
      <c r="Z2751" s="1" t="s">
        <v>97</v>
      </c>
      <c r="AA2751" s="1" t="s">
        <v>44702</v>
      </c>
      <c r="AB2751" s="1" t="s">
        <v>96</v>
      </c>
      <c r="AC2751" s="1" t="s">
        <v>97</v>
      </c>
      <c r="AD2751" s="1" t="s">
        <v>98</v>
      </c>
      <c r="AE2751" s="1" t="s">
        <v>98</v>
      </c>
      <c r="AF2751" s="1" t="s">
        <v>44703</v>
      </c>
      <c r="AG2751" s="1" t="s">
        <v>44704</v>
      </c>
      <c r="AH2751" s="1" t="s">
        <v>167</v>
      </c>
      <c r="AI2751" s="1" t="s">
        <v>170</v>
      </c>
      <c r="AJ2751" s="1">
        <v>66.2</v>
      </c>
      <c r="AK2751" s="1"/>
      <c r="AL2751" s="1"/>
      <c r="AM2751" s="1"/>
      <c r="AN2751" s="1"/>
      <c r="AO2751" s="1"/>
      <c r="AP2751" s="1"/>
      <c r="AQ2751" s="1"/>
      <c r="AR2751" s="1"/>
      <c r="AS2751" s="1" t="s">
        <v>14528</v>
      </c>
      <c r="AT2751" s="1" t="s">
        <v>44705</v>
      </c>
      <c r="AU2751" s="1" t="s">
        <v>230</v>
      </c>
      <c r="AV2751" s="1" t="s">
        <v>175</v>
      </c>
      <c r="AW2751" s="1">
        <v>86.37</v>
      </c>
      <c r="AX2751" s="1"/>
      <c r="AY2751" s="1" t="s">
        <v>44706</v>
      </c>
      <c r="AZ2751" s="1" t="s">
        <v>44707</v>
      </c>
      <c r="BA2751" s="1" t="s">
        <v>578</v>
      </c>
      <c r="BB2751" s="1" t="s">
        <v>467</v>
      </c>
      <c r="BC2751" s="1" t="s">
        <v>368</v>
      </c>
      <c r="BD2751" s="1" t="s">
        <v>179</v>
      </c>
      <c r="BE2751" s="1">
        <v>67.8</v>
      </c>
      <c r="BF2751" s="1">
        <v>7.53</v>
      </c>
      <c r="BG2751" s="1"/>
      <c r="BH2751" s="1"/>
      <c r="BI2751" s="1"/>
      <c r="BJ2751" s="1"/>
      <c r="BK2751" s="1"/>
      <c r="BL2751" s="1"/>
      <c r="BM2751" s="1"/>
      <c r="BN2751" s="1"/>
      <c r="BO2751" s="1" t="s">
        <v>849</v>
      </c>
      <c r="BP2751" s="1" t="s">
        <v>44708</v>
      </c>
      <c r="BQ2751" s="1" t="s">
        <v>757</v>
      </c>
      <c r="BR2751" s="1" t="s">
        <v>44709</v>
      </c>
      <c r="BS2751" s="1">
        <v>5</v>
      </c>
      <c r="BT2751" s="1"/>
      <c r="BU2751" s="1" t="str">
        <f>HYPERLINK("https://nconnect.nicmar.ac.in/storage/profile/6a78be5a76923.png","Download")</f>
        <v>0</v>
      </c>
      <c r="BV2751" s="3"/>
      <c r="BW2751" s="3"/>
    </row>
    <row r="2752" spans="1:75">
      <c r="A2752" s="1" t="s">
        <v>40756</v>
      </c>
      <c r="B2752" s="1" t="s">
        <v>44111</v>
      </c>
      <c r="C2752" s="1" t="s">
        <v>44710</v>
      </c>
      <c r="D2752" s="1" t="s">
        <v>44711</v>
      </c>
      <c r="E2752" s="1" t="s">
        <v>19680</v>
      </c>
      <c r="F2752" s="1" t="s">
        <v>10216</v>
      </c>
      <c r="G2752" s="1" t="s">
        <v>44712</v>
      </c>
      <c r="H2752" s="1" t="s">
        <v>44713</v>
      </c>
      <c r="I2752" s="1" t="s">
        <v>44713</v>
      </c>
      <c r="J2752" s="1">
        <v>9496463800</v>
      </c>
      <c r="K2752" s="1" t="s">
        <v>153</v>
      </c>
      <c r="L2752" s="1" t="s">
        <v>44714</v>
      </c>
      <c r="M2752" s="1" t="s">
        <v>86</v>
      </c>
      <c r="N2752" s="1" t="s">
        <v>17950</v>
      </c>
      <c r="O2752" s="1" t="s">
        <v>44715</v>
      </c>
      <c r="P2752" s="1" t="s">
        <v>219</v>
      </c>
      <c r="Q2752" s="1">
        <v>448451102613</v>
      </c>
      <c r="R2752" s="1" t="s">
        <v>44716</v>
      </c>
      <c r="S2752" s="1">
        <v>9447424094</v>
      </c>
      <c r="T2752" s="1" t="s">
        <v>20772</v>
      </c>
      <c r="U2752" s="1" t="s">
        <v>44717</v>
      </c>
      <c r="V2752" s="1">
        <v>9495096765</v>
      </c>
      <c r="W2752" s="1" t="s">
        <v>14032</v>
      </c>
      <c r="X2752" s="1" t="s">
        <v>44718</v>
      </c>
      <c r="Y2752" s="1" t="s">
        <v>129</v>
      </c>
      <c r="Z2752" s="1" t="s">
        <v>130</v>
      </c>
      <c r="AA2752" s="1" t="s">
        <v>44718</v>
      </c>
      <c r="AB2752" s="1" t="s">
        <v>129</v>
      </c>
      <c r="AC2752" s="1" t="s">
        <v>130</v>
      </c>
      <c r="AD2752" s="1" t="s">
        <v>98</v>
      </c>
      <c r="AE2752" s="1" t="s">
        <v>98</v>
      </c>
      <c r="AF2752" s="1" t="s">
        <v>44719</v>
      </c>
      <c r="AG2752" s="1" t="s">
        <v>44720</v>
      </c>
      <c r="AH2752" s="1" t="s">
        <v>4593</v>
      </c>
      <c r="AI2752" s="1" t="s">
        <v>337</v>
      </c>
      <c r="AJ2752" s="1">
        <v>94.44</v>
      </c>
      <c r="AK2752" s="1"/>
      <c r="AL2752" s="1" t="s">
        <v>44721</v>
      </c>
      <c r="AM2752" s="1" t="s">
        <v>44720</v>
      </c>
      <c r="AN2752" s="1" t="s">
        <v>575</v>
      </c>
      <c r="AO2752" s="1" t="s">
        <v>3285</v>
      </c>
      <c r="AP2752" s="1" t="s">
        <v>1457</v>
      </c>
      <c r="AQ2752" s="1">
        <v>79.91</v>
      </c>
      <c r="AR2752" s="1"/>
      <c r="AS2752" s="1"/>
      <c r="AT2752" s="1"/>
      <c r="AU2752" s="1"/>
      <c r="AV2752" s="1"/>
      <c r="AW2752" s="1"/>
      <c r="AX2752" s="1"/>
      <c r="AY2752" s="1" t="s">
        <v>44722</v>
      </c>
      <c r="AZ2752" s="1" t="s">
        <v>44723</v>
      </c>
      <c r="BA2752" s="1" t="s">
        <v>466</v>
      </c>
      <c r="BB2752" s="1" t="s">
        <v>467</v>
      </c>
      <c r="BC2752" s="1" t="s">
        <v>1213</v>
      </c>
      <c r="BD2752" s="1" t="s">
        <v>704</v>
      </c>
      <c r="BE2752" s="1">
        <v>66.2</v>
      </c>
      <c r="BF2752" s="1">
        <v>6.62</v>
      </c>
      <c r="BG2752" s="1"/>
      <c r="BH2752" s="1"/>
      <c r="BI2752" s="1"/>
      <c r="BJ2752" s="1"/>
      <c r="BK2752" s="1"/>
      <c r="BL2752" s="1"/>
      <c r="BM2752" s="1"/>
      <c r="BN2752" s="1"/>
      <c r="BO2752" s="1" t="s">
        <v>260</v>
      </c>
      <c r="BP2752" s="1" t="s">
        <v>44724</v>
      </c>
      <c r="BQ2752" s="1" t="s">
        <v>44725</v>
      </c>
      <c r="BR2752" s="1" t="s">
        <v>44726</v>
      </c>
      <c r="BS2752" s="1">
        <v>27</v>
      </c>
      <c r="BT2752" s="1"/>
      <c r="BU2752" s="1" t="str">
        <f>HYPERLINK("https://nconnect.nicmar.ac.in/storage/profile/6a782c2eec4c4.png","Download")</f>
        <v>0</v>
      </c>
      <c r="BV2752" s="3"/>
      <c r="BW2752" s="3"/>
    </row>
    <row r="2753" spans="1:75">
      <c r="A2753" s="1" t="s">
        <v>40756</v>
      </c>
      <c r="B2753" s="1" t="s">
        <v>44111</v>
      </c>
      <c r="C2753" s="1" t="s">
        <v>44727</v>
      </c>
      <c r="D2753" s="1" t="s">
        <v>18159</v>
      </c>
      <c r="E2753" s="1" t="s">
        <v>19202</v>
      </c>
      <c r="F2753" s="1" t="s">
        <v>44728</v>
      </c>
      <c r="G2753" s="1" t="s">
        <v>44729</v>
      </c>
      <c r="H2753" s="1" t="s">
        <v>44730</v>
      </c>
      <c r="I2753" s="1" t="s">
        <v>44731</v>
      </c>
      <c r="J2753" s="1">
        <v>9892452776</v>
      </c>
      <c r="K2753" s="1" t="s">
        <v>153</v>
      </c>
      <c r="L2753" s="1" t="s">
        <v>34061</v>
      </c>
      <c r="M2753" s="1" t="s">
        <v>86</v>
      </c>
      <c r="N2753" s="1" t="s">
        <v>17803</v>
      </c>
      <c r="O2753" s="1" t="s">
        <v>2146</v>
      </c>
      <c r="P2753" s="1" t="s">
        <v>356</v>
      </c>
      <c r="Q2753" s="1">
        <v>776235111376</v>
      </c>
      <c r="R2753" s="1" t="s">
        <v>19202</v>
      </c>
      <c r="S2753" s="1">
        <v>9221493831</v>
      </c>
      <c r="T2753" s="1" t="s">
        <v>3439</v>
      </c>
      <c r="U2753" s="1" t="s">
        <v>44732</v>
      </c>
      <c r="V2753" s="1">
        <v>9221473879</v>
      </c>
      <c r="W2753" s="1" t="s">
        <v>14154</v>
      </c>
      <c r="X2753" s="1" t="s">
        <v>44733</v>
      </c>
      <c r="Y2753" s="1" t="s">
        <v>2259</v>
      </c>
      <c r="Z2753" s="1" t="s">
        <v>97</v>
      </c>
      <c r="AA2753" s="1" t="s">
        <v>44733</v>
      </c>
      <c r="AB2753" s="1" t="s">
        <v>2259</v>
      </c>
      <c r="AC2753" s="1" t="s">
        <v>97</v>
      </c>
      <c r="AD2753" s="1" t="s">
        <v>98</v>
      </c>
      <c r="AE2753" s="1" t="s">
        <v>98</v>
      </c>
      <c r="AF2753" s="1" t="s">
        <v>44734</v>
      </c>
      <c r="AG2753" s="1" t="s">
        <v>44735</v>
      </c>
      <c r="AH2753" s="1" t="s">
        <v>166</v>
      </c>
      <c r="AI2753" s="1" t="s">
        <v>167</v>
      </c>
      <c r="AJ2753" s="1">
        <v>75.2</v>
      </c>
      <c r="AK2753" s="1"/>
      <c r="AL2753" s="1"/>
      <c r="AM2753" s="1"/>
      <c r="AN2753" s="1"/>
      <c r="AO2753" s="1"/>
      <c r="AP2753" s="1"/>
      <c r="AQ2753" s="1"/>
      <c r="AR2753" s="1"/>
      <c r="AS2753" s="1" t="s">
        <v>467</v>
      </c>
      <c r="AT2753" s="1" t="s">
        <v>44736</v>
      </c>
      <c r="AU2753" s="1" t="s">
        <v>167</v>
      </c>
      <c r="AV2753" s="1" t="s">
        <v>2210</v>
      </c>
      <c r="AW2753" s="1">
        <v>63.21</v>
      </c>
      <c r="AX2753" s="1"/>
      <c r="AY2753" s="1" t="s">
        <v>23063</v>
      </c>
      <c r="AZ2753" s="1" t="s">
        <v>44737</v>
      </c>
      <c r="BA2753" s="1" t="s">
        <v>578</v>
      </c>
      <c r="BB2753" s="1" t="s">
        <v>467</v>
      </c>
      <c r="BC2753" s="1" t="s">
        <v>368</v>
      </c>
      <c r="BD2753" s="1" t="s">
        <v>955</v>
      </c>
      <c r="BE2753" s="1">
        <v>74.25</v>
      </c>
      <c r="BF2753" s="1">
        <v>8.35</v>
      </c>
      <c r="BG2753" s="1"/>
      <c r="BH2753" s="1"/>
      <c r="BI2753" s="1"/>
      <c r="BJ2753" s="1"/>
      <c r="BK2753" s="1"/>
      <c r="BL2753" s="1"/>
      <c r="BM2753" s="1"/>
      <c r="BN2753" s="1"/>
      <c r="BO2753" s="1" t="s">
        <v>44738</v>
      </c>
      <c r="BP2753" s="1" t="s">
        <v>44739</v>
      </c>
      <c r="BQ2753" s="1" t="s">
        <v>11571</v>
      </c>
      <c r="BR2753" s="1"/>
      <c r="BS2753" s="1"/>
      <c r="BT2753" s="1" t="s">
        <v>44740</v>
      </c>
      <c r="BU2753" s="1" t="str">
        <f>HYPERLINK("https://nconnect.nicmar.ac.in/storage/profile/6a76fb5b7f394.png","Download")</f>
        <v>0</v>
      </c>
      <c r="BV2753" s="3"/>
      <c r="BW2753" s="3"/>
    </row>
    <row r="2754" spans="1:75">
      <c r="A2754" s="1" t="s">
        <v>40756</v>
      </c>
      <c r="B2754" s="1" t="s">
        <v>44111</v>
      </c>
      <c r="C2754" s="1" t="s">
        <v>44741</v>
      </c>
      <c r="D2754" s="1" t="s">
        <v>44742</v>
      </c>
      <c r="E2754" s="1"/>
      <c r="F2754" s="1" t="s">
        <v>44743</v>
      </c>
      <c r="G2754" s="1" t="s">
        <v>44744</v>
      </c>
      <c r="H2754" s="1" t="s">
        <v>44745</v>
      </c>
      <c r="I2754" s="1" t="s">
        <v>44745</v>
      </c>
      <c r="J2754" s="1">
        <v>9390747520</v>
      </c>
      <c r="K2754" s="1" t="s">
        <v>84</v>
      </c>
      <c r="L2754" s="1" t="s">
        <v>44746</v>
      </c>
      <c r="M2754" s="1" t="s">
        <v>86</v>
      </c>
      <c r="N2754" s="1" t="s">
        <v>4840</v>
      </c>
      <c r="O2754" s="1" t="s">
        <v>44747</v>
      </c>
      <c r="P2754" s="1" t="s">
        <v>122</v>
      </c>
      <c r="Q2754" s="1">
        <v>463803014956</v>
      </c>
      <c r="R2754" s="1" t="s">
        <v>44748</v>
      </c>
      <c r="S2754" s="1">
        <v>9618302007</v>
      </c>
      <c r="T2754" s="1" t="s">
        <v>13987</v>
      </c>
      <c r="U2754" s="1" t="s">
        <v>44749</v>
      </c>
      <c r="V2754" s="1">
        <v>9618302007</v>
      </c>
      <c r="W2754" s="1" t="s">
        <v>14212</v>
      </c>
      <c r="X2754" s="1" t="s">
        <v>44750</v>
      </c>
      <c r="Y2754" s="1" t="s">
        <v>1436</v>
      </c>
      <c r="Z2754" s="1" t="s">
        <v>281</v>
      </c>
      <c r="AA2754" s="1" t="s">
        <v>44750</v>
      </c>
      <c r="AB2754" s="1" t="s">
        <v>1436</v>
      </c>
      <c r="AC2754" s="1" t="s">
        <v>281</v>
      </c>
      <c r="AD2754" s="1" t="s">
        <v>98</v>
      </c>
      <c r="AE2754" s="1" t="s">
        <v>98</v>
      </c>
      <c r="AF2754" s="1" t="s">
        <v>44751</v>
      </c>
      <c r="AG2754" s="1" t="s">
        <v>44752</v>
      </c>
      <c r="AH2754" s="1" t="s">
        <v>170</v>
      </c>
      <c r="AI2754" s="1" t="s">
        <v>490</v>
      </c>
      <c r="AJ2754" s="1">
        <v>88</v>
      </c>
      <c r="AK2754" s="1">
        <v>0</v>
      </c>
      <c r="AL2754" s="1"/>
      <c r="AM2754" s="1"/>
      <c r="AN2754" s="1"/>
      <c r="AO2754" s="1"/>
      <c r="AP2754" s="1"/>
      <c r="AQ2754" s="1"/>
      <c r="AR2754" s="1"/>
      <c r="AS2754" s="1" t="s">
        <v>467</v>
      </c>
      <c r="AT2754" s="1" t="s">
        <v>44753</v>
      </c>
      <c r="AU2754" s="1" t="s">
        <v>174</v>
      </c>
      <c r="AV2754" s="1" t="s">
        <v>521</v>
      </c>
      <c r="AW2754" s="1">
        <v>69.14</v>
      </c>
      <c r="AX2754" s="1"/>
      <c r="AY2754" s="1" t="s">
        <v>44754</v>
      </c>
      <c r="AZ2754" s="1" t="s">
        <v>44755</v>
      </c>
      <c r="BA2754" s="1" t="s">
        <v>466</v>
      </c>
      <c r="BB2754" s="1" t="s">
        <v>467</v>
      </c>
      <c r="BC2754" s="1" t="s">
        <v>1825</v>
      </c>
      <c r="BD2754" s="1" t="s">
        <v>607</v>
      </c>
      <c r="BE2754" s="1">
        <v>77.2</v>
      </c>
      <c r="BF2754" s="1">
        <v>8.22</v>
      </c>
      <c r="BG2754" s="1"/>
      <c r="BH2754" s="1"/>
      <c r="BI2754" s="1"/>
      <c r="BJ2754" s="1"/>
      <c r="BK2754" s="1"/>
      <c r="BL2754" s="1"/>
      <c r="BM2754" s="1"/>
      <c r="BN2754" s="1"/>
      <c r="BO2754" s="1" t="s">
        <v>44756</v>
      </c>
      <c r="BP2754" s="1"/>
      <c r="BQ2754" s="1"/>
      <c r="BR2754" s="1" t="s">
        <v>44757</v>
      </c>
      <c r="BS2754" s="1">
        <v>34</v>
      </c>
      <c r="BT2754" s="1" t="s">
        <v>44758</v>
      </c>
      <c r="BU2754" s="1" t="str">
        <f>HYPERLINK("https://nconnect.nicmar.ac.in/storage/profile/6a7731783a23a.png","Download")</f>
        <v>0</v>
      </c>
      <c r="BV2754" s="3"/>
      <c r="BW2754" s="3"/>
    </row>
    <row r="2755" spans="1:75">
      <c r="A2755" s="1" t="s">
        <v>40756</v>
      </c>
      <c r="B2755" s="1" t="s">
        <v>44111</v>
      </c>
      <c r="C2755" s="1" t="s">
        <v>44759</v>
      </c>
      <c r="D2755" s="1" t="s">
        <v>44760</v>
      </c>
      <c r="E2755" s="1"/>
      <c r="F2755" s="1" t="s">
        <v>44761</v>
      </c>
      <c r="G2755" s="1" t="s">
        <v>44762</v>
      </c>
      <c r="H2755" s="1" t="s">
        <v>44763</v>
      </c>
      <c r="I2755" s="1" t="s">
        <v>44763</v>
      </c>
      <c r="J2755" s="1">
        <v>9633657111</v>
      </c>
      <c r="K2755" s="1" t="s">
        <v>153</v>
      </c>
      <c r="L2755" s="1" t="s">
        <v>21097</v>
      </c>
      <c r="M2755" s="1" t="s">
        <v>86</v>
      </c>
      <c r="N2755" s="1" t="s">
        <v>16934</v>
      </c>
      <c r="O2755" s="1" t="s">
        <v>44764</v>
      </c>
      <c r="P2755" s="1" t="s">
        <v>219</v>
      </c>
      <c r="Q2755" s="1">
        <v>634864585903</v>
      </c>
      <c r="R2755" s="1" t="s">
        <v>44765</v>
      </c>
      <c r="S2755" s="1">
        <v>9746926374</v>
      </c>
      <c r="T2755" s="1" t="s">
        <v>3439</v>
      </c>
      <c r="U2755" s="1" t="s">
        <v>44766</v>
      </c>
      <c r="V2755" s="1">
        <v>9995841344</v>
      </c>
      <c r="W2755" s="1" t="s">
        <v>44767</v>
      </c>
      <c r="X2755" s="1" t="s">
        <v>44768</v>
      </c>
      <c r="Y2755" s="1" t="s">
        <v>2526</v>
      </c>
      <c r="Z2755" s="1" t="s">
        <v>130</v>
      </c>
      <c r="AA2755" s="1" t="s">
        <v>44768</v>
      </c>
      <c r="AB2755" s="1" t="s">
        <v>2526</v>
      </c>
      <c r="AC2755" s="1" t="s">
        <v>130</v>
      </c>
      <c r="AD2755" s="1" t="s">
        <v>98</v>
      </c>
      <c r="AE2755" s="1" t="s">
        <v>98</v>
      </c>
      <c r="AF2755" s="1" t="s">
        <v>44769</v>
      </c>
      <c r="AG2755" s="1" t="s">
        <v>9682</v>
      </c>
      <c r="AH2755" s="1" t="s">
        <v>438</v>
      </c>
      <c r="AI2755" s="1" t="s">
        <v>178</v>
      </c>
      <c r="AJ2755" s="1">
        <v>85.4</v>
      </c>
      <c r="AK2755" s="1">
        <v>8.6</v>
      </c>
      <c r="AL2755" s="1" t="s">
        <v>44769</v>
      </c>
      <c r="AM2755" s="1" t="s">
        <v>9682</v>
      </c>
      <c r="AN2755" s="1" t="s">
        <v>575</v>
      </c>
      <c r="AO2755" s="1" t="s">
        <v>549</v>
      </c>
      <c r="AP2755" s="1" t="s">
        <v>1400</v>
      </c>
      <c r="AQ2755" s="1">
        <v>77.8</v>
      </c>
      <c r="AR2755" s="1">
        <v>7.8</v>
      </c>
      <c r="AS2755" s="1"/>
      <c r="AT2755" s="1"/>
      <c r="AU2755" s="1"/>
      <c r="AV2755" s="1"/>
      <c r="AW2755" s="1"/>
      <c r="AX2755" s="1"/>
      <c r="AY2755" s="1" t="s">
        <v>44770</v>
      </c>
      <c r="AZ2755" s="1" t="s">
        <v>44771</v>
      </c>
      <c r="BA2755" s="1" t="s">
        <v>466</v>
      </c>
      <c r="BB2755" s="1" t="s">
        <v>467</v>
      </c>
      <c r="BC2755" s="1" t="s">
        <v>1825</v>
      </c>
      <c r="BD2755" s="1" t="s">
        <v>14514</v>
      </c>
      <c r="BE2755" s="1">
        <v>76.8</v>
      </c>
      <c r="BF2755" s="1">
        <v>7.68</v>
      </c>
      <c r="BG2755" s="1"/>
      <c r="BH2755" s="1"/>
      <c r="BI2755" s="1"/>
      <c r="BJ2755" s="1"/>
      <c r="BK2755" s="1"/>
      <c r="BL2755" s="1"/>
      <c r="BM2755" s="1"/>
      <c r="BN2755" s="1"/>
      <c r="BO2755" s="1" t="s">
        <v>44772</v>
      </c>
      <c r="BP2755" s="1"/>
      <c r="BQ2755" s="1"/>
      <c r="BR2755" s="1" t="s">
        <v>44773</v>
      </c>
      <c r="BS2755" s="1">
        <v>5</v>
      </c>
      <c r="BT2755" s="1" t="s">
        <v>44774</v>
      </c>
      <c r="BU2755" s="1" t="str">
        <f>HYPERLINK("https://nconnect.nicmar.ac.in/storage/profile/6a7739ca206c8.png","Download")</f>
        <v>0</v>
      </c>
      <c r="BV2755" s="3"/>
      <c r="BW2755" s="3"/>
    </row>
    <row r="2756" spans="1:75">
      <c r="A2756" s="1" t="s">
        <v>40756</v>
      </c>
      <c r="B2756" s="1" t="s">
        <v>44111</v>
      </c>
      <c r="C2756" s="1" t="s">
        <v>44775</v>
      </c>
      <c r="D2756" s="1" t="s">
        <v>44425</v>
      </c>
      <c r="E2756" s="1" t="s">
        <v>44776</v>
      </c>
      <c r="F2756" s="1" t="s">
        <v>44777</v>
      </c>
      <c r="G2756" s="1" t="s">
        <v>44778</v>
      </c>
      <c r="H2756" s="1" t="s">
        <v>44779</v>
      </c>
      <c r="I2756" s="1" t="s">
        <v>44780</v>
      </c>
      <c r="J2756" s="1">
        <v>9307047899</v>
      </c>
      <c r="K2756" s="1" t="s">
        <v>84</v>
      </c>
      <c r="L2756" s="1" t="s">
        <v>44781</v>
      </c>
      <c r="M2756" s="1" t="s">
        <v>86</v>
      </c>
      <c r="N2756" s="1" t="s">
        <v>44782</v>
      </c>
      <c r="O2756" s="1" t="s">
        <v>16572</v>
      </c>
      <c r="P2756" s="1" t="s">
        <v>122</v>
      </c>
      <c r="Q2756" s="1">
        <v>503266560894</v>
      </c>
      <c r="R2756" s="1" t="s">
        <v>44783</v>
      </c>
      <c r="S2756" s="1">
        <v>8766640667</v>
      </c>
      <c r="T2756" s="1" t="s">
        <v>3441</v>
      </c>
      <c r="U2756" s="1" t="s">
        <v>44784</v>
      </c>
      <c r="V2756" s="1">
        <v>7020393369</v>
      </c>
      <c r="W2756" s="1" t="s">
        <v>3441</v>
      </c>
      <c r="X2756" s="1" t="s">
        <v>44785</v>
      </c>
      <c r="Y2756" s="1" t="s">
        <v>5181</v>
      </c>
      <c r="Z2756" s="1" t="s">
        <v>97</v>
      </c>
      <c r="AA2756" s="1" t="s">
        <v>44785</v>
      </c>
      <c r="AB2756" s="1" t="s">
        <v>5181</v>
      </c>
      <c r="AC2756" s="1" t="s">
        <v>97</v>
      </c>
      <c r="AD2756" s="1" t="s">
        <v>98</v>
      </c>
      <c r="AE2756" s="1" t="s">
        <v>98</v>
      </c>
      <c r="AF2756" s="1" t="s">
        <v>44786</v>
      </c>
      <c r="AG2756" s="1" t="s">
        <v>22171</v>
      </c>
      <c r="AH2756" s="1" t="s">
        <v>167</v>
      </c>
      <c r="AI2756" s="1" t="s">
        <v>200</v>
      </c>
      <c r="AJ2756" s="1">
        <v>79.4</v>
      </c>
      <c r="AK2756" s="1"/>
      <c r="AL2756" s="1" t="s">
        <v>44787</v>
      </c>
      <c r="AM2756" s="1" t="s">
        <v>17651</v>
      </c>
      <c r="AN2756" s="1" t="s">
        <v>575</v>
      </c>
      <c r="AO2756" s="1" t="s">
        <v>170</v>
      </c>
      <c r="AP2756" s="1" t="s">
        <v>203</v>
      </c>
      <c r="AQ2756" s="1">
        <v>57.85</v>
      </c>
      <c r="AR2756" s="1"/>
      <c r="AS2756" s="1" t="s">
        <v>14158</v>
      </c>
      <c r="AT2756" s="1" t="s">
        <v>44788</v>
      </c>
      <c r="AU2756" s="1" t="s">
        <v>206</v>
      </c>
      <c r="AV2756" s="1" t="s">
        <v>441</v>
      </c>
      <c r="AW2756" s="1">
        <v>84.05</v>
      </c>
      <c r="AX2756" s="1"/>
      <c r="AY2756" s="1" t="s">
        <v>44789</v>
      </c>
      <c r="AZ2756" s="1" t="s">
        <v>14262</v>
      </c>
      <c r="BA2756" s="1" t="s">
        <v>466</v>
      </c>
      <c r="BB2756" s="1" t="s">
        <v>467</v>
      </c>
      <c r="BC2756" s="1" t="s">
        <v>441</v>
      </c>
      <c r="BD2756" s="1" t="s">
        <v>207</v>
      </c>
      <c r="BE2756" s="1">
        <v>76.19</v>
      </c>
      <c r="BF2756" s="1">
        <v>8.02</v>
      </c>
      <c r="BG2756" s="1"/>
      <c r="BH2756" s="1"/>
      <c r="BI2756" s="1"/>
      <c r="BJ2756" s="1"/>
      <c r="BK2756" s="1"/>
      <c r="BL2756" s="1"/>
      <c r="BM2756" s="1"/>
      <c r="BN2756" s="1"/>
      <c r="BO2756" s="1" t="s">
        <v>44790</v>
      </c>
      <c r="BP2756" s="1"/>
      <c r="BQ2756" s="1"/>
      <c r="BR2756" s="1"/>
      <c r="BS2756" s="1"/>
      <c r="BT2756" s="1" t="s">
        <v>44791</v>
      </c>
      <c r="BU2756" s="1" t="str">
        <f>HYPERLINK("https://nconnect.nicmar.ac.in/storage/profile/6a78768ed6dc7.png","Download")</f>
        <v>0</v>
      </c>
      <c r="BV2756" s="3"/>
      <c r="BW2756" s="3"/>
    </row>
    <row r="2757" spans="1:75">
      <c r="A2757" s="1" t="s">
        <v>40756</v>
      </c>
      <c r="B2757" s="1" t="s">
        <v>44111</v>
      </c>
      <c r="C2757" s="1" t="s">
        <v>44792</v>
      </c>
      <c r="D2757" s="1" t="s">
        <v>44793</v>
      </c>
      <c r="E2757" s="1"/>
      <c r="F2757" s="1" t="s">
        <v>9671</v>
      </c>
      <c r="G2757" s="1" t="s">
        <v>44794</v>
      </c>
      <c r="H2757" s="1" t="s">
        <v>44795</v>
      </c>
      <c r="I2757" s="1" t="s">
        <v>44795</v>
      </c>
      <c r="J2757" s="1">
        <v>8429666596</v>
      </c>
      <c r="K2757" s="1" t="s">
        <v>84</v>
      </c>
      <c r="L2757" s="1" t="s">
        <v>44796</v>
      </c>
      <c r="M2757" s="1" t="s">
        <v>86</v>
      </c>
      <c r="N2757" s="1" t="s">
        <v>15810</v>
      </c>
      <c r="O2757" s="1" t="s">
        <v>44797</v>
      </c>
      <c r="P2757" s="1" t="s">
        <v>122</v>
      </c>
      <c r="Q2757" s="1">
        <v>609926026197</v>
      </c>
      <c r="R2757" s="1" t="s">
        <v>44798</v>
      </c>
      <c r="S2757" s="1">
        <v>9919905486</v>
      </c>
      <c r="T2757" s="1" t="s">
        <v>14352</v>
      </c>
      <c r="U2757" s="1" t="s">
        <v>44799</v>
      </c>
      <c r="V2757" s="1">
        <v>9565191419</v>
      </c>
      <c r="W2757" s="1" t="s">
        <v>14710</v>
      </c>
      <c r="X2757" s="1" t="s">
        <v>44800</v>
      </c>
      <c r="Y2757" s="1" t="s">
        <v>543</v>
      </c>
      <c r="Z2757" s="1" t="s">
        <v>544</v>
      </c>
      <c r="AA2757" s="1" t="s">
        <v>44800</v>
      </c>
      <c r="AB2757" s="1" t="s">
        <v>543</v>
      </c>
      <c r="AC2757" s="1" t="s">
        <v>544</v>
      </c>
      <c r="AD2757" s="1" t="s">
        <v>98</v>
      </c>
      <c r="AE2757" s="1" t="s">
        <v>98</v>
      </c>
      <c r="AF2757" s="1" t="s">
        <v>44801</v>
      </c>
      <c r="AG2757" s="1" t="s">
        <v>44802</v>
      </c>
      <c r="AH2757" s="1" t="s">
        <v>1214</v>
      </c>
      <c r="AI2757" s="1" t="s">
        <v>136</v>
      </c>
      <c r="AJ2757" s="1">
        <v>81</v>
      </c>
      <c r="AK2757" s="1"/>
      <c r="AL2757" s="1"/>
      <c r="AM2757" s="1"/>
      <c r="AN2757" s="1"/>
      <c r="AO2757" s="1"/>
      <c r="AP2757" s="1"/>
      <c r="AQ2757" s="1"/>
      <c r="AR2757" s="1"/>
      <c r="AS2757" s="1" t="s">
        <v>44803</v>
      </c>
      <c r="AT2757" s="1" t="s">
        <v>44804</v>
      </c>
      <c r="AU2757" s="1" t="s">
        <v>388</v>
      </c>
      <c r="AV2757" s="1" t="s">
        <v>1040</v>
      </c>
      <c r="AW2757" s="1">
        <v>62.2</v>
      </c>
      <c r="AX2757" s="1"/>
      <c r="AY2757" s="1" t="s">
        <v>44805</v>
      </c>
      <c r="AZ2757" s="1" t="s">
        <v>44804</v>
      </c>
      <c r="BA2757" s="1" t="s">
        <v>466</v>
      </c>
      <c r="BB2757" s="1" t="s">
        <v>467</v>
      </c>
      <c r="BC2757" s="1" t="s">
        <v>178</v>
      </c>
      <c r="BD2757" s="1" t="s">
        <v>179</v>
      </c>
      <c r="BE2757" s="1">
        <v>60.9</v>
      </c>
      <c r="BF2757" s="1">
        <v>6.09</v>
      </c>
      <c r="BG2757" s="1"/>
      <c r="BH2757" s="1"/>
      <c r="BI2757" s="1"/>
      <c r="BJ2757" s="1"/>
      <c r="BK2757" s="1"/>
      <c r="BL2757" s="1"/>
      <c r="BM2757" s="1"/>
      <c r="BN2757" s="1"/>
      <c r="BO2757" s="1" t="s">
        <v>44806</v>
      </c>
      <c r="BP2757" s="1" t="s">
        <v>44807</v>
      </c>
      <c r="BQ2757" s="1" t="s">
        <v>2116</v>
      </c>
      <c r="BR2757" s="1"/>
      <c r="BS2757" s="1"/>
      <c r="BT2757" s="1"/>
      <c r="BU2757" s="1" t="str">
        <f>HYPERLINK("https://nconnect.nicmar.ac.in/storage/profile/6a78630c927a2.png","Download")</f>
        <v>0</v>
      </c>
      <c r="BV2757" s="3"/>
      <c r="BW2757" s="3"/>
    </row>
    <row r="2758" spans="1:75">
      <c r="A2758" s="1" t="s">
        <v>40756</v>
      </c>
      <c r="B2758" s="1" t="s">
        <v>44111</v>
      </c>
      <c r="C2758" s="1" t="s">
        <v>44808</v>
      </c>
      <c r="D2758" s="1" t="s">
        <v>44809</v>
      </c>
      <c r="E2758" s="1" t="s">
        <v>44810</v>
      </c>
      <c r="F2758" s="1" t="s">
        <v>44811</v>
      </c>
      <c r="G2758" s="1" t="s">
        <v>44812</v>
      </c>
      <c r="H2758" s="1" t="s">
        <v>44813</v>
      </c>
      <c r="I2758" s="1" t="s">
        <v>44814</v>
      </c>
      <c r="J2758" s="1">
        <v>7350938093</v>
      </c>
      <c r="K2758" s="1" t="s">
        <v>84</v>
      </c>
      <c r="L2758" s="1" t="s">
        <v>4315</v>
      </c>
      <c r="M2758" s="1" t="s">
        <v>86</v>
      </c>
      <c r="N2758" s="1" t="s">
        <v>19986</v>
      </c>
      <c r="O2758" s="1" t="s">
        <v>44815</v>
      </c>
      <c r="P2758" s="1" t="s">
        <v>219</v>
      </c>
      <c r="Q2758" s="1">
        <v>594756497681</v>
      </c>
      <c r="R2758" s="1" t="s">
        <v>44816</v>
      </c>
      <c r="S2758" s="1">
        <v>7840930888</v>
      </c>
      <c r="T2758" s="1" t="s">
        <v>13987</v>
      </c>
      <c r="U2758" s="1" t="s">
        <v>44817</v>
      </c>
      <c r="V2758" s="1">
        <v>7840930888</v>
      </c>
      <c r="W2758" s="1" t="s">
        <v>14710</v>
      </c>
      <c r="X2758" s="1" t="s">
        <v>44818</v>
      </c>
      <c r="Y2758" s="1" t="s">
        <v>163</v>
      </c>
      <c r="Z2758" s="1" t="s">
        <v>97</v>
      </c>
      <c r="AA2758" s="1" t="s">
        <v>44818</v>
      </c>
      <c r="AB2758" s="1" t="s">
        <v>163</v>
      </c>
      <c r="AC2758" s="1" t="s">
        <v>97</v>
      </c>
      <c r="AD2758" s="1" t="s">
        <v>98</v>
      </c>
      <c r="AE2758" s="1" t="s">
        <v>98</v>
      </c>
      <c r="AF2758" s="1" t="s">
        <v>44819</v>
      </c>
      <c r="AG2758" s="1" t="s">
        <v>196</v>
      </c>
      <c r="AH2758" s="1" t="s">
        <v>167</v>
      </c>
      <c r="AI2758" s="1" t="s">
        <v>170</v>
      </c>
      <c r="AJ2758" s="1">
        <v>87.0</v>
      </c>
      <c r="AK2758" s="1"/>
      <c r="AL2758" s="1"/>
      <c r="AM2758" s="1"/>
      <c r="AN2758" s="1"/>
      <c r="AO2758" s="1"/>
      <c r="AP2758" s="1"/>
      <c r="AQ2758" s="1"/>
      <c r="AR2758" s="1"/>
      <c r="AS2758" s="1" t="s">
        <v>14656</v>
      </c>
      <c r="AT2758" s="1" t="s">
        <v>44820</v>
      </c>
      <c r="AU2758" s="1" t="s">
        <v>230</v>
      </c>
      <c r="AV2758" s="1" t="s">
        <v>175</v>
      </c>
      <c r="AW2758" s="1">
        <v>88.21</v>
      </c>
      <c r="AX2758" s="1"/>
      <c r="AY2758" s="1" t="s">
        <v>44821</v>
      </c>
      <c r="AZ2758" s="1" t="s">
        <v>44822</v>
      </c>
      <c r="BA2758" s="1" t="s">
        <v>578</v>
      </c>
      <c r="BB2758" s="1" t="s">
        <v>467</v>
      </c>
      <c r="BC2758" s="1" t="s">
        <v>368</v>
      </c>
      <c r="BD2758" s="1" t="s">
        <v>7385</v>
      </c>
      <c r="BE2758" s="1">
        <v>69.4</v>
      </c>
      <c r="BF2758" s="1">
        <v>7.69</v>
      </c>
      <c r="BG2758" s="1"/>
      <c r="BH2758" s="1"/>
      <c r="BI2758" s="1"/>
      <c r="BJ2758" s="1"/>
      <c r="BK2758" s="1"/>
      <c r="BL2758" s="1"/>
      <c r="BM2758" s="1"/>
      <c r="BN2758" s="1"/>
      <c r="BO2758" s="1" t="s">
        <v>44823</v>
      </c>
      <c r="BP2758" s="1" t="s">
        <v>44824</v>
      </c>
      <c r="BQ2758" s="1" t="s">
        <v>4149</v>
      </c>
      <c r="BR2758" s="1" t="s">
        <v>44825</v>
      </c>
      <c r="BS2758" s="1">
        <v>6</v>
      </c>
      <c r="BT2758" s="1" t="s">
        <v>44826</v>
      </c>
      <c r="BU2758" s="1" t="str">
        <f>HYPERLINK("https://nconnect.nicmar.ac.in/storage/profile/6a785980401ac.png","Download")</f>
        <v>0</v>
      </c>
      <c r="BV2758" s="3"/>
      <c r="BW2758" s="3"/>
    </row>
    <row r="2759" spans="1:75">
      <c r="A2759" s="1" t="s">
        <v>40756</v>
      </c>
      <c r="B2759" s="1" t="s">
        <v>44111</v>
      </c>
      <c r="C2759" s="1" t="s">
        <v>44827</v>
      </c>
      <c r="D2759" s="1" t="s">
        <v>44828</v>
      </c>
      <c r="E2759" s="1" t="s">
        <v>44829</v>
      </c>
      <c r="F2759" s="1" t="s">
        <v>15619</v>
      </c>
      <c r="G2759" s="1" t="s">
        <v>44830</v>
      </c>
      <c r="H2759" s="1" t="s">
        <v>44831</v>
      </c>
      <c r="I2759" s="1" t="s">
        <v>44831</v>
      </c>
      <c r="J2759" s="1">
        <v>9096892313</v>
      </c>
      <c r="K2759" s="1" t="s">
        <v>84</v>
      </c>
      <c r="L2759" s="1" t="s">
        <v>42273</v>
      </c>
      <c r="M2759" s="1" t="s">
        <v>86</v>
      </c>
      <c r="N2759" s="1" t="s">
        <v>355</v>
      </c>
      <c r="O2759" s="1" t="s">
        <v>44832</v>
      </c>
      <c r="P2759" s="1" t="s">
        <v>89</v>
      </c>
      <c r="Q2759" s="1">
        <v>431801155704</v>
      </c>
      <c r="R2759" s="1" t="s">
        <v>44829</v>
      </c>
      <c r="S2759" s="1">
        <v>9850870420</v>
      </c>
      <c r="T2759" s="1" t="s">
        <v>13987</v>
      </c>
      <c r="U2759" s="1" t="s">
        <v>19723</v>
      </c>
      <c r="V2759" s="1">
        <v>9359810450</v>
      </c>
      <c r="W2759" s="1" t="s">
        <v>14212</v>
      </c>
      <c r="X2759" s="1" t="s">
        <v>44833</v>
      </c>
      <c r="Y2759" s="1" t="s">
        <v>1033</v>
      </c>
      <c r="Z2759" s="1" t="s">
        <v>97</v>
      </c>
      <c r="AA2759" s="1" t="s">
        <v>44833</v>
      </c>
      <c r="AB2759" s="1" t="s">
        <v>1033</v>
      </c>
      <c r="AC2759" s="1" t="s">
        <v>97</v>
      </c>
      <c r="AD2759" s="1" t="s">
        <v>98</v>
      </c>
      <c r="AE2759" s="1" t="s">
        <v>98</v>
      </c>
      <c r="AF2759" s="1" t="s">
        <v>44834</v>
      </c>
      <c r="AG2759" s="1" t="s">
        <v>44835</v>
      </c>
      <c r="AH2759" s="1" t="s">
        <v>170</v>
      </c>
      <c r="AI2759" s="1" t="s">
        <v>286</v>
      </c>
      <c r="AJ2759" s="1">
        <v>85</v>
      </c>
      <c r="AK2759" s="1"/>
      <c r="AL2759" s="1"/>
      <c r="AM2759" s="1"/>
      <c r="AN2759" s="1"/>
      <c r="AO2759" s="1"/>
      <c r="AP2759" s="1"/>
      <c r="AQ2759" s="1"/>
      <c r="AR2759" s="1"/>
      <c r="AS2759" s="1" t="s">
        <v>14158</v>
      </c>
      <c r="AT2759" s="1" t="s">
        <v>44836</v>
      </c>
      <c r="AU2759" s="1" t="s">
        <v>1065</v>
      </c>
      <c r="AV2759" s="1" t="s">
        <v>441</v>
      </c>
      <c r="AW2759" s="1">
        <v>83</v>
      </c>
      <c r="AX2759" s="1"/>
      <c r="AY2759" s="1" t="s">
        <v>14979</v>
      </c>
      <c r="AZ2759" s="1" t="s">
        <v>44837</v>
      </c>
      <c r="BA2759" s="1" t="s">
        <v>466</v>
      </c>
      <c r="BB2759" s="1" t="s">
        <v>467</v>
      </c>
      <c r="BC2759" s="1" t="s">
        <v>552</v>
      </c>
      <c r="BD2759" s="1" t="s">
        <v>207</v>
      </c>
      <c r="BE2759" s="1">
        <v>64.67</v>
      </c>
      <c r="BF2759" s="1">
        <v>6.89</v>
      </c>
      <c r="BG2759" s="1"/>
      <c r="BH2759" s="1"/>
      <c r="BI2759" s="1"/>
      <c r="BJ2759" s="1"/>
      <c r="BK2759" s="1"/>
      <c r="BL2759" s="1"/>
      <c r="BM2759" s="1"/>
      <c r="BN2759" s="1"/>
      <c r="BO2759" s="1" t="s">
        <v>44838</v>
      </c>
      <c r="BP2759" s="1" t="s">
        <v>44839</v>
      </c>
      <c r="BQ2759" s="1" t="s">
        <v>4149</v>
      </c>
      <c r="BR2759" s="1"/>
      <c r="BS2759" s="1"/>
      <c r="BT2759" s="1" t="s">
        <v>11309</v>
      </c>
      <c r="BU2759" s="1" t="str">
        <f>HYPERLINK("https://nconnect.nicmar.ac.in/storage/profile/6a7b4daf202ff.png","Download")</f>
        <v>0</v>
      </c>
      <c r="BV2759" s="3"/>
      <c r="BW2759" s="3"/>
    </row>
    <row r="2760" spans="1:75">
      <c r="A2760" s="1" t="s">
        <v>40756</v>
      </c>
      <c r="B2760" s="1" t="s">
        <v>44111</v>
      </c>
      <c r="C2760" s="1" t="s">
        <v>44840</v>
      </c>
      <c r="D2760" s="1" t="s">
        <v>44841</v>
      </c>
      <c r="E2760" s="1"/>
      <c r="F2760" s="1" t="s">
        <v>44842</v>
      </c>
      <c r="G2760" s="1" t="s">
        <v>44843</v>
      </c>
      <c r="H2760" s="1" t="s">
        <v>44844</v>
      </c>
      <c r="I2760" s="1" t="s">
        <v>44845</v>
      </c>
      <c r="J2760" s="1">
        <v>9644790043</v>
      </c>
      <c r="K2760" s="1" t="s">
        <v>84</v>
      </c>
      <c r="L2760" s="1" t="s">
        <v>44846</v>
      </c>
      <c r="M2760" s="1" t="s">
        <v>86</v>
      </c>
      <c r="N2760" s="1" t="s">
        <v>355</v>
      </c>
      <c r="O2760" s="1" t="s">
        <v>44847</v>
      </c>
      <c r="P2760" s="1" t="s">
        <v>219</v>
      </c>
      <c r="Q2760" s="1">
        <v>707358609739</v>
      </c>
      <c r="R2760" s="1" t="s">
        <v>44848</v>
      </c>
      <c r="S2760" s="1">
        <v>8109373337</v>
      </c>
      <c r="T2760" s="1" t="s">
        <v>14116</v>
      </c>
      <c r="U2760" s="1" t="s">
        <v>44849</v>
      </c>
      <c r="V2760" s="1">
        <v>8109206657</v>
      </c>
      <c r="W2760" s="1" t="s">
        <v>3441</v>
      </c>
      <c r="X2760" s="1" t="s">
        <v>44850</v>
      </c>
      <c r="Y2760" s="1" t="s">
        <v>14534</v>
      </c>
      <c r="Z2760" s="1" t="s">
        <v>3419</v>
      </c>
      <c r="AA2760" s="1" t="s">
        <v>44850</v>
      </c>
      <c r="AB2760" s="1" t="s">
        <v>14534</v>
      </c>
      <c r="AC2760" s="1" t="s">
        <v>3419</v>
      </c>
      <c r="AD2760" s="1" t="s">
        <v>98</v>
      </c>
      <c r="AE2760" s="1" t="s">
        <v>98</v>
      </c>
      <c r="AF2760" s="1" t="s">
        <v>44851</v>
      </c>
      <c r="AG2760" s="1" t="s">
        <v>44852</v>
      </c>
      <c r="AH2760" s="1" t="s">
        <v>3923</v>
      </c>
      <c r="AI2760" s="1" t="s">
        <v>2726</v>
      </c>
      <c r="AJ2760" s="1">
        <v>85.5</v>
      </c>
      <c r="AK2760" s="1">
        <v>9</v>
      </c>
      <c r="AL2760" s="1" t="s">
        <v>44853</v>
      </c>
      <c r="AM2760" s="1" t="s">
        <v>44854</v>
      </c>
      <c r="AN2760" s="1" t="s">
        <v>465</v>
      </c>
      <c r="AO2760" s="1" t="s">
        <v>1583</v>
      </c>
      <c r="AP2760" s="1" t="s">
        <v>1262</v>
      </c>
      <c r="AQ2760" s="1">
        <v>78.8</v>
      </c>
      <c r="AR2760" s="1"/>
      <c r="AS2760" s="1"/>
      <c r="AT2760" s="1"/>
      <c r="AU2760" s="1"/>
      <c r="AV2760" s="1"/>
      <c r="AW2760" s="1"/>
      <c r="AX2760" s="1"/>
      <c r="AY2760" s="1" t="s">
        <v>44855</v>
      </c>
      <c r="AZ2760" s="1" t="s">
        <v>44856</v>
      </c>
      <c r="BA2760" s="1" t="s">
        <v>578</v>
      </c>
      <c r="BB2760" s="1" t="s">
        <v>467</v>
      </c>
      <c r="BC2760" s="1" t="s">
        <v>105</v>
      </c>
      <c r="BD2760" s="1" t="s">
        <v>313</v>
      </c>
      <c r="BE2760" s="1">
        <v>69.6</v>
      </c>
      <c r="BF2760" s="1">
        <v>6.96</v>
      </c>
      <c r="BG2760" s="1" t="s">
        <v>44857</v>
      </c>
      <c r="BH2760" s="1" t="s">
        <v>44858</v>
      </c>
      <c r="BI2760" s="1" t="s">
        <v>24709</v>
      </c>
      <c r="BJ2760" s="1" t="s">
        <v>733</v>
      </c>
      <c r="BK2760" s="1" t="s">
        <v>175</v>
      </c>
      <c r="BL2760" s="1" t="s">
        <v>1802</v>
      </c>
      <c r="BM2760" s="1">
        <v>82.4</v>
      </c>
      <c r="BN2760" s="1">
        <v>8.24</v>
      </c>
      <c r="BO2760" s="1" t="s">
        <v>44859</v>
      </c>
      <c r="BP2760" s="1" t="s">
        <v>44860</v>
      </c>
      <c r="BQ2760" s="1" t="s">
        <v>7647</v>
      </c>
      <c r="BR2760" s="1" t="s">
        <v>44861</v>
      </c>
      <c r="BS2760" s="1">
        <v>4</v>
      </c>
      <c r="BT2760" s="1" t="s">
        <v>16612</v>
      </c>
      <c r="BU2760" s="1" t="str">
        <f>HYPERLINK("https://nconnect.nicmar.ac.in/storage/profile/6a7611b38ad66.png","Download")</f>
        <v>0</v>
      </c>
      <c r="BV2760" s="3"/>
      <c r="BW2760" s="3"/>
    </row>
    <row r="2761" spans="1:75">
      <c r="A2761" s="1" t="s">
        <v>40756</v>
      </c>
      <c r="B2761" s="1" t="s">
        <v>44111</v>
      </c>
      <c r="C2761" s="1" t="s">
        <v>44862</v>
      </c>
      <c r="D2761" s="1" t="s">
        <v>44863</v>
      </c>
      <c r="E2761" s="1" t="s">
        <v>23788</v>
      </c>
      <c r="F2761" s="1" t="s">
        <v>44864</v>
      </c>
      <c r="G2761" s="1" t="s">
        <v>44865</v>
      </c>
      <c r="H2761" s="1" t="s">
        <v>44866</v>
      </c>
      <c r="I2761" s="1" t="s">
        <v>44866</v>
      </c>
      <c r="J2761" s="1">
        <v>9322697939</v>
      </c>
      <c r="K2761" s="1" t="s">
        <v>84</v>
      </c>
      <c r="L2761" s="1" t="s">
        <v>8161</v>
      </c>
      <c r="M2761" s="1" t="s">
        <v>86</v>
      </c>
      <c r="N2761" s="1" t="s">
        <v>44867</v>
      </c>
      <c r="O2761" s="1" t="s">
        <v>44868</v>
      </c>
      <c r="P2761" s="1" t="s">
        <v>122</v>
      </c>
      <c r="Q2761" s="1">
        <v>586807945113</v>
      </c>
      <c r="R2761" s="1" t="s">
        <v>44869</v>
      </c>
      <c r="S2761" s="1">
        <v>9970995505</v>
      </c>
      <c r="T2761" s="1" t="s">
        <v>16092</v>
      </c>
      <c r="U2761" s="1" t="s">
        <v>19856</v>
      </c>
      <c r="V2761" s="1">
        <v>9970995505</v>
      </c>
      <c r="W2761" s="1" t="s">
        <v>16092</v>
      </c>
      <c r="X2761" s="1" t="s">
        <v>44870</v>
      </c>
      <c r="Y2761" s="1" t="s">
        <v>2668</v>
      </c>
      <c r="Z2761" s="1" t="s">
        <v>97</v>
      </c>
      <c r="AA2761" s="1" t="s">
        <v>44870</v>
      </c>
      <c r="AB2761" s="1" t="s">
        <v>2668</v>
      </c>
      <c r="AC2761" s="1" t="s">
        <v>97</v>
      </c>
      <c r="AD2761" s="1" t="s">
        <v>98</v>
      </c>
      <c r="AE2761" s="1" t="s">
        <v>98</v>
      </c>
      <c r="AF2761" s="1" t="s">
        <v>44871</v>
      </c>
      <c r="AG2761" s="1" t="s">
        <v>44872</v>
      </c>
      <c r="AH2761" s="1" t="s">
        <v>438</v>
      </c>
      <c r="AI2761" s="1" t="s">
        <v>603</v>
      </c>
      <c r="AJ2761" s="1">
        <v>87.2</v>
      </c>
      <c r="AK2761" s="1"/>
      <c r="AL2761" s="1"/>
      <c r="AM2761" s="1"/>
      <c r="AN2761" s="1"/>
      <c r="AO2761" s="1"/>
      <c r="AP2761" s="1"/>
      <c r="AQ2761" s="1"/>
      <c r="AR2761" s="1"/>
      <c r="AS2761" s="1" t="s">
        <v>467</v>
      </c>
      <c r="AT2761" s="1" t="s">
        <v>44873</v>
      </c>
      <c r="AU2761" s="1" t="s">
        <v>1647</v>
      </c>
      <c r="AV2761" s="1" t="s">
        <v>234</v>
      </c>
      <c r="AW2761" s="1">
        <v>75</v>
      </c>
      <c r="AX2761" s="1"/>
      <c r="AY2761" s="1" t="s">
        <v>40256</v>
      </c>
      <c r="AZ2761" s="1" t="s">
        <v>44874</v>
      </c>
      <c r="BA2761" s="1" t="s">
        <v>466</v>
      </c>
      <c r="BB2761" s="1" t="s">
        <v>467</v>
      </c>
      <c r="BC2761" s="1" t="s">
        <v>179</v>
      </c>
      <c r="BD2761" s="1" t="s">
        <v>9688</v>
      </c>
      <c r="BE2761" s="1">
        <v>70.5</v>
      </c>
      <c r="BF2761" s="1">
        <v>7.8</v>
      </c>
      <c r="BG2761" s="1"/>
      <c r="BH2761" s="1"/>
      <c r="BI2761" s="1"/>
      <c r="BJ2761" s="1"/>
      <c r="BK2761" s="1"/>
      <c r="BL2761" s="1"/>
      <c r="BM2761" s="1"/>
      <c r="BN2761" s="1"/>
      <c r="BO2761" s="1" t="s">
        <v>849</v>
      </c>
      <c r="BP2761" s="1"/>
      <c r="BQ2761" s="1"/>
      <c r="BR2761" s="1" t="s">
        <v>44875</v>
      </c>
      <c r="BS2761" s="1">
        <v>26</v>
      </c>
      <c r="BT2761" s="1" t="s">
        <v>44876</v>
      </c>
      <c r="BU2761" s="1" t="str">
        <f>HYPERLINK("https://nconnect.nicmar.ac.in/storage/profile/6a78c67574746.png","Download")</f>
        <v>0</v>
      </c>
      <c r="BV2761" s="3"/>
      <c r="BW2761" s="3"/>
    </row>
    <row r="2762" spans="1:75">
      <c r="A2762" s="1" t="s">
        <v>40756</v>
      </c>
      <c r="B2762" s="1" t="s">
        <v>44111</v>
      </c>
      <c r="C2762" s="1" t="s">
        <v>44877</v>
      </c>
      <c r="D2762" s="1" t="s">
        <v>44878</v>
      </c>
      <c r="E2762" s="1" t="s">
        <v>44879</v>
      </c>
      <c r="F2762" s="1" t="s">
        <v>44880</v>
      </c>
      <c r="G2762" s="1" t="s">
        <v>44881</v>
      </c>
      <c r="H2762" s="1" t="s">
        <v>44882</v>
      </c>
      <c r="I2762" s="1" t="s">
        <v>44882</v>
      </c>
      <c r="J2762" s="1">
        <v>9850561831</v>
      </c>
      <c r="K2762" s="1" t="s">
        <v>84</v>
      </c>
      <c r="L2762" s="1" t="s">
        <v>44883</v>
      </c>
      <c r="M2762" s="1" t="s">
        <v>86</v>
      </c>
      <c r="N2762" s="1" t="s">
        <v>44884</v>
      </c>
      <c r="O2762" s="1" t="s">
        <v>44885</v>
      </c>
      <c r="P2762" s="1" t="s">
        <v>219</v>
      </c>
      <c r="Q2762" s="1">
        <v>334248522407</v>
      </c>
      <c r="R2762" s="1" t="s">
        <v>44879</v>
      </c>
      <c r="S2762" s="1">
        <v>9833924372</v>
      </c>
      <c r="T2762" s="1" t="s">
        <v>15073</v>
      </c>
      <c r="U2762" s="1" t="s">
        <v>19545</v>
      </c>
      <c r="V2762" s="1">
        <v>9766162774</v>
      </c>
      <c r="W2762" s="1" t="s">
        <v>14154</v>
      </c>
      <c r="X2762" s="1" t="s">
        <v>44886</v>
      </c>
      <c r="Y2762" s="1" t="s">
        <v>1189</v>
      </c>
      <c r="Z2762" s="1" t="s">
        <v>97</v>
      </c>
      <c r="AA2762" s="1" t="s">
        <v>44886</v>
      </c>
      <c r="AB2762" s="1" t="s">
        <v>1189</v>
      </c>
      <c r="AC2762" s="1" t="s">
        <v>97</v>
      </c>
      <c r="AD2762" s="1" t="s">
        <v>98</v>
      </c>
      <c r="AE2762" s="1" t="s">
        <v>98</v>
      </c>
      <c r="AF2762" s="1" t="s">
        <v>44887</v>
      </c>
      <c r="AG2762" s="1" t="s">
        <v>44888</v>
      </c>
      <c r="AH2762" s="1" t="s">
        <v>1457</v>
      </c>
      <c r="AI2762" s="1" t="s">
        <v>515</v>
      </c>
      <c r="AJ2762" s="1">
        <v>80.6</v>
      </c>
      <c r="AK2762" s="1"/>
      <c r="AL2762" s="1" t="s">
        <v>44889</v>
      </c>
      <c r="AM2762" s="1" t="s">
        <v>44888</v>
      </c>
      <c r="AN2762" s="1" t="s">
        <v>575</v>
      </c>
      <c r="AO2762" s="1" t="s">
        <v>135</v>
      </c>
      <c r="AP2762" s="1" t="s">
        <v>517</v>
      </c>
      <c r="AQ2762" s="1">
        <v>50.0</v>
      </c>
      <c r="AR2762" s="1"/>
      <c r="AS2762" s="1" t="s">
        <v>44890</v>
      </c>
      <c r="AT2762" s="1" t="s">
        <v>44891</v>
      </c>
      <c r="AU2762" s="1" t="s">
        <v>139</v>
      </c>
      <c r="AV2762" s="1" t="s">
        <v>438</v>
      </c>
      <c r="AW2762" s="1">
        <v>61.03</v>
      </c>
      <c r="AX2762" s="1"/>
      <c r="AY2762" s="1" t="s">
        <v>14380</v>
      </c>
      <c r="AZ2762" s="1" t="s">
        <v>44892</v>
      </c>
      <c r="BA2762" s="1" t="s">
        <v>466</v>
      </c>
      <c r="BB2762" s="1" t="s">
        <v>467</v>
      </c>
      <c r="BC2762" s="1" t="s">
        <v>315</v>
      </c>
      <c r="BD2762" s="1" t="s">
        <v>110</v>
      </c>
      <c r="BE2762" s="1">
        <v>67.17</v>
      </c>
      <c r="BF2762" s="1"/>
      <c r="BG2762" s="1"/>
      <c r="BH2762" s="1"/>
      <c r="BI2762" s="1"/>
      <c r="BJ2762" s="1"/>
      <c r="BK2762" s="1"/>
      <c r="BL2762" s="1"/>
      <c r="BM2762" s="1"/>
      <c r="BN2762" s="1"/>
      <c r="BO2762" s="1" t="s">
        <v>44893</v>
      </c>
      <c r="BP2762" s="1" t="s">
        <v>44894</v>
      </c>
      <c r="BQ2762" s="1" t="s">
        <v>2213</v>
      </c>
      <c r="BR2762" s="1"/>
      <c r="BS2762" s="1"/>
      <c r="BT2762" s="1"/>
      <c r="BU2762" s="1" t="str">
        <f>HYPERLINK("https://nconnect.nicmar.ac.in/storage/profile/6a784f701ad66.png","Download")</f>
        <v>0</v>
      </c>
      <c r="BV2762" s="3"/>
      <c r="BW2762" s="3"/>
    </row>
    <row r="2763" spans="1:75">
      <c r="A2763" s="1" t="s">
        <v>40756</v>
      </c>
      <c r="B2763" s="1" t="s">
        <v>44111</v>
      </c>
      <c r="C2763" s="1" t="s">
        <v>44895</v>
      </c>
      <c r="D2763" s="1" t="s">
        <v>10216</v>
      </c>
      <c r="E2763" s="1" t="s">
        <v>116</v>
      </c>
      <c r="F2763" s="1" t="s">
        <v>44896</v>
      </c>
      <c r="G2763" s="1" t="s">
        <v>44897</v>
      </c>
      <c r="H2763" s="1" t="s">
        <v>44898</v>
      </c>
      <c r="I2763" s="1" t="s">
        <v>44899</v>
      </c>
      <c r="J2763" s="1">
        <v>9074394866</v>
      </c>
      <c r="K2763" s="1" t="s">
        <v>84</v>
      </c>
      <c r="L2763" s="1" t="s">
        <v>36927</v>
      </c>
      <c r="M2763" s="1" t="s">
        <v>86</v>
      </c>
      <c r="N2763" s="1" t="s">
        <v>17950</v>
      </c>
      <c r="O2763" s="1" t="s">
        <v>44900</v>
      </c>
      <c r="P2763" s="1" t="s">
        <v>89</v>
      </c>
      <c r="Q2763" s="1">
        <v>323281877652</v>
      </c>
      <c r="R2763" s="1" t="s">
        <v>44901</v>
      </c>
      <c r="S2763" s="1">
        <v>9497587980</v>
      </c>
      <c r="T2763" s="1" t="s">
        <v>44902</v>
      </c>
      <c r="U2763" s="1" t="s">
        <v>22287</v>
      </c>
      <c r="V2763" s="1">
        <v>9496149787</v>
      </c>
      <c r="W2763" s="1" t="s">
        <v>14212</v>
      </c>
      <c r="X2763" s="1" t="s">
        <v>44903</v>
      </c>
      <c r="Y2763" s="1" t="s">
        <v>5313</v>
      </c>
      <c r="Z2763" s="1" t="s">
        <v>130</v>
      </c>
      <c r="AA2763" s="1" t="s">
        <v>44903</v>
      </c>
      <c r="AB2763" s="1" t="s">
        <v>5313</v>
      </c>
      <c r="AC2763" s="1" t="s">
        <v>130</v>
      </c>
      <c r="AD2763" s="1" t="s">
        <v>98</v>
      </c>
      <c r="AE2763" s="1" t="s">
        <v>98</v>
      </c>
      <c r="AF2763" s="1" t="s">
        <v>44904</v>
      </c>
      <c r="AG2763" s="1" t="s">
        <v>44905</v>
      </c>
      <c r="AH2763" s="1" t="s">
        <v>166</v>
      </c>
      <c r="AI2763" s="1" t="s">
        <v>627</v>
      </c>
      <c r="AJ2763" s="1">
        <v>95.0</v>
      </c>
      <c r="AK2763" s="1">
        <v>10</v>
      </c>
      <c r="AL2763" s="1" t="s">
        <v>44904</v>
      </c>
      <c r="AM2763" s="1" t="s">
        <v>44905</v>
      </c>
      <c r="AN2763" s="1" t="s">
        <v>575</v>
      </c>
      <c r="AO2763" s="1" t="s">
        <v>170</v>
      </c>
      <c r="AP2763" s="1" t="s">
        <v>171</v>
      </c>
      <c r="AQ2763" s="1">
        <v>91.0</v>
      </c>
      <c r="AR2763" s="1"/>
      <c r="AS2763" s="1"/>
      <c r="AT2763" s="1"/>
      <c r="AU2763" s="1"/>
      <c r="AV2763" s="1"/>
      <c r="AW2763" s="1"/>
      <c r="AX2763" s="1"/>
      <c r="AY2763" s="1" t="s">
        <v>44906</v>
      </c>
      <c r="AZ2763" s="1" t="s">
        <v>44907</v>
      </c>
      <c r="BA2763" s="1" t="s">
        <v>466</v>
      </c>
      <c r="BB2763" s="1" t="s">
        <v>467</v>
      </c>
      <c r="BC2763" s="1" t="s">
        <v>233</v>
      </c>
      <c r="BD2763" s="1" t="s">
        <v>14101</v>
      </c>
      <c r="BE2763" s="1">
        <v>90.5</v>
      </c>
      <c r="BF2763" s="1">
        <v>9.05</v>
      </c>
      <c r="BG2763" s="1"/>
      <c r="BH2763" s="1"/>
      <c r="BI2763" s="1"/>
      <c r="BJ2763" s="1"/>
      <c r="BK2763" s="1"/>
      <c r="BL2763" s="1"/>
      <c r="BM2763" s="1"/>
      <c r="BN2763" s="1"/>
      <c r="BO2763" s="1" t="s">
        <v>44908</v>
      </c>
      <c r="BP2763" s="1"/>
      <c r="BQ2763" s="1"/>
      <c r="BR2763" s="1" t="s">
        <v>44909</v>
      </c>
      <c r="BS2763" s="1">
        <v>78</v>
      </c>
      <c r="BT2763" s="1" t="s">
        <v>44910</v>
      </c>
      <c r="BU2763" s="1" t="str">
        <f>HYPERLINK("https://nconnect.nicmar.ac.in/storage/profile/6a78b0886b04c.png","Download")</f>
        <v>0</v>
      </c>
      <c r="BV2763" s="3"/>
      <c r="BW2763" s="3"/>
    </row>
    <row r="2764" spans="1:75">
      <c r="A2764" s="1" t="s">
        <v>40756</v>
      </c>
      <c r="B2764" s="1" t="s">
        <v>44111</v>
      </c>
      <c r="C2764" s="1" t="s">
        <v>44911</v>
      </c>
      <c r="D2764" s="1" t="s">
        <v>16019</v>
      </c>
      <c r="E2764" s="1" t="s">
        <v>44912</v>
      </c>
      <c r="F2764" s="1" t="s">
        <v>44913</v>
      </c>
      <c r="G2764" s="1" t="s">
        <v>44914</v>
      </c>
      <c r="H2764" s="1" t="s">
        <v>44915</v>
      </c>
      <c r="I2764" s="1" t="s">
        <v>44915</v>
      </c>
      <c r="J2764" s="1">
        <v>8390010084</v>
      </c>
      <c r="K2764" s="1" t="s">
        <v>84</v>
      </c>
      <c r="L2764" s="1" t="s">
        <v>4909</v>
      </c>
      <c r="M2764" s="1" t="s">
        <v>86</v>
      </c>
      <c r="N2764" s="1" t="s">
        <v>13516</v>
      </c>
      <c r="O2764" s="1" t="s">
        <v>44916</v>
      </c>
      <c r="P2764" s="1" t="s">
        <v>122</v>
      </c>
      <c r="Q2764" s="1">
        <v>290089747817</v>
      </c>
      <c r="R2764" s="1" t="s">
        <v>44912</v>
      </c>
      <c r="S2764" s="1">
        <v>7420999325</v>
      </c>
      <c r="T2764" s="1" t="s">
        <v>13987</v>
      </c>
      <c r="U2764" s="1" t="s">
        <v>44917</v>
      </c>
      <c r="V2764" s="1">
        <v>7420999325</v>
      </c>
      <c r="W2764" s="1" t="s">
        <v>14234</v>
      </c>
      <c r="X2764" s="1" t="s">
        <v>44918</v>
      </c>
      <c r="Y2764" s="1" t="s">
        <v>196</v>
      </c>
      <c r="Z2764" s="1" t="s">
        <v>97</v>
      </c>
      <c r="AA2764" s="1" t="s">
        <v>44918</v>
      </c>
      <c r="AB2764" s="1" t="s">
        <v>196</v>
      </c>
      <c r="AC2764" s="1" t="s">
        <v>97</v>
      </c>
      <c r="AD2764" s="1" t="s">
        <v>98</v>
      </c>
      <c r="AE2764" s="1" t="s">
        <v>98</v>
      </c>
      <c r="AF2764" s="1" t="s">
        <v>44919</v>
      </c>
      <c r="AG2764" s="1" t="s">
        <v>44920</v>
      </c>
      <c r="AH2764" s="1" t="s">
        <v>170</v>
      </c>
      <c r="AI2764" s="1" t="s">
        <v>286</v>
      </c>
      <c r="AJ2764" s="1">
        <v>82.4</v>
      </c>
      <c r="AK2764" s="1"/>
      <c r="AL2764" s="1" t="s">
        <v>44921</v>
      </c>
      <c r="AM2764" s="1" t="s">
        <v>44920</v>
      </c>
      <c r="AN2764" s="1" t="s">
        <v>465</v>
      </c>
      <c r="AO2764" s="1" t="s">
        <v>106</v>
      </c>
      <c r="AP2764" s="1" t="s">
        <v>365</v>
      </c>
      <c r="AQ2764" s="1">
        <v>64.31</v>
      </c>
      <c r="AR2764" s="1"/>
      <c r="AS2764" s="1"/>
      <c r="AT2764" s="1"/>
      <c r="AU2764" s="1"/>
      <c r="AV2764" s="1"/>
      <c r="AW2764" s="1"/>
      <c r="AX2764" s="1"/>
      <c r="AY2764" s="1" t="s">
        <v>44922</v>
      </c>
      <c r="AZ2764" s="1" t="s">
        <v>44923</v>
      </c>
      <c r="BA2764" s="1" t="s">
        <v>578</v>
      </c>
      <c r="BB2764" s="1" t="s">
        <v>467</v>
      </c>
      <c r="BC2764" s="1" t="s">
        <v>468</v>
      </c>
      <c r="BD2764" s="1" t="s">
        <v>418</v>
      </c>
      <c r="BE2764" s="1">
        <v>67.2</v>
      </c>
      <c r="BF2764" s="1">
        <v>7.47</v>
      </c>
      <c r="BG2764" s="1"/>
      <c r="BH2764" s="1"/>
      <c r="BI2764" s="1"/>
      <c r="BJ2764" s="1"/>
      <c r="BK2764" s="1"/>
      <c r="BL2764" s="1"/>
      <c r="BM2764" s="1"/>
      <c r="BN2764" s="1"/>
      <c r="BO2764" s="1" t="s">
        <v>44924</v>
      </c>
      <c r="BP2764" s="1" t="s">
        <v>44925</v>
      </c>
      <c r="BQ2764" s="1" t="s">
        <v>582</v>
      </c>
      <c r="BR2764" s="1" t="s">
        <v>44926</v>
      </c>
      <c r="BS2764" s="1">
        <v>12</v>
      </c>
      <c r="BT2764" s="1" t="s">
        <v>44927</v>
      </c>
      <c r="BU2764" s="1" t="str">
        <f>HYPERLINK("https://nconnect.nicmar.ac.in/storage/profile/6a7a096d1db48.png","Download")</f>
        <v>0</v>
      </c>
      <c r="BV2764" s="3"/>
      <c r="BW2764" s="3"/>
    </row>
    <row r="2765" spans="1:75">
      <c r="A2765" s="1" t="s">
        <v>40756</v>
      </c>
      <c r="B2765" s="1" t="s">
        <v>44111</v>
      </c>
      <c r="C2765" s="1" t="s">
        <v>44928</v>
      </c>
      <c r="D2765" s="1" t="s">
        <v>16019</v>
      </c>
      <c r="E2765" s="1" t="s">
        <v>16599</v>
      </c>
      <c r="F2765" s="1" t="s">
        <v>44929</v>
      </c>
      <c r="G2765" s="1" t="s">
        <v>44930</v>
      </c>
      <c r="H2765" s="1" t="s">
        <v>44931</v>
      </c>
      <c r="I2765" s="1" t="s">
        <v>44931</v>
      </c>
      <c r="J2765" s="1">
        <v>7972803815</v>
      </c>
      <c r="K2765" s="1" t="s">
        <v>84</v>
      </c>
      <c r="L2765" s="1" t="s">
        <v>44932</v>
      </c>
      <c r="M2765" s="1" t="s">
        <v>86</v>
      </c>
      <c r="N2765" s="1" t="s">
        <v>355</v>
      </c>
      <c r="O2765" s="1" t="s">
        <v>44933</v>
      </c>
      <c r="P2765" s="1" t="s">
        <v>356</v>
      </c>
      <c r="Q2765" s="1">
        <v>467775584856</v>
      </c>
      <c r="R2765" s="1" t="s">
        <v>16599</v>
      </c>
      <c r="S2765" s="1">
        <v>7350124746</v>
      </c>
      <c r="T2765" s="1" t="s">
        <v>18051</v>
      </c>
      <c r="U2765" s="1" t="s">
        <v>17216</v>
      </c>
      <c r="V2765" s="1">
        <v>9096300990</v>
      </c>
      <c r="W2765" s="1" t="s">
        <v>44934</v>
      </c>
      <c r="X2765" s="1" t="s">
        <v>44935</v>
      </c>
      <c r="Y2765" s="1" t="s">
        <v>196</v>
      </c>
      <c r="Z2765" s="1" t="s">
        <v>97</v>
      </c>
      <c r="AA2765" s="1" t="s">
        <v>44935</v>
      </c>
      <c r="AB2765" s="1" t="s">
        <v>196</v>
      </c>
      <c r="AC2765" s="1" t="s">
        <v>97</v>
      </c>
      <c r="AD2765" s="1" t="s">
        <v>98</v>
      </c>
      <c r="AE2765" s="1" t="s">
        <v>98</v>
      </c>
      <c r="AF2765" s="1" t="s">
        <v>44936</v>
      </c>
      <c r="AG2765" s="1" t="s">
        <v>44937</v>
      </c>
      <c r="AH2765" s="1" t="s">
        <v>170</v>
      </c>
      <c r="AI2765" s="1" t="s">
        <v>171</v>
      </c>
      <c r="AJ2765" s="1">
        <v>66.2</v>
      </c>
      <c r="AK2765" s="1"/>
      <c r="AL2765" s="1"/>
      <c r="AM2765" s="1"/>
      <c r="AN2765" s="1"/>
      <c r="AO2765" s="1"/>
      <c r="AP2765" s="1"/>
      <c r="AQ2765" s="1"/>
      <c r="AR2765" s="1"/>
      <c r="AS2765" s="1" t="s">
        <v>467</v>
      </c>
      <c r="AT2765" s="1" t="s">
        <v>44938</v>
      </c>
      <c r="AU2765" s="1" t="s">
        <v>13749</v>
      </c>
      <c r="AV2765" s="1" t="s">
        <v>441</v>
      </c>
      <c r="AW2765" s="1">
        <v>89.79</v>
      </c>
      <c r="AX2765" s="1"/>
      <c r="AY2765" s="1" t="s">
        <v>14160</v>
      </c>
      <c r="AZ2765" s="1" t="s">
        <v>18648</v>
      </c>
      <c r="BA2765" s="1" t="s">
        <v>466</v>
      </c>
      <c r="BB2765" s="1" t="s">
        <v>467</v>
      </c>
      <c r="BC2765" s="1" t="s">
        <v>1889</v>
      </c>
      <c r="BD2765" s="1" t="s">
        <v>553</v>
      </c>
      <c r="BE2765" s="1">
        <v>70.9</v>
      </c>
      <c r="BF2765" s="1">
        <v>7.84</v>
      </c>
      <c r="BG2765" s="1"/>
      <c r="BH2765" s="1"/>
      <c r="BI2765" s="1"/>
      <c r="BJ2765" s="1"/>
      <c r="BK2765" s="1"/>
      <c r="BL2765" s="1"/>
      <c r="BM2765" s="1"/>
      <c r="BN2765" s="1"/>
      <c r="BO2765" s="1" t="s">
        <v>44939</v>
      </c>
      <c r="BP2765" s="1"/>
      <c r="BQ2765" s="1"/>
      <c r="BR2765" s="1" t="s">
        <v>44940</v>
      </c>
      <c r="BS2765" s="1">
        <v>21</v>
      </c>
      <c r="BT2765" s="1" t="s">
        <v>40933</v>
      </c>
      <c r="BU2765" s="1" t="str">
        <f>HYPERLINK("https://nconnect.nicmar.ac.in/storage/profile/6a7610b3486e2.png","Download")</f>
        <v>0</v>
      </c>
      <c r="BV2765" s="3"/>
      <c r="BW2765" s="3"/>
    </row>
    <row r="2766" spans="1:75">
      <c r="A2766" s="1" t="s">
        <v>40756</v>
      </c>
      <c r="B2766" s="1" t="s">
        <v>44111</v>
      </c>
      <c r="C2766" s="1" t="s">
        <v>44941</v>
      </c>
      <c r="D2766" s="1" t="s">
        <v>16630</v>
      </c>
      <c r="E2766" s="1" t="s">
        <v>44942</v>
      </c>
      <c r="F2766" s="1" t="s">
        <v>18392</v>
      </c>
      <c r="G2766" s="1" t="s">
        <v>44943</v>
      </c>
      <c r="H2766" s="1" t="s">
        <v>44944</v>
      </c>
      <c r="I2766" s="1" t="s">
        <v>44944</v>
      </c>
      <c r="J2766" s="1">
        <v>8698654867</v>
      </c>
      <c r="K2766" s="1" t="s">
        <v>84</v>
      </c>
      <c r="L2766" s="1" t="s">
        <v>7343</v>
      </c>
      <c r="M2766" s="1" t="s">
        <v>86</v>
      </c>
      <c r="N2766" s="1" t="s">
        <v>44945</v>
      </c>
      <c r="O2766" s="1" t="s">
        <v>88</v>
      </c>
      <c r="P2766" s="1" t="s">
        <v>122</v>
      </c>
      <c r="Q2766" s="1">
        <v>535351153101</v>
      </c>
      <c r="R2766" s="1" t="s">
        <v>44946</v>
      </c>
      <c r="S2766" s="1">
        <v>9422655149</v>
      </c>
      <c r="T2766" s="1" t="s">
        <v>13987</v>
      </c>
      <c r="U2766" s="1" t="s">
        <v>44947</v>
      </c>
      <c r="V2766" s="1">
        <v>8390060538</v>
      </c>
      <c r="W2766" s="1" t="s">
        <v>14154</v>
      </c>
      <c r="X2766" s="1" t="s">
        <v>44948</v>
      </c>
      <c r="Y2766" s="1" t="s">
        <v>1145</v>
      </c>
      <c r="Z2766" s="1" t="s">
        <v>97</v>
      </c>
      <c r="AA2766" s="1" t="s">
        <v>44948</v>
      </c>
      <c r="AB2766" s="1" t="s">
        <v>1145</v>
      </c>
      <c r="AC2766" s="1" t="s">
        <v>97</v>
      </c>
      <c r="AD2766" s="1" t="s">
        <v>98</v>
      </c>
      <c r="AE2766" s="1" t="s">
        <v>98</v>
      </c>
      <c r="AF2766" s="1" t="s">
        <v>44949</v>
      </c>
      <c r="AG2766" s="1" t="s">
        <v>22598</v>
      </c>
      <c r="AH2766" s="1" t="s">
        <v>2822</v>
      </c>
      <c r="AI2766" s="1" t="s">
        <v>170</v>
      </c>
      <c r="AJ2766" s="1">
        <v>85.6</v>
      </c>
      <c r="AK2766" s="1"/>
      <c r="AL2766" s="1"/>
      <c r="AM2766" s="1"/>
      <c r="AN2766" s="1"/>
      <c r="AO2766" s="1"/>
      <c r="AP2766" s="1"/>
      <c r="AQ2766" s="1"/>
      <c r="AR2766" s="1"/>
      <c r="AS2766" s="1" t="s">
        <v>14158</v>
      </c>
      <c r="AT2766" s="1" t="s">
        <v>44950</v>
      </c>
      <c r="AU2766" s="1" t="s">
        <v>170</v>
      </c>
      <c r="AV2766" s="1" t="s">
        <v>977</v>
      </c>
      <c r="AW2766" s="1">
        <v>83.58</v>
      </c>
      <c r="AX2766" s="1"/>
      <c r="AY2766" s="1" t="s">
        <v>14160</v>
      </c>
      <c r="AZ2766" s="1" t="s">
        <v>44951</v>
      </c>
      <c r="BA2766" s="1" t="s">
        <v>578</v>
      </c>
      <c r="BB2766" s="1" t="s">
        <v>467</v>
      </c>
      <c r="BC2766" s="1" t="s">
        <v>178</v>
      </c>
      <c r="BD2766" s="1" t="s">
        <v>2383</v>
      </c>
      <c r="BE2766" s="1">
        <v>60.4</v>
      </c>
      <c r="BF2766" s="1">
        <v>6.79</v>
      </c>
      <c r="BG2766" s="1"/>
      <c r="BH2766" s="1"/>
      <c r="BI2766" s="1"/>
      <c r="BJ2766" s="1"/>
      <c r="BK2766" s="1"/>
      <c r="BL2766" s="1"/>
      <c r="BM2766" s="1"/>
      <c r="BN2766" s="1"/>
      <c r="BO2766" s="1" t="s">
        <v>16850</v>
      </c>
      <c r="BP2766" s="1"/>
      <c r="BQ2766" s="1"/>
      <c r="BR2766" s="1"/>
      <c r="BS2766" s="1"/>
      <c r="BT2766" s="1"/>
      <c r="BU2766" s="1" t="str">
        <f>HYPERLINK("https://nconnect.nicmar.ac.in/storage/profile/6a78cb472861b.png","Download")</f>
        <v>0</v>
      </c>
      <c r="BV2766" s="3"/>
      <c r="BW2766" s="3"/>
    </row>
    <row r="2767" spans="1:75">
      <c r="A2767" s="1" t="s">
        <v>40756</v>
      </c>
      <c r="B2767" s="1" t="s">
        <v>44111</v>
      </c>
      <c r="C2767" s="1" t="s">
        <v>44952</v>
      </c>
      <c r="D2767" s="1" t="s">
        <v>9655</v>
      </c>
      <c r="E2767" s="1" t="s">
        <v>39971</v>
      </c>
      <c r="F2767" s="1" t="s">
        <v>44953</v>
      </c>
      <c r="G2767" s="1" t="s">
        <v>44954</v>
      </c>
      <c r="H2767" s="1" t="s">
        <v>44955</v>
      </c>
      <c r="I2767" s="1" t="s">
        <v>44956</v>
      </c>
      <c r="J2767" s="1">
        <v>7057065365</v>
      </c>
      <c r="K2767" s="1" t="s">
        <v>84</v>
      </c>
      <c r="L2767" s="1" t="s">
        <v>21757</v>
      </c>
      <c r="M2767" s="1" t="s">
        <v>86</v>
      </c>
      <c r="N2767" s="1" t="s">
        <v>13274</v>
      </c>
      <c r="O2767" s="1" t="s">
        <v>44957</v>
      </c>
      <c r="P2767" s="1" t="s">
        <v>16271</v>
      </c>
      <c r="Q2767" s="1">
        <v>209524221215</v>
      </c>
      <c r="R2767" s="1" t="s">
        <v>44958</v>
      </c>
      <c r="S2767" s="1">
        <v>7798002726</v>
      </c>
      <c r="T2767" s="1" t="s">
        <v>44959</v>
      </c>
      <c r="U2767" s="1" t="s">
        <v>24910</v>
      </c>
      <c r="V2767" s="1">
        <v>9763038288</v>
      </c>
      <c r="W2767" s="1" t="s">
        <v>14154</v>
      </c>
      <c r="X2767" s="1" t="s">
        <v>44960</v>
      </c>
      <c r="Y2767" s="1" t="s">
        <v>163</v>
      </c>
      <c r="Z2767" s="1" t="s">
        <v>97</v>
      </c>
      <c r="AA2767" s="1" t="s">
        <v>44960</v>
      </c>
      <c r="AB2767" s="1" t="s">
        <v>163</v>
      </c>
      <c r="AC2767" s="1" t="s">
        <v>97</v>
      </c>
      <c r="AD2767" s="1" t="s">
        <v>98</v>
      </c>
      <c r="AE2767" s="1" t="s">
        <v>98</v>
      </c>
      <c r="AF2767" s="1" t="s">
        <v>44961</v>
      </c>
      <c r="AG2767" s="1" t="s">
        <v>44962</v>
      </c>
      <c r="AH2767" s="1" t="s">
        <v>167</v>
      </c>
      <c r="AI2767" s="1" t="s">
        <v>200</v>
      </c>
      <c r="AJ2767" s="1">
        <v>93.0</v>
      </c>
      <c r="AK2767" s="1"/>
      <c r="AL2767" s="1" t="s">
        <v>44963</v>
      </c>
      <c r="AM2767" s="1" t="s">
        <v>44964</v>
      </c>
      <c r="AN2767" s="1" t="s">
        <v>465</v>
      </c>
      <c r="AO2767" s="1" t="s">
        <v>106</v>
      </c>
      <c r="AP2767" s="1" t="s">
        <v>203</v>
      </c>
      <c r="AQ2767" s="1">
        <v>66.62</v>
      </c>
      <c r="AR2767" s="1"/>
      <c r="AS2767" s="1"/>
      <c r="AT2767" s="1"/>
      <c r="AU2767" s="1"/>
      <c r="AV2767" s="1"/>
      <c r="AW2767" s="1"/>
      <c r="AX2767" s="1"/>
      <c r="AY2767" s="1" t="s">
        <v>14160</v>
      </c>
      <c r="AZ2767" s="1" t="s">
        <v>44965</v>
      </c>
      <c r="BA2767" s="1" t="s">
        <v>578</v>
      </c>
      <c r="BB2767" s="1" t="s">
        <v>467</v>
      </c>
      <c r="BC2767" s="1" t="s">
        <v>438</v>
      </c>
      <c r="BD2767" s="1" t="s">
        <v>179</v>
      </c>
      <c r="BE2767" s="1">
        <v>68.3</v>
      </c>
      <c r="BF2767" s="1">
        <v>7.58</v>
      </c>
      <c r="BG2767" s="1"/>
      <c r="BH2767" s="1"/>
      <c r="BI2767" s="1"/>
      <c r="BJ2767" s="1"/>
      <c r="BK2767" s="1"/>
      <c r="BL2767" s="1"/>
      <c r="BM2767" s="1"/>
      <c r="BN2767" s="1"/>
      <c r="BO2767" s="1" t="s">
        <v>44966</v>
      </c>
      <c r="BP2767" s="1" t="s">
        <v>44967</v>
      </c>
      <c r="BQ2767" s="1" t="s">
        <v>1849</v>
      </c>
      <c r="BR2767" s="1" t="s">
        <v>44968</v>
      </c>
      <c r="BS2767" s="1">
        <v>5</v>
      </c>
      <c r="BT2767" s="1" t="s">
        <v>1666</v>
      </c>
      <c r="BU2767" s="1" t="str">
        <f>HYPERLINK("https://nconnect.nicmar.ac.in/storage/profile/6a78bcaadacb7.png","Download")</f>
        <v>0</v>
      </c>
      <c r="BV2767" s="3"/>
      <c r="BW2767" s="3"/>
    </row>
    <row r="2768" spans="1:75">
      <c r="A2768" s="1" t="s">
        <v>40756</v>
      </c>
      <c r="B2768" s="1" t="s">
        <v>44111</v>
      </c>
      <c r="C2768" s="1" t="s">
        <v>44969</v>
      </c>
      <c r="D2768" s="1" t="s">
        <v>17246</v>
      </c>
      <c r="E2768" s="1" t="s">
        <v>17642</v>
      </c>
      <c r="F2768" s="1" t="s">
        <v>15304</v>
      </c>
      <c r="G2768" s="1" t="s">
        <v>44970</v>
      </c>
      <c r="H2768" s="1" t="s">
        <v>44971</v>
      </c>
      <c r="I2768" s="1" t="s">
        <v>44971</v>
      </c>
      <c r="J2768" s="1">
        <v>8421459177</v>
      </c>
      <c r="K2768" s="1" t="s">
        <v>84</v>
      </c>
      <c r="L2768" s="1" t="s">
        <v>17114</v>
      </c>
      <c r="M2768" s="1" t="s">
        <v>86</v>
      </c>
      <c r="N2768" s="1" t="s">
        <v>355</v>
      </c>
      <c r="O2768" s="1" t="s">
        <v>44972</v>
      </c>
      <c r="P2768" s="1" t="s">
        <v>89</v>
      </c>
      <c r="Q2768" s="1">
        <v>283317807687</v>
      </c>
      <c r="R2768" s="1" t="s">
        <v>17642</v>
      </c>
      <c r="S2768" s="1">
        <v>9822720477</v>
      </c>
      <c r="T2768" s="1" t="s">
        <v>17450</v>
      </c>
      <c r="U2768" s="1" t="s">
        <v>44973</v>
      </c>
      <c r="V2768" s="1">
        <v>8830557665</v>
      </c>
      <c r="W2768" s="1" t="s">
        <v>14154</v>
      </c>
      <c r="X2768" s="1" t="s">
        <v>44974</v>
      </c>
      <c r="Y2768" s="1" t="s">
        <v>1145</v>
      </c>
      <c r="Z2768" s="1" t="s">
        <v>97</v>
      </c>
      <c r="AA2768" s="1" t="s">
        <v>44974</v>
      </c>
      <c r="AB2768" s="1" t="s">
        <v>1145</v>
      </c>
      <c r="AC2768" s="1" t="s">
        <v>97</v>
      </c>
      <c r="AD2768" s="1" t="s">
        <v>98</v>
      </c>
      <c r="AE2768" s="1" t="s">
        <v>98</v>
      </c>
      <c r="AF2768" s="1" t="s">
        <v>44975</v>
      </c>
      <c r="AG2768" s="1" t="s">
        <v>17863</v>
      </c>
      <c r="AH2768" s="1" t="s">
        <v>170</v>
      </c>
      <c r="AI2768" s="1" t="s">
        <v>106</v>
      </c>
      <c r="AJ2768" s="1">
        <v>91.6</v>
      </c>
      <c r="AK2768" s="1"/>
      <c r="AL2768" s="1"/>
      <c r="AM2768" s="1"/>
      <c r="AN2768" s="1"/>
      <c r="AO2768" s="1"/>
      <c r="AP2768" s="1"/>
      <c r="AQ2768" s="1"/>
      <c r="AR2768" s="1"/>
      <c r="AS2768" s="1" t="s">
        <v>467</v>
      </c>
      <c r="AT2768" s="1" t="s">
        <v>44976</v>
      </c>
      <c r="AU2768" s="1" t="s">
        <v>1065</v>
      </c>
      <c r="AV2768" s="1" t="s">
        <v>441</v>
      </c>
      <c r="AW2768" s="1">
        <v>91.32</v>
      </c>
      <c r="AX2768" s="1"/>
      <c r="AY2768" s="1" t="s">
        <v>14160</v>
      </c>
      <c r="AZ2768" s="1" t="s">
        <v>44977</v>
      </c>
      <c r="BA2768" s="1" t="s">
        <v>578</v>
      </c>
      <c r="BB2768" s="1" t="s">
        <v>467</v>
      </c>
      <c r="BC2768" s="1" t="s">
        <v>140</v>
      </c>
      <c r="BD2768" s="1" t="s">
        <v>207</v>
      </c>
      <c r="BE2768" s="1">
        <v>75</v>
      </c>
      <c r="BF2768" s="1">
        <v>8.25</v>
      </c>
      <c r="BG2768" s="1" t="s">
        <v>44978</v>
      </c>
      <c r="BH2768" s="1"/>
      <c r="BI2768" s="1"/>
      <c r="BJ2768" s="1"/>
      <c r="BK2768" s="1"/>
      <c r="BL2768" s="1"/>
      <c r="BM2768" s="1"/>
      <c r="BN2768" s="1"/>
      <c r="BO2768" s="1" t="s">
        <v>36380</v>
      </c>
      <c r="BP2768" s="1" t="s">
        <v>44979</v>
      </c>
      <c r="BQ2768" s="1" t="s">
        <v>4149</v>
      </c>
      <c r="BR2768" s="1" t="s">
        <v>44980</v>
      </c>
      <c r="BS2768" s="1">
        <v>3</v>
      </c>
      <c r="BT2768" s="1" t="s">
        <v>44981</v>
      </c>
      <c r="BU2768" s="1" t="str">
        <f>HYPERLINK("https://nconnect.nicmar.ac.in/storage/profile/6a78a2211babc.png","Download")</f>
        <v>0</v>
      </c>
      <c r="BV2768" s="3"/>
      <c r="BW2768" s="3"/>
    </row>
    <row r="2769" spans="1:75">
      <c r="A2769" s="1" t="s">
        <v>40756</v>
      </c>
      <c r="B2769" s="1" t="s">
        <v>44111</v>
      </c>
      <c r="C2769" s="1" t="s">
        <v>44982</v>
      </c>
      <c r="D2769" s="1" t="s">
        <v>1119</v>
      </c>
      <c r="E2769" s="1"/>
      <c r="F2769" s="1" t="s">
        <v>8051</v>
      </c>
      <c r="G2769" s="1" t="s">
        <v>44983</v>
      </c>
      <c r="H2769" s="1" t="s">
        <v>44984</v>
      </c>
      <c r="I2769" s="1" t="s">
        <v>44984</v>
      </c>
      <c r="J2769" s="1">
        <v>8594018064</v>
      </c>
      <c r="K2769" s="1" t="s">
        <v>84</v>
      </c>
      <c r="L2769" s="1" t="s">
        <v>41926</v>
      </c>
      <c r="M2769" s="1" t="s">
        <v>86</v>
      </c>
      <c r="N2769" s="1" t="s">
        <v>7058</v>
      </c>
      <c r="O2769" s="1" t="s">
        <v>44985</v>
      </c>
      <c r="P2769" s="1" t="s">
        <v>122</v>
      </c>
      <c r="Q2769" s="1">
        <v>649553537067</v>
      </c>
      <c r="R2769" s="1" t="s">
        <v>44986</v>
      </c>
      <c r="S2769" s="1" t="s">
        <v>16692</v>
      </c>
      <c r="T2769" s="1" t="s">
        <v>22979</v>
      </c>
      <c r="U2769" s="1" t="s">
        <v>44987</v>
      </c>
      <c r="V2769" s="1">
        <v>9656300660</v>
      </c>
      <c r="W2769" s="1" t="s">
        <v>3439</v>
      </c>
      <c r="X2769" s="1" t="s">
        <v>44988</v>
      </c>
      <c r="Y2769" s="1" t="s">
        <v>1307</v>
      </c>
      <c r="Z2769" s="1" t="s">
        <v>130</v>
      </c>
      <c r="AA2769" s="1" t="s">
        <v>44988</v>
      </c>
      <c r="AB2769" s="1" t="s">
        <v>1307</v>
      </c>
      <c r="AC2769" s="1" t="s">
        <v>130</v>
      </c>
      <c r="AD2769" s="1" t="s">
        <v>98</v>
      </c>
      <c r="AE2769" s="1" t="s">
        <v>98</v>
      </c>
      <c r="AF2769" s="1" t="s">
        <v>44989</v>
      </c>
      <c r="AG2769" s="1" t="s">
        <v>44990</v>
      </c>
      <c r="AH2769" s="1" t="s">
        <v>167</v>
      </c>
      <c r="AI2769" s="1" t="s">
        <v>170</v>
      </c>
      <c r="AJ2769" s="1">
        <v>89.3</v>
      </c>
      <c r="AK2769" s="1">
        <v>9.4</v>
      </c>
      <c r="AL2769" s="1" t="s">
        <v>44989</v>
      </c>
      <c r="AM2769" s="1" t="s">
        <v>44990</v>
      </c>
      <c r="AN2769" s="1" t="s">
        <v>575</v>
      </c>
      <c r="AO2769" s="1" t="s">
        <v>171</v>
      </c>
      <c r="AP2769" s="1" t="s">
        <v>313</v>
      </c>
      <c r="AQ2769" s="1">
        <v>84.2</v>
      </c>
      <c r="AR2769" s="1"/>
      <c r="AS2769" s="1"/>
      <c r="AT2769" s="1"/>
      <c r="AU2769" s="1"/>
      <c r="AV2769" s="1"/>
      <c r="AW2769" s="1"/>
      <c r="AX2769" s="1"/>
      <c r="AY2769" s="1" t="s">
        <v>137</v>
      </c>
      <c r="AZ2769" s="1" t="s">
        <v>44991</v>
      </c>
      <c r="BA2769" s="1" t="s">
        <v>466</v>
      </c>
      <c r="BB2769" s="1" t="s">
        <v>467</v>
      </c>
      <c r="BC2769" s="1" t="s">
        <v>206</v>
      </c>
      <c r="BD2769" s="1" t="s">
        <v>391</v>
      </c>
      <c r="BE2769" s="1">
        <v>89.8</v>
      </c>
      <c r="BF2769" s="1">
        <v>8.98</v>
      </c>
      <c r="BG2769" s="1"/>
      <c r="BH2769" s="1"/>
      <c r="BI2769" s="1"/>
      <c r="BJ2769" s="1"/>
      <c r="BK2769" s="1"/>
      <c r="BL2769" s="1"/>
      <c r="BM2769" s="1"/>
      <c r="BN2769" s="1"/>
      <c r="BO2769" s="1" t="s">
        <v>44992</v>
      </c>
      <c r="BP2769" s="1" t="s">
        <v>44993</v>
      </c>
      <c r="BQ2769" s="1" t="s">
        <v>8862</v>
      </c>
      <c r="BR2769" s="1" t="s">
        <v>44994</v>
      </c>
      <c r="BS2769" s="1">
        <v>2</v>
      </c>
      <c r="BT2769" s="1" t="s">
        <v>44995</v>
      </c>
      <c r="BU2769" s="1" t="str">
        <f>HYPERLINK("https://nconnect.nicmar.ac.in/storage/profile/6a7730014bd41.png","Download")</f>
        <v>0</v>
      </c>
      <c r="BV2769" s="3"/>
      <c r="BW2769" s="3"/>
    </row>
    <row r="2770" spans="1:75">
      <c r="A2770" s="1" t="s">
        <v>40756</v>
      </c>
      <c r="B2770" s="1" t="s">
        <v>44111</v>
      </c>
      <c r="C2770" s="1" t="s">
        <v>44996</v>
      </c>
      <c r="D2770" s="1" t="s">
        <v>15139</v>
      </c>
      <c r="E2770" s="1" t="s">
        <v>44997</v>
      </c>
      <c r="F2770" s="1" t="s">
        <v>44998</v>
      </c>
      <c r="G2770" s="1" t="s">
        <v>44999</v>
      </c>
      <c r="H2770" s="1" t="s">
        <v>45000</v>
      </c>
      <c r="I2770" s="1" t="s">
        <v>45000</v>
      </c>
      <c r="J2770" s="1">
        <v>9022910365</v>
      </c>
      <c r="K2770" s="1" t="s">
        <v>84</v>
      </c>
      <c r="L2770" s="1" t="s">
        <v>10622</v>
      </c>
      <c r="M2770" s="1" t="s">
        <v>86</v>
      </c>
      <c r="N2770" s="1" t="s">
        <v>4263</v>
      </c>
      <c r="O2770" s="1" t="s">
        <v>45001</v>
      </c>
      <c r="P2770" s="1" t="s">
        <v>356</v>
      </c>
      <c r="Q2770" s="1">
        <v>625293207822</v>
      </c>
      <c r="R2770" s="1" t="s">
        <v>44997</v>
      </c>
      <c r="S2770" s="1">
        <v>8830955152</v>
      </c>
      <c r="T2770" s="1" t="s">
        <v>45002</v>
      </c>
      <c r="U2770" s="1" t="s">
        <v>14524</v>
      </c>
      <c r="V2770" s="1">
        <v>8605151673</v>
      </c>
      <c r="W2770" s="1" t="s">
        <v>14234</v>
      </c>
      <c r="X2770" s="1" t="s">
        <v>45003</v>
      </c>
      <c r="Y2770" s="1" t="s">
        <v>5181</v>
      </c>
      <c r="Z2770" s="1" t="s">
        <v>97</v>
      </c>
      <c r="AA2770" s="1" t="s">
        <v>45004</v>
      </c>
      <c r="AB2770" s="1" t="s">
        <v>196</v>
      </c>
      <c r="AC2770" s="1" t="s">
        <v>97</v>
      </c>
      <c r="AD2770" s="1" t="s">
        <v>98</v>
      </c>
      <c r="AE2770" s="1" t="s">
        <v>98</v>
      </c>
      <c r="AF2770" s="1" t="s">
        <v>45005</v>
      </c>
      <c r="AG2770" s="1" t="s">
        <v>45006</v>
      </c>
      <c r="AH2770" s="1" t="s">
        <v>3285</v>
      </c>
      <c r="AI2770" s="1" t="s">
        <v>1111</v>
      </c>
      <c r="AJ2770" s="1">
        <v>93</v>
      </c>
      <c r="AK2770" s="1"/>
      <c r="AL2770" s="1" t="s">
        <v>45007</v>
      </c>
      <c r="AM2770" s="1" t="s">
        <v>45006</v>
      </c>
      <c r="AN2770" s="1" t="s">
        <v>465</v>
      </c>
      <c r="AO2770" s="1" t="s">
        <v>167</v>
      </c>
      <c r="AP2770" s="1" t="s">
        <v>490</v>
      </c>
      <c r="AQ2770" s="1">
        <v>62</v>
      </c>
      <c r="AR2770" s="1"/>
      <c r="AS2770" s="1"/>
      <c r="AT2770" s="1"/>
      <c r="AU2770" s="1"/>
      <c r="AV2770" s="1"/>
      <c r="AW2770" s="1"/>
      <c r="AX2770" s="1"/>
      <c r="AY2770" s="1" t="s">
        <v>14160</v>
      </c>
      <c r="AZ2770" s="1" t="s">
        <v>45008</v>
      </c>
      <c r="BA2770" s="1" t="s">
        <v>578</v>
      </c>
      <c r="BB2770" s="1" t="s">
        <v>467</v>
      </c>
      <c r="BC2770" s="1" t="s">
        <v>174</v>
      </c>
      <c r="BD2770" s="1" t="s">
        <v>289</v>
      </c>
      <c r="BE2770" s="1">
        <v>71.54</v>
      </c>
      <c r="BF2770" s="1">
        <v>8.13</v>
      </c>
      <c r="BG2770" s="1"/>
      <c r="BH2770" s="1"/>
      <c r="BI2770" s="1"/>
      <c r="BJ2770" s="1"/>
      <c r="BK2770" s="1"/>
      <c r="BL2770" s="1"/>
      <c r="BM2770" s="1"/>
      <c r="BN2770" s="1"/>
      <c r="BO2770" s="1" t="s">
        <v>15320</v>
      </c>
      <c r="BP2770" s="1" t="s">
        <v>45009</v>
      </c>
      <c r="BQ2770" s="1" t="s">
        <v>6652</v>
      </c>
      <c r="BR2770" s="1"/>
      <c r="BS2770" s="1"/>
      <c r="BT2770" s="1"/>
      <c r="BU2770" s="1" t="str">
        <f>HYPERLINK("https://nconnect.nicmar.ac.in/storage/profile/6a78611303309.png","Download")</f>
        <v>0</v>
      </c>
      <c r="BV2770" s="3"/>
      <c r="BW2770" s="3"/>
    </row>
    <row r="2771" spans="1:75">
      <c r="A2771" s="1" t="s">
        <v>40756</v>
      </c>
      <c r="B2771" s="1" t="s">
        <v>44111</v>
      </c>
      <c r="C2771" s="1" t="s">
        <v>45010</v>
      </c>
      <c r="D2771" s="1" t="s">
        <v>45011</v>
      </c>
      <c r="E2771" s="1"/>
      <c r="F2771" s="1" t="s">
        <v>45012</v>
      </c>
      <c r="G2771" s="1" t="s">
        <v>45013</v>
      </c>
      <c r="H2771" s="1" t="s">
        <v>45014</v>
      </c>
      <c r="I2771" s="1" t="s">
        <v>45015</v>
      </c>
      <c r="J2771" s="1">
        <v>6302897574</v>
      </c>
      <c r="K2771" s="1" t="s">
        <v>84</v>
      </c>
      <c r="L2771" s="1" t="s">
        <v>7836</v>
      </c>
      <c r="M2771" s="1" t="s">
        <v>86</v>
      </c>
      <c r="N2771" s="1" t="s">
        <v>45016</v>
      </c>
      <c r="O2771" s="1" t="s">
        <v>45017</v>
      </c>
      <c r="P2771" s="1" t="s">
        <v>219</v>
      </c>
      <c r="Q2771" s="1">
        <v>315331855063</v>
      </c>
      <c r="R2771" s="1" t="s">
        <v>45018</v>
      </c>
      <c r="S2771" s="1">
        <v>9652241727</v>
      </c>
      <c r="T2771" s="1" t="s">
        <v>45019</v>
      </c>
      <c r="U2771" s="1" t="s">
        <v>45020</v>
      </c>
      <c r="V2771" s="1">
        <v>8466938055</v>
      </c>
      <c r="W2771" s="1" t="s">
        <v>14234</v>
      </c>
      <c r="X2771" s="1" t="s">
        <v>45021</v>
      </c>
      <c r="Y2771" s="1" t="s">
        <v>10461</v>
      </c>
      <c r="Z2771" s="1" t="s">
        <v>281</v>
      </c>
      <c r="AA2771" s="1" t="s">
        <v>45021</v>
      </c>
      <c r="AB2771" s="1" t="s">
        <v>10461</v>
      </c>
      <c r="AC2771" s="1" t="s">
        <v>281</v>
      </c>
      <c r="AD2771" s="1" t="s">
        <v>98</v>
      </c>
      <c r="AE2771" s="1" t="s">
        <v>98</v>
      </c>
      <c r="AF2771" s="1" t="s">
        <v>45022</v>
      </c>
      <c r="AG2771" s="1" t="s">
        <v>2341</v>
      </c>
      <c r="AH2771" s="1" t="s">
        <v>167</v>
      </c>
      <c r="AI2771" s="1" t="s">
        <v>200</v>
      </c>
      <c r="AJ2771" s="1">
        <v>87.0</v>
      </c>
      <c r="AK2771" s="1"/>
      <c r="AL2771" s="1"/>
      <c r="AM2771" s="1"/>
      <c r="AN2771" s="1"/>
      <c r="AO2771" s="1"/>
      <c r="AP2771" s="1"/>
      <c r="AQ2771" s="1"/>
      <c r="AR2771" s="1"/>
      <c r="AS2771" s="1" t="s">
        <v>467</v>
      </c>
      <c r="AT2771" s="1" t="s">
        <v>45023</v>
      </c>
      <c r="AU2771" s="1" t="s">
        <v>388</v>
      </c>
      <c r="AV2771" s="1" t="s">
        <v>175</v>
      </c>
      <c r="AW2771" s="1">
        <v>77.54</v>
      </c>
      <c r="AX2771" s="1"/>
      <c r="AY2771" s="1" t="s">
        <v>45024</v>
      </c>
      <c r="AZ2771" s="1" t="s">
        <v>45025</v>
      </c>
      <c r="BA2771" s="1" t="s">
        <v>466</v>
      </c>
      <c r="BB2771" s="1" t="s">
        <v>467</v>
      </c>
      <c r="BC2771" s="1" t="s">
        <v>1802</v>
      </c>
      <c r="BD2771" s="1" t="s">
        <v>848</v>
      </c>
      <c r="BE2771" s="1">
        <v>85.2</v>
      </c>
      <c r="BF2771" s="1"/>
      <c r="BG2771" s="1"/>
      <c r="BH2771" s="1"/>
      <c r="BI2771" s="1"/>
      <c r="BJ2771" s="1"/>
      <c r="BK2771" s="1"/>
      <c r="BL2771" s="1"/>
      <c r="BM2771" s="1"/>
      <c r="BN2771" s="1"/>
      <c r="BO2771" s="1" t="s">
        <v>45026</v>
      </c>
      <c r="BP2771" s="1"/>
      <c r="BQ2771" s="1"/>
      <c r="BR2771" s="1" t="s">
        <v>45027</v>
      </c>
      <c r="BS2771" s="1">
        <v>26</v>
      </c>
      <c r="BT2771" s="1" t="s">
        <v>45028</v>
      </c>
      <c r="BU2771" s="1" t="str">
        <f>HYPERLINK("https://nconnect.nicmar.ac.in/storage/profile/6a78511c9d49f.png","Download")</f>
        <v>0</v>
      </c>
      <c r="BV2771" s="3"/>
      <c r="BW2771" s="3"/>
    </row>
    <row r="2772" spans="1:75">
      <c r="A2772" s="1" t="s">
        <v>40756</v>
      </c>
      <c r="B2772" s="1" t="s">
        <v>44111</v>
      </c>
      <c r="C2772" s="1" t="s">
        <v>45029</v>
      </c>
      <c r="D2772" s="1" t="s">
        <v>45030</v>
      </c>
      <c r="E2772" s="1"/>
      <c r="F2772" s="1" t="s">
        <v>1487</v>
      </c>
      <c r="G2772" s="1" t="s">
        <v>45031</v>
      </c>
      <c r="H2772" s="1" t="s">
        <v>45032</v>
      </c>
      <c r="I2772" s="1" t="s">
        <v>45032</v>
      </c>
      <c r="J2772" s="1">
        <v>8547288977</v>
      </c>
      <c r="K2772" s="1" t="s">
        <v>153</v>
      </c>
      <c r="L2772" s="1" t="s">
        <v>38929</v>
      </c>
      <c r="M2772" s="1" t="s">
        <v>86</v>
      </c>
      <c r="N2772" s="1" t="s">
        <v>45033</v>
      </c>
      <c r="O2772" s="1" t="s">
        <v>45034</v>
      </c>
      <c r="P2772" s="1" t="s">
        <v>219</v>
      </c>
      <c r="Q2772" s="1" t="s">
        <v>45035</v>
      </c>
      <c r="R2772" s="1" t="s">
        <v>45036</v>
      </c>
      <c r="S2772" s="1">
        <v>9995334800</v>
      </c>
      <c r="T2772" s="1" t="s">
        <v>10304</v>
      </c>
      <c r="U2772" s="1" t="s">
        <v>45037</v>
      </c>
      <c r="V2772" s="1">
        <v>7306410400</v>
      </c>
      <c r="W2772" s="1" t="s">
        <v>14212</v>
      </c>
      <c r="X2772" s="1" t="s">
        <v>45038</v>
      </c>
      <c r="Y2772" s="1" t="s">
        <v>4916</v>
      </c>
      <c r="Z2772" s="1" t="s">
        <v>130</v>
      </c>
      <c r="AA2772" s="1" t="s">
        <v>45038</v>
      </c>
      <c r="AB2772" s="1" t="s">
        <v>4916</v>
      </c>
      <c r="AC2772" s="1" t="s">
        <v>130</v>
      </c>
      <c r="AD2772" s="1" t="s">
        <v>98</v>
      </c>
      <c r="AE2772" s="1" t="s">
        <v>98</v>
      </c>
      <c r="AF2772" s="1" t="s">
        <v>45039</v>
      </c>
      <c r="AG2772" s="1" t="s">
        <v>15152</v>
      </c>
      <c r="AH2772" s="1" t="s">
        <v>167</v>
      </c>
      <c r="AI2772" s="1" t="s">
        <v>170</v>
      </c>
      <c r="AJ2772" s="1">
        <v>95.0</v>
      </c>
      <c r="AK2772" s="1">
        <v>10</v>
      </c>
      <c r="AL2772" s="1" t="s">
        <v>45040</v>
      </c>
      <c r="AM2772" s="1" t="s">
        <v>45041</v>
      </c>
      <c r="AN2772" s="1" t="s">
        <v>575</v>
      </c>
      <c r="AO2772" s="1" t="s">
        <v>106</v>
      </c>
      <c r="AP2772" s="1" t="s">
        <v>313</v>
      </c>
      <c r="AQ2772" s="1">
        <v>86.58</v>
      </c>
      <c r="AR2772" s="1"/>
      <c r="AS2772" s="1"/>
      <c r="AT2772" s="1"/>
      <c r="AU2772" s="1"/>
      <c r="AV2772" s="1"/>
      <c r="AW2772" s="1"/>
      <c r="AX2772" s="1"/>
      <c r="AY2772" s="1" t="s">
        <v>15573</v>
      </c>
      <c r="AZ2772" s="1" t="s">
        <v>45042</v>
      </c>
      <c r="BA2772" s="1" t="s">
        <v>466</v>
      </c>
      <c r="BB2772" s="1" t="s">
        <v>467</v>
      </c>
      <c r="BC2772" s="1" t="s">
        <v>315</v>
      </c>
      <c r="BD2772" s="1" t="s">
        <v>179</v>
      </c>
      <c r="BE2772" s="1">
        <v>80.8</v>
      </c>
      <c r="BF2772" s="1">
        <v>8.08</v>
      </c>
      <c r="BG2772" s="1"/>
      <c r="BH2772" s="1"/>
      <c r="BI2772" s="1"/>
      <c r="BJ2772" s="1"/>
      <c r="BK2772" s="1"/>
      <c r="BL2772" s="1"/>
      <c r="BM2772" s="1"/>
      <c r="BN2772" s="1"/>
      <c r="BO2772" s="1" t="s">
        <v>45043</v>
      </c>
      <c r="BP2772" s="1" t="s">
        <v>45044</v>
      </c>
      <c r="BQ2772" s="1" t="s">
        <v>1070</v>
      </c>
      <c r="BR2772" s="1"/>
      <c r="BS2772" s="1"/>
      <c r="BT2772" s="1" t="s">
        <v>45045</v>
      </c>
      <c r="BU2772" s="1" t="str">
        <f>HYPERLINK("https://nconnect.nicmar.ac.in/storage/profile/6a7805f490f7d.png","Download")</f>
        <v>0</v>
      </c>
      <c r="BV2772" s="3"/>
      <c r="BW2772" s="3"/>
    </row>
    <row r="2773" spans="1:75">
      <c r="A2773" s="1" t="s">
        <v>40756</v>
      </c>
      <c r="B2773" s="1" t="s">
        <v>44111</v>
      </c>
      <c r="C2773" s="1" t="s">
        <v>45046</v>
      </c>
      <c r="D2773" s="1" t="s">
        <v>45047</v>
      </c>
      <c r="E2773" s="1"/>
      <c r="F2773" s="1" t="s">
        <v>1853</v>
      </c>
      <c r="G2773" s="1" t="s">
        <v>45048</v>
      </c>
      <c r="H2773" s="1" t="s">
        <v>45049</v>
      </c>
      <c r="I2773" s="1" t="s">
        <v>45049</v>
      </c>
      <c r="J2773" s="1">
        <v>9597357327</v>
      </c>
      <c r="K2773" s="1" t="s">
        <v>84</v>
      </c>
      <c r="L2773" s="1" t="s">
        <v>45050</v>
      </c>
      <c r="M2773" s="1" t="s">
        <v>86</v>
      </c>
      <c r="N2773" s="1" t="s">
        <v>8020</v>
      </c>
      <c r="O2773" s="1" t="s">
        <v>45051</v>
      </c>
      <c r="P2773" s="1" t="s">
        <v>122</v>
      </c>
      <c r="Q2773" s="1">
        <v>640282564234</v>
      </c>
      <c r="R2773" s="1" t="s">
        <v>45052</v>
      </c>
      <c r="S2773" s="1">
        <v>9965046127</v>
      </c>
      <c r="T2773" s="1" t="s">
        <v>45053</v>
      </c>
      <c r="U2773" s="1" t="s">
        <v>45054</v>
      </c>
      <c r="V2773" s="1">
        <v>9942677522</v>
      </c>
      <c r="W2773" s="1" t="s">
        <v>14032</v>
      </c>
      <c r="X2773" s="1" t="s">
        <v>45055</v>
      </c>
      <c r="Y2773" s="1" t="s">
        <v>569</v>
      </c>
      <c r="Z2773" s="1" t="s">
        <v>570</v>
      </c>
      <c r="AA2773" s="1" t="s">
        <v>45055</v>
      </c>
      <c r="AB2773" s="1" t="s">
        <v>569</v>
      </c>
      <c r="AC2773" s="1" t="s">
        <v>570</v>
      </c>
      <c r="AD2773" s="1" t="s">
        <v>98</v>
      </c>
      <c r="AE2773" s="1" t="s">
        <v>98</v>
      </c>
      <c r="AF2773" s="1" t="s">
        <v>45056</v>
      </c>
      <c r="AG2773" s="1" t="s">
        <v>9682</v>
      </c>
      <c r="AH2773" s="1" t="s">
        <v>4593</v>
      </c>
      <c r="AI2773" s="1" t="s">
        <v>801</v>
      </c>
      <c r="AJ2773" s="1">
        <v>81.7</v>
      </c>
      <c r="AK2773" s="1">
        <v>8.6</v>
      </c>
      <c r="AL2773" s="1" t="s">
        <v>45057</v>
      </c>
      <c r="AM2773" s="1" t="s">
        <v>45058</v>
      </c>
      <c r="AN2773" s="1" t="s">
        <v>575</v>
      </c>
      <c r="AO2773" s="1" t="s">
        <v>133</v>
      </c>
      <c r="AP2773" s="1" t="s">
        <v>134</v>
      </c>
      <c r="AQ2773" s="1">
        <v>79.08</v>
      </c>
      <c r="AR2773" s="1"/>
      <c r="AS2773" s="1"/>
      <c r="AT2773" s="1"/>
      <c r="AU2773" s="1"/>
      <c r="AV2773" s="1"/>
      <c r="AW2773" s="1"/>
      <c r="AX2773" s="1"/>
      <c r="AY2773" s="1" t="s">
        <v>14303</v>
      </c>
      <c r="AZ2773" s="1" t="s">
        <v>45059</v>
      </c>
      <c r="BA2773" s="1" t="s">
        <v>578</v>
      </c>
      <c r="BB2773" s="1" t="s">
        <v>467</v>
      </c>
      <c r="BC2773" s="1" t="s">
        <v>804</v>
      </c>
      <c r="BD2773" s="1" t="s">
        <v>704</v>
      </c>
      <c r="BE2773" s="1">
        <v>68.1</v>
      </c>
      <c r="BF2773" s="1">
        <v>6.81</v>
      </c>
      <c r="BG2773" s="1"/>
      <c r="BH2773" s="1"/>
      <c r="BI2773" s="1"/>
      <c r="BJ2773" s="1"/>
      <c r="BK2773" s="1"/>
      <c r="BL2773" s="1"/>
      <c r="BM2773" s="1"/>
      <c r="BN2773" s="1"/>
      <c r="BO2773" s="1" t="s">
        <v>45060</v>
      </c>
      <c r="BP2773" s="1"/>
      <c r="BQ2773" s="1"/>
      <c r="BR2773" s="1" t="s">
        <v>45061</v>
      </c>
      <c r="BS2773" s="1">
        <v>76</v>
      </c>
      <c r="BT2773" s="1" t="s">
        <v>45062</v>
      </c>
      <c r="BU2773" s="1" t="str">
        <f>HYPERLINK("https://nconnect.nicmar.ac.in/storage/profile/6a7777bf58d07.png","Download")</f>
        <v>0</v>
      </c>
      <c r="BV2773" s="3"/>
      <c r="BW2773" s="3"/>
    </row>
    <row r="2774" spans="1:75">
      <c r="A2774" s="1" t="s">
        <v>40756</v>
      </c>
      <c r="B2774" s="1" t="s">
        <v>44111</v>
      </c>
      <c r="C2774" s="1" t="s">
        <v>45063</v>
      </c>
      <c r="D2774" s="1" t="s">
        <v>45064</v>
      </c>
      <c r="E2774" s="1" t="s">
        <v>14268</v>
      </c>
      <c r="F2774" s="1" t="s">
        <v>45065</v>
      </c>
      <c r="G2774" s="1" t="s">
        <v>45066</v>
      </c>
      <c r="H2774" s="1" t="s">
        <v>45067</v>
      </c>
      <c r="I2774" s="1" t="s">
        <v>45067</v>
      </c>
      <c r="J2774" s="1">
        <v>8600220976</v>
      </c>
      <c r="K2774" s="1" t="s">
        <v>84</v>
      </c>
      <c r="L2774" s="1" t="s">
        <v>16107</v>
      </c>
      <c r="M2774" s="1" t="s">
        <v>86</v>
      </c>
      <c r="N2774" s="1" t="s">
        <v>24424</v>
      </c>
      <c r="O2774" s="1" t="s">
        <v>45068</v>
      </c>
      <c r="P2774" s="1" t="s">
        <v>219</v>
      </c>
      <c r="Q2774" s="1">
        <v>618971779981</v>
      </c>
      <c r="R2774" s="1" t="s">
        <v>45069</v>
      </c>
      <c r="S2774" s="1">
        <v>9370296674</v>
      </c>
      <c r="T2774" s="1" t="s">
        <v>45070</v>
      </c>
      <c r="U2774" s="1" t="s">
        <v>45071</v>
      </c>
      <c r="V2774" s="1">
        <v>9175424339</v>
      </c>
      <c r="W2774" s="1" t="s">
        <v>14154</v>
      </c>
      <c r="X2774" s="1" t="s">
        <v>45072</v>
      </c>
      <c r="Y2774" s="1" t="s">
        <v>410</v>
      </c>
      <c r="Z2774" s="1" t="s">
        <v>97</v>
      </c>
      <c r="AA2774" s="1" t="s">
        <v>45072</v>
      </c>
      <c r="AB2774" s="1" t="s">
        <v>410</v>
      </c>
      <c r="AC2774" s="1" t="s">
        <v>97</v>
      </c>
      <c r="AD2774" s="1" t="s">
        <v>98</v>
      </c>
      <c r="AE2774" s="1" t="s">
        <v>98</v>
      </c>
      <c r="AF2774" s="1" t="s">
        <v>45073</v>
      </c>
      <c r="AG2774" s="1" t="s">
        <v>14157</v>
      </c>
      <c r="AH2774" s="1" t="s">
        <v>166</v>
      </c>
      <c r="AI2774" s="1" t="s">
        <v>167</v>
      </c>
      <c r="AJ2774" s="1">
        <v>82.6</v>
      </c>
      <c r="AK2774" s="1">
        <v>8.69</v>
      </c>
      <c r="AL2774" s="1"/>
      <c r="AM2774" s="1"/>
      <c r="AN2774" s="1"/>
      <c r="AO2774" s="1"/>
      <c r="AP2774" s="1"/>
      <c r="AQ2774" s="1"/>
      <c r="AR2774" s="1"/>
      <c r="AS2774" s="1" t="s">
        <v>467</v>
      </c>
      <c r="AT2774" s="1" t="s">
        <v>45074</v>
      </c>
      <c r="AU2774" s="1" t="s">
        <v>139</v>
      </c>
      <c r="AV2774" s="1" t="s">
        <v>438</v>
      </c>
      <c r="AW2774" s="1">
        <v>78.55</v>
      </c>
      <c r="AX2774" s="1">
        <v>8.26</v>
      </c>
      <c r="AY2774" s="1" t="s">
        <v>14884</v>
      </c>
      <c r="AZ2774" s="1" t="s">
        <v>45075</v>
      </c>
      <c r="BA2774" s="1" t="s">
        <v>578</v>
      </c>
      <c r="BB2774" s="1" t="s">
        <v>467</v>
      </c>
      <c r="BC2774" s="1" t="s">
        <v>206</v>
      </c>
      <c r="BD2774" s="1" t="s">
        <v>110</v>
      </c>
      <c r="BE2774" s="1">
        <v>76.6</v>
      </c>
      <c r="BF2774" s="1">
        <v>8.41</v>
      </c>
      <c r="BG2774" s="1"/>
      <c r="BH2774" s="1"/>
      <c r="BI2774" s="1"/>
      <c r="BJ2774" s="1"/>
      <c r="BK2774" s="1"/>
      <c r="BL2774" s="1"/>
      <c r="BM2774" s="1"/>
      <c r="BN2774" s="1"/>
      <c r="BO2774" s="1" t="s">
        <v>45076</v>
      </c>
      <c r="BP2774" s="1" t="s">
        <v>45077</v>
      </c>
      <c r="BQ2774" s="1" t="s">
        <v>19293</v>
      </c>
      <c r="BR2774" s="1" t="s">
        <v>45078</v>
      </c>
      <c r="BS2774" s="1">
        <v>4</v>
      </c>
      <c r="BT2774" s="1" t="s">
        <v>45079</v>
      </c>
      <c r="BU2774" s="1" t="str">
        <f>HYPERLINK("https://nconnect.nicmar.ac.in/storage/profile/6a7aaec33ef53.png","Download")</f>
        <v>0</v>
      </c>
      <c r="BV2774" s="3"/>
      <c r="BW2774" s="3"/>
    </row>
    <row r="2775" spans="1:75">
      <c r="A2775" s="1" t="s">
        <v>40756</v>
      </c>
      <c r="B2775" s="1" t="s">
        <v>44111</v>
      </c>
      <c r="C2775" s="1" t="s">
        <v>45080</v>
      </c>
      <c r="D2775" s="1" t="s">
        <v>45081</v>
      </c>
      <c r="E2775" s="1" t="s">
        <v>45082</v>
      </c>
      <c r="F2775" s="1" t="s">
        <v>1320</v>
      </c>
      <c r="G2775" s="1" t="s">
        <v>45083</v>
      </c>
      <c r="H2775" s="1" t="s">
        <v>45084</v>
      </c>
      <c r="I2775" s="1" t="s">
        <v>45084</v>
      </c>
      <c r="J2775" s="1">
        <v>6305069133</v>
      </c>
      <c r="K2775" s="1" t="s">
        <v>84</v>
      </c>
      <c r="L2775" s="1" t="s">
        <v>14950</v>
      </c>
      <c r="M2775" s="1" t="s">
        <v>86</v>
      </c>
      <c r="N2775" s="1" t="s">
        <v>4840</v>
      </c>
      <c r="O2775" s="1" t="s">
        <v>45085</v>
      </c>
      <c r="P2775" s="1" t="s">
        <v>122</v>
      </c>
      <c r="Q2775" s="1">
        <v>331151935404</v>
      </c>
      <c r="R2775" s="1" t="s">
        <v>45086</v>
      </c>
      <c r="S2775" s="1">
        <v>9959796235</v>
      </c>
      <c r="T2775" s="1" t="s">
        <v>159</v>
      </c>
      <c r="U2775" s="1" t="s">
        <v>45087</v>
      </c>
      <c r="V2775" s="1">
        <v>9959796235</v>
      </c>
      <c r="W2775" s="1" t="s">
        <v>45088</v>
      </c>
      <c r="X2775" s="1" t="s">
        <v>45089</v>
      </c>
      <c r="Y2775" s="1" t="s">
        <v>3090</v>
      </c>
      <c r="Z2775" s="1" t="s">
        <v>281</v>
      </c>
      <c r="AA2775" s="1" t="s">
        <v>45089</v>
      </c>
      <c r="AB2775" s="1" t="s">
        <v>3090</v>
      </c>
      <c r="AC2775" s="1" t="s">
        <v>281</v>
      </c>
      <c r="AD2775" s="1" t="s">
        <v>98</v>
      </c>
      <c r="AE2775" s="1" t="s">
        <v>98</v>
      </c>
      <c r="AF2775" s="1" t="s">
        <v>45090</v>
      </c>
      <c r="AG2775" s="1" t="s">
        <v>45091</v>
      </c>
      <c r="AH2775" s="1" t="s">
        <v>171</v>
      </c>
      <c r="AI2775" s="1" t="s">
        <v>313</v>
      </c>
      <c r="AJ2775" s="1">
        <v>95</v>
      </c>
      <c r="AK2775" s="1">
        <v>9.5</v>
      </c>
      <c r="AL2775" s="1"/>
      <c r="AM2775" s="1"/>
      <c r="AN2775" s="1"/>
      <c r="AO2775" s="1"/>
      <c r="AP2775" s="1"/>
      <c r="AQ2775" s="1"/>
      <c r="AR2775" s="1"/>
      <c r="AS2775" s="1" t="s">
        <v>17920</v>
      </c>
      <c r="AT2775" s="1" t="s">
        <v>45092</v>
      </c>
      <c r="AU2775" s="1" t="s">
        <v>206</v>
      </c>
      <c r="AV2775" s="1" t="s">
        <v>1802</v>
      </c>
      <c r="AW2775" s="1">
        <v>87.32</v>
      </c>
      <c r="AX2775" s="1"/>
      <c r="AY2775" s="1" t="s">
        <v>45093</v>
      </c>
      <c r="AZ2775" s="1" t="s">
        <v>45094</v>
      </c>
      <c r="BA2775" s="1" t="s">
        <v>466</v>
      </c>
      <c r="BB2775" s="1" t="s">
        <v>467</v>
      </c>
      <c r="BC2775" s="1" t="s">
        <v>1802</v>
      </c>
      <c r="BD2775" s="1" t="s">
        <v>1401</v>
      </c>
      <c r="BE2775" s="1">
        <v>73.2</v>
      </c>
      <c r="BF2775" s="1">
        <v>8.07</v>
      </c>
      <c r="BG2775" s="1"/>
      <c r="BH2775" s="1"/>
      <c r="BI2775" s="1"/>
      <c r="BJ2775" s="1"/>
      <c r="BK2775" s="1"/>
      <c r="BL2775" s="1"/>
      <c r="BM2775" s="1"/>
      <c r="BN2775" s="1"/>
      <c r="BO2775" s="1" t="s">
        <v>45095</v>
      </c>
      <c r="BP2775" s="1"/>
      <c r="BQ2775" s="1"/>
      <c r="BR2775" s="1" t="s">
        <v>45096</v>
      </c>
      <c r="BS2775" s="1">
        <v>35</v>
      </c>
      <c r="BT2775" s="1"/>
      <c r="BU2775" s="1" t="str">
        <f>HYPERLINK("https://nconnect.nicmar.ac.in/storage/profile/6a7740325d54f.png","Download")</f>
        <v>0</v>
      </c>
      <c r="BV2775" s="3"/>
      <c r="BW2775" s="3"/>
    </row>
    <row r="2776" spans="1:75">
      <c r="A2776" s="1" t="s">
        <v>40756</v>
      </c>
      <c r="B2776" s="1" t="s">
        <v>44111</v>
      </c>
      <c r="C2776" s="1" t="s">
        <v>45097</v>
      </c>
      <c r="D2776" s="1" t="s">
        <v>45098</v>
      </c>
      <c r="E2776" s="1"/>
      <c r="F2776" s="1" t="s">
        <v>45099</v>
      </c>
      <c r="G2776" s="1" t="s">
        <v>45100</v>
      </c>
      <c r="H2776" s="1" t="s">
        <v>45101</v>
      </c>
      <c r="I2776" s="1" t="s">
        <v>45101</v>
      </c>
      <c r="J2776" s="1">
        <v>6300066451</v>
      </c>
      <c r="K2776" s="1" t="s">
        <v>84</v>
      </c>
      <c r="L2776" s="1" t="s">
        <v>37193</v>
      </c>
      <c r="M2776" s="1" t="s">
        <v>86</v>
      </c>
      <c r="N2776" s="1" t="s">
        <v>8347</v>
      </c>
      <c r="O2776" s="1" t="s">
        <v>45102</v>
      </c>
      <c r="P2776" s="1" t="s">
        <v>122</v>
      </c>
      <c r="Q2776" s="1">
        <v>671472995273</v>
      </c>
      <c r="R2776" s="1" t="s">
        <v>45103</v>
      </c>
      <c r="S2776" s="1">
        <v>9704785896</v>
      </c>
      <c r="T2776" s="1" t="s">
        <v>45019</v>
      </c>
      <c r="U2776" s="1" t="s">
        <v>45104</v>
      </c>
      <c r="V2776" s="1">
        <v>9010026741</v>
      </c>
      <c r="W2776" s="1" t="s">
        <v>14234</v>
      </c>
      <c r="X2776" s="1" t="s">
        <v>45105</v>
      </c>
      <c r="Y2776" s="1" t="s">
        <v>3522</v>
      </c>
      <c r="Z2776" s="1" t="s">
        <v>281</v>
      </c>
      <c r="AA2776" s="1" t="s">
        <v>45105</v>
      </c>
      <c r="AB2776" s="1" t="s">
        <v>3522</v>
      </c>
      <c r="AC2776" s="1" t="s">
        <v>281</v>
      </c>
      <c r="AD2776" s="1" t="s">
        <v>98</v>
      </c>
      <c r="AE2776" s="1" t="s">
        <v>98</v>
      </c>
      <c r="AF2776" s="1" t="s">
        <v>45106</v>
      </c>
      <c r="AG2776" s="1" t="s">
        <v>2341</v>
      </c>
      <c r="AH2776" s="1" t="s">
        <v>170</v>
      </c>
      <c r="AI2776" s="1" t="s">
        <v>490</v>
      </c>
      <c r="AJ2776" s="1">
        <v>90.0</v>
      </c>
      <c r="AK2776" s="1">
        <v>6.79</v>
      </c>
      <c r="AL2776" s="1" t="s">
        <v>45107</v>
      </c>
      <c r="AM2776" s="1" t="s">
        <v>2343</v>
      </c>
      <c r="AN2776" s="1" t="s">
        <v>465</v>
      </c>
      <c r="AO2776" s="1" t="s">
        <v>106</v>
      </c>
      <c r="AP2776" s="1" t="s">
        <v>603</v>
      </c>
      <c r="AQ2776" s="1">
        <v>80.2</v>
      </c>
      <c r="AR2776" s="1"/>
      <c r="AS2776" s="1"/>
      <c r="AT2776" s="1"/>
      <c r="AU2776" s="1"/>
      <c r="AV2776" s="1"/>
      <c r="AW2776" s="1"/>
      <c r="AX2776" s="1"/>
      <c r="AY2776" s="1" t="s">
        <v>3094</v>
      </c>
      <c r="AZ2776" s="1" t="s">
        <v>45108</v>
      </c>
      <c r="BA2776" s="1" t="s">
        <v>466</v>
      </c>
      <c r="BB2776" s="1" t="s">
        <v>467</v>
      </c>
      <c r="BC2776" s="1" t="s">
        <v>175</v>
      </c>
      <c r="BD2776" s="1" t="s">
        <v>16997</v>
      </c>
      <c r="BE2776" s="1">
        <v>60.4</v>
      </c>
      <c r="BF2776" s="1"/>
      <c r="BG2776" s="1"/>
      <c r="BH2776" s="1"/>
      <c r="BI2776" s="1"/>
      <c r="BJ2776" s="1"/>
      <c r="BK2776" s="1"/>
      <c r="BL2776" s="1"/>
      <c r="BM2776" s="1"/>
      <c r="BN2776" s="1"/>
      <c r="BO2776" s="1" t="s">
        <v>45109</v>
      </c>
      <c r="BP2776" s="1"/>
      <c r="BQ2776" s="1"/>
      <c r="BR2776" s="1" t="s">
        <v>45110</v>
      </c>
      <c r="BS2776" s="1">
        <v>36</v>
      </c>
      <c r="BT2776" s="1" t="s">
        <v>45111</v>
      </c>
      <c r="BU2776" s="1" t="str">
        <f>HYPERLINK("https://nconnect.nicmar.ac.in/storage/profile/6a77e26d910fa.png","Download")</f>
        <v>0</v>
      </c>
      <c r="BV2776" s="3"/>
      <c r="BW2776" s="3"/>
    </row>
    <row r="2777" spans="1:75">
      <c r="A2777" s="1" t="s">
        <v>40756</v>
      </c>
      <c r="B2777" s="1" t="s">
        <v>44111</v>
      </c>
      <c r="C2777" s="1" t="s">
        <v>45112</v>
      </c>
      <c r="D2777" s="1" t="s">
        <v>45113</v>
      </c>
      <c r="E2777" s="1" t="s">
        <v>2772</v>
      </c>
      <c r="F2777" s="1" t="s">
        <v>1853</v>
      </c>
      <c r="G2777" s="1" t="s">
        <v>45114</v>
      </c>
      <c r="H2777" s="1" t="s">
        <v>45115</v>
      </c>
      <c r="I2777" s="1" t="s">
        <v>45115</v>
      </c>
      <c r="J2777" s="1">
        <v>8129315010</v>
      </c>
      <c r="K2777" s="1" t="s">
        <v>153</v>
      </c>
      <c r="L2777" s="1" t="s">
        <v>39090</v>
      </c>
      <c r="M2777" s="1" t="s">
        <v>86</v>
      </c>
      <c r="N2777" s="1" t="s">
        <v>17950</v>
      </c>
      <c r="O2777" s="1" t="s">
        <v>45116</v>
      </c>
      <c r="P2777" s="1" t="s">
        <v>122</v>
      </c>
      <c r="Q2777" s="1">
        <v>351295971739</v>
      </c>
      <c r="R2777" s="1" t="s">
        <v>45117</v>
      </c>
      <c r="S2777" s="1">
        <v>9447411308</v>
      </c>
      <c r="T2777" s="1" t="s">
        <v>125</v>
      </c>
      <c r="U2777" s="1" t="s">
        <v>45118</v>
      </c>
      <c r="V2777" s="1">
        <v>9447815680</v>
      </c>
      <c r="W2777" s="1" t="s">
        <v>6681</v>
      </c>
      <c r="X2777" s="1" t="s">
        <v>45119</v>
      </c>
      <c r="Y2777" s="1" t="s">
        <v>7679</v>
      </c>
      <c r="Z2777" s="1" t="s">
        <v>130</v>
      </c>
      <c r="AA2777" s="1" t="s">
        <v>45119</v>
      </c>
      <c r="AB2777" s="1" t="s">
        <v>7679</v>
      </c>
      <c r="AC2777" s="1" t="s">
        <v>130</v>
      </c>
      <c r="AD2777" s="1" t="s">
        <v>98</v>
      </c>
      <c r="AE2777" s="1" t="s">
        <v>98</v>
      </c>
      <c r="AF2777" s="1" t="s">
        <v>45120</v>
      </c>
      <c r="AG2777" s="1" t="s">
        <v>705</v>
      </c>
      <c r="AH2777" s="1" t="s">
        <v>704</v>
      </c>
      <c r="AI2777" s="1" t="s">
        <v>171</v>
      </c>
      <c r="AJ2777" s="1">
        <v>94.8</v>
      </c>
      <c r="AK2777" s="1"/>
      <c r="AL2777" s="1" t="s">
        <v>45121</v>
      </c>
      <c r="AM2777" s="1" t="s">
        <v>602</v>
      </c>
      <c r="AN2777" s="1" t="s">
        <v>575</v>
      </c>
      <c r="AO2777" s="1" t="s">
        <v>174</v>
      </c>
      <c r="AP2777" s="1" t="s">
        <v>603</v>
      </c>
      <c r="AQ2777" s="1">
        <v>98.33</v>
      </c>
      <c r="AR2777" s="1"/>
      <c r="AS2777" s="1"/>
      <c r="AT2777" s="1"/>
      <c r="AU2777" s="1"/>
      <c r="AV2777" s="1"/>
      <c r="AW2777" s="1"/>
      <c r="AX2777" s="1"/>
      <c r="AY2777" s="1" t="s">
        <v>137</v>
      </c>
      <c r="AZ2777" s="1" t="s">
        <v>45122</v>
      </c>
      <c r="BA2777" s="1" t="s">
        <v>466</v>
      </c>
      <c r="BB2777" s="1" t="s">
        <v>467</v>
      </c>
      <c r="BC2777" s="1" t="s">
        <v>606</v>
      </c>
      <c r="BD2777" s="1" t="s">
        <v>553</v>
      </c>
      <c r="BE2777" s="1">
        <v>78.67</v>
      </c>
      <c r="BF2777" s="1">
        <v>8.13</v>
      </c>
      <c r="BG2777" s="1"/>
      <c r="BH2777" s="1"/>
      <c r="BI2777" s="1"/>
      <c r="BJ2777" s="1"/>
      <c r="BK2777" s="1"/>
      <c r="BL2777" s="1"/>
      <c r="BM2777" s="1"/>
      <c r="BN2777" s="1"/>
      <c r="BO2777" s="1" t="s">
        <v>45123</v>
      </c>
      <c r="BP2777" s="1"/>
      <c r="BQ2777" s="1"/>
      <c r="BR2777" s="1" t="s">
        <v>45124</v>
      </c>
      <c r="BS2777" s="1">
        <v>53</v>
      </c>
      <c r="BT2777" s="1" t="s">
        <v>45125</v>
      </c>
      <c r="BU2777" s="1" t="str">
        <f>HYPERLINK("https://nconnect.nicmar.ac.in/storage/profile/6a78014b58ce1.png","Download")</f>
        <v>0</v>
      </c>
      <c r="BV2777" s="3"/>
      <c r="BW2777" s="3"/>
    </row>
    <row r="2778" spans="1:75">
      <c r="A2778" s="1" t="s">
        <v>40756</v>
      </c>
      <c r="B2778" s="1" t="s">
        <v>44111</v>
      </c>
      <c r="C2778" s="1" t="s">
        <v>45126</v>
      </c>
      <c r="D2778" s="1" t="s">
        <v>15498</v>
      </c>
      <c r="E2778" s="1" t="s">
        <v>45127</v>
      </c>
      <c r="F2778" s="1" t="s">
        <v>45128</v>
      </c>
      <c r="G2778" s="1" t="s">
        <v>45129</v>
      </c>
      <c r="H2778" s="1" t="s">
        <v>45130</v>
      </c>
      <c r="I2778" s="1" t="s">
        <v>45131</v>
      </c>
      <c r="J2778" s="1">
        <v>9168993103</v>
      </c>
      <c r="K2778" s="1" t="s">
        <v>84</v>
      </c>
      <c r="L2778" s="1" t="s">
        <v>3063</v>
      </c>
      <c r="M2778" s="1" t="s">
        <v>86</v>
      </c>
      <c r="N2778" s="1" t="s">
        <v>190</v>
      </c>
      <c r="O2778" s="1" t="s">
        <v>45132</v>
      </c>
      <c r="P2778" s="1" t="s">
        <v>122</v>
      </c>
      <c r="Q2778" s="1">
        <v>501230906302</v>
      </c>
      <c r="R2778" s="1" t="s">
        <v>45133</v>
      </c>
      <c r="S2778" s="1">
        <v>9049933910</v>
      </c>
      <c r="T2778" s="1" t="s">
        <v>45134</v>
      </c>
      <c r="U2778" s="1" t="s">
        <v>45135</v>
      </c>
      <c r="V2778" s="1">
        <v>8055675188</v>
      </c>
      <c r="W2778" s="1" t="s">
        <v>15148</v>
      </c>
      <c r="X2778" s="1" t="s">
        <v>45136</v>
      </c>
      <c r="Y2778" s="1" t="s">
        <v>5584</v>
      </c>
      <c r="Z2778" s="1" t="s">
        <v>97</v>
      </c>
      <c r="AA2778" s="1" t="s">
        <v>45136</v>
      </c>
      <c r="AB2778" s="1" t="s">
        <v>5584</v>
      </c>
      <c r="AC2778" s="1" t="s">
        <v>97</v>
      </c>
      <c r="AD2778" s="1" t="s">
        <v>98</v>
      </c>
      <c r="AE2778" s="1" t="s">
        <v>98</v>
      </c>
      <c r="AF2778" s="1" t="s">
        <v>45137</v>
      </c>
      <c r="AG2778" s="1" t="s">
        <v>45138</v>
      </c>
      <c r="AH2778" s="1" t="s">
        <v>135</v>
      </c>
      <c r="AI2778" s="1" t="s">
        <v>102</v>
      </c>
      <c r="AJ2778" s="1">
        <v>70.4</v>
      </c>
      <c r="AK2778" s="1"/>
      <c r="AL2778" s="1" t="s">
        <v>45139</v>
      </c>
      <c r="AM2778" s="1" t="s">
        <v>45140</v>
      </c>
      <c r="AN2778" s="1" t="s">
        <v>575</v>
      </c>
      <c r="AO2778" s="1" t="s">
        <v>1396</v>
      </c>
      <c r="AP2778" s="1" t="s">
        <v>573</v>
      </c>
      <c r="AQ2778" s="1">
        <v>60.77</v>
      </c>
      <c r="AR2778" s="1"/>
      <c r="AS2778" s="1" t="s">
        <v>45141</v>
      </c>
      <c r="AT2778" s="1" t="s">
        <v>45142</v>
      </c>
      <c r="AU2778" s="1" t="s">
        <v>230</v>
      </c>
      <c r="AV2778" s="1" t="s">
        <v>552</v>
      </c>
      <c r="AW2778" s="1">
        <v>65.85</v>
      </c>
      <c r="AX2778" s="1"/>
      <c r="AY2778" s="1" t="s">
        <v>45143</v>
      </c>
      <c r="AZ2778" s="1" t="s">
        <v>45144</v>
      </c>
      <c r="BA2778" s="1" t="s">
        <v>466</v>
      </c>
      <c r="BB2778" s="1" t="s">
        <v>467</v>
      </c>
      <c r="BC2778" s="1" t="s">
        <v>441</v>
      </c>
      <c r="BD2778" s="1" t="s">
        <v>553</v>
      </c>
      <c r="BE2778" s="1">
        <v>65.2</v>
      </c>
      <c r="BF2778" s="1">
        <v>6.52</v>
      </c>
      <c r="BG2778" s="1"/>
      <c r="BH2778" s="1"/>
      <c r="BI2778" s="1"/>
      <c r="BJ2778" s="1"/>
      <c r="BK2778" s="1"/>
      <c r="BL2778" s="1"/>
      <c r="BM2778" s="1"/>
      <c r="BN2778" s="1"/>
      <c r="BO2778" s="1" t="s">
        <v>849</v>
      </c>
      <c r="BP2778" s="1"/>
      <c r="BQ2778" s="1"/>
      <c r="BR2778" s="1"/>
      <c r="BS2778" s="1"/>
      <c r="BT2778" s="1"/>
      <c r="BU2778" s="1" t="str">
        <f>HYPERLINK("https://nconnect.nicmar.ac.in/storage/profile/6a78b9ac88ecb.png","Download")</f>
        <v>0</v>
      </c>
      <c r="BV2778" s="3"/>
      <c r="BW2778" s="3"/>
    </row>
    <row r="2779" spans="1:75">
      <c r="A2779" s="1" t="s">
        <v>40756</v>
      </c>
      <c r="B2779" s="1" t="s">
        <v>44111</v>
      </c>
      <c r="C2779" s="1" t="s">
        <v>45145</v>
      </c>
      <c r="D2779" s="1" t="s">
        <v>45146</v>
      </c>
      <c r="E2779" s="1"/>
      <c r="F2779" s="1" t="s">
        <v>45147</v>
      </c>
      <c r="G2779" s="1" t="s">
        <v>45148</v>
      </c>
      <c r="H2779" s="1" t="s">
        <v>45149</v>
      </c>
      <c r="I2779" s="1" t="s">
        <v>45150</v>
      </c>
      <c r="J2779" s="1">
        <v>9655033338</v>
      </c>
      <c r="K2779" s="1" t="s">
        <v>84</v>
      </c>
      <c r="L2779" s="1" t="s">
        <v>45151</v>
      </c>
      <c r="M2779" s="1" t="s">
        <v>86</v>
      </c>
      <c r="N2779" s="1" t="s">
        <v>45152</v>
      </c>
      <c r="O2779" s="1" t="s">
        <v>45153</v>
      </c>
      <c r="P2779" s="1" t="s">
        <v>356</v>
      </c>
      <c r="Q2779" s="1">
        <v>799266655581</v>
      </c>
      <c r="R2779" s="1" t="s">
        <v>45154</v>
      </c>
      <c r="S2779" s="1">
        <v>9894037742</v>
      </c>
      <c r="T2779" s="1" t="s">
        <v>3439</v>
      </c>
      <c r="U2779" s="1" t="s">
        <v>45155</v>
      </c>
      <c r="V2779" s="1">
        <v>9677744110</v>
      </c>
      <c r="W2779" s="1" t="s">
        <v>3439</v>
      </c>
      <c r="X2779" s="1" t="s">
        <v>45156</v>
      </c>
      <c r="Y2779" s="1" t="s">
        <v>8931</v>
      </c>
      <c r="Z2779" s="1" t="s">
        <v>570</v>
      </c>
      <c r="AA2779" s="1" t="s">
        <v>45156</v>
      </c>
      <c r="AB2779" s="1" t="s">
        <v>8931</v>
      </c>
      <c r="AC2779" s="1" t="s">
        <v>570</v>
      </c>
      <c r="AD2779" s="1" t="s">
        <v>98</v>
      </c>
      <c r="AE2779" s="1" t="s">
        <v>98</v>
      </c>
      <c r="AF2779" s="1" t="s">
        <v>45157</v>
      </c>
      <c r="AG2779" s="1" t="s">
        <v>45158</v>
      </c>
      <c r="AH2779" s="1" t="s">
        <v>438</v>
      </c>
      <c r="AI2779" s="1" t="s">
        <v>178</v>
      </c>
      <c r="AJ2779" s="1">
        <v>76.6</v>
      </c>
      <c r="AK2779" s="1"/>
      <c r="AL2779" s="1" t="s">
        <v>45157</v>
      </c>
      <c r="AM2779" s="1" t="s">
        <v>45159</v>
      </c>
      <c r="AN2779" s="1" t="s">
        <v>465</v>
      </c>
      <c r="AO2779" s="1" t="s">
        <v>847</v>
      </c>
      <c r="AP2779" s="1" t="s">
        <v>1400</v>
      </c>
      <c r="AQ2779" s="1">
        <v>72.0</v>
      </c>
      <c r="AR2779" s="1"/>
      <c r="AS2779" s="1"/>
      <c r="AT2779" s="1"/>
      <c r="AU2779" s="1"/>
      <c r="AV2779" s="1"/>
      <c r="AW2779" s="1"/>
      <c r="AX2779" s="1"/>
      <c r="AY2779" s="1" t="s">
        <v>45160</v>
      </c>
      <c r="AZ2779" s="1" t="s">
        <v>45161</v>
      </c>
      <c r="BA2779" s="1" t="s">
        <v>466</v>
      </c>
      <c r="BB2779" s="1" t="s">
        <v>467</v>
      </c>
      <c r="BC2779" s="1" t="s">
        <v>110</v>
      </c>
      <c r="BD2779" s="1" t="s">
        <v>14514</v>
      </c>
      <c r="BE2779" s="1">
        <v>81.2</v>
      </c>
      <c r="BF2779" s="1">
        <v>8.12</v>
      </c>
      <c r="BG2779" s="1"/>
      <c r="BH2779" s="1"/>
      <c r="BI2779" s="1"/>
      <c r="BJ2779" s="1"/>
      <c r="BK2779" s="1"/>
      <c r="BL2779" s="1"/>
      <c r="BM2779" s="1"/>
      <c r="BN2779" s="1"/>
      <c r="BO2779" s="1" t="s">
        <v>45162</v>
      </c>
      <c r="BP2779" s="1"/>
      <c r="BQ2779" s="1"/>
      <c r="BR2779" s="1" t="s">
        <v>45163</v>
      </c>
      <c r="BS2779" s="1">
        <v>21</v>
      </c>
      <c r="BT2779" s="1" t="s">
        <v>45164</v>
      </c>
      <c r="BU2779" s="1" t="str">
        <f>HYPERLINK("https://nconnect.nicmar.ac.in/storage/profile/6a77773973e35.png","Download")</f>
        <v>0</v>
      </c>
      <c r="BV2779" s="3"/>
      <c r="BW2779" s="3"/>
    </row>
    <row r="2780" spans="1:75">
      <c r="A2780" s="1" t="s">
        <v>40756</v>
      </c>
      <c r="B2780" s="1" t="s">
        <v>44111</v>
      </c>
      <c r="C2780" s="1" t="s">
        <v>45165</v>
      </c>
      <c r="D2780" s="1" t="s">
        <v>45166</v>
      </c>
      <c r="E2780" s="1" t="s">
        <v>45167</v>
      </c>
      <c r="F2780" s="1" t="s">
        <v>20600</v>
      </c>
      <c r="G2780" s="1" t="s">
        <v>45168</v>
      </c>
      <c r="H2780" s="1" t="s">
        <v>45169</v>
      </c>
      <c r="I2780" s="1" t="s">
        <v>45169</v>
      </c>
      <c r="J2780" s="1">
        <v>9961880248</v>
      </c>
      <c r="K2780" s="1" t="s">
        <v>153</v>
      </c>
      <c r="L2780" s="1" t="s">
        <v>45170</v>
      </c>
      <c r="M2780" s="1" t="s">
        <v>86</v>
      </c>
      <c r="N2780" s="1" t="s">
        <v>121</v>
      </c>
      <c r="O2780" s="1" t="s">
        <v>45171</v>
      </c>
      <c r="P2780" s="1" t="s">
        <v>89</v>
      </c>
      <c r="Q2780" s="1">
        <v>809035409924</v>
      </c>
      <c r="R2780" s="1" t="s">
        <v>45172</v>
      </c>
      <c r="S2780" s="1">
        <v>8281880974</v>
      </c>
      <c r="T2780" s="1" t="s">
        <v>45173</v>
      </c>
      <c r="U2780" s="1" t="s">
        <v>45174</v>
      </c>
      <c r="V2780" s="1">
        <v>9946242181</v>
      </c>
      <c r="W2780" s="1" t="s">
        <v>45175</v>
      </c>
      <c r="X2780" s="1" t="s">
        <v>45176</v>
      </c>
      <c r="Y2780" s="1" t="s">
        <v>1307</v>
      </c>
      <c r="Z2780" s="1" t="s">
        <v>130</v>
      </c>
      <c r="AA2780" s="1" t="s">
        <v>45176</v>
      </c>
      <c r="AB2780" s="1" t="s">
        <v>1307</v>
      </c>
      <c r="AC2780" s="1" t="s">
        <v>130</v>
      </c>
      <c r="AD2780" s="1" t="s">
        <v>98</v>
      </c>
      <c r="AE2780" s="1" t="s">
        <v>98</v>
      </c>
      <c r="AF2780" s="1" t="s">
        <v>45177</v>
      </c>
      <c r="AG2780" s="1" t="s">
        <v>45178</v>
      </c>
      <c r="AH2780" s="1" t="s">
        <v>3421</v>
      </c>
      <c r="AI2780" s="1" t="s">
        <v>1262</v>
      </c>
      <c r="AJ2780" s="1">
        <v>76</v>
      </c>
      <c r="AK2780" s="1">
        <v>8.0</v>
      </c>
      <c r="AL2780" s="1" t="s">
        <v>45179</v>
      </c>
      <c r="AM2780" s="1" t="s">
        <v>44720</v>
      </c>
      <c r="AN2780" s="1" t="s">
        <v>465</v>
      </c>
      <c r="AO2780" s="1" t="s">
        <v>257</v>
      </c>
      <c r="AP2780" s="1" t="s">
        <v>627</v>
      </c>
      <c r="AQ2780" s="1">
        <v>79.5</v>
      </c>
      <c r="AR2780" s="1"/>
      <c r="AS2780" s="1"/>
      <c r="AT2780" s="1"/>
      <c r="AU2780" s="1"/>
      <c r="AV2780" s="1"/>
      <c r="AW2780" s="1"/>
      <c r="AX2780" s="1"/>
      <c r="AY2780" s="1" t="s">
        <v>15901</v>
      </c>
      <c r="AZ2780" s="1" t="s">
        <v>45180</v>
      </c>
      <c r="BA2780" s="1" t="s">
        <v>466</v>
      </c>
      <c r="BB2780" s="1" t="s">
        <v>467</v>
      </c>
      <c r="BC2780" s="1" t="s">
        <v>139</v>
      </c>
      <c r="BD2780" s="1" t="s">
        <v>7737</v>
      </c>
      <c r="BE2780" s="1">
        <v>67.6</v>
      </c>
      <c r="BF2780" s="1">
        <v>6.76</v>
      </c>
      <c r="BG2780" s="1"/>
      <c r="BH2780" s="1"/>
      <c r="BI2780" s="1"/>
      <c r="BJ2780" s="1"/>
      <c r="BK2780" s="1"/>
      <c r="BL2780" s="1"/>
      <c r="BM2780" s="1"/>
      <c r="BN2780" s="1"/>
      <c r="BO2780" s="1" t="s">
        <v>45181</v>
      </c>
      <c r="BP2780" s="1"/>
      <c r="BQ2780" s="1"/>
      <c r="BR2780" s="1" t="s">
        <v>45182</v>
      </c>
      <c r="BS2780" s="1">
        <v>15</v>
      </c>
      <c r="BT2780" s="1"/>
      <c r="BU2780" s="1" t="str">
        <f>HYPERLINK("https://nconnect.nicmar.ac.in/storage/profile/6a7804ef207d2.png","Download")</f>
        <v>0</v>
      </c>
      <c r="BV2780" s="3"/>
      <c r="BW2780" s="3"/>
    </row>
    <row r="2781" spans="1:75">
      <c r="A2781" s="1" t="s">
        <v>40756</v>
      </c>
      <c r="B2781" s="1" t="s">
        <v>44111</v>
      </c>
      <c r="C2781" s="1" t="s">
        <v>45183</v>
      </c>
      <c r="D2781" s="1" t="s">
        <v>39910</v>
      </c>
      <c r="E2781" s="1" t="s">
        <v>9660</v>
      </c>
      <c r="F2781" s="1" t="s">
        <v>45184</v>
      </c>
      <c r="G2781" s="1" t="s">
        <v>45185</v>
      </c>
      <c r="H2781" s="1" t="s">
        <v>45186</v>
      </c>
      <c r="I2781" s="1" t="s">
        <v>45186</v>
      </c>
      <c r="J2781" s="1">
        <v>9763962754</v>
      </c>
      <c r="K2781" s="1" t="s">
        <v>84</v>
      </c>
      <c r="L2781" s="1" t="s">
        <v>45187</v>
      </c>
      <c r="M2781" s="1" t="s">
        <v>86</v>
      </c>
      <c r="N2781" s="1" t="s">
        <v>20131</v>
      </c>
      <c r="O2781" s="1" t="s">
        <v>45188</v>
      </c>
      <c r="P2781" s="1" t="s">
        <v>219</v>
      </c>
      <c r="Q2781" s="1">
        <v>577027176102</v>
      </c>
      <c r="R2781" s="1" t="s">
        <v>45189</v>
      </c>
      <c r="S2781" s="1">
        <v>9404635237</v>
      </c>
      <c r="T2781" s="1" t="s">
        <v>13987</v>
      </c>
      <c r="U2781" s="1" t="s">
        <v>45190</v>
      </c>
      <c r="V2781" s="1">
        <v>8275984873</v>
      </c>
      <c r="W2781" s="1" t="s">
        <v>14212</v>
      </c>
      <c r="X2781" s="1" t="s">
        <v>45191</v>
      </c>
      <c r="Y2781" s="1" t="s">
        <v>309</v>
      </c>
      <c r="Z2781" s="1" t="s">
        <v>97</v>
      </c>
      <c r="AA2781" s="1" t="s">
        <v>45192</v>
      </c>
      <c r="AB2781" s="1" t="s">
        <v>196</v>
      </c>
      <c r="AC2781" s="1" t="s">
        <v>97</v>
      </c>
      <c r="AD2781" s="1" t="s">
        <v>98</v>
      </c>
      <c r="AE2781" s="1" t="s">
        <v>98</v>
      </c>
      <c r="AF2781" s="1" t="s">
        <v>45193</v>
      </c>
      <c r="AG2781" s="1" t="s">
        <v>45194</v>
      </c>
      <c r="AH2781" s="1" t="s">
        <v>45195</v>
      </c>
      <c r="AI2781" s="1" t="s">
        <v>101</v>
      </c>
      <c r="AJ2781" s="1">
        <v>79.4</v>
      </c>
      <c r="AK2781" s="1"/>
      <c r="AL2781" s="1"/>
      <c r="AM2781" s="1"/>
      <c r="AN2781" s="1"/>
      <c r="AO2781" s="1"/>
      <c r="AP2781" s="1"/>
      <c r="AQ2781" s="1"/>
      <c r="AR2781" s="1"/>
      <c r="AS2781" s="1" t="s">
        <v>14158</v>
      </c>
      <c r="AT2781" s="1" t="s">
        <v>45196</v>
      </c>
      <c r="AU2781" s="1" t="s">
        <v>135</v>
      </c>
      <c r="AV2781" s="1" t="s">
        <v>170</v>
      </c>
      <c r="AW2781" s="1">
        <v>68.73</v>
      </c>
      <c r="AX2781" s="1"/>
      <c r="AY2781" s="1" t="s">
        <v>45197</v>
      </c>
      <c r="AZ2781" s="1" t="s">
        <v>45198</v>
      </c>
      <c r="BA2781" s="1" t="s">
        <v>578</v>
      </c>
      <c r="BB2781" s="1" t="s">
        <v>467</v>
      </c>
      <c r="BC2781" s="1" t="s">
        <v>230</v>
      </c>
      <c r="BD2781" s="1" t="s">
        <v>552</v>
      </c>
      <c r="BE2781" s="1">
        <v>68.88</v>
      </c>
      <c r="BF2781" s="1">
        <v>7.59</v>
      </c>
      <c r="BG2781" s="1"/>
      <c r="BH2781" s="1"/>
      <c r="BI2781" s="1"/>
      <c r="BJ2781" s="1"/>
      <c r="BK2781" s="1"/>
      <c r="BL2781" s="1"/>
      <c r="BM2781" s="1"/>
      <c r="BN2781" s="1"/>
      <c r="BO2781" s="1" t="s">
        <v>45199</v>
      </c>
      <c r="BP2781" s="1"/>
      <c r="BQ2781" s="1"/>
      <c r="BR2781" s="1"/>
      <c r="BS2781" s="1"/>
      <c r="BT2781" s="1" t="s">
        <v>45200</v>
      </c>
      <c r="BU2781" s="1" t="str">
        <f>HYPERLINK("https://nconnect.nicmar.ac.in/storage/profile/6a78452350642.png","Download")</f>
        <v>0</v>
      </c>
      <c r="BV2781" s="3"/>
      <c r="BW2781" s="3"/>
    </row>
    <row r="2782" spans="1:75">
      <c r="A2782" s="1" t="s">
        <v>45201</v>
      </c>
      <c r="B2782" s="1" t="s">
        <v>13976</v>
      </c>
      <c r="C2782" s="1" t="s">
        <v>45202</v>
      </c>
      <c r="D2782" s="1" t="s">
        <v>148</v>
      </c>
      <c r="E2782" s="1"/>
      <c r="F2782" s="1" t="s">
        <v>117</v>
      </c>
      <c r="G2782" s="1" t="s">
        <v>45203</v>
      </c>
      <c r="H2782" s="1" t="s">
        <v>45204</v>
      </c>
      <c r="I2782" s="1" t="s">
        <v>45204</v>
      </c>
      <c r="J2782" s="1">
        <v>7620782059</v>
      </c>
      <c r="K2782" s="1" t="s">
        <v>153</v>
      </c>
      <c r="L2782" s="1" t="s">
        <v>45205</v>
      </c>
      <c r="M2782" s="1" t="s">
        <v>86</v>
      </c>
      <c r="N2782" s="1" t="s">
        <v>45206</v>
      </c>
      <c r="O2782" s="1" t="s">
        <v>45207</v>
      </c>
      <c r="P2782" s="1" t="s">
        <v>89</v>
      </c>
      <c r="Q2782" s="1" t="s">
        <v>45208</v>
      </c>
      <c r="R2782" s="1" t="s">
        <v>45209</v>
      </c>
      <c r="S2782" s="1">
        <v>7798315090</v>
      </c>
      <c r="T2782" s="1" t="s">
        <v>125</v>
      </c>
      <c r="U2782" s="1" t="s">
        <v>45210</v>
      </c>
      <c r="V2782" s="1">
        <v>7820926719</v>
      </c>
      <c r="W2782" s="1" t="s">
        <v>125</v>
      </c>
      <c r="X2782" s="1" t="s">
        <v>45211</v>
      </c>
      <c r="Y2782" s="1" t="s">
        <v>196</v>
      </c>
      <c r="Z2782" s="1" t="s">
        <v>97</v>
      </c>
      <c r="AA2782" s="1" t="s">
        <v>45211</v>
      </c>
      <c r="AB2782" s="1" t="s">
        <v>196</v>
      </c>
      <c r="AC2782" s="1" t="s">
        <v>97</v>
      </c>
      <c r="AD2782" s="1" t="s">
        <v>98</v>
      </c>
      <c r="AE2782" s="1" t="s">
        <v>98</v>
      </c>
      <c r="AF2782" s="1" t="s">
        <v>45212</v>
      </c>
      <c r="AG2782" s="1" t="s">
        <v>796</v>
      </c>
      <c r="AH2782" s="1" t="s">
        <v>704</v>
      </c>
      <c r="AI2782" s="1" t="s">
        <v>286</v>
      </c>
      <c r="AJ2782" s="1">
        <v>94.6</v>
      </c>
      <c r="AK2782" s="1">
        <v>9.96</v>
      </c>
      <c r="AL2782" s="1" t="s">
        <v>45212</v>
      </c>
      <c r="AM2782" s="1" t="s">
        <v>796</v>
      </c>
      <c r="AN2782" s="1" t="s">
        <v>575</v>
      </c>
      <c r="AO2782" s="1" t="s">
        <v>547</v>
      </c>
      <c r="AP2782" s="1" t="s">
        <v>603</v>
      </c>
      <c r="AQ2782" s="1">
        <v>94.2</v>
      </c>
      <c r="AR2782" s="1">
        <v>9.92</v>
      </c>
      <c r="AS2782" s="1"/>
      <c r="AT2782" s="1"/>
      <c r="AU2782" s="1"/>
      <c r="AV2782" s="1"/>
      <c r="AW2782" s="1"/>
      <c r="AX2782" s="1"/>
      <c r="AY2782" s="1" t="s">
        <v>14160</v>
      </c>
      <c r="AZ2782" s="1" t="s">
        <v>45213</v>
      </c>
      <c r="BA2782" s="1" t="s">
        <v>682</v>
      </c>
      <c r="BB2782" s="1" t="s">
        <v>1561</v>
      </c>
      <c r="BC2782" s="1" t="s">
        <v>977</v>
      </c>
      <c r="BD2782" s="1" t="s">
        <v>607</v>
      </c>
      <c r="BE2782" s="1">
        <v>87.8</v>
      </c>
      <c r="BF2782" s="1">
        <v>9.4</v>
      </c>
      <c r="BG2782" s="1"/>
      <c r="BH2782" s="1"/>
      <c r="BI2782" s="1"/>
      <c r="BJ2782" s="1"/>
      <c r="BK2782" s="1"/>
      <c r="BL2782" s="1"/>
      <c r="BM2782" s="1"/>
      <c r="BN2782" s="1"/>
      <c r="BO2782" s="1" t="s">
        <v>45214</v>
      </c>
      <c r="BP2782" s="1"/>
      <c r="BQ2782" s="1"/>
      <c r="BR2782" s="1" t="s">
        <v>45215</v>
      </c>
      <c r="BS2782" s="1">
        <v>26</v>
      </c>
      <c r="BT2782" s="1"/>
      <c r="BU2782" s="1" t="str">
        <f>HYPERLINK("https://nconnect.nicmar.ac.in/storage/profile/6a85a79ec92c6.png","Download")</f>
        <v>0</v>
      </c>
      <c r="BV2782" s="3"/>
      <c r="BW2782" s="3"/>
    </row>
    <row r="2783" spans="1:75">
      <c r="A2783" s="1" t="s">
        <v>45201</v>
      </c>
      <c r="B2783" s="1" t="s">
        <v>13976</v>
      </c>
      <c r="C2783" s="1" t="s">
        <v>45216</v>
      </c>
      <c r="D2783" s="1" t="s">
        <v>45217</v>
      </c>
      <c r="E2783" s="1" t="s">
        <v>45218</v>
      </c>
      <c r="F2783" s="1" t="s">
        <v>45219</v>
      </c>
      <c r="G2783" s="1" t="s">
        <v>45220</v>
      </c>
      <c r="H2783" s="1" t="s">
        <v>45221</v>
      </c>
      <c r="I2783" s="1" t="s">
        <v>45221</v>
      </c>
      <c r="J2783" s="1">
        <v>9892421037</v>
      </c>
      <c r="K2783" s="1" t="s">
        <v>153</v>
      </c>
      <c r="L2783" s="1" t="s">
        <v>34061</v>
      </c>
      <c r="M2783" s="1" t="s">
        <v>86</v>
      </c>
      <c r="N2783" s="1" t="s">
        <v>45222</v>
      </c>
      <c r="O2783" s="1" t="s">
        <v>45223</v>
      </c>
      <c r="P2783" s="1" t="s">
        <v>219</v>
      </c>
      <c r="Q2783" s="1">
        <v>774003392769</v>
      </c>
      <c r="R2783" s="1" t="s">
        <v>45218</v>
      </c>
      <c r="S2783" s="1">
        <v>9869284448</v>
      </c>
      <c r="T2783" s="1" t="s">
        <v>2177</v>
      </c>
      <c r="U2783" s="1" t="s">
        <v>45224</v>
      </c>
      <c r="V2783" s="1">
        <v>9773426272</v>
      </c>
      <c r="W2783" s="1" t="s">
        <v>21080</v>
      </c>
      <c r="X2783" s="1" t="s">
        <v>45225</v>
      </c>
      <c r="Y2783" s="1" t="s">
        <v>1882</v>
      </c>
      <c r="Z2783" s="1" t="s">
        <v>97</v>
      </c>
      <c r="AA2783" s="1" t="s">
        <v>45225</v>
      </c>
      <c r="AB2783" s="1" t="s">
        <v>1882</v>
      </c>
      <c r="AC2783" s="1" t="s">
        <v>97</v>
      </c>
      <c r="AD2783" s="1" t="s">
        <v>98</v>
      </c>
      <c r="AE2783" s="1" t="s">
        <v>98</v>
      </c>
      <c r="AF2783" s="1" t="s">
        <v>45226</v>
      </c>
      <c r="AG2783" s="1" t="s">
        <v>14079</v>
      </c>
      <c r="AH2783" s="1" t="s">
        <v>102</v>
      </c>
      <c r="AI2783" s="1" t="s">
        <v>1111</v>
      </c>
      <c r="AJ2783" s="1">
        <v>86.8</v>
      </c>
      <c r="AK2783" s="1"/>
      <c r="AL2783" s="1" t="s">
        <v>39775</v>
      </c>
      <c r="AM2783" s="1" t="s">
        <v>14079</v>
      </c>
      <c r="AN2783" s="1" t="s">
        <v>575</v>
      </c>
      <c r="AO2783" s="1" t="s">
        <v>518</v>
      </c>
      <c r="AP2783" s="1" t="s">
        <v>1477</v>
      </c>
      <c r="AQ2783" s="1">
        <v>63.38</v>
      </c>
      <c r="AR2783" s="1"/>
      <c r="AS2783" s="1"/>
      <c r="AT2783" s="1"/>
      <c r="AU2783" s="1"/>
      <c r="AV2783" s="1"/>
      <c r="AW2783" s="1"/>
      <c r="AX2783" s="1"/>
      <c r="AY2783" s="1" t="s">
        <v>14059</v>
      </c>
      <c r="AZ2783" s="1" t="s">
        <v>45227</v>
      </c>
      <c r="BA2783" s="1" t="s">
        <v>682</v>
      </c>
      <c r="BB2783" s="1" t="s">
        <v>683</v>
      </c>
      <c r="BC2783" s="1" t="s">
        <v>286</v>
      </c>
      <c r="BD2783" s="1" t="s">
        <v>579</v>
      </c>
      <c r="BE2783" s="1">
        <v>69.35</v>
      </c>
      <c r="BF2783" s="1">
        <v>7.75</v>
      </c>
      <c r="BG2783" s="1"/>
      <c r="BH2783" s="1"/>
      <c r="BI2783" s="1"/>
      <c r="BJ2783" s="1"/>
      <c r="BK2783" s="1"/>
      <c r="BL2783" s="1"/>
      <c r="BM2783" s="1"/>
      <c r="BN2783" s="1"/>
      <c r="BO2783" s="1" t="s">
        <v>45228</v>
      </c>
      <c r="BP2783" s="1" t="s">
        <v>45229</v>
      </c>
      <c r="BQ2783" s="1" t="s">
        <v>8862</v>
      </c>
      <c r="BR2783" s="1" t="s">
        <v>45230</v>
      </c>
      <c r="BS2783" s="1">
        <v>23</v>
      </c>
      <c r="BT2783" s="1" t="s">
        <v>45231</v>
      </c>
      <c r="BU2783" s="1" t="str">
        <f>HYPERLINK("https://nconnect.nicmar.ac.in/storage/profile/6a849286a6984.png","Download")</f>
        <v>0</v>
      </c>
      <c r="BV2783" s="3"/>
      <c r="BW2783" s="3"/>
    </row>
    <row r="2784" spans="1:75">
      <c r="A2784" s="1" t="s">
        <v>35379</v>
      </c>
      <c r="B2784" s="1" t="s">
        <v>13976</v>
      </c>
      <c r="C2784" s="1" t="s">
        <v>45232</v>
      </c>
      <c r="D2784" s="1" t="s">
        <v>45233</v>
      </c>
      <c r="E2784" s="1" t="s">
        <v>45218</v>
      </c>
      <c r="F2784" s="1" t="s">
        <v>45234</v>
      </c>
      <c r="G2784" s="1" t="s">
        <v>45235</v>
      </c>
      <c r="H2784" s="1" t="s">
        <v>45236</v>
      </c>
      <c r="I2784" s="1" t="s">
        <v>45237</v>
      </c>
      <c r="J2784" s="1">
        <v>9284011827</v>
      </c>
      <c r="K2784" s="1" t="s">
        <v>153</v>
      </c>
      <c r="L2784" s="1" t="s">
        <v>3146</v>
      </c>
      <c r="M2784" s="1" t="s">
        <v>86</v>
      </c>
      <c r="N2784" s="1" t="s">
        <v>768</v>
      </c>
      <c r="O2784" s="1" t="s">
        <v>45238</v>
      </c>
      <c r="P2784" s="1" t="s">
        <v>89</v>
      </c>
      <c r="Q2784" s="1">
        <v>724090554461</v>
      </c>
      <c r="R2784" s="1" t="s">
        <v>45239</v>
      </c>
      <c r="S2784" s="1">
        <v>9822515792</v>
      </c>
      <c r="T2784" s="1" t="s">
        <v>15354</v>
      </c>
      <c r="U2784" s="1" t="s">
        <v>45240</v>
      </c>
      <c r="V2784" s="1">
        <v>8788402925</v>
      </c>
      <c r="W2784" s="1" t="s">
        <v>14234</v>
      </c>
      <c r="X2784" s="1" t="s">
        <v>45241</v>
      </c>
      <c r="Y2784" s="1" t="s">
        <v>196</v>
      </c>
      <c r="Z2784" s="1" t="s">
        <v>97</v>
      </c>
      <c r="AA2784" s="1" t="s">
        <v>45241</v>
      </c>
      <c r="AB2784" s="1" t="s">
        <v>196</v>
      </c>
      <c r="AC2784" s="1" t="s">
        <v>97</v>
      </c>
      <c r="AD2784" s="1" t="s">
        <v>98</v>
      </c>
      <c r="AE2784" s="1" t="s">
        <v>98</v>
      </c>
      <c r="AF2784" s="1" t="s">
        <v>29824</v>
      </c>
      <c r="AG2784" s="1" t="s">
        <v>45242</v>
      </c>
      <c r="AH2784" s="1" t="s">
        <v>106</v>
      </c>
      <c r="AI2784" s="1" t="s">
        <v>313</v>
      </c>
      <c r="AJ2784" s="1">
        <v>81.4</v>
      </c>
      <c r="AK2784" s="1"/>
      <c r="AL2784" s="1" t="s">
        <v>45243</v>
      </c>
      <c r="AM2784" s="1" t="s">
        <v>3829</v>
      </c>
      <c r="AN2784" s="1" t="s">
        <v>465</v>
      </c>
      <c r="AO2784" s="1" t="s">
        <v>468</v>
      </c>
      <c r="AP2784" s="1" t="s">
        <v>845</v>
      </c>
      <c r="AQ2784" s="1">
        <v>90.17</v>
      </c>
      <c r="AR2784" s="1"/>
      <c r="AS2784" s="1"/>
      <c r="AT2784" s="1"/>
      <c r="AU2784" s="1"/>
      <c r="AV2784" s="1"/>
      <c r="AW2784" s="1"/>
      <c r="AX2784" s="1"/>
      <c r="AY2784" s="1" t="s">
        <v>9545</v>
      </c>
      <c r="AZ2784" s="1" t="s">
        <v>3968</v>
      </c>
      <c r="BA2784" s="1" t="s">
        <v>682</v>
      </c>
      <c r="BB2784" s="1" t="s">
        <v>1561</v>
      </c>
      <c r="BC2784" s="1" t="s">
        <v>847</v>
      </c>
      <c r="BD2784" s="1" t="s">
        <v>9688</v>
      </c>
      <c r="BE2784" s="1">
        <v>76.0</v>
      </c>
      <c r="BF2784" s="1">
        <v>8.0</v>
      </c>
      <c r="BG2784" s="1"/>
      <c r="BH2784" s="1"/>
      <c r="BI2784" s="1"/>
      <c r="BJ2784" s="1"/>
      <c r="BK2784" s="1"/>
      <c r="BL2784" s="1"/>
      <c r="BM2784" s="1"/>
      <c r="BN2784" s="1"/>
      <c r="BO2784" s="1" t="s">
        <v>45244</v>
      </c>
      <c r="BP2784" s="1"/>
      <c r="BQ2784" s="1"/>
      <c r="BR2784" s="1" t="s">
        <v>45245</v>
      </c>
      <c r="BS2784" s="1">
        <v>24</v>
      </c>
      <c r="BT2784" s="1"/>
      <c r="BU2784" s="1" t="str">
        <f>HYPERLINK("https://nconnect.nicmar.ac.in/storage/profile/6a85ec64a0fc5.png","Download")</f>
        <v>0</v>
      </c>
      <c r="BV2784" s="3"/>
      <c r="BW2784" s="3"/>
    </row>
    <row r="2785" spans="1:75">
      <c r="A2785" s="1" t="s">
        <v>35379</v>
      </c>
      <c r="B2785" s="1" t="s">
        <v>13976</v>
      </c>
      <c r="C2785" s="1" t="s">
        <v>45246</v>
      </c>
      <c r="D2785" s="1" t="s">
        <v>45247</v>
      </c>
      <c r="E2785" s="1" t="s">
        <v>45248</v>
      </c>
      <c r="F2785" s="1" t="s">
        <v>45249</v>
      </c>
      <c r="G2785" s="1" t="s">
        <v>45250</v>
      </c>
      <c r="H2785" s="1" t="s">
        <v>45251</v>
      </c>
      <c r="I2785" s="1" t="s">
        <v>45252</v>
      </c>
      <c r="J2785" s="1">
        <v>8788453135</v>
      </c>
      <c r="K2785" s="1" t="s">
        <v>153</v>
      </c>
      <c r="L2785" s="1" t="s">
        <v>9429</v>
      </c>
      <c r="M2785" s="1" t="s">
        <v>86</v>
      </c>
      <c r="N2785" s="1" t="s">
        <v>14230</v>
      </c>
      <c r="O2785" s="1" t="s">
        <v>45253</v>
      </c>
      <c r="P2785" s="1" t="s">
        <v>89</v>
      </c>
      <c r="Q2785" s="1">
        <v>703048634669</v>
      </c>
      <c r="R2785" s="1" t="s">
        <v>45254</v>
      </c>
      <c r="S2785" s="1">
        <v>8390385971</v>
      </c>
      <c r="T2785" s="1" t="s">
        <v>45255</v>
      </c>
      <c r="U2785" s="1" t="s">
        <v>45256</v>
      </c>
      <c r="V2785" s="1">
        <v>8390385971</v>
      </c>
      <c r="W2785" s="1" t="s">
        <v>14154</v>
      </c>
      <c r="X2785" s="1" t="s">
        <v>45257</v>
      </c>
      <c r="Y2785" s="1" t="s">
        <v>624</v>
      </c>
      <c r="Z2785" s="1" t="s">
        <v>97</v>
      </c>
      <c r="AA2785" s="1" t="s">
        <v>45258</v>
      </c>
      <c r="AB2785" s="1" t="s">
        <v>196</v>
      </c>
      <c r="AC2785" s="1" t="s">
        <v>97</v>
      </c>
      <c r="AD2785" s="1" t="s">
        <v>98</v>
      </c>
      <c r="AE2785" s="1" t="s">
        <v>98</v>
      </c>
      <c r="AF2785" s="1" t="s">
        <v>45259</v>
      </c>
      <c r="AG2785" s="1" t="s">
        <v>45260</v>
      </c>
      <c r="AH2785" s="1" t="s">
        <v>167</v>
      </c>
      <c r="AI2785" s="1" t="s">
        <v>170</v>
      </c>
      <c r="AJ2785" s="1">
        <v>87.2</v>
      </c>
      <c r="AK2785" s="1"/>
      <c r="AL2785" s="1" t="s">
        <v>45261</v>
      </c>
      <c r="AM2785" s="1" t="s">
        <v>45262</v>
      </c>
      <c r="AN2785" s="1" t="s">
        <v>575</v>
      </c>
      <c r="AO2785" s="1" t="s">
        <v>106</v>
      </c>
      <c r="AP2785" s="1" t="s">
        <v>438</v>
      </c>
      <c r="AQ2785" s="1">
        <v>64.77</v>
      </c>
      <c r="AR2785" s="1"/>
      <c r="AS2785" s="1"/>
      <c r="AT2785" s="1"/>
      <c r="AU2785" s="1"/>
      <c r="AV2785" s="1"/>
      <c r="AW2785" s="1"/>
      <c r="AX2785" s="1"/>
      <c r="AY2785" s="1" t="s">
        <v>45263</v>
      </c>
      <c r="AZ2785" s="1" t="s">
        <v>45264</v>
      </c>
      <c r="BA2785" s="1" t="s">
        <v>682</v>
      </c>
      <c r="BB2785" s="1" t="s">
        <v>1561</v>
      </c>
      <c r="BC2785" s="1" t="s">
        <v>206</v>
      </c>
      <c r="BD2785" s="1" t="s">
        <v>418</v>
      </c>
      <c r="BE2785" s="1">
        <v>78.85</v>
      </c>
      <c r="BF2785" s="1"/>
      <c r="BG2785" s="1"/>
      <c r="BH2785" s="1"/>
      <c r="BI2785" s="1"/>
      <c r="BJ2785" s="1"/>
      <c r="BK2785" s="1"/>
      <c r="BL2785" s="1"/>
      <c r="BM2785" s="1"/>
      <c r="BN2785" s="1"/>
      <c r="BO2785" s="1" t="s">
        <v>849</v>
      </c>
      <c r="BP2785" s="1" t="s">
        <v>45265</v>
      </c>
      <c r="BQ2785" s="1" t="s">
        <v>292</v>
      </c>
      <c r="BR2785" s="1"/>
      <c r="BS2785" s="1"/>
      <c r="BT2785" s="1"/>
      <c r="BU2785" s="1" t="str">
        <f>HYPERLINK("https://nconnect.nicmar.ac.in/storage/profile/6a8b352307357.png","Download")</f>
        <v>0</v>
      </c>
      <c r="BV2785" s="3"/>
      <c r="BW2785" s="3"/>
    </row>
    <row r="2786" spans="1:75">
      <c r="A2786" s="1" t="s">
        <v>35379</v>
      </c>
      <c r="B2786" s="1" t="s">
        <v>13976</v>
      </c>
      <c r="C2786" s="1" t="s">
        <v>45266</v>
      </c>
      <c r="D2786" s="1" t="s">
        <v>45267</v>
      </c>
      <c r="E2786" s="1"/>
      <c r="F2786" s="1" t="s">
        <v>45268</v>
      </c>
      <c r="G2786" s="1" t="s">
        <v>45269</v>
      </c>
      <c r="H2786" s="1" t="s">
        <v>45270</v>
      </c>
      <c r="I2786" s="1" t="s">
        <v>45271</v>
      </c>
      <c r="J2786" s="1">
        <v>9513384511</v>
      </c>
      <c r="K2786" s="1" t="s">
        <v>153</v>
      </c>
      <c r="L2786" s="1" t="s">
        <v>1876</v>
      </c>
      <c r="M2786" s="1" t="s">
        <v>86</v>
      </c>
      <c r="N2786" s="1" t="s">
        <v>45272</v>
      </c>
      <c r="O2786" s="1" t="s">
        <v>45273</v>
      </c>
      <c r="P2786" s="1" t="s">
        <v>219</v>
      </c>
      <c r="Q2786" s="1">
        <v>384713418002</v>
      </c>
      <c r="R2786" s="1" t="s">
        <v>45274</v>
      </c>
      <c r="S2786" s="1">
        <v>9448384511</v>
      </c>
      <c r="T2786" s="1" t="s">
        <v>14800</v>
      </c>
      <c r="U2786" s="1" t="s">
        <v>45275</v>
      </c>
      <c r="V2786" s="1">
        <v>9449973377</v>
      </c>
      <c r="W2786" s="1" t="s">
        <v>14154</v>
      </c>
      <c r="X2786" s="1" t="s">
        <v>45276</v>
      </c>
      <c r="Y2786" s="1" t="s">
        <v>1623</v>
      </c>
      <c r="Z2786" s="1" t="s">
        <v>1210</v>
      </c>
      <c r="AA2786" s="1" t="s">
        <v>45276</v>
      </c>
      <c r="AB2786" s="1" t="s">
        <v>1623</v>
      </c>
      <c r="AC2786" s="1" t="s">
        <v>1210</v>
      </c>
      <c r="AD2786" s="1" t="s">
        <v>98</v>
      </c>
      <c r="AE2786" s="1" t="s">
        <v>98</v>
      </c>
      <c r="AF2786" s="1" t="s">
        <v>45277</v>
      </c>
      <c r="AG2786" s="1" t="s">
        <v>9682</v>
      </c>
      <c r="AH2786" s="1" t="s">
        <v>106</v>
      </c>
      <c r="AI2786" s="1" t="s">
        <v>313</v>
      </c>
      <c r="AJ2786" s="1">
        <v>79.2</v>
      </c>
      <c r="AK2786" s="1"/>
      <c r="AL2786" s="1" t="s">
        <v>45278</v>
      </c>
      <c r="AM2786" s="1" t="s">
        <v>45279</v>
      </c>
      <c r="AN2786" s="1" t="s">
        <v>465</v>
      </c>
      <c r="AO2786" s="1" t="s">
        <v>468</v>
      </c>
      <c r="AP2786" s="1" t="s">
        <v>549</v>
      </c>
      <c r="AQ2786" s="1">
        <v>77.17</v>
      </c>
      <c r="AR2786" s="1"/>
      <c r="AS2786" s="1"/>
      <c r="AT2786" s="1"/>
      <c r="AU2786" s="1"/>
      <c r="AV2786" s="1"/>
      <c r="AW2786" s="1"/>
      <c r="AX2786" s="1"/>
      <c r="AY2786" s="1" t="s">
        <v>45280</v>
      </c>
      <c r="AZ2786" s="1" t="s">
        <v>45281</v>
      </c>
      <c r="BA2786" s="1" t="s">
        <v>682</v>
      </c>
      <c r="BB2786" s="1" t="s">
        <v>683</v>
      </c>
      <c r="BC2786" s="1" t="s">
        <v>871</v>
      </c>
      <c r="BD2786" s="1" t="s">
        <v>14162</v>
      </c>
      <c r="BE2786" s="1">
        <v>73.3</v>
      </c>
      <c r="BF2786" s="1">
        <v>8.08</v>
      </c>
      <c r="BG2786" s="1"/>
      <c r="BH2786" s="1"/>
      <c r="BI2786" s="1"/>
      <c r="BJ2786" s="1"/>
      <c r="BK2786" s="1"/>
      <c r="BL2786" s="1"/>
      <c r="BM2786" s="1"/>
      <c r="BN2786" s="1"/>
      <c r="BO2786" s="1" t="s">
        <v>45282</v>
      </c>
      <c r="BP2786" s="1"/>
      <c r="BQ2786" s="1"/>
      <c r="BR2786" s="1" t="s">
        <v>45283</v>
      </c>
      <c r="BS2786" s="1">
        <v>23</v>
      </c>
      <c r="BT2786" s="1"/>
      <c r="BU2786" s="1" t="str">
        <f>HYPERLINK("https://nconnect.nicmar.ac.in/storage/profile/6a85e377db27d.png","Download")</f>
        <v>0</v>
      </c>
      <c r="BV2786" s="3"/>
      <c r="BW2786" s="3"/>
    </row>
    <row r="2787" spans="1:75">
      <c r="A2787" s="1" t="s">
        <v>35379</v>
      </c>
      <c r="B2787" s="1" t="s">
        <v>13976</v>
      </c>
      <c r="C2787" s="1" t="s">
        <v>45284</v>
      </c>
      <c r="D2787" s="1" t="s">
        <v>25270</v>
      </c>
      <c r="E2787" s="1" t="s">
        <v>5753</v>
      </c>
      <c r="F2787" s="1" t="s">
        <v>41020</v>
      </c>
      <c r="G2787" s="1" t="s">
        <v>45285</v>
      </c>
      <c r="H2787" s="1" t="s">
        <v>45286</v>
      </c>
      <c r="I2787" s="1" t="s">
        <v>45287</v>
      </c>
      <c r="J2787" s="1">
        <v>8928078831</v>
      </c>
      <c r="K2787" s="1" t="s">
        <v>84</v>
      </c>
      <c r="L2787" s="1" t="s">
        <v>45288</v>
      </c>
      <c r="M2787" s="1" t="s">
        <v>86</v>
      </c>
      <c r="N2787" s="1" t="s">
        <v>618</v>
      </c>
      <c r="O2787" s="1" t="s">
        <v>45289</v>
      </c>
      <c r="P2787" s="1" t="s">
        <v>89</v>
      </c>
      <c r="Q2787" s="1">
        <v>202404999906</v>
      </c>
      <c r="R2787" s="1" t="s">
        <v>45290</v>
      </c>
      <c r="S2787" s="1">
        <v>8779251542</v>
      </c>
      <c r="T2787" s="1" t="s">
        <v>17561</v>
      </c>
      <c r="U2787" s="1" t="s">
        <v>45291</v>
      </c>
      <c r="V2787" s="1">
        <v>9326803036</v>
      </c>
      <c r="W2787" s="1" t="s">
        <v>14212</v>
      </c>
      <c r="X2787" s="1" t="s">
        <v>45292</v>
      </c>
      <c r="Y2787" s="1" t="s">
        <v>1012</v>
      </c>
      <c r="Z2787" s="1" t="s">
        <v>97</v>
      </c>
      <c r="AA2787" s="1" t="s">
        <v>45292</v>
      </c>
      <c r="AB2787" s="1" t="s">
        <v>1012</v>
      </c>
      <c r="AC2787" s="1" t="s">
        <v>97</v>
      </c>
      <c r="AD2787" s="1" t="s">
        <v>98</v>
      </c>
      <c r="AE2787" s="1" t="s">
        <v>98</v>
      </c>
      <c r="AF2787" s="1" t="s">
        <v>45293</v>
      </c>
      <c r="AG2787" s="1" t="s">
        <v>18795</v>
      </c>
      <c r="AH2787" s="1" t="s">
        <v>1602</v>
      </c>
      <c r="AI2787" s="1" t="s">
        <v>627</v>
      </c>
      <c r="AJ2787" s="1">
        <v>82.4</v>
      </c>
      <c r="AK2787" s="1">
        <v>8.67</v>
      </c>
      <c r="AL2787" s="1" t="s">
        <v>45294</v>
      </c>
      <c r="AM2787" s="1" t="s">
        <v>18795</v>
      </c>
      <c r="AN2787" s="1" t="s">
        <v>575</v>
      </c>
      <c r="AO2787" s="1" t="s">
        <v>167</v>
      </c>
      <c r="AP2787" s="1" t="s">
        <v>490</v>
      </c>
      <c r="AQ2787" s="1">
        <v>61.38</v>
      </c>
      <c r="AR2787" s="1">
        <v>6.46</v>
      </c>
      <c r="AS2787" s="1"/>
      <c r="AT2787" s="1"/>
      <c r="AU2787" s="1"/>
      <c r="AV2787" s="1"/>
      <c r="AW2787" s="1"/>
      <c r="AX2787" s="1"/>
      <c r="AY2787" s="1" t="s">
        <v>14059</v>
      </c>
      <c r="AZ2787" s="1" t="s">
        <v>45295</v>
      </c>
      <c r="BA2787" s="1" t="s">
        <v>682</v>
      </c>
      <c r="BB2787" s="1" t="s">
        <v>1561</v>
      </c>
      <c r="BC2787" s="1" t="s">
        <v>1065</v>
      </c>
      <c r="BD2787" s="1" t="s">
        <v>579</v>
      </c>
      <c r="BE2787" s="1">
        <v>56.59</v>
      </c>
      <c r="BF2787" s="1">
        <v>6.28</v>
      </c>
      <c r="BG2787" s="1"/>
      <c r="BH2787" s="1"/>
      <c r="BI2787" s="1"/>
      <c r="BJ2787" s="1"/>
      <c r="BK2787" s="1"/>
      <c r="BL2787" s="1"/>
      <c r="BM2787" s="1"/>
      <c r="BN2787" s="1"/>
      <c r="BO2787" s="1" t="s">
        <v>45296</v>
      </c>
      <c r="BP2787" s="1" t="s">
        <v>45297</v>
      </c>
      <c r="BQ2787" s="1" t="s">
        <v>10925</v>
      </c>
      <c r="BR2787" s="1" t="s">
        <v>45298</v>
      </c>
      <c r="BS2787" s="1">
        <v>15</v>
      </c>
      <c r="BT2787" s="1"/>
      <c r="BU2787" s="1" t="str">
        <f>HYPERLINK("https://nconnect.nicmar.ac.in/storage/profile/6a85e618350b4.png","Download")</f>
        <v>0</v>
      </c>
      <c r="BV2787" s="3"/>
      <c r="BW2787" s="3"/>
    </row>
    <row r="2788" spans="1:75">
      <c r="A2788" s="1" t="s">
        <v>35379</v>
      </c>
      <c r="B2788" s="1" t="s">
        <v>13976</v>
      </c>
      <c r="C2788" s="1" t="s">
        <v>45299</v>
      </c>
      <c r="D2788" s="1" t="s">
        <v>16124</v>
      </c>
      <c r="E2788" s="1"/>
      <c r="F2788" s="1" t="s">
        <v>45300</v>
      </c>
      <c r="G2788" s="1" t="s">
        <v>45301</v>
      </c>
      <c r="H2788" s="1" t="s">
        <v>45302</v>
      </c>
      <c r="I2788" s="1" t="s">
        <v>45303</v>
      </c>
      <c r="J2788" s="1">
        <v>7058873654</v>
      </c>
      <c r="K2788" s="1" t="s">
        <v>153</v>
      </c>
      <c r="L2788" s="1" t="s">
        <v>1124</v>
      </c>
      <c r="M2788" s="1" t="s">
        <v>86</v>
      </c>
      <c r="N2788" s="1" t="s">
        <v>4263</v>
      </c>
      <c r="O2788" s="1" t="s">
        <v>45304</v>
      </c>
      <c r="P2788" s="1" t="s">
        <v>219</v>
      </c>
      <c r="Q2788" s="1">
        <v>450378095504</v>
      </c>
      <c r="R2788" s="1" t="s">
        <v>45305</v>
      </c>
      <c r="S2788" s="1">
        <v>9822725921</v>
      </c>
      <c r="T2788" s="1" t="s">
        <v>3441</v>
      </c>
      <c r="U2788" s="1" t="s">
        <v>45306</v>
      </c>
      <c r="V2788" s="1">
        <v>9359753632</v>
      </c>
      <c r="W2788" s="1" t="s">
        <v>14154</v>
      </c>
      <c r="X2788" s="1" t="s">
        <v>45307</v>
      </c>
      <c r="Y2788" s="1" t="s">
        <v>333</v>
      </c>
      <c r="Z2788" s="1" t="s">
        <v>97</v>
      </c>
      <c r="AA2788" s="1" t="s">
        <v>45307</v>
      </c>
      <c r="AB2788" s="1" t="s">
        <v>333</v>
      </c>
      <c r="AC2788" s="1" t="s">
        <v>97</v>
      </c>
      <c r="AD2788" s="1" t="s">
        <v>98</v>
      </c>
      <c r="AE2788" s="1" t="s">
        <v>98</v>
      </c>
      <c r="AF2788" s="1" t="s">
        <v>45308</v>
      </c>
      <c r="AG2788" s="1" t="s">
        <v>23719</v>
      </c>
      <c r="AH2788" s="1" t="s">
        <v>167</v>
      </c>
      <c r="AI2788" s="1" t="s">
        <v>106</v>
      </c>
      <c r="AJ2788" s="1">
        <v>87.6</v>
      </c>
      <c r="AK2788" s="1"/>
      <c r="AL2788" s="1" t="s">
        <v>45309</v>
      </c>
      <c r="AM2788" s="1" t="s">
        <v>23719</v>
      </c>
      <c r="AN2788" s="1" t="s">
        <v>465</v>
      </c>
      <c r="AO2788" s="1" t="s">
        <v>174</v>
      </c>
      <c r="AP2788" s="1" t="s">
        <v>417</v>
      </c>
      <c r="AQ2788" s="1">
        <v>69.08</v>
      </c>
      <c r="AR2788" s="1"/>
      <c r="AS2788" s="1"/>
      <c r="AT2788" s="1"/>
      <c r="AU2788" s="1"/>
      <c r="AV2788" s="1"/>
      <c r="AW2788" s="1"/>
      <c r="AX2788" s="1"/>
      <c r="AY2788" s="1" t="s">
        <v>24672</v>
      </c>
      <c r="AZ2788" s="1" t="s">
        <v>45310</v>
      </c>
      <c r="BA2788" s="1" t="s">
        <v>682</v>
      </c>
      <c r="BB2788" s="1" t="s">
        <v>683</v>
      </c>
      <c r="BC2788" s="1" t="s">
        <v>368</v>
      </c>
      <c r="BD2788" s="1" t="s">
        <v>45311</v>
      </c>
      <c r="BE2788" s="1">
        <v>62.2</v>
      </c>
      <c r="BF2788" s="1">
        <v>6.97</v>
      </c>
      <c r="BG2788" s="1"/>
      <c r="BH2788" s="1"/>
      <c r="BI2788" s="1"/>
      <c r="BJ2788" s="1"/>
      <c r="BK2788" s="1"/>
      <c r="BL2788" s="1"/>
      <c r="BM2788" s="1"/>
      <c r="BN2788" s="1"/>
      <c r="BO2788" s="1" t="s">
        <v>45312</v>
      </c>
      <c r="BP2788" s="1" t="s">
        <v>45313</v>
      </c>
      <c r="BQ2788" s="1" t="s">
        <v>658</v>
      </c>
      <c r="BR2788" s="1" t="s">
        <v>45314</v>
      </c>
      <c r="BS2788" s="1">
        <v>23</v>
      </c>
      <c r="BT2788" s="1"/>
      <c r="BU2788" s="1" t="str">
        <f>HYPERLINK("https://nconnect.nicmar.ac.in/storage/profile/6a85dc4fadb6b.png","Download")</f>
        <v>0</v>
      </c>
      <c r="BV2788" s="3"/>
      <c r="BW2788" s="3"/>
    </row>
    <row r="2789" spans="1:75">
      <c r="A2789" s="1" t="s">
        <v>35379</v>
      </c>
      <c r="B2789" s="1" t="s">
        <v>13976</v>
      </c>
      <c r="C2789" s="1" t="s">
        <v>45315</v>
      </c>
      <c r="D2789" s="1" t="s">
        <v>18752</v>
      </c>
      <c r="E2789" s="1" t="s">
        <v>6518</v>
      </c>
      <c r="F2789" s="1" t="s">
        <v>45316</v>
      </c>
      <c r="G2789" s="1" t="s">
        <v>45317</v>
      </c>
      <c r="H2789" s="1" t="s">
        <v>45318</v>
      </c>
      <c r="I2789" s="1" t="s">
        <v>45319</v>
      </c>
      <c r="J2789" s="1">
        <v>9356972404</v>
      </c>
      <c r="K2789" s="1" t="s">
        <v>153</v>
      </c>
      <c r="L2789" s="1" t="s">
        <v>39566</v>
      </c>
      <c r="M2789" s="1" t="s">
        <v>86</v>
      </c>
      <c r="N2789" s="1" t="s">
        <v>45320</v>
      </c>
      <c r="O2789" s="1" t="s">
        <v>45321</v>
      </c>
      <c r="P2789" s="1" t="s">
        <v>219</v>
      </c>
      <c r="Q2789" s="1">
        <v>588076311680</v>
      </c>
      <c r="R2789" s="1" t="s">
        <v>45322</v>
      </c>
      <c r="S2789" s="1">
        <v>9823096200</v>
      </c>
      <c r="T2789" s="1" t="s">
        <v>45323</v>
      </c>
      <c r="U2789" s="1" t="s">
        <v>45324</v>
      </c>
      <c r="V2789" s="1">
        <v>9923011871</v>
      </c>
      <c r="W2789" s="1" t="s">
        <v>45325</v>
      </c>
      <c r="X2789" s="1" t="s">
        <v>45326</v>
      </c>
      <c r="Y2789" s="1" t="s">
        <v>1989</v>
      </c>
      <c r="Z2789" s="1" t="s">
        <v>97</v>
      </c>
      <c r="AA2789" s="1" t="s">
        <v>45326</v>
      </c>
      <c r="AB2789" s="1" t="s">
        <v>1989</v>
      </c>
      <c r="AC2789" s="1" t="s">
        <v>97</v>
      </c>
      <c r="AD2789" s="1" t="s">
        <v>98</v>
      </c>
      <c r="AE2789" s="1" t="s">
        <v>98</v>
      </c>
      <c r="AF2789" s="1" t="s">
        <v>45327</v>
      </c>
      <c r="AG2789" s="1" t="s">
        <v>16993</v>
      </c>
      <c r="AH2789" s="1" t="s">
        <v>170</v>
      </c>
      <c r="AI2789" s="1" t="s">
        <v>286</v>
      </c>
      <c r="AJ2789" s="1">
        <v>85</v>
      </c>
      <c r="AK2789" s="1"/>
      <c r="AL2789" s="1" t="s">
        <v>45328</v>
      </c>
      <c r="AM2789" s="1" t="s">
        <v>14157</v>
      </c>
      <c r="AN2789" s="1" t="s">
        <v>465</v>
      </c>
      <c r="AO2789" s="1" t="s">
        <v>438</v>
      </c>
      <c r="AP2789" s="1" t="s">
        <v>365</v>
      </c>
      <c r="AQ2789" s="1">
        <v>66.15</v>
      </c>
      <c r="AR2789" s="1"/>
      <c r="AS2789" s="1"/>
      <c r="AT2789" s="1"/>
      <c r="AU2789" s="1"/>
      <c r="AV2789" s="1"/>
      <c r="AW2789" s="1"/>
      <c r="AX2789" s="1"/>
      <c r="AY2789" s="1" t="s">
        <v>14262</v>
      </c>
      <c r="AZ2789" s="1" t="s">
        <v>45329</v>
      </c>
      <c r="BA2789" s="1" t="s">
        <v>682</v>
      </c>
      <c r="BB2789" s="1" t="s">
        <v>1561</v>
      </c>
      <c r="BC2789" s="1" t="s">
        <v>468</v>
      </c>
      <c r="BD2789" s="1" t="s">
        <v>848</v>
      </c>
      <c r="BE2789" s="1">
        <v>78.2</v>
      </c>
      <c r="BF2789" s="1">
        <v>8.57</v>
      </c>
      <c r="BG2789" s="1"/>
      <c r="BH2789" s="1"/>
      <c r="BI2789" s="1"/>
      <c r="BJ2789" s="1"/>
      <c r="BK2789" s="1"/>
      <c r="BL2789" s="1"/>
      <c r="BM2789" s="1"/>
      <c r="BN2789" s="1"/>
      <c r="BO2789" s="1" t="s">
        <v>45330</v>
      </c>
      <c r="BP2789" s="1"/>
      <c r="BQ2789" s="1"/>
      <c r="BR2789" s="1" t="s">
        <v>45331</v>
      </c>
      <c r="BS2789" s="1">
        <v>55</v>
      </c>
      <c r="BT2789" s="1"/>
      <c r="BU2789" s="1" t="str">
        <f>HYPERLINK("https://nconnect.nicmar.ac.in/storage/profile/6a85f0e17ec58.png","Download")</f>
        <v>0</v>
      </c>
      <c r="BV2789" s="3"/>
      <c r="BW2789" s="3"/>
    </row>
    <row r="2790" spans="1:75">
      <c r="A2790" s="1" t="s">
        <v>35379</v>
      </c>
      <c r="B2790" s="1" t="s">
        <v>13976</v>
      </c>
      <c r="C2790" s="1" t="s">
        <v>45332</v>
      </c>
      <c r="D2790" s="1" t="s">
        <v>24547</v>
      </c>
      <c r="E2790" s="1" t="s">
        <v>9655</v>
      </c>
      <c r="F2790" s="1" t="s">
        <v>45333</v>
      </c>
      <c r="G2790" s="1" t="s">
        <v>45334</v>
      </c>
      <c r="H2790" s="1" t="s">
        <v>45335</v>
      </c>
      <c r="I2790" s="1" t="s">
        <v>45336</v>
      </c>
      <c r="J2790" s="1">
        <v>9834895500</v>
      </c>
      <c r="K2790" s="1" t="s">
        <v>153</v>
      </c>
      <c r="L2790" s="1" t="s">
        <v>3005</v>
      </c>
      <c r="M2790" s="1" t="s">
        <v>86</v>
      </c>
      <c r="N2790" s="1" t="s">
        <v>45337</v>
      </c>
      <c r="O2790" s="1" t="s">
        <v>45338</v>
      </c>
      <c r="P2790" s="1" t="s">
        <v>89</v>
      </c>
      <c r="Q2790" s="1">
        <v>888565467930</v>
      </c>
      <c r="R2790" s="1" t="s">
        <v>45339</v>
      </c>
      <c r="S2790" s="1">
        <v>9766596039</v>
      </c>
      <c r="T2790" s="1" t="s">
        <v>45340</v>
      </c>
      <c r="U2790" s="1" t="s">
        <v>45341</v>
      </c>
      <c r="V2790" s="1">
        <v>9423937599</v>
      </c>
      <c r="W2790" s="1" t="s">
        <v>14154</v>
      </c>
      <c r="X2790" s="1" t="s">
        <v>45342</v>
      </c>
      <c r="Y2790" s="1" t="s">
        <v>1779</v>
      </c>
      <c r="Z2790" s="1" t="s">
        <v>97</v>
      </c>
      <c r="AA2790" s="1" t="s">
        <v>45342</v>
      </c>
      <c r="AB2790" s="1" t="s">
        <v>1779</v>
      </c>
      <c r="AC2790" s="1" t="s">
        <v>97</v>
      </c>
      <c r="AD2790" s="1" t="s">
        <v>98</v>
      </c>
      <c r="AE2790" s="1" t="s">
        <v>98</v>
      </c>
      <c r="AF2790" s="1" t="s">
        <v>45343</v>
      </c>
      <c r="AG2790" s="1" t="s">
        <v>97</v>
      </c>
      <c r="AH2790" s="1" t="s">
        <v>170</v>
      </c>
      <c r="AI2790" s="1" t="s">
        <v>414</v>
      </c>
      <c r="AJ2790" s="1">
        <v>94.2</v>
      </c>
      <c r="AK2790" s="1"/>
      <c r="AL2790" s="1" t="s">
        <v>45344</v>
      </c>
      <c r="AM2790" s="1" t="s">
        <v>97</v>
      </c>
      <c r="AN2790" s="1" t="s">
        <v>465</v>
      </c>
      <c r="AO2790" s="1" t="s">
        <v>438</v>
      </c>
      <c r="AP2790" s="1" t="s">
        <v>1192</v>
      </c>
      <c r="AQ2790" s="1">
        <v>91.5</v>
      </c>
      <c r="AR2790" s="1"/>
      <c r="AS2790" s="1"/>
      <c r="AT2790" s="1"/>
      <c r="AU2790" s="1"/>
      <c r="AV2790" s="1"/>
      <c r="AW2790" s="1"/>
      <c r="AX2790" s="1"/>
      <c r="AY2790" s="1" t="s">
        <v>14160</v>
      </c>
      <c r="AZ2790" s="1" t="s">
        <v>45345</v>
      </c>
      <c r="BA2790" s="1" t="s">
        <v>682</v>
      </c>
      <c r="BB2790" s="1" t="s">
        <v>1561</v>
      </c>
      <c r="BC2790" s="1" t="s">
        <v>847</v>
      </c>
      <c r="BD2790" s="1" t="s">
        <v>9688</v>
      </c>
      <c r="BE2790" s="1">
        <v>75.8</v>
      </c>
      <c r="BF2790" s="1">
        <v>8.38</v>
      </c>
      <c r="BG2790" s="1"/>
      <c r="BH2790" s="1"/>
      <c r="BI2790" s="1"/>
      <c r="BJ2790" s="1"/>
      <c r="BK2790" s="1"/>
      <c r="BL2790" s="1"/>
      <c r="BM2790" s="1"/>
      <c r="BN2790" s="1"/>
      <c r="BO2790" s="1" t="s">
        <v>45346</v>
      </c>
      <c r="BP2790" s="1"/>
      <c r="BQ2790" s="1"/>
      <c r="BR2790" s="1" t="s">
        <v>45347</v>
      </c>
      <c r="BS2790" s="1">
        <v>26</v>
      </c>
      <c r="BT2790" s="1"/>
      <c r="BU2790" s="1" t="str">
        <f>HYPERLINK("https://nconnect.nicmar.ac.in/storage/profile/6a85f54c865c6.png","Download")</f>
        <v>0</v>
      </c>
      <c r="BV2790" s="3"/>
      <c r="BW2790" s="3"/>
    </row>
    <row r="2791" spans="1:75">
      <c r="A2791" s="1" t="s">
        <v>35379</v>
      </c>
      <c r="B2791" s="1" t="s">
        <v>13976</v>
      </c>
      <c r="C2791" s="1" t="s">
        <v>45348</v>
      </c>
      <c r="D2791" s="1" t="s">
        <v>45349</v>
      </c>
      <c r="E2791" s="1" t="s">
        <v>15939</v>
      </c>
      <c r="F2791" s="1" t="s">
        <v>18466</v>
      </c>
      <c r="G2791" s="1" t="s">
        <v>45350</v>
      </c>
      <c r="H2791" s="1" t="s">
        <v>45351</v>
      </c>
      <c r="I2791" s="1" t="s">
        <v>45352</v>
      </c>
      <c r="J2791" s="1">
        <v>7502099995</v>
      </c>
      <c r="K2791" s="1" t="s">
        <v>153</v>
      </c>
      <c r="L2791" s="1" t="s">
        <v>18031</v>
      </c>
      <c r="M2791" s="1" t="s">
        <v>86</v>
      </c>
      <c r="N2791" s="1" t="s">
        <v>45353</v>
      </c>
      <c r="O2791" s="1" t="s">
        <v>45354</v>
      </c>
      <c r="P2791" s="1" t="s">
        <v>122</v>
      </c>
      <c r="Q2791" s="1">
        <v>212942903347</v>
      </c>
      <c r="R2791" s="1" t="s">
        <v>45355</v>
      </c>
      <c r="S2791" s="1">
        <v>9004337822</v>
      </c>
      <c r="T2791" s="1" t="s">
        <v>45356</v>
      </c>
      <c r="U2791" s="1" t="s">
        <v>45357</v>
      </c>
      <c r="V2791" s="1">
        <v>9930294666</v>
      </c>
      <c r="W2791" s="1" t="s">
        <v>23701</v>
      </c>
      <c r="X2791" s="1" t="s">
        <v>45358</v>
      </c>
      <c r="Y2791" s="1" t="s">
        <v>1882</v>
      </c>
      <c r="Z2791" s="1" t="s">
        <v>97</v>
      </c>
      <c r="AA2791" s="1" t="s">
        <v>45358</v>
      </c>
      <c r="AB2791" s="1" t="s">
        <v>1882</v>
      </c>
      <c r="AC2791" s="1" t="s">
        <v>97</v>
      </c>
      <c r="AD2791" s="1" t="s">
        <v>98</v>
      </c>
      <c r="AE2791" s="1" t="s">
        <v>98</v>
      </c>
      <c r="AF2791" s="1" t="s">
        <v>45359</v>
      </c>
      <c r="AG2791" s="1" t="s">
        <v>45360</v>
      </c>
      <c r="AH2791" s="1" t="s">
        <v>106</v>
      </c>
      <c r="AI2791" s="1" t="s">
        <v>414</v>
      </c>
      <c r="AJ2791" s="1">
        <v>70.6</v>
      </c>
      <c r="AK2791" s="1"/>
      <c r="AL2791" s="1" t="s">
        <v>45361</v>
      </c>
      <c r="AM2791" s="1" t="s">
        <v>45360</v>
      </c>
      <c r="AN2791" s="1" t="s">
        <v>6380</v>
      </c>
      <c r="AO2791" s="1" t="s">
        <v>468</v>
      </c>
      <c r="AP2791" s="1" t="s">
        <v>2304</v>
      </c>
      <c r="AQ2791" s="1">
        <v>83.17</v>
      </c>
      <c r="AR2791" s="1"/>
      <c r="AS2791" s="1"/>
      <c r="AT2791" s="1"/>
      <c r="AU2791" s="1"/>
      <c r="AV2791" s="1"/>
      <c r="AW2791" s="1"/>
      <c r="AX2791" s="1"/>
      <c r="AY2791" s="1" t="s">
        <v>22189</v>
      </c>
      <c r="AZ2791" s="1" t="s">
        <v>45362</v>
      </c>
      <c r="BA2791" s="1" t="s">
        <v>682</v>
      </c>
      <c r="BB2791" s="1" t="s">
        <v>683</v>
      </c>
      <c r="BC2791" s="1" t="s">
        <v>871</v>
      </c>
      <c r="BD2791" s="1" t="s">
        <v>9688</v>
      </c>
      <c r="BE2791" s="1">
        <v>65.13</v>
      </c>
      <c r="BF2791" s="1">
        <v>7.18</v>
      </c>
      <c r="BG2791" s="1"/>
      <c r="BH2791" s="1"/>
      <c r="BI2791" s="1"/>
      <c r="BJ2791" s="1"/>
      <c r="BK2791" s="1"/>
      <c r="BL2791" s="1"/>
      <c r="BM2791" s="1"/>
      <c r="BN2791" s="1"/>
      <c r="BO2791" s="1" t="s">
        <v>45363</v>
      </c>
      <c r="BP2791" s="1"/>
      <c r="BQ2791" s="1"/>
      <c r="BR2791" s="1"/>
      <c r="BS2791" s="1"/>
      <c r="BT2791" s="1" t="s">
        <v>45364</v>
      </c>
      <c r="BU2791" s="1" t="str">
        <f>HYPERLINK("https://nconnect.nicmar.ac.in/storage/profile/6a8bed64450af.png","Download")</f>
        <v>0</v>
      </c>
      <c r="BV2791" s="3"/>
      <c r="BW2791" s="3"/>
    </row>
    <row r="2792" spans="1:75">
      <c r="A2792" s="1" t="s">
        <v>35379</v>
      </c>
      <c r="B2792" s="1" t="s">
        <v>13976</v>
      </c>
      <c r="C2792" s="1" t="s">
        <v>45365</v>
      </c>
      <c r="D2792" s="1" t="s">
        <v>45366</v>
      </c>
      <c r="E2792" s="1" t="s">
        <v>45367</v>
      </c>
      <c r="F2792" s="1" t="s">
        <v>22392</v>
      </c>
      <c r="G2792" s="1" t="s">
        <v>45368</v>
      </c>
      <c r="H2792" s="1" t="s">
        <v>45369</v>
      </c>
      <c r="I2792" s="1" t="s">
        <v>45370</v>
      </c>
      <c r="J2792" s="1">
        <v>8080344678</v>
      </c>
      <c r="K2792" s="1" t="s">
        <v>153</v>
      </c>
      <c r="L2792" s="1" t="s">
        <v>41124</v>
      </c>
      <c r="M2792" s="1" t="s">
        <v>86</v>
      </c>
      <c r="N2792" s="1" t="s">
        <v>768</v>
      </c>
      <c r="O2792" s="1" t="s">
        <v>45371</v>
      </c>
      <c r="P2792" s="1" t="s">
        <v>356</v>
      </c>
      <c r="Q2792" s="1">
        <v>377423160093</v>
      </c>
      <c r="R2792" s="1" t="s">
        <v>45372</v>
      </c>
      <c r="S2792" s="1">
        <v>9881832607</v>
      </c>
      <c r="T2792" s="1" t="s">
        <v>45373</v>
      </c>
      <c r="U2792" s="1" t="s">
        <v>45374</v>
      </c>
      <c r="V2792" s="1">
        <v>7058792024</v>
      </c>
      <c r="W2792" s="1" t="s">
        <v>14154</v>
      </c>
      <c r="X2792" s="1" t="s">
        <v>45375</v>
      </c>
      <c r="Y2792" s="1" t="s">
        <v>196</v>
      </c>
      <c r="Z2792" s="1" t="s">
        <v>97</v>
      </c>
      <c r="AA2792" s="1" t="s">
        <v>45375</v>
      </c>
      <c r="AB2792" s="1" t="s">
        <v>196</v>
      </c>
      <c r="AC2792" s="1" t="s">
        <v>97</v>
      </c>
      <c r="AD2792" s="1" t="s">
        <v>98</v>
      </c>
      <c r="AE2792" s="1" t="s">
        <v>98</v>
      </c>
      <c r="AF2792" s="1" t="s">
        <v>45376</v>
      </c>
      <c r="AG2792" s="1" t="s">
        <v>18372</v>
      </c>
      <c r="AH2792" s="1" t="s">
        <v>167</v>
      </c>
      <c r="AI2792" s="1" t="s">
        <v>200</v>
      </c>
      <c r="AJ2792" s="1">
        <v>82.6</v>
      </c>
      <c r="AK2792" s="1"/>
      <c r="AL2792" s="1" t="s">
        <v>45377</v>
      </c>
      <c r="AM2792" s="1" t="s">
        <v>18372</v>
      </c>
      <c r="AN2792" s="1" t="s">
        <v>575</v>
      </c>
      <c r="AO2792" s="1" t="s">
        <v>106</v>
      </c>
      <c r="AP2792" s="1" t="s">
        <v>203</v>
      </c>
      <c r="AQ2792" s="1">
        <v>55.69</v>
      </c>
      <c r="AR2792" s="1"/>
      <c r="AS2792" s="1"/>
      <c r="AT2792" s="1"/>
      <c r="AU2792" s="1"/>
      <c r="AV2792" s="1"/>
      <c r="AW2792" s="1"/>
      <c r="AX2792" s="1"/>
      <c r="AY2792" s="1" t="s">
        <v>14160</v>
      </c>
      <c r="AZ2792" s="1" t="s">
        <v>45378</v>
      </c>
      <c r="BA2792" s="1" t="s">
        <v>682</v>
      </c>
      <c r="BB2792" s="1" t="s">
        <v>1561</v>
      </c>
      <c r="BC2792" s="1" t="s">
        <v>206</v>
      </c>
      <c r="BD2792" s="1" t="s">
        <v>1314</v>
      </c>
      <c r="BE2792" s="1">
        <v>70.31</v>
      </c>
      <c r="BF2792" s="1">
        <v>7.9</v>
      </c>
      <c r="BG2792" s="1"/>
      <c r="BH2792" s="1"/>
      <c r="BI2792" s="1"/>
      <c r="BJ2792" s="1"/>
      <c r="BK2792" s="1"/>
      <c r="BL2792" s="1"/>
      <c r="BM2792" s="1"/>
      <c r="BN2792" s="1"/>
      <c r="BO2792" s="1" t="s">
        <v>45379</v>
      </c>
      <c r="BP2792" s="1" t="s">
        <v>45380</v>
      </c>
      <c r="BQ2792" s="1" t="s">
        <v>8862</v>
      </c>
      <c r="BR2792" s="1" t="s">
        <v>45381</v>
      </c>
      <c r="BS2792" s="1">
        <v>22</v>
      </c>
      <c r="BT2792" s="1"/>
      <c r="BU2792" s="1" t="str">
        <f>HYPERLINK("https://nconnect.nicmar.ac.in/storage/profile/6a8abc5b90110.png","Download")</f>
        <v>0</v>
      </c>
      <c r="BV2792" s="3"/>
      <c r="BW2792" s="3"/>
    </row>
    <row r="2793" spans="1:75">
      <c r="A2793" s="1" t="s">
        <v>35379</v>
      </c>
      <c r="B2793" s="1" t="s">
        <v>13976</v>
      </c>
      <c r="C2793" s="1" t="s">
        <v>45382</v>
      </c>
      <c r="D2793" s="1" t="s">
        <v>45383</v>
      </c>
      <c r="E2793" s="1" t="s">
        <v>45384</v>
      </c>
      <c r="F2793" s="1" t="s">
        <v>16498</v>
      </c>
      <c r="G2793" s="1" t="s">
        <v>45385</v>
      </c>
      <c r="H2793" s="1" t="s">
        <v>45386</v>
      </c>
      <c r="I2793" s="1" t="s">
        <v>45387</v>
      </c>
      <c r="J2793" s="1">
        <v>9577779093</v>
      </c>
      <c r="K2793" s="1" t="s">
        <v>84</v>
      </c>
      <c r="L2793" s="1" t="s">
        <v>22557</v>
      </c>
      <c r="M2793" s="1" t="s">
        <v>86</v>
      </c>
      <c r="N2793" s="1" t="s">
        <v>24698</v>
      </c>
      <c r="O2793" s="1" t="s">
        <v>45388</v>
      </c>
      <c r="P2793" s="1" t="s">
        <v>122</v>
      </c>
      <c r="Q2793" s="1">
        <v>434780590773</v>
      </c>
      <c r="R2793" s="1" t="s">
        <v>45389</v>
      </c>
      <c r="S2793" s="1">
        <v>9881244854</v>
      </c>
      <c r="T2793" s="1" t="s">
        <v>15026</v>
      </c>
      <c r="U2793" s="1" t="s">
        <v>45390</v>
      </c>
      <c r="V2793" s="1">
        <v>9763491744</v>
      </c>
      <c r="W2793" s="1" t="s">
        <v>14234</v>
      </c>
      <c r="X2793" s="1" t="s">
        <v>45391</v>
      </c>
      <c r="Y2793" s="1" t="s">
        <v>1033</v>
      </c>
      <c r="Z2793" s="1" t="s">
        <v>97</v>
      </c>
      <c r="AA2793" s="1" t="s">
        <v>45392</v>
      </c>
      <c r="AB2793" s="1" t="s">
        <v>196</v>
      </c>
      <c r="AC2793" s="1" t="s">
        <v>97</v>
      </c>
      <c r="AD2793" s="1" t="s">
        <v>98</v>
      </c>
      <c r="AE2793" s="1" t="s">
        <v>98</v>
      </c>
      <c r="AF2793" s="1" t="s">
        <v>45393</v>
      </c>
      <c r="AG2793" s="1" t="s">
        <v>45394</v>
      </c>
      <c r="AH2793" s="1" t="s">
        <v>106</v>
      </c>
      <c r="AI2793" s="1" t="s">
        <v>414</v>
      </c>
      <c r="AJ2793" s="1">
        <v>88.6</v>
      </c>
      <c r="AK2793" s="1"/>
      <c r="AL2793" s="1" t="s">
        <v>45395</v>
      </c>
      <c r="AM2793" s="1" t="s">
        <v>45394</v>
      </c>
      <c r="AN2793" s="1" t="s">
        <v>465</v>
      </c>
      <c r="AO2793" s="1" t="s">
        <v>468</v>
      </c>
      <c r="AP2793" s="1" t="s">
        <v>847</v>
      </c>
      <c r="AQ2793" s="1">
        <v>92.83</v>
      </c>
      <c r="AR2793" s="1"/>
      <c r="AS2793" s="1"/>
      <c r="AT2793" s="1"/>
      <c r="AU2793" s="1"/>
      <c r="AV2793" s="1"/>
      <c r="AW2793" s="1"/>
      <c r="AX2793" s="1"/>
      <c r="AY2793" s="1" t="s">
        <v>14828</v>
      </c>
      <c r="AZ2793" s="1" t="s">
        <v>45396</v>
      </c>
      <c r="BA2793" s="1" t="s">
        <v>682</v>
      </c>
      <c r="BB2793" s="1" t="s">
        <v>683</v>
      </c>
      <c r="BC2793" s="1" t="s">
        <v>871</v>
      </c>
      <c r="BD2793" s="1" t="s">
        <v>14162</v>
      </c>
      <c r="BE2793" s="1">
        <v>61.14</v>
      </c>
      <c r="BF2793" s="1">
        <v>6.87</v>
      </c>
      <c r="BG2793" s="1"/>
      <c r="BH2793" s="1"/>
      <c r="BI2793" s="1"/>
      <c r="BJ2793" s="1"/>
      <c r="BK2793" s="1"/>
      <c r="BL2793" s="1"/>
      <c r="BM2793" s="1"/>
      <c r="BN2793" s="1"/>
      <c r="BO2793" s="1" t="s">
        <v>45397</v>
      </c>
      <c r="BP2793" s="1"/>
      <c r="BQ2793" s="1"/>
      <c r="BR2793" s="1" t="s">
        <v>45398</v>
      </c>
      <c r="BS2793" s="1">
        <v>21</v>
      </c>
      <c r="BT2793" s="1"/>
      <c r="BU2793" s="1" t="str">
        <f>HYPERLINK("https://nconnect.nicmar.ac.in/storage/profile/6a88679c22576.png","Download")</f>
        <v>0</v>
      </c>
      <c r="BV2793" s="3"/>
      <c r="BW2793" s="3"/>
    </row>
    <row r="2794" spans="1:75">
      <c r="A2794" s="1" t="s">
        <v>35379</v>
      </c>
      <c r="B2794" s="1" t="s">
        <v>13976</v>
      </c>
      <c r="C2794" s="1" t="s">
        <v>45399</v>
      </c>
      <c r="D2794" s="1" t="s">
        <v>45400</v>
      </c>
      <c r="E2794" s="1" t="s">
        <v>45401</v>
      </c>
      <c r="F2794" s="1" t="s">
        <v>3633</v>
      </c>
      <c r="G2794" s="1" t="s">
        <v>45402</v>
      </c>
      <c r="H2794" s="1" t="s">
        <v>45403</v>
      </c>
      <c r="I2794" s="1" t="s">
        <v>45404</v>
      </c>
      <c r="J2794" s="1">
        <v>9922026767</v>
      </c>
      <c r="K2794" s="1" t="s">
        <v>153</v>
      </c>
      <c r="L2794" s="1" t="s">
        <v>44288</v>
      </c>
      <c r="M2794" s="1" t="s">
        <v>86</v>
      </c>
      <c r="N2794" s="1" t="s">
        <v>1877</v>
      </c>
      <c r="O2794" s="1" t="s">
        <v>45405</v>
      </c>
      <c r="P2794" s="1" t="s">
        <v>219</v>
      </c>
      <c r="Q2794" s="1">
        <v>784574646995</v>
      </c>
      <c r="R2794" s="1" t="s">
        <v>45406</v>
      </c>
      <c r="S2794" s="1">
        <v>9850686772</v>
      </c>
      <c r="T2794" s="1" t="s">
        <v>16658</v>
      </c>
      <c r="U2794" s="1" t="s">
        <v>45407</v>
      </c>
      <c r="V2794" s="1">
        <v>9850686772</v>
      </c>
      <c r="W2794" s="1" t="s">
        <v>14821</v>
      </c>
      <c r="X2794" s="1" t="s">
        <v>45408</v>
      </c>
      <c r="Y2794" s="1" t="s">
        <v>196</v>
      </c>
      <c r="Z2794" s="1" t="s">
        <v>97</v>
      </c>
      <c r="AA2794" s="1" t="s">
        <v>45408</v>
      </c>
      <c r="AB2794" s="1" t="s">
        <v>196</v>
      </c>
      <c r="AC2794" s="1" t="s">
        <v>97</v>
      </c>
      <c r="AD2794" s="1" t="s">
        <v>98</v>
      </c>
      <c r="AE2794" s="1" t="s">
        <v>98</v>
      </c>
      <c r="AF2794" s="1" t="s">
        <v>45409</v>
      </c>
      <c r="AG2794" s="1" t="s">
        <v>17617</v>
      </c>
      <c r="AH2794" s="1" t="s">
        <v>200</v>
      </c>
      <c r="AI2794" s="1" t="s">
        <v>286</v>
      </c>
      <c r="AJ2794" s="1">
        <v>79.4</v>
      </c>
      <c r="AK2794" s="1"/>
      <c r="AL2794" s="1" t="s">
        <v>45410</v>
      </c>
      <c r="AM2794" s="1" t="s">
        <v>22654</v>
      </c>
      <c r="AN2794" s="1" t="s">
        <v>465</v>
      </c>
      <c r="AO2794" s="1" t="s">
        <v>203</v>
      </c>
      <c r="AP2794" s="1" t="s">
        <v>365</v>
      </c>
      <c r="AQ2794" s="1">
        <v>69.83</v>
      </c>
      <c r="AR2794" s="1"/>
      <c r="AS2794" s="1"/>
      <c r="AT2794" s="1"/>
      <c r="AU2794" s="1"/>
      <c r="AV2794" s="1"/>
      <c r="AW2794" s="1"/>
      <c r="AX2794" s="1"/>
      <c r="AY2794" s="1" t="s">
        <v>14160</v>
      </c>
      <c r="AZ2794" s="1" t="s">
        <v>45411</v>
      </c>
      <c r="BA2794" s="1" t="s">
        <v>682</v>
      </c>
      <c r="BB2794" s="1" t="s">
        <v>683</v>
      </c>
      <c r="BC2794" s="1" t="s">
        <v>2304</v>
      </c>
      <c r="BD2794" s="1" t="s">
        <v>607</v>
      </c>
      <c r="BE2794" s="1">
        <v>0</v>
      </c>
      <c r="BF2794" s="1">
        <v>7.8</v>
      </c>
      <c r="BG2794" s="1"/>
      <c r="BH2794" s="1"/>
      <c r="BI2794" s="1"/>
      <c r="BJ2794" s="1"/>
      <c r="BK2794" s="1"/>
      <c r="BL2794" s="1"/>
      <c r="BM2794" s="1"/>
      <c r="BN2794" s="1"/>
      <c r="BO2794" s="1" t="s">
        <v>45412</v>
      </c>
      <c r="BP2794" s="1" t="s">
        <v>45413</v>
      </c>
      <c r="BQ2794" s="1" t="s">
        <v>1043</v>
      </c>
      <c r="BR2794" s="1"/>
      <c r="BS2794" s="1"/>
      <c r="BT2794" s="1"/>
      <c r="BU2794" s="1" t="str">
        <f>HYPERLINK("https://nconnect.nicmar.ac.in/storage/profile/6a8ad8bb61e77.png","Download")</f>
        <v>0</v>
      </c>
      <c r="BV2794" s="3"/>
      <c r="BW2794" s="3"/>
    </row>
    <row r="2795" spans="1:75">
      <c r="A2795" s="1" t="s">
        <v>35379</v>
      </c>
      <c r="B2795" s="1" t="s">
        <v>13976</v>
      </c>
      <c r="C2795" s="1" t="s">
        <v>45414</v>
      </c>
      <c r="D2795" s="1" t="s">
        <v>45415</v>
      </c>
      <c r="E2795" s="1" t="s">
        <v>15067</v>
      </c>
      <c r="F2795" s="1" t="s">
        <v>45416</v>
      </c>
      <c r="G2795" s="1" t="s">
        <v>45417</v>
      </c>
      <c r="H2795" s="1" t="s">
        <v>45418</v>
      </c>
      <c r="I2795" s="1" t="s">
        <v>45419</v>
      </c>
      <c r="J2795" s="1">
        <v>9028088846</v>
      </c>
      <c r="K2795" s="1" t="s">
        <v>153</v>
      </c>
      <c r="L2795" s="1" t="s">
        <v>5903</v>
      </c>
      <c r="M2795" s="1" t="s">
        <v>86</v>
      </c>
      <c r="N2795" s="1" t="s">
        <v>45420</v>
      </c>
      <c r="O2795" s="1" t="s">
        <v>45421</v>
      </c>
      <c r="P2795" s="1" t="s">
        <v>122</v>
      </c>
      <c r="Q2795" s="1">
        <v>375921823741</v>
      </c>
      <c r="R2795" s="1" t="s">
        <v>45422</v>
      </c>
      <c r="S2795" s="1">
        <v>9850897974</v>
      </c>
      <c r="T2795" s="1" t="s">
        <v>45423</v>
      </c>
      <c r="U2795" s="1" t="s">
        <v>45424</v>
      </c>
      <c r="V2795" s="1">
        <v>9850823811</v>
      </c>
      <c r="W2795" s="1" t="s">
        <v>14154</v>
      </c>
      <c r="X2795" s="1" t="s">
        <v>45425</v>
      </c>
      <c r="Y2795" s="1" t="s">
        <v>196</v>
      </c>
      <c r="Z2795" s="1" t="s">
        <v>97</v>
      </c>
      <c r="AA2795" s="1" t="s">
        <v>45425</v>
      </c>
      <c r="AB2795" s="1" t="s">
        <v>196</v>
      </c>
      <c r="AC2795" s="1" t="s">
        <v>97</v>
      </c>
      <c r="AD2795" s="1" t="s">
        <v>98</v>
      </c>
      <c r="AE2795" s="1" t="s">
        <v>98</v>
      </c>
      <c r="AF2795" s="1" t="s">
        <v>45426</v>
      </c>
      <c r="AG2795" s="1" t="s">
        <v>45427</v>
      </c>
      <c r="AH2795" s="1" t="s">
        <v>200</v>
      </c>
      <c r="AI2795" s="1" t="s">
        <v>286</v>
      </c>
      <c r="AJ2795" s="1">
        <v>84</v>
      </c>
      <c r="AK2795" s="1"/>
      <c r="AL2795" s="1" t="s">
        <v>45428</v>
      </c>
      <c r="AM2795" s="1" t="s">
        <v>45427</v>
      </c>
      <c r="AN2795" s="1" t="s">
        <v>465</v>
      </c>
      <c r="AO2795" s="1" t="s">
        <v>414</v>
      </c>
      <c r="AP2795" s="1" t="s">
        <v>603</v>
      </c>
      <c r="AQ2795" s="1">
        <v>61.38</v>
      </c>
      <c r="AR2795" s="1"/>
      <c r="AS2795" s="1"/>
      <c r="AT2795" s="1"/>
      <c r="AU2795" s="1"/>
      <c r="AV2795" s="1"/>
      <c r="AW2795" s="1"/>
      <c r="AX2795" s="1"/>
      <c r="AY2795" s="1" t="s">
        <v>14160</v>
      </c>
      <c r="AZ2795" s="1" t="s">
        <v>45429</v>
      </c>
      <c r="BA2795" s="1" t="s">
        <v>682</v>
      </c>
      <c r="BB2795" s="1" t="s">
        <v>1561</v>
      </c>
      <c r="BC2795" s="1" t="s">
        <v>847</v>
      </c>
      <c r="BD2795" s="1" t="s">
        <v>14514</v>
      </c>
      <c r="BE2795" s="1">
        <v>64.34</v>
      </c>
      <c r="BF2795" s="1">
        <v>7.23</v>
      </c>
      <c r="BG2795" s="1"/>
      <c r="BH2795" s="1"/>
      <c r="BI2795" s="1"/>
      <c r="BJ2795" s="1"/>
      <c r="BK2795" s="1"/>
      <c r="BL2795" s="1"/>
      <c r="BM2795" s="1"/>
      <c r="BN2795" s="1"/>
      <c r="BO2795" s="1" t="s">
        <v>45430</v>
      </c>
      <c r="BP2795" s="1"/>
      <c r="BQ2795" s="1"/>
      <c r="BR2795" s="1"/>
      <c r="BS2795" s="1"/>
      <c r="BT2795" s="1"/>
      <c r="BU2795" s="1" t="str">
        <f>HYPERLINK("https://nconnect.nicmar.ac.in/storage/profile/6a8bf2af2cc9f.png","Download")</f>
        <v>0</v>
      </c>
      <c r="BV2795" s="3"/>
      <c r="BW2795" s="3"/>
    </row>
    <row r="2796" spans="1:75">
      <c r="A2796" s="1" t="s">
        <v>35379</v>
      </c>
      <c r="B2796" s="1" t="s">
        <v>13976</v>
      </c>
      <c r="C2796" s="1" t="s">
        <v>45431</v>
      </c>
      <c r="D2796" s="1" t="s">
        <v>22552</v>
      </c>
      <c r="E2796" s="1" t="s">
        <v>45432</v>
      </c>
      <c r="F2796" s="1" t="s">
        <v>45433</v>
      </c>
      <c r="G2796" s="1" t="s">
        <v>45434</v>
      </c>
      <c r="H2796" s="1" t="s">
        <v>45435</v>
      </c>
      <c r="I2796" s="1" t="s">
        <v>45436</v>
      </c>
      <c r="J2796" s="1">
        <v>9619360653</v>
      </c>
      <c r="K2796" s="1" t="s">
        <v>153</v>
      </c>
      <c r="L2796" s="1" t="s">
        <v>5598</v>
      </c>
      <c r="M2796" s="1" t="s">
        <v>86</v>
      </c>
      <c r="N2796" s="1" t="s">
        <v>8520</v>
      </c>
      <c r="O2796" s="1" t="s">
        <v>45437</v>
      </c>
      <c r="P2796" s="1" t="s">
        <v>89</v>
      </c>
      <c r="Q2796" s="1" t="s">
        <v>45438</v>
      </c>
      <c r="R2796" s="1" t="s">
        <v>45432</v>
      </c>
      <c r="S2796" s="1">
        <v>9821492920</v>
      </c>
      <c r="T2796" s="1" t="s">
        <v>15073</v>
      </c>
      <c r="U2796" s="1" t="s">
        <v>23889</v>
      </c>
      <c r="V2796" s="1">
        <v>9821714612</v>
      </c>
      <c r="W2796" s="1" t="s">
        <v>15073</v>
      </c>
      <c r="X2796" s="1" t="s">
        <v>45439</v>
      </c>
      <c r="Y2796" s="1" t="s">
        <v>2259</v>
      </c>
      <c r="Z2796" s="1" t="s">
        <v>97</v>
      </c>
      <c r="AA2796" s="1" t="s">
        <v>45439</v>
      </c>
      <c r="AB2796" s="1" t="s">
        <v>2259</v>
      </c>
      <c r="AC2796" s="1" t="s">
        <v>97</v>
      </c>
      <c r="AD2796" s="1" t="s">
        <v>98</v>
      </c>
      <c r="AE2796" s="1" t="s">
        <v>98</v>
      </c>
      <c r="AF2796" s="1" t="s">
        <v>45440</v>
      </c>
      <c r="AG2796" s="1" t="s">
        <v>14238</v>
      </c>
      <c r="AH2796" s="1" t="s">
        <v>11567</v>
      </c>
      <c r="AI2796" s="1" t="s">
        <v>167</v>
      </c>
      <c r="AJ2796" s="1">
        <v>92.8</v>
      </c>
      <c r="AK2796" s="1"/>
      <c r="AL2796" s="1" t="s">
        <v>45441</v>
      </c>
      <c r="AM2796" s="1" t="s">
        <v>14238</v>
      </c>
      <c r="AN2796" s="1" t="s">
        <v>575</v>
      </c>
      <c r="AO2796" s="1" t="s">
        <v>170</v>
      </c>
      <c r="AP2796" s="1" t="s">
        <v>171</v>
      </c>
      <c r="AQ2796" s="1">
        <v>75.23</v>
      </c>
      <c r="AR2796" s="1"/>
      <c r="AS2796" s="1"/>
      <c r="AT2796" s="1"/>
      <c r="AU2796" s="1"/>
      <c r="AV2796" s="1"/>
      <c r="AW2796" s="1"/>
      <c r="AX2796" s="1"/>
      <c r="AY2796" s="1" t="s">
        <v>14059</v>
      </c>
      <c r="AZ2796" s="1" t="s">
        <v>45442</v>
      </c>
      <c r="BA2796" s="1" t="s">
        <v>682</v>
      </c>
      <c r="BB2796" s="1" t="s">
        <v>1561</v>
      </c>
      <c r="BC2796" s="1" t="s">
        <v>174</v>
      </c>
      <c r="BD2796" s="1" t="s">
        <v>234</v>
      </c>
      <c r="BE2796" s="1">
        <v>70.9</v>
      </c>
      <c r="BF2796" s="1">
        <v>7.96</v>
      </c>
      <c r="BG2796" s="1"/>
      <c r="BH2796" s="1"/>
      <c r="BI2796" s="1"/>
      <c r="BJ2796" s="1"/>
      <c r="BK2796" s="1"/>
      <c r="BL2796" s="1"/>
      <c r="BM2796" s="1"/>
      <c r="BN2796" s="1"/>
      <c r="BO2796" s="1" t="s">
        <v>45443</v>
      </c>
      <c r="BP2796" s="1" t="s">
        <v>45444</v>
      </c>
      <c r="BQ2796" s="1" t="s">
        <v>2213</v>
      </c>
      <c r="BR2796" s="1" t="s">
        <v>45445</v>
      </c>
      <c r="BS2796" s="1">
        <v>16</v>
      </c>
      <c r="BT2796" s="1"/>
      <c r="BU2796" s="1" t="str">
        <f>HYPERLINK("https://nconnect.nicmar.ac.in/storage/profile/6a85eb2c6446f.png","Download")</f>
        <v>0</v>
      </c>
      <c r="BV2796" s="3"/>
      <c r="BW2796" s="3"/>
    </row>
    <row r="2797" spans="1:75">
      <c r="A2797" s="1" t="s">
        <v>35379</v>
      </c>
      <c r="B2797" s="1" t="s">
        <v>13976</v>
      </c>
      <c r="C2797" s="1" t="s">
        <v>45446</v>
      </c>
      <c r="D2797" s="1" t="s">
        <v>6517</v>
      </c>
      <c r="E2797" s="1" t="s">
        <v>23907</v>
      </c>
      <c r="F2797" s="1" t="s">
        <v>45447</v>
      </c>
      <c r="G2797" s="1" t="s">
        <v>45448</v>
      </c>
      <c r="H2797" s="1" t="s">
        <v>45449</v>
      </c>
      <c r="I2797" s="1" t="s">
        <v>45450</v>
      </c>
      <c r="J2797" s="1">
        <v>9607799779</v>
      </c>
      <c r="K2797" s="1" t="s">
        <v>84</v>
      </c>
      <c r="L2797" s="1" t="s">
        <v>45451</v>
      </c>
      <c r="M2797" s="1" t="s">
        <v>86</v>
      </c>
      <c r="N2797" s="1" t="s">
        <v>19632</v>
      </c>
      <c r="O2797" s="1" t="s">
        <v>45452</v>
      </c>
      <c r="P2797" s="1" t="s">
        <v>122</v>
      </c>
      <c r="Q2797" s="1">
        <v>638671760791</v>
      </c>
      <c r="R2797" s="1" t="s">
        <v>23907</v>
      </c>
      <c r="S2797" s="1">
        <v>9922419750</v>
      </c>
      <c r="T2797" s="1" t="s">
        <v>45453</v>
      </c>
      <c r="U2797" s="1" t="s">
        <v>45454</v>
      </c>
      <c r="V2797" s="1">
        <v>8308433333</v>
      </c>
      <c r="W2797" s="1" t="s">
        <v>10306</v>
      </c>
      <c r="X2797" s="1" t="s">
        <v>45455</v>
      </c>
      <c r="Y2797" s="1" t="s">
        <v>196</v>
      </c>
      <c r="Z2797" s="1" t="s">
        <v>97</v>
      </c>
      <c r="AA2797" s="1" t="s">
        <v>45456</v>
      </c>
      <c r="AB2797" s="1" t="s">
        <v>196</v>
      </c>
      <c r="AC2797" s="1" t="s">
        <v>97</v>
      </c>
      <c r="AD2797" s="1" t="s">
        <v>98</v>
      </c>
      <c r="AE2797" s="1" t="s">
        <v>98</v>
      </c>
      <c r="AF2797" s="1" t="s">
        <v>45457</v>
      </c>
      <c r="AG2797" s="1" t="s">
        <v>45458</v>
      </c>
      <c r="AH2797" s="1" t="s">
        <v>106</v>
      </c>
      <c r="AI2797" s="1" t="s">
        <v>414</v>
      </c>
      <c r="AJ2797" s="1">
        <v>78.6</v>
      </c>
      <c r="AK2797" s="1"/>
      <c r="AL2797" s="1" t="s">
        <v>45459</v>
      </c>
      <c r="AM2797" s="1" t="s">
        <v>45460</v>
      </c>
      <c r="AN2797" s="1" t="s">
        <v>465</v>
      </c>
      <c r="AO2797" s="1" t="s">
        <v>468</v>
      </c>
      <c r="AP2797" s="1" t="s">
        <v>1192</v>
      </c>
      <c r="AQ2797" s="1">
        <v>87.67</v>
      </c>
      <c r="AR2797" s="1"/>
      <c r="AS2797" s="1"/>
      <c r="AT2797" s="1"/>
      <c r="AU2797" s="1"/>
      <c r="AV2797" s="1"/>
      <c r="AW2797" s="1"/>
      <c r="AX2797" s="1"/>
      <c r="AY2797" s="1" t="s">
        <v>14828</v>
      </c>
      <c r="AZ2797" s="1" t="s">
        <v>45461</v>
      </c>
      <c r="BA2797" s="1" t="s">
        <v>682</v>
      </c>
      <c r="BB2797" s="1" t="s">
        <v>683</v>
      </c>
      <c r="BC2797" s="1" t="s">
        <v>871</v>
      </c>
      <c r="BD2797" s="1" t="s">
        <v>14162</v>
      </c>
      <c r="BE2797" s="1">
        <v>64.52</v>
      </c>
      <c r="BF2797" s="1">
        <v>7.25</v>
      </c>
      <c r="BG2797" s="1"/>
      <c r="BH2797" s="1"/>
      <c r="BI2797" s="1"/>
      <c r="BJ2797" s="1"/>
      <c r="BK2797" s="1"/>
      <c r="BL2797" s="1"/>
      <c r="BM2797" s="1"/>
      <c r="BN2797" s="1"/>
      <c r="BO2797" s="1" t="s">
        <v>45462</v>
      </c>
      <c r="BP2797" s="1"/>
      <c r="BQ2797" s="1"/>
      <c r="BR2797" s="1" t="s">
        <v>45463</v>
      </c>
      <c r="BS2797" s="1">
        <v>18</v>
      </c>
      <c r="BT2797" s="1"/>
      <c r="BU2797" s="1" t="str">
        <f>HYPERLINK("https://nconnect.nicmar.ac.in/storage/profile/6a8beb79c398f.png","Download")</f>
        <v>0</v>
      </c>
      <c r="BV2797" s="3"/>
      <c r="BW2797" s="3"/>
    </row>
    <row r="2798" spans="1:75">
      <c r="A2798" s="1" t="s">
        <v>35379</v>
      </c>
      <c r="B2798" s="1" t="s">
        <v>13976</v>
      </c>
      <c r="C2798" s="1" t="s">
        <v>45464</v>
      </c>
      <c r="D2798" s="1" t="s">
        <v>45465</v>
      </c>
      <c r="E2798" s="1" t="s">
        <v>45466</v>
      </c>
      <c r="F2798" s="1" t="s">
        <v>45467</v>
      </c>
      <c r="G2798" s="1" t="s">
        <v>45468</v>
      </c>
      <c r="H2798" s="1" t="s">
        <v>45469</v>
      </c>
      <c r="I2798" s="1" t="s">
        <v>45470</v>
      </c>
      <c r="J2798" s="1">
        <v>8459704912</v>
      </c>
      <c r="K2798" s="1" t="s">
        <v>153</v>
      </c>
      <c r="L2798" s="1" t="s">
        <v>45471</v>
      </c>
      <c r="M2798" s="1" t="s">
        <v>86</v>
      </c>
      <c r="N2798" s="1" t="s">
        <v>24894</v>
      </c>
      <c r="O2798" s="1" t="s">
        <v>45472</v>
      </c>
      <c r="P2798" s="1" t="s">
        <v>18210</v>
      </c>
      <c r="Q2798" s="1" t="s">
        <v>45473</v>
      </c>
      <c r="R2798" s="1" t="s">
        <v>45474</v>
      </c>
      <c r="S2798" s="1">
        <v>9423398874</v>
      </c>
      <c r="T2798" s="1" t="s">
        <v>45475</v>
      </c>
      <c r="U2798" s="1" t="s">
        <v>45476</v>
      </c>
      <c r="V2798" s="1">
        <v>9421296771</v>
      </c>
      <c r="W2798" s="1" t="s">
        <v>14821</v>
      </c>
      <c r="X2798" s="1" t="s">
        <v>45477</v>
      </c>
      <c r="Y2798" s="1" t="s">
        <v>1145</v>
      </c>
      <c r="Z2798" s="1" t="s">
        <v>97</v>
      </c>
      <c r="AA2798" s="1" t="s">
        <v>45477</v>
      </c>
      <c r="AB2798" s="1" t="s">
        <v>1145</v>
      </c>
      <c r="AC2798" s="1" t="s">
        <v>97</v>
      </c>
      <c r="AD2798" s="1" t="s">
        <v>98</v>
      </c>
      <c r="AE2798" s="1" t="s">
        <v>98</v>
      </c>
      <c r="AF2798" s="1" t="s">
        <v>45478</v>
      </c>
      <c r="AG2798" s="1" t="s">
        <v>45479</v>
      </c>
      <c r="AH2798" s="1" t="s">
        <v>704</v>
      </c>
      <c r="AI2798" s="1" t="s">
        <v>171</v>
      </c>
      <c r="AJ2798" s="1">
        <v>95.2</v>
      </c>
      <c r="AK2798" s="1"/>
      <c r="AL2798" s="1" t="s">
        <v>45480</v>
      </c>
      <c r="AM2798" s="1" t="s">
        <v>14157</v>
      </c>
      <c r="AN2798" s="1" t="s">
        <v>465</v>
      </c>
      <c r="AO2798" s="1" t="s">
        <v>547</v>
      </c>
      <c r="AP2798" s="1" t="s">
        <v>417</v>
      </c>
      <c r="AQ2798" s="1">
        <v>64.46</v>
      </c>
      <c r="AR2798" s="1"/>
      <c r="AS2798" s="1"/>
      <c r="AT2798" s="1"/>
      <c r="AU2798" s="1"/>
      <c r="AV2798" s="1"/>
      <c r="AW2798" s="1"/>
      <c r="AX2798" s="1"/>
      <c r="AY2798" s="1" t="s">
        <v>45481</v>
      </c>
      <c r="AZ2798" s="1" t="s">
        <v>45482</v>
      </c>
      <c r="BA2798" s="1" t="s">
        <v>682</v>
      </c>
      <c r="BB2798" s="1" t="s">
        <v>1561</v>
      </c>
      <c r="BC2798" s="1" t="s">
        <v>1171</v>
      </c>
      <c r="BD2798" s="1" t="s">
        <v>607</v>
      </c>
      <c r="BE2798" s="1">
        <v>61.94</v>
      </c>
      <c r="BF2798" s="1">
        <v>6.96</v>
      </c>
      <c r="BG2798" s="1"/>
      <c r="BH2798" s="1"/>
      <c r="BI2798" s="1"/>
      <c r="BJ2798" s="1"/>
      <c r="BK2798" s="1"/>
      <c r="BL2798" s="1"/>
      <c r="BM2798" s="1"/>
      <c r="BN2798" s="1"/>
      <c r="BO2798" s="1" t="s">
        <v>45483</v>
      </c>
      <c r="BP2798" s="1" t="s">
        <v>45484</v>
      </c>
      <c r="BQ2798" s="1" t="s">
        <v>2577</v>
      </c>
      <c r="BR2798" s="1" t="s">
        <v>45485</v>
      </c>
      <c r="BS2798" s="1">
        <v>16</v>
      </c>
      <c r="BT2798" s="1" t="s">
        <v>45486</v>
      </c>
      <c r="BU2798" s="1" t="str">
        <f>HYPERLINK("https://nconnect.nicmar.ac.in/storage/profile/6a8c0e75b6f0b.png","Download")</f>
        <v>0</v>
      </c>
      <c r="BV2798" s="3"/>
      <c r="BW2798" s="3"/>
    </row>
    <row r="2799" spans="1:75">
      <c r="A2799" s="1" t="s">
        <v>35379</v>
      </c>
      <c r="B2799" s="1" t="s">
        <v>13976</v>
      </c>
      <c r="C2799" s="1" t="s">
        <v>45487</v>
      </c>
      <c r="D2799" s="1" t="s">
        <v>18224</v>
      </c>
      <c r="E2799" s="1" t="s">
        <v>14742</v>
      </c>
      <c r="F2799" s="1" t="s">
        <v>45488</v>
      </c>
      <c r="G2799" s="1" t="s">
        <v>45489</v>
      </c>
      <c r="H2799" s="1" t="s">
        <v>45490</v>
      </c>
      <c r="I2799" s="1" t="s">
        <v>45491</v>
      </c>
      <c r="J2799" s="1">
        <v>9326919768</v>
      </c>
      <c r="K2799" s="1" t="s">
        <v>153</v>
      </c>
      <c r="L2799" s="1" t="s">
        <v>45492</v>
      </c>
      <c r="M2799" s="1" t="s">
        <v>86</v>
      </c>
      <c r="N2799" s="1" t="s">
        <v>7152</v>
      </c>
      <c r="O2799" s="1" t="s">
        <v>45493</v>
      </c>
      <c r="P2799" s="1" t="s">
        <v>89</v>
      </c>
      <c r="Q2799" s="1">
        <v>443098665256</v>
      </c>
      <c r="R2799" s="1" t="s">
        <v>45494</v>
      </c>
      <c r="S2799" s="1">
        <v>9619185503</v>
      </c>
      <c r="T2799" s="1" t="s">
        <v>15073</v>
      </c>
      <c r="U2799" s="1" t="s">
        <v>45495</v>
      </c>
      <c r="V2799" s="1">
        <v>9137134480</v>
      </c>
      <c r="W2799" s="1" t="s">
        <v>14337</v>
      </c>
      <c r="X2799" s="1" t="s">
        <v>45496</v>
      </c>
      <c r="Y2799" s="1" t="s">
        <v>1012</v>
      </c>
      <c r="Z2799" s="1" t="s">
        <v>97</v>
      </c>
      <c r="AA2799" s="1" t="s">
        <v>45496</v>
      </c>
      <c r="AB2799" s="1" t="s">
        <v>1012</v>
      </c>
      <c r="AC2799" s="1" t="s">
        <v>97</v>
      </c>
      <c r="AD2799" s="1" t="s">
        <v>98</v>
      </c>
      <c r="AE2799" s="1" t="s">
        <v>98</v>
      </c>
      <c r="AF2799" s="1" t="s">
        <v>45497</v>
      </c>
      <c r="AG2799" s="1" t="s">
        <v>45498</v>
      </c>
      <c r="AH2799" s="1" t="s">
        <v>167</v>
      </c>
      <c r="AI2799" s="1" t="s">
        <v>200</v>
      </c>
      <c r="AJ2799" s="1">
        <v>86.4</v>
      </c>
      <c r="AK2799" s="1"/>
      <c r="AL2799" s="1" t="s">
        <v>45499</v>
      </c>
      <c r="AM2799" s="1" t="s">
        <v>45498</v>
      </c>
      <c r="AN2799" s="1" t="s">
        <v>465</v>
      </c>
      <c r="AO2799" s="1" t="s">
        <v>106</v>
      </c>
      <c r="AP2799" s="1" t="s">
        <v>203</v>
      </c>
      <c r="AQ2799" s="1">
        <v>64.62</v>
      </c>
      <c r="AR2799" s="1"/>
      <c r="AS2799" s="1"/>
      <c r="AT2799" s="1"/>
      <c r="AU2799" s="1"/>
      <c r="AV2799" s="1"/>
      <c r="AW2799" s="1"/>
      <c r="AX2799" s="1"/>
      <c r="AY2799" s="1" t="s">
        <v>14059</v>
      </c>
      <c r="AZ2799" s="1" t="s">
        <v>45500</v>
      </c>
      <c r="BA2799" s="1" t="s">
        <v>682</v>
      </c>
      <c r="BB2799" s="1" t="s">
        <v>683</v>
      </c>
      <c r="BC2799" s="1" t="s">
        <v>206</v>
      </c>
      <c r="BD2799" s="1" t="s">
        <v>1314</v>
      </c>
      <c r="BE2799" s="1">
        <v>80.59</v>
      </c>
      <c r="BF2799" s="1">
        <v>9.27</v>
      </c>
      <c r="BG2799" s="1"/>
      <c r="BH2799" s="1"/>
      <c r="BI2799" s="1"/>
      <c r="BJ2799" s="1"/>
      <c r="BK2799" s="1"/>
      <c r="BL2799" s="1"/>
      <c r="BM2799" s="1"/>
      <c r="BN2799" s="1"/>
      <c r="BO2799" s="1" t="s">
        <v>45501</v>
      </c>
      <c r="BP2799" s="1" t="s">
        <v>45502</v>
      </c>
      <c r="BQ2799" s="1" t="s">
        <v>582</v>
      </c>
      <c r="BR2799" s="1" t="s">
        <v>45503</v>
      </c>
      <c r="BS2799" s="1">
        <v>17</v>
      </c>
      <c r="BT2799" s="1"/>
      <c r="BU2799" s="1" t="str">
        <f>HYPERLINK("https://nconnect.nicmar.ac.in/storage/profile/6a89ddf25b3f5.png","Download")</f>
        <v>0</v>
      </c>
      <c r="BV2799" s="3"/>
      <c r="BW2799" s="3"/>
    </row>
    <row r="2800" spans="1:75">
      <c r="A2800" s="1" t="s">
        <v>35379</v>
      </c>
      <c r="B2800" s="1" t="s">
        <v>13976</v>
      </c>
      <c r="C2800" s="1" t="s">
        <v>45504</v>
      </c>
      <c r="D2800" s="1" t="s">
        <v>45505</v>
      </c>
      <c r="E2800" s="1"/>
      <c r="F2800" s="1" t="s">
        <v>116</v>
      </c>
      <c r="G2800" s="1" t="s">
        <v>45506</v>
      </c>
      <c r="H2800" s="1" t="s">
        <v>45507</v>
      </c>
      <c r="I2800" s="1" t="s">
        <v>45508</v>
      </c>
      <c r="J2800" s="1">
        <v>9384293089</v>
      </c>
      <c r="K2800" s="1" t="s">
        <v>153</v>
      </c>
      <c r="L2800" s="1" t="s">
        <v>45509</v>
      </c>
      <c r="M2800" s="1" t="s">
        <v>86</v>
      </c>
      <c r="N2800" s="1" t="s">
        <v>2356</v>
      </c>
      <c r="O2800" s="1" t="s">
        <v>45510</v>
      </c>
      <c r="P2800" s="1" t="s">
        <v>356</v>
      </c>
      <c r="Q2800" s="1">
        <v>64011740</v>
      </c>
      <c r="R2800" s="1" t="s">
        <v>45511</v>
      </c>
      <c r="S2800" s="1">
        <v>9282441689</v>
      </c>
      <c r="T2800" s="1" t="s">
        <v>6160</v>
      </c>
      <c r="U2800" s="1" t="s">
        <v>45512</v>
      </c>
      <c r="V2800" s="1">
        <v>9444057555</v>
      </c>
      <c r="W2800" s="1" t="s">
        <v>161</v>
      </c>
      <c r="X2800" s="1" t="s">
        <v>45513</v>
      </c>
      <c r="Y2800" s="1" t="s">
        <v>9174</v>
      </c>
      <c r="Z2800" s="1" t="s">
        <v>570</v>
      </c>
      <c r="AA2800" s="1" t="s">
        <v>45514</v>
      </c>
      <c r="AB2800" s="1" t="s">
        <v>9174</v>
      </c>
      <c r="AC2800" s="1" t="s">
        <v>570</v>
      </c>
      <c r="AD2800" s="1" t="s">
        <v>98</v>
      </c>
      <c r="AE2800" s="1" t="s">
        <v>98</v>
      </c>
      <c r="AF2800" s="1" t="s">
        <v>41846</v>
      </c>
      <c r="AG2800" s="1" t="s">
        <v>45515</v>
      </c>
      <c r="AH2800" s="1" t="s">
        <v>286</v>
      </c>
      <c r="AI2800" s="1" t="s">
        <v>313</v>
      </c>
      <c r="AJ2800" s="1">
        <v>69.17</v>
      </c>
      <c r="AK2800" s="1"/>
      <c r="AL2800" s="1" t="s">
        <v>41846</v>
      </c>
      <c r="AM2800" s="1" t="s">
        <v>45515</v>
      </c>
      <c r="AN2800" s="1" t="s">
        <v>465</v>
      </c>
      <c r="AO2800" s="1" t="s">
        <v>603</v>
      </c>
      <c r="AP2800" s="1" t="s">
        <v>549</v>
      </c>
      <c r="AQ2800" s="1">
        <v>73.6</v>
      </c>
      <c r="AR2800" s="1"/>
      <c r="AS2800" s="1"/>
      <c r="AT2800" s="1"/>
      <c r="AU2800" s="1"/>
      <c r="AV2800" s="1"/>
      <c r="AW2800" s="1"/>
      <c r="AX2800" s="1"/>
      <c r="AY2800" s="1" t="s">
        <v>576</v>
      </c>
      <c r="AZ2800" s="1" t="s">
        <v>45516</v>
      </c>
      <c r="BA2800" s="1" t="s">
        <v>578</v>
      </c>
      <c r="BB2800" s="1" t="s">
        <v>467</v>
      </c>
      <c r="BC2800" s="1" t="s">
        <v>140</v>
      </c>
      <c r="BD2800" s="1" t="s">
        <v>607</v>
      </c>
      <c r="BE2800" s="1">
        <v>70.11</v>
      </c>
      <c r="BF2800" s="1">
        <v>7.38</v>
      </c>
      <c r="BG2800" s="1"/>
      <c r="BH2800" s="1"/>
      <c r="BI2800" s="1"/>
      <c r="BJ2800" s="1"/>
      <c r="BK2800" s="1"/>
      <c r="BL2800" s="1"/>
      <c r="BM2800" s="1"/>
      <c r="BN2800" s="1"/>
      <c r="BO2800" s="1" t="s">
        <v>45517</v>
      </c>
      <c r="BP2800" s="1"/>
      <c r="BQ2800" s="1"/>
      <c r="BR2800" s="1"/>
      <c r="BS2800" s="1"/>
      <c r="BT2800" s="1"/>
      <c r="BU2800" s="1" t="str">
        <f>HYPERLINK("https://nconnect.nicmar.ac.in/storage/profile/6a85e8b968257.png","Download")</f>
        <v>0</v>
      </c>
      <c r="BV2800" s="3"/>
      <c r="BW2800" s="3"/>
    </row>
    <row r="2801" spans="1:75">
      <c r="A2801" s="1" t="s">
        <v>35379</v>
      </c>
      <c r="B2801" s="1" t="s">
        <v>13976</v>
      </c>
      <c r="C2801" s="1" t="s">
        <v>45518</v>
      </c>
      <c r="D2801" s="1" t="s">
        <v>1294</v>
      </c>
      <c r="E2801" s="1"/>
      <c r="F2801" s="1" t="s">
        <v>1320</v>
      </c>
      <c r="G2801" s="1" t="s">
        <v>39941</v>
      </c>
      <c r="H2801" s="1" t="s">
        <v>45519</v>
      </c>
      <c r="I2801" s="1" t="s">
        <v>45520</v>
      </c>
      <c r="J2801" s="1">
        <v>6206090153</v>
      </c>
      <c r="K2801" s="1" t="s">
        <v>84</v>
      </c>
      <c r="L2801" s="1" t="s">
        <v>31222</v>
      </c>
      <c r="M2801" s="1" t="s">
        <v>86</v>
      </c>
      <c r="N2801" s="1" t="s">
        <v>8293</v>
      </c>
      <c r="O2801" s="1" t="s">
        <v>45521</v>
      </c>
      <c r="P2801" s="1" t="s">
        <v>122</v>
      </c>
      <c r="Q2801" s="1">
        <v>537875843698</v>
      </c>
      <c r="R2801" s="1" t="s">
        <v>45522</v>
      </c>
      <c r="S2801" s="1">
        <v>9835292438</v>
      </c>
      <c r="T2801" s="1" t="s">
        <v>276</v>
      </c>
      <c r="U2801" s="1" t="s">
        <v>45523</v>
      </c>
      <c r="V2801" s="1">
        <v>9334578772</v>
      </c>
      <c r="W2801" s="1" t="s">
        <v>161</v>
      </c>
      <c r="X2801" s="1" t="s">
        <v>45524</v>
      </c>
      <c r="Y2801" s="1" t="s">
        <v>648</v>
      </c>
      <c r="Z2801" s="1" t="s">
        <v>649</v>
      </c>
      <c r="AA2801" s="1" t="s">
        <v>45524</v>
      </c>
      <c r="AB2801" s="1" t="s">
        <v>648</v>
      </c>
      <c r="AC2801" s="1" t="s">
        <v>649</v>
      </c>
      <c r="AD2801" s="1" t="s">
        <v>98</v>
      </c>
      <c r="AE2801" s="1" t="s">
        <v>98</v>
      </c>
      <c r="AF2801" s="1" t="s">
        <v>24232</v>
      </c>
      <c r="AG2801" s="1" t="s">
        <v>45525</v>
      </c>
      <c r="AH2801" s="1" t="s">
        <v>1110</v>
      </c>
      <c r="AI2801" s="1" t="s">
        <v>1111</v>
      </c>
      <c r="AJ2801" s="1">
        <v>92</v>
      </c>
      <c r="AK2801" s="1">
        <v>9.6</v>
      </c>
      <c r="AL2801" s="1" t="s">
        <v>24232</v>
      </c>
      <c r="AM2801" s="1" t="s">
        <v>45525</v>
      </c>
      <c r="AN2801" s="1" t="s">
        <v>465</v>
      </c>
      <c r="AO2801" s="1" t="s">
        <v>704</v>
      </c>
      <c r="AP2801" s="1" t="s">
        <v>286</v>
      </c>
      <c r="AQ2801" s="1">
        <v>68</v>
      </c>
      <c r="AR2801" s="1"/>
      <c r="AS2801" s="1"/>
      <c r="AT2801" s="1"/>
      <c r="AU2801" s="1"/>
      <c r="AV2801" s="1"/>
      <c r="AW2801" s="1"/>
      <c r="AX2801" s="1"/>
      <c r="AY2801" s="1" t="s">
        <v>28955</v>
      </c>
      <c r="AZ2801" s="1" t="s">
        <v>45526</v>
      </c>
      <c r="BA2801" s="1" t="s">
        <v>578</v>
      </c>
      <c r="BB2801" s="1" t="s">
        <v>467</v>
      </c>
      <c r="BC2801" s="1" t="s">
        <v>109</v>
      </c>
      <c r="BD2801" s="1" t="s">
        <v>955</v>
      </c>
      <c r="BE2801" s="1">
        <v>58</v>
      </c>
      <c r="BF2801" s="1">
        <v>6.7</v>
      </c>
      <c r="BG2801" s="1"/>
      <c r="BH2801" s="1"/>
      <c r="BI2801" s="1"/>
      <c r="BJ2801" s="1"/>
      <c r="BK2801" s="1"/>
      <c r="BL2801" s="1"/>
      <c r="BM2801" s="1"/>
      <c r="BN2801" s="1"/>
      <c r="BO2801" s="1" t="s">
        <v>45527</v>
      </c>
      <c r="BP2801" s="1" t="s">
        <v>45528</v>
      </c>
      <c r="BQ2801" s="1" t="s">
        <v>1482</v>
      </c>
      <c r="BR2801" s="1" t="s">
        <v>45529</v>
      </c>
      <c r="BS2801" s="1">
        <v>4</v>
      </c>
      <c r="BT2801" s="1"/>
      <c r="BU2801" s="1" t="str">
        <f>HYPERLINK("https://nconnect.nicmar.ac.in/storage/profile/6a85ec7b03f57.png","Download")</f>
        <v>0</v>
      </c>
      <c r="BV2801" s="3"/>
      <c r="BW2801" s="3"/>
    </row>
    <row r="2802" spans="1:75">
      <c r="A2802" s="1" t="s">
        <v>35379</v>
      </c>
      <c r="B2802" s="1" t="s">
        <v>13976</v>
      </c>
      <c r="C2802" s="1" t="s">
        <v>45530</v>
      </c>
      <c r="D2802" s="1" t="s">
        <v>10117</v>
      </c>
      <c r="E2802" s="1" t="s">
        <v>45531</v>
      </c>
      <c r="F2802" s="1" t="s">
        <v>45532</v>
      </c>
      <c r="G2802" s="1" t="s">
        <v>45533</v>
      </c>
      <c r="H2802" s="1" t="s">
        <v>45534</v>
      </c>
      <c r="I2802" s="1" t="s">
        <v>45535</v>
      </c>
      <c r="J2802" s="1">
        <v>9136070383</v>
      </c>
      <c r="K2802" s="1" t="s">
        <v>153</v>
      </c>
      <c r="L2802" s="1" t="s">
        <v>24877</v>
      </c>
      <c r="M2802" s="1" t="s">
        <v>86</v>
      </c>
      <c r="N2802" s="1" t="s">
        <v>4263</v>
      </c>
      <c r="O2802" s="1" t="s">
        <v>45536</v>
      </c>
      <c r="P2802" s="1" t="s">
        <v>89</v>
      </c>
      <c r="Q2802" s="1">
        <v>276667480860</v>
      </c>
      <c r="R2802" s="1" t="s">
        <v>45537</v>
      </c>
      <c r="S2802" s="1">
        <v>9860613063</v>
      </c>
      <c r="T2802" s="1" t="s">
        <v>2177</v>
      </c>
      <c r="U2802" s="1" t="s">
        <v>45538</v>
      </c>
      <c r="V2802" s="1">
        <v>9665834450</v>
      </c>
      <c r="W2802" s="1" t="s">
        <v>14032</v>
      </c>
      <c r="X2802" s="1" t="s">
        <v>45539</v>
      </c>
      <c r="Y2802" s="1" t="s">
        <v>410</v>
      </c>
      <c r="Z2802" s="1" t="s">
        <v>97</v>
      </c>
      <c r="AA2802" s="1" t="s">
        <v>45539</v>
      </c>
      <c r="AB2802" s="1" t="s">
        <v>410</v>
      </c>
      <c r="AC2802" s="1" t="s">
        <v>97</v>
      </c>
      <c r="AD2802" s="1" t="s">
        <v>98</v>
      </c>
      <c r="AE2802" s="1" t="s">
        <v>98</v>
      </c>
      <c r="AF2802" s="1" t="s">
        <v>45540</v>
      </c>
      <c r="AG2802" s="1" t="s">
        <v>45541</v>
      </c>
      <c r="AH2802" s="1" t="s">
        <v>166</v>
      </c>
      <c r="AI2802" s="1" t="s">
        <v>627</v>
      </c>
      <c r="AJ2802" s="1">
        <v>81.6</v>
      </c>
      <c r="AK2802" s="1">
        <v>8.6</v>
      </c>
      <c r="AL2802" s="1" t="s">
        <v>1535</v>
      </c>
      <c r="AM2802" s="1" t="s">
        <v>45541</v>
      </c>
      <c r="AN2802" s="1" t="s">
        <v>465</v>
      </c>
      <c r="AO2802" s="1" t="s">
        <v>167</v>
      </c>
      <c r="AP2802" s="1" t="s">
        <v>171</v>
      </c>
      <c r="AQ2802" s="1">
        <v>61.6</v>
      </c>
      <c r="AR2802" s="1">
        <v>6.48</v>
      </c>
      <c r="AS2802" s="1"/>
      <c r="AT2802" s="1"/>
      <c r="AU2802" s="1"/>
      <c r="AV2802" s="1"/>
      <c r="AW2802" s="1"/>
      <c r="AX2802" s="1"/>
      <c r="AY2802" s="1" t="s">
        <v>258</v>
      </c>
      <c r="AZ2802" s="1" t="s">
        <v>45542</v>
      </c>
      <c r="BA2802" s="1" t="s">
        <v>682</v>
      </c>
      <c r="BB2802" s="1" t="s">
        <v>683</v>
      </c>
      <c r="BC2802" s="1" t="s">
        <v>106</v>
      </c>
      <c r="BD2802" s="1" t="s">
        <v>37515</v>
      </c>
      <c r="BE2802" s="1">
        <v>58.0</v>
      </c>
      <c r="BF2802" s="1">
        <v>6.48</v>
      </c>
      <c r="BG2802" s="1"/>
      <c r="BH2802" s="1"/>
      <c r="BI2802" s="1"/>
      <c r="BJ2802" s="1"/>
      <c r="BK2802" s="1"/>
      <c r="BL2802" s="1"/>
      <c r="BM2802" s="1"/>
      <c r="BN2802" s="1"/>
      <c r="BO2802" s="1" t="s">
        <v>45543</v>
      </c>
      <c r="BP2802" s="1" t="s">
        <v>45544</v>
      </c>
      <c r="BQ2802" s="1" t="s">
        <v>6365</v>
      </c>
      <c r="BR2802" s="1" t="s">
        <v>45545</v>
      </c>
      <c r="BS2802" s="1">
        <v>20</v>
      </c>
      <c r="BT2802" s="1"/>
      <c r="BU2802" s="1" t="str">
        <f>HYPERLINK("https://nconnect.nicmar.ac.in/storage/profile/6a8604f45b738.png","Download")</f>
        <v>0</v>
      </c>
      <c r="BV2802" s="3"/>
      <c r="BW2802" s="3"/>
    </row>
    <row r="2803" spans="1:75">
      <c r="A2803" s="1" t="s">
        <v>35379</v>
      </c>
      <c r="B2803" s="1" t="s">
        <v>13976</v>
      </c>
      <c r="C2803" s="1" t="s">
        <v>45546</v>
      </c>
      <c r="D2803" s="1" t="s">
        <v>45547</v>
      </c>
      <c r="E2803" s="1" t="s">
        <v>45548</v>
      </c>
      <c r="F2803" s="1" t="s">
        <v>45549</v>
      </c>
      <c r="G2803" s="1" t="s">
        <v>45550</v>
      </c>
      <c r="H2803" s="1" t="s">
        <v>45551</v>
      </c>
      <c r="I2803" s="1" t="s">
        <v>45552</v>
      </c>
      <c r="J2803" s="1">
        <v>7058051715</v>
      </c>
      <c r="K2803" s="1" t="s">
        <v>84</v>
      </c>
      <c r="L2803" s="1" t="s">
        <v>39243</v>
      </c>
      <c r="M2803" s="1" t="s">
        <v>86</v>
      </c>
      <c r="N2803" s="1" t="s">
        <v>19264</v>
      </c>
      <c r="O2803" s="1" t="s">
        <v>45553</v>
      </c>
      <c r="P2803" s="1" t="s">
        <v>219</v>
      </c>
      <c r="Q2803" s="1">
        <v>289871214187</v>
      </c>
      <c r="R2803" s="1" t="s">
        <v>45548</v>
      </c>
      <c r="S2803" s="1">
        <v>9923919694</v>
      </c>
      <c r="T2803" s="1" t="s">
        <v>3441</v>
      </c>
      <c r="U2803" s="1" t="s">
        <v>40081</v>
      </c>
      <c r="V2803" s="1">
        <v>8766587572</v>
      </c>
      <c r="W2803" s="1" t="s">
        <v>15073</v>
      </c>
      <c r="X2803" s="1" t="s">
        <v>45554</v>
      </c>
      <c r="Y2803" s="1" t="s">
        <v>1989</v>
      </c>
      <c r="Z2803" s="1" t="s">
        <v>97</v>
      </c>
      <c r="AA2803" s="1" t="s">
        <v>45554</v>
      </c>
      <c r="AB2803" s="1" t="s">
        <v>1989</v>
      </c>
      <c r="AC2803" s="1" t="s">
        <v>97</v>
      </c>
      <c r="AD2803" s="1" t="s">
        <v>98</v>
      </c>
      <c r="AE2803" s="1" t="s">
        <v>98</v>
      </c>
      <c r="AF2803" s="1" t="s">
        <v>45555</v>
      </c>
      <c r="AG2803" s="1" t="s">
        <v>45556</v>
      </c>
      <c r="AH2803" s="1" t="s">
        <v>106</v>
      </c>
      <c r="AI2803" s="1" t="s">
        <v>438</v>
      </c>
      <c r="AJ2803" s="1">
        <v>89.6</v>
      </c>
      <c r="AK2803" s="1">
        <v>9.43</v>
      </c>
      <c r="AL2803" s="1" t="s">
        <v>45557</v>
      </c>
      <c r="AM2803" s="1" t="s">
        <v>45556</v>
      </c>
      <c r="AN2803" s="1" t="s">
        <v>465</v>
      </c>
      <c r="AO2803" s="1" t="s">
        <v>468</v>
      </c>
      <c r="AP2803" s="1" t="s">
        <v>847</v>
      </c>
      <c r="AQ2803" s="1">
        <v>87.83</v>
      </c>
      <c r="AR2803" s="1">
        <v>9.25</v>
      </c>
      <c r="AS2803" s="1"/>
      <c r="AT2803" s="1"/>
      <c r="AU2803" s="1"/>
      <c r="AV2803" s="1"/>
      <c r="AW2803" s="1"/>
      <c r="AX2803" s="1"/>
      <c r="AY2803" s="1" t="s">
        <v>14160</v>
      </c>
      <c r="AZ2803" s="1" t="s">
        <v>45558</v>
      </c>
      <c r="BA2803" s="1" t="s">
        <v>682</v>
      </c>
      <c r="BB2803" s="1" t="s">
        <v>683</v>
      </c>
      <c r="BC2803" s="1" t="s">
        <v>871</v>
      </c>
      <c r="BD2803" s="1" t="s">
        <v>14514</v>
      </c>
      <c r="BE2803" s="1">
        <v>60.78</v>
      </c>
      <c r="BF2803" s="1">
        <v>6.83</v>
      </c>
      <c r="BG2803" s="1"/>
      <c r="BH2803" s="1"/>
      <c r="BI2803" s="1"/>
      <c r="BJ2803" s="1"/>
      <c r="BK2803" s="1"/>
      <c r="BL2803" s="1"/>
      <c r="BM2803" s="1"/>
      <c r="BN2803" s="1"/>
      <c r="BO2803" s="1" t="s">
        <v>45559</v>
      </c>
      <c r="BP2803" s="1"/>
      <c r="BQ2803" s="1"/>
      <c r="BR2803" s="1" t="s">
        <v>45560</v>
      </c>
      <c r="BS2803" s="1">
        <v>21</v>
      </c>
      <c r="BT2803" s="1"/>
      <c r="BU2803" s="1" t="str">
        <f>HYPERLINK("https://nconnect.nicmar.ac.in/storage/profile/6a8b65cec0b80.png","Download")</f>
        <v>0</v>
      </c>
      <c r="BV2803" s="3"/>
      <c r="BW2803" s="3"/>
    </row>
    <row r="2804" spans="1:75">
      <c r="A2804" s="1" t="s">
        <v>40863</v>
      </c>
      <c r="B2804" s="1" t="s">
        <v>13976</v>
      </c>
      <c r="C2804" s="1" t="s">
        <v>45561</v>
      </c>
      <c r="D2804" s="1" t="s">
        <v>17852</v>
      </c>
      <c r="E2804" s="1"/>
      <c r="F2804" s="1" t="s">
        <v>17724</v>
      </c>
      <c r="G2804" s="1" t="s">
        <v>45562</v>
      </c>
      <c r="H2804" s="1" t="s">
        <v>45563</v>
      </c>
      <c r="I2804" s="1" t="s">
        <v>45564</v>
      </c>
      <c r="J2804" s="1">
        <v>9929151711</v>
      </c>
      <c r="K2804" s="1" t="s">
        <v>84</v>
      </c>
      <c r="L2804" s="1" t="s">
        <v>45565</v>
      </c>
      <c r="M2804" s="1" t="s">
        <v>86</v>
      </c>
      <c r="N2804" s="1" t="s">
        <v>45566</v>
      </c>
      <c r="O2804" s="1" t="s">
        <v>9823</v>
      </c>
      <c r="P2804" s="1" t="s">
        <v>122</v>
      </c>
      <c r="Q2804" s="1">
        <v>465063011191</v>
      </c>
      <c r="R2804" s="1" t="s">
        <v>45567</v>
      </c>
      <c r="S2804" s="1">
        <v>9099903461</v>
      </c>
      <c r="T2804" s="1" t="s">
        <v>14800</v>
      </c>
      <c r="U2804" s="1" t="s">
        <v>45568</v>
      </c>
      <c r="V2804" s="1">
        <v>9024065005</v>
      </c>
      <c r="W2804" s="1" t="s">
        <v>14154</v>
      </c>
      <c r="X2804" s="1" t="s">
        <v>45569</v>
      </c>
      <c r="Y2804" s="1" t="s">
        <v>8184</v>
      </c>
      <c r="Z2804" s="1" t="s">
        <v>2153</v>
      </c>
      <c r="AA2804" s="1" t="s">
        <v>45569</v>
      </c>
      <c r="AB2804" s="1" t="s">
        <v>8184</v>
      </c>
      <c r="AC2804" s="1" t="s">
        <v>2153</v>
      </c>
      <c r="AD2804" s="1" t="s">
        <v>98</v>
      </c>
      <c r="AE2804" s="1" t="s">
        <v>98</v>
      </c>
      <c r="AF2804" s="1" t="s">
        <v>45570</v>
      </c>
      <c r="AG2804" s="1" t="s">
        <v>45571</v>
      </c>
      <c r="AH2804" s="1" t="s">
        <v>414</v>
      </c>
      <c r="AI2804" s="1" t="s">
        <v>468</v>
      </c>
      <c r="AJ2804" s="1">
        <v>59.2</v>
      </c>
      <c r="AK2804" s="1"/>
      <c r="AL2804" s="1" t="s">
        <v>45572</v>
      </c>
      <c r="AM2804" s="1" t="s">
        <v>45573</v>
      </c>
      <c r="AN2804" s="1" t="s">
        <v>35580</v>
      </c>
      <c r="AO2804" s="1" t="s">
        <v>1192</v>
      </c>
      <c r="AP2804" s="1" t="s">
        <v>289</v>
      </c>
      <c r="AQ2804" s="1">
        <v>78.8</v>
      </c>
      <c r="AR2804" s="1"/>
      <c r="AS2804" s="1"/>
      <c r="AT2804" s="1"/>
      <c r="AU2804" s="1"/>
      <c r="AV2804" s="1"/>
      <c r="AW2804" s="1"/>
      <c r="AX2804" s="1"/>
      <c r="AY2804" s="1" t="s">
        <v>45574</v>
      </c>
      <c r="AZ2804" s="1" t="s">
        <v>45575</v>
      </c>
      <c r="BA2804" s="1" t="s">
        <v>35549</v>
      </c>
      <c r="BB2804" s="1" t="s">
        <v>98</v>
      </c>
      <c r="BC2804" s="1" t="s">
        <v>110</v>
      </c>
      <c r="BD2804" s="1" t="s">
        <v>553</v>
      </c>
      <c r="BE2804" s="1">
        <v>54.61</v>
      </c>
      <c r="BF2804" s="1"/>
      <c r="BG2804" s="1"/>
      <c r="BH2804" s="1"/>
      <c r="BI2804" s="1"/>
      <c r="BJ2804" s="1"/>
      <c r="BK2804" s="1"/>
      <c r="BL2804" s="1"/>
      <c r="BM2804" s="1"/>
      <c r="BN2804" s="1"/>
      <c r="BO2804" s="1" t="s">
        <v>45576</v>
      </c>
      <c r="BP2804" s="1"/>
      <c r="BQ2804" s="1"/>
      <c r="BR2804" s="1"/>
      <c r="BS2804" s="1"/>
      <c r="BT2804" s="1"/>
      <c r="BU2804" s="1" t="str">
        <f>HYPERLINK("https://nconnect.nicmar.ac.in/storage/profile/6a85e734b0352.png","Download")</f>
        <v>0</v>
      </c>
      <c r="BV2804" s="3"/>
      <c r="BW2804" s="3"/>
    </row>
    <row r="2805" spans="1:75">
      <c r="A2805" s="1" t="s">
        <v>40863</v>
      </c>
      <c r="B2805" s="1" t="s">
        <v>13976</v>
      </c>
      <c r="C2805" s="1" t="s">
        <v>45577</v>
      </c>
      <c r="D2805" s="1" t="s">
        <v>45578</v>
      </c>
      <c r="E2805" s="1"/>
      <c r="F2805" s="1" t="s">
        <v>15140</v>
      </c>
      <c r="G2805" s="1" t="s">
        <v>45579</v>
      </c>
      <c r="H2805" s="1" t="s">
        <v>45580</v>
      </c>
      <c r="I2805" s="1" t="s">
        <v>45581</v>
      </c>
      <c r="J2805" s="1">
        <v>7828011673</v>
      </c>
      <c r="K2805" s="1" t="s">
        <v>84</v>
      </c>
      <c r="L2805" s="1" t="s">
        <v>9729</v>
      </c>
      <c r="M2805" s="1" t="s">
        <v>86</v>
      </c>
      <c r="N2805" s="1" t="s">
        <v>8293</v>
      </c>
      <c r="O2805" s="1" t="s">
        <v>45582</v>
      </c>
      <c r="P2805" s="1" t="s">
        <v>122</v>
      </c>
      <c r="Q2805" s="1">
        <v>321520031023</v>
      </c>
      <c r="R2805" s="1" t="s">
        <v>45583</v>
      </c>
      <c r="S2805" s="1">
        <v>8770869201</v>
      </c>
      <c r="T2805" s="1" t="s">
        <v>20869</v>
      </c>
      <c r="U2805" s="1" t="s">
        <v>45584</v>
      </c>
      <c r="V2805" s="1">
        <v>9109921739</v>
      </c>
      <c r="W2805" s="1" t="s">
        <v>3441</v>
      </c>
      <c r="X2805" s="1" t="s">
        <v>45585</v>
      </c>
      <c r="Y2805" s="1" t="s">
        <v>29113</v>
      </c>
      <c r="Z2805" s="1" t="s">
        <v>3419</v>
      </c>
      <c r="AA2805" s="1" t="s">
        <v>45585</v>
      </c>
      <c r="AB2805" s="1" t="s">
        <v>29113</v>
      </c>
      <c r="AC2805" s="1" t="s">
        <v>3419</v>
      </c>
      <c r="AD2805" s="1" t="s">
        <v>98</v>
      </c>
      <c r="AE2805" s="1" t="s">
        <v>98</v>
      </c>
      <c r="AF2805" s="1" t="s">
        <v>45586</v>
      </c>
      <c r="AG2805" s="1" t="s">
        <v>45587</v>
      </c>
      <c r="AH2805" s="1" t="s">
        <v>490</v>
      </c>
      <c r="AI2805" s="1" t="s">
        <v>313</v>
      </c>
      <c r="AJ2805" s="1">
        <v>67.8</v>
      </c>
      <c r="AK2805" s="1">
        <v>7.14</v>
      </c>
      <c r="AL2805" s="1" t="s">
        <v>45588</v>
      </c>
      <c r="AM2805" s="1" t="s">
        <v>45589</v>
      </c>
      <c r="AN2805" s="1" t="s">
        <v>35580</v>
      </c>
      <c r="AO2805" s="1" t="s">
        <v>977</v>
      </c>
      <c r="AP2805" s="1" t="s">
        <v>549</v>
      </c>
      <c r="AQ2805" s="1">
        <v>71</v>
      </c>
      <c r="AR2805" s="1">
        <v>7.47</v>
      </c>
      <c r="AS2805" s="1"/>
      <c r="AT2805" s="1"/>
      <c r="AU2805" s="1"/>
      <c r="AV2805" s="1"/>
      <c r="AW2805" s="1"/>
      <c r="AX2805" s="1"/>
      <c r="AY2805" s="1" t="s">
        <v>45590</v>
      </c>
      <c r="AZ2805" s="1" t="s">
        <v>45591</v>
      </c>
      <c r="BA2805" s="1" t="s">
        <v>38008</v>
      </c>
      <c r="BB2805" s="1" t="s">
        <v>1062</v>
      </c>
      <c r="BC2805" s="1" t="s">
        <v>179</v>
      </c>
      <c r="BD2805" s="1" t="s">
        <v>14514</v>
      </c>
      <c r="BE2805" s="1">
        <v>65.12</v>
      </c>
      <c r="BF2805" s="1">
        <v>7.25</v>
      </c>
      <c r="BG2805" s="1"/>
      <c r="BH2805" s="1"/>
      <c r="BI2805" s="1"/>
      <c r="BJ2805" s="1"/>
      <c r="BK2805" s="1"/>
      <c r="BL2805" s="1"/>
      <c r="BM2805" s="1"/>
      <c r="BN2805" s="1"/>
      <c r="BO2805" s="1" t="s">
        <v>1890</v>
      </c>
      <c r="BP2805" s="1"/>
      <c r="BQ2805" s="1"/>
      <c r="BR2805" s="1"/>
      <c r="BS2805" s="1"/>
      <c r="BT2805" s="1"/>
      <c r="BU2805" s="1" t="str">
        <f>HYPERLINK("https://nconnect.nicmar.ac.in/storage/profile/6a86b9e518bd7.png","Download")</f>
        <v>0</v>
      </c>
      <c r="BV2805" s="3"/>
      <c r="BW2805" s="3"/>
    </row>
    <row r="2806" spans="1:75">
      <c r="A2806" s="1" t="s">
        <v>40863</v>
      </c>
      <c r="B2806" s="1" t="s">
        <v>13976</v>
      </c>
      <c r="C2806" s="1" t="s">
        <v>45592</v>
      </c>
      <c r="D2806" s="1" t="s">
        <v>45593</v>
      </c>
      <c r="E2806" s="1" t="s">
        <v>45594</v>
      </c>
      <c r="F2806" s="1" t="s">
        <v>45595</v>
      </c>
      <c r="G2806" s="1" t="s">
        <v>45596</v>
      </c>
      <c r="H2806" s="1" t="s">
        <v>45597</v>
      </c>
      <c r="I2806" s="1" t="s">
        <v>45598</v>
      </c>
      <c r="J2806" s="1">
        <v>9567708704</v>
      </c>
      <c r="K2806" s="1" t="s">
        <v>84</v>
      </c>
      <c r="L2806" s="1" t="s">
        <v>45599</v>
      </c>
      <c r="M2806" s="1" t="s">
        <v>86</v>
      </c>
      <c r="N2806" s="1" t="s">
        <v>8293</v>
      </c>
      <c r="O2806" s="1" t="s">
        <v>45600</v>
      </c>
      <c r="P2806" s="1" t="s">
        <v>219</v>
      </c>
      <c r="Q2806" s="1">
        <v>358135439697</v>
      </c>
      <c r="R2806" s="1" t="s">
        <v>45601</v>
      </c>
      <c r="S2806" s="1">
        <v>9847708704</v>
      </c>
      <c r="T2806" s="1" t="s">
        <v>20646</v>
      </c>
      <c r="U2806" s="1" t="s">
        <v>45602</v>
      </c>
      <c r="V2806" s="1">
        <v>9744499264</v>
      </c>
      <c r="W2806" s="1" t="s">
        <v>15812</v>
      </c>
      <c r="X2806" s="1" t="s">
        <v>45603</v>
      </c>
      <c r="Y2806" s="1" t="s">
        <v>1307</v>
      </c>
      <c r="Z2806" s="1" t="s">
        <v>130</v>
      </c>
      <c r="AA2806" s="1" t="s">
        <v>45603</v>
      </c>
      <c r="AB2806" s="1" t="s">
        <v>1307</v>
      </c>
      <c r="AC2806" s="1" t="s">
        <v>130</v>
      </c>
      <c r="AD2806" s="1" t="s">
        <v>98</v>
      </c>
      <c r="AE2806" s="1" t="s">
        <v>98</v>
      </c>
      <c r="AF2806" s="1"/>
      <c r="AG2806" s="1"/>
      <c r="AH2806" s="1"/>
      <c r="AI2806" s="1"/>
      <c r="AJ2806" s="1"/>
      <c r="AK2806" s="1"/>
      <c r="AL2806" s="1"/>
      <c r="AM2806" s="1"/>
      <c r="AN2806" s="1"/>
      <c r="AO2806" s="1"/>
      <c r="AP2806" s="1"/>
      <c r="AQ2806" s="1"/>
      <c r="AR2806" s="1"/>
      <c r="AS2806" s="1"/>
      <c r="AT2806" s="1"/>
      <c r="AU2806" s="1"/>
      <c r="AV2806" s="1"/>
      <c r="AW2806" s="1"/>
      <c r="AX2806" s="1"/>
      <c r="AY2806" s="1"/>
      <c r="AZ2806" s="1"/>
      <c r="BA2806" s="1"/>
      <c r="BB2806" s="1"/>
      <c r="BC2806" s="1"/>
      <c r="BD2806" s="1"/>
      <c r="BE2806" s="1"/>
      <c r="BF2806" s="1"/>
      <c r="BG2806" s="1"/>
      <c r="BH2806" s="1"/>
      <c r="BI2806" s="1"/>
      <c r="BJ2806" s="1"/>
      <c r="BK2806" s="1"/>
      <c r="BL2806" s="1"/>
      <c r="BM2806" s="1"/>
      <c r="BN2806" s="1"/>
      <c r="BO2806" s="1"/>
      <c r="BP2806" s="1"/>
      <c r="BQ2806" s="1"/>
      <c r="BR2806" s="1"/>
      <c r="BS2806" s="1"/>
      <c r="BT2806" s="1"/>
      <c r="BU2806" s="1" t="str">
        <f>HYPERLINK("https://nconnect.nicmar.ac.in/storage/profile/6a85cf2784494.png","Download")</f>
        <v>0</v>
      </c>
      <c r="BV2806" s="3"/>
      <c r="BW2806" s="3"/>
    </row>
    <row r="2807" spans="1:75">
      <c r="A2807" s="1" t="s">
        <v>40863</v>
      </c>
      <c r="B2807" s="1" t="s">
        <v>13976</v>
      </c>
      <c r="C2807" s="1" t="s">
        <v>45604</v>
      </c>
      <c r="D2807" s="1" t="s">
        <v>45605</v>
      </c>
      <c r="E2807" s="1"/>
      <c r="F2807" s="1" t="s">
        <v>45606</v>
      </c>
      <c r="G2807" s="1" t="s">
        <v>45607</v>
      </c>
      <c r="H2807" s="1" t="s">
        <v>45608</v>
      </c>
      <c r="I2807" s="1" t="s">
        <v>45608</v>
      </c>
      <c r="J2807" s="1">
        <v>9428037669</v>
      </c>
      <c r="K2807" s="1" t="s">
        <v>153</v>
      </c>
      <c r="L2807" s="1" t="s">
        <v>9940</v>
      </c>
      <c r="M2807" s="1" t="s">
        <v>86</v>
      </c>
      <c r="N2807" s="1" t="s">
        <v>45609</v>
      </c>
      <c r="O2807" s="1" t="s">
        <v>45610</v>
      </c>
      <c r="P2807" s="1" t="s">
        <v>219</v>
      </c>
      <c r="Q2807" s="1">
        <v>256338162458</v>
      </c>
      <c r="R2807" s="1" t="s">
        <v>45611</v>
      </c>
      <c r="S2807" s="1">
        <v>9898415149</v>
      </c>
      <c r="T2807" s="1" t="s">
        <v>14335</v>
      </c>
      <c r="U2807" s="1" t="s">
        <v>45612</v>
      </c>
      <c r="V2807" s="1">
        <v>7600013997</v>
      </c>
      <c r="W2807" s="1" t="s">
        <v>14335</v>
      </c>
      <c r="X2807" s="1" t="s">
        <v>45613</v>
      </c>
      <c r="Y2807" s="1" t="s">
        <v>8166</v>
      </c>
      <c r="Z2807" s="1" t="s">
        <v>676</v>
      </c>
      <c r="AA2807" s="1" t="s">
        <v>45614</v>
      </c>
      <c r="AB2807" s="1" t="s">
        <v>196</v>
      </c>
      <c r="AC2807" s="1" t="s">
        <v>97</v>
      </c>
      <c r="AD2807" s="1" t="s">
        <v>98</v>
      </c>
      <c r="AE2807" s="1" t="s">
        <v>98</v>
      </c>
      <c r="AF2807" s="1" t="s">
        <v>45615</v>
      </c>
      <c r="AG2807" s="1" t="s">
        <v>45616</v>
      </c>
      <c r="AH2807" s="1" t="s">
        <v>170</v>
      </c>
      <c r="AI2807" s="1" t="s">
        <v>286</v>
      </c>
      <c r="AJ2807" s="1">
        <v>92</v>
      </c>
      <c r="AK2807" s="1">
        <v>9.29</v>
      </c>
      <c r="AL2807" s="1" t="s">
        <v>45617</v>
      </c>
      <c r="AM2807" s="1" t="s">
        <v>45616</v>
      </c>
      <c r="AN2807" s="1" t="s">
        <v>2995</v>
      </c>
      <c r="AO2807" s="1" t="s">
        <v>438</v>
      </c>
      <c r="AP2807" s="1" t="s">
        <v>603</v>
      </c>
      <c r="AQ2807" s="1">
        <v>72.71</v>
      </c>
      <c r="AR2807" s="1">
        <v>7.79</v>
      </c>
      <c r="AS2807" s="1"/>
      <c r="AT2807" s="1"/>
      <c r="AU2807" s="1"/>
      <c r="AV2807" s="1"/>
      <c r="AW2807" s="1"/>
      <c r="AX2807" s="1"/>
      <c r="AY2807" s="1" t="s">
        <v>45618</v>
      </c>
      <c r="AZ2807" s="1" t="s">
        <v>45619</v>
      </c>
      <c r="BA2807" s="1" t="s">
        <v>37920</v>
      </c>
      <c r="BB2807" s="1" t="s">
        <v>1062</v>
      </c>
      <c r="BC2807" s="1" t="s">
        <v>468</v>
      </c>
      <c r="BD2807" s="1" t="s">
        <v>579</v>
      </c>
      <c r="BE2807" s="1">
        <v>86.7</v>
      </c>
      <c r="BF2807" s="1">
        <v>8.67</v>
      </c>
      <c r="BG2807" s="1" t="s">
        <v>45618</v>
      </c>
      <c r="BH2807" s="1" t="s">
        <v>45619</v>
      </c>
      <c r="BI2807" s="1" t="s">
        <v>44086</v>
      </c>
      <c r="BJ2807" s="1" t="s">
        <v>1062</v>
      </c>
      <c r="BK2807" s="1" t="s">
        <v>234</v>
      </c>
      <c r="BL2807" s="1" t="s">
        <v>607</v>
      </c>
      <c r="BM2807" s="1">
        <v>93.4</v>
      </c>
      <c r="BN2807" s="1">
        <v>9.34</v>
      </c>
      <c r="BO2807" s="1" t="s">
        <v>45620</v>
      </c>
      <c r="BP2807" s="1" t="s">
        <v>45621</v>
      </c>
      <c r="BQ2807" s="1" t="s">
        <v>292</v>
      </c>
      <c r="BR2807" s="1"/>
      <c r="BS2807" s="1"/>
      <c r="BT2807" s="1" t="s">
        <v>45622</v>
      </c>
      <c r="BU2807" s="1" t="str">
        <f>HYPERLINK("https://nconnect.nicmar.ac.in/storage/profile/6a85efd0f051c.png","Download")</f>
        <v>0</v>
      </c>
      <c r="BV2807" s="3"/>
      <c r="BW2807" s="3"/>
    </row>
    <row r="2808" spans="1:75">
      <c r="A2808" s="1" t="s">
        <v>40863</v>
      </c>
      <c r="B2808" s="1" t="s">
        <v>13976</v>
      </c>
      <c r="C2808" s="1" t="s">
        <v>45623</v>
      </c>
      <c r="D2808" s="1" t="s">
        <v>45624</v>
      </c>
      <c r="E2808" s="1" t="s">
        <v>45625</v>
      </c>
      <c r="F2808" s="1" t="s">
        <v>45626</v>
      </c>
      <c r="G2808" s="1" t="s">
        <v>45627</v>
      </c>
      <c r="H2808" s="1" t="s">
        <v>45628</v>
      </c>
      <c r="I2808" s="1" t="s">
        <v>45629</v>
      </c>
      <c r="J2808" s="1">
        <v>9623529656</v>
      </c>
      <c r="K2808" s="1" t="s">
        <v>84</v>
      </c>
      <c r="L2808" s="1" t="s">
        <v>45630</v>
      </c>
      <c r="M2808" s="1" t="s">
        <v>86</v>
      </c>
      <c r="N2808" s="1" t="s">
        <v>44523</v>
      </c>
      <c r="O2808" s="1" t="s">
        <v>45631</v>
      </c>
      <c r="P2808" s="1" t="s">
        <v>219</v>
      </c>
      <c r="Q2808" s="1">
        <v>433358527216</v>
      </c>
      <c r="R2808" s="1" t="s">
        <v>45625</v>
      </c>
      <c r="S2808" s="1">
        <v>9881789636</v>
      </c>
      <c r="T2808" s="1" t="s">
        <v>13987</v>
      </c>
      <c r="U2808" s="1" t="s">
        <v>44917</v>
      </c>
      <c r="V2808" s="1">
        <v>8459565206</v>
      </c>
      <c r="W2808" s="1" t="s">
        <v>21080</v>
      </c>
      <c r="X2808" s="1" t="s">
        <v>45632</v>
      </c>
      <c r="Y2808" s="1" t="s">
        <v>1989</v>
      </c>
      <c r="Z2808" s="1" t="s">
        <v>97</v>
      </c>
      <c r="AA2808" s="1" t="s">
        <v>45633</v>
      </c>
      <c r="AB2808" s="1" t="s">
        <v>196</v>
      </c>
      <c r="AC2808" s="1" t="s">
        <v>97</v>
      </c>
      <c r="AD2808" s="1" t="s">
        <v>98</v>
      </c>
      <c r="AE2808" s="1" t="s">
        <v>98</v>
      </c>
      <c r="AF2808" s="1" t="s">
        <v>45634</v>
      </c>
      <c r="AG2808" s="1" t="s">
        <v>45635</v>
      </c>
      <c r="AH2808" s="1" t="s">
        <v>133</v>
      </c>
      <c r="AI2808" s="1" t="s">
        <v>286</v>
      </c>
      <c r="AJ2808" s="1">
        <v>75.6</v>
      </c>
      <c r="AK2808" s="1"/>
      <c r="AL2808" s="1" t="s">
        <v>45636</v>
      </c>
      <c r="AM2808" s="1" t="s">
        <v>45637</v>
      </c>
      <c r="AN2808" s="1" t="s">
        <v>465</v>
      </c>
      <c r="AO2808" s="1" t="s">
        <v>106</v>
      </c>
      <c r="AP2808" s="1" t="s">
        <v>365</v>
      </c>
      <c r="AQ2808" s="1">
        <v>50.43</v>
      </c>
      <c r="AR2808" s="1"/>
      <c r="AS2808" s="1"/>
      <c r="AT2808" s="1"/>
      <c r="AU2808" s="1"/>
      <c r="AV2808" s="1"/>
      <c r="AW2808" s="1"/>
      <c r="AX2808" s="1"/>
      <c r="AY2808" s="1" t="s">
        <v>45638</v>
      </c>
      <c r="AZ2808" s="1" t="s">
        <v>45639</v>
      </c>
      <c r="BA2808" s="1" t="s">
        <v>466</v>
      </c>
      <c r="BB2808" s="1" t="s">
        <v>1993</v>
      </c>
      <c r="BC2808" s="1" t="s">
        <v>178</v>
      </c>
      <c r="BD2808" s="1" t="s">
        <v>207</v>
      </c>
      <c r="BE2808" s="1">
        <v>61.1</v>
      </c>
      <c r="BF2808" s="1">
        <v>6.61</v>
      </c>
      <c r="BG2808" s="1"/>
      <c r="BH2808" s="1"/>
      <c r="BI2808" s="1"/>
      <c r="BJ2808" s="1"/>
      <c r="BK2808" s="1"/>
      <c r="BL2808" s="1"/>
      <c r="BM2808" s="1"/>
      <c r="BN2808" s="1"/>
      <c r="BO2808" s="1" t="s">
        <v>45640</v>
      </c>
      <c r="BP2808" s="1" t="s">
        <v>45641</v>
      </c>
      <c r="BQ2808" s="1" t="s">
        <v>4149</v>
      </c>
      <c r="BR2808" s="1" t="s">
        <v>45642</v>
      </c>
      <c r="BS2808" s="1">
        <v>8</v>
      </c>
      <c r="BT2808" s="1" t="s">
        <v>40025</v>
      </c>
      <c r="BU2808" s="1" t="str">
        <f>HYPERLINK("https://nconnect.nicmar.ac.in/storage/profile/6a8a82205218b.png","Download")</f>
        <v>0</v>
      </c>
      <c r="BV2808" s="3"/>
      <c r="BW2808" s="3"/>
    </row>
    <row r="2809" spans="1:75">
      <c r="A2809" s="1" t="s">
        <v>40863</v>
      </c>
      <c r="B2809" s="1" t="s">
        <v>13976</v>
      </c>
      <c r="C2809" s="1" t="s">
        <v>45643</v>
      </c>
      <c r="D2809" s="1" t="s">
        <v>45644</v>
      </c>
      <c r="E2809" s="1" t="s">
        <v>45645</v>
      </c>
      <c r="F2809" s="1" t="s">
        <v>45646</v>
      </c>
      <c r="G2809" s="1" t="s">
        <v>45647</v>
      </c>
      <c r="H2809" s="1" t="s">
        <v>45648</v>
      </c>
      <c r="I2809" s="1" t="s">
        <v>45648</v>
      </c>
      <c r="J2809" s="1">
        <v>9503197415</v>
      </c>
      <c r="K2809" s="1" t="s">
        <v>153</v>
      </c>
      <c r="L2809" s="1" t="s">
        <v>17727</v>
      </c>
      <c r="M2809" s="1" t="s">
        <v>86</v>
      </c>
      <c r="N2809" s="1" t="s">
        <v>1595</v>
      </c>
      <c r="O2809" s="1" t="s">
        <v>45649</v>
      </c>
      <c r="P2809" s="1" t="s">
        <v>356</v>
      </c>
      <c r="Q2809" s="1">
        <v>514398557509</v>
      </c>
      <c r="R2809" s="1" t="s">
        <v>45645</v>
      </c>
      <c r="S2809" s="1">
        <v>9977868269</v>
      </c>
      <c r="T2809" s="1" t="s">
        <v>45650</v>
      </c>
      <c r="U2809" s="1" t="s">
        <v>45651</v>
      </c>
      <c r="V2809" s="1">
        <v>9238262694</v>
      </c>
      <c r="W2809" s="1" t="s">
        <v>14234</v>
      </c>
      <c r="X2809" s="1" t="s">
        <v>45652</v>
      </c>
      <c r="Y2809" s="1" t="s">
        <v>8001</v>
      </c>
      <c r="Z2809" s="1" t="s">
        <v>3419</v>
      </c>
      <c r="AA2809" s="1" t="s">
        <v>45652</v>
      </c>
      <c r="AB2809" s="1" t="s">
        <v>8001</v>
      </c>
      <c r="AC2809" s="1" t="s">
        <v>3419</v>
      </c>
      <c r="AD2809" s="1" t="s">
        <v>98</v>
      </c>
      <c r="AE2809" s="1" t="s">
        <v>98</v>
      </c>
      <c r="AF2809" s="1" t="s">
        <v>45653</v>
      </c>
      <c r="AG2809" s="1" t="s">
        <v>45654</v>
      </c>
      <c r="AH2809" s="1" t="s">
        <v>170</v>
      </c>
      <c r="AI2809" s="1" t="s">
        <v>171</v>
      </c>
      <c r="AJ2809" s="1">
        <v>82.8</v>
      </c>
      <c r="AK2809" s="1"/>
      <c r="AL2809" s="1" t="s">
        <v>45655</v>
      </c>
      <c r="AM2809" s="1" t="s">
        <v>14157</v>
      </c>
      <c r="AN2809" s="1" t="s">
        <v>575</v>
      </c>
      <c r="AO2809" s="1" t="s">
        <v>174</v>
      </c>
      <c r="AP2809" s="1" t="s">
        <v>178</v>
      </c>
      <c r="AQ2809" s="1">
        <v>67.08</v>
      </c>
      <c r="AR2809" s="1"/>
      <c r="AS2809" s="1" t="s">
        <v>45656</v>
      </c>
      <c r="AT2809" s="1" t="s">
        <v>45657</v>
      </c>
      <c r="AU2809" s="1" t="s">
        <v>178</v>
      </c>
      <c r="AV2809" s="1" t="s">
        <v>955</v>
      </c>
      <c r="AW2809" s="1">
        <v>69.46</v>
      </c>
      <c r="AX2809" s="1"/>
      <c r="AY2809" s="1" t="s">
        <v>45658</v>
      </c>
      <c r="AZ2809" s="1" t="s">
        <v>45658</v>
      </c>
      <c r="BA2809" s="1" t="s">
        <v>37920</v>
      </c>
      <c r="BB2809" s="1" t="s">
        <v>1062</v>
      </c>
      <c r="BC2809" s="1" t="s">
        <v>179</v>
      </c>
      <c r="BD2809" s="1" t="s">
        <v>848</v>
      </c>
      <c r="BE2809" s="1">
        <v>85.9</v>
      </c>
      <c r="BF2809" s="1">
        <v>9.34</v>
      </c>
      <c r="BG2809" s="1"/>
      <c r="BH2809" s="1"/>
      <c r="BI2809" s="1"/>
      <c r="BJ2809" s="1"/>
      <c r="BK2809" s="1"/>
      <c r="BL2809" s="1"/>
      <c r="BM2809" s="1"/>
      <c r="BN2809" s="1"/>
      <c r="BO2809" s="1" t="s">
        <v>1890</v>
      </c>
      <c r="BP2809" s="1"/>
      <c r="BQ2809" s="1"/>
      <c r="BR2809" s="1" t="s">
        <v>45659</v>
      </c>
      <c r="BS2809" s="1">
        <v>6</v>
      </c>
      <c r="BT2809" s="1" t="s">
        <v>45660</v>
      </c>
      <c r="BU2809" s="1" t="str">
        <f>HYPERLINK("https://nconnect.nicmar.ac.in/storage/profile/6a856dbdf03ff.png","Download")</f>
        <v>0</v>
      </c>
      <c r="BV2809" s="3"/>
      <c r="BW2809" s="3"/>
    </row>
    <row r="2810" spans="1:75">
      <c r="A2810" s="1" t="s">
        <v>40863</v>
      </c>
      <c r="B2810" s="1" t="s">
        <v>13976</v>
      </c>
      <c r="C2810" s="1" t="s">
        <v>45661</v>
      </c>
      <c r="D2810" s="1" t="s">
        <v>45662</v>
      </c>
      <c r="E2810" s="1" t="s">
        <v>15067</v>
      </c>
      <c r="F2810" s="1" t="s">
        <v>15304</v>
      </c>
      <c r="G2810" s="1" t="s">
        <v>45663</v>
      </c>
      <c r="H2810" s="1" t="s">
        <v>45664</v>
      </c>
      <c r="I2810" s="1" t="s">
        <v>45664</v>
      </c>
      <c r="J2810" s="1">
        <v>9325256401</v>
      </c>
      <c r="K2810" s="1" t="s">
        <v>84</v>
      </c>
      <c r="L2810" s="1" t="s">
        <v>45665</v>
      </c>
      <c r="M2810" s="1" t="s">
        <v>86</v>
      </c>
      <c r="N2810" s="1" t="s">
        <v>20675</v>
      </c>
      <c r="O2810" s="1" t="s">
        <v>45666</v>
      </c>
      <c r="P2810" s="1" t="s">
        <v>219</v>
      </c>
      <c r="Q2810" s="1">
        <v>315427691759</v>
      </c>
      <c r="R2810" s="1" t="s">
        <v>45667</v>
      </c>
      <c r="S2810" s="1">
        <v>9370210955</v>
      </c>
      <c r="T2810" s="1" t="s">
        <v>13987</v>
      </c>
      <c r="U2810" s="1" t="s">
        <v>45668</v>
      </c>
      <c r="V2810" s="1">
        <v>8605451333</v>
      </c>
      <c r="W2810" s="1" t="s">
        <v>14154</v>
      </c>
      <c r="X2810" s="1" t="s">
        <v>45669</v>
      </c>
      <c r="Y2810" s="1" t="s">
        <v>1033</v>
      </c>
      <c r="Z2810" s="1" t="s">
        <v>97</v>
      </c>
      <c r="AA2810" s="1" t="s">
        <v>45670</v>
      </c>
      <c r="AB2810" s="1" t="s">
        <v>196</v>
      </c>
      <c r="AC2810" s="1" t="s">
        <v>97</v>
      </c>
      <c r="AD2810" s="1" t="s">
        <v>98</v>
      </c>
      <c r="AE2810" s="1" t="s">
        <v>98</v>
      </c>
      <c r="AF2810" s="1" t="s">
        <v>45671</v>
      </c>
      <c r="AG2810" s="1" t="s">
        <v>14977</v>
      </c>
      <c r="AH2810" s="1" t="s">
        <v>468</v>
      </c>
      <c r="AI2810" s="1" t="s">
        <v>847</v>
      </c>
      <c r="AJ2810" s="1">
        <v>80.6</v>
      </c>
      <c r="AK2810" s="1"/>
      <c r="AL2810" s="1" t="s">
        <v>45672</v>
      </c>
      <c r="AM2810" s="1" t="s">
        <v>14977</v>
      </c>
      <c r="AN2810" s="1" t="s">
        <v>38005</v>
      </c>
      <c r="AO2810" s="1" t="s">
        <v>1400</v>
      </c>
      <c r="AP2810" s="1" t="s">
        <v>40088</v>
      </c>
      <c r="AQ2810" s="1">
        <v>78.5</v>
      </c>
      <c r="AR2810" s="1"/>
      <c r="AS2810" s="1"/>
      <c r="AT2810" s="1"/>
      <c r="AU2810" s="1"/>
      <c r="AV2810" s="1"/>
      <c r="AW2810" s="1"/>
      <c r="AX2810" s="1"/>
      <c r="AY2810" s="1" t="s">
        <v>45673</v>
      </c>
      <c r="AZ2810" s="1" t="s">
        <v>45674</v>
      </c>
      <c r="BA2810" s="1" t="s">
        <v>35549</v>
      </c>
      <c r="BB2810" s="1" t="s">
        <v>23611</v>
      </c>
      <c r="BC2810" s="1" t="s">
        <v>4573</v>
      </c>
      <c r="BD2810" s="1" t="s">
        <v>14083</v>
      </c>
      <c r="BE2810" s="1">
        <v>74.23</v>
      </c>
      <c r="BF2810" s="1">
        <v>7.91</v>
      </c>
      <c r="BG2810" s="1"/>
      <c r="BH2810" s="1"/>
      <c r="BI2810" s="1"/>
      <c r="BJ2810" s="1"/>
      <c r="BK2810" s="1"/>
      <c r="BL2810" s="1"/>
      <c r="BM2810" s="1"/>
      <c r="BN2810" s="1"/>
      <c r="BO2810" s="1" t="s">
        <v>45675</v>
      </c>
      <c r="BP2810" s="1"/>
      <c r="BQ2810" s="1"/>
      <c r="BR2810" s="1"/>
      <c r="BS2810" s="1"/>
      <c r="BT2810" s="1" t="s">
        <v>45676</v>
      </c>
      <c r="BU2810" s="1" t="str">
        <f>HYPERLINK("https://nconnect.nicmar.ac.in/storage/profile/6a8dd30da2aa3.png","Download")</f>
        <v>0</v>
      </c>
      <c r="BV2810" s="3"/>
      <c r="BW2810" s="3"/>
    </row>
    <row r="2811" spans="1:75">
      <c r="A2811" s="1" t="s">
        <v>40863</v>
      </c>
      <c r="B2811" s="1" t="s">
        <v>13976</v>
      </c>
      <c r="C2811" s="1" t="s">
        <v>45677</v>
      </c>
      <c r="D2811" s="1" t="s">
        <v>45678</v>
      </c>
      <c r="E2811" s="1" t="s">
        <v>13979</v>
      </c>
      <c r="F2811" s="1" t="s">
        <v>45679</v>
      </c>
      <c r="G2811" s="1" t="s">
        <v>45680</v>
      </c>
      <c r="H2811" s="1" t="s">
        <v>45681</v>
      </c>
      <c r="I2811" s="1" t="s">
        <v>45681</v>
      </c>
      <c r="J2811" s="1">
        <v>8308859210</v>
      </c>
      <c r="K2811" s="1" t="s">
        <v>84</v>
      </c>
      <c r="L2811" s="1" t="s">
        <v>19034</v>
      </c>
      <c r="M2811" s="1" t="s">
        <v>86</v>
      </c>
      <c r="N2811" s="1" t="s">
        <v>19986</v>
      </c>
      <c r="O2811" s="1" t="s">
        <v>10801</v>
      </c>
      <c r="P2811" s="1" t="s">
        <v>89</v>
      </c>
      <c r="Q2811" s="1">
        <v>750308621427</v>
      </c>
      <c r="R2811" s="1" t="s">
        <v>13979</v>
      </c>
      <c r="S2811" s="1">
        <v>8208643624</v>
      </c>
      <c r="T2811" s="1" t="s">
        <v>3439</v>
      </c>
      <c r="U2811" s="1" t="s">
        <v>45682</v>
      </c>
      <c r="V2811" s="1">
        <v>9850886576</v>
      </c>
      <c r="W2811" s="1" t="s">
        <v>18051</v>
      </c>
      <c r="X2811" s="1" t="s">
        <v>45683</v>
      </c>
      <c r="Y2811" s="1" t="s">
        <v>196</v>
      </c>
      <c r="Z2811" s="1" t="s">
        <v>97</v>
      </c>
      <c r="AA2811" s="1" t="s">
        <v>45683</v>
      </c>
      <c r="AB2811" s="1" t="s">
        <v>196</v>
      </c>
      <c r="AC2811" s="1" t="s">
        <v>97</v>
      </c>
      <c r="AD2811" s="1" t="s">
        <v>98</v>
      </c>
      <c r="AE2811" s="1" t="s">
        <v>98</v>
      </c>
      <c r="AF2811" s="1" t="s">
        <v>45684</v>
      </c>
      <c r="AG2811" s="1" t="s">
        <v>45685</v>
      </c>
      <c r="AH2811" s="1" t="s">
        <v>7331</v>
      </c>
      <c r="AI2811" s="1" t="s">
        <v>286</v>
      </c>
      <c r="AJ2811" s="1">
        <v>63</v>
      </c>
      <c r="AK2811" s="1">
        <v>6.63</v>
      </c>
      <c r="AL2811" s="1" t="s">
        <v>45686</v>
      </c>
      <c r="AM2811" s="1" t="s">
        <v>45687</v>
      </c>
      <c r="AN2811" s="1" t="s">
        <v>2995</v>
      </c>
      <c r="AO2811" s="1" t="s">
        <v>106</v>
      </c>
      <c r="AP2811" s="1" t="s">
        <v>175</v>
      </c>
      <c r="AQ2811" s="1">
        <v>56.92</v>
      </c>
      <c r="AR2811" s="1">
        <v>5.99</v>
      </c>
      <c r="AS2811" s="1"/>
      <c r="AT2811" s="1"/>
      <c r="AU2811" s="1"/>
      <c r="AV2811" s="1"/>
      <c r="AW2811" s="1"/>
      <c r="AX2811" s="1"/>
      <c r="AY2811" s="1" t="s">
        <v>14160</v>
      </c>
      <c r="AZ2811" s="1" t="s">
        <v>45688</v>
      </c>
      <c r="BA2811" s="1" t="s">
        <v>37920</v>
      </c>
      <c r="BB2811" s="1" t="s">
        <v>41572</v>
      </c>
      <c r="BC2811" s="1" t="s">
        <v>552</v>
      </c>
      <c r="BD2811" s="1" t="s">
        <v>607</v>
      </c>
      <c r="BE2811" s="1">
        <v>59.5</v>
      </c>
      <c r="BF2811" s="1">
        <v>6.65</v>
      </c>
      <c r="BG2811" s="1"/>
      <c r="BH2811" s="1"/>
      <c r="BI2811" s="1"/>
      <c r="BJ2811" s="1"/>
      <c r="BK2811" s="1"/>
      <c r="BL2811" s="1"/>
      <c r="BM2811" s="1"/>
      <c r="BN2811" s="1"/>
      <c r="BO2811" s="1" t="s">
        <v>45689</v>
      </c>
      <c r="BP2811" s="1"/>
      <c r="BQ2811" s="1"/>
      <c r="BR2811" s="1"/>
      <c r="BS2811" s="1"/>
      <c r="BT2811" s="1" t="s">
        <v>45690</v>
      </c>
      <c r="BU2811" s="1" t="str">
        <f>HYPERLINK("https://nconnect.nicmar.ac.in/storage/profile/6a89632a3112a.png","Download")</f>
        <v>0</v>
      </c>
      <c r="BV2811" s="3"/>
      <c r="BW2811" s="3"/>
    </row>
    <row r="2812" spans="1:75">
      <c r="A2812" s="1" t="s">
        <v>40863</v>
      </c>
      <c r="B2812" s="1" t="s">
        <v>13976</v>
      </c>
      <c r="C2812" s="1" t="s">
        <v>45691</v>
      </c>
      <c r="D2812" s="1" t="s">
        <v>45692</v>
      </c>
      <c r="E2812" s="1" t="s">
        <v>45693</v>
      </c>
      <c r="F2812" s="1" t="s">
        <v>45694</v>
      </c>
      <c r="G2812" s="1" t="s">
        <v>45695</v>
      </c>
      <c r="H2812" s="1" t="s">
        <v>45696</v>
      </c>
      <c r="I2812" s="1" t="s">
        <v>45697</v>
      </c>
      <c r="J2812" s="1">
        <v>9561328806</v>
      </c>
      <c r="K2812" s="1" t="s">
        <v>153</v>
      </c>
      <c r="L2812" s="1" t="s">
        <v>44288</v>
      </c>
      <c r="M2812" s="1" t="s">
        <v>86</v>
      </c>
      <c r="N2812" s="1" t="s">
        <v>45698</v>
      </c>
      <c r="O2812" s="1" t="s">
        <v>45699</v>
      </c>
      <c r="P2812" s="1" t="s">
        <v>122</v>
      </c>
      <c r="Q2812" s="1">
        <v>310718956768</v>
      </c>
      <c r="R2812" s="1" t="s">
        <v>45700</v>
      </c>
      <c r="S2812" s="1">
        <v>9860100389</v>
      </c>
      <c r="T2812" s="1" t="s">
        <v>15965</v>
      </c>
      <c r="U2812" s="1" t="s">
        <v>45701</v>
      </c>
      <c r="V2812" s="1">
        <v>9881122135</v>
      </c>
      <c r="W2812" s="1" t="s">
        <v>10306</v>
      </c>
      <c r="X2812" s="1" t="s">
        <v>45702</v>
      </c>
      <c r="Y2812" s="1" t="s">
        <v>196</v>
      </c>
      <c r="Z2812" s="1" t="s">
        <v>97</v>
      </c>
      <c r="AA2812" s="1" t="s">
        <v>45702</v>
      </c>
      <c r="AB2812" s="1" t="s">
        <v>196</v>
      </c>
      <c r="AC2812" s="1" t="s">
        <v>97</v>
      </c>
      <c r="AD2812" s="1" t="s">
        <v>98</v>
      </c>
      <c r="AE2812" s="1" t="s">
        <v>98</v>
      </c>
      <c r="AF2812" s="1" t="s">
        <v>45703</v>
      </c>
      <c r="AG2812" s="1" t="s">
        <v>45704</v>
      </c>
      <c r="AH2812" s="1" t="s">
        <v>704</v>
      </c>
      <c r="AI2812" s="1" t="s">
        <v>286</v>
      </c>
      <c r="AJ2812" s="1">
        <v>94.4</v>
      </c>
      <c r="AK2812" s="1"/>
      <c r="AL2812" s="1" t="s">
        <v>45705</v>
      </c>
      <c r="AM2812" s="1" t="s">
        <v>45706</v>
      </c>
      <c r="AN2812" s="1" t="s">
        <v>575</v>
      </c>
      <c r="AO2812" s="1" t="s">
        <v>547</v>
      </c>
      <c r="AP2812" s="1" t="s">
        <v>603</v>
      </c>
      <c r="AQ2812" s="1">
        <v>94.5</v>
      </c>
      <c r="AR2812" s="1"/>
      <c r="AS2812" s="1"/>
      <c r="AT2812" s="1"/>
      <c r="AU2812" s="1"/>
      <c r="AV2812" s="1"/>
      <c r="AW2812" s="1"/>
      <c r="AX2812" s="1"/>
      <c r="AY2812" s="1" t="s">
        <v>45707</v>
      </c>
      <c r="AZ2812" s="1" t="s">
        <v>45707</v>
      </c>
      <c r="BA2812" s="1" t="s">
        <v>37920</v>
      </c>
      <c r="BB2812" s="1" t="s">
        <v>41572</v>
      </c>
      <c r="BC2812" s="1" t="s">
        <v>233</v>
      </c>
      <c r="BD2812" s="1" t="s">
        <v>848</v>
      </c>
      <c r="BE2812" s="1">
        <v>85</v>
      </c>
      <c r="BF2812" s="1"/>
      <c r="BG2812" s="1" t="s">
        <v>45707</v>
      </c>
      <c r="BH2812" s="1" t="s">
        <v>45707</v>
      </c>
      <c r="BI2812" s="1" t="s">
        <v>44086</v>
      </c>
      <c r="BJ2812" s="1" t="s">
        <v>1062</v>
      </c>
      <c r="BK2812" s="1" t="s">
        <v>233</v>
      </c>
      <c r="BL2812" s="1" t="s">
        <v>848</v>
      </c>
      <c r="BM2812" s="1">
        <v>85.01</v>
      </c>
      <c r="BN2812" s="1"/>
      <c r="BO2812" s="1" t="s">
        <v>45708</v>
      </c>
      <c r="BP2812" s="1"/>
      <c r="BQ2812" s="1"/>
      <c r="BR2812" s="1" t="s">
        <v>45709</v>
      </c>
      <c r="BS2812" s="1">
        <v>52</v>
      </c>
      <c r="BT2812" s="1"/>
      <c r="BU2812" s="1" t="str">
        <f>HYPERLINK("https://nconnect.nicmar.ac.in/storage/profile/6a85ba4a65255.png","Download")</f>
        <v>0</v>
      </c>
      <c r="BV2812" s="3"/>
      <c r="BW2812" s="3"/>
    </row>
    <row r="2813" spans="1:75">
      <c r="A2813" s="1" t="s">
        <v>40863</v>
      </c>
      <c r="B2813" s="1" t="s">
        <v>13976</v>
      </c>
      <c r="C2813" s="1" t="s">
        <v>45710</v>
      </c>
      <c r="D2813" s="1" t="s">
        <v>20835</v>
      </c>
      <c r="E2813" s="1" t="s">
        <v>45711</v>
      </c>
      <c r="F2813" s="1" t="s">
        <v>45712</v>
      </c>
      <c r="G2813" s="1" t="s">
        <v>45713</v>
      </c>
      <c r="H2813" s="1" t="s">
        <v>45714</v>
      </c>
      <c r="I2813" s="1" t="s">
        <v>45714</v>
      </c>
      <c r="J2813" s="1">
        <v>8975946198</v>
      </c>
      <c r="K2813" s="1" t="s">
        <v>153</v>
      </c>
      <c r="L2813" s="1" t="s">
        <v>45715</v>
      </c>
      <c r="M2813" s="1" t="s">
        <v>86</v>
      </c>
      <c r="N2813" s="1" t="s">
        <v>24878</v>
      </c>
      <c r="O2813" s="1" t="s">
        <v>45716</v>
      </c>
      <c r="P2813" s="1" t="s">
        <v>356</v>
      </c>
      <c r="Q2813" s="1">
        <v>505984319876</v>
      </c>
      <c r="R2813" s="1" t="s">
        <v>45717</v>
      </c>
      <c r="S2813" s="1">
        <v>8007561871</v>
      </c>
      <c r="T2813" s="1" t="s">
        <v>10304</v>
      </c>
      <c r="U2813" s="1" t="s">
        <v>45718</v>
      </c>
      <c r="V2813" s="1">
        <v>8928007848</v>
      </c>
      <c r="W2813" s="1" t="s">
        <v>9679</v>
      </c>
      <c r="X2813" s="1" t="s">
        <v>45719</v>
      </c>
      <c r="Y2813" s="1" t="s">
        <v>410</v>
      </c>
      <c r="Z2813" s="1" t="s">
        <v>97</v>
      </c>
      <c r="AA2813" s="1" t="s">
        <v>45719</v>
      </c>
      <c r="AB2813" s="1" t="s">
        <v>410</v>
      </c>
      <c r="AC2813" s="1" t="s">
        <v>97</v>
      </c>
      <c r="AD2813" s="1" t="s">
        <v>98</v>
      </c>
      <c r="AE2813" s="1" t="s">
        <v>98</v>
      </c>
      <c r="AF2813" s="1" t="s">
        <v>45720</v>
      </c>
      <c r="AG2813" s="1" t="s">
        <v>17771</v>
      </c>
      <c r="AH2813" s="1" t="s">
        <v>166</v>
      </c>
      <c r="AI2813" s="1" t="s">
        <v>627</v>
      </c>
      <c r="AJ2813" s="1">
        <v>89.3</v>
      </c>
      <c r="AK2813" s="1">
        <v>9.4</v>
      </c>
      <c r="AL2813" s="1" t="s">
        <v>45721</v>
      </c>
      <c r="AM2813" s="1" t="s">
        <v>22171</v>
      </c>
      <c r="AN2813" s="1" t="s">
        <v>575</v>
      </c>
      <c r="AO2813" s="1" t="s">
        <v>167</v>
      </c>
      <c r="AP2813" s="1" t="s">
        <v>174</v>
      </c>
      <c r="AQ2813" s="1">
        <v>67.23</v>
      </c>
      <c r="AR2813" s="1"/>
      <c r="AS2813" s="1"/>
      <c r="AT2813" s="1"/>
      <c r="AU2813" s="1"/>
      <c r="AV2813" s="1"/>
      <c r="AW2813" s="1"/>
      <c r="AX2813" s="1"/>
      <c r="AY2813" s="1" t="s">
        <v>24857</v>
      </c>
      <c r="AZ2813" s="1" t="s">
        <v>45722</v>
      </c>
      <c r="BA2813" s="1" t="s">
        <v>37920</v>
      </c>
      <c r="BB2813" s="1" t="s">
        <v>45723</v>
      </c>
      <c r="BC2813" s="1" t="s">
        <v>174</v>
      </c>
      <c r="BD2813" s="1" t="s">
        <v>549</v>
      </c>
      <c r="BE2813" s="1">
        <v>0</v>
      </c>
      <c r="BF2813" s="1">
        <v>7.49</v>
      </c>
      <c r="BG2813" s="1" t="s">
        <v>45724</v>
      </c>
      <c r="BH2813" s="1" t="s">
        <v>45722</v>
      </c>
      <c r="BI2813" s="1" t="s">
        <v>44086</v>
      </c>
      <c r="BJ2813" s="1" t="s">
        <v>45723</v>
      </c>
      <c r="BK2813" s="1" t="s">
        <v>549</v>
      </c>
      <c r="BL2813" s="1" t="s">
        <v>955</v>
      </c>
      <c r="BM2813" s="1">
        <v>0</v>
      </c>
      <c r="BN2813" s="1">
        <v>7.15</v>
      </c>
      <c r="BO2813" s="1" t="s">
        <v>45725</v>
      </c>
      <c r="BP2813" s="1" t="s">
        <v>45726</v>
      </c>
      <c r="BQ2813" s="1" t="s">
        <v>736</v>
      </c>
      <c r="BR2813" s="1" t="s">
        <v>45727</v>
      </c>
      <c r="BS2813" s="1">
        <v>48</v>
      </c>
      <c r="BT2813" s="1" t="s">
        <v>45728</v>
      </c>
      <c r="BU2813" s="1" t="s">
        <v>9653</v>
      </c>
      <c r="BV2813" s="3"/>
      <c r="BW2813" s="3"/>
    </row>
    <row r="2814" spans="1:75">
      <c r="A2814" s="1" t="s">
        <v>40863</v>
      </c>
      <c r="B2814" s="1" t="s">
        <v>13976</v>
      </c>
      <c r="C2814" s="1" t="s">
        <v>45729</v>
      </c>
      <c r="D2814" s="1" t="s">
        <v>45730</v>
      </c>
      <c r="E2814" s="1" t="s">
        <v>22716</v>
      </c>
      <c r="F2814" s="1" t="s">
        <v>45731</v>
      </c>
      <c r="G2814" s="1" t="s">
        <v>45732</v>
      </c>
      <c r="H2814" s="1" t="s">
        <v>45733</v>
      </c>
      <c r="I2814" s="1" t="s">
        <v>45733</v>
      </c>
      <c r="J2814" s="1">
        <v>9912962684</v>
      </c>
      <c r="K2814" s="1" t="s">
        <v>84</v>
      </c>
      <c r="L2814" s="1" t="s">
        <v>7857</v>
      </c>
      <c r="M2814" s="1" t="s">
        <v>86</v>
      </c>
      <c r="N2814" s="1" t="s">
        <v>45734</v>
      </c>
      <c r="O2814" s="1" t="s">
        <v>45735</v>
      </c>
      <c r="P2814" s="1" t="s">
        <v>122</v>
      </c>
      <c r="Q2814" s="1">
        <v>560668347052</v>
      </c>
      <c r="R2814" s="1" t="s">
        <v>45736</v>
      </c>
      <c r="S2814" s="1">
        <v>9949811417</v>
      </c>
      <c r="T2814" s="1" t="s">
        <v>16759</v>
      </c>
      <c r="U2814" s="1" t="s">
        <v>45737</v>
      </c>
      <c r="V2814" s="1">
        <v>9949787941</v>
      </c>
      <c r="W2814" s="1" t="s">
        <v>45738</v>
      </c>
      <c r="X2814" s="1" t="s">
        <v>45739</v>
      </c>
      <c r="Y2814" s="1" t="s">
        <v>2632</v>
      </c>
      <c r="Z2814" s="1" t="s">
        <v>461</v>
      </c>
      <c r="AA2814" s="1" t="s">
        <v>45739</v>
      </c>
      <c r="AB2814" s="1" t="s">
        <v>2632</v>
      </c>
      <c r="AC2814" s="1" t="s">
        <v>461</v>
      </c>
      <c r="AD2814" s="1" t="s">
        <v>98</v>
      </c>
      <c r="AE2814" s="1" t="s">
        <v>98</v>
      </c>
      <c r="AF2814" s="1" t="s">
        <v>45740</v>
      </c>
      <c r="AG2814" s="1" t="s">
        <v>15419</v>
      </c>
      <c r="AH2814" s="1" t="s">
        <v>106</v>
      </c>
      <c r="AI2814" s="1" t="s">
        <v>313</v>
      </c>
      <c r="AJ2814" s="1">
        <v>77.5</v>
      </c>
      <c r="AK2814" s="1">
        <v>8.2</v>
      </c>
      <c r="AL2814" s="1" t="s">
        <v>18571</v>
      </c>
      <c r="AM2814" s="1" t="s">
        <v>45741</v>
      </c>
      <c r="AN2814" s="1" t="s">
        <v>465</v>
      </c>
      <c r="AO2814" s="1" t="s">
        <v>438</v>
      </c>
      <c r="AP2814" s="1" t="s">
        <v>845</v>
      </c>
      <c r="AQ2814" s="1">
        <v>70.5</v>
      </c>
      <c r="AR2814" s="1"/>
      <c r="AS2814" s="1"/>
      <c r="AT2814" s="1"/>
      <c r="AU2814" s="1"/>
      <c r="AV2814" s="1"/>
      <c r="AW2814" s="1"/>
      <c r="AX2814" s="1"/>
      <c r="AY2814" s="1" t="s">
        <v>19822</v>
      </c>
      <c r="AZ2814" s="1" t="s">
        <v>45742</v>
      </c>
      <c r="BA2814" s="1" t="s">
        <v>466</v>
      </c>
      <c r="BB2814" s="1" t="s">
        <v>467</v>
      </c>
      <c r="BC2814" s="1" t="s">
        <v>871</v>
      </c>
      <c r="BD2814" s="1" t="s">
        <v>9688</v>
      </c>
      <c r="BE2814" s="1">
        <v>59.75</v>
      </c>
      <c r="BF2814" s="1">
        <v>6.29</v>
      </c>
      <c r="BG2814" s="1"/>
      <c r="BH2814" s="1"/>
      <c r="BI2814" s="1"/>
      <c r="BJ2814" s="1"/>
      <c r="BK2814" s="1"/>
      <c r="BL2814" s="1"/>
      <c r="BM2814" s="1"/>
      <c r="BN2814" s="1"/>
      <c r="BO2814" s="1" t="s">
        <v>45743</v>
      </c>
      <c r="BP2814" s="1"/>
      <c r="BQ2814" s="1"/>
      <c r="BR2814" s="1"/>
      <c r="BS2814" s="1"/>
      <c r="BT2814" s="1"/>
      <c r="BU2814" s="1" t="str">
        <f>HYPERLINK("https://nconnect.nicmar.ac.in/storage/profile/6a8733e37e45c.png","Download")</f>
        <v>0</v>
      </c>
      <c r="BV2814" s="3"/>
      <c r="BW2814" s="3"/>
    </row>
    <row r="2815" spans="1:75">
      <c r="A2815" s="1" t="s">
        <v>40863</v>
      </c>
      <c r="B2815" s="1" t="s">
        <v>13976</v>
      </c>
      <c r="C2815" s="1" t="s">
        <v>45744</v>
      </c>
      <c r="D2815" s="1" t="s">
        <v>22194</v>
      </c>
      <c r="E2815" s="1"/>
      <c r="F2815" s="1" t="s">
        <v>45745</v>
      </c>
      <c r="G2815" s="1" t="s">
        <v>45746</v>
      </c>
      <c r="H2815" s="1" t="s">
        <v>45747</v>
      </c>
      <c r="I2815" s="1" t="s">
        <v>45748</v>
      </c>
      <c r="J2815" s="1">
        <v>6265073772</v>
      </c>
      <c r="K2815" s="1" t="s">
        <v>84</v>
      </c>
      <c r="L2815" s="1" t="s">
        <v>31222</v>
      </c>
      <c r="M2815" s="1" t="s">
        <v>86</v>
      </c>
      <c r="N2815" s="1" t="s">
        <v>20468</v>
      </c>
      <c r="O2815" s="1" t="s">
        <v>45749</v>
      </c>
      <c r="P2815" s="1" t="s">
        <v>89</v>
      </c>
      <c r="Q2815" s="1">
        <v>885486703360</v>
      </c>
      <c r="R2815" s="1" t="s">
        <v>45750</v>
      </c>
      <c r="S2815" s="1">
        <v>9977237443</v>
      </c>
      <c r="T2815" s="1" t="s">
        <v>45751</v>
      </c>
      <c r="U2815" s="1" t="s">
        <v>45752</v>
      </c>
      <c r="V2815" s="1">
        <v>9977237443</v>
      </c>
      <c r="W2815" s="1" t="s">
        <v>14821</v>
      </c>
      <c r="X2815" s="1" t="s">
        <v>45753</v>
      </c>
      <c r="Y2815" s="1" t="s">
        <v>2932</v>
      </c>
      <c r="Z2815" s="1" t="s">
        <v>2933</v>
      </c>
      <c r="AA2815" s="1" t="s">
        <v>45754</v>
      </c>
      <c r="AB2815" s="1" t="s">
        <v>196</v>
      </c>
      <c r="AC2815" s="1" t="s">
        <v>97</v>
      </c>
      <c r="AD2815" s="1" t="s">
        <v>98</v>
      </c>
      <c r="AE2815" s="1" t="s">
        <v>98</v>
      </c>
      <c r="AF2815" s="1" t="s">
        <v>45755</v>
      </c>
      <c r="AG2815" s="1" t="s">
        <v>45756</v>
      </c>
      <c r="AH2815" s="1" t="s">
        <v>166</v>
      </c>
      <c r="AI2815" s="1" t="s">
        <v>284</v>
      </c>
      <c r="AJ2815" s="1">
        <v>81.7</v>
      </c>
      <c r="AK2815" s="1">
        <v>8.6</v>
      </c>
      <c r="AL2815" s="1" t="s">
        <v>45757</v>
      </c>
      <c r="AM2815" s="1" t="s">
        <v>45758</v>
      </c>
      <c r="AN2815" s="1" t="s">
        <v>2995</v>
      </c>
      <c r="AO2815" s="1" t="s">
        <v>170</v>
      </c>
      <c r="AP2815" s="1" t="s">
        <v>171</v>
      </c>
      <c r="AQ2815" s="1">
        <v>60.6</v>
      </c>
      <c r="AR2815" s="1"/>
      <c r="AS2815" s="1"/>
      <c r="AT2815" s="1"/>
      <c r="AU2815" s="1"/>
      <c r="AV2815" s="1"/>
      <c r="AW2815" s="1"/>
      <c r="AX2815" s="1"/>
      <c r="AY2815" s="1" t="s">
        <v>45759</v>
      </c>
      <c r="AZ2815" s="1" t="s">
        <v>45759</v>
      </c>
      <c r="BA2815" s="1" t="s">
        <v>38713</v>
      </c>
      <c r="BB2815" s="1" t="s">
        <v>45760</v>
      </c>
      <c r="BC2815" s="1" t="s">
        <v>174</v>
      </c>
      <c r="BD2815" s="1" t="s">
        <v>632</v>
      </c>
      <c r="BE2815" s="1">
        <v>0</v>
      </c>
      <c r="BF2815" s="1">
        <v>7.47</v>
      </c>
      <c r="BG2815" s="1" t="s">
        <v>45761</v>
      </c>
      <c r="BH2815" s="1" t="s">
        <v>45761</v>
      </c>
      <c r="BI2815" s="1" t="s">
        <v>44086</v>
      </c>
      <c r="BJ2815" s="1" t="s">
        <v>45762</v>
      </c>
      <c r="BK2815" s="1" t="s">
        <v>1400</v>
      </c>
      <c r="BL2815" s="1" t="s">
        <v>418</v>
      </c>
      <c r="BM2815" s="1">
        <v>-0.01</v>
      </c>
      <c r="BN2815" s="1">
        <v>7.3</v>
      </c>
      <c r="BO2815" s="1" t="s">
        <v>45763</v>
      </c>
      <c r="BP2815" s="1" t="s">
        <v>45764</v>
      </c>
      <c r="BQ2815" s="1" t="s">
        <v>2116</v>
      </c>
      <c r="BR2815" s="1" t="s">
        <v>45765</v>
      </c>
      <c r="BS2815" s="1">
        <v>69</v>
      </c>
      <c r="BT2815" s="1"/>
      <c r="BU2815" s="1" t="str">
        <f>HYPERLINK("https://nconnect.nicmar.ac.in/storage/profile/6a85f4171ead9.png","Download")</f>
        <v>0</v>
      </c>
      <c r="BV2815" s="3"/>
      <c r="BW2815" s="3"/>
    </row>
    <row r="2816" spans="1:75">
      <c r="A2816" s="1" t="s">
        <v>40863</v>
      </c>
      <c r="B2816" s="1" t="s">
        <v>13976</v>
      </c>
      <c r="C2816" s="1" t="s">
        <v>45766</v>
      </c>
      <c r="D2816" s="1" t="s">
        <v>45767</v>
      </c>
      <c r="E2816" s="1" t="s">
        <v>45768</v>
      </c>
      <c r="F2816" s="1" t="s">
        <v>45769</v>
      </c>
      <c r="G2816" s="1" t="s">
        <v>45770</v>
      </c>
      <c r="H2816" s="1" t="s">
        <v>45771</v>
      </c>
      <c r="I2816" s="1" t="s">
        <v>45772</v>
      </c>
      <c r="J2816" s="1">
        <v>8591070329</v>
      </c>
      <c r="K2816" s="1" t="s">
        <v>84</v>
      </c>
      <c r="L2816" s="1" t="s">
        <v>45773</v>
      </c>
      <c r="M2816" s="1" t="s">
        <v>86</v>
      </c>
      <c r="N2816" s="1" t="s">
        <v>45774</v>
      </c>
      <c r="O2816" s="1" t="s">
        <v>45775</v>
      </c>
      <c r="P2816" s="1" t="s">
        <v>219</v>
      </c>
      <c r="Q2816" s="1" t="s">
        <v>45776</v>
      </c>
      <c r="R2816" s="1" t="s">
        <v>45777</v>
      </c>
      <c r="S2816" s="1">
        <v>9820069303</v>
      </c>
      <c r="T2816" s="1" t="s">
        <v>45778</v>
      </c>
      <c r="U2816" s="1" t="s">
        <v>45779</v>
      </c>
      <c r="V2816" s="1">
        <v>9820069304</v>
      </c>
      <c r="W2816" s="1" t="s">
        <v>98</v>
      </c>
      <c r="X2816" s="1" t="s">
        <v>45780</v>
      </c>
      <c r="Y2816" s="1" t="s">
        <v>2259</v>
      </c>
      <c r="Z2816" s="1" t="s">
        <v>97</v>
      </c>
      <c r="AA2816" s="1" t="s">
        <v>45780</v>
      </c>
      <c r="AB2816" s="1" t="s">
        <v>2259</v>
      </c>
      <c r="AC2816" s="1" t="s">
        <v>97</v>
      </c>
      <c r="AD2816" s="1" t="s">
        <v>98</v>
      </c>
      <c r="AE2816" s="1" t="s">
        <v>98</v>
      </c>
      <c r="AF2816" s="1" t="s">
        <v>45781</v>
      </c>
      <c r="AG2816" s="1" t="s">
        <v>45782</v>
      </c>
      <c r="AH2816" s="1" t="s">
        <v>101</v>
      </c>
      <c r="AI2816" s="1" t="s">
        <v>178</v>
      </c>
      <c r="AJ2816" s="1">
        <v>83.6</v>
      </c>
      <c r="AK2816" s="1"/>
      <c r="AL2816" s="1"/>
      <c r="AM2816" s="1"/>
      <c r="AN2816" s="1"/>
      <c r="AO2816" s="1"/>
      <c r="AP2816" s="1"/>
      <c r="AQ2816" s="1"/>
      <c r="AR2816" s="1"/>
      <c r="AS2816" s="1" t="s">
        <v>45783</v>
      </c>
      <c r="AT2816" s="1" t="s">
        <v>45784</v>
      </c>
      <c r="AU2816" s="1" t="s">
        <v>1040</v>
      </c>
      <c r="AV2816" s="1" t="s">
        <v>179</v>
      </c>
      <c r="AW2816" s="1">
        <v>65.53</v>
      </c>
      <c r="AX2816" s="1"/>
      <c r="AY2816" s="1" t="s">
        <v>17105</v>
      </c>
      <c r="AZ2816" s="1" t="s">
        <v>45785</v>
      </c>
      <c r="BA2816" s="1" t="s">
        <v>578</v>
      </c>
      <c r="BB2816" s="1" t="s">
        <v>467</v>
      </c>
      <c r="BC2816" s="1" t="s">
        <v>179</v>
      </c>
      <c r="BD2816" s="1" t="s">
        <v>14514</v>
      </c>
      <c r="BE2816" s="1">
        <v>55.31</v>
      </c>
      <c r="BF2816" s="1">
        <v>5.9</v>
      </c>
      <c r="BG2816" s="1"/>
      <c r="BH2816" s="1"/>
      <c r="BI2816" s="1"/>
      <c r="BJ2816" s="1"/>
      <c r="BK2816" s="1"/>
      <c r="BL2816" s="1"/>
      <c r="BM2816" s="1"/>
      <c r="BN2816" s="1"/>
      <c r="BO2816" s="1" t="s">
        <v>15320</v>
      </c>
      <c r="BP2816" s="1"/>
      <c r="BQ2816" s="1"/>
      <c r="BR2816" s="1"/>
      <c r="BS2816" s="1"/>
      <c r="BT2816" s="1" t="s">
        <v>45786</v>
      </c>
      <c r="BU2816" s="1" t="str">
        <f>HYPERLINK("https://nconnect.nicmar.ac.in/storage/profile/6a85a81f2c7da.png","Download")</f>
        <v>0</v>
      </c>
      <c r="BV2816" s="3"/>
      <c r="BW2816" s="3"/>
    </row>
    <row r="2817" spans="1:75">
      <c r="A2817" s="1" t="s">
        <v>40863</v>
      </c>
      <c r="B2817" s="1" t="s">
        <v>13976</v>
      </c>
      <c r="C2817" s="1" t="s">
        <v>45787</v>
      </c>
      <c r="D2817" s="1" t="s">
        <v>45788</v>
      </c>
      <c r="E2817" s="1"/>
      <c r="F2817" s="1" t="s">
        <v>45789</v>
      </c>
      <c r="G2817" s="1" t="s">
        <v>45790</v>
      </c>
      <c r="H2817" s="1" t="s">
        <v>45791</v>
      </c>
      <c r="I2817" s="1" t="s">
        <v>45792</v>
      </c>
      <c r="J2817" s="1">
        <v>6232892156</v>
      </c>
      <c r="K2817" s="1" t="s">
        <v>84</v>
      </c>
      <c r="L2817" s="1" t="s">
        <v>45793</v>
      </c>
      <c r="M2817" s="1" t="s">
        <v>86</v>
      </c>
      <c r="N2817" s="1" t="s">
        <v>40100</v>
      </c>
      <c r="O2817" s="1" t="s">
        <v>45794</v>
      </c>
      <c r="P2817" s="1" t="s">
        <v>219</v>
      </c>
      <c r="Q2817" s="1">
        <v>916711739048</v>
      </c>
      <c r="R2817" s="1" t="s">
        <v>45795</v>
      </c>
      <c r="S2817" s="1">
        <v>9826092155</v>
      </c>
      <c r="T2817" s="1" t="s">
        <v>45796</v>
      </c>
      <c r="U2817" s="1" t="s">
        <v>45797</v>
      </c>
      <c r="V2817" s="1">
        <v>9826092155</v>
      </c>
      <c r="W2817" s="1" t="s">
        <v>13411</v>
      </c>
      <c r="X2817" s="1" t="s">
        <v>45798</v>
      </c>
      <c r="Y2817" s="1" t="s">
        <v>5641</v>
      </c>
      <c r="Z2817" s="1" t="s">
        <v>3419</v>
      </c>
      <c r="AA2817" s="1" t="s">
        <v>45798</v>
      </c>
      <c r="AB2817" s="1" t="s">
        <v>5641</v>
      </c>
      <c r="AC2817" s="1" t="s">
        <v>3419</v>
      </c>
      <c r="AD2817" s="1" t="s">
        <v>98</v>
      </c>
      <c r="AE2817" s="1" t="s">
        <v>98</v>
      </c>
      <c r="AF2817" s="1"/>
      <c r="AG2817" s="1"/>
      <c r="AH2817" s="1"/>
      <c r="AI2817" s="1"/>
      <c r="AJ2817" s="1"/>
      <c r="AK2817" s="1"/>
      <c r="AL2817" s="1"/>
      <c r="AM2817" s="1"/>
      <c r="AN2817" s="1"/>
      <c r="AO2817" s="1"/>
      <c r="AP2817" s="1"/>
      <c r="AQ2817" s="1"/>
      <c r="AR2817" s="1"/>
      <c r="AS2817" s="1"/>
      <c r="AT2817" s="1"/>
      <c r="AU2817" s="1"/>
      <c r="AV2817" s="1"/>
      <c r="AW2817" s="1"/>
      <c r="AX2817" s="1"/>
      <c r="AY2817" s="1"/>
      <c r="AZ2817" s="1"/>
      <c r="BA2817" s="1"/>
      <c r="BB2817" s="1"/>
      <c r="BC2817" s="1"/>
      <c r="BD2817" s="1"/>
      <c r="BE2817" s="1"/>
      <c r="BF2817" s="1"/>
      <c r="BG2817" s="1"/>
      <c r="BH2817" s="1"/>
      <c r="BI2817" s="1"/>
      <c r="BJ2817" s="1"/>
      <c r="BK2817" s="1"/>
      <c r="BL2817" s="1"/>
      <c r="BM2817" s="1"/>
      <c r="BN2817" s="1"/>
      <c r="BO2817" s="1"/>
      <c r="BP2817" s="1"/>
      <c r="BQ2817" s="1"/>
      <c r="BR2817" s="1"/>
      <c r="BS2817" s="1"/>
      <c r="BT2817" s="1"/>
      <c r="BU2817" s="1" t="s">
        <v>9653</v>
      </c>
      <c r="BV2817" s="3"/>
      <c r="BW2817" s="3"/>
    </row>
    <row r="2818" spans="1:75">
      <c r="A2818" s="1" t="s">
        <v>40863</v>
      </c>
      <c r="B2818" s="1" t="s">
        <v>13976</v>
      </c>
      <c r="C2818" s="1" t="s">
        <v>45799</v>
      </c>
      <c r="D2818" s="1" t="s">
        <v>45800</v>
      </c>
      <c r="E2818" s="1" t="s">
        <v>21665</v>
      </c>
      <c r="F2818" s="1" t="s">
        <v>14460</v>
      </c>
      <c r="G2818" s="1" t="s">
        <v>45801</v>
      </c>
      <c r="H2818" s="1" t="s">
        <v>45802</v>
      </c>
      <c r="I2818" s="1" t="s">
        <v>45803</v>
      </c>
      <c r="J2818" s="1">
        <v>8411020402</v>
      </c>
      <c r="K2818" s="1" t="s">
        <v>153</v>
      </c>
      <c r="L2818" s="1" t="s">
        <v>45804</v>
      </c>
      <c r="M2818" s="1" t="s">
        <v>86</v>
      </c>
      <c r="N2818" s="1" t="s">
        <v>18395</v>
      </c>
      <c r="O2818" s="1" t="s">
        <v>191</v>
      </c>
      <c r="P2818" s="1" t="s">
        <v>89</v>
      </c>
      <c r="Q2818" s="1">
        <v>992106657323</v>
      </c>
      <c r="R2818" s="1" t="s">
        <v>21665</v>
      </c>
      <c r="S2818" s="1">
        <v>9850976891</v>
      </c>
      <c r="T2818" s="1" t="s">
        <v>3439</v>
      </c>
      <c r="U2818" s="1" t="s">
        <v>45805</v>
      </c>
      <c r="V2818" s="1">
        <v>9850204896</v>
      </c>
      <c r="W2818" s="1" t="s">
        <v>17448</v>
      </c>
      <c r="X2818" s="1" t="s">
        <v>45806</v>
      </c>
      <c r="Y2818" s="1" t="s">
        <v>196</v>
      </c>
      <c r="Z2818" s="1" t="s">
        <v>97</v>
      </c>
      <c r="AA2818" s="1" t="s">
        <v>45807</v>
      </c>
      <c r="AB2818" s="1" t="s">
        <v>196</v>
      </c>
      <c r="AC2818" s="1" t="s">
        <v>97</v>
      </c>
      <c r="AD2818" s="1" t="s">
        <v>98</v>
      </c>
      <c r="AE2818" s="1" t="s">
        <v>98</v>
      </c>
      <c r="AF2818" s="1" t="s">
        <v>45808</v>
      </c>
      <c r="AG2818" s="1" t="s">
        <v>17771</v>
      </c>
      <c r="AH2818" s="1" t="s">
        <v>2321</v>
      </c>
      <c r="AI2818" s="1" t="s">
        <v>490</v>
      </c>
      <c r="AJ2818" s="1">
        <v>96.4</v>
      </c>
      <c r="AK2818" s="1"/>
      <c r="AL2818" s="1" t="s">
        <v>45809</v>
      </c>
      <c r="AM2818" s="1" t="s">
        <v>14099</v>
      </c>
      <c r="AN2818" s="1" t="s">
        <v>465</v>
      </c>
      <c r="AO2818" s="1" t="s">
        <v>106</v>
      </c>
      <c r="AP2818" s="1" t="s">
        <v>977</v>
      </c>
      <c r="AQ2818" s="1">
        <v>90.77</v>
      </c>
      <c r="AR2818" s="1"/>
      <c r="AS2818" s="1"/>
      <c r="AT2818" s="1"/>
      <c r="AU2818" s="1"/>
      <c r="AV2818" s="1"/>
      <c r="AW2818" s="1"/>
      <c r="AX2818" s="1"/>
      <c r="AY2818" s="1" t="s">
        <v>14059</v>
      </c>
      <c r="AZ2818" s="1" t="s">
        <v>45810</v>
      </c>
      <c r="BA2818" s="1" t="s">
        <v>682</v>
      </c>
      <c r="BB2818" s="1" t="s">
        <v>1561</v>
      </c>
      <c r="BC2818" s="1" t="s">
        <v>468</v>
      </c>
      <c r="BD2818" s="1" t="s">
        <v>607</v>
      </c>
      <c r="BE2818" s="1">
        <v>70.9</v>
      </c>
      <c r="BF2818" s="1">
        <v>7.96</v>
      </c>
      <c r="BG2818" s="1"/>
      <c r="BH2818" s="1"/>
      <c r="BI2818" s="1"/>
      <c r="BJ2818" s="1"/>
      <c r="BK2818" s="1"/>
      <c r="BL2818" s="1"/>
      <c r="BM2818" s="1"/>
      <c r="BN2818" s="1"/>
      <c r="BO2818" s="1" t="s">
        <v>45811</v>
      </c>
      <c r="BP2818" s="1" t="s">
        <v>45812</v>
      </c>
      <c r="BQ2818" s="1" t="s">
        <v>1070</v>
      </c>
      <c r="BR2818" s="1"/>
      <c r="BS2818" s="1"/>
      <c r="BT2818" s="1" t="s">
        <v>45813</v>
      </c>
      <c r="BU2818" s="1" t="str">
        <f>HYPERLINK("https://nconnect.nicmar.ac.in/storage/profile/6a85fd62c458a.png","Download")</f>
        <v>0</v>
      </c>
      <c r="BV2818" s="3"/>
      <c r="BW2818" s="3"/>
    </row>
    <row r="2819" spans="1:75">
      <c r="A2819" s="1" t="s">
        <v>40863</v>
      </c>
      <c r="B2819" s="1" t="s">
        <v>13976</v>
      </c>
      <c r="C2819" s="1" t="s">
        <v>45814</v>
      </c>
      <c r="D2819" s="1" t="s">
        <v>45815</v>
      </c>
      <c r="E2819" s="1" t="s">
        <v>1294</v>
      </c>
      <c r="F2819" s="1" t="s">
        <v>45816</v>
      </c>
      <c r="G2819" s="1" t="s">
        <v>45817</v>
      </c>
      <c r="H2819" s="1" t="s">
        <v>45818</v>
      </c>
      <c r="I2819" s="1" t="s">
        <v>45819</v>
      </c>
      <c r="J2819" s="1">
        <v>8374898599</v>
      </c>
      <c r="K2819" s="1" t="s">
        <v>84</v>
      </c>
      <c r="L2819" s="1" t="s">
        <v>14368</v>
      </c>
      <c r="M2819" s="1" t="s">
        <v>86</v>
      </c>
      <c r="N2819" s="1" t="s">
        <v>17231</v>
      </c>
      <c r="O2819" s="1" t="s">
        <v>14254</v>
      </c>
      <c r="P2819" s="1" t="s">
        <v>219</v>
      </c>
      <c r="Q2819" s="1" t="s">
        <v>45820</v>
      </c>
      <c r="R2819" s="1" t="s">
        <v>45821</v>
      </c>
      <c r="S2819" s="1">
        <v>9440105409</v>
      </c>
      <c r="T2819" s="1" t="s">
        <v>3439</v>
      </c>
      <c r="U2819" s="1" t="s">
        <v>45822</v>
      </c>
      <c r="V2819" s="1">
        <v>9441582071</v>
      </c>
      <c r="W2819" s="1" t="s">
        <v>14032</v>
      </c>
      <c r="X2819" s="1" t="s">
        <v>45823</v>
      </c>
      <c r="Y2819" s="1" t="s">
        <v>12907</v>
      </c>
      <c r="Z2819" s="1" t="s">
        <v>281</v>
      </c>
      <c r="AA2819" s="1" t="s">
        <v>45823</v>
      </c>
      <c r="AB2819" s="1" t="s">
        <v>12907</v>
      </c>
      <c r="AC2819" s="1" t="s">
        <v>281</v>
      </c>
      <c r="AD2819" s="1" t="s">
        <v>98</v>
      </c>
      <c r="AE2819" s="1" t="s">
        <v>98</v>
      </c>
      <c r="AF2819" s="1" t="s">
        <v>45824</v>
      </c>
      <c r="AG2819" s="1" t="s">
        <v>2341</v>
      </c>
      <c r="AH2819" s="1" t="s">
        <v>101</v>
      </c>
      <c r="AI2819" s="1" t="s">
        <v>136</v>
      </c>
      <c r="AJ2819" s="1">
        <v>95</v>
      </c>
      <c r="AK2819" s="1">
        <v>9.5</v>
      </c>
      <c r="AL2819" s="1" t="s">
        <v>2343</v>
      </c>
      <c r="AM2819" s="1" t="s">
        <v>2341</v>
      </c>
      <c r="AN2819" s="1" t="s">
        <v>465</v>
      </c>
      <c r="AO2819" s="1" t="s">
        <v>166</v>
      </c>
      <c r="AP2819" s="1" t="s">
        <v>704</v>
      </c>
      <c r="AQ2819" s="1">
        <v>82.8</v>
      </c>
      <c r="AR2819" s="1"/>
      <c r="AS2819" s="1"/>
      <c r="AT2819" s="1"/>
      <c r="AU2819" s="1"/>
      <c r="AV2819" s="1"/>
      <c r="AW2819" s="1"/>
      <c r="AX2819" s="1"/>
      <c r="AY2819" s="1" t="s">
        <v>45825</v>
      </c>
      <c r="AZ2819" s="1" t="s">
        <v>42358</v>
      </c>
      <c r="BA2819" s="1" t="s">
        <v>466</v>
      </c>
      <c r="BB2819" s="1" t="s">
        <v>467</v>
      </c>
      <c r="BC2819" s="1" t="s">
        <v>388</v>
      </c>
      <c r="BD2819" s="1" t="s">
        <v>847</v>
      </c>
      <c r="BE2819" s="1">
        <v>77.8</v>
      </c>
      <c r="BF2819" s="1">
        <v>8.56</v>
      </c>
      <c r="BG2819" s="1"/>
      <c r="BH2819" s="1"/>
      <c r="BI2819" s="1"/>
      <c r="BJ2819" s="1"/>
      <c r="BK2819" s="1"/>
      <c r="BL2819" s="1"/>
      <c r="BM2819" s="1"/>
      <c r="BN2819" s="1"/>
      <c r="BO2819" s="1" t="s">
        <v>45826</v>
      </c>
      <c r="BP2819" s="1" t="s">
        <v>45827</v>
      </c>
      <c r="BQ2819" s="1" t="s">
        <v>10925</v>
      </c>
      <c r="BR2819" s="1" t="s">
        <v>45828</v>
      </c>
      <c r="BS2819" s="1">
        <v>9</v>
      </c>
      <c r="BT2819" s="1"/>
      <c r="BU2819" s="1" t="str">
        <f>HYPERLINK("https://nconnect.nicmar.ac.in/storage/profile/6a895416ca471.png","Download")</f>
        <v>0</v>
      </c>
      <c r="BV2819" s="3"/>
      <c r="BW2819" s="3"/>
    </row>
    <row r="2820" spans="1:75">
      <c r="A2820" s="1" t="s">
        <v>40863</v>
      </c>
      <c r="B2820" s="1" t="s">
        <v>13976</v>
      </c>
      <c r="C2820" s="1" t="s">
        <v>45829</v>
      </c>
      <c r="D2820" s="1" t="s">
        <v>45830</v>
      </c>
      <c r="E2820" s="1" t="s">
        <v>7760</v>
      </c>
      <c r="F2820" s="1" t="s">
        <v>45831</v>
      </c>
      <c r="G2820" s="1" t="s">
        <v>45832</v>
      </c>
      <c r="H2820" s="1" t="s">
        <v>45833</v>
      </c>
      <c r="I2820" s="1" t="s">
        <v>45834</v>
      </c>
      <c r="J2820" s="1">
        <v>8050101748</v>
      </c>
      <c r="K2820" s="1" t="s">
        <v>153</v>
      </c>
      <c r="L2820" s="1" t="s">
        <v>23347</v>
      </c>
      <c r="M2820" s="1" t="s">
        <v>86</v>
      </c>
      <c r="N2820" s="1" t="s">
        <v>5251</v>
      </c>
      <c r="O2820" s="1" t="s">
        <v>45835</v>
      </c>
      <c r="P2820" s="1" t="s">
        <v>122</v>
      </c>
      <c r="Q2820" s="1">
        <v>587465648718</v>
      </c>
      <c r="R2820" s="1" t="s">
        <v>45836</v>
      </c>
      <c r="S2820" s="1">
        <v>9591634748</v>
      </c>
      <c r="T2820" s="1" t="s">
        <v>17448</v>
      </c>
      <c r="U2820" s="1" t="s">
        <v>45837</v>
      </c>
      <c r="V2820" s="1">
        <v>9901970748</v>
      </c>
      <c r="W2820" s="1" t="s">
        <v>14032</v>
      </c>
      <c r="X2820" s="1" t="s">
        <v>45838</v>
      </c>
      <c r="Y2820" s="1" t="s">
        <v>3985</v>
      </c>
      <c r="Z2820" s="1" t="s">
        <v>1210</v>
      </c>
      <c r="AA2820" s="1" t="s">
        <v>45838</v>
      </c>
      <c r="AB2820" s="1" t="s">
        <v>3985</v>
      </c>
      <c r="AC2820" s="1" t="s">
        <v>1210</v>
      </c>
      <c r="AD2820" s="1" t="s">
        <v>98</v>
      </c>
      <c r="AE2820" s="1" t="s">
        <v>98</v>
      </c>
      <c r="AF2820" s="1" t="s">
        <v>45839</v>
      </c>
      <c r="AG2820" s="1" t="s">
        <v>45840</v>
      </c>
      <c r="AH2820" s="1" t="s">
        <v>171</v>
      </c>
      <c r="AI2820" s="1" t="s">
        <v>547</v>
      </c>
      <c r="AJ2820" s="1">
        <v>87.68</v>
      </c>
      <c r="AK2820" s="1"/>
      <c r="AL2820" s="1" t="s">
        <v>45841</v>
      </c>
      <c r="AM2820" s="1" t="s">
        <v>45840</v>
      </c>
      <c r="AN2820" s="1" t="s">
        <v>575</v>
      </c>
      <c r="AO2820" s="1" t="s">
        <v>315</v>
      </c>
      <c r="AP2820" s="1" t="s">
        <v>2304</v>
      </c>
      <c r="AQ2820" s="1">
        <v>85.3</v>
      </c>
      <c r="AR2820" s="1"/>
      <c r="AS2820" s="1"/>
      <c r="AT2820" s="1"/>
      <c r="AU2820" s="1"/>
      <c r="AV2820" s="1"/>
      <c r="AW2820" s="1"/>
      <c r="AX2820" s="1"/>
      <c r="AY2820" s="1" t="s">
        <v>45842</v>
      </c>
      <c r="AZ2820" s="1" t="s">
        <v>45843</v>
      </c>
      <c r="BA2820" s="1" t="s">
        <v>466</v>
      </c>
      <c r="BB2820" s="1" t="s">
        <v>1062</v>
      </c>
      <c r="BC2820" s="1" t="s">
        <v>1802</v>
      </c>
      <c r="BD2820" s="1" t="s">
        <v>14514</v>
      </c>
      <c r="BE2820" s="1">
        <v>89.7</v>
      </c>
      <c r="BF2820" s="1">
        <v>8.9</v>
      </c>
      <c r="BG2820" s="1"/>
      <c r="BH2820" s="1"/>
      <c r="BI2820" s="1"/>
      <c r="BJ2820" s="1"/>
      <c r="BK2820" s="1"/>
      <c r="BL2820" s="1"/>
      <c r="BM2820" s="1"/>
      <c r="BN2820" s="1"/>
      <c r="BO2820" s="1" t="s">
        <v>45844</v>
      </c>
      <c r="BP2820" s="1"/>
      <c r="BQ2820" s="1"/>
      <c r="BR2820" s="1" t="s">
        <v>45845</v>
      </c>
      <c r="BS2820" s="1">
        <v>8</v>
      </c>
      <c r="BT2820" s="1"/>
      <c r="BU2820" s="1" t="str">
        <f>HYPERLINK("https://nconnect.nicmar.ac.in/storage/profile/6a85916b3cba9.png","Download")</f>
        <v>0</v>
      </c>
      <c r="BV2820" s="3"/>
      <c r="BW2820" s="3"/>
    </row>
    <row r="2821" spans="1:75">
      <c r="A2821" s="1" t="s">
        <v>40863</v>
      </c>
      <c r="B2821" s="1" t="s">
        <v>13976</v>
      </c>
      <c r="C2821" s="1" t="s">
        <v>45846</v>
      </c>
      <c r="D2821" s="1" t="s">
        <v>45847</v>
      </c>
      <c r="E2821" s="1" t="s">
        <v>45848</v>
      </c>
      <c r="F2821" s="1" t="s">
        <v>45849</v>
      </c>
      <c r="G2821" s="1" t="s">
        <v>45850</v>
      </c>
      <c r="H2821" s="1" t="s">
        <v>45851</v>
      </c>
      <c r="I2821" s="1" t="s">
        <v>45851</v>
      </c>
      <c r="J2821" s="1">
        <v>8790651690</v>
      </c>
      <c r="K2821" s="1" t="s">
        <v>153</v>
      </c>
      <c r="L2821" s="1" t="s">
        <v>45852</v>
      </c>
      <c r="M2821" s="1" t="s">
        <v>86</v>
      </c>
      <c r="N2821" s="1" t="s">
        <v>45853</v>
      </c>
      <c r="O2821" s="1" t="s">
        <v>45854</v>
      </c>
      <c r="P2821" s="1" t="s">
        <v>122</v>
      </c>
      <c r="Q2821" s="1">
        <v>418487134504</v>
      </c>
      <c r="R2821" s="1" t="s">
        <v>45855</v>
      </c>
      <c r="S2821" s="1">
        <v>9014513322</v>
      </c>
      <c r="T2821" s="1" t="s">
        <v>45856</v>
      </c>
      <c r="U2821" s="1" t="s">
        <v>45857</v>
      </c>
      <c r="V2821" s="1">
        <v>7032305551</v>
      </c>
      <c r="W2821" s="1" t="s">
        <v>45858</v>
      </c>
      <c r="X2821" s="1" t="s">
        <v>45859</v>
      </c>
      <c r="Y2821" s="1" t="s">
        <v>12190</v>
      </c>
      <c r="Z2821" s="1" t="s">
        <v>281</v>
      </c>
      <c r="AA2821" s="1" t="s">
        <v>45859</v>
      </c>
      <c r="AB2821" s="1" t="s">
        <v>12190</v>
      </c>
      <c r="AC2821" s="1" t="s">
        <v>281</v>
      </c>
      <c r="AD2821" s="1" t="s">
        <v>98</v>
      </c>
      <c r="AE2821" s="1" t="s">
        <v>98</v>
      </c>
      <c r="AF2821" s="1" t="s">
        <v>45860</v>
      </c>
      <c r="AG2821" s="1" t="s">
        <v>45861</v>
      </c>
      <c r="AH2821" s="1" t="s">
        <v>167</v>
      </c>
      <c r="AI2821" s="1" t="s">
        <v>490</v>
      </c>
      <c r="AJ2821" s="1">
        <v>100</v>
      </c>
      <c r="AK2821" s="1">
        <v>10</v>
      </c>
      <c r="AL2821" s="1" t="s">
        <v>45862</v>
      </c>
      <c r="AM2821" s="1" t="s">
        <v>45863</v>
      </c>
      <c r="AN2821" s="1" t="s">
        <v>465</v>
      </c>
      <c r="AO2821" s="1" t="s">
        <v>286</v>
      </c>
      <c r="AP2821" s="1" t="s">
        <v>603</v>
      </c>
      <c r="AQ2821" s="1">
        <v>85</v>
      </c>
      <c r="AR2821" s="1">
        <v>8.5</v>
      </c>
      <c r="AS2821" s="1"/>
      <c r="AT2821" s="1"/>
      <c r="AU2821" s="1"/>
      <c r="AV2821" s="1"/>
      <c r="AW2821" s="1"/>
      <c r="AX2821" s="1"/>
      <c r="AY2821" s="1" t="s">
        <v>45864</v>
      </c>
      <c r="AZ2821" s="1" t="s">
        <v>45861</v>
      </c>
      <c r="BA2821" s="1" t="s">
        <v>466</v>
      </c>
      <c r="BB2821" s="1" t="s">
        <v>467</v>
      </c>
      <c r="BC2821" s="1" t="s">
        <v>468</v>
      </c>
      <c r="BD2821" s="1" t="s">
        <v>553</v>
      </c>
      <c r="BE2821" s="1">
        <v>73</v>
      </c>
      <c r="BF2821" s="1">
        <v>7.36</v>
      </c>
      <c r="BG2821" s="1"/>
      <c r="BH2821" s="1"/>
      <c r="BI2821" s="1"/>
      <c r="BJ2821" s="1"/>
      <c r="BK2821" s="1"/>
      <c r="BL2821" s="1"/>
      <c r="BM2821" s="1"/>
      <c r="BN2821" s="1"/>
      <c r="BO2821" s="1" t="s">
        <v>44087</v>
      </c>
      <c r="BP2821" s="1"/>
      <c r="BQ2821" s="1"/>
      <c r="BR2821" s="1"/>
      <c r="BS2821" s="1"/>
      <c r="BT2821" s="1"/>
      <c r="BU2821" s="1" t="str">
        <f>HYPERLINK("https://nconnect.nicmar.ac.in/storage/profile/6a85e3f8f15b4.png","Download")</f>
        <v>0</v>
      </c>
      <c r="BV2821" s="3"/>
      <c r="BW2821" s="3"/>
    </row>
    <row r="2822" spans="1:75">
      <c r="A2822" s="1" t="s">
        <v>40863</v>
      </c>
      <c r="B2822" s="1" t="s">
        <v>13976</v>
      </c>
      <c r="C2822" s="1" t="s">
        <v>45865</v>
      </c>
      <c r="D2822" s="1" t="s">
        <v>23889</v>
      </c>
      <c r="E2822" s="1"/>
      <c r="F2822" s="1" t="s">
        <v>44630</v>
      </c>
      <c r="G2822" s="1" t="s">
        <v>45866</v>
      </c>
      <c r="H2822" s="1" t="s">
        <v>45867</v>
      </c>
      <c r="I2822" s="1" t="s">
        <v>45868</v>
      </c>
      <c r="J2822" s="1">
        <v>7385751798</v>
      </c>
      <c r="K2822" s="1" t="s">
        <v>153</v>
      </c>
      <c r="L2822" s="1" t="s">
        <v>45630</v>
      </c>
      <c r="M2822" s="1" t="s">
        <v>86</v>
      </c>
      <c r="N2822" s="1" t="s">
        <v>45869</v>
      </c>
      <c r="O2822" s="1" t="s">
        <v>45870</v>
      </c>
      <c r="P2822" s="1" t="s">
        <v>219</v>
      </c>
      <c r="Q2822" s="1">
        <v>679669971545</v>
      </c>
      <c r="R2822" s="1" t="s">
        <v>6518</v>
      </c>
      <c r="S2822" s="1">
        <v>7499729784</v>
      </c>
      <c r="T2822" s="1" t="s">
        <v>45871</v>
      </c>
      <c r="U2822" s="1" t="s">
        <v>24286</v>
      </c>
      <c r="V2822" s="1">
        <v>8010657153</v>
      </c>
      <c r="W2822" s="1" t="s">
        <v>98</v>
      </c>
      <c r="X2822" s="1" t="s">
        <v>45872</v>
      </c>
      <c r="Y2822" s="1" t="s">
        <v>196</v>
      </c>
      <c r="Z2822" s="1" t="s">
        <v>97</v>
      </c>
      <c r="AA2822" s="1" t="s">
        <v>45872</v>
      </c>
      <c r="AB2822" s="1" t="s">
        <v>196</v>
      </c>
      <c r="AC2822" s="1" t="s">
        <v>97</v>
      </c>
      <c r="AD2822" s="1" t="s">
        <v>98</v>
      </c>
      <c r="AE2822" s="1" t="s">
        <v>98</v>
      </c>
      <c r="AF2822" s="1" t="s">
        <v>14056</v>
      </c>
      <c r="AG2822" s="1" t="s">
        <v>45873</v>
      </c>
      <c r="AH2822" s="1" t="s">
        <v>7331</v>
      </c>
      <c r="AI2822" s="1" t="s">
        <v>171</v>
      </c>
      <c r="AJ2822" s="1">
        <v>73.6</v>
      </c>
      <c r="AK2822" s="1"/>
      <c r="AL2822" s="1" t="s">
        <v>45874</v>
      </c>
      <c r="AM2822" s="1" t="s">
        <v>16724</v>
      </c>
      <c r="AN2822" s="1" t="s">
        <v>2995</v>
      </c>
      <c r="AO2822" s="1" t="s">
        <v>106</v>
      </c>
      <c r="AP2822" s="1" t="s">
        <v>365</v>
      </c>
      <c r="AQ2822" s="1">
        <v>66.77</v>
      </c>
      <c r="AR2822" s="1"/>
      <c r="AS2822" s="1"/>
      <c r="AT2822" s="1"/>
      <c r="AU2822" s="1"/>
      <c r="AV2822" s="1"/>
      <c r="AW2822" s="1"/>
      <c r="AX2822" s="1"/>
      <c r="AY2822" s="1" t="s">
        <v>14530</v>
      </c>
      <c r="AZ2822" s="1" t="s">
        <v>45875</v>
      </c>
      <c r="BA2822" s="1" t="s">
        <v>37920</v>
      </c>
      <c r="BB2822" s="1" t="s">
        <v>45876</v>
      </c>
      <c r="BC2822" s="1" t="s">
        <v>468</v>
      </c>
      <c r="BD2822" s="1" t="s">
        <v>579</v>
      </c>
      <c r="BE2822" s="1">
        <v>73.59</v>
      </c>
      <c r="BF2822" s="1">
        <v>8.69</v>
      </c>
      <c r="BG2822" s="1"/>
      <c r="BH2822" s="1"/>
      <c r="BI2822" s="1"/>
      <c r="BJ2822" s="1"/>
      <c r="BK2822" s="1"/>
      <c r="BL2822" s="1"/>
      <c r="BM2822" s="1"/>
      <c r="BN2822" s="1"/>
      <c r="BO2822" s="1" t="s">
        <v>45877</v>
      </c>
      <c r="BP2822" s="1" t="s">
        <v>45878</v>
      </c>
      <c r="BQ2822" s="1" t="s">
        <v>9405</v>
      </c>
      <c r="BR2822" s="1" t="s">
        <v>45879</v>
      </c>
      <c r="BS2822" s="1">
        <v>13</v>
      </c>
      <c r="BT2822" s="1" t="s">
        <v>45880</v>
      </c>
      <c r="BU2822" s="1" t="str">
        <f>HYPERLINK("https://nconnect.nicmar.ac.in/storage/profile/6a85a36f9c702.png","Download")</f>
        <v>0</v>
      </c>
      <c r="BV2822" s="3"/>
      <c r="BW2822" s="3"/>
    </row>
    <row r="2823" spans="1:75">
      <c r="A2823" s="1" t="s">
        <v>40863</v>
      </c>
      <c r="B2823" s="1" t="s">
        <v>13976</v>
      </c>
      <c r="C2823" s="1" t="s">
        <v>45881</v>
      </c>
      <c r="D2823" s="1" t="s">
        <v>45882</v>
      </c>
      <c r="E2823" s="1" t="s">
        <v>45883</v>
      </c>
      <c r="F2823" s="1" t="s">
        <v>45884</v>
      </c>
      <c r="G2823" s="1" t="s">
        <v>45885</v>
      </c>
      <c r="H2823" s="1" t="s">
        <v>45886</v>
      </c>
      <c r="I2823" s="1" t="s">
        <v>45887</v>
      </c>
      <c r="J2823" s="1">
        <v>9834339455</v>
      </c>
      <c r="K2823" s="1" t="s">
        <v>84</v>
      </c>
      <c r="L2823" s="1" t="s">
        <v>19702</v>
      </c>
      <c r="M2823" s="1" t="s">
        <v>86</v>
      </c>
      <c r="N2823" s="1" t="s">
        <v>45888</v>
      </c>
      <c r="O2823" s="1" t="s">
        <v>45889</v>
      </c>
      <c r="P2823" s="1" t="s">
        <v>89</v>
      </c>
      <c r="Q2823" s="1">
        <v>807555044096</v>
      </c>
      <c r="R2823" s="1" t="s">
        <v>45890</v>
      </c>
      <c r="S2823" s="1">
        <v>9422560694</v>
      </c>
      <c r="T2823" s="1" t="s">
        <v>13987</v>
      </c>
      <c r="U2823" s="1" t="s">
        <v>45891</v>
      </c>
      <c r="V2823" s="1">
        <v>9545237141</v>
      </c>
      <c r="W2823" s="1" t="s">
        <v>14710</v>
      </c>
      <c r="X2823" s="1" t="s">
        <v>45892</v>
      </c>
      <c r="Y2823" s="1" t="s">
        <v>624</v>
      </c>
      <c r="Z2823" s="1" t="s">
        <v>97</v>
      </c>
      <c r="AA2823" s="1" t="s">
        <v>45892</v>
      </c>
      <c r="AB2823" s="1" t="s">
        <v>624</v>
      </c>
      <c r="AC2823" s="1" t="s">
        <v>97</v>
      </c>
      <c r="AD2823" s="1" t="s">
        <v>98</v>
      </c>
      <c r="AE2823" s="1" t="s">
        <v>98</v>
      </c>
      <c r="AF2823" s="1" t="s">
        <v>45893</v>
      </c>
      <c r="AG2823" s="1" t="s">
        <v>45894</v>
      </c>
      <c r="AH2823" s="1" t="s">
        <v>200</v>
      </c>
      <c r="AI2823" s="1" t="s">
        <v>286</v>
      </c>
      <c r="AJ2823" s="1">
        <v>82.6</v>
      </c>
      <c r="AK2823" s="1"/>
      <c r="AL2823" s="1" t="s">
        <v>45895</v>
      </c>
      <c r="AM2823" s="1" t="s">
        <v>45894</v>
      </c>
      <c r="AN2823" s="1" t="s">
        <v>575</v>
      </c>
      <c r="AO2823" s="1" t="s">
        <v>171</v>
      </c>
      <c r="AP2823" s="1" t="s">
        <v>365</v>
      </c>
      <c r="AQ2823" s="1">
        <v>51.38</v>
      </c>
      <c r="AR2823" s="1"/>
      <c r="AS2823" s="1"/>
      <c r="AT2823" s="1"/>
      <c r="AU2823" s="1"/>
      <c r="AV2823" s="1"/>
      <c r="AW2823" s="1"/>
      <c r="AX2823" s="1"/>
      <c r="AY2823" s="1" t="s">
        <v>366</v>
      </c>
      <c r="AZ2823" s="1" t="s">
        <v>45896</v>
      </c>
      <c r="BA2823" s="1" t="s">
        <v>578</v>
      </c>
      <c r="BB2823" s="1" t="s">
        <v>467</v>
      </c>
      <c r="BC2823" s="1" t="s">
        <v>845</v>
      </c>
      <c r="BD2823" s="1" t="s">
        <v>607</v>
      </c>
      <c r="BE2823" s="1">
        <v>58</v>
      </c>
      <c r="BF2823" s="1">
        <v>6.49</v>
      </c>
      <c r="BG2823" s="1"/>
      <c r="BH2823" s="1"/>
      <c r="BI2823" s="1"/>
      <c r="BJ2823" s="1"/>
      <c r="BK2823" s="1"/>
      <c r="BL2823" s="1"/>
      <c r="BM2823" s="1"/>
      <c r="BN2823" s="1"/>
      <c r="BO2823" s="1" t="s">
        <v>45897</v>
      </c>
      <c r="BP2823" s="1" t="s">
        <v>45898</v>
      </c>
      <c r="BQ2823" s="1" t="s">
        <v>1070</v>
      </c>
      <c r="BR2823" s="1"/>
      <c r="BS2823" s="1"/>
      <c r="BT2823" s="1"/>
      <c r="BU2823" s="1" t="str">
        <f>HYPERLINK("https://nconnect.nicmar.ac.in/storage/profile/6a85eff0a4811.png","Download")</f>
        <v>0</v>
      </c>
      <c r="BV2823" s="3"/>
      <c r="BW2823" s="3"/>
    </row>
    <row r="2824" spans="1:75">
      <c r="A2824" s="1" t="s">
        <v>40863</v>
      </c>
      <c r="B2824" s="1" t="s">
        <v>13976</v>
      </c>
      <c r="C2824" s="1" t="s">
        <v>45899</v>
      </c>
      <c r="D2824" s="1"/>
      <c r="E2824" s="1"/>
      <c r="F2824" s="1"/>
      <c r="G2824" s="1"/>
      <c r="H2824" s="1" t="s">
        <v>45900</v>
      </c>
      <c r="I2824" s="1" t="s">
        <v>45900</v>
      </c>
      <c r="J2824" s="1"/>
      <c r="K2824" s="1"/>
      <c r="L2824" s="1"/>
      <c r="M2824" s="1"/>
      <c r="N2824" s="1"/>
      <c r="O2824" s="1"/>
      <c r="P2824" s="1"/>
      <c r="Q2824" s="1"/>
      <c r="R2824" s="1"/>
      <c r="S2824" s="1"/>
      <c r="T2824" s="1"/>
      <c r="U2824" s="1"/>
      <c r="V2824" s="1"/>
      <c r="W2824" s="1"/>
      <c r="X2824" s="1"/>
      <c r="Y2824" s="1"/>
      <c r="Z2824" s="1"/>
      <c r="AA2824" s="1"/>
      <c r="AB2824" s="1"/>
      <c r="AC2824" s="1"/>
      <c r="AD2824" s="1" t="s">
        <v>98</v>
      </c>
      <c r="AE2824" s="1" t="s">
        <v>98</v>
      </c>
      <c r="AF2824" s="1" t="s">
        <v>45901</v>
      </c>
      <c r="AG2824" s="1" t="s">
        <v>45902</v>
      </c>
      <c r="AH2824" s="1" t="s">
        <v>313</v>
      </c>
      <c r="AI2824" s="1" t="s">
        <v>417</v>
      </c>
      <c r="AJ2824" s="1">
        <v>52</v>
      </c>
      <c r="AK2824" s="1"/>
      <c r="AL2824" s="1" t="s">
        <v>45903</v>
      </c>
      <c r="AM2824" s="1" t="s">
        <v>45904</v>
      </c>
      <c r="AN2824" s="1" t="s">
        <v>465</v>
      </c>
      <c r="AO2824" s="1" t="s">
        <v>468</v>
      </c>
      <c r="AP2824" s="1" t="s">
        <v>521</v>
      </c>
      <c r="AQ2824" s="1">
        <v>72</v>
      </c>
      <c r="AR2824" s="1"/>
      <c r="AS2824" s="1"/>
      <c r="AT2824" s="1"/>
      <c r="AU2824" s="1"/>
      <c r="AV2824" s="1"/>
      <c r="AW2824" s="1"/>
      <c r="AX2824" s="1"/>
      <c r="AY2824" s="1" t="s">
        <v>45905</v>
      </c>
      <c r="AZ2824" s="1" t="s">
        <v>45906</v>
      </c>
      <c r="BA2824" s="1" t="s">
        <v>466</v>
      </c>
      <c r="BB2824" s="1" t="s">
        <v>467</v>
      </c>
      <c r="BC2824" s="1" t="s">
        <v>110</v>
      </c>
      <c r="BD2824" s="1" t="s">
        <v>9688</v>
      </c>
      <c r="BE2824" s="1">
        <v>61.94</v>
      </c>
      <c r="BF2824" s="1"/>
      <c r="BG2824" s="1"/>
      <c r="BH2824" s="1"/>
      <c r="BI2824" s="1"/>
      <c r="BJ2824" s="1"/>
      <c r="BK2824" s="1"/>
      <c r="BL2824" s="1"/>
      <c r="BM2824" s="1"/>
      <c r="BN2824" s="1"/>
      <c r="BO2824" s="1" t="s">
        <v>45907</v>
      </c>
      <c r="BP2824" s="1"/>
      <c r="BQ2824" s="1"/>
      <c r="BR2824" s="1"/>
      <c r="BS2824" s="1"/>
      <c r="BT2824" s="1"/>
      <c r="BU2824" s="1" t="s">
        <v>9653</v>
      </c>
      <c r="BV2824" s="3"/>
      <c r="BW2824" s="3"/>
    </row>
    <row r="2825" spans="1:75">
      <c r="A2825" s="1" t="s">
        <v>40863</v>
      </c>
      <c r="B2825" s="1" t="s">
        <v>13976</v>
      </c>
      <c r="C2825" s="1" t="s">
        <v>45908</v>
      </c>
      <c r="D2825" s="1" t="s">
        <v>45909</v>
      </c>
      <c r="E2825" s="1" t="s">
        <v>45910</v>
      </c>
      <c r="F2825" s="1" t="s">
        <v>45911</v>
      </c>
      <c r="G2825" s="1" t="s">
        <v>45912</v>
      </c>
      <c r="H2825" s="1" t="s">
        <v>45913</v>
      </c>
      <c r="I2825" s="1" t="s">
        <v>45913</v>
      </c>
      <c r="J2825" s="1">
        <v>6238095275</v>
      </c>
      <c r="K2825" s="1" t="s">
        <v>153</v>
      </c>
      <c r="L2825" s="1" t="s">
        <v>4669</v>
      </c>
      <c r="M2825" s="1" t="s">
        <v>86</v>
      </c>
      <c r="N2825" s="1" t="s">
        <v>45914</v>
      </c>
      <c r="O2825" s="1" t="s">
        <v>45915</v>
      </c>
      <c r="P2825" s="1" t="s">
        <v>122</v>
      </c>
      <c r="Q2825" s="1">
        <v>730906101219</v>
      </c>
      <c r="R2825" s="1" t="s">
        <v>45916</v>
      </c>
      <c r="S2825" s="1">
        <v>9961780115</v>
      </c>
      <c r="T2825" s="1" t="s">
        <v>45917</v>
      </c>
      <c r="U2825" s="1" t="s">
        <v>45918</v>
      </c>
      <c r="V2825" s="1">
        <v>7594941603</v>
      </c>
      <c r="W2825" s="1" t="s">
        <v>14507</v>
      </c>
      <c r="X2825" s="1" t="s">
        <v>45919</v>
      </c>
      <c r="Y2825" s="1" t="s">
        <v>2526</v>
      </c>
      <c r="Z2825" s="1" t="s">
        <v>130</v>
      </c>
      <c r="AA2825" s="1" t="s">
        <v>45919</v>
      </c>
      <c r="AB2825" s="1" t="s">
        <v>2526</v>
      </c>
      <c r="AC2825" s="1" t="s">
        <v>130</v>
      </c>
      <c r="AD2825" s="1" t="s">
        <v>98</v>
      </c>
      <c r="AE2825" s="1" t="s">
        <v>98</v>
      </c>
      <c r="AF2825" s="1" t="s">
        <v>45920</v>
      </c>
      <c r="AG2825" s="1" t="s">
        <v>45921</v>
      </c>
      <c r="AH2825" s="1" t="s">
        <v>313</v>
      </c>
      <c r="AI2825" s="1" t="s">
        <v>417</v>
      </c>
      <c r="AJ2825" s="1">
        <v>78.6</v>
      </c>
      <c r="AK2825" s="1"/>
      <c r="AL2825" s="1" t="s">
        <v>45920</v>
      </c>
      <c r="AM2825" s="1" t="s">
        <v>45921</v>
      </c>
      <c r="AN2825" s="1" t="s">
        <v>465</v>
      </c>
      <c r="AO2825" s="1" t="s">
        <v>845</v>
      </c>
      <c r="AP2825" s="1" t="s">
        <v>632</v>
      </c>
      <c r="AQ2825" s="1">
        <v>70.4</v>
      </c>
      <c r="AR2825" s="1"/>
      <c r="AS2825" s="1"/>
      <c r="AT2825" s="1"/>
      <c r="AU2825" s="1"/>
      <c r="AV2825" s="1"/>
      <c r="AW2825" s="1"/>
      <c r="AX2825" s="1"/>
      <c r="AY2825" s="1" t="s">
        <v>14401</v>
      </c>
      <c r="AZ2825" s="1" t="s">
        <v>45922</v>
      </c>
      <c r="BA2825" s="1" t="s">
        <v>466</v>
      </c>
      <c r="BB2825" s="1" t="s">
        <v>467</v>
      </c>
      <c r="BC2825" s="1" t="s">
        <v>289</v>
      </c>
      <c r="BD2825" s="1" t="s">
        <v>9688</v>
      </c>
      <c r="BE2825" s="1">
        <v>72</v>
      </c>
      <c r="BF2825" s="1">
        <v>6.94</v>
      </c>
      <c r="BG2825" s="1"/>
      <c r="BH2825" s="1"/>
      <c r="BI2825" s="1"/>
      <c r="BJ2825" s="1"/>
      <c r="BK2825" s="1"/>
      <c r="BL2825" s="1"/>
      <c r="BM2825" s="1"/>
      <c r="BN2825" s="1"/>
      <c r="BO2825" s="1" t="s">
        <v>45923</v>
      </c>
      <c r="BP2825" s="1"/>
      <c r="BQ2825" s="1"/>
      <c r="BR2825" s="1" t="s">
        <v>45924</v>
      </c>
      <c r="BS2825" s="1">
        <v>70</v>
      </c>
      <c r="BT2825" s="1"/>
      <c r="BU2825" s="1" t="str">
        <f>HYPERLINK("https://nconnect.nicmar.ac.in/storage/profile/6a85cd659248e.png","Download")</f>
        <v>0</v>
      </c>
      <c r="BV2825" s="3"/>
      <c r="BW2825" s="3"/>
    </row>
    <row r="2826" spans="1:75">
      <c r="A2826" s="1" t="s">
        <v>40863</v>
      </c>
      <c r="B2826" s="1" t="s">
        <v>13976</v>
      </c>
      <c r="C2826" s="1" t="s">
        <v>45925</v>
      </c>
      <c r="D2826" s="1" t="s">
        <v>45926</v>
      </c>
      <c r="E2826" s="1" t="s">
        <v>45927</v>
      </c>
      <c r="F2826" s="1" t="s">
        <v>27655</v>
      </c>
      <c r="G2826" s="1" t="s">
        <v>45928</v>
      </c>
      <c r="H2826" s="1" t="s">
        <v>45929</v>
      </c>
      <c r="I2826" s="1" t="s">
        <v>45930</v>
      </c>
      <c r="J2826" s="1">
        <v>7447864555</v>
      </c>
      <c r="K2826" s="1" t="s">
        <v>84</v>
      </c>
      <c r="L2826" s="1" t="s">
        <v>24283</v>
      </c>
      <c r="M2826" s="1" t="s">
        <v>86</v>
      </c>
      <c r="N2826" s="1" t="s">
        <v>45931</v>
      </c>
      <c r="O2826" s="1" t="s">
        <v>45932</v>
      </c>
      <c r="P2826" s="1" t="s">
        <v>356</v>
      </c>
      <c r="Q2826" s="1">
        <v>508692099942</v>
      </c>
      <c r="R2826" s="1" t="s">
        <v>27655</v>
      </c>
      <c r="S2826" s="1">
        <v>7588419633</v>
      </c>
      <c r="T2826" s="1" t="s">
        <v>125</v>
      </c>
      <c r="U2826" s="1" t="s">
        <v>45933</v>
      </c>
      <c r="V2826" s="1">
        <v>8951459758</v>
      </c>
      <c r="W2826" s="1" t="s">
        <v>161</v>
      </c>
      <c r="X2826" s="1" t="s">
        <v>45934</v>
      </c>
      <c r="Y2826" s="1" t="s">
        <v>1033</v>
      </c>
      <c r="Z2826" s="1" t="s">
        <v>97</v>
      </c>
      <c r="AA2826" s="1" t="s">
        <v>45934</v>
      </c>
      <c r="AB2826" s="1" t="s">
        <v>1033</v>
      </c>
      <c r="AC2826" s="1" t="s">
        <v>97</v>
      </c>
      <c r="AD2826" s="1" t="s">
        <v>98</v>
      </c>
      <c r="AE2826" s="1" t="s">
        <v>98</v>
      </c>
      <c r="AF2826" s="1" t="s">
        <v>45935</v>
      </c>
      <c r="AG2826" s="1" t="s">
        <v>16008</v>
      </c>
      <c r="AH2826" s="1" t="s">
        <v>490</v>
      </c>
      <c r="AI2826" s="1" t="s">
        <v>414</v>
      </c>
      <c r="AJ2826" s="1">
        <v>82.4</v>
      </c>
      <c r="AK2826" s="1"/>
      <c r="AL2826" s="1" t="s">
        <v>45936</v>
      </c>
      <c r="AM2826" s="1" t="s">
        <v>16008</v>
      </c>
      <c r="AN2826" s="1" t="s">
        <v>575</v>
      </c>
      <c r="AO2826" s="1" t="s">
        <v>547</v>
      </c>
      <c r="AP2826" s="1" t="s">
        <v>1192</v>
      </c>
      <c r="AQ2826" s="1">
        <v>91.33</v>
      </c>
      <c r="AR2826" s="1"/>
      <c r="AS2826" s="1"/>
      <c r="AT2826" s="1"/>
      <c r="AU2826" s="1"/>
      <c r="AV2826" s="1"/>
      <c r="AW2826" s="1"/>
      <c r="AX2826" s="1"/>
      <c r="AY2826" s="1" t="s">
        <v>13994</v>
      </c>
      <c r="AZ2826" s="1" t="s">
        <v>40108</v>
      </c>
      <c r="BA2826" s="1" t="s">
        <v>466</v>
      </c>
      <c r="BB2826" s="1" t="s">
        <v>467</v>
      </c>
      <c r="BC2826" s="1" t="s">
        <v>549</v>
      </c>
      <c r="BD2826" s="1" t="s">
        <v>848</v>
      </c>
      <c r="BE2826" s="1">
        <v>57.4</v>
      </c>
      <c r="BF2826" s="1">
        <v>6.24</v>
      </c>
      <c r="BG2826" s="1"/>
      <c r="BH2826" s="1"/>
      <c r="BI2826" s="1"/>
      <c r="BJ2826" s="1"/>
      <c r="BK2826" s="1"/>
      <c r="BL2826" s="1"/>
      <c r="BM2826" s="1"/>
      <c r="BN2826" s="1"/>
      <c r="BO2826" s="1" t="s">
        <v>45937</v>
      </c>
      <c r="BP2826" s="1"/>
      <c r="BQ2826" s="1"/>
      <c r="BR2826" s="1" t="s">
        <v>45938</v>
      </c>
      <c r="BS2826" s="1">
        <v>37</v>
      </c>
      <c r="BT2826" s="1"/>
      <c r="BU2826" s="1" t="str">
        <f>HYPERLINK("https://nconnect.nicmar.ac.in/storage/profile/6a870a01e201c.png","Download")</f>
        <v>0</v>
      </c>
      <c r="BV2826" s="3"/>
      <c r="BW2826" s="3"/>
    </row>
    <row r="2827" spans="1:75">
      <c r="A2827" s="1" t="s">
        <v>40863</v>
      </c>
      <c r="B2827" s="1" t="s">
        <v>13976</v>
      </c>
      <c r="C2827" s="1" t="s">
        <v>45939</v>
      </c>
      <c r="D2827" s="1" t="s">
        <v>22780</v>
      </c>
      <c r="E2827" s="1" t="s">
        <v>15067</v>
      </c>
      <c r="F2827" s="1" t="s">
        <v>25012</v>
      </c>
      <c r="G2827" s="1" t="s">
        <v>45940</v>
      </c>
      <c r="H2827" s="1" t="s">
        <v>45941</v>
      </c>
      <c r="I2827" s="1" t="s">
        <v>45942</v>
      </c>
      <c r="J2827" s="1">
        <v>9373005636</v>
      </c>
      <c r="K2827" s="1" t="s">
        <v>84</v>
      </c>
      <c r="L2827" s="1" t="s">
        <v>14169</v>
      </c>
      <c r="M2827" s="1" t="s">
        <v>86</v>
      </c>
      <c r="N2827" s="1" t="s">
        <v>17192</v>
      </c>
      <c r="O2827" s="1" t="s">
        <v>45943</v>
      </c>
      <c r="P2827" s="1" t="s">
        <v>122</v>
      </c>
      <c r="Q2827" s="1">
        <v>225293553575</v>
      </c>
      <c r="R2827" s="1" t="s">
        <v>45944</v>
      </c>
      <c r="S2827" s="1">
        <v>7066096115</v>
      </c>
      <c r="T2827" s="1" t="s">
        <v>45945</v>
      </c>
      <c r="U2827" s="1" t="s">
        <v>45946</v>
      </c>
      <c r="V2827" s="1">
        <v>9545774246</v>
      </c>
      <c r="W2827" s="1" t="s">
        <v>10306</v>
      </c>
      <c r="X2827" s="1" t="s">
        <v>45947</v>
      </c>
      <c r="Y2827" s="1" t="s">
        <v>224</v>
      </c>
      <c r="Z2827" s="1" t="s">
        <v>97</v>
      </c>
      <c r="AA2827" s="1" t="s">
        <v>45947</v>
      </c>
      <c r="AB2827" s="1" t="s">
        <v>224</v>
      </c>
      <c r="AC2827" s="1" t="s">
        <v>97</v>
      </c>
      <c r="AD2827" s="1" t="s">
        <v>98</v>
      </c>
      <c r="AE2827" s="1" t="s">
        <v>98</v>
      </c>
      <c r="AF2827" s="1" t="s">
        <v>20681</v>
      </c>
      <c r="AG2827" s="1" t="s">
        <v>45948</v>
      </c>
      <c r="AH2827" s="1" t="s">
        <v>414</v>
      </c>
      <c r="AI2827" s="1" t="s">
        <v>417</v>
      </c>
      <c r="AJ2827" s="1">
        <v>54.8</v>
      </c>
      <c r="AK2827" s="1"/>
      <c r="AL2827" s="1" t="s">
        <v>45949</v>
      </c>
      <c r="AM2827" s="1" t="s">
        <v>45950</v>
      </c>
      <c r="AN2827" s="1" t="s">
        <v>2995</v>
      </c>
      <c r="AO2827" s="1" t="s">
        <v>1192</v>
      </c>
      <c r="AP2827" s="1" t="s">
        <v>1886</v>
      </c>
      <c r="AQ2827" s="1">
        <v>72.1</v>
      </c>
      <c r="AR2827" s="1"/>
      <c r="AS2827" s="1"/>
      <c r="AT2827" s="1"/>
      <c r="AU2827" s="1"/>
      <c r="AV2827" s="1"/>
      <c r="AW2827" s="1"/>
      <c r="AX2827" s="1"/>
      <c r="AY2827" s="1" t="s">
        <v>45951</v>
      </c>
      <c r="AZ2827" s="1" t="s">
        <v>45952</v>
      </c>
      <c r="BA2827" s="1" t="s">
        <v>37920</v>
      </c>
      <c r="BB2827" s="1" t="s">
        <v>16204</v>
      </c>
      <c r="BC2827" s="1" t="s">
        <v>1889</v>
      </c>
      <c r="BD2827" s="1" t="s">
        <v>14083</v>
      </c>
      <c r="BE2827" s="1">
        <v>71</v>
      </c>
      <c r="BF2827" s="1">
        <v>7.1</v>
      </c>
      <c r="BG2827" s="1"/>
      <c r="BH2827" s="1"/>
      <c r="BI2827" s="1"/>
      <c r="BJ2827" s="1"/>
      <c r="BK2827" s="1"/>
      <c r="BL2827" s="1"/>
      <c r="BM2827" s="1"/>
      <c r="BN2827" s="1"/>
      <c r="BO2827" s="1" t="s">
        <v>45953</v>
      </c>
      <c r="BP2827" s="1"/>
      <c r="BQ2827" s="1"/>
      <c r="BR2827" s="1" t="s">
        <v>45954</v>
      </c>
      <c r="BS2827" s="1">
        <v>11</v>
      </c>
      <c r="BT2827" s="1" t="s">
        <v>45955</v>
      </c>
      <c r="BU2827" s="1" t="str">
        <f>HYPERLINK("https://nconnect.nicmar.ac.in/storage/profile/6a85d51dae7ba.png","Download")</f>
        <v>0</v>
      </c>
      <c r="BV2827" s="3"/>
      <c r="BW2827" s="3"/>
    </row>
    <row r="2828" spans="1:75">
      <c r="A2828" s="1" t="s">
        <v>40863</v>
      </c>
      <c r="B2828" s="1" t="s">
        <v>13976</v>
      </c>
      <c r="C2828" s="1" t="s">
        <v>45956</v>
      </c>
      <c r="D2828" s="1" t="s">
        <v>45957</v>
      </c>
      <c r="E2828" s="1"/>
      <c r="F2828" s="1" t="s">
        <v>22716</v>
      </c>
      <c r="G2828" s="1" t="s">
        <v>45958</v>
      </c>
      <c r="H2828" s="1" t="s">
        <v>45959</v>
      </c>
      <c r="I2828" s="1" t="s">
        <v>45959</v>
      </c>
      <c r="J2828" s="1">
        <v>9363069731</v>
      </c>
      <c r="K2828" s="1" t="s">
        <v>153</v>
      </c>
      <c r="L2828" s="1" t="s">
        <v>45960</v>
      </c>
      <c r="M2828" s="1" t="s">
        <v>86</v>
      </c>
      <c r="N2828" s="1" t="s">
        <v>45961</v>
      </c>
      <c r="O2828" s="1" t="s">
        <v>45962</v>
      </c>
      <c r="P2828" s="1" t="s">
        <v>1693</v>
      </c>
      <c r="Q2828" s="1">
        <v>695877478836</v>
      </c>
      <c r="R2828" s="1" t="s">
        <v>45963</v>
      </c>
      <c r="S2828" s="1">
        <v>9840231605</v>
      </c>
      <c r="T2828" s="1" t="s">
        <v>45964</v>
      </c>
      <c r="U2828" s="1" t="s">
        <v>45965</v>
      </c>
      <c r="V2828" s="1">
        <v>8637441048</v>
      </c>
      <c r="W2828" s="1" t="s">
        <v>14821</v>
      </c>
      <c r="X2828" s="1" t="s">
        <v>45966</v>
      </c>
      <c r="Y2828" s="1" t="s">
        <v>1498</v>
      </c>
      <c r="Z2828" s="1" t="s">
        <v>570</v>
      </c>
      <c r="AA2828" s="1" t="s">
        <v>45967</v>
      </c>
      <c r="AB2828" s="1" t="s">
        <v>196</v>
      </c>
      <c r="AC2828" s="1" t="s">
        <v>97</v>
      </c>
      <c r="AD2828" s="1" t="s">
        <v>98</v>
      </c>
      <c r="AE2828" s="1" t="s">
        <v>98</v>
      </c>
      <c r="AF2828" s="1" t="s">
        <v>45968</v>
      </c>
      <c r="AG2828" s="1" t="s">
        <v>39824</v>
      </c>
      <c r="AH2828" s="1" t="s">
        <v>171</v>
      </c>
      <c r="AI2828" s="1" t="s">
        <v>313</v>
      </c>
      <c r="AJ2828" s="1">
        <v>89.8</v>
      </c>
      <c r="AK2828" s="1"/>
      <c r="AL2828" s="1" t="s">
        <v>45968</v>
      </c>
      <c r="AM2828" s="1" t="s">
        <v>39824</v>
      </c>
      <c r="AN2828" s="1" t="s">
        <v>575</v>
      </c>
      <c r="AO2828" s="1" t="s">
        <v>417</v>
      </c>
      <c r="AP2828" s="1" t="s">
        <v>549</v>
      </c>
      <c r="AQ2828" s="1">
        <v>91</v>
      </c>
      <c r="AR2828" s="1"/>
      <c r="AS2828" s="1"/>
      <c r="AT2828" s="1"/>
      <c r="AU2828" s="1"/>
      <c r="AV2828" s="1"/>
      <c r="AW2828" s="1"/>
      <c r="AX2828" s="1"/>
      <c r="AY2828" s="1" t="s">
        <v>14303</v>
      </c>
      <c r="AZ2828" s="1" t="s">
        <v>45969</v>
      </c>
      <c r="BA2828" s="1" t="s">
        <v>578</v>
      </c>
      <c r="BB2828" s="1" t="s">
        <v>467</v>
      </c>
      <c r="BC2828" s="1" t="s">
        <v>606</v>
      </c>
      <c r="BD2828" s="1" t="s">
        <v>553</v>
      </c>
      <c r="BE2828" s="1">
        <v>0</v>
      </c>
      <c r="BF2828" s="1">
        <v>8.58</v>
      </c>
      <c r="BG2828" s="1"/>
      <c r="BH2828" s="1"/>
      <c r="BI2828" s="1"/>
      <c r="BJ2828" s="1"/>
      <c r="BK2828" s="1"/>
      <c r="BL2828" s="1"/>
      <c r="BM2828" s="1"/>
      <c r="BN2828" s="1"/>
      <c r="BO2828" s="1" t="s">
        <v>24493</v>
      </c>
      <c r="BP2828" s="1"/>
      <c r="BQ2828" s="1"/>
      <c r="BR2828" s="1" t="s">
        <v>45970</v>
      </c>
      <c r="BS2828" s="1">
        <v>20</v>
      </c>
      <c r="BT2828" s="1"/>
      <c r="BU2828" s="1" t="str">
        <f>HYPERLINK("https://nconnect.nicmar.ac.in/storage/profile/6a85e5aa695bd.png","Download")</f>
        <v>0</v>
      </c>
      <c r="BV2828" s="3"/>
      <c r="BW2828" s="3"/>
    </row>
    <row r="2829" spans="1:75">
      <c r="A2829" s="1" t="s">
        <v>40863</v>
      </c>
      <c r="B2829" s="1" t="s">
        <v>13976</v>
      </c>
      <c r="C2829" s="1" t="s">
        <v>45971</v>
      </c>
      <c r="D2829" s="1" t="s">
        <v>20169</v>
      </c>
      <c r="E2829" s="1" t="s">
        <v>15159</v>
      </c>
      <c r="F2829" s="1" t="s">
        <v>45972</v>
      </c>
      <c r="G2829" s="1" t="s">
        <v>45973</v>
      </c>
      <c r="H2829" s="1" t="s">
        <v>45974</v>
      </c>
      <c r="I2829" s="1" t="s">
        <v>45974</v>
      </c>
      <c r="J2829" s="1">
        <v>8200556861</v>
      </c>
      <c r="K2829" s="1" t="s">
        <v>84</v>
      </c>
      <c r="L2829" s="1" t="s">
        <v>45975</v>
      </c>
      <c r="M2829" s="1" t="s">
        <v>86</v>
      </c>
      <c r="N2829" s="1" t="s">
        <v>45976</v>
      </c>
      <c r="O2829" s="1" t="s">
        <v>45977</v>
      </c>
      <c r="P2829" s="1" t="s">
        <v>89</v>
      </c>
      <c r="Q2829" s="1">
        <v>336272419131</v>
      </c>
      <c r="R2829" s="1" t="s">
        <v>45978</v>
      </c>
      <c r="S2829" s="1">
        <v>9879283485</v>
      </c>
      <c r="T2829" s="1" t="s">
        <v>45979</v>
      </c>
      <c r="U2829" s="1" t="s">
        <v>45980</v>
      </c>
      <c r="V2829" s="1">
        <v>9427127418</v>
      </c>
      <c r="W2829" s="1" t="s">
        <v>45981</v>
      </c>
      <c r="X2829" s="1" t="s">
        <v>45982</v>
      </c>
      <c r="Y2829" s="1" t="s">
        <v>2880</v>
      </c>
      <c r="Z2829" s="1" t="s">
        <v>676</v>
      </c>
      <c r="AA2829" s="1" t="s">
        <v>45983</v>
      </c>
      <c r="AB2829" s="1" t="s">
        <v>21559</v>
      </c>
      <c r="AC2829" s="1" t="s">
        <v>676</v>
      </c>
      <c r="AD2829" s="1" t="s">
        <v>98</v>
      </c>
      <c r="AE2829" s="1" t="s">
        <v>98</v>
      </c>
      <c r="AF2829" s="1" t="s">
        <v>45984</v>
      </c>
      <c r="AG2829" s="1" t="s">
        <v>45985</v>
      </c>
      <c r="AH2829" s="1" t="s">
        <v>468</v>
      </c>
      <c r="AI2829" s="1" t="s">
        <v>845</v>
      </c>
      <c r="AJ2829" s="1">
        <v>51.1</v>
      </c>
      <c r="AK2829" s="1">
        <v>5.11</v>
      </c>
      <c r="AL2829" s="1" t="s">
        <v>45984</v>
      </c>
      <c r="AM2829" s="1" t="s">
        <v>45985</v>
      </c>
      <c r="AN2829" s="1" t="s">
        <v>38005</v>
      </c>
      <c r="AO2829" s="1" t="s">
        <v>289</v>
      </c>
      <c r="AP2829" s="1" t="s">
        <v>10037</v>
      </c>
      <c r="AQ2829" s="1">
        <v>67.73</v>
      </c>
      <c r="AR2829" s="1">
        <v>6.77</v>
      </c>
      <c r="AS2829" s="1"/>
      <c r="AT2829" s="1"/>
      <c r="AU2829" s="1"/>
      <c r="AV2829" s="1"/>
      <c r="AW2829" s="1"/>
      <c r="AX2829" s="1"/>
      <c r="AY2829" s="1" t="s">
        <v>45986</v>
      </c>
      <c r="AZ2829" s="1" t="s">
        <v>45987</v>
      </c>
      <c r="BA2829" s="1" t="s">
        <v>38008</v>
      </c>
      <c r="BB2829" s="1" t="s">
        <v>1062</v>
      </c>
      <c r="BC2829" s="1" t="s">
        <v>391</v>
      </c>
      <c r="BD2829" s="1" t="s">
        <v>9688</v>
      </c>
      <c r="BE2829" s="1">
        <v>72</v>
      </c>
      <c r="BF2829" s="1">
        <v>7.58</v>
      </c>
      <c r="BG2829" s="1"/>
      <c r="BH2829" s="1"/>
      <c r="BI2829" s="1"/>
      <c r="BJ2829" s="1"/>
      <c r="BK2829" s="1"/>
      <c r="BL2829" s="1"/>
      <c r="BM2829" s="1"/>
      <c r="BN2829" s="1"/>
      <c r="BO2829" s="1" t="s">
        <v>45988</v>
      </c>
      <c r="BP2829" s="1"/>
      <c r="BQ2829" s="1"/>
      <c r="BR2829" s="1"/>
      <c r="BS2829" s="1"/>
      <c r="BT2829" s="1"/>
      <c r="BU2829" s="1" t="str">
        <f>HYPERLINK("https://nconnect.nicmar.ac.in/storage/profile/6a82b080e61e5.png","Download")</f>
        <v>0</v>
      </c>
      <c r="BV2829" s="3"/>
      <c r="BW2829" s="3"/>
    </row>
    <row r="2830" spans="1:75">
      <c r="A2830" s="1" t="s">
        <v>40863</v>
      </c>
      <c r="B2830" s="1" t="s">
        <v>13976</v>
      </c>
      <c r="C2830" s="1" t="s">
        <v>45989</v>
      </c>
      <c r="D2830" s="1" t="s">
        <v>16310</v>
      </c>
      <c r="E2830" s="1" t="s">
        <v>45990</v>
      </c>
      <c r="F2830" s="1" t="s">
        <v>45991</v>
      </c>
      <c r="G2830" s="1" t="s">
        <v>45992</v>
      </c>
      <c r="H2830" s="1" t="s">
        <v>45993</v>
      </c>
      <c r="I2830" s="1" t="s">
        <v>45994</v>
      </c>
      <c r="J2830" s="1">
        <v>9172694084</v>
      </c>
      <c r="K2830" s="1" t="s">
        <v>84</v>
      </c>
      <c r="L2830" s="1" t="s">
        <v>45995</v>
      </c>
      <c r="M2830" s="1" t="s">
        <v>86</v>
      </c>
      <c r="N2830" s="1" t="s">
        <v>17192</v>
      </c>
      <c r="O2830" s="1" t="s">
        <v>45996</v>
      </c>
      <c r="P2830" s="1" t="s">
        <v>122</v>
      </c>
      <c r="Q2830" s="1">
        <v>593028137483</v>
      </c>
      <c r="R2830" s="1" t="s">
        <v>45997</v>
      </c>
      <c r="S2830" s="1">
        <v>9822704811</v>
      </c>
      <c r="T2830" s="1" t="s">
        <v>16425</v>
      </c>
      <c r="U2830" s="1" t="s">
        <v>45998</v>
      </c>
      <c r="V2830" s="1">
        <v>9822704811</v>
      </c>
      <c r="W2830" s="1" t="s">
        <v>14154</v>
      </c>
      <c r="X2830" s="1" t="s">
        <v>45999</v>
      </c>
      <c r="Y2830" s="1" t="s">
        <v>1779</v>
      </c>
      <c r="Z2830" s="1" t="s">
        <v>97</v>
      </c>
      <c r="AA2830" s="1" t="s">
        <v>45999</v>
      </c>
      <c r="AB2830" s="1" t="s">
        <v>1779</v>
      </c>
      <c r="AC2830" s="1" t="s">
        <v>97</v>
      </c>
      <c r="AD2830" s="1" t="s">
        <v>98</v>
      </c>
      <c r="AE2830" s="1" t="s">
        <v>98</v>
      </c>
      <c r="AF2830" s="1" t="s">
        <v>46000</v>
      </c>
      <c r="AG2830" s="1" t="s">
        <v>46001</v>
      </c>
      <c r="AH2830" s="1" t="s">
        <v>170</v>
      </c>
      <c r="AI2830" s="1" t="s">
        <v>286</v>
      </c>
      <c r="AJ2830" s="1">
        <v>85.6</v>
      </c>
      <c r="AK2830" s="1"/>
      <c r="AL2830" s="1" t="s">
        <v>46002</v>
      </c>
      <c r="AM2830" s="1" t="s">
        <v>46001</v>
      </c>
      <c r="AN2830" s="1" t="s">
        <v>575</v>
      </c>
      <c r="AO2830" s="1" t="s">
        <v>438</v>
      </c>
      <c r="AP2830" s="1" t="s">
        <v>417</v>
      </c>
      <c r="AQ2830" s="1">
        <v>66.15</v>
      </c>
      <c r="AR2830" s="1"/>
      <c r="AS2830" s="1"/>
      <c r="AT2830" s="1"/>
      <c r="AU2830" s="1"/>
      <c r="AV2830" s="1"/>
      <c r="AW2830" s="1"/>
      <c r="AX2830" s="1"/>
      <c r="AY2830" s="1" t="s">
        <v>46003</v>
      </c>
      <c r="AZ2830" s="1" t="s">
        <v>46004</v>
      </c>
      <c r="BA2830" s="1" t="s">
        <v>466</v>
      </c>
      <c r="BB2830" s="1" t="s">
        <v>16204</v>
      </c>
      <c r="BC2830" s="1" t="s">
        <v>233</v>
      </c>
      <c r="BD2830" s="1" t="s">
        <v>1089</v>
      </c>
      <c r="BE2830" s="1">
        <v>73.1</v>
      </c>
      <c r="BF2830" s="1">
        <v>7.31</v>
      </c>
      <c r="BG2830" s="1"/>
      <c r="BH2830" s="1"/>
      <c r="BI2830" s="1"/>
      <c r="BJ2830" s="1"/>
      <c r="BK2830" s="1"/>
      <c r="BL2830" s="1"/>
      <c r="BM2830" s="1"/>
      <c r="BN2830" s="1"/>
      <c r="BO2830" s="1" t="s">
        <v>19065</v>
      </c>
      <c r="BP2830" s="1" t="s">
        <v>46005</v>
      </c>
      <c r="BQ2830" s="1" t="s">
        <v>2116</v>
      </c>
      <c r="BR2830" s="1" t="s">
        <v>46006</v>
      </c>
      <c r="BS2830" s="1">
        <v>28</v>
      </c>
      <c r="BT2830" s="1"/>
      <c r="BU2830" s="1" t="str">
        <f>HYPERLINK("https://nconnect.nicmar.ac.in/storage/profile/6a85633d0ba29.png","Download")</f>
        <v>0</v>
      </c>
      <c r="BV2830" s="3"/>
      <c r="BW2830" s="3"/>
    </row>
    <row r="2831" spans="1:75">
      <c r="A2831" s="1" t="s">
        <v>40673</v>
      </c>
      <c r="B2831" s="1" t="s">
        <v>13976</v>
      </c>
      <c r="C2831" s="1" t="s">
        <v>46007</v>
      </c>
      <c r="D2831" s="1" t="s">
        <v>46008</v>
      </c>
      <c r="E2831" s="1"/>
      <c r="F2831" s="1" t="s">
        <v>812</v>
      </c>
      <c r="G2831" s="1" t="s">
        <v>46009</v>
      </c>
      <c r="H2831" s="1" t="s">
        <v>46010</v>
      </c>
      <c r="I2831" s="1" t="s">
        <v>46011</v>
      </c>
      <c r="J2831" s="1">
        <v>8105635434</v>
      </c>
      <c r="K2831" s="1" t="s">
        <v>84</v>
      </c>
      <c r="L2831" s="1" t="s">
        <v>36715</v>
      </c>
      <c r="M2831" s="1" t="s">
        <v>86</v>
      </c>
      <c r="N2831" s="1" t="s">
        <v>46012</v>
      </c>
      <c r="O2831" s="1" t="s">
        <v>46013</v>
      </c>
      <c r="P2831" s="1" t="s">
        <v>219</v>
      </c>
      <c r="Q2831" s="1">
        <v>649290080902</v>
      </c>
      <c r="R2831" s="1" t="s">
        <v>46014</v>
      </c>
      <c r="S2831" s="1">
        <v>9900725737</v>
      </c>
      <c r="T2831" s="1" t="s">
        <v>46015</v>
      </c>
      <c r="U2831" s="1" t="s">
        <v>46016</v>
      </c>
      <c r="V2831" s="1">
        <v>7760037673</v>
      </c>
      <c r="W2831" s="1" t="s">
        <v>14032</v>
      </c>
      <c r="X2831" s="1" t="s">
        <v>46017</v>
      </c>
      <c r="Y2831" s="1" t="s">
        <v>3132</v>
      </c>
      <c r="Z2831" s="1" t="s">
        <v>1210</v>
      </c>
      <c r="AA2831" s="1" t="s">
        <v>46017</v>
      </c>
      <c r="AB2831" s="1" t="s">
        <v>3132</v>
      </c>
      <c r="AC2831" s="1" t="s">
        <v>1210</v>
      </c>
      <c r="AD2831" s="1" t="s">
        <v>98</v>
      </c>
      <c r="AE2831" s="1" t="s">
        <v>98</v>
      </c>
      <c r="AF2831" s="1" t="s">
        <v>46018</v>
      </c>
      <c r="AG2831" s="1" t="s">
        <v>46019</v>
      </c>
      <c r="AH2831" s="1" t="s">
        <v>704</v>
      </c>
      <c r="AI2831" s="1" t="s">
        <v>490</v>
      </c>
      <c r="AJ2831" s="1">
        <v>76.96</v>
      </c>
      <c r="AK2831" s="1"/>
      <c r="AL2831" s="1" t="s">
        <v>35546</v>
      </c>
      <c r="AM2831" s="1" t="s">
        <v>46020</v>
      </c>
      <c r="AN2831" s="1" t="s">
        <v>575</v>
      </c>
      <c r="AO2831" s="1" t="s">
        <v>414</v>
      </c>
      <c r="AP2831" s="1" t="s">
        <v>603</v>
      </c>
      <c r="AQ2831" s="1">
        <v>79.17</v>
      </c>
      <c r="AR2831" s="1"/>
      <c r="AS2831" s="1"/>
      <c r="AT2831" s="1"/>
      <c r="AU2831" s="1"/>
      <c r="AV2831" s="1"/>
      <c r="AW2831" s="1"/>
      <c r="AX2831" s="1"/>
      <c r="AY2831" s="1" t="s">
        <v>8132</v>
      </c>
      <c r="AZ2831" s="1" t="s">
        <v>46021</v>
      </c>
      <c r="BA2831" s="1" t="s">
        <v>578</v>
      </c>
      <c r="BB2831" s="1" t="s">
        <v>467</v>
      </c>
      <c r="BC2831" s="1" t="s">
        <v>871</v>
      </c>
      <c r="BD2831" s="1" t="s">
        <v>45311</v>
      </c>
      <c r="BE2831" s="1">
        <v>63.6</v>
      </c>
      <c r="BF2831" s="1">
        <v>6.36</v>
      </c>
      <c r="BG2831" s="1"/>
      <c r="BH2831" s="1"/>
      <c r="BI2831" s="1"/>
      <c r="BJ2831" s="1"/>
      <c r="BK2831" s="1"/>
      <c r="BL2831" s="1"/>
      <c r="BM2831" s="1"/>
      <c r="BN2831" s="1"/>
      <c r="BO2831" s="1" t="s">
        <v>46022</v>
      </c>
      <c r="BP2831" s="1"/>
      <c r="BQ2831" s="1"/>
      <c r="BR2831" s="1" t="s">
        <v>46023</v>
      </c>
      <c r="BS2831" s="1">
        <v>4</v>
      </c>
      <c r="BT2831" s="1"/>
      <c r="BU2831" s="1" t="str">
        <f>HYPERLINK("https://nconnect.nicmar.ac.in/storage/profile/6a859d3eb9c37.png","Download")</f>
        <v>0</v>
      </c>
      <c r="BV2831" s="3"/>
      <c r="BW2831" s="3"/>
    </row>
    <row r="2832" spans="1:75">
      <c r="A2832" s="1" t="s">
        <v>40673</v>
      </c>
      <c r="B2832" s="1" t="s">
        <v>13976</v>
      </c>
      <c r="C2832" s="1" t="s">
        <v>46024</v>
      </c>
      <c r="D2832" s="1" t="s">
        <v>46025</v>
      </c>
      <c r="E2832" s="1" t="s">
        <v>46026</v>
      </c>
      <c r="F2832" s="1" t="s">
        <v>17016</v>
      </c>
      <c r="G2832" s="1" t="s">
        <v>46027</v>
      </c>
      <c r="H2832" s="1" t="s">
        <v>46028</v>
      </c>
      <c r="I2832" s="1" t="s">
        <v>46028</v>
      </c>
      <c r="J2832" s="1">
        <v>7021637171</v>
      </c>
      <c r="K2832" s="1" t="s">
        <v>84</v>
      </c>
      <c r="L2832" s="1" t="s">
        <v>45665</v>
      </c>
      <c r="M2832" s="1" t="s">
        <v>86</v>
      </c>
      <c r="N2832" s="1" t="s">
        <v>355</v>
      </c>
      <c r="O2832" s="1" t="s">
        <v>46029</v>
      </c>
      <c r="P2832" s="1" t="s">
        <v>219</v>
      </c>
      <c r="Q2832" s="1">
        <v>622475675271</v>
      </c>
      <c r="R2832" s="1" t="s">
        <v>46030</v>
      </c>
      <c r="S2832" s="1">
        <v>9820563517</v>
      </c>
      <c r="T2832" s="1" t="s">
        <v>16891</v>
      </c>
      <c r="U2832" s="1" t="s">
        <v>46031</v>
      </c>
      <c r="V2832" s="1">
        <v>7021633838</v>
      </c>
      <c r="W2832" s="1" t="s">
        <v>278</v>
      </c>
      <c r="X2832" s="1" t="s">
        <v>46032</v>
      </c>
      <c r="Y2832" s="1" t="s">
        <v>1882</v>
      </c>
      <c r="Z2832" s="1" t="s">
        <v>97</v>
      </c>
      <c r="AA2832" s="1" t="s">
        <v>46032</v>
      </c>
      <c r="AB2832" s="1" t="s">
        <v>1882</v>
      </c>
      <c r="AC2832" s="1" t="s">
        <v>97</v>
      </c>
      <c r="AD2832" s="1" t="s">
        <v>98</v>
      </c>
      <c r="AE2832" s="1" t="s">
        <v>98</v>
      </c>
      <c r="AF2832" s="1"/>
      <c r="AG2832" s="1"/>
      <c r="AH2832" s="1"/>
      <c r="AI2832" s="1"/>
      <c r="AJ2832" s="1"/>
      <c r="AK2832" s="1"/>
      <c r="AL2832" s="1"/>
      <c r="AM2832" s="1"/>
      <c r="AN2832" s="1"/>
      <c r="AO2832" s="1"/>
      <c r="AP2832" s="1"/>
      <c r="AQ2832" s="1"/>
      <c r="AR2832" s="1"/>
      <c r="AS2832" s="1"/>
      <c r="AT2832" s="1"/>
      <c r="AU2832" s="1"/>
      <c r="AV2832" s="1"/>
      <c r="AW2832" s="1"/>
      <c r="AX2832" s="1"/>
      <c r="AY2832" s="1"/>
      <c r="AZ2832" s="1"/>
      <c r="BA2832" s="1"/>
      <c r="BB2832" s="1"/>
      <c r="BC2832" s="1"/>
      <c r="BD2832" s="1"/>
      <c r="BE2832" s="1"/>
      <c r="BF2832" s="1"/>
      <c r="BG2832" s="1"/>
      <c r="BH2832" s="1"/>
      <c r="BI2832" s="1"/>
      <c r="BJ2832" s="1"/>
      <c r="BK2832" s="1"/>
      <c r="BL2832" s="1"/>
      <c r="BM2832" s="1"/>
      <c r="BN2832" s="1"/>
      <c r="BO2832" s="1"/>
      <c r="BP2832" s="1"/>
      <c r="BQ2832" s="1"/>
      <c r="BR2832" s="1"/>
      <c r="BS2832" s="1"/>
      <c r="BT2832" s="1"/>
      <c r="BU2832" s="1" t="str">
        <f>HYPERLINK("https://nconnect.nicmar.ac.in/storage/profile/6a7f2e8348ded.png","Download")</f>
        <v>0</v>
      </c>
      <c r="BV2832" s="3"/>
      <c r="BW2832" s="3"/>
    </row>
    <row r="2833" spans="1:75">
      <c r="A2833" s="1" t="s">
        <v>40673</v>
      </c>
      <c r="B2833" s="1" t="s">
        <v>13976</v>
      </c>
      <c r="C2833" s="1" t="s">
        <v>46033</v>
      </c>
      <c r="D2833" s="1" t="s">
        <v>638</v>
      </c>
      <c r="E2833" s="1" t="s">
        <v>4310</v>
      </c>
      <c r="F2833" s="1" t="s">
        <v>350</v>
      </c>
      <c r="G2833" s="1" t="s">
        <v>46034</v>
      </c>
      <c r="H2833" s="1" t="s">
        <v>46035</v>
      </c>
      <c r="I2833" s="1" t="s">
        <v>46036</v>
      </c>
      <c r="J2833" s="1">
        <v>7499815121</v>
      </c>
      <c r="K2833" s="1" t="s">
        <v>84</v>
      </c>
      <c r="L2833" s="1" t="s">
        <v>46037</v>
      </c>
      <c r="M2833" s="1" t="s">
        <v>86</v>
      </c>
      <c r="N2833" s="1" t="s">
        <v>903</v>
      </c>
      <c r="O2833" s="1" t="s">
        <v>46038</v>
      </c>
      <c r="P2833" s="1" t="s">
        <v>219</v>
      </c>
      <c r="Q2833" s="1">
        <v>640470496598</v>
      </c>
      <c r="R2833" s="1" t="s">
        <v>46039</v>
      </c>
      <c r="S2833" s="1">
        <v>6005762023</v>
      </c>
      <c r="T2833" s="1" t="s">
        <v>46040</v>
      </c>
      <c r="U2833" s="1" t="s">
        <v>46041</v>
      </c>
      <c r="V2833" s="1">
        <v>9850423734</v>
      </c>
      <c r="W2833" s="1" t="s">
        <v>46040</v>
      </c>
      <c r="X2833" s="1" t="s">
        <v>46042</v>
      </c>
      <c r="Y2833" s="1" t="s">
        <v>410</v>
      </c>
      <c r="Z2833" s="1" t="s">
        <v>97</v>
      </c>
      <c r="AA2833" s="1" t="s">
        <v>46043</v>
      </c>
      <c r="AB2833" s="1" t="s">
        <v>410</v>
      </c>
      <c r="AC2833" s="1" t="s">
        <v>97</v>
      </c>
      <c r="AD2833" s="1" t="s">
        <v>98</v>
      </c>
      <c r="AE2833" s="1" t="s">
        <v>98</v>
      </c>
      <c r="AF2833" s="1" t="s">
        <v>46044</v>
      </c>
      <c r="AG2833" s="1" t="s">
        <v>46045</v>
      </c>
      <c r="AH2833" s="1" t="s">
        <v>167</v>
      </c>
      <c r="AI2833" s="1" t="s">
        <v>170</v>
      </c>
      <c r="AJ2833" s="1">
        <v>74.1</v>
      </c>
      <c r="AK2833" s="1">
        <v>7.8</v>
      </c>
      <c r="AL2833" s="1" t="s">
        <v>46044</v>
      </c>
      <c r="AM2833" s="1" t="s">
        <v>46045</v>
      </c>
      <c r="AN2833" s="1" t="s">
        <v>465</v>
      </c>
      <c r="AO2833" s="1" t="s">
        <v>106</v>
      </c>
      <c r="AP2833" s="1" t="s">
        <v>1647</v>
      </c>
      <c r="AQ2833" s="1">
        <v>62.6</v>
      </c>
      <c r="AR2833" s="1"/>
      <c r="AS2833" s="1"/>
      <c r="AT2833" s="1"/>
      <c r="AU2833" s="1"/>
      <c r="AV2833" s="1"/>
      <c r="AW2833" s="1"/>
      <c r="AX2833" s="1"/>
      <c r="AY2833" s="1" t="s">
        <v>14884</v>
      </c>
      <c r="AZ2833" s="1" t="s">
        <v>46046</v>
      </c>
      <c r="BA2833" s="1" t="s">
        <v>466</v>
      </c>
      <c r="BB2833" s="1" t="s">
        <v>467</v>
      </c>
      <c r="BC2833" s="1" t="s">
        <v>1040</v>
      </c>
      <c r="BD2833" s="1" t="s">
        <v>207</v>
      </c>
      <c r="BE2833" s="1">
        <v>76.8</v>
      </c>
      <c r="BF2833" s="1">
        <v>8.43</v>
      </c>
      <c r="BG2833" s="1"/>
      <c r="BH2833" s="1"/>
      <c r="BI2833" s="1"/>
      <c r="BJ2833" s="1"/>
      <c r="BK2833" s="1"/>
      <c r="BL2833" s="1"/>
      <c r="BM2833" s="1"/>
      <c r="BN2833" s="1"/>
      <c r="BO2833" s="1" t="s">
        <v>46047</v>
      </c>
      <c r="BP2833" s="1"/>
      <c r="BQ2833" s="1"/>
      <c r="BR2833" s="1" t="s">
        <v>46048</v>
      </c>
      <c r="BS2833" s="1">
        <v>25</v>
      </c>
      <c r="BT2833" s="1"/>
      <c r="BU2833" s="1" t="str">
        <f>HYPERLINK("https://nconnect.nicmar.ac.in/storage/profile/6a84280420f97.png","Download")</f>
        <v>0</v>
      </c>
      <c r="BV2833" s="3"/>
      <c r="BW2833" s="3"/>
    </row>
    <row r="2834" spans="1:75">
      <c r="A2834" s="1" t="s">
        <v>40673</v>
      </c>
      <c r="B2834" s="1" t="s">
        <v>13976</v>
      </c>
      <c r="C2834" s="1" t="s">
        <v>46049</v>
      </c>
      <c r="D2834" s="1" t="s">
        <v>46050</v>
      </c>
      <c r="E2834" s="1" t="s">
        <v>2405</v>
      </c>
      <c r="F2834" s="1" t="s">
        <v>13015</v>
      </c>
      <c r="G2834" s="1" t="s">
        <v>46051</v>
      </c>
      <c r="H2834" s="1" t="s">
        <v>46052</v>
      </c>
      <c r="I2834" s="1" t="s">
        <v>46053</v>
      </c>
      <c r="J2834" s="1">
        <v>7045876055</v>
      </c>
      <c r="K2834" s="1" t="s">
        <v>153</v>
      </c>
      <c r="L2834" s="1" t="s">
        <v>44932</v>
      </c>
      <c r="M2834" s="1" t="s">
        <v>86</v>
      </c>
      <c r="N2834" s="1" t="s">
        <v>46054</v>
      </c>
      <c r="O2834" s="1" t="s">
        <v>46055</v>
      </c>
      <c r="P2834" s="1" t="s">
        <v>89</v>
      </c>
      <c r="Q2834" s="1">
        <v>875686284513</v>
      </c>
      <c r="R2834" s="1" t="s">
        <v>2405</v>
      </c>
      <c r="S2834" s="1">
        <v>9821719988</v>
      </c>
      <c r="T2834" s="1" t="s">
        <v>645</v>
      </c>
      <c r="U2834" s="1" t="s">
        <v>10261</v>
      </c>
      <c r="V2834" s="1">
        <v>9769149198</v>
      </c>
      <c r="W2834" s="1" t="s">
        <v>125</v>
      </c>
      <c r="X2834" s="1" t="s">
        <v>46056</v>
      </c>
      <c r="Y2834" s="1" t="s">
        <v>1012</v>
      </c>
      <c r="Z2834" s="1" t="s">
        <v>97</v>
      </c>
      <c r="AA2834" s="1" t="s">
        <v>46056</v>
      </c>
      <c r="AB2834" s="1" t="s">
        <v>1012</v>
      </c>
      <c r="AC2834" s="1" t="s">
        <v>97</v>
      </c>
      <c r="AD2834" s="1" t="s">
        <v>98</v>
      </c>
      <c r="AE2834" s="1" t="s">
        <v>98</v>
      </c>
      <c r="AF2834" s="1" t="s">
        <v>46057</v>
      </c>
      <c r="AG2834" s="1" t="s">
        <v>996</v>
      </c>
      <c r="AH2834" s="1" t="s">
        <v>170</v>
      </c>
      <c r="AI2834" s="1" t="s">
        <v>490</v>
      </c>
      <c r="AJ2834" s="1">
        <v>86.2</v>
      </c>
      <c r="AK2834" s="1"/>
      <c r="AL2834" s="1" t="s">
        <v>46058</v>
      </c>
      <c r="AM2834" s="1" t="s">
        <v>46059</v>
      </c>
      <c r="AN2834" s="1" t="s">
        <v>465</v>
      </c>
      <c r="AO2834" s="1" t="s">
        <v>438</v>
      </c>
      <c r="AP2834" s="1" t="s">
        <v>365</v>
      </c>
      <c r="AQ2834" s="1">
        <v>64</v>
      </c>
      <c r="AR2834" s="1"/>
      <c r="AS2834" s="1"/>
      <c r="AT2834" s="1"/>
      <c r="AU2834" s="1"/>
      <c r="AV2834" s="1"/>
      <c r="AW2834" s="1"/>
      <c r="AX2834" s="1"/>
      <c r="AY2834" s="1" t="s">
        <v>680</v>
      </c>
      <c r="AZ2834" s="1" t="s">
        <v>46060</v>
      </c>
      <c r="BA2834" s="1" t="s">
        <v>682</v>
      </c>
      <c r="BB2834" s="1" t="s">
        <v>1561</v>
      </c>
      <c r="BC2834" s="1" t="s">
        <v>468</v>
      </c>
      <c r="BD2834" s="1" t="s">
        <v>553</v>
      </c>
      <c r="BE2834" s="1">
        <v>67.5</v>
      </c>
      <c r="BF2834" s="1">
        <v>7.5</v>
      </c>
      <c r="BG2834" s="1"/>
      <c r="BH2834" s="1"/>
      <c r="BI2834" s="1"/>
      <c r="BJ2834" s="1"/>
      <c r="BK2834" s="1"/>
      <c r="BL2834" s="1"/>
      <c r="BM2834" s="1"/>
      <c r="BN2834" s="1"/>
      <c r="BO2834" s="1" t="s">
        <v>46061</v>
      </c>
      <c r="BP2834" s="1" t="s">
        <v>46062</v>
      </c>
      <c r="BQ2834" s="1" t="s">
        <v>2116</v>
      </c>
      <c r="BR2834" s="1" t="s">
        <v>46063</v>
      </c>
      <c r="BS2834" s="1">
        <v>22</v>
      </c>
      <c r="BT2834" s="1"/>
      <c r="BU2834" s="1" t="str">
        <f>HYPERLINK("https://nconnect.nicmar.ac.in/storage/profile/6a85949f7c303.png","Download")</f>
        <v>0</v>
      </c>
      <c r="BV2834" s="3"/>
      <c r="BW2834" s="3"/>
    </row>
    <row r="2835" spans="1:75">
      <c r="A2835" s="1" t="s">
        <v>40673</v>
      </c>
      <c r="B2835" s="1" t="s">
        <v>13976</v>
      </c>
      <c r="C2835" s="1" t="s">
        <v>46064</v>
      </c>
      <c r="D2835" s="1" t="s">
        <v>21247</v>
      </c>
      <c r="E2835" s="1" t="s">
        <v>39910</v>
      </c>
      <c r="F2835" s="1" t="s">
        <v>14460</v>
      </c>
      <c r="G2835" s="1" t="s">
        <v>46065</v>
      </c>
      <c r="H2835" s="1" t="s">
        <v>46066</v>
      </c>
      <c r="I2835" s="1" t="s">
        <v>46067</v>
      </c>
      <c r="J2835" s="1">
        <v>7447802030</v>
      </c>
      <c r="K2835" s="1" t="s">
        <v>84</v>
      </c>
      <c r="L2835" s="1" t="s">
        <v>5562</v>
      </c>
      <c r="M2835" s="1" t="s">
        <v>86</v>
      </c>
      <c r="N2835" s="1" t="s">
        <v>7152</v>
      </c>
      <c r="O2835" s="1" t="s">
        <v>46068</v>
      </c>
      <c r="P2835" s="1" t="s">
        <v>219</v>
      </c>
      <c r="Q2835" s="1">
        <v>821342204848</v>
      </c>
      <c r="R2835" s="1" t="s">
        <v>46069</v>
      </c>
      <c r="S2835" s="1">
        <v>9420375428</v>
      </c>
      <c r="T2835" s="1" t="s">
        <v>3441</v>
      </c>
      <c r="U2835" s="1" t="s">
        <v>19723</v>
      </c>
      <c r="V2835" s="1">
        <v>8208235794</v>
      </c>
      <c r="W2835" s="1" t="s">
        <v>14154</v>
      </c>
      <c r="X2835" s="1" t="s">
        <v>46070</v>
      </c>
      <c r="Y2835" s="1" t="s">
        <v>5659</v>
      </c>
      <c r="Z2835" s="1" t="s">
        <v>97</v>
      </c>
      <c r="AA2835" s="1" t="s">
        <v>46070</v>
      </c>
      <c r="AB2835" s="1" t="s">
        <v>5659</v>
      </c>
      <c r="AC2835" s="1" t="s">
        <v>97</v>
      </c>
      <c r="AD2835" s="1" t="s">
        <v>98</v>
      </c>
      <c r="AE2835" s="1" t="s">
        <v>98</v>
      </c>
      <c r="AF2835" s="1" t="s">
        <v>46071</v>
      </c>
      <c r="AG2835" s="1" t="s">
        <v>14977</v>
      </c>
      <c r="AH2835" s="1" t="s">
        <v>166</v>
      </c>
      <c r="AI2835" s="1" t="s">
        <v>1111</v>
      </c>
      <c r="AJ2835" s="1">
        <v>86.0</v>
      </c>
      <c r="AK2835" s="1"/>
      <c r="AL2835" s="1" t="s">
        <v>46072</v>
      </c>
      <c r="AM2835" s="1" t="s">
        <v>14977</v>
      </c>
      <c r="AN2835" s="1" t="s">
        <v>465</v>
      </c>
      <c r="AO2835" s="1" t="s">
        <v>1396</v>
      </c>
      <c r="AP2835" s="1" t="s">
        <v>1477</v>
      </c>
      <c r="AQ2835" s="1">
        <v>59.08</v>
      </c>
      <c r="AR2835" s="1"/>
      <c r="AS2835" s="1"/>
      <c r="AT2835" s="1"/>
      <c r="AU2835" s="1"/>
      <c r="AV2835" s="1"/>
      <c r="AW2835" s="1"/>
      <c r="AX2835" s="1"/>
      <c r="AY2835" s="1" t="s">
        <v>14160</v>
      </c>
      <c r="AZ2835" s="1" t="s">
        <v>46073</v>
      </c>
      <c r="BA2835" s="1" t="s">
        <v>578</v>
      </c>
      <c r="BB2835" s="1" t="s">
        <v>467</v>
      </c>
      <c r="BC2835" s="1" t="s">
        <v>1065</v>
      </c>
      <c r="BD2835" s="1" t="s">
        <v>4573</v>
      </c>
      <c r="BE2835" s="1">
        <v>69.5</v>
      </c>
      <c r="BF2835" s="1">
        <v>7.7</v>
      </c>
      <c r="BG2835" s="1"/>
      <c r="BH2835" s="1"/>
      <c r="BI2835" s="1"/>
      <c r="BJ2835" s="1"/>
      <c r="BK2835" s="1"/>
      <c r="BL2835" s="1"/>
      <c r="BM2835" s="1"/>
      <c r="BN2835" s="1"/>
      <c r="BO2835" s="1" t="s">
        <v>25463</v>
      </c>
      <c r="BP2835" s="1"/>
      <c r="BQ2835" s="1"/>
      <c r="BR2835" s="1" t="s">
        <v>46074</v>
      </c>
      <c r="BS2835" s="1">
        <v>4</v>
      </c>
      <c r="BT2835" s="1" t="s">
        <v>46075</v>
      </c>
      <c r="BU2835" s="1" t="str">
        <f>HYPERLINK("https://nconnect.nicmar.ac.in/storage/profile/6a85acb4c20fb.png","Download")</f>
        <v>0</v>
      </c>
      <c r="BV2835" s="3"/>
      <c r="BW2835" s="3"/>
    </row>
    <row r="2836" spans="1:75">
      <c r="A2836" s="1" t="s">
        <v>40673</v>
      </c>
      <c r="B2836" s="1" t="s">
        <v>13976</v>
      </c>
      <c r="C2836" s="1" t="s">
        <v>46076</v>
      </c>
      <c r="D2836" s="1" t="s">
        <v>22260</v>
      </c>
      <c r="E2836" s="1" t="s">
        <v>14774</v>
      </c>
      <c r="F2836" s="1" t="s">
        <v>22392</v>
      </c>
      <c r="G2836" s="1" t="s">
        <v>46077</v>
      </c>
      <c r="H2836" s="1" t="s">
        <v>46078</v>
      </c>
      <c r="I2836" s="1" t="s">
        <v>46079</v>
      </c>
      <c r="J2836" s="1">
        <v>9082986368</v>
      </c>
      <c r="K2836" s="1" t="s">
        <v>84</v>
      </c>
      <c r="L2836" s="1" t="s">
        <v>3222</v>
      </c>
      <c r="M2836" s="1" t="s">
        <v>86</v>
      </c>
      <c r="N2836" s="1" t="s">
        <v>17803</v>
      </c>
      <c r="O2836" s="1" t="s">
        <v>46080</v>
      </c>
      <c r="P2836" s="1" t="s">
        <v>356</v>
      </c>
      <c r="Q2836" s="1">
        <v>896369533923</v>
      </c>
      <c r="R2836" s="1" t="s">
        <v>46081</v>
      </c>
      <c r="S2836" s="1">
        <v>9757201582</v>
      </c>
      <c r="T2836" s="1" t="s">
        <v>2177</v>
      </c>
      <c r="U2836" s="1" t="s">
        <v>46082</v>
      </c>
      <c r="V2836" s="1">
        <v>8652479398</v>
      </c>
      <c r="W2836" s="1" t="s">
        <v>46083</v>
      </c>
      <c r="X2836" s="1" t="s">
        <v>46084</v>
      </c>
      <c r="Y2836" s="1" t="s">
        <v>2259</v>
      </c>
      <c r="Z2836" s="1" t="s">
        <v>97</v>
      </c>
      <c r="AA2836" s="1" t="s">
        <v>46084</v>
      </c>
      <c r="AB2836" s="1" t="s">
        <v>2259</v>
      </c>
      <c r="AC2836" s="1" t="s">
        <v>97</v>
      </c>
      <c r="AD2836" s="1" t="s">
        <v>98</v>
      </c>
      <c r="AE2836" s="1" t="s">
        <v>98</v>
      </c>
      <c r="AF2836" s="1" t="s">
        <v>46085</v>
      </c>
      <c r="AG2836" s="1" t="s">
        <v>23189</v>
      </c>
      <c r="AH2836" s="1" t="s">
        <v>167</v>
      </c>
      <c r="AI2836" s="1" t="s">
        <v>200</v>
      </c>
      <c r="AJ2836" s="1">
        <v>62.6</v>
      </c>
      <c r="AK2836" s="1"/>
      <c r="AL2836" s="1" t="s">
        <v>46086</v>
      </c>
      <c r="AM2836" s="1" t="s">
        <v>23189</v>
      </c>
      <c r="AN2836" s="1" t="s">
        <v>35580</v>
      </c>
      <c r="AO2836" s="1" t="s">
        <v>106</v>
      </c>
      <c r="AP2836" s="1" t="s">
        <v>203</v>
      </c>
      <c r="AQ2836" s="1">
        <v>54.15</v>
      </c>
      <c r="AR2836" s="1"/>
      <c r="AS2836" s="1" t="s">
        <v>14158</v>
      </c>
      <c r="AT2836" s="1" t="s">
        <v>46087</v>
      </c>
      <c r="AU2836" s="1" t="s">
        <v>315</v>
      </c>
      <c r="AV2836" s="1" t="s">
        <v>1825</v>
      </c>
      <c r="AW2836" s="1">
        <v>77.37</v>
      </c>
      <c r="AX2836" s="1"/>
      <c r="AY2836" s="1" t="s">
        <v>14380</v>
      </c>
      <c r="AZ2836" s="1" t="s">
        <v>46088</v>
      </c>
      <c r="BA2836" s="1" t="s">
        <v>578</v>
      </c>
      <c r="BB2836" s="1" t="s">
        <v>467</v>
      </c>
      <c r="BC2836" s="1" t="s">
        <v>1889</v>
      </c>
      <c r="BD2836" s="1" t="s">
        <v>1401</v>
      </c>
      <c r="BE2836" s="1">
        <v>57.13</v>
      </c>
      <c r="BF2836" s="1">
        <v>6.12</v>
      </c>
      <c r="BG2836" s="1"/>
      <c r="BH2836" s="1"/>
      <c r="BI2836" s="1"/>
      <c r="BJ2836" s="1"/>
      <c r="BK2836" s="1"/>
      <c r="BL2836" s="1"/>
      <c r="BM2836" s="1"/>
      <c r="BN2836" s="1"/>
      <c r="BO2836" s="1" t="s">
        <v>369</v>
      </c>
      <c r="BP2836" s="1" t="s">
        <v>46089</v>
      </c>
      <c r="BQ2836" s="1" t="s">
        <v>292</v>
      </c>
      <c r="BR2836" s="1"/>
      <c r="BS2836" s="1"/>
      <c r="BT2836" s="1"/>
      <c r="BU2836" s="1" t="str">
        <f>HYPERLINK("https://nconnect.nicmar.ac.in/storage/profile/6a857f04a6a82.png","Download")</f>
        <v>0</v>
      </c>
      <c r="BV2836" s="3"/>
      <c r="BW2836" s="3"/>
    </row>
    <row r="2837" spans="1:75">
      <c r="A2837" s="1" t="s">
        <v>40673</v>
      </c>
      <c r="B2837" s="1" t="s">
        <v>13976</v>
      </c>
      <c r="C2837" s="1" t="s">
        <v>46090</v>
      </c>
      <c r="D2837" s="1" t="s">
        <v>46091</v>
      </c>
      <c r="E2837" s="1" t="s">
        <v>15919</v>
      </c>
      <c r="F2837" s="1" t="s">
        <v>14147</v>
      </c>
      <c r="G2837" s="1" t="s">
        <v>46092</v>
      </c>
      <c r="H2837" s="1" t="s">
        <v>46093</v>
      </c>
      <c r="I2837" s="1" t="s">
        <v>46094</v>
      </c>
      <c r="J2837" s="1">
        <v>7399561111</v>
      </c>
      <c r="K2837" s="1" t="s">
        <v>84</v>
      </c>
      <c r="L2837" s="1" t="s">
        <v>4669</v>
      </c>
      <c r="M2837" s="1" t="s">
        <v>86</v>
      </c>
      <c r="N2837" s="1" t="s">
        <v>4263</v>
      </c>
      <c r="O2837" s="1" t="s">
        <v>46095</v>
      </c>
      <c r="P2837" s="1" t="s">
        <v>89</v>
      </c>
      <c r="Q2837" s="1">
        <v>558851282971</v>
      </c>
      <c r="R2837" s="1" t="s">
        <v>15919</v>
      </c>
      <c r="S2837" s="1">
        <v>9975111575</v>
      </c>
      <c r="T2837" s="1" t="s">
        <v>13987</v>
      </c>
      <c r="U2837" s="1" t="s">
        <v>15437</v>
      </c>
      <c r="V2837" s="1">
        <v>7083585555</v>
      </c>
      <c r="W2837" s="1" t="s">
        <v>10306</v>
      </c>
      <c r="X2837" s="1" t="s">
        <v>46096</v>
      </c>
      <c r="Y2837" s="1" t="s">
        <v>5181</v>
      </c>
      <c r="Z2837" s="1" t="s">
        <v>97</v>
      </c>
      <c r="AA2837" s="1" t="s">
        <v>46096</v>
      </c>
      <c r="AB2837" s="1" t="s">
        <v>5181</v>
      </c>
      <c r="AC2837" s="1" t="s">
        <v>97</v>
      </c>
      <c r="AD2837" s="1" t="s">
        <v>98</v>
      </c>
      <c r="AE2837" s="1" t="s">
        <v>98</v>
      </c>
      <c r="AF2837" s="1" t="s">
        <v>46097</v>
      </c>
      <c r="AG2837" s="1" t="s">
        <v>46098</v>
      </c>
      <c r="AH2837" s="1" t="s">
        <v>438</v>
      </c>
      <c r="AI2837" s="1" t="s">
        <v>603</v>
      </c>
      <c r="AJ2837" s="1">
        <v>87.8</v>
      </c>
      <c r="AK2837" s="1"/>
      <c r="AL2837" s="1"/>
      <c r="AM2837" s="1"/>
      <c r="AN2837" s="1"/>
      <c r="AO2837" s="1"/>
      <c r="AP2837" s="1"/>
      <c r="AQ2837" s="1"/>
      <c r="AR2837" s="1"/>
      <c r="AS2837" s="1" t="s">
        <v>46099</v>
      </c>
      <c r="AT2837" s="1" t="s">
        <v>46100</v>
      </c>
      <c r="AU2837" s="1" t="s">
        <v>233</v>
      </c>
      <c r="AV2837" s="1" t="s">
        <v>179</v>
      </c>
      <c r="AW2837" s="1">
        <v>73.94</v>
      </c>
      <c r="AX2837" s="1"/>
      <c r="AY2837" s="1" t="s">
        <v>14602</v>
      </c>
      <c r="AZ2837" s="1" t="s">
        <v>46101</v>
      </c>
      <c r="BA2837" s="1" t="s">
        <v>578</v>
      </c>
      <c r="BB2837" s="1" t="s">
        <v>44085</v>
      </c>
      <c r="BC2837" s="1" t="s">
        <v>1267</v>
      </c>
      <c r="BD2837" s="1" t="s">
        <v>14162</v>
      </c>
      <c r="BE2837" s="1">
        <v>64.16</v>
      </c>
      <c r="BF2837" s="1">
        <v>7.21</v>
      </c>
      <c r="BG2837" s="1"/>
      <c r="BH2837" s="1"/>
      <c r="BI2837" s="1"/>
      <c r="BJ2837" s="1"/>
      <c r="BK2837" s="1"/>
      <c r="BL2837" s="1"/>
      <c r="BM2837" s="1"/>
      <c r="BN2837" s="1"/>
      <c r="BO2837" s="1" t="s">
        <v>235</v>
      </c>
      <c r="BP2837" s="1"/>
      <c r="BQ2837" s="1"/>
      <c r="BR2837" s="1"/>
      <c r="BS2837" s="1"/>
      <c r="BT2837" s="1"/>
      <c r="BU2837" s="1" t="str">
        <f>HYPERLINK("https://nconnect.nicmar.ac.in/storage/profile/6a8940fcc4ec7.png","Download")</f>
        <v>0</v>
      </c>
      <c r="BV2837" s="3"/>
      <c r="BW2837" s="3"/>
    </row>
    <row r="2838" spans="1:75">
      <c r="A2838" s="1" t="s">
        <v>40673</v>
      </c>
      <c r="B2838" s="1" t="s">
        <v>13976</v>
      </c>
      <c r="C2838" s="1" t="s">
        <v>46102</v>
      </c>
      <c r="D2838" s="1" t="s">
        <v>19867</v>
      </c>
      <c r="E2838" s="1" t="s">
        <v>15067</v>
      </c>
      <c r="F2838" s="1" t="s">
        <v>14460</v>
      </c>
      <c r="G2838" s="1" t="s">
        <v>46103</v>
      </c>
      <c r="H2838" s="1" t="s">
        <v>46104</v>
      </c>
      <c r="I2838" s="1" t="s">
        <v>46104</v>
      </c>
      <c r="J2838" s="1">
        <v>9545442013</v>
      </c>
      <c r="K2838" s="1" t="s">
        <v>84</v>
      </c>
      <c r="L2838" s="1" t="s">
        <v>46105</v>
      </c>
      <c r="M2838" s="1" t="s">
        <v>86</v>
      </c>
      <c r="N2838" s="1" t="s">
        <v>8520</v>
      </c>
      <c r="O2838" s="1" t="s">
        <v>46106</v>
      </c>
      <c r="P2838" s="1" t="s">
        <v>356</v>
      </c>
      <c r="Q2838" s="1">
        <v>448913614254</v>
      </c>
      <c r="R2838" s="1" t="s">
        <v>46107</v>
      </c>
      <c r="S2838" s="1">
        <v>8087980627</v>
      </c>
      <c r="T2838" s="1" t="s">
        <v>2177</v>
      </c>
      <c r="U2838" s="1" t="s">
        <v>46108</v>
      </c>
      <c r="V2838" s="1">
        <v>8087980627</v>
      </c>
      <c r="W2838" s="1" t="s">
        <v>10306</v>
      </c>
      <c r="X2838" s="1" t="s">
        <v>46109</v>
      </c>
      <c r="Y2838" s="1" t="s">
        <v>2259</v>
      </c>
      <c r="Z2838" s="1" t="s">
        <v>97</v>
      </c>
      <c r="AA2838" s="1" t="s">
        <v>46109</v>
      </c>
      <c r="AB2838" s="1" t="s">
        <v>2259</v>
      </c>
      <c r="AC2838" s="1" t="s">
        <v>97</v>
      </c>
      <c r="AD2838" s="1" t="s">
        <v>98</v>
      </c>
      <c r="AE2838" s="1" t="s">
        <v>98</v>
      </c>
      <c r="AF2838" s="1" t="s">
        <v>46110</v>
      </c>
      <c r="AG2838" s="1" t="s">
        <v>46111</v>
      </c>
      <c r="AH2838" s="1" t="s">
        <v>3112</v>
      </c>
      <c r="AI2838" s="1" t="s">
        <v>414</v>
      </c>
      <c r="AJ2838" s="1">
        <v>70.8</v>
      </c>
      <c r="AK2838" s="1"/>
      <c r="AL2838" s="1" t="s">
        <v>46112</v>
      </c>
      <c r="AM2838" s="1" t="s">
        <v>46111</v>
      </c>
      <c r="AN2838" s="1" t="s">
        <v>465</v>
      </c>
      <c r="AO2838" s="1" t="s">
        <v>438</v>
      </c>
      <c r="AP2838" s="1" t="s">
        <v>847</v>
      </c>
      <c r="AQ2838" s="1">
        <v>81.5</v>
      </c>
      <c r="AR2838" s="1"/>
      <c r="AS2838" s="1"/>
      <c r="AT2838" s="1"/>
      <c r="AU2838" s="1"/>
      <c r="AV2838" s="1"/>
      <c r="AW2838" s="1"/>
      <c r="AX2838" s="1"/>
      <c r="AY2838" s="1" t="s">
        <v>14380</v>
      </c>
      <c r="AZ2838" s="1" t="s">
        <v>46113</v>
      </c>
      <c r="BA2838" s="1" t="s">
        <v>37920</v>
      </c>
      <c r="BB2838" s="1" t="s">
        <v>38485</v>
      </c>
      <c r="BC2838" s="1" t="s">
        <v>549</v>
      </c>
      <c r="BD2838" s="1" t="s">
        <v>4093</v>
      </c>
      <c r="BE2838" s="1">
        <v>65.17</v>
      </c>
      <c r="BF2838" s="1"/>
      <c r="BG2838" s="1"/>
      <c r="BH2838" s="1"/>
      <c r="BI2838" s="1"/>
      <c r="BJ2838" s="1"/>
      <c r="BK2838" s="1"/>
      <c r="BL2838" s="1"/>
      <c r="BM2838" s="1"/>
      <c r="BN2838" s="1"/>
      <c r="BO2838" s="1" t="s">
        <v>46114</v>
      </c>
      <c r="BP2838" s="1" t="s">
        <v>46115</v>
      </c>
      <c r="BQ2838" s="1" t="s">
        <v>2116</v>
      </c>
      <c r="BR2838" s="1" t="s">
        <v>46116</v>
      </c>
      <c r="BS2838" s="1">
        <v>80</v>
      </c>
      <c r="BT2838" s="1"/>
      <c r="BU2838" s="1" t="str">
        <f>HYPERLINK("https://nconnect.nicmar.ac.in/storage/profile/6a85764869da0.png","Download")</f>
        <v>0</v>
      </c>
      <c r="BV2838" s="3"/>
      <c r="BW2838" s="3"/>
    </row>
    <row r="2839" spans="1:75">
      <c r="A2839" s="1" t="s">
        <v>40673</v>
      </c>
      <c r="B2839" s="1" t="s">
        <v>13976</v>
      </c>
      <c r="C2839" s="1" t="s">
        <v>46117</v>
      </c>
      <c r="D2839" s="1"/>
      <c r="E2839" s="1"/>
      <c r="F2839" s="1"/>
      <c r="G2839" s="1"/>
      <c r="H2839" s="1" t="s">
        <v>46118</v>
      </c>
      <c r="I2839" s="1" t="s">
        <v>46118</v>
      </c>
      <c r="J2839" s="1"/>
      <c r="K2839" s="1"/>
      <c r="L2839" s="1"/>
      <c r="M2839" s="1"/>
      <c r="N2839" s="1"/>
      <c r="O2839" s="1"/>
      <c r="P2839" s="1"/>
      <c r="Q2839" s="1"/>
      <c r="R2839" s="1"/>
      <c r="S2839" s="1"/>
      <c r="T2839" s="1"/>
      <c r="U2839" s="1"/>
      <c r="V2839" s="1"/>
      <c r="W2839" s="1"/>
      <c r="X2839" s="1"/>
      <c r="Y2839" s="1"/>
      <c r="Z2839" s="1"/>
      <c r="AA2839" s="1"/>
      <c r="AB2839" s="1"/>
      <c r="AC2839" s="1"/>
      <c r="AD2839" s="1" t="s">
        <v>98</v>
      </c>
      <c r="AE2839" s="1" t="s">
        <v>98</v>
      </c>
      <c r="AF2839" s="1"/>
      <c r="AG2839" s="1"/>
      <c r="AH2839" s="1"/>
      <c r="AI2839" s="1"/>
      <c r="AJ2839" s="1"/>
      <c r="AK2839" s="1"/>
      <c r="AL2839" s="1"/>
      <c r="AM2839" s="1"/>
      <c r="AN2839" s="1"/>
      <c r="AO2839" s="1"/>
      <c r="AP2839" s="1"/>
      <c r="AQ2839" s="1"/>
      <c r="AR2839" s="1"/>
      <c r="AS2839" s="1"/>
      <c r="AT2839" s="1"/>
      <c r="AU2839" s="1"/>
      <c r="AV2839" s="1"/>
      <c r="AW2839" s="1"/>
      <c r="AX2839" s="1"/>
      <c r="AY2839" s="1"/>
      <c r="AZ2839" s="1"/>
      <c r="BA2839" s="1"/>
      <c r="BB2839" s="1"/>
      <c r="BC2839" s="1"/>
      <c r="BD2839" s="1"/>
      <c r="BE2839" s="1"/>
      <c r="BF2839" s="1"/>
      <c r="BG2839" s="1"/>
      <c r="BH2839" s="1"/>
      <c r="BI2839" s="1"/>
      <c r="BJ2839" s="1"/>
      <c r="BK2839" s="1"/>
      <c r="BL2839" s="1"/>
      <c r="BM2839" s="1"/>
      <c r="BN2839" s="1"/>
      <c r="BO2839" s="1"/>
      <c r="BP2839" s="1"/>
      <c r="BQ2839" s="1"/>
      <c r="BR2839" s="1"/>
      <c r="BS2839" s="1"/>
      <c r="BT2839" s="1"/>
      <c r="BU2839" s="1" t="s">
        <v>9653</v>
      </c>
      <c r="BV2839" s="3"/>
      <c r="BW2839" s="3"/>
    </row>
    <row r="2840" spans="1:75">
      <c r="A2840" s="1" t="s">
        <v>40673</v>
      </c>
      <c r="B2840" s="1" t="s">
        <v>13976</v>
      </c>
      <c r="C2840" s="1" t="s">
        <v>46119</v>
      </c>
      <c r="D2840" s="1" t="s">
        <v>15035</v>
      </c>
      <c r="E2840" s="1" t="s">
        <v>16631</v>
      </c>
      <c r="F2840" s="1" t="s">
        <v>46120</v>
      </c>
      <c r="G2840" s="1" t="s">
        <v>46121</v>
      </c>
      <c r="H2840" s="1" t="s">
        <v>46122</v>
      </c>
      <c r="I2840" s="1" t="s">
        <v>46122</v>
      </c>
      <c r="J2840" s="1">
        <v>9850883425</v>
      </c>
      <c r="K2840" s="1" t="s">
        <v>84</v>
      </c>
      <c r="L2840" s="1" t="s">
        <v>46123</v>
      </c>
      <c r="M2840" s="1" t="s">
        <v>86</v>
      </c>
      <c r="N2840" s="1" t="s">
        <v>23620</v>
      </c>
      <c r="O2840" s="1" t="s">
        <v>46124</v>
      </c>
      <c r="P2840" s="1" t="s">
        <v>122</v>
      </c>
      <c r="Q2840" s="1">
        <v>776777143280</v>
      </c>
      <c r="R2840" s="1" t="s">
        <v>46125</v>
      </c>
      <c r="S2840" s="1">
        <v>9850883424</v>
      </c>
      <c r="T2840" s="1" t="s">
        <v>3439</v>
      </c>
      <c r="U2840" s="1" t="s">
        <v>46126</v>
      </c>
      <c r="V2840" s="1">
        <v>7588532109</v>
      </c>
      <c r="W2840" s="1" t="s">
        <v>14154</v>
      </c>
      <c r="X2840" s="1" t="s">
        <v>46127</v>
      </c>
      <c r="Y2840" s="1" t="s">
        <v>96</v>
      </c>
      <c r="Z2840" s="1" t="s">
        <v>97</v>
      </c>
      <c r="AA2840" s="1" t="s">
        <v>46128</v>
      </c>
      <c r="AB2840" s="1" t="s">
        <v>196</v>
      </c>
      <c r="AC2840" s="1" t="s">
        <v>97</v>
      </c>
      <c r="AD2840" s="1" t="s">
        <v>98</v>
      </c>
      <c r="AE2840" s="1" t="s">
        <v>98</v>
      </c>
      <c r="AF2840" s="1" t="s">
        <v>20681</v>
      </c>
      <c r="AG2840" s="1" t="s">
        <v>46129</v>
      </c>
      <c r="AH2840" s="1" t="s">
        <v>171</v>
      </c>
      <c r="AI2840" s="1" t="s">
        <v>313</v>
      </c>
      <c r="AJ2840" s="1">
        <v>72</v>
      </c>
      <c r="AK2840" s="1"/>
      <c r="AL2840" s="1" t="s">
        <v>46130</v>
      </c>
      <c r="AM2840" s="1" t="s">
        <v>14238</v>
      </c>
      <c r="AN2840" s="1" t="s">
        <v>465</v>
      </c>
      <c r="AO2840" s="1" t="s">
        <v>603</v>
      </c>
      <c r="AP2840" s="1" t="s">
        <v>1192</v>
      </c>
      <c r="AQ2840" s="1">
        <v>90.86</v>
      </c>
      <c r="AR2840" s="1"/>
      <c r="AS2840" s="1"/>
      <c r="AT2840" s="1"/>
      <c r="AU2840" s="1"/>
      <c r="AV2840" s="1"/>
      <c r="AW2840" s="1"/>
      <c r="AX2840" s="1"/>
      <c r="AY2840" s="1" t="s">
        <v>46131</v>
      </c>
      <c r="AZ2840" s="1" t="s">
        <v>46132</v>
      </c>
      <c r="BA2840" s="1" t="s">
        <v>466</v>
      </c>
      <c r="BB2840" s="1" t="s">
        <v>46133</v>
      </c>
      <c r="BC2840" s="1" t="s">
        <v>847</v>
      </c>
      <c r="BD2840" s="1" t="s">
        <v>553</v>
      </c>
      <c r="BE2840" s="1">
        <v>84.8</v>
      </c>
      <c r="BF2840" s="1">
        <v>8.48</v>
      </c>
      <c r="BG2840" s="1"/>
      <c r="BH2840" s="1"/>
      <c r="BI2840" s="1"/>
      <c r="BJ2840" s="1"/>
      <c r="BK2840" s="1"/>
      <c r="BL2840" s="1"/>
      <c r="BM2840" s="1"/>
      <c r="BN2840" s="1"/>
      <c r="BO2840" s="1" t="s">
        <v>46134</v>
      </c>
      <c r="BP2840" s="1"/>
      <c r="BQ2840" s="1"/>
      <c r="BR2840" s="1"/>
      <c r="BS2840" s="1"/>
      <c r="BT2840" s="1"/>
      <c r="BU2840" s="1" t="str">
        <f>HYPERLINK("https://nconnect.nicmar.ac.in/storage/profile/6a8688821a595.png","Download")</f>
        <v>0</v>
      </c>
      <c r="BV2840" s="3"/>
      <c r="BW2840" s="3"/>
    </row>
    <row r="2841" spans="1:75">
      <c r="A2841" s="1" t="s">
        <v>40673</v>
      </c>
      <c r="B2841" s="1" t="s">
        <v>13976</v>
      </c>
      <c r="C2841" s="1" t="s">
        <v>46135</v>
      </c>
      <c r="D2841" s="1" t="s">
        <v>46136</v>
      </c>
      <c r="E2841" s="1" t="s">
        <v>16144</v>
      </c>
      <c r="F2841" s="1" t="s">
        <v>14460</v>
      </c>
      <c r="G2841" s="1" t="s">
        <v>46137</v>
      </c>
      <c r="H2841" s="1" t="s">
        <v>46138</v>
      </c>
      <c r="I2841" s="1" t="s">
        <v>46139</v>
      </c>
      <c r="J2841" s="1">
        <v>9156942241</v>
      </c>
      <c r="K2841" s="1" t="s">
        <v>153</v>
      </c>
      <c r="L2841" s="1" t="s">
        <v>7549</v>
      </c>
      <c r="M2841" s="1" t="s">
        <v>86</v>
      </c>
      <c r="N2841" s="1" t="s">
        <v>46140</v>
      </c>
      <c r="O2841" s="1" t="s">
        <v>46141</v>
      </c>
      <c r="P2841" s="1" t="s">
        <v>122</v>
      </c>
      <c r="Q2841" s="1" t="s">
        <v>46142</v>
      </c>
      <c r="R2841" s="1" t="s">
        <v>46143</v>
      </c>
      <c r="S2841" s="1">
        <v>9422400135</v>
      </c>
      <c r="T2841" s="1" t="s">
        <v>46144</v>
      </c>
      <c r="U2841" s="1" t="s">
        <v>46145</v>
      </c>
      <c r="V2841" s="1">
        <v>9403166435</v>
      </c>
      <c r="W2841" s="1" t="s">
        <v>14633</v>
      </c>
      <c r="X2841" s="1" t="s">
        <v>46146</v>
      </c>
      <c r="Y2841" s="1" t="s">
        <v>5181</v>
      </c>
      <c r="Z2841" s="1" t="s">
        <v>97</v>
      </c>
      <c r="AA2841" s="1" t="s">
        <v>46146</v>
      </c>
      <c r="AB2841" s="1" t="s">
        <v>5181</v>
      </c>
      <c r="AC2841" s="1" t="s">
        <v>97</v>
      </c>
      <c r="AD2841" s="1" t="s">
        <v>98</v>
      </c>
      <c r="AE2841" s="1" t="s">
        <v>98</v>
      </c>
      <c r="AF2841" s="1" t="s">
        <v>46147</v>
      </c>
      <c r="AG2841" s="1" t="s">
        <v>16724</v>
      </c>
      <c r="AH2841" s="1" t="s">
        <v>171</v>
      </c>
      <c r="AI2841" s="1" t="s">
        <v>438</v>
      </c>
      <c r="AJ2841" s="1">
        <v>95</v>
      </c>
      <c r="AK2841" s="1"/>
      <c r="AL2841" s="1"/>
      <c r="AM2841" s="1"/>
      <c r="AN2841" s="1"/>
      <c r="AO2841" s="1"/>
      <c r="AP2841" s="1"/>
      <c r="AQ2841" s="1"/>
      <c r="AR2841" s="1"/>
      <c r="AS2841" s="1" t="s">
        <v>14158</v>
      </c>
      <c r="AT2841" s="1" t="s">
        <v>46148</v>
      </c>
      <c r="AU2841" s="1" t="s">
        <v>206</v>
      </c>
      <c r="AV2841" s="1" t="s">
        <v>1802</v>
      </c>
      <c r="AW2841" s="1">
        <v>90.84</v>
      </c>
      <c r="AX2841" s="1"/>
      <c r="AY2841" s="1" t="s">
        <v>46149</v>
      </c>
      <c r="AZ2841" s="1" t="s">
        <v>46149</v>
      </c>
      <c r="BA2841" s="1" t="s">
        <v>466</v>
      </c>
      <c r="BB2841" s="1" t="s">
        <v>467</v>
      </c>
      <c r="BC2841" s="1" t="s">
        <v>1889</v>
      </c>
      <c r="BD2841" s="1" t="s">
        <v>5340</v>
      </c>
      <c r="BE2841" s="1">
        <v>80.6</v>
      </c>
      <c r="BF2841" s="1">
        <v>8.21</v>
      </c>
      <c r="BG2841" s="1"/>
      <c r="BH2841" s="1"/>
      <c r="BI2841" s="1"/>
      <c r="BJ2841" s="1"/>
      <c r="BK2841" s="1"/>
      <c r="BL2841" s="1"/>
      <c r="BM2841" s="1"/>
      <c r="BN2841" s="1"/>
      <c r="BO2841" s="1" t="s">
        <v>46150</v>
      </c>
      <c r="BP2841" s="1"/>
      <c r="BQ2841" s="1"/>
      <c r="BR2841" s="1" t="s">
        <v>46151</v>
      </c>
      <c r="BS2841" s="1">
        <v>34</v>
      </c>
      <c r="BT2841" s="1" t="s">
        <v>46152</v>
      </c>
      <c r="BU2841" s="1" t="str">
        <f>HYPERLINK("https://nconnect.nicmar.ac.in/storage/profile/6a85911bec5f6.png","Download")</f>
        <v>0</v>
      </c>
      <c r="BV2841" s="3"/>
      <c r="BW2841" s="3"/>
    </row>
    <row r="2842" spans="1:75">
      <c r="A2842" s="1" t="s">
        <v>40673</v>
      </c>
      <c r="B2842" s="1" t="s">
        <v>13976</v>
      </c>
      <c r="C2842" s="1" t="s">
        <v>46153</v>
      </c>
      <c r="D2842" s="1" t="s">
        <v>46154</v>
      </c>
      <c r="E2842" s="1" t="s">
        <v>16144</v>
      </c>
      <c r="F2842" s="1" t="s">
        <v>15304</v>
      </c>
      <c r="G2842" s="1" t="s">
        <v>46155</v>
      </c>
      <c r="H2842" s="1" t="s">
        <v>46156</v>
      </c>
      <c r="I2842" s="1" t="s">
        <v>46157</v>
      </c>
      <c r="J2842" s="1">
        <v>7249550891</v>
      </c>
      <c r="K2842" s="1" t="s">
        <v>84</v>
      </c>
      <c r="L2842" s="1" t="s">
        <v>46158</v>
      </c>
      <c r="M2842" s="1" t="s">
        <v>86</v>
      </c>
      <c r="N2842" s="1" t="s">
        <v>46159</v>
      </c>
      <c r="O2842" s="1" t="s">
        <v>157</v>
      </c>
      <c r="P2842" s="1" t="s">
        <v>122</v>
      </c>
      <c r="Q2842" s="1">
        <v>620995361028</v>
      </c>
      <c r="R2842" s="1" t="s">
        <v>46160</v>
      </c>
      <c r="S2842" s="1">
        <v>9822284312</v>
      </c>
      <c r="T2842" s="1" t="s">
        <v>13987</v>
      </c>
      <c r="U2842" s="1" t="s">
        <v>46161</v>
      </c>
      <c r="V2842" s="1">
        <v>9404755512</v>
      </c>
      <c r="W2842" s="1" t="s">
        <v>14154</v>
      </c>
      <c r="X2842" s="1" t="s">
        <v>46162</v>
      </c>
      <c r="Y2842" s="1" t="s">
        <v>5181</v>
      </c>
      <c r="Z2842" s="1" t="s">
        <v>97</v>
      </c>
      <c r="AA2842" s="1" t="s">
        <v>46162</v>
      </c>
      <c r="AB2842" s="1" t="s">
        <v>5181</v>
      </c>
      <c r="AC2842" s="1" t="s">
        <v>97</v>
      </c>
      <c r="AD2842" s="1" t="s">
        <v>98</v>
      </c>
      <c r="AE2842" s="1" t="s">
        <v>98</v>
      </c>
      <c r="AF2842" s="1" t="s">
        <v>46163</v>
      </c>
      <c r="AG2842" s="1" t="s">
        <v>16528</v>
      </c>
      <c r="AH2842" s="1" t="s">
        <v>167</v>
      </c>
      <c r="AI2842" s="1" t="s">
        <v>200</v>
      </c>
      <c r="AJ2842" s="1">
        <v>83.6</v>
      </c>
      <c r="AK2842" s="1"/>
      <c r="AL2842" s="1" t="s">
        <v>46163</v>
      </c>
      <c r="AM2842" s="1" t="s">
        <v>16528</v>
      </c>
      <c r="AN2842" s="1" t="s">
        <v>575</v>
      </c>
      <c r="AO2842" s="1" t="s">
        <v>106</v>
      </c>
      <c r="AP2842" s="1" t="s">
        <v>203</v>
      </c>
      <c r="AQ2842" s="1">
        <v>56.92</v>
      </c>
      <c r="AR2842" s="1"/>
      <c r="AS2842" s="1"/>
      <c r="AT2842" s="1"/>
      <c r="AU2842" s="1"/>
      <c r="AV2842" s="1"/>
      <c r="AW2842" s="1"/>
      <c r="AX2842" s="1"/>
      <c r="AY2842" s="1" t="s">
        <v>14752</v>
      </c>
      <c r="AZ2842" s="1" t="s">
        <v>14752</v>
      </c>
      <c r="BA2842" s="1" t="s">
        <v>466</v>
      </c>
      <c r="BB2842" s="1" t="s">
        <v>467</v>
      </c>
      <c r="BC2842" s="1" t="s">
        <v>206</v>
      </c>
      <c r="BD2842" s="1" t="s">
        <v>179</v>
      </c>
      <c r="BE2842" s="1">
        <v>67.9</v>
      </c>
      <c r="BF2842" s="1">
        <v>7.29</v>
      </c>
      <c r="BG2842" s="1"/>
      <c r="BH2842" s="1"/>
      <c r="BI2842" s="1"/>
      <c r="BJ2842" s="1"/>
      <c r="BK2842" s="1"/>
      <c r="BL2842" s="1"/>
      <c r="BM2842" s="1"/>
      <c r="BN2842" s="1"/>
      <c r="BO2842" s="1" t="s">
        <v>46164</v>
      </c>
      <c r="BP2842" s="1"/>
      <c r="BQ2842" s="1"/>
      <c r="BR2842" s="1"/>
      <c r="BS2842" s="1"/>
      <c r="BT2842" s="1"/>
      <c r="BU2842" s="1" t="str">
        <f>HYPERLINK("https://nconnect.nicmar.ac.in/storage/profile/6a85f8cad39bc.png","Download")</f>
        <v>0</v>
      </c>
      <c r="BV2842" s="3"/>
      <c r="BW2842" s="3"/>
    </row>
    <row r="2843" spans="1:75">
      <c r="A2843" s="1" t="s">
        <v>40673</v>
      </c>
      <c r="B2843" s="1" t="s">
        <v>13976</v>
      </c>
      <c r="C2843" s="1" t="s">
        <v>46165</v>
      </c>
      <c r="D2843" s="1" t="s">
        <v>46166</v>
      </c>
      <c r="E2843" s="1"/>
      <c r="F2843" s="1" t="s">
        <v>17724</v>
      </c>
      <c r="G2843" s="1" t="s">
        <v>46167</v>
      </c>
      <c r="H2843" s="1" t="s">
        <v>46168</v>
      </c>
      <c r="I2843" s="1" t="s">
        <v>46169</v>
      </c>
      <c r="J2843" s="1">
        <v>8278757803</v>
      </c>
      <c r="K2843" s="1" t="s">
        <v>84</v>
      </c>
      <c r="L2843" s="1" t="s">
        <v>46170</v>
      </c>
      <c r="M2843" s="1" t="s">
        <v>86</v>
      </c>
      <c r="N2843" s="1" t="s">
        <v>4857</v>
      </c>
      <c r="O2843" s="1" t="s">
        <v>46171</v>
      </c>
      <c r="P2843" s="1" t="s">
        <v>122</v>
      </c>
      <c r="Q2843" s="1">
        <v>781829509403</v>
      </c>
      <c r="R2843" s="1" t="s">
        <v>46172</v>
      </c>
      <c r="S2843" s="1">
        <v>7018011145</v>
      </c>
      <c r="T2843" s="1" t="s">
        <v>3439</v>
      </c>
      <c r="U2843" s="1" t="s">
        <v>46173</v>
      </c>
      <c r="V2843" s="1">
        <v>7559703645</v>
      </c>
      <c r="W2843" s="1" t="s">
        <v>14032</v>
      </c>
      <c r="X2843" s="1" t="s">
        <v>46174</v>
      </c>
      <c r="Y2843" s="1" t="s">
        <v>5335</v>
      </c>
      <c r="Z2843" s="1" t="s">
        <v>2608</v>
      </c>
      <c r="AA2843" s="1" t="s">
        <v>46174</v>
      </c>
      <c r="AB2843" s="1" t="s">
        <v>5335</v>
      </c>
      <c r="AC2843" s="1" t="s">
        <v>2608</v>
      </c>
      <c r="AD2843" s="1" t="s">
        <v>98</v>
      </c>
      <c r="AE2843" s="1" t="s">
        <v>98</v>
      </c>
      <c r="AF2843" s="1" t="s">
        <v>46175</v>
      </c>
      <c r="AG2843" s="1" t="s">
        <v>46176</v>
      </c>
      <c r="AH2843" s="1" t="s">
        <v>414</v>
      </c>
      <c r="AI2843" s="1" t="s">
        <v>603</v>
      </c>
      <c r="AJ2843" s="1">
        <v>82.14</v>
      </c>
      <c r="AK2843" s="1"/>
      <c r="AL2843" s="1" t="s">
        <v>46175</v>
      </c>
      <c r="AM2843" s="1" t="s">
        <v>46176</v>
      </c>
      <c r="AN2843" s="1" t="s">
        <v>465</v>
      </c>
      <c r="AO2843" s="1" t="s">
        <v>1192</v>
      </c>
      <c r="AP2843" s="1" t="s">
        <v>1886</v>
      </c>
      <c r="AQ2843" s="1">
        <v>82.4</v>
      </c>
      <c r="AR2843" s="1"/>
      <c r="AS2843" s="1"/>
      <c r="AT2843" s="1"/>
      <c r="AU2843" s="1"/>
      <c r="AV2843" s="1"/>
      <c r="AW2843" s="1"/>
      <c r="AX2843" s="1"/>
      <c r="AY2843" s="1" t="s">
        <v>11251</v>
      </c>
      <c r="AZ2843" s="1" t="s">
        <v>46177</v>
      </c>
      <c r="BA2843" s="1" t="s">
        <v>466</v>
      </c>
      <c r="BB2843" s="1" t="s">
        <v>467</v>
      </c>
      <c r="BC2843" s="1" t="s">
        <v>110</v>
      </c>
      <c r="BD2843" s="1" t="s">
        <v>14162</v>
      </c>
      <c r="BE2843" s="1">
        <v>57.28</v>
      </c>
      <c r="BF2843" s="1">
        <v>6.03</v>
      </c>
      <c r="BG2843" s="1"/>
      <c r="BH2843" s="1"/>
      <c r="BI2843" s="1"/>
      <c r="BJ2843" s="1"/>
      <c r="BK2843" s="1"/>
      <c r="BL2843" s="1"/>
      <c r="BM2843" s="1"/>
      <c r="BN2843" s="1"/>
      <c r="BO2843" s="1" t="s">
        <v>46178</v>
      </c>
      <c r="BP2843" s="1"/>
      <c r="BQ2843" s="1"/>
      <c r="BR2843" s="1"/>
      <c r="BS2843" s="1"/>
      <c r="BT2843" s="1"/>
      <c r="BU2843" s="1" t="str">
        <f>HYPERLINK("https://nconnect.nicmar.ac.in/storage/profile/6a85bb824c56a.png","Download")</f>
        <v>0</v>
      </c>
      <c r="BV2843" s="3"/>
      <c r="BW2843" s="3"/>
    </row>
    <row r="2844" spans="1:75">
      <c r="A2844" s="1" t="s">
        <v>40673</v>
      </c>
      <c r="B2844" s="1" t="s">
        <v>13976</v>
      </c>
      <c r="C2844" s="1" t="s">
        <v>46179</v>
      </c>
      <c r="D2844" s="1" t="s">
        <v>46180</v>
      </c>
      <c r="E2844" s="1" t="s">
        <v>2168</v>
      </c>
      <c r="F2844" s="1" t="s">
        <v>46181</v>
      </c>
      <c r="G2844" s="1" t="s">
        <v>46182</v>
      </c>
      <c r="H2844" s="1" t="s">
        <v>46183</v>
      </c>
      <c r="I2844" s="1" t="s">
        <v>46183</v>
      </c>
      <c r="J2844" s="1">
        <v>9819089697</v>
      </c>
      <c r="K2844" s="1" t="s">
        <v>84</v>
      </c>
      <c r="L2844" s="1" t="s">
        <v>8276</v>
      </c>
      <c r="M2844" s="1" t="s">
        <v>86</v>
      </c>
      <c r="N2844" s="1" t="s">
        <v>46184</v>
      </c>
      <c r="O2844" s="1" t="s">
        <v>46185</v>
      </c>
      <c r="P2844" s="1" t="s">
        <v>89</v>
      </c>
      <c r="Q2844" s="1" t="s">
        <v>46186</v>
      </c>
      <c r="R2844" s="1" t="s">
        <v>46187</v>
      </c>
      <c r="S2844" s="1">
        <v>9322106920</v>
      </c>
      <c r="T2844" s="1" t="s">
        <v>46188</v>
      </c>
      <c r="U2844" s="1" t="s">
        <v>46189</v>
      </c>
      <c r="V2844" s="1">
        <v>7666134332</v>
      </c>
      <c r="W2844" s="1" t="s">
        <v>15148</v>
      </c>
      <c r="X2844" s="1" t="s">
        <v>46190</v>
      </c>
      <c r="Y2844" s="1" t="s">
        <v>1012</v>
      </c>
      <c r="Z2844" s="1" t="s">
        <v>97</v>
      </c>
      <c r="AA2844" s="1" t="s">
        <v>46190</v>
      </c>
      <c r="AB2844" s="1"/>
      <c r="AC2844" s="1" t="s">
        <v>97</v>
      </c>
      <c r="AD2844" s="1" t="s">
        <v>98</v>
      </c>
      <c r="AE2844" s="1" t="s">
        <v>98</v>
      </c>
      <c r="AF2844" s="1" t="s">
        <v>46191</v>
      </c>
      <c r="AG2844" s="1" t="s">
        <v>46192</v>
      </c>
      <c r="AH2844" s="1" t="s">
        <v>33882</v>
      </c>
      <c r="AI2844" s="1" t="s">
        <v>286</v>
      </c>
      <c r="AJ2844" s="1">
        <v>74</v>
      </c>
      <c r="AK2844" s="1"/>
      <c r="AL2844" s="1"/>
      <c r="AM2844" s="1"/>
      <c r="AN2844" s="1"/>
      <c r="AO2844" s="1"/>
      <c r="AP2844" s="1"/>
      <c r="AQ2844" s="1"/>
      <c r="AR2844" s="1"/>
      <c r="AS2844" s="1" t="s">
        <v>467</v>
      </c>
      <c r="AT2844" s="1" t="s">
        <v>46193</v>
      </c>
      <c r="AU2844" s="1" t="s">
        <v>1192</v>
      </c>
      <c r="AV2844" s="1" t="s">
        <v>441</v>
      </c>
      <c r="AW2844" s="1">
        <v>83.44</v>
      </c>
      <c r="AX2844" s="1"/>
      <c r="AY2844" s="1" t="s">
        <v>46194</v>
      </c>
      <c r="AZ2844" s="1" t="s">
        <v>46195</v>
      </c>
      <c r="BA2844" s="1" t="s">
        <v>578</v>
      </c>
      <c r="BB2844" s="1" t="s">
        <v>467</v>
      </c>
      <c r="BC2844" s="1" t="s">
        <v>1886</v>
      </c>
      <c r="BD2844" s="1" t="s">
        <v>14866</v>
      </c>
      <c r="BE2844" s="1">
        <v>56.82</v>
      </c>
      <c r="BF2844" s="1">
        <v>6.22</v>
      </c>
      <c r="BG2844" s="1"/>
      <c r="BH2844" s="1"/>
      <c r="BI2844" s="1"/>
      <c r="BJ2844" s="1"/>
      <c r="BK2844" s="1"/>
      <c r="BL2844" s="1"/>
      <c r="BM2844" s="1"/>
      <c r="BN2844" s="1"/>
      <c r="BO2844" s="1" t="s">
        <v>11309</v>
      </c>
      <c r="BP2844" s="1" t="s">
        <v>46196</v>
      </c>
      <c r="BQ2844" s="1" t="s">
        <v>2577</v>
      </c>
      <c r="BR2844" s="1"/>
      <c r="BS2844" s="1"/>
      <c r="BT2844" s="1"/>
      <c r="BU2844" s="1" t="s">
        <v>9653</v>
      </c>
      <c r="BV2844" s="3"/>
      <c r="BW2844" s="3"/>
    </row>
    <row r="2845" spans="1:75">
      <c r="A2845" s="1" t="s">
        <v>40673</v>
      </c>
      <c r="B2845" s="1" t="s">
        <v>13976</v>
      </c>
      <c r="C2845" s="1" t="s">
        <v>46197</v>
      </c>
      <c r="D2845" s="1" t="s">
        <v>46198</v>
      </c>
      <c r="E2845" s="1"/>
      <c r="F2845" s="1" t="s">
        <v>46199</v>
      </c>
      <c r="G2845" s="1" t="s">
        <v>46200</v>
      </c>
      <c r="H2845" s="1" t="s">
        <v>46201</v>
      </c>
      <c r="I2845" s="1" t="s">
        <v>46202</v>
      </c>
      <c r="J2845" s="1">
        <v>9669599569</v>
      </c>
      <c r="K2845" s="1" t="s">
        <v>84</v>
      </c>
      <c r="L2845" s="1" t="s">
        <v>11957</v>
      </c>
      <c r="M2845" s="1" t="s">
        <v>86</v>
      </c>
      <c r="N2845" s="1" t="s">
        <v>4857</v>
      </c>
      <c r="O2845" s="1" t="s">
        <v>46203</v>
      </c>
      <c r="P2845" s="1" t="s">
        <v>219</v>
      </c>
      <c r="Q2845" s="1">
        <v>692751665597</v>
      </c>
      <c r="R2845" s="1" t="s">
        <v>46204</v>
      </c>
      <c r="S2845" s="1">
        <v>9105976696</v>
      </c>
      <c r="T2845" s="1" t="s">
        <v>16937</v>
      </c>
      <c r="U2845" s="1" t="s">
        <v>46205</v>
      </c>
      <c r="V2845" s="1">
        <v>9997226696</v>
      </c>
      <c r="W2845" s="1" t="s">
        <v>15866</v>
      </c>
      <c r="X2845" s="1" t="s">
        <v>46206</v>
      </c>
      <c r="Y2845" s="1" t="s">
        <v>794</v>
      </c>
      <c r="Z2845" s="1" t="s">
        <v>544</v>
      </c>
      <c r="AA2845" s="1" t="s">
        <v>46207</v>
      </c>
      <c r="AB2845" s="1" t="s">
        <v>794</v>
      </c>
      <c r="AC2845" s="1" t="s">
        <v>544</v>
      </c>
      <c r="AD2845" s="1" t="s">
        <v>98</v>
      </c>
      <c r="AE2845" s="1" t="s">
        <v>98</v>
      </c>
      <c r="AF2845" s="1" t="s">
        <v>46208</v>
      </c>
      <c r="AG2845" s="1" t="s">
        <v>46209</v>
      </c>
      <c r="AH2845" s="1" t="s">
        <v>1110</v>
      </c>
      <c r="AI2845" s="1" t="s">
        <v>573</v>
      </c>
      <c r="AJ2845" s="1">
        <v>80.2</v>
      </c>
      <c r="AK2845" s="1"/>
      <c r="AL2845" s="1" t="s">
        <v>46210</v>
      </c>
      <c r="AM2845" s="1" t="s">
        <v>46211</v>
      </c>
      <c r="AN2845" s="1" t="s">
        <v>465</v>
      </c>
      <c r="AO2845" s="1" t="s">
        <v>704</v>
      </c>
      <c r="AP2845" s="1" t="s">
        <v>313</v>
      </c>
      <c r="AQ2845" s="1">
        <v>51</v>
      </c>
      <c r="AR2845" s="1"/>
      <c r="AS2845" s="1"/>
      <c r="AT2845" s="1"/>
      <c r="AU2845" s="1"/>
      <c r="AV2845" s="1"/>
      <c r="AW2845" s="1"/>
      <c r="AX2845" s="1"/>
      <c r="AY2845" s="1" t="s">
        <v>19105</v>
      </c>
      <c r="AZ2845" s="1" t="s">
        <v>46212</v>
      </c>
      <c r="BA2845" s="1" t="s">
        <v>578</v>
      </c>
      <c r="BB2845" s="1" t="s">
        <v>467</v>
      </c>
      <c r="BC2845" s="1" t="s">
        <v>315</v>
      </c>
      <c r="BD2845" s="1" t="s">
        <v>1089</v>
      </c>
      <c r="BE2845" s="1">
        <v>60</v>
      </c>
      <c r="BF2845" s="1">
        <v>6.39</v>
      </c>
      <c r="BG2845" s="1"/>
      <c r="BH2845" s="1"/>
      <c r="BI2845" s="1"/>
      <c r="BJ2845" s="1"/>
      <c r="BK2845" s="1"/>
      <c r="BL2845" s="1"/>
      <c r="BM2845" s="1"/>
      <c r="BN2845" s="1"/>
      <c r="BO2845" s="1" t="s">
        <v>46213</v>
      </c>
      <c r="BP2845" s="1"/>
      <c r="BQ2845" s="1"/>
      <c r="BR2845" s="1"/>
      <c r="BS2845" s="1"/>
      <c r="BT2845" s="1" t="s">
        <v>46214</v>
      </c>
      <c r="BU2845" s="1" t="str">
        <f>HYPERLINK("https://nconnect.nicmar.ac.in/storage/profile/6a846be242b5b.png","Download")</f>
        <v>0</v>
      </c>
      <c r="BV2845" s="3"/>
      <c r="BW2845" s="3"/>
    </row>
    <row r="2846" spans="1:75">
      <c r="A2846" s="1" t="s">
        <v>40673</v>
      </c>
      <c r="B2846" s="1" t="s">
        <v>13976</v>
      </c>
      <c r="C2846" s="1" t="s">
        <v>46215</v>
      </c>
      <c r="D2846" s="1" t="s">
        <v>23889</v>
      </c>
      <c r="E2846" s="1" t="s">
        <v>46216</v>
      </c>
      <c r="F2846" s="1" t="s">
        <v>46217</v>
      </c>
      <c r="G2846" s="1" t="s">
        <v>46218</v>
      </c>
      <c r="H2846" s="1" t="s">
        <v>46219</v>
      </c>
      <c r="I2846" s="1" t="s">
        <v>46220</v>
      </c>
      <c r="J2846" s="1">
        <v>7620789530</v>
      </c>
      <c r="K2846" s="1" t="s">
        <v>153</v>
      </c>
      <c r="L2846" s="1" t="s">
        <v>38604</v>
      </c>
      <c r="M2846" s="1" t="s">
        <v>86</v>
      </c>
      <c r="N2846" s="1" t="s">
        <v>6390</v>
      </c>
      <c r="O2846" s="1" t="s">
        <v>46221</v>
      </c>
      <c r="P2846" s="1" t="s">
        <v>122</v>
      </c>
      <c r="Q2846" s="1">
        <v>599272662990</v>
      </c>
      <c r="R2846" s="1" t="s">
        <v>46222</v>
      </c>
      <c r="S2846" s="1">
        <v>9834884516</v>
      </c>
      <c r="T2846" s="1" t="s">
        <v>13987</v>
      </c>
      <c r="U2846" s="1" t="s">
        <v>46223</v>
      </c>
      <c r="V2846" s="1">
        <v>9764281472</v>
      </c>
      <c r="W2846" s="1" t="s">
        <v>14212</v>
      </c>
      <c r="X2846" s="1" t="s">
        <v>46224</v>
      </c>
      <c r="Y2846" s="1" t="s">
        <v>1145</v>
      </c>
      <c r="Z2846" s="1" t="s">
        <v>97</v>
      </c>
      <c r="AA2846" s="1" t="s">
        <v>46224</v>
      </c>
      <c r="AB2846" s="1" t="s">
        <v>1145</v>
      </c>
      <c r="AC2846" s="1" t="s">
        <v>97</v>
      </c>
      <c r="AD2846" s="1" t="s">
        <v>98</v>
      </c>
      <c r="AE2846" s="1" t="s">
        <v>98</v>
      </c>
      <c r="AF2846" s="1" t="s">
        <v>46225</v>
      </c>
      <c r="AG2846" s="1" t="s">
        <v>46226</v>
      </c>
      <c r="AH2846" s="1" t="s">
        <v>106</v>
      </c>
      <c r="AI2846" s="1" t="s">
        <v>414</v>
      </c>
      <c r="AJ2846" s="1">
        <v>61.0</v>
      </c>
      <c r="AK2846" s="1"/>
      <c r="AL2846" s="1" t="s">
        <v>46227</v>
      </c>
      <c r="AM2846" s="1" t="s">
        <v>46226</v>
      </c>
      <c r="AN2846" s="1" t="s">
        <v>575</v>
      </c>
      <c r="AO2846" s="1" t="s">
        <v>178</v>
      </c>
      <c r="AP2846" s="1" t="s">
        <v>2304</v>
      </c>
      <c r="AQ2846" s="1">
        <v>71.0</v>
      </c>
      <c r="AR2846" s="1"/>
      <c r="AS2846" s="1"/>
      <c r="AT2846" s="1"/>
      <c r="AU2846" s="1"/>
      <c r="AV2846" s="1"/>
      <c r="AW2846" s="1"/>
      <c r="AX2846" s="1"/>
      <c r="AY2846" s="1" t="s">
        <v>21242</v>
      </c>
      <c r="AZ2846" s="1" t="s">
        <v>46228</v>
      </c>
      <c r="BA2846" s="1" t="s">
        <v>466</v>
      </c>
      <c r="BB2846" s="1" t="s">
        <v>44085</v>
      </c>
      <c r="BC2846" s="1" t="s">
        <v>1825</v>
      </c>
      <c r="BD2846" s="1" t="s">
        <v>19064</v>
      </c>
      <c r="BE2846" s="1">
        <v>64.6</v>
      </c>
      <c r="BF2846" s="1"/>
      <c r="BG2846" s="1"/>
      <c r="BH2846" s="1"/>
      <c r="BI2846" s="1"/>
      <c r="BJ2846" s="1"/>
      <c r="BK2846" s="1"/>
      <c r="BL2846" s="1"/>
      <c r="BM2846" s="1"/>
      <c r="BN2846" s="1"/>
      <c r="BO2846" s="1" t="s">
        <v>46229</v>
      </c>
      <c r="BP2846" s="1"/>
      <c r="BQ2846" s="1"/>
      <c r="BR2846" s="1" t="s">
        <v>46230</v>
      </c>
      <c r="BS2846" s="1">
        <v>66</v>
      </c>
      <c r="BT2846" s="1" t="s">
        <v>849</v>
      </c>
      <c r="BU2846" s="1" t="str">
        <f>HYPERLINK("https://nconnect.nicmar.ac.in/storage/profile/6a87bce31dccb.png","Download")</f>
        <v>0</v>
      </c>
      <c r="BV2846" s="3"/>
      <c r="BW2846" s="3"/>
    </row>
    <row r="2847" spans="1:75">
      <c r="A2847" s="1" t="s">
        <v>40673</v>
      </c>
      <c r="B2847" s="1" t="s">
        <v>13976</v>
      </c>
      <c r="C2847" s="1" t="s">
        <v>46231</v>
      </c>
      <c r="D2847" s="1" t="s">
        <v>39971</v>
      </c>
      <c r="E2847" s="1" t="s">
        <v>22553</v>
      </c>
      <c r="F2847" s="1" t="s">
        <v>46232</v>
      </c>
      <c r="G2847" s="1" t="s">
        <v>46233</v>
      </c>
      <c r="H2847" s="1" t="s">
        <v>46234</v>
      </c>
      <c r="I2847" s="1" t="s">
        <v>46235</v>
      </c>
      <c r="J2847" s="1">
        <v>8830613715</v>
      </c>
      <c r="K2847" s="1" t="s">
        <v>84</v>
      </c>
      <c r="L2847" s="1" t="s">
        <v>46236</v>
      </c>
      <c r="M2847" s="1" t="s">
        <v>86</v>
      </c>
      <c r="N2847" s="1" t="s">
        <v>15008</v>
      </c>
      <c r="O2847" s="1" t="s">
        <v>46237</v>
      </c>
      <c r="P2847" s="1" t="s">
        <v>122</v>
      </c>
      <c r="Q2847" s="1">
        <v>492968592500</v>
      </c>
      <c r="R2847" s="1" t="s">
        <v>46238</v>
      </c>
      <c r="S2847" s="1">
        <v>8999163265</v>
      </c>
      <c r="T2847" s="1" t="s">
        <v>13987</v>
      </c>
      <c r="U2847" s="1" t="s">
        <v>24910</v>
      </c>
      <c r="V2847" s="1">
        <v>8767656693</v>
      </c>
      <c r="W2847" s="1" t="s">
        <v>14154</v>
      </c>
      <c r="X2847" s="1" t="s">
        <v>46239</v>
      </c>
      <c r="Y2847" s="1" t="s">
        <v>1145</v>
      </c>
      <c r="Z2847" s="1" t="s">
        <v>97</v>
      </c>
      <c r="AA2847" s="1" t="s">
        <v>46239</v>
      </c>
      <c r="AB2847" s="1" t="s">
        <v>1145</v>
      </c>
      <c r="AC2847" s="1" t="s">
        <v>97</v>
      </c>
      <c r="AD2847" s="1" t="s">
        <v>98</v>
      </c>
      <c r="AE2847" s="1" t="s">
        <v>98</v>
      </c>
      <c r="AF2847" s="1" t="s">
        <v>46240</v>
      </c>
      <c r="AG2847" s="1" t="s">
        <v>23189</v>
      </c>
      <c r="AH2847" s="1" t="s">
        <v>438</v>
      </c>
      <c r="AI2847" s="1" t="s">
        <v>603</v>
      </c>
      <c r="AJ2847" s="1">
        <v>87.8</v>
      </c>
      <c r="AK2847" s="1"/>
      <c r="AL2847" s="1"/>
      <c r="AM2847" s="1"/>
      <c r="AN2847" s="1"/>
      <c r="AO2847" s="1"/>
      <c r="AP2847" s="1"/>
      <c r="AQ2847" s="1"/>
      <c r="AR2847" s="1"/>
      <c r="AS2847" s="1" t="s">
        <v>46241</v>
      </c>
      <c r="AT2847" s="1" t="s">
        <v>46242</v>
      </c>
      <c r="AU2847" s="1" t="s">
        <v>603</v>
      </c>
      <c r="AV2847" s="1" t="s">
        <v>234</v>
      </c>
      <c r="AW2847" s="1">
        <v>71.94</v>
      </c>
      <c r="AX2847" s="1"/>
      <c r="AY2847" s="1" t="s">
        <v>46243</v>
      </c>
      <c r="AZ2847" s="1" t="s">
        <v>46244</v>
      </c>
      <c r="BA2847" s="1" t="s">
        <v>466</v>
      </c>
      <c r="BB2847" s="1" t="s">
        <v>44085</v>
      </c>
      <c r="BC2847" s="1" t="s">
        <v>391</v>
      </c>
      <c r="BD2847" s="1" t="s">
        <v>14494</v>
      </c>
      <c r="BE2847" s="1">
        <v>64.89</v>
      </c>
      <c r="BF2847" s="1">
        <v>6.83</v>
      </c>
      <c r="BG2847" s="1"/>
      <c r="BH2847" s="1"/>
      <c r="BI2847" s="1"/>
      <c r="BJ2847" s="1"/>
      <c r="BK2847" s="1"/>
      <c r="BL2847" s="1"/>
      <c r="BM2847" s="1"/>
      <c r="BN2847" s="1"/>
      <c r="BO2847" s="1" t="s">
        <v>46245</v>
      </c>
      <c r="BP2847" s="1"/>
      <c r="BQ2847" s="1"/>
      <c r="BR2847" s="1" t="s">
        <v>46246</v>
      </c>
      <c r="BS2847" s="1">
        <v>6</v>
      </c>
      <c r="BT2847" s="1"/>
      <c r="BU2847" s="1" t="str">
        <f>HYPERLINK("https://nconnect.nicmar.ac.in/storage/profile/6a858a02615b5.png","Download")</f>
        <v>0</v>
      </c>
      <c r="BV2847" s="3"/>
      <c r="BW2847" s="3"/>
    </row>
    <row r="2848" spans="1:75">
      <c r="A2848" s="1" t="s">
        <v>40673</v>
      </c>
      <c r="B2848" s="1" t="s">
        <v>13976</v>
      </c>
      <c r="C2848" s="1" t="s">
        <v>46247</v>
      </c>
      <c r="D2848" s="1" t="s">
        <v>22780</v>
      </c>
      <c r="E2848" s="1" t="s">
        <v>17194</v>
      </c>
      <c r="F2848" s="1" t="s">
        <v>46248</v>
      </c>
      <c r="G2848" s="1" t="s">
        <v>46249</v>
      </c>
      <c r="H2848" s="1" t="s">
        <v>46250</v>
      </c>
      <c r="I2848" s="1" t="s">
        <v>46250</v>
      </c>
      <c r="J2848" s="1">
        <v>8010713497</v>
      </c>
      <c r="K2848" s="1" t="s">
        <v>84</v>
      </c>
      <c r="L2848" s="1" t="s">
        <v>46251</v>
      </c>
      <c r="M2848" s="1" t="s">
        <v>86</v>
      </c>
      <c r="N2848" s="1" t="s">
        <v>46252</v>
      </c>
      <c r="O2848" s="1" t="s">
        <v>46253</v>
      </c>
      <c r="P2848" s="1" t="s">
        <v>89</v>
      </c>
      <c r="Q2848" s="1">
        <v>651149534214</v>
      </c>
      <c r="R2848" s="1" t="s">
        <v>17186</v>
      </c>
      <c r="S2848" s="1">
        <v>9146910142</v>
      </c>
      <c r="T2848" s="1" t="s">
        <v>46254</v>
      </c>
      <c r="U2848" s="1" t="s">
        <v>46255</v>
      </c>
      <c r="V2848" s="1">
        <v>9822516759</v>
      </c>
      <c r="W2848" s="1" t="s">
        <v>46256</v>
      </c>
      <c r="X2848" s="1" t="s">
        <v>46257</v>
      </c>
      <c r="Y2848" s="1" t="s">
        <v>196</v>
      </c>
      <c r="Z2848" s="1" t="s">
        <v>97</v>
      </c>
      <c r="AA2848" s="1" t="s">
        <v>46257</v>
      </c>
      <c r="AB2848" s="1" t="s">
        <v>196</v>
      </c>
      <c r="AC2848" s="1" t="s">
        <v>97</v>
      </c>
      <c r="AD2848" s="1" t="s">
        <v>98</v>
      </c>
      <c r="AE2848" s="1" t="s">
        <v>98</v>
      </c>
      <c r="AF2848" s="1" t="s">
        <v>46258</v>
      </c>
      <c r="AG2848" s="1" t="s">
        <v>46259</v>
      </c>
      <c r="AH2848" s="1" t="s">
        <v>167</v>
      </c>
      <c r="AI2848" s="1" t="s">
        <v>438</v>
      </c>
      <c r="AJ2848" s="1">
        <v>72.2</v>
      </c>
      <c r="AK2848" s="1"/>
      <c r="AL2848" s="1" t="s">
        <v>46260</v>
      </c>
      <c r="AM2848" s="1" t="s">
        <v>46261</v>
      </c>
      <c r="AN2848" s="1" t="s">
        <v>465</v>
      </c>
      <c r="AO2848" s="1" t="s">
        <v>315</v>
      </c>
      <c r="AP2848" s="1" t="s">
        <v>845</v>
      </c>
      <c r="AQ2848" s="1">
        <v>87.7</v>
      </c>
      <c r="AR2848" s="1"/>
      <c r="AS2848" s="1"/>
      <c r="AT2848" s="1"/>
      <c r="AU2848" s="1"/>
      <c r="AV2848" s="1"/>
      <c r="AW2848" s="1"/>
      <c r="AX2848" s="1"/>
      <c r="AY2848" s="1" t="s">
        <v>46262</v>
      </c>
      <c r="AZ2848" s="1" t="s">
        <v>46263</v>
      </c>
      <c r="BA2848" s="1" t="s">
        <v>578</v>
      </c>
      <c r="BB2848" s="1" t="s">
        <v>467</v>
      </c>
      <c r="BC2848" s="1" t="s">
        <v>289</v>
      </c>
      <c r="BD2848" s="1" t="s">
        <v>14162</v>
      </c>
      <c r="BE2848" s="1">
        <v>66</v>
      </c>
      <c r="BF2848" s="1">
        <v>6.56</v>
      </c>
      <c r="BG2848" s="1"/>
      <c r="BH2848" s="1"/>
      <c r="BI2848" s="1"/>
      <c r="BJ2848" s="1"/>
      <c r="BK2848" s="1"/>
      <c r="BL2848" s="1"/>
      <c r="BM2848" s="1"/>
      <c r="BN2848" s="1"/>
      <c r="BO2848" s="1" t="s">
        <v>46164</v>
      </c>
      <c r="BP2848" s="1"/>
      <c r="BQ2848" s="1"/>
      <c r="BR2848" s="1"/>
      <c r="BS2848" s="1"/>
      <c r="BT2848" s="1"/>
      <c r="BU2848" s="1" t="s">
        <v>9653</v>
      </c>
      <c r="BV2848" s="3"/>
      <c r="BW2848" s="3"/>
    </row>
    <row r="2849" spans="1:75">
      <c r="A2849" s="1" t="s">
        <v>46264</v>
      </c>
      <c r="B2849" s="1" t="s">
        <v>13976</v>
      </c>
      <c r="C2849" s="1" t="s">
        <v>46265</v>
      </c>
      <c r="D2849" s="1" t="s">
        <v>46266</v>
      </c>
      <c r="E2849" s="1"/>
      <c r="F2849" s="1" t="s">
        <v>16616</v>
      </c>
      <c r="G2849" s="1" t="s">
        <v>46267</v>
      </c>
      <c r="H2849" s="1" t="s">
        <v>46268</v>
      </c>
      <c r="I2849" s="1" t="s">
        <v>46269</v>
      </c>
      <c r="J2849" s="1">
        <v>7250330082</v>
      </c>
      <c r="K2849" s="1" t="s">
        <v>84</v>
      </c>
      <c r="L2849" s="1" t="s">
        <v>37710</v>
      </c>
      <c r="M2849" s="1" t="s">
        <v>86</v>
      </c>
      <c r="N2849" s="1" t="s">
        <v>4857</v>
      </c>
      <c r="O2849" s="1" t="s">
        <v>46270</v>
      </c>
      <c r="P2849" s="1" t="s">
        <v>219</v>
      </c>
      <c r="Q2849" s="1">
        <v>923077285548</v>
      </c>
      <c r="R2849" s="1" t="s">
        <v>46271</v>
      </c>
      <c r="S2849" s="1">
        <v>9771486387</v>
      </c>
      <c r="T2849" s="1" t="s">
        <v>46272</v>
      </c>
      <c r="U2849" s="1" t="s">
        <v>46273</v>
      </c>
      <c r="V2849" s="1">
        <v>8789235467</v>
      </c>
      <c r="W2849" s="1" t="s">
        <v>10306</v>
      </c>
      <c r="X2849" s="1" t="s">
        <v>46274</v>
      </c>
      <c r="Y2849" s="1" t="s">
        <v>2954</v>
      </c>
      <c r="Z2849" s="1" t="s">
        <v>2955</v>
      </c>
      <c r="AA2849" s="1" t="s">
        <v>46274</v>
      </c>
      <c r="AB2849" s="1" t="s">
        <v>2954</v>
      </c>
      <c r="AC2849" s="1" t="s">
        <v>2955</v>
      </c>
      <c r="AD2849" s="1" t="s">
        <v>98</v>
      </c>
      <c r="AE2849" s="1" t="s">
        <v>98</v>
      </c>
      <c r="AF2849" s="1" t="s">
        <v>46275</v>
      </c>
      <c r="AG2849" s="1" t="s">
        <v>15511</v>
      </c>
      <c r="AH2849" s="1" t="s">
        <v>547</v>
      </c>
      <c r="AI2849" s="1" t="s">
        <v>1040</v>
      </c>
      <c r="AJ2849" s="1">
        <v>87.0</v>
      </c>
      <c r="AK2849" s="1"/>
      <c r="AL2849" s="1" t="s">
        <v>46276</v>
      </c>
      <c r="AM2849" s="1" t="s">
        <v>15511</v>
      </c>
      <c r="AN2849" s="1" t="s">
        <v>465</v>
      </c>
      <c r="AO2849" s="1" t="s">
        <v>845</v>
      </c>
      <c r="AP2849" s="1" t="s">
        <v>110</v>
      </c>
      <c r="AQ2849" s="1">
        <v>79.16</v>
      </c>
      <c r="AR2849" s="1"/>
      <c r="AS2849" s="1"/>
      <c r="AT2849" s="1"/>
      <c r="AU2849" s="1"/>
      <c r="AV2849" s="1"/>
      <c r="AW2849" s="1"/>
      <c r="AX2849" s="1"/>
      <c r="AY2849" s="1" t="s">
        <v>46277</v>
      </c>
      <c r="AZ2849" s="1" t="s">
        <v>46278</v>
      </c>
      <c r="BA2849" s="1" t="s">
        <v>466</v>
      </c>
      <c r="BB2849" s="1" t="s">
        <v>467</v>
      </c>
      <c r="BC2849" s="1" t="s">
        <v>110</v>
      </c>
      <c r="BD2849" s="1" t="s">
        <v>9688</v>
      </c>
      <c r="BE2849" s="1">
        <v>90.6</v>
      </c>
      <c r="BF2849" s="1">
        <v>9.06</v>
      </c>
      <c r="BG2849" s="1"/>
      <c r="BH2849" s="1"/>
      <c r="BI2849" s="1"/>
      <c r="BJ2849" s="1"/>
      <c r="BK2849" s="1"/>
      <c r="BL2849" s="1"/>
      <c r="BM2849" s="1"/>
      <c r="BN2849" s="1"/>
      <c r="BO2849" s="1" t="s">
        <v>46279</v>
      </c>
      <c r="BP2849" s="1"/>
      <c r="BQ2849" s="1"/>
      <c r="BR2849" s="1" t="s">
        <v>46280</v>
      </c>
      <c r="BS2849" s="1">
        <v>22</v>
      </c>
      <c r="BT2849" s="1" t="s">
        <v>46281</v>
      </c>
      <c r="BU2849" s="1" t="str">
        <f>HYPERLINK("https://nconnect.nicmar.ac.in/storage/profile/6a86a9b5c9d75.png","Download")</f>
        <v>0</v>
      </c>
      <c r="BV2849" s="3"/>
      <c r="BW2849" s="3"/>
    </row>
    <row r="2850" spans="1:75">
      <c r="A2850" s="1" t="s">
        <v>46264</v>
      </c>
      <c r="B2850" s="1" t="s">
        <v>13976</v>
      </c>
      <c r="C2850" s="1" t="s">
        <v>46282</v>
      </c>
      <c r="D2850" s="1" t="s">
        <v>26214</v>
      </c>
      <c r="E2850" s="1" t="s">
        <v>46283</v>
      </c>
      <c r="F2850" s="1" t="s">
        <v>46284</v>
      </c>
      <c r="G2850" s="1" t="s">
        <v>46285</v>
      </c>
      <c r="H2850" s="1" t="s">
        <v>46286</v>
      </c>
      <c r="I2850" s="1" t="s">
        <v>46286</v>
      </c>
      <c r="J2850" s="1">
        <v>7676286929</v>
      </c>
      <c r="K2850" s="1" t="s">
        <v>84</v>
      </c>
      <c r="L2850" s="1" t="s">
        <v>20094</v>
      </c>
      <c r="M2850" s="1" t="s">
        <v>86</v>
      </c>
      <c r="N2850" s="1" t="s">
        <v>768</v>
      </c>
      <c r="O2850" s="1" t="s">
        <v>157</v>
      </c>
      <c r="P2850" s="1" t="s">
        <v>219</v>
      </c>
      <c r="Q2850" s="1">
        <v>906427170505</v>
      </c>
      <c r="R2850" s="1" t="s">
        <v>46287</v>
      </c>
      <c r="S2850" s="1">
        <v>9480221859</v>
      </c>
      <c r="T2850" s="1" t="s">
        <v>125</v>
      </c>
      <c r="U2850" s="1" t="s">
        <v>46288</v>
      </c>
      <c r="V2850" s="1">
        <v>8088198565</v>
      </c>
      <c r="W2850" s="1" t="s">
        <v>541</v>
      </c>
      <c r="X2850" s="1" t="s">
        <v>46289</v>
      </c>
      <c r="Y2850" s="1" t="s">
        <v>6871</v>
      </c>
      <c r="Z2850" s="1" t="s">
        <v>1210</v>
      </c>
      <c r="AA2850" s="1" t="s">
        <v>46289</v>
      </c>
      <c r="AB2850" s="1" t="s">
        <v>6871</v>
      </c>
      <c r="AC2850" s="1" t="s">
        <v>1210</v>
      </c>
      <c r="AD2850" s="1" t="s">
        <v>98</v>
      </c>
      <c r="AE2850" s="1" t="s">
        <v>98</v>
      </c>
      <c r="AF2850" s="1" t="s">
        <v>46290</v>
      </c>
      <c r="AG2850" s="1" t="s">
        <v>1946</v>
      </c>
      <c r="AH2850" s="1" t="s">
        <v>315</v>
      </c>
      <c r="AI2850" s="1" t="s">
        <v>178</v>
      </c>
      <c r="AJ2850" s="1">
        <v>60.48</v>
      </c>
      <c r="AK2850" s="1"/>
      <c r="AL2850" s="1" t="s">
        <v>46291</v>
      </c>
      <c r="AM2850" s="1" t="s">
        <v>46292</v>
      </c>
      <c r="AN2850" s="1" t="s">
        <v>465</v>
      </c>
      <c r="AO2850" s="1" t="s">
        <v>441</v>
      </c>
      <c r="AP2850" s="1" t="s">
        <v>110</v>
      </c>
      <c r="AQ2850" s="1">
        <v>66.5</v>
      </c>
      <c r="AR2850" s="1"/>
      <c r="AS2850" s="1"/>
      <c r="AT2850" s="1"/>
      <c r="AU2850" s="1"/>
      <c r="AV2850" s="1"/>
      <c r="AW2850" s="1"/>
      <c r="AX2850" s="1"/>
      <c r="AY2850" s="1" t="s">
        <v>16359</v>
      </c>
      <c r="AZ2850" s="1" t="s">
        <v>46293</v>
      </c>
      <c r="BA2850" s="1" t="s">
        <v>578</v>
      </c>
      <c r="BB2850" s="1" t="s">
        <v>467</v>
      </c>
      <c r="BC2850" s="1" t="s">
        <v>1889</v>
      </c>
      <c r="BD2850" s="1" t="s">
        <v>14083</v>
      </c>
      <c r="BE2850" s="1">
        <v>90</v>
      </c>
      <c r="BF2850" s="1">
        <v>9</v>
      </c>
      <c r="BG2850" s="1"/>
      <c r="BH2850" s="1"/>
      <c r="BI2850" s="1"/>
      <c r="BJ2850" s="1"/>
      <c r="BK2850" s="1"/>
      <c r="BL2850" s="1"/>
      <c r="BM2850" s="1"/>
      <c r="BN2850" s="1"/>
      <c r="BO2850" s="1" t="s">
        <v>46294</v>
      </c>
      <c r="BP2850" s="1"/>
      <c r="BQ2850" s="1"/>
      <c r="BR2850" s="1"/>
      <c r="BS2850" s="1"/>
      <c r="BT2850" s="1"/>
      <c r="BU2850" s="1" t="str">
        <f>HYPERLINK("https://nconnect.nicmar.ac.in/storage/profile/6a85f4f3ee12f.png","Download")</f>
        <v>0</v>
      </c>
      <c r="BV2850" s="3"/>
      <c r="BW2850" s="3"/>
    </row>
    <row r="2851" spans="1:75">
      <c r="A2851" s="1" t="s">
        <v>46264</v>
      </c>
      <c r="B2851" s="1" t="s">
        <v>13976</v>
      </c>
      <c r="C2851" s="1" t="s">
        <v>46295</v>
      </c>
      <c r="D2851" s="1" t="s">
        <v>18390</v>
      </c>
      <c r="E2851" s="1"/>
      <c r="F2851" s="1" t="s">
        <v>9671</v>
      </c>
      <c r="G2851" s="1" t="s">
        <v>46296</v>
      </c>
      <c r="H2851" s="1" t="s">
        <v>46297</v>
      </c>
      <c r="I2851" s="1" t="s">
        <v>46298</v>
      </c>
      <c r="J2851" s="1">
        <v>7819095397</v>
      </c>
      <c r="K2851" s="1" t="s">
        <v>84</v>
      </c>
      <c r="L2851" s="1" t="s">
        <v>14348</v>
      </c>
      <c r="M2851" s="1" t="s">
        <v>86</v>
      </c>
      <c r="N2851" s="1" t="s">
        <v>4278</v>
      </c>
      <c r="O2851" s="1" t="s">
        <v>46299</v>
      </c>
      <c r="P2851" s="1" t="s">
        <v>219</v>
      </c>
      <c r="Q2851" s="1">
        <v>207090630540</v>
      </c>
      <c r="R2851" s="1" t="s">
        <v>46300</v>
      </c>
      <c r="S2851" s="1">
        <v>9412875819</v>
      </c>
      <c r="T2851" s="1" t="s">
        <v>14335</v>
      </c>
      <c r="U2851" s="1" t="s">
        <v>46301</v>
      </c>
      <c r="V2851" s="1">
        <v>9411941023</v>
      </c>
      <c r="W2851" s="1" t="s">
        <v>14154</v>
      </c>
      <c r="X2851" s="1" t="s">
        <v>46302</v>
      </c>
      <c r="Y2851" s="1" t="s">
        <v>17452</v>
      </c>
      <c r="Z2851" s="1" t="s">
        <v>544</v>
      </c>
      <c r="AA2851" s="1" t="s">
        <v>46302</v>
      </c>
      <c r="AB2851" s="1" t="s">
        <v>17452</v>
      </c>
      <c r="AC2851" s="1" t="s">
        <v>544</v>
      </c>
      <c r="AD2851" s="1" t="s">
        <v>98</v>
      </c>
      <c r="AE2851" s="1" t="s">
        <v>98</v>
      </c>
      <c r="AF2851" s="1" t="s">
        <v>46303</v>
      </c>
      <c r="AG2851" s="1" t="s">
        <v>9682</v>
      </c>
      <c r="AH2851" s="1" t="s">
        <v>547</v>
      </c>
      <c r="AI2851" s="1" t="s">
        <v>417</v>
      </c>
      <c r="AJ2851" s="1">
        <v>88.98</v>
      </c>
      <c r="AK2851" s="1"/>
      <c r="AL2851" s="1" t="s">
        <v>46303</v>
      </c>
      <c r="AM2851" s="1" t="s">
        <v>9682</v>
      </c>
      <c r="AN2851" s="1" t="s">
        <v>465</v>
      </c>
      <c r="AO2851" s="1" t="s">
        <v>2304</v>
      </c>
      <c r="AP2851" s="1" t="s">
        <v>632</v>
      </c>
      <c r="AQ2851" s="1">
        <v>80</v>
      </c>
      <c r="AR2851" s="1"/>
      <c r="AS2851" s="1"/>
      <c r="AT2851" s="1"/>
      <c r="AU2851" s="1"/>
      <c r="AV2851" s="1"/>
      <c r="AW2851" s="1"/>
      <c r="AX2851" s="1"/>
      <c r="AY2851" s="1" t="s">
        <v>46304</v>
      </c>
      <c r="AZ2851" s="1" t="s">
        <v>46304</v>
      </c>
      <c r="BA2851" s="1" t="s">
        <v>466</v>
      </c>
      <c r="BB2851" s="1" t="s">
        <v>467</v>
      </c>
      <c r="BC2851" s="1" t="s">
        <v>110</v>
      </c>
      <c r="BD2851" s="1" t="s">
        <v>9688</v>
      </c>
      <c r="BE2851" s="1">
        <v>77.7</v>
      </c>
      <c r="BF2851" s="1">
        <v>7.77</v>
      </c>
      <c r="BG2851" s="1"/>
      <c r="BH2851" s="1"/>
      <c r="BI2851" s="1"/>
      <c r="BJ2851" s="1"/>
      <c r="BK2851" s="1"/>
      <c r="BL2851" s="1"/>
      <c r="BM2851" s="1"/>
      <c r="BN2851" s="1"/>
      <c r="BO2851" s="1" t="s">
        <v>46305</v>
      </c>
      <c r="BP2851" s="1"/>
      <c r="BQ2851" s="1"/>
      <c r="BR2851" s="1" t="s">
        <v>46306</v>
      </c>
      <c r="BS2851" s="1">
        <v>16</v>
      </c>
      <c r="BT2851" s="1" t="s">
        <v>46307</v>
      </c>
      <c r="BU2851" s="1" t="str">
        <f>HYPERLINK("https://nconnect.nicmar.ac.in/storage/profile/6a8726db2810e.png","Download")</f>
        <v>0</v>
      </c>
      <c r="BV2851" s="3"/>
      <c r="BW2851" s="3"/>
    </row>
    <row r="2852" spans="1:75">
      <c r="A2852" s="1" t="s">
        <v>46264</v>
      </c>
      <c r="B2852" s="1" t="s">
        <v>13976</v>
      </c>
      <c r="C2852" s="1" t="s">
        <v>46308</v>
      </c>
      <c r="D2852" s="1" t="s">
        <v>46309</v>
      </c>
      <c r="E2852" s="1" t="s">
        <v>1853</v>
      </c>
      <c r="F2852" s="1" t="s">
        <v>116</v>
      </c>
      <c r="G2852" s="1" t="s">
        <v>46310</v>
      </c>
      <c r="H2852" s="1" t="s">
        <v>46311</v>
      </c>
      <c r="I2852" s="1" t="s">
        <v>46312</v>
      </c>
      <c r="J2852" s="1">
        <v>8667279031</v>
      </c>
      <c r="K2852" s="1" t="s">
        <v>84</v>
      </c>
      <c r="L2852" s="1" t="s">
        <v>40078</v>
      </c>
      <c r="M2852" s="1" t="s">
        <v>86</v>
      </c>
      <c r="N2852" s="1" t="s">
        <v>8020</v>
      </c>
      <c r="O2852" s="1" t="s">
        <v>46313</v>
      </c>
      <c r="P2852" s="1" t="s">
        <v>219</v>
      </c>
      <c r="Q2852" s="1">
        <v>277798691709</v>
      </c>
      <c r="R2852" s="1" t="s">
        <v>46314</v>
      </c>
      <c r="S2852" s="1">
        <v>8870890793</v>
      </c>
      <c r="T2852" s="1" t="s">
        <v>15679</v>
      </c>
      <c r="U2852" s="1" t="s">
        <v>46315</v>
      </c>
      <c r="V2852" s="1">
        <v>9488344562</v>
      </c>
      <c r="W2852" s="1" t="s">
        <v>3441</v>
      </c>
      <c r="X2852" s="1" t="s">
        <v>46316</v>
      </c>
      <c r="Y2852" s="1" t="s">
        <v>9021</v>
      </c>
      <c r="Z2852" s="1" t="s">
        <v>570</v>
      </c>
      <c r="AA2852" s="1" t="s">
        <v>46316</v>
      </c>
      <c r="AB2852" s="1" t="s">
        <v>9021</v>
      </c>
      <c r="AC2852" s="1" t="s">
        <v>570</v>
      </c>
      <c r="AD2852" s="1" t="s">
        <v>98</v>
      </c>
      <c r="AE2852" s="1" t="s">
        <v>98</v>
      </c>
      <c r="AF2852" s="1" t="s">
        <v>46310</v>
      </c>
      <c r="AG2852" s="1" t="s">
        <v>46317</v>
      </c>
      <c r="AH2852" s="1" t="s">
        <v>315</v>
      </c>
      <c r="AI2852" s="1" t="s">
        <v>14162</v>
      </c>
      <c r="AJ2852" s="1">
        <v>63.2</v>
      </c>
      <c r="AK2852" s="1"/>
      <c r="AL2852" s="1" t="s">
        <v>46310</v>
      </c>
      <c r="AM2852" s="1" t="s">
        <v>46317</v>
      </c>
      <c r="AN2852" s="1" t="s">
        <v>465</v>
      </c>
      <c r="AO2852" s="1" t="s">
        <v>441</v>
      </c>
      <c r="AP2852" s="1" t="s">
        <v>110</v>
      </c>
      <c r="AQ2852" s="1">
        <v>68.2</v>
      </c>
      <c r="AR2852" s="1"/>
      <c r="AS2852" s="1"/>
      <c r="AT2852" s="1"/>
      <c r="AU2852" s="1"/>
      <c r="AV2852" s="1"/>
      <c r="AW2852" s="1"/>
      <c r="AX2852" s="1"/>
      <c r="AY2852" s="1" t="s">
        <v>46310</v>
      </c>
      <c r="AZ2852" s="1" t="s">
        <v>7287</v>
      </c>
      <c r="BA2852" s="1" t="s">
        <v>466</v>
      </c>
      <c r="BB2852" s="1" t="s">
        <v>467</v>
      </c>
      <c r="BC2852" s="1" t="s">
        <v>1802</v>
      </c>
      <c r="BD2852" s="1" t="s">
        <v>9688</v>
      </c>
      <c r="BE2852" s="1">
        <v>73.77</v>
      </c>
      <c r="BF2852" s="1">
        <v>7.38</v>
      </c>
      <c r="BG2852" s="1"/>
      <c r="BH2852" s="1"/>
      <c r="BI2852" s="1"/>
      <c r="BJ2852" s="1"/>
      <c r="BK2852" s="1"/>
      <c r="BL2852" s="1"/>
      <c r="BM2852" s="1"/>
      <c r="BN2852" s="1"/>
      <c r="BO2852" s="1" t="s">
        <v>17164</v>
      </c>
      <c r="BP2852" s="1"/>
      <c r="BQ2852" s="1"/>
      <c r="BR2852" s="1" t="s">
        <v>46318</v>
      </c>
      <c r="BS2852" s="1">
        <v>4</v>
      </c>
      <c r="BT2852" s="1" t="s">
        <v>46319</v>
      </c>
      <c r="BU2852" s="1" t="str">
        <f>HYPERLINK("https://nconnect.nicmar.ac.in/storage/profile/6a87075a5f744.png","Download")</f>
        <v>0</v>
      </c>
      <c r="BV2852" s="3"/>
      <c r="BW2852" s="3"/>
    </row>
    <row r="2853" spans="1:75">
      <c r="A2853" s="1" t="s">
        <v>46264</v>
      </c>
      <c r="B2853" s="1" t="s">
        <v>13976</v>
      </c>
      <c r="C2853" s="1" t="s">
        <v>46320</v>
      </c>
      <c r="D2853" s="1" t="s">
        <v>18203</v>
      </c>
      <c r="E2853" s="1"/>
      <c r="F2853" s="1" t="s">
        <v>812</v>
      </c>
      <c r="G2853" s="1" t="s">
        <v>46321</v>
      </c>
      <c r="H2853" s="1" t="s">
        <v>46322</v>
      </c>
      <c r="I2853" s="1" t="s">
        <v>46322</v>
      </c>
      <c r="J2853" s="1">
        <v>8667546990</v>
      </c>
      <c r="K2853" s="1" t="s">
        <v>84</v>
      </c>
      <c r="L2853" s="1" t="s">
        <v>46323</v>
      </c>
      <c r="M2853" s="1" t="s">
        <v>86</v>
      </c>
      <c r="N2853" s="1" t="s">
        <v>4652</v>
      </c>
      <c r="O2853" s="1" t="s">
        <v>88</v>
      </c>
      <c r="P2853" s="1" t="s">
        <v>122</v>
      </c>
      <c r="Q2853" s="1" t="s">
        <v>46324</v>
      </c>
      <c r="R2853" s="1" t="s">
        <v>46325</v>
      </c>
      <c r="S2853" s="1">
        <v>9976441000</v>
      </c>
      <c r="T2853" s="1" t="s">
        <v>18674</v>
      </c>
      <c r="U2853" s="1" t="s">
        <v>46326</v>
      </c>
      <c r="V2853" s="1">
        <v>6379756262</v>
      </c>
      <c r="W2853" s="1" t="s">
        <v>14032</v>
      </c>
      <c r="X2853" s="1" t="s">
        <v>46327</v>
      </c>
      <c r="Y2853" s="1" t="s">
        <v>18215</v>
      </c>
      <c r="Z2853" s="1" t="s">
        <v>570</v>
      </c>
      <c r="AA2853" s="1" t="s">
        <v>46327</v>
      </c>
      <c r="AB2853" s="1" t="s">
        <v>18215</v>
      </c>
      <c r="AC2853" s="1" t="s">
        <v>570</v>
      </c>
      <c r="AD2853" s="1" t="s">
        <v>98</v>
      </c>
      <c r="AE2853" s="1" t="s">
        <v>98</v>
      </c>
      <c r="AF2853" s="1" t="s">
        <v>46328</v>
      </c>
      <c r="AG2853" s="1" t="s">
        <v>22930</v>
      </c>
      <c r="AH2853" s="1" t="s">
        <v>438</v>
      </c>
      <c r="AI2853" s="1" t="s">
        <v>417</v>
      </c>
      <c r="AJ2853" s="1">
        <v>73.4</v>
      </c>
      <c r="AK2853" s="1"/>
      <c r="AL2853" s="1" t="s">
        <v>46328</v>
      </c>
      <c r="AM2853" s="1" t="s">
        <v>22930</v>
      </c>
      <c r="AN2853" s="1" t="s">
        <v>6380</v>
      </c>
      <c r="AO2853" s="1" t="s">
        <v>847</v>
      </c>
      <c r="AP2853" s="1" t="s">
        <v>632</v>
      </c>
      <c r="AQ2853" s="1">
        <v>78.5</v>
      </c>
      <c r="AR2853" s="1"/>
      <c r="AS2853" s="1"/>
      <c r="AT2853" s="1"/>
      <c r="AU2853" s="1"/>
      <c r="AV2853" s="1"/>
      <c r="AW2853" s="1"/>
      <c r="AX2853" s="1"/>
      <c r="AY2853" s="1" t="s">
        <v>14303</v>
      </c>
      <c r="AZ2853" s="1" t="s">
        <v>46329</v>
      </c>
      <c r="BA2853" s="1" t="s">
        <v>578</v>
      </c>
      <c r="BB2853" s="1" t="s">
        <v>467</v>
      </c>
      <c r="BC2853" s="1" t="s">
        <v>1825</v>
      </c>
      <c r="BD2853" s="1" t="s">
        <v>14101</v>
      </c>
      <c r="BE2853" s="1">
        <v>78</v>
      </c>
      <c r="BF2853" s="1">
        <v>7.8</v>
      </c>
      <c r="BG2853" s="1"/>
      <c r="BH2853" s="1"/>
      <c r="BI2853" s="1"/>
      <c r="BJ2853" s="1"/>
      <c r="BK2853" s="1"/>
      <c r="BL2853" s="1"/>
      <c r="BM2853" s="1"/>
      <c r="BN2853" s="1"/>
      <c r="BO2853" s="1" t="s">
        <v>46330</v>
      </c>
      <c r="BP2853" s="1"/>
      <c r="BQ2853" s="1"/>
      <c r="BR2853" s="1"/>
      <c r="BS2853" s="1"/>
      <c r="BT2853" s="1"/>
      <c r="BU2853" s="1" t="str">
        <f>HYPERLINK("https://nconnect.nicmar.ac.in/storage/profile/6a86f22270873.png","Download")</f>
        <v>0</v>
      </c>
      <c r="BV2853" s="3"/>
      <c r="BW2853" s="3"/>
    </row>
    <row r="2854" spans="1:75">
      <c r="A2854" s="1" t="s">
        <v>46264</v>
      </c>
      <c r="B2854" s="1" t="s">
        <v>13976</v>
      </c>
      <c r="C2854" s="1" t="s">
        <v>46331</v>
      </c>
      <c r="D2854" s="1" t="s">
        <v>25764</v>
      </c>
      <c r="E2854" s="1"/>
      <c r="F2854" s="1" t="s">
        <v>4802</v>
      </c>
      <c r="G2854" s="1" t="s">
        <v>46332</v>
      </c>
      <c r="H2854" s="1" t="s">
        <v>46333</v>
      </c>
      <c r="I2854" s="1" t="s">
        <v>46334</v>
      </c>
      <c r="J2854" s="1">
        <v>8296885408</v>
      </c>
      <c r="K2854" s="1" t="s">
        <v>84</v>
      </c>
      <c r="L2854" s="1" t="s">
        <v>24754</v>
      </c>
      <c r="M2854" s="1" t="s">
        <v>86</v>
      </c>
      <c r="N2854" s="1" t="s">
        <v>46335</v>
      </c>
      <c r="O2854" s="1" t="s">
        <v>46336</v>
      </c>
      <c r="P2854" s="1" t="s">
        <v>219</v>
      </c>
      <c r="Q2854" s="1">
        <v>886085742816</v>
      </c>
      <c r="R2854" s="1" t="s">
        <v>46337</v>
      </c>
      <c r="S2854" s="1">
        <v>9740296279</v>
      </c>
      <c r="T2854" s="1" t="s">
        <v>46338</v>
      </c>
      <c r="U2854" s="1" t="s">
        <v>46339</v>
      </c>
      <c r="V2854" s="1">
        <v>9901712044</v>
      </c>
      <c r="W2854" s="1" t="s">
        <v>161</v>
      </c>
      <c r="X2854" s="1" t="s">
        <v>46340</v>
      </c>
      <c r="Y2854" s="1" t="s">
        <v>3132</v>
      </c>
      <c r="Z2854" s="1" t="s">
        <v>1210</v>
      </c>
      <c r="AA2854" s="1" t="s">
        <v>46340</v>
      </c>
      <c r="AB2854" s="1" t="s">
        <v>3132</v>
      </c>
      <c r="AC2854" s="1" t="s">
        <v>1210</v>
      </c>
      <c r="AD2854" s="1" t="s">
        <v>98</v>
      </c>
      <c r="AE2854" s="1" t="s">
        <v>98</v>
      </c>
      <c r="AF2854" s="1" t="s">
        <v>46341</v>
      </c>
      <c r="AG2854" s="1" t="s">
        <v>46342</v>
      </c>
      <c r="AH2854" s="1" t="s">
        <v>704</v>
      </c>
      <c r="AI2854" s="1" t="s">
        <v>171</v>
      </c>
      <c r="AJ2854" s="1">
        <v>65.0</v>
      </c>
      <c r="AK2854" s="1"/>
      <c r="AL2854" s="1" t="s">
        <v>4614</v>
      </c>
      <c r="AM2854" s="1" t="s">
        <v>46343</v>
      </c>
      <c r="AN2854" s="1" t="s">
        <v>575</v>
      </c>
      <c r="AO2854" s="1" t="s">
        <v>547</v>
      </c>
      <c r="AP2854" s="1" t="s">
        <v>603</v>
      </c>
      <c r="AQ2854" s="1">
        <v>62.16</v>
      </c>
      <c r="AR2854" s="1"/>
      <c r="AS2854" s="1"/>
      <c r="AT2854" s="1"/>
      <c r="AU2854" s="1"/>
      <c r="AV2854" s="1"/>
      <c r="AW2854" s="1"/>
      <c r="AX2854" s="1"/>
      <c r="AY2854" s="1" t="s">
        <v>731</v>
      </c>
      <c r="AZ2854" s="1" t="s">
        <v>46344</v>
      </c>
      <c r="BA2854" s="1" t="s">
        <v>578</v>
      </c>
      <c r="BB2854" s="1" t="s">
        <v>7898</v>
      </c>
      <c r="BC2854" s="1" t="s">
        <v>417</v>
      </c>
      <c r="BD2854" s="1" t="s">
        <v>1242</v>
      </c>
      <c r="BE2854" s="1">
        <v>62.3</v>
      </c>
      <c r="BF2854" s="1">
        <v>6.98</v>
      </c>
      <c r="BG2854" s="1"/>
      <c r="BH2854" s="1"/>
      <c r="BI2854" s="1"/>
      <c r="BJ2854" s="1"/>
      <c r="BK2854" s="1"/>
      <c r="BL2854" s="1"/>
      <c r="BM2854" s="1"/>
      <c r="BN2854" s="1"/>
      <c r="BO2854" s="1" t="s">
        <v>46345</v>
      </c>
      <c r="BP2854" s="1" t="s">
        <v>46346</v>
      </c>
      <c r="BQ2854" s="1" t="s">
        <v>582</v>
      </c>
      <c r="BR2854" s="1" t="s">
        <v>46347</v>
      </c>
      <c r="BS2854" s="1">
        <v>4</v>
      </c>
      <c r="BT2854" s="1"/>
      <c r="BU2854" s="1" t="str">
        <f>HYPERLINK("https://nconnect.nicmar.ac.in/storage/profile/6a848814d7e88.png","Download")</f>
        <v>0</v>
      </c>
      <c r="BV2854" s="3"/>
      <c r="BW2854" s="3"/>
    </row>
    <row r="2855" spans="1:75">
      <c r="A2855" s="1" t="s">
        <v>46264</v>
      </c>
      <c r="B2855" s="1" t="s">
        <v>13976</v>
      </c>
      <c r="C2855" s="1" t="s">
        <v>46348</v>
      </c>
      <c r="D2855" s="1" t="s">
        <v>18519</v>
      </c>
      <c r="E2855" s="1"/>
      <c r="F2855" s="1" t="s">
        <v>7760</v>
      </c>
      <c r="G2855" s="1" t="s">
        <v>46349</v>
      </c>
      <c r="H2855" s="1" t="s">
        <v>46350</v>
      </c>
      <c r="I2855" s="1" t="s">
        <v>46350</v>
      </c>
      <c r="J2855" s="1">
        <v>9843007700</v>
      </c>
      <c r="K2855" s="1" t="s">
        <v>84</v>
      </c>
      <c r="L2855" s="1" t="s">
        <v>46351</v>
      </c>
      <c r="M2855" s="1" t="s">
        <v>86</v>
      </c>
      <c r="N2855" s="1" t="s">
        <v>46352</v>
      </c>
      <c r="O2855" s="1" t="s">
        <v>46353</v>
      </c>
      <c r="P2855" s="1" t="s">
        <v>89</v>
      </c>
      <c r="Q2855" s="1">
        <v>656645310753</v>
      </c>
      <c r="R2855" s="1" t="s">
        <v>46354</v>
      </c>
      <c r="S2855" s="1">
        <v>9841725965</v>
      </c>
      <c r="T2855" s="1" t="s">
        <v>2177</v>
      </c>
      <c r="U2855" s="1" t="s">
        <v>46355</v>
      </c>
      <c r="V2855" s="1">
        <v>7299925965</v>
      </c>
      <c r="W2855" s="1" t="s">
        <v>46356</v>
      </c>
      <c r="X2855" s="1" t="s">
        <v>46357</v>
      </c>
      <c r="Y2855" s="1" t="s">
        <v>1498</v>
      </c>
      <c r="Z2855" s="1" t="s">
        <v>570</v>
      </c>
      <c r="AA2855" s="1" t="s">
        <v>46357</v>
      </c>
      <c r="AB2855" s="1" t="s">
        <v>1498</v>
      </c>
      <c r="AC2855" s="1" t="s">
        <v>570</v>
      </c>
      <c r="AD2855" s="1" t="s">
        <v>98</v>
      </c>
      <c r="AE2855" s="1" t="s">
        <v>98</v>
      </c>
      <c r="AF2855" s="1" t="s">
        <v>46358</v>
      </c>
      <c r="AG2855" s="1" t="s">
        <v>46359</v>
      </c>
      <c r="AH2855" s="1" t="s">
        <v>438</v>
      </c>
      <c r="AI2855" s="1" t="s">
        <v>417</v>
      </c>
      <c r="AJ2855" s="1">
        <v>89.17</v>
      </c>
      <c r="AK2855" s="1"/>
      <c r="AL2855" s="1" t="s">
        <v>46358</v>
      </c>
      <c r="AM2855" s="1" t="s">
        <v>46359</v>
      </c>
      <c r="AN2855" s="1" t="s">
        <v>6380</v>
      </c>
      <c r="AO2855" s="1" t="s">
        <v>847</v>
      </c>
      <c r="AP2855" s="1" t="s">
        <v>632</v>
      </c>
      <c r="AQ2855" s="1">
        <v>84.17</v>
      </c>
      <c r="AR2855" s="1"/>
      <c r="AS2855" s="1"/>
      <c r="AT2855" s="1"/>
      <c r="AU2855" s="1"/>
      <c r="AV2855" s="1"/>
      <c r="AW2855" s="1"/>
      <c r="AX2855" s="1"/>
      <c r="AY2855" s="1" t="s">
        <v>46304</v>
      </c>
      <c r="AZ2855" s="1" t="s">
        <v>46360</v>
      </c>
      <c r="BA2855" s="1" t="s">
        <v>466</v>
      </c>
      <c r="BB2855" s="1" t="s">
        <v>467</v>
      </c>
      <c r="BC2855" s="1" t="s">
        <v>110</v>
      </c>
      <c r="BD2855" s="1" t="s">
        <v>9688</v>
      </c>
      <c r="BE2855" s="1">
        <v>79.2</v>
      </c>
      <c r="BF2855" s="1">
        <v>7.92</v>
      </c>
      <c r="BG2855" s="1"/>
      <c r="BH2855" s="1"/>
      <c r="BI2855" s="1"/>
      <c r="BJ2855" s="1"/>
      <c r="BK2855" s="1"/>
      <c r="BL2855" s="1"/>
      <c r="BM2855" s="1"/>
      <c r="BN2855" s="1"/>
      <c r="BO2855" s="1" t="s">
        <v>46361</v>
      </c>
      <c r="BP2855" s="1"/>
      <c r="BQ2855" s="1"/>
      <c r="BR2855" s="1" t="s">
        <v>46362</v>
      </c>
      <c r="BS2855" s="1">
        <v>57</v>
      </c>
      <c r="BT2855" s="1" t="s">
        <v>46363</v>
      </c>
      <c r="BU2855" s="1" t="str">
        <f>HYPERLINK("https://nconnect.nicmar.ac.in/storage/profile/6a8716972be51.png","Download")</f>
        <v>0</v>
      </c>
      <c r="BV2855" s="3"/>
      <c r="BW2855" s="3"/>
    </row>
    <row r="2856" spans="1:75">
      <c r="A2856" s="1" t="s">
        <v>46264</v>
      </c>
      <c r="B2856" s="1" t="s">
        <v>13976</v>
      </c>
      <c r="C2856" s="1" t="s">
        <v>46364</v>
      </c>
      <c r="D2856" s="1" t="s">
        <v>15348</v>
      </c>
      <c r="E2856" s="1"/>
      <c r="F2856" s="1" t="s">
        <v>46365</v>
      </c>
      <c r="G2856" s="1" t="s">
        <v>46366</v>
      </c>
      <c r="H2856" s="1" t="s">
        <v>46367</v>
      </c>
      <c r="I2856" s="1" t="s">
        <v>46367</v>
      </c>
      <c r="J2856" s="1">
        <v>6265774434</v>
      </c>
      <c r="K2856" s="1" t="s">
        <v>84</v>
      </c>
      <c r="L2856" s="1" t="s">
        <v>46368</v>
      </c>
      <c r="M2856" s="1" t="s">
        <v>86</v>
      </c>
      <c r="N2856" s="1" t="s">
        <v>45774</v>
      </c>
      <c r="O2856" s="1" t="s">
        <v>46369</v>
      </c>
      <c r="P2856" s="1" t="s">
        <v>122</v>
      </c>
      <c r="Q2856" s="1" t="s">
        <v>46370</v>
      </c>
      <c r="R2856" s="1" t="s">
        <v>46371</v>
      </c>
      <c r="S2856" s="1">
        <v>9479578034</v>
      </c>
      <c r="T2856" s="1" t="s">
        <v>46372</v>
      </c>
      <c r="U2856" s="1" t="s">
        <v>46373</v>
      </c>
      <c r="V2856" s="1">
        <v>7067987234</v>
      </c>
      <c r="W2856" s="1" t="s">
        <v>10306</v>
      </c>
      <c r="X2856" s="1" t="s">
        <v>46374</v>
      </c>
      <c r="Y2856" s="1" t="s">
        <v>196</v>
      </c>
      <c r="Z2856" s="1" t="s">
        <v>97</v>
      </c>
      <c r="AA2856" s="1" t="s">
        <v>46374</v>
      </c>
      <c r="AB2856" s="1" t="s">
        <v>196</v>
      </c>
      <c r="AC2856" s="1" t="s">
        <v>97</v>
      </c>
      <c r="AD2856" s="1" t="s">
        <v>98</v>
      </c>
      <c r="AE2856" s="1" t="s">
        <v>98</v>
      </c>
      <c r="AF2856" s="1" t="s">
        <v>46375</v>
      </c>
      <c r="AG2856" s="1" t="s">
        <v>796</v>
      </c>
      <c r="AH2856" s="1" t="s">
        <v>106</v>
      </c>
      <c r="AI2856" s="1" t="s">
        <v>547</v>
      </c>
      <c r="AJ2856" s="1">
        <v>91.6</v>
      </c>
      <c r="AK2856" s="1"/>
      <c r="AL2856" s="1" t="s">
        <v>46376</v>
      </c>
      <c r="AM2856" s="1" t="s">
        <v>796</v>
      </c>
      <c r="AN2856" s="1" t="s">
        <v>465</v>
      </c>
      <c r="AO2856" s="1" t="s">
        <v>1040</v>
      </c>
      <c r="AP2856" s="1" t="s">
        <v>14101</v>
      </c>
      <c r="AQ2856" s="1">
        <v>88.6</v>
      </c>
      <c r="AR2856" s="1"/>
      <c r="AS2856" s="1"/>
      <c r="AT2856" s="1"/>
      <c r="AU2856" s="1"/>
      <c r="AV2856" s="1"/>
      <c r="AW2856" s="1"/>
      <c r="AX2856" s="1"/>
      <c r="AY2856" s="1" t="s">
        <v>46377</v>
      </c>
      <c r="AZ2856" s="1" t="s">
        <v>46378</v>
      </c>
      <c r="BA2856" s="1" t="s">
        <v>466</v>
      </c>
      <c r="BB2856" s="1" t="s">
        <v>467</v>
      </c>
      <c r="BC2856" s="1" t="s">
        <v>110</v>
      </c>
      <c r="BD2856" s="1" t="s">
        <v>9688</v>
      </c>
      <c r="BE2856" s="1">
        <v>71.6</v>
      </c>
      <c r="BF2856" s="1"/>
      <c r="BG2856" s="1"/>
      <c r="BH2856" s="1"/>
      <c r="BI2856" s="1"/>
      <c r="BJ2856" s="1"/>
      <c r="BK2856" s="1"/>
      <c r="BL2856" s="1"/>
      <c r="BM2856" s="1"/>
      <c r="BN2856" s="1"/>
      <c r="BO2856" s="1" t="s">
        <v>46379</v>
      </c>
      <c r="BP2856" s="1"/>
      <c r="BQ2856" s="1"/>
      <c r="BR2856" s="1"/>
      <c r="BS2856" s="1"/>
      <c r="BT2856" s="1"/>
      <c r="BU2856" s="1" t="str">
        <f>HYPERLINK("https://nconnect.nicmar.ac.in/storage/profile/6a8721579032b.png","Download")</f>
        <v>0</v>
      </c>
      <c r="BV2856" s="3"/>
      <c r="BW2856" s="3"/>
    </row>
    <row r="2857" spans="1:75">
      <c r="A2857" s="1" t="s">
        <v>46264</v>
      </c>
      <c r="B2857" s="1" t="s">
        <v>13976</v>
      </c>
      <c r="C2857" s="1" t="s">
        <v>46380</v>
      </c>
      <c r="D2857" s="1" t="s">
        <v>46381</v>
      </c>
      <c r="E2857" s="1" t="s">
        <v>15348</v>
      </c>
      <c r="F2857" s="1" t="s">
        <v>22251</v>
      </c>
      <c r="G2857" s="1" t="s">
        <v>46382</v>
      </c>
      <c r="H2857" s="1" t="s">
        <v>46383</v>
      </c>
      <c r="I2857" s="1" t="s">
        <v>46384</v>
      </c>
      <c r="J2857" s="1">
        <v>7249014509</v>
      </c>
      <c r="K2857" s="1" t="s">
        <v>84</v>
      </c>
      <c r="L2857" s="1" t="s">
        <v>46385</v>
      </c>
      <c r="M2857" s="1" t="s">
        <v>86</v>
      </c>
      <c r="N2857" s="1" t="s">
        <v>24609</v>
      </c>
      <c r="O2857" s="1" t="s">
        <v>46386</v>
      </c>
      <c r="P2857" s="1" t="s">
        <v>122</v>
      </c>
      <c r="Q2857" s="1">
        <v>500603603909</v>
      </c>
      <c r="R2857" s="1" t="s">
        <v>46387</v>
      </c>
      <c r="S2857" s="1">
        <v>9850989706</v>
      </c>
      <c r="T2857" s="1" t="s">
        <v>46388</v>
      </c>
      <c r="U2857" s="1" t="s">
        <v>46389</v>
      </c>
      <c r="V2857" s="1">
        <v>9881320819</v>
      </c>
      <c r="W2857" s="1" t="s">
        <v>14154</v>
      </c>
      <c r="X2857" s="1" t="s">
        <v>46390</v>
      </c>
      <c r="Y2857" s="1" t="s">
        <v>1189</v>
      </c>
      <c r="Z2857" s="1" t="s">
        <v>97</v>
      </c>
      <c r="AA2857" s="1" t="s">
        <v>46390</v>
      </c>
      <c r="AB2857" s="1" t="s">
        <v>1189</v>
      </c>
      <c r="AC2857" s="1" t="s">
        <v>97</v>
      </c>
      <c r="AD2857" s="1" t="s">
        <v>98</v>
      </c>
      <c r="AE2857" s="1" t="s">
        <v>98</v>
      </c>
      <c r="AF2857" s="1" t="s">
        <v>46391</v>
      </c>
      <c r="AG2857" s="1" t="s">
        <v>14977</v>
      </c>
      <c r="AH2857" s="1" t="s">
        <v>3112</v>
      </c>
      <c r="AI2857" s="1" t="s">
        <v>603</v>
      </c>
      <c r="AJ2857" s="1">
        <v>89.8</v>
      </c>
      <c r="AK2857" s="1"/>
      <c r="AL2857" s="1"/>
      <c r="AM2857" s="1"/>
      <c r="AN2857" s="1"/>
      <c r="AO2857" s="1"/>
      <c r="AP2857" s="1"/>
      <c r="AQ2857" s="1"/>
      <c r="AR2857" s="1"/>
      <c r="AS2857" s="1" t="s">
        <v>14713</v>
      </c>
      <c r="AT2857" s="1" t="s">
        <v>17415</v>
      </c>
      <c r="AU2857" s="1" t="s">
        <v>468</v>
      </c>
      <c r="AV2857" s="1" t="s">
        <v>955</v>
      </c>
      <c r="AW2857" s="1">
        <v>89.84</v>
      </c>
      <c r="AX2857" s="1"/>
      <c r="AY2857" s="1" t="s">
        <v>14380</v>
      </c>
      <c r="AZ2857" s="1" t="s">
        <v>46392</v>
      </c>
      <c r="BA2857" s="1" t="s">
        <v>578</v>
      </c>
      <c r="BB2857" s="1" t="s">
        <v>467</v>
      </c>
      <c r="BC2857" s="1" t="s">
        <v>234</v>
      </c>
      <c r="BD2857" s="1" t="s">
        <v>9688</v>
      </c>
      <c r="BE2857" s="1">
        <v>85.81</v>
      </c>
      <c r="BF2857" s="1">
        <v>9.74</v>
      </c>
      <c r="BG2857" s="1"/>
      <c r="BH2857" s="1"/>
      <c r="BI2857" s="1"/>
      <c r="BJ2857" s="1"/>
      <c r="BK2857" s="1"/>
      <c r="BL2857" s="1"/>
      <c r="BM2857" s="1"/>
      <c r="BN2857" s="1"/>
      <c r="BO2857" s="1" t="s">
        <v>11309</v>
      </c>
      <c r="BP2857" s="1"/>
      <c r="BQ2857" s="1"/>
      <c r="BR2857" s="1"/>
      <c r="BS2857" s="1"/>
      <c r="BT2857" s="1"/>
      <c r="BU2857" s="1" t="str">
        <f>HYPERLINK("https://nconnect.nicmar.ac.in/storage/profile/6a89a48452dc5.png","Download")</f>
        <v>0</v>
      </c>
      <c r="BV2857" s="3"/>
      <c r="BW2857" s="3"/>
    </row>
    <row r="2858" spans="1:75">
      <c r="A2858" s="1" t="s">
        <v>46264</v>
      </c>
      <c r="B2858" s="1" t="s">
        <v>13976</v>
      </c>
      <c r="C2858" s="1" t="s">
        <v>46393</v>
      </c>
      <c r="D2858" s="1" t="s">
        <v>46394</v>
      </c>
      <c r="E2858" s="1" t="s">
        <v>15601</v>
      </c>
      <c r="F2858" s="1" t="s">
        <v>46395</v>
      </c>
      <c r="G2858" s="1" t="s">
        <v>46396</v>
      </c>
      <c r="H2858" s="1" t="s">
        <v>46397</v>
      </c>
      <c r="I2858" s="1" t="s">
        <v>46397</v>
      </c>
      <c r="J2858" s="1">
        <v>9423228939</v>
      </c>
      <c r="K2858" s="1" t="s">
        <v>84</v>
      </c>
      <c r="L2858" s="1" t="s">
        <v>23237</v>
      </c>
      <c r="M2858" s="1" t="s">
        <v>86</v>
      </c>
      <c r="N2858" s="1" t="s">
        <v>4263</v>
      </c>
      <c r="O2858" s="1" t="s">
        <v>46398</v>
      </c>
      <c r="P2858" s="1" t="s">
        <v>356</v>
      </c>
      <c r="Q2858" s="1">
        <v>713500408376</v>
      </c>
      <c r="R2858" s="1" t="s">
        <v>46399</v>
      </c>
      <c r="S2858" s="1">
        <v>9822829639</v>
      </c>
      <c r="T2858" s="1" t="s">
        <v>14352</v>
      </c>
      <c r="U2858" s="1" t="s">
        <v>46400</v>
      </c>
      <c r="V2858" s="1">
        <v>9552212495</v>
      </c>
      <c r="W2858" s="1" t="s">
        <v>14710</v>
      </c>
      <c r="X2858" s="1" t="s">
        <v>46401</v>
      </c>
      <c r="Y2858" s="1" t="s">
        <v>196</v>
      </c>
      <c r="Z2858" s="1" t="s">
        <v>97</v>
      </c>
      <c r="AA2858" s="1" t="s">
        <v>46401</v>
      </c>
      <c r="AB2858" s="1" t="s">
        <v>196</v>
      </c>
      <c r="AC2858" s="1" t="s">
        <v>97</v>
      </c>
      <c r="AD2858" s="1" t="s">
        <v>98</v>
      </c>
      <c r="AE2858" s="1" t="s">
        <v>98</v>
      </c>
      <c r="AF2858" s="1"/>
      <c r="AG2858" s="1"/>
      <c r="AH2858" s="1"/>
      <c r="AI2858" s="1"/>
      <c r="AJ2858" s="1"/>
      <c r="AK2858" s="1"/>
      <c r="AL2858" s="1"/>
      <c r="AM2858" s="1"/>
      <c r="AN2858" s="1"/>
      <c r="AO2858" s="1"/>
      <c r="AP2858" s="1"/>
      <c r="AQ2858" s="1"/>
      <c r="AR2858" s="1"/>
      <c r="AS2858" s="1"/>
      <c r="AT2858" s="1"/>
      <c r="AU2858" s="1"/>
      <c r="AV2858" s="1"/>
      <c r="AW2858" s="1"/>
      <c r="AX2858" s="1"/>
      <c r="AY2858" s="1"/>
      <c r="AZ2858" s="1"/>
      <c r="BA2858" s="1"/>
      <c r="BB2858" s="1"/>
      <c r="BC2858" s="1"/>
      <c r="BD2858" s="1"/>
      <c r="BE2858" s="1"/>
      <c r="BF2858" s="1"/>
      <c r="BG2858" s="1"/>
      <c r="BH2858" s="1"/>
      <c r="BI2858" s="1"/>
      <c r="BJ2858" s="1"/>
      <c r="BK2858" s="1"/>
      <c r="BL2858" s="1"/>
      <c r="BM2858" s="1"/>
      <c r="BN2858" s="1"/>
      <c r="BO2858" s="1"/>
      <c r="BP2858" s="1"/>
      <c r="BQ2858" s="1"/>
      <c r="BR2858" s="1"/>
      <c r="BS2858" s="1"/>
      <c r="BT2858" s="1"/>
      <c r="BU2858" s="1" t="str">
        <f>HYPERLINK("https://nconnect.nicmar.ac.in/storage/profile/6a85e2e99de42.png","Download")</f>
        <v>0</v>
      </c>
      <c r="BV2858" s="3"/>
      <c r="BW2858" s="3"/>
    </row>
    <row r="2859" spans="1:75">
      <c r="A2859" s="1" t="s">
        <v>46264</v>
      </c>
      <c r="B2859" s="1" t="s">
        <v>13976</v>
      </c>
      <c r="C2859" s="1" t="s">
        <v>46402</v>
      </c>
      <c r="D2859" s="1" t="s">
        <v>14645</v>
      </c>
      <c r="E2859" s="1"/>
      <c r="F2859" s="1" t="s">
        <v>20464</v>
      </c>
      <c r="G2859" s="1" t="s">
        <v>46403</v>
      </c>
      <c r="H2859" s="1" t="s">
        <v>46404</v>
      </c>
      <c r="I2859" s="1" t="s">
        <v>46404</v>
      </c>
      <c r="J2859" s="1">
        <v>9546638901</v>
      </c>
      <c r="K2859" s="1" t="s">
        <v>153</v>
      </c>
      <c r="L2859" s="1" t="s">
        <v>14931</v>
      </c>
      <c r="M2859" s="1" t="s">
        <v>86</v>
      </c>
      <c r="N2859" s="1" t="s">
        <v>4857</v>
      </c>
      <c r="O2859" s="1" t="s">
        <v>46405</v>
      </c>
      <c r="P2859" s="1" t="s">
        <v>122</v>
      </c>
      <c r="Q2859" s="1">
        <v>888564829537</v>
      </c>
      <c r="R2859" s="1" t="s">
        <v>46406</v>
      </c>
      <c r="S2859" s="1">
        <v>7644083962</v>
      </c>
      <c r="T2859" s="1" t="s">
        <v>3439</v>
      </c>
      <c r="U2859" s="1" t="s">
        <v>46407</v>
      </c>
      <c r="V2859" s="1">
        <v>6204283631</v>
      </c>
      <c r="W2859" s="1" t="s">
        <v>9679</v>
      </c>
      <c r="X2859" s="1" t="s">
        <v>46408</v>
      </c>
      <c r="Y2859" s="1" t="s">
        <v>2954</v>
      </c>
      <c r="Z2859" s="1" t="s">
        <v>2955</v>
      </c>
      <c r="AA2859" s="1" t="s">
        <v>46408</v>
      </c>
      <c r="AB2859" s="1" t="s">
        <v>2954</v>
      </c>
      <c r="AC2859" s="1" t="s">
        <v>2955</v>
      </c>
      <c r="AD2859" s="1" t="s">
        <v>98</v>
      </c>
      <c r="AE2859" s="1" t="s">
        <v>98</v>
      </c>
      <c r="AF2859" s="1" t="s">
        <v>46409</v>
      </c>
      <c r="AG2859" s="1" t="s">
        <v>46410</v>
      </c>
      <c r="AH2859" s="1" t="s">
        <v>573</v>
      </c>
      <c r="AI2859" s="1" t="s">
        <v>171</v>
      </c>
      <c r="AJ2859" s="1">
        <v>75.67</v>
      </c>
      <c r="AK2859" s="1"/>
      <c r="AL2859" s="1" t="s">
        <v>46411</v>
      </c>
      <c r="AM2859" s="1" t="s">
        <v>46412</v>
      </c>
      <c r="AN2859" s="1" t="s">
        <v>465</v>
      </c>
      <c r="AO2859" s="1" t="s">
        <v>313</v>
      </c>
      <c r="AP2859" s="1" t="s">
        <v>1647</v>
      </c>
      <c r="AQ2859" s="1">
        <v>60.4</v>
      </c>
      <c r="AR2859" s="1"/>
      <c r="AS2859" s="1"/>
      <c r="AT2859" s="1"/>
      <c r="AU2859" s="1"/>
      <c r="AV2859" s="1"/>
      <c r="AW2859" s="1"/>
      <c r="AX2859" s="1"/>
      <c r="AY2859" s="1" t="s">
        <v>20982</v>
      </c>
      <c r="AZ2859" s="1" t="s">
        <v>46413</v>
      </c>
      <c r="BA2859" s="1" t="s">
        <v>466</v>
      </c>
      <c r="BB2859" s="1" t="s">
        <v>467</v>
      </c>
      <c r="BC2859" s="1" t="s">
        <v>417</v>
      </c>
      <c r="BD2859" s="1" t="s">
        <v>418</v>
      </c>
      <c r="BE2859" s="1">
        <v>87</v>
      </c>
      <c r="BF2859" s="1">
        <v>8.7</v>
      </c>
      <c r="BG2859" s="1"/>
      <c r="BH2859" s="1"/>
      <c r="BI2859" s="1"/>
      <c r="BJ2859" s="1"/>
      <c r="BK2859" s="1"/>
      <c r="BL2859" s="1"/>
      <c r="BM2859" s="1"/>
      <c r="BN2859" s="1"/>
      <c r="BO2859" s="1" t="s">
        <v>46414</v>
      </c>
      <c r="BP2859" s="1"/>
      <c r="BQ2859" s="1"/>
      <c r="BR2859" s="1"/>
      <c r="BS2859" s="1"/>
      <c r="BT2859" s="1"/>
      <c r="BU2859" s="1" t="str">
        <f>HYPERLINK("https://nconnect.nicmar.ac.in/storage/profile/6a8706bb181ae.png","Download")</f>
        <v>0</v>
      </c>
      <c r="BV2859" s="3"/>
      <c r="BW2859" s="3"/>
    </row>
    <row r="2860" spans="1:75">
      <c r="A2860" s="1" t="s">
        <v>46264</v>
      </c>
      <c r="B2860" s="1" t="s">
        <v>13976</v>
      </c>
      <c r="C2860" s="1" t="s">
        <v>46415</v>
      </c>
      <c r="D2860" s="1" t="s">
        <v>17708</v>
      </c>
      <c r="E2860" s="1"/>
      <c r="F2860" s="1" t="s">
        <v>14406</v>
      </c>
      <c r="G2860" s="1" t="s">
        <v>46416</v>
      </c>
      <c r="H2860" s="1" t="s">
        <v>46417</v>
      </c>
      <c r="I2860" s="1" t="s">
        <v>46417</v>
      </c>
      <c r="J2860" s="1">
        <v>9113345244</v>
      </c>
      <c r="K2860" s="1" t="s">
        <v>84</v>
      </c>
      <c r="L2860" s="1" t="s">
        <v>14684</v>
      </c>
      <c r="M2860" s="1" t="s">
        <v>86</v>
      </c>
      <c r="N2860" s="1" t="s">
        <v>8293</v>
      </c>
      <c r="O2860" s="1" t="s">
        <v>46418</v>
      </c>
      <c r="P2860" s="1" t="s">
        <v>122</v>
      </c>
      <c r="Q2860" s="1">
        <v>382408496290</v>
      </c>
      <c r="R2860" s="1" t="s">
        <v>46419</v>
      </c>
      <c r="S2860" s="1">
        <v>9693843303</v>
      </c>
      <c r="T2860" s="1" t="s">
        <v>3439</v>
      </c>
      <c r="U2860" s="1" t="s">
        <v>46420</v>
      </c>
      <c r="V2860" s="1">
        <v>9771265024</v>
      </c>
      <c r="W2860" s="1" t="s">
        <v>3441</v>
      </c>
      <c r="X2860" s="1" t="s">
        <v>46421</v>
      </c>
      <c r="Y2860" s="1" t="s">
        <v>46422</v>
      </c>
      <c r="Z2860" s="1" t="s">
        <v>649</v>
      </c>
      <c r="AA2860" s="1" t="s">
        <v>46421</v>
      </c>
      <c r="AB2860" s="1" t="s">
        <v>46422</v>
      </c>
      <c r="AC2860" s="1" t="s">
        <v>649</v>
      </c>
      <c r="AD2860" s="1" t="s">
        <v>98</v>
      </c>
      <c r="AE2860" s="1" t="s">
        <v>98</v>
      </c>
      <c r="AF2860" s="1" t="s">
        <v>46423</v>
      </c>
      <c r="AG2860" s="1" t="s">
        <v>15703</v>
      </c>
      <c r="AH2860" s="1" t="s">
        <v>284</v>
      </c>
      <c r="AI2860" s="1" t="s">
        <v>704</v>
      </c>
      <c r="AJ2860" s="1">
        <v>89.3</v>
      </c>
      <c r="AK2860" s="1">
        <v>9.4</v>
      </c>
      <c r="AL2860" s="1" t="s">
        <v>46423</v>
      </c>
      <c r="AM2860" s="1" t="s">
        <v>15703</v>
      </c>
      <c r="AN2860" s="1" t="s">
        <v>465</v>
      </c>
      <c r="AO2860" s="1" t="s">
        <v>490</v>
      </c>
      <c r="AP2860" s="1" t="s">
        <v>547</v>
      </c>
      <c r="AQ2860" s="1">
        <v>73</v>
      </c>
      <c r="AR2860" s="1"/>
      <c r="AS2860" s="1"/>
      <c r="AT2860" s="1"/>
      <c r="AU2860" s="1"/>
      <c r="AV2860" s="1"/>
      <c r="AW2860" s="1"/>
      <c r="AX2860" s="1"/>
      <c r="AY2860" s="1" t="s">
        <v>17363</v>
      </c>
      <c r="AZ2860" s="1" t="s">
        <v>46424</v>
      </c>
      <c r="BA2860" s="1" t="s">
        <v>466</v>
      </c>
      <c r="BB2860" s="1" t="s">
        <v>467</v>
      </c>
      <c r="BC2860" s="1" t="s">
        <v>178</v>
      </c>
      <c r="BD2860" s="1" t="s">
        <v>1089</v>
      </c>
      <c r="BE2860" s="1">
        <v>80</v>
      </c>
      <c r="BF2860" s="1">
        <v>8.74</v>
      </c>
      <c r="BG2860" s="1"/>
      <c r="BH2860" s="1"/>
      <c r="BI2860" s="1"/>
      <c r="BJ2860" s="1"/>
      <c r="BK2860" s="1"/>
      <c r="BL2860" s="1"/>
      <c r="BM2860" s="1"/>
      <c r="BN2860" s="1"/>
      <c r="BO2860" s="1" t="s">
        <v>46425</v>
      </c>
      <c r="BP2860" s="1"/>
      <c r="BQ2860" s="1"/>
      <c r="BR2860" s="1" t="s">
        <v>46426</v>
      </c>
      <c r="BS2860" s="1">
        <v>4</v>
      </c>
      <c r="BT2860" s="1" t="s">
        <v>46427</v>
      </c>
      <c r="BU2860" s="1" t="str">
        <f>HYPERLINK("https://nconnect.nicmar.ac.in/storage/profile/6a85dd0dd470f.png","Download")</f>
        <v>0</v>
      </c>
      <c r="BV2860" s="3"/>
      <c r="BW2860" s="3"/>
    </row>
    <row r="2861" spans="1:75">
      <c r="A2861" s="1" t="s">
        <v>46264</v>
      </c>
      <c r="B2861" s="1" t="s">
        <v>13976</v>
      </c>
      <c r="C2861" s="1" t="s">
        <v>46428</v>
      </c>
      <c r="D2861" s="1" t="s">
        <v>46429</v>
      </c>
      <c r="E2861" s="1"/>
      <c r="F2861" s="1" t="s">
        <v>46430</v>
      </c>
      <c r="G2861" s="1" t="s">
        <v>46431</v>
      </c>
      <c r="H2861" s="1" t="s">
        <v>46432</v>
      </c>
      <c r="I2861" s="1" t="s">
        <v>46432</v>
      </c>
      <c r="J2861" s="1">
        <v>9901404139</v>
      </c>
      <c r="K2861" s="1" t="s">
        <v>153</v>
      </c>
      <c r="L2861" s="1" t="s">
        <v>2173</v>
      </c>
      <c r="M2861" s="1" t="s">
        <v>86</v>
      </c>
      <c r="N2861" s="1" t="s">
        <v>46433</v>
      </c>
      <c r="O2861" s="1" t="s">
        <v>46434</v>
      </c>
      <c r="P2861" s="1" t="s">
        <v>219</v>
      </c>
      <c r="Q2861" s="1">
        <v>895422918974</v>
      </c>
      <c r="R2861" s="1" t="s">
        <v>46435</v>
      </c>
      <c r="S2861" s="1">
        <v>9448153939</v>
      </c>
      <c r="T2861" s="1" t="s">
        <v>46436</v>
      </c>
      <c r="U2861" s="1" t="s">
        <v>46437</v>
      </c>
      <c r="V2861" s="1">
        <v>9148820295</v>
      </c>
      <c r="W2861" s="1" t="s">
        <v>15588</v>
      </c>
      <c r="X2861" s="1" t="s">
        <v>46438</v>
      </c>
      <c r="Y2861" s="1" t="s">
        <v>13502</v>
      </c>
      <c r="Z2861" s="1" t="s">
        <v>1210</v>
      </c>
      <c r="AA2861" s="1" t="s">
        <v>46438</v>
      </c>
      <c r="AB2861" s="1" t="s">
        <v>13502</v>
      </c>
      <c r="AC2861" s="1" t="s">
        <v>1210</v>
      </c>
      <c r="AD2861" s="1" t="s">
        <v>98</v>
      </c>
      <c r="AE2861" s="1" t="s">
        <v>98</v>
      </c>
      <c r="AF2861" s="1" t="s">
        <v>46439</v>
      </c>
      <c r="AG2861" s="1" t="s">
        <v>46440</v>
      </c>
      <c r="AH2861" s="1" t="s">
        <v>797</v>
      </c>
      <c r="AI2861" s="1" t="s">
        <v>547</v>
      </c>
      <c r="AJ2861" s="1">
        <v>80.96</v>
      </c>
      <c r="AK2861" s="1"/>
      <c r="AL2861" s="1" t="s">
        <v>46441</v>
      </c>
      <c r="AM2861" s="1" t="s">
        <v>46442</v>
      </c>
      <c r="AN2861" s="1" t="s">
        <v>575</v>
      </c>
      <c r="AO2861" s="1" t="s">
        <v>438</v>
      </c>
      <c r="AP2861" s="1" t="s">
        <v>549</v>
      </c>
      <c r="AQ2861" s="1">
        <v>81.67</v>
      </c>
      <c r="AR2861" s="1"/>
      <c r="AS2861" s="1"/>
      <c r="AT2861" s="1"/>
      <c r="AU2861" s="1"/>
      <c r="AV2861" s="1"/>
      <c r="AW2861" s="1"/>
      <c r="AX2861" s="1"/>
      <c r="AY2861" s="1" t="s">
        <v>15972</v>
      </c>
      <c r="AZ2861" s="1" t="s">
        <v>46443</v>
      </c>
      <c r="BA2861" s="1" t="s">
        <v>578</v>
      </c>
      <c r="BB2861" s="1" t="s">
        <v>467</v>
      </c>
      <c r="BC2861" s="1" t="s">
        <v>140</v>
      </c>
      <c r="BD2861" s="1" t="s">
        <v>1401</v>
      </c>
      <c r="BE2861" s="1">
        <v>70.81</v>
      </c>
      <c r="BF2861" s="1">
        <v>7.84</v>
      </c>
      <c r="BG2861" s="1"/>
      <c r="BH2861" s="1"/>
      <c r="BI2861" s="1"/>
      <c r="BJ2861" s="1"/>
      <c r="BK2861" s="1"/>
      <c r="BL2861" s="1"/>
      <c r="BM2861" s="1"/>
      <c r="BN2861" s="1"/>
      <c r="BO2861" s="1" t="s">
        <v>849</v>
      </c>
      <c r="BP2861" s="1"/>
      <c r="BQ2861" s="1"/>
      <c r="BR2861" s="1"/>
      <c r="BS2861" s="1"/>
      <c r="BT2861" s="1"/>
      <c r="BU2861" s="1" t="str">
        <f>HYPERLINK("https://nconnect.nicmar.ac.in/storage/profile/6a86f7cf7a878.png","Download")</f>
        <v>0</v>
      </c>
      <c r="BV2861" s="3"/>
      <c r="BW2861" s="3"/>
    </row>
    <row r="2862" spans="1:75">
      <c r="A2862" s="1" t="s">
        <v>46264</v>
      </c>
      <c r="B2862" s="1" t="s">
        <v>13976</v>
      </c>
      <c r="C2862" s="1" t="s">
        <v>46444</v>
      </c>
      <c r="D2862" s="1" t="s">
        <v>46445</v>
      </c>
      <c r="E2862" s="1"/>
      <c r="F2862" s="1" t="s">
        <v>17588</v>
      </c>
      <c r="G2862" s="1" t="s">
        <v>46446</v>
      </c>
      <c r="H2862" s="1" t="s">
        <v>46447</v>
      </c>
      <c r="I2862" s="1" t="s">
        <v>46447</v>
      </c>
      <c r="J2862" s="1">
        <v>9905263487</v>
      </c>
      <c r="K2862" s="1" t="s">
        <v>84</v>
      </c>
      <c r="L2862" s="1" t="s">
        <v>46448</v>
      </c>
      <c r="M2862" s="1" t="s">
        <v>86</v>
      </c>
      <c r="N2862" s="1" t="s">
        <v>355</v>
      </c>
      <c r="O2862" s="1" t="s">
        <v>46449</v>
      </c>
      <c r="P2862" s="1" t="s">
        <v>89</v>
      </c>
      <c r="Q2862" s="1">
        <v>561984489880</v>
      </c>
      <c r="R2862" s="1" t="s">
        <v>46450</v>
      </c>
      <c r="S2862" s="1">
        <v>9471041331</v>
      </c>
      <c r="T2862" s="1" t="s">
        <v>15965</v>
      </c>
      <c r="U2862" s="1" t="s">
        <v>46451</v>
      </c>
      <c r="V2862" s="1">
        <v>7991184627</v>
      </c>
      <c r="W2862" s="1" t="s">
        <v>9679</v>
      </c>
      <c r="X2862" s="1" t="s">
        <v>46452</v>
      </c>
      <c r="Y2862" s="1" t="s">
        <v>648</v>
      </c>
      <c r="Z2862" s="1" t="s">
        <v>649</v>
      </c>
      <c r="AA2862" s="1" t="s">
        <v>46452</v>
      </c>
      <c r="AB2862" s="1" t="s">
        <v>648</v>
      </c>
      <c r="AC2862" s="1" t="s">
        <v>649</v>
      </c>
      <c r="AD2862" s="1" t="s">
        <v>98</v>
      </c>
      <c r="AE2862" s="1" t="s">
        <v>98</v>
      </c>
      <c r="AF2862" s="1" t="s">
        <v>18124</v>
      </c>
      <c r="AG2862" s="1" t="s">
        <v>9682</v>
      </c>
      <c r="AH2862" s="1" t="s">
        <v>24273</v>
      </c>
      <c r="AI2862" s="1" t="s">
        <v>178</v>
      </c>
      <c r="AJ2862" s="1">
        <v>91.83</v>
      </c>
      <c r="AK2862" s="1"/>
      <c r="AL2862" s="1" t="s">
        <v>46453</v>
      </c>
      <c r="AM2862" s="1" t="s">
        <v>9682</v>
      </c>
      <c r="AN2862" s="1" t="s">
        <v>465</v>
      </c>
      <c r="AO2862" s="1" t="s">
        <v>178</v>
      </c>
      <c r="AP2862" s="1" t="s">
        <v>1400</v>
      </c>
      <c r="AQ2862" s="1">
        <v>88.4</v>
      </c>
      <c r="AR2862" s="1"/>
      <c r="AS2862" s="1"/>
      <c r="AT2862" s="1"/>
      <c r="AU2862" s="1"/>
      <c r="AV2862" s="1"/>
      <c r="AW2862" s="1"/>
      <c r="AX2862" s="1"/>
      <c r="AY2862" s="1" t="s">
        <v>14492</v>
      </c>
      <c r="AZ2862" s="1" t="s">
        <v>23658</v>
      </c>
      <c r="BA2862" s="1" t="s">
        <v>466</v>
      </c>
      <c r="BB2862" s="1" t="s">
        <v>467</v>
      </c>
      <c r="BC2862" s="1" t="s">
        <v>1802</v>
      </c>
      <c r="BD2862" s="1" t="s">
        <v>14494</v>
      </c>
      <c r="BE2862" s="1">
        <v>74.3</v>
      </c>
      <c r="BF2862" s="1">
        <v>7.43</v>
      </c>
      <c r="BG2862" s="1"/>
      <c r="BH2862" s="1"/>
      <c r="BI2862" s="1"/>
      <c r="BJ2862" s="1"/>
      <c r="BK2862" s="1"/>
      <c r="BL2862" s="1"/>
      <c r="BM2862" s="1"/>
      <c r="BN2862" s="1"/>
      <c r="BO2862" s="1" t="s">
        <v>849</v>
      </c>
      <c r="BP2862" s="1"/>
      <c r="BQ2862" s="1"/>
      <c r="BR2862" s="1" t="s">
        <v>46454</v>
      </c>
      <c r="BS2862" s="1">
        <v>75</v>
      </c>
      <c r="BT2862" s="1"/>
      <c r="BU2862" s="1" t="str">
        <f>HYPERLINK("https://nconnect.nicmar.ac.in/storage/profile/6a871e32b6c77.png","Download")</f>
        <v>0</v>
      </c>
      <c r="BV2862" s="3"/>
      <c r="BW2862" s="3"/>
    </row>
    <row r="2863" spans="1:75">
      <c r="A2863" s="1" t="s">
        <v>46264</v>
      </c>
      <c r="B2863" s="1" t="s">
        <v>13976</v>
      </c>
      <c r="C2863" s="1" t="s">
        <v>46455</v>
      </c>
      <c r="D2863" s="1" t="s">
        <v>46456</v>
      </c>
      <c r="E2863" s="1" t="s">
        <v>46457</v>
      </c>
      <c r="F2863" s="1" t="s">
        <v>46458</v>
      </c>
      <c r="G2863" s="1" t="s">
        <v>46459</v>
      </c>
      <c r="H2863" s="1" t="s">
        <v>46460</v>
      </c>
      <c r="I2863" s="1" t="s">
        <v>46461</v>
      </c>
      <c r="J2863" s="1">
        <v>9825110685</v>
      </c>
      <c r="K2863" s="1" t="s">
        <v>84</v>
      </c>
      <c r="L2863" s="1" t="s">
        <v>2485</v>
      </c>
      <c r="M2863" s="1" t="s">
        <v>86</v>
      </c>
      <c r="N2863" s="1" t="s">
        <v>19073</v>
      </c>
      <c r="O2863" s="1" t="s">
        <v>46462</v>
      </c>
      <c r="P2863" s="1" t="s">
        <v>219</v>
      </c>
      <c r="Q2863" s="1">
        <v>561787626833</v>
      </c>
      <c r="R2863" s="1" t="s">
        <v>46463</v>
      </c>
      <c r="S2863" s="1">
        <v>9825110684</v>
      </c>
      <c r="T2863" s="1" t="s">
        <v>3439</v>
      </c>
      <c r="U2863" s="1" t="s">
        <v>46464</v>
      </c>
      <c r="V2863" s="1">
        <v>9825806662</v>
      </c>
      <c r="W2863" s="1" t="s">
        <v>10306</v>
      </c>
      <c r="X2863" s="1" t="s">
        <v>46465</v>
      </c>
      <c r="Y2863" s="1" t="s">
        <v>8166</v>
      </c>
      <c r="Z2863" s="1" t="s">
        <v>676</v>
      </c>
      <c r="AA2863" s="1" t="s">
        <v>46465</v>
      </c>
      <c r="AB2863" s="1" t="s">
        <v>8166</v>
      </c>
      <c r="AC2863" s="1" t="s">
        <v>676</v>
      </c>
      <c r="AD2863" s="1" t="s">
        <v>98</v>
      </c>
      <c r="AE2863" s="1" t="s">
        <v>98</v>
      </c>
      <c r="AF2863" s="1" t="s">
        <v>46466</v>
      </c>
      <c r="AG2863" s="1" t="s">
        <v>15703</v>
      </c>
      <c r="AH2863" s="1" t="s">
        <v>547</v>
      </c>
      <c r="AI2863" s="1" t="s">
        <v>468</v>
      </c>
      <c r="AJ2863" s="1">
        <v>89.6</v>
      </c>
      <c r="AK2863" s="1"/>
      <c r="AL2863" s="1" t="s">
        <v>46466</v>
      </c>
      <c r="AM2863" s="1" t="s">
        <v>15703</v>
      </c>
      <c r="AN2863" s="1" t="s">
        <v>465</v>
      </c>
      <c r="AO2863" s="1" t="s">
        <v>2304</v>
      </c>
      <c r="AP2863" s="1" t="s">
        <v>289</v>
      </c>
      <c r="AQ2863" s="1">
        <v>72</v>
      </c>
      <c r="AR2863" s="1"/>
      <c r="AS2863" s="1"/>
      <c r="AT2863" s="1"/>
      <c r="AU2863" s="1"/>
      <c r="AV2863" s="1"/>
      <c r="AW2863" s="1"/>
      <c r="AX2863" s="1"/>
      <c r="AY2863" s="1" t="s">
        <v>15704</v>
      </c>
      <c r="AZ2863" s="1" t="s">
        <v>46467</v>
      </c>
      <c r="BA2863" s="1" t="s">
        <v>466</v>
      </c>
      <c r="BB2863" s="1" t="s">
        <v>467</v>
      </c>
      <c r="BC2863" s="1" t="s">
        <v>1802</v>
      </c>
      <c r="BD2863" s="1" t="s">
        <v>9688</v>
      </c>
      <c r="BE2863" s="1">
        <v>66.93</v>
      </c>
      <c r="BF2863" s="1">
        <v>7.2</v>
      </c>
      <c r="BG2863" s="1"/>
      <c r="BH2863" s="1"/>
      <c r="BI2863" s="1"/>
      <c r="BJ2863" s="1"/>
      <c r="BK2863" s="1"/>
      <c r="BL2863" s="1"/>
      <c r="BM2863" s="1"/>
      <c r="BN2863" s="1"/>
      <c r="BO2863" s="1" t="s">
        <v>46468</v>
      </c>
      <c r="BP2863" s="1"/>
      <c r="BQ2863" s="1"/>
      <c r="BR2863" s="1"/>
      <c r="BS2863" s="1"/>
      <c r="BT2863" s="1"/>
      <c r="BU2863" s="1" t="str">
        <f>HYPERLINK("https://nconnect.nicmar.ac.in/storage/profile/6a87289baf891.png","Download")</f>
        <v>0</v>
      </c>
      <c r="BV2863" s="3"/>
      <c r="BW2863" s="3"/>
    </row>
    <row r="2864" spans="1:75">
      <c r="A2864" s="1" t="s">
        <v>46264</v>
      </c>
      <c r="B2864" s="1" t="s">
        <v>13976</v>
      </c>
      <c r="C2864" s="1" t="s">
        <v>46469</v>
      </c>
      <c r="D2864" s="1" t="s">
        <v>46470</v>
      </c>
      <c r="E2864" s="1"/>
      <c r="F2864" s="1" t="s">
        <v>116</v>
      </c>
      <c r="G2864" s="1" t="s">
        <v>46471</v>
      </c>
      <c r="H2864" s="1" t="s">
        <v>46472</v>
      </c>
      <c r="I2864" s="1" t="s">
        <v>46472</v>
      </c>
      <c r="J2864" s="1">
        <v>9750025853</v>
      </c>
      <c r="K2864" s="1" t="s">
        <v>84</v>
      </c>
      <c r="L2864" s="1" t="s">
        <v>46473</v>
      </c>
      <c r="M2864" s="1" t="s">
        <v>86</v>
      </c>
      <c r="N2864" s="1" t="s">
        <v>46474</v>
      </c>
      <c r="O2864" s="1" t="s">
        <v>46475</v>
      </c>
      <c r="P2864" s="1" t="s">
        <v>219</v>
      </c>
      <c r="Q2864" s="1">
        <v>301413220678</v>
      </c>
      <c r="R2864" s="1" t="s">
        <v>46476</v>
      </c>
      <c r="S2864" s="1">
        <v>9487525853</v>
      </c>
      <c r="T2864" s="1" t="s">
        <v>46477</v>
      </c>
      <c r="U2864" s="1" t="s">
        <v>46478</v>
      </c>
      <c r="V2864" s="1">
        <v>9442225853</v>
      </c>
      <c r="W2864" s="1" t="s">
        <v>14032</v>
      </c>
      <c r="X2864" s="1" t="s">
        <v>46479</v>
      </c>
      <c r="Y2864" s="1" t="s">
        <v>2131</v>
      </c>
      <c r="Z2864" s="1" t="s">
        <v>570</v>
      </c>
      <c r="AA2864" s="1" t="s">
        <v>46479</v>
      </c>
      <c r="AB2864" s="1" t="s">
        <v>2131</v>
      </c>
      <c r="AC2864" s="1" t="s">
        <v>570</v>
      </c>
      <c r="AD2864" s="1" t="s">
        <v>98</v>
      </c>
      <c r="AE2864" s="1" t="s">
        <v>98</v>
      </c>
      <c r="AF2864" s="1" t="s">
        <v>46480</v>
      </c>
      <c r="AG2864" s="1" t="s">
        <v>15152</v>
      </c>
      <c r="AH2864" s="1" t="s">
        <v>315</v>
      </c>
      <c r="AI2864" s="1" t="s">
        <v>178</v>
      </c>
      <c r="AJ2864" s="1">
        <v>75</v>
      </c>
      <c r="AK2864" s="1"/>
      <c r="AL2864" s="1" t="s">
        <v>46480</v>
      </c>
      <c r="AM2864" s="1" t="s">
        <v>15152</v>
      </c>
      <c r="AN2864" s="1" t="s">
        <v>6380</v>
      </c>
      <c r="AO2864" s="1" t="s">
        <v>549</v>
      </c>
      <c r="AP2864" s="1" t="s">
        <v>1400</v>
      </c>
      <c r="AQ2864" s="1">
        <v>87.3</v>
      </c>
      <c r="AR2864" s="1"/>
      <c r="AS2864" s="1"/>
      <c r="AT2864" s="1"/>
      <c r="AU2864" s="1"/>
      <c r="AV2864" s="1"/>
      <c r="AW2864" s="1"/>
      <c r="AX2864" s="1"/>
      <c r="AY2864" s="1" t="s">
        <v>46481</v>
      </c>
      <c r="AZ2864" s="1" t="s">
        <v>46482</v>
      </c>
      <c r="BA2864" s="1" t="s">
        <v>578</v>
      </c>
      <c r="BB2864" s="1" t="s">
        <v>467</v>
      </c>
      <c r="BC2864" s="1" t="s">
        <v>1825</v>
      </c>
      <c r="BD2864" s="1" t="s">
        <v>9688</v>
      </c>
      <c r="BE2864" s="1">
        <v>76</v>
      </c>
      <c r="BF2864" s="1">
        <v>7.6</v>
      </c>
      <c r="BG2864" s="1"/>
      <c r="BH2864" s="1"/>
      <c r="BI2864" s="1"/>
      <c r="BJ2864" s="1"/>
      <c r="BK2864" s="1"/>
      <c r="BL2864" s="1"/>
      <c r="BM2864" s="1"/>
      <c r="BN2864" s="1"/>
      <c r="BO2864" s="1" t="s">
        <v>46483</v>
      </c>
      <c r="BP2864" s="1"/>
      <c r="BQ2864" s="1"/>
      <c r="BR2864" s="1"/>
      <c r="BS2864" s="1"/>
      <c r="BT2864" s="1"/>
      <c r="BU2864" s="1" t="str">
        <f>HYPERLINK("https://nconnect.nicmar.ac.in/storage/profile/6a85e8a2f1c7f.png","Download")</f>
        <v>0</v>
      </c>
      <c r="BV2864" s="3"/>
      <c r="BW2864" s="3"/>
    </row>
    <row r="2865" spans="1:75">
      <c r="A2865" s="1" t="s">
        <v>46264</v>
      </c>
      <c r="B2865" s="1" t="s">
        <v>13976</v>
      </c>
      <c r="C2865" s="1" t="s">
        <v>46484</v>
      </c>
      <c r="D2865" s="1" t="s">
        <v>46485</v>
      </c>
      <c r="E2865" s="1" t="s">
        <v>46486</v>
      </c>
      <c r="F2865" s="1" t="s">
        <v>16903</v>
      </c>
      <c r="G2865" s="1" t="s">
        <v>46487</v>
      </c>
      <c r="H2865" s="1" t="s">
        <v>46488</v>
      </c>
      <c r="I2865" s="1" t="s">
        <v>46488</v>
      </c>
      <c r="J2865" s="1">
        <v>9004657504</v>
      </c>
      <c r="K2865" s="1" t="s">
        <v>84</v>
      </c>
      <c r="L2865" s="1" t="s">
        <v>19072</v>
      </c>
      <c r="M2865" s="1" t="s">
        <v>86</v>
      </c>
      <c r="N2865" s="1" t="s">
        <v>4857</v>
      </c>
      <c r="O2865" s="1" t="s">
        <v>10967</v>
      </c>
      <c r="P2865" s="1" t="s">
        <v>356</v>
      </c>
      <c r="Q2865" s="1">
        <v>392941087931</v>
      </c>
      <c r="R2865" s="1" t="s">
        <v>46489</v>
      </c>
      <c r="S2865" s="1" t="s">
        <v>16692</v>
      </c>
      <c r="T2865" s="1" t="s">
        <v>46490</v>
      </c>
      <c r="U2865" s="1" t="s">
        <v>46491</v>
      </c>
      <c r="V2865" s="1">
        <v>9892109351</v>
      </c>
      <c r="W2865" s="1" t="s">
        <v>15812</v>
      </c>
      <c r="X2865" s="1" t="s">
        <v>46492</v>
      </c>
      <c r="Y2865" s="1" t="s">
        <v>1012</v>
      </c>
      <c r="Z2865" s="1" t="s">
        <v>97</v>
      </c>
      <c r="AA2865" s="1" t="s">
        <v>46492</v>
      </c>
      <c r="AB2865" s="1" t="s">
        <v>1012</v>
      </c>
      <c r="AC2865" s="1" t="s">
        <v>97</v>
      </c>
      <c r="AD2865" s="1" t="s">
        <v>98</v>
      </c>
      <c r="AE2865" s="1" t="s">
        <v>98</v>
      </c>
      <c r="AF2865" s="1" t="s">
        <v>46493</v>
      </c>
      <c r="AG2865" s="1" t="s">
        <v>46494</v>
      </c>
      <c r="AH2865" s="1" t="s">
        <v>106</v>
      </c>
      <c r="AI2865" s="1" t="s">
        <v>414</v>
      </c>
      <c r="AJ2865" s="1">
        <v>72</v>
      </c>
      <c r="AK2865" s="1"/>
      <c r="AL2865" s="1"/>
      <c r="AM2865" s="1"/>
      <c r="AN2865" s="1"/>
      <c r="AO2865" s="1"/>
      <c r="AP2865" s="1"/>
      <c r="AQ2865" s="1"/>
      <c r="AR2865" s="1"/>
      <c r="AS2865" s="1" t="s">
        <v>14528</v>
      </c>
      <c r="AT2865" s="1" t="s">
        <v>46495</v>
      </c>
      <c r="AU2865" s="1" t="s">
        <v>315</v>
      </c>
      <c r="AV2865" s="1" t="s">
        <v>632</v>
      </c>
      <c r="AW2865" s="1">
        <v>80.89</v>
      </c>
      <c r="AX2865" s="1"/>
      <c r="AY2865" s="1" t="s">
        <v>14380</v>
      </c>
      <c r="AZ2865" s="1" t="s">
        <v>46496</v>
      </c>
      <c r="BA2865" s="1" t="s">
        <v>578</v>
      </c>
      <c r="BB2865" s="1" t="s">
        <v>467</v>
      </c>
      <c r="BC2865" s="1" t="s">
        <v>110</v>
      </c>
      <c r="BD2865" s="1" t="s">
        <v>553</v>
      </c>
      <c r="BE2865" s="1">
        <v>66.67</v>
      </c>
      <c r="BF2865" s="1">
        <v>7.34</v>
      </c>
      <c r="BG2865" s="1"/>
      <c r="BH2865" s="1"/>
      <c r="BI2865" s="1"/>
      <c r="BJ2865" s="1"/>
      <c r="BK2865" s="1"/>
      <c r="BL2865" s="1"/>
      <c r="BM2865" s="1"/>
      <c r="BN2865" s="1"/>
      <c r="BO2865" s="1" t="s">
        <v>11309</v>
      </c>
      <c r="BP2865" s="1" t="s">
        <v>46497</v>
      </c>
      <c r="BQ2865" s="1" t="s">
        <v>893</v>
      </c>
      <c r="BR2865" s="1" t="s">
        <v>46498</v>
      </c>
      <c r="BS2865" s="1">
        <v>5</v>
      </c>
      <c r="BT2865" s="1" t="s">
        <v>46499</v>
      </c>
      <c r="BU2865" s="1" t="str">
        <f>HYPERLINK("https://nconnect.nicmar.ac.in/storage/profile/6a85d006d8f32.png","Download")</f>
        <v>0</v>
      </c>
      <c r="BV2865" s="3"/>
      <c r="BW2865" s="3"/>
    </row>
    <row r="2866" spans="1:75">
      <c r="A2866" s="1" t="s">
        <v>46264</v>
      </c>
      <c r="B2866" s="1" t="s">
        <v>13976</v>
      </c>
      <c r="C2866" s="1" t="s">
        <v>46500</v>
      </c>
      <c r="D2866" s="1"/>
      <c r="E2866" s="1"/>
      <c r="F2866" s="1"/>
      <c r="G2866" s="1"/>
      <c r="H2866" s="1" t="s">
        <v>46501</v>
      </c>
      <c r="I2866" s="1" t="s">
        <v>46501</v>
      </c>
      <c r="J2866" s="1"/>
      <c r="K2866" s="1"/>
      <c r="L2866" s="1"/>
      <c r="M2866" s="1"/>
      <c r="N2866" s="1"/>
      <c r="O2866" s="1"/>
      <c r="P2866" s="1"/>
      <c r="Q2866" s="1"/>
      <c r="R2866" s="1"/>
      <c r="S2866" s="1"/>
      <c r="T2866" s="1"/>
      <c r="U2866" s="1"/>
      <c r="V2866" s="1"/>
      <c r="W2866" s="1"/>
      <c r="X2866" s="1"/>
      <c r="Y2866" s="1"/>
      <c r="Z2866" s="1"/>
      <c r="AA2866" s="1"/>
      <c r="AB2866" s="1"/>
      <c r="AC2866" s="1"/>
      <c r="AD2866" s="1" t="s">
        <v>98</v>
      </c>
      <c r="AE2866" s="1" t="s">
        <v>98</v>
      </c>
      <c r="AF2866" s="1"/>
      <c r="AG2866" s="1"/>
      <c r="AH2866" s="1"/>
      <c r="AI2866" s="1"/>
      <c r="AJ2866" s="1"/>
      <c r="AK2866" s="1"/>
      <c r="AL2866" s="1"/>
      <c r="AM2866" s="1"/>
      <c r="AN2866" s="1"/>
      <c r="AO2866" s="1"/>
      <c r="AP2866" s="1"/>
      <c r="AQ2866" s="1"/>
      <c r="AR2866" s="1"/>
      <c r="AS2866" s="1"/>
      <c r="AT2866" s="1"/>
      <c r="AU2866" s="1"/>
      <c r="AV2866" s="1"/>
      <c r="AW2866" s="1"/>
      <c r="AX2866" s="1"/>
      <c r="AY2866" s="1"/>
      <c r="AZ2866" s="1"/>
      <c r="BA2866" s="1"/>
      <c r="BB2866" s="1"/>
      <c r="BC2866" s="1"/>
      <c r="BD2866" s="1"/>
      <c r="BE2866" s="1"/>
      <c r="BF2866" s="1"/>
      <c r="BG2866" s="1"/>
      <c r="BH2866" s="1"/>
      <c r="BI2866" s="1"/>
      <c r="BJ2866" s="1"/>
      <c r="BK2866" s="1"/>
      <c r="BL2866" s="1"/>
      <c r="BM2866" s="1"/>
      <c r="BN2866" s="1"/>
      <c r="BO2866" s="1"/>
      <c r="BP2866" s="1"/>
      <c r="BQ2866" s="1"/>
      <c r="BR2866" s="1"/>
      <c r="BS2866" s="1"/>
      <c r="BT2866" s="1"/>
      <c r="BU2866" s="1" t="s">
        <v>9653</v>
      </c>
      <c r="BV2866" s="3"/>
      <c r="BW2866" s="3"/>
    </row>
    <row r="2867" spans="1:75">
      <c r="A2867" s="1" t="s">
        <v>46264</v>
      </c>
      <c r="B2867" s="1" t="s">
        <v>13976</v>
      </c>
      <c r="C2867" s="1" t="s">
        <v>46502</v>
      </c>
      <c r="D2867" s="1" t="s">
        <v>46503</v>
      </c>
      <c r="E2867" s="1" t="s">
        <v>46504</v>
      </c>
      <c r="F2867" s="1" t="s">
        <v>46505</v>
      </c>
      <c r="G2867" s="1" t="s">
        <v>46506</v>
      </c>
      <c r="H2867" s="1" t="s">
        <v>46507</v>
      </c>
      <c r="I2867" s="1" t="s">
        <v>46507</v>
      </c>
      <c r="J2867" s="1">
        <v>9313778815</v>
      </c>
      <c r="K2867" s="1" t="s">
        <v>84</v>
      </c>
      <c r="L2867" s="1" t="s">
        <v>46508</v>
      </c>
      <c r="M2867" s="1" t="s">
        <v>86</v>
      </c>
      <c r="N2867" s="1" t="s">
        <v>40313</v>
      </c>
      <c r="O2867" s="1" t="s">
        <v>46509</v>
      </c>
      <c r="P2867" s="1" t="s">
        <v>89</v>
      </c>
      <c r="Q2867" s="1">
        <v>265606941355</v>
      </c>
      <c r="R2867" s="1" t="s">
        <v>46510</v>
      </c>
      <c r="S2867" s="1">
        <v>9925207787</v>
      </c>
      <c r="T2867" s="1" t="s">
        <v>14335</v>
      </c>
      <c r="U2867" s="1" t="s">
        <v>46511</v>
      </c>
      <c r="V2867" s="1">
        <v>8141556758</v>
      </c>
      <c r="W2867" s="1" t="s">
        <v>14154</v>
      </c>
      <c r="X2867" s="1" t="s">
        <v>46512</v>
      </c>
      <c r="Y2867" s="1" t="s">
        <v>33677</v>
      </c>
      <c r="Z2867" s="1" t="s">
        <v>676</v>
      </c>
      <c r="AA2867" s="1" t="s">
        <v>46512</v>
      </c>
      <c r="AB2867" s="1" t="s">
        <v>33677</v>
      </c>
      <c r="AC2867" s="1" t="s">
        <v>676</v>
      </c>
      <c r="AD2867" s="1" t="s">
        <v>98</v>
      </c>
      <c r="AE2867" s="1" t="s">
        <v>98</v>
      </c>
      <c r="AF2867" s="1" t="s">
        <v>46513</v>
      </c>
      <c r="AG2867" s="1" t="s">
        <v>46514</v>
      </c>
      <c r="AH2867" s="1" t="s">
        <v>438</v>
      </c>
      <c r="AI2867" s="1" t="s">
        <v>468</v>
      </c>
      <c r="AJ2867" s="1">
        <v>67.17</v>
      </c>
      <c r="AK2867" s="1">
        <v>0</v>
      </c>
      <c r="AL2867" s="1"/>
      <c r="AM2867" s="1"/>
      <c r="AN2867" s="1"/>
      <c r="AO2867" s="1"/>
      <c r="AP2867" s="1"/>
      <c r="AQ2867" s="1"/>
      <c r="AR2867" s="1"/>
      <c r="AS2867" s="1" t="s">
        <v>467</v>
      </c>
      <c r="AT2867" s="1" t="s">
        <v>46515</v>
      </c>
      <c r="AU2867" s="1" t="s">
        <v>1647</v>
      </c>
      <c r="AV2867" s="1" t="s">
        <v>955</v>
      </c>
      <c r="AW2867" s="1">
        <v>72.5</v>
      </c>
      <c r="AX2867" s="1">
        <v>7.75</v>
      </c>
      <c r="AY2867" s="1" t="s">
        <v>15188</v>
      </c>
      <c r="AZ2867" s="1" t="s">
        <v>46516</v>
      </c>
      <c r="BA2867" s="1" t="s">
        <v>466</v>
      </c>
      <c r="BB2867" s="1" t="s">
        <v>467</v>
      </c>
      <c r="BC2867" s="1" t="s">
        <v>234</v>
      </c>
      <c r="BD2867" s="1" t="s">
        <v>14514</v>
      </c>
      <c r="BE2867" s="1">
        <v>69.8</v>
      </c>
      <c r="BF2867" s="1">
        <v>7.48</v>
      </c>
      <c r="BG2867" s="1"/>
      <c r="BH2867" s="1"/>
      <c r="BI2867" s="1"/>
      <c r="BJ2867" s="1"/>
      <c r="BK2867" s="1"/>
      <c r="BL2867" s="1"/>
      <c r="BM2867" s="1"/>
      <c r="BN2867" s="1"/>
      <c r="BO2867" s="1" t="s">
        <v>46517</v>
      </c>
      <c r="BP2867" s="1"/>
      <c r="BQ2867" s="1"/>
      <c r="BR2867" s="1" t="s">
        <v>46518</v>
      </c>
      <c r="BS2867" s="1">
        <v>4</v>
      </c>
      <c r="BT2867" s="1"/>
      <c r="BU2867" s="1" t="str">
        <f>HYPERLINK("https://nconnect.nicmar.ac.in/storage/profile/6a871be7d6f94.png","Download")</f>
        <v>0</v>
      </c>
      <c r="BV2867" s="3"/>
      <c r="BW2867" s="3"/>
    </row>
    <row r="2868" spans="1:75">
      <c r="A2868" s="1" t="s">
        <v>46264</v>
      </c>
      <c r="B2868" s="1" t="s">
        <v>13976</v>
      </c>
      <c r="C2868" s="1" t="s">
        <v>46519</v>
      </c>
      <c r="D2868" s="1" t="s">
        <v>17277</v>
      </c>
      <c r="E2868" s="1" t="s">
        <v>17889</v>
      </c>
      <c r="F2868" s="1" t="s">
        <v>16498</v>
      </c>
      <c r="G2868" s="1" t="s">
        <v>46520</v>
      </c>
      <c r="H2868" s="1" t="s">
        <v>46521</v>
      </c>
      <c r="I2868" s="1" t="s">
        <v>46521</v>
      </c>
      <c r="J2868" s="1">
        <v>9819022505</v>
      </c>
      <c r="K2868" s="1" t="s">
        <v>84</v>
      </c>
      <c r="L2868" s="1" t="s">
        <v>8927</v>
      </c>
      <c r="M2868" s="1" t="s">
        <v>86</v>
      </c>
      <c r="N2868" s="1" t="s">
        <v>4652</v>
      </c>
      <c r="O2868" s="1" t="s">
        <v>46522</v>
      </c>
      <c r="P2868" s="1" t="s">
        <v>219</v>
      </c>
      <c r="Q2868" s="1">
        <v>822465715113</v>
      </c>
      <c r="R2868" s="1" t="s">
        <v>17889</v>
      </c>
      <c r="S2868" s="1">
        <v>9769007799</v>
      </c>
      <c r="T2868" s="1" t="s">
        <v>46523</v>
      </c>
      <c r="U2868" s="1" t="s">
        <v>46524</v>
      </c>
      <c r="V2868" s="1">
        <v>9819531919</v>
      </c>
      <c r="W2868" s="1" t="s">
        <v>10306</v>
      </c>
      <c r="X2868" s="1" t="s">
        <v>46525</v>
      </c>
      <c r="Y2868" s="1" t="s">
        <v>1012</v>
      </c>
      <c r="Z2868" s="1" t="s">
        <v>97</v>
      </c>
      <c r="AA2868" s="1" t="s">
        <v>46525</v>
      </c>
      <c r="AB2868" s="1" t="s">
        <v>1012</v>
      </c>
      <c r="AC2868" s="1" t="s">
        <v>97</v>
      </c>
      <c r="AD2868" s="1" t="s">
        <v>98</v>
      </c>
      <c r="AE2868" s="1" t="s">
        <v>98</v>
      </c>
      <c r="AF2868" s="1" t="s">
        <v>46526</v>
      </c>
      <c r="AG2868" s="1" t="s">
        <v>13007</v>
      </c>
      <c r="AH2868" s="1" t="s">
        <v>7331</v>
      </c>
      <c r="AI2868" s="1" t="s">
        <v>417</v>
      </c>
      <c r="AJ2868" s="1">
        <v>94.4</v>
      </c>
      <c r="AK2868" s="1"/>
      <c r="AL2868" s="1" t="s">
        <v>46526</v>
      </c>
      <c r="AM2868" s="1" t="s">
        <v>13007</v>
      </c>
      <c r="AN2868" s="1" t="s">
        <v>465</v>
      </c>
      <c r="AO2868" s="1" t="s">
        <v>178</v>
      </c>
      <c r="AP2868" s="1" t="s">
        <v>1400</v>
      </c>
      <c r="AQ2868" s="1">
        <v>71.4</v>
      </c>
      <c r="AR2868" s="1"/>
      <c r="AS2868" s="1"/>
      <c r="AT2868" s="1"/>
      <c r="AU2868" s="1"/>
      <c r="AV2868" s="1"/>
      <c r="AW2868" s="1"/>
      <c r="AX2868" s="1"/>
      <c r="AY2868" s="1" t="s">
        <v>14380</v>
      </c>
      <c r="AZ2868" s="1" t="s">
        <v>46527</v>
      </c>
      <c r="BA2868" s="1" t="s">
        <v>578</v>
      </c>
      <c r="BB2868" s="1" t="s">
        <v>467</v>
      </c>
      <c r="BC2868" s="1" t="s">
        <v>1889</v>
      </c>
      <c r="BD2868" s="1" t="s">
        <v>14514</v>
      </c>
      <c r="BE2868" s="1">
        <v>71.48</v>
      </c>
      <c r="BF2868" s="1">
        <v>7.87</v>
      </c>
      <c r="BG2868" s="1"/>
      <c r="BH2868" s="1"/>
      <c r="BI2868" s="1"/>
      <c r="BJ2868" s="1"/>
      <c r="BK2868" s="1"/>
      <c r="BL2868" s="1"/>
      <c r="BM2868" s="1"/>
      <c r="BN2868" s="1"/>
      <c r="BO2868" s="1" t="s">
        <v>46528</v>
      </c>
      <c r="BP2868" s="1"/>
      <c r="BQ2868" s="1"/>
      <c r="BR2868" s="1"/>
      <c r="BS2868" s="1"/>
      <c r="BT2868" s="1"/>
      <c r="BU2868" s="1" t="s">
        <v>9653</v>
      </c>
      <c r="BV2868" s="3"/>
      <c r="BW2868" s="3"/>
    </row>
    <row r="2869" spans="1:75">
      <c r="A2869" s="1" t="s">
        <v>46264</v>
      </c>
      <c r="B2869" s="1" t="s">
        <v>13976</v>
      </c>
      <c r="C2869" s="1" t="s">
        <v>46529</v>
      </c>
      <c r="D2869" s="1" t="s">
        <v>1487</v>
      </c>
      <c r="E2869" s="1"/>
      <c r="F2869" s="1" t="s">
        <v>46530</v>
      </c>
      <c r="G2869" s="1" t="s">
        <v>46531</v>
      </c>
      <c r="H2869" s="1" t="s">
        <v>46532</v>
      </c>
      <c r="I2869" s="1" t="s">
        <v>46533</v>
      </c>
      <c r="J2869" s="1">
        <v>6383209558</v>
      </c>
      <c r="K2869" s="1" t="s">
        <v>84</v>
      </c>
      <c r="L2869" s="1" t="s">
        <v>13094</v>
      </c>
      <c r="M2869" s="1" t="s">
        <v>86</v>
      </c>
      <c r="N2869" s="1" t="s">
        <v>46534</v>
      </c>
      <c r="O2869" s="1" t="s">
        <v>46535</v>
      </c>
      <c r="P2869" s="1" t="s">
        <v>219</v>
      </c>
      <c r="Q2869" s="1">
        <v>745203072588</v>
      </c>
      <c r="R2869" s="1" t="s">
        <v>46536</v>
      </c>
      <c r="S2869" s="1">
        <v>9003981124</v>
      </c>
      <c r="T2869" s="1" t="s">
        <v>46537</v>
      </c>
      <c r="U2869" s="1" t="s">
        <v>46538</v>
      </c>
      <c r="V2869" s="1">
        <v>8870955965</v>
      </c>
      <c r="W2869" s="1" t="s">
        <v>14032</v>
      </c>
      <c r="X2869" s="1" t="s">
        <v>46539</v>
      </c>
      <c r="Y2869" s="1" t="s">
        <v>2131</v>
      </c>
      <c r="Z2869" s="1" t="s">
        <v>570</v>
      </c>
      <c r="AA2869" s="1" t="s">
        <v>46539</v>
      </c>
      <c r="AB2869" s="1" t="s">
        <v>2131</v>
      </c>
      <c r="AC2869" s="1" t="s">
        <v>570</v>
      </c>
      <c r="AD2869" s="1" t="s">
        <v>98</v>
      </c>
      <c r="AE2869" s="1" t="s">
        <v>98</v>
      </c>
      <c r="AF2869" s="1" t="s">
        <v>46540</v>
      </c>
      <c r="AG2869" s="1" t="s">
        <v>46541</v>
      </c>
      <c r="AH2869" s="1" t="s">
        <v>490</v>
      </c>
      <c r="AI2869" s="1" t="s">
        <v>313</v>
      </c>
      <c r="AJ2869" s="1">
        <v>82.6</v>
      </c>
      <c r="AK2869" s="1"/>
      <c r="AL2869" s="1" t="s">
        <v>46542</v>
      </c>
      <c r="AM2869" s="1" t="s">
        <v>46541</v>
      </c>
      <c r="AN2869" s="1" t="s">
        <v>465</v>
      </c>
      <c r="AO2869" s="1" t="s">
        <v>468</v>
      </c>
      <c r="AP2869" s="1" t="s">
        <v>549</v>
      </c>
      <c r="AQ2869" s="1">
        <v>82.0</v>
      </c>
      <c r="AR2869" s="1"/>
      <c r="AS2869" s="1"/>
      <c r="AT2869" s="1"/>
      <c r="AU2869" s="1"/>
      <c r="AV2869" s="1"/>
      <c r="AW2869" s="1"/>
      <c r="AX2869" s="1"/>
      <c r="AY2869" s="1" t="s">
        <v>6942</v>
      </c>
      <c r="AZ2869" s="1" t="s">
        <v>11518</v>
      </c>
      <c r="BA2869" s="1" t="s">
        <v>466</v>
      </c>
      <c r="BB2869" s="1" t="s">
        <v>467</v>
      </c>
      <c r="BC2869" s="1" t="s">
        <v>552</v>
      </c>
      <c r="BD2869" s="1" t="s">
        <v>5340</v>
      </c>
      <c r="BE2869" s="1">
        <v>69.7</v>
      </c>
      <c r="BF2869" s="1">
        <v>6.97</v>
      </c>
      <c r="BG2869" s="1"/>
      <c r="BH2869" s="1"/>
      <c r="BI2869" s="1"/>
      <c r="BJ2869" s="1"/>
      <c r="BK2869" s="1"/>
      <c r="BL2869" s="1"/>
      <c r="BM2869" s="1"/>
      <c r="BN2869" s="1"/>
      <c r="BO2869" s="1" t="s">
        <v>849</v>
      </c>
      <c r="BP2869" s="1"/>
      <c r="BQ2869" s="1"/>
      <c r="BR2869" s="1"/>
      <c r="BS2869" s="1"/>
      <c r="BT2869" s="1" t="s">
        <v>46543</v>
      </c>
      <c r="BU2869" s="1" t="str">
        <f>HYPERLINK("https://nconnect.nicmar.ac.in/storage/profile/6a8703ea89a64.png","Download")</f>
        <v>0</v>
      </c>
      <c r="BV2869" s="3"/>
      <c r="BW2869" s="3"/>
    </row>
    <row r="2870" spans="1:75">
      <c r="A2870" s="1" t="s">
        <v>46264</v>
      </c>
      <c r="B2870" s="1" t="s">
        <v>13976</v>
      </c>
      <c r="C2870" s="1" t="s">
        <v>46544</v>
      </c>
      <c r="D2870" s="1" t="s">
        <v>19331</v>
      </c>
      <c r="E2870" s="1" t="s">
        <v>46545</v>
      </c>
      <c r="F2870" s="1" t="s">
        <v>46546</v>
      </c>
      <c r="G2870" s="1" t="s">
        <v>46547</v>
      </c>
      <c r="H2870" s="1" t="s">
        <v>46548</v>
      </c>
      <c r="I2870" s="1" t="s">
        <v>46549</v>
      </c>
      <c r="J2870" s="1">
        <v>8459650561</v>
      </c>
      <c r="K2870" s="1" t="s">
        <v>84</v>
      </c>
      <c r="L2870" s="1" t="s">
        <v>46550</v>
      </c>
      <c r="M2870" s="1" t="s">
        <v>86</v>
      </c>
      <c r="N2870" s="1" t="s">
        <v>46551</v>
      </c>
      <c r="O2870" s="1" t="s">
        <v>157</v>
      </c>
      <c r="P2870" s="1" t="s">
        <v>122</v>
      </c>
      <c r="Q2870" s="1">
        <v>493510202859</v>
      </c>
      <c r="R2870" s="1" t="s">
        <v>46545</v>
      </c>
      <c r="S2870" s="1">
        <v>7350780777</v>
      </c>
      <c r="T2870" s="1" t="s">
        <v>46552</v>
      </c>
      <c r="U2870" s="1" t="s">
        <v>46553</v>
      </c>
      <c r="V2870" s="1">
        <v>7769956687</v>
      </c>
      <c r="W2870" s="1" t="s">
        <v>14154</v>
      </c>
      <c r="X2870" s="1" t="s">
        <v>46554</v>
      </c>
      <c r="Y2870" s="1" t="s">
        <v>163</v>
      </c>
      <c r="Z2870" s="1" t="s">
        <v>97</v>
      </c>
      <c r="AA2870" s="1" t="s">
        <v>46554</v>
      </c>
      <c r="AB2870" s="1" t="s">
        <v>163</v>
      </c>
      <c r="AC2870" s="1" t="s">
        <v>97</v>
      </c>
      <c r="AD2870" s="1" t="s">
        <v>98</v>
      </c>
      <c r="AE2870" s="1" t="s">
        <v>98</v>
      </c>
      <c r="AF2870" s="1" t="s">
        <v>46555</v>
      </c>
      <c r="AG2870" s="1" t="s">
        <v>46556</v>
      </c>
      <c r="AH2870" s="1" t="s">
        <v>315</v>
      </c>
      <c r="AI2870" s="1" t="s">
        <v>603</v>
      </c>
      <c r="AJ2870" s="1">
        <v>82.0</v>
      </c>
      <c r="AK2870" s="1"/>
      <c r="AL2870" s="1"/>
      <c r="AM2870" s="1"/>
      <c r="AN2870" s="1"/>
      <c r="AO2870" s="1"/>
      <c r="AP2870" s="1"/>
      <c r="AQ2870" s="1"/>
      <c r="AR2870" s="1"/>
      <c r="AS2870" s="1" t="s">
        <v>14713</v>
      </c>
      <c r="AT2870" s="1" t="s">
        <v>46148</v>
      </c>
      <c r="AU2870" s="1" t="s">
        <v>178</v>
      </c>
      <c r="AV2870" s="1" t="s">
        <v>234</v>
      </c>
      <c r="AW2870" s="1">
        <v>78.47</v>
      </c>
      <c r="AX2870" s="1"/>
      <c r="AY2870" s="1" t="s">
        <v>46557</v>
      </c>
      <c r="AZ2870" s="1" t="s">
        <v>46558</v>
      </c>
      <c r="BA2870" s="1" t="s">
        <v>466</v>
      </c>
      <c r="BB2870" s="1" t="s">
        <v>467</v>
      </c>
      <c r="BC2870" s="1" t="s">
        <v>4573</v>
      </c>
      <c r="BD2870" s="1" t="s">
        <v>14514</v>
      </c>
      <c r="BE2870" s="1">
        <v>61.4</v>
      </c>
      <c r="BF2870" s="1">
        <v>6.89</v>
      </c>
      <c r="BG2870" s="1"/>
      <c r="BH2870" s="1"/>
      <c r="BI2870" s="1"/>
      <c r="BJ2870" s="1"/>
      <c r="BK2870" s="1"/>
      <c r="BL2870" s="1"/>
      <c r="BM2870" s="1"/>
      <c r="BN2870" s="1"/>
      <c r="BO2870" s="1" t="s">
        <v>849</v>
      </c>
      <c r="BP2870" s="1"/>
      <c r="BQ2870" s="1"/>
      <c r="BR2870" s="1"/>
      <c r="BS2870" s="1"/>
      <c r="BT2870" s="1"/>
      <c r="BU2870" s="1" t="str">
        <f>HYPERLINK("https://nconnect.nicmar.ac.in/storage/profile/6a86bf14114d4.png","Download")</f>
        <v>0</v>
      </c>
      <c r="BV2870" s="3"/>
      <c r="BW2870" s="3"/>
    </row>
    <row r="2871" spans="1:75">
      <c r="A2871" s="1" t="s">
        <v>46264</v>
      </c>
      <c r="B2871" s="1" t="s">
        <v>13976</v>
      </c>
      <c r="C2871" s="1" t="s">
        <v>46559</v>
      </c>
      <c r="D2871" s="1" t="s">
        <v>14185</v>
      </c>
      <c r="E2871" s="1"/>
      <c r="F2871" s="1" t="s">
        <v>46560</v>
      </c>
      <c r="G2871" s="1" t="s">
        <v>46561</v>
      </c>
      <c r="H2871" s="1" t="s">
        <v>46562</v>
      </c>
      <c r="I2871" s="1" t="s">
        <v>46562</v>
      </c>
      <c r="J2871" s="1">
        <v>9302126242</v>
      </c>
      <c r="K2871" s="1" t="s">
        <v>153</v>
      </c>
      <c r="L2871" s="1" t="s">
        <v>12643</v>
      </c>
      <c r="M2871" s="1" t="s">
        <v>86</v>
      </c>
      <c r="N2871" s="1" t="s">
        <v>87</v>
      </c>
      <c r="O2871" s="1" t="s">
        <v>46563</v>
      </c>
      <c r="P2871" s="1" t="s">
        <v>89</v>
      </c>
      <c r="Q2871" s="1">
        <v>462302613191</v>
      </c>
      <c r="R2871" s="1" t="s">
        <v>46564</v>
      </c>
      <c r="S2871" s="1">
        <v>9303230487</v>
      </c>
      <c r="T2871" s="1" t="s">
        <v>92</v>
      </c>
      <c r="U2871" s="1" t="s">
        <v>5612</v>
      </c>
      <c r="V2871" s="1">
        <v>7000691406</v>
      </c>
      <c r="W2871" s="1" t="s">
        <v>541</v>
      </c>
      <c r="X2871" s="1" t="s">
        <v>46565</v>
      </c>
      <c r="Y2871" s="1" t="s">
        <v>5641</v>
      </c>
      <c r="Z2871" s="1" t="s">
        <v>3419</v>
      </c>
      <c r="AA2871" s="1" t="s">
        <v>46565</v>
      </c>
      <c r="AB2871" s="1" t="s">
        <v>5641</v>
      </c>
      <c r="AC2871" s="1" t="s">
        <v>3419</v>
      </c>
      <c r="AD2871" s="1" t="s">
        <v>98</v>
      </c>
      <c r="AE2871" s="1" t="s">
        <v>98</v>
      </c>
      <c r="AF2871" s="1" t="s">
        <v>46566</v>
      </c>
      <c r="AG2871" s="1" t="s">
        <v>46567</v>
      </c>
      <c r="AH2871" s="1" t="s">
        <v>490</v>
      </c>
      <c r="AI2871" s="1" t="s">
        <v>313</v>
      </c>
      <c r="AJ2871" s="1">
        <v>83.6</v>
      </c>
      <c r="AK2871" s="1"/>
      <c r="AL2871" s="1" t="s">
        <v>46566</v>
      </c>
      <c r="AM2871" s="1" t="s">
        <v>46567</v>
      </c>
      <c r="AN2871" s="1" t="s">
        <v>465</v>
      </c>
      <c r="AO2871" s="1" t="s">
        <v>977</v>
      </c>
      <c r="AP2871" s="1" t="s">
        <v>549</v>
      </c>
      <c r="AQ2871" s="1">
        <v>85.6</v>
      </c>
      <c r="AR2871" s="1"/>
      <c r="AS2871" s="1"/>
      <c r="AT2871" s="1"/>
      <c r="AU2871" s="1"/>
      <c r="AV2871" s="1"/>
      <c r="AW2871" s="1"/>
      <c r="AX2871" s="1"/>
      <c r="AY2871" s="1" t="s">
        <v>46568</v>
      </c>
      <c r="AZ2871" s="1" t="s">
        <v>46569</v>
      </c>
      <c r="BA2871" s="1" t="s">
        <v>578</v>
      </c>
      <c r="BB2871" s="1" t="s">
        <v>467</v>
      </c>
      <c r="BC2871" s="1" t="s">
        <v>606</v>
      </c>
      <c r="BD2871" s="1" t="s">
        <v>553</v>
      </c>
      <c r="BE2871" s="1">
        <v>83.33</v>
      </c>
      <c r="BF2871" s="1">
        <v>8.33</v>
      </c>
      <c r="BG2871" s="1"/>
      <c r="BH2871" s="1"/>
      <c r="BI2871" s="1"/>
      <c r="BJ2871" s="1"/>
      <c r="BK2871" s="1"/>
      <c r="BL2871" s="1"/>
      <c r="BM2871" s="1"/>
      <c r="BN2871" s="1"/>
      <c r="BO2871" s="1" t="s">
        <v>46570</v>
      </c>
      <c r="BP2871" s="1" t="s">
        <v>46571</v>
      </c>
      <c r="BQ2871" s="1" t="s">
        <v>2093</v>
      </c>
      <c r="BR2871" s="1"/>
      <c r="BS2871" s="1"/>
      <c r="BT2871" s="1" t="s">
        <v>46572</v>
      </c>
      <c r="BU2871" s="1" t="str">
        <f>HYPERLINK("https://nconnect.nicmar.ac.in/storage/profile/6a85ea4b72ee0.png","Download")</f>
        <v>0</v>
      </c>
      <c r="BV2871" s="3"/>
      <c r="BW2871" s="3"/>
    </row>
    <row r="2872" spans="1:75">
      <c r="A2872" s="1" t="s">
        <v>46264</v>
      </c>
      <c r="B2872" s="1" t="s">
        <v>13976</v>
      </c>
      <c r="C2872" s="1" t="s">
        <v>46573</v>
      </c>
      <c r="D2872" s="1" t="s">
        <v>46574</v>
      </c>
      <c r="E2872" s="1" t="s">
        <v>46575</v>
      </c>
      <c r="F2872" s="1" t="s">
        <v>46576</v>
      </c>
      <c r="G2872" s="1" t="s">
        <v>46577</v>
      </c>
      <c r="H2872" s="1" t="s">
        <v>46578</v>
      </c>
      <c r="I2872" s="1" t="s">
        <v>46578</v>
      </c>
      <c r="J2872" s="1">
        <v>9067911076</v>
      </c>
      <c r="K2872" s="1" t="s">
        <v>84</v>
      </c>
      <c r="L2872" s="1" t="s">
        <v>46579</v>
      </c>
      <c r="M2872" s="1" t="s">
        <v>86</v>
      </c>
      <c r="N2872" s="1" t="s">
        <v>8520</v>
      </c>
      <c r="O2872" s="1" t="s">
        <v>46580</v>
      </c>
      <c r="P2872" s="1" t="s">
        <v>1693</v>
      </c>
      <c r="Q2872" s="1">
        <v>568883975464</v>
      </c>
      <c r="R2872" s="1" t="s">
        <v>46575</v>
      </c>
      <c r="S2872" s="1">
        <v>9356823585</v>
      </c>
      <c r="T2872" s="1" t="s">
        <v>13987</v>
      </c>
      <c r="U2872" s="1" t="s">
        <v>40081</v>
      </c>
      <c r="V2872" s="1">
        <v>9206837000</v>
      </c>
      <c r="W2872" s="1" t="s">
        <v>14154</v>
      </c>
      <c r="X2872" s="1" t="s">
        <v>46581</v>
      </c>
      <c r="Y2872" s="1" t="s">
        <v>196</v>
      </c>
      <c r="Z2872" s="1" t="s">
        <v>97</v>
      </c>
      <c r="AA2872" s="1" t="s">
        <v>46582</v>
      </c>
      <c r="AB2872" s="1" t="s">
        <v>196</v>
      </c>
      <c r="AC2872" s="1" t="s">
        <v>97</v>
      </c>
      <c r="AD2872" s="1" t="s">
        <v>98</v>
      </c>
      <c r="AE2872" s="1" t="s">
        <v>98</v>
      </c>
      <c r="AF2872" s="1" t="s">
        <v>46583</v>
      </c>
      <c r="AG2872" s="1" t="s">
        <v>20254</v>
      </c>
      <c r="AH2872" s="1" t="s">
        <v>3112</v>
      </c>
      <c r="AI2872" s="1" t="s">
        <v>171</v>
      </c>
      <c r="AJ2872" s="1">
        <v>83.0</v>
      </c>
      <c r="AK2872" s="1"/>
      <c r="AL2872" s="1"/>
      <c r="AM2872" s="1"/>
      <c r="AN2872" s="1"/>
      <c r="AO2872" s="1"/>
      <c r="AP2872" s="1"/>
      <c r="AQ2872" s="1"/>
      <c r="AR2872" s="1"/>
      <c r="AS2872" s="1" t="s">
        <v>467</v>
      </c>
      <c r="AT2872" s="1" t="s">
        <v>46584</v>
      </c>
      <c r="AU2872" s="1" t="s">
        <v>106</v>
      </c>
      <c r="AV2872" s="1" t="s">
        <v>847</v>
      </c>
      <c r="AW2872" s="1">
        <v>89.89</v>
      </c>
      <c r="AX2872" s="1"/>
      <c r="AY2872" s="1" t="s">
        <v>46585</v>
      </c>
      <c r="AZ2872" s="1" t="s">
        <v>20254</v>
      </c>
      <c r="BA2872" s="1" t="s">
        <v>466</v>
      </c>
      <c r="BB2872" s="1" t="s">
        <v>467</v>
      </c>
      <c r="BC2872" s="1" t="s">
        <v>847</v>
      </c>
      <c r="BD2872" s="1" t="s">
        <v>207</v>
      </c>
      <c r="BE2872" s="1">
        <v>79.6</v>
      </c>
      <c r="BF2872" s="1">
        <v>7.96</v>
      </c>
      <c r="BG2872" s="1"/>
      <c r="BH2872" s="1"/>
      <c r="BI2872" s="1"/>
      <c r="BJ2872" s="1"/>
      <c r="BK2872" s="1"/>
      <c r="BL2872" s="1"/>
      <c r="BM2872" s="1"/>
      <c r="BN2872" s="1"/>
      <c r="BO2872" s="1" t="s">
        <v>46586</v>
      </c>
      <c r="BP2872" s="1"/>
      <c r="BQ2872" s="1"/>
      <c r="BR2872" s="1" t="s">
        <v>46587</v>
      </c>
      <c r="BS2872" s="1">
        <v>42</v>
      </c>
      <c r="BT2872" s="1" t="s">
        <v>46588</v>
      </c>
      <c r="BU2872" s="1" t="str">
        <f>HYPERLINK("https://nconnect.nicmar.ac.in/storage/profile/6a8726d9126ce.png","Download")</f>
        <v>0</v>
      </c>
      <c r="BV2872" s="3"/>
      <c r="BW2872" s="3"/>
    </row>
    <row r="2873" spans="1:75">
      <c r="A2873" s="1" t="s">
        <v>46264</v>
      </c>
      <c r="B2873" s="1" t="s">
        <v>13976</v>
      </c>
      <c r="C2873" s="1" t="s">
        <v>46589</v>
      </c>
      <c r="D2873" s="1" t="s">
        <v>14720</v>
      </c>
      <c r="E2873" s="1" t="s">
        <v>22251</v>
      </c>
      <c r="F2873" s="1" t="s">
        <v>14460</v>
      </c>
      <c r="G2873" s="1" t="s">
        <v>46590</v>
      </c>
      <c r="H2873" s="1" t="s">
        <v>46591</v>
      </c>
      <c r="I2873" s="1" t="s">
        <v>46591</v>
      </c>
      <c r="J2873" s="1">
        <v>8369616224</v>
      </c>
      <c r="K2873" s="1" t="s">
        <v>84</v>
      </c>
      <c r="L2873" s="1" t="s">
        <v>46592</v>
      </c>
      <c r="M2873" s="1" t="s">
        <v>86</v>
      </c>
      <c r="N2873" s="1" t="s">
        <v>46593</v>
      </c>
      <c r="O2873" s="1" t="s">
        <v>46594</v>
      </c>
      <c r="P2873" s="1" t="s">
        <v>122</v>
      </c>
      <c r="Q2873" s="1">
        <v>520420020239</v>
      </c>
      <c r="R2873" s="1" t="s">
        <v>46595</v>
      </c>
      <c r="S2873" s="1">
        <v>9881240805</v>
      </c>
      <c r="T2873" s="1" t="s">
        <v>14507</v>
      </c>
      <c r="U2873" s="1" t="s">
        <v>46596</v>
      </c>
      <c r="V2873" s="1">
        <v>9156789728</v>
      </c>
      <c r="W2873" s="1" t="s">
        <v>14234</v>
      </c>
      <c r="X2873" s="1" t="s">
        <v>46597</v>
      </c>
      <c r="Y2873" s="1" t="s">
        <v>1189</v>
      </c>
      <c r="Z2873" s="1" t="s">
        <v>97</v>
      </c>
      <c r="AA2873" s="1" t="s">
        <v>46597</v>
      </c>
      <c r="AB2873" s="1" t="s">
        <v>1189</v>
      </c>
      <c r="AC2873" s="1" t="s">
        <v>97</v>
      </c>
      <c r="AD2873" s="1" t="s">
        <v>98</v>
      </c>
      <c r="AE2873" s="1" t="s">
        <v>98</v>
      </c>
      <c r="AF2873" s="1" t="s">
        <v>46598</v>
      </c>
      <c r="AG2873" s="1" t="s">
        <v>46599</v>
      </c>
      <c r="AH2873" s="1" t="s">
        <v>339</v>
      </c>
      <c r="AI2873" s="1" t="s">
        <v>468</v>
      </c>
      <c r="AJ2873" s="1">
        <v>83.2</v>
      </c>
      <c r="AK2873" s="1">
        <v>8.7</v>
      </c>
      <c r="AL2873" s="1"/>
      <c r="AM2873" s="1"/>
      <c r="AN2873" s="1"/>
      <c r="AO2873" s="1"/>
      <c r="AP2873" s="1"/>
      <c r="AQ2873" s="1"/>
      <c r="AR2873" s="1"/>
      <c r="AS2873" s="1" t="s">
        <v>467</v>
      </c>
      <c r="AT2873" s="1" t="s">
        <v>46600</v>
      </c>
      <c r="AU2873" s="1" t="s">
        <v>1040</v>
      </c>
      <c r="AV2873" s="1" t="s">
        <v>179</v>
      </c>
      <c r="AW2873" s="1">
        <v>85.68</v>
      </c>
      <c r="AX2873" s="1">
        <v>9.01</v>
      </c>
      <c r="AY2873" s="1" t="s">
        <v>46601</v>
      </c>
      <c r="AZ2873" s="1" t="s">
        <v>46601</v>
      </c>
      <c r="BA2873" s="1" t="s">
        <v>466</v>
      </c>
      <c r="BB2873" s="1" t="s">
        <v>467</v>
      </c>
      <c r="BC2873" s="1" t="s">
        <v>1267</v>
      </c>
      <c r="BD2873" s="1" t="s">
        <v>9688</v>
      </c>
      <c r="BE2873" s="1">
        <v>74.56</v>
      </c>
      <c r="BF2873" s="1">
        <v>7.8</v>
      </c>
      <c r="BG2873" s="1"/>
      <c r="BH2873" s="1"/>
      <c r="BI2873" s="1"/>
      <c r="BJ2873" s="1"/>
      <c r="BK2873" s="1"/>
      <c r="BL2873" s="1"/>
      <c r="BM2873" s="1"/>
      <c r="BN2873" s="1"/>
      <c r="BO2873" s="1" t="s">
        <v>46602</v>
      </c>
      <c r="BP2873" s="1" t="s">
        <v>46603</v>
      </c>
      <c r="BQ2873" s="1" t="s">
        <v>2093</v>
      </c>
      <c r="BR2873" s="1"/>
      <c r="BS2873" s="1"/>
      <c r="BT2873" s="1"/>
      <c r="BU2873" s="1" t="str">
        <f>HYPERLINK("https://nconnect.nicmar.ac.in/storage/profile/6a87159235115.png","Download")</f>
        <v>0</v>
      </c>
      <c r="BV2873" s="3"/>
      <c r="BW2873" s="3"/>
    </row>
    <row r="2874" spans="1:75">
      <c r="A2874" s="1" t="s">
        <v>46264</v>
      </c>
      <c r="B2874" s="1" t="s">
        <v>13976</v>
      </c>
      <c r="C2874" s="1" t="s">
        <v>46604</v>
      </c>
      <c r="D2874" s="1" t="s">
        <v>46605</v>
      </c>
      <c r="E2874" s="1" t="s">
        <v>46606</v>
      </c>
      <c r="F2874" s="1" t="s">
        <v>16699</v>
      </c>
      <c r="G2874" s="1" t="s">
        <v>46607</v>
      </c>
      <c r="H2874" s="1" t="s">
        <v>46608</v>
      </c>
      <c r="I2874" s="1" t="s">
        <v>46608</v>
      </c>
      <c r="J2874" s="1">
        <v>8433895459</v>
      </c>
      <c r="K2874" s="1" t="s">
        <v>84</v>
      </c>
      <c r="L2874" s="1" t="s">
        <v>46609</v>
      </c>
      <c r="M2874" s="1" t="s">
        <v>86</v>
      </c>
      <c r="N2874" s="1" t="s">
        <v>18471</v>
      </c>
      <c r="O2874" s="1" t="s">
        <v>46610</v>
      </c>
      <c r="P2874" s="1" t="s">
        <v>89</v>
      </c>
      <c r="Q2874" s="1">
        <v>432900960161</v>
      </c>
      <c r="R2874" s="1" t="s">
        <v>46606</v>
      </c>
      <c r="S2874" s="1">
        <v>9323830749</v>
      </c>
      <c r="T2874" s="1" t="s">
        <v>15044</v>
      </c>
      <c r="U2874" s="1" t="s">
        <v>46611</v>
      </c>
      <c r="V2874" s="1">
        <v>8355989533</v>
      </c>
      <c r="W2874" s="1" t="s">
        <v>39653</v>
      </c>
      <c r="X2874" s="1" t="s">
        <v>46612</v>
      </c>
      <c r="Y2874" s="1" t="s">
        <v>1882</v>
      </c>
      <c r="Z2874" s="1" t="s">
        <v>97</v>
      </c>
      <c r="AA2874" s="1"/>
      <c r="AB2874" s="1" t="s">
        <v>1882</v>
      </c>
      <c r="AC2874" s="1" t="s">
        <v>97</v>
      </c>
      <c r="AD2874" s="1" t="s">
        <v>98</v>
      </c>
      <c r="AE2874" s="1" t="s">
        <v>98</v>
      </c>
      <c r="AF2874" s="1" t="s">
        <v>46613</v>
      </c>
      <c r="AG2874" s="1" t="s">
        <v>46614</v>
      </c>
      <c r="AH2874" s="1" t="s">
        <v>315</v>
      </c>
      <c r="AI2874" s="1" t="s">
        <v>603</v>
      </c>
      <c r="AJ2874" s="1">
        <v>71.6</v>
      </c>
      <c r="AK2874" s="1"/>
      <c r="AL2874" s="1"/>
      <c r="AM2874" s="1"/>
      <c r="AN2874" s="1"/>
      <c r="AO2874" s="1"/>
      <c r="AP2874" s="1"/>
      <c r="AQ2874" s="1"/>
      <c r="AR2874" s="1"/>
      <c r="AS2874" s="1" t="s">
        <v>46615</v>
      </c>
      <c r="AT2874" s="1" t="s">
        <v>46614</v>
      </c>
      <c r="AU2874" s="1" t="s">
        <v>178</v>
      </c>
      <c r="AV2874" s="1" t="s">
        <v>179</v>
      </c>
      <c r="AW2874" s="1">
        <v>71.58</v>
      </c>
      <c r="AX2874" s="1"/>
      <c r="AY2874" s="1" t="s">
        <v>46616</v>
      </c>
      <c r="AZ2874" s="1" t="s">
        <v>46614</v>
      </c>
      <c r="BA2874" s="1" t="s">
        <v>578</v>
      </c>
      <c r="BB2874" s="1" t="s">
        <v>467</v>
      </c>
      <c r="BC2874" s="1" t="s">
        <v>179</v>
      </c>
      <c r="BD2874" s="1" t="s">
        <v>14162</v>
      </c>
      <c r="BE2874" s="1">
        <v>-0.17</v>
      </c>
      <c r="BF2874" s="1"/>
      <c r="BG2874" s="1"/>
      <c r="BH2874" s="1"/>
      <c r="BI2874" s="1"/>
      <c r="BJ2874" s="1"/>
      <c r="BK2874" s="1"/>
      <c r="BL2874" s="1"/>
      <c r="BM2874" s="1"/>
      <c r="BN2874" s="1"/>
      <c r="BO2874" s="1" t="s">
        <v>44410</v>
      </c>
      <c r="BP2874" s="1"/>
      <c r="BQ2874" s="1"/>
      <c r="BR2874" s="1" t="s">
        <v>46617</v>
      </c>
      <c r="BS2874" s="1">
        <v>4</v>
      </c>
      <c r="BT2874" s="1"/>
      <c r="BU2874" s="1" t="str">
        <f>HYPERLINK("https://nconnect.nicmar.ac.in/storage/profile/6a86b5c3d56d2.png","Download")</f>
        <v>0</v>
      </c>
      <c r="BV2874" s="3"/>
      <c r="BW2874" s="3"/>
    </row>
    <row r="2875" spans="1:75">
      <c r="A2875" s="1" t="s">
        <v>46264</v>
      </c>
      <c r="B2875" s="1" t="s">
        <v>13976</v>
      </c>
      <c r="C2875" s="1" t="s">
        <v>46618</v>
      </c>
      <c r="D2875" s="1" t="s">
        <v>19127</v>
      </c>
      <c r="E2875" s="1" t="s">
        <v>46619</v>
      </c>
      <c r="F2875" s="1" t="s">
        <v>16498</v>
      </c>
      <c r="G2875" s="1" t="s">
        <v>46620</v>
      </c>
      <c r="H2875" s="1" t="s">
        <v>46621</v>
      </c>
      <c r="I2875" s="1" t="s">
        <v>46621</v>
      </c>
      <c r="J2875" s="1">
        <v>9145439398</v>
      </c>
      <c r="K2875" s="1" t="s">
        <v>84</v>
      </c>
      <c r="L2875" s="1" t="s">
        <v>46622</v>
      </c>
      <c r="M2875" s="1" t="s">
        <v>86</v>
      </c>
      <c r="N2875" s="1" t="s">
        <v>13039</v>
      </c>
      <c r="O2875" s="1" t="s">
        <v>46623</v>
      </c>
      <c r="P2875" s="1" t="s">
        <v>89</v>
      </c>
      <c r="Q2875" s="1">
        <v>325855902273</v>
      </c>
      <c r="R2875" s="1" t="s">
        <v>46624</v>
      </c>
      <c r="S2875" s="1">
        <v>8007185122</v>
      </c>
      <c r="T2875" s="1" t="s">
        <v>46625</v>
      </c>
      <c r="U2875" s="1" t="s">
        <v>46626</v>
      </c>
      <c r="V2875" s="1">
        <v>8007185122</v>
      </c>
      <c r="W2875" s="1" t="s">
        <v>10306</v>
      </c>
      <c r="X2875" s="1" t="s">
        <v>46627</v>
      </c>
      <c r="Y2875" s="1" t="s">
        <v>163</v>
      </c>
      <c r="Z2875" s="1" t="s">
        <v>97</v>
      </c>
      <c r="AA2875" s="1" t="s">
        <v>46627</v>
      </c>
      <c r="AB2875" s="1" t="s">
        <v>163</v>
      </c>
      <c r="AC2875" s="1" t="s">
        <v>97</v>
      </c>
      <c r="AD2875" s="1" t="s">
        <v>98</v>
      </c>
      <c r="AE2875" s="1" t="s">
        <v>98</v>
      </c>
      <c r="AF2875" s="1" t="s">
        <v>46628</v>
      </c>
      <c r="AG2875" s="1" t="s">
        <v>46629</v>
      </c>
      <c r="AH2875" s="1" t="s">
        <v>315</v>
      </c>
      <c r="AI2875" s="1" t="s">
        <v>178</v>
      </c>
      <c r="AJ2875" s="1">
        <v>82</v>
      </c>
      <c r="AK2875" s="1"/>
      <c r="AL2875" s="1" t="s">
        <v>46630</v>
      </c>
      <c r="AM2875" s="1" t="s">
        <v>46631</v>
      </c>
      <c r="AN2875" s="1" t="s">
        <v>465</v>
      </c>
      <c r="AO2875" s="1" t="s">
        <v>549</v>
      </c>
      <c r="AP2875" s="1" t="s">
        <v>1400</v>
      </c>
      <c r="AQ2875" s="1">
        <v>69</v>
      </c>
      <c r="AR2875" s="1"/>
      <c r="AS2875" s="1"/>
      <c r="AT2875" s="1"/>
      <c r="AU2875" s="1"/>
      <c r="AV2875" s="1"/>
      <c r="AW2875" s="1"/>
      <c r="AX2875" s="1"/>
      <c r="AY2875" s="1" t="s">
        <v>14262</v>
      </c>
      <c r="AZ2875" s="1" t="s">
        <v>46632</v>
      </c>
      <c r="BA2875" s="1" t="s">
        <v>466</v>
      </c>
      <c r="BB2875" s="1" t="s">
        <v>467</v>
      </c>
      <c r="BC2875" s="1" t="s">
        <v>1401</v>
      </c>
      <c r="BD2875" s="1" t="s">
        <v>14162</v>
      </c>
      <c r="BE2875" s="1">
        <v>69</v>
      </c>
      <c r="BF2875" s="1">
        <v>7.65</v>
      </c>
      <c r="BG2875" s="1"/>
      <c r="BH2875" s="1"/>
      <c r="BI2875" s="1"/>
      <c r="BJ2875" s="1"/>
      <c r="BK2875" s="1"/>
      <c r="BL2875" s="1"/>
      <c r="BM2875" s="1"/>
      <c r="BN2875" s="1"/>
      <c r="BO2875" s="1" t="s">
        <v>46633</v>
      </c>
      <c r="BP2875" s="1"/>
      <c r="BQ2875" s="1"/>
      <c r="BR2875" s="1" t="s">
        <v>46634</v>
      </c>
      <c r="BS2875" s="1">
        <v>16</v>
      </c>
      <c r="BT2875" s="1"/>
      <c r="BU2875" s="1" t="str">
        <f>HYPERLINK("https://nconnect.nicmar.ac.in/storage/profile/6a86bbbe3ab09.png","Download")</f>
        <v>0</v>
      </c>
      <c r="BV2875" s="3"/>
      <c r="BW2875" s="3"/>
    </row>
    <row r="2876" spans="1:75">
      <c r="A2876" s="1" t="s">
        <v>46264</v>
      </c>
      <c r="B2876" s="1" t="s">
        <v>13976</v>
      </c>
      <c r="C2876" s="1" t="s">
        <v>46635</v>
      </c>
      <c r="D2876" s="1" t="s">
        <v>16310</v>
      </c>
      <c r="E2876" s="1" t="s">
        <v>46636</v>
      </c>
      <c r="F2876" s="1" t="s">
        <v>14460</v>
      </c>
      <c r="G2876" s="1" t="s">
        <v>46637</v>
      </c>
      <c r="H2876" s="1" t="s">
        <v>46638</v>
      </c>
      <c r="I2876" s="1" t="s">
        <v>46638</v>
      </c>
      <c r="J2876" s="1">
        <v>9108165220</v>
      </c>
      <c r="K2876" s="1" t="s">
        <v>84</v>
      </c>
      <c r="L2876" s="1" t="s">
        <v>46639</v>
      </c>
      <c r="M2876" s="1" t="s">
        <v>86</v>
      </c>
      <c r="N2876" s="1" t="s">
        <v>4412</v>
      </c>
      <c r="O2876" s="1" t="s">
        <v>46640</v>
      </c>
      <c r="P2876" s="1" t="s">
        <v>219</v>
      </c>
      <c r="Q2876" s="1">
        <v>348072247695</v>
      </c>
      <c r="R2876" s="1" t="s">
        <v>46641</v>
      </c>
      <c r="S2876" s="1">
        <v>9731508491</v>
      </c>
      <c r="T2876" s="1" t="s">
        <v>17561</v>
      </c>
      <c r="U2876" s="1" t="s">
        <v>46642</v>
      </c>
      <c r="V2876" s="1">
        <v>6360034978</v>
      </c>
      <c r="W2876" s="1" t="s">
        <v>14154</v>
      </c>
      <c r="X2876" s="1" t="s">
        <v>46643</v>
      </c>
      <c r="Y2876" s="1" t="s">
        <v>6871</v>
      </c>
      <c r="Z2876" s="1" t="s">
        <v>1210</v>
      </c>
      <c r="AA2876" s="1" t="s">
        <v>46643</v>
      </c>
      <c r="AB2876" s="1" t="s">
        <v>6871</v>
      </c>
      <c r="AC2876" s="1" t="s">
        <v>1210</v>
      </c>
      <c r="AD2876" s="1" t="s">
        <v>98</v>
      </c>
      <c r="AE2876" s="1" t="s">
        <v>98</v>
      </c>
      <c r="AF2876" s="1" t="s">
        <v>46644</v>
      </c>
      <c r="AG2876" s="1" t="s">
        <v>18195</v>
      </c>
      <c r="AH2876" s="1" t="s">
        <v>106</v>
      </c>
      <c r="AI2876" s="1" t="s">
        <v>547</v>
      </c>
      <c r="AJ2876" s="1">
        <v>80.96</v>
      </c>
      <c r="AK2876" s="1"/>
      <c r="AL2876" s="1" t="s">
        <v>46645</v>
      </c>
      <c r="AM2876" s="1" t="s">
        <v>24367</v>
      </c>
      <c r="AN2876" s="1" t="s">
        <v>575</v>
      </c>
      <c r="AO2876" s="1" t="s">
        <v>438</v>
      </c>
      <c r="AP2876" s="1" t="s">
        <v>549</v>
      </c>
      <c r="AQ2876" s="1">
        <v>90.17</v>
      </c>
      <c r="AR2876" s="1"/>
      <c r="AS2876" s="1"/>
      <c r="AT2876" s="1"/>
      <c r="AU2876" s="1"/>
      <c r="AV2876" s="1"/>
      <c r="AW2876" s="1"/>
      <c r="AX2876" s="1"/>
      <c r="AY2876" s="1" t="s">
        <v>14436</v>
      </c>
      <c r="AZ2876" s="1" t="s">
        <v>46646</v>
      </c>
      <c r="BA2876" s="1" t="s">
        <v>578</v>
      </c>
      <c r="BB2876" s="1" t="s">
        <v>467</v>
      </c>
      <c r="BC2876" s="1" t="s">
        <v>871</v>
      </c>
      <c r="BD2876" s="1" t="s">
        <v>848</v>
      </c>
      <c r="BE2876" s="1">
        <v>84.5</v>
      </c>
      <c r="BF2876" s="1">
        <v>8.45</v>
      </c>
      <c r="BG2876" s="1"/>
      <c r="BH2876" s="1"/>
      <c r="BI2876" s="1"/>
      <c r="BJ2876" s="1"/>
      <c r="BK2876" s="1"/>
      <c r="BL2876" s="1"/>
      <c r="BM2876" s="1"/>
      <c r="BN2876" s="1"/>
      <c r="BO2876" s="1" t="s">
        <v>46647</v>
      </c>
      <c r="BP2876" s="1"/>
      <c r="BQ2876" s="1"/>
      <c r="BR2876" s="1" t="s">
        <v>46648</v>
      </c>
      <c r="BS2876" s="1">
        <v>18</v>
      </c>
      <c r="BT2876" s="1"/>
      <c r="BU2876" s="1" t="str">
        <f>HYPERLINK("https://nconnect.nicmar.ac.in/storage/profile/6a848f7c3ad35.png","Download")</f>
        <v>0</v>
      </c>
      <c r="BV2876" s="3"/>
      <c r="BW2876" s="3"/>
    </row>
    <row r="2877" spans="1:75">
      <c r="A2877" s="1" t="s">
        <v>46264</v>
      </c>
      <c r="B2877" s="1" t="s">
        <v>13976</v>
      </c>
      <c r="C2877" s="1" t="s">
        <v>46649</v>
      </c>
      <c r="D2877" s="1" t="s">
        <v>46650</v>
      </c>
      <c r="E2877" s="1"/>
      <c r="F2877" s="1" t="s">
        <v>46651</v>
      </c>
      <c r="G2877" s="1" t="s">
        <v>46652</v>
      </c>
      <c r="H2877" s="1" t="s">
        <v>46653</v>
      </c>
      <c r="I2877" s="1" t="s">
        <v>46653</v>
      </c>
      <c r="J2877" s="1">
        <v>8110056833</v>
      </c>
      <c r="K2877" s="1" t="s">
        <v>84</v>
      </c>
      <c r="L2877" s="1" t="s">
        <v>46654</v>
      </c>
      <c r="M2877" s="1" t="s">
        <v>86</v>
      </c>
      <c r="N2877" s="1" t="s">
        <v>46655</v>
      </c>
      <c r="O2877" s="1" t="s">
        <v>46656</v>
      </c>
      <c r="P2877" s="1" t="s">
        <v>122</v>
      </c>
      <c r="Q2877" s="1">
        <v>246794251554</v>
      </c>
      <c r="R2877" s="1" t="s">
        <v>46657</v>
      </c>
      <c r="S2877" s="1">
        <v>9943967334</v>
      </c>
      <c r="T2877" s="1" t="s">
        <v>14507</v>
      </c>
      <c r="U2877" s="1" t="s">
        <v>46658</v>
      </c>
      <c r="V2877" s="1">
        <v>9585528581</v>
      </c>
      <c r="W2877" s="1" t="s">
        <v>15046</v>
      </c>
      <c r="X2877" s="1" t="s">
        <v>46659</v>
      </c>
      <c r="Y2877" s="1" t="s">
        <v>822</v>
      </c>
      <c r="Z2877" s="1" t="s">
        <v>570</v>
      </c>
      <c r="AA2877" s="1" t="s">
        <v>46659</v>
      </c>
      <c r="AB2877" s="1" t="s">
        <v>822</v>
      </c>
      <c r="AC2877" s="1" t="s">
        <v>570</v>
      </c>
      <c r="AD2877" s="1" t="s">
        <v>98</v>
      </c>
      <c r="AE2877" s="1" t="s">
        <v>98</v>
      </c>
      <c r="AF2877" s="1" t="s">
        <v>46660</v>
      </c>
      <c r="AG2877" s="1" t="s">
        <v>46661</v>
      </c>
      <c r="AH2877" s="1" t="s">
        <v>438</v>
      </c>
      <c r="AI2877" s="1" t="s">
        <v>417</v>
      </c>
      <c r="AJ2877" s="1">
        <v>84.4</v>
      </c>
      <c r="AK2877" s="1"/>
      <c r="AL2877" s="1" t="s">
        <v>46660</v>
      </c>
      <c r="AM2877" s="1" t="s">
        <v>46661</v>
      </c>
      <c r="AN2877" s="1" t="s">
        <v>6380</v>
      </c>
      <c r="AO2877" s="1" t="s">
        <v>847</v>
      </c>
      <c r="AP2877" s="1" t="s">
        <v>632</v>
      </c>
      <c r="AQ2877" s="1">
        <v>84.17</v>
      </c>
      <c r="AR2877" s="1"/>
      <c r="AS2877" s="1"/>
      <c r="AT2877" s="1"/>
      <c r="AU2877" s="1"/>
      <c r="AV2877" s="1"/>
      <c r="AW2877" s="1"/>
      <c r="AX2877" s="1"/>
      <c r="AY2877" s="1" t="s">
        <v>46662</v>
      </c>
      <c r="AZ2877" s="1" t="s">
        <v>46663</v>
      </c>
      <c r="BA2877" s="1" t="s">
        <v>578</v>
      </c>
      <c r="BB2877" s="1" t="s">
        <v>467</v>
      </c>
      <c r="BC2877" s="1" t="s">
        <v>1825</v>
      </c>
      <c r="BD2877" s="1" t="s">
        <v>9688</v>
      </c>
      <c r="BE2877" s="1">
        <v>64.7</v>
      </c>
      <c r="BF2877" s="1">
        <v>6.47</v>
      </c>
      <c r="BG2877" s="1"/>
      <c r="BH2877" s="1"/>
      <c r="BI2877" s="1"/>
      <c r="BJ2877" s="1"/>
      <c r="BK2877" s="1"/>
      <c r="BL2877" s="1"/>
      <c r="BM2877" s="1"/>
      <c r="BN2877" s="1"/>
      <c r="BO2877" s="1" t="s">
        <v>46664</v>
      </c>
      <c r="BP2877" s="1"/>
      <c r="BQ2877" s="1"/>
      <c r="BR2877" s="1"/>
      <c r="BS2877" s="1"/>
      <c r="BT2877" s="1"/>
      <c r="BU2877" s="1" t="str">
        <f>HYPERLINK("https://nconnect.nicmar.ac.in/storage/profile/6a85e512e8f53.png","Download")</f>
        <v>0</v>
      </c>
      <c r="BV2877" s="3"/>
      <c r="BW2877" s="3"/>
    </row>
    <row r="2878" spans="1:75">
      <c r="A2878" s="1" t="s">
        <v>46264</v>
      </c>
      <c r="B2878" s="1" t="s">
        <v>13976</v>
      </c>
      <c r="C2878" s="1" t="s">
        <v>46665</v>
      </c>
      <c r="D2878" s="1" t="s">
        <v>46666</v>
      </c>
      <c r="E2878" s="1"/>
      <c r="F2878" s="1" t="s">
        <v>46667</v>
      </c>
      <c r="G2878" s="1" t="s">
        <v>46668</v>
      </c>
      <c r="H2878" s="1" t="s">
        <v>46669</v>
      </c>
      <c r="I2878" s="1" t="s">
        <v>46670</v>
      </c>
      <c r="J2878" s="1">
        <v>9119240991</v>
      </c>
      <c r="K2878" s="1" t="s">
        <v>84</v>
      </c>
      <c r="L2878" s="1" t="s">
        <v>46671</v>
      </c>
      <c r="M2878" s="1" t="s">
        <v>86</v>
      </c>
      <c r="N2878" s="1" t="s">
        <v>15583</v>
      </c>
      <c r="O2878" s="1" t="s">
        <v>46672</v>
      </c>
      <c r="P2878" s="1" t="s">
        <v>122</v>
      </c>
      <c r="Q2878" s="1">
        <v>806899231740</v>
      </c>
      <c r="R2878" s="1" t="s">
        <v>46673</v>
      </c>
      <c r="S2878" s="1">
        <v>8209817676</v>
      </c>
      <c r="T2878" s="1" t="s">
        <v>46674</v>
      </c>
      <c r="U2878" s="1" t="s">
        <v>46675</v>
      </c>
      <c r="V2878" s="1">
        <v>9829664515</v>
      </c>
      <c r="W2878" s="1" t="s">
        <v>22058</v>
      </c>
      <c r="X2878" s="1" t="s">
        <v>46676</v>
      </c>
      <c r="Y2878" s="1" t="s">
        <v>41982</v>
      </c>
      <c r="Z2878" s="1" t="s">
        <v>2153</v>
      </c>
      <c r="AA2878" s="1" t="s">
        <v>46676</v>
      </c>
      <c r="AB2878" s="1" t="s">
        <v>41982</v>
      </c>
      <c r="AC2878" s="1" t="s">
        <v>2153</v>
      </c>
      <c r="AD2878" s="1" t="s">
        <v>98</v>
      </c>
      <c r="AE2878" s="1" t="s">
        <v>98</v>
      </c>
      <c r="AF2878" s="1" t="s">
        <v>46677</v>
      </c>
      <c r="AG2878" s="1" t="s">
        <v>46678</v>
      </c>
      <c r="AH2878" s="1" t="s">
        <v>315</v>
      </c>
      <c r="AI2878" s="1" t="s">
        <v>178</v>
      </c>
      <c r="AJ2878" s="1">
        <v>77.67</v>
      </c>
      <c r="AK2878" s="1"/>
      <c r="AL2878" s="1" t="s">
        <v>46677</v>
      </c>
      <c r="AM2878" s="1" t="s">
        <v>46678</v>
      </c>
      <c r="AN2878" s="1" t="s">
        <v>465</v>
      </c>
      <c r="AO2878" s="1" t="s">
        <v>549</v>
      </c>
      <c r="AP2878" s="1" t="s">
        <v>1400</v>
      </c>
      <c r="AQ2878" s="1">
        <v>69.0</v>
      </c>
      <c r="AR2878" s="1"/>
      <c r="AS2878" s="1"/>
      <c r="AT2878" s="1"/>
      <c r="AU2878" s="1"/>
      <c r="AV2878" s="1"/>
      <c r="AW2878" s="1"/>
      <c r="AX2878" s="1"/>
      <c r="AY2878" s="1"/>
      <c r="AZ2878" s="1"/>
      <c r="BA2878" s="1"/>
      <c r="BB2878" s="1"/>
      <c r="BC2878" s="1"/>
      <c r="BD2878" s="1"/>
      <c r="BE2878" s="1"/>
      <c r="BF2878" s="1"/>
      <c r="BG2878" s="1"/>
      <c r="BH2878" s="1"/>
      <c r="BI2878" s="1"/>
      <c r="BJ2878" s="1"/>
      <c r="BK2878" s="1"/>
      <c r="BL2878" s="1"/>
      <c r="BM2878" s="1"/>
      <c r="BN2878" s="1"/>
      <c r="BO2878" s="1" t="s">
        <v>44410</v>
      </c>
      <c r="BP2878" s="1"/>
      <c r="BQ2878" s="1"/>
      <c r="BR2878" s="1"/>
      <c r="BS2878" s="1"/>
      <c r="BT2878" s="1"/>
      <c r="BU2878" s="1" t="str">
        <f>HYPERLINK("https://nconnect.nicmar.ac.in/storage/profile/6a8f4258ad3bc.png","Download")</f>
        <v>0</v>
      </c>
      <c r="BV2878" s="3"/>
      <c r="BW2878" s="3"/>
    </row>
    <row r="2879" spans="1:75">
      <c r="A2879" s="1" t="s">
        <v>46264</v>
      </c>
      <c r="B2879" s="1" t="s">
        <v>13976</v>
      </c>
      <c r="C2879" s="1" t="s">
        <v>46679</v>
      </c>
      <c r="D2879" s="1" t="s">
        <v>46680</v>
      </c>
      <c r="E2879" s="1"/>
      <c r="F2879" s="1" t="s">
        <v>46681</v>
      </c>
      <c r="G2879" s="1" t="s">
        <v>46682</v>
      </c>
      <c r="H2879" s="1" t="s">
        <v>46683</v>
      </c>
      <c r="I2879" s="1" t="s">
        <v>46683</v>
      </c>
      <c r="J2879" s="1">
        <v>6360155632</v>
      </c>
      <c r="K2879" s="1" t="s">
        <v>153</v>
      </c>
      <c r="L2879" s="1" t="s">
        <v>6916</v>
      </c>
      <c r="M2879" s="1" t="s">
        <v>86</v>
      </c>
      <c r="N2879" s="1" t="s">
        <v>46684</v>
      </c>
      <c r="O2879" s="1" t="s">
        <v>46685</v>
      </c>
      <c r="P2879" s="1" t="s">
        <v>122</v>
      </c>
      <c r="Q2879" s="1" t="s">
        <v>46686</v>
      </c>
      <c r="R2879" s="1" t="s">
        <v>46687</v>
      </c>
      <c r="S2879" s="1">
        <v>8762950460</v>
      </c>
      <c r="T2879" s="1" t="s">
        <v>46688</v>
      </c>
      <c r="U2879" s="1" t="s">
        <v>46689</v>
      </c>
      <c r="V2879" s="1">
        <v>9964468979</v>
      </c>
      <c r="W2879" s="1" t="s">
        <v>19228</v>
      </c>
      <c r="X2879" s="1" t="s">
        <v>46690</v>
      </c>
      <c r="Y2879" s="1" t="s">
        <v>14578</v>
      </c>
      <c r="Z2879" s="1" t="s">
        <v>1210</v>
      </c>
      <c r="AA2879" s="1" t="s">
        <v>46690</v>
      </c>
      <c r="AB2879" s="1" t="s">
        <v>14578</v>
      </c>
      <c r="AC2879" s="1" t="s">
        <v>1210</v>
      </c>
      <c r="AD2879" s="1" t="s">
        <v>98</v>
      </c>
      <c r="AE2879" s="1" t="s">
        <v>98</v>
      </c>
      <c r="AF2879" s="1" t="s">
        <v>46691</v>
      </c>
      <c r="AG2879" s="1" t="s">
        <v>9682</v>
      </c>
      <c r="AH2879" s="1" t="s">
        <v>170</v>
      </c>
      <c r="AI2879" s="1" t="s">
        <v>171</v>
      </c>
      <c r="AJ2879" s="1">
        <v>71.2</v>
      </c>
      <c r="AK2879" s="1"/>
      <c r="AL2879" s="1" t="s">
        <v>46692</v>
      </c>
      <c r="AM2879" s="1" t="s">
        <v>46693</v>
      </c>
      <c r="AN2879" s="1" t="s">
        <v>575</v>
      </c>
      <c r="AO2879" s="1" t="s">
        <v>106</v>
      </c>
      <c r="AP2879" s="1" t="s">
        <v>468</v>
      </c>
      <c r="AQ2879" s="1">
        <v>73.33</v>
      </c>
      <c r="AR2879" s="1"/>
      <c r="AS2879" s="1"/>
      <c r="AT2879" s="1"/>
      <c r="AU2879" s="1"/>
      <c r="AV2879" s="1"/>
      <c r="AW2879" s="1"/>
      <c r="AX2879" s="1"/>
      <c r="AY2879" s="1" t="s">
        <v>46694</v>
      </c>
      <c r="AZ2879" s="1" t="s">
        <v>46695</v>
      </c>
      <c r="BA2879" s="1" t="s">
        <v>578</v>
      </c>
      <c r="BB2879" s="1" t="s">
        <v>467</v>
      </c>
      <c r="BC2879" s="1" t="s">
        <v>233</v>
      </c>
      <c r="BD2879" s="1" t="s">
        <v>1132</v>
      </c>
      <c r="BE2879" s="1">
        <v>64</v>
      </c>
      <c r="BF2879" s="1">
        <v>7.15</v>
      </c>
      <c r="BG2879" s="1"/>
      <c r="BH2879" s="1"/>
      <c r="BI2879" s="1"/>
      <c r="BJ2879" s="1"/>
      <c r="BK2879" s="1"/>
      <c r="BL2879" s="1"/>
      <c r="BM2879" s="1"/>
      <c r="BN2879" s="1"/>
      <c r="BO2879" s="1" t="s">
        <v>46696</v>
      </c>
      <c r="BP2879" s="1"/>
      <c r="BQ2879" s="1"/>
      <c r="BR2879" s="1" t="s">
        <v>46697</v>
      </c>
      <c r="BS2879" s="1">
        <v>34</v>
      </c>
      <c r="BT2879" s="1"/>
      <c r="BU2879" s="1" t="str">
        <f>HYPERLINK("https://nconnect.nicmar.ac.in/storage/profile/6a871a8ca010b.png","Download")</f>
        <v>0</v>
      </c>
      <c r="BV2879" s="3"/>
      <c r="BW2879" s="3"/>
    </row>
    <row r="2880" spans="1:75">
      <c r="A2880" s="1" t="s">
        <v>46264</v>
      </c>
      <c r="B2880" s="1" t="s">
        <v>13976</v>
      </c>
      <c r="C2880" s="1" t="s">
        <v>46698</v>
      </c>
      <c r="D2880" s="1" t="s">
        <v>21533</v>
      </c>
      <c r="E2880" s="1"/>
      <c r="F2880" s="1" t="s">
        <v>46699</v>
      </c>
      <c r="G2880" s="1" t="s">
        <v>46700</v>
      </c>
      <c r="H2880" s="1" t="s">
        <v>46701</v>
      </c>
      <c r="I2880" s="1" t="s">
        <v>46701</v>
      </c>
      <c r="J2880" s="1">
        <v>9406096681</v>
      </c>
      <c r="K2880" s="1" t="s">
        <v>84</v>
      </c>
      <c r="L2880" s="1" t="s">
        <v>46702</v>
      </c>
      <c r="M2880" s="1" t="s">
        <v>86</v>
      </c>
      <c r="N2880" s="1" t="s">
        <v>8293</v>
      </c>
      <c r="O2880" s="1" t="s">
        <v>46703</v>
      </c>
      <c r="P2880" s="1" t="s">
        <v>219</v>
      </c>
      <c r="Q2880" s="1">
        <v>930078892544</v>
      </c>
      <c r="R2880" s="1" t="s">
        <v>46704</v>
      </c>
      <c r="S2880" s="1">
        <v>7999650899</v>
      </c>
      <c r="T2880" s="1" t="s">
        <v>14800</v>
      </c>
      <c r="U2880" s="1" t="s">
        <v>46705</v>
      </c>
      <c r="V2880" s="1">
        <v>7000831022</v>
      </c>
      <c r="W2880" s="1" t="s">
        <v>14154</v>
      </c>
      <c r="X2880" s="1" t="s">
        <v>46706</v>
      </c>
      <c r="Y2880" s="1" t="s">
        <v>11762</v>
      </c>
      <c r="Z2880" s="1" t="s">
        <v>2933</v>
      </c>
      <c r="AA2880" s="1" t="s">
        <v>18606</v>
      </c>
      <c r="AB2880" s="1" t="s">
        <v>196</v>
      </c>
      <c r="AC2880" s="1" t="s">
        <v>97</v>
      </c>
      <c r="AD2880" s="1" t="s">
        <v>98</v>
      </c>
      <c r="AE2880" s="1" t="s">
        <v>98</v>
      </c>
      <c r="AF2880" s="1" t="s">
        <v>46707</v>
      </c>
      <c r="AG2880" s="1" t="s">
        <v>46708</v>
      </c>
      <c r="AH2880" s="1" t="s">
        <v>547</v>
      </c>
      <c r="AI2880" s="1" t="s">
        <v>603</v>
      </c>
      <c r="AJ2880" s="1">
        <v>84</v>
      </c>
      <c r="AK2880" s="1"/>
      <c r="AL2880" s="1" t="s">
        <v>46709</v>
      </c>
      <c r="AM2880" s="1" t="s">
        <v>46710</v>
      </c>
      <c r="AN2880" s="1" t="s">
        <v>465</v>
      </c>
      <c r="AO2880" s="1" t="s">
        <v>2304</v>
      </c>
      <c r="AP2880" s="1" t="s">
        <v>1886</v>
      </c>
      <c r="AQ2880" s="1">
        <v>78.8</v>
      </c>
      <c r="AR2880" s="1"/>
      <c r="AS2880" s="1"/>
      <c r="AT2880" s="1"/>
      <c r="AU2880" s="1"/>
      <c r="AV2880" s="1"/>
      <c r="AW2880" s="1"/>
      <c r="AX2880" s="1"/>
      <c r="AY2880" s="1" t="s">
        <v>14160</v>
      </c>
      <c r="AZ2880" s="1" t="s">
        <v>46711</v>
      </c>
      <c r="BA2880" s="1" t="s">
        <v>578</v>
      </c>
      <c r="BB2880" s="1" t="s">
        <v>467</v>
      </c>
      <c r="BC2880" s="1" t="s">
        <v>1889</v>
      </c>
      <c r="BD2880" s="1" t="s">
        <v>14162</v>
      </c>
      <c r="BE2880" s="1">
        <v>77.84</v>
      </c>
      <c r="BF2880" s="1">
        <v>8.57</v>
      </c>
      <c r="BG2880" s="1"/>
      <c r="BH2880" s="1"/>
      <c r="BI2880" s="1"/>
      <c r="BJ2880" s="1"/>
      <c r="BK2880" s="1"/>
      <c r="BL2880" s="1"/>
      <c r="BM2880" s="1"/>
      <c r="BN2880" s="1"/>
      <c r="BO2880" s="1" t="s">
        <v>46712</v>
      </c>
      <c r="BP2880" s="1"/>
      <c r="BQ2880" s="1"/>
      <c r="BR2880" s="1" t="s">
        <v>46713</v>
      </c>
      <c r="BS2880" s="1">
        <v>4</v>
      </c>
      <c r="BT2880" s="1" t="s">
        <v>46714</v>
      </c>
      <c r="BU2880" s="1" t="str">
        <f>HYPERLINK("https://nconnect.nicmar.ac.in/storage/profile/6a87278f9677e.png","Download")</f>
        <v>0</v>
      </c>
      <c r="BV2880" s="3"/>
      <c r="BW2880" s="3"/>
    </row>
    <row r="2881" spans="1:75">
      <c r="A2881" s="1" t="s">
        <v>46264</v>
      </c>
      <c r="B2881" s="1" t="s">
        <v>13976</v>
      </c>
      <c r="C2881" s="1" t="s">
        <v>46715</v>
      </c>
      <c r="D2881" s="1" t="s">
        <v>15348</v>
      </c>
      <c r="E2881" s="1" t="s">
        <v>18833</v>
      </c>
      <c r="F2881" s="1" t="s">
        <v>15304</v>
      </c>
      <c r="G2881" s="1" t="s">
        <v>46716</v>
      </c>
      <c r="H2881" s="1" t="s">
        <v>46717</v>
      </c>
      <c r="I2881" s="1" t="s">
        <v>46717</v>
      </c>
      <c r="J2881" s="1">
        <v>8767725334</v>
      </c>
      <c r="K2881" s="1" t="s">
        <v>84</v>
      </c>
      <c r="L2881" s="1" t="s">
        <v>20485</v>
      </c>
      <c r="M2881" s="1" t="s">
        <v>86</v>
      </c>
      <c r="N2881" s="1" t="s">
        <v>16090</v>
      </c>
      <c r="O2881" s="1" t="s">
        <v>46718</v>
      </c>
      <c r="P2881" s="1" t="s">
        <v>356</v>
      </c>
      <c r="Q2881" s="1">
        <v>306812014120</v>
      </c>
      <c r="R2881" s="1" t="s">
        <v>18833</v>
      </c>
      <c r="S2881" s="1">
        <v>8830503402</v>
      </c>
      <c r="T2881" s="1" t="s">
        <v>14352</v>
      </c>
      <c r="U2881" s="1" t="s">
        <v>44917</v>
      </c>
      <c r="V2881" s="1">
        <v>9370354929</v>
      </c>
      <c r="W2881" s="1" t="s">
        <v>14710</v>
      </c>
      <c r="X2881" s="1" t="s">
        <v>46719</v>
      </c>
      <c r="Y2881" s="1" t="s">
        <v>5181</v>
      </c>
      <c r="Z2881" s="1" t="s">
        <v>97</v>
      </c>
      <c r="AA2881" s="1" t="s">
        <v>46719</v>
      </c>
      <c r="AB2881" s="1" t="s">
        <v>5181</v>
      </c>
      <c r="AC2881" s="1" t="s">
        <v>97</v>
      </c>
      <c r="AD2881" s="1" t="s">
        <v>98</v>
      </c>
      <c r="AE2881" s="1" t="s">
        <v>98</v>
      </c>
      <c r="AF2881" s="1"/>
      <c r="AG2881" s="1"/>
      <c r="AH2881" s="1"/>
      <c r="AI2881" s="1"/>
      <c r="AJ2881" s="1"/>
      <c r="AK2881" s="1"/>
      <c r="AL2881" s="1"/>
      <c r="AM2881" s="1"/>
      <c r="AN2881" s="1"/>
      <c r="AO2881" s="1"/>
      <c r="AP2881" s="1"/>
      <c r="AQ2881" s="1"/>
      <c r="AR2881" s="1"/>
      <c r="AS2881" s="1"/>
      <c r="AT2881" s="1"/>
      <c r="AU2881" s="1"/>
      <c r="AV2881" s="1"/>
      <c r="AW2881" s="1"/>
      <c r="AX2881" s="1"/>
      <c r="AY2881" s="1"/>
      <c r="AZ2881" s="1"/>
      <c r="BA2881" s="1"/>
      <c r="BB2881" s="1"/>
      <c r="BC2881" s="1"/>
      <c r="BD2881" s="1"/>
      <c r="BE2881" s="1"/>
      <c r="BF2881" s="1"/>
      <c r="BG2881" s="1"/>
      <c r="BH2881" s="1"/>
      <c r="BI2881" s="1"/>
      <c r="BJ2881" s="1"/>
      <c r="BK2881" s="1"/>
      <c r="BL2881" s="1"/>
      <c r="BM2881" s="1"/>
      <c r="BN2881" s="1"/>
      <c r="BO2881" s="1"/>
      <c r="BP2881" s="1"/>
      <c r="BQ2881" s="1"/>
      <c r="BR2881" s="1"/>
      <c r="BS2881" s="1"/>
      <c r="BT2881" s="1"/>
      <c r="BU2881" s="1" t="str">
        <f>HYPERLINK("https://nconnect.nicmar.ac.in/storage/profile/6a8744d138622.png","Download")</f>
        <v>0</v>
      </c>
      <c r="BV2881" s="3"/>
      <c r="BW2881" s="3"/>
    </row>
    <row r="2882" spans="1:75">
      <c r="A2882" s="1" t="s">
        <v>46264</v>
      </c>
      <c r="B2882" s="1" t="s">
        <v>13976</v>
      </c>
      <c r="C2882" s="1" t="s">
        <v>46720</v>
      </c>
      <c r="D2882" s="1" t="s">
        <v>26865</v>
      </c>
      <c r="E2882" s="1"/>
      <c r="F2882" s="1" t="s">
        <v>2963</v>
      </c>
      <c r="G2882" s="1" t="s">
        <v>46721</v>
      </c>
      <c r="H2882" s="1" t="s">
        <v>46722</v>
      </c>
      <c r="I2882" s="1" t="s">
        <v>46722</v>
      </c>
      <c r="J2882" s="1">
        <v>6005467852</v>
      </c>
      <c r="K2882" s="1" t="s">
        <v>84</v>
      </c>
      <c r="L2882" s="1" t="s">
        <v>10833</v>
      </c>
      <c r="M2882" s="1" t="s">
        <v>86</v>
      </c>
      <c r="N2882" s="1" t="s">
        <v>30891</v>
      </c>
      <c r="O2882" s="1" t="s">
        <v>46723</v>
      </c>
      <c r="P2882" s="1" t="s">
        <v>89</v>
      </c>
      <c r="Q2882" s="1">
        <v>619033574545</v>
      </c>
      <c r="R2882" s="1" t="s">
        <v>46724</v>
      </c>
      <c r="S2882" s="1">
        <v>7006176622</v>
      </c>
      <c r="T2882" s="1" t="s">
        <v>15965</v>
      </c>
      <c r="U2882" s="1" t="s">
        <v>46725</v>
      </c>
      <c r="V2882" s="1">
        <v>7006593538</v>
      </c>
      <c r="W2882" s="1" t="s">
        <v>46726</v>
      </c>
      <c r="X2882" s="1" t="s">
        <v>46727</v>
      </c>
      <c r="Y2882" s="1" t="s">
        <v>46728</v>
      </c>
      <c r="Z2882" s="1" t="s">
        <v>46729</v>
      </c>
      <c r="AA2882" s="1" t="s">
        <v>46730</v>
      </c>
      <c r="AB2882" s="1" t="s">
        <v>13744</v>
      </c>
      <c r="AC2882" s="1" t="s">
        <v>8896</v>
      </c>
      <c r="AD2882" s="1" t="s">
        <v>98</v>
      </c>
      <c r="AE2882" s="1" t="s">
        <v>98</v>
      </c>
      <c r="AF2882" s="1" t="s">
        <v>46731</v>
      </c>
      <c r="AG2882" s="1" t="s">
        <v>46732</v>
      </c>
      <c r="AH2882" s="1" t="s">
        <v>102</v>
      </c>
      <c r="AI2882" s="1" t="s">
        <v>2822</v>
      </c>
      <c r="AJ2882" s="1">
        <v>68.2</v>
      </c>
      <c r="AK2882" s="1">
        <v>7.4</v>
      </c>
      <c r="AL2882" s="1" t="s">
        <v>46733</v>
      </c>
      <c r="AM2882" s="1" t="s">
        <v>46732</v>
      </c>
      <c r="AN2882" s="1" t="s">
        <v>575</v>
      </c>
      <c r="AO2882" s="1" t="s">
        <v>200</v>
      </c>
      <c r="AP2882" s="1" t="s">
        <v>33882</v>
      </c>
      <c r="AQ2882" s="1">
        <v>65.4</v>
      </c>
      <c r="AR2882" s="1">
        <v>6.88</v>
      </c>
      <c r="AS2882" s="1"/>
      <c r="AT2882" s="1"/>
      <c r="AU2882" s="1"/>
      <c r="AV2882" s="1"/>
      <c r="AW2882" s="1"/>
      <c r="AX2882" s="1"/>
      <c r="AY2882" s="1" t="s">
        <v>46734</v>
      </c>
      <c r="AZ2882" s="1" t="s">
        <v>46734</v>
      </c>
      <c r="BA2882" s="1" t="s">
        <v>466</v>
      </c>
      <c r="BB2882" s="1" t="s">
        <v>467</v>
      </c>
      <c r="BC2882" s="1" t="s">
        <v>1040</v>
      </c>
      <c r="BD2882" s="1" t="s">
        <v>14494</v>
      </c>
      <c r="BE2882" s="1">
        <v>73.7</v>
      </c>
      <c r="BF2882" s="1">
        <v>7.37</v>
      </c>
      <c r="BG2882" s="1"/>
      <c r="BH2882" s="1"/>
      <c r="BI2882" s="1"/>
      <c r="BJ2882" s="1"/>
      <c r="BK2882" s="1"/>
      <c r="BL2882" s="1"/>
      <c r="BM2882" s="1"/>
      <c r="BN2882" s="1"/>
      <c r="BO2882" s="1" t="s">
        <v>46735</v>
      </c>
      <c r="BP2882" s="1" t="s">
        <v>46736</v>
      </c>
      <c r="BQ2882" s="1" t="s">
        <v>1482</v>
      </c>
      <c r="BR2882" s="1" t="s">
        <v>46737</v>
      </c>
      <c r="BS2882" s="1">
        <v>4</v>
      </c>
      <c r="BT2882" s="1"/>
      <c r="BU2882" s="1" t="str">
        <f>HYPERLINK("https://nconnect.nicmar.ac.in/storage/profile/6a86ed598d4e3.png","Download")</f>
        <v>0</v>
      </c>
      <c r="BV2882" s="3"/>
      <c r="BW2882" s="3"/>
    </row>
    <row r="2883" spans="1:75">
      <c r="A2883" s="1" t="s">
        <v>46264</v>
      </c>
      <c r="B2883" s="1" t="s">
        <v>13976</v>
      </c>
      <c r="C2883" s="1" t="s">
        <v>46738</v>
      </c>
      <c r="D2883" s="1"/>
      <c r="E2883" s="1"/>
      <c r="F2883" s="1"/>
      <c r="G2883" s="1"/>
      <c r="H2883" s="1" t="s">
        <v>46739</v>
      </c>
      <c r="I2883" s="1" t="s">
        <v>46739</v>
      </c>
      <c r="J2883" s="1"/>
      <c r="K2883" s="1"/>
      <c r="L2883" s="1"/>
      <c r="M2883" s="1"/>
      <c r="N2883" s="1"/>
      <c r="O2883" s="1"/>
      <c r="P2883" s="1"/>
      <c r="Q2883" s="1"/>
      <c r="R2883" s="1"/>
      <c r="S2883" s="1"/>
      <c r="T2883" s="1"/>
      <c r="U2883" s="1"/>
      <c r="V2883" s="1"/>
      <c r="W2883" s="1"/>
      <c r="X2883" s="1"/>
      <c r="Y2883" s="1"/>
      <c r="Z2883" s="1"/>
      <c r="AA2883" s="1"/>
      <c r="AB2883" s="1"/>
      <c r="AC2883" s="1"/>
      <c r="AD2883" s="1" t="s">
        <v>98</v>
      </c>
      <c r="AE2883" s="1" t="s">
        <v>98</v>
      </c>
      <c r="AF2883" s="1"/>
      <c r="AG2883" s="1"/>
      <c r="AH2883" s="1"/>
      <c r="AI2883" s="1"/>
      <c r="AJ2883" s="1"/>
      <c r="AK2883" s="1"/>
      <c r="AL2883" s="1"/>
      <c r="AM2883" s="1"/>
      <c r="AN2883" s="1"/>
      <c r="AO2883" s="1"/>
      <c r="AP2883" s="1"/>
      <c r="AQ2883" s="1"/>
      <c r="AR2883" s="1"/>
      <c r="AS2883" s="1"/>
      <c r="AT2883" s="1"/>
      <c r="AU2883" s="1"/>
      <c r="AV2883" s="1"/>
      <c r="AW2883" s="1"/>
      <c r="AX2883" s="1"/>
      <c r="AY2883" s="1"/>
      <c r="AZ2883" s="1"/>
      <c r="BA2883" s="1"/>
      <c r="BB2883" s="1"/>
      <c r="BC2883" s="1"/>
      <c r="BD2883" s="1"/>
      <c r="BE2883" s="1"/>
      <c r="BF2883" s="1"/>
      <c r="BG2883" s="1"/>
      <c r="BH2883" s="1"/>
      <c r="BI2883" s="1"/>
      <c r="BJ2883" s="1"/>
      <c r="BK2883" s="1"/>
      <c r="BL2883" s="1"/>
      <c r="BM2883" s="1"/>
      <c r="BN2883" s="1"/>
      <c r="BO2883" s="1"/>
      <c r="BP2883" s="1"/>
      <c r="BQ2883" s="1"/>
      <c r="BR2883" s="1"/>
      <c r="BS2883" s="1"/>
      <c r="BT2883" s="1"/>
      <c r="BU2883" s="1" t="s">
        <v>9653</v>
      </c>
      <c r="BV2883" s="3"/>
      <c r="BW2883" s="3"/>
    </row>
    <row r="2884" spans="1:75">
      <c r="A2884" s="1" t="s">
        <v>46264</v>
      </c>
      <c r="B2884" s="1" t="s">
        <v>13976</v>
      </c>
      <c r="C2884" s="1" t="s">
        <v>46740</v>
      </c>
      <c r="D2884" s="1" t="s">
        <v>36283</v>
      </c>
      <c r="E2884" s="1"/>
      <c r="F2884" s="1" t="s">
        <v>46741</v>
      </c>
      <c r="G2884" s="1" t="s">
        <v>46742</v>
      </c>
      <c r="H2884" s="1" t="s">
        <v>46743</v>
      </c>
      <c r="I2884" s="1" t="s">
        <v>46743</v>
      </c>
      <c r="J2884" s="1">
        <v>7510929050</v>
      </c>
      <c r="K2884" s="1" t="s">
        <v>84</v>
      </c>
      <c r="L2884" s="1" t="s">
        <v>36469</v>
      </c>
      <c r="M2884" s="1" t="s">
        <v>86</v>
      </c>
      <c r="N2884" s="1" t="s">
        <v>46744</v>
      </c>
      <c r="O2884" s="1" t="s">
        <v>46745</v>
      </c>
      <c r="P2884" s="1" t="s">
        <v>219</v>
      </c>
      <c r="Q2884" s="1">
        <v>453671637705</v>
      </c>
      <c r="R2884" s="1" t="s">
        <v>46746</v>
      </c>
      <c r="S2884" s="1">
        <v>9446718689</v>
      </c>
      <c r="T2884" s="1" t="s">
        <v>46747</v>
      </c>
      <c r="U2884" s="1" t="s">
        <v>46748</v>
      </c>
      <c r="V2884" s="1">
        <v>8281333813</v>
      </c>
      <c r="W2884" s="1" t="s">
        <v>46749</v>
      </c>
      <c r="X2884" s="1" t="s">
        <v>46750</v>
      </c>
      <c r="Y2884" s="1" t="s">
        <v>701</v>
      </c>
      <c r="Z2884" s="1" t="s">
        <v>130</v>
      </c>
      <c r="AA2884" s="1" t="s">
        <v>46750</v>
      </c>
      <c r="AB2884" s="1" t="s">
        <v>701</v>
      </c>
      <c r="AC2884" s="1" t="s">
        <v>130</v>
      </c>
      <c r="AD2884" s="1" t="s">
        <v>98</v>
      </c>
      <c r="AE2884" s="1" t="s">
        <v>98</v>
      </c>
      <c r="AF2884" s="1" t="s">
        <v>46751</v>
      </c>
      <c r="AG2884" s="1" t="s">
        <v>46752</v>
      </c>
      <c r="AH2884" s="1" t="s">
        <v>284</v>
      </c>
      <c r="AI2884" s="1" t="s">
        <v>414</v>
      </c>
      <c r="AJ2884" s="1">
        <v>90</v>
      </c>
      <c r="AK2884" s="1"/>
      <c r="AL2884" s="1" t="s">
        <v>46753</v>
      </c>
      <c r="AM2884" s="1" t="s">
        <v>46754</v>
      </c>
      <c r="AN2884" s="1" t="s">
        <v>465</v>
      </c>
      <c r="AO2884" s="1" t="s">
        <v>547</v>
      </c>
      <c r="AP2884" s="1" t="s">
        <v>1192</v>
      </c>
      <c r="AQ2884" s="1">
        <v>90</v>
      </c>
      <c r="AR2884" s="1"/>
      <c r="AS2884" s="1"/>
      <c r="AT2884" s="1"/>
      <c r="AU2884" s="1"/>
      <c r="AV2884" s="1"/>
      <c r="AW2884" s="1"/>
      <c r="AX2884" s="1"/>
      <c r="AY2884" s="1" t="s">
        <v>46755</v>
      </c>
      <c r="AZ2884" s="1" t="s">
        <v>46756</v>
      </c>
      <c r="BA2884" s="1" t="s">
        <v>466</v>
      </c>
      <c r="BB2884" s="1" t="s">
        <v>467</v>
      </c>
      <c r="BC2884" s="1" t="s">
        <v>441</v>
      </c>
      <c r="BD2884" s="1" t="s">
        <v>553</v>
      </c>
      <c r="BE2884" s="1">
        <v>66.1</v>
      </c>
      <c r="BF2884" s="1">
        <v>6.61</v>
      </c>
      <c r="BG2884" s="1"/>
      <c r="BH2884" s="1"/>
      <c r="BI2884" s="1"/>
      <c r="BJ2884" s="1"/>
      <c r="BK2884" s="1"/>
      <c r="BL2884" s="1"/>
      <c r="BM2884" s="1"/>
      <c r="BN2884" s="1"/>
      <c r="BO2884" s="1" t="s">
        <v>46757</v>
      </c>
      <c r="BP2884" s="1"/>
      <c r="BQ2884" s="1"/>
      <c r="BR2884" s="1"/>
      <c r="BS2884" s="1"/>
      <c r="BT2884" s="1"/>
      <c r="BU2884" s="1" t="str">
        <f>HYPERLINK("https://nconnect.nicmar.ac.in/storage/profile/6a86006a218a2.png","Download")</f>
        <v>0</v>
      </c>
      <c r="BV2884" s="3"/>
      <c r="BW2884" s="3"/>
    </row>
    <row r="2885" spans="1:75">
      <c r="A2885" s="1" t="s">
        <v>46264</v>
      </c>
      <c r="B2885" s="1" t="s">
        <v>13976</v>
      </c>
      <c r="C2885" s="1" t="s">
        <v>46758</v>
      </c>
      <c r="D2885" s="1" t="s">
        <v>17760</v>
      </c>
      <c r="E2885" s="1" t="s">
        <v>46759</v>
      </c>
      <c r="F2885" s="1" t="s">
        <v>46760</v>
      </c>
      <c r="G2885" s="1" t="s">
        <v>46761</v>
      </c>
      <c r="H2885" s="1" t="s">
        <v>46762</v>
      </c>
      <c r="I2885" s="1" t="s">
        <v>46762</v>
      </c>
      <c r="J2885" s="1">
        <v>9834349514</v>
      </c>
      <c r="K2885" s="1" t="s">
        <v>84</v>
      </c>
      <c r="L2885" s="1" t="s">
        <v>43952</v>
      </c>
      <c r="M2885" s="1" t="s">
        <v>86</v>
      </c>
      <c r="N2885" s="1" t="s">
        <v>768</v>
      </c>
      <c r="O2885" s="1" t="s">
        <v>46763</v>
      </c>
      <c r="P2885" s="1" t="s">
        <v>89</v>
      </c>
      <c r="Q2885" s="1">
        <v>276229081117</v>
      </c>
      <c r="R2885" s="1" t="s">
        <v>46764</v>
      </c>
      <c r="S2885" s="1">
        <v>7350996772</v>
      </c>
      <c r="T2885" s="1" t="s">
        <v>14821</v>
      </c>
      <c r="U2885" s="1" t="s">
        <v>46765</v>
      </c>
      <c r="V2885" s="1">
        <v>7083096772</v>
      </c>
      <c r="W2885" s="1" t="s">
        <v>14710</v>
      </c>
      <c r="X2885" s="1" t="s">
        <v>46766</v>
      </c>
      <c r="Y2885" s="1" t="s">
        <v>5659</v>
      </c>
      <c r="Z2885" s="1" t="s">
        <v>97</v>
      </c>
      <c r="AA2885" s="1" t="s">
        <v>46766</v>
      </c>
      <c r="AB2885" s="1" t="s">
        <v>5659</v>
      </c>
      <c r="AC2885" s="1" t="s">
        <v>97</v>
      </c>
      <c r="AD2885" s="1" t="s">
        <v>98</v>
      </c>
      <c r="AE2885" s="1" t="s">
        <v>98</v>
      </c>
      <c r="AF2885" s="1" t="s">
        <v>46767</v>
      </c>
      <c r="AG2885" s="1" t="s">
        <v>46768</v>
      </c>
      <c r="AH2885" s="1" t="s">
        <v>170</v>
      </c>
      <c r="AI2885" s="1" t="s">
        <v>106</v>
      </c>
      <c r="AJ2885" s="1">
        <v>90.4</v>
      </c>
      <c r="AK2885" s="1"/>
      <c r="AL2885" s="1" t="s">
        <v>46769</v>
      </c>
      <c r="AM2885" s="1" t="s">
        <v>46768</v>
      </c>
      <c r="AN2885" s="1" t="s">
        <v>575</v>
      </c>
      <c r="AO2885" s="1" t="s">
        <v>438</v>
      </c>
      <c r="AP2885" s="1" t="s">
        <v>178</v>
      </c>
      <c r="AQ2885" s="1">
        <v>91.38</v>
      </c>
      <c r="AR2885" s="1"/>
      <c r="AS2885" s="1"/>
      <c r="AT2885" s="1"/>
      <c r="AU2885" s="1"/>
      <c r="AV2885" s="1"/>
      <c r="AW2885" s="1"/>
      <c r="AX2885" s="1"/>
      <c r="AY2885" s="1" t="s">
        <v>14160</v>
      </c>
      <c r="AZ2885" s="1" t="s">
        <v>46770</v>
      </c>
      <c r="BA2885" s="1" t="s">
        <v>466</v>
      </c>
      <c r="BB2885" s="1" t="s">
        <v>467</v>
      </c>
      <c r="BC2885" s="1" t="s">
        <v>110</v>
      </c>
      <c r="BD2885" s="1" t="s">
        <v>14514</v>
      </c>
      <c r="BE2885" s="1">
        <v>72.1</v>
      </c>
      <c r="BF2885" s="1">
        <v>7.96</v>
      </c>
      <c r="BG2885" s="1"/>
      <c r="BH2885" s="1"/>
      <c r="BI2885" s="1"/>
      <c r="BJ2885" s="1"/>
      <c r="BK2885" s="1"/>
      <c r="BL2885" s="1"/>
      <c r="BM2885" s="1"/>
      <c r="BN2885" s="1"/>
      <c r="BO2885" s="1" t="s">
        <v>46771</v>
      </c>
      <c r="BP2885" s="1"/>
      <c r="BQ2885" s="1"/>
      <c r="BR2885" s="1" t="s">
        <v>46772</v>
      </c>
      <c r="BS2885" s="1">
        <v>39</v>
      </c>
      <c r="BT2885" s="1" t="s">
        <v>46773</v>
      </c>
      <c r="BU2885" s="1" t="str">
        <f>HYPERLINK("https://nconnect.nicmar.ac.in/storage/profile/6a85c2dce82ca.png","Download")</f>
        <v>0</v>
      </c>
      <c r="BV2885" s="3"/>
      <c r="BW2885" s="3"/>
    </row>
    <row r="2886" spans="1:75">
      <c r="A2886" s="1" t="s">
        <v>46264</v>
      </c>
      <c r="B2886" s="1" t="s">
        <v>13976</v>
      </c>
      <c r="C2886" s="1" t="s">
        <v>46774</v>
      </c>
      <c r="D2886" s="1" t="s">
        <v>14720</v>
      </c>
      <c r="E2886" s="1" t="s">
        <v>46775</v>
      </c>
      <c r="F2886" s="1" t="s">
        <v>46776</v>
      </c>
      <c r="G2886" s="1" t="s">
        <v>46777</v>
      </c>
      <c r="H2886" s="1" t="s">
        <v>46778</v>
      </c>
      <c r="I2886" s="1" t="s">
        <v>46779</v>
      </c>
      <c r="J2886" s="1">
        <v>9109828967</v>
      </c>
      <c r="K2886" s="1" t="s">
        <v>84</v>
      </c>
      <c r="L2886" s="1" t="s">
        <v>46780</v>
      </c>
      <c r="M2886" s="1" t="s">
        <v>86</v>
      </c>
      <c r="N2886" s="1" t="s">
        <v>6390</v>
      </c>
      <c r="O2886" s="1" t="s">
        <v>46781</v>
      </c>
      <c r="P2886" s="1" t="s">
        <v>122</v>
      </c>
      <c r="Q2886" s="1">
        <v>257497766918</v>
      </c>
      <c r="R2886" s="1" t="s">
        <v>46782</v>
      </c>
      <c r="S2886" s="1">
        <v>7987529523</v>
      </c>
      <c r="T2886" s="1" t="s">
        <v>46783</v>
      </c>
      <c r="U2886" s="1" t="s">
        <v>46784</v>
      </c>
      <c r="V2886" s="1">
        <v>7987678522</v>
      </c>
      <c r="W2886" s="1" t="s">
        <v>14154</v>
      </c>
      <c r="X2886" s="1" t="s">
        <v>46785</v>
      </c>
      <c r="Y2886" s="1" t="s">
        <v>410</v>
      </c>
      <c r="Z2886" s="1" t="s">
        <v>97</v>
      </c>
      <c r="AA2886" s="1" t="s">
        <v>46786</v>
      </c>
      <c r="AB2886" s="1" t="s">
        <v>11762</v>
      </c>
      <c r="AC2886" s="1" t="s">
        <v>2933</v>
      </c>
      <c r="AD2886" s="1" t="s">
        <v>98</v>
      </c>
      <c r="AE2886" s="1" t="s">
        <v>98</v>
      </c>
      <c r="AF2886" s="1" t="s">
        <v>46787</v>
      </c>
      <c r="AG2886" s="1" t="s">
        <v>775</v>
      </c>
      <c r="AH2886" s="1" t="s">
        <v>315</v>
      </c>
      <c r="AI2886" s="1" t="s">
        <v>178</v>
      </c>
      <c r="AJ2886" s="1">
        <v>67.5</v>
      </c>
      <c r="AK2886" s="1"/>
      <c r="AL2886" s="1" t="s">
        <v>46787</v>
      </c>
      <c r="AM2886" s="1" t="s">
        <v>775</v>
      </c>
      <c r="AN2886" s="1" t="s">
        <v>465</v>
      </c>
      <c r="AO2886" s="1" t="s">
        <v>549</v>
      </c>
      <c r="AP2886" s="1" t="s">
        <v>1400</v>
      </c>
      <c r="AQ2886" s="1">
        <v>60.4</v>
      </c>
      <c r="AR2886" s="1"/>
      <c r="AS2886" s="1"/>
      <c r="AT2886" s="1"/>
      <c r="AU2886" s="1"/>
      <c r="AV2886" s="1"/>
      <c r="AW2886" s="1"/>
      <c r="AX2886" s="1"/>
      <c r="AY2886" s="1" t="s">
        <v>46788</v>
      </c>
      <c r="AZ2886" s="1" t="s">
        <v>46788</v>
      </c>
      <c r="BA2886" s="1" t="s">
        <v>466</v>
      </c>
      <c r="BB2886" s="1" t="s">
        <v>467</v>
      </c>
      <c r="BC2886" s="1" t="s">
        <v>1825</v>
      </c>
      <c r="BD2886" s="1" t="s">
        <v>14162</v>
      </c>
      <c r="BE2886" s="1">
        <v>63.2</v>
      </c>
      <c r="BF2886" s="1">
        <v>7.07</v>
      </c>
      <c r="BG2886" s="1"/>
      <c r="BH2886" s="1"/>
      <c r="BI2886" s="1"/>
      <c r="BJ2886" s="1"/>
      <c r="BK2886" s="1"/>
      <c r="BL2886" s="1"/>
      <c r="BM2886" s="1"/>
      <c r="BN2886" s="1"/>
      <c r="BO2886" s="1" t="s">
        <v>46789</v>
      </c>
      <c r="BP2886" s="1"/>
      <c r="BQ2886" s="1"/>
      <c r="BR2886" s="1" t="s">
        <v>46790</v>
      </c>
      <c r="BS2886" s="1">
        <v>17</v>
      </c>
      <c r="BT2886" s="1"/>
      <c r="BU2886" s="1" t="str">
        <f>HYPERLINK("https://nconnect.nicmar.ac.in/storage/profile/6a85c20b319f0.png","Download")</f>
        <v>0</v>
      </c>
      <c r="BV2886" s="3"/>
      <c r="BW2886" s="3"/>
    </row>
    <row r="2887" spans="1:75">
      <c r="A2887" s="1" t="s">
        <v>46264</v>
      </c>
      <c r="B2887" s="1" t="s">
        <v>13976</v>
      </c>
      <c r="C2887" s="1" t="s">
        <v>46791</v>
      </c>
      <c r="D2887" s="1" t="s">
        <v>15194</v>
      </c>
      <c r="E2887" s="1" t="s">
        <v>46792</v>
      </c>
      <c r="F2887" s="1" t="s">
        <v>46793</v>
      </c>
      <c r="G2887" s="1" t="s">
        <v>46794</v>
      </c>
      <c r="H2887" s="1" t="s">
        <v>46795</v>
      </c>
      <c r="I2887" s="1" t="s">
        <v>46796</v>
      </c>
      <c r="J2887" s="1">
        <v>9223525034</v>
      </c>
      <c r="K2887" s="1" t="s">
        <v>84</v>
      </c>
      <c r="L2887" s="1" t="s">
        <v>36652</v>
      </c>
      <c r="M2887" s="1" t="s">
        <v>86</v>
      </c>
      <c r="N2887" s="1" t="s">
        <v>5251</v>
      </c>
      <c r="O2887" s="1" t="s">
        <v>46797</v>
      </c>
      <c r="P2887" s="1" t="s">
        <v>356</v>
      </c>
      <c r="Q2887" s="1">
        <v>543650915247</v>
      </c>
      <c r="R2887" s="1" t="s">
        <v>46792</v>
      </c>
      <c r="S2887" s="1">
        <v>9223525031</v>
      </c>
      <c r="T2887" s="1" t="s">
        <v>3439</v>
      </c>
      <c r="U2887" s="1" t="s">
        <v>14743</v>
      </c>
      <c r="V2887" s="1">
        <v>9223525040</v>
      </c>
      <c r="W2887" s="1" t="s">
        <v>14032</v>
      </c>
      <c r="X2887" s="1" t="s">
        <v>46798</v>
      </c>
      <c r="Y2887" s="1" t="s">
        <v>1882</v>
      </c>
      <c r="Z2887" s="1" t="s">
        <v>97</v>
      </c>
      <c r="AA2887" s="1" t="s">
        <v>46798</v>
      </c>
      <c r="AB2887" s="1" t="s">
        <v>1882</v>
      </c>
      <c r="AC2887" s="1" t="s">
        <v>97</v>
      </c>
      <c r="AD2887" s="1" t="s">
        <v>98</v>
      </c>
      <c r="AE2887" s="1" t="s">
        <v>98</v>
      </c>
      <c r="AF2887" s="1" t="s">
        <v>46799</v>
      </c>
      <c r="AG2887" s="1" t="s">
        <v>46800</v>
      </c>
      <c r="AH2887" s="1" t="s">
        <v>286</v>
      </c>
      <c r="AI2887" s="1" t="s">
        <v>414</v>
      </c>
      <c r="AJ2887" s="1">
        <v>74.8</v>
      </c>
      <c r="AK2887" s="1"/>
      <c r="AL2887" s="1"/>
      <c r="AM2887" s="1"/>
      <c r="AN2887" s="1"/>
      <c r="AO2887" s="1"/>
      <c r="AP2887" s="1"/>
      <c r="AQ2887" s="1"/>
      <c r="AR2887" s="1"/>
      <c r="AS2887" s="1" t="s">
        <v>23605</v>
      </c>
      <c r="AT2887" s="1" t="s">
        <v>46801</v>
      </c>
      <c r="AU2887" s="1" t="s">
        <v>315</v>
      </c>
      <c r="AV2887" s="1" t="s">
        <v>1400</v>
      </c>
      <c r="AW2887" s="1">
        <v>78.68</v>
      </c>
      <c r="AX2887" s="1"/>
      <c r="AY2887" s="1" t="s">
        <v>46802</v>
      </c>
      <c r="AZ2887" s="1" t="s">
        <v>46803</v>
      </c>
      <c r="BA2887" s="1" t="s">
        <v>578</v>
      </c>
      <c r="BB2887" s="1" t="s">
        <v>467</v>
      </c>
      <c r="BC2887" s="1" t="s">
        <v>1802</v>
      </c>
      <c r="BD2887" s="1" t="s">
        <v>1401</v>
      </c>
      <c r="BE2887" s="1">
        <v>73.48</v>
      </c>
      <c r="BF2887" s="1">
        <v>8.14</v>
      </c>
      <c r="BG2887" s="1"/>
      <c r="BH2887" s="1"/>
      <c r="BI2887" s="1"/>
      <c r="BJ2887" s="1"/>
      <c r="BK2887" s="1"/>
      <c r="BL2887" s="1"/>
      <c r="BM2887" s="1"/>
      <c r="BN2887" s="1"/>
      <c r="BO2887" s="1" t="s">
        <v>46804</v>
      </c>
      <c r="BP2887" s="1"/>
      <c r="BQ2887" s="1"/>
      <c r="BR2887" s="1"/>
      <c r="BS2887" s="1"/>
      <c r="BT2887" s="1"/>
      <c r="BU2887" s="1" t="str">
        <f>HYPERLINK("https://nconnect.nicmar.ac.in/storage/profile/6a85d6f644c96.png","Download")</f>
        <v>0</v>
      </c>
      <c r="BV2887" s="3"/>
      <c r="BW2887" s="3"/>
    </row>
    <row r="2888" spans="1:75">
      <c r="A2888" s="1" t="s">
        <v>46264</v>
      </c>
      <c r="B2888" s="1" t="s">
        <v>13976</v>
      </c>
      <c r="C2888" s="1" t="s">
        <v>46805</v>
      </c>
      <c r="D2888" s="1" t="s">
        <v>19031</v>
      </c>
      <c r="E2888" s="1" t="s">
        <v>46806</v>
      </c>
      <c r="F2888" s="1" t="s">
        <v>46807</v>
      </c>
      <c r="G2888" s="1" t="s">
        <v>46808</v>
      </c>
      <c r="H2888" s="1" t="s">
        <v>46809</v>
      </c>
      <c r="I2888" s="1" t="s">
        <v>46810</v>
      </c>
      <c r="J2888" s="1">
        <v>9974376021</v>
      </c>
      <c r="K2888" s="1" t="s">
        <v>84</v>
      </c>
      <c r="L2888" s="1" t="s">
        <v>46811</v>
      </c>
      <c r="M2888" s="1" t="s">
        <v>86</v>
      </c>
      <c r="N2888" s="1" t="s">
        <v>46812</v>
      </c>
      <c r="O2888" s="1" t="s">
        <v>46813</v>
      </c>
      <c r="P2888" s="1" t="s">
        <v>219</v>
      </c>
      <c r="Q2888" s="1">
        <v>709196316350</v>
      </c>
      <c r="R2888" s="1" t="s">
        <v>46814</v>
      </c>
      <c r="S2888" s="1">
        <v>6354183209</v>
      </c>
      <c r="T2888" s="1" t="s">
        <v>14507</v>
      </c>
      <c r="U2888" s="1" t="s">
        <v>46815</v>
      </c>
      <c r="V2888" s="1">
        <v>9925723847</v>
      </c>
      <c r="W2888" s="1" t="s">
        <v>15148</v>
      </c>
      <c r="X2888" s="1" t="s">
        <v>46816</v>
      </c>
      <c r="Y2888" s="1" t="s">
        <v>46817</v>
      </c>
      <c r="Z2888" s="1" t="s">
        <v>676</v>
      </c>
      <c r="AA2888" s="1" t="s">
        <v>46816</v>
      </c>
      <c r="AB2888" s="1" t="s">
        <v>46817</v>
      </c>
      <c r="AC2888" s="1" t="s">
        <v>676</v>
      </c>
      <c r="AD2888" s="1" t="s">
        <v>98</v>
      </c>
      <c r="AE2888" s="1" t="s">
        <v>98</v>
      </c>
      <c r="AF2888" s="1" t="s">
        <v>46818</v>
      </c>
      <c r="AG2888" s="1" t="s">
        <v>46819</v>
      </c>
      <c r="AH2888" s="1" t="s">
        <v>106</v>
      </c>
      <c r="AI2888" s="1" t="s">
        <v>414</v>
      </c>
      <c r="AJ2888" s="1">
        <v>80.83</v>
      </c>
      <c r="AK2888" s="1"/>
      <c r="AL2888" s="1" t="s">
        <v>46818</v>
      </c>
      <c r="AM2888" s="1" t="s">
        <v>46819</v>
      </c>
      <c r="AN2888" s="1" t="s">
        <v>465</v>
      </c>
      <c r="AO2888" s="1" t="s">
        <v>468</v>
      </c>
      <c r="AP2888" s="1" t="s">
        <v>845</v>
      </c>
      <c r="AQ2888" s="1">
        <v>78.76</v>
      </c>
      <c r="AR2888" s="1"/>
      <c r="AS2888" s="1"/>
      <c r="AT2888" s="1"/>
      <c r="AU2888" s="1"/>
      <c r="AV2888" s="1"/>
      <c r="AW2888" s="1"/>
      <c r="AX2888" s="1"/>
      <c r="AY2888" s="1" t="s">
        <v>46820</v>
      </c>
      <c r="AZ2888" s="1" t="s">
        <v>46821</v>
      </c>
      <c r="BA2888" s="1" t="s">
        <v>466</v>
      </c>
      <c r="BB2888" s="1" t="s">
        <v>467</v>
      </c>
      <c r="BC2888" s="1" t="s">
        <v>606</v>
      </c>
      <c r="BD2888" s="1" t="s">
        <v>553</v>
      </c>
      <c r="BE2888" s="1">
        <v>69.1</v>
      </c>
      <c r="BF2888" s="1">
        <v>7.41</v>
      </c>
      <c r="BG2888" s="1"/>
      <c r="BH2888" s="1"/>
      <c r="BI2888" s="1"/>
      <c r="BJ2888" s="1"/>
      <c r="BK2888" s="1"/>
      <c r="BL2888" s="1"/>
      <c r="BM2888" s="1"/>
      <c r="BN2888" s="1"/>
      <c r="BO2888" s="1" t="s">
        <v>46822</v>
      </c>
      <c r="BP2888" s="1" t="s">
        <v>46823</v>
      </c>
      <c r="BQ2888" s="1" t="s">
        <v>1043</v>
      </c>
      <c r="BR2888" s="1" t="s">
        <v>46824</v>
      </c>
      <c r="BS2888" s="1">
        <v>21</v>
      </c>
      <c r="BT2888" s="1"/>
      <c r="BU2888" s="1" t="str">
        <f>HYPERLINK("https://nconnect.nicmar.ac.in/storage/profile/6a85c210a820d.png","Download")</f>
        <v>0</v>
      </c>
      <c r="BV2888" s="3"/>
      <c r="BW2888" s="3"/>
    </row>
    <row r="2889" spans="1:75">
      <c r="A2889" s="1" t="s">
        <v>46264</v>
      </c>
      <c r="B2889" s="1" t="s">
        <v>13976</v>
      </c>
      <c r="C2889" s="1" t="s">
        <v>46825</v>
      </c>
      <c r="D2889" s="1" t="s">
        <v>14964</v>
      </c>
      <c r="E2889" s="1" t="s">
        <v>9660</v>
      </c>
      <c r="F2889" s="1" t="s">
        <v>46826</v>
      </c>
      <c r="G2889" s="1" t="s">
        <v>46827</v>
      </c>
      <c r="H2889" s="1" t="s">
        <v>46828</v>
      </c>
      <c r="I2889" s="1" t="s">
        <v>46828</v>
      </c>
      <c r="J2889" s="1">
        <v>9321937232</v>
      </c>
      <c r="K2889" s="1" t="s">
        <v>84</v>
      </c>
      <c r="L2889" s="1" t="s">
        <v>46829</v>
      </c>
      <c r="M2889" s="1" t="s">
        <v>86</v>
      </c>
      <c r="N2889" s="1" t="s">
        <v>8520</v>
      </c>
      <c r="O2889" s="1" t="s">
        <v>46830</v>
      </c>
      <c r="P2889" s="1" t="s">
        <v>122</v>
      </c>
      <c r="Q2889" s="1">
        <v>871560571418</v>
      </c>
      <c r="R2889" s="1" t="s">
        <v>46831</v>
      </c>
      <c r="S2889" s="1">
        <v>9820397981</v>
      </c>
      <c r="T2889" s="1" t="s">
        <v>14116</v>
      </c>
      <c r="U2889" s="1" t="s">
        <v>46832</v>
      </c>
      <c r="V2889" s="1">
        <v>9833266187</v>
      </c>
      <c r="W2889" s="1" t="s">
        <v>14154</v>
      </c>
      <c r="X2889" s="1" t="s">
        <v>46833</v>
      </c>
      <c r="Y2889" s="1" t="s">
        <v>2259</v>
      </c>
      <c r="Z2889" s="1" t="s">
        <v>97</v>
      </c>
      <c r="AA2889" s="1" t="s">
        <v>46833</v>
      </c>
      <c r="AB2889" s="1" t="s">
        <v>2259</v>
      </c>
      <c r="AC2889" s="1" t="s">
        <v>97</v>
      </c>
      <c r="AD2889" s="1" t="s">
        <v>98</v>
      </c>
      <c r="AE2889" s="1" t="s">
        <v>98</v>
      </c>
      <c r="AF2889" s="1" t="s">
        <v>46834</v>
      </c>
      <c r="AG2889" s="1" t="s">
        <v>14157</v>
      </c>
      <c r="AH2889" s="1" t="s">
        <v>438</v>
      </c>
      <c r="AI2889" s="1" t="s">
        <v>603</v>
      </c>
      <c r="AJ2889" s="1">
        <v>74.6</v>
      </c>
      <c r="AK2889" s="1"/>
      <c r="AL2889" s="1" t="s">
        <v>46835</v>
      </c>
      <c r="AM2889" s="1" t="s">
        <v>14157</v>
      </c>
      <c r="AN2889" s="1" t="s">
        <v>465</v>
      </c>
      <c r="AO2889" s="1" t="s">
        <v>847</v>
      </c>
      <c r="AP2889" s="1" t="s">
        <v>1886</v>
      </c>
      <c r="AQ2889" s="1">
        <v>60.0</v>
      </c>
      <c r="AR2889" s="1"/>
      <c r="AS2889" s="1"/>
      <c r="AT2889" s="1"/>
      <c r="AU2889" s="1"/>
      <c r="AV2889" s="1"/>
      <c r="AW2889" s="1"/>
      <c r="AX2889" s="1"/>
      <c r="AY2889" s="1" t="s">
        <v>23063</v>
      </c>
      <c r="AZ2889" s="1" t="s">
        <v>46836</v>
      </c>
      <c r="BA2889" s="1" t="s">
        <v>578</v>
      </c>
      <c r="BB2889" s="1" t="s">
        <v>467</v>
      </c>
      <c r="BC2889" s="1" t="s">
        <v>1400</v>
      </c>
      <c r="BD2889" s="1" t="s">
        <v>14162</v>
      </c>
      <c r="BE2889" s="1">
        <v>62.58</v>
      </c>
      <c r="BF2889" s="1">
        <v>6.69</v>
      </c>
      <c r="BG2889" s="1"/>
      <c r="BH2889" s="1"/>
      <c r="BI2889" s="1"/>
      <c r="BJ2889" s="1"/>
      <c r="BK2889" s="1"/>
      <c r="BL2889" s="1"/>
      <c r="BM2889" s="1"/>
      <c r="BN2889" s="1"/>
      <c r="BO2889" s="1" t="s">
        <v>21825</v>
      </c>
      <c r="BP2889" s="1"/>
      <c r="BQ2889" s="1"/>
      <c r="BR2889" s="1"/>
      <c r="BS2889" s="1"/>
      <c r="BT2889" s="1"/>
      <c r="BU2889" s="1" t="str">
        <f>HYPERLINK("https://nconnect.nicmar.ac.in/storage/profile/6a85df4247e88.png","Download")</f>
        <v>0</v>
      </c>
      <c r="BV2889" s="3"/>
      <c r="BW2889" s="3"/>
    </row>
    <row r="2890" spans="1:75">
      <c r="A2890" s="1" t="s">
        <v>46264</v>
      </c>
      <c r="B2890" s="1" t="s">
        <v>13976</v>
      </c>
      <c r="C2890" s="1" t="s">
        <v>46837</v>
      </c>
      <c r="D2890" s="1" t="s">
        <v>18390</v>
      </c>
      <c r="E2890" s="1"/>
      <c r="F2890" s="1" t="s">
        <v>46838</v>
      </c>
      <c r="G2890" s="1" t="s">
        <v>46839</v>
      </c>
      <c r="H2890" s="1" t="s">
        <v>46840</v>
      </c>
      <c r="I2890" s="1" t="s">
        <v>46841</v>
      </c>
      <c r="J2890" s="1">
        <v>9694108996</v>
      </c>
      <c r="K2890" s="1" t="s">
        <v>84</v>
      </c>
      <c r="L2890" s="1" t="s">
        <v>46842</v>
      </c>
      <c r="M2890" s="1" t="s">
        <v>86</v>
      </c>
      <c r="N2890" s="1" t="s">
        <v>355</v>
      </c>
      <c r="O2890" s="1" t="s">
        <v>46843</v>
      </c>
      <c r="P2890" s="1" t="s">
        <v>89</v>
      </c>
      <c r="Q2890" s="1">
        <v>340891091145</v>
      </c>
      <c r="R2890" s="1" t="s">
        <v>46844</v>
      </c>
      <c r="S2890" s="1">
        <v>9413366301</v>
      </c>
      <c r="T2890" s="1" t="s">
        <v>14800</v>
      </c>
      <c r="U2890" s="1" t="s">
        <v>46845</v>
      </c>
      <c r="V2890" s="1">
        <v>6378123879</v>
      </c>
      <c r="W2890" s="1" t="s">
        <v>16332</v>
      </c>
      <c r="X2890" s="1" t="s">
        <v>46846</v>
      </c>
      <c r="Y2890" s="1" t="s">
        <v>46847</v>
      </c>
      <c r="Z2890" s="1" t="s">
        <v>2153</v>
      </c>
      <c r="AA2890" s="1" t="s">
        <v>46846</v>
      </c>
      <c r="AB2890" s="1" t="s">
        <v>46847</v>
      </c>
      <c r="AC2890" s="1" t="s">
        <v>2153</v>
      </c>
      <c r="AD2890" s="1" t="s">
        <v>98</v>
      </c>
      <c r="AE2890" s="1" t="s">
        <v>98</v>
      </c>
      <c r="AF2890" s="1" t="s">
        <v>46848</v>
      </c>
      <c r="AG2890" s="1" t="s">
        <v>15703</v>
      </c>
      <c r="AH2890" s="1" t="s">
        <v>704</v>
      </c>
      <c r="AI2890" s="1" t="s">
        <v>490</v>
      </c>
      <c r="AJ2890" s="1">
        <v>62.4</v>
      </c>
      <c r="AK2890" s="1">
        <v>0</v>
      </c>
      <c r="AL2890" s="1" t="s">
        <v>46849</v>
      </c>
      <c r="AM2890" s="1" t="s">
        <v>46850</v>
      </c>
      <c r="AN2890" s="1" t="s">
        <v>465</v>
      </c>
      <c r="AO2890" s="1" t="s">
        <v>547</v>
      </c>
      <c r="AP2890" s="1" t="s">
        <v>977</v>
      </c>
      <c r="AQ2890" s="1">
        <v>65.8</v>
      </c>
      <c r="AR2890" s="1"/>
      <c r="AS2890" s="1"/>
      <c r="AT2890" s="1"/>
      <c r="AU2890" s="1"/>
      <c r="AV2890" s="1"/>
      <c r="AW2890" s="1"/>
      <c r="AX2890" s="1"/>
      <c r="AY2890" s="1" t="s">
        <v>46851</v>
      </c>
      <c r="AZ2890" s="1" t="s">
        <v>46852</v>
      </c>
      <c r="BA2890" s="1" t="s">
        <v>466</v>
      </c>
      <c r="BB2890" s="1" t="s">
        <v>467</v>
      </c>
      <c r="BC2890" s="1" t="s">
        <v>178</v>
      </c>
      <c r="BD2890" s="1" t="s">
        <v>207</v>
      </c>
      <c r="BE2890" s="1">
        <v>83.9</v>
      </c>
      <c r="BF2890" s="1">
        <v>8.39</v>
      </c>
      <c r="BG2890" s="1"/>
      <c r="BH2890" s="1"/>
      <c r="BI2890" s="1"/>
      <c r="BJ2890" s="1"/>
      <c r="BK2890" s="1"/>
      <c r="BL2890" s="1"/>
      <c r="BM2890" s="1"/>
      <c r="BN2890" s="1"/>
      <c r="BO2890" s="1" t="s">
        <v>46853</v>
      </c>
      <c r="BP2890" s="1"/>
      <c r="BQ2890" s="1"/>
      <c r="BR2890" s="1" t="s">
        <v>46854</v>
      </c>
      <c r="BS2890" s="1">
        <v>6</v>
      </c>
      <c r="BT2890" s="1" t="s">
        <v>46855</v>
      </c>
      <c r="BU2890" s="1" t="str">
        <f>HYPERLINK("https://nconnect.nicmar.ac.in/storage/profile/6a85aa9122054.png","Download")</f>
        <v>0</v>
      </c>
      <c r="BV2890" s="3"/>
      <c r="BW2890" s="3"/>
    </row>
    <row r="2891" spans="1:75">
      <c r="A2891" s="1" t="s">
        <v>46264</v>
      </c>
      <c r="B2891" s="1" t="s">
        <v>13976</v>
      </c>
      <c r="C2891" s="1" t="s">
        <v>46856</v>
      </c>
      <c r="D2891" s="1" t="s">
        <v>46857</v>
      </c>
      <c r="E2891" s="1" t="s">
        <v>46858</v>
      </c>
      <c r="F2891" s="1" t="s">
        <v>46395</v>
      </c>
      <c r="G2891" s="1" t="s">
        <v>46859</v>
      </c>
      <c r="H2891" s="1" t="s">
        <v>46860</v>
      </c>
      <c r="I2891" s="1" t="s">
        <v>46860</v>
      </c>
      <c r="J2891" s="1">
        <v>9309794977</v>
      </c>
      <c r="K2891" s="1" t="s">
        <v>84</v>
      </c>
      <c r="L2891" s="1" t="s">
        <v>8276</v>
      </c>
      <c r="M2891" s="1" t="s">
        <v>86</v>
      </c>
      <c r="N2891" s="1" t="s">
        <v>46861</v>
      </c>
      <c r="O2891" s="1" t="s">
        <v>22413</v>
      </c>
      <c r="P2891" s="1" t="s">
        <v>122</v>
      </c>
      <c r="Q2891" s="1">
        <v>260496853652</v>
      </c>
      <c r="R2891" s="1" t="s">
        <v>46862</v>
      </c>
      <c r="S2891" s="1">
        <v>8550976976</v>
      </c>
      <c r="T2891" s="1" t="s">
        <v>46863</v>
      </c>
      <c r="U2891" s="1" t="s">
        <v>46864</v>
      </c>
      <c r="V2891" s="1">
        <v>7741099758</v>
      </c>
      <c r="W2891" s="1" t="s">
        <v>14710</v>
      </c>
      <c r="X2891" s="1" t="s">
        <v>46865</v>
      </c>
      <c r="Y2891" s="1" t="s">
        <v>333</v>
      </c>
      <c r="Z2891" s="1" t="s">
        <v>97</v>
      </c>
      <c r="AA2891" s="1" t="s">
        <v>46866</v>
      </c>
      <c r="AB2891" s="1" t="s">
        <v>333</v>
      </c>
      <c r="AC2891" s="1" t="s">
        <v>97</v>
      </c>
      <c r="AD2891" s="1" t="s">
        <v>98</v>
      </c>
      <c r="AE2891" s="1" t="s">
        <v>98</v>
      </c>
      <c r="AF2891" s="1" t="s">
        <v>46867</v>
      </c>
      <c r="AG2891" s="1" t="s">
        <v>15152</v>
      </c>
      <c r="AH2891" s="1" t="s">
        <v>573</v>
      </c>
      <c r="AI2891" s="1" t="s">
        <v>171</v>
      </c>
      <c r="AJ2891" s="1">
        <v>65.2</v>
      </c>
      <c r="AK2891" s="1"/>
      <c r="AL2891" s="1"/>
      <c r="AM2891" s="1"/>
      <c r="AN2891" s="1"/>
      <c r="AO2891" s="1"/>
      <c r="AP2891" s="1"/>
      <c r="AQ2891" s="1"/>
      <c r="AR2891" s="1"/>
      <c r="AS2891" s="1" t="s">
        <v>14787</v>
      </c>
      <c r="AT2891" s="1" t="s">
        <v>46868</v>
      </c>
      <c r="AU2891" s="1" t="s">
        <v>1065</v>
      </c>
      <c r="AV2891" s="1" t="s">
        <v>441</v>
      </c>
      <c r="AW2891" s="1">
        <v>81.11</v>
      </c>
      <c r="AX2891" s="1"/>
      <c r="AY2891" s="1" t="s">
        <v>3174</v>
      </c>
      <c r="AZ2891" s="1" t="s">
        <v>46869</v>
      </c>
      <c r="BA2891" s="1" t="s">
        <v>578</v>
      </c>
      <c r="BB2891" s="1" t="s">
        <v>467</v>
      </c>
      <c r="BC2891" s="1" t="s">
        <v>552</v>
      </c>
      <c r="BD2891" s="1" t="s">
        <v>207</v>
      </c>
      <c r="BE2891" s="1">
        <v>64.1</v>
      </c>
      <c r="BF2891" s="1">
        <v>7.16</v>
      </c>
      <c r="BG2891" s="1"/>
      <c r="BH2891" s="1"/>
      <c r="BI2891" s="1"/>
      <c r="BJ2891" s="1"/>
      <c r="BK2891" s="1"/>
      <c r="BL2891" s="1"/>
      <c r="BM2891" s="1"/>
      <c r="BN2891" s="1"/>
      <c r="BO2891" s="1" t="s">
        <v>46870</v>
      </c>
      <c r="BP2891" s="1"/>
      <c r="BQ2891" s="1"/>
      <c r="BR2891" s="1" t="s">
        <v>46871</v>
      </c>
      <c r="BS2891" s="1">
        <v>83</v>
      </c>
      <c r="BT2891" s="1"/>
      <c r="BU2891" s="1" t="str">
        <f>HYPERLINK("https://nconnect.nicmar.ac.in/storage/profile/6a85ecbe35196.png","Download")</f>
        <v>0</v>
      </c>
      <c r="BV2891" s="3"/>
      <c r="BW2891" s="3"/>
    </row>
    <row r="2892" spans="1:75">
      <c r="A2892" s="1" t="s">
        <v>46264</v>
      </c>
      <c r="B2892" s="1" t="s">
        <v>446</v>
      </c>
      <c r="C2892" s="1" t="s">
        <v>46872</v>
      </c>
      <c r="D2892" s="1" t="s">
        <v>46873</v>
      </c>
      <c r="E2892" s="1" t="s">
        <v>46874</v>
      </c>
      <c r="F2892" s="1" t="s">
        <v>46875</v>
      </c>
      <c r="G2892" s="1" t="s">
        <v>46876</v>
      </c>
      <c r="H2892" s="1" t="s">
        <v>46877</v>
      </c>
      <c r="I2892" s="1" t="s">
        <v>46878</v>
      </c>
      <c r="J2892" s="1">
        <v>9499546681</v>
      </c>
      <c r="K2892" s="1" t="s">
        <v>84</v>
      </c>
      <c r="L2892" s="1" t="s">
        <v>39784</v>
      </c>
      <c r="M2892" s="1" t="s">
        <v>86</v>
      </c>
      <c r="N2892" s="1" t="s">
        <v>20173</v>
      </c>
      <c r="O2892" s="1"/>
      <c r="P2892" s="1" t="s">
        <v>507</v>
      </c>
      <c r="Q2892" s="1" t="s">
        <v>46879</v>
      </c>
      <c r="R2892" s="1" t="s">
        <v>46880</v>
      </c>
      <c r="S2892" s="1">
        <v>7990285524</v>
      </c>
      <c r="T2892" s="1" t="s">
        <v>46881</v>
      </c>
      <c r="U2892" s="1" t="s">
        <v>46882</v>
      </c>
      <c r="V2892" s="1">
        <v>7016629901</v>
      </c>
      <c r="W2892" s="1" t="s">
        <v>31517</v>
      </c>
      <c r="X2892" s="1" t="s">
        <v>46883</v>
      </c>
      <c r="Y2892" s="1" t="s">
        <v>14319</v>
      </c>
      <c r="Z2892" s="1" t="s">
        <v>676</v>
      </c>
      <c r="AA2892" s="1" t="s">
        <v>46883</v>
      </c>
      <c r="AB2892" s="1" t="s">
        <v>14319</v>
      </c>
      <c r="AC2892" s="1" t="s">
        <v>676</v>
      </c>
      <c r="AD2892" s="1">
        <v>7.84</v>
      </c>
      <c r="AE2892" s="1" t="s">
        <v>98</v>
      </c>
      <c r="AF2892" s="1" t="s">
        <v>46884</v>
      </c>
      <c r="AG2892" s="1" t="s">
        <v>5141</v>
      </c>
      <c r="AH2892" s="1" t="s">
        <v>106</v>
      </c>
      <c r="AI2892" s="1" t="s">
        <v>414</v>
      </c>
      <c r="AJ2892" s="1">
        <v>72</v>
      </c>
      <c r="AK2892" s="1"/>
      <c r="AL2892" s="1" t="s">
        <v>46884</v>
      </c>
      <c r="AM2892" s="1" t="s">
        <v>5141</v>
      </c>
      <c r="AN2892" s="1"/>
      <c r="AO2892" s="1" t="s">
        <v>468</v>
      </c>
      <c r="AP2892" s="1" t="s">
        <v>845</v>
      </c>
      <c r="AQ2892" s="1">
        <v>70.46</v>
      </c>
      <c r="AR2892" s="1"/>
      <c r="AS2892" s="1"/>
      <c r="AT2892" s="1"/>
      <c r="AU2892" s="1"/>
      <c r="AV2892" s="1"/>
      <c r="AW2892" s="1"/>
      <c r="AX2892" s="1"/>
      <c r="AY2892" s="1" t="s">
        <v>46885</v>
      </c>
      <c r="AZ2892" s="1" t="s">
        <v>46886</v>
      </c>
      <c r="BA2892" s="1"/>
      <c r="BB2892" s="1"/>
      <c r="BC2892" s="1" t="s">
        <v>441</v>
      </c>
      <c r="BD2892" s="1" t="s">
        <v>607</v>
      </c>
      <c r="BE2892" s="1">
        <v>73.1</v>
      </c>
      <c r="BF2892" s="1"/>
      <c r="BG2892" s="1"/>
      <c r="BH2892" s="1"/>
      <c r="BI2892" s="1"/>
      <c r="BJ2892" s="1"/>
      <c r="BK2892" s="1"/>
      <c r="BL2892" s="1"/>
      <c r="BM2892" s="1"/>
      <c r="BN2892" s="1"/>
      <c r="BO2892" s="1" t="s">
        <v>915</v>
      </c>
      <c r="BP2892" s="1"/>
      <c r="BQ2892" s="1"/>
      <c r="BR2892" s="1" t="s">
        <v>46887</v>
      </c>
      <c r="BS2892" s="1">
        <v>15</v>
      </c>
      <c r="BT2892" s="1" t="s">
        <v>46888</v>
      </c>
      <c r="BU2892" s="1" t="str">
        <f>HYPERLINK("https://nconnect.nicmar.ac.in/storage/profile/ProfilePhoto_P25709001_342791.jpg","Download")</f>
        <v>0</v>
      </c>
      <c r="BV2892" s="3"/>
      <c r="BW2892" s="3"/>
    </row>
    <row r="2893" spans="1:75">
      <c r="A2893" s="1" t="s">
        <v>46264</v>
      </c>
      <c r="B2893" s="1" t="s">
        <v>446</v>
      </c>
      <c r="C2893" s="1" t="s">
        <v>46889</v>
      </c>
      <c r="D2893" s="1" t="s">
        <v>46890</v>
      </c>
      <c r="E2893" s="1" t="s">
        <v>46891</v>
      </c>
      <c r="F2893" s="1" t="s">
        <v>46892</v>
      </c>
      <c r="G2893" s="1" t="s">
        <v>46893</v>
      </c>
      <c r="H2893" s="1" t="s">
        <v>46894</v>
      </c>
      <c r="I2893" s="1" t="s">
        <v>46895</v>
      </c>
      <c r="J2893" s="1">
        <v>9324779908</v>
      </c>
      <c r="K2893" s="1" t="s">
        <v>84</v>
      </c>
      <c r="L2893" s="1" t="s">
        <v>1938</v>
      </c>
      <c r="M2893" s="1" t="s">
        <v>86</v>
      </c>
      <c r="N2893" s="1" t="s">
        <v>46896</v>
      </c>
      <c r="O2893" s="1" t="s">
        <v>46897</v>
      </c>
      <c r="P2893" s="1" t="s">
        <v>507</v>
      </c>
      <c r="Q2893" s="1" t="s">
        <v>46898</v>
      </c>
      <c r="R2893" s="1" t="s">
        <v>46891</v>
      </c>
      <c r="S2893" s="1">
        <v>7977081296</v>
      </c>
      <c r="T2893" s="1" t="s">
        <v>382</v>
      </c>
      <c r="U2893" s="1" t="s">
        <v>5028</v>
      </c>
      <c r="V2893" s="1">
        <v>9757476911</v>
      </c>
      <c r="W2893" s="1" t="s">
        <v>161</v>
      </c>
      <c r="X2893" s="1" t="s">
        <v>46899</v>
      </c>
      <c r="Y2893" s="1" t="s">
        <v>1882</v>
      </c>
      <c r="Z2893" s="1" t="s">
        <v>97</v>
      </c>
      <c r="AA2893" s="1" t="s">
        <v>46899</v>
      </c>
      <c r="AB2893" s="1" t="s">
        <v>1882</v>
      </c>
      <c r="AC2893" s="1" t="s">
        <v>97</v>
      </c>
      <c r="AD2893" s="1">
        <v>9.05</v>
      </c>
      <c r="AE2893" s="1" t="s">
        <v>98</v>
      </c>
      <c r="AF2893" s="1" t="s">
        <v>46900</v>
      </c>
      <c r="AG2893" s="1" t="s">
        <v>17526</v>
      </c>
      <c r="AH2893" s="1" t="s">
        <v>490</v>
      </c>
      <c r="AI2893" s="1" t="s">
        <v>313</v>
      </c>
      <c r="AJ2893" s="1">
        <v>76.57</v>
      </c>
      <c r="AK2893" s="1"/>
      <c r="AL2893" s="1" t="s">
        <v>46901</v>
      </c>
      <c r="AM2893" s="1" t="s">
        <v>17526</v>
      </c>
      <c r="AN2893" s="1"/>
      <c r="AO2893" s="1" t="s">
        <v>468</v>
      </c>
      <c r="AP2893" s="1" t="s">
        <v>847</v>
      </c>
      <c r="AQ2893" s="1">
        <v>85.5</v>
      </c>
      <c r="AR2893" s="1"/>
      <c r="AS2893" s="1"/>
      <c r="AT2893" s="1"/>
      <c r="AU2893" s="1"/>
      <c r="AV2893" s="1"/>
      <c r="AW2893" s="1"/>
      <c r="AX2893" s="1"/>
      <c r="AY2893" s="1" t="s">
        <v>25425</v>
      </c>
      <c r="AZ2893" s="1" t="s">
        <v>46902</v>
      </c>
      <c r="BA2893" s="1"/>
      <c r="BB2893" s="1"/>
      <c r="BC2893" s="1" t="s">
        <v>552</v>
      </c>
      <c r="BD2893" s="1" t="s">
        <v>848</v>
      </c>
      <c r="BE2893" s="1">
        <v>74.83</v>
      </c>
      <c r="BF2893" s="1">
        <v>3.27</v>
      </c>
      <c r="BG2893" s="1"/>
      <c r="BH2893" s="1"/>
      <c r="BI2893" s="1"/>
      <c r="BJ2893" s="1"/>
      <c r="BK2893" s="1"/>
      <c r="BL2893" s="1"/>
      <c r="BM2893" s="1"/>
      <c r="BN2893" s="1"/>
      <c r="BO2893" s="1" t="s">
        <v>46903</v>
      </c>
      <c r="BP2893" s="1"/>
      <c r="BQ2893" s="1"/>
      <c r="BR2893" s="1" t="s">
        <v>46904</v>
      </c>
      <c r="BS2893" s="1">
        <v>23</v>
      </c>
      <c r="BT2893" s="1"/>
      <c r="BU2893" s="1" t="str">
        <f>HYPERLINK("https://nconnect.nicmar.ac.in/storage/profile/ProfilePhoto_P25709002_954762.jpg","Download")</f>
        <v>0</v>
      </c>
      <c r="BV2893" s="3"/>
      <c r="BW2893" s="3"/>
    </row>
    <row r="2894" spans="1:75">
      <c r="A2894" s="1" t="s">
        <v>46264</v>
      </c>
      <c r="B2894" s="1" t="s">
        <v>446</v>
      </c>
      <c r="C2894" s="1" t="s">
        <v>46905</v>
      </c>
      <c r="D2894" s="1" t="s">
        <v>46906</v>
      </c>
      <c r="E2894" s="1"/>
      <c r="F2894" s="1" t="s">
        <v>46907</v>
      </c>
      <c r="G2894" s="1" t="s">
        <v>46908</v>
      </c>
      <c r="H2894" s="1" t="s">
        <v>46909</v>
      </c>
      <c r="I2894" s="1" t="s">
        <v>46910</v>
      </c>
      <c r="J2894" s="1">
        <v>8099555581</v>
      </c>
      <c r="K2894" s="1" t="s">
        <v>153</v>
      </c>
      <c r="L2894" s="1" t="s">
        <v>23566</v>
      </c>
      <c r="M2894" s="1" t="s">
        <v>86</v>
      </c>
      <c r="N2894" s="1" t="s">
        <v>17231</v>
      </c>
      <c r="O2894" s="1" t="s">
        <v>46911</v>
      </c>
      <c r="P2894" s="1" t="s">
        <v>507</v>
      </c>
      <c r="Q2894" s="1" t="s">
        <v>46912</v>
      </c>
      <c r="R2894" s="1" t="s">
        <v>46913</v>
      </c>
      <c r="S2894" s="1">
        <v>9666555581</v>
      </c>
      <c r="T2894" s="1" t="s">
        <v>46914</v>
      </c>
      <c r="U2894" s="1" t="s">
        <v>46915</v>
      </c>
      <c r="V2894" s="1">
        <v>9395163289</v>
      </c>
      <c r="W2894" s="1" t="s">
        <v>541</v>
      </c>
      <c r="X2894" s="1" t="s">
        <v>46916</v>
      </c>
      <c r="Y2894" s="1" t="s">
        <v>2632</v>
      </c>
      <c r="Z2894" s="1" t="s">
        <v>461</v>
      </c>
      <c r="AA2894" s="1" t="s">
        <v>46916</v>
      </c>
      <c r="AB2894" s="1" t="s">
        <v>2632</v>
      </c>
      <c r="AC2894" s="1" t="s">
        <v>461</v>
      </c>
      <c r="AD2894" s="1">
        <v>9.03</v>
      </c>
      <c r="AE2894" s="1" t="s">
        <v>98</v>
      </c>
      <c r="AF2894" s="1" t="s">
        <v>12141</v>
      </c>
      <c r="AG2894" s="1" t="s">
        <v>4050</v>
      </c>
      <c r="AH2894" s="1" t="s">
        <v>170</v>
      </c>
      <c r="AI2894" s="1" t="s">
        <v>490</v>
      </c>
      <c r="AJ2894" s="1">
        <v>100</v>
      </c>
      <c r="AK2894" s="1">
        <v>10</v>
      </c>
      <c r="AL2894" s="1" t="s">
        <v>46917</v>
      </c>
      <c r="AM2894" s="1" t="s">
        <v>3034</v>
      </c>
      <c r="AN2894" s="1"/>
      <c r="AO2894" s="1" t="s">
        <v>106</v>
      </c>
      <c r="AP2894" s="1" t="s">
        <v>468</v>
      </c>
      <c r="AQ2894" s="1">
        <v>97.1</v>
      </c>
      <c r="AR2894" s="1"/>
      <c r="AS2894" s="1"/>
      <c r="AT2894" s="1"/>
      <c r="AU2894" s="1"/>
      <c r="AV2894" s="1"/>
      <c r="AW2894" s="1"/>
      <c r="AX2894" s="1"/>
      <c r="AY2894" s="1" t="s">
        <v>46918</v>
      </c>
      <c r="AZ2894" s="1" t="s">
        <v>27267</v>
      </c>
      <c r="BA2894" s="1"/>
      <c r="BB2894" s="1"/>
      <c r="BC2894" s="1" t="s">
        <v>365</v>
      </c>
      <c r="BD2894" s="1" t="s">
        <v>207</v>
      </c>
      <c r="BE2894" s="1">
        <v>76.4</v>
      </c>
      <c r="BF2894" s="1">
        <v>8.14</v>
      </c>
      <c r="BG2894" s="1"/>
      <c r="BH2894" s="1"/>
      <c r="BI2894" s="1"/>
      <c r="BJ2894" s="1"/>
      <c r="BK2894" s="1"/>
      <c r="BL2894" s="1"/>
      <c r="BM2894" s="1"/>
      <c r="BN2894" s="1"/>
      <c r="BO2894" s="1" t="s">
        <v>46919</v>
      </c>
      <c r="BP2894" s="1" t="s">
        <v>46920</v>
      </c>
      <c r="BQ2894" s="1" t="s">
        <v>1174</v>
      </c>
      <c r="BR2894" s="1" t="s">
        <v>46921</v>
      </c>
      <c r="BS2894" s="1">
        <v>10</v>
      </c>
      <c r="BT2894" s="1"/>
      <c r="BU2894" s="1" t="str">
        <f>HYPERLINK("https://nconnect.nicmar.ac.in/storage/profile/ProfilePhoto_P25709004_198267.jpg","Download")</f>
        <v>0</v>
      </c>
      <c r="BV2894" s="3"/>
      <c r="BW2894" s="3"/>
    </row>
    <row r="2895" spans="1:75">
      <c r="A2895" s="1" t="s">
        <v>46264</v>
      </c>
      <c r="B2895" s="1" t="s">
        <v>446</v>
      </c>
      <c r="C2895" s="1" t="s">
        <v>46922</v>
      </c>
      <c r="D2895" s="1" t="s">
        <v>46923</v>
      </c>
      <c r="E2895" s="1" t="s">
        <v>9691</v>
      </c>
      <c r="F2895" s="1" t="s">
        <v>9150</v>
      </c>
      <c r="G2895" s="1" t="s">
        <v>46924</v>
      </c>
      <c r="H2895" s="1" t="s">
        <v>46925</v>
      </c>
      <c r="I2895" s="1" t="s">
        <v>46926</v>
      </c>
      <c r="J2895" s="1">
        <v>7620912422</v>
      </c>
      <c r="K2895" s="1" t="s">
        <v>84</v>
      </c>
      <c r="L2895" s="1" t="s">
        <v>46927</v>
      </c>
      <c r="M2895" s="1" t="s">
        <v>86</v>
      </c>
      <c r="N2895" s="1" t="s">
        <v>3568</v>
      </c>
      <c r="O2895" s="1"/>
      <c r="P2895" s="1" t="s">
        <v>455</v>
      </c>
      <c r="Q2895" s="1" t="s">
        <v>46928</v>
      </c>
      <c r="R2895" s="1" t="s">
        <v>9150</v>
      </c>
      <c r="S2895" s="1">
        <v>9987236702</v>
      </c>
      <c r="T2895" s="1" t="s">
        <v>221</v>
      </c>
      <c r="U2895" s="1" t="s">
        <v>46929</v>
      </c>
      <c r="V2895" s="1">
        <v>9324396022</v>
      </c>
      <c r="W2895" s="1" t="s">
        <v>161</v>
      </c>
      <c r="X2895" s="1" t="s">
        <v>46930</v>
      </c>
      <c r="Y2895" s="1" t="s">
        <v>1012</v>
      </c>
      <c r="Z2895" s="1" t="s">
        <v>97</v>
      </c>
      <c r="AA2895" s="1" t="s">
        <v>46930</v>
      </c>
      <c r="AB2895" s="1" t="s">
        <v>1012</v>
      </c>
      <c r="AC2895" s="1" t="s">
        <v>97</v>
      </c>
      <c r="AD2895" s="1">
        <v>8.11</v>
      </c>
      <c r="AE2895" s="1" t="s">
        <v>98</v>
      </c>
      <c r="AF2895" s="1" t="s">
        <v>46931</v>
      </c>
      <c r="AG2895" s="1" t="s">
        <v>165</v>
      </c>
      <c r="AH2895" s="1" t="s">
        <v>136</v>
      </c>
      <c r="AI2895" s="1" t="s">
        <v>167</v>
      </c>
      <c r="AJ2895" s="1">
        <v>73.2</v>
      </c>
      <c r="AK2895" s="1"/>
      <c r="AL2895" s="1" t="s">
        <v>46932</v>
      </c>
      <c r="AM2895" s="1" t="s">
        <v>165</v>
      </c>
      <c r="AN2895" s="1"/>
      <c r="AO2895" s="1" t="s">
        <v>573</v>
      </c>
      <c r="AP2895" s="1" t="s">
        <v>171</v>
      </c>
      <c r="AQ2895" s="1">
        <v>75.69</v>
      </c>
      <c r="AR2895" s="1"/>
      <c r="AS2895" s="1"/>
      <c r="AT2895" s="1"/>
      <c r="AU2895" s="1"/>
      <c r="AV2895" s="1"/>
      <c r="AW2895" s="1"/>
      <c r="AX2895" s="1"/>
      <c r="AY2895" s="1" t="s">
        <v>258</v>
      </c>
      <c r="AZ2895" s="1" t="s">
        <v>46933</v>
      </c>
      <c r="BA2895" s="1"/>
      <c r="BB2895" s="1"/>
      <c r="BC2895" s="1" t="s">
        <v>174</v>
      </c>
      <c r="BD2895" s="1" t="s">
        <v>110</v>
      </c>
      <c r="BE2895" s="1">
        <v>72.06</v>
      </c>
      <c r="BF2895" s="1">
        <v>8.04</v>
      </c>
      <c r="BG2895" s="1"/>
      <c r="BH2895" s="1"/>
      <c r="BI2895" s="1"/>
      <c r="BJ2895" s="1"/>
      <c r="BK2895" s="1"/>
      <c r="BL2895" s="1"/>
      <c r="BM2895" s="1"/>
      <c r="BN2895" s="1"/>
      <c r="BO2895" s="1" t="s">
        <v>46934</v>
      </c>
      <c r="BP2895" s="1" t="s">
        <v>46935</v>
      </c>
      <c r="BQ2895" s="1" t="s">
        <v>780</v>
      </c>
      <c r="BR2895" s="1" t="s">
        <v>46936</v>
      </c>
      <c r="BS2895" s="1">
        <v>70</v>
      </c>
      <c r="BT2895" s="1" t="s">
        <v>46937</v>
      </c>
      <c r="BU2895" s="1" t="str">
        <f>HYPERLINK("https://nconnect.nicmar.ac.in/storage/profile/ProfilePhoto_P25709005_417395.jpg","Download")</f>
        <v>0</v>
      </c>
      <c r="BV2895" s="3"/>
      <c r="BW2895" s="3"/>
    </row>
    <row r="2896" spans="1:75">
      <c r="A2896" s="1" t="s">
        <v>46264</v>
      </c>
      <c r="B2896" s="1" t="s">
        <v>446</v>
      </c>
      <c r="C2896" s="1" t="s">
        <v>46938</v>
      </c>
      <c r="D2896" s="1" t="s">
        <v>7759</v>
      </c>
      <c r="E2896" s="1"/>
      <c r="F2896" s="1" t="s">
        <v>46939</v>
      </c>
      <c r="G2896" s="1" t="s">
        <v>46940</v>
      </c>
      <c r="H2896" s="1" t="s">
        <v>46941</v>
      </c>
      <c r="I2896" s="1" t="s">
        <v>46942</v>
      </c>
      <c r="J2896" s="1">
        <v>8260617920</v>
      </c>
      <c r="K2896" s="1" t="s">
        <v>84</v>
      </c>
      <c r="L2896" s="1" t="s">
        <v>46943</v>
      </c>
      <c r="M2896" s="1" t="s">
        <v>86</v>
      </c>
      <c r="N2896" s="1" t="s">
        <v>881</v>
      </c>
      <c r="O2896" s="1"/>
      <c r="P2896" s="1" t="s">
        <v>455</v>
      </c>
      <c r="Q2896" s="1" t="s">
        <v>46944</v>
      </c>
      <c r="R2896" s="1" t="s">
        <v>46945</v>
      </c>
      <c r="S2896" s="1">
        <v>7978269089</v>
      </c>
      <c r="T2896" s="1" t="s">
        <v>46946</v>
      </c>
      <c r="U2896" s="1" t="s">
        <v>46947</v>
      </c>
      <c r="V2896" s="1">
        <v>8249495426</v>
      </c>
      <c r="W2896" s="1" t="s">
        <v>46948</v>
      </c>
      <c r="X2896" s="1" t="s">
        <v>46949</v>
      </c>
      <c r="Y2896" s="1" t="s">
        <v>20810</v>
      </c>
      <c r="Z2896" s="1" t="s">
        <v>865</v>
      </c>
      <c r="AA2896" s="1" t="s">
        <v>46949</v>
      </c>
      <c r="AB2896" s="1" t="s">
        <v>20810</v>
      </c>
      <c r="AC2896" s="1" t="s">
        <v>865</v>
      </c>
      <c r="AD2896" s="1" t="s">
        <v>98</v>
      </c>
      <c r="AE2896" s="1" t="s">
        <v>98</v>
      </c>
      <c r="AF2896" s="1" t="s">
        <v>46950</v>
      </c>
      <c r="AG2896" s="1" t="s">
        <v>46951</v>
      </c>
      <c r="AH2896" s="1" t="s">
        <v>286</v>
      </c>
      <c r="AI2896" s="1" t="s">
        <v>313</v>
      </c>
      <c r="AJ2896" s="1">
        <v>76.6</v>
      </c>
      <c r="AK2896" s="1">
        <v>0</v>
      </c>
      <c r="AL2896" s="1" t="s">
        <v>46952</v>
      </c>
      <c r="AM2896" s="1" t="s">
        <v>46953</v>
      </c>
      <c r="AN2896" s="1"/>
      <c r="AO2896" s="1" t="s">
        <v>438</v>
      </c>
      <c r="AP2896" s="1" t="s">
        <v>549</v>
      </c>
      <c r="AQ2896" s="1">
        <v>83.5</v>
      </c>
      <c r="AR2896" s="1"/>
      <c r="AS2896" s="1"/>
      <c r="AT2896" s="1"/>
      <c r="AU2896" s="1"/>
      <c r="AV2896" s="1"/>
      <c r="AW2896" s="1"/>
      <c r="AX2896" s="1"/>
      <c r="AY2896" s="1" t="s">
        <v>46954</v>
      </c>
      <c r="AZ2896" s="1" t="s">
        <v>46954</v>
      </c>
      <c r="BA2896" s="1"/>
      <c r="BB2896" s="1"/>
      <c r="BC2896" s="1" t="s">
        <v>549</v>
      </c>
      <c r="BD2896" s="1" t="s">
        <v>1401</v>
      </c>
      <c r="BE2896" s="1">
        <v>82.3</v>
      </c>
      <c r="BF2896" s="1"/>
      <c r="BG2896" s="1"/>
      <c r="BH2896" s="1"/>
      <c r="BI2896" s="1"/>
      <c r="BJ2896" s="1"/>
      <c r="BK2896" s="1"/>
      <c r="BL2896" s="1"/>
      <c r="BM2896" s="1"/>
      <c r="BN2896" s="1"/>
      <c r="BO2896" s="1" t="s">
        <v>260</v>
      </c>
      <c r="BP2896" s="1"/>
      <c r="BQ2896" s="1"/>
      <c r="BR2896" s="1" t="s">
        <v>46955</v>
      </c>
      <c r="BS2896" s="1">
        <v>8</v>
      </c>
      <c r="BT2896" s="1"/>
      <c r="BU2896" s="1" t="str">
        <f>HYPERLINK("https://nconnect.nicmar.ac.in/storage/profile/ProfilePhoto_P25709006_287564.jpg","Download")</f>
        <v>0</v>
      </c>
      <c r="BV2896" s="3"/>
      <c r="BW2896" s="3"/>
    </row>
    <row r="2897" spans="1:75">
      <c r="A2897" s="1" t="s">
        <v>46264</v>
      </c>
      <c r="B2897" s="1" t="s">
        <v>446</v>
      </c>
      <c r="C2897" s="1" t="s">
        <v>46956</v>
      </c>
      <c r="D2897" s="1" t="s">
        <v>8325</v>
      </c>
      <c r="E2897" s="1" t="s">
        <v>25344</v>
      </c>
      <c r="F2897" s="1" t="s">
        <v>26127</v>
      </c>
      <c r="G2897" s="1" t="s">
        <v>46957</v>
      </c>
      <c r="H2897" s="1" t="s">
        <v>46958</v>
      </c>
      <c r="I2897" s="1" t="s">
        <v>46959</v>
      </c>
      <c r="J2897" s="1">
        <v>9898594600</v>
      </c>
      <c r="K2897" s="1" t="s">
        <v>153</v>
      </c>
      <c r="L2897" s="1" t="s">
        <v>5305</v>
      </c>
      <c r="M2897" s="1" t="s">
        <v>86</v>
      </c>
      <c r="N2897" s="1" t="s">
        <v>7185</v>
      </c>
      <c r="O2897" s="1" t="s">
        <v>46960</v>
      </c>
      <c r="P2897" s="1" t="s">
        <v>670</v>
      </c>
      <c r="Q2897" s="1" t="s">
        <v>46961</v>
      </c>
      <c r="R2897" s="1" t="s">
        <v>25344</v>
      </c>
      <c r="S2897" s="1">
        <v>9898360765</v>
      </c>
      <c r="T2897" s="1" t="s">
        <v>8406</v>
      </c>
      <c r="U2897" s="1" t="s">
        <v>46962</v>
      </c>
      <c r="V2897" s="1">
        <v>9898360765</v>
      </c>
      <c r="W2897" s="1" t="s">
        <v>161</v>
      </c>
      <c r="X2897" s="1" t="s">
        <v>46963</v>
      </c>
      <c r="Y2897" s="1" t="s">
        <v>21559</v>
      </c>
      <c r="Z2897" s="1" t="s">
        <v>676</v>
      </c>
      <c r="AA2897" s="1" t="s">
        <v>46964</v>
      </c>
      <c r="AB2897" s="1" t="s">
        <v>196</v>
      </c>
      <c r="AC2897" s="1" t="s">
        <v>97</v>
      </c>
      <c r="AD2897" s="1">
        <v>9.18</v>
      </c>
      <c r="AE2897" s="1" t="s">
        <v>98</v>
      </c>
      <c r="AF2897" s="1" t="s">
        <v>46965</v>
      </c>
      <c r="AG2897" s="1" t="s">
        <v>46966</v>
      </c>
      <c r="AH2897" s="1" t="s">
        <v>166</v>
      </c>
      <c r="AI2897" s="1" t="s">
        <v>284</v>
      </c>
      <c r="AJ2897" s="1">
        <v>84</v>
      </c>
      <c r="AK2897" s="1"/>
      <c r="AL2897" s="1" t="s">
        <v>46967</v>
      </c>
      <c r="AM2897" s="1" t="s">
        <v>46966</v>
      </c>
      <c r="AN2897" s="1"/>
      <c r="AO2897" s="1" t="s">
        <v>170</v>
      </c>
      <c r="AP2897" s="1" t="s">
        <v>490</v>
      </c>
      <c r="AQ2897" s="1">
        <v>70</v>
      </c>
      <c r="AR2897" s="1"/>
      <c r="AS2897" s="1"/>
      <c r="AT2897" s="1"/>
      <c r="AU2897" s="1"/>
      <c r="AV2897" s="1"/>
      <c r="AW2897" s="1"/>
      <c r="AX2897" s="1"/>
      <c r="AY2897" s="1" t="s">
        <v>32325</v>
      </c>
      <c r="AZ2897" s="1" t="s">
        <v>46968</v>
      </c>
      <c r="BA2897" s="1"/>
      <c r="BB2897" s="1"/>
      <c r="BC2897" s="1" t="s">
        <v>174</v>
      </c>
      <c r="BD2897" s="1" t="s">
        <v>632</v>
      </c>
      <c r="BE2897" s="1">
        <v>79.2</v>
      </c>
      <c r="BF2897" s="1">
        <v>8.67</v>
      </c>
      <c r="BG2897" s="1"/>
      <c r="BH2897" s="1"/>
      <c r="BI2897" s="1"/>
      <c r="BJ2897" s="1"/>
      <c r="BK2897" s="1"/>
      <c r="BL2897" s="1"/>
      <c r="BM2897" s="1"/>
      <c r="BN2897" s="1"/>
      <c r="BO2897" s="1" t="s">
        <v>46969</v>
      </c>
      <c r="BP2897" s="1" t="s">
        <v>46970</v>
      </c>
      <c r="BQ2897" s="1" t="s">
        <v>10925</v>
      </c>
      <c r="BR2897" s="1" t="s">
        <v>46971</v>
      </c>
      <c r="BS2897" s="1">
        <v>21</v>
      </c>
      <c r="BT2897" s="1"/>
      <c r="BU2897" s="1" t="str">
        <f>HYPERLINK("https://nconnect.nicmar.ac.in/storage/profile/ProfilePhoto_P25709007_681923.jpg","Download")</f>
        <v>0</v>
      </c>
      <c r="BV2897" s="3"/>
      <c r="BW2897" s="3"/>
    </row>
    <row r="2898" spans="1:75">
      <c r="A2898" s="1" t="s">
        <v>46264</v>
      </c>
      <c r="B2898" s="1" t="s">
        <v>446</v>
      </c>
      <c r="C2898" s="1" t="s">
        <v>46972</v>
      </c>
      <c r="D2898" s="1" t="s">
        <v>46973</v>
      </c>
      <c r="E2898" s="1"/>
      <c r="F2898" s="1" t="s">
        <v>46974</v>
      </c>
      <c r="G2898" s="1" t="s">
        <v>46975</v>
      </c>
      <c r="H2898" s="1" t="s">
        <v>46976</v>
      </c>
      <c r="I2898" s="1" t="s">
        <v>46977</v>
      </c>
      <c r="J2898" s="1">
        <v>7569049848</v>
      </c>
      <c r="K2898" s="1" t="s">
        <v>84</v>
      </c>
      <c r="L2898" s="1" t="s">
        <v>22537</v>
      </c>
      <c r="M2898" s="1" t="s">
        <v>86</v>
      </c>
      <c r="N2898" s="1" t="s">
        <v>11528</v>
      </c>
      <c r="O2898" s="1"/>
      <c r="P2898" s="1" t="s">
        <v>455</v>
      </c>
      <c r="Q2898" s="1" t="s">
        <v>46978</v>
      </c>
      <c r="R2898" s="1" t="s">
        <v>46979</v>
      </c>
      <c r="S2898" s="1">
        <v>7893781569</v>
      </c>
      <c r="T2898" s="1" t="s">
        <v>839</v>
      </c>
      <c r="U2898" s="1" t="s">
        <v>46980</v>
      </c>
      <c r="V2898" s="1">
        <v>9392191569</v>
      </c>
      <c r="W2898" s="1" t="s">
        <v>541</v>
      </c>
      <c r="X2898" s="1" t="s">
        <v>46981</v>
      </c>
      <c r="Y2898" s="1" t="s">
        <v>11393</v>
      </c>
      <c r="Z2898" s="1" t="s">
        <v>281</v>
      </c>
      <c r="AA2898" s="1" t="s">
        <v>46981</v>
      </c>
      <c r="AB2898" s="1" t="s">
        <v>11393</v>
      </c>
      <c r="AC2898" s="1" t="s">
        <v>281</v>
      </c>
      <c r="AD2898" s="1">
        <v>9.37</v>
      </c>
      <c r="AE2898" s="1" t="s">
        <v>98</v>
      </c>
      <c r="AF2898" s="1" t="s">
        <v>46982</v>
      </c>
      <c r="AG2898" s="1" t="s">
        <v>1418</v>
      </c>
      <c r="AH2898" s="1" t="s">
        <v>106</v>
      </c>
      <c r="AI2898" s="1" t="s">
        <v>414</v>
      </c>
      <c r="AJ2898" s="1">
        <v>95</v>
      </c>
      <c r="AK2898" s="1">
        <v>9.5</v>
      </c>
      <c r="AL2898" s="1"/>
      <c r="AM2898" s="1"/>
      <c r="AN2898" s="1"/>
      <c r="AO2898" s="1"/>
      <c r="AP2898" s="1"/>
      <c r="AQ2898" s="1"/>
      <c r="AR2898" s="1"/>
      <c r="AS2898" s="1" t="s">
        <v>103</v>
      </c>
      <c r="AT2898" s="1" t="s">
        <v>46983</v>
      </c>
      <c r="AU2898" s="1" t="s">
        <v>313</v>
      </c>
      <c r="AV2898" s="1" t="s">
        <v>521</v>
      </c>
      <c r="AW2898" s="1">
        <v>84.98</v>
      </c>
      <c r="AX2898" s="1"/>
      <c r="AY2898" s="1" t="s">
        <v>2654</v>
      </c>
      <c r="AZ2898" s="1" t="s">
        <v>46984</v>
      </c>
      <c r="BA2898" s="1"/>
      <c r="BB2898" s="1"/>
      <c r="BC2898" s="1" t="s">
        <v>1802</v>
      </c>
      <c r="BD2898" s="1" t="s">
        <v>8670</v>
      </c>
      <c r="BE2898" s="1">
        <v>75.3</v>
      </c>
      <c r="BF2898" s="1">
        <v>8.28</v>
      </c>
      <c r="BG2898" s="1"/>
      <c r="BH2898" s="1"/>
      <c r="BI2898" s="1"/>
      <c r="BJ2898" s="1"/>
      <c r="BK2898" s="1"/>
      <c r="BL2898" s="1"/>
      <c r="BM2898" s="1"/>
      <c r="BN2898" s="1"/>
      <c r="BO2898" s="1" t="s">
        <v>46985</v>
      </c>
      <c r="BP2898" s="1"/>
      <c r="BQ2898" s="1"/>
      <c r="BR2898" s="1" t="s">
        <v>46986</v>
      </c>
      <c r="BS2898" s="1">
        <v>33</v>
      </c>
      <c r="BT2898" s="1" t="s">
        <v>46987</v>
      </c>
      <c r="BU2898" s="1" t="str">
        <f>HYPERLINK("https://nconnect.nicmar.ac.in/storage/profile/ProfilePhoto_P25709008_523167.jpg","Download")</f>
        <v>0</v>
      </c>
      <c r="BV2898" s="3"/>
      <c r="BW2898" s="3"/>
    </row>
    <row r="2899" spans="1:75">
      <c r="A2899" s="1" t="s">
        <v>46264</v>
      </c>
      <c r="B2899" s="1" t="s">
        <v>446</v>
      </c>
      <c r="C2899" s="1" t="s">
        <v>46988</v>
      </c>
      <c r="D2899" s="1" t="s">
        <v>46989</v>
      </c>
      <c r="E2899" s="1" t="s">
        <v>46990</v>
      </c>
      <c r="F2899" s="1" t="s">
        <v>4037</v>
      </c>
      <c r="G2899" s="1" t="s">
        <v>46991</v>
      </c>
      <c r="H2899" s="1" t="s">
        <v>46992</v>
      </c>
      <c r="I2899" s="1" t="s">
        <v>46993</v>
      </c>
      <c r="J2899" s="1">
        <v>7893973940</v>
      </c>
      <c r="K2899" s="1" t="s">
        <v>84</v>
      </c>
      <c r="L2899" s="1" t="s">
        <v>14571</v>
      </c>
      <c r="M2899" s="1" t="s">
        <v>86</v>
      </c>
      <c r="N2899" s="1" t="s">
        <v>46994</v>
      </c>
      <c r="O2899" s="1"/>
      <c r="P2899" s="1" t="s">
        <v>455</v>
      </c>
      <c r="Q2899" s="1" t="s">
        <v>46995</v>
      </c>
      <c r="R2899" s="1" t="s">
        <v>46996</v>
      </c>
      <c r="S2899" s="1">
        <v>9676822020</v>
      </c>
      <c r="T2899" s="1" t="s">
        <v>13411</v>
      </c>
      <c r="U2899" s="1" t="s">
        <v>46997</v>
      </c>
      <c r="V2899" s="1">
        <v>7013681489</v>
      </c>
      <c r="W2899" s="1" t="s">
        <v>5620</v>
      </c>
      <c r="X2899" s="1" t="s">
        <v>46998</v>
      </c>
      <c r="Y2899" s="1" t="s">
        <v>3031</v>
      </c>
      <c r="Z2899" s="1" t="s">
        <v>461</v>
      </c>
      <c r="AA2899" s="1" t="s">
        <v>46998</v>
      </c>
      <c r="AB2899" s="1" t="s">
        <v>3031</v>
      </c>
      <c r="AC2899" s="1" t="s">
        <v>461</v>
      </c>
      <c r="AD2899" s="1">
        <v>8.13</v>
      </c>
      <c r="AE2899" s="1" t="s">
        <v>98</v>
      </c>
      <c r="AF2899" s="1" t="s">
        <v>30934</v>
      </c>
      <c r="AG2899" s="1" t="s">
        <v>312</v>
      </c>
      <c r="AH2899" s="1" t="s">
        <v>573</v>
      </c>
      <c r="AI2899" s="1" t="s">
        <v>171</v>
      </c>
      <c r="AJ2899" s="1">
        <v>67.8</v>
      </c>
      <c r="AK2899" s="1"/>
      <c r="AL2899" s="1" t="s">
        <v>3033</v>
      </c>
      <c r="AM2899" s="1" t="s">
        <v>3034</v>
      </c>
      <c r="AN2899" s="1"/>
      <c r="AO2899" s="1" t="s">
        <v>313</v>
      </c>
      <c r="AP2899" s="1" t="s">
        <v>603</v>
      </c>
      <c r="AQ2899" s="1">
        <v>95.1</v>
      </c>
      <c r="AR2899" s="1"/>
      <c r="AS2899" s="1"/>
      <c r="AT2899" s="1"/>
      <c r="AU2899" s="1"/>
      <c r="AV2899" s="1"/>
      <c r="AW2899" s="1"/>
      <c r="AX2899" s="1"/>
      <c r="AY2899" s="1" t="s">
        <v>3035</v>
      </c>
      <c r="AZ2899" s="1" t="s">
        <v>46999</v>
      </c>
      <c r="BA2899" s="1"/>
      <c r="BB2899" s="1"/>
      <c r="BC2899" s="1" t="s">
        <v>871</v>
      </c>
      <c r="BD2899" s="1" t="s">
        <v>1401</v>
      </c>
      <c r="BE2899" s="1">
        <v>65.3</v>
      </c>
      <c r="BF2899" s="1"/>
      <c r="BG2899" s="1"/>
      <c r="BH2899" s="1"/>
      <c r="BI2899" s="1"/>
      <c r="BJ2899" s="1"/>
      <c r="BK2899" s="1"/>
      <c r="BL2899" s="1"/>
      <c r="BM2899" s="1"/>
      <c r="BN2899" s="1"/>
      <c r="BO2899" s="1" t="s">
        <v>369</v>
      </c>
      <c r="BP2899" s="1"/>
      <c r="BQ2899" s="1"/>
      <c r="BR2899" s="1"/>
      <c r="BS2899" s="1"/>
      <c r="BT2899" s="1"/>
      <c r="BU2899" s="1" t="str">
        <f>HYPERLINK("https://nconnect.nicmar.ac.in/storage/profile/ProfilePhoto_P25709009_319524.jpg","Download")</f>
        <v>0</v>
      </c>
      <c r="BV2899" s="3"/>
      <c r="BW2899" s="3"/>
    </row>
    <row r="2900" spans="1:75">
      <c r="A2900" s="1" t="s">
        <v>46264</v>
      </c>
      <c r="B2900" s="1" t="s">
        <v>446</v>
      </c>
      <c r="C2900" s="1" t="s">
        <v>47000</v>
      </c>
      <c r="D2900" s="1" t="s">
        <v>47001</v>
      </c>
      <c r="E2900" s="1" t="s">
        <v>47002</v>
      </c>
      <c r="F2900" s="1" t="s">
        <v>4037</v>
      </c>
      <c r="G2900" s="1" t="s">
        <v>47003</v>
      </c>
      <c r="H2900" s="1" t="s">
        <v>47004</v>
      </c>
      <c r="I2900" s="1" t="s">
        <v>47005</v>
      </c>
      <c r="J2900" s="1">
        <v>9989145263</v>
      </c>
      <c r="K2900" s="1" t="s">
        <v>84</v>
      </c>
      <c r="L2900" s="1" t="s">
        <v>7184</v>
      </c>
      <c r="M2900" s="1" t="s">
        <v>86</v>
      </c>
      <c r="N2900" s="1" t="s">
        <v>17231</v>
      </c>
      <c r="O2900" s="1"/>
      <c r="P2900" s="1" t="s">
        <v>455</v>
      </c>
      <c r="Q2900" s="1" t="s">
        <v>47006</v>
      </c>
      <c r="R2900" s="1" t="s">
        <v>47007</v>
      </c>
      <c r="S2900" s="1">
        <v>9849437373</v>
      </c>
      <c r="T2900" s="1" t="s">
        <v>839</v>
      </c>
      <c r="U2900" s="1" t="s">
        <v>47008</v>
      </c>
      <c r="V2900" s="1">
        <v>9849069522</v>
      </c>
      <c r="W2900" s="1" t="s">
        <v>278</v>
      </c>
      <c r="X2900" s="1" t="s">
        <v>47009</v>
      </c>
      <c r="Y2900" s="1" t="s">
        <v>2632</v>
      </c>
      <c r="Z2900" s="1" t="s">
        <v>461</v>
      </c>
      <c r="AA2900" s="1" t="s">
        <v>47010</v>
      </c>
      <c r="AB2900" s="1" t="s">
        <v>3031</v>
      </c>
      <c r="AC2900" s="1" t="s">
        <v>461</v>
      </c>
      <c r="AD2900" s="1">
        <v>8.89</v>
      </c>
      <c r="AE2900" s="1" t="s">
        <v>98</v>
      </c>
      <c r="AF2900" s="1" t="s">
        <v>47011</v>
      </c>
      <c r="AG2900" s="1" t="s">
        <v>47012</v>
      </c>
      <c r="AH2900" s="1" t="s">
        <v>106</v>
      </c>
      <c r="AI2900" s="1" t="s">
        <v>313</v>
      </c>
      <c r="AJ2900" s="1">
        <v>89.33</v>
      </c>
      <c r="AK2900" s="1"/>
      <c r="AL2900" s="1" t="s">
        <v>47013</v>
      </c>
      <c r="AM2900" s="1" t="s">
        <v>47014</v>
      </c>
      <c r="AN2900" s="1"/>
      <c r="AO2900" s="1" t="s">
        <v>438</v>
      </c>
      <c r="AP2900" s="1" t="s">
        <v>549</v>
      </c>
      <c r="AQ2900" s="1">
        <v>95</v>
      </c>
      <c r="AR2900" s="1"/>
      <c r="AS2900" s="1"/>
      <c r="AT2900" s="1"/>
      <c r="AU2900" s="1"/>
      <c r="AV2900" s="1"/>
      <c r="AW2900" s="1"/>
      <c r="AX2900" s="1"/>
      <c r="AY2900" s="1" t="s">
        <v>287</v>
      </c>
      <c r="AZ2900" s="1" t="s">
        <v>47015</v>
      </c>
      <c r="BA2900" s="1"/>
      <c r="BB2900" s="1"/>
      <c r="BC2900" s="1" t="s">
        <v>871</v>
      </c>
      <c r="BD2900" s="1" t="s">
        <v>553</v>
      </c>
      <c r="BE2900" s="1">
        <v>70.7</v>
      </c>
      <c r="BF2900" s="1">
        <v>7.57</v>
      </c>
      <c r="BG2900" s="1"/>
      <c r="BH2900" s="1"/>
      <c r="BI2900" s="1"/>
      <c r="BJ2900" s="1"/>
      <c r="BK2900" s="1"/>
      <c r="BL2900" s="1"/>
      <c r="BM2900" s="1"/>
      <c r="BN2900" s="1"/>
      <c r="BO2900" s="1" t="s">
        <v>1930</v>
      </c>
      <c r="BP2900" s="1"/>
      <c r="BQ2900" s="1"/>
      <c r="BR2900" s="1"/>
      <c r="BS2900" s="1"/>
      <c r="BT2900" s="1" t="s">
        <v>47016</v>
      </c>
      <c r="BU2900" s="1" t="str">
        <f>HYPERLINK("https://nconnect.nicmar.ac.in/storage/profile/ProfilePhoto_P25709010_172543.jpg","Download")</f>
        <v>0</v>
      </c>
      <c r="BV2900" s="3"/>
      <c r="BW2900" s="3"/>
    </row>
    <row r="2901" spans="1:75">
      <c r="A2901" s="1" t="s">
        <v>46264</v>
      </c>
      <c r="B2901" s="1" t="s">
        <v>446</v>
      </c>
      <c r="C2901" s="1" t="s">
        <v>47017</v>
      </c>
      <c r="D2901" s="1" t="s">
        <v>5073</v>
      </c>
      <c r="E2901" s="1" t="s">
        <v>529</v>
      </c>
      <c r="F2901" s="1" t="s">
        <v>530</v>
      </c>
      <c r="G2901" s="1" t="s">
        <v>47018</v>
      </c>
      <c r="H2901" s="1" t="s">
        <v>47019</v>
      </c>
      <c r="I2901" s="1" t="s">
        <v>47020</v>
      </c>
      <c r="J2901" s="1">
        <v>7253068572</v>
      </c>
      <c r="K2901" s="1" t="s">
        <v>84</v>
      </c>
      <c r="L2901" s="1" t="s">
        <v>47021</v>
      </c>
      <c r="M2901" s="1" t="s">
        <v>86</v>
      </c>
      <c r="N2901" s="1" t="s">
        <v>15583</v>
      </c>
      <c r="O2901" s="1"/>
      <c r="P2901" s="1" t="s">
        <v>455</v>
      </c>
      <c r="Q2901" s="1" t="s">
        <v>47022</v>
      </c>
      <c r="R2901" s="1" t="s">
        <v>47023</v>
      </c>
      <c r="S2901" s="1">
        <v>9450505651</v>
      </c>
      <c r="T2901" s="1" t="s">
        <v>22979</v>
      </c>
      <c r="U2901" s="1" t="s">
        <v>47024</v>
      </c>
      <c r="V2901" s="1">
        <v>9410221548</v>
      </c>
      <c r="W2901" s="1" t="s">
        <v>161</v>
      </c>
      <c r="X2901" s="1" t="s">
        <v>47025</v>
      </c>
      <c r="Y2901" s="1" t="s">
        <v>17452</v>
      </c>
      <c r="Z2901" s="1" t="s">
        <v>544</v>
      </c>
      <c r="AA2901" s="1" t="s">
        <v>47025</v>
      </c>
      <c r="AB2901" s="1" t="s">
        <v>17452</v>
      </c>
      <c r="AC2901" s="1" t="s">
        <v>544</v>
      </c>
      <c r="AD2901" s="1">
        <v>8.95</v>
      </c>
      <c r="AE2901" s="1" t="s">
        <v>98</v>
      </c>
      <c r="AF2901" s="1" t="s">
        <v>47026</v>
      </c>
      <c r="AG2901" s="1" t="s">
        <v>47027</v>
      </c>
      <c r="AH2901" s="1" t="s">
        <v>1583</v>
      </c>
      <c r="AI2901" s="1" t="s">
        <v>1262</v>
      </c>
      <c r="AJ2901" s="1">
        <v>79.5</v>
      </c>
      <c r="AK2901" s="1"/>
      <c r="AL2901" s="1" t="s">
        <v>47028</v>
      </c>
      <c r="AM2901" s="1" t="s">
        <v>47027</v>
      </c>
      <c r="AN2901" s="1"/>
      <c r="AO2901" s="1" t="s">
        <v>342</v>
      </c>
      <c r="AP2901" s="1" t="s">
        <v>627</v>
      </c>
      <c r="AQ2901" s="1">
        <v>87.2</v>
      </c>
      <c r="AR2901" s="1"/>
      <c r="AS2901" s="1"/>
      <c r="AT2901" s="1"/>
      <c r="AU2901" s="1"/>
      <c r="AV2901" s="1"/>
      <c r="AW2901" s="1"/>
      <c r="AX2901" s="1"/>
      <c r="AY2901" s="1" t="s">
        <v>2090</v>
      </c>
      <c r="AZ2901" s="1" t="s">
        <v>47029</v>
      </c>
      <c r="BA2901" s="1"/>
      <c r="BB2901" s="1"/>
      <c r="BC2901" s="1" t="s">
        <v>174</v>
      </c>
      <c r="BD2901" s="1" t="s">
        <v>1400</v>
      </c>
      <c r="BE2901" s="1">
        <v>79.5</v>
      </c>
      <c r="BF2901" s="1">
        <v>7.95</v>
      </c>
      <c r="BG2901" s="1"/>
      <c r="BH2901" s="1"/>
      <c r="BI2901" s="1"/>
      <c r="BJ2901" s="1"/>
      <c r="BK2901" s="1"/>
      <c r="BL2901" s="1"/>
      <c r="BM2901" s="1"/>
      <c r="BN2901" s="1"/>
      <c r="BO2901" s="1" t="s">
        <v>47030</v>
      </c>
      <c r="BP2901" s="1"/>
      <c r="BQ2901" s="1"/>
      <c r="BR2901" s="1"/>
      <c r="BS2901" s="1"/>
      <c r="BT2901" s="1" t="s">
        <v>1666</v>
      </c>
      <c r="BU2901" s="1" t="str">
        <f>HYPERLINK("https://nconnect.nicmar.ac.in/storage/profile/ProfilePhoto_P25709012_847653.jpg","Download")</f>
        <v>0</v>
      </c>
      <c r="BV2901" s="3"/>
      <c r="BW2901" s="3"/>
    </row>
    <row r="2902" spans="1:75">
      <c r="A2902" s="1" t="s">
        <v>46264</v>
      </c>
      <c r="B2902" s="1" t="s">
        <v>446</v>
      </c>
      <c r="C2902" s="1" t="s">
        <v>47031</v>
      </c>
      <c r="D2902" s="1" t="s">
        <v>47032</v>
      </c>
      <c r="E2902" s="1" t="s">
        <v>116</v>
      </c>
      <c r="F2902" s="1" t="s">
        <v>47033</v>
      </c>
      <c r="G2902" s="1" t="s">
        <v>47034</v>
      </c>
      <c r="H2902" s="1" t="s">
        <v>47035</v>
      </c>
      <c r="I2902" s="1" t="s">
        <v>47036</v>
      </c>
      <c r="J2902" s="1">
        <v>8431082727</v>
      </c>
      <c r="K2902" s="1" t="s">
        <v>153</v>
      </c>
      <c r="L2902" s="1" t="s">
        <v>7924</v>
      </c>
      <c r="M2902" s="1" t="s">
        <v>86</v>
      </c>
      <c r="N2902" s="1" t="s">
        <v>3980</v>
      </c>
      <c r="O2902" s="1"/>
      <c r="P2902" s="1" t="s">
        <v>455</v>
      </c>
      <c r="Q2902" s="1" t="s">
        <v>47037</v>
      </c>
      <c r="R2902" s="1" t="s">
        <v>47038</v>
      </c>
      <c r="S2902" s="1">
        <v>9916160024</v>
      </c>
      <c r="T2902" s="1" t="s">
        <v>47039</v>
      </c>
      <c r="U2902" s="1" t="s">
        <v>47040</v>
      </c>
      <c r="V2902" s="1">
        <v>8951271520</v>
      </c>
      <c r="W2902" s="1" t="s">
        <v>9451</v>
      </c>
      <c r="X2902" s="1" t="s">
        <v>47041</v>
      </c>
      <c r="Y2902" s="1" t="s">
        <v>1944</v>
      </c>
      <c r="Z2902" s="1" t="s">
        <v>1210</v>
      </c>
      <c r="AA2902" s="1" t="s">
        <v>47041</v>
      </c>
      <c r="AB2902" s="1" t="s">
        <v>1944</v>
      </c>
      <c r="AC2902" s="1" t="s">
        <v>1210</v>
      </c>
      <c r="AD2902" s="1">
        <v>8.13</v>
      </c>
      <c r="AE2902" s="1" t="s">
        <v>98</v>
      </c>
      <c r="AF2902" s="1" t="s">
        <v>47042</v>
      </c>
      <c r="AG2902" s="1" t="s">
        <v>47043</v>
      </c>
      <c r="AH2902" s="1" t="s">
        <v>490</v>
      </c>
      <c r="AI2902" s="1" t="s">
        <v>313</v>
      </c>
      <c r="AJ2902" s="1">
        <v>75.8</v>
      </c>
      <c r="AK2902" s="1">
        <v>0</v>
      </c>
      <c r="AL2902" s="1" t="s">
        <v>47044</v>
      </c>
      <c r="AM2902" s="1" t="s">
        <v>47045</v>
      </c>
      <c r="AN2902" s="1" t="s">
        <v>465</v>
      </c>
      <c r="AO2902" s="1" t="s">
        <v>438</v>
      </c>
      <c r="AP2902" s="1" t="s">
        <v>549</v>
      </c>
      <c r="AQ2902" s="1">
        <v>79.3</v>
      </c>
      <c r="AR2902" s="1">
        <v>0</v>
      </c>
      <c r="AS2902" s="1"/>
      <c r="AT2902" s="1"/>
      <c r="AU2902" s="1"/>
      <c r="AV2902" s="1"/>
      <c r="AW2902" s="1"/>
      <c r="AX2902" s="1"/>
      <c r="AY2902" s="1" t="s">
        <v>1217</v>
      </c>
      <c r="AZ2902" s="1" t="s">
        <v>47046</v>
      </c>
      <c r="BA2902" s="1" t="s">
        <v>578</v>
      </c>
      <c r="BB2902" s="1" t="s">
        <v>467</v>
      </c>
      <c r="BC2902" s="1" t="s">
        <v>871</v>
      </c>
      <c r="BD2902" s="1" t="s">
        <v>1401</v>
      </c>
      <c r="BE2902" s="1">
        <v>82.8</v>
      </c>
      <c r="BF2902" s="1">
        <v>8.28</v>
      </c>
      <c r="BG2902" s="1"/>
      <c r="BH2902" s="1"/>
      <c r="BI2902" s="1"/>
      <c r="BJ2902" s="1"/>
      <c r="BK2902" s="1"/>
      <c r="BL2902" s="1"/>
      <c r="BM2902" s="1"/>
      <c r="BN2902" s="1"/>
      <c r="BO2902" s="1" t="s">
        <v>47047</v>
      </c>
      <c r="BP2902" s="1"/>
      <c r="BQ2902" s="1"/>
      <c r="BR2902" s="1" t="s">
        <v>47048</v>
      </c>
      <c r="BS2902" s="1">
        <v>23</v>
      </c>
      <c r="BT2902" s="1"/>
      <c r="BU2902" s="1" t="str">
        <f>HYPERLINK("https://nconnect.nicmar.ac.in/storage/profile/ProfilePhoto_P25709013_852917.jpg","Download")</f>
        <v>0</v>
      </c>
      <c r="BV2902" s="3"/>
      <c r="BW2902" s="3"/>
    </row>
    <row r="2903" spans="1:75">
      <c r="A2903" s="1" t="s">
        <v>46264</v>
      </c>
      <c r="B2903" s="1" t="s">
        <v>446</v>
      </c>
      <c r="C2903" s="1" t="s">
        <v>47049</v>
      </c>
      <c r="D2903" s="1" t="s">
        <v>47050</v>
      </c>
      <c r="E2903" s="1"/>
      <c r="F2903" s="1" t="s">
        <v>116</v>
      </c>
      <c r="G2903" s="1" t="s">
        <v>47051</v>
      </c>
      <c r="H2903" s="1" t="s">
        <v>47052</v>
      </c>
      <c r="I2903" s="1" t="s">
        <v>47053</v>
      </c>
      <c r="J2903" s="1">
        <v>9095278056</v>
      </c>
      <c r="K2903" s="1" t="s">
        <v>84</v>
      </c>
      <c r="L2903" s="1" t="s">
        <v>20849</v>
      </c>
      <c r="M2903" s="1" t="s">
        <v>86</v>
      </c>
      <c r="N2903" s="1" t="s">
        <v>2061</v>
      </c>
      <c r="O2903" s="1"/>
      <c r="P2903" s="1" t="s">
        <v>507</v>
      </c>
      <c r="Q2903" s="1" t="s">
        <v>47054</v>
      </c>
      <c r="R2903" s="1" t="s">
        <v>47055</v>
      </c>
      <c r="S2903" s="1">
        <v>7904595186</v>
      </c>
      <c r="T2903" s="1" t="s">
        <v>839</v>
      </c>
      <c r="U2903" s="1" t="s">
        <v>47056</v>
      </c>
      <c r="V2903" s="1">
        <v>6381102370</v>
      </c>
      <c r="W2903" s="1" t="s">
        <v>161</v>
      </c>
      <c r="X2903" s="1" t="s">
        <v>47057</v>
      </c>
      <c r="Y2903" s="1" t="s">
        <v>822</v>
      </c>
      <c r="Z2903" s="1" t="s">
        <v>570</v>
      </c>
      <c r="AA2903" s="1" t="s">
        <v>47057</v>
      </c>
      <c r="AB2903" s="1" t="s">
        <v>822</v>
      </c>
      <c r="AC2903" s="1" t="s">
        <v>570</v>
      </c>
      <c r="AD2903" s="1">
        <v>8.37</v>
      </c>
      <c r="AE2903" s="1" t="s">
        <v>98</v>
      </c>
      <c r="AF2903" s="1" t="s">
        <v>47058</v>
      </c>
      <c r="AG2903" s="1" t="s">
        <v>8637</v>
      </c>
      <c r="AH2903" s="1" t="s">
        <v>106</v>
      </c>
      <c r="AI2903" s="1" t="s">
        <v>414</v>
      </c>
      <c r="AJ2903" s="1">
        <v>88.8</v>
      </c>
      <c r="AK2903" s="1"/>
      <c r="AL2903" s="1" t="s">
        <v>47059</v>
      </c>
      <c r="AM2903" s="1" t="s">
        <v>8637</v>
      </c>
      <c r="AN2903" s="1"/>
      <c r="AO2903" s="1" t="s">
        <v>468</v>
      </c>
      <c r="AP2903" s="1" t="s">
        <v>845</v>
      </c>
      <c r="AQ2903" s="1">
        <v>87.92</v>
      </c>
      <c r="AR2903" s="1"/>
      <c r="AS2903" s="1"/>
      <c r="AT2903" s="1"/>
      <c r="AU2903" s="1"/>
      <c r="AV2903" s="1"/>
      <c r="AW2903" s="1"/>
      <c r="AX2903" s="1"/>
      <c r="AY2903" s="1" t="s">
        <v>21103</v>
      </c>
      <c r="AZ2903" s="1" t="s">
        <v>47060</v>
      </c>
      <c r="BA2903" s="1"/>
      <c r="BB2903" s="1"/>
      <c r="BC2903" s="1" t="s">
        <v>140</v>
      </c>
      <c r="BD2903" s="1" t="s">
        <v>607</v>
      </c>
      <c r="BE2903" s="1">
        <v>85.1</v>
      </c>
      <c r="BF2903" s="1">
        <v>8.51</v>
      </c>
      <c r="BG2903" s="1"/>
      <c r="BH2903" s="1"/>
      <c r="BI2903" s="1"/>
      <c r="BJ2903" s="1"/>
      <c r="BK2903" s="1"/>
      <c r="BL2903" s="1"/>
      <c r="BM2903" s="1"/>
      <c r="BN2903" s="1"/>
      <c r="BO2903" s="1" t="s">
        <v>47061</v>
      </c>
      <c r="BP2903" s="1"/>
      <c r="BQ2903" s="1"/>
      <c r="BR2903" s="1" t="s">
        <v>47062</v>
      </c>
      <c r="BS2903" s="1">
        <v>2</v>
      </c>
      <c r="BT2903" s="1"/>
      <c r="BU2903" s="1" t="str">
        <f>HYPERLINK("https://nconnect.nicmar.ac.in/storage/profile/ProfilePhoto_P25709014_531987.jpg","Download")</f>
        <v>0</v>
      </c>
      <c r="BV2903" s="3"/>
      <c r="BW2903" s="3"/>
    </row>
    <row r="2904" spans="1:75">
      <c r="A2904" s="1" t="s">
        <v>46264</v>
      </c>
      <c r="B2904" s="1" t="s">
        <v>446</v>
      </c>
      <c r="C2904" s="1" t="s">
        <v>47063</v>
      </c>
      <c r="D2904" s="1" t="s">
        <v>18028</v>
      </c>
      <c r="E2904" s="1"/>
      <c r="F2904" s="1" t="s">
        <v>4802</v>
      </c>
      <c r="G2904" s="1" t="s">
        <v>47064</v>
      </c>
      <c r="H2904" s="1" t="s">
        <v>47065</v>
      </c>
      <c r="I2904" s="1" t="s">
        <v>47066</v>
      </c>
      <c r="J2904" s="1">
        <v>8129654505</v>
      </c>
      <c r="K2904" s="1" t="s">
        <v>84</v>
      </c>
      <c r="L2904" s="1" t="s">
        <v>12726</v>
      </c>
      <c r="M2904" s="1" t="s">
        <v>86</v>
      </c>
      <c r="N2904" s="1" t="s">
        <v>33739</v>
      </c>
      <c r="O2904" s="1"/>
      <c r="P2904" s="1" t="s">
        <v>670</v>
      </c>
      <c r="Q2904" s="1" t="s">
        <v>47067</v>
      </c>
      <c r="R2904" s="1" t="s">
        <v>47068</v>
      </c>
      <c r="S2904" s="1">
        <v>9605139716</v>
      </c>
      <c r="T2904" s="1" t="s">
        <v>47069</v>
      </c>
      <c r="U2904" s="1" t="s">
        <v>47070</v>
      </c>
      <c r="V2904" s="1">
        <v>8078173405</v>
      </c>
      <c r="W2904" s="1" t="s">
        <v>278</v>
      </c>
      <c r="X2904" s="1" t="s">
        <v>47071</v>
      </c>
      <c r="Y2904" s="1" t="s">
        <v>5313</v>
      </c>
      <c r="Z2904" s="1" t="s">
        <v>130</v>
      </c>
      <c r="AA2904" s="1" t="s">
        <v>47071</v>
      </c>
      <c r="AB2904" s="1" t="s">
        <v>5313</v>
      </c>
      <c r="AC2904" s="1" t="s">
        <v>130</v>
      </c>
      <c r="AD2904" s="1">
        <v>7.47</v>
      </c>
      <c r="AE2904" s="1" t="s">
        <v>98</v>
      </c>
      <c r="AF2904" s="1" t="s">
        <v>47072</v>
      </c>
      <c r="AG2904" s="1" t="s">
        <v>312</v>
      </c>
      <c r="AH2904" s="1" t="s">
        <v>1396</v>
      </c>
      <c r="AI2904" s="1" t="s">
        <v>170</v>
      </c>
      <c r="AJ2904" s="1">
        <v>83.6</v>
      </c>
      <c r="AK2904" s="1"/>
      <c r="AL2904" s="1" t="s">
        <v>47073</v>
      </c>
      <c r="AM2904" s="1" t="s">
        <v>47074</v>
      </c>
      <c r="AN2904" s="1"/>
      <c r="AO2904" s="1" t="s">
        <v>230</v>
      </c>
      <c r="AP2904" s="1" t="s">
        <v>313</v>
      </c>
      <c r="AQ2904" s="1">
        <v>75</v>
      </c>
      <c r="AR2904" s="1"/>
      <c r="AS2904" s="1"/>
      <c r="AT2904" s="1"/>
      <c r="AU2904" s="1"/>
      <c r="AV2904" s="1"/>
      <c r="AW2904" s="1"/>
      <c r="AX2904" s="1"/>
      <c r="AY2904" s="1" t="s">
        <v>47075</v>
      </c>
      <c r="AZ2904" s="1" t="s">
        <v>47076</v>
      </c>
      <c r="BA2904" s="1"/>
      <c r="BB2904" s="1"/>
      <c r="BC2904" s="1" t="s">
        <v>206</v>
      </c>
      <c r="BD2904" s="1" t="s">
        <v>579</v>
      </c>
      <c r="BE2904" s="1">
        <v>67.6</v>
      </c>
      <c r="BF2904" s="1"/>
      <c r="BG2904" s="1"/>
      <c r="BH2904" s="1"/>
      <c r="BI2904" s="1"/>
      <c r="BJ2904" s="1"/>
      <c r="BK2904" s="1"/>
      <c r="BL2904" s="1"/>
      <c r="BM2904" s="1"/>
      <c r="BN2904" s="1"/>
      <c r="BO2904" s="1" t="s">
        <v>47077</v>
      </c>
      <c r="BP2904" s="1"/>
      <c r="BQ2904" s="1"/>
      <c r="BR2904" s="1" t="s">
        <v>47078</v>
      </c>
      <c r="BS2904" s="1">
        <v>2</v>
      </c>
      <c r="BT2904" s="1"/>
      <c r="BU2904" s="1" t="str">
        <f>HYPERLINK("https://nconnect.nicmar.ac.in/storage/profile/ProfilePhoto_P25709015_264591.jpg","Download")</f>
        <v>0</v>
      </c>
      <c r="BV2904" s="3"/>
      <c r="BW2904" s="3"/>
    </row>
    <row r="2905" spans="1:75">
      <c r="A2905" s="1" t="s">
        <v>46264</v>
      </c>
      <c r="B2905" s="1" t="s">
        <v>446</v>
      </c>
      <c r="C2905" s="1" t="s">
        <v>47079</v>
      </c>
      <c r="D2905" s="1" t="s">
        <v>47080</v>
      </c>
      <c r="E2905" s="1"/>
      <c r="F2905" s="1" t="s">
        <v>47081</v>
      </c>
      <c r="G2905" s="1" t="s">
        <v>47082</v>
      </c>
      <c r="H2905" s="1" t="s">
        <v>47083</v>
      </c>
      <c r="I2905" s="1" t="s">
        <v>47084</v>
      </c>
      <c r="J2905" s="1">
        <v>9398497202</v>
      </c>
      <c r="K2905" s="1" t="s">
        <v>84</v>
      </c>
      <c r="L2905" s="1" t="s">
        <v>47085</v>
      </c>
      <c r="M2905" s="1" t="s">
        <v>86</v>
      </c>
      <c r="N2905" s="1" t="s">
        <v>22216</v>
      </c>
      <c r="O2905" s="1"/>
      <c r="P2905" s="1" t="s">
        <v>455</v>
      </c>
      <c r="Q2905" s="1" t="s">
        <v>47086</v>
      </c>
      <c r="R2905" s="1" t="s">
        <v>47087</v>
      </c>
      <c r="S2905" s="1">
        <v>9885479346</v>
      </c>
      <c r="T2905" s="1" t="s">
        <v>47088</v>
      </c>
      <c r="U2905" s="1" t="s">
        <v>47089</v>
      </c>
      <c r="V2905" s="1">
        <v>8074519522</v>
      </c>
      <c r="W2905" s="1" t="s">
        <v>4776</v>
      </c>
      <c r="X2905" s="1" t="s">
        <v>47090</v>
      </c>
      <c r="Y2905" s="1" t="s">
        <v>3031</v>
      </c>
      <c r="Z2905" s="1" t="s">
        <v>461</v>
      </c>
      <c r="AA2905" s="1" t="s">
        <v>47090</v>
      </c>
      <c r="AB2905" s="1" t="s">
        <v>3031</v>
      </c>
      <c r="AC2905" s="1" t="s">
        <v>461</v>
      </c>
      <c r="AD2905" s="1">
        <v>8.92</v>
      </c>
      <c r="AE2905" s="1" t="s">
        <v>98</v>
      </c>
      <c r="AF2905" s="1" t="s">
        <v>30934</v>
      </c>
      <c r="AG2905" s="1" t="s">
        <v>47091</v>
      </c>
      <c r="AH2905" s="1" t="s">
        <v>490</v>
      </c>
      <c r="AI2905" s="1" t="s">
        <v>313</v>
      </c>
      <c r="AJ2905" s="1">
        <v>85</v>
      </c>
      <c r="AK2905" s="1"/>
      <c r="AL2905" s="1" t="s">
        <v>47092</v>
      </c>
      <c r="AM2905" s="1" t="s">
        <v>47093</v>
      </c>
      <c r="AN2905" s="1"/>
      <c r="AO2905" s="1" t="s">
        <v>468</v>
      </c>
      <c r="AP2905" s="1" t="s">
        <v>847</v>
      </c>
      <c r="AQ2905" s="1">
        <v>86</v>
      </c>
      <c r="AR2905" s="1"/>
      <c r="AS2905" s="1"/>
      <c r="AT2905" s="1"/>
      <c r="AU2905" s="1"/>
      <c r="AV2905" s="1"/>
      <c r="AW2905" s="1"/>
      <c r="AX2905" s="1"/>
      <c r="AY2905" s="1" t="s">
        <v>47094</v>
      </c>
      <c r="AZ2905" s="1" t="s">
        <v>47095</v>
      </c>
      <c r="BA2905" s="1"/>
      <c r="BB2905" s="1"/>
      <c r="BC2905" s="1" t="s">
        <v>441</v>
      </c>
      <c r="BD2905" s="1" t="s">
        <v>607</v>
      </c>
      <c r="BE2905" s="1">
        <v>0</v>
      </c>
      <c r="BF2905" s="1">
        <v>9.05</v>
      </c>
      <c r="BG2905" s="1"/>
      <c r="BH2905" s="1"/>
      <c r="BI2905" s="1"/>
      <c r="BJ2905" s="1"/>
      <c r="BK2905" s="1"/>
      <c r="BL2905" s="1"/>
      <c r="BM2905" s="1"/>
      <c r="BN2905" s="1"/>
      <c r="BO2905" s="1" t="s">
        <v>849</v>
      </c>
      <c r="BP2905" s="1"/>
      <c r="BQ2905" s="1"/>
      <c r="BR2905" s="1"/>
      <c r="BS2905" s="1"/>
      <c r="BT2905" s="1"/>
      <c r="BU2905" s="1" t="str">
        <f>HYPERLINK("https://nconnect.nicmar.ac.in/storage/profile/ProfilePhoto_P25709016_473916.jpg","Download")</f>
        <v>0</v>
      </c>
      <c r="BV2905" s="3"/>
      <c r="BW2905" s="3"/>
    </row>
    <row r="2906" spans="1:75">
      <c r="A2906" s="1" t="s">
        <v>46264</v>
      </c>
      <c r="B2906" s="1" t="s">
        <v>446</v>
      </c>
      <c r="C2906" s="1" t="s">
        <v>47096</v>
      </c>
      <c r="D2906" s="1" t="s">
        <v>47097</v>
      </c>
      <c r="E2906" s="1" t="s">
        <v>4310</v>
      </c>
      <c r="F2906" s="1" t="s">
        <v>47098</v>
      </c>
      <c r="G2906" s="1" t="s">
        <v>47099</v>
      </c>
      <c r="H2906" s="1" t="s">
        <v>47100</v>
      </c>
      <c r="I2906" s="1" t="s">
        <v>47101</v>
      </c>
      <c r="J2906" s="1">
        <v>8805559077</v>
      </c>
      <c r="K2906" s="1" t="s">
        <v>84</v>
      </c>
      <c r="L2906" s="1" t="s">
        <v>6141</v>
      </c>
      <c r="M2906" s="1" t="s">
        <v>86</v>
      </c>
      <c r="N2906" s="1" t="s">
        <v>17803</v>
      </c>
      <c r="O2906" s="1"/>
      <c r="P2906" s="1" t="s">
        <v>455</v>
      </c>
      <c r="Q2906" s="1" t="s">
        <v>47102</v>
      </c>
      <c r="R2906" s="1" t="s">
        <v>4310</v>
      </c>
      <c r="S2906" s="1">
        <v>9422046633</v>
      </c>
      <c r="T2906" s="1" t="s">
        <v>330</v>
      </c>
      <c r="U2906" s="1" t="s">
        <v>47103</v>
      </c>
      <c r="V2906" s="1">
        <v>8805074777</v>
      </c>
      <c r="W2906" s="1" t="s">
        <v>278</v>
      </c>
      <c r="X2906" s="1" t="s">
        <v>47104</v>
      </c>
      <c r="Y2906" s="1" t="s">
        <v>1989</v>
      </c>
      <c r="Z2906" s="1" t="s">
        <v>97</v>
      </c>
      <c r="AA2906" s="1" t="s">
        <v>47104</v>
      </c>
      <c r="AB2906" s="1" t="s">
        <v>1989</v>
      </c>
      <c r="AC2906" s="1" t="s">
        <v>97</v>
      </c>
      <c r="AD2906" s="1">
        <v>8.18</v>
      </c>
      <c r="AE2906" s="1" t="s">
        <v>98</v>
      </c>
      <c r="AF2906" s="1" t="s">
        <v>43722</v>
      </c>
      <c r="AG2906" s="1" t="s">
        <v>796</v>
      </c>
      <c r="AH2906" s="1" t="s">
        <v>174</v>
      </c>
      <c r="AI2906" s="1" t="s">
        <v>313</v>
      </c>
      <c r="AJ2906" s="1">
        <v>86.6</v>
      </c>
      <c r="AK2906" s="1">
        <v>0</v>
      </c>
      <c r="AL2906" s="1" t="s">
        <v>47105</v>
      </c>
      <c r="AM2906" s="1" t="s">
        <v>22654</v>
      </c>
      <c r="AN2906" s="1"/>
      <c r="AO2906" s="1" t="s">
        <v>1040</v>
      </c>
      <c r="AP2906" s="1" t="s">
        <v>1192</v>
      </c>
      <c r="AQ2906" s="1">
        <v>94</v>
      </c>
      <c r="AR2906" s="1">
        <v>0</v>
      </c>
      <c r="AS2906" s="1"/>
      <c r="AT2906" s="1"/>
      <c r="AU2906" s="1"/>
      <c r="AV2906" s="1"/>
      <c r="AW2906" s="1"/>
      <c r="AX2906" s="1"/>
      <c r="AY2906" s="1" t="s">
        <v>1887</v>
      </c>
      <c r="AZ2906" s="1" t="s">
        <v>47106</v>
      </c>
      <c r="BA2906" s="1"/>
      <c r="BB2906" s="1"/>
      <c r="BC2906" s="1" t="s">
        <v>441</v>
      </c>
      <c r="BD2906" s="1" t="s">
        <v>848</v>
      </c>
      <c r="BE2906" s="1">
        <v>71.6</v>
      </c>
      <c r="BF2906" s="1">
        <v>7.66</v>
      </c>
      <c r="BG2906" s="1"/>
      <c r="BH2906" s="1"/>
      <c r="BI2906" s="1"/>
      <c r="BJ2906" s="1"/>
      <c r="BK2906" s="1"/>
      <c r="BL2906" s="1"/>
      <c r="BM2906" s="1"/>
      <c r="BN2906" s="1"/>
      <c r="BO2906" s="1" t="s">
        <v>1114</v>
      </c>
      <c r="BP2906" s="1"/>
      <c r="BQ2906" s="1"/>
      <c r="BR2906" s="1" t="s">
        <v>47107</v>
      </c>
      <c r="BS2906" s="1">
        <v>21</v>
      </c>
      <c r="BT2906" s="1"/>
      <c r="BU2906" s="1" t="str">
        <f>HYPERLINK("https://nconnect.nicmar.ac.in/storage/profile/ProfilePhoto_P25709017_237156.jpg","Download")</f>
        <v>0</v>
      </c>
      <c r="BV2906" s="3"/>
      <c r="BW2906" s="3"/>
    </row>
    <row r="2907" spans="1:75">
      <c r="A2907" s="1" t="s">
        <v>46264</v>
      </c>
      <c r="B2907" s="1" t="s">
        <v>446</v>
      </c>
      <c r="C2907" s="1" t="s">
        <v>47108</v>
      </c>
      <c r="D2907" s="1" t="s">
        <v>35916</v>
      </c>
      <c r="E2907" s="1" t="s">
        <v>500</v>
      </c>
      <c r="F2907" s="1" t="s">
        <v>47109</v>
      </c>
      <c r="G2907" s="1" t="s">
        <v>47110</v>
      </c>
      <c r="H2907" s="1" t="s">
        <v>47111</v>
      </c>
      <c r="I2907" s="1" t="s">
        <v>47112</v>
      </c>
      <c r="J2907" s="1">
        <v>8857814770</v>
      </c>
      <c r="K2907" s="1" t="s">
        <v>84</v>
      </c>
      <c r="L2907" s="1" t="s">
        <v>1026</v>
      </c>
      <c r="M2907" s="1" t="s">
        <v>86</v>
      </c>
      <c r="N2907" s="1" t="s">
        <v>903</v>
      </c>
      <c r="O2907" s="1" t="s">
        <v>47113</v>
      </c>
      <c r="P2907" s="1" t="s">
        <v>507</v>
      </c>
      <c r="Q2907" s="1" t="s">
        <v>47114</v>
      </c>
      <c r="R2907" s="1" t="s">
        <v>500</v>
      </c>
      <c r="S2907" s="1">
        <v>8275741145</v>
      </c>
      <c r="T2907" s="1" t="s">
        <v>221</v>
      </c>
      <c r="U2907" s="1" t="s">
        <v>6471</v>
      </c>
      <c r="V2907" s="1">
        <v>9272828595</v>
      </c>
      <c r="W2907" s="1" t="s">
        <v>541</v>
      </c>
      <c r="X2907" s="1" t="s">
        <v>47115</v>
      </c>
      <c r="Y2907" s="1" t="s">
        <v>910</v>
      </c>
      <c r="Z2907" s="1" t="s">
        <v>97</v>
      </c>
      <c r="AA2907" s="1" t="s">
        <v>47115</v>
      </c>
      <c r="AB2907" s="1" t="s">
        <v>910</v>
      </c>
      <c r="AC2907" s="1" t="s">
        <v>97</v>
      </c>
      <c r="AD2907" s="1" t="s">
        <v>98</v>
      </c>
      <c r="AE2907" s="1" t="s">
        <v>98</v>
      </c>
      <c r="AF2907" s="1" t="s">
        <v>47116</v>
      </c>
      <c r="AG2907" s="1" t="s">
        <v>8948</v>
      </c>
      <c r="AH2907" s="1" t="s">
        <v>170</v>
      </c>
      <c r="AI2907" s="1" t="s">
        <v>286</v>
      </c>
      <c r="AJ2907" s="1">
        <v>76.8</v>
      </c>
      <c r="AK2907" s="1"/>
      <c r="AL2907" s="1"/>
      <c r="AM2907" s="1"/>
      <c r="AN2907" s="1"/>
      <c r="AO2907" s="1"/>
      <c r="AP2907" s="1"/>
      <c r="AQ2907" s="1"/>
      <c r="AR2907" s="1"/>
      <c r="AS2907" s="1" t="s">
        <v>103</v>
      </c>
      <c r="AT2907" s="1" t="s">
        <v>47117</v>
      </c>
      <c r="AU2907" s="1" t="s">
        <v>106</v>
      </c>
      <c r="AV2907" s="1" t="s">
        <v>441</v>
      </c>
      <c r="AW2907" s="1">
        <v>89.47</v>
      </c>
      <c r="AX2907" s="1"/>
      <c r="AY2907" s="1" t="s">
        <v>366</v>
      </c>
      <c r="AZ2907" s="1" t="s">
        <v>47118</v>
      </c>
      <c r="BA2907" s="1"/>
      <c r="BB2907" s="1"/>
      <c r="BC2907" s="1" t="s">
        <v>552</v>
      </c>
      <c r="BD2907" s="1" t="s">
        <v>207</v>
      </c>
      <c r="BE2907" s="1">
        <v>67</v>
      </c>
      <c r="BF2907" s="1">
        <v>7.45</v>
      </c>
      <c r="BG2907" s="1"/>
      <c r="BH2907" s="1"/>
      <c r="BI2907" s="1"/>
      <c r="BJ2907" s="1"/>
      <c r="BK2907" s="1"/>
      <c r="BL2907" s="1"/>
      <c r="BM2907" s="1"/>
      <c r="BN2907" s="1"/>
      <c r="BO2907" s="1" t="s">
        <v>260</v>
      </c>
      <c r="BP2907" s="1"/>
      <c r="BQ2907" s="1"/>
      <c r="BR2907" s="1"/>
      <c r="BS2907" s="1"/>
      <c r="BT2907" s="1"/>
      <c r="BU2907" s="1" t="str">
        <f>HYPERLINK("https://nconnect.nicmar.ac.in/storage/profile/ProfilePhoto_P25709018_461857.jpg","Download")</f>
        <v>0</v>
      </c>
      <c r="BV2907" s="3"/>
      <c r="BW2907" s="3"/>
    </row>
    <row r="2908" spans="1:75">
      <c r="A2908" s="1" t="s">
        <v>46264</v>
      </c>
      <c r="B2908" s="1" t="s">
        <v>446</v>
      </c>
      <c r="C2908" s="1" t="s">
        <v>47119</v>
      </c>
      <c r="D2908" s="1" t="s">
        <v>47120</v>
      </c>
      <c r="E2908" s="1"/>
      <c r="F2908" s="1" t="s">
        <v>8253</v>
      </c>
      <c r="G2908" s="1" t="s">
        <v>47121</v>
      </c>
      <c r="H2908" s="1" t="s">
        <v>47122</v>
      </c>
      <c r="I2908" s="1" t="s">
        <v>47123</v>
      </c>
      <c r="J2908" s="1">
        <v>7348949341</v>
      </c>
      <c r="K2908" s="1" t="s">
        <v>84</v>
      </c>
      <c r="L2908" s="1" t="s">
        <v>6210</v>
      </c>
      <c r="M2908" s="1" t="s">
        <v>86</v>
      </c>
      <c r="N2908" s="1" t="s">
        <v>4412</v>
      </c>
      <c r="O2908" s="1"/>
      <c r="P2908" s="1" t="s">
        <v>670</v>
      </c>
      <c r="Q2908" s="1" t="s">
        <v>47124</v>
      </c>
      <c r="R2908" s="1" t="s">
        <v>47125</v>
      </c>
      <c r="S2908" s="1">
        <v>7348949338</v>
      </c>
      <c r="T2908" s="1" t="s">
        <v>839</v>
      </c>
      <c r="U2908" s="1" t="s">
        <v>47126</v>
      </c>
      <c r="V2908" s="1">
        <v>7348949332</v>
      </c>
      <c r="W2908" s="1" t="s">
        <v>94</v>
      </c>
      <c r="X2908" s="1" t="s">
        <v>47127</v>
      </c>
      <c r="Y2908" s="1" t="s">
        <v>8263</v>
      </c>
      <c r="Z2908" s="1" t="s">
        <v>1210</v>
      </c>
      <c r="AA2908" s="1" t="s">
        <v>47127</v>
      </c>
      <c r="AB2908" s="1" t="s">
        <v>8263</v>
      </c>
      <c r="AC2908" s="1" t="s">
        <v>1210</v>
      </c>
      <c r="AD2908" s="1">
        <v>7.58</v>
      </c>
      <c r="AE2908" s="1" t="s">
        <v>98</v>
      </c>
      <c r="AF2908" s="1" t="s">
        <v>47128</v>
      </c>
      <c r="AG2908" s="1" t="s">
        <v>312</v>
      </c>
      <c r="AH2908" s="1" t="s">
        <v>490</v>
      </c>
      <c r="AI2908" s="1" t="s">
        <v>313</v>
      </c>
      <c r="AJ2908" s="1">
        <v>61.6</v>
      </c>
      <c r="AK2908" s="1"/>
      <c r="AL2908" s="1" t="s">
        <v>47129</v>
      </c>
      <c r="AM2908" s="1" t="s">
        <v>47130</v>
      </c>
      <c r="AN2908" s="1"/>
      <c r="AO2908" s="1" t="s">
        <v>313</v>
      </c>
      <c r="AP2908" s="1" t="s">
        <v>549</v>
      </c>
      <c r="AQ2908" s="1">
        <v>68.5</v>
      </c>
      <c r="AR2908" s="1"/>
      <c r="AS2908" s="1"/>
      <c r="AT2908" s="1"/>
      <c r="AU2908" s="1"/>
      <c r="AV2908" s="1"/>
      <c r="AW2908" s="1"/>
      <c r="AX2908" s="1"/>
      <c r="AY2908" s="1" t="s">
        <v>6995</v>
      </c>
      <c r="AZ2908" s="1" t="s">
        <v>47131</v>
      </c>
      <c r="BA2908" s="1"/>
      <c r="BB2908" s="1"/>
      <c r="BC2908" s="1" t="s">
        <v>606</v>
      </c>
      <c r="BD2908" s="1" t="s">
        <v>848</v>
      </c>
      <c r="BE2908" s="1">
        <v>72</v>
      </c>
      <c r="BF2908" s="1"/>
      <c r="BG2908" s="1"/>
      <c r="BH2908" s="1"/>
      <c r="BI2908" s="1"/>
      <c r="BJ2908" s="1"/>
      <c r="BK2908" s="1"/>
      <c r="BL2908" s="1"/>
      <c r="BM2908" s="1"/>
      <c r="BN2908" s="1"/>
      <c r="BO2908" s="1" t="s">
        <v>260</v>
      </c>
      <c r="BP2908" s="1"/>
      <c r="BQ2908" s="1"/>
      <c r="BR2908" s="1"/>
      <c r="BS2908" s="1"/>
      <c r="BT2908" s="1"/>
      <c r="BU2908" s="1" t="str">
        <f>HYPERLINK("https://nconnect.nicmar.ac.in/storage/profile/ProfilePhoto_P25709019_986713.jpg","Download")</f>
        <v>0</v>
      </c>
      <c r="BV2908" s="3"/>
      <c r="BW2908" s="3"/>
    </row>
    <row r="2909" spans="1:75">
      <c r="A2909" s="1" t="s">
        <v>46264</v>
      </c>
      <c r="B2909" s="1" t="s">
        <v>446</v>
      </c>
      <c r="C2909" s="1" t="s">
        <v>47132</v>
      </c>
      <c r="D2909" s="1" t="s">
        <v>47133</v>
      </c>
      <c r="E2909" s="1" t="s">
        <v>397</v>
      </c>
      <c r="F2909" s="1" t="s">
        <v>3667</v>
      </c>
      <c r="G2909" s="1" t="s">
        <v>47134</v>
      </c>
      <c r="H2909" s="1" t="s">
        <v>47135</v>
      </c>
      <c r="I2909" s="1" t="s">
        <v>47136</v>
      </c>
      <c r="J2909" s="1">
        <v>9168482879</v>
      </c>
      <c r="K2909" s="1" t="s">
        <v>84</v>
      </c>
      <c r="L2909" s="1" t="s">
        <v>13703</v>
      </c>
      <c r="M2909" s="1" t="s">
        <v>86</v>
      </c>
      <c r="N2909" s="1" t="s">
        <v>38816</v>
      </c>
      <c r="O2909" s="1"/>
      <c r="P2909" s="1" t="s">
        <v>1028</v>
      </c>
      <c r="Q2909" s="1" t="s">
        <v>47137</v>
      </c>
      <c r="R2909" s="1" t="s">
        <v>3673</v>
      </c>
      <c r="S2909" s="1">
        <v>9823845738</v>
      </c>
      <c r="T2909" s="1" t="s">
        <v>4486</v>
      </c>
      <c r="U2909" s="1" t="s">
        <v>47138</v>
      </c>
      <c r="V2909" s="1">
        <v>7875000838</v>
      </c>
      <c r="W2909" s="1" t="s">
        <v>278</v>
      </c>
      <c r="X2909" s="1" t="s">
        <v>47139</v>
      </c>
      <c r="Y2909" s="1" t="s">
        <v>4302</v>
      </c>
      <c r="Z2909" s="1" t="s">
        <v>97</v>
      </c>
      <c r="AA2909" s="1" t="s">
        <v>47139</v>
      </c>
      <c r="AB2909" s="1" t="s">
        <v>4302</v>
      </c>
      <c r="AC2909" s="1" t="s">
        <v>97</v>
      </c>
      <c r="AD2909" s="1">
        <v>7.97</v>
      </c>
      <c r="AE2909" s="1" t="s">
        <v>98</v>
      </c>
      <c r="AF2909" s="1" t="s">
        <v>47140</v>
      </c>
      <c r="AG2909" s="1" t="s">
        <v>165</v>
      </c>
      <c r="AH2909" s="1" t="s">
        <v>200</v>
      </c>
      <c r="AI2909" s="1" t="s">
        <v>286</v>
      </c>
      <c r="AJ2909" s="1">
        <v>66.8</v>
      </c>
      <c r="AK2909" s="1"/>
      <c r="AL2909" s="1"/>
      <c r="AM2909" s="1"/>
      <c r="AN2909" s="1"/>
      <c r="AO2909" s="1"/>
      <c r="AP2909" s="1"/>
      <c r="AQ2909" s="1"/>
      <c r="AR2909" s="1"/>
      <c r="AS2909" s="1" t="s">
        <v>103</v>
      </c>
      <c r="AT2909" s="1" t="s">
        <v>13415</v>
      </c>
      <c r="AU2909" s="1" t="s">
        <v>1065</v>
      </c>
      <c r="AV2909" s="1" t="s">
        <v>441</v>
      </c>
      <c r="AW2909" s="1">
        <v>88.26</v>
      </c>
      <c r="AX2909" s="1"/>
      <c r="AY2909" s="1" t="s">
        <v>366</v>
      </c>
      <c r="AZ2909" s="1" t="s">
        <v>47141</v>
      </c>
      <c r="BA2909" s="1"/>
      <c r="BB2909" s="1"/>
      <c r="BC2909" s="1" t="s">
        <v>441</v>
      </c>
      <c r="BD2909" s="1" t="s">
        <v>607</v>
      </c>
      <c r="BE2909" s="1">
        <v>64.3</v>
      </c>
      <c r="BF2909" s="1">
        <v>7.18</v>
      </c>
      <c r="BG2909" s="1"/>
      <c r="BH2909" s="1"/>
      <c r="BI2909" s="1"/>
      <c r="BJ2909" s="1"/>
      <c r="BK2909" s="1"/>
      <c r="BL2909" s="1"/>
      <c r="BM2909" s="1"/>
      <c r="BN2909" s="1"/>
      <c r="BO2909" s="1" t="s">
        <v>260</v>
      </c>
      <c r="BP2909" s="1"/>
      <c r="BQ2909" s="1"/>
      <c r="BR2909" s="1"/>
      <c r="BS2909" s="1"/>
      <c r="BT2909" s="1"/>
      <c r="BU2909" s="1" t="str">
        <f>HYPERLINK("https://nconnect.nicmar.ac.in/storage/profile/ProfilePhoto_P25709020_183659.jpg","Download")</f>
        <v>0</v>
      </c>
      <c r="BV2909" s="3"/>
      <c r="BW2909" s="3"/>
    </row>
    <row r="2910" spans="1:75">
      <c r="A2910" s="1" t="s">
        <v>46264</v>
      </c>
      <c r="B2910" s="1" t="s">
        <v>446</v>
      </c>
      <c r="C2910" s="1" t="s">
        <v>47142</v>
      </c>
      <c r="D2910" s="1" t="s">
        <v>47143</v>
      </c>
      <c r="E2910" s="1" t="s">
        <v>28115</v>
      </c>
      <c r="F2910" s="1" t="s">
        <v>241</v>
      </c>
      <c r="G2910" s="1" t="s">
        <v>47144</v>
      </c>
      <c r="H2910" s="1" t="s">
        <v>47145</v>
      </c>
      <c r="I2910" s="1" t="s">
        <v>47146</v>
      </c>
      <c r="J2910" s="1">
        <v>8007575404</v>
      </c>
      <c r="K2910" s="1" t="s">
        <v>84</v>
      </c>
      <c r="L2910" s="1" t="s">
        <v>816</v>
      </c>
      <c r="M2910" s="1" t="s">
        <v>86</v>
      </c>
      <c r="N2910" s="1" t="s">
        <v>5472</v>
      </c>
      <c r="O2910" s="1"/>
      <c r="P2910" s="1" t="s">
        <v>455</v>
      </c>
      <c r="Q2910" s="1" t="s">
        <v>47147</v>
      </c>
      <c r="R2910" s="1" t="s">
        <v>47148</v>
      </c>
      <c r="S2910" s="1">
        <v>9850375404</v>
      </c>
      <c r="T2910" s="1" t="s">
        <v>47149</v>
      </c>
      <c r="U2910" s="1" t="s">
        <v>47150</v>
      </c>
      <c r="V2910" s="1">
        <v>8007575404</v>
      </c>
      <c r="W2910" s="1" t="s">
        <v>278</v>
      </c>
      <c r="X2910" s="1" t="s">
        <v>47151</v>
      </c>
      <c r="Y2910" s="1" t="s">
        <v>5659</v>
      </c>
      <c r="Z2910" s="1" t="s">
        <v>97</v>
      </c>
      <c r="AA2910" s="1" t="s">
        <v>47151</v>
      </c>
      <c r="AB2910" s="1" t="s">
        <v>5659</v>
      </c>
      <c r="AC2910" s="1" t="s">
        <v>97</v>
      </c>
      <c r="AD2910" s="1">
        <v>8.39</v>
      </c>
      <c r="AE2910" s="1" t="s">
        <v>98</v>
      </c>
      <c r="AF2910" s="1" t="s">
        <v>47152</v>
      </c>
      <c r="AG2910" s="1" t="s">
        <v>47153</v>
      </c>
      <c r="AH2910" s="1" t="s">
        <v>10573</v>
      </c>
      <c r="AI2910" s="1" t="s">
        <v>313</v>
      </c>
      <c r="AJ2910" s="1">
        <v>81.5</v>
      </c>
      <c r="AK2910" s="1"/>
      <c r="AL2910" s="1" t="s">
        <v>47154</v>
      </c>
      <c r="AM2910" s="1" t="s">
        <v>47155</v>
      </c>
      <c r="AN2910" s="1"/>
      <c r="AO2910" s="1" t="s">
        <v>438</v>
      </c>
      <c r="AP2910" s="1" t="s">
        <v>441</v>
      </c>
      <c r="AQ2910" s="1">
        <v>79.83</v>
      </c>
      <c r="AR2910" s="1"/>
      <c r="AS2910" s="1"/>
      <c r="AT2910" s="1"/>
      <c r="AU2910" s="1"/>
      <c r="AV2910" s="1"/>
      <c r="AW2910" s="1"/>
      <c r="AX2910" s="1"/>
      <c r="AY2910" s="1" t="s">
        <v>3174</v>
      </c>
      <c r="AZ2910" s="1" t="s">
        <v>47156</v>
      </c>
      <c r="BA2910" s="1"/>
      <c r="BB2910" s="1"/>
      <c r="BC2910" s="1" t="s">
        <v>871</v>
      </c>
      <c r="BD2910" s="1" t="s">
        <v>5340</v>
      </c>
      <c r="BE2910" s="1">
        <v>0</v>
      </c>
      <c r="BF2910" s="1">
        <v>7.44</v>
      </c>
      <c r="BG2910" s="1"/>
      <c r="BH2910" s="1"/>
      <c r="BI2910" s="1"/>
      <c r="BJ2910" s="1"/>
      <c r="BK2910" s="1"/>
      <c r="BL2910" s="1"/>
      <c r="BM2910" s="1"/>
      <c r="BN2910" s="1"/>
      <c r="BO2910" s="1" t="s">
        <v>849</v>
      </c>
      <c r="BP2910" s="1"/>
      <c r="BQ2910" s="1"/>
      <c r="BR2910" s="1" t="s">
        <v>47157</v>
      </c>
      <c r="BS2910" s="1">
        <v>21</v>
      </c>
      <c r="BT2910" s="1"/>
      <c r="BU2910" s="1" t="str">
        <f>HYPERLINK("https://nconnect.nicmar.ac.in/storage/profile/ProfilePhoto_P25709021_821367.jpg","Download")</f>
        <v>0</v>
      </c>
      <c r="BV2910" s="3"/>
      <c r="BW2910" s="3"/>
    </row>
    <row r="2911" spans="1:75">
      <c r="A2911" s="1" t="s">
        <v>46264</v>
      </c>
      <c r="B2911" s="1" t="s">
        <v>446</v>
      </c>
      <c r="C2911" s="1" t="s">
        <v>47158</v>
      </c>
      <c r="D2911" s="1" t="s">
        <v>8360</v>
      </c>
      <c r="E2911" s="1" t="s">
        <v>6912</v>
      </c>
      <c r="F2911" s="1" t="s">
        <v>2099</v>
      </c>
      <c r="G2911" s="1" t="s">
        <v>47159</v>
      </c>
      <c r="H2911" s="1" t="s">
        <v>47160</v>
      </c>
      <c r="I2911" s="1" t="s">
        <v>47161</v>
      </c>
      <c r="J2911" s="1">
        <v>7385769100</v>
      </c>
      <c r="K2911" s="1" t="s">
        <v>84</v>
      </c>
      <c r="L2911" s="1" t="s">
        <v>6389</v>
      </c>
      <c r="M2911" s="1" t="s">
        <v>86</v>
      </c>
      <c r="N2911" s="1" t="s">
        <v>618</v>
      </c>
      <c r="O2911" s="1"/>
      <c r="P2911" s="1" t="s">
        <v>455</v>
      </c>
      <c r="Q2911" s="1" t="s">
        <v>47162</v>
      </c>
      <c r="R2911" s="1" t="s">
        <v>6912</v>
      </c>
      <c r="S2911" s="1">
        <v>9421104486</v>
      </c>
      <c r="T2911" s="1" t="s">
        <v>6733</v>
      </c>
      <c r="U2911" s="1" t="s">
        <v>7892</v>
      </c>
      <c r="V2911" s="1">
        <v>9421104486</v>
      </c>
      <c r="W2911" s="1" t="s">
        <v>161</v>
      </c>
      <c r="X2911" s="1" t="s">
        <v>47163</v>
      </c>
      <c r="Y2911" s="1" t="s">
        <v>1989</v>
      </c>
      <c r="Z2911" s="1" t="s">
        <v>97</v>
      </c>
      <c r="AA2911" s="1" t="s">
        <v>47163</v>
      </c>
      <c r="AB2911" s="1" t="s">
        <v>1989</v>
      </c>
      <c r="AC2911" s="1" t="s">
        <v>97</v>
      </c>
      <c r="AD2911" s="1">
        <v>8.16</v>
      </c>
      <c r="AE2911" s="1" t="s">
        <v>98</v>
      </c>
      <c r="AF2911" s="1" t="s">
        <v>47164</v>
      </c>
      <c r="AG2911" s="1" t="s">
        <v>165</v>
      </c>
      <c r="AH2911" s="1" t="s">
        <v>106</v>
      </c>
      <c r="AI2911" s="1" t="s">
        <v>414</v>
      </c>
      <c r="AJ2911" s="1">
        <v>77.8</v>
      </c>
      <c r="AK2911" s="1">
        <v>0</v>
      </c>
      <c r="AL2911" s="1" t="s">
        <v>47165</v>
      </c>
      <c r="AM2911" s="1" t="s">
        <v>165</v>
      </c>
      <c r="AN2911" s="1"/>
      <c r="AO2911" s="1" t="s">
        <v>468</v>
      </c>
      <c r="AP2911" s="1" t="s">
        <v>845</v>
      </c>
      <c r="AQ2911" s="1">
        <v>80</v>
      </c>
      <c r="AR2911" s="1">
        <v>0</v>
      </c>
      <c r="AS2911" s="1"/>
      <c r="AT2911" s="1"/>
      <c r="AU2911" s="1"/>
      <c r="AV2911" s="1"/>
      <c r="AW2911" s="1"/>
      <c r="AX2911" s="1"/>
      <c r="AY2911" s="1" t="s">
        <v>1038</v>
      </c>
      <c r="AZ2911" s="1" t="s">
        <v>1992</v>
      </c>
      <c r="BA2911" s="1"/>
      <c r="BB2911" s="1"/>
      <c r="BC2911" s="1" t="s">
        <v>847</v>
      </c>
      <c r="BD2911" s="1" t="s">
        <v>848</v>
      </c>
      <c r="BE2911" s="1">
        <v>69.2</v>
      </c>
      <c r="BF2911" s="1">
        <v>7.42</v>
      </c>
      <c r="BG2911" s="1"/>
      <c r="BH2911" s="1"/>
      <c r="BI2911" s="1"/>
      <c r="BJ2911" s="1"/>
      <c r="BK2911" s="1"/>
      <c r="BL2911" s="1"/>
      <c r="BM2911" s="1"/>
      <c r="BN2911" s="1"/>
      <c r="BO2911" s="1" t="s">
        <v>1114</v>
      </c>
      <c r="BP2911" s="1"/>
      <c r="BQ2911" s="1"/>
      <c r="BR2911" s="1" t="s">
        <v>47166</v>
      </c>
      <c r="BS2911" s="1">
        <v>21</v>
      </c>
      <c r="BT2911" s="1"/>
      <c r="BU2911" s="1" t="str">
        <f>HYPERLINK("https://nconnect.nicmar.ac.in/storage/profile/ProfilePhoto_P25709022_892367.jpg","Download")</f>
        <v>0</v>
      </c>
      <c r="BV2911" s="3"/>
      <c r="BW2911" s="3"/>
    </row>
    <row r="2912" spans="1:75">
      <c r="A2912" s="1" t="s">
        <v>46264</v>
      </c>
      <c r="B2912" s="1" t="s">
        <v>446</v>
      </c>
      <c r="C2912" s="1" t="s">
        <v>47167</v>
      </c>
      <c r="D2912" s="1" t="s">
        <v>37308</v>
      </c>
      <c r="E2912" s="1"/>
      <c r="F2912" s="1" t="s">
        <v>47168</v>
      </c>
      <c r="G2912" s="1" t="s">
        <v>47169</v>
      </c>
      <c r="H2912" s="1" t="s">
        <v>47170</v>
      </c>
      <c r="I2912" s="1" t="s">
        <v>47171</v>
      </c>
      <c r="J2912" s="1">
        <v>8126764214</v>
      </c>
      <c r="K2912" s="1" t="s">
        <v>84</v>
      </c>
      <c r="L2912" s="1" t="s">
        <v>47172</v>
      </c>
      <c r="M2912" s="1" t="s">
        <v>86</v>
      </c>
      <c r="N2912" s="1" t="s">
        <v>4278</v>
      </c>
      <c r="O2912" s="1"/>
      <c r="P2912" s="1" t="s">
        <v>481</v>
      </c>
      <c r="Q2912" s="1" t="s">
        <v>47173</v>
      </c>
      <c r="R2912" s="1" t="s">
        <v>47174</v>
      </c>
      <c r="S2912" s="1">
        <v>8937078363</v>
      </c>
      <c r="T2912" s="1" t="s">
        <v>159</v>
      </c>
      <c r="U2912" s="1" t="s">
        <v>47175</v>
      </c>
      <c r="V2912" s="1">
        <v>9917170107</v>
      </c>
      <c r="W2912" s="1" t="s">
        <v>278</v>
      </c>
      <c r="X2912" s="1" t="s">
        <v>47176</v>
      </c>
      <c r="Y2912" s="1" t="s">
        <v>28737</v>
      </c>
      <c r="Z2912" s="1" t="s">
        <v>544</v>
      </c>
      <c r="AA2912" s="1" t="s">
        <v>47176</v>
      </c>
      <c r="AB2912" s="1" t="s">
        <v>28737</v>
      </c>
      <c r="AC2912" s="1" t="s">
        <v>544</v>
      </c>
      <c r="AD2912" s="1">
        <v>9.26</v>
      </c>
      <c r="AE2912" s="1" t="s">
        <v>98</v>
      </c>
      <c r="AF2912" s="1" t="s">
        <v>47177</v>
      </c>
      <c r="AG2912" s="1" t="s">
        <v>47178</v>
      </c>
      <c r="AH2912" s="1" t="s">
        <v>284</v>
      </c>
      <c r="AI2912" s="1" t="s">
        <v>170</v>
      </c>
      <c r="AJ2912" s="1">
        <v>95</v>
      </c>
      <c r="AK2912" s="1">
        <v>10</v>
      </c>
      <c r="AL2912" s="1" t="s">
        <v>47177</v>
      </c>
      <c r="AM2912" s="1" t="s">
        <v>47178</v>
      </c>
      <c r="AN2912" s="1"/>
      <c r="AO2912" s="1" t="s">
        <v>490</v>
      </c>
      <c r="AP2912" s="1" t="s">
        <v>313</v>
      </c>
      <c r="AQ2912" s="1">
        <v>89</v>
      </c>
      <c r="AR2912" s="1"/>
      <c r="AS2912" s="1"/>
      <c r="AT2912" s="1"/>
      <c r="AU2912" s="1"/>
      <c r="AV2912" s="1"/>
      <c r="AW2912" s="1"/>
      <c r="AX2912" s="1"/>
      <c r="AY2912" s="1" t="s">
        <v>47179</v>
      </c>
      <c r="AZ2912" s="1" t="s">
        <v>47180</v>
      </c>
      <c r="BA2912" s="1"/>
      <c r="BB2912" s="1"/>
      <c r="BC2912" s="1" t="s">
        <v>178</v>
      </c>
      <c r="BD2912" s="1" t="s">
        <v>207</v>
      </c>
      <c r="BE2912" s="1">
        <v>83.45</v>
      </c>
      <c r="BF2912" s="1">
        <v>8.34</v>
      </c>
      <c r="BG2912" s="1"/>
      <c r="BH2912" s="1"/>
      <c r="BI2912" s="1"/>
      <c r="BJ2912" s="1"/>
      <c r="BK2912" s="1"/>
      <c r="BL2912" s="1"/>
      <c r="BM2912" s="1"/>
      <c r="BN2912" s="1"/>
      <c r="BO2912" s="1" t="s">
        <v>260</v>
      </c>
      <c r="BP2912" s="1" t="s">
        <v>47181</v>
      </c>
      <c r="BQ2912" s="1" t="s">
        <v>1070</v>
      </c>
      <c r="BR2912" s="1" t="s">
        <v>47182</v>
      </c>
      <c r="BS2912" s="1">
        <v>21</v>
      </c>
      <c r="BT2912" s="1"/>
      <c r="BU2912" s="1" t="str">
        <f>HYPERLINK("https://nconnect.nicmar.ac.in/storage/profile/ProfilePhoto_P25709023_316758.jpg","Download")</f>
        <v>0</v>
      </c>
      <c r="BV2912" s="3"/>
      <c r="BW2912" s="3"/>
    </row>
    <row r="2913" spans="1:75">
      <c r="A2913" s="1" t="s">
        <v>46264</v>
      </c>
      <c r="B2913" s="1" t="s">
        <v>446</v>
      </c>
      <c r="C2913" s="1" t="s">
        <v>47183</v>
      </c>
      <c r="D2913" s="1" t="s">
        <v>587</v>
      </c>
      <c r="E2913" s="1"/>
      <c r="F2913" s="1" t="s">
        <v>35296</v>
      </c>
      <c r="G2913" s="1" t="s">
        <v>47184</v>
      </c>
      <c r="H2913" s="1" t="s">
        <v>47185</v>
      </c>
      <c r="I2913" s="1" t="s">
        <v>47186</v>
      </c>
      <c r="J2913" s="1">
        <v>8220058149</v>
      </c>
      <c r="K2913" s="1" t="s">
        <v>84</v>
      </c>
      <c r="L2913" s="1" t="s">
        <v>923</v>
      </c>
      <c r="M2913" s="1" t="s">
        <v>86</v>
      </c>
      <c r="N2913" s="1" t="s">
        <v>47187</v>
      </c>
      <c r="O2913" s="1"/>
      <c r="P2913" s="1" t="s">
        <v>507</v>
      </c>
      <c r="Q2913" s="1" t="s">
        <v>47188</v>
      </c>
      <c r="R2913" s="1" t="s">
        <v>47189</v>
      </c>
      <c r="S2913" s="1">
        <v>8220058148</v>
      </c>
      <c r="T2913" s="1" t="s">
        <v>47190</v>
      </c>
      <c r="U2913" s="1" t="s">
        <v>47191</v>
      </c>
      <c r="V2913" s="1">
        <v>9944623571</v>
      </c>
      <c r="W2913" s="1" t="s">
        <v>47192</v>
      </c>
      <c r="X2913" s="1" t="s">
        <v>47193</v>
      </c>
      <c r="Y2913" s="1" t="s">
        <v>47194</v>
      </c>
      <c r="Z2913" s="1" t="s">
        <v>570</v>
      </c>
      <c r="AA2913" s="1" t="s">
        <v>47193</v>
      </c>
      <c r="AB2913" s="1" t="s">
        <v>47194</v>
      </c>
      <c r="AC2913" s="1" t="s">
        <v>570</v>
      </c>
      <c r="AD2913" s="1">
        <v>9.55</v>
      </c>
      <c r="AE2913" s="1" t="s">
        <v>98</v>
      </c>
      <c r="AF2913" s="1" t="s">
        <v>38663</v>
      </c>
      <c r="AG2913" s="1" t="s">
        <v>47195</v>
      </c>
      <c r="AH2913" s="1" t="s">
        <v>704</v>
      </c>
      <c r="AI2913" s="1" t="s">
        <v>171</v>
      </c>
      <c r="AJ2913" s="1">
        <v>79</v>
      </c>
      <c r="AK2913" s="1">
        <v>0</v>
      </c>
      <c r="AL2913" s="1" t="s">
        <v>47196</v>
      </c>
      <c r="AM2913" s="1" t="s">
        <v>47195</v>
      </c>
      <c r="AN2913" s="1"/>
      <c r="AO2913" s="1" t="s">
        <v>547</v>
      </c>
      <c r="AP2913" s="1" t="s">
        <v>178</v>
      </c>
      <c r="AQ2913" s="1">
        <v>86.4</v>
      </c>
      <c r="AR2913" s="1">
        <v>0</v>
      </c>
      <c r="AS2913" s="1"/>
      <c r="AT2913" s="1"/>
      <c r="AU2913" s="1"/>
      <c r="AV2913" s="1"/>
      <c r="AW2913" s="1"/>
      <c r="AX2913" s="1"/>
      <c r="AY2913" s="1" t="s">
        <v>576</v>
      </c>
      <c r="AZ2913" s="1" t="s">
        <v>47197</v>
      </c>
      <c r="BA2913" s="1"/>
      <c r="BB2913" s="1"/>
      <c r="BC2913" s="1" t="s">
        <v>365</v>
      </c>
      <c r="BD2913" s="1" t="s">
        <v>2383</v>
      </c>
      <c r="BE2913" s="1">
        <v>80.4</v>
      </c>
      <c r="BF2913" s="1">
        <v>8.04</v>
      </c>
      <c r="BG2913" s="1"/>
      <c r="BH2913" s="1"/>
      <c r="BI2913" s="1"/>
      <c r="BJ2913" s="1"/>
      <c r="BK2913" s="1"/>
      <c r="BL2913" s="1"/>
      <c r="BM2913" s="1"/>
      <c r="BN2913" s="1"/>
      <c r="BO2913" s="1" t="s">
        <v>47198</v>
      </c>
      <c r="BP2913" s="1"/>
      <c r="BQ2913" s="1"/>
      <c r="BR2913" s="1" t="s">
        <v>47199</v>
      </c>
      <c r="BS2913" s="1">
        <v>4</v>
      </c>
      <c r="BT2913" s="1"/>
      <c r="BU2913" s="1" t="str">
        <f>HYPERLINK("https://nconnect.nicmar.ac.in/storage/profile/ProfilePhoto_P25709024_938615.jpg","Download")</f>
        <v>0</v>
      </c>
      <c r="BV2913" s="3"/>
      <c r="BW2913" s="3"/>
    </row>
    <row r="2914" spans="1:75">
      <c r="A2914" s="1" t="s">
        <v>46264</v>
      </c>
      <c r="B2914" s="1" t="s">
        <v>446</v>
      </c>
      <c r="C2914" s="1" t="s">
        <v>47200</v>
      </c>
      <c r="D2914" s="1" t="s">
        <v>47201</v>
      </c>
      <c r="E2914" s="1"/>
      <c r="F2914" s="1" t="s">
        <v>47202</v>
      </c>
      <c r="G2914" s="1" t="s">
        <v>47203</v>
      </c>
      <c r="H2914" s="1" t="s">
        <v>47204</v>
      </c>
      <c r="I2914" s="1" t="s">
        <v>47205</v>
      </c>
      <c r="J2914" s="1">
        <v>7799367768</v>
      </c>
      <c r="K2914" s="1" t="s">
        <v>84</v>
      </c>
      <c r="L2914" s="1" t="s">
        <v>10800</v>
      </c>
      <c r="M2914" s="1" t="s">
        <v>86</v>
      </c>
      <c r="N2914" s="1" t="s">
        <v>47206</v>
      </c>
      <c r="O2914" s="1"/>
      <c r="P2914" s="1" t="s">
        <v>507</v>
      </c>
      <c r="Q2914" s="1" t="s">
        <v>47207</v>
      </c>
      <c r="R2914" s="1" t="s">
        <v>47208</v>
      </c>
      <c r="S2914" s="1">
        <v>9912420537</v>
      </c>
      <c r="T2914" s="1" t="s">
        <v>47209</v>
      </c>
      <c r="U2914" s="1" t="s">
        <v>47210</v>
      </c>
      <c r="V2914" s="1">
        <v>8142445257</v>
      </c>
      <c r="W2914" s="1" t="s">
        <v>278</v>
      </c>
      <c r="X2914" s="1" t="s">
        <v>47211</v>
      </c>
      <c r="Y2914" s="1" t="s">
        <v>10461</v>
      </c>
      <c r="Z2914" s="1" t="s">
        <v>281</v>
      </c>
      <c r="AA2914" s="1" t="s">
        <v>47211</v>
      </c>
      <c r="AB2914" s="1" t="s">
        <v>10461</v>
      </c>
      <c r="AC2914" s="1" t="s">
        <v>281</v>
      </c>
      <c r="AD2914" s="1">
        <v>9.82</v>
      </c>
      <c r="AE2914" s="1" t="s">
        <v>98</v>
      </c>
      <c r="AF2914" s="1" t="s">
        <v>47212</v>
      </c>
      <c r="AG2914" s="1" t="s">
        <v>1418</v>
      </c>
      <c r="AH2914" s="1" t="s">
        <v>170</v>
      </c>
      <c r="AI2914" s="1" t="s">
        <v>286</v>
      </c>
      <c r="AJ2914" s="1">
        <v>100</v>
      </c>
      <c r="AK2914" s="1">
        <v>10</v>
      </c>
      <c r="AL2914" s="1"/>
      <c r="AM2914" s="1"/>
      <c r="AN2914" s="1"/>
      <c r="AO2914" s="1"/>
      <c r="AP2914" s="1"/>
      <c r="AQ2914" s="1"/>
      <c r="AR2914" s="1"/>
      <c r="AS2914" s="1" t="s">
        <v>103</v>
      </c>
      <c r="AT2914" s="1" t="s">
        <v>47213</v>
      </c>
      <c r="AU2914" s="1" t="s">
        <v>174</v>
      </c>
      <c r="AV2914" s="1" t="s">
        <v>2304</v>
      </c>
      <c r="AW2914" s="1">
        <v>95.11</v>
      </c>
      <c r="AX2914" s="1">
        <v>0</v>
      </c>
      <c r="AY2914" s="1" t="s">
        <v>2654</v>
      </c>
      <c r="AZ2914" s="1" t="s">
        <v>47214</v>
      </c>
      <c r="BA2914" s="1" t="s">
        <v>466</v>
      </c>
      <c r="BB2914" s="1" t="s">
        <v>467</v>
      </c>
      <c r="BC2914" s="1" t="s">
        <v>140</v>
      </c>
      <c r="BD2914" s="1" t="s">
        <v>1089</v>
      </c>
      <c r="BE2914" s="1">
        <v>74.6</v>
      </c>
      <c r="BF2914" s="1">
        <v>8.21</v>
      </c>
      <c r="BG2914" s="1"/>
      <c r="BH2914" s="1"/>
      <c r="BI2914" s="1"/>
      <c r="BJ2914" s="1"/>
      <c r="BK2914" s="1"/>
      <c r="BL2914" s="1"/>
      <c r="BM2914" s="1"/>
      <c r="BN2914" s="1"/>
      <c r="BO2914" s="1" t="s">
        <v>47215</v>
      </c>
      <c r="BP2914" s="1"/>
      <c r="BQ2914" s="1"/>
      <c r="BR2914" s="1" t="s">
        <v>47216</v>
      </c>
      <c r="BS2914" s="1">
        <v>17</v>
      </c>
      <c r="BT2914" s="1" t="s">
        <v>47217</v>
      </c>
      <c r="BU2914" s="1" t="str">
        <f>HYPERLINK("https://nconnect.nicmar.ac.in/storage/profile/ProfilePhoto_P25709025_158472.jpg","Download")</f>
        <v>0</v>
      </c>
      <c r="BV2914" s="3"/>
      <c r="BW2914" s="3"/>
    </row>
    <row r="2915" spans="1:75">
      <c r="A2915" s="1" t="s">
        <v>46264</v>
      </c>
      <c r="B2915" s="1" t="s">
        <v>446</v>
      </c>
      <c r="C2915" s="1" t="s">
        <v>47218</v>
      </c>
      <c r="D2915" s="1" t="s">
        <v>47219</v>
      </c>
      <c r="E2915" s="1" t="s">
        <v>3351</v>
      </c>
      <c r="F2915" s="1" t="s">
        <v>33653</v>
      </c>
      <c r="G2915" s="1" t="s">
        <v>47220</v>
      </c>
      <c r="H2915" s="1" t="s">
        <v>47221</v>
      </c>
      <c r="I2915" s="1" t="s">
        <v>47222</v>
      </c>
      <c r="J2915" s="1">
        <v>9372006658</v>
      </c>
      <c r="K2915" s="1" t="s">
        <v>84</v>
      </c>
      <c r="L2915" s="1" t="s">
        <v>23037</v>
      </c>
      <c r="M2915" s="1" t="s">
        <v>86</v>
      </c>
      <c r="N2915" s="1" t="s">
        <v>768</v>
      </c>
      <c r="O2915" s="1"/>
      <c r="P2915" s="1" t="s">
        <v>507</v>
      </c>
      <c r="Q2915" s="1" t="s">
        <v>47223</v>
      </c>
      <c r="R2915" s="1" t="s">
        <v>3351</v>
      </c>
      <c r="S2915" s="1">
        <v>9967356201</v>
      </c>
      <c r="T2915" s="1" t="s">
        <v>47224</v>
      </c>
      <c r="U2915" s="1" t="s">
        <v>47225</v>
      </c>
      <c r="V2915" s="1">
        <v>8369226508</v>
      </c>
      <c r="W2915" s="1" t="s">
        <v>161</v>
      </c>
      <c r="X2915" s="1" t="s">
        <v>47226</v>
      </c>
      <c r="Y2915" s="1" t="s">
        <v>2259</v>
      </c>
      <c r="Z2915" s="1" t="s">
        <v>97</v>
      </c>
      <c r="AA2915" s="1" t="s">
        <v>47227</v>
      </c>
      <c r="AB2915" s="1" t="s">
        <v>910</v>
      </c>
      <c r="AC2915" s="1" t="s">
        <v>97</v>
      </c>
      <c r="AD2915" s="1">
        <v>9.71</v>
      </c>
      <c r="AE2915" s="1" t="s">
        <v>98</v>
      </c>
      <c r="AF2915" s="1" t="s">
        <v>47228</v>
      </c>
      <c r="AG2915" s="1" t="s">
        <v>47229</v>
      </c>
      <c r="AH2915" s="1" t="s">
        <v>106</v>
      </c>
      <c r="AI2915" s="1" t="s">
        <v>414</v>
      </c>
      <c r="AJ2915" s="1">
        <v>69.4</v>
      </c>
      <c r="AK2915" s="1"/>
      <c r="AL2915" s="1" t="s">
        <v>47230</v>
      </c>
      <c r="AM2915" s="1" t="s">
        <v>47229</v>
      </c>
      <c r="AN2915" s="1"/>
      <c r="AO2915" s="1" t="s">
        <v>468</v>
      </c>
      <c r="AP2915" s="1" t="s">
        <v>1192</v>
      </c>
      <c r="AQ2915" s="1">
        <v>70.83</v>
      </c>
      <c r="AR2915" s="1"/>
      <c r="AS2915" s="1"/>
      <c r="AT2915" s="1"/>
      <c r="AU2915" s="1"/>
      <c r="AV2915" s="1"/>
      <c r="AW2915" s="1"/>
      <c r="AX2915" s="1"/>
      <c r="AY2915" s="1" t="s">
        <v>366</v>
      </c>
      <c r="AZ2915" s="1" t="s">
        <v>47231</v>
      </c>
      <c r="BA2915" s="1"/>
      <c r="BB2915" s="1"/>
      <c r="BC2915" s="1" t="s">
        <v>871</v>
      </c>
      <c r="BD2915" s="1" t="s">
        <v>553</v>
      </c>
      <c r="BE2915" s="1">
        <v>75.32</v>
      </c>
      <c r="BF2915" s="1">
        <v>8.36</v>
      </c>
      <c r="BG2915" s="1"/>
      <c r="BH2915" s="1"/>
      <c r="BI2915" s="1"/>
      <c r="BJ2915" s="1"/>
      <c r="BK2915" s="1"/>
      <c r="BL2915" s="1"/>
      <c r="BM2915" s="1"/>
      <c r="BN2915" s="1"/>
      <c r="BO2915" s="1" t="s">
        <v>47232</v>
      </c>
      <c r="BP2915" s="1"/>
      <c r="BQ2915" s="1"/>
      <c r="BR2915" s="1" t="s">
        <v>47233</v>
      </c>
      <c r="BS2915" s="1">
        <v>4</v>
      </c>
      <c r="BT2915" s="1" t="s">
        <v>47234</v>
      </c>
      <c r="BU2915" s="1" t="str">
        <f>HYPERLINK("https://nconnect.nicmar.ac.in/storage/profile/ProfilePhoto_P25709026_328947.jpg","Download")</f>
        <v>0</v>
      </c>
      <c r="BV2915" s="3"/>
      <c r="BW2915" s="3"/>
    </row>
    <row r="2916" spans="1:75">
      <c r="A2916" s="1" t="s">
        <v>46264</v>
      </c>
      <c r="B2916" s="1" t="s">
        <v>446</v>
      </c>
      <c r="C2916" s="1" t="s">
        <v>47235</v>
      </c>
      <c r="D2916" s="1" t="s">
        <v>13757</v>
      </c>
      <c r="E2916" s="1" t="s">
        <v>47236</v>
      </c>
      <c r="F2916" s="1" t="s">
        <v>47237</v>
      </c>
      <c r="G2916" s="1" t="s">
        <v>47238</v>
      </c>
      <c r="H2916" s="1" t="s">
        <v>47239</v>
      </c>
      <c r="I2916" s="1" t="s">
        <v>47240</v>
      </c>
      <c r="J2916" s="1">
        <v>8291158180</v>
      </c>
      <c r="K2916" s="1" t="s">
        <v>84</v>
      </c>
      <c r="L2916" s="1" t="s">
        <v>47241</v>
      </c>
      <c r="M2916" s="1" t="s">
        <v>86</v>
      </c>
      <c r="N2916" s="1" t="s">
        <v>47242</v>
      </c>
      <c r="O2916" s="1"/>
      <c r="P2916" s="1" t="s">
        <v>455</v>
      </c>
      <c r="Q2916" s="1" t="s">
        <v>47243</v>
      </c>
      <c r="R2916" s="1" t="s">
        <v>47244</v>
      </c>
      <c r="S2916" s="1">
        <v>9819218285</v>
      </c>
      <c r="T2916" s="1" t="s">
        <v>645</v>
      </c>
      <c r="U2916" s="1" t="s">
        <v>47245</v>
      </c>
      <c r="V2916" s="1">
        <v>9833550129</v>
      </c>
      <c r="W2916" s="1" t="s">
        <v>161</v>
      </c>
      <c r="X2916" s="1" t="s">
        <v>47246</v>
      </c>
      <c r="Y2916" s="1" t="s">
        <v>1012</v>
      </c>
      <c r="Z2916" s="1" t="s">
        <v>97</v>
      </c>
      <c r="AA2916" s="1" t="s">
        <v>47246</v>
      </c>
      <c r="AB2916" s="1" t="s">
        <v>1012</v>
      </c>
      <c r="AC2916" s="1" t="s">
        <v>97</v>
      </c>
      <c r="AD2916" s="1">
        <v>8.71</v>
      </c>
      <c r="AE2916" s="1" t="s">
        <v>98</v>
      </c>
      <c r="AF2916" s="1" t="s">
        <v>47247</v>
      </c>
      <c r="AG2916" s="1" t="s">
        <v>165</v>
      </c>
      <c r="AH2916" s="1" t="s">
        <v>101</v>
      </c>
      <c r="AI2916" s="1" t="s">
        <v>438</v>
      </c>
      <c r="AJ2916" s="1">
        <v>63.2</v>
      </c>
      <c r="AK2916" s="1"/>
      <c r="AL2916" s="1" t="s">
        <v>47248</v>
      </c>
      <c r="AM2916" s="1" t="s">
        <v>165</v>
      </c>
      <c r="AN2916" s="1"/>
      <c r="AO2916" s="1" t="s">
        <v>315</v>
      </c>
      <c r="AP2916" s="1" t="s">
        <v>845</v>
      </c>
      <c r="AQ2916" s="1">
        <v>70.5</v>
      </c>
      <c r="AR2916" s="1"/>
      <c r="AS2916" s="1"/>
      <c r="AT2916" s="1"/>
      <c r="AU2916" s="1"/>
      <c r="AV2916" s="1"/>
      <c r="AW2916" s="1"/>
      <c r="AX2916" s="1"/>
      <c r="AY2916" s="1" t="s">
        <v>680</v>
      </c>
      <c r="AZ2916" s="1" t="s">
        <v>47249</v>
      </c>
      <c r="BA2916" s="1"/>
      <c r="BB2916" s="1"/>
      <c r="BC2916" s="1" t="s">
        <v>871</v>
      </c>
      <c r="BD2916" s="1" t="s">
        <v>1401</v>
      </c>
      <c r="BE2916" s="1">
        <v>62.94</v>
      </c>
      <c r="BF2916" s="1">
        <v>6.79</v>
      </c>
      <c r="BG2916" s="1"/>
      <c r="BH2916" s="1"/>
      <c r="BI2916" s="1"/>
      <c r="BJ2916" s="1"/>
      <c r="BK2916" s="1"/>
      <c r="BL2916" s="1"/>
      <c r="BM2916" s="1"/>
      <c r="BN2916" s="1"/>
      <c r="BO2916" s="1" t="s">
        <v>260</v>
      </c>
      <c r="BP2916" s="1"/>
      <c r="BQ2916" s="1"/>
      <c r="BR2916" s="1"/>
      <c r="BS2916" s="1"/>
      <c r="BT2916" s="1"/>
      <c r="BU2916" s="1" t="str">
        <f>HYPERLINK("https://nconnect.nicmar.ac.in/storage/profile/ProfilePhoto_P25709027_248591.jpg","Download")</f>
        <v>0</v>
      </c>
      <c r="BV2916" s="3"/>
      <c r="BW2916" s="3"/>
    </row>
    <row r="2917" spans="1:75">
      <c r="A2917" s="1" t="s">
        <v>46264</v>
      </c>
      <c r="B2917" s="1" t="s">
        <v>446</v>
      </c>
      <c r="C2917" s="1" t="s">
        <v>47250</v>
      </c>
      <c r="D2917" s="1" t="s">
        <v>47251</v>
      </c>
      <c r="E2917" s="1"/>
      <c r="F2917" s="1" t="s">
        <v>47252</v>
      </c>
      <c r="G2917" s="1" t="s">
        <v>47253</v>
      </c>
      <c r="H2917" s="1" t="s">
        <v>47254</v>
      </c>
      <c r="I2917" s="1" t="s">
        <v>47255</v>
      </c>
      <c r="J2917" s="1">
        <v>7349301686</v>
      </c>
      <c r="K2917" s="1" t="s">
        <v>84</v>
      </c>
      <c r="L2917" s="1" t="s">
        <v>20886</v>
      </c>
      <c r="M2917" s="1" t="s">
        <v>86</v>
      </c>
      <c r="N2917" s="1" t="s">
        <v>4412</v>
      </c>
      <c r="O2917" s="1" t="s">
        <v>47256</v>
      </c>
      <c r="P2917" s="1" t="s">
        <v>507</v>
      </c>
      <c r="Q2917" s="1" t="s">
        <v>47257</v>
      </c>
      <c r="R2917" s="1" t="s">
        <v>47258</v>
      </c>
      <c r="S2917" s="1">
        <v>9964048144</v>
      </c>
      <c r="T2917" s="1" t="s">
        <v>159</v>
      </c>
      <c r="U2917" s="1" t="s">
        <v>47259</v>
      </c>
      <c r="V2917" s="1">
        <v>9535542034</v>
      </c>
      <c r="W2917" s="1" t="s">
        <v>278</v>
      </c>
      <c r="X2917" s="1" t="s">
        <v>47260</v>
      </c>
      <c r="Y2917" s="1" t="s">
        <v>15488</v>
      </c>
      <c r="Z2917" s="1" t="s">
        <v>1210</v>
      </c>
      <c r="AA2917" s="1" t="s">
        <v>47260</v>
      </c>
      <c r="AB2917" s="1" t="s">
        <v>15488</v>
      </c>
      <c r="AC2917" s="1" t="s">
        <v>1210</v>
      </c>
      <c r="AD2917" s="1">
        <v>8.24</v>
      </c>
      <c r="AE2917" s="1" t="s">
        <v>98</v>
      </c>
      <c r="AF2917" s="1" t="s">
        <v>47261</v>
      </c>
      <c r="AG2917" s="1" t="s">
        <v>727</v>
      </c>
      <c r="AH2917" s="1" t="s">
        <v>101</v>
      </c>
      <c r="AI2917" s="1" t="s">
        <v>573</v>
      </c>
      <c r="AJ2917" s="1">
        <v>81.28</v>
      </c>
      <c r="AK2917" s="1"/>
      <c r="AL2917" s="1"/>
      <c r="AM2917" s="1"/>
      <c r="AN2917" s="1"/>
      <c r="AO2917" s="1"/>
      <c r="AP2917" s="1"/>
      <c r="AQ2917" s="1"/>
      <c r="AR2917" s="1"/>
      <c r="AS2917" s="1" t="s">
        <v>439</v>
      </c>
      <c r="AT2917" s="1" t="s">
        <v>47262</v>
      </c>
      <c r="AU2917" s="1" t="s">
        <v>388</v>
      </c>
      <c r="AV2917" s="1" t="s">
        <v>1647</v>
      </c>
      <c r="AW2917" s="1">
        <v>70.66</v>
      </c>
      <c r="AX2917" s="1"/>
      <c r="AY2917" s="1" t="s">
        <v>8132</v>
      </c>
      <c r="AZ2917" s="1" t="s">
        <v>47263</v>
      </c>
      <c r="BA2917" s="1"/>
      <c r="BB2917" s="1"/>
      <c r="BC2917" s="1" t="s">
        <v>233</v>
      </c>
      <c r="BD2917" s="1" t="s">
        <v>391</v>
      </c>
      <c r="BE2917" s="1">
        <v>75.27</v>
      </c>
      <c r="BF2917" s="1">
        <v>8.27</v>
      </c>
      <c r="BG2917" s="1"/>
      <c r="BH2917" s="1"/>
      <c r="BI2917" s="1"/>
      <c r="BJ2917" s="1"/>
      <c r="BK2917" s="1"/>
      <c r="BL2917" s="1"/>
      <c r="BM2917" s="1"/>
      <c r="BN2917" s="1"/>
      <c r="BO2917" s="1" t="s">
        <v>47264</v>
      </c>
      <c r="BP2917" s="1"/>
      <c r="BQ2917" s="1"/>
      <c r="BR2917" s="1" t="s">
        <v>47265</v>
      </c>
      <c r="BS2917" s="1">
        <v>12</v>
      </c>
      <c r="BT2917" s="1" t="s">
        <v>47266</v>
      </c>
      <c r="BU2917" s="1" t="str">
        <f>HYPERLINK("https://nconnect.nicmar.ac.in/storage/profile/ProfilePhoto_P25709028_672315.jpg","Download")</f>
        <v>0</v>
      </c>
      <c r="BV2917" s="3"/>
      <c r="BW2917" s="3"/>
    </row>
    <row r="2918" spans="1:75">
      <c r="A2918" s="1" t="s">
        <v>46264</v>
      </c>
      <c r="B2918" s="1" t="s">
        <v>446</v>
      </c>
      <c r="C2918" s="1" t="s">
        <v>47267</v>
      </c>
      <c r="D2918" s="1" t="s">
        <v>3545</v>
      </c>
      <c r="E2918" s="1" t="s">
        <v>47268</v>
      </c>
      <c r="F2918" s="1" t="s">
        <v>47269</v>
      </c>
      <c r="G2918" s="1" t="s">
        <v>47270</v>
      </c>
      <c r="H2918" s="1" t="s">
        <v>47271</v>
      </c>
      <c r="I2918" s="1" t="s">
        <v>47272</v>
      </c>
      <c r="J2918" s="1">
        <v>9731285494</v>
      </c>
      <c r="K2918" s="1" t="s">
        <v>84</v>
      </c>
      <c r="L2918" s="1" t="s">
        <v>10694</v>
      </c>
      <c r="M2918" s="1" t="s">
        <v>86</v>
      </c>
      <c r="N2918" s="1" t="s">
        <v>46433</v>
      </c>
      <c r="O2918" s="1" t="s">
        <v>47273</v>
      </c>
      <c r="P2918" s="1" t="s">
        <v>507</v>
      </c>
      <c r="Q2918" s="1" t="s">
        <v>47274</v>
      </c>
      <c r="R2918" s="1" t="s">
        <v>47275</v>
      </c>
      <c r="S2918" s="1">
        <v>9620192118</v>
      </c>
      <c r="T2918" s="1" t="s">
        <v>1495</v>
      </c>
      <c r="U2918" s="1" t="s">
        <v>47276</v>
      </c>
      <c r="V2918" s="1">
        <v>9901071244</v>
      </c>
      <c r="W2918" s="1" t="s">
        <v>278</v>
      </c>
      <c r="X2918" s="1" t="s">
        <v>47277</v>
      </c>
      <c r="Y2918" s="1" t="s">
        <v>6871</v>
      </c>
      <c r="Z2918" s="1" t="s">
        <v>1210</v>
      </c>
      <c r="AA2918" s="1" t="s">
        <v>47277</v>
      </c>
      <c r="AB2918" s="1" t="s">
        <v>6871</v>
      </c>
      <c r="AC2918" s="1" t="s">
        <v>1210</v>
      </c>
      <c r="AD2918" s="1">
        <v>7.63</v>
      </c>
      <c r="AE2918" s="1" t="s">
        <v>98</v>
      </c>
      <c r="AF2918" s="1" t="s">
        <v>47278</v>
      </c>
      <c r="AG2918" s="1" t="s">
        <v>47279</v>
      </c>
      <c r="AH2918" s="1" t="s">
        <v>106</v>
      </c>
      <c r="AI2918" s="1" t="s">
        <v>547</v>
      </c>
      <c r="AJ2918" s="1">
        <v>76</v>
      </c>
      <c r="AK2918" s="1"/>
      <c r="AL2918" s="1" t="s">
        <v>47280</v>
      </c>
      <c r="AM2918" s="1" t="s">
        <v>47281</v>
      </c>
      <c r="AN2918" s="1"/>
      <c r="AO2918" s="1" t="s">
        <v>438</v>
      </c>
      <c r="AP2918" s="1" t="s">
        <v>549</v>
      </c>
      <c r="AQ2918" s="1">
        <v>75.5</v>
      </c>
      <c r="AR2918" s="1"/>
      <c r="AS2918" s="1"/>
      <c r="AT2918" s="1"/>
      <c r="AU2918" s="1"/>
      <c r="AV2918" s="1"/>
      <c r="AW2918" s="1"/>
      <c r="AX2918" s="1"/>
      <c r="AY2918" s="1" t="s">
        <v>47282</v>
      </c>
      <c r="AZ2918" s="1" t="s">
        <v>47281</v>
      </c>
      <c r="BA2918" s="1"/>
      <c r="BB2918" s="1"/>
      <c r="BC2918" s="1" t="s">
        <v>871</v>
      </c>
      <c r="BD2918" s="1" t="s">
        <v>553</v>
      </c>
      <c r="BE2918" s="1">
        <v>73.9</v>
      </c>
      <c r="BF2918" s="1">
        <v>7.39</v>
      </c>
      <c r="BG2918" s="1"/>
      <c r="BH2918" s="1"/>
      <c r="BI2918" s="1"/>
      <c r="BJ2918" s="1"/>
      <c r="BK2918" s="1"/>
      <c r="BL2918" s="1"/>
      <c r="BM2918" s="1"/>
      <c r="BN2918" s="1"/>
      <c r="BO2918" s="1" t="s">
        <v>47283</v>
      </c>
      <c r="BP2918" s="1"/>
      <c r="BQ2918" s="1"/>
      <c r="BR2918" s="1" t="s">
        <v>47284</v>
      </c>
      <c r="BS2918" s="1">
        <v>11</v>
      </c>
      <c r="BT2918" s="1" t="s">
        <v>47285</v>
      </c>
      <c r="BU2918" s="1" t="str">
        <f>HYPERLINK("https://nconnect.nicmar.ac.in/storage/profile/ProfilePhoto_P25709029_692415.jpg","Download")</f>
        <v>0</v>
      </c>
      <c r="BV2918" s="3"/>
      <c r="BW2918" s="3"/>
    </row>
    <row r="2919" spans="1:75">
      <c r="A2919" s="1" t="s">
        <v>46264</v>
      </c>
      <c r="B2919" s="1" t="s">
        <v>446</v>
      </c>
      <c r="C2919" s="1" t="s">
        <v>47286</v>
      </c>
      <c r="D2919" s="1" t="s">
        <v>47287</v>
      </c>
      <c r="E2919" s="1" t="s">
        <v>12688</v>
      </c>
      <c r="F2919" s="1" t="s">
        <v>6880</v>
      </c>
      <c r="G2919" s="1" t="s">
        <v>47288</v>
      </c>
      <c r="H2919" s="1" t="s">
        <v>47289</v>
      </c>
      <c r="I2919" s="1" t="s">
        <v>47290</v>
      </c>
      <c r="J2919" s="1">
        <v>7666250560</v>
      </c>
      <c r="K2919" s="1" t="s">
        <v>84</v>
      </c>
      <c r="L2919" s="1" t="s">
        <v>47291</v>
      </c>
      <c r="M2919" s="1" t="s">
        <v>86</v>
      </c>
      <c r="N2919" s="1" t="s">
        <v>618</v>
      </c>
      <c r="O2919" s="1" t="s">
        <v>47292</v>
      </c>
      <c r="P2919" s="1" t="s">
        <v>507</v>
      </c>
      <c r="Q2919" s="1" t="s">
        <v>47293</v>
      </c>
      <c r="R2919" s="1" t="s">
        <v>6880</v>
      </c>
      <c r="S2919" s="1">
        <v>9822118439</v>
      </c>
      <c r="T2919" s="1" t="s">
        <v>159</v>
      </c>
      <c r="U2919" s="1" t="s">
        <v>3407</v>
      </c>
      <c r="V2919" s="1">
        <v>7020595253</v>
      </c>
      <c r="W2919" s="1" t="s">
        <v>161</v>
      </c>
      <c r="X2919" s="1" t="s">
        <v>47294</v>
      </c>
      <c r="Y2919" s="1" t="s">
        <v>1779</v>
      </c>
      <c r="Z2919" s="1" t="s">
        <v>97</v>
      </c>
      <c r="AA2919" s="1" t="s">
        <v>47294</v>
      </c>
      <c r="AB2919" s="1" t="s">
        <v>1779</v>
      </c>
      <c r="AC2919" s="1" t="s">
        <v>97</v>
      </c>
      <c r="AD2919" s="1">
        <v>9.05</v>
      </c>
      <c r="AE2919" s="1" t="s">
        <v>98</v>
      </c>
      <c r="AF2919" s="1" t="s">
        <v>47295</v>
      </c>
      <c r="AG2919" s="1" t="s">
        <v>4383</v>
      </c>
      <c r="AH2919" s="1" t="s">
        <v>106</v>
      </c>
      <c r="AI2919" s="1" t="s">
        <v>414</v>
      </c>
      <c r="AJ2919" s="1">
        <v>60.6</v>
      </c>
      <c r="AK2919" s="1"/>
      <c r="AL2919" s="1"/>
      <c r="AM2919" s="1"/>
      <c r="AN2919" s="1"/>
      <c r="AO2919" s="1"/>
      <c r="AP2919" s="1"/>
      <c r="AQ2919" s="1"/>
      <c r="AR2919" s="1"/>
      <c r="AS2919" s="1" t="s">
        <v>439</v>
      </c>
      <c r="AT2919" s="1" t="s">
        <v>47296</v>
      </c>
      <c r="AU2919" s="1" t="s">
        <v>315</v>
      </c>
      <c r="AV2919" s="1" t="s">
        <v>289</v>
      </c>
      <c r="AW2919" s="1">
        <v>83.16</v>
      </c>
      <c r="AX2919" s="1"/>
      <c r="AY2919" s="1" t="s">
        <v>366</v>
      </c>
      <c r="AZ2919" s="1" t="s">
        <v>47297</v>
      </c>
      <c r="BA2919" s="1" t="s">
        <v>466</v>
      </c>
      <c r="BB2919" s="1" t="s">
        <v>467</v>
      </c>
      <c r="BC2919" s="1" t="s">
        <v>110</v>
      </c>
      <c r="BD2919" s="1" t="s">
        <v>848</v>
      </c>
      <c r="BE2919" s="1">
        <v>72.5</v>
      </c>
      <c r="BF2919" s="1"/>
      <c r="BG2919" s="1"/>
      <c r="BH2919" s="1"/>
      <c r="BI2919" s="1"/>
      <c r="BJ2919" s="1"/>
      <c r="BK2919" s="1"/>
      <c r="BL2919" s="1"/>
      <c r="BM2919" s="1"/>
      <c r="BN2919" s="1"/>
      <c r="BO2919" s="1" t="s">
        <v>31175</v>
      </c>
      <c r="BP2919" s="1"/>
      <c r="BQ2919" s="1"/>
      <c r="BR2919" s="1" t="s">
        <v>47298</v>
      </c>
      <c r="BS2919" s="1">
        <v>10</v>
      </c>
      <c r="BT2919" s="1" t="s">
        <v>47299</v>
      </c>
      <c r="BU2919" s="1" t="str">
        <f>HYPERLINK("https://nconnect.nicmar.ac.in/storage/profile/ProfilePhoto_P25709030_652314.jpg","Download")</f>
        <v>0</v>
      </c>
      <c r="BV2919" s="3"/>
      <c r="BW2919" s="3"/>
    </row>
    <row r="2920" spans="1:75">
      <c r="A2920" s="1" t="s">
        <v>46264</v>
      </c>
      <c r="B2920" s="1" t="s">
        <v>446</v>
      </c>
      <c r="C2920" s="1" t="s">
        <v>47300</v>
      </c>
      <c r="D2920" s="1" t="s">
        <v>47301</v>
      </c>
      <c r="E2920" s="1"/>
      <c r="F2920" s="1" t="s">
        <v>47302</v>
      </c>
      <c r="G2920" s="1" t="s">
        <v>47303</v>
      </c>
      <c r="H2920" s="1" t="s">
        <v>47304</v>
      </c>
      <c r="I2920" s="1" t="s">
        <v>47305</v>
      </c>
      <c r="J2920" s="1">
        <v>9752516618</v>
      </c>
      <c r="K2920" s="1" t="s">
        <v>153</v>
      </c>
      <c r="L2920" s="1" t="s">
        <v>47306</v>
      </c>
      <c r="M2920" s="1" t="s">
        <v>86</v>
      </c>
      <c r="N2920" s="1" t="s">
        <v>1101</v>
      </c>
      <c r="O2920" s="1" t="s">
        <v>47307</v>
      </c>
      <c r="P2920" s="1" t="s">
        <v>507</v>
      </c>
      <c r="Q2920" s="1" t="s">
        <v>47308</v>
      </c>
      <c r="R2920" s="1" t="s">
        <v>47309</v>
      </c>
      <c r="S2920" s="1">
        <v>9755033118</v>
      </c>
      <c r="T2920" s="1" t="s">
        <v>382</v>
      </c>
      <c r="U2920" s="1" t="s">
        <v>17175</v>
      </c>
      <c r="V2920" s="1">
        <v>9424606790</v>
      </c>
      <c r="W2920" s="1" t="s">
        <v>161</v>
      </c>
      <c r="X2920" s="1" t="s">
        <v>47310</v>
      </c>
      <c r="Y2920" s="1" t="s">
        <v>29113</v>
      </c>
      <c r="Z2920" s="1" t="s">
        <v>3419</v>
      </c>
      <c r="AA2920" s="1" t="s">
        <v>47310</v>
      </c>
      <c r="AB2920" s="1" t="s">
        <v>29113</v>
      </c>
      <c r="AC2920" s="1" t="s">
        <v>3419</v>
      </c>
      <c r="AD2920" s="1">
        <v>10.0</v>
      </c>
      <c r="AE2920" s="1" t="s">
        <v>98</v>
      </c>
      <c r="AF2920" s="1" t="s">
        <v>47311</v>
      </c>
      <c r="AG2920" s="1" t="s">
        <v>27919</v>
      </c>
      <c r="AH2920" s="1" t="s">
        <v>200</v>
      </c>
      <c r="AI2920" s="1" t="s">
        <v>106</v>
      </c>
      <c r="AJ2920" s="1">
        <v>78</v>
      </c>
      <c r="AK2920" s="1"/>
      <c r="AL2920" s="1" t="s">
        <v>27574</v>
      </c>
      <c r="AM2920" s="1" t="s">
        <v>27919</v>
      </c>
      <c r="AN2920" s="1" t="s">
        <v>465</v>
      </c>
      <c r="AO2920" s="1" t="s">
        <v>547</v>
      </c>
      <c r="AP2920" s="1" t="s">
        <v>468</v>
      </c>
      <c r="AQ2920" s="1">
        <v>85.8</v>
      </c>
      <c r="AR2920" s="1"/>
      <c r="AS2920" s="1"/>
      <c r="AT2920" s="1"/>
      <c r="AU2920" s="1"/>
      <c r="AV2920" s="1"/>
      <c r="AW2920" s="1"/>
      <c r="AX2920" s="1"/>
      <c r="AY2920" s="1" t="s">
        <v>7595</v>
      </c>
      <c r="AZ2920" s="1" t="s">
        <v>47312</v>
      </c>
      <c r="BA2920" s="1" t="s">
        <v>466</v>
      </c>
      <c r="BB2920" s="1" t="s">
        <v>467</v>
      </c>
      <c r="BC2920" s="1" t="s">
        <v>1647</v>
      </c>
      <c r="BD2920" s="1" t="s">
        <v>207</v>
      </c>
      <c r="BE2920" s="1">
        <v>94.9</v>
      </c>
      <c r="BF2920" s="1">
        <v>9.49</v>
      </c>
      <c r="BG2920" s="1"/>
      <c r="BH2920" s="1"/>
      <c r="BI2920" s="1"/>
      <c r="BJ2920" s="1"/>
      <c r="BK2920" s="1"/>
      <c r="BL2920" s="1"/>
      <c r="BM2920" s="1"/>
      <c r="BN2920" s="1"/>
      <c r="BO2920" s="1" t="s">
        <v>47313</v>
      </c>
      <c r="BP2920" s="1"/>
      <c r="BQ2920" s="1"/>
      <c r="BR2920" s="1" t="s">
        <v>47314</v>
      </c>
      <c r="BS2920" s="1">
        <v>15</v>
      </c>
      <c r="BT2920" s="1" t="s">
        <v>47315</v>
      </c>
      <c r="BU2920" s="1" t="str">
        <f>HYPERLINK("https://nconnect.nicmar.ac.in/storage/profile/ProfilePhoto_P25709031_768124.jpg","Download")</f>
        <v>0</v>
      </c>
      <c r="BV2920" s="3"/>
      <c r="BW2920" s="3"/>
    </row>
    <row r="2921" spans="1:75">
      <c r="A2921" s="1" t="s">
        <v>46264</v>
      </c>
      <c r="B2921" s="1" t="s">
        <v>446</v>
      </c>
      <c r="C2921" s="1" t="s">
        <v>47316</v>
      </c>
      <c r="D2921" s="1" t="s">
        <v>35443</v>
      </c>
      <c r="E2921" s="1"/>
      <c r="F2921" s="1" t="s">
        <v>47317</v>
      </c>
      <c r="G2921" s="1" t="s">
        <v>47318</v>
      </c>
      <c r="H2921" s="1" t="s">
        <v>47319</v>
      </c>
      <c r="I2921" s="1" t="s">
        <v>47320</v>
      </c>
      <c r="J2921" s="1">
        <v>9840661365</v>
      </c>
      <c r="K2921" s="1" t="s">
        <v>84</v>
      </c>
      <c r="L2921" s="1" t="s">
        <v>24328</v>
      </c>
      <c r="M2921" s="1" t="s">
        <v>86</v>
      </c>
      <c r="N2921" s="1" t="s">
        <v>8020</v>
      </c>
      <c r="O2921" s="1"/>
      <c r="P2921" s="1" t="s">
        <v>455</v>
      </c>
      <c r="Q2921" s="1" t="s">
        <v>47321</v>
      </c>
      <c r="R2921" s="1" t="s">
        <v>47322</v>
      </c>
      <c r="S2921" s="1">
        <v>9791571477</v>
      </c>
      <c r="T2921" s="1" t="s">
        <v>47323</v>
      </c>
      <c r="U2921" s="1" t="s">
        <v>47324</v>
      </c>
      <c r="V2921" s="1">
        <v>9865269456</v>
      </c>
      <c r="W2921" s="1" t="s">
        <v>2950</v>
      </c>
      <c r="X2921" s="1" t="s">
        <v>47325</v>
      </c>
      <c r="Y2921" s="1" t="s">
        <v>2131</v>
      </c>
      <c r="Z2921" s="1" t="s">
        <v>570</v>
      </c>
      <c r="AA2921" s="1" t="s">
        <v>47325</v>
      </c>
      <c r="AB2921" s="1" t="s">
        <v>2131</v>
      </c>
      <c r="AC2921" s="1" t="s">
        <v>570</v>
      </c>
      <c r="AD2921" s="1">
        <v>8.87</v>
      </c>
      <c r="AE2921" s="1" t="s">
        <v>98</v>
      </c>
      <c r="AF2921" s="1" t="s">
        <v>47326</v>
      </c>
      <c r="AG2921" s="1" t="s">
        <v>824</v>
      </c>
      <c r="AH2921" s="1" t="s">
        <v>490</v>
      </c>
      <c r="AI2921" s="1" t="s">
        <v>414</v>
      </c>
      <c r="AJ2921" s="1">
        <v>90.6</v>
      </c>
      <c r="AK2921" s="1">
        <v>9.06</v>
      </c>
      <c r="AL2921" s="1" t="s">
        <v>47327</v>
      </c>
      <c r="AM2921" s="1" t="s">
        <v>9059</v>
      </c>
      <c r="AN2921" s="1"/>
      <c r="AO2921" s="1" t="s">
        <v>977</v>
      </c>
      <c r="AP2921" s="1" t="s">
        <v>1192</v>
      </c>
      <c r="AQ2921" s="1">
        <v>92</v>
      </c>
      <c r="AR2921" s="1">
        <v>9.2</v>
      </c>
      <c r="AS2921" s="1"/>
      <c r="AT2921" s="1"/>
      <c r="AU2921" s="1"/>
      <c r="AV2921" s="1"/>
      <c r="AW2921" s="1"/>
      <c r="AX2921" s="1"/>
      <c r="AY2921" s="1" t="s">
        <v>576</v>
      </c>
      <c r="AZ2921" s="1" t="s">
        <v>24206</v>
      </c>
      <c r="BA2921" s="1"/>
      <c r="BB2921" s="1"/>
      <c r="BC2921" s="1" t="s">
        <v>552</v>
      </c>
      <c r="BD2921" s="1" t="s">
        <v>607</v>
      </c>
      <c r="BE2921" s="1">
        <v>81.4</v>
      </c>
      <c r="BF2921" s="1">
        <v>8.14</v>
      </c>
      <c r="BG2921" s="1"/>
      <c r="BH2921" s="1"/>
      <c r="BI2921" s="1"/>
      <c r="BJ2921" s="1"/>
      <c r="BK2921" s="1"/>
      <c r="BL2921" s="1"/>
      <c r="BM2921" s="1"/>
      <c r="BN2921" s="1"/>
      <c r="BO2921" s="1" t="s">
        <v>28364</v>
      </c>
      <c r="BP2921" s="1"/>
      <c r="BQ2921" s="1"/>
      <c r="BR2921" s="1"/>
      <c r="BS2921" s="1"/>
      <c r="BT2921" s="1"/>
      <c r="BU2921" s="1" t="str">
        <f>HYPERLINK("https://nconnect.nicmar.ac.in/storage/profile/ProfilePhoto_P25709032_179346.jpg","Download")</f>
        <v>0</v>
      </c>
      <c r="BV2921" s="3"/>
      <c r="BW2921" s="3"/>
    </row>
    <row r="2922" spans="1:75">
      <c r="A2922" s="1" t="s">
        <v>46264</v>
      </c>
      <c r="B2922" s="1" t="s">
        <v>446</v>
      </c>
      <c r="C2922" s="1" t="s">
        <v>47328</v>
      </c>
      <c r="D2922" s="1" t="s">
        <v>348</v>
      </c>
      <c r="E2922" s="1" t="s">
        <v>1320</v>
      </c>
      <c r="F2922" s="1" t="s">
        <v>47329</v>
      </c>
      <c r="G2922" s="1" t="s">
        <v>47330</v>
      </c>
      <c r="H2922" s="1" t="s">
        <v>47331</v>
      </c>
      <c r="I2922" s="1" t="s">
        <v>47332</v>
      </c>
      <c r="J2922" s="1">
        <v>9966660941</v>
      </c>
      <c r="K2922" s="1" t="s">
        <v>84</v>
      </c>
      <c r="L2922" s="1" t="s">
        <v>7466</v>
      </c>
      <c r="M2922" s="1" t="s">
        <v>86</v>
      </c>
      <c r="N2922" s="1" t="s">
        <v>1449</v>
      </c>
      <c r="O2922" s="1" t="s">
        <v>47333</v>
      </c>
      <c r="P2922" s="1"/>
      <c r="Q2922" s="1" t="s">
        <v>47334</v>
      </c>
      <c r="R2922" s="1" t="s">
        <v>47335</v>
      </c>
      <c r="S2922" s="1">
        <v>9666191463</v>
      </c>
      <c r="T2922" s="1" t="s">
        <v>5620</v>
      </c>
      <c r="U2922" s="1" t="s">
        <v>47336</v>
      </c>
      <c r="V2922" s="1">
        <v>8501825868</v>
      </c>
      <c r="W2922" s="1" t="s">
        <v>94</v>
      </c>
      <c r="X2922" s="1" t="s">
        <v>47337</v>
      </c>
      <c r="Y2922" s="1" t="s">
        <v>21685</v>
      </c>
      <c r="Z2922" s="1" t="s">
        <v>461</v>
      </c>
      <c r="AA2922" s="1" t="s">
        <v>47337</v>
      </c>
      <c r="AB2922" s="1" t="s">
        <v>21685</v>
      </c>
      <c r="AC2922" s="1" t="s">
        <v>461</v>
      </c>
      <c r="AD2922" s="1">
        <v>9.18</v>
      </c>
      <c r="AE2922" s="1" t="s">
        <v>98</v>
      </c>
      <c r="AF2922" s="1" t="s">
        <v>47338</v>
      </c>
      <c r="AG2922" s="1" t="s">
        <v>463</v>
      </c>
      <c r="AH2922" s="1" t="s">
        <v>106</v>
      </c>
      <c r="AI2922" s="1" t="s">
        <v>313</v>
      </c>
      <c r="AJ2922" s="1">
        <v>95</v>
      </c>
      <c r="AK2922" s="1">
        <v>10</v>
      </c>
      <c r="AL2922" s="1" t="s">
        <v>1603</v>
      </c>
      <c r="AM2922" s="1" t="s">
        <v>3034</v>
      </c>
      <c r="AN2922" s="1"/>
      <c r="AO2922" s="1" t="s">
        <v>438</v>
      </c>
      <c r="AP2922" s="1" t="s">
        <v>847</v>
      </c>
      <c r="AQ2922" s="1">
        <v>96.2</v>
      </c>
      <c r="AR2922" s="1"/>
      <c r="AS2922" s="1"/>
      <c r="AT2922" s="1"/>
      <c r="AU2922" s="1"/>
      <c r="AV2922" s="1"/>
      <c r="AW2922" s="1"/>
      <c r="AX2922" s="1"/>
      <c r="AY2922" s="1" t="s">
        <v>27266</v>
      </c>
      <c r="AZ2922" s="1" t="s">
        <v>35448</v>
      </c>
      <c r="BA2922" s="1"/>
      <c r="BB2922" s="1"/>
      <c r="BC2922" s="1" t="s">
        <v>140</v>
      </c>
      <c r="BD2922" s="1" t="s">
        <v>553</v>
      </c>
      <c r="BE2922" s="1">
        <v>74.4</v>
      </c>
      <c r="BF2922" s="1">
        <v>7.94</v>
      </c>
      <c r="BG2922" s="1"/>
      <c r="BH2922" s="1"/>
      <c r="BI2922" s="1"/>
      <c r="BJ2922" s="1"/>
      <c r="BK2922" s="1"/>
      <c r="BL2922" s="1"/>
      <c r="BM2922" s="1"/>
      <c r="BN2922" s="1"/>
      <c r="BO2922" s="1" t="s">
        <v>47339</v>
      </c>
      <c r="BP2922" s="1"/>
      <c r="BQ2922" s="1"/>
      <c r="BR2922" s="1" t="s">
        <v>47340</v>
      </c>
      <c r="BS2922" s="1">
        <v>8</v>
      </c>
      <c r="BT2922" s="1" t="s">
        <v>47341</v>
      </c>
      <c r="BU2922" s="1" t="str">
        <f>HYPERLINK("https://nconnect.nicmar.ac.in/storage/profile/ProfilePhoto_P25709033_145237.jpg","Download")</f>
        <v>0</v>
      </c>
      <c r="BV2922" s="3"/>
      <c r="BW2922" s="3"/>
    </row>
    <row r="2923" spans="1:75">
      <c r="A2923" s="1" t="s">
        <v>46264</v>
      </c>
      <c r="B2923" s="1" t="s">
        <v>446</v>
      </c>
      <c r="C2923" s="1" t="s">
        <v>47342</v>
      </c>
      <c r="D2923" s="1" t="s">
        <v>3431</v>
      </c>
      <c r="E2923" s="1" t="s">
        <v>4646</v>
      </c>
      <c r="F2923" s="1" t="s">
        <v>9514</v>
      </c>
      <c r="G2923" s="1" t="s">
        <v>47343</v>
      </c>
      <c r="H2923" s="1" t="s">
        <v>47344</v>
      </c>
      <c r="I2923" s="1" t="s">
        <v>47345</v>
      </c>
      <c r="J2923" s="1">
        <v>9156898447</v>
      </c>
      <c r="K2923" s="1" t="s">
        <v>84</v>
      </c>
      <c r="L2923" s="1" t="s">
        <v>9536</v>
      </c>
      <c r="M2923" s="1" t="s">
        <v>86</v>
      </c>
      <c r="N2923" s="1" t="s">
        <v>7467</v>
      </c>
      <c r="O2923" s="1"/>
      <c r="P2923" s="1" t="s">
        <v>507</v>
      </c>
      <c r="Q2923" s="1" t="s">
        <v>47346</v>
      </c>
      <c r="R2923" s="1" t="s">
        <v>4646</v>
      </c>
      <c r="S2923" s="1">
        <v>9225518447</v>
      </c>
      <c r="T2923" s="1" t="s">
        <v>4776</v>
      </c>
      <c r="U2923" s="1" t="s">
        <v>30088</v>
      </c>
      <c r="V2923" s="1">
        <v>9326285899</v>
      </c>
      <c r="W2923" s="1" t="s">
        <v>161</v>
      </c>
      <c r="X2923" s="1" t="s">
        <v>47347</v>
      </c>
      <c r="Y2923" s="1" t="s">
        <v>196</v>
      </c>
      <c r="Z2923" s="1" t="s">
        <v>97</v>
      </c>
      <c r="AA2923" s="1" t="s">
        <v>47347</v>
      </c>
      <c r="AB2923" s="1" t="s">
        <v>196</v>
      </c>
      <c r="AC2923" s="1" t="s">
        <v>97</v>
      </c>
      <c r="AD2923" s="1">
        <v>8.92</v>
      </c>
      <c r="AE2923" s="1" t="s">
        <v>98</v>
      </c>
      <c r="AF2923" s="1" t="s">
        <v>47348</v>
      </c>
      <c r="AG2923" s="1" t="s">
        <v>47349</v>
      </c>
      <c r="AH2923" s="1" t="s">
        <v>170</v>
      </c>
      <c r="AI2923" s="1" t="s">
        <v>573</v>
      </c>
      <c r="AJ2923" s="1">
        <v>70</v>
      </c>
      <c r="AK2923" s="1"/>
      <c r="AL2923" s="1"/>
      <c r="AM2923" s="1"/>
      <c r="AN2923" s="1"/>
      <c r="AO2923" s="1"/>
      <c r="AP2923" s="1"/>
      <c r="AQ2923" s="1"/>
      <c r="AR2923" s="1"/>
      <c r="AS2923" s="1" t="s">
        <v>439</v>
      </c>
      <c r="AT2923" s="1" t="s">
        <v>47350</v>
      </c>
      <c r="AU2923" s="1" t="s">
        <v>230</v>
      </c>
      <c r="AV2923" s="1" t="s">
        <v>175</v>
      </c>
      <c r="AW2923" s="1">
        <v>92</v>
      </c>
      <c r="AX2923" s="1"/>
      <c r="AY2923" s="1" t="s">
        <v>3172</v>
      </c>
      <c r="AZ2923" s="1" t="s">
        <v>47351</v>
      </c>
      <c r="BA2923" s="1" t="s">
        <v>578</v>
      </c>
      <c r="BB2923" s="1" t="s">
        <v>467</v>
      </c>
      <c r="BC2923" s="1" t="s">
        <v>1171</v>
      </c>
      <c r="BD2923" s="1" t="s">
        <v>179</v>
      </c>
      <c r="BE2923" s="1">
        <v>77.84</v>
      </c>
      <c r="BF2923" s="1">
        <v>8.57</v>
      </c>
      <c r="BG2923" s="1"/>
      <c r="BH2923" s="1"/>
      <c r="BI2923" s="1"/>
      <c r="BJ2923" s="1"/>
      <c r="BK2923" s="1"/>
      <c r="BL2923" s="1"/>
      <c r="BM2923" s="1"/>
      <c r="BN2923" s="1"/>
      <c r="BO2923" s="1" t="s">
        <v>47352</v>
      </c>
      <c r="BP2923" s="1"/>
      <c r="BQ2923" s="1"/>
      <c r="BR2923" s="1" t="s">
        <v>47353</v>
      </c>
      <c r="BS2923" s="1">
        <v>18</v>
      </c>
      <c r="BT2923" s="1" t="s">
        <v>47354</v>
      </c>
      <c r="BU2923" s="1" t="str">
        <f>HYPERLINK("https://nconnect.nicmar.ac.in/storage/profile/ProfilePhoto_P25709034_713268.jpg","Download")</f>
        <v>0</v>
      </c>
      <c r="BV2923" s="3"/>
      <c r="BW2923" s="3"/>
    </row>
    <row r="2924" spans="1:75">
      <c r="A2924" s="1" t="s">
        <v>46264</v>
      </c>
      <c r="B2924" s="1" t="s">
        <v>446</v>
      </c>
      <c r="C2924" s="1" t="s">
        <v>47355</v>
      </c>
      <c r="D2924" s="1" t="s">
        <v>9329</v>
      </c>
      <c r="E2924" s="1" t="s">
        <v>784</v>
      </c>
      <c r="F2924" s="1" t="s">
        <v>7760</v>
      </c>
      <c r="G2924" s="1" t="s">
        <v>47356</v>
      </c>
      <c r="H2924" s="1" t="s">
        <v>47357</v>
      </c>
      <c r="I2924" s="1" t="s">
        <v>47358</v>
      </c>
      <c r="J2924" s="1">
        <v>9880453134</v>
      </c>
      <c r="K2924" s="1" t="s">
        <v>84</v>
      </c>
      <c r="L2924" s="1" t="s">
        <v>45205</v>
      </c>
      <c r="M2924" s="1" t="s">
        <v>86</v>
      </c>
      <c r="N2924" s="1" t="s">
        <v>10948</v>
      </c>
      <c r="O2924" s="1"/>
      <c r="P2924" s="1" t="s">
        <v>481</v>
      </c>
      <c r="Q2924" s="1" t="s">
        <v>47359</v>
      </c>
      <c r="R2924" s="1" t="s">
        <v>47360</v>
      </c>
      <c r="S2924" s="1">
        <v>9008963134</v>
      </c>
      <c r="T2924" s="1" t="s">
        <v>3788</v>
      </c>
      <c r="U2924" s="1" t="s">
        <v>47361</v>
      </c>
      <c r="V2924" s="1">
        <v>9880732529</v>
      </c>
      <c r="W2924" s="1" t="s">
        <v>161</v>
      </c>
      <c r="X2924" s="1" t="s">
        <v>47362</v>
      </c>
      <c r="Y2924" s="1" t="s">
        <v>15530</v>
      </c>
      <c r="Z2924" s="1" t="s">
        <v>1210</v>
      </c>
      <c r="AA2924" s="1" t="s">
        <v>47362</v>
      </c>
      <c r="AB2924" s="1" t="s">
        <v>15530</v>
      </c>
      <c r="AC2924" s="1" t="s">
        <v>1210</v>
      </c>
      <c r="AD2924" s="1">
        <v>8.84</v>
      </c>
      <c r="AE2924" s="1" t="s">
        <v>98</v>
      </c>
      <c r="AF2924" s="1" t="s">
        <v>47363</v>
      </c>
      <c r="AG2924" s="1" t="s">
        <v>47364</v>
      </c>
      <c r="AH2924" s="1" t="s">
        <v>490</v>
      </c>
      <c r="AI2924" s="1" t="s">
        <v>547</v>
      </c>
      <c r="AJ2924" s="1">
        <v>93.6</v>
      </c>
      <c r="AK2924" s="1"/>
      <c r="AL2924" s="1" t="s">
        <v>47365</v>
      </c>
      <c r="AM2924" s="1" t="s">
        <v>47366</v>
      </c>
      <c r="AN2924" s="1"/>
      <c r="AO2924" s="1" t="s">
        <v>603</v>
      </c>
      <c r="AP2924" s="1" t="s">
        <v>441</v>
      </c>
      <c r="AQ2924" s="1">
        <v>99</v>
      </c>
      <c r="AR2924" s="1"/>
      <c r="AS2924" s="1"/>
      <c r="AT2924" s="1"/>
      <c r="AU2924" s="1"/>
      <c r="AV2924" s="1"/>
      <c r="AW2924" s="1"/>
      <c r="AX2924" s="1"/>
      <c r="AY2924" s="1" t="s">
        <v>8266</v>
      </c>
      <c r="AZ2924" s="1" t="s">
        <v>47367</v>
      </c>
      <c r="BA2924" s="1"/>
      <c r="BB2924" s="1"/>
      <c r="BC2924" s="1" t="s">
        <v>606</v>
      </c>
      <c r="BD2924" s="1" t="s">
        <v>1401</v>
      </c>
      <c r="BE2924" s="1">
        <v>83.9</v>
      </c>
      <c r="BF2924" s="1">
        <v>8.39</v>
      </c>
      <c r="BG2924" s="1"/>
      <c r="BH2924" s="1"/>
      <c r="BI2924" s="1"/>
      <c r="BJ2924" s="1"/>
      <c r="BK2924" s="1"/>
      <c r="BL2924" s="1"/>
      <c r="BM2924" s="1"/>
      <c r="BN2924" s="1"/>
      <c r="BO2924" s="1" t="s">
        <v>260</v>
      </c>
      <c r="BP2924" s="1"/>
      <c r="BQ2924" s="1"/>
      <c r="BR2924" s="1"/>
      <c r="BS2924" s="1"/>
      <c r="BT2924" s="1"/>
      <c r="BU2924" s="1" t="str">
        <f>HYPERLINK("https://nconnect.nicmar.ac.in/storage/profile/ProfilePhoto_P25709035_236748.jpg","Download")</f>
        <v>0</v>
      </c>
      <c r="BV2924" s="3"/>
      <c r="BW2924" s="3"/>
    </row>
    <row r="2925" spans="1:75">
      <c r="A2925" s="1" t="s">
        <v>46264</v>
      </c>
      <c r="B2925" s="1" t="s">
        <v>446</v>
      </c>
      <c r="C2925" s="1" t="s">
        <v>47368</v>
      </c>
      <c r="D2925" s="1" t="s">
        <v>47369</v>
      </c>
      <c r="E2925" s="1" t="s">
        <v>47370</v>
      </c>
      <c r="F2925" s="1" t="s">
        <v>47371</v>
      </c>
      <c r="G2925" s="1" t="s">
        <v>47372</v>
      </c>
      <c r="H2925" s="1" t="s">
        <v>47373</v>
      </c>
      <c r="I2925" s="1" t="s">
        <v>47374</v>
      </c>
      <c r="J2925" s="1">
        <v>9505565657</v>
      </c>
      <c r="K2925" s="1" t="s">
        <v>84</v>
      </c>
      <c r="L2925" s="1" t="s">
        <v>7584</v>
      </c>
      <c r="M2925" s="1" t="s">
        <v>86</v>
      </c>
      <c r="N2925" s="1" t="s">
        <v>3026</v>
      </c>
      <c r="O2925" s="1" t="s">
        <v>47375</v>
      </c>
      <c r="P2925" s="1" t="s">
        <v>481</v>
      </c>
      <c r="Q2925" s="1" t="s">
        <v>47376</v>
      </c>
      <c r="R2925" s="1" t="s">
        <v>47377</v>
      </c>
      <c r="S2925" s="1">
        <v>9848647773</v>
      </c>
      <c r="T2925" s="1" t="s">
        <v>839</v>
      </c>
      <c r="U2925" s="1" t="s">
        <v>47378</v>
      </c>
      <c r="V2925" s="1">
        <v>9951124875</v>
      </c>
      <c r="W2925" s="1" t="s">
        <v>94</v>
      </c>
      <c r="X2925" s="1" t="s">
        <v>47379</v>
      </c>
      <c r="Y2925" s="1" t="s">
        <v>3522</v>
      </c>
      <c r="Z2925" s="1" t="s">
        <v>281</v>
      </c>
      <c r="AA2925" s="1" t="s">
        <v>47379</v>
      </c>
      <c r="AB2925" s="1" t="s">
        <v>3522</v>
      </c>
      <c r="AC2925" s="1" t="s">
        <v>281</v>
      </c>
      <c r="AD2925" s="1">
        <v>9.29</v>
      </c>
      <c r="AE2925" s="1" t="s">
        <v>98</v>
      </c>
      <c r="AF2925" s="1" t="s">
        <v>47380</v>
      </c>
      <c r="AG2925" s="1" t="s">
        <v>2341</v>
      </c>
      <c r="AH2925" s="1" t="s">
        <v>170</v>
      </c>
      <c r="AI2925" s="1" t="s">
        <v>286</v>
      </c>
      <c r="AJ2925" s="1">
        <v>100</v>
      </c>
      <c r="AK2925" s="1">
        <v>10</v>
      </c>
      <c r="AL2925" s="1" t="s">
        <v>10501</v>
      </c>
      <c r="AM2925" s="1" t="s">
        <v>2343</v>
      </c>
      <c r="AN2925" s="1" t="s">
        <v>465</v>
      </c>
      <c r="AO2925" s="1" t="s">
        <v>106</v>
      </c>
      <c r="AP2925" s="1" t="s">
        <v>603</v>
      </c>
      <c r="AQ2925" s="1">
        <v>88.6</v>
      </c>
      <c r="AR2925" s="1">
        <v>8.86</v>
      </c>
      <c r="AS2925" s="1"/>
      <c r="AT2925" s="1"/>
      <c r="AU2925" s="1"/>
      <c r="AV2925" s="1"/>
      <c r="AW2925" s="1"/>
      <c r="AX2925" s="1"/>
      <c r="AY2925" s="1" t="s">
        <v>2654</v>
      </c>
      <c r="AZ2925" s="1" t="s">
        <v>15852</v>
      </c>
      <c r="BA2925" s="1" t="s">
        <v>466</v>
      </c>
      <c r="BB2925" s="1" t="s">
        <v>467</v>
      </c>
      <c r="BC2925" s="1" t="s">
        <v>468</v>
      </c>
      <c r="BD2925" s="1" t="s">
        <v>1314</v>
      </c>
      <c r="BE2925" s="1">
        <v>79.7</v>
      </c>
      <c r="BF2925" s="1">
        <v>8.72</v>
      </c>
      <c r="BG2925" s="1"/>
      <c r="BH2925" s="1"/>
      <c r="BI2925" s="1"/>
      <c r="BJ2925" s="1"/>
      <c r="BK2925" s="1"/>
      <c r="BL2925" s="1"/>
      <c r="BM2925" s="1"/>
      <c r="BN2925" s="1"/>
      <c r="BO2925" s="1" t="s">
        <v>47381</v>
      </c>
      <c r="BP2925" s="1"/>
      <c r="BQ2925" s="1"/>
      <c r="BR2925" s="1" t="s">
        <v>47382</v>
      </c>
      <c r="BS2925" s="1">
        <v>32</v>
      </c>
      <c r="BT2925" s="1" t="s">
        <v>47383</v>
      </c>
      <c r="BU2925" s="1" t="str">
        <f>HYPERLINK("https://nconnect.nicmar.ac.in/storage/profile/ProfilePhoto_P25709036_689372.jpg","Download")</f>
        <v>0</v>
      </c>
      <c r="BV2925" s="3"/>
      <c r="BW2925" s="3"/>
    </row>
    <row r="2926" spans="1:75">
      <c r="A2926" s="1" t="s">
        <v>46264</v>
      </c>
      <c r="B2926" s="1" t="s">
        <v>446</v>
      </c>
      <c r="C2926" s="1" t="s">
        <v>47384</v>
      </c>
      <c r="D2926" s="1" t="s">
        <v>29922</v>
      </c>
      <c r="E2926" s="1"/>
      <c r="F2926" s="1" t="s">
        <v>116</v>
      </c>
      <c r="G2926" s="1" t="s">
        <v>47385</v>
      </c>
      <c r="H2926" s="1" t="s">
        <v>47386</v>
      </c>
      <c r="I2926" s="1" t="s">
        <v>47387</v>
      </c>
      <c r="J2926" s="1">
        <v>7826928556</v>
      </c>
      <c r="K2926" s="1" t="s">
        <v>84</v>
      </c>
      <c r="L2926" s="1" t="s">
        <v>47388</v>
      </c>
      <c r="M2926" s="1" t="s">
        <v>86</v>
      </c>
      <c r="N2926" s="1" t="s">
        <v>47389</v>
      </c>
      <c r="O2926" s="1"/>
      <c r="P2926" s="1" t="s">
        <v>507</v>
      </c>
      <c r="Q2926" s="1" t="s">
        <v>47390</v>
      </c>
      <c r="R2926" s="1" t="s">
        <v>47391</v>
      </c>
      <c r="S2926" s="1">
        <v>9443441921</v>
      </c>
      <c r="T2926" s="1" t="s">
        <v>92</v>
      </c>
      <c r="U2926" s="1" t="s">
        <v>6377</v>
      </c>
      <c r="V2926" s="1">
        <v>9566758736</v>
      </c>
      <c r="W2926" s="1" t="s">
        <v>278</v>
      </c>
      <c r="X2926" s="1" t="s">
        <v>47392</v>
      </c>
      <c r="Y2926" s="1" t="s">
        <v>47393</v>
      </c>
      <c r="Z2926" s="1" t="s">
        <v>570</v>
      </c>
      <c r="AA2926" s="1" t="s">
        <v>47392</v>
      </c>
      <c r="AB2926" s="1" t="s">
        <v>47393</v>
      </c>
      <c r="AC2926" s="1" t="s">
        <v>570</v>
      </c>
      <c r="AD2926" s="1">
        <v>8.55</v>
      </c>
      <c r="AE2926" s="1" t="s">
        <v>98</v>
      </c>
      <c r="AF2926" s="1" t="s">
        <v>47394</v>
      </c>
      <c r="AG2926" s="1" t="s">
        <v>9059</v>
      </c>
      <c r="AH2926" s="1" t="s">
        <v>167</v>
      </c>
      <c r="AI2926" s="1" t="s">
        <v>170</v>
      </c>
      <c r="AJ2926" s="1">
        <v>85.5</v>
      </c>
      <c r="AK2926" s="1">
        <v>9</v>
      </c>
      <c r="AL2926" s="1" t="s">
        <v>9024</v>
      </c>
      <c r="AM2926" s="1" t="s">
        <v>9059</v>
      </c>
      <c r="AN2926" s="1"/>
      <c r="AO2926" s="1" t="s">
        <v>106</v>
      </c>
      <c r="AP2926" s="1" t="s">
        <v>313</v>
      </c>
      <c r="AQ2926" s="1">
        <v>65.66</v>
      </c>
      <c r="AR2926" s="1"/>
      <c r="AS2926" s="1"/>
      <c r="AT2926" s="1"/>
      <c r="AU2926" s="1"/>
      <c r="AV2926" s="1"/>
      <c r="AW2926" s="1"/>
      <c r="AX2926" s="1"/>
      <c r="AY2926" s="1" t="s">
        <v>550</v>
      </c>
      <c r="AZ2926" s="1" t="s">
        <v>550</v>
      </c>
      <c r="BA2926" s="1"/>
      <c r="BB2926" s="1"/>
      <c r="BC2926" s="1" t="s">
        <v>552</v>
      </c>
      <c r="BD2926" s="1" t="s">
        <v>1401</v>
      </c>
      <c r="BE2926" s="1">
        <v>77</v>
      </c>
      <c r="BF2926" s="1">
        <v>7.7</v>
      </c>
      <c r="BG2926" s="1"/>
      <c r="BH2926" s="1"/>
      <c r="BI2926" s="1"/>
      <c r="BJ2926" s="1"/>
      <c r="BK2926" s="1"/>
      <c r="BL2926" s="1"/>
      <c r="BM2926" s="1"/>
      <c r="BN2926" s="1"/>
      <c r="BO2926" s="1" t="s">
        <v>47395</v>
      </c>
      <c r="BP2926" s="1"/>
      <c r="BQ2926" s="1"/>
      <c r="BR2926" s="1" t="s">
        <v>47396</v>
      </c>
      <c r="BS2926" s="1">
        <v>9</v>
      </c>
      <c r="BT2926" s="1"/>
      <c r="BU2926" s="1" t="str">
        <f>HYPERLINK("https://nconnect.nicmar.ac.in/storage/profile/ProfilePhoto_P25709037_851924.jpg","Download")</f>
        <v>0</v>
      </c>
      <c r="BV2926" s="3"/>
      <c r="BW2926" s="3"/>
    </row>
    <row r="2927" spans="1:75">
      <c r="A2927" s="1" t="s">
        <v>46264</v>
      </c>
      <c r="B2927" s="1" t="s">
        <v>446</v>
      </c>
      <c r="C2927" s="1" t="s">
        <v>47397</v>
      </c>
      <c r="D2927" s="1" t="s">
        <v>47398</v>
      </c>
      <c r="E2927" s="1"/>
      <c r="F2927" s="1" t="s">
        <v>47399</v>
      </c>
      <c r="G2927" s="1" t="s">
        <v>47400</v>
      </c>
      <c r="H2927" s="1" t="s">
        <v>47401</v>
      </c>
      <c r="I2927" s="1" t="s">
        <v>47402</v>
      </c>
      <c r="J2927" s="1">
        <v>7330805200</v>
      </c>
      <c r="K2927" s="1" t="s">
        <v>84</v>
      </c>
      <c r="L2927" s="1" t="s">
        <v>4712</v>
      </c>
      <c r="M2927" s="1" t="s">
        <v>86</v>
      </c>
      <c r="N2927" s="1" t="s">
        <v>454</v>
      </c>
      <c r="O2927" s="1"/>
      <c r="P2927" s="1" t="s">
        <v>455</v>
      </c>
      <c r="Q2927" s="1" t="s">
        <v>47403</v>
      </c>
      <c r="R2927" s="1" t="s">
        <v>47404</v>
      </c>
      <c r="S2927" s="1">
        <v>9849155200</v>
      </c>
      <c r="T2927" s="1" t="s">
        <v>839</v>
      </c>
      <c r="U2927" s="1" t="s">
        <v>47405</v>
      </c>
      <c r="V2927" s="1">
        <v>8106576085</v>
      </c>
      <c r="W2927" s="1" t="s">
        <v>541</v>
      </c>
      <c r="X2927" s="1" t="s">
        <v>47406</v>
      </c>
      <c r="Y2927" s="1" t="s">
        <v>460</v>
      </c>
      <c r="Z2927" s="1" t="s">
        <v>461</v>
      </c>
      <c r="AA2927" s="1" t="s">
        <v>47406</v>
      </c>
      <c r="AB2927" s="1" t="s">
        <v>460</v>
      </c>
      <c r="AC2927" s="1" t="s">
        <v>461</v>
      </c>
      <c r="AD2927" s="1">
        <v>8.18</v>
      </c>
      <c r="AE2927" s="1" t="s">
        <v>98</v>
      </c>
      <c r="AF2927" s="1" t="s">
        <v>47407</v>
      </c>
      <c r="AG2927" s="1" t="s">
        <v>2634</v>
      </c>
      <c r="AH2927" s="1" t="s">
        <v>106</v>
      </c>
      <c r="AI2927" s="1" t="s">
        <v>313</v>
      </c>
      <c r="AJ2927" s="1">
        <v>87.4</v>
      </c>
      <c r="AK2927" s="1">
        <v>9.2</v>
      </c>
      <c r="AL2927" s="1"/>
      <c r="AM2927" s="1"/>
      <c r="AN2927" s="1" t="s">
        <v>1062</v>
      </c>
      <c r="AO2927" s="1"/>
      <c r="AP2927" s="1"/>
      <c r="AQ2927" s="1"/>
      <c r="AR2927" s="1"/>
      <c r="AS2927" s="1" t="s">
        <v>103</v>
      </c>
      <c r="AT2927" s="1" t="s">
        <v>47408</v>
      </c>
      <c r="AU2927" s="1" t="s">
        <v>438</v>
      </c>
      <c r="AV2927" s="1" t="s">
        <v>110</v>
      </c>
      <c r="AW2927" s="1">
        <v>73.1</v>
      </c>
      <c r="AX2927" s="1">
        <v>7.81</v>
      </c>
      <c r="AY2927" s="1" t="s">
        <v>47409</v>
      </c>
      <c r="AZ2927" s="1" t="s">
        <v>47410</v>
      </c>
      <c r="BA2927" s="1" t="s">
        <v>466</v>
      </c>
      <c r="BB2927" s="1" t="s">
        <v>467</v>
      </c>
      <c r="BC2927" s="1" t="s">
        <v>110</v>
      </c>
      <c r="BD2927" s="1" t="s">
        <v>848</v>
      </c>
      <c r="BE2927" s="1">
        <v>78.7</v>
      </c>
      <c r="BF2927" s="1">
        <v>8.37</v>
      </c>
      <c r="BG2927" s="1"/>
      <c r="BH2927" s="1"/>
      <c r="BI2927" s="1"/>
      <c r="BJ2927" s="1"/>
      <c r="BK2927" s="1"/>
      <c r="BL2927" s="1"/>
      <c r="BM2927" s="1"/>
      <c r="BN2927" s="1"/>
      <c r="BO2927" s="1" t="s">
        <v>30955</v>
      </c>
      <c r="BP2927" s="1"/>
      <c r="BQ2927" s="1"/>
      <c r="BR2927" s="1" t="s">
        <v>47411</v>
      </c>
      <c r="BS2927" s="1">
        <v>36</v>
      </c>
      <c r="BT2927" s="1" t="s">
        <v>47412</v>
      </c>
      <c r="BU2927" s="1" t="str">
        <f>HYPERLINK("https://nconnect.nicmar.ac.in/storage/profile/ProfilePhoto_P25709038_481736.jpg","Download")</f>
        <v>0</v>
      </c>
      <c r="BV2927" s="3"/>
      <c r="BW2927" s="3"/>
    </row>
    <row r="2928" spans="1:75">
      <c r="A2928" s="1" t="s">
        <v>46264</v>
      </c>
      <c r="B2928" s="1" t="s">
        <v>446</v>
      </c>
      <c r="C2928" s="1" t="s">
        <v>47413</v>
      </c>
      <c r="D2928" s="1" t="s">
        <v>11148</v>
      </c>
      <c r="E2928" s="1" t="s">
        <v>784</v>
      </c>
      <c r="F2928" s="1" t="s">
        <v>47414</v>
      </c>
      <c r="G2928" s="1" t="s">
        <v>47415</v>
      </c>
      <c r="H2928" s="1" t="s">
        <v>47416</v>
      </c>
      <c r="I2928" s="1" t="s">
        <v>47417</v>
      </c>
      <c r="J2928" s="1">
        <v>6305151645</v>
      </c>
      <c r="K2928" s="1" t="s">
        <v>84</v>
      </c>
      <c r="L2928" s="1" t="s">
        <v>8110</v>
      </c>
      <c r="M2928" s="1" t="s">
        <v>86</v>
      </c>
      <c r="N2928" s="1" t="s">
        <v>47418</v>
      </c>
      <c r="O2928" s="1" t="s">
        <v>47419</v>
      </c>
      <c r="P2928" s="1" t="s">
        <v>481</v>
      </c>
      <c r="Q2928" s="1" t="s">
        <v>47420</v>
      </c>
      <c r="R2928" s="1" t="s">
        <v>47421</v>
      </c>
      <c r="S2928" s="1">
        <v>9036262020</v>
      </c>
      <c r="T2928" s="1" t="s">
        <v>839</v>
      </c>
      <c r="U2928" s="1" t="s">
        <v>47422</v>
      </c>
      <c r="V2928" s="1">
        <v>9160048444</v>
      </c>
      <c r="W2928" s="1" t="s">
        <v>278</v>
      </c>
      <c r="X2928" s="1" t="s">
        <v>47423</v>
      </c>
      <c r="Y2928" s="1" t="s">
        <v>3031</v>
      </c>
      <c r="Z2928" s="1" t="s">
        <v>461</v>
      </c>
      <c r="AA2928" s="1" t="s">
        <v>47424</v>
      </c>
      <c r="AB2928" s="1" t="s">
        <v>3132</v>
      </c>
      <c r="AC2928" s="1" t="s">
        <v>1210</v>
      </c>
      <c r="AD2928" s="1">
        <v>8.58</v>
      </c>
      <c r="AE2928" s="1" t="s">
        <v>98</v>
      </c>
      <c r="AF2928" s="1" t="s">
        <v>47425</v>
      </c>
      <c r="AG2928" s="1" t="s">
        <v>463</v>
      </c>
      <c r="AH2928" s="1" t="s">
        <v>7331</v>
      </c>
      <c r="AI2928" s="1" t="s">
        <v>313</v>
      </c>
      <c r="AJ2928" s="1">
        <v>82</v>
      </c>
      <c r="AK2928" s="1">
        <v>8.2</v>
      </c>
      <c r="AL2928" s="1" t="s">
        <v>47426</v>
      </c>
      <c r="AM2928" s="1" t="s">
        <v>3034</v>
      </c>
      <c r="AN2928" s="1"/>
      <c r="AO2928" s="1" t="s">
        <v>313</v>
      </c>
      <c r="AP2928" s="1" t="s">
        <v>847</v>
      </c>
      <c r="AQ2928" s="1">
        <v>60</v>
      </c>
      <c r="AR2928" s="1">
        <v>6.02</v>
      </c>
      <c r="AS2928" s="1"/>
      <c r="AT2928" s="1"/>
      <c r="AU2928" s="1"/>
      <c r="AV2928" s="1"/>
      <c r="AW2928" s="1"/>
      <c r="AX2928" s="1"/>
      <c r="AY2928" s="1" t="s">
        <v>1217</v>
      </c>
      <c r="AZ2928" s="1" t="s">
        <v>47427</v>
      </c>
      <c r="BA2928" s="1"/>
      <c r="BB2928" s="1"/>
      <c r="BC2928" s="1" t="s">
        <v>871</v>
      </c>
      <c r="BD2928" s="1" t="s">
        <v>553</v>
      </c>
      <c r="BE2928" s="1">
        <v>78.7</v>
      </c>
      <c r="BF2928" s="1">
        <v>7.87</v>
      </c>
      <c r="BG2928" s="1"/>
      <c r="BH2928" s="1"/>
      <c r="BI2928" s="1"/>
      <c r="BJ2928" s="1"/>
      <c r="BK2928" s="1"/>
      <c r="BL2928" s="1"/>
      <c r="BM2928" s="1"/>
      <c r="BN2928" s="1"/>
      <c r="BO2928" s="1" t="s">
        <v>260</v>
      </c>
      <c r="BP2928" s="1"/>
      <c r="BQ2928" s="1"/>
      <c r="BR2928" s="1"/>
      <c r="BS2928" s="1"/>
      <c r="BT2928" s="1"/>
      <c r="BU2928" s="1" t="str">
        <f>HYPERLINK("https://nconnect.nicmar.ac.in/storage/profile/ProfilePhoto_P25709039_785649.jpg","Download")</f>
        <v>0</v>
      </c>
      <c r="BV2928" s="3"/>
      <c r="BW2928" s="3"/>
    </row>
    <row r="2929" spans="1:75">
      <c r="A2929" s="1" t="s">
        <v>46264</v>
      </c>
      <c r="B2929" s="1" t="s">
        <v>446</v>
      </c>
      <c r="C2929" s="1" t="s">
        <v>47428</v>
      </c>
      <c r="D2929" s="1" t="s">
        <v>11148</v>
      </c>
      <c r="E2929" s="1" t="s">
        <v>47429</v>
      </c>
      <c r="F2929" s="1" t="s">
        <v>3667</v>
      </c>
      <c r="G2929" s="1" t="s">
        <v>47430</v>
      </c>
      <c r="H2929" s="1" t="s">
        <v>47431</v>
      </c>
      <c r="I2929" s="1" t="s">
        <v>47432</v>
      </c>
      <c r="J2929" s="1">
        <v>7490035252</v>
      </c>
      <c r="K2929" s="1" t="s">
        <v>84</v>
      </c>
      <c r="L2929" s="1" t="s">
        <v>3005</v>
      </c>
      <c r="M2929" s="1" t="s">
        <v>86</v>
      </c>
      <c r="N2929" s="1" t="s">
        <v>47433</v>
      </c>
      <c r="O2929" s="1"/>
      <c r="P2929" s="1" t="s">
        <v>2062</v>
      </c>
      <c r="Q2929" s="1" t="s">
        <v>47434</v>
      </c>
      <c r="R2929" s="1" t="s">
        <v>47429</v>
      </c>
      <c r="S2929" s="1">
        <v>8200340077</v>
      </c>
      <c r="T2929" s="1" t="s">
        <v>839</v>
      </c>
      <c r="U2929" s="1" t="s">
        <v>29869</v>
      </c>
      <c r="V2929" s="1">
        <v>7490010999</v>
      </c>
      <c r="W2929" s="1" t="s">
        <v>8999</v>
      </c>
      <c r="X2929" s="1" t="s">
        <v>47435</v>
      </c>
      <c r="Y2929" s="1" t="s">
        <v>14319</v>
      </c>
      <c r="Z2929" s="1" t="s">
        <v>676</v>
      </c>
      <c r="AA2929" s="1" t="s">
        <v>47435</v>
      </c>
      <c r="AB2929" s="1" t="s">
        <v>14319</v>
      </c>
      <c r="AC2929" s="1" t="s">
        <v>676</v>
      </c>
      <c r="AD2929" s="1" t="s">
        <v>98</v>
      </c>
      <c r="AE2929" s="1" t="s">
        <v>98</v>
      </c>
      <c r="AF2929" s="1" t="s">
        <v>47436</v>
      </c>
      <c r="AG2929" s="1" t="s">
        <v>47437</v>
      </c>
      <c r="AH2929" s="1" t="s">
        <v>174</v>
      </c>
      <c r="AI2929" s="1" t="s">
        <v>547</v>
      </c>
      <c r="AJ2929" s="1">
        <v>78.33</v>
      </c>
      <c r="AK2929" s="1"/>
      <c r="AL2929" s="1" t="s">
        <v>47438</v>
      </c>
      <c r="AM2929" s="1" t="s">
        <v>47437</v>
      </c>
      <c r="AN2929" s="1"/>
      <c r="AO2929" s="1" t="s">
        <v>178</v>
      </c>
      <c r="AP2929" s="1" t="s">
        <v>847</v>
      </c>
      <c r="AQ2929" s="1">
        <v>81.25</v>
      </c>
      <c r="AR2929" s="1"/>
      <c r="AS2929" s="1"/>
      <c r="AT2929" s="1"/>
      <c r="AU2929" s="1"/>
      <c r="AV2929" s="1"/>
      <c r="AW2929" s="1"/>
      <c r="AX2929" s="1"/>
      <c r="AY2929" s="1" t="s">
        <v>46885</v>
      </c>
      <c r="AZ2929" s="1" t="s">
        <v>47439</v>
      </c>
      <c r="BA2929" s="1"/>
      <c r="BB2929" s="1"/>
      <c r="BC2929" s="1" t="s">
        <v>441</v>
      </c>
      <c r="BD2929" s="1" t="s">
        <v>607</v>
      </c>
      <c r="BE2929" s="1">
        <v>79.7</v>
      </c>
      <c r="BF2929" s="1">
        <v>8.47</v>
      </c>
      <c r="BG2929" s="1"/>
      <c r="BH2929" s="1"/>
      <c r="BI2929" s="1"/>
      <c r="BJ2929" s="1"/>
      <c r="BK2929" s="1"/>
      <c r="BL2929" s="1"/>
      <c r="BM2929" s="1"/>
      <c r="BN2929" s="1"/>
      <c r="BO2929" s="1" t="s">
        <v>260</v>
      </c>
      <c r="BP2929" s="1"/>
      <c r="BQ2929" s="1"/>
      <c r="BR2929" s="1"/>
      <c r="BS2929" s="1"/>
      <c r="BT2929" s="1"/>
      <c r="BU2929" s="1" t="str">
        <f>HYPERLINK("https://nconnect.nicmar.ac.in/storage/profile/ProfilePhoto_P25709041_593467.jpg","Download")</f>
        <v>0</v>
      </c>
      <c r="BV2929" s="3"/>
      <c r="BW2929" s="3"/>
    </row>
    <row r="2930" spans="1:75">
      <c r="A2930" s="1" t="s">
        <v>46264</v>
      </c>
      <c r="B2930" s="1" t="s">
        <v>446</v>
      </c>
      <c r="C2930" s="1" t="s">
        <v>47440</v>
      </c>
      <c r="D2930" s="1" t="s">
        <v>47441</v>
      </c>
      <c r="E2930" s="1"/>
      <c r="F2930" s="1" t="s">
        <v>47442</v>
      </c>
      <c r="G2930" s="1" t="s">
        <v>47443</v>
      </c>
      <c r="H2930" s="1" t="s">
        <v>47444</v>
      </c>
      <c r="I2930" s="1" t="s">
        <v>47445</v>
      </c>
      <c r="J2930" s="1">
        <v>7736475220</v>
      </c>
      <c r="K2930" s="1" t="s">
        <v>153</v>
      </c>
      <c r="L2930" s="1" t="s">
        <v>47446</v>
      </c>
      <c r="M2930" s="1" t="s">
        <v>86</v>
      </c>
      <c r="N2930" s="1" t="s">
        <v>47447</v>
      </c>
      <c r="O2930" s="1"/>
      <c r="P2930" s="1" t="s">
        <v>481</v>
      </c>
      <c r="Q2930" s="1" t="s">
        <v>47448</v>
      </c>
      <c r="R2930" s="1" t="s">
        <v>47449</v>
      </c>
      <c r="S2930" s="1">
        <v>7736348899</v>
      </c>
      <c r="T2930" s="1" t="s">
        <v>13499</v>
      </c>
      <c r="U2930" s="1" t="s">
        <v>47450</v>
      </c>
      <c r="V2930" s="1">
        <v>9497600778</v>
      </c>
      <c r="W2930" s="1" t="s">
        <v>541</v>
      </c>
      <c r="X2930" s="1" t="s">
        <v>47451</v>
      </c>
      <c r="Y2930" s="1" t="s">
        <v>7679</v>
      </c>
      <c r="Z2930" s="1" t="s">
        <v>130</v>
      </c>
      <c r="AA2930" s="1" t="s">
        <v>47451</v>
      </c>
      <c r="AB2930" s="1" t="s">
        <v>7679</v>
      </c>
      <c r="AC2930" s="1" t="s">
        <v>130</v>
      </c>
      <c r="AD2930" s="1">
        <v>8.29</v>
      </c>
      <c r="AE2930" s="1" t="s">
        <v>98</v>
      </c>
      <c r="AF2930" s="1" t="s">
        <v>45120</v>
      </c>
      <c r="AG2930" s="1" t="s">
        <v>47452</v>
      </c>
      <c r="AH2930" s="1" t="s">
        <v>170</v>
      </c>
      <c r="AI2930" s="1" t="s">
        <v>171</v>
      </c>
      <c r="AJ2930" s="1">
        <v>80.6</v>
      </c>
      <c r="AK2930" s="1"/>
      <c r="AL2930" s="1" t="s">
        <v>45120</v>
      </c>
      <c r="AM2930" s="1" t="s">
        <v>11816</v>
      </c>
      <c r="AN2930" s="1"/>
      <c r="AO2930" s="1" t="s">
        <v>438</v>
      </c>
      <c r="AP2930" s="1" t="s">
        <v>178</v>
      </c>
      <c r="AQ2930" s="1">
        <v>83.6</v>
      </c>
      <c r="AR2930" s="1"/>
      <c r="AS2930" s="1"/>
      <c r="AT2930" s="1"/>
      <c r="AU2930" s="1"/>
      <c r="AV2930" s="1"/>
      <c r="AW2930" s="1"/>
      <c r="AX2930" s="1"/>
      <c r="AY2930" s="1" t="s">
        <v>137</v>
      </c>
      <c r="AZ2930" s="1" t="s">
        <v>47453</v>
      </c>
      <c r="BA2930" s="1"/>
      <c r="BB2930" s="1"/>
      <c r="BC2930" s="1" t="s">
        <v>175</v>
      </c>
      <c r="BD2930" s="1" t="s">
        <v>1268</v>
      </c>
      <c r="BE2930" s="1">
        <v>67</v>
      </c>
      <c r="BF2930" s="1"/>
      <c r="BG2930" s="1"/>
      <c r="BH2930" s="1"/>
      <c r="BI2930" s="1"/>
      <c r="BJ2930" s="1"/>
      <c r="BK2930" s="1"/>
      <c r="BL2930" s="1"/>
      <c r="BM2930" s="1"/>
      <c r="BN2930" s="1"/>
      <c r="BO2930" s="1" t="s">
        <v>47454</v>
      </c>
      <c r="BP2930" s="1"/>
      <c r="BQ2930" s="1"/>
      <c r="BR2930" s="1" t="s">
        <v>47455</v>
      </c>
      <c r="BS2930" s="1"/>
      <c r="BT2930" s="1"/>
      <c r="BU2930" s="1" t="str">
        <f>HYPERLINK("https://nconnect.nicmar.ac.in/storage/profile/ProfilePhoto_P25709042_821537.jpg","Download")</f>
        <v>0</v>
      </c>
      <c r="BV2930" s="3"/>
      <c r="BW2930" s="3"/>
    </row>
    <row r="2931" spans="1:75">
      <c r="A2931" s="1" t="s">
        <v>46264</v>
      </c>
      <c r="B2931" s="1" t="s">
        <v>446</v>
      </c>
      <c r="C2931" s="1" t="s">
        <v>47456</v>
      </c>
      <c r="D2931" s="1" t="s">
        <v>47457</v>
      </c>
      <c r="E2931" s="1"/>
      <c r="F2931" s="1" t="s">
        <v>47458</v>
      </c>
      <c r="G2931" s="1" t="s">
        <v>47459</v>
      </c>
      <c r="H2931" s="1" t="s">
        <v>47460</v>
      </c>
      <c r="I2931" s="1" t="s">
        <v>47461</v>
      </c>
      <c r="J2931" s="1">
        <v>7736841572</v>
      </c>
      <c r="K2931" s="1" t="s">
        <v>153</v>
      </c>
      <c r="L2931" s="1" t="s">
        <v>47462</v>
      </c>
      <c r="M2931" s="1" t="s">
        <v>86</v>
      </c>
      <c r="N2931" s="1" t="s">
        <v>17950</v>
      </c>
      <c r="O2931" s="1"/>
      <c r="P2931" s="1" t="s">
        <v>455</v>
      </c>
      <c r="Q2931" s="1" t="s">
        <v>47463</v>
      </c>
      <c r="R2931" s="1" t="s">
        <v>47464</v>
      </c>
      <c r="S2931" s="1">
        <v>8281835272</v>
      </c>
      <c r="T2931" s="1" t="s">
        <v>47465</v>
      </c>
      <c r="U2931" s="1" t="s">
        <v>47466</v>
      </c>
      <c r="V2931" s="1">
        <v>9496142569</v>
      </c>
      <c r="W2931" s="1" t="s">
        <v>47467</v>
      </c>
      <c r="X2931" s="1" t="s">
        <v>47468</v>
      </c>
      <c r="Y2931" s="1" t="s">
        <v>3190</v>
      </c>
      <c r="Z2931" s="1" t="s">
        <v>130</v>
      </c>
      <c r="AA2931" s="1" t="s">
        <v>47468</v>
      </c>
      <c r="AB2931" s="1" t="s">
        <v>3190</v>
      </c>
      <c r="AC2931" s="1" t="s">
        <v>130</v>
      </c>
      <c r="AD2931" s="1">
        <v>8.42</v>
      </c>
      <c r="AE2931" s="1" t="s">
        <v>98</v>
      </c>
      <c r="AF2931" s="1" t="s">
        <v>47469</v>
      </c>
      <c r="AG2931" s="1" t="s">
        <v>47470</v>
      </c>
      <c r="AH2931" s="1" t="s">
        <v>388</v>
      </c>
      <c r="AI2931" s="1" t="s">
        <v>286</v>
      </c>
      <c r="AJ2931" s="1">
        <v>80</v>
      </c>
      <c r="AK2931" s="1"/>
      <c r="AL2931" s="1" t="s">
        <v>47471</v>
      </c>
      <c r="AM2931" s="1" t="s">
        <v>47470</v>
      </c>
      <c r="AN2931" s="1"/>
      <c r="AO2931" s="1" t="s">
        <v>178</v>
      </c>
      <c r="AP2931" s="1" t="s">
        <v>1192</v>
      </c>
      <c r="AQ2931" s="1">
        <v>93</v>
      </c>
      <c r="AR2931" s="1"/>
      <c r="AS2931" s="1"/>
      <c r="AT2931" s="1"/>
      <c r="AU2931" s="1"/>
      <c r="AV2931" s="1"/>
      <c r="AW2931" s="1"/>
      <c r="AX2931" s="1"/>
      <c r="AY2931" s="1" t="s">
        <v>137</v>
      </c>
      <c r="AZ2931" s="1" t="s">
        <v>47472</v>
      </c>
      <c r="BA2931" s="1"/>
      <c r="BB2931" s="1"/>
      <c r="BC2931" s="1" t="s">
        <v>140</v>
      </c>
      <c r="BD2931" s="1" t="s">
        <v>607</v>
      </c>
      <c r="BE2931" s="1">
        <v>68.9</v>
      </c>
      <c r="BF2931" s="1">
        <v>6.89</v>
      </c>
      <c r="BG2931" s="1"/>
      <c r="BH2931" s="1"/>
      <c r="BI2931" s="1"/>
      <c r="BJ2931" s="1"/>
      <c r="BK2931" s="1"/>
      <c r="BL2931" s="1"/>
      <c r="BM2931" s="1"/>
      <c r="BN2931" s="1"/>
      <c r="BO2931" s="1" t="s">
        <v>47473</v>
      </c>
      <c r="BP2931" s="1"/>
      <c r="BQ2931" s="1"/>
      <c r="BR2931" s="1" t="s">
        <v>47474</v>
      </c>
      <c r="BS2931" s="1">
        <v>1</v>
      </c>
      <c r="BT2931" s="1"/>
      <c r="BU2931" s="1" t="str">
        <f>HYPERLINK("https://nconnect.nicmar.ac.in/storage/profile/ProfilePhoto_P25709043_578941.jpg","Download")</f>
        <v>0</v>
      </c>
      <c r="BV2931" s="3"/>
      <c r="BW2931" s="3"/>
    </row>
    <row r="2932" spans="1:75">
      <c r="A2932" s="1" t="s">
        <v>46264</v>
      </c>
      <c r="B2932" s="1" t="s">
        <v>446</v>
      </c>
      <c r="C2932" s="1" t="s">
        <v>47475</v>
      </c>
      <c r="D2932" s="1" t="s">
        <v>47476</v>
      </c>
      <c r="E2932" s="1" t="s">
        <v>47477</v>
      </c>
      <c r="F2932" s="1" t="s">
        <v>116</v>
      </c>
      <c r="G2932" s="1" t="s">
        <v>47478</v>
      </c>
      <c r="H2932" s="1" t="s">
        <v>47479</v>
      </c>
      <c r="I2932" s="1" t="s">
        <v>47480</v>
      </c>
      <c r="J2932" s="1">
        <v>8078036427</v>
      </c>
      <c r="K2932" s="1" t="s">
        <v>84</v>
      </c>
      <c r="L2932" s="1" t="s">
        <v>45960</v>
      </c>
      <c r="M2932" s="1" t="s">
        <v>86</v>
      </c>
      <c r="N2932" s="1" t="s">
        <v>47481</v>
      </c>
      <c r="O2932" s="1"/>
      <c r="P2932" s="1" t="s">
        <v>455</v>
      </c>
      <c r="Q2932" s="1" t="s">
        <v>47482</v>
      </c>
      <c r="R2932" s="1" t="s">
        <v>47483</v>
      </c>
      <c r="S2932" s="1">
        <v>9446106945</v>
      </c>
      <c r="T2932" s="1" t="s">
        <v>47484</v>
      </c>
      <c r="U2932" s="1" t="s">
        <v>47485</v>
      </c>
      <c r="V2932" s="1">
        <v>9447808990</v>
      </c>
      <c r="W2932" s="1" t="s">
        <v>47486</v>
      </c>
      <c r="X2932" s="1" t="s">
        <v>47487</v>
      </c>
      <c r="Y2932" s="1" t="s">
        <v>5313</v>
      </c>
      <c r="Z2932" s="1" t="s">
        <v>130</v>
      </c>
      <c r="AA2932" s="1" t="s">
        <v>47488</v>
      </c>
      <c r="AB2932" s="1" t="s">
        <v>3190</v>
      </c>
      <c r="AC2932" s="1" t="s">
        <v>130</v>
      </c>
      <c r="AD2932" s="1">
        <v>7.87</v>
      </c>
      <c r="AE2932" s="1" t="s">
        <v>98</v>
      </c>
      <c r="AF2932" s="1" t="s">
        <v>47489</v>
      </c>
      <c r="AG2932" s="1" t="s">
        <v>2475</v>
      </c>
      <c r="AH2932" s="1" t="s">
        <v>170</v>
      </c>
      <c r="AI2932" s="1" t="s">
        <v>313</v>
      </c>
      <c r="AJ2932" s="1">
        <v>90.5</v>
      </c>
      <c r="AK2932" s="1"/>
      <c r="AL2932" s="1" t="s">
        <v>47490</v>
      </c>
      <c r="AM2932" s="1" t="s">
        <v>2475</v>
      </c>
      <c r="AN2932" s="1"/>
      <c r="AO2932" s="1" t="s">
        <v>206</v>
      </c>
      <c r="AP2932" s="1" t="s">
        <v>549</v>
      </c>
      <c r="AQ2932" s="1">
        <v>85.8</v>
      </c>
      <c r="AR2932" s="1"/>
      <c r="AS2932" s="1"/>
      <c r="AT2932" s="1"/>
      <c r="AU2932" s="1"/>
      <c r="AV2932" s="1"/>
      <c r="AW2932" s="1"/>
      <c r="AX2932" s="1"/>
      <c r="AY2932" s="1" t="s">
        <v>137</v>
      </c>
      <c r="AZ2932" s="1" t="s">
        <v>22841</v>
      </c>
      <c r="BA2932" s="1"/>
      <c r="BB2932" s="1"/>
      <c r="BC2932" s="1" t="s">
        <v>606</v>
      </c>
      <c r="BD2932" s="1" t="s">
        <v>848</v>
      </c>
      <c r="BE2932" s="1">
        <v>67.1</v>
      </c>
      <c r="BF2932" s="1">
        <v>6.71</v>
      </c>
      <c r="BG2932" s="1"/>
      <c r="BH2932" s="1"/>
      <c r="BI2932" s="1"/>
      <c r="BJ2932" s="1"/>
      <c r="BK2932" s="1"/>
      <c r="BL2932" s="1"/>
      <c r="BM2932" s="1"/>
      <c r="BN2932" s="1"/>
      <c r="BO2932" s="1" t="s">
        <v>47491</v>
      </c>
      <c r="BP2932" s="1"/>
      <c r="BQ2932" s="1"/>
      <c r="BR2932" s="1"/>
      <c r="BS2932" s="1"/>
      <c r="BT2932" s="1"/>
      <c r="BU2932" s="1" t="str">
        <f>HYPERLINK("https://nconnect.nicmar.ac.in/storage/profile/ProfilePhoto_P25709044_758396.jpg","Download")</f>
        <v>0</v>
      </c>
      <c r="BV2932" s="3"/>
      <c r="BW2932" s="3"/>
    </row>
    <row r="2933" spans="1:75">
      <c r="A2933" s="1" t="s">
        <v>46264</v>
      </c>
      <c r="B2933" s="1" t="s">
        <v>446</v>
      </c>
      <c r="C2933" s="1" t="s">
        <v>47492</v>
      </c>
      <c r="D2933" s="1" t="s">
        <v>1444</v>
      </c>
      <c r="E2933" s="1"/>
      <c r="F2933" s="1" t="s">
        <v>47493</v>
      </c>
      <c r="G2933" s="1" t="s">
        <v>47494</v>
      </c>
      <c r="H2933" s="1" t="s">
        <v>47495</v>
      </c>
      <c r="I2933" s="1" t="s">
        <v>47496</v>
      </c>
      <c r="J2933" s="1">
        <v>9486282898</v>
      </c>
      <c r="K2933" s="1" t="s">
        <v>84</v>
      </c>
      <c r="L2933" s="1" t="s">
        <v>16434</v>
      </c>
      <c r="M2933" s="1" t="s">
        <v>86</v>
      </c>
      <c r="N2933" s="1" t="s">
        <v>1492</v>
      </c>
      <c r="O2933" s="1"/>
      <c r="P2933" s="1" t="s">
        <v>2062</v>
      </c>
      <c r="Q2933" s="1" t="s">
        <v>47497</v>
      </c>
      <c r="R2933" s="1" t="s">
        <v>47498</v>
      </c>
      <c r="S2933" s="1">
        <v>9443163562</v>
      </c>
      <c r="T2933" s="1" t="s">
        <v>159</v>
      </c>
      <c r="U2933" s="1" t="s">
        <v>47499</v>
      </c>
      <c r="V2933" s="1">
        <v>9442263562</v>
      </c>
      <c r="W2933" s="1" t="s">
        <v>278</v>
      </c>
      <c r="X2933" s="1" t="s">
        <v>47500</v>
      </c>
      <c r="Y2933" s="1" t="s">
        <v>6938</v>
      </c>
      <c r="Z2933" s="1" t="s">
        <v>570</v>
      </c>
      <c r="AA2933" s="1" t="s">
        <v>47500</v>
      </c>
      <c r="AB2933" s="1" t="s">
        <v>6938</v>
      </c>
      <c r="AC2933" s="1" t="s">
        <v>570</v>
      </c>
      <c r="AD2933" s="1">
        <v>7.87</v>
      </c>
      <c r="AE2933" s="1" t="s">
        <v>98</v>
      </c>
      <c r="AF2933" s="1" t="s">
        <v>47501</v>
      </c>
      <c r="AG2933" s="1" t="s">
        <v>47502</v>
      </c>
      <c r="AH2933" s="1" t="s">
        <v>607</v>
      </c>
      <c r="AI2933" s="1" t="s">
        <v>547</v>
      </c>
      <c r="AJ2933" s="1">
        <v>86.6</v>
      </c>
      <c r="AK2933" s="1"/>
      <c r="AL2933" s="1" t="s">
        <v>47501</v>
      </c>
      <c r="AM2933" s="1" t="s">
        <v>47502</v>
      </c>
      <c r="AN2933" s="1"/>
      <c r="AO2933" s="1" t="s">
        <v>178</v>
      </c>
      <c r="AP2933" s="1" t="s">
        <v>549</v>
      </c>
      <c r="AQ2933" s="1">
        <v>88.78</v>
      </c>
      <c r="AR2933" s="1"/>
      <c r="AS2933" s="1"/>
      <c r="AT2933" s="1"/>
      <c r="AU2933" s="1"/>
      <c r="AV2933" s="1"/>
      <c r="AW2933" s="1"/>
      <c r="AX2933" s="1"/>
      <c r="AY2933" s="1" t="s">
        <v>47503</v>
      </c>
      <c r="AZ2933" s="1" t="s">
        <v>47503</v>
      </c>
      <c r="BA2933" s="1"/>
      <c r="BB2933" s="1"/>
      <c r="BC2933" s="1" t="s">
        <v>441</v>
      </c>
      <c r="BD2933" s="1" t="s">
        <v>553</v>
      </c>
      <c r="BE2933" s="1">
        <v>83.2</v>
      </c>
      <c r="BF2933" s="1">
        <v>8.32</v>
      </c>
      <c r="BG2933" s="1"/>
      <c r="BH2933" s="1"/>
      <c r="BI2933" s="1"/>
      <c r="BJ2933" s="1"/>
      <c r="BK2933" s="1"/>
      <c r="BL2933" s="1"/>
      <c r="BM2933" s="1"/>
      <c r="BN2933" s="1"/>
      <c r="BO2933" s="1" t="s">
        <v>47504</v>
      </c>
      <c r="BP2933" s="1"/>
      <c r="BQ2933" s="1"/>
      <c r="BR2933" s="1" t="s">
        <v>47505</v>
      </c>
      <c r="BS2933" s="1">
        <v>4</v>
      </c>
      <c r="BT2933" s="1"/>
      <c r="BU2933" s="1" t="str">
        <f>HYPERLINK("https://nconnect.nicmar.ac.in/storage/profile/ProfilePhoto_P25709045_597318.jpg","Download")</f>
        <v>0</v>
      </c>
      <c r="BV2933" s="3"/>
      <c r="BW2933" s="3"/>
    </row>
    <row r="2934" spans="1:75">
      <c r="A2934" s="1" t="s">
        <v>46264</v>
      </c>
      <c r="B2934" s="1" t="s">
        <v>446</v>
      </c>
      <c r="C2934" s="1" t="s">
        <v>47506</v>
      </c>
      <c r="D2934" s="1" t="s">
        <v>587</v>
      </c>
      <c r="E2934" s="1"/>
      <c r="F2934" s="1" t="s">
        <v>47507</v>
      </c>
      <c r="G2934" s="1" t="s">
        <v>47508</v>
      </c>
      <c r="H2934" s="1" t="s">
        <v>47509</v>
      </c>
      <c r="I2934" s="1" t="s">
        <v>47510</v>
      </c>
      <c r="J2934" s="1">
        <v>8870799375</v>
      </c>
      <c r="K2934" s="1" t="s">
        <v>84</v>
      </c>
      <c r="L2934" s="1" t="s">
        <v>5545</v>
      </c>
      <c r="M2934" s="1" t="s">
        <v>86</v>
      </c>
      <c r="N2934" s="1" t="s">
        <v>47511</v>
      </c>
      <c r="O2934" s="1"/>
      <c r="P2934" s="1" t="s">
        <v>455</v>
      </c>
      <c r="Q2934" s="1" t="s">
        <v>47512</v>
      </c>
      <c r="R2934" s="1" t="s">
        <v>27529</v>
      </c>
      <c r="S2934" s="1">
        <v>6380440322</v>
      </c>
      <c r="T2934" s="1" t="s">
        <v>31653</v>
      </c>
      <c r="U2934" s="1" t="s">
        <v>47513</v>
      </c>
      <c r="V2934" s="1">
        <v>8220245772</v>
      </c>
      <c r="W2934" s="1" t="s">
        <v>161</v>
      </c>
      <c r="X2934" s="1" t="s">
        <v>47514</v>
      </c>
      <c r="Y2934" s="1" t="s">
        <v>18215</v>
      </c>
      <c r="Z2934" s="1" t="s">
        <v>570</v>
      </c>
      <c r="AA2934" s="1" t="s">
        <v>47515</v>
      </c>
      <c r="AB2934" s="1" t="s">
        <v>18215</v>
      </c>
      <c r="AC2934" s="1" t="s">
        <v>570</v>
      </c>
      <c r="AD2934" s="1">
        <v>7.42</v>
      </c>
      <c r="AE2934" s="1" t="s">
        <v>98</v>
      </c>
      <c r="AF2934" s="1" t="s">
        <v>47516</v>
      </c>
      <c r="AG2934" s="1" t="s">
        <v>312</v>
      </c>
      <c r="AH2934" s="1" t="s">
        <v>167</v>
      </c>
      <c r="AI2934" s="1" t="s">
        <v>170</v>
      </c>
      <c r="AJ2934" s="1">
        <v>87.4</v>
      </c>
      <c r="AK2934" s="1">
        <v>9.2</v>
      </c>
      <c r="AL2934" s="1" t="s">
        <v>47517</v>
      </c>
      <c r="AM2934" s="1" t="s">
        <v>312</v>
      </c>
      <c r="AN2934" s="1"/>
      <c r="AO2934" s="1" t="s">
        <v>171</v>
      </c>
      <c r="AP2934" s="1" t="s">
        <v>313</v>
      </c>
      <c r="AQ2934" s="1">
        <v>61.4</v>
      </c>
      <c r="AR2934" s="1"/>
      <c r="AS2934" s="1"/>
      <c r="AT2934" s="1"/>
      <c r="AU2934" s="1"/>
      <c r="AV2934" s="1"/>
      <c r="AW2934" s="1"/>
      <c r="AX2934" s="1"/>
      <c r="AY2934" s="1" t="s">
        <v>576</v>
      </c>
      <c r="AZ2934" s="1" t="s">
        <v>47518</v>
      </c>
      <c r="BA2934" s="1"/>
      <c r="BB2934" s="1"/>
      <c r="BC2934" s="1" t="s">
        <v>313</v>
      </c>
      <c r="BD2934" s="1" t="s">
        <v>579</v>
      </c>
      <c r="BE2934" s="1">
        <v>73</v>
      </c>
      <c r="BF2934" s="1">
        <v>7.3</v>
      </c>
      <c r="BG2934" s="1"/>
      <c r="BH2934" s="1"/>
      <c r="BI2934" s="1"/>
      <c r="BJ2934" s="1"/>
      <c r="BK2934" s="1"/>
      <c r="BL2934" s="1"/>
      <c r="BM2934" s="1"/>
      <c r="BN2934" s="1"/>
      <c r="BO2934" s="1" t="s">
        <v>849</v>
      </c>
      <c r="BP2934" s="1"/>
      <c r="BQ2934" s="1"/>
      <c r="BR2934" s="1"/>
      <c r="BS2934" s="1"/>
      <c r="BT2934" s="1"/>
      <c r="BU2934" s="1" t="str">
        <f>HYPERLINK("https://nconnect.nicmar.ac.in/storage/profile/ProfilePhoto_P25709046_569812.jpg","Download")</f>
        <v>0</v>
      </c>
      <c r="BV2934" s="3"/>
      <c r="BW2934" s="3"/>
    </row>
    <row r="2935" spans="1:75">
      <c r="A2935" s="1" t="s">
        <v>46264</v>
      </c>
      <c r="B2935" s="1" t="s">
        <v>446</v>
      </c>
      <c r="C2935" s="1" t="s">
        <v>47519</v>
      </c>
      <c r="D2935" s="1" t="s">
        <v>457</v>
      </c>
      <c r="E2935" s="1" t="s">
        <v>5771</v>
      </c>
      <c r="F2935" s="1" t="s">
        <v>47520</v>
      </c>
      <c r="G2935" s="1" t="s">
        <v>47521</v>
      </c>
      <c r="H2935" s="1" t="s">
        <v>47522</v>
      </c>
      <c r="I2935" s="1" t="s">
        <v>47523</v>
      </c>
      <c r="J2935" s="1">
        <v>9324339511</v>
      </c>
      <c r="K2935" s="1" t="s">
        <v>84</v>
      </c>
      <c r="L2935" s="1" t="s">
        <v>857</v>
      </c>
      <c r="M2935" s="1" t="s">
        <v>86</v>
      </c>
      <c r="N2935" s="1" t="s">
        <v>47524</v>
      </c>
      <c r="O2935" s="1"/>
      <c r="P2935" s="1" t="s">
        <v>507</v>
      </c>
      <c r="Q2935" s="1" t="s">
        <v>47525</v>
      </c>
      <c r="R2935" s="1" t="s">
        <v>47526</v>
      </c>
      <c r="S2935" s="1">
        <v>9969581615</v>
      </c>
      <c r="T2935" s="1" t="s">
        <v>926</v>
      </c>
      <c r="U2935" s="1" t="s">
        <v>47527</v>
      </c>
      <c r="V2935" s="1">
        <v>7240661318</v>
      </c>
      <c r="W2935" s="1" t="s">
        <v>161</v>
      </c>
      <c r="X2935" s="1" t="s">
        <v>47528</v>
      </c>
      <c r="Y2935" s="1" t="s">
        <v>47529</v>
      </c>
      <c r="Z2935" s="1" t="s">
        <v>2153</v>
      </c>
      <c r="AA2935" s="1" t="s">
        <v>47528</v>
      </c>
      <c r="AB2935" s="1" t="s">
        <v>47529</v>
      </c>
      <c r="AC2935" s="1" t="s">
        <v>2153</v>
      </c>
      <c r="AD2935" s="1">
        <v>8.18</v>
      </c>
      <c r="AE2935" s="1" t="s">
        <v>98</v>
      </c>
      <c r="AF2935" s="1" t="s">
        <v>47530</v>
      </c>
      <c r="AG2935" s="1" t="s">
        <v>47531</v>
      </c>
      <c r="AH2935" s="1" t="s">
        <v>171</v>
      </c>
      <c r="AI2935" s="1" t="s">
        <v>438</v>
      </c>
      <c r="AJ2935" s="1">
        <v>74</v>
      </c>
      <c r="AK2935" s="1">
        <v>0</v>
      </c>
      <c r="AL2935" s="1"/>
      <c r="AM2935" s="1"/>
      <c r="AN2935" s="1"/>
      <c r="AO2935" s="1"/>
      <c r="AP2935" s="1"/>
      <c r="AQ2935" s="1"/>
      <c r="AR2935" s="1"/>
      <c r="AS2935" s="1" t="s">
        <v>103</v>
      </c>
      <c r="AT2935" s="1" t="s">
        <v>47532</v>
      </c>
      <c r="AU2935" s="1" t="s">
        <v>206</v>
      </c>
      <c r="AV2935" s="1" t="s">
        <v>1400</v>
      </c>
      <c r="AW2935" s="1">
        <v>68.47</v>
      </c>
      <c r="AX2935" s="1">
        <v>0</v>
      </c>
      <c r="AY2935" s="1" t="s">
        <v>28974</v>
      </c>
      <c r="AZ2935" s="1" t="s">
        <v>47533</v>
      </c>
      <c r="BA2935" s="1"/>
      <c r="BB2935" s="1"/>
      <c r="BC2935" s="1" t="s">
        <v>110</v>
      </c>
      <c r="BD2935" s="1" t="s">
        <v>848</v>
      </c>
      <c r="BE2935" s="1">
        <v>80.3</v>
      </c>
      <c r="BF2935" s="1">
        <v>8.03</v>
      </c>
      <c r="BG2935" s="1"/>
      <c r="BH2935" s="1"/>
      <c r="BI2935" s="1"/>
      <c r="BJ2935" s="1"/>
      <c r="BK2935" s="1"/>
      <c r="BL2935" s="1"/>
      <c r="BM2935" s="1"/>
      <c r="BN2935" s="1"/>
      <c r="BO2935" s="1" t="s">
        <v>260</v>
      </c>
      <c r="BP2935" s="1"/>
      <c r="BQ2935" s="1"/>
      <c r="BR2935" s="1" t="s">
        <v>47534</v>
      </c>
      <c r="BS2935" s="1">
        <v>10</v>
      </c>
      <c r="BT2935" s="1" t="s">
        <v>47535</v>
      </c>
      <c r="BU2935" s="1" t="str">
        <f>HYPERLINK("https://nconnect.nicmar.ac.in/storage/profile/ProfilePhoto_P25709047_291457.jpg","Download")</f>
        <v>0</v>
      </c>
      <c r="BV2935" s="3"/>
      <c r="BW2935" s="3"/>
    </row>
    <row r="2936" spans="1:75">
      <c r="A2936" s="1" t="s">
        <v>46264</v>
      </c>
      <c r="B2936" s="1" t="s">
        <v>446</v>
      </c>
      <c r="C2936" s="1" t="s">
        <v>47536</v>
      </c>
      <c r="D2936" s="1" t="s">
        <v>7146</v>
      </c>
      <c r="E2936" s="1" t="s">
        <v>10580</v>
      </c>
      <c r="F2936" s="1" t="s">
        <v>31335</v>
      </c>
      <c r="G2936" s="1" t="s">
        <v>47537</v>
      </c>
      <c r="H2936" s="1" t="s">
        <v>47538</v>
      </c>
      <c r="I2936" s="1" t="s">
        <v>47539</v>
      </c>
      <c r="J2936" s="1">
        <v>9226629099</v>
      </c>
      <c r="K2936" s="1" t="s">
        <v>84</v>
      </c>
      <c r="L2936" s="1" t="s">
        <v>24766</v>
      </c>
      <c r="M2936" s="1" t="s">
        <v>86</v>
      </c>
      <c r="N2936" s="1" t="s">
        <v>156</v>
      </c>
      <c r="O2936" s="1"/>
      <c r="P2936" s="1" t="s">
        <v>481</v>
      </c>
      <c r="Q2936" s="1" t="s">
        <v>47540</v>
      </c>
      <c r="R2936" s="1" t="s">
        <v>47541</v>
      </c>
      <c r="S2936" s="1">
        <v>9422271692</v>
      </c>
      <c r="T2936" s="1" t="s">
        <v>47542</v>
      </c>
      <c r="U2936" s="1" t="s">
        <v>47543</v>
      </c>
      <c r="V2936" s="1">
        <v>9834237208</v>
      </c>
      <c r="W2936" s="1" t="s">
        <v>161</v>
      </c>
      <c r="X2936" s="1" t="s">
        <v>47544</v>
      </c>
      <c r="Y2936" s="1" t="s">
        <v>910</v>
      </c>
      <c r="Z2936" s="1" t="s">
        <v>97</v>
      </c>
      <c r="AA2936" s="1" t="s">
        <v>47544</v>
      </c>
      <c r="AB2936" s="1" t="s">
        <v>910</v>
      </c>
      <c r="AC2936" s="1" t="s">
        <v>97</v>
      </c>
      <c r="AD2936" s="1">
        <v>9.21</v>
      </c>
      <c r="AE2936" s="1" t="s">
        <v>98</v>
      </c>
      <c r="AF2936" s="1" t="s">
        <v>3365</v>
      </c>
      <c r="AG2936" s="1" t="s">
        <v>11321</v>
      </c>
      <c r="AH2936" s="1" t="s">
        <v>170</v>
      </c>
      <c r="AI2936" s="1" t="s">
        <v>106</v>
      </c>
      <c r="AJ2936" s="1">
        <v>86.4</v>
      </c>
      <c r="AK2936" s="1">
        <v>0</v>
      </c>
      <c r="AL2936" s="1"/>
      <c r="AM2936" s="1"/>
      <c r="AN2936" s="1"/>
      <c r="AO2936" s="1"/>
      <c r="AP2936" s="1"/>
      <c r="AQ2936" s="1"/>
      <c r="AR2936" s="1"/>
      <c r="AS2936" s="1" t="s">
        <v>103</v>
      </c>
      <c r="AT2936" s="1" t="s">
        <v>47545</v>
      </c>
      <c r="AU2936" s="1" t="s">
        <v>1065</v>
      </c>
      <c r="AV2936" s="1" t="s">
        <v>441</v>
      </c>
      <c r="AW2936" s="1">
        <v>86.63</v>
      </c>
      <c r="AX2936" s="1">
        <v>0</v>
      </c>
      <c r="AY2936" s="1" t="s">
        <v>366</v>
      </c>
      <c r="AZ2936" s="1" t="s">
        <v>47546</v>
      </c>
      <c r="BA2936" s="1"/>
      <c r="BB2936" s="1"/>
      <c r="BC2936" s="1" t="s">
        <v>871</v>
      </c>
      <c r="BD2936" s="1" t="s">
        <v>848</v>
      </c>
      <c r="BE2936" s="1">
        <v>66.9</v>
      </c>
      <c r="BF2936" s="1">
        <v>7.44</v>
      </c>
      <c r="BG2936" s="1"/>
      <c r="BH2936" s="1"/>
      <c r="BI2936" s="1"/>
      <c r="BJ2936" s="1"/>
      <c r="BK2936" s="1"/>
      <c r="BL2936" s="1"/>
      <c r="BM2936" s="1"/>
      <c r="BN2936" s="1"/>
      <c r="BO2936" s="1" t="s">
        <v>260</v>
      </c>
      <c r="BP2936" s="1"/>
      <c r="BQ2936" s="1"/>
      <c r="BR2936" s="1"/>
      <c r="BS2936" s="1"/>
      <c r="BT2936" s="1"/>
      <c r="BU2936" s="1" t="str">
        <f>HYPERLINK("https://nconnect.nicmar.ac.in/storage/profile/ProfilePhoto_P25709048_348927.jpg","Download")</f>
        <v>0</v>
      </c>
      <c r="BV2936" s="3"/>
      <c r="BW2936" s="3"/>
    </row>
    <row r="2937" spans="1:75">
      <c r="A2937" s="1" t="s">
        <v>46264</v>
      </c>
      <c r="B2937" s="1" t="s">
        <v>446</v>
      </c>
      <c r="C2937" s="1" t="s">
        <v>47547</v>
      </c>
      <c r="D2937" s="1" t="s">
        <v>2097</v>
      </c>
      <c r="E2937" s="1" t="s">
        <v>47548</v>
      </c>
      <c r="F2937" s="1" t="s">
        <v>2735</v>
      </c>
      <c r="G2937" s="1" t="s">
        <v>47549</v>
      </c>
      <c r="H2937" s="1" t="s">
        <v>47550</v>
      </c>
      <c r="I2937" s="1" t="s">
        <v>47551</v>
      </c>
      <c r="J2937" s="1">
        <v>9921301084</v>
      </c>
      <c r="K2937" s="1" t="s">
        <v>84</v>
      </c>
      <c r="L2937" s="1" t="s">
        <v>16388</v>
      </c>
      <c r="M2937" s="1" t="s">
        <v>86</v>
      </c>
      <c r="N2937" s="1" t="s">
        <v>768</v>
      </c>
      <c r="O2937" s="1"/>
      <c r="P2937" s="1" t="s">
        <v>507</v>
      </c>
      <c r="Q2937" s="1" t="s">
        <v>47552</v>
      </c>
      <c r="R2937" s="1" t="s">
        <v>47553</v>
      </c>
      <c r="S2937" s="1">
        <v>9421899423</v>
      </c>
      <c r="T2937" s="1" t="s">
        <v>439</v>
      </c>
      <c r="U2937" s="1" t="s">
        <v>47554</v>
      </c>
      <c r="V2937" s="1">
        <v>9422561234</v>
      </c>
      <c r="W2937" s="1" t="s">
        <v>94</v>
      </c>
      <c r="X2937" s="1" t="s">
        <v>47555</v>
      </c>
      <c r="Y2937" s="1" t="s">
        <v>910</v>
      </c>
      <c r="Z2937" s="1" t="s">
        <v>97</v>
      </c>
      <c r="AA2937" s="1" t="s">
        <v>47555</v>
      </c>
      <c r="AB2937" s="1" t="s">
        <v>910</v>
      </c>
      <c r="AC2937" s="1" t="s">
        <v>97</v>
      </c>
      <c r="AD2937" s="1">
        <v>7.71</v>
      </c>
      <c r="AE2937" s="1" t="s">
        <v>98</v>
      </c>
      <c r="AF2937" s="1" t="s">
        <v>47556</v>
      </c>
      <c r="AG2937" s="1" t="s">
        <v>47557</v>
      </c>
      <c r="AH2937" s="1" t="s">
        <v>170</v>
      </c>
      <c r="AI2937" s="1" t="s">
        <v>313</v>
      </c>
      <c r="AJ2937" s="1">
        <v>67.57</v>
      </c>
      <c r="AK2937" s="1"/>
      <c r="AL2937" s="1"/>
      <c r="AM2937" s="1"/>
      <c r="AN2937" s="1"/>
      <c r="AO2937" s="1"/>
      <c r="AP2937" s="1"/>
      <c r="AQ2937" s="1"/>
      <c r="AR2937" s="1"/>
      <c r="AS2937" s="1" t="s">
        <v>103</v>
      </c>
      <c r="AT2937" s="1" t="s">
        <v>47558</v>
      </c>
      <c r="AU2937" s="1" t="s">
        <v>315</v>
      </c>
      <c r="AV2937" s="1" t="s">
        <v>289</v>
      </c>
      <c r="AW2937" s="1">
        <v>86.32</v>
      </c>
      <c r="AX2937" s="1"/>
      <c r="AY2937" s="1" t="s">
        <v>47559</v>
      </c>
      <c r="AZ2937" s="1" t="s">
        <v>47560</v>
      </c>
      <c r="BA2937" s="1"/>
      <c r="BB2937" s="1"/>
      <c r="BC2937" s="1" t="s">
        <v>1400</v>
      </c>
      <c r="BD2937" s="1" t="s">
        <v>848</v>
      </c>
      <c r="BE2937" s="1">
        <v>0</v>
      </c>
      <c r="BF2937" s="1">
        <v>2.78</v>
      </c>
      <c r="BG2937" s="1"/>
      <c r="BH2937" s="1"/>
      <c r="BI2937" s="1"/>
      <c r="BJ2937" s="1"/>
      <c r="BK2937" s="1"/>
      <c r="BL2937" s="1"/>
      <c r="BM2937" s="1"/>
      <c r="BN2937" s="1"/>
      <c r="BO2937" s="1" t="s">
        <v>47561</v>
      </c>
      <c r="BP2937" s="1"/>
      <c r="BQ2937" s="1"/>
      <c r="BR2937" s="1"/>
      <c r="BS2937" s="1"/>
      <c r="BT2937" s="1"/>
      <c r="BU2937" s="1" t="str">
        <f>HYPERLINK("https://nconnect.nicmar.ac.in/storage/profile/ProfilePhoto_P25709049_182359.jpg","Download")</f>
        <v>0</v>
      </c>
      <c r="BV2937" s="3"/>
      <c r="BW2937" s="3"/>
    </row>
    <row r="2938" spans="1:75">
      <c r="A2938" s="1" t="s">
        <v>46264</v>
      </c>
      <c r="B2938" s="1" t="s">
        <v>446</v>
      </c>
      <c r="C2938" s="1" t="s">
        <v>47562</v>
      </c>
      <c r="D2938" s="1" t="s">
        <v>47563</v>
      </c>
      <c r="E2938" s="1"/>
      <c r="F2938" s="1" t="s">
        <v>5151</v>
      </c>
      <c r="G2938" s="1" t="s">
        <v>47564</v>
      </c>
      <c r="H2938" s="1" t="s">
        <v>47565</v>
      </c>
      <c r="I2938" s="1" t="s">
        <v>47566</v>
      </c>
      <c r="J2938" s="1">
        <v>9893689890</v>
      </c>
      <c r="K2938" s="1" t="s">
        <v>153</v>
      </c>
      <c r="L2938" s="1" t="s">
        <v>5673</v>
      </c>
      <c r="M2938" s="1" t="s">
        <v>86</v>
      </c>
      <c r="N2938" s="1" t="s">
        <v>1163</v>
      </c>
      <c r="O2938" s="1"/>
      <c r="P2938" s="1" t="s">
        <v>2062</v>
      </c>
      <c r="Q2938" s="1" t="s">
        <v>47567</v>
      </c>
      <c r="R2938" s="1" t="s">
        <v>47568</v>
      </c>
      <c r="S2938" s="1">
        <v>9329009349</v>
      </c>
      <c r="T2938" s="1" t="s">
        <v>926</v>
      </c>
      <c r="U2938" s="1" t="s">
        <v>47569</v>
      </c>
      <c r="V2938" s="1">
        <v>9329555366</v>
      </c>
      <c r="W2938" s="1" t="s">
        <v>161</v>
      </c>
      <c r="X2938" s="1" t="s">
        <v>47570</v>
      </c>
      <c r="Y2938" s="1" t="s">
        <v>11762</v>
      </c>
      <c r="Z2938" s="1" t="s">
        <v>2933</v>
      </c>
      <c r="AA2938" s="1" t="s">
        <v>47570</v>
      </c>
      <c r="AB2938" s="1" t="s">
        <v>11762</v>
      </c>
      <c r="AC2938" s="1" t="s">
        <v>2933</v>
      </c>
      <c r="AD2938" s="1" t="s">
        <v>98</v>
      </c>
      <c r="AE2938" s="1" t="s">
        <v>98</v>
      </c>
      <c r="AF2938" s="1" t="s">
        <v>47571</v>
      </c>
      <c r="AG2938" s="1" t="s">
        <v>312</v>
      </c>
      <c r="AH2938" s="1" t="s">
        <v>490</v>
      </c>
      <c r="AI2938" s="1" t="s">
        <v>313</v>
      </c>
      <c r="AJ2938" s="1">
        <v>85.6</v>
      </c>
      <c r="AK2938" s="1"/>
      <c r="AL2938" s="1" t="s">
        <v>47571</v>
      </c>
      <c r="AM2938" s="1" t="s">
        <v>312</v>
      </c>
      <c r="AN2938" s="1"/>
      <c r="AO2938" s="1" t="s">
        <v>977</v>
      </c>
      <c r="AP2938" s="1" t="s">
        <v>549</v>
      </c>
      <c r="AQ2938" s="1">
        <v>88.9</v>
      </c>
      <c r="AR2938" s="1"/>
      <c r="AS2938" s="1"/>
      <c r="AT2938" s="1"/>
      <c r="AU2938" s="1"/>
      <c r="AV2938" s="1"/>
      <c r="AW2938" s="1"/>
      <c r="AX2938" s="1"/>
      <c r="AY2938" s="1" t="s">
        <v>5338</v>
      </c>
      <c r="AZ2938" s="1" t="s">
        <v>47572</v>
      </c>
      <c r="BA2938" s="1"/>
      <c r="BB2938" s="1"/>
      <c r="BC2938" s="1" t="s">
        <v>140</v>
      </c>
      <c r="BD2938" s="1" t="s">
        <v>848</v>
      </c>
      <c r="BE2938" s="1">
        <v>60.69</v>
      </c>
      <c r="BF2938" s="1"/>
      <c r="BG2938" s="1"/>
      <c r="BH2938" s="1"/>
      <c r="BI2938" s="1"/>
      <c r="BJ2938" s="1"/>
      <c r="BK2938" s="1"/>
      <c r="BL2938" s="1"/>
      <c r="BM2938" s="1"/>
      <c r="BN2938" s="1"/>
      <c r="BO2938" s="1" t="s">
        <v>47573</v>
      </c>
      <c r="BP2938" s="1"/>
      <c r="BQ2938" s="1"/>
      <c r="BR2938" s="1" t="s">
        <v>47574</v>
      </c>
      <c r="BS2938" s="1">
        <v>5</v>
      </c>
      <c r="BT2938" s="1"/>
      <c r="BU2938" s="1" t="str">
        <f>HYPERLINK("https://nconnect.nicmar.ac.in/storage/profile/ProfilePhoto_P25709050_634128.jpg","Download")</f>
        <v>0</v>
      </c>
      <c r="BV2938" s="3"/>
      <c r="BW2938" s="3"/>
    </row>
    <row r="2939" spans="1:75">
      <c r="A2939" s="1" t="s">
        <v>46264</v>
      </c>
      <c r="B2939" s="1" t="s">
        <v>446</v>
      </c>
      <c r="C2939" s="1" t="s">
        <v>47575</v>
      </c>
      <c r="D2939" s="1" t="s">
        <v>47576</v>
      </c>
      <c r="E2939" s="1" t="s">
        <v>12770</v>
      </c>
      <c r="F2939" s="1" t="s">
        <v>43577</v>
      </c>
      <c r="G2939" s="1" t="s">
        <v>47577</v>
      </c>
      <c r="H2939" s="1" t="s">
        <v>47578</v>
      </c>
      <c r="I2939" s="1" t="s">
        <v>47579</v>
      </c>
      <c r="J2939" s="1">
        <v>8590832820</v>
      </c>
      <c r="K2939" s="1" t="s">
        <v>84</v>
      </c>
      <c r="L2939" s="1" t="s">
        <v>45995</v>
      </c>
      <c r="M2939" s="1" t="s">
        <v>86</v>
      </c>
      <c r="N2939" s="1" t="s">
        <v>5194</v>
      </c>
      <c r="O2939" s="1"/>
      <c r="P2939" s="1" t="s">
        <v>481</v>
      </c>
      <c r="Q2939" s="1" t="s">
        <v>47580</v>
      </c>
      <c r="R2939" s="1" t="s">
        <v>47581</v>
      </c>
      <c r="S2939" s="1">
        <v>9447453469</v>
      </c>
      <c r="T2939" s="1" t="s">
        <v>27158</v>
      </c>
      <c r="U2939" s="1" t="s">
        <v>47582</v>
      </c>
      <c r="V2939" s="1">
        <v>8547351361</v>
      </c>
      <c r="W2939" s="1" t="s">
        <v>278</v>
      </c>
      <c r="X2939" s="1" t="s">
        <v>47583</v>
      </c>
      <c r="Y2939" s="1" t="s">
        <v>19921</v>
      </c>
      <c r="Z2939" s="1" t="s">
        <v>130</v>
      </c>
      <c r="AA2939" s="1" t="s">
        <v>47583</v>
      </c>
      <c r="AB2939" s="1" t="s">
        <v>19921</v>
      </c>
      <c r="AC2939" s="1" t="s">
        <v>130</v>
      </c>
      <c r="AD2939" s="1">
        <v>8.97</v>
      </c>
      <c r="AE2939" s="1" t="s">
        <v>98</v>
      </c>
      <c r="AF2939" s="1" t="s">
        <v>47584</v>
      </c>
      <c r="AG2939" s="1" t="s">
        <v>9059</v>
      </c>
      <c r="AH2939" s="1" t="s">
        <v>106</v>
      </c>
      <c r="AI2939" s="1" t="s">
        <v>313</v>
      </c>
      <c r="AJ2939" s="1">
        <v>87.8</v>
      </c>
      <c r="AK2939" s="1"/>
      <c r="AL2939" s="1" t="s">
        <v>47584</v>
      </c>
      <c r="AM2939" s="1" t="s">
        <v>9059</v>
      </c>
      <c r="AN2939" s="1"/>
      <c r="AO2939" s="1" t="s">
        <v>468</v>
      </c>
      <c r="AP2939" s="1" t="s">
        <v>549</v>
      </c>
      <c r="AQ2939" s="1">
        <v>82.8</v>
      </c>
      <c r="AR2939" s="1"/>
      <c r="AS2939" s="1"/>
      <c r="AT2939" s="1"/>
      <c r="AU2939" s="1"/>
      <c r="AV2939" s="1"/>
      <c r="AW2939" s="1"/>
      <c r="AX2939" s="1"/>
      <c r="AY2939" s="1" t="s">
        <v>137</v>
      </c>
      <c r="AZ2939" s="1" t="s">
        <v>5203</v>
      </c>
      <c r="BA2939" s="1"/>
      <c r="BB2939" s="1"/>
      <c r="BC2939" s="1" t="s">
        <v>140</v>
      </c>
      <c r="BD2939" s="1" t="s">
        <v>607</v>
      </c>
      <c r="BE2939" s="1">
        <v>70.7</v>
      </c>
      <c r="BF2939" s="1"/>
      <c r="BG2939" s="1"/>
      <c r="BH2939" s="1"/>
      <c r="BI2939" s="1"/>
      <c r="BJ2939" s="1"/>
      <c r="BK2939" s="1"/>
      <c r="BL2939" s="1"/>
      <c r="BM2939" s="1"/>
      <c r="BN2939" s="1"/>
      <c r="BO2939" s="1" t="s">
        <v>47585</v>
      </c>
      <c r="BP2939" s="1"/>
      <c r="BQ2939" s="1"/>
      <c r="BR2939" s="1" t="s">
        <v>47586</v>
      </c>
      <c r="BS2939" s="1">
        <v>2</v>
      </c>
      <c r="BT2939" s="1" t="s">
        <v>47587</v>
      </c>
      <c r="BU2939" s="1" t="str">
        <f>HYPERLINK("https://nconnect.nicmar.ac.in/storage/profile/ProfilePhoto_P25709051_614723.jpg","Download")</f>
        <v>0</v>
      </c>
      <c r="BV2939" s="3"/>
      <c r="BW2939" s="3"/>
    </row>
    <row r="2940" spans="1:75">
      <c r="A2940" s="1" t="s">
        <v>46264</v>
      </c>
      <c r="B2940" s="1" t="s">
        <v>446</v>
      </c>
      <c r="C2940" s="1" t="s">
        <v>47588</v>
      </c>
      <c r="D2940" s="1" t="s">
        <v>11351</v>
      </c>
      <c r="E2940" s="1" t="s">
        <v>47589</v>
      </c>
      <c r="F2940" s="1" t="s">
        <v>7510</v>
      </c>
      <c r="G2940" s="1" t="s">
        <v>47590</v>
      </c>
      <c r="H2940" s="1" t="s">
        <v>47591</v>
      </c>
      <c r="I2940" s="1" t="s">
        <v>47592</v>
      </c>
      <c r="J2940" s="1">
        <v>8454868267</v>
      </c>
      <c r="K2940" s="1" t="s">
        <v>84</v>
      </c>
      <c r="L2940" s="1" t="s">
        <v>19952</v>
      </c>
      <c r="M2940" s="1" t="s">
        <v>86</v>
      </c>
      <c r="N2940" s="1" t="s">
        <v>768</v>
      </c>
      <c r="O2940" s="1" t="s">
        <v>47593</v>
      </c>
      <c r="P2940" s="1" t="s">
        <v>481</v>
      </c>
      <c r="Q2940" s="1" t="s">
        <v>47594</v>
      </c>
      <c r="R2940" s="1" t="s">
        <v>7510</v>
      </c>
      <c r="S2940" s="1">
        <v>9619838667</v>
      </c>
      <c r="T2940" s="1" t="s">
        <v>3693</v>
      </c>
      <c r="U2940" s="1" t="s">
        <v>6212</v>
      </c>
      <c r="V2940" s="1">
        <v>9702810573</v>
      </c>
      <c r="W2940" s="1" t="s">
        <v>127</v>
      </c>
      <c r="X2940" s="1" t="s">
        <v>47595</v>
      </c>
      <c r="Y2940" s="1" t="s">
        <v>2259</v>
      </c>
      <c r="Z2940" s="1" t="s">
        <v>97</v>
      </c>
      <c r="AA2940" s="1" t="s">
        <v>47595</v>
      </c>
      <c r="AB2940" s="1" t="s">
        <v>2259</v>
      </c>
      <c r="AC2940" s="1" t="s">
        <v>97</v>
      </c>
      <c r="AD2940" s="1">
        <v>9.16</v>
      </c>
      <c r="AE2940" s="1" t="s">
        <v>98</v>
      </c>
      <c r="AF2940" s="1" t="s">
        <v>47596</v>
      </c>
      <c r="AG2940" s="1" t="s">
        <v>2379</v>
      </c>
      <c r="AH2940" s="1" t="s">
        <v>106</v>
      </c>
      <c r="AI2940" s="1" t="s">
        <v>438</v>
      </c>
      <c r="AJ2940" s="1">
        <v>76.6</v>
      </c>
      <c r="AK2940" s="1"/>
      <c r="AL2940" s="1" t="s">
        <v>47597</v>
      </c>
      <c r="AM2940" s="1" t="s">
        <v>2379</v>
      </c>
      <c r="AN2940" s="1"/>
      <c r="AO2940" s="1" t="s">
        <v>468</v>
      </c>
      <c r="AP2940" s="1" t="s">
        <v>845</v>
      </c>
      <c r="AQ2940" s="1">
        <v>88.5</v>
      </c>
      <c r="AR2940" s="1"/>
      <c r="AS2940" s="1"/>
      <c r="AT2940" s="1"/>
      <c r="AU2940" s="1"/>
      <c r="AV2940" s="1"/>
      <c r="AW2940" s="1"/>
      <c r="AX2940" s="1"/>
      <c r="AY2940" s="1" t="s">
        <v>258</v>
      </c>
      <c r="AZ2940" s="1" t="s">
        <v>47598</v>
      </c>
      <c r="BA2940" s="1"/>
      <c r="BB2940" s="1"/>
      <c r="BC2940" s="1" t="s">
        <v>871</v>
      </c>
      <c r="BD2940" s="1" t="s">
        <v>848</v>
      </c>
      <c r="BE2940" s="1">
        <v>73.64</v>
      </c>
      <c r="BF2940" s="1">
        <v>8.03</v>
      </c>
      <c r="BG2940" s="1"/>
      <c r="BH2940" s="1"/>
      <c r="BI2940" s="1"/>
      <c r="BJ2940" s="1"/>
      <c r="BK2940" s="1"/>
      <c r="BL2940" s="1"/>
      <c r="BM2940" s="1"/>
      <c r="BN2940" s="1"/>
      <c r="BO2940" s="1" t="s">
        <v>47599</v>
      </c>
      <c r="BP2940" s="1"/>
      <c r="BQ2940" s="1"/>
      <c r="BR2940" s="1" t="s">
        <v>47600</v>
      </c>
      <c r="BS2940" s="1">
        <v>26</v>
      </c>
      <c r="BT2940" s="1" t="s">
        <v>47601</v>
      </c>
      <c r="BU2940" s="1" t="str">
        <f>HYPERLINK("https://nconnect.nicmar.ac.in/storage/profile/ProfilePhoto_P25709052_235417.jpg","Download")</f>
        <v>0</v>
      </c>
      <c r="BV2940" s="3"/>
      <c r="BW2940" s="3"/>
    </row>
    <row r="2941" spans="1:75">
      <c r="A2941" s="1" t="s">
        <v>46264</v>
      </c>
      <c r="B2941" s="1" t="s">
        <v>446</v>
      </c>
      <c r="C2941" s="1" t="s">
        <v>47602</v>
      </c>
      <c r="D2941" s="1" t="s">
        <v>37757</v>
      </c>
      <c r="E2941" s="1" t="s">
        <v>20600</v>
      </c>
      <c r="F2941" s="1" t="s">
        <v>500</v>
      </c>
      <c r="G2941" s="1" t="s">
        <v>47603</v>
      </c>
      <c r="H2941" s="1" t="s">
        <v>47604</v>
      </c>
      <c r="I2941" s="1" t="s">
        <v>47605</v>
      </c>
      <c r="J2941" s="1">
        <v>9995902637</v>
      </c>
      <c r="K2941" s="1" t="s">
        <v>84</v>
      </c>
      <c r="L2941" s="1" t="s">
        <v>47606</v>
      </c>
      <c r="M2941" s="1" t="s">
        <v>86</v>
      </c>
      <c r="N2941" s="1" t="s">
        <v>5194</v>
      </c>
      <c r="O2941" s="1"/>
      <c r="P2941" s="1" t="s">
        <v>455</v>
      </c>
      <c r="Q2941" s="1" t="s">
        <v>47607</v>
      </c>
      <c r="R2941" s="1" t="s">
        <v>47608</v>
      </c>
      <c r="S2941" s="1">
        <v>9447029508</v>
      </c>
      <c r="T2941" s="1" t="s">
        <v>92</v>
      </c>
      <c r="U2941" s="1" t="s">
        <v>47609</v>
      </c>
      <c r="V2941" s="1">
        <v>9495329771</v>
      </c>
      <c r="W2941" s="1" t="s">
        <v>127</v>
      </c>
      <c r="X2941" s="1" t="s">
        <v>47610</v>
      </c>
      <c r="Y2941" s="1" t="s">
        <v>19921</v>
      </c>
      <c r="Z2941" s="1" t="s">
        <v>130</v>
      </c>
      <c r="AA2941" s="1" t="s">
        <v>47610</v>
      </c>
      <c r="AB2941" s="1" t="s">
        <v>19921</v>
      </c>
      <c r="AC2941" s="1" t="s">
        <v>130</v>
      </c>
      <c r="AD2941" s="1">
        <v>8.68</v>
      </c>
      <c r="AE2941" s="1" t="s">
        <v>98</v>
      </c>
      <c r="AF2941" s="1" t="s">
        <v>47611</v>
      </c>
      <c r="AG2941" s="1" t="s">
        <v>796</v>
      </c>
      <c r="AH2941" s="1" t="s">
        <v>101</v>
      </c>
      <c r="AI2941" s="1" t="s">
        <v>136</v>
      </c>
      <c r="AJ2941" s="1">
        <v>85.5</v>
      </c>
      <c r="AK2941" s="1">
        <v>9</v>
      </c>
      <c r="AL2941" s="1" t="s">
        <v>47611</v>
      </c>
      <c r="AM2941" s="1" t="s">
        <v>796</v>
      </c>
      <c r="AN2941" s="1"/>
      <c r="AO2941" s="1" t="s">
        <v>167</v>
      </c>
      <c r="AP2941" s="1" t="s">
        <v>573</v>
      </c>
      <c r="AQ2941" s="1">
        <v>64.4</v>
      </c>
      <c r="AR2941" s="1"/>
      <c r="AS2941" s="1"/>
      <c r="AT2941" s="1"/>
      <c r="AU2941" s="1"/>
      <c r="AV2941" s="1"/>
      <c r="AW2941" s="1"/>
      <c r="AX2941" s="1"/>
      <c r="AY2941" s="1" t="s">
        <v>137</v>
      </c>
      <c r="AZ2941" s="1" t="s">
        <v>47612</v>
      </c>
      <c r="BA2941" s="1"/>
      <c r="BB2941" s="1"/>
      <c r="BC2941" s="1" t="s">
        <v>5535</v>
      </c>
      <c r="BD2941" s="1" t="s">
        <v>441</v>
      </c>
      <c r="BE2941" s="1">
        <v>65.2</v>
      </c>
      <c r="BF2941" s="1">
        <v>6.9</v>
      </c>
      <c r="BG2941" s="1"/>
      <c r="BH2941" s="1"/>
      <c r="BI2941" s="1"/>
      <c r="BJ2941" s="1"/>
      <c r="BK2941" s="1"/>
      <c r="BL2941" s="1"/>
      <c r="BM2941" s="1"/>
      <c r="BN2941" s="1"/>
      <c r="BO2941" s="1" t="s">
        <v>1826</v>
      </c>
      <c r="BP2941" s="1" t="s">
        <v>47613</v>
      </c>
      <c r="BQ2941" s="1" t="s">
        <v>8010</v>
      </c>
      <c r="BR2941" s="1"/>
      <c r="BS2941" s="1"/>
      <c r="BT2941" s="1"/>
      <c r="BU2941" s="1" t="str">
        <f>HYPERLINK("https://nconnect.nicmar.ac.in/storage/profile/ProfilePhoto_P25709053_263159.jpg","Download")</f>
        <v>0</v>
      </c>
      <c r="BV2941" s="3"/>
      <c r="BW2941" s="3"/>
    </row>
    <row r="2942" spans="1:75">
      <c r="A2942" s="1" t="s">
        <v>46264</v>
      </c>
      <c r="B2942" s="1" t="s">
        <v>446</v>
      </c>
      <c r="C2942" s="1" t="s">
        <v>47614</v>
      </c>
      <c r="D2942" s="1" t="s">
        <v>47615</v>
      </c>
      <c r="E2942" s="1" t="s">
        <v>32760</v>
      </c>
      <c r="F2942" s="1" t="s">
        <v>47616</v>
      </c>
      <c r="G2942" s="1" t="s">
        <v>47617</v>
      </c>
      <c r="H2942" s="1" t="s">
        <v>47618</v>
      </c>
      <c r="I2942" s="1" t="s">
        <v>47619</v>
      </c>
      <c r="J2942" s="1">
        <v>8356090654</v>
      </c>
      <c r="K2942" s="1" t="s">
        <v>153</v>
      </c>
      <c r="L2942" s="1" t="s">
        <v>20542</v>
      </c>
      <c r="M2942" s="1" t="s">
        <v>86</v>
      </c>
      <c r="N2942" s="1" t="s">
        <v>618</v>
      </c>
      <c r="O2942" s="1"/>
      <c r="P2942" s="1" t="s">
        <v>481</v>
      </c>
      <c r="Q2942" s="1" t="s">
        <v>47620</v>
      </c>
      <c r="R2942" s="1" t="s">
        <v>47621</v>
      </c>
      <c r="S2942" s="1">
        <v>8080806011</v>
      </c>
      <c r="T2942" s="1" t="s">
        <v>839</v>
      </c>
      <c r="U2942" s="1" t="s">
        <v>47622</v>
      </c>
      <c r="V2942" s="1">
        <v>9324933362</v>
      </c>
      <c r="W2942" s="1" t="s">
        <v>839</v>
      </c>
      <c r="X2942" s="1" t="s">
        <v>47623</v>
      </c>
      <c r="Y2942" s="1" t="s">
        <v>1882</v>
      </c>
      <c r="Z2942" s="1" t="s">
        <v>97</v>
      </c>
      <c r="AA2942" s="1" t="s">
        <v>47623</v>
      </c>
      <c r="AB2942" s="1" t="s">
        <v>1882</v>
      </c>
      <c r="AC2942" s="1" t="s">
        <v>97</v>
      </c>
      <c r="AD2942" s="1">
        <v>8.92</v>
      </c>
      <c r="AE2942" s="1" t="s">
        <v>98</v>
      </c>
      <c r="AF2942" s="1" t="s">
        <v>47624</v>
      </c>
      <c r="AG2942" s="1" t="s">
        <v>796</v>
      </c>
      <c r="AH2942" s="1" t="s">
        <v>101</v>
      </c>
      <c r="AI2942" s="1" t="s">
        <v>313</v>
      </c>
      <c r="AJ2942" s="1">
        <v>91.8</v>
      </c>
      <c r="AK2942" s="1"/>
      <c r="AL2942" s="1" t="s">
        <v>47625</v>
      </c>
      <c r="AM2942" s="1" t="s">
        <v>796</v>
      </c>
      <c r="AN2942" s="1" t="s">
        <v>465</v>
      </c>
      <c r="AO2942" s="1" t="s">
        <v>438</v>
      </c>
      <c r="AP2942" s="1" t="s">
        <v>552</v>
      </c>
      <c r="AQ2942" s="1">
        <v>89.5</v>
      </c>
      <c r="AR2942" s="1"/>
      <c r="AS2942" s="1"/>
      <c r="AT2942" s="1"/>
      <c r="AU2942" s="1"/>
      <c r="AV2942" s="1"/>
      <c r="AW2942" s="1"/>
      <c r="AX2942" s="1"/>
      <c r="AY2942" s="1" t="s">
        <v>47559</v>
      </c>
      <c r="AZ2942" s="1" t="s">
        <v>47626</v>
      </c>
      <c r="BA2942" s="1" t="s">
        <v>466</v>
      </c>
      <c r="BB2942" s="1" t="s">
        <v>467</v>
      </c>
      <c r="BC2942" s="1" t="s">
        <v>552</v>
      </c>
      <c r="BD2942" s="1" t="s">
        <v>5340</v>
      </c>
      <c r="BE2942" s="1">
        <v>89</v>
      </c>
      <c r="BF2942" s="1">
        <v>3.6</v>
      </c>
      <c r="BG2942" s="1"/>
      <c r="BH2942" s="1"/>
      <c r="BI2942" s="1"/>
      <c r="BJ2942" s="1"/>
      <c r="BK2942" s="1"/>
      <c r="BL2942" s="1"/>
      <c r="BM2942" s="1"/>
      <c r="BN2942" s="1"/>
      <c r="BO2942" s="1" t="s">
        <v>47627</v>
      </c>
      <c r="BP2942" s="1"/>
      <c r="BQ2942" s="1"/>
      <c r="BR2942" s="1" t="s">
        <v>47628</v>
      </c>
      <c r="BS2942" s="1">
        <v>19</v>
      </c>
      <c r="BT2942" s="1" t="s">
        <v>47629</v>
      </c>
      <c r="BU2942" s="1" t="str">
        <f>HYPERLINK("https://nconnect.nicmar.ac.in/storage/profile/ProfilePhoto_P25709054_759186.jpg","Download")</f>
        <v>0</v>
      </c>
      <c r="BV2942" s="3"/>
      <c r="BW2942" s="3"/>
    </row>
    <row r="2943" spans="1:75">
      <c r="A2943" s="1" t="s">
        <v>46264</v>
      </c>
      <c r="B2943" s="1" t="s">
        <v>446</v>
      </c>
      <c r="C2943" s="1" t="s">
        <v>47630</v>
      </c>
      <c r="D2943" s="1" t="s">
        <v>1871</v>
      </c>
      <c r="E2943" s="1"/>
      <c r="F2943" s="1" t="s">
        <v>47631</v>
      </c>
      <c r="G2943" s="1" t="s">
        <v>47632</v>
      </c>
      <c r="H2943" s="1" t="s">
        <v>47633</v>
      </c>
      <c r="I2943" s="1" t="s">
        <v>47634</v>
      </c>
      <c r="J2943" s="1">
        <v>8441892029</v>
      </c>
      <c r="K2943" s="1" t="s">
        <v>153</v>
      </c>
      <c r="L2943" s="1" t="s">
        <v>19872</v>
      </c>
      <c r="M2943" s="1" t="s">
        <v>86</v>
      </c>
      <c r="N2943" s="1" t="s">
        <v>47635</v>
      </c>
      <c r="O2943" s="1"/>
      <c r="P2943" s="1"/>
      <c r="Q2943" s="1" t="s">
        <v>47636</v>
      </c>
      <c r="R2943" s="1" t="s">
        <v>47637</v>
      </c>
      <c r="S2943" s="1">
        <v>9413381548</v>
      </c>
      <c r="T2943" s="1" t="s">
        <v>47638</v>
      </c>
      <c r="U2943" s="1" t="s">
        <v>47639</v>
      </c>
      <c r="V2943" s="1">
        <v>9414481548</v>
      </c>
      <c r="W2943" s="1" t="s">
        <v>5620</v>
      </c>
      <c r="X2943" s="1" t="s">
        <v>47640</v>
      </c>
      <c r="Y2943" s="1" t="s">
        <v>47641</v>
      </c>
      <c r="Z2943" s="1" t="s">
        <v>2153</v>
      </c>
      <c r="AA2943" s="1" t="s">
        <v>47640</v>
      </c>
      <c r="AB2943" s="1" t="s">
        <v>47641</v>
      </c>
      <c r="AC2943" s="1" t="s">
        <v>2153</v>
      </c>
      <c r="AD2943" s="1">
        <v>8.76</v>
      </c>
      <c r="AE2943" s="1" t="s">
        <v>98</v>
      </c>
      <c r="AF2943" s="1" t="s">
        <v>47642</v>
      </c>
      <c r="AG2943" s="1" t="s">
        <v>775</v>
      </c>
      <c r="AH2943" s="1" t="s">
        <v>627</v>
      </c>
      <c r="AI2943" s="1" t="s">
        <v>170</v>
      </c>
      <c r="AJ2943" s="1">
        <v>85.5</v>
      </c>
      <c r="AK2943" s="1">
        <v>9</v>
      </c>
      <c r="AL2943" s="1" t="s">
        <v>47643</v>
      </c>
      <c r="AM2943" s="1" t="s">
        <v>775</v>
      </c>
      <c r="AN2943" s="1"/>
      <c r="AO2943" s="1" t="s">
        <v>171</v>
      </c>
      <c r="AP2943" s="1" t="s">
        <v>313</v>
      </c>
      <c r="AQ2943" s="1">
        <v>74</v>
      </c>
      <c r="AR2943" s="1">
        <v>0</v>
      </c>
      <c r="AS2943" s="1"/>
      <c r="AT2943" s="1"/>
      <c r="AU2943" s="1"/>
      <c r="AV2943" s="1"/>
      <c r="AW2943" s="1"/>
      <c r="AX2943" s="1"/>
      <c r="AY2943" s="1" t="s">
        <v>47644</v>
      </c>
      <c r="AZ2943" s="1" t="s">
        <v>47644</v>
      </c>
      <c r="BA2943" s="1"/>
      <c r="BB2943" s="1"/>
      <c r="BC2943" s="1" t="s">
        <v>606</v>
      </c>
      <c r="BD2943" s="1" t="s">
        <v>1401</v>
      </c>
      <c r="BE2943" s="1">
        <v>0</v>
      </c>
      <c r="BF2943" s="1">
        <v>7.88</v>
      </c>
      <c r="BG2943" s="1"/>
      <c r="BH2943" s="1"/>
      <c r="BI2943" s="1"/>
      <c r="BJ2943" s="1"/>
      <c r="BK2943" s="1"/>
      <c r="BL2943" s="1"/>
      <c r="BM2943" s="1"/>
      <c r="BN2943" s="1"/>
      <c r="BO2943" s="1" t="s">
        <v>47645</v>
      </c>
      <c r="BP2943" s="1"/>
      <c r="BQ2943" s="1"/>
      <c r="BR2943" s="1" t="s">
        <v>47646</v>
      </c>
      <c r="BS2943" s="1">
        <v>12</v>
      </c>
      <c r="BT2943" s="1" t="s">
        <v>47647</v>
      </c>
      <c r="BU2943" s="1" t="str">
        <f>HYPERLINK("https://nconnect.nicmar.ac.in/storage/profile/ProfilePhoto_P25709055_689172.jpg","Download")</f>
        <v>0</v>
      </c>
      <c r="BV2943" s="3"/>
      <c r="BW2943" s="3"/>
    </row>
    <row r="2944" spans="1:75">
      <c r="A2944" s="1" t="s">
        <v>46264</v>
      </c>
      <c r="B2944" s="1" t="s">
        <v>446</v>
      </c>
      <c r="C2944" s="1" t="s">
        <v>47648</v>
      </c>
      <c r="D2944" s="1" t="s">
        <v>47649</v>
      </c>
      <c r="E2944" s="1" t="s">
        <v>587</v>
      </c>
      <c r="F2944" s="1" t="s">
        <v>47650</v>
      </c>
      <c r="G2944" s="1" t="s">
        <v>47651</v>
      </c>
      <c r="H2944" s="1" t="s">
        <v>47652</v>
      </c>
      <c r="I2944" s="1" t="s">
        <v>47653</v>
      </c>
      <c r="J2944" s="1">
        <v>9686359198</v>
      </c>
      <c r="K2944" s="1" t="s">
        <v>84</v>
      </c>
      <c r="L2944" s="1" t="s">
        <v>47654</v>
      </c>
      <c r="M2944" s="1" t="s">
        <v>86</v>
      </c>
      <c r="N2944" s="1" t="s">
        <v>47655</v>
      </c>
      <c r="O2944" s="1"/>
      <c r="P2944" s="1" t="s">
        <v>455</v>
      </c>
      <c r="Q2944" s="1" t="s">
        <v>47656</v>
      </c>
      <c r="R2944" s="1" t="s">
        <v>47657</v>
      </c>
      <c r="S2944" s="1">
        <v>9448192057</v>
      </c>
      <c r="T2944" s="1" t="s">
        <v>839</v>
      </c>
      <c r="U2944" s="1" t="s">
        <v>47658</v>
      </c>
      <c r="V2944" s="1">
        <v>8618680846</v>
      </c>
      <c r="W2944" s="1" t="s">
        <v>541</v>
      </c>
      <c r="X2944" s="1" t="s">
        <v>47659</v>
      </c>
      <c r="Y2944" s="1" t="s">
        <v>1623</v>
      </c>
      <c r="Z2944" s="1" t="s">
        <v>1210</v>
      </c>
      <c r="AA2944" s="1" t="s">
        <v>47659</v>
      </c>
      <c r="AB2944" s="1" t="s">
        <v>1623</v>
      </c>
      <c r="AC2944" s="1" t="s">
        <v>1210</v>
      </c>
      <c r="AD2944" s="1">
        <v>9.39</v>
      </c>
      <c r="AE2944" s="1" t="s">
        <v>98</v>
      </c>
      <c r="AF2944" s="1" t="s">
        <v>47660</v>
      </c>
      <c r="AG2944" s="1" t="s">
        <v>47661</v>
      </c>
      <c r="AH2944" s="1" t="s">
        <v>171</v>
      </c>
      <c r="AI2944" s="1" t="s">
        <v>313</v>
      </c>
      <c r="AJ2944" s="1">
        <v>72.8</v>
      </c>
      <c r="AK2944" s="1"/>
      <c r="AL2944" s="1" t="s">
        <v>47662</v>
      </c>
      <c r="AM2944" s="1" t="s">
        <v>47663</v>
      </c>
      <c r="AN2944" s="1"/>
      <c r="AO2944" s="1" t="s">
        <v>315</v>
      </c>
      <c r="AP2944" s="1" t="s">
        <v>549</v>
      </c>
      <c r="AQ2944" s="1">
        <v>85.83</v>
      </c>
      <c r="AR2944" s="1"/>
      <c r="AS2944" s="1"/>
      <c r="AT2944" s="1"/>
      <c r="AU2944" s="1"/>
      <c r="AV2944" s="1"/>
      <c r="AW2944" s="1"/>
      <c r="AX2944" s="1"/>
      <c r="AY2944" s="1" t="s">
        <v>1217</v>
      </c>
      <c r="AZ2944" s="1" t="s">
        <v>47664</v>
      </c>
      <c r="BA2944" s="1"/>
      <c r="BB2944" s="1"/>
      <c r="BC2944" s="1" t="s">
        <v>552</v>
      </c>
      <c r="BD2944" s="1" t="s">
        <v>553</v>
      </c>
      <c r="BE2944" s="1">
        <v>84.5</v>
      </c>
      <c r="BF2944" s="1">
        <v>8.45</v>
      </c>
      <c r="BG2944" s="1"/>
      <c r="BH2944" s="1"/>
      <c r="BI2944" s="1"/>
      <c r="BJ2944" s="1"/>
      <c r="BK2944" s="1"/>
      <c r="BL2944" s="1"/>
      <c r="BM2944" s="1"/>
      <c r="BN2944" s="1"/>
      <c r="BO2944" s="1" t="s">
        <v>47665</v>
      </c>
      <c r="BP2944" s="1"/>
      <c r="BQ2944" s="1"/>
      <c r="BR2944" s="1" t="s">
        <v>47666</v>
      </c>
      <c r="BS2944" s="1">
        <v>21</v>
      </c>
      <c r="BT2944" s="1" t="s">
        <v>47667</v>
      </c>
      <c r="BU2944" s="1" t="str">
        <f>HYPERLINK("https://nconnect.nicmar.ac.in/storage/profile/ProfilePhoto_P25709056_314698.jpg","Download")</f>
        <v>0</v>
      </c>
      <c r="BV2944" s="3"/>
      <c r="BW2944" s="3"/>
    </row>
    <row r="2945" spans="1:75">
      <c r="A2945" s="1" t="s">
        <v>46264</v>
      </c>
      <c r="B2945" s="1" t="s">
        <v>446</v>
      </c>
      <c r="C2945" s="1" t="s">
        <v>47668</v>
      </c>
      <c r="D2945" s="1" t="s">
        <v>2428</v>
      </c>
      <c r="E2945" s="1"/>
      <c r="F2945" s="1" t="s">
        <v>47669</v>
      </c>
      <c r="G2945" s="1" t="s">
        <v>47670</v>
      </c>
      <c r="H2945" s="1" t="s">
        <v>47671</v>
      </c>
      <c r="I2945" s="1" t="s">
        <v>47672</v>
      </c>
      <c r="J2945" s="1">
        <v>9550253245</v>
      </c>
      <c r="K2945" s="1" t="s">
        <v>84</v>
      </c>
      <c r="L2945" s="1" t="s">
        <v>37761</v>
      </c>
      <c r="M2945" s="1" t="s">
        <v>86</v>
      </c>
      <c r="N2945" s="1" t="s">
        <v>47673</v>
      </c>
      <c r="O2945" s="1" t="s">
        <v>47674</v>
      </c>
      <c r="P2945" s="1" t="s">
        <v>455</v>
      </c>
      <c r="Q2945" s="1" t="s">
        <v>47675</v>
      </c>
      <c r="R2945" s="1" t="s">
        <v>10149</v>
      </c>
      <c r="S2945" s="1">
        <v>8639582599</v>
      </c>
      <c r="T2945" s="1" t="s">
        <v>159</v>
      </c>
      <c r="U2945" s="1" t="s">
        <v>47676</v>
      </c>
      <c r="V2945" s="1">
        <v>9492541237</v>
      </c>
      <c r="W2945" s="1" t="s">
        <v>159</v>
      </c>
      <c r="X2945" s="1" t="s">
        <v>47677</v>
      </c>
      <c r="Y2945" s="1" t="s">
        <v>28721</v>
      </c>
      <c r="Z2945" s="1" t="s">
        <v>461</v>
      </c>
      <c r="AA2945" s="1" t="s">
        <v>47678</v>
      </c>
      <c r="AB2945" s="1" t="s">
        <v>196</v>
      </c>
      <c r="AC2945" s="1" t="s">
        <v>97</v>
      </c>
      <c r="AD2945" s="1">
        <v>8.08</v>
      </c>
      <c r="AE2945" s="1" t="s">
        <v>98</v>
      </c>
      <c r="AF2945" s="1" t="s">
        <v>47679</v>
      </c>
      <c r="AG2945" s="1" t="s">
        <v>2634</v>
      </c>
      <c r="AH2945" s="1" t="s">
        <v>170</v>
      </c>
      <c r="AI2945" s="1" t="s">
        <v>286</v>
      </c>
      <c r="AJ2945" s="1">
        <v>92</v>
      </c>
      <c r="AK2945" s="1">
        <v>9.2</v>
      </c>
      <c r="AL2945" s="1" t="s">
        <v>47680</v>
      </c>
      <c r="AM2945" s="1" t="s">
        <v>3034</v>
      </c>
      <c r="AN2945" s="1" t="s">
        <v>465</v>
      </c>
      <c r="AO2945" s="1" t="s">
        <v>174</v>
      </c>
      <c r="AP2945" s="1" t="s">
        <v>603</v>
      </c>
      <c r="AQ2945" s="1">
        <v>87.1</v>
      </c>
      <c r="AR2945" s="1"/>
      <c r="AS2945" s="1"/>
      <c r="AT2945" s="1"/>
      <c r="AU2945" s="1"/>
      <c r="AV2945" s="1"/>
      <c r="AW2945" s="1"/>
      <c r="AX2945" s="1"/>
      <c r="AY2945" s="1" t="s">
        <v>287</v>
      </c>
      <c r="AZ2945" s="1" t="s">
        <v>47681</v>
      </c>
      <c r="BA2945" s="1" t="s">
        <v>466</v>
      </c>
      <c r="BB2945" s="1" t="s">
        <v>467</v>
      </c>
      <c r="BC2945" s="1" t="s">
        <v>1040</v>
      </c>
      <c r="BD2945" s="1" t="s">
        <v>418</v>
      </c>
      <c r="BE2945" s="1">
        <v>67.2</v>
      </c>
      <c r="BF2945" s="1">
        <v>7.22</v>
      </c>
      <c r="BG2945" s="1"/>
      <c r="BH2945" s="1"/>
      <c r="BI2945" s="1"/>
      <c r="BJ2945" s="1"/>
      <c r="BK2945" s="1"/>
      <c r="BL2945" s="1"/>
      <c r="BM2945" s="1"/>
      <c r="BN2945" s="1"/>
      <c r="BO2945" s="1" t="s">
        <v>47682</v>
      </c>
      <c r="BP2945" s="1"/>
      <c r="BQ2945" s="1"/>
      <c r="BR2945" s="1"/>
      <c r="BS2945" s="1"/>
      <c r="BT2945" s="1" t="s">
        <v>47683</v>
      </c>
      <c r="BU2945" s="1" t="str">
        <f>HYPERLINK("https://nconnect.nicmar.ac.in/storage/profile/ProfilePhoto_P25709057_698172.jpg","Download")</f>
        <v>0</v>
      </c>
      <c r="BV2945" s="3"/>
      <c r="BW2945" s="3"/>
    </row>
    <row r="2946" spans="1:75">
      <c r="A2946" s="1" t="s">
        <v>46264</v>
      </c>
      <c r="B2946" s="1" t="s">
        <v>446</v>
      </c>
      <c r="C2946" s="1" t="s">
        <v>47684</v>
      </c>
      <c r="D2946" s="1" t="s">
        <v>8306</v>
      </c>
      <c r="E2946" s="1" t="s">
        <v>4330</v>
      </c>
      <c r="F2946" s="1" t="s">
        <v>2098</v>
      </c>
      <c r="G2946" s="1" t="s">
        <v>47685</v>
      </c>
      <c r="H2946" s="1" t="s">
        <v>47686</v>
      </c>
      <c r="I2946" s="1" t="s">
        <v>47687</v>
      </c>
      <c r="J2946" s="1">
        <v>9404395999</v>
      </c>
      <c r="K2946" s="1" t="s">
        <v>84</v>
      </c>
      <c r="L2946" s="1" t="s">
        <v>23260</v>
      </c>
      <c r="M2946" s="1" t="s">
        <v>86</v>
      </c>
      <c r="N2946" s="1" t="s">
        <v>5472</v>
      </c>
      <c r="O2946" s="1" t="s">
        <v>47688</v>
      </c>
      <c r="P2946" s="1" t="s">
        <v>481</v>
      </c>
      <c r="Q2946" s="1" t="s">
        <v>47689</v>
      </c>
      <c r="R2946" s="1" t="s">
        <v>8312</v>
      </c>
      <c r="S2946" s="1">
        <v>9823190059</v>
      </c>
      <c r="T2946" s="1" t="s">
        <v>92</v>
      </c>
      <c r="U2946" s="1" t="s">
        <v>47690</v>
      </c>
      <c r="V2946" s="1">
        <v>8329442669</v>
      </c>
      <c r="W2946" s="1" t="s">
        <v>161</v>
      </c>
      <c r="X2946" s="1" t="s">
        <v>47691</v>
      </c>
      <c r="Y2946" s="1" t="s">
        <v>196</v>
      </c>
      <c r="Z2946" s="1" t="s">
        <v>97</v>
      </c>
      <c r="AA2946" s="1" t="s">
        <v>47691</v>
      </c>
      <c r="AB2946" s="1" t="s">
        <v>196</v>
      </c>
      <c r="AC2946" s="1" t="s">
        <v>97</v>
      </c>
      <c r="AD2946" s="1">
        <v>7.74</v>
      </c>
      <c r="AE2946" s="1" t="s">
        <v>98</v>
      </c>
      <c r="AF2946" s="1" t="s">
        <v>47692</v>
      </c>
      <c r="AG2946" s="1" t="s">
        <v>47693</v>
      </c>
      <c r="AH2946" s="1" t="s">
        <v>106</v>
      </c>
      <c r="AI2946" s="1" t="s">
        <v>414</v>
      </c>
      <c r="AJ2946" s="1">
        <v>71.2</v>
      </c>
      <c r="AK2946" s="1"/>
      <c r="AL2946" s="1" t="s">
        <v>47694</v>
      </c>
      <c r="AM2946" s="1" t="s">
        <v>47695</v>
      </c>
      <c r="AN2946" s="1" t="s">
        <v>465</v>
      </c>
      <c r="AO2946" s="1" t="s">
        <v>468</v>
      </c>
      <c r="AP2946" s="1" t="s">
        <v>2304</v>
      </c>
      <c r="AQ2946" s="1">
        <v>83.67</v>
      </c>
      <c r="AR2946" s="1"/>
      <c r="AS2946" s="1"/>
      <c r="AT2946" s="1"/>
      <c r="AU2946" s="1"/>
      <c r="AV2946" s="1"/>
      <c r="AW2946" s="1"/>
      <c r="AX2946" s="1"/>
      <c r="AY2946" s="1" t="s">
        <v>366</v>
      </c>
      <c r="AZ2946" s="1" t="s">
        <v>47696</v>
      </c>
      <c r="BA2946" s="1" t="s">
        <v>578</v>
      </c>
      <c r="BB2946" s="1" t="s">
        <v>467</v>
      </c>
      <c r="BC2946" s="1" t="s">
        <v>368</v>
      </c>
      <c r="BD2946" s="1" t="s">
        <v>607</v>
      </c>
      <c r="BE2946" s="1">
        <v>64.4</v>
      </c>
      <c r="BF2946" s="1">
        <v>7.19</v>
      </c>
      <c r="BG2946" s="1"/>
      <c r="BH2946" s="1"/>
      <c r="BI2946" s="1"/>
      <c r="BJ2946" s="1"/>
      <c r="BK2946" s="1"/>
      <c r="BL2946" s="1"/>
      <c r="BM2946" s="1"/>
      <c r="BN2946" s="1"/>
      <c r="BO2946" s="1" t="s">
        <v>47697</v>
      </c>
      <c r="BP2946" s="1"/>
      <c r="BQ2946" s="1"/>
      <c r="BR2946" s="1" t="s">
        <v>47698</v>
      </c>
      <c r="BS2946" s="1">
        <v>13</v>
      </c>
      <c r="BT2946" s="1" t="s">
        <v>47699</v>
      </c>
      <c r="BU2946" s="1" t="str">
        <f>HYPERLINK("https://nconnect.nicmar.ac.in/storage/profile/ProfilePhoto_P25709058_852146.jpg","Download")</f>
        <v>0</v>
      </c>
      <c r="BV2946" s="3"/>
      <c r="BW2946" s="3"/>
    </row>
    <row r="2947" spans="1:75">
      <c r="A2947" s="1" t="s">
        <v>47700</v>
      </c>
      <c r="B2947" s="1" t="s">
        <v>446</v>
      </c>
      <c r="C2947" s="1" t="s">
        <v>47701</v>
      </c>
      <c r="D2947" s="1" t="s">
        <v>2599</v>
      </c>
      <c r="E2947" s="1"/>
      <c r="F2947" s="1" t="s">
        <v>9986</v>
      </c>
      <c r="G2947" s="1" t="s">
        <v>47702</v>
      </c>
      <c r="H2947" s="1" t="s">
        <v>47703</v>
      </c>
      <c r="I2947" s="1" t="s">
        <v>47704</v>
      </c>
      <c r="J2947" s="1">
        <v>9178998460</v>
      </c>
      <c r="K2947" s="1" t="s">
        <v>84</v>
      </c>
      <c r="L2947" s="1" t="s">
        <v>22181</v>
      </c>
      <c r="M2947" s="1" t="s">
        <v>86</v>
      </c>
      <c r="N2947" s="1" t="s">
        <v>2020</v>
      </c>
      <c r="O2947" s="1"/>
      <c r="P2947" s="1" t="s">
        <v>481</v>
      </c>
      <c r="Q2947" s="1" t="s">
        <v>47705</v>
      </c>
      <c r="R2947" s="1" t="s">
        <v>47706</v>
      </c>
      <c r="S2947" s="1">
        <v>9438670953</v>
      </c>
      <c r="T2947" s="1" t="s">
        <v>2375</v>
      </c>
      <c r="U2947" s="1" t="s">
        <v>47707</v>
      </c>
      <c r="V2947" s="1">
        <v>9438303341</v>
      </c>
      <c r="W2947" s="1" t="s">
        <v>2375</v>
      </c>
      <c r="X2947" s="1" t="s">
        <v>47708</v>
      </c>
      <c r="Y2947" s="1" t="s">
        <v>42869</v>
      </c>
      <c r="Z2947" s="1" t="s">
        <v>865</v>
      </c>
      <c r="AA2947" s="1" t="s">
        <v>47708</v>
      </c>
      <c r="AB2947" s="1" t="s">
        <v>42869</v>
      </c>
      <c r="AC2947" s="1" t="s">
        <v>865</v>
      </c>
      <c r="AD2947" s="1">
        <v>9.45</v>
      </c>
      <c r="AE2947" s="1" t="s">
        <v>98</v>
      </c>
      <c r="AF2947" s="1" t="s">
        <v>47709</v>
      </c>
      <c r="AG2947" s="1" t="s">
        <v>47710</v>
      </c>
      <c r="AH2947" s="1" t="s">
        <v>1111</v>
      </c>
      <c r="AI2947" s="1" t="s">
        <v>573</v>
      </c>
      <c r="AJ2947" s="1">
        <v>86.33</v>
      </c>
      <c r="AK2947" s="1"/>
      <c r="AL2947" s="1" t="s">
        <v>22725</v>
      </c>
      <c r="AM2947" s="1" t="s">
        <v>2032</v>
      </c>
      <c r="AN2947" s="1"/>
      <c r="AO2947" s="1" t="s">
        <v>174</v>
      </c>
      <c r="AP2947" s="1" t="s">
        <v>313</v>
      </c>
      <c r="AQ2947" s="1">
        <v>83.83</v>
      </c>
      <c r="AR2947" s="1"/>
      <c r="AS2947" s="1"/>
      <c r="AT2947" s="1"/>
      <c r="AU2947" s="1"/>
      <c r="AV2947" s="1"/>
      <c r="AW2947" s="1"/>
      <c r="AX2947" s="1"/>
      <c r="AY2947" s="1" t="s">
        <v>4441</v>
      </c>
      <c r="AZ2947" s="1" t="s">
        <v>47711</v>
      </c>
      <c r="BA2947" s="1"/>
      <c r="BB2947" s="1"/>
      <c r="BC2947" s="1" t="s">
        <v>1040</v>
      </c>
      <c r="BD2947" s="1" t="s">
        <v>418</v>
      </c>
      <c r="BE2947" s="1">
        <v>63.2</v>
      </c>
      <c r="BF2947" s="1"/>
      <c r="BG2947" s="1"/>
      <c r="BH2947" s="1"/>
      <c r="BI2947" s="1"/>
      <c r="BJ2947" s="1"/>
      <c r="BK2947" s="1"/>
      <c r="BL2947" s="1"/>
      <c r="BM2947" s="1"/>
      <c r="BN2947" s="1"/>
      <c r="BO2947" s="1" t="s">
        <v>47712</v>
      </c>
      <c r="BP2947" s="1" t="s">
        <v>47713</v>
      </c>
      <c r="BQ2947" s="1" t="s">
        <v>2116</v>
      </c>
      <c r="BR2947" s="1" t="s">
        <v>47714</v>
      </c>
      <c r="BS2947" s="1">
        <v>8</v>
      </c>
      <c r="BT2947" s="1" t="s">
        <v>47715</v>
      </c>
      <c r="BU2947" s="1" t="str">
        <f>HYPERLINK("https://nconnect.nicmar.ac.in/storage/profile/ProfilePhoto_P25710001_823951.jpg","Download")</f>
        <v>0</v>
      </c>
      <c r="BV2947" s="3"/>
      <c r="BW2947" s="3"/>
    </row>
    <row r="2948" spans="1:75">
      <c r="A2948" s="1" t="s">
        <v>47700</v>
      </c>
      <c r="B2948" s="1" t="s">
        <v>446</v>
      </c>
      <c r="C2948" s="1" t="s">
        <v>47716</v>
      </c>
      <c r="D2948" s="1" t="s">
        <v>47717</v>
      </c>
      <c r="E2948" s="1"/>
      <c r="F2948" s="1" t="s">
        <v>1295</v>
      </c>
      <c r="G2948" s="1" t="s">
        <v>47718</v>
      </c>
      <c r="H2948" s="1" t="s">
        <v>47719</v>
      </c>
      <c r="I2948" s="1" t="s">
        <v>47720</v>
      </c>
      <c r="J2948" s="1">
        <v>9538358586</v>
      </c>
      <c r="K2948" s="1" t="s">
        <v>153</v>
      </c>
      <c r="L2948" s="1" t="s">
        <v>8908</v>
      </c>
      <c r="M2948" s="1" t="s">
        <v>86</v>
      </c>
      <c r="N2948" s="1" t="s">
        <v>47721</v>
      </c>
      <c r="O2948" s="1"/>
      <c r="P2948" s="1" t="s">
        <v>455</v>
      </c>
      <c r="Q2948" s="1" t="s">
        <v>47722</v>
      </c>
      <c r="R2948" s="1" t="s">
        <v>47723</v>
      </c>
      <c r="S2948" s="1">
        <v>9591811566</v>
      </c>
      <c r="T2948" s="1" t="s">
        <v>596</v>
      </c>
      <c r="U2948" s="1" t="s">
        <v>6299</v>
      </c>
      <c r="V2948" s="1">
        <v>9591985626</v>
      </c>
      <c r="W2948" s="1" t="s">
        <v>94</v>
      </c>
      <c r="X2948" s="1" t="s">
        <v>47724</v>
      </c>
      <c r="Y2948" s="1" t="s">
        <v>3132</v>
      </c>
      <c r="Z2948" s="1" t="s">
        <v>1210</v>
      </c>
      <c r="AA2948" s="1" t="s">
        <v>47724</v>
      </c>
      <c r="AB2948" s="1" t="s">
        <v>3132</v>
      </c>
      <c r="AC2948" s="1" t="s">
        <v>1210</v>
      </c>
      <c r="AD2948" s="1">
        <v>9.45</v>
      </c>
      <c r="AE2948" s="1" t="s">
        <v>98</v>
      </c>
      <c r="AF2948" s="1" t="s">
        <v>47725</v>
      </c>
      <c r="AG2948" s="1" t="s">
        <v>47726</v>
      </c>
      <c r="AH2948" s="1" t="s">
        <v>136</v>
      </c>
      <c r="AI2948" s="1" t="s">
        <v>284</v>
      </c>
      <c r="AJ2948" s="1">
        <v>86.4</v>
      </c>
      <c r="AK2948" s="1"/>
      <c r="AL2948" s="1" t="s">
        <v>47727</v>
      </c>
      <c r="AM2948" s="1" t="s">
        <v>47728</v>
      </c>
      <c r="AN2948" s="1"/>
      <c r="AO2948" s="1" t="s">
        <v>704</v>
      </c>
      <c r="AP2948" s="1" t="s">
        <v>286</v>
      </c>
      <c r="AQ2948" s="1">
        <v>76.5</v>
      </c>
      <c r="AR2948" s="1"/>
      <c r="AS2948" s="1"/>
      <c r="AT2948" s="1"/>
      <c r="AU2948" s="1"/>
      <c r="AV2948" s="1"/>
      <c r="AW2948" s="1"/>
      <c r="AX2948" s="1"/>
      <c r="AY2948" s="1" t="s">
        <v>47729</v>
      </c>
      <c r="AZ2948" s="1" t="s">
        <v>47730</v>
      </c>
      <c r="BA2948" s="1"/>
      <c r="BB2948" s="1"/>
      <c r="BC2948" s="1" t="s">
        <v>1065</v>
      </c>
      <c r="BD2948" s="1" t="s">
        <v>1400</v>
      </c>
      <c r="BE2948" s="1">
        <v>71</v>
      </c>
      <c r="BF2948" s="1">
        <v>7.59</v>
      </c>
      <c r="BG2948" s="1"/>
      <c r="BH2948" s="1"/>
      <c r="BI2948" s="1"/>
      <c r="BJ2948" s="1"/>
      <c r="BK2948" s="1"/>
      <c r="BL2948" s="1"/>
      <c r="BM2948" s="1"/>
      <c r="BN2948" s="1"/>
      <c r="BO2948" s="1" t="s">
        <v>47731</v>
      </c>
      <c r="BP2948" s="1"/>
      <c r="BQ2948" s="1"/>
      <c r="BR2948" s="1" t="s">
        <v>47732</v>
      </c>
      <c r="BS2948" s="1">
        <v>21</v>
      </c>
      <c r="BT2948" s="1" t="s">
        <v>47733</v>
      </c>
      <c r="BU2948" s="1" t="str">
        <f>HYPERLINK("https://nconnect.nicmar.ac.in/storage/profile/ProfilePhoto_P25710002_745196.jpg","Download")</f>
        <v>0</v>
      </c>
      <c r="BV2948" s="3"/>
      <c r="BW2948" s="3"/>
    </row>
    <row r="2949" spans="1:75">
      <c r="A2949" s="1" t="s">
        <v>47700</v>
      </c>
      <c r="B2949" s="1" t="s">
        <v>446</v>
      </c>
      <c r="C2949" s="1" t="s">
        <v>47734</v>
      </c>
      <c r="D2949" s="1" t="s">
        <v>47735</v>
      </c>
      <c r="E2949" s="1"/>
      <c r="F2949" s="1" t="s">
        <v>10761</v>
      </c>
      <c r="G2949" s="1" t="s">
        <v>47736</v>
      </c>
      <c r="H2949" s="1" t="s">
        <v>47737</v>
      </c>
      <c r="I2949" s="1" t="s">
        <v>47738</v>
      </c>
      <c r="J2949" s="1">
        <v>7305320277</v>
      </c>
      <c r="K2949" s="1" t="s">
        <v>84</v>
      </c>
      <c r="L2949" s="1" t="s">
        <v>47739</v>
      </c>
      <c r="M2949" s="1" t="s">
        <v>86</v>
      </c>
      <c r="N2949" s="1" t="s">
        <v>47740</v>
      </c>
      <c r="O2949" s="1"/>
      <c r="P2949" s="1" t="s">
        <v>455</v>
      </c>
      <c r="Q2949" s="1" t="s">
        <v>47741</v>
      </c>
      <c r="R2949" s="1" t="s">
        <v>47742</v>
      </c>
      <c r="S2949" s="1">
        <v>9677158787</v>
      </c>
      <c r="T2949" s="1" t="s">
        <v>47743</v>
      </c>
      <c r="U2949" s="1" t="s">
        <v>47744</v>
      </c>
      <c r="V2949" s="1">
        <v>9677158787</v>
      </c>
      <c r="W2949" s="1" t="s">
        <v>278</v>
      </c>
      <c r="X2949" s="1" t="s">
        <v>47745</v>
      </c>
      <c r="Y2949" s="1" t="s">
        <v>1498</v>
      </c>
      <c r="Z2949" s="1" t="s">
        <v>570</v>
      </c>
      <c r="AA2949" s="1" t="s">
        <v>47745</v>
      </c>
      <c r="AB2949" s="1" t="s">
        <v>1498</v>
      </c>
      <c r="AC2949" s="1" t="s">
        <v>570</v>
      </c>
      <c r="AD2949" s="1">
        <v>8.95</v>
      </c>
      <c r="AE2949" s="1" t="s">
        <v>98</v>
      </c>
      <c r="AF2949" s="1" t="s">
        <v>47746</v>
      </c>
      <c r="AG2949" s="1" t="s">
        <v>824</v>
      </c>
      <c r="AH2949" s="1" t="s">
        <v>171</v>
      </c>
      <c r="AI2949" s="1" t="s">
        <v>414</v>
      </c>
      <c r="AJ2949" s="1">
        <v>80.6</v>
      </c>
      <c r="AK2949" s="1"/>
      <c r="AL2949" s="1" t="s">
        <v>47747</v>
      </c>
      <c r="AM2949" s="1" t="s">
        <v>47748</v>
      </c>
      <c r="AN2949" s="1"/>
      <c r="AO2949" s="1" t="s">
        <v>417</v>
      </c>
      <c r="AP2949" s="1" t="s">
        <v>549</v>
      </c>
      <c r="AQ2949" s="1">
        <v>85.6</v>
      </c>
      <c r="AR2949" s="1"/>
      <c r="AS2949" s="1"/>
      <c r="AT2949" s="1"/>
      <c r="AU2949" s="1"/>
      <c r="AV2949" s="1"/>
      <c r="AW2949" s="1"/>
      <c r="AX2949" s="1"/>
      <c r="AY2949" s="1" t="s">
        <v>47749</v>
      </c>
      <c r="AZ2949" s="1" t="s">
        <v>47750</v>
      </c>
      <c r="BA2949" s="1"/>
      <c r="BB2949" s="1"/>
      <c r="BC2949" s="1" t="s">
        <v>552</v>
      </c>
      <c r="BD2949" s="1" t="s">
        <v>553</v>
      </c>
      <c r="BE2949" s="1">
        <v>77.11</v>
      </c>
      <c r="BF2949" s="1">
        <v>8.15</v>
      </c>
      <c r="BG2949" s="1"/>
      <c r="BH2949" s="1"/>
      <c r="BI2949" s="1"/>
      <c r="BJ2949" s="1"/>
      <c r="BK2949" s="1"/>
      <c r="BL2949" s="1"/>
      <c r="BM2949" s="1"/>
      <c r="BN2949" s="1"/>
      <c r="BO2949" s="1" t="s">
        <v>369</v>
      </c>
      <c r="BP2949" s="1"/>
      <c r="BQ2949" s="1"/>
      <c r="BR2949" s="1" t="s">
        <v>47751</v>
      </c>
      <c r="BS2949" s="1">
        <v>8</v>
      </c>
      <c r="BT2949" s="1" t="s">
        <v>849</v>
      </c>
      <c r="BU2949" s="1" t="str">
        <f>HYPERLINK("https://nconnect.nicmar.ac.in/storage/profile/ProfilePhoto_P25710003_617925.jpg","Download")</f>
        <v>0</v>
      </c>
      <c r="BV2949" s="3"/>
      <c r="BW2949" s="3"/>
    </row>
    <row r="2950" spans="1:75">
      <c r="A2950" s="1" t="s">
        <v>47700</v>
      </c>
      <c r="B2950" s="1" t="s">
        <v>446</v>
      </c>
      <c r="C2950" s="1" t="s">
        <v>47752</v>
      </c>
      <c r="D2950" s="1" t="s">
        <v>2500</v>
      </c>
      <c r="E2950" s="1"/>
      <c r="F2950" s="1" t="s">
        <v>47753</v>
      </c>
      <c r="G2950" s="1" t="s">
        <v>47754</v>
      </c>
      <c r="H2950" s="1" t="s">
        <v>47755</v>
      </c>
      <c r="I2950" s="1" t="s">
        <v>47756</v>
      </c>
      <c r="J2950" s="1">
        <v>7995674067</v>
      </c>
      <c r="K2950" s="1" t="s">
        <v>84</v>
      </c>
      <c r="L2950" s="1" t="s">
        <v>38406</v>
      </c>
      <c r="M2950" s="1" t="s">
        <v>86</v>
      </c>
      <c r="N2950" s="1" t="s">
        <v>5525</v>
      </c>
      <c r="O2950" s="1"/>
      <c r="P2950" s="1" t="s">
        <v>455</v>
      </c>
      <c r="Q2950" s="1" t="s">
        <v>47757</v>
      </c>
      <c r="R2950" s="1" t="s">
        <v>47758</v>
      </c>
      <c r="S2950" s="1">
        <v>7780754689</v>
      </c>
      <c r="T2950" s="1" t="s">
        <v>839</v>
      </c>
      <c r="U2950" s="1" t="s">
        <v>47759</v>
      </c>
      <c r="V2950" s="1">
        <v>7995505368</v>
      </c>
      <c r="W2950" s="1" t="s">
        <v>541</v>
      </c>
      <c r="X2950" s="1" t="s">
        <v>47760</v>
      </c>
      <c r="Y2950" s="1" t="s">
        <v>12907</v>
      </c>
      <c r="Z2950" s="1" t="s">
        <v>281</v>
      </c>
      <c r="AA2950" s="1" t="s">
        <v>47761</v>
      </c>
      <c r="AB2950" s="1" t="s">
        <v>12907</v>
      </c>
      <c r="AC2950" s="1" t="s">
        <v>281</v>
      </c>
      <c r="AD2950" s="1">
        <v>9.03</v>
      </c>
      <c r="AE2950" s="1" t="s">
        <v>98</v>
      </c>
      <c r="AF2950" s="1" t="s">
        <v>47762</v>
      </c>
      <c r="AG2950" s="1" t="s">
        <v>1418</v>
      </c>
      <c r="AH2950" s="1" t="s">
        <v>106</v>
      </c>
      <c r="AI2950" s="1" t="s">
        <v>414</v>
      </c>
      <c r="AJ2950" s="1">
        <v>98</v>
      </c>
      <c r="AK2950" s="1">
        <v>9.8</v>
      </c>
      <c r="AL2950" s="1" t="s">
        <v>3033</v>
      </c>
      <c r="AM2950" s="1" t="s">
        <v>1420</v>
      </c>
      <c r="AN2950" s="1"/>
      <c r="AO2950" s="1" t="s">
        <v>438</v>
      </c>
      <c r="AP2950" s="1" t="s">
        <v>2304</v>
      </c>
      <c r="AQ2950" s="1">
        <v>93</v>
      </c>
      <c r="AR2950" s="1">
        <v>0</v>
      </c>
      <c r="AS2950" s="1"/>
      <c r="AT2950" s="1"/>
      <c r="AU2950" s="1"/>
      <c r="AV2950" s="1"/>
      <c r="AW2950" s="1"/>
      <c r="AX2950" s="1"/>
      <c r="AY2950" s="1" t="s">
        <v>2654</v>
      </c>
      <c r="AZ2950" s="1" t="s">
        <v>47763</v>
      </c>
      <c r="BA2950" s="1"/>
      <c r="BB2950" s="1"/>
      <c r="BC2950" s="1" t="s">
        <v>140</v>
      </c>
      <c r="BD2950" s="1" t="s">
        <v>8670</v>
      </c>
      <c r="BE2950" s="1">
        <v>79.8</v>
      </c>
      <c r="BF2950" s="1">
        <v>8.73</v>
      </c>
      <c r="BG2950" s="1"/>
      <c r="BH2950" s="1"/>
      <c r="BI2950" s="1"/>
      <c r="BJ2950" s="1"/>
      <c r="BK2950" s="1"/>
      <c r="BL2950" s="1"/>
      <c r="BM2950" s="1"/>
      <c r="BN2950" s="1"/>
      <c r="BO2950" s="1" t="s">
        <v>47764</v>
      </c>
      <c r="BP2950" s="1"/>
      <c r="BQ2950" s="1"/>
      <c r="BR2950" s="1" t="s">
        <v>47765</v>
      </c>
      <c r="BS2950" s="1">
        <v>25</v>
      </c>
      <c r="BT2950" s="1" t="s">
        <v>47766</v>
      </c>
      <c r="BU2950" s="1" t="str">
        <f>HYPERLINK("https://nconnect.nicmar.ac.in/storage/profile/ProfilePhoto_P25710004_513267.jpg","Download")</f>
        <v>0</v>
      </c>
      <c r="BV2950" s="3"/>
      <c r="BW2950" s="3"/>
    </row>
    <row r="2951" spans="1:75">
      <c r="A2951" s="1" t="s">
        <v>47700</v>
      </c>
      <c r="B2951" s="1" t="s">
        <v>446</v>
      </c>
      <c r="C2951" s="1" t="s">
        <v>47767</v>
      </c>
      <c r="D2951" s="1" t="s">
        <v>5630</v>
      </c>
      <c r="E2951" s="1" t="s">
        <v>47768</v>
      </c>
      <c r="F2951" s="1" t="s">
        <v>47769</v>
      </c>
      <c r="G2951" s="1" t="s">
        <v>47770</v>
      </c>
      <c r="H2951" s="1" t="s">
        <v>47771</v>
      </c>
      <c r="I2951" s="1" t="s">
        <v>47772</v>
      </c>
      <c r="J2951" s="1">
        <v>8668442199</v>
      </c>
      <c r="K2951" s="1" t="s">
        <v>84</v>
      </c>
      <c r="L2951" s="1" t="s">
        <v>47773</v>
      </c>
      <c r="M2951" s="1" t="s">
        <v>86</v>
      </c>
      <c r="N2951" s="1" t="s">
        <v>47774</v>
      </c>
      <c r="O2951" s="1" t="s">
        <v>47775</v>
      </c>
      <c r="P2951" s="1" t="s">
        <v>481</v>
      </c>
      <c r="Q2951" s="1" t="s">
        <v>47776</v>
      </c>
      <c r="R2951" s="1" t="s">
        <v>47768</v>
      </c>
      <c r="S2951" s="1">
        <v>9422045509</v>
      </c>
      <c r="T2951" s="1" t="s">
        <v>839</v>
      </c>
      <c r="U2951" s="1" t="s">
        <v>2281</v>
      </c>
      <c r="V2951" s="1">
        <v>9422045518</v>
      </c>
      <c r="W2951" s="1" t="s">
        <v>161</v>
      </c>
      <c r="X2951" s="1" t="s">
        <v>47777</v>
      </c>
      <c r="Y2951" s="1" t="s">
        <v>1989</v>
      </c>
      <c r="Z2951" s="1" t="s">
        <v>97</v>
      </c>
      <c r="AA2951" s="1" t="s">
        <v>47777</v>
      </c>
      <c r="AB2951" s="1" t="s">
        <v>1989</v>
      </c>
      <c r="AC2951" s="1" t="s">
        <v>97</v>
      </c>
      <c r="AD2951" s="1">
        <v>9.08</v>
      </c>
      <c r="AE2951" s="1" t="s">
        <v>98</v>
      </c>
      <c r="AF2951" s="1" t="s">
        <v>47778</v>
      </c>
      <c r="AG2951" s="1" t="s">
        <v>629</v>
      </c>
      <c r="AH2951" s="1" t="s">
        <v>106</v>
      </c>
      <c r="AI2951" s="1" t="s">
        <v>438</v>
      </c>
      <c r="AJ2951" s="1">
        <v>74.2</v>
      </c>
      <c r="AK2951" s="1">
        <v>0</v>
      </c>
      <c r="AL2951" s="1"/>
      <c r="AM2951" s="1"/>
      <c r="AN2951" s="1"/>
      <c r="AO2951" s="1"/>
      <c r="AP2951" s="1"/>
      <c r="AQ2951" s="1"/>
      <c r="AR2951" s="1"/>
      <c r="AS2951" s="1" t="s">
        <v>439</v>
      </c>
      <c r="AT2951" s="1" t="s">
        <v>47779</v>
      </c>
      <c r="AU2951" s="1" t="s">
        <v>438</v>
      </c>
      <c r="AV2951" s="1" t="s">
        <v>1400</v>
      </c>
      <c r="AW2951" s="1">
        <v>85.16</v>
      </c>
      <c r="AX2951" s="1">
        <v>0</v>
      </c>
      <c r="AY2951" s="1" t="s">
        <v>32616</v>
      </c>
      <c r="AZ2951" s="1" t="s">
        <v>47780</v>
      </c>
      <c r="BA2951" s="1"/>
      <c r="BB2951" s="1"/>
      <c r="BC2951" s="1" t="s">
        <v>1400</v>
      </c>
      <c r="BD2951" s="1" t="s">
        <v>1401</v>
      </c>
      <c r="BE2951" s="1">
        <v>73.1</v>
      </c>
      <c r="BF2951" s="1">
        <v>8.06</v>
      </c>
      <c r="BG2951" s="1"/>
      <c r="BH2951" s="1"/>
      <c r="BI2951" s="1"/>
      <c r="BJ2951" s="1"/>
      <c r="BK2951" s="1"/>
      <c r="BL2951" s="1"/>
      <c r="BM2951" s="1"/>
      <c r="BN2951" s="1"/>
      <c r="BO2951" s="1" t="s">
        <v>47781</v>
      </c>
      <c r="BP2951" s="1"/>
      <c r="BQ2951" s="1"/>
      <c r="BR2951" s="1" t="s">
        <v>47782</v>
      </c>
      <c r="BS2951" s="1">
        <v>17</v>
      </c>
      <c r="BT2951" s="1" t="s">
        <v>47783</v>
      </c>
      <c r="BU2951" s="1" t="str">
        <f>HYPERLINK("https://nconnect.nicmar.ac.in/storage/profile/ProfilePhoto_P25710005_326549.jpg","Download")</f>
        <v>0</v>
      </c>
      <c r="BV2951" s="3"/>
      <c r="BW2951" s="3"/>
    </row>
    <row r="2952" spans="1:75">
      <c r="A2952" s="1" t="s">
        <v>47700</v>
      </c>
      <c r="B2952" s="1" t="s">
        <v>446</v>
      </c>
      <c r="C2952" s="1" t="s">
        <v>47784</v>
      </c>
      <c r="D2952" s="1" t="s">
        <v>47785</v>
      </c>
      <c r="E2952" s="1"/>
      <c r="F2952" s="1" t="s">
        <v>47786</v>
      </c>
      <c r="G2952" s="1" t="s">
        <v>47787</v>
      </c>
      <c r="H2952" s="1" t="s">
        <v>47788</v>
      </c>
      <c r="I2952" s="1" t="s">
        <v>47789</v>
      </c>
      <c r="J2952" s="1">
        <v>7075074561</v>
      </c>
      <c r="K2952" s="1" t="s">
        <v>84</v>
      </c>
      <c r="L2952" s="1" t="s">
        <v>47790</v>
      </c>
      <c r="M2952" s="1" t="s">
        <v>86</v>
      </c>
      <c r="N2952" s="1" t="s">
        <v>30332</v>
      </c>
      <c r="O2952" s="1"/>
      <c r="P2952" s="1" t="s">
        <v>507</v>
      </c>
      <c r="Q2952" s="1" t="s">
        <v>47791</v>
      </c>
      <c r="R2952" s="1" t="s">
        <v>47792</v>
      </c>
      <c r="S2952" s="1">
        <v>9989111472</v>
      </c>
      <c r="T2952" s="1" t="s">
        <v>839</v>
      </c>
      <c r="U2952" s="1" t="s">
        <v>47793</v>
      </c>
      <c r="V2952" s="1">
        <v>9000176626</v>
      </c>
      <c r="W2952" s="1" t="s">
        <v>278</v>
      </c>
      <c r="X2952" s="1" t="s">
        <v>47794</v>
      </c>
      <c r="Y2952" s="1" t="s">
        <v>28342</v>
      </c>
      <c r="Z2952" s="1" t="s">
        <v>461</v>
      </c>
      <c r="AA2952" s="1" t="s">
        <v>47794</v>
      </c>
      <c r="AB2952" s="1" t="s">
        <v>28342</v>
      </c>
      <c r="AC2952" s="1" t="s">
        <v>461</v>
      </c>
      <c r="AD2952" s="1">
        <v>8.79</v>
      </c>
      <c r="AE2952" s="1" t="s">
        <v>98</v>
      </c>
      <c r="AF2952" s="1" t="s">
        <v>47795</v>
      </c>
      <c r="AG2952" s="1" t="s">
        <v>47796</v>
      </c>
      <c r="AH2952" s="1" t="s">
        <v>170</v>
      </c>
      <c r="AI2952" s="1" t="s">
        <v>171</v>
      </c>
      <c r="AJ2952" s="1">
        <v>83.6</v>
      </c>
      <c r="AK2952" s="1">
        <v>8.8</v>
      </c>
      <c r="AL2952" s="1" t="s">
        <v>47680</v>
      </c>
      <c r="AM2952" s="1" t="s">
        <v>47797</v>
      </c>
      <c r="AN2952" s="1"/>
      <c r="AO2952" s="1" t="s">
        <v>174</v>
      </c>
      <c r="AP2952" s="1" t="s">
        <v>977</v>
      </c>
      <c r="AQ2952" s="1">
        <v>96</v>
      </c>
      <c r="AR2952" s="1"/>
      <c r="AS2952" s="1"/>
      <c r="AT2952" s="1"/>
      <c r="AU2952" s="1"/>
      <c r="AV2952" s="1"/>
      <c r="AW2952" s="1"/>
      <c r="AX2952" s="1"/>
      <c r="AY2952" s="1" t="s">
        <v>47798</v>
      </c>
      <c r="AZ2952" s="1" t="s">
        <v>47799</v>
      </c>
      <c r="BA2952" s="1"/>
      <c r="BB2952" s="1"/>
      <c r="BC2952" s="1" t="s">
        <v>1040</v>
      </c>
      <c r="BD2952" s="1" t="s">
        <v>1242</v>
      </c>
      <c r="BE2952" s="1">
        <v>67.3</v>
      </c>
      <c r="BF2952" s="1">
        <v>7.23</v>
      </c>
      <c r="BG2952" s="1"/>
      <c r="BH2952" s="1"/>
      <c r="BI2952" s="1"/>
      <c r="BJ2952" s="1"/>
      <c r="BK2952" s="1"/>
      <c r="BL2952" s="1"/>
      <c r="BM2952" s="1"/>
      <c r="BN2952" s="1"/>
      <c r="BO2952" s="1" t="s">
        <v>47800</v>
      </c>
      <c r="BP2952" s="1"/>
      <c r="BQ2952" s="1"/>
      <c r="BR2952" s="1" t="s">
        <v>47801</v>
      </c>
      <c r="BS2952" s="1">
        <v>2</v>
      </c>
      <c r="BT2952" s="1"/>
      <c r="BU2952" s="1" t="str">
        <f>HYPERLINK("https://nconnect.nicmar.ac.in/storage/profile/ProfilePhoto_P25710006_941257.jpg","Download")</f>
        <v>0</v>
      </c>
      <c r="BV2952" s="3"/>
      <c r="BW2952" s="3"/>
    </row>
    <row r="2953" spans="1:75">
      <c r="A2953" s="1" t="s">
        <v>47700</v>
      </c>
      <c r="B2953" s="1" t="s">
        <v>446</v>
      </c>
      <c r="C2953" s="1" t="s">
        <v>47802</v>
      </c>
      <c r="D2953" s="1" t="s">
        <v>47803</v>
      </c>
      <c r="E2953" s="1" t="s">
        <v>5005</v>
      </c>
      <c r="F2953" s="1" t="s">
        <v>6636</v>
      </c>
      <c r="G2953" s="1" t="s">
        <v>47804</v>
      </c>
      <c r="H2953" s="1" t="s">
        <v>47805</v>
      </c>
      <c r="I2953" s="1" t="s">
        <v>47806</v>
      </c>
      <c r="J2953" s="1">
        <v>8087103131</v>
      </c>
      <c r="K2953" s="1" t="s">
        <v>84</v>
      </c>
      <c r="L2953" s="1" t="s">
        <v>47807</v>
      </c>
      <c r="M2953" s="1" t="s">
        <v>86</v>
      </c>
      <c r="N2953" s="1" t="s">
        <v>47808</v>
      </c>
      <c r="O2953" s="1"/>
      <c r="P2953" s="1" t="s">
        <v>507</v>
      </c>
      <c r="Q2953" s="1" t="s">
        <v>47809</v>
      </c>
      <c r="R2953" s="1" t="s">
        <v>47810</v>
      </c>
      <c r="S2953" s="1">
        <v>9860273333</v>
      </c>
      <c r="T2953" s="1" t="s">
        <v>839</v>
      </c>
      <c r="U2953" s="1" t="s">
        <v>47811</v>
      </c>
      <c r="V2953" s="1">
        <v>9765332333</v>
      </c>
      <c r="W2953" s="1" t="s">
        <v>161</v>
      </c>
      <c r="X2953" s="1" t="s">
        <v>47812</v>
      </c>
      <c r="Y2953" s="1" t="s">
        <v>1145</v>
      </c>
      <c r="Z2953" s="1" t="s">
        <v>97</v>
      </c>
      <c r="AA2953" s="1" t="s">
        <v>47813</v>
      </c>
      <c r="AB2953" s="1" t="s">
        <v>1145</v>
      </c>
      <c r="AC2953" s="1" t="s">
        <v>97</v>
      </c>
      <c r="AD2953" s="1">
        <v>9.05</v>
      </c>
      <c r="AE2953" s="1" t="s">
        <v>98</v>
      </c>
      <c r="AF2953" s="1" t="s">
        <v>47814</v>
      </c>
      <c r="AG2953" s="1" t="s">
        <v>47815</v>
      </c>
      <c r="AH2953" s="1" t="s">
        <v>101</v>
      </c>
      <c r="AI2953" s="1" t="s">
        <v>313</v>
      </c>
      <c r="AJ2953" s="1">
        <v>88</v>
      </c>
      <c r="AK2953" s="1"/>
      <c r="AL2953" s="1" t="s">
        <v>47816</v>
      </c>
      <c r="AM2953" s="1" t="s">
        <v>47817</v>
      </c>
      <c r="AN2953" s="1"/>
      <c r="AO2953" s="1" t="s">
        <v>315</v>
      </c>
      <c r="AP2953" s="1" t="s">
        <v>845</v>
      </c>
      <c r="AQ2953" s="1">
        <v>92.67</v>
      </c>
      <c r="AR2953" s="1"/>
      <c r="AS2953" s="1"/>
      <c r="AT2953" s="1"/>
      <c r="AU2953" s="1"/>
      <c r="AV2953" s="1"/>
      <c r="AW2953" s="1"/>
      <c r="AX2953" s="1"/>
      <c r="AY2953" s="1" t="s">
        <v>32616</v>
      </c>
      <c r="AZ2953" s="1" t="s">
        <v>47818</v>
      </c>
      <c r="BA2953" s="1"/>
      <c r="BB2953" s="1"/>
      <c r="BC2953" s="1" t="s">
        <v>552</v>
      </c>
      <c r="BD2953" s="1" t="s">
        <v>553</v>
      </c>
      <c r="BE2953" s="1">
        <v>78.6</v>
      </c>
      <c r="BF2953" s="1">
        <v>8.61</v>
      </c>
      <c r="BG2953" s="1"/>
      <c r="BH2953" s="1"/>
      <c r="BI2953" s="1"/>
      <c r="BJ2953" s="1"/>
      <c r="BK2953" s="1"/>
      <c r="BL2953" s="1"/>
      <c r="BM2953" s="1"/>
      <c r="BN2953" s="1"/>
      <c r="BO2953" s="1" t="s">
        <v>47819</v>
      </c>
      <c r="BP2953" s="1"/>
      <c r="BQ2953" s="1"/>
      <c r="BR2953" s="1" t="s">
        <v>47820</v>
      </c>
      <c r="BS2953" s="1">
        <v>17</v>
      </c>
      <c r="BT2953" s="1"/>
      <c r="BU2953" s="1" t="str">
        <f>HYPERLINK("https://nconnect.nicmar.ac.in/storage/profile/ProfilePhoto_P25710007_159264.jpg","Download")</f>
        <v>0</v>
      </c>
      <c r="BV2953" s="3"/>
      <c r="BW2953" s="3"/>
    </row>
    <row r="2954" spans="1:75">
      <c r="A2954" s="1" t="s">
        <v>47700</v>
      </c>
      <c r="B2954" s="1" t="s">
        <v>446</v>
      </c>
      <c r="C2954" s="1" t="s">
        <v>47821</v>
      </c>
      <c r="D2954" s="1" t="s">
        <v>47822</v>
      </c>
      <c r="E2954" s="1"/>
      <c r="F2954" s="1" t="s">
        <v>47823</v>
      </c>
      <c r="G2954" s="1" t="s">
        <v>47824</v>
      </c>
      <c r="H2954" s="1" t="s">
        <v>47825</v>
      </c>
      <c r="I2954" s="1" t="s">
        <v>47826</v>
      </c>
      <c r="J2954" s="1">
        <v>7731919520</v>
      </c>
      <c r="K2954" s="1" t="s">
        <v>84</v>
      </c>
      <c r="L2954" s="1" t="s">
        <v>2080</v>
      </c>
      <c r="M2954" s="1" t="s">
        <v>86</v>
      </c>
      <c r="N2954" s="1" t="s">
        <v>8347</v>
      </c>
      <c r="O2954" s="1"/>
      <c r="P2954" s="1" t="s">
        <v>507</v>
      </c>
      <c r="Q2954" s="1" t="s">
        <v>47827</v>
      </c>
      <c r="R2954" s="1" t="s">
        <v>47828</v>
      </c>
      <c r="S2954" s="1">
        <v>9000963829</v>
      </c>
      <c r="T2954" s="1" t="s">
        <v>159</v>
      </c>
      <c r="U2954" s="1" t="s">
        <v>47829</v>
      </c>
      <c r="V2954" s="1">
        <v>9010348691</v>
      </c>
      <c r="W2954" s="1" t="s">
        <v>541</v>
      </c>
      <c r="X2954" s="1" t="s">
        <v>47830</v>
      </c>
      <c r="Y2954" s="1" t="s">
        <v>47831</v>
      </c>
      <c r="Z2954" s="1" t="s">
        <v>461</v>
      </c>
      <c r="AA2954" s="1" t="s">
        <v>47830</v>
      </c>
      <c r="AB2954" s="1" t="s">
        <v>47831</v>
      </c>
      <c r="AC2954" s="1" t="s">
        <v>461</v>
      </c>
      <c r="AD2954" s="1">
        <v>9.29</v>
      </c>
      <c r="AE2954" s="1" t="s">
        <v>98</v>
      </c>
      <c r="AF2954" s="1" t="s">
        <v>47832</v>
      </c>
      <c r="AG2954" s="1" t="s">
        <v>2634</v>
      </c>
      <c r="AH2954" s="1" t="s">
        <v>170</v>
      </c>
      <c r="AI2954" s="1" t="s">
        <v>286</v>
      </c>
      <c r="AJ2954" s="1">
        <v>77.9</v>
      </c>
      <c r="AK2954" s="1">
        <v>8.2</v>
      </c>
      <c r="AL2954" s="1" t="s">
        <v>38762</v>
      </c>
      <c r="AM2954" s="1" t="s">
        <v>3034</v>
      </c>
      <c r="AN2954" s="1"/>
      <c r="AO2954" s="1" t="s">
        <v>174</v>
      </c>
      <c r="AP2954" s="1" t="s">
        <v>603</v>
      </c>
      <c r="AQ2954" s="1">
        <v>88.8</v>
      </c>
      <c r="AR2954" s="1"/>
      <c r="AS2954" s="1"/>
      <c r="AT2954" s="1"/>
      <c r="AU2954" s="1"/>
      <c r="AV2954" s="1"/>
      <c r="AW2954" s="1"/>
      <c r="AX2954" s="1"/>
      <c r="AY2954" s="1" t="s">
        <v>3035</v>
      </c>
      <c r="AZ2954" s="1" t="s">
        <v>47833</v>
      </c>
      <c r="BA2954" s="1"/>
      <c r="BB2954" s="1"/>
      <c r="BC2954" s="1" t="s">
        <v>1647</v>
      </c>
      <c r="BD2954" s="1" t="s">
        <v>207</v>
      </c>
      <c r="BE2954" s="1">
        <v>67.25</v>
      </c>
      <c r="BF2954" s="1">
        <v>7.11</v>
      </c>
      <c r="BG2954" s="1"/>
      <c r="BH2954" s="1"/>
      <c r="BI2954" s="1"/>
      <c r="BJ2954" s="1"/>
      <c r="BK2954" s="1"/>
      <c r="BL2954" s="1"/>
      <c r="BM2954" s="1"/>
      <c r="BN2954" s="1"/>
      <c r="BO2954" s="1" t="s">
        <v>2306</v>
      </c>
      <c r="BP2954" s="1"/>
      <c r="BQ2954" s="1"/>
      <c r="BR2954" s="1" t="s">
        <v>47834</v>
      </c>
      <c r="BS2954" s="1">
        <v>3</v>
      </c>
      <c r="BT2954" s="1" t="s">
        <v>47835</v>
      </c>
      <c r="BU2954" s="1" t="str">
        <f>HYPERLINK("https://nconnect.nicmar.ac.in/storage/profile/ProfilePhoto_P25710008_617395.jpg","Download")</f>
        <v>0</v>
      </c>
      <c r="BV2954" s="3"/>
      <c r="BW2954" s="3"/>
    </row>
    <row r="2955" spans="1:75">
      <c r="A2955" s="1" t="s">
        <v>47700</v>
      </c>
      <c r="B2955" s="1" t="s">
        <v>446</v>
      </c>
      <c r="C2955" s="1" t="s">
        <v>47836</v>
      </c>
      <c r="D2955" s="1" t="s">
        <v>47837</v>
      </c>
      <c r="E2955" s="1" t="s">
        <v>47838</v>
      </c>
      <c r="F2955" s="1" t="s">
        <v>47839</v>
      </c>
      <c r="G2955" s="1" t="s">
        <v>47840</v>
      </c>
      <c r="H2955" s="1" t="s">
        <v>47841</v>
      </c>
      <c r="I2955" s="1" t="s">
        <v>47842</v>
      </c>
      <c r="J2955" s="1">
        <v>9133123326</v>
      </c>
      <c r="K2955" s="1" t="s">
        <v>84</v>
      </c>
      <c r="L2955" s="1" t="s">
        <v>13674</v>
      </c>
      <c r="M2955" s="1" t="s">
        <v>86</v>
      </c>
      <c r="N2955" s="1" t="s">
        <v>47843</v>
      </c>
      <c r="O2955" s="1"/>
      <c r="P2955" s="1" t="s">
        <v>455</v>
      </c>
      <c r="Q2955" s="1" t="s">
        <v>47844</v>
      </c>
      <c r="R2955" s="1" t="s">
        <v>47845</v>
      </c>
      <c r="S2955" s="1">
        <v>9848041697</v>
      </c>
      <c r="T2955" s="1" t="s">
        <v>4486</v>
      </c>
      <c r="U2955" s="1" t="s">
        <v>47846</v>
      </c>
      <c r="V2955" s="1">
        <v>9441771789</v>
      </c>
      <c r="W2955" s="1" t="s">
        <v>541</v>
      </c>
      <c r="X2955" s="1" t="s">
        <v>47847</v>
      </c>
      <c r="Y2955" s="1" t="s">
        <v>3590</v>
      </c>
      <c r="Z2955" s="1" t="s">
        <v>281</v>
      </c>
      <c r="AA2955" s="1" t="s">
        <v>47847</v>
      </c>
      <c r="AB2955" s="1" t="s">
        <v>3590</v>
      </c>
      <c r="AC2955" s="1" t="s">
        <v>281</v>
      </c>
      <c r="AD2955" s="1">
        <v>7.79</v>
      </c>
      <c r="AE2955" s="1" t="s">
        <v>98</v>
      </c>
      <c r="AF2955" s="1" t="s">
        <v>47848</v>
      </c>
      <c r="AG2955" s="1" t="s">
        <v>1418</v>
      </c>
      <c r="AH2955" s="1" t="s">
        <v>166</v>
      </c>
      <c r="AI2955" s="1" t="s">
        <v>1111</v>
      </c>
      <c r="AJ2955" s="1">
        <v>92</v>
      </c>
      <c r="AK2955" s="1">
        <v>9.2</v>
      </c>
      <c r="AL2955" s="1" t="s">
        <v>1603</v>
      </c>
      <c r="AM2955" s="1" t="s">
        <v>47849</v>
      </c>
      <c r="AN2955" s="1"/>
      <c r="AO2955" s="1" t="s">
        <v>167</v>
      </c>
      <c r="AP2955" s="1" t="s">
        <v>286</v>
      </c>
      <c r="AQ2955" s="1">
        <v>76.4</v>
      </c>
      <c r="AR2955" s="1"/>
      <c r="AS2955" s="1"/>
      <c r="AT2955" s="1"/>
      <c r="AU2955" s="1"/>
      <c r="AV2955" s="1"/>
      <c r="AW2955" s="1"/>
      <c r="AX2955" s="1"/>
      <c r="AY2955" s="1" t="s">
        <v>2654</v>
      </c>
      <c r="AZ2955" s="1" t="s">
        <v>47850</v>
      </c>
      <c r="BA2955" s="1"/>
      <c r="BB2955" s="1"/>
      <c r="BC2955" s="1" t="s">
        <v>490</v>
      </c>
      <c r="BD2955" s="1" t="s">
        <v>289</v>
      </c>
      <c r="BE2955" s="1">
        <v>63.8</v>
      </c>
      <c r="BF2955" s="1">
        <v>7.13</v>
      </c>
      <c r="BG2955" s="1"/>
      <c r="BH2955" s="1"/>
      <c r="BI2955" s="1"/>
      <c r="BJ2955" s="1"/>
      <c r="BK2955" s="1"/>
      <c r="BL2955" s="1"/>
      <c r="BM2955" s="1"/>
      <c r="BN2955" s="1"/>
      <c r="BO2955" s="1" t="s">
        <v>28364</v>
      </c>
      <c r="BP2955" s="1"/>
      <c r="BQ2955" s="1"/>
      <c r="BR2955" s="1"/>
      <c r="BS2955" s="1"/>
      <c r="BT2955" s="1"/>
      <c r="BU2955" s="1" t="str">
        <f>HYPERLINK("https://nconnect.nicmar.ac.in/storage/profile/ProfilePhoto_P25710009_531928.jpg","Download")</f>
        <v>0</v>
      </c>
      <c r="BV2955" s="3"/>
      <c r="BW2955" s="3"/>
    </row>
    <row r="2956" spans="1:75">
      <c r="A2956" s="1" t="s">
        <v>47700</v>
      </c>
      <c r="B2956" s="1" t="s">
        <v>446</v>
      </c>
      <c r="C2956" s="1" t="s">
        <v>47851</v>
      </c>
      <c r="D2956" s="1" t="s">
        <v>31508</v>
      </c>
      <c r="E2956" s="1"/>
      <c r="F2956" s="1" t="s">
        <v>961</v>
      </c>
      <c r="G2956" s="1" t="s">
        <v>47852</v>
      </c>
      <c r="H2956" s="1" t="s">
        <v>47853</v>
      </c>
      <c r="I2956" s="1" t="s">
        <v>47854</v>
      </c>
      <c r="J2956" s="1">
        <v>9682107706</v>
      </c>
      <c r="K2956" s="1" t="s">
        <v>153</v>
      </c>
      <c r="L2956" s="1" t="s">
        <v>47855</v>
      </c>
      <c r="M2956" s="1" t="s">
        <v>86</v>
      </c>
      <c r="N2956" s="1" t="s">
        <v>246</v>
      </c>
      <c r="O2956" s="1"/>
      <c r="P2956" s="1" t="s">
        <v>455</v>
      </c>
      <c r="Q2956" s="1" t="s">
        <v>47856</v>
      </c>
      <c r="R2956" s="1" t="s">
        <v>47857</v>
      </c>
      <c r="S2956" s="1">
        <v>8491001920</v>
      </c>
      <c r="T2956" s="1" t="s">
        <v>539</v>
      </c>
      <c r="U2956" s="1" t="s">
        <v>47858</v>
      </c>
      <c r="V2956" s="1">
        <v>9149891882</v>
      </c>
      <c r="W2956" s="1" t="s">
        <v>161</v>
      </c>
      <c r="X2956" s="1" t="s">
        <v>47859</v>
      </c>
      <c r="Y2956" s="1" t="s">
        <v>8895</v>
      </c>
      <c r="Z2956" s="1" t="s">
        <v>8896</v>
      </c>
      <c r="AA2956" s="1" t="s">
        <v>47859</v>
      </c>
      <c r="AB2956" s="1" t="s">
        <v>8895</v>
      </c>
      <c r="AC2956" s="1" t="s">
        <v>8896</v>
      </c>
      <c r="AD2956" s="1">
        <v>9.18</v>
      </c>
      <c r="AE2956" s="1" t="s">
        <v>98</v>
      </c>
      <c r="AF2956" s="1" t="s">
        <v>47860</v>
      </c>
      <c r="AG2956" s="1" t="s">
        <v>47861</v>
      </c>
      <c r="AH2956" s="1" t="s">
        <v>1110</v>
      </c>
      <c r="AI2956" s="1" t="s">
        <v>627</v>
      </c>
      <c r="AJ2956" s="1">
        <v>95</v>
      </c>
      <c r="AK2956" s="1">
        <v>10</v>
      </c>
      <c r="AL2956" s="1" t="s">
        <v>47860</v>
      </c>
      <c r="AM2956" s="1" t="s">
        <v>47861</v>
      </c>
      <c r="AN2956" s="1" t="s">
        <v>465</v>
      </c>
      <c r="AO2956" s="1" t="s">
        <v>704</v>
      </c>
      <c r="AP2956" s="1" t="s">
        <v>171</v>
      </c>
      <c r="AQ2956" s="1">
        <v>84.6</v>
      </c>
      <c r="AR2956" s="1"/>
      <c r="AS2956" s="1"/>
      <c r="AT2956" s="1"/>
      <c r="AU2956" s="1"/>
      <c r="AV2956" s="1"/>
      <c r="AW2956" s="1"/>
      <c r="AX2956" s="1"/>
      <c r="AY2956" s="1" t="s">
        <v>41409</v>
      </c>
      <c r="AZ2956" s="1" t="s">
        <v>41409</v>
      </c>
      <c r="BA2956" s="1" t="s">
        <v>466</v>
      </c>
      <c r="BB2956" s="1" t="s">
        <v>467</v>
      </c>
      <c r="BC2956" s="1" t="s">
        <v>174</v>
      </c>
      <c r="BD2956" s="1" t="s">
        <v>1802</v>
      </c>
      <c r="BE2956" s="1">
        <v>80.6</v>
      </c>
      <c r="BF2956" s="1">
        <v>8.06</v>
      </c>
      <c r="BG2956" s="1"/>
      <c r="BH2956" s="1"/>
      <c r="BI2956" s="1"/>
      <c r="BJ2956" s="1"/>
      <c r="BK2956" s="1"/>
      <c r="BL2956" s="1"/>
      <c r="BM2956" s="1"/>
      <c r="BN2956" s="1"/>
      <c r="BO2956" s="1" t="s">
        <v>47862</v>
      </c>
      <c r="BP2956" s="1"/>
      <c r="BQ2956" s="1"/>
      <c r="BR2956" s="1" t="s">
        <v>47863</v>
      </c>
      <c r="BS2956" s="1">
        <v>9</v>
      </c>
      <c r="BT2956" s="1" t="s">
        <v>47864</v>
      </c>
      <c r="BU2956" s="1" t="str">
        <f>HYPERLINK("https://nconnect.nicmar.ac.in/storage/profile/ProfilePhoto_P25710010_428397.jpg","Download")</f>
        <v>0</v>
      </c>
      <c r="BV2956" s="3"/>
      <c r="BW2956" s="3"/>
    </row>
    <row r="2957" spans="1:75">
      <c r="A2957" s="1" t="s">
        <v>47700</v>
      </c>
      <c r="B2957" s="1" t="s">
        <v>446</v>
      </c>
      <c r="C2957" s="1" t="s">
        <v>47865</v>
      </c>
      <c r="D2957" s="1" t="s">
        <v>47866</v>
      </c>
      <c r="E2957" s="1"/>
      <c r="F2957" s="1" t="s">
        <v>47867</v>
      </c>
      <c r="G2957" s="1" t="s">
        <v>47868</v>
      </c>
      <c r="H2957" s="1" t="s">
        <v>47869</v>
      </c>
      <c r="I2957" s="1" t="s">
        <v>47870</v>
      </c>
      <c r="J2957" s="1">
        <v>8106736048</v>
      </c>
      <c r="K2957" s="1" t="s">
        <v>153</v>
      </c>
      <c r="L2957" s="1" t="s">
        <v>47871</v>
      </c>
      <c r="M2957" s="1" t="s">
        <v>86</v>
      </c>
      <c r="N2957" s="1" t="s">
        <v>47843</v>
      </c>
      <c r="O2957" s="1"/>
      <c r="P2957" s="1" t="s">
        <v>455</v>
      </c>
      <c r="Q2957" s="1" t="s">
        <v>47872</v>
      </c>
      <c r="R2957" s="1" t="s">
        <v>47873</v>
      </c>
      <c r="S2957" s="1">
        <v>9849188805</v>
      </c>
      <c r="T2957" s="1" t="s">
        <v>47874</v>
      </c>
      <c r="U2957" s="1" t="s">
        <v>47875</v>
      </c>
      <c r="V2957" s="1">
        <v>9963356877</v>
      </c>
      <c r="W2957" s="1" t="s">
        <v>541</v>
      </c>
      <c r="X2957" s="1" t="s">
        <v>47876</v>
      </c>
      <c r="Y2957" s="1" t="s">
        <v>3464</v>
      </c>
      <c r="Z2957" s="1" t="s">
        <v>281</v>
      </c>
      <c r="AA2957" s="1" t="s">
        <v>47876</v>
      </c>
      <c r="AB2957" s="1" t="s">
        <v>3464</v>
      </c>
      <c r="AC2957" s="1" t="s">
        <v>281</v>
      </c>
      <c r="AD2957" s="1">
        <v>9.76</v>
      </c>
      <c r="AE2957" s="1" t="s">
        <v>98</v>
      </c>
      <c r="AF2957" s="1" t="s">
        <v>47877</v>
      </c>
      <c r="AG2957" s="1" t="s">
        <v>47878</v>
      </c>
      <c r="AH2957" s="1" t="s">
        <v>106</v>
      </c>
      <c r="AI2957" s="1" t="s">
        <v>313</v>
      </c>
      <c r="AJ2957" s="1">
        <v>100</v>
      </c>
      <c r="AK2957" s="1">
        <v>10</v>
      </c>
      <c r="AL2957" s="1" t="s">
        <v>47879</v>
      </c>
      <c r="AM2957" s="1" t="s">
        <v>312</v>
      </c>
      <c r="AN2957" s="1"/>
      <c r="AO2957" s="1" t="s">
        <v>438</v>
      </c>
      <c r="AP2957" s="1" t="s">
        <v>549</v>
      </c>
      <c r="AQ2957" s="1">
        <v>95</v>
      </c>
      <c r="AR2957" s="1"/>
      <c r="AS2957" s="1"/>
      <c r="AT2957" s="1"/>
      <c r="AU2957" s="1"/>
      <c r="AV2957" s="1"/>
      <c r="AW2957" s="1"/>
      <c r="AX2957" s="1"/>
      <c r="AY2957" s="1" t="s">
        <v>47880</v>
      </c>
      <c r="AZ2957" s="1" t="s">
        <v>47881</v>
      </c>
      <c r="BA2957" s="1"/>
      <c r="BB2957" s="1"/>
      <c r="BC2957" s="1" t="s">
        <v>140</v>
      </c>
      <c r="BD2957" s="1" t="s">
        <v>553</v>
      </c>
      <c r="BE2957" s="1">
        <v>74.1</v>
      </c>
      <c r="BF2957" s="1">
        <v>7.41</v>
      </c>
      <c r="BG2957" s="1"/>
      <c r="BH2957" s="1"/>
      <c r="BI2957" s="1"/>
      <c r="BJ2957" s="1"/>
      <c r="BK2957" s="1"/>
      <c r="BL2957" s="1"/>
      <c r="BM2957" s="1"/>
      <c r="BN2957" s="1"/>
      <c r="BO2957" s="1" t="s">
        <v>47882</v>
      </c>
      <c r="BP2957" s="1"/>
      <c r="BQ2957" s="1"/>
      <c r="BR2957" s="1" t="s">
        <v>47883</v>
      </c>
      <c r="BS2957" s="1">
        <v>7</v>
      </c>
      <c r="BT2957" s="1"/>
      <c r="BU2957" s="1" t="str">
        <f>HYPERLINK("https://nconnect.nicmar.ac.in/storage/profile/ProfilePhoto_P25710011_328594.jpg","Download")</f>
        <v>0</v>
      </c>
      <c r="BV2957" s="3"/>
      <c r="BW2957" s="3"/>
    </row>
    <row r="2958" spans="1:75">
      <c r="A2958" s="1" t="s">
        <v>47700</v>
      </c>
      <c r="B2958" s="1" t="s">
        <v>446</v>
      </c>
      <c r="C2958" s="1" t="s">
        <v>47884</v>
      </c>
      <c r="D2958" s="1" t="s">
        <v>940</v>
      </c>
      <c r="E2958" s="1" t="s">
        <v>13757</v>
      </c>
      <c r="F2958" s="1" t="s">
        <v>47885</v>
      </c>
      <c r="G2958" s="1" t="s">
        <v>47886</v>
      </c>
      <c r="H2958" s="1" t="s">
        <v>47887</v>
      </c>
      <c r="I2958" s="1" t="s">
        <v>47888</v>
      </c>
      <c r="J2958" s="1">
        <v>9067256613</v>
      </c>
      <c r="K2958" s="1" t="s">
        <v>84</v>
      </c>
      <c r="L2958" s="1" t="s">
        <v>47889</v>
      </c>
      <c r="M2958" s="1" t="s">
        <v>86</v>
      </c>
      <c r="N2958" s="1" t="s">
        <v>768</v>
      </c>
      <c r="O2958" s="1"/>
      <c r="P2958" s="1" t="s">
        <v>455</v>
      </c>
      <c r="Q2958" s="1" t="s">
        <v>47890</v>
      </c>
      <c r="R2958" s="1" t="s">
        <v>13757</v>
      </c>
      <c r="S2958" s="1">
        <v>9423880671</v>
      </c>
      <c r="T2958" s="1" t="s">
        <v>159</v>
      </c>
      <c r="U2958" s="1" t="s">
        <v>47891</v>
      </c>
      <c r="V2958" s="1">
        <v>7588060842</v>
      </c>
      <c r="W2958" s="1" t="s">
        <v>278</v>
      </c>
      <c r="X2958" s="1" t="s">
        <v>47892</v>
      </c>
      <c r="Y2958" s="1" t="s">
        <v>5181</v>
      </c>
      <c r="Z2958" s="1" t="s">
        <v>97</v>
      </c>
      <c r="AA2958" s="1" t="s">
        <v>47892</v>
      </c>
      <c r="AB2958" s="1" t="s">
        <v>5181</v>
      </c>
      <c r="AC2958" s="1" t="s">
        <v>97</v>
      </c>
      <c r="AD2958" s="1" t="s">
        <v>98</v>
      </c>
      <c r="AE2958" s="1" t="s">
        <v>98</v>
      </c>
      <c r="AF2958" s="1" t="s">
        <v>47893</v>
      </c>
      <c r="AG2958" s="1" t="s">
        <v>47894</v>
      </c>
      <c r="AH2958" s="1" t="s">
        <v>170</v>
      </c>
      <c r="AI2958" s="1" t="s">
        <v>286</v>
      </c>
      <c r="AJ2958" s="1">
        <v>75.2</v>
      </c>
      <c r="AK2958" s="1">
        <v>0</v>
      </c>
      <c r="AL2958" s="1"/>
      <c r="AM2958" s="1"/>
      <c r="AN2958" s="1"/>
      <c r="AO2958" s="1"/>
      <c r="AP2958" s="1"/>
      <c r="AQ2958" s="1"/>
      <c r="AR2958" s="1"/>
      <c r="AS2958" s="1" t="s">
        <v>439</v>
      </c>
      <c r="AT2958" s="1" t="s">
        <v>47895</v>
      </c>
      <c r="AU2958" s="1" t="s">
        <v>1065</v>
      </c>
      <c r="AV2958" s="1" t="s">
        <v>847</v>
      </c>
      <c r="AW2958" s="1">
        <v>88.74</v>
      </c>
      <c r="AX2958" s="1">
        <v>0</v>
      </c>
      <c r="AY2958" s="1" t="s">
        <v>366</v>
      </c>
      <c r="AZ2958" s="1" t="s">
        <v>47896</v>
      </c>
      <c r="BA2958" s="1"/>
      <c r="BB2958" s="1"/>
      <c r="BC2958" s="1" t="s">
        <v>871</v>
      </c>
      <c r="BD2958" s="1" t="s">
        <v>207</v>
      </c>
      <c r="BE2958" s="1">
        <v>62.5</v>
      </c>
      <c r="BF2958" s="1">
        <v>7</v>
      </c>
      <c r="BG2958" s="1"/>
      <c r="BH2958" s="1"/>
      <c r="BI2958" s="1"/>
      <c r="BJ2958" s="1"/>
      <c r="BK2958" s="1"/>
      <c r="BL2958" s="1"/>
      <c r="BM2958" s="1"/>
      <c r="BN2958" s="1"/>
      <c r="BO2958" s="1" t="s">
        <v>47897</v>
      </c>
      <c r="BP2958" s="1"/>
      <c r="BQ2958" s="1"/>
      <c r="BR2958" s="1"/>
      <c r="BS2958" s="1"/>
      <c r="BT2958" s="1" t="s">
        <v>47898</v>
      </c>
      <c r="BU2958" s="1" t="str">
        <f>HYPERLINK("https://nconnect.nicmar.ac.in/storage/profile/ProfilePhoto_P25710012_425981.jpg","Download")</f>
        <v>0</v>
      </c>
      <c r="BV2958" s="3"/>
      <c r="BW2958" s="3"/>
    </row>
    <row r="2959" spans="1:75">
      <c r="A2959" s="1" t="s">
        <v>47700</v>
      </c>
      <c r="B2959" s="1" t="s">
        <v>446</v>
      </c>
      <c r="C2959" s="1" t="s">
        <v>47899</v>
      </c>
      <c r="D2959" s="1" t="s">
        <v>47900</v>
      </c>
      <c r="E2959" s="1" t="s">
        <v>47901</v>
      </c>
      <c r="F2959" s="1" t="s">
        <v>1179</v>
      </c>
      <c r="G2959" s="1" t="s">
        <v>47902</v>
      </c>
      <c r="H2959" s="1" t="s">
        <v>47903</v>
      </c>
      <c r="I2959" s="1" t="s">
        <v>47904</v>
      </c>
      <c r="J2959" s="1">
        <v>7447247135</v>
      </c>
      <c r="K2959" s="1" t="s">
        <v>153</v>
      </c>
      <c r="L2959" s="1" t="s">
        <v>47905</v>
      </c>
      <c r="M2959" s="1" t="s">
        <v>86</v>
      </c>
      <c r="N2959" s="1" t="s">
        <v>6747</v>
      </c>
      <c r="O2959" s="1"/>
      <c r="P2959" s="1" t="s">
        <v>455</v>
      </c>
      <c r="Q2959" s="1" t="s">
        <v>47906</v>
      </c>
      <c r="R2959" s="1" t="s">
        <v>47907</v>
      </c>
      <c r="S2959" s="1">
        <v>8605263720</v>
      </c>
      <c r="T2959" s="1" t="s">
        <v>4693</v>
      </c>
      <c r="U2959" s="1" t="s">
        <v>47908</v>
      </c>
      <c r="V2959" s="1">
        <v>8669240640</v>
      </c>
      <c r="W2959" s="1" t="s">
        <v>4693</v>
      </c>
      <c r="X2959" s="1" t="s">
        <v>47909</v>
      </c>
      <c r="Y2959" s="1" t="s">
        <v>1189</v>
      </c>
      <c r="Z2959" s="1" t="s">
        <v>97</v>
      </c>
      <c r="AA2959" s="1" t="s">
        <v>47910</v>
      </c>
      <c r="AB2959" s="1" t="s">
        <v>1189</v>
      </c>
      <c r="AC2959" s="1" t="s">
        <v>97</v>
      </c>
      <c r="AD2959" s="1">
        <v>9.39</v>
      </c>
      <c r="AE2959" s="1" t="s">
        <v>98</v>
      </c>
      <c r="AF2959" s="1" t="s">
        <v>47911</v>
      </c>
      <c r="AG2959" s="1" t="s">
        <v>47912</v>
      </c>
      <c r="AH2959" s="1" t="s">
        <v>106</v>
      </c>
      <c r="AI2959" s="1" t="s">
        <v>414</v>
      </c>
      <c r="AJ2959" s="1">
        <v>90.4</v>
      </c>
      <c r="AK2959" s="1"/>
      <c r="AL2959" s="1" t="s">
        <v>47913</v>
      </c>
      <c r="AM2959" s="1" t="s">
        <v>47912</v>
      </c>
      <c r="AN2959" s="1"/>
      <c r="AO2959" s="1" t="s">
        <v>468</v>
      </c>
      <c r="AP2959" s="1" t="s">
        <v>549</v>
      </c>
      <c r="AQ2959" s="1">
        <v>72.67</v>
      </c>
      <c r="AR2959" s="1"/>
      <c r="AS2959" s="1"/>
      <c r="AT2959" s="1"/>
      <c r="AU2959" s="1"/>
      <c r="AV2959" s="1"/>
      <c r="AW2959" s="1"/>
      <c r="AX2959" s="1"/>
      <c r="AY2959" s="1" t="s">
        <v>258</v>
      </c>
      <c r="AZ2959" s="1" t="s">
        <v>47914</v>
      </c>
      <c r="BA2959" s="1"/>
      <c r="BB2959" s="1"/>
      <c r="BC2959" s="1" t="s">
        <v>871</v>
      </c>
      <c r="BD2959" s="1" t="s">
        <v>1401</v>
      </c>
      <c r="BE2959" s="1">
        <v>75.02</v>
      </c>
      <c r="BF2959" s="1">
        <v>8.11</v>
      </c>
      <c r="BG2959" s="1"/>
      <c r="BH2959" s="1"/>
      <c r="BI2959" s="1"/>
      <c r="BJ2959" s="1"/>
      <c r="BK2959" s="1"/>
      <c r="BL2959" s="1"/>
      <c r="BM2959" s="1"/>
      <c r="BN2959" s="1"/>
      <c r="BO2959" s="1" t="s">
        <v>47915</v>
      </c>
      <c r="BP2959" s="1"/>
      <c r="BQ2959" s="1"/>
      <c r="BR2959" s="1" t="s">
        <v>47916</v>
      </c>
      <c r="BS2959" s="1">
        <v>2</v>
      </c>
      <c r="BT2959" s="1"/>
      <c r="BU2959" s="1" t="str">
        <f>HYPERLINK("https://nconnect.nicmar.ac.in/storage/profile/ProfilePhoto_P25710013_394618.jpg","Download")</f>
        <v>0</v>
      </c>
      <c r="BV2959" s="3"/>
      <c r="BW2959" s="3"/>
    </row>
    <row r="2960" spans="1:75">
      <c r="A2960" s="1" t="s">
        <v>47700</v>
      </c>
      <c r="B2960" s="1" t="s">
        <v>446</v>
      </c>
      <c r="C2960" s="1" t="s">
        <v>47917</v>
      </c>
      <c r="D2960" s="1" t="s">
        <v>37757</v>
      </c>
      <c r="E2960" s="1"/>
      <c r="F2960" s="1" t="s">
        <v>20601</v>
      </c>
      <c r="G2960" s="1" t="s">
        <v>47918</v>
      </c>
      <c r="H2960" s="1" t="s">
        <v>47919</v>
      </c>
      <c r="I2960" s="1" t="s">
        <v>47920</v>
      </c>
      <c r="J2960" s="1">
        <v>9188831265</v>
      </c>
      <c r="K2960" s="1" t="s">
        <v>84</v>
      </c>
      <c r="L2960" s="1" t="s">
        <v>14797</v>
      </c>
      <c r="M2960" s="1" t="s">
        <v>86</v>
      </c>
      <c r="N2960" s="1" t="s">
        <v>592</v>
      </c>
      <c r="O2960" s="1"/>
      <c r="P2960" s="1" t="s">
        <v>507</v>
      </c>
      <c r="Q2960" s="1" t="s">
        <v>47921</v>
      </c>
      <c r="R2960" s="1" t="s">
        <v>47922</v>
      </c>
      <c r="S2960" s="1">
        <v>9137757974</v>
      </c>
      <c r="T2960" s="1" t="s">
        <v>27158</v>
      </c>
      <c r="U2960" s="1" t="s">
        <v>47923</v>
      </c>
      <c r="V2960" s="1">
        <v>7907888152</v>
      </c>
      <c r="W2960" s="1" t="s">
        <v>541</v>
      </c>
      <c r="X2960" s="1" t="s">
        <v>47924</v>
      </c>
      <c r="Y2960" s="1" t="s">
        <v>2526</v>
      </c>
      <c r="Z2960" s="1" t="s">
        <v>130</v>
      </c>
      <c r="AA2960" s="1" t="s">
        <v>47924</v>
      </c>
      <c r="AB2960" s="1" t="s">
        <v>2526</v>
      </c>
      <c r="AC2960" s="1" t="s">
        <v>130</v>
      </c>
      <c r="AD2960" s="1">
        <v>9.39</v>
      </c>
      <c r="AE2960" s="1" t="s">
        <v>98</v>
      </c>
      <c r="AF2960" s="1" t="s">
        <v>47925</v>
      </c>
      <c r="AG2960" s="1" t="s">
        <v>796</v>
      </c>
      <c r="AH2960" s="1" t="s">
        <v>136</v>
      </c>
      <c r="AI2960" s="1" t="s">
        <v>627</v>
      </c>
      <c r="AJ2960" s="1">
        <v>87.4</v>
      </c>
      <c r="AK2960" s="1">
        <v>9.2</v>
      </c>
      <c r="AL2960" s="1" t="s">
        <v>47925</v>
      </c>
      <c r="AM2960" s="1" t="s">
        <v>796</v>
      </c>
      <c r="AN2960" s="1"/>
      <c r="AO2960" s="1" t="s">
        <v>573</v>
      </c>
      <c r="AP2960" s="1" t="s">
        <v>171</v>
      </c>
      <c r="AQ2960" s="1">
        <v>79.6</v>
      </c>
      <c r="AR2960" s="1"/>
      <c r="AS2960" s="1"/>
      <c r="AT2960" s="1"/>
      <c r="AU2960" s="1"/>
      <c r="AV2960" s="1"/>
      <c r="AW2960" s="1"/>
      <c r="AX2960" s="1"/>
      <c r="AY2960" s="1" t="s">
        <v>137</v>
      </c>
      <c r="AZ2960" s="1" t="s">
        <v>47926</v>
      </c>
      <c r="BA2960" s="1"/>
      <c r="BB2960" s="1"/>
      <c r="BC2960" s="1" t="s">
        <v>174</v>
      </c>
      <c r="BD2960" s="1" t="s">
        <v>1400</v>
      </c>
      <c r="BE2960" s="1">
        <v>76.7</v>
      </c>
      <c r="BF2960" s="1">
        <v>7.67</v>
      </c>
      <c r="BG2960" s="1"/>
      <c r="BH2960" s="1"/>
      <c r="BI2960" s="1"/>
      <c r="BJ2960" s="1"/>
      <c r="BK2960" s="1"/>
      <c r="BL2960" s="1"/>
      <c r="BM2960" s="1"/>
      <c r="BN2960" s="1"/>
      <c r="BO2960" s="1" t="s">
        <v>47927</v>
      </c>
      <c r="BP2960" s="1" t="s">
        <v>47928</v>
      </c>
      <c r="BQ2960" s="1" t="s">
        <v>524</v>
      </c>
      <c r="BR2960" s="1"/>
      <c r="BS2960" s="1"/>
      <c r="BT2960" s="1" t="s">
        <v>47929</v>
      </c>
      <c r="BU2960" s="1" t="str">
        <f>HYPERLINK("https://nconnect.nicmar.ac.in/storage/profile/ProfilePhoto_P25710014_173564.jpg","Download")</f>
        <v>0</v>
      </c>
      <c r="BV2960" s="3"/>
      <c r="BW2960" s="3"/>
    </row>
    <row r="2961" spans="1:75">
      <c r="A2961" s="1" t="s">
        <v>47700</v>
      </c>
      <c r="B2961" s="1" t="s">
        <v>446</v>
      </c>
      <c r="C2961" s="1" t="s">
        <v>47930</v>
      </c>
      <c r="D2961" s="1" t="s">
        <v>47931</v>
      </c>
      <c r="E2961" s="1"/>
      <c r="F2961" s="1" t="s">
        <v>47932</v>
      </c>
      <c r="G2961" s="1" t="s">
        <v>47933</v>
      </c>
      <c r="H2961" s="1" t="s">
        <v>47934</v>
      </c>
      <c r="I2961" s="1" t="s">
        <v>47935</v>
      </c>
      <c r="J2961" s="1">
        <v>9413214300</v>
      </c>
      <c r="K2961" s="1" t="s">
        <v>84</v>
      </c>
      <c r="L2961" s="1" t="s">
        <v>38929</v>
      </c>
      <c r="M2961" s="1" t="s">
        <v>86</v>
      </c>
      <c r="N2961" s="1" t="s">
        <v>355</v>
      </c>
      <c r="O2961" s="1"/>
      <c r="P2961" s="1" t="s">
        <v>455</v>
      </c>
      <c r="Q2961" s="1" t="s">
        <v>47936</v>
      </c>
      <c r="R2961" s="1" t="s">
        <v>47937</v>
      </c>
      <c r="S2961" s="1">
        <v>8769251250</v>
      </c>
      <c r="T2961" s="1" t="s">
        <v>47938</v>
      </c>
      <c r="U2961" s="1" t="s">
        <v>47939</v>
      </c>
      <c r="V2961" s="1">
        <v>9166777853</v>
      </c>
      <c r="W2961" s="1" t="s">
        <v>161</v>
      </c>
      <c r="X2961" s="1" t="s">
        <v>47940</v>
      </c>
      <c r="Y2961" s="1" t="s">
        <v>47941</v>
      </c>
      <c r="Z2961" s="1" t="s">
        <v>2153</v>
      </c>
      <c r="AA2961" s="1" t="s">
        <v>47940</v>
      </c>
      <c r="AB2961" s="1" t="s">
        <v>47941</v>
      </c>
      <c r="AC2961" s="1" t="s">
        <v>2153</v>
      </c>
      <c r="AD2961" s="1">
        <v>9.53</v>
      </c>
      <c r="AE2961" s="1" t="s">
        <v>98</v>
      </c>
      <c r="AF2961" s="1" t="s">
        <v>47942</v>
      </c>
      <c r="AG2961" s="1" t="s">
        <v>38536</v>
      </c>
      <c r="AH2961" s="1" t="s">
        <v>627</v>
      </c>
      <c r="AI2961" s="1" t="s">
        <v>170</v>
      </c>
      <c r="AJ2961" s="1">
        <v>93.33</v>
      </c>
      <c r="AK2961" s="1"/>
      <c r="AL2961" s="1" t="s">
        <v>47942</v>
      </c>
      <c r="AM2961" s="1" t="s">
        <v>38536</v>
      </c>
      <c r="AN2961" s="1"/>
      <c r="AO2961" s="1" t="s">
        <v>171</v>
      </c>
      <c r="AP2961" s="1" t="s">
        <v>313</v>
      </c>
      <c r="AQ2961" s="1">
        <v>80</v>
      </c>
      <c r="AR2961" s="1"/>
      <c r="AS2961" s="1" t="s">
        <v>439</v>
      </c>
      <c r="AT2961" s="1" t="s">
        <v>47943</v>
      </c>
      <c r="AU2961" s="1" t="s">
        <v>890</v>
      </c>
      <c r="AV2961" s="1" t="s">
        <v>632</v>
      </c>
      <c r="AW2961" s="1">
        <v>78.29</v>
      </c>
      <c r="AX2961" s="1"/>
      <c r="AY2961" s="1" t="s">
        <v>47944</v>
      </c>
      <c r="AZ2961" s="1" t="s">
        <v>47945</v>
      </c>
      <c r="BA2961" s="1"/>
      <c r="BB2961" s="1"/>
      <c r="BC2961" s="1" t="s">
        <v>1825</v>
      </c>
      <c r="BD2961" s="1" t="s">
        <v>553</v>
      </c>
      <c r="BE2961" s="1">
        <v>93.9</v>
      </c>
      <c r="BF2961" s="1">
        <v>9.39</v>
      </c>
      <c r="BG2961" s="1"/>
      <c r="BH2961" s="1"/>
      <c r="BI2961" s="1"/>
      <c r="BJ2961" s="1"/>
      <c r="BK2961" s="1"/>
      <c r="BL2961" s="1"/>
      <c r="BM2961" s="1"/>
      <c r="BN2961" s="1"/>
      <c r="BO2961" s="1" t="s">
        <v>849</v>
      </c>
      <c r="BP2961" s="1"/>
      <c r="BQ2961" s="1"/>
      <c r="BR2961" s="1" t="s">
        <v>47946</v>
      </c>
      <c r="BS2961" s="1">
        <v>6</v>
      </c>
      <c r="BT2961" s="1"/>
      <c r="BU2961" s="1" t="str">
        <f>HYPERLINK("https://nconnect.nicmar.ac.in/storage/profile/ProfilePhoto_P25710015_126583.jpg","Download")</f>
        <v>0</v>
      </c>
      <c r="BV2961" s="3"/>
      <c r="BW2961" s="3"/>
    </row>
    <row r="2962" spans="1:75">
      <c r="A2962" s="1" t="s">
        <v>47700</v>
      </c>
      <c r="B2962" s="1" t="s">
        <v>446</v>
      </c>
      <c r="C2962" s="1" t="s">
        <v>47947</v>
      </c>
      <c r="D2962" s="1" t="s">
        <v>1893</v>
      </c>
      <c r="E2962" s="1"/>
      <c r="F2962" s="1" t="s">
        <v>5718</v>
      </c>
      <c r="G2962" s="1" t="s">
        <v>47948</v>
      </c>
      <c r="H2962" s="1" t="s">
        <v>47949</v>
      </c>
      <c r="I2962" s="1" t="s">
        <v>47950</v>
      </c>
      <c r="J2962" s="1">
        <v>9447705544</v>
      </c>
      <c r="K2962" s="1" t="s">
        <v>84</v>
      </c>
      <c r="L2962" s="1" t="s">
        <v>20485</v>
      </c>
      <c r="M2962" s="1" t="s">
        <v>86</v>
      </c>
      <c r="N2962" s="1" t="s">
        <v>47951</v>
      </c>
      <c r="O2962" s="1" t="s">
        <v>47952</v>
      </c>
      <c r="P2962" s="1"/>
      <c r="Q2962" s="1" t="s">
        <v>47953</v>
      </c>
      <c r="R2962" s="1" t="s">
        <v>47954</v>
      </c>
      <c r="S2962" s="1">
        <v>9447025487</v>
      </c>
      <c r="T2962" s="1" t="s">
        <v>839</v>
      </c>
      <c r="U2962" s="1" t="s">
        <v>47955</v>
      </c>
      <c r="V2962" s="1">
        <v>9495925487</v>
      </c>
      <c r="W2962" s="1" t="s">
        <v>839</v>
      </c>
      <c r="X2962" s="1" t="s">
        <v>47956</v>
      </c>
      <c r="Y2962" s="1" t="s">
        <v>19921</v>
      </c>
      <c r="Z2962" s="1" t="s">
        <v>130</v>
      </c>
      <c r="AA2962" s="1" t="s">
        <v>47956</v>
      </c>
      <c r="AB2962" s="1" t="s">
        <v>19921</v>
      </c>
      <c r="AC2962" s="1" t="s">
        <v>130</v>
      </c>
      <c r="AD2962" s="1">
        <v>7.82</v>
      </c>
      <c r="AE2962" s="1" t="s">
        <v>98</v>
      </c>
      <c r="AF2962" s="1" t="s">
        <v>47957</v>
      </c>
      <c r="AG2962" s="1" t="s">
        <v>42377</v>
      </c>
      <c r="AH2962" s="1" t="s">
        <v>19995</v>
      </c>
      <c r="AI2962" s="1" t="s">
        <v>313</v>
      </c>
      <c r="AJ2962" s="1">
        <v>76.83</v>
      </c>
      <c r="AK2962" s="1"/>
      <c r="AL2962" s="1" t="s">
        <v>47957</v>
      </c>
      <c r="AM2962" s="1" t="s">
        <v>47958</v>
      </c>
      <c r="AN2962" s="1"/>
      <c r="AO2962" s="1" t="s">
        <v>315</v>
      </c>
      <c r="AP2962" s="1" t="s">
        <v>549</v>
      </c>
      <c r="AQ2962" s="1">
        <v>88.75</v>
      </c>
      <c r="AR2962" s="1"/>
      <c r="AS2962" s="1"/>
      <c r="AT2962" s="1"/>
      <c r="AU2962" s="1"/>
      <c r="AV2962" s="1"/>
      <c r="AW2962" s="1"/>
      <c r="AX2962" s="1"/>
      <c r="AY2962" s="1" t="s">
        <v>47959</v>
      </c>
      <c r="AZ2962" s="1" t="s">
        <v>31139</v>
      </c>
      <c r="BA2962" s="1"/>
      <c r="BB2962" s="1"/>
      <c r="BC2962" s="1" t="s">
        <v>552</v>
      </c>
      <c r="BD2962" s="1" t="s">
        <v>1401</v>
      </c>
      <c r="BE2962" s="1">
        <v>75.5</v>
      </c>
      <c r="BF2962" s="1">
        <v>7.55</v>
      </c>
      <c r="BG2962" s="1"/>
      <c r="BH2962" s="1"/>
      <c r="BI2962" s="1"/>
      <c r="BJ2962" s="1"/>
      <c r="BK2962" s="1"/>
      <c r="BL2962" s="1"/>
      <c r="BM2962" s="1"/>
      <c r="BN2962" s="1"/>
      <c r="BO2962" s="1" t="s">
        <v>47960</v>
      </c>
      <c r="BP2962" s="1"/>
      <c r="BQ2962" s="1"/>
      <c r="BR2962" s="1" t="s">
        <v>47961</v>
      </c>
      <c r="BS2962" s="1">
        <v>3</v>
      </c>
      <c r="BT2962" s="1" t="s">
        <v>47962</v>
      </c>
      <c r="BU2962" s="1" t="str">
        <f>HYPERLINK("https://nconnect.nicmar.ac.in/storage/profile/ProfilePhoto_P25710016_294317.jpg","Download")</f>
        <v>0</v>
      </c>
      <c r="BV2962" s="3"/>
      <c r="BW2962" s="3"/>
    </row>
    <row r="2963" spans="1:75">
      <c r="A2963" s="1" t="s">
        <v>47700</v>
      </c>
      <c r="B2963" s="1" t="s">
        <v>446</v>
      </c>
      <c r="C2963" s="1" t="s">
        <v>47963</v>
      </c>
      <c r="D2963" s="1" t="s">
        <v>47964</v>
      </c>
      <c r="E2963" s="1"/>
      <c r="F2963" s="1" t="s">
        <v>47965</v>
      </c>
      <c r="G2963" s="1" t="s">
        <v>47966</v>
      </c>
      <c r="H2963" s="1" t="s">
        <v>47967</v>
      </c>
      <c r="I2963" s="1" t="s">
        <v>47968</v>
      </c>
      <c r="J2963" s="1">
        <v>9074565322</v>
      </c>
      <c r="K2963" s="1" t="s">
        <v>84</v>
      </c>
      <c r="L2963" s="1" t="s">
        <v>29818</v>
      </c>
      <c r="M2963" s="1" t="s">
        <v>86</v>
      </c>
      <c r="N2963" s="1" t="s">
        <v>47969</v>
      </c>
      <c r="O2963" s="1"/>
      <c r="P2963" s="1" t="s">
        <v>455</v>
      </c>
      <c r="Q2963" s="1" t="s">
        <v>47970</v>
      </c>
      <c r="R2963" s="1" t="s">
        <v>47971</v>
      </c>
      <c r="S2963" s="1">
        <v>9447456437</v>
      </c>
      <c r="T2963" s="1" t="s">
        <v>839</v>
      </c>
      <c r="U2963" s="1" t="s">
        <v>47972</v>
      </c>
      <c r="V2963" s="1">
        <v>8547356437</v>
      </c>
      <c r="W2963" s="1" t="s">
        <v>278</v>
      </c>
      <c r="X2963" s="1" t="s">
        <v>47973</v>
      </c>
      <c r="Y2963" s="1" t="s">
        <v>2526</v>
      </c>
      <c r="Z2963" s="1" t="s">
        <v>130</v>
      </c>
      <c r="AA2963" s="1" t="s">
        <v>47973</v>
      </c>
      <c r="AB2963" s="1" t="s">
        <v>2526</v>
      </c>
      <c r="AC2963" s="1" t="s">
        <v>130</v>
      </c>
      <c r="AD2963" s="1">
        <v>9.39</v>
      </c>
      <c r="AE2963" s="1" t="s">
        <v>98</v>
      </c>
      <c r="AF2963" s="1" t="s">
        <v>47974</v>
      </c>
      <c r="AG2963" s="1" t="s">
        <v>796</v>
      </c>
      <c r="AH2963" s="1" t="s">
        <v>342</v>
      </c>
      <c r="AI2963" s="1" t="s">
        <v>284</v>
      </c>
      <c r="AJ2963" s="1">
        <v>85.5</v>
      </c>
      <c r="AK2963" s="1">
        <v>9</v>
      </c>
      <c r="AL2963" s="1" t="s">
        <v>47975</v>
      </c>
      <c r="AM2963" s="1" t="s">
        <v>5202</v>
      </c>
      <c r="AN2963" s="1"/>
      <c r="AO2963" s="1" t="s">
        <v>1396</v>
      </c>
      <c r="AP2963" s="1" t="s">
        <v>490</v>
      </c>
      <c r="AQ2963" s="1">
        <v>79.75</v>
      </c>
      <c r="AR2963" s="1"/>
      <c r="AS2963" s="1"/>
      <c r="AT2963" s="1"/>
      <c r="AU2963" s="1"/>
      <c r="AV2963" s="1"/>
      <c r="AW2963" s="1"/>
      <c r="AX2963" s="1"/>
      <c r="AY2963" s="1" t="s">
        <v>137</v>
      </c>
      <c r="AZ2963" s="1" t="s">
        <v>47976</v>
      </c>
      <c r="BA2963" s="1"/>
      <c r="BB2963" s="1"/>
      <c r="BC2963" s="1" t="s">
        <v>106</v>
      </c>
      <c r="BD2963" s="1" t="s">
        <v>110</v>
      </c>
      <c r="BE2963" s="1">
        <v>74.55</v>
      </c>
      <c r="BF2963" s="1">
        <v>7.83</v>
      </c>
      <c r="BG2963" s="1"/>
      <c r="BH2963" s="1"/>
      <c r="BI2963" s="1"/>
      <c r="BJ2963" s="1"/>
      <c r="BK2963" s="1"/>
      <c r="BL2963" s="1"/>
      <c r="BM2963" s="1"/>
      <c r="BN2963" s="1"/>
      <c r="BO2963" s="1" t="s">
        <v>47977</v>
      </c>
      <c r="BP2963" s="1" t="s">
        <v>47978</v>
      </c>
      <c r="BQ2963" s="1" t="s">
        <v>8862</v>
      </c>
      <c r="BR2963" s="1"/>
      <c r="BS2963" s="1"/>
      <c r="BT2963" s="1" t="s">
        <v>47979</v>
      </c>
      <c r="BU2963" s="1" t="str">
        <f>HYPERLINK("https://nconnect.nicmar.ac.in/storage/profile/ProfilePhoto_P25710017_986312.jpg","Download")</f>
        <v>0</v>
      </c>
      <c r="BV2963" s="3"/>
      <c r="BW2963" s="3"/>
    </row>
    <row r="2964" spans="1:75">
      <c r="A2964" s="1" t="s">
        <v>47700</v>
      </c>
      <c r="B2964" s="1" t="s">
        <v>446</v>
      </c>
      <c r="C2964" s="1" t="s">
        <v>47980</v>
      </c>
      <c r="D2964" s="1" t="s">
        <v>47981</v>
      </c>
      <c r="E2964" s="1" t="s">
        <v>25667</v>
      </c>
      <c r="F2964" s="1" t="s">
        <v>1021</v>
      </c>
      <c r="G2964" s="1" t="s">
        <v>47982</v>
      </c>
      <c r="H2964" s="1" t="s">
        <v>47983</v>
      </c>
      <c r="I2964" s="1" t="s">
        <v>47984</v>
      </c>
      <c r="J2964" s="1">
        <v>9892950125</v>
      </c>
      <c r="K2964" s="1" t="s">
        <v>84</v>
      </c>
      <c r="L2964" s="1" t="s">
        <v>47985</v>
      </c>
      <c r="M2964" s="1" t="s">
        <v>86</v>
      </c>
      <c r="N2964" s="1" t="s">
        <v>47986</v>
      </c>
      <c r="O2964" s="1"/>
      <c r="P2964" s="1" t="s">
        <v>481</v>
      </c>
      <c r="Q2964" s="1" t="s">
        <v>47987</v>
      </c>
      <c r="R2964" s="1" t="s">
        <v>1021</v>
      </c>
      <c r="S2964" s="1">
        <v>9324647652</v>
      </c>
      <c r="T2964" s="1" t="s">
        <v>645</v>
      </c>
      <c r="U2964" s="1" t="s">
        <v>673</v>
      </c>
      <c r="V2964" s="1">
        <v>7506274749</v>
      </c>
      <c r="W2964" s="1" t="s">
        <v>94</v>
      </c>
      <c r="X2964" s="1" t="s">
        <v>47988</v>
      </c>
      <c r="Y2964" s="1" t="s">
        <v>1012</v>
      </c>
      <c r="Z2964" s="1" t="s">
        <v>97</v>
      </c>
      <c r="AA2964" s="1" t="s">
        <v>47988</v>
      </c>
      <c r="AB2964" s="1" t="s">
        <v>1012</v>
      </c>
      <c r="AC2964" s="1" t="s">
        <v>97</v>
      </c>
      <c r="AD2964" s="1" t="s">
        <v>98</v>
      </c>
      <c r="AE2964" s="1" t="s">
        <v>98</v>
      </c>
      <c r="AF2964" s="1" t="s">
        <v>47989</v>
      </c>
      <c r="AG2964" s="1" t="s">
        <v>996</v>
      </c>
      <c r="AH2964" s="1" t="s">
        <v>3112</v>
      </c>
      <c r="AI2964" s="1" t="s">
        <v>438</v>
      </c>
      <c r="AJ2964" s="1">
        <v>66</v>
      </c>
      <c r="AK2964" s="1"/>
      <c r="AL2964" s="1" t="s">
        <v>47990</v>
      </c>
      <c r="AM2964" s="1" t="s">
        <v>996</v>
      </c>
      <c r="AN2964" s="1"/>
      <c r="AO2964" s="1" t="s">
        <v>206</v>
      </c>
      <c r="AP2964" s="1" t="s">
        <v>845</v>
      </c>
      <c r="AQ2964" s="1">
        <v>87.5</v>
      </c>
      <c r="AR2964" s="1"/>
      <c r="AS2964" s="1"/>
      <c r="AT2964" s="1"/>
      <c r="AU2964" s="1"/>
      <c r="AV2964" s="1"/>
      <c r="AW2964" s="1"/>
      <c r="AX2964" s="1"/>
      <c r="AY2964" s="1" t="s">
        <v>47991</v>
      </c>
      <c r="AZ2964" s="1" t="s">
        <v>47992</v>
      </c>
      <c r="BA2964" s="1"/>
      <c r="BB2964" s="1"/>
      <c r="BC2964" s="1" t="s">
        <v>549</v>
      </c>
      <c r="BD2964" s="1" t="s">
        <v>848</v>
      </c>
      <c r="BE2964" s="1">
        <v>69.1</v>
      </c>
      <c r="BF2964" s="1">
        <v>6.91</v>
      </c>
      <c r="BG2964" s="1"/>
      <c r="BH2964" s="1"/>
      <c r="BI2964" s="1"/>
      <c r="BJ2964" s="1"/>
      <c r="BK2964" s="1"/>
      <c r="BL2964" s="1"/>
      <c r="BM2964" s="1"/>
      <c r="BN2964" s="1"/>
      <c r="BO2964" s="1" t="s">
        <v>1114</v>
      </c>
      <c r="BP2964" s="1"/>
      <c r="BQ2964" s="1"/>
      <c r="BR2964" s="1" t="s">
        <v>47993</v>
      </c>
      <c r="BS2964" s="1">
        <v>18</v>
      </c>
      <c r="BT2964" s="1"/>
      <c r="BU2964" s="1" t="str">
        <f>HYPERLINK("https://nconnect.nicmar.ac.in/storage/profile/ProfilePhoto_P25710018_619738.jpg","Download")</f>
        <v>0</v>
      </c>
      <c r="BV2964" s="3"/>
      <c r="BW2964" s="3"/>
    </row>
    <row r="2965" spans="1:75">
      <c r="A2965" s="1" t="s">
        <v>47700</v>
      </c>
      <c r="B2965" s="1" t="s">
        <v>446</v>
      </c>
      <c r="C2965" s="1" t="s">
        <v>47994</v>
      </c>
      <c r="D2965" s="1" t="s">
        <v>47995</v>
      </c>
      <c r="E2965" s="1" t="s">
        <v>1075</v>
      </c>
      <c r="F2965" s="1" t="s">
        <v>7992</v>
      </c>
      <c r="G2965" s="1" t="s">
        <v>47996</v>
      </c>
      <c r="H2965" s="1" t="s">
        <v>47997</v>
      </c>
      <c r="I2965" s="1" t="s">
        <v>47998</v>
      </c>
      <c r="J2965" s="1">
        <v>9307723277</v>
      </c>
      <c r="K2965" s="1" t="s">
        <v>153</v>
      </c>
      <c r="L2965" s="1" t="s">
        <v>47999</v>
      </c>
      <c r="M2965" s="1" t="s">
        <v>86</v>
      </c>
      <c r="N2965" s="1" t="s">
        <v>618</v>
      </c>
      <c r="O2965" s="1"/>
      <c r="P2965" s="1" t="s">
        <v>507</v>
      </c>
      <c r="Q2965" s="1" t="s">
        <v>48000</v>
      </c>
      <c r="R2965" s="1" t="s">
        <v>1075</v>
      </c>
      <c r="S2965" s="1">
        <v>9022262783</v>
      </c>
      <c r="T2965" s="1" t="s">
        <v>159</v>
      </c>
      <c r="U2965" s="1" t="s">
        <v>34570</v>
      </c>
      <c r="V2965" s="1">
        <v>7499580169</v>
      </c>
      <c r="W2965" s="1" t="s">
        <v>278</v>
      </c>
      <c r="X2965" s="1" t="s">
        <v>48001</v>
      </c>
      <c r="Y2965" s="1" t="s">
        <v>1989</v>
      </c>
      <c r="Z2965" s="1" t="s">
        <v>97</v>
      </c>
      <c r="AA2965" s="1" t="s">
        <v>48001</v>
      </c>
      <c r="AB2965" s="1" t="s">
        <v>1989</v>
      </c>
      <c r="AC2965" s="1" t="s">
        <v>97</v>
      </c>
      <c r="AD2965" s="1">
        <v>7.79</v>
      </c>
      <c r="AE2965" s="1" t="s">
        <v>98</v>
      </c>
      <c r="AF2965" s="1" t="s">
        <v>1034</v>
      </c>
      <c r="AG2965" s="1" t="s">
        <v>1968</v>
      </c>
      <c r="AH2965" s="1" t="s">
        <v>106</v>
      </c>
      <c r="AI2965" s="1" t="s">
        <v>438</v>
      </c>
      <c r="AJ2965" s="1">
        <v>65</v>
      </c>
      <c r="AK2965" s="1">
        <v>0</v>
      </c>
      <c r="AL2965" s="1"/>
      <c r="AM2965" s="1"/>
      <c r="AN2965" s="1"/>
      <c r="AO2965" s="1"/>
      <c r="AP2965" s="1"/>
      <c r="AQ2965" s="1"/>
      <c r="AR2965" s="1"/>
      <c r="AS2965" s="1" t="s">
        <v>103</v>
      </c>
      <c r="AT2965" s="1" t="s">
        <v>48002</v>
      </c>
      <c r="AU2965" s="1" t="s">
        <v>315</v>
      </c>
      <c r="AV2965" s="1" t="s">
        <v>110</v>
      </c>
      <c r="AW2965" s="1">
        <v>83.42</v>
      </c>
      <c r="AX2965" s="1">
        <v>0</v>
      </c>
      <c r="AY2965" s="1" t="s">
        <v>366</v>
      </c>
      <c r="AZ2965" s="1" t="s">
        <v>7125</v>
      </c>
      <c r="BA2965" s="1"/>
      <c r="BB2965" s="1"/>
      <c r="BC2965" s="1" t="s">
        <v>1889</v>
      </c>
      <c r="BD2965" s="1" t="s">
        <v>848</v>
      </c>
      <c r="BE2965" s="1">
        <v>64.9</v>
      </c>
      <c r="BF2965" s="1">
        <v>7.24</v>
      </c>
      <c r="BG2965" s="1"/>
      <c r="BH2965" s="1"/>
      <c r="BI2965" s="1"/>
      <c r="BJ2965" s="1"/>
      <c r="BK2965" s="1"/>
      <c r="BL2965" s="1"/>
      <c r="BM2965" s="1"/>
      <c r="BN2965" s="1"/>
      <c r="BO2965" s="1" t="s">
        <v>915</v>
      </c>
      <c r="BP2965" s="1"/>
      <c r="BQ2965" s="1"/>
      <c r="BR2965" s="1"/>
      <c r="BS2965" s="1"/>
      <c r="BT2965" s="1"/>
      <c r="BU2965" s="1" t="str">
        <f>HYPERLINK("https://nconnect.nicmar.ac.in/storage/profile/ProfilePhoto_P25710019_782951.jpg","Download")</f>
        <v>0</v>
      </c>
      <c r="BV2965" s="3"/>
      <c r="BW2965" s="3"/>
    </row>
    <row r="2966" spans="1:75">
      <c r="A2966" s="1" t="s">
        <v>47700</v>
      </c>
      <c r="B2966" s="1" t="s">
        <v>446</v>
      </c>
      <c r="C2966" s="1" t="s">
        <v>48003</v>
      </c>
      <c r="D2966" s="1" t="s">
        <v>48004</v>
      </c>
      <c r="E2966" s="1" t="s">
        <v>4331</v>
      </c>
      <c r="F2966" s="1" t="s">
        <v>48005</v>
      </c>
      <c r="G2966" s="1" t="s">
        <v>48006</v>
      </c>
      <c r="H2966" s="1" t="s">
        <v>48007</v>
      </c>
      <c r="I2966" s="1" t="s">
        <v>48008</v>
      </c>
      <c r="J2966" s="1">
        <v>7756019981</v>
      </c>
      <c r="K2966" s="1" t="s">
        <v>153</v>
      </c>
      <c r="L2966" s="1" t="s">
        <v>38062</v>
      </c>
      <c r="M2966" s="1" t="s">
        <v>86</v>
      </c>
      <c r="N2966" s="1" t="s">
        <v>618</v>
      </c>
      <c r="O2966" s="1"/>
      <c r="P2966" s="1" t="s">
        <v>455</v>
      </c>
      <c r="Q2966" s="1" t="s">
        <v>48009</v>
      </c>
      <c r="R2966" s="1" t="s">
        <v>48010</v>
      </c>
      <c r="S2966" s="1">
        <v>9657774333</v>
      </c>
      <c r="T2966" s="1" t="s">
        <v>48011</v>
      </c>
      <c r="U2966" s="1" t="s">
        <v>48012</v>
      </c>
      <c r="V2966" s="1">
        <v>8669837181</v>
      </c>
      <c r="W2966" s="1" t="s">
        <v>161</v>
      </c>
      <c r="X2966" s="1" t="s">
        <v>48013</v>
      </c>
      <c r="Y2966" s="1" t="s">
        <v>196</v>
      </c>
      <c r="Z2966" s="1" t="s">
        <v>97</v>
      </c>
      <c r="AA2966" s="1" t="s">
        <v>48013</v>
      </c>
      <c r="AB2966" s="1" t="s">
        <v>196</v>
      </c>
      <c r="AC2966" s="1" t="s">
        <v>97</v>
      </c>
      <c r="AD2966" s="1">
        <v>8.71</v>
      </c>
      <c r="AE2966" s="1" t="s">
        <v>98</v>
      </c>
      <c r="AF2966" s="1" t="s">
        <v>48014</v>
      </c>
      <c r="AG2966" s="1" t="s">
        <v>48015</v>
      </c>
      <c r="AH2966" s="1" t="s">
        <v>174</v>
      </c>
      <c r="AI2966" s="1" t="s">
        <v>438</v>
      </c>
      <c r="AJ2966" s="1">
        <v>83</v>
      </c>
      <c r="AK2966" s="1"/>
      <c r="AL2966" s="1"/>
      <c r="AM2966" s="1"/>
      <c r="AN2966" s="1"/>
      <c r="AO2966" s="1"/>
      <c r="AP2966" s="1"/>
      <c r="AQ2966" s="1"/>
      <c r="AR2966" s="1"/>
      <c r="AS2966" s="1" t="s">
        <v>103</v>
      </c>
      <c r="AT2966" s="1" t="s">
        <v>48016</v>
      </c>
      <c r="AU2966" s="1" t="s">
        <v>206</v>
      </c>
      <c r="AV2966" s="1" t="s">
        <v>1400</v>
      </c>
      <c r="AW2966" s="1">
        <v>86.11</v>
      </c>
      <c r="AX2966" s="1"/>
      <c r="AY2966" s="1" t="s">
        <v>366</v>
      </c>
      <c r="AZ2966" s="1" t="s">
        <v>48017</v>
      </c>
      <c r="BA2966" s="1"/>
      <c r="BB2966" s="1"/>
      <c r="BC2966" s="1" t="s">
        <v>1889</v>
      </c>
      <c r="BD2966" s="1" t="s">
        <v>848</v>
      </c>
      <c r="BE2966" s="1">
        <v>78</v>
      </c>
      <c r="BF2966" s="1">
        <v>7.8</v>
      </c>
      <c r="BG2966" s="1"/>
      <c r="BH2966" s="1"/>
      <c r="BI2966" s="1"/>
      <c r="BJ2966" s="1"/>
      <c r="BK2966" s="1"/>
      <c r="BL2966" s="1"/>
      <c r="BM2966" s="1"/>
      <c r="BN2966" s="1"/>
      <c r="BO2966" s="1" t="s">
        <v>48018</v>
      </c>
      <c r="BP2966" s="1"/>
      <c r="BQ2966" s="1"/>
      <c r="BR2966" s="1" t="s">
        <v>48019</v>
      </c>
      <c r="BS2966" s="1">
        <v>3</v>
      </c>
      <c r="BT2966" s="1"/>
      <c r="BU2966" s="1" t="str">
        <f>HYPERLINK("https://nconnect.nicmar.ac.in/storage/profile/ProfilePhoto_P25710020_658142.jpg","Download")</f>
        <v>0</v>
      </c>
      <c r="BV2966" s="3"/>
      <c r="BW2966" s="3"/>
    </row>
    <row r="2967" spans="1:75">
      <c r="A2967" s="1" t="s">
        <v>47700</v>
      </c>
      <c r="B2967" s="1" t="s">
        <v>446</v>
      </c>
      <c r="C2967" s="1" t="s">
        <v>48020</v>
      </c>
      <c r="D2967" s="1" t="s">
        <v>48021</v>
      </c>
      <c r="E2967" s="1" t="s">
        <v>5921</v>
      </c>
      <c r="F2967" s="1" t="s">
        <v>33151</v>
      </c>
      <c r="G2967" s="1" t="s">
        <v>48022</v>
      </c>
      <c r="H2967" s="1" t="s">
        <v>48023</v>
      </c>
      <c r="I2967" s="1" t="s">
        <v>48024</v>
      </c>
      <c r="J2967" s="1">
        <v>9028850589</v>
      </c>
      <c r="K2967" s="1" t="s">
        <v>84</v>
      </c>
      <c r="L2967" s="1" t="s">
        <v>48025</v>
      </c>
      <c r="M2967" s="1" t="s">
        <v>86</v>
      </c>
      <c r="N2967" s="1" t="s">
        <v>48026</v>
      </c>
      <c r="O2967" s="1"/>
      <c r="P2967" s="1" t="s">
        <v>455</v>
      </c>
      <c r="Q2967" s="1" t="s">
        <v>48027</v>
      </c>
      <c r="R2967" s="1" t="s">
        <v>48028</v>
      </c>
      <c r="S2967" s="1">
        <v>9923014357</v>
      </c>
      <c r="T2967" s="1" t="s">
        <v>8423</v>
      </c>
      <c r="U2967" s="1" t="s">
        <v>48029</v>
      </c>
      <c r="V2967" s="1">
        <v>9265625016</v>
      </c>
      <c r="W2967" s="1" t="s">
        <v>278</v>
      </c>
      <c r="X2967" s="1" t="s">
        <v>48030</v>
      </c>
      <c r="Y2967" s="1" t="s">
        <v>196</v>
      </c>
      <c r="Z2967" s="1" t="s">
        <v>97</v>
      </c>
      <c r="AA2967" s="1" t="s">
        <v>48030</v>
      </c>
      <c r="AB2967" s="1" t="s">
        <v>196</v>
      </c>
      <c r="AC2967" s="1" t="s">
        <v>97</v>
      </c>
      <c r="AD2967" s="1">
        <v>8.39</v>
      </c>
      <c r="AE2967" s="1" t="s">
        <v>98</v>
      </c>
      <c r="AF2967" s="1" t="s">
        <v>48031</v>
      </c>
      <c r="AG2967" s="1" t="s">
        <v>48032</v>
      </c>
      <c r="AH2967" s="1" t="s">
        <v>134</v>
      </c>
      <c r="AI2967" s="1" t="s">
        <v>1262</v>
      </c>
      <c r="AJ2967" s="1">
        <v>65</v>
      </c>
      <c r="AK2967" s="1"/>
      <c r="AL2967" s="1" t="s">
        <v>48033</v>
      </c>
      <c r="AM2967" s="1" t="s">
        <v>48032</v>
      </c>
      <c r="AN2967" s="1" t="s">
        <v>465</v>
      </c>
      <c r="AO2967" s="1" t="s">
        <v>135</v>
      </c>
      <c r="AP2967" s="1" t="s">
        <v>627</v>
      </c>
      <c r="AQ2967" s="1">
        <v>51.23</v>
      </c>
      <c r="AR2967" s="1"/>
      <c r="AS2967" s="1" t="s">
        <v>4638</v>
      </c>
      <c r="AT2967" s="1" t="s">
        <v>48034</v>
      </c>
      <c r="AU2967" s="1" t="s">
        <v>1396</v>
      </c>
      <c r="AV2967" s="1" t="s">
        <v>106</v>
      </c>
      <c r="AW2967" s="1">
        <v>65.24</v>
      </c>
      <c r="AX2967" s="1"/>
      <c r="AY2967" s="1" t="s">
        <v>366</v>
      </c>
      <c r="AZ2967" s="1" t="s">
        <v>48035</v>
      </c>
      <c r="BA2967" s="1" t="s">
        <v>578</v>
      </c>
      <c r="BB2967" s="1" t="s">
        <v>23143</v>
      </c>
      <c r="BC2967" s="1" t="s">
        <v>438</v>
      </c>
      <c r="BD2967" s="1" t="s">
        <v>110</v>
      </c>
      <c r="BE2967" s="1">
        <v>81.2</v>
      </c>
      <c r="BF2967" s="1">
        <v>8.85</v>
      </c>
      <c r="BG2967" s="1"/>
      <c r="BH2967" s="1"/>
      <c r="BI2967" s="1"/>
      <c r="BJ2967" s="1"/>
      <c r="BK2967" s="1"/>
      <c r="BL2967" s="1"/>
      <c r="BM2967" s="1"/>
      <c r="BN2967" s="1"/>
      <c r="BO2967" s="1" t="s">
        <v>48036</v>
      </c>
      <c r="BP2967" s="1" t="s">
        <v>48037</v>
      </c>
      <c r="BQ2967" s="1" t="s">
        <v>471</v>
      </c>
      <c r="BR2967" s="1"/>
      <c r="BS2967" s="1"/>
      <c r="BT2967" s="1" t="s">
        <v>48038</v>
      </c>
      <c r="BU2967" s="1" t="str">
        <f>HYPERLINK("https://nconnect.nicmar.ac.in/storage/profile/ProfilePhoto_P25710022_394518.jpg","Download")</f>
        <v>0</v>
      </c>
      <c r="BV2967" s="3"/>
      <c r="BW2967" s="3"/>
    </row>
    <row r="2968" spans="1:75">
      <c r="A2968" s="1" t="s">
        <v>40673</v>
      </c>
      <c r="B2968" s="1" t="s">
        <v>13976</v>
      </c>
      <c r="C2968" s="1" t="s">
        <v>48039</v>
      </c>
      <c r="D2968" s="1" t="s">
        <v>48040</v>
      </c>
      <c r="E2968" s="1" t="s">
        <v>7544</v>
      </c>
      <c r="F2968" s="1" t="s">
        <v>48041</v>
      </c>
      <c r="G2968" s="1" t="s">
        <v>48042</v>
      </c>
      <c r="H2968" s="1" t="s">
        <v>48043</v>
      </c>
      <c r="I2968" s="1" t="s">
        <v>48044</v>
      </c>
      <c r="J2968" s="1">
        <v>7410553345</v>
      </c>
      <c r="K2968" s="1" t="s">
        <v>153</v>
      </c>
      <c r="L2968" s="1" t="s">
        <v>19730</v>
      </c>
      <c r="M2968" s="1" t="s">
        <v>86</v>
      </c>
      <c r="N2968" s="1" t="s">
        <v>1163</v>
      </c>
      <c r="O2968" s="1" t="s">
        <v>48045</v>
      </c>
      <c r="P2968" s="1" t="s">
        <v>122</v>
      </c>
      <c r="Q2968" s="1">
        <v>215855915093</v>
      </c>
      <c r="R2968" s="1" t="s">
        <v>7544</v>
      </c>
      <c r="S2968" s="1">
        <v>9823289682</v>
      </c>
      <c r="T2968" s="1" t="s">
        <v>4776</v>
      </c>
      <c r="U2968" s="1" t="s">
        <v>4655</v>
      </c>
      <c r="V2968" s="1">
        <v>7709120570</v>
      </c>
      <c r="W2968" s="1" t="s">
        <v>161</v>
      </c>
      <c r="X2968" s="1" t="s">
        <v>48046</v>
      </c>
      <c r="Y2968" s="1" t="s">
        <v>410</v>
      </c>
      <c r="Z2968" s="1" t="s">
        <v>97</v>
      </c>
      <c r="AA2968" s="1" t="s">
        <v>48046</v>
      </c>
      <c r="AB2968" s="1" t="s">
        <v>410</v>
      </c>
      <c r="AC2968" s="1" t="s">
        <v>97</v>
      </c>
      <c r="AD2968" s="1" t="s">
        <v>98</v>
      </c>
      <c r="AE2968" s="1" t="s">
        <v>98</v>
      </c>
      <c r="AF2968" s="1" t="s">
        <v>48047</v>
      </c>
      <c r="AG2968" s="1" t="s">
        <v>48048</v>
      </c>
      <c r="AH2968" s="1" t="s">
        <v>1111</v>
      </c>
      <c r="AI2968" s="1" t="s">
        <v>200</v>
      </c>
      <c r="AJ2968" s="1">
        <v>67.0</v>
      </c>
      <c r="AK2968" s="1"/>
      <c r="AL2968" s="1" t="s">
        <v>48047</v>
      </c>
      <c r="AM2968" s="1" t="s">
        <v>22654</v>
      </c>
      <c r="AN2968" s="1" t="s">
        <v>575</v>
      </c>
      <c r="AO2968" s="1" t="s">
        <v>203</v>
      </c>
      <c r="AP2968" s="1" t="s">
        <v>365</v>
      </c>
      <c r="AQ2968" s="1">
        <v>55.23</v>
      </c>
      <c r="AR2968" s="1"/>
      <c r="AS2968" s="1"/>
      <c r="AT2968" s="1"/>
      <c r="AU2968" s="1"/>
      <c r="AV2968" s="1"/>
      <c r="AW2968" s="1"/>
      <c r="AX2968" s="1"/>
      <c r="AY2968" s="1" t="s">
        <v>14884</v>
      </c>
      <c r="AZ2968" s="1" t="s">
        <v>48049</v>
      </c>
      <c r="BA2968" s="1" t="s">
        <v>682</v>
      </c>
      <c r="BB2968" s="1" t="s">
        <v>683</v>
      </c>
      <c r="BC2968" s="1" t="s">
        <v>4740</v>
      </c>
      <c r="BD2968" s="1" t="s">
        <v>848</v>
      </c>
      <c r="BE2968" s="1">
        <v>64</v>
      </c>
      <c r="BF2968" s="1">
        <v>6.4</v>
      </c>
      <c r="BG2968" s="1"/>
      <c r="BH2968" s="1"/>
      <c r="BI2968" s="1"/>
      <c r="BJ2968" s="1"/>
      <c r="BK2968" s="1"/>
      <c r="BL2968" s="1"/>
      <c r="BM2968" s="1"/>
      <c r="BN2968" s="1"/>
      <c r="BO2968" s="1" t="s">
        <v>48050</v>
      </c>
      <c r="BP2968" s="1"/>
      <c r="BQ2968" s="1"/>
      <c r="BR2968" s="1" t="s">
        <v>48051</v>
      </c>
      <c r="BS2968" s="1">
        <v>17</v>
      </c>
      <c r="BT2968" s="1" t="s">
        <v>48052</v>
      </c>
      <c r="BU2968" s="1" t="str">
        <f>HYPERLINK("https://nconnect.nicmar.ac.in/storage/profile/6a87bbee06e87.png","Download")</f>
        <v>0</v>
      </c>
      <c r="BV2968" s="3"/>
      <c r="BW2968" s="3"/>
    </row>
    <row r="2969" spans="1:75">
      <c r="A2969" s="1" t="s">
        <v>40756</v>
      </c>
      <c r="B2969" s="1" t="s">
        <v>48053</v>
      </c>
      <c r="C2969" s="1" t="s">
        <v>48054</v>
      </c>
      <c r="D2969" s="1" t="s">
        <v>48055</v>
      </c>
      <c r="E2969" s="1" t="s">
        <v>48056</v>
      </c>
      <c r="F2969" s="1" t="s">
        <v>36165</v>
      </c>
      <c r="G2969" s="1" t="s">
        <v>48057</v>
      </c>
      <c r="H2969" s="1" t="s">
        <v>48058</v>
      </c>
      <c r="I2969" s="1" t="s">
        <v>48059</v>
      </c>
      <c r="J2969" s="1">
        <v>7666273788</v>
      </c>
      <c r="K2969" s="1" t="s">
        <v>84</v>
      </c>
      <c r="L2969" s="1" t="s">
        <v>48060</v>
      </c>
      <c r="M2969" s="1" t="s">
        <v>86</v>
      </c>
      <c r="N2969" s="1" t="s">
        <v>1163</v>
      </c>
      <c r="O2969" s="1"/>
      <c r="P2969" s="1" t="s">
        <v>455</v>
      </c>
      <c r="Q2969" s="1" t="s">
        <v>48061</v>
      </c>
      <c r="R2969" s="1" t="s">
        <v>48062</v>
      </c>
      <c r="S2969" s="1">
        <v>9892388578</v>
      </c>
      <c r="T2969" s="1" t="s">
        <v>48063</v>
      </c>
      <c r="U2969" s="1" t="s">
        <v>48064</v>
      </c>
      <c r="V2969" s="1">
        <v>9892011466</v>
      </c>
      <c r="W2969" s="1" t="s">
        <v>161</v>
      </c>
      <c r="X2969" s="1" t="s">
        <v>48065</v>
      </c>
      <c r="Y2969" s="1" t="s">
        <v>2259</v>
      </c>
      <c r="Z2969" s="1" t="s">
        <v>97</v>
      </c>
      <c r="AA2969" s="1" t="s">
        <v>48066</v>
      </c>
      <c r="AB2969" s="1" t="s">
        <v>196</v>
      </c>
      <c r="AC2969" s="1" t="s">
        <v>97</v>
      </c>
      <c r="AD2969" s="1" t="s">
        <v>98</v>
      </c>
      <c r="AE2969" s="1" t="s">
        <v>98</v>
      </c>
      <c r="AF2969" s="1" t="s">
        <v>48067</v>
      </c>
      <c r="AG2969" s="1" t="s">
        <v>165</v>
      </c>
      <c r="AH2969" s="1" t="s">
        <v>10573</v>
      </c>
      <c r="AI2969" s="1" t="s">
        <v>799</v>
      </c>
      <c r="AJ2969" s="1">
        <v>87.82</v>
      </c>
      <c r="AK2969" s="1"/>
      <c r="AL2969" s="1" t="s">
        <v>48068</v>
      </c>
      <c r="AM2969" s="1" t="s">
        <v>165</v>
      </c>
      <c r="AN2969" s="1"/>
      <c r="AO2969" s="1" t="s">
        <v>4593</v>
      </c>
      <c r="AP2969" s="1" t="s">
        <v>12326</v>
      </c>
      <c r="AQ2969" s="1">
        <v>58.33</v>
      </c>
      <c r="AR2969" s="1"/>
      <c r="AS2969" s="1"/>
      <c r="AT2969" s="1"/>
      <c r="AU2969" s="1"/>
      <c r="AV2969" s="1"/>
      <c r="AW2969" s="1"/>
      <c r="AX2969" s="1"/>
      <c r="AY2969" s="1" t="s">
        <v>680</v>
      </c>
      <c r="AZ2969" s="1" t="s">
        <v>48069</v>
      </c>
      <c r="BA2969" s="1"/>
      <c r="BB2969" s="1"/>
      <c r="BC2969" s="1" t="s">
        <v>25321</v>
      </c>
      <c r="BD2969" s="1" t="s">
        <v>139</v>
      </c>
      <c r="BE2969" s="1">
        <v>60</v>
      </c>
      <c r="BF2969" s="1">
        <v>6.75</v>
      </c>
      <c r="BG2969" s="1"/>
      <c r="BH2969" s="1"/>
      <c r="BI2969" s="1"/>
      <c r="BJ2969" s="1"/>
      <c r="BK2969" s="1"/>
      <c r="BL2969" s="1"/>
      <c r="BM2969" s="1"/>
      <c r="BN2969" s="1"/>
      <c r="BO2969" s="1" t="s">
        <v>1114</v>
      </c>
      <c r="BP2969" s="1" t="s">
        <v>48070</v>
      </c>
      <c r="BQ2969" s="1" t="s">
        <v>3426</v>
      </c>
      <c r="BR2969" s="1"/>
      <c r="BS2969" s="1"/>
      <c r="BT2969" s="1"/>
      <c r="BU2969" s="1" t="str">
        <f>HYPERLINK("https://nconnect.nicmar.ac.in/storage/profile/2022-2023_P2260001_614923.jpg","Download")</f>
        <v>0</v>
      </c>
      <c r="BV2969" s="3"/>
      <c r="BW2969" s="3"/>
    </row>
    <row r="2970" spans="1:75">
      <c r="A2970" s="1" t="s">
        <v>40756</v>
      </c>
      <c r="B2970" s="1" t="s">
        <v>48053</v>
      </c>
      <c r="C2970" s="1" t="s">
        <v>48071</v>
      </c>
      <c r="D2970" s="1" t="s">
        <v>48072</v>
      </c>
      <c r="E2970" s="1" t="s">
        <v>1136</v>
      </c>
      <c r="F2970" s="1" t="s">
        <v>16730</v>
      </c>
      <c r="G2970" s="1" t="s">
        <v>48073</v>
      </c>
      <c r="H2970" s="1" t="s">
        <v>48074</v>
      </c>
      <c r="I2970" s="1" t="s">
        <v>48075</v>
      </c>
      <c r="J2970" s="1">
        <v>9337804320</v>
      </c>
      <c r="K2970" s="1" t="s">
        <v>84</v>
      </c>
      <c r="L2970" s="1" t="s">
        <v>48076</v>
      </c>
      <c r="M2970" s="1" t="s">
        <v>86</v>
      </c>
      <c r="N2970" s="1" t="s">
        <v>1573</v>
      </c>
      <c r="O2970" s="1"/>
      <c r="P2970" s="1" t="s">
        <v>481</v>
      </c>
      <c r="Q2970" s="1" t="s">
        <v>48077</v>
      </c>
      <c r="R2970" s="1" t="s">
        <v>48078</v>
      </c>
      <c r="S2970" s="1">
        <v>9937843707</v>
      </c>
      <c r="T2970" s="1" t="s">
        <v>48079</v>
      </c>
      <c r="U2970" s="1" t="s">
        <v>48080</v>
      </c>
      <c r="V2970" s="1">
        <v>9938705122</v>
      </c>
      <c r="W2970" s="1" t="s">
        <v>127</v>
      </c>
      <c r="X2970" s="1" t="s">
        <v>48081</v>
      </c>
      <c r="Y2970" s="1" t="s">
        <v>4124</v>
      </c>
      <c r="Z2970" s="1" t="s">
        <v>865</v>
      </c>
      <c r="AA2970" s="1" t="s">
        <v>48082</v>
      </c>
      <c r="AB2970" s="1" t="s">
        <v>196</v>
      </c>
      <c r="AC2970" s="1" t="s">
        <v>97</v>
      </c>
      <c r="AD2970" s="1" t="s">
        <v>98</v>
      </c>
      <c r="AE2970" s="1" t="s">
        <v>98</v>
      </c>
      <c r="AF2970" s="1" t="s">
        <v>48083</v>
      </c>
      <c r="AG2970" s="1" t="s">
        <v>37511</v>
      </c>
      <c r="AH2970" s="1" t="s">
        <v>801</v>
      </c>
      <c r="AI2970" s="1" t="s">
        <v>133</v>
      </c>
      <c r="AJ2970" s="1">
        <v>84</v>
      </c>
      <c r="AK2970" s="1"/>
      <c r="AL2970" s="1" t="s">
        <v>48084</v>
      </c>
      <c r="AM2970" s="1" t="s">
        <v>37511</v>
      </c>
      <c r="AN2970" s="1"/>
      <c r="AO2970" s="1" t="s">
        <v>25321</v>
      </c>
      <c r="AP2970" s="1" t="s">
        <v>1262</v>
      </c>
      <c r="AQ2970" s="1">
        <v>61.5</v>
      </c>
      <c r="AR2970" s="1"/>
      <c r="AS2970" s="1"/>
      <c r="AT2970" s="1"/>
      <c r="AU2970" s="1"/>
      <c r="AV2970" s="1"/>
      <c r="AW2970" s="1"/>
      <c r="AX2970" s="1"/>
      <c r="AY2970" s="1" t="s">
        <v>48085</v>
      </c>
      <c r="AZ2970" s="1" t="s">
        <v>48086</v>
      </c>
      <c r="BA2970" s="1"/>
      <c r="BB2970" s="1"/>
      <c r="BC2970" s="1" t="s">
        <v>257</v>
      </c>
      <c r="BD2970" s="1" t="s">
        <v>171</v>
      </c>
      <c r="BE2970" s="1">
        <v>80.9</v>
      </c>
      <c r="BF2970" s="1">
        <v>8.09</v>
      </c>
      <c r="BG2970" s="1"/>
      <c r="BH2970" s="1"/>
      <c r="BI2970" s="1"/>
      <c r="BJ2970" s="1"/>
      <c r="BK2970" s="1"/>
      <c r="BL2970" s="1"/>
      <c r="BM2970" s="1"/>
      <c r="BN2970" s="1"/>
      <c r="BO2970" s="1" t="s">
        <v>1114</v>
      </c>
      <c r="BP2970" s="1" t="s">
        <v>48087</v>
      </c>
      <c r="BQ2970" s="1" t="s">
        <v>19293</v>
      </c>
      <c r="BR2970" s="1" t="s">
        <v>48088</v>
      </c>
      <c r="BS2970" s="1">
        <v>4</v>
      </c>
      <c r="BT2970" s="1"/>
      <c r="BU2970" s="1" t="str">
        <f>HYPERLINK("https://nconnect.nicmar.ac.in/storage/profile/2022-2023_P2260002_543712.jpg","Download")</f>
        <v>0</v>
      </c>
      <c r="BV2970" s="3"/>
      <c r="BW2970" s="3"/>
    </row>
    <row r="2971" spans="1:75">
      <c r="A2971" s="1" t="s">
        <v>40756</v>
      </c>
      <c r="B2971" s="1" t="s">
        <v>48053</v>
      </c>
      <c r="C2971" s="1" t="s">
        <v>48089</v>
      </c>
      <c r="D2971" s="1" t="s">
        <v>3998</v>
      </c>
      <c r="E2971" s="1" t="s">
        <v>48090</v>
      </c>
      <c r="F2971" s="1" t="s">
        <v>4019</v>
      </c>
      <c r="G2971" s="1" t="s">
        <v>48091</v>
      </c>
      <c r="H2971" s="1" t="s">
        <v>48092</v>
      </c>
      <c r="I2971" s="1" t="s">
        <v>48093</v>
      </c>
      <c r="J2971" s="1">
        <v>8921092455</v>
      </c>
      <c r="K2971" s="1" t="s">
        <v>84</v>
      </c>
      <c r="L2971" s="1" t="s">
        <v>48094</v>
      </c>
      <c r="M2971" s="1" t="s">
        <v>86</v>
      </c>
      <c r="N2971" s="1" t="s">
        <v>1300</v>
      </c>
      <c r="O2971" s="1"/>
      <c r="P2971" s="1" t="s">
        <v>481</v>
      </c>
      <c r="Q2971" s="1" t="s">
        <v>48095</v>
      </c>
      <c r="R2971" s="1" t="s">
        <v>48096</v>
      </c>
      <c r="S2971" s="1">
        <v>9895146885</v>
      </c>
      <c r="T2971" s="1" t="s">
        <v>839</v>
      </c>
      <c r="U2971" s="1" t="s">
        <v>48097</v>
      </c>
      <c r="V2971" s="1">
        <v>7736745391</v>
      </c>
      <c r="W2971" s="1" t="s">
        <v>278</v>
      </c>
      <c r="X2971" s="1" t="s">
        <v>48098</v>
      </c>
      <c r="Y2971" s="1" t="s">
        <v>5313</v>
      </c>
      <c r="Z2971" s="1" t="s">
        <v>130</v>
      </c>
      <c r="AA2971" s="1" t="s">
        <v>48098</v>
      </c>
      <c r="AB2971" s="1" t="s">
        <v>5313</v>
      </c>
      <c r="AC2971" s="1" t="s">
        <v>130</v>
      </c>
      <c r="AD2971" s="1" t="s">
        <v>98</v>
      </c>
      <c r="AE2971" s="1" t="s">
        <v>98</v>
      </c>
      <c r="AF2971" s="1" t="s">
        <v>48099</v>
      </c>
      <c r="AG2971" s="1" t="s">
        <v>48100</v>
      </c>
      <c r="AH2971" s="1" t="s">
        <v>101</v>
      </c>
      <c r="AI2971" s="1" t="s">
        <v>136</v>
      </c>
      <c r="AJ2971" s="1">
        <v>95</v>
      </c>
      <c r="AK2971" s="1">
        <v>10</v>
      </c>
      <c r="AL2971" s="1" t="s">
        <v>48099</v>
      </c>
      <c r="AM2971" s="1" t="s">
        <v>48100</v>
      </c>
      <c r="AN2971" s="1"/>
      <c r="AO2971" s="1" t="s">
        <v>167</v>
      </c>
      <c r="AP2971" s="1" t="s">
        <v>573</v>
      </c>
      <c r="AQ2971" s="1">
        <v>87</v>
      </c>
      <c r="AR2971" s="1"/>
      <c r="AS2971" s="1"/>
      <c r="AT2971" s="1"/>
      <c r="AU2971" s="1"/>
      <c r="AV2971" s="1"/>
      <c r="AW2971" s="1"/>
      <c r="AX2971" s="1"/>
      <c r="AY2971" s="1" t="s">
        <v>137</v>
      </c>
      <c r="AZ2971" s="1" t="s">
        <v>48101</v>
      </c>
      <c r="BA2971" s="1"/>
      <c r="BB2971" s="1"/>
      <c r="BC2971" s="1" t="s">
        <v>230</v>
      </c>
      <c r="BD2971" s="1" t="s">
        <v>847</v>
      </c>
      <c r="BE2971" s="1">
        <v>78.85</v>
      </c>
      <c r="BF2971" s="1">
        <v>8.26</v>
      </c>
      <c r="BG2971" s="1"/>
      <c r="BH2971" s="1"/>
      <c r="BI2971" s="1"/>
      <c r="BJ2971" s="1"/>
      <c r="BK2971" s="1"/>
      <c r="BL2971" s="1"/>
      <c r="BM2971" s="1"/>
      <c r="BN2971" s="1"/>
      <c r="BO2971" s="1" t="s">
        <v>1114</v>
      </c>
      <c r="BP2971" s="1"/>
      <c r="BQ2971" s="1"/>
      <c r="BR2971" s="1" t="s">
        <v>48102</v>
      </c>
      <c r="BS2971" s="1">
        <v>54</v>
      </c>
      <c r="BT2971" s="1"/>
      <c r="BU2971" s="1" t="str">
        <f>HYPERLINK("https://nconnect.nicmar.ac.in/storage/profile/2022-2023_P2260003_257398.jpg","Download")</f>
        <v>0</v>
      </c>
      <c r="BV2971" s="3"/>
      <c r="BW2971" s="3"/>
    </row>
    <row r="2972" spans="1:75">
      <c r="A2972" s="1" t="s">
        <v>40756</v>
      </c>
      <c r="B2972" s="1" t="s">
        <v>48053</v>
      </c>
      <c r="C2972" s="1" t="s">
        <v>48103</v>
      </c>
      <c r="D2972" s="1" t="s">
        <v>48104</v>
      </c>
      <c r="E2972" s="1"/>
      <c r="F2972" s="1" t="s">
        <v>186</v>
      </c>
      <c r="G2972" s="1" t="s">
        <v>48105</v>
      </c>
      <c r="H2972" s="1" t="s">
        <v>48106</v>
      </c>
      <c r="I2972" s="1" t="s">
        <v>48107</v>
      </c>
      <c r="J2972" s="1">
        <v>9072848225</v>
      </c>
      <c r="K2972" s="1" t="s">
        <v>153</v>
      </c>
      <c r="L2972" s="1" t="s">
        <v>47606</v>
      </c>
      <c r="M2972" s="1" t="s">
        <v>86</v>
      </c>
      <c r="N2972" s="1" t="s">
        <v>1300</v>
      </c>
      <c r="O2972" s="1"/>
      <c r="P2972" s="1" t="s">
        <v>481</v>
      </c>
      <c r="Q2972" s="1" t="s">
        <v>48108</v>
      </c>
      <c r="R2972" s="1" t="s">
        <v>48109</v>
      </c>
      <c r="S2972" s="1">
        <v>9846148225</v>
      </c>
      <c r="T2972" s="1" t="s">
        <v>34987</v>
      </c>
      <c r="U2972" s="1" t="s">
        <v>48110</v>
      </c>
      <c r="V2972" s="1">
        <v>9946444875</v>
      </c>
      <c r="W2972" s="1" t="s">
        <v>34987</v>
      </c>
      <c r="X2972" s="1" t="s">
        <v>48111</v>
      </c>
      <c r="Y2972" s="1" t="s">
        <v>19921</v>
      </c>
      <c r="Z2972" s="1" t="s">
        <v>130</v>
      </c>
      <c r="AA2972" s="1" t="s">
        <v>48111</v>
      </c>
      <c r="AB2972" s="1" t="s">
        <v>19921</v>
      </c>
      <c r="AC2972" s="1" t="s">
        <v>130</v>
      </c>
      <c r="AD2972" s="1" t="s">
        <v>98</v>
      </c>
      <c r="AE2972" s="1" t="s">
        <v>98</v>
      </c>
      <c r="AF2972" s="1" t="s">
        <v>48112</v>
      </c>
      <c r="AG2972" s="1" t="s">
        <v>48113</v>
      </c>
      <c r="AH2972" s="1" t="s">
        <v>1213</v>
      </c>
      <c r="AI2972" s="1" t="s">
        <v>1262</v>
      </c>
      <c r="AJ2972" s="1">
        <v>93.1</v>
      </c>
      <c r="AK2972" s="1">
        <v>9.8</v>
      </c>
      <c r="AL2972" s="1" t="s">
        <v>48114</v>
      </c>
      <c r="AM2972" s="1" t="s">
        <v>48115</v>
      </c>
      <c r="AN2972" s="1"/>
      <c r="AO2972" s="1" t="s">
        <v>166</v>
      </c>
      <c r="AP2972" s="1" t="s">
        <v>627</v>
      </c>
      <c r="AQ2972" s="1">
        <v>94.5</v>
      </c>
      <c r="AR2972" s="1"/>
      <c r="AS2972" s="1"/>
      <c r="AT2972" s="1"/>
      <c r="AU2972" s="1"/>
      <c r="AV2972" s="1"/>
      <c r="AW2972" s="1"/>
      <c r="AX2972" s="1"/>
      <c r="AY2972" s="1" t="s">
        <v>137</v>
      </c>
      <c r="AZ2972" s="1" t="s">
        <v>48116</v>
      </c>
      <c r="BA2972" s="1"/>
      <c r="BB2972" s="1"/>
      <c r="BC2972" s="1" t="s">
        <v>139</v>
      </c>
      <c r="BD2972" s="1" t="s">
        <v>1647</v>
      </c>
      <c r="BE2972" s="1">
        <v>84.05</v>
      </c>
      <c r="BF2972" s="1">
        <v>8.78</v>
      </c>
      <c r="BG2972" s="1"/>
      <c r="BH2972" s="1"/>
      <c r="BI2972" s="1"/>
      <c r="BJ2972" s="1"/>
      <c r="BK2972" s="1"/>
      <c r="BL2972" s="1"/>
      <c r="BM2972" s="1"/>
      <c r="BN2972" s="1"/>
      <c r="BO2972" s="1" t="s">
        <v>849</v>
      </c>
      <c r="BP2972" s="1"/>
      <c r="BQ2972" s="1"/>
      <c r="BR2972" s="1" t="s">
        <v>48117</v>
      </c>
      <c r="BS2972" s="1">
        <v>14</v>
      </c>
      <c r="BT2972" s="1"/>
      <c r="BU2972" s="1" t="str">
        <f>HYPERLINK("https://nconnect.nicmar.ac.in/storage/profile/2022-2023_P2260004_324859.jpg","Download")</f>
        <v>0</v>
      </c>
      <c r="BV2972" s="3"/>
      <c r="BW2972" s="3"/>
    </row>
    <row r="2973" spans="1:75">
      <c r="A2973" s="1" t="s">
        <v>40756</v>
      </c>
      <c r="B2973" s="1" t="s">
        <v>48053</v>
      </c>
      <c r="C2973" s="1" t="s">
        <v>48118</v>
      </c>
      <c r="D2973" s="1" t="s">
        <v>4214</v>
      </c>
      <c r="E2973" s="1" t="s">
        <v>1320</v>
      </c>
      <c r="F2973" s="1" t="s">
        <v>812</v>
      </c>
      <c r="G2973" s="1" t="s">
        <v>48119</v>
      </c>
      <c r="H2973" s="1" t="s">
        <v>48120</v>
      </c>
      <c r="I2973" s="1" t="s">
        <v>48121</v>
      </c>
      <c r="J2973" s="1">
        <v>8884784249</v>
      </c>
      <c r="K2973" s="1" t="s">
        <v>84</v>
      </c>
      <c r="L2973" s="1" t="s">
        <v>48122</v>
      </c>
      <c r="M2973" s="1" t="s">
        <v>86</v>
      </c>
      <c r="N2973" s="1" t="s">
        <v>4412</v>
      </c>
      <c r="O2973" s="1"/>
      <c r="P2973" s="1" t="s">
        <v>507</v>
      </c>
      <c r="Q2973" s="1" t="s">
        <v>48123</v>
      </c>
      <c r="R2973" s="1" t="s">
        <v>48124</v>
      </c>
      <c r="S2973" s="1">
        <v>8105364849</v>
      </c>
      <c r="T2973" s="1" t="s">
        <v>2128</v>
      </c>
      <c r="U2973" s="1" t="s">
        <v>48125</v>
      </c>
      <c r="V2973" s="1">
        <v>8050807450</v>
      </c>
      <c r="W2973" s="1" t="s">
        <v>278</v>
      </c>
      <c r="X2973" s="1" t="s">
        <v>48126</v>
      </c>
      <c r="Y2973" s="1" t="s">
        <v>1209</v>
      </c>
      <c r="Z2973" s="1" t="s">
        <v>1210</v>
      </c>
      <c r="AA2973" s="1" t="s">
        <v>48126</v>
      </c>
      <c r="AB2973" s="1" t="s">
        <v>1209</v>
      </c>
      <c r="AC2973" s="1" t="s">
        <v>1210</v>
      </c>
      <c r="AD2973" s="1" t="s">
        <v>98</v>
      </c>
      <c r="AE2973" s="1" t="s">
        <v>98</v>
      </c>
      <c r="AF2973" s="1" t="s">
        <v>48127</v>
      </c>
      <c r="AG2973" s="1" t="s">
        <v>1946</v>
      </c>
      <c r="AH2973" s="1" t="s">
        <v>4593</v>
      </c>
      <c r="AI2973" s="1" t="s">
        <v>3923</v>
      </c>
      <c r="AJ2973" s="1">
        <v>86.24</v>
      </c>
      <c r="AK2973" s="1">
        <v>0</v>
      </c>
      <c r="AL2973" s="1" t="s">
        <v>48128</v>
      </c>
      <c r="AM2973" s="1" t="s">
        <v>1216</v>
      </c>
      <c r="AN2973" s="1"/>
      <c r="AO2973" s="1" t="s">
        <v>3285</v>
      </c>
      <c r="AP2973" s="1" t="s">
        <v>1457</v>
      </c>
      <c r="AQ2973" s="1">
        <v>60.83</v>
      </c>
      <c r="AR2973" s="1">
        <v>0</v>
      </c>
      <c r="AS2973" s="1"/>
      <c r="AT2973" s="1"/>
      <c r="AU2973" s="1"/>
      <c r="AV2973" s="1"/>
      <c r="AW2973" s="1"/>
      <c r="AX2973" s="1"/>
      <c r="AY2973" s="1" t="s">
        <v>12551</v>
      </c>
      <c r="AZ2973" s="1" t="s">
        <v>48129</v>
      </c>
      <c r="BA2973" s="1"/>
      <c r="BB2973" s="1"/>
      <c r="BC2973" s="1" t="s">
        <v>1583</v>
      </c>
      <c r="BD2973" s="1" t="s">
        <v>26860</v>
      </c>
      <c r="BE2973" s="1">
        <v>66.43</v>
      </c>
      <c r="BF2973" s="1">
        <v>0</v>
      </c>
      <c r="BG2973" s="1"/>
      <c r="BH2973" s="1"/>
      <c r="BI2973" s="1"/>
      <c r="BJ2973" s="1"/>
      <c r="BK2973" s="1"/>
      <c r="BL2973" s="1"/>
      <c r="BM2973" s="1"/>
      <c r="BN2973" s="1"/>
      <c r="BO2973" s="1" t="s">
        <v>369</v>
      </c>
      <c r="BP2973" s="1" t="s">
        <v>48130</v>
      </c>
      <c r="BQ2973" s="1" t="s">
        <v>3971</v>
      </c>
      <c r="BR2973" s="1"/>
      <c r="BS2973" s="1"/>
      <c r="BT2973" s="1"/>
      <c r="BU2973" s="1" t="str">
        <f>HYPERLINK("https://nconnect.nicmar.ac.in/storage/profile/2022-2023_P2260005_765918.jpg","Download")</f>
        <v>0</v>
      </c>
      <c r="BV2973" s="3"/>
      <c r="BW2973" s="3"/>
    </row>
    <row r="2974" spans="1:75">
      <c r="A2974" s="1" t="s">
        <v>40756</v>
      </c>
      <c r="B2974" s="1" t="s">
        <v>48053</v>
      </c>
      <c r="C2974" s="1" t="s">
        <v>48131</v>
      </c>
      <c r="D2974" s="1" t="s">
        <v>48132</v>
      </c>
      <c r="E2974" s="1"/>
      <c r="F2974" s="1" t="s">
        <v>1320</v>
      </c>
      <c r="G2974" s="1" t="s">
        <v>48133</v>
      </c>
      <c r="H2974" s="1" t="s">
        <v>48134</v>
      </c>
      <c r="I2974" s="1" t="s">
        <v>48135</v>
      </c>
      <c r="J2974" s="1">
        <v>9891923234</v>
      </c>
      <c r="K2974" s="1" t="s">
        <v>84</v>
      </c>
      <c r="L2974" s="1" t="s">
        <v>48136</v>
      </c>
      <c r="M2974" s="1" t="s">
        <v>86</v>
      </c>
      <c r="N2974" s="1" t="s">
        <v>4278</v>
      </c>
      <c r="O2974" s="1"/>
      <c r="P2974" s="1" t="s">
        <v>2062</v>
      </c>
      <c r="Q2974" s="1" t="s">
        <v>48137</v>
      </c>
      <c r="R2974" s="1" t="s">
        <v>48138</v>
      </c>
      <c r="S2974" s="1">
        <v>9971831601</v>
      </c>
      <c r="T2974" s="1" t="s">
        <v>48139</v>
      </c>
      <c r="U2974" s="1" t="s">
        <v>48140</v>
      </c>
      <c r="V2974" s="1">
        <v>9650953479</v>
      </c>
      <c r="W2974" s="1" t="s">
        <v>278</v>
      </c>
      <c r="X2974" s="1" t="s">
        <v>48141</v>
      </c>
      <c r="Y2974" s="1" t="s">
        <v>25440</v>
      </c>
      <c r="Z2974" s="1" t="s">
        <v>1739</v>
      </c>
      <c r="AA2974" s="1" t="s">
        <v>48142</v>
      </c>
      <c r="AB2974" s="1" t="s">
        <v>196</v>
      </c>
      <c r="AC2974" s="1" t="s">
        <v>97</v>
      </c>
      <c r="AD2974" s="1" t="s">
        <v>98</v>
      </c>
      <c r="AE2974" s="1" t="s">
        <v>98</v>
      </c>
      <c r="AF2974" s="1" t="s">
        <v>48143</v>
      </c>
      <c r="AG2974" s="1" t="s">
        <v>13343</v>
      </c>
      <c r="AH2974" s="1" t="s">
        <v>3923</v>
      </c>
      <c r="AI2974" s="1" t="s">
        <v>2726</v>
      </c>
      <c r="AJ2974" s="1">
        <v>77.9</v>
      </c>
      <c r="AK2974" s="1">
        <v>8.2</v>
      </c>
      <c r="AL2974" s="1" t="s">
        <v>48143</v>
      </c>
      <c r="AM2974" s="1" t="s">
        <v>13343</v>
      </c>
      <c r="AN2974" s="1"/>
      <c r="AO2974" s="1" t="s">
        <v>3421</v>
      </c>
      <c r="AP2974" s="1" t="s">
        <v>1262</v>
      </c>
      <c r="AQ2974" s="1">
        <v>67</v>
      </c>
      <c r="AR2974" s="1"/>
      <c r="AS2974" s="1"/>
      <c r="AT2974" s="1"/>
      <c r="AU2974" s="1"/>
      <c r="AV2974" s="1"/>
      <c r="AW2974" s="1"/>
      <c r="AX2974" s="1"/>
      <c r="AY2974" s="1" t="s">
        <v>29243</v>
      </c>
      <c r="AZ2974" s="1" t="s">
        <v>48144</v>
      </c>
      <c r="BA2974" s="1"/>
      <c r="BB2974" s="1"/>
      <c r="BC2974" s="1" t="s">
        <v>257</v>
      </c>
      <c r="BD2974" s="1" t="s">
        <v>17163</v>
      </c>
      <c r="BE2974" s="1">
        <v>74.67</v>
      </c>
      <c r="BF2974" s="1"/>
      <c r="BG2974" s="1"/>
      <c r="BH2974" s="1"/>
      <c r="BI2974" s="1"/>
      <c r="BJ2974" s="1"/>
      <c r="BK2974" s="1"/>
      <c r="BL2974" s="1"/>
      <c r="BM2974" s="1"/>
      <c r="BN2974" s="1"/>
      <c r="BO2974" s="1" t="s">
        <v>369</v>
      </c>
      <c r="BP2974" s="1" t="s">
        <v>48145</v>
      </c>
      <c r="BQ2974" s="1" t="s">
        <v>4149</v>
      </c>
      <c r="BR2974" s="1" t="s">
        <v>48146</v>
      </c>
      <c r="BS2974" s="1">
        <v>22</v>
      </c>
      <c r="BT2974" s="1"/>
      <c r="BU2974" s="1" t="str">
        <f>HYPERLINK("https://nconnect.nicmar.ac.in/storage/profile/2022-2023_P2260006_472968.jpg","Download")</f>
        <v>0</v>
      </c>
      <c r="BV2974" s="3"/>
      <c r="BW2974" s="3"/>
    </row>
    <row r="2975" spans="1:75">
      <c r="A2975" s="1" t="s">
        <v>40756</v>
      </c>
      <c r="B2975" s="1" t="s">
        <v>48053</v>
      </c>
      <c r="C2975" s="1" t="s">
        <v>48147</v>
      </c>
      <c r="D2975" s="1" t="s">
        <v>48148</v>
      </c>
      <c r="E2975" s="1"/>
      <c r="F2975" s="1" t="s">
        <v>38301</v>
      </c>
      <c r="G2975" s="1" t="s">
        <v>48149</v>
      </c>
      <c r="H2975" s="1" t="s">
        <v>48150</v>
      </c>
      <c r="I2975" s="1" t="s">
        <v>48151</v>
      </c>
      <c r="J2975" s="1">
        <v>9886222253</v>
      </c>
      <c r="K2975" s="1" t="s">
        <v>84</v>
      </c>
      <c r="L2975" s="1" t="s">
        <v>48152</v>
      </c>
      <c r="M2975" s="1" t="s">
        <v>86</v>
      </c>
      <c r="N2975" s="1" t="s">
        <v>12964</v>
      </c>
      <c r="O2975" s="1"/>
      <c r="P2975" s="1" t="s">
        <v>481</v>
      </c>
      <c r="Q2975" s="1" t="s">
        <v>48153</v>
      </c>
      <c r="R2975" s="1" t="s">
        <v>48154</v>
      </c>
      <c r="S2975" s="1">
        <v>9986414353</v>
      </c>
      <c r="T2975" s="1" t="s">
        <v>1620</v>
      </c>
      <c r="U2975" s="1" t="s">
        <v>48155</v>
      </c>
      <c r="V2975" s="1">
        <v>9620358169</v>
      </c>
      <c r="W2975" s="1" t="s">
        <v>278</v>
      </c>
      <c r="X2975" s="1" t="s">
        <v>48156</v>
      </c>
      <c r="Y2975" s="1" t="s">
        <v>6871</v>
      </c>
      <c r="Z2975" s="1" t="s">
        <v>1210</v>
      </c>
      <c r="AA2975" s="1" t="s">
        <v>48156</v>
      </c>
      <c r="AB2975" s="1" t="s">
        <v>6871</v>
      </c>
      <c r="AC2975" s="1" t="s">
        <v>1210</v>
      </c>
      <c r="AD2975" s="1" t="s">
        <v>98</v>
      </c>
      <c r="AE2975" s="1" t="s">
        <v>98</v>
      </c>
      <c r="AF2975" s="1" t="s">
        <v>48157</v>
      </c>
      <c r="AG2975" s="1" t="s">
        <v>28650</v>
      </c>
      <c r="AH2975" s="1" t="s">
        <v>4593</v>
      </c>
      <c r="AI2975" s="1" t="s">
        <v>801</v>
      </c>
      <c r="AJ2975" s="1">
        <v>90.72</v>
      </c>
      <c r="AK2975" s="1"/>
      <c r="AL2975" s="1"/>
      <c r="AM2975" s="1"/>
      <c r="AN2975" s="1"/>
      <c r="AO2975" s="1" t="s">
        <v>3285</v>
      </c>
      <c r="AP2975" s="1" t="s">
        <v>134</v>
      </c>
      <c r="AQ2975" s="1"/>
      <c r="AR2975" s="1"/>
      <c r="AS2975" s="1" t="s">
        <v>103</v>
      </c>
      <c r="AT2975" s="1" t="s">
        <v>48158</v>
      </c>
      <c r="AU2975" s="1" t="s">
        <v>1583</v>
      </c>
      <c r="AV2975" s="1" t="s">
        <v>167</v>
      </c>
      <c r="AW2975" s="1">
        <v>80.56</v>
      </c>
      <c r="AX2975" s="1"/>
      <c r="AY2975" s="1" t="s">
        <v>731</v>
      </c>
      <c r="AZ2975" s="1" t="s">
        <v>48159</v>
      </c>
      <c r="BA2975" s="1"/>
      <c r="BB2975" s="1"/>
      <c r="BC2975" s="1" t="s">
        <v>1396</v>
      </c>
      <c r="BD2975" s="1" t="s">
        <v>368</v>
      </c>
      <c r="BE2975" s="1">
        <v>63.6</v>
      </c>
      <c r="BF2975" s="1">
        <v>7.11</v>
      </c>
      <c r="BG2975" s="1"/>
      <c r="BH2975" s="1"/>
      <c r="BI2975" s="1"/>
      <c r="BJ2975" s="1"/>
      <c r="BK2975" s="1"/>
      <c r="BL2975" s="1"/>
      <c r="BM2975" s="1"/>
      <c r="BN2975" s="1"/>
      <c r="BO2975" s="1" t="s">
        <v>369</v>
      </c>
      <c r="BP2975" s="1"/>
      <c r="BQ2975" s="1"/>
      <c r="BR2975" s="1" t="s">
        <v>48160</v>
      </c>
      <c r="BS2975" s="1">
        <v>3</v>
      </c>
      <c r="BT2975" s="1"/>
      <c r="BU2975" s="1" t="str">
        <f>HYPERLINK("https://nconnect.nicmar.ac.in/storage/profile/2022-2023_P2260007_694125.jpg","Download")</f>
        <v>0</v>
      </c>
      <c r="BV2975" s="3"/>
      <c r="BW2975" s="3"/>
    </row>
    <row r="2976" spans="1:75">
      <c r="A2976" s="1" t="s">
        <v>40756</v>
      </c>
      <c r="B2976" s="1" t="s">
        <v>48053</v>
      </c>
      <c r="C2976" s="1" t="s">
        <v>48161</v>
      </c>
      <c r="D2976" s="1" t="s">
        <v>48162</v>
      </c>
      <c r="E2976" s="1"/>
      <c r="F2976" s="1" t="s">
        <v>48163</v>
      </c>
      <c r="G2976" s="1" t="s">
        <v>48164</v>
      </c>
      <c r="H2976" s="1" t="s">
        <v>48165</v>
      </c>
      <c r="I2976" s="1" t="s">
        <v>48166</v>
      </c>
      <c r="J2976" s="1">
        <v>9002313784</v>
      </c>
      <c r="K2976" s="1" t="s">
        <v>84</v>
      </c>
      <c r="L2976" s="1" t="s">
        <v>48167</v>
      </c>
      <c r="M2976" s="1" t="s">
        <v>86</v>
      </c>
      <c r="N2976" s="1" t="s">
        <v>48168</v>
      </c>
      <c r="O2976" s="1"/>
      <c r="P2976" s="1" t="s">
        <v>455</v>
      </c>
      <c r="Q2976" s="1" t="s">
        <v>48169</v>
      </c>
      <c r="R2976" s="1" t="s">
        <v>48170</v>
      </c>
      <c r="S2976" s="1">
        <v>9475727873</v>
      </c>
      <c r="T2976" s="1" t="s">
        <v>839</v>
      </c>
      <c r="U2976" s="1" t="s">
        <v>48171</v>
      </c>
      <c r="V2976" s="1">
        <v>7864898653</v>
      </c>
      <c r="W2976" s="1" t="s">
        <v>161</v>
      </c>
      <c r="X2976" s="1" t="s">
        <v>48172</v>
      </c>
      <c r="Y2976" s="1" t="s">
        <v>14936</v>
      </c>
      <c r="Z2976" s="1" t="s">
        <v>1234</v>
      </c>
      <c r="AA2976" s="1" t="s">
        <v>48172</v>
      </c>
      <c r="AB2976" s="1" t="s">
        <v>14936</v>
      </c>
      <c r="AC2976" s="1" t="s">
        <v>1234</v>
      </c>
      <c r="AD2976" s="1" t="s">
        <v>98</v>
      </c>
      <c r="AE2976" s="1" t="s">
        <v>98</v>
      </c>
      <c r="AF2976" s="1" t="s">
        <v>48173</v>
      </c>
      <c r="AG2976" s="1" t="s">
        <v>48174</v>
      </c>
      <c r="AH2976" s="1" t="s">
        <v>3112</v>
      </c>
      <c r="AI2976" s="1" t="s">
        <v>2726</v>
      </c>
      <c r="AJ2976" s="1">
        <v>71</v>
      </c>
      <c r="AK2976" s="1"/>
      <c r="AL2976" s="1"/>
      <c r="AM2976" s="1"/>
      <c r="AN2976" s="1"/>
      <c r="AO2976" s="1"/>
      <c r="AP2976" s="1"/>
      <c r="AQ2976" s="1"/>
      <c r="AR2976" s="1"/>
      <c r="AS2976" s="1" t="s">
        <v>103</v>
      </c>
      <c r="AT2976" s="1" t="s">
        <v>48175</v>
      </c>
      <c r="AU2976" s="1" t="s">
        <v>25321</v>
      </c>
      <c r="AV2976" s="1" t="s">
        <v>342</v>
      </c>
      <c r="AW2976" s="1">
        <v>62.61</v>
      </c>
      <c r="AX2976" s="1"/>
      <c r="AY2976" s="1" t="s">
        <v>48176</v>
      </c>
      <c r="AZ2976" s="1" t="s">
        <v>48177</v>
      </c>
      <c r="BA2976" s="1"/>
      <c r="BB2976" s="1"/>
      <c r="BC2976" s="1" t="s">
        <v>17163</v>
      </c>
      <c r="BD2976" s="1" t="s">
        <v>549</v>
      </c>
      <c r="BE2976" s="1">
        <v>80</v>
      </c>
      <c r="BF2976" s="1">
        <v>8.86</v>
      </c>
      <c r="BG2976" s="1"/>
      <c r="BH2976" s="1"/>
      <c r="BI2976" s="1"/>
      <c r="BJ2976" s="1"/>
      <c r="BK2976" s="1"/>
      <c r="BL2976" s="1"/>
      <c r="BM2976" s="1"/>
      <c r="BN2976" s="1"/>
      <c r="BO2976" s="1" t="s">
        <v>260</v>
      </c>
      <c r="BP2976" s="1" t="s">
        <v>48178</v>
      </c>
      <c r="BQ2976" s="1" t="s">
        <v>736</v>
      </c>
      <c r="BR2976" s="1"/>
      <c r="BS2976" s="1"/>
      <c r="BT2976" s="1"/>
      <c r="BU2976" s="1" t="str">
        <f>HYPERLINK("https://nconnect.nicmar.ac.in/storage/profile/2022-2023_P2260008_134765.jpg","Download")</f>
        <v>0</v>
      </c>
      <c r="BV2976" s="3"/>
      <c r="BW2976" s="3"/>
    </row>
    <row r="2977" spans="1:75">
      <c r="A2977" s="1" t="s">
        <v>40756</v>
      </c>
      <c r="B2977" s="1" t="s">
        <v>48053</v>
      </c>
      <c r="C2977" s="1" t="s">
        <v>48179</v>
      </c>
      <c r="D2977" s="1" t="s">
        <v>1021</v>
      </c>
      <c r="E2977" s="1" t="s">
        <v>48180</v>
      </c>
      <c r="F2977" s="1" t="s">
        <v>48181</v>
      </c>
      <c r="G2977" s="1" t="s">
        <v>48182</v>
      </c>
      <c r="H2977" s="1" t="s">
        <v>48183</v>
      </c>
      <c r="I2977" s="1" t="s">
        <v>48184</v>
      </c>
      <c r="J2977" s="1">
        <v>8291440433</v>
      </c>
      <c r="K2977" s="1" t="s">
        <v>84</v>
      </c>
      <c r="L2977" s="1" t="s">
        <v>32383</v>
      </c>
      <c r="M2977" s="1" t="s">
        <v>86</v>
      </c>
      <c r="N2977" s="1" t="s">
        <v>5370</v>
      </c>
      <c r="O2977" s="1"/>
      <c r="P2977" s="1" t="s">
        <v>507</v>
      </c>
      <c r="Q2977" s="1" t="s">
        <v>48185</v>
      </c>
      <c r="R2977" s="1" t="s">
        <v>48186</v>
      </c>
      <c r="S2977" s="1">
        <v>8097609105</v>
      </c>
      <c r="T2977" s="1" t="s">
        <v>645</v>
      </c>
      <c r="U2977" s="1" t="s">
        <v>48187</v>
      </c>
      <c r="V2977" s="1">
        <v>8108782961</v>
      </c>
      <c r="W2977" s="1" t="s">
        <v>161</v>
      </c>
      <c r="X2977" s="1" t="s">
        <v>48188</v>
      </c>
      <c r="Y2977" s="1" t="s">
        <v>1779</v>
      </c>
      <c r="Z2977" s="1" t="s">
        <v>97</v>
      </c>
      <c r="AA2977" s="1" t="s">
        <v>48188</v>
      </c>
      <c r="AB2977" s="1" t="s">
        <v>1779</v>
      </c>
      <c r="AC2977" s="1" t="s">
        <v>97</v>
      </c>
      <c r="AD2977" s="1" t="s">
        <v>98</v>
      </c>
      <c r="AE2977" s="1" t="s">
        <v>98</v>
      </c>
      <c r="AF2977" s="1" t="s">
        <v>48189</v>
      </c>
      <c r="AG2977" s="1" t="s">
        <v>5912</v>
      </c>
      <c r="AH2977" s="1" t="s">
        <v>1213</v>
      </c>
      <c r="AI2977" s="1" t="s">
        <v>101</v>
      </c>
      <c r="AJ2977" s="1">
        <v>83.8</v>
      </c>
      <c r="AK2977" s="1">
        <v>0</v>
      </c>
      <c r="AL2977" s="1"/>
      <c r="AM2977" s="1"/>
      <c r="AN2977" s="1"/>
      <c r="AO2977" s="1"/>
      <c r="AP2977" s="1"/>
      <c r="AQ2977" s="1"/>
      <c r="AR2977" s="1"/>
      <c r="AS2977" s="1" t="s">
        <v>439</v>
      </c>
      <c r="AT2977" s="1" t="s">
        <v>43274</v>
      </c>
      <c r="AU2977" s="1" t="s">
        <v>257</v>
      </c>
      <c r="AV2977" s="1" t="s">
        <v>170</v>
      </c>
      <c r="AW2977" s="1">
        <v>77.52</v>
      </c>
      <c r="AX2977" s="1">
        <v>0</v>
      </c>
      <c r="AY2977" s="1" t="s">
        <v>680</v>
      </c>
      <c r="AZ2977" s="1" t="s">
        <v>48190</v>
      </c>
      <c r="BA2977" s="1"/>
      <c r="BB2977" s="1"/>
      <c r="BC2977" s="1" t="s">
        <v>230</v>
      </c>
      <c r="BD2977" s="1" t="s">
        <v>175</v>
      </c>
      <c r="BE2977" s="1">
        <v>70.17</v>
      </c>
      <c r="BF2977" s="1">
        <v>7.75</v>
      </c>
      <c r="BG2977" s="1"/>
      <c r="BH2977" s="1"/>
      <c r="BI2977" s="1"/>
      <c r="BJ2977" s="1"/>
      <c r="BK2977" s="1"/>
      <c r="BL2977" s="1"/>
      <c r="BM2977" s="1"/>
      <c r="BN2977" s="1"/>
      <c r="BO2977" s="1" t="s">
        <v>369</v>
      </c>
      <c r="BP2977" s="1" t="s">
        <v>48191</v>
      </c>
      <c r="BQ2977" s="1" t="s">
        <v>292</v>
      </c>
      <c r="BR2977" s="1" t="s">
        <v>48192</v>
      </c>
      <c r="BS2977" s="1">
        <v>6</v>
      </c>
      <c r="BT2977" s="1"/>
      <c r="BU2977" s="1" t="str">
        <f>HYPERLINK("https://nconnect.nicmar.ac.in/storage/profile/2022-2023_P2260009_576912.jpg","Download")</f>
        <v>0</v>
      </c>
      <c r="BV2977" s="3"/>
      <c r="BW2977" s="3"/>
    </row>
    <row r="2978" spans="1:75">
      <c r="A2978" s="1" t="s">
        <v>40756</v>
      </c>
      <c r="B2978" s="1" t="s">
        <v>48053</v>
      </c>
      <c r="C2978" s="1" t="s">
        <v>48193</v>
      </c>
      <c r="D2978" s="1" t="s">
        <v>1487</v>
      </c>
      <c r="E2978" s="1"/>
      <c r="F2978" s="1" t="s">
        <v>48194</v>
      </c>
      <c r="G2978" s="1" t="s">
        <v>48195</v>
      </c>
      <c r="H2978" s="1" t="s">
        <v>48196</v>
      </c>
      <c r="I2978" s="1" t="s">
        <v>48197</v>
      </c>
      <c r="J2978" s="1">
        <v>8590451634</v>
      </c>
      <c r="K2978" s="1" t="s">
        <v>153</v>
      </c>
      <c r="L2978" s="1" t="s">
        <v>34693</v>
      </c>
      <c r="M2978" s="1" t="s">
        <v>86</v>
      </c>
      <c r="N2978" s="1" t="s">
        <v>5194</v>
      </c>
      <c r="O2978" s="1"/>
      <c r="P2978" s="1" t="s">
        <v>455</v>
      </c>
      <c r="Q2978" s="1" t="s">
        <v>48198</v>
      </c>
      <c r="R2978" s="1" t="s">
        <v>48199</v>
      </c>
      <c r="S2978" s="1">
        <v>9496300369</v>
      </c>
      <c r="T2978" s="1" t="s">
        <v>48200</v>
      </c>
      <c r="U2978" s="1" t="s">
        <v>48201</v>
      </c>
      <c r="V2978" s="1">
        <v>9496268865</v>
      </c>
      <c r="W2978" s="1" t="s">
        <v>539</v>
      </c>
      <c r="X2978" s="1" t="s">
        <v>48202</v>
      </c>
      <c r="Y2978" s="1" t="s">
        <v>5313</v>
      </c>
      <c r="Z2978" s="1" t="s">
        <v>130</v>
      </c>
      <c r="AA2978" s="1" t="s">
        <v>48202</v>
      </c>
      <c r="AB2978" s="1" t="s">
        <v>5313</v>
      </c>
      <c r="AC2978" s="1" t="s">
        <v>130</v>
      </c>
      <c r="AD2978" s="1" t="s">
        <v>98</v>
      </c>
      <c r="AE2978" s="1" t="s">
        <v>98</v>
      </c>
      <c r="AF2978" s="1" t="s">
        <v>48203</v>
      </c>
      <c r="AG2978" s="1" t="s">
        <v>312</v>
      </c>
      <c r="AH2978" s="1" t="s">
        <v>101</v>
      </c>
      <c r="AI2978" s="1" t="s">
        <v>136</v>
      </c>
      <c r="AJ2978" s="1">
        <v>95</v>
      </c>
      <c r="AK2978" s="1"/>
      <c r="AL2978" s="1" t="s">
        <v>48204</v>
      </c>
      <c r="AM2978" s="1" t="s">
        <v>5893</v>
      </c>
      <c r="AN2978" s="1"/>
      <c r="AO2978" s="1" t="s">
        <v>166</v>
      </c>
      <c r="AP2978" s="1" t="s">
        <v>573</v>
      </c>
      <c r="AQ2978" s="1">
        <v>88.5</v>
      </c>
      <c r="AR2978" s="1"/>
      <c r="AS2978" s="1"/>
      <c r="AT2978" s="1"/>
      <c r="AU2978" s="1"/>
      <c r="AV2978" s="1"/>
      <c r="AW2978" s="1"/>
      <c r="AX2978" s="1"/>
      <c r="AY2978" s="1" t="s">
        <v>137</v>
      </c>
      <c r="AZ2978" s="1" t="s">
        <v>48205</v>
      </c>
      <c r="BA2978" s="1"/>
      <c r="BB2978" s="1"/>
      <c r="BC2978" s="1" t="s">
        <v>230</v>
      </c>
      <c r="BD2978" s="1" t="s">
        <v>552</v>
      </c>
      <c r="BE2978" s="1">
        <v>91.35</v>
      </c>
      <c r="BF2978" s="1">
        <v>9.51</v>
      </c>
      <c r="BG2978" s="1"/>
      <c r="BH2978" s="1"/>
      <c r="BI2978" s="1"/>
      <c r="BJ2978" s="1"/>
      <c r="BK2978" s="1"/>
      <c r="BL2978" s="1"/>
      <c r="BM2978" s="1"/>
      <c r="BN2978" s="1"/>
      <c r="BO2978" s="1" t="s">
        <v>369</v>
      </c>
      <c r="BP2978" s="1" t="s">
        <v>48206</v>
      </c>
      <c r="BQ2978" s="1" t="s">
        <v>471</v>
      </c>
      <c r="BR2978" s="1"/>
      <c r="BS2978" s="1"/>
      <c r="BT2978" s="1"/>
      <c r="BU2978" s="1" t="str">
        <f>HYPERLINK("https://nconnect.nicmar.ac.in/storage/profile/2022-2023_P2260010_593284.jpg","Download")</f>
        <v>0</v>
      </c>
      <c r="BV2978" s="3"/>
      <c r="BW2978" s="3"/>
    </row>
    <row r="2979" spans="1:75">
      <c r="A2979" s="1" t="s">
        <v>40756</v>
      </c>
      <c r="B2979" s="1" t="s">
        <v>48053</v>
      </c>
      <c r="C2979" s="1" t="s">
        <v>48207</v>
      </c>
      <c r="D2979" s="1" t="s">
        <v>1955</v>
      </c>
      <c r="E2979" s="1" t="s">
        <v>4331</v>
      </c>
      <c r="F2979" s="1" t="s">
        <v>1179</v>
      </c>
      <c r="G2979" s="1" t="s">
        <v>48208</v>
      </c>
      <c r="H2979" s="1" t="s">
        <v>48209</v>
      </c>
      <c r="I2979" s="1" t="s">
        <v>48210</v>
      </c>
      <c r="J2979" s="1">
        <v>9673996669</v>
      </c>
      <c r="K2979" s="1" t="s">
        <v>153</v>
      </c>
      <c r="L2979" s="1" t="s">
        <v>48211</v>
      </c>
      <c r="M2979" s="1" t="s">
        <v>86</v>
      </c>
      <c r="N2979" s="1" t="s">
        <v>10548</v>
      </c>
      <c r="O2979" s="1"/>
      <c r="P2979" s="1" t="s">
        <v>481</v>
      </c>
      <c r="Q2979" s="1" t="s">
        <v>48212</v>
      </c>
      <c r="R2979" s="1" t="s">
        <v>4331</v>
      </c>
      <c r="S2979" s="1">
        <v>9850302069</v>
      </c>
      <c r="T2979" s="1" t="s">
        <v>771</v>
      </c>
      <c r="U2979" s="1" t="s">
        <v>6526</v>
      </c>
      <c r="V2979" s="1">
        <v>8390400002</v>
      </c>
      <c r="W2979" s="1" t="s">
        <v>94</v>
      </c>
      <c r="X2979" s="1" t="s">
        <v>48213</v>
      </c>
      <c r="Y2979" s="1" t="s">
        <v>251</v>
      </c>
      <c r="Z2979" s="1" t="s">
        <v>97</v>
      </c>
      <c r="AA2979" s="1" t="s">
        <v>48213</v>
      </c>
      <c r="AB2979" s="1" t="s">
        <v>251</v>
      </c>
      <c r="AC2979" s="1" t="s">
        <v>97</v>
      </c>
      <c r="AD2979" s="1" t="s">
        <v>98</v>
      </c>
      <c r="AE2979" s="1" t="s">
        <v>98</v>
      </c>
      <c r="AF2979" s="1" t="s">
        <v>48214</v>
      </c>
      <c r="AG2979" s="1" t="s">
        <v>48215</v>
      </c>
      <c r="AH2979" s="1" t="s">
        <v>10573</v>
      </c>
      <c r="AI2979" s="1" t="s">
        <v>799</v>
      </c>
      <c r="AJ2979" s="1">
        <v>84</v>
      </c>
      <c r="AK2979" s="1"/>
      <c r="AL2979" s="1" t="s">
        <v>48216</v>
      </c>
      <c r="AM2979" s="1" t="s">
        <v>48215</v>
      </c>
      <c r="AN2979" s="1"/>
      <c r="AO2979" s="1" t="s">
        <v>3285</v>
      </c>
      <c r="AP2979" s="1" t="s">
        <v>12326</v>
      </c>
      <c r="AQ2979" s="1">
        <v>58</v>
      </c>
      <c r="AR2979" s="1"/>
      <c r="AS2979" s="1"/>
      <c r="AT2979" s="1"/>
      <c r="AU2979" s="1"/>
      <c r="AV2979" s="1"/>
      <c r="AW2979" s="1"/>
      <c r="AX2979" s="1"/>
      <c r="AY2979" s="1" t="s">
        <v>10380</v>
      </c>
      <c r="AZ2979" s="1" t="s">
        <v>48217</v>
      </c>
      <c r="BA2979" s="1"/>
      <c r="BB2979" s="1"/>
      <c r="BC2979" s="1" t="s">
        <v>804</v>
      </c>
      <c r="BD2979" s="1" t="s">
        <v>573</v>
      </c>
      <c r="BE2979" s="1">
        <v>68.3</v>
      </c>
      <c r="BF2979" s="1">
        <v>6.88</v>
      </c>
      <c r="BG2979" s="1" t="s">
        <v>48218</v>
      </c>
      <c r="BH2979" s="1" t="s">
        <v>1586</v>
      </c>
      <c r="BI2979" s="1"/>
      <c r="BJ2979" s="1"/>
      <c r="BK2979" s="1" t="s">
        <v>230</v>
      </c>
      <c r="BL2979" s="1" t="s">
        <v>438</v>
      </c>
      <c r="BM2979" s="1">
        <v>8.91</v>
      </c>
      <c r="BN2979" s="1">
        <v>8.91</v>
      </c>
      <c r="BO2979" s="1" t="s">
        <v>1705</v>
      </c>
      <c r="BP2979" s="1" t="s">
        <v>48219</v>
      </c>
      <c r="BQ2979" s="1" t="s">
        <v>6365</v>
      </c>
      <c r="BR2979" s="1"/>
      <c r="BS2979" s="1"/>
      <c r="BT2979" s="1"/>
      <c r="BU2979" s="1" t="str">
        <f>HYPERLINK("https://nconnect.nicmar.ac.in/storage/profile/2022-2023_P2260011_759168.jpg","Download")</f>
        <v>0</v>
      </c>
      <c r="BV2979" s="3"/>
      <c r="BW2979" s="3"/>
    </row>
    <row r="2980" spans="1:75">
      <c r="A2980" s="1" t="s">
        <v>40756</v>
      </c>
      <c r="B2980" s="1" t="s">
        <v>48053</v>
      </c>
      <c r="C2980" s="1" t="s">
        <v>48220</v>
      </c>
      <c r="D2980" s="1" t="s">
        <v>48221</v>
      </c>
      <c r="E2980" s="1" t="s">
        <v>1487</v>
      </c>
      <c r="F2980" s="1" t="s">
        <v>7814</v>
      </c>
      <c r="G2980" s="1" t="s">
        <v>48222</v>
      </c>
      <c r="H2980" s="1" t="s">
        <v>48223</v>
      </c>
      <c r="I2980" s="1" t="s">
        <v>48224</v>
      </c>
      <c r="J2980" s="1">
        <v>8762348444</v>
      </c>
      <c r="K2980" s="1" t="s">
        <v>84</v>
      </c>
      <c r="L2980" s="1" t="s">
        <v>48225</v>
      </c>
      <c r="M2980" s="1" t="s">
        <v>86</v>
      </c>
      <c r="N2980" s="1" t="s">
        <v>48226</v>
      </c>
      <c r="O2980" s="1"/>
      <c r="P2980" s="1"/>
      <c r="Q2980" s="1" t="s">
        <v>48227</v>
      </c>
      <c r="R2980" s="1" t="s">
        <v>48228</v>
      </c>
      <c r="S2980" s="1">
        <v>9448721143</v>
      </c>
      <c r="T2980" s="1" t="s">
        <v>159</v>
      </c>
      <c r="U2980" s="1" t="s">
        <v>48229</v>
      </c>
      <c r="V2980" s="1">
        <v>9449760963</v>
      </c>
      <c r="W2980" s="1" t="s">
        <v>3844</v>
      </c>
      <c r="X2980" s="1" t="s">
        <v>48230</v>
      </c>
      <c r="Y2980" s="1" t="s">
        <v>41483</v>
      </c>
      <c r="Z2980" s="1" t="s">
        <v>1210</v>
      </c>
      <c r="AA2980" s="1" t="s">
        <v>37718</v>
      </c>
      <c r="AB2980" s="1" t="s">
        <v>196</v>
      </c>
      <c r="AC2980" s="1" t="s">
        <v>97</v>
      </c>
      <c r="AD2980" s="1" t="s">
        <v>98</v>
      </c>
      <c r="AE2980" s="1" t="s">
        <v>98</v>
      </c>
      <c r="AF2980" s="1" t="s">
        <v>48231</v>
      </c>
      <c r="AG2980" s="1" t="s">
        <v>48232</v>
      </c>
      <c r="AH2980" s="1" t="s">
        <v>3285</v>
      </c>
      <c r="AI2980" s="1" t="s">
        <v>3770</v>
      </c>
      <c r="AJ2980" s="1">
        <v>90.72</v>
      </c>
      <c r="AK2980" s="1"/>
      <c r="AL2980" s="1" t="s">
        <v>48233</v>
      </c>
      <c r="AM2980" s="1" t="s">
        <v>48232</v>
      </c>
      <c r="AN2980" s="1"/>
      <c r="AO2980" s="1" t="s">
        <v>1457</v>
      </c>
      <c r="AP2980" s="1" t="s">
        <v>515</v>
      </c>
      <c r="AQ2980" s="1">
        <v>84.7</v>
      </c>
      <c r="AR2980" s="1"/>
      <c r="AS2980" s="1"/>
      <c r="AT2980" s="1"/>
      <c r="AU2980" s="1"/>
      <c r="AV2980" s="1"/>
      <c r="AW2980" s="1"/>
      <c r="AX2980" s="1"/>
      <c r="AY2980" s="1" t="s">
        <v>731</v>
      </c>
      <c r="AZ2980" s="1" t="s">
        <v>48234</v>
      </c>
      <c r="BA2980" s="1"/>
      <c r="BB2980" s="1"/>
      <c r="BC2980" s="1" t="s">
        <v>257</v>
      </c>
      <c r="BD2980" s="1" t="s">
        <v>13749</v>
      </c>
      <c r="BE2980" s="1">
        <v>76.4</v>
      </c>
      <c r="BF2980" s="1"/>
      <c r="BG2980" s="1" t="s">
        <v>48235</v>
      </c>
      <c r="BH2980" s="1" t="s">
        <v>1586</v>
      </c>
      <c r="BI2980" s="1"/>
      <c r="BJ2980" s="1"/>
      <c r="BK2980" s="1" t="s">
        <v>174</v>
      </c>
      <c r="BL2980" s="1" t="s">
        <v>178</v>
      </c>
      <c r="BM2980" s="1">
        <v>89.2</v>
      </c>
      <c r="BN2980" s="1"/>
      <c r="BO2980" s="1" t="s">
        <v>48236</v>
      </c>
      <c r="BP2980" s="1" t="s">
        <v>48237</v>
      </c>
      <c r="BQ2980" s="1" t="s">
        <v>757</v>
      </c>
      <c r="BR2980" s="1"/>
      <c r="BS2980" s="1"/>
      <c r="BT2980" s="1"/>
      <c r="BU2980" s="1" t="str">
        <f>HYPERLINK("https://nconnect.nicmar.ac.in/storage/profile/2022-2023_P2260012_852671.jpg","Download")</f>
        <v>0</v>
      </c>
      <c r="BV2980" s="3"/>
      <c r="BW2980" s="3"/>
    </row>
    <row r="2981" spans="1:75">
      <c r="A2981" s="1" t="s">
        <v>40756</v>
      </c>
      <c r="B2981" s="1" t="s">
        <v>48053</v>
      </c>
      <c r="C2981" s="1" t="s">
        <v>48238</v>
      </c>
      <c r="D2981" s="1" t="s">
        <v>10432</v>
      </c>
      <c r="E2981" s="1" t="s">
        <v>812</v>
      </c>
      <c r="F2981" s="1" t="s">
        <v>48239</v>
      </c>
      <c r="G2981" s="1" t="s">
        <v>48240</v>
      </c>
      <c r="H2981" s="1" t="s">
        <v>48241</v>
      </c>
      <c r="I2981" s="1" t="s">
        <v>48242</v>
      </c>
      <c r="J2981" s="1">
        <v>8891204275</v>
      </c>
      <c r="K2981" s="1" t="s">
        <v>84</v>
      </c>
      <c r="L2981" s="1" t="s">
        <v>48243</v>
      </c>
      <c r="M2981" s="1" t="s">
        <v>86</v>
      </c>
      <c r="N2981" s="1" t="s">
        <v>7058</v>
      </c>
      <c r="O2981" s="1"/>
      <c r="P2981" s="1" t="s">
        <v>455</v>
      </c>
      <c r="Q2981" s="1" t="s">
        <v>48244</v>
      </c>
      <c r="R2981" s="1" t="s">
        <v>48245</v>
      </c>
      <c r="S2981" s="1">
        <v>9447407556</v>
      </c>
      <c r="T2981" s="1" t="s">
        <v>48246</v>
      </c>
      <c r="U2981" s="1" t="s">
        <v>48247</v>
      </c>
      <c r="V2981" s="1">
        <v>9495571682</v>
      </c>
      <c r="W2981" s="1" t="s">
        <v>48248</v>
      </c>
      <c r="X2981" s="1" t="s">
        <v>48249</v>
      </c>
      <c r="Y2981" s="1" t="s">
        <v>701</v>
      </c>
      <c r="Z2981" s="1" t="s">
        <v>130</v>
      </c>
      <c r="AA2981" s="1" t="s">
        <v>48249</v>
      </c>
      <c r="AB2981" s="1" t="s">
        <v>701</v>
      </c>
      <c r="AC2981" s="1" t="s">
        <v>130</v>
      </c>
      <c r="AD2981" s="1" t="s">
        <v>98</v>
      </c>
      <c r="AE2981" s="1" t="s">
        <v>98</v>
      </c>
      <c r="AF2981" s="1" t="s">
        <v>48250</v>
      </c>
      <c r="AG2981" s="1" t="s">
        <v>19653</v>
      </c>
      <c r="AH2981" s="1" t="s">
        <v>7331</v>
      </c>
      <c r="AI2981" s="1" t="s">
        <v>798</v>
      </c>
      <c r="AJ2981" s="1">
        <v>84.6</v>
      </c>
      <c r="AK2981" s="1"/>
      <c r="AL2981" s="1" t="s">
        <v>48250</v>
      </c>
      <c r="AM2981" s="1" t="s">
        <v>19653</v>
      </c>
      <c r="AN2981" s="1"/>
      <c r="AO2981" s="1" t="s">
        <v>3285</v>
      </c>
      <c r="AP2981" s="1" t="s">
        <v>337</v>
      </c>
      <c r="AQ2981" s="1">
        <v>74</v>
      </c>
      <c r="AR2981" s="1"/>
      <c r="AS2981" s="1"/>
      <c r="AT2981" s="1"/>
      <c r="AU2981" s="1"/>
      <c r="AV2981" s="1"/>
      <c r="AW2981" s="1"/>
      <c r="AX2981" s="1"/>
      <c r="AY2981" s="1" t="s">
        <v>48251</v>
      </c>
      <c r="AZ2981" s="1" t="s">
        <v>48252</v>
      </c>
      <c r="BA2981" s="1"/>
      <c r="BB2981" s="1"/>
      <c r="BC2981" s="1" t="s">
        <v>29187</v>
      </c>
      <c r="BD2981" s="1" t="s">
        <v>105</v>
      </c>
      <c r="BE2981" s="1">
        <v>67.9</v>
      </c>
      <c r="BF2981" s="1">
        <v>6.79</v>
      </c>
      <c r="BG2981" s="1"/>
      <c r="BH2981" s="1"/>
      <c r="BI2981" s="1"/>
      <c r="BJ2981" s="1"/>
      <c r="BK2981" s="1"/>
      <c r="BL2981" s="1"/>
      <c r="BM2981" s="1"/>
      <c r="BN2981" s="1"/>
      <c r="BO2981" s="1" t="s">
        <v>48253</v>
      </c>
      <c r="BP2981" s="1" t="s">
        <v>48254</v>
      </c>
      <c r="BQ2981" s="1" t="s">
        <v>9606</v>
      </c>
      <c r="BR2981" s="1"/>
      <c r="BS2981" s="1"/>
      <c r="BT2981" s="1"/>
      <c r="BU2981" s="1" t="str">
        <f>HYPERLINK("https://nconnect.nicmar.ac.in/storage/profile/ProfilePhoto_P2260013_632158.jpg","Download")</f>
        <v>0</v>
      </c>
      <c r="BV2981" s="3"/>
      <c r="BW2981" s="3"/>
    </row>
    <row r="2982" spans="1:75">
      <c r="A2982" s="1" t="s">
        <v>40756</v>
      </c>
      <c r="B2982" s="1" t="s">
        <v>48053</v>
      </c>
      <c r="C2982" s="1" t="s">
        <v>48255</v>
      </c>
      <c r="D2982" s="1" t="s">
        <v>1294</v>
      </c>
      <c r="E2982" s="1" t="s">
        <v>48256</v>
      </c>
      <c r="F2982" s="1" t="s">
        <v>48257</v>
      </c>
      <c r="G2982" s="1" t="s">
        <v>48258</v>
      </c>
      <c r="H2982" s="1" t="s">
        <v>48259</v>
      </c>
      <c r="I2982" s="1" t="s">
        <v>48260</v>
      </c>
      <c r="J2982" s="1">
        <v>9096332546</v>
      </c>
      <c r="K2982" s="1" t="s">
        <v>84</v>
      </c>
      <c r="L2982" s="1" t="s">
        <v>48261</v>
      </c>
      <c r="M2982" s="1" t="s">
        <v>86</v>
      </c>
      <c r="N2982" s="1" t="s">
        <v>618</v>
      </c>
      <c r="O2982" s="1"/>
      <c r="P2982" s="1" t="s">
        <v>455</v>
      </c>
      <c r="Q2982" s="1" t="s">
        <v>48262</v>
      </c>
      <c r="R2982" s="1" t="s">
        <v>48263</v>
      </c>
      <c r="S2982" s="1">
        <v>9096332546</v>
      </c>
      <c r="T2982" s="1" t="s">
        <v>3396</v>
      </c>
      <c r="U2982" s="1" t="s">
        <v>48264</v>
      </c>
      <c r="V2982" s="1">
        <v>9561529834</v>
      </c>
      <c r="W2982" s="1" t="s">
        <v>94</v>
      </c>
      <c r="X2982" s="1" t="s">
        <v>48265</v>
      </c>
      <c r="Y2982" s="1" t="s">
        <v>384</v>
      </c>
      <c r="Z2982" s="1" t="s">
        <v>97</v>
      </c>
      <c r="AA2982" s="1" t="s">
        <v>48265</v>
      </c>
      <c r="AB2982" s="1" t="s">
        <v>384</v>
      </c>
      <c r="AC2982" s="1" t="s">
        <v>97</v>
      </c>
      <c r="AD2982" s="1" t="s">
        <v>98</v>
      </c>
      <c r="AE2982" s="1" t="s">
        <v>98</v>
      </c>
      <c r="AF2982" s="1" t="s">
        <v>48266</v>
      </c>
      <c r="AG2982" s="1" t="s">
        <v>996</v>
      </c>
      <c r="AH2982" s="1" t="s">
        <v>1602</v>
      </c>
      <c r="AI2982" s="1" t="s">
        <v>2321</v>
      </c>
      <c r="AJ2982" s="1">
        <v>71.33</v>
      </c>
      <c r="AK2982" s="1"/>
      <c r="AL2982" s="1" t="s">
        <v>48266</v>
      </c>
      <c r="AM2982" s="1" t="s">
        <v>996</v>
      </c>
      <c r="AN2982" s="1"/>
      <c r="AO2982" s="1" t="s">
        <v>3112</v>
      </c>
      <c r="AP2982" s="1" t="s">
        <v>7331</v>
      </c>
      <c r="AQ2982" s="1">
        <v>60</v>
      </c>
      <c r="AR2982" s="1"/>
      <c r="AS2982" s="1"/>
      <c r="AT2982" s="1"/>
      <c r="AU2982" s="1"/>
      <c r="AV2982" s="1"/>
      <c r="AW2982" s="1"/>
      <c r="AX2982" s="1"/>
      <c r="AY2982" s="1" t="s">
        <v>340</v>
      </c>
      <c r="AZ2982" s="1" t="s">
        <v>48267</v>
      </c>
      <c r="BA2982" s="1"/>
      <c r="BB2982" s="1"/>
      <c r="BC2982" s="1" t="s">
        <v>7331</v>
      </c>
      <c r="BD2982" s="1" t="s">
        <v>48268</v>
      </c>
      <c r="BE2982" s="1">
        <v>68.46</v>
      </c>
      <c r="BF2982" s="1"/>
      <c r="BG2982" s="1"/>
      <c r="BH2982" s="1"/>
      <c r="BI2982" s="1"/>
      <c r="BJ2982" s="1"/>
      <c r="BK2982" s="1"/>
      <c r="BL2982" s="1"/>
      <c r="BM2982" s="1"/>
      <c r="BN2982" s="1"/>
      <c r="BO2982" s="1" t="s">
        <v>48269</v>
      </c>
      <c r="BP2982" s="1" t="s">
        <v>48270</v>
      </c>
      <c r="BQ2982" s="1" t="s">
        <v>48271</v>
      </c>
      <c r="BR2982" s="1"/>
      <c r="BS2982" s="1"/>
      <c r="BT2982" s="1"/>
      <c r="BU2982" s="1" t="str">
        <f>HYPERLINK("https://nconnect.nicmar.ac.in/storage/profile/2022-2023_P2260014_512768.jpg","Download")</f>
        <v>0</v>
      </c>
      <c r="BV2982" s="3"/>
      <c r="BW2982" s="3"/>
    </row>
    <row r="2983" spans="1:75">
      <c r="A2983" s="1" t="s">
        <v>40756</v>
      </c>
      <c r="B2983" s="1" t="s">
        <v>48053</v>
      </c>
      <c r="C2983" s="1" t="s">
        <v>48272</v>
      </c>
      <c r="D2983" s="1" t="s">
        <v>43106</v>
      </c>
      <c r="E2983" s="1"/>
      <c r="F2983" s="1" t="s">
        <v>48273</v>
      </c>
      <c r="G2983" s="1" t="s">
        <v>48274</v>
      </c>
      <c r="H2983" s="1" t="s">
        <v>48275</v>
      </c>
      <c r="I2983" s="1" t="s">
        <v>48276</v>
      </c>
      <c r="J2983" s="1">
        <v>8606398860</v>
      </c>
      <c r="K2983" s="1" t="s">
        <v>84</v>
      </c>
      <c r="L2983" s="1" t="s">
        <v>48277</v>
      </c>
      <c r="M2983" s="1" t="s">
        <v>86</v>
      </c>
      <c r="N2983" s="1" t="s">
        <v>26958</v>
      </c>
      <c r="O2983" s="1"/>
      <c r="P2983" s="1" t="s">
        <v>455</v>
      </c>
      <c r="Q2983" s="1" t="s">
        <v>48278</v>
      </c>
      <c r="R2983" s="1" t="s">
        <v>48279</v>
      </c>
      <c r="S2983" s="1">
        <v>9446755117</v>
      </c>
      <c r="T2983" s="1" t="s">
        <v>839</v>
      </c>
      <c r="U2983" s="1" t="s">
        <v>48280</v>
      </c>
      <c r="V2983" s="1">
        <v>9446963883</v>
      </c>
      <c r="W2983" s="1" t="s">
        <v>278</v>
      </c>
      <c r="X2983" s="1" t="s">
        <v>48281</v>
      </c>
      <c r="Y2983" s="1" t="s">
        <v>1283</v>
      </c>
      <c r="Z2983" s="1" t="s">
        <v>130</v>
      </c>
      <c r="AA2983" s="1" t="s">
        <v>48282</v>
      </c>
      <c r="AB2983" s="1" t="s">
        <v>2526</v>
      </c>
      <c r="AC2983" s="1" t="s">
        <v>130</v>
      </c>
      <c r="AD2983" s="1" t="s">
        <v>98</v>
      </c>
      <c r="AE2983" s="1" t="s">
        <v>98</v>
      </c>
      <c r="AF2983" s="1" t="s">
        <v>48283</v>
      </c>
      <c r="AG2983" s="1" t="s">
        <v>48284</v>
      </c>
      <c r="AH2983" s="1" t="s">
        <v>1213</v>
      </c>
      <c r="AI2983" s="1" t="s">
        <v>515</v>
      </c>
      <c r="AJ2983" s="1">
        <v>85.5</v>
      </c>
      <c r="AK2983" s="1">
        <v>9</v>
      </c>
      <c r="AL2983" s="1" t="s">
        <v>48285</v>
      </c>
      <c r="AM2983" s="1" t="s">
        <v>48284</v>
      </c>
      <c r="AN2983" s="1"/>
      <c r="AO2983" s="1" t="s">
        <v>166</v>
      </c>
      <c r="AP2983" s="1" t="s">
        <v>1111</v>
      </c>
      <c r="AQ2983" s="1">
        <v>89.5</v>
      </c>
      <c r="AR2983" s="1">
        <v>0</v>
      </c>
      <c r="AS2983" s="1"/>
      <c r="AT2983" s="1"/>
      <c r="AU2983" s="1"/>
      <c r="AV2983" s="1"/>
      <c r="AW2983" s="1"/>
      <c r="AX2983" s="1"/>
      <c r="AY2983" s="1" t="s">
        <v>137</v>
      </c>
      <c r="AZ2983" s="1" t="s">
        <v>48286</v>
      </c>
      <c r="BA2983" s="1"/>
      <c r="BB2983" s="1"/>
      <c r="BC2983" s="1" t="s">
        <v>139</v>
      </c>
      <c r="BD2983" s="1" t="s">
        <v>1040</v>
      </c>
      <c r="BE2983" s="1">
        <v>73.15</v>
      </c>
      <c r="BF2983" s="1">
        <v>7.69</v>
      </c>
      <c r="BG2983" s="1"/>
      <c r="BH2983" s="1"/>
      <c r="BI2983" s="1"/>
      <c r="BJ2983" s="1"/>
      <c r="BK2983" s="1"/>
      <c r="BL2983" s="1"/>
      <c r="BM2983" s="1"/>
      <c r="BN2983" s="1"/>
      <c r="BO2983" s="1" t="s">
        <v>48287</v>
      </c>
      <c r="BP2983" s="1" t="s">
        <v>48288</v>
      </c>
      <c r="BQ2983" s="1" t="s">
        <v>893</v>
      </c>
      <c r="BR2983" s="1" t="s">
        <v>48289</v>
      </c>
      <c r="BS2983" s="1">
        <v>1</v>
      </c>
      <c r="BT2983" s="1"/>
      <c r="BU2983" s="1" t="str">
        <f>HYPERLINK("https://nconnect.nicmar.ac.in/storage/profile/ProfilePhoto_P2260015_352189.jpg","Download")</f>
        <v>0</v>
      </c>
      <c r="BV2983" s="3"/>
      <c r="BW2983" s="3"/>
    </row>
    <row r="2984" spans="1:75">
      <c r="A2984" s="1" t="s">
        <v>40756</v>
      </c>
      <c r="B2984" s="1" t="s">
        <v>48053</v>
      </c>
      <c r="C2984" s="1" t="s">
        <v>48290</v>
      </c>
      <c r="D2984" s="1" t="s">
        <v>48291</v>
      </c>
      <c r="E2984" s="1" t="s">
        <v>5753</v>
      </c>
      <c r="F2984" s="1" t="s">
        <v>3101</v>
      </c>
      <c r="G2984" s="1" t="s">
        <v>48292</v>
      </c>
      <c r="H2984" s="1" t="s">
        <v>48293</v>
      </c>
      <c r="I2984" s="1" t="s">
        <v>48294</v>
      </c>
      <c r="J2984" s="1">
        <v>8424979922</v>
      </c>
      <c r="K2984" s="1" t="s">
        <v>84</v>
      </c>
      <c r="L2984" s="1" t="s">
        <v>27550</v>
      </c>
      <c r="M2984" s="1" t="s">
        <v>86</v>
      </c>
      <c r="N2984" s="1" t="s">
        <v>2433</v>
      </c>
      <c r="O2984" s="1"/>
      <c r="P2984" s="1" t="s">
        <v>507</v>
      </c>
      <c r="Q2984" s="1" t="s">
        <v>48295</v>
      </c>
      <c r="R2984" s="1" t="s">
        <v>5753</v>
      </c>
      <c r="S2984" s="1">
        <v>9819413639</v>
      </c>
      <c r="T2984" s="1" t="s">
        <v>645</v>
      </c>
      <c r="U2984" s="1" t="s">
        <v>9377</v>
      </c>
      <c r="V2984" s="1">
        <v>9833961623</v>
      </c>
      <c r="W2984" s="1" t="s">
        <v>645</v>
      </c>
      <c r="X2984" s="1" t="s">
        <v>48296</v>
      </c>
      <c r="Y2984" s="1" t="s">
        <v>2259</v>
      </c>
      <c r="Z2984" s="1" t="s">
        <v>97</v>
      </c>
      <c r="AA2984" s="1" t="s">
        <v>48296</v>
      </c>
      <c r="AB2984" s="1" t="s">
        <v>2259</v>
      </c>
      <c r="AC2984" s="1" t="s">
        <v>97</v>
      </c>
      <c r="AD2984" s="1" t="s">
        <v>98</v>
      </c>
      <c r="AE2984" s="1" t="s">
        <v>98</v>
      </c>
      <c r="AF2984" s="1" t="s">
        <v>48297</v>
      </c>
      <c r="AG2984" s="1" t="s">
        <v>6668</v>
      </c>
      <c r="AH2984" s="1" t="s">
        <v>1213</v>
      </c>
      <c r="AI2984" s="1" t="s">
        <v>515</v>
      </c>
      <c r="AJ2984" s="1">
        <v>86.17</v>
      </c>
      <c r="AK2984" s="1"/>
      <c r="AL2984" s="1" t="s">
        <v>42935</v>
      </c>
      <c r="AM2984" s="1" t="s">
        <v>11321</v>
      </c>
      <c r="AN2984" s="1"/>
      <c r="AO2984" s="1" t="s">
        <v>166</v>
      </c>
      <c r="AP2984" s="1" t="s">
        <v>517</v>
      </c>
      <c r="AQ2984" s="1">
        <v>64.46</v>
      </c>
      <c r="AR2984" s="1"/>
      <c r="AS2984" s="1"/>
      <c r="AT2984" s="1"/>
      <c r="AU2984" s="1"/>
      <c r="AV2984" s="1"/>
      <c r="AW2984" s="1"/>
      <c r="AX2984" s="1"/>
      <c r="AY2984" s="1" t="s">
        <v>680</v>
      </c>
      <c r="AZ2984" s="1" t="s">
        <v>10112</v>
      </c>
      <c r="BA2984" s="1"/>
      <c r="BB2984" s="1"/>
      <c r="BC2984" s="1" t="s">
        <v>139</v>
      </c>
      <c r="BD2984" s="1" t="s">
        <v>1647</v>
      </c>
      <c r="BE2984" s="1">
        <v>64.84</v>
      </c>
      <c r="BF2984" s="1">
        <v>7.14</v>
      </c>
      <c r="BG2984" s="1"/>
      <c r="BH2984" s="1"/>
      <c r="BI2984" s="1"/>
      <c r="BJ2984" s="1"/>
      <c r="BK2984" s="1"/>
      <c r="BL2984" s="1"/>
      <c r="BM2984" s="1"/>
      <c r="BN2984" s="1"/>
      <c r="BO2984" s="1" t="s">
        <v>369</v>
      </c>
      <c r="BP2984" s="1"/>
      <c r="BQ2984" s="1"/>
      <c r="BR2984" s="1" t="s">
        <v>48298</v>
      </c>
      <c r="BS2984" s="1">
        <v>4</v>
      </c>
      <c r="BT2984" s="1"/>
      <c r="BU2984" s="1" t="str">
        <f>HYPERLINK("https://nconnect.nicmar.ac.in/storage/profile/ProfilePhoto_P2260016_159367.jpg","Download")</f>
        <v>0</v>
      </c>
      <c r="BV2984" s="3"/>
      <c r="BW2984" s="3"/>
    </row>
    <row r="2985" spans="1:75">
      <c r="A2985" s="1" t="s">
        <v>40756</v>
      </c>
      <c r="B2985" s="1" t="s">
        <v>48053</v>
      </c>
      <c r="C2985" s="1" t="s">
        <v>48299</v>
      </c>
      <c r="D2985" s="1" t="s">
        <v>2829</v>
      </c>
      <c r="E2985" s="1" t="s">
        <v>5842</v>
      </c>
      <c r="F2985" s="1" t="s">
        <v>48300</v>
      </c>
      <c r="G2985" s="1" t="s">
        <v>48301</v>
      </c>
      <c r="H2985" s="1" t="s">
        <v>48302</v>
      </c>
      <c r="I2985" s="1" t="s">
        <v>48303</v>
      </c>
      <c r="J2985" s="1">
        <v>9595526880</v>
      </c>
      <c r="K2985" s="1" t="s">
        <v>84</v>
      </c>
      <c r="L2985" s="1" t="s">
        <v>32248</v>
      </c>
      <c r="M2985" s="1" t="s">
        <v>86</v>
      </c>
      <c r="N2985" s="1" t="s">
        <v>618</v>
      </c>
      <c r="O2985" s="1"/>
      <c r="P2985" s="1" t="s">
        <v>455</v>
      </c>
      <c r="Q2985" s="1" t="s">
        <v>48304</v>
      </c>
      <c r="R2985" s="1" t="s">
        <v>5842</v>
      </c>
      <c r="S2985" s="1">
        <v>9527343272</v>
      </c>
      <c r="T2985" s="1" t="s">
        <v>159</v>
      </c>
      <c r="U2985" s="1" t="s">
        <v>2435</v>
      </c>
      <c r="V2985" s="1">
        <v>8975100936</v>
      </c>
      <c r="W2985" s="1" t="s">
        <v>161</v>
      </c>
      <c r="X2985" s="1" t="s">
        <v>48305</v>
      </c>
      <c r="Y2985" s="1" t="s">
        <v>410</v>
      </c>
      <c r="Z2985" s="1" t="s">
        <v>97</v>
      </c>
      <c r="AA2985" s="1" t="s">
        <v>48305</v>
      </c>
      <c r="AB2985" s="1" t="s">
        <v>410</v>
      </c>
      <c r="AC2985" s="1" t="s">
        <v>97</v>
      </c>
      <c r="AD2985" s="1" t="s">
        <v>98</v>
      </c>
      <c r="AE2985" s="1" t="s">
        <v>98</v>
      </c>
      <c r="AF2985" s="1" t="s">
        <v>48306</v>
      </c>
      <c r="AG2985" s="1" t="s">
        <v>775</v>
      </c>
      <c r="AH2985" s="1" t="s">
        <v>101</v>
      </c>
      <c r="AI2985" s="1" t="s">
        <v>136</v>
      </c>
      <c r="AJ2985" s="1">
        <v>66.5</v>
      </c>
      <c r="AK2985" s="1">
        <v>7</v>
      </c>
      <c r="AL2985" s="1" t="s">
        <v>48307</v>
      </c>
      <c r="AM2985" s="1" t="s">
        <v>165</v>
      </c>
      <c r="AN2985" s="1"/>
      <c r="AO2985" s="1" t="s">
        <v>166</v>
      </c>
      <c r="AP2985" s="1" t="s">
        <v>573</v>
      </c>
      <c r="AQ2985" s="1">
        <v>58</v>
      </c>
      <c r="AR2985" s="1">
        <v>0</v>
      </c>
      <c r="AS2985" s="1" t="s">
        <v>103</v>
      </c>
      <c r="AT2985" s="1" t="s">
        <v>48308</v>
      </c>
      <c r="AU2985" s="1" t="s">
        <v>230</v>
      </c>
      <c r="AV2985" s="1" t="s">
        <v>438</v>
      </c>
      <c r="AW2985" s="1">
        <v>70.06</v>
      </c>
      <c r="AX2985" s="1">
        <v>0</v>
      </c>
      <c r="AY2985" s="1" t="s">
        <v>340</v>
      </c>
      <c r="AZ2985" s="1" t="s">
        <v>48309</v>
      </c>
      <c r="BA2985" s="1"/>
      <c r="BB2985" s="1"/>
      <c r="BC2985" s="1" t="s">
        <v>109</v>
      </c>
      <c r="BD2985" s="1" t="s">
        <v>1400</v>
      </c>
      <c r="BE2985" s="1">
        <v>80.81</v>
      </c>
      <c r="BF2985" s="1">
        <v>9.45</v>
      </c>
      <c r="BG2985" s="1"/>
      <c r="BH2985" s="1"/>
      <c r="BI2985" s="1"/>
      <c r="BJ2985" s="1"/>
      <c r="BK2985" s="1"/>
      <c r="BL2985" s="1"/>
      <c r="BM2985" s="1"/>
      <c r="BN2985" s="1"/>
      <c r="BO2985" s="1" t="s">
        <v>260</v>
      </c>
      <c r="BP2985" s="1"/>
      <c r="BQ2985" s="1"/>
      <c r="BR2985" s="1"/>
      <c r="BS2985" s="1"/>
      <c r="BT2985" s="1"/>
      <c r="BU2985" s="1" t="str">
        <f>HYPERLINK("https://nconnect.nicmar.ac.in/storage/profile/2022-2023_P2260017_834795.jpg","Download")</f>
        <v>0</v>
      </c>
      <c r="BV2985" s="3"/>
      <c r="BW2985" s="3"/>
    </row>
    <row r="2986" spans="1:75">
      <c r="A2986" s="1" t="s">
        <v>40756</v>
      </c>
      <c r="B2986" s="1" t="s">
        <v>48053</v>
      </c>
      <c r="C2986" s="1" t="s">
        <v>48310</v>
      </c>
      <c r="D2986" s="1" t="s">
        <v>48311</v>
      </c>
      <c r="E2986" s="1"/>
      <c r="F2986" s="1" t="s">
        <v>48312</v>
      </c>
      <c r="G2986" s="1" t="s">
        <v>48313</v>
      </c>
      <c r="H2986" s="1" t="s">
        <v>48314</v>
      </c>
      <c r="I2986" s="1" t="s">
        <v>48315</v>
      </c>
      <c r="J2986" s="1">
        <v>8098093606</v>
      </c>
      <c r="K2986" s="1" t="s">
        <v>84</v>
      </c>
      <c r="L2986" s="1" t="s">
        <v>48316</v>
      </c>
      <c r="M2986" s="1" t="s">
        <v>86</v>
      </c>
      <c r="N2986" s="1" t="s">
        <v>1492</v>
      </c>
      <c r="O2986" s="1"/>
      <c r="P2986" s="1" t="s">
        <v>481</v>
      </c>
      <c r="Q2986" s="1" t="s">
        <v>48317</v>
      </c>
      <c r="R2986" s="1" t="s">
        <v>48318</v>
      </c>
      <c r="S2986" s="1">
        <v>9787126937</v>
      </c>
      <c r="T2986" s="1" t="s">
        <v>48319</v>
      </c>
      <c r="U2986" s="1" t="s">
        <v>48320</v>
      </c>
      <c r="V2986" s="1">
        <v>7598457759</v>
      </c>
      <c r="W2986" s="1" t="s">
        <v>541</v>
      </c>
      <c r="X2986" s="1" t="s">
        <v>48321</v>
      </c>
      <c r="Y2986" s="1" t="s">
        <v>20593</v>
      </c>
      <c r="Z2986" s="1" t="s">
        <v>570</v>
      </c>
      <c r="AA2986" s="1" t="s">
        <v>48321</v>
      </c>
      <c r="AB2986" s="1" t="s">
        <v>20593</v>
      </c>
      <c r="AC2986" s="1" t="s">
        <v>570</v>
      </c>
      <c r="AD2986" s="1" t="s">
        <v>98</v>
      </c>
      <c r="AE2986" s="1" t="s">
        <v>98</v>
      </c>
      <c r="AF2986" s="1" t="s">
        <v>48322</v>
      </c>
      <c r="AG2986" s="1" t="s">
        <v>48323</v>
      </c>
      <c r="AH2986" s="1" t="s">
        <v>101</v>
      </c>
      <c r="AI2986" s="1" t="s">
        <v>102</v>
      </c>
      <c r="AJ2986" s="1">
        <v>93.8</v>
      </c>
      <c r="AK2986" s="1">
        <v>0</v>
      </c>
      <c r="AL2986" s="1" t="s">
        <v>48324</v>
      </c>
      <c r="AM2986" s="1" t="s">
        <v>48325</v>
      </c>
      <c r="AN2986" s="1"/>
      <c r="AO2986" s="1" t="s">
        <v>167</v>
      </c>
      <c r="AP2986" s="1" t="s">
        <v>573</v>
      </c>
      <c r="AQ2986" s="1">
        <v>80.42</v>
      </c>
      <c r="AR2986" s="1">
        <v>0</v>
      </c>
      <c r="AS2986" s="1"/>
      <c r="AT2986" s="1"/>
      <c r="AU2986" s="1"/>
      <c r="AV2986" s="1"/>
      <c r="AW2986" s="1"/>
      <c r="AX2986" s="1"/>
      <c r="AY2986" s="1" t="s">
        <v>576</v>
      </c>
      <c r="AZ2986" s="1" t="s">
        <v>48326</v>
      </c>
      <c r="BA2986" s="1"/>
      <c r="BB2986" s="1"/>
      <c r="BC2986" s="1" t="s">
        <v>230</v>
      </c>
      <c r="BD2986" s="1" t="s">
        <v>847</v>
      </c>
      <c r="BE2986" s="1">
        <v>75</v>
      </c>
      <c r="BF2986" s="1">
        <v>7.49</v>
      </c>
      <c r="BG2986" s="1"/>
      <c r="BH2986" s="1"/>
      <c r="BI2986" s="1"/>
      <c r="BJ2986" s="1"/>
      <c r="BK2986" s="1"/>
      <c r="BL2986" s="1"/>
      <c r="BM2986" s="1"/>
      <c r="BN2986" s="1"/>
      <c r="BO2986" s="1" t="s">
        <v>1114</v>
      </c>
      <c r="BP2986" s="1" t="s">
        <v>48327</v>
      </c>
      <c r="BQ2986" s="1" t="s">
        <v>2245</v>
      </c>
      <c r="BR2986" s="1"/>
      <c r="BS2986" s="1"/>
      <c r="BT2986" s="1"/>
      <c r="BU2986" s="1" t="str">
        <f>HYPERLINK("https://nconnect.nicmar.ac.in/storage/profile/2022-2023_P2260018_258149.jpg","Download")</f>
        <v>0</v>
      </c>
      <c r="BV2986" s="3"/>
      <c r="BW2986" s="3"/>
    </row>
    <row r="2987" spans="1:75">
      <c r="A2987" s="1" t="s">
        <v>40756</v>
      </c>
      <c r="B2987" s="1" t="s">
        <v>48053</v>
      </c>
      <c r="C2987" s="1" t="s">
        <v>48328</v>
      </c>
      <c r="D2987" s="1" t="s">
        <v>48329</v>
      </c>
      <c r="E2987" s="1" t="s">
        <v>48330</v>
      </c>
      <c r="F2987" s="1" t="s">
        <v>34553</v>
      </c>
      <c r="G2987" s="1" t="s">
        <v>48331</v>
      </c>
      <c r="H2987" s="1" t="s">
        <v>48332</v>
      </c>
      <c r="I2987" s="1" t="s">
        <v>48333</v>
      </c>
      <c r="J2987" s="1">
        <v>7875835585</v>
      </c>
      <c r="K2987" s="1" t="s">
        <v>153</v>
      </c>
      <c r="L2987" s="1" t="s">
        <v>48334</v>
      </c>
      <c r="M2987" s="1" t="s">
        <v>86</v>
      </c>
      <c r="N2987" s="1" t="s">
        <v>48335</v>
      </c>
      <c r="O2987" s="1"/>
      <c r="P2987" s="1" t="s">
        <v>455</v>
      </c>
      <c r="Q2987" s="1" t="s">
        <v>48336</v>
      </c>
      <c r="R2987" s="1" t="s">
        <v>48337</v>
      </c>
      <c r="S2987" s="1">
        <v>9673098213</v>
      </c>
      <c r="T2987" s="1" t="s">
        <v>839</v>
      </c>
      <c r="U2987" s="1" t="s">
        <v>48338</v>
      </c>
      <c r="V2987" s="1">
        <v>7767977858</v>
      </c>
      <c r="W2987" s="1" t="s">
        <v>94</v>
      </c>
      <c r="X2987" s="1" t="s">
        <v>48339</v>
      </c>
      <c r="Y2987" s="1" t="s">
        <v>196</v>
      </c>
      <c r="Z2987" s="1" t="s">
        <v>97</v>
      </c>
      <c r="AA2987" s="1" t="s">
        <v>48339</v>
      </c>
      <c r="AB2987" s="1" t="s">
        <v>196</v>
      </c>
      <c r="AC2987" s="1" t="s">
        <v>97</v>
      </c>
      <c r="AD2987" s="1" t="s">
        <v>98</v>
      </c>
      <c r="AE2987" s="1" t="s">
        <v>98</v>
      </c>
      <c r="AF2987" s="1" t="s">
        <v>48340</v>
      </c>
      <c r="AG2987" s="1" t="s">
        <v>48341</v>
      </c>
      <c r="AH2987" s="1" t="s">
        <v>48342</v>
      </c>
      <c r="AI2987" s="1" t="s">
        <v>3965</v>
      </c>
      <c r="AJ2987" s="1">
        <v>85.85</v>
      </c>
      <c r="AK2987" s="1"/>
      <c r="AL2987" s="1" t="s">
        <v>48343</v>
      </c>
      <c r="AM2987" s="1" t="s">
        <v>48341</v>
      </c>
      <c r="AN2987" s="1"/>
      <c r="AO2987" s="1" t="s">
        <v>133</v>
      </c>
      <c r="AP2987" s="1" t="s">
        <v>101</v>
      </c>
      <c r="AQ2987" s="1">
        <v>70.31</v>
      </c>
      <c r="AR2987" s="1"/>
      <c r="AS2987" s="1"/>
      <c r="AT2987" s="1"/>
      <c r="AU2987" s="1"/>
      <c r="AV2987" s="1"/>
      <c r="AW2987" s="1"/>
      <c r="AX2987" s="1"/>
      <c r="AY2987" s="1" t="s">
        <v>366</v>
      </c>
      <c r="AZ2987" s="1" t="s">
        <v>48344</v>
      </c>
      <c r="BA2987" s="1"/>
      <c r="BB2987" s="1"/>
      <c r="BC2987" s="1" t="s">
        <v>101</v>
      </c>
      <c r="BD2987" s="1" t="s">
        <v>174</v>
      </c>
      <c r="BE2987" s="1">
        <v>75.46</v>
      </c>
      <c r="BF2987" s="1"/>
      <c r="BG2987" s="1"/>
      <c r="BH2987" s="1"/>
      <c r="BI2987" s="1"/>
      <c r="BJ2987" s="1"/>
      <c r="BK2987" s="1"/>
      <c r="BL2987" s="1"/>
      <c r="BM2987" s="1"/>
      <c r="BN2987" s="1"/>
      <c r="BO2987" s="1" t="s">
        <v>48345</v>
      </c>
      <c r="BP2987" s="1" t="s">
        <v>48346</v>
      </c>
      <c r="BQ2987" s="1" t="s">
        <v>524</v>
      </c>
      <c r="BR2987" s="1"/>
      <c r="BS2987" s="1"/>
      <c r="BT2987" s="1"/>
      <c r="BU2987" s="1" t="str">
        <f>HYPERLINK("https://nconnect.nicmar.ac.in/storage/profile/2022-2023_P2260020_481536.jpg","Download")</f>
        <v>0</v>
      </c>
      <c r="BV2987" s="3"/>
      <c r="BW2987" s="3"/>
    </row>
    <row r="2988" spans="1:75">
      <c r="A2988" s="1" t="s">
        <v>40756</v>
      </c>
      <c r="B2988" s="1" t="s">
        <v>48053</v>
      </c>
      <c r="C2988" s="1" t="s">
        <v>48347</v>
      </c>
      <c r="D2988" s="1" t="s">
        <v>3042</v>
      </c>
      <c r="E2988" s="1" t="s">
        <v>28028</v>
      </c>
      <c r="F2988" s="1" t="s">
        <v>47287</v>
      </c>
      <c r="G2988" s="1" t="s">
        <v>48348</v>
      </c>
      <c r="H2988" s="1" t="s">
        <v>48349</v>
      </c>
      <c r="I2988" s="1" t="s">
        <v>48350</v>
      </c>
      <c r="J2988" s="1">
        <v>9130274361</v>
      </c>
      <c r="K2988" s="1" t="s">
        <v>84</v>
      </c>
      <c r="L2988" s="1" t="s">
        <v>48351</v>
      </c>
      <c r="M2988" s="1" t="s">
        <v>86</v>
      </c>
      <c r="N2988" s="1" t="s">
        <v>48352</v>
      </c>
      <c r="O2988" s="1"/>
      <c r="P2988" s="1"/>
      <c r="Q2988" s="1" t="s">
        <v>48353</v>
      </c>
      <c r="R2988" s="1" t="s">
        <v>28028</v>
      </c>
      <c r="S2988" s="1">
        <v>9011985170</v>
      </c>
      <c r="T2988" s="1" t="s">
        <v>159</v>
      </c>
      <c r="U2988" s="1" t="s">
        <v>34147</v>
      </c>
      <c r="V2988" s="1">
        <v>9011985170</v>
      </c>
      <c r="W2988" s="1" t="s">
        <v>278</v>
      </c>
      <c r="X2988" s="1" t="s">
        <v>48354</v>
      </c>
      <c r="Y2988" s="1" t="s">
        <v>5181</v>
      </c>
      <c r="Z2988" s="1" t="s">
        <v>97</v>
      </c>
      <c r="AA2988" s="1" t="s">
        <v>48354</v>
      </c>
      <c r="AB2988" s="1" t="s">
        <v>5181</v>
      </c>
      <c r="AC2988" s="1" t="s">
        <v>97</v>
      </c>
      <c r="AD2988" s="1" t="s">
        <v>98</v>
      </c>
      <c r="AE2988" s="1" t="s">
        <v>98</v>
      </c>
      <c r="AF2988" s="1" t="s">
        <v>48355</v>
      </c>
      <c r="AG2988" s="1" t="s">
        <v>48356</v>
      </c>
      <c r="AH2988" s="1" t="s">
        <v>3285</v>
      </c>
      <c r="AI2988" s="1" t="s">
        <v>133</v>
      </c>
      <c r="AJ2988" s="1">
        <v>66.18</v>
      </c>
      <c r="AK2988" s="1"/>
      <c r="AL2988" s="1" t="s">
        <v>48357</v>
      </c>
      <c r="AM2988" s="1" t="s">
        <v>48356</v>
      </c>
      <c r="AN2988" s="1"/>
      <c r="AO2988" s="1" t="s">
        <v>1583</v>
      </c>
      <c r="AP2988" s="1" t="s">
        <v>101</v>
      </c>
      <c r="AQ2988" s="1">
        <v>55.54</v>
      </c>
      <c r="AR2988" s="1"/>
      <c r="AS2988" s="1" t="s">
        <v>439</v>
      </c>
      <c r="AT2988" s="1" t="s">
        <v>48358</v>
      </c>
      <c r="AU2988" s="1" t="s">
        <v>342</v>
      </c>
      <c r="AV2988" s="1" t="s">
        <v>170</v>
      </c>
      <c r="AW2988" s="1">
        <v>73.76</v>
      </c>
      <c r="AX2988" s="1"/>
      <c r="AY2988" s="1" t="s">
        <v>2286</v>
      </c>
      <c r="AZ2988" s="1" t="s">
        <v>48359</v>
      </c>
      <c r="BA2988" s="1"/>
      <c r="BB2988" s="1"/>
      <c r="BC2988" s="1" t="s">
        <v>230</v>
      </c>
      <c r="BD2988" s="1" t="s">
        <v>417</v>
      </c>
      <c r="BE2988" s="1">
        <v>62.83</v>
      </c>
      <c r="BF2988" s="1"/>
      <c r="BG2988" s="1"/>
      <c r="BH2988" s="1"/>
      <c r="BI2988" s="1"/>
      <c r="BJ2988" s="1"/>
      <c r="BK2988" s="1"/>
      <c r="BL2988" s="1"/>
      <c r="BM2988" s="1"/>
      <c r="BN2988" s="1"/>
      <c r="BO2988" s="1" t="s">
        <v>369</v>
      </c>
      <c r="BP2988" s="1"/>
      <c r="BQ2988" s="1"/>
      <c r="BR2988" s="1"/>
      <c r="BS2988" s="1"/>
      <c r="BT2988" s="1"/>
      <c r="BU2988" s="1" t="str">
        <f>HYPERLINK("https://nconnect.nicmar.ac.in/storage/profile/2022-2023_P2260021_918267.jpg","Download")</f>
        <v>0</v>
      </c>
      <c r="BV2988" s="3"/>
      <c r="BW2988" s="3"/>
    </row>
    <row r="2989" spans="1:75">
      <c r="A2989" s="1" t="s">
        <v>40756</v>
      </c>
      <c r="B2989" s="1" t="s">
        <v>48053</v>
      </c>
      <c r="C2989" s="1" t="s">
        <v>48360</v>
      </c>
      <c r="D2989" s="1" t="s">
        <v>48361</v>
      </c>
      <c r="E2989" s="1" t="s">
        <v>116</v>
      </c>
      <c r="F2989" s="1" t="s">
        <v>48362</v>
      </c>
      <c r="G2989" s="1" t="s">
        <v>48363</v>
      </c>
      <c r="H2989" s="1" t="s">
        <v>48364</v>
      </c>
      <c r="I2989" s="1" t="s">
        <v>48365</v>
      </c>
      <c r="J2989" s="1">
        <v>7902260992</v>
      </c>
      <c r="K2989" s="1" t="s">
        <v>153</v>
      </c>
      <c r="L2989" s="1" t="s">
        <v>48366</v>
      </c>
      <c r="M2989" s="1" t="s">
        <v>86</v>
      </c>
      <c r="N2989" s="1" t="s">
        <v>48367</v>
      </c>
      <c r="O2989" s="1"/>
      <c r="P2989" s="1" t="s">
        <v>481</v>
      </c>
      <c r="Q2989" s="1" t="s">
        <v>48368</v>
      </c>
      <c r="R2989" s="1" t="s">
        <v>48369</v>
      </c>
      <c r="S2989" s="1">
        <v>9961605345</v>
      </c>
      <c r="T2989" s="1" t="s">
        <v>5507</v>
      </c>
      <c r="U2989" s="1" t="s">
        <v>48370</v>
      </c>
      <c r="V2989" s="1">
        <v>9961605345</v>
      </c>
      <c r="W2989" s="1" t="s">
        <v>5507</v>
      </c>
      <c r="X2989" s="1" t="s">
        <v>48371</v>
      </c>
      <c r="Y2989" s="1" t="s">
        <v>19921</v>
      </c>
      <c r="Z2989" s="1" t="s">
        <v>130</v>
      </c>
      <c r="AA2989" s="1" t="s">
        <v>48371</v>
      </c>
      <c r="AB2989" s="1" t="s">
        <v>19921</v>
      </c>
      <c r="AC2989" s="1" t="s">
        <v>130</v>
      </c>
      <c r="AD2989" s="1" t="s">
        <v>98</v>
      </c>
      <c r="AE2989" s="1" t="s">
        <v>98</v>
      </c>
      <c r="AF2989" s="1" t="s">
        <v>48372</v>
      </c>
      <c r="AG2989" s="1" t="s">
        <v>48373</v>
      </c>
      <c r="AH2989" s="1" t="s">
        <v>1213</v>
      </c>
      <c r="AI2989" s="1" t="s">
        <v>1262</v>
      </c>
      <c r="AJ2989" s="1">
        <v>91.2</v>
      </c>
      <c r="AK2989" s="1">
        <v>9.6</v>
      </c>
      <c r="AL2989" s="1" t="s">
        <v>48374</v>
      </c>
      <c r="AM2989" s="1" t="s">
        <v>48375</v>
      </c>
      <c r="AN2989" s="1"/>
      <c r="AO2989" s="1" t="s">
        <v>166</v>
      </c>
      <c r="AP2989" s="1" t="s">
        <v>627</v>
      </c>
      <c r="AQ2989" s="1">
        <v>91</v>
      </c>
      <c r="AR2989" s="1"/>
      <c r="AS2989" s="1"/>
      <c r="AT2989" s="1"/>
      <c r="AU2989" s="1"/>
      <c r="AV2989" s="1"/>
      <c r="AW2989" s="1"/>
      <c r="AX2989" s="1"/>
      <c r="AY2989" s="1" t="s">
        <v>137</v>
      </c>
      <c r="AZ2989" s="1" t="s">
        <v>48376</v>
      </c>
      <c r="BA2989" s="1"/>
      <c r="BB2989" s="1"/>
      <c r="BC2989" s="1" t="s">
        <v>139</v>
      </c>
      <c r="BD2989" s="1" t="s">
        <v>1647</v>
      </c>
      <c r="BE2989" s="1">
        <v>81.85</v>
      </c>
      <c r="BF2989" s="1">
        <v>8.56</v>
      </c>
      <c r="BG2989" s="1"/>
      <c r="BH2989" s="1"/>
      <c r="BI2989" s="1"/>
      <c r="BJ2989" s="1"/>
      <c r="BK2989" s="1"/>
      <c r="BL2989" s="1"/>
      <c r="BM2989" s="1"/>
      <c r="BN2989" s="1"/>
      <c r="BO2989" s="1" t="s">
        <v>48377</v>
      </c>
      <c r="BP2989" s="1"/>
      <c r="BQ2989" s="1"/>
      <c r="BR2989" s="1"/>
      <c r="BS2989" s="1"/>
      <c r="BT2989" s="1"/>
      <c r="BU2989" s="1" t="str">
        <f>HYPERLINK("https://nconnect.nicmar.ac.in/storage/profile/2022-2023_P2260022_265934.jpg","Download")</f>
        <v>0</v>
      </c>
      <c r="BV2989" s="3"/>
      <c r="BW2989" s="3"/>
    </row>
    <row r="2990" spans="1:75">
      <c r="A2990" s="1" t="s">
        <v>40756</v>
      </c>
      <c r="B2990" s="1" t="s">
        <v>48053</v>
      </c>
      <c r="C2990" s="1" t="s">
        <v>48378</v>
      </c>
      <c r="D2990" s="1" t="s">
        <v>13668</v>
      </c>
      <c r="E2990" s="1" t="s">
        <v>19350</v>
      </c>
      <c r="F2990" s="1" t="s">
        <v>13015</v>
      </c>
      <c r="G2990" s="1" t="s">
        <v>48379</v>
      </c>
      <c r="H2990" s="1" t="s">
        <v>48380</v>
      </c>
      <c r="I2990" s="1" t="s">
        <v>48381</v>
      </c>
      <c r="J2990" s="1">
        <v>8928810699</v>
      </c>
      <c r="K2990" s="1" t="s">
        <v>84</v>
      </c>
      <c r="L2990" s="1" t="s">
        <v>48382</v>
      </c>
      <c r="M2990" s="1" t="s">
        <v>86</v>
      </c>
      <c r="N2990" s="1" t="s">
        <v>7467</v>
      </c>
      <c r="O2990" s="1"/>
      <c r="P2990" s="1" t="s">
        <v>507</v>
      </c>
      <c r="Q2990" s="1" t="s">
        <v>48383</v>
      </c>
      <c r="R2990" s="1" t="s">
        <v>48384</v>
      </c>
      <c r="S2990" s="1">
        <v>9975153205</v>
      </c>
      <c r="T2990" s="1" t="s">
        <v>645</v>
      </c>
      <c r="U2990" s="1" t="s">
        <v>48385</v>
      </c>
      <c r="V2990" s="1">
        <v>7758900735</v>
      </c>
      <c r="W2990" s="1" t="s">
        <v>161</v>
      </c>
      <c r="X2990" s="1" t="s">
        <v>48386</v>
      </c>
      <c r="Y2990" s="1" t="s">
        <v>196</v>
      </c>
      <c r="Z2990" s="1" t="s">
        <v>97</v>
      </c>
      <c r="AA2990" s="1" t="s">
        <v>48386</v>
      </c>
      <c r="AB2990" s="1" t="s">
        <v>196</v>
      </c>
      <c r="AC2990" s="1" t="s">
        <v>97</v>
      </c>
      <c r="AD2990" s="1" t="s">
        <v>98</v>
      </c>
      <c r="AE2990" s="1" t="s">
        <v>98</v>
      </c>
      <c r="AF2990" s="1" t="s">
        <v>48387</v>
      </c>
      <c r="AG2990" s="1" t="s">
        <v>48388</v>
      </c>
      <c r="AH2990" s="1" t="s">
        <v>2321</v>
      </c>
      <c r="AI2990" s="1" t="s">
        <v>133</v>
      </c>
      <c r="AJ2990" s="1">
        <v>66</v>
      </c>
      <c r="AK2990" s="1">
        <v>0</v>
      </c>
      <c r="AL2990" s="1" t="s">
        <v>48389</v>
      </c>
      <c r="AM2990" s="1" t="s">
        <v>48388</v>
      </c>
      <c r="AN2990" s="1"/>
      <c r="AO2990" s="1" t="s">
        <v>25321</v>
      </c>
      <c r="AP2990" s="1" t="s">
        <v>101</v>
      </c>
      <c r="AQ2990" s="1">
        <v>51.85</v>
      </c>
      <c r="AR2990" s="1">
        <v>0</v>
      </c>
      <c r="AS2990" s="1" t="s">
        <v>103</v>
      </c>
      <c r="AT2990" s="1" t="s">
        <v>48390</v>
      </c>
      <c r="AU2990" s="1" t="s">
        <v>135</v>
      </c>
      <c r="AV2990" s="1" t="s">
        <v>167</v>
      </c>
      <c r="AW2990" s="1">
        <v>74.18</v>
      </c>
      <c r="AX2990" s="1">
        <v>0</v>
      </c>
      <c r="AY2990" s="1" t="s">
        <v>366</v>
      </c>
      <c r="AZ2990" s="1" t="s">
        <v>48391</v>
      </c>
      <c r="BA2990" s="1"/>
      <c r="BB2990" s="1"/>
      <c r="BC2990" s="1" t="s">
        <v>139</v>
      </c>
      <c r="BD2990" s="1" t="s">
        <v>313</v>
      </c>
      <c r="BE2990" s="1">
        <v>61.1</v>
      </c>
      <c r="BF2990" s="1"/>
      <c r="BG2990" s="1" t="s">
        <v>48392</v>
      </c>
      <c r="BH2990" s="1" t="s">
        <v>1062</v>
      </c>
      <c r="BI2990" s="1"/>
      <c r="BJ2990" s="1"/>
      <c r="BK2990" s="1" t="s">
        <v>1040</v>
      </c>
      <c r="BL2990" s="1" t="s">
        <v>521</v>
      </c>
      <c r="BM2990" s="1">
        <v>90.3</v>
      </c>
      <c r="BN2990" s="1"/>
      <c r="BO2990" s="1" t="s">
        <v>369</v>
      </c>
      <c r="BP2990" s="1" t="s">
        <v>48393</v>
      </c>
      <c r="BQ2990" s="1" t="s">
        <v>9111</v>
      </c>
      <c r="BR2990" s="1"/>
      <c r="BS2990" s="1"/>
      <c r="BT2990" s="1"/>
      <c r="BU2990" s="1" t="str">
        <f>HYPERLINK("https://nconnect.nicmar.ac.in/storage/profile/2022-2023_P2260023_532691.jpg","Download")</f>
        <v>0</v>
      </c>
      <c r="BV2990" s="3"/>
      <c r="BW2990" s="3"/>
    </row>
    <row r="2991" spans="1:75">
      <c r="A2991" s="1" t="s">
        <v>40756</v>
      </c>
      <c r="B2991" s="1" t="s">
        <v>48053</v>
      </c>
      <c r="C2991" s="1" t="s">
        <v>48394</v>
      </c>
      <c r="D2991" s="1" t="s">
        <v>11805</v>
      </c>
      <c r="E2991" s="1" t="s">
        <v>1320</v>
      </c>
      <c r="F2991" s="1" t="s">
        <v>48395</v>
      </c>
      <c r="G2991" s="1" t="s">
        <v>48396</v>
      </c>
      <c r="H2991" s="1" t="s">
        <v>48397</v>
      </c>
      <c r="I2991" s="1" t="s">
        <v>48398</v>
      </c>
      <c r="J2991" s="1">
        <v>7003466937</v>
      </c>
      <c r="K2991" s="1" t="s">
        <v>84</v>
      </c>
      <c r="L2991" s="1" t="s">
        <v>42405</v>
      </c>
      <c r="M2991" s="1" t="s">
        <v>86</v>
      </c>
      <c r="N2991" s="1" t="s">
        <v>4753</v>
      </c>
      <c r="O2991" s="1"/>
      <c r="P2991" s="1" t="s">
        <v>455</v>
      </c>
      <c r="Q2991" s="1" t="s">
        <v>48399</v>
      </c>
      <c r="R2991" s="1" t="s">
        <v>48400</v>
      </c>
      <c r="S2991" s="1">
        <v>9007196257</v>
      </c>
      <c r="T2991" s="1" t="s">
        <v>839</v>
      </c>
      <c r="U2991" s="1" t="s">
        <v>48401</v>
      </c>
      <c r="V2991" s="1">
        <v>6289797037</v>
      </c>
      <c r="W2991" s="1" t="s">
        <v>94</v>
      </c>
      <c r="X2991" s="1" t="s">
        <v>48402</v>
      </c>
      <c r="Y2991" s="1" t="s">
        <v>3282</v>
      </c>
      <c r="Z2991" s="1" t="s">
        <v>1234</v>
      </c>
      <c r="AA2991" s="1" t="s">
        <v>48403</v>
      </c>
      <c r="AB2991" s="1" t="s">
        <v>3282</v>
      </c>
      <c r="AC2991" s="1" t="s">
        <v>1234</v>
      </c>
      <c r="AD2991" s="1" t="s">
        <v>98</v>
      </c>
      <c r="AE2991" s="1" t="s">
        <v>98</v>
      </c>
      <c r="AF2991" s="1" t="s">
        <v>48404</v>
      </c>
      <c r="AG2991" s="1" t="s">
        <v>28807</v>
      </c>
      <c r="AH2991" s="1" t="s">
        <v>3770</v>
      </c>
      <c r="AI2991" s="1" t="s">
        <v>1457</v>
      </c>
      <c r="AJ2991" s="1">
        <v>84.14</v>
      </c>
      <c r="AK2991" s="1">
        <v>0</v>
      </c>
      <c r="AL2991" s="1"/>
      <c r="AM2991" s="1"/>
      <c r="AN2991" s="1"/>
      <c r="AO2991" s="1"/>
      <c r="AP2991" s="1"/>
      <c r="AQ2991" s="1"/>
      <c r="AR2991" s="1"/>
      <c r="AS2991" s="1" t="s">
        <v>103</v>
      </c>
      <c r="AT2991" s="1" t="s">
        <v>48405</v>
      </c>
      <c r="AU2991" s="1" t="s">
        <v>1583</v>
      </c>
      <c r="AV2991" s="1" t="s">
        <v>167</v>
      </c>
      <c r="AW2991" s="1">
        <v>86.7</v>
      </c>
      <c r="AX2991" s="1">
        <v>9.1</v>
      </c>
      <c r="AY2991" s="1" t="s">
        <v>48406</v>
      </c>
      <c r="AZ2991" s="1" t="s">
        <v>6005</v>
      </c>
      <c r="BA2991" s="1"/>
      <c r="BB2991" s="1"/>
      <c r="BC2991" s="1" t="s">
        <v>1396</v>
      </c>
      <c r="BD2991" s="1" t="s">
        <v>438</v>
      </c>
      <c r="BE2991" s="1">
        <v>81.4</v>
      </c>
      <c r="BF2991" s="1">
        <v>8.89</v>
      </c>
      <c r="BG2991" s="1"/>
      <c r="BH2991" s="1"/>
      <c r="BI2991" s="1"/>
      <c r="BJ2991" s="1"/>
      <c r="BK2991" s="1"/>
      <c r="BL2991" s="1"/>
      <c r="BM2991" s="1"/>
      <c r="BN2991" s="1"/>
      <c r="BO2991" s="1" t="s">
        <v>369</v>
      </c>
      <c r="BP2991" s="1" t="s">
        <v>48407</v>
      </c>
      <c r="BQ2991" s="1" t="s">
        <v>4552</v>
      </c>
      <c r="BR2991" s="1" t="s">
        <v>48408</v>
      </c>
      <c r="BS2991" s="1">
        <v>7</v>
      </c>
      <c r="BT2991" s="1"/>
      <c r="BU2991" s="1" t="str">
        <f>HYPERLINK("https://nconnect.nicmar.ac.in/storage/profile/2022-2023_P2260024_492658.jpg","Download")</f>
        <v>0</v>
      </c>
      <c r="BV2991" s="3"/>
      <c r="BW2991" s="3"/>
    </row>
    <row r="2992" spans="1:75">
      <c r="A2992" s="1" t="s">
        <v>40756</v>
      </c>
      <c r="B2992" s="1" t="s">
        <v>48053</v>
      </c>
      <c r="C2992" s="1" t="s">
        <v>48409</v>
      </c>
      <c r="D2992" s="1" t="s">
        <v>33548</v>
      </c>
      <c r="E2992" s="1" t="s">
        <v>48410</v>
      </c>
      <c r="F2992" s="1" t="s">
        <v>48411</v>
      </c>
      <c r="G2992" s="1" t="s">
        <v>48412</v>
      </c>
      <c r="H2992" s="1" t="s">
        <v>48413</v>
      </c>
      <c r="I2992" s="1" t="s">
        <v>48414</v>
      </c>
      <c r="J2992" s="1">
        <v>8277565124</v>
      </c>
      <c r="K2992" s="1" t="s">
        <v>84</v>
      </c>
      <c r="L2992" s="1" t="s">
        <v>17172</v>
      </c>
      <c r="M2992" s="1" t="s">
        <v>86</v>
      </c>
      <c r="N2992" s="1" t="s">
        <v>1617</v>
      </c>
      <c r="O2992" s="1"/>
      <c r="P2992" s="1" t="s">
        <v>455</v>
      </c>
      <c r="Q2992" s="1" t="s">
        <v>48415</v>
      </c>
      <c r="R2992" s="1" t="s">
        <v>48410</v>
      </c>
      <c r="S2992" s="1">
        <v>9449624124</v>
      </c>
      <c r="T2992" s="1" t="s">
        <v>159</v>
      </c>
      <c r="U2992" s="1" t="s">
        <v>48416</v>
      </c>
      <c r="V2992" s="1">
        <v>9449383963</v>
      </c>
      <c r="W2992" s="1" t="s">
        <v>161</v>
      </c>
      <c r="X2992" s="1" t="s">
        <v>48417</v>
      </c>
      <c r="Y2992" s="1" t="s">
        <v>6871</v>
      </c>
      <c r="Z2992" s="1" t="s">
        <v>1210</v>
      </c>
      <c r="AA2992" s="1" t="s">
        <v>48417</v>
      </c>
      <c r="AB2992" s="1" t="s">
        <v>6871</v>
      </c>
      <c r="AC2992" s="1" t="s">
        <v>1210</v>
      </c>
      <c r="AD2992" s="1" t="s">
        <v>98</v>
      </c>
      <c r="AE2992" s="1" t="s">
        <v>98</v>
      </c>
      <c r="AF2992" s="1" t="s">
        <v>48418</v>
      </c>
      <c r="AG2992" s="1" t="s">
        <v>48419</v>
      </c>
      <c r="AH2992" s="1" t="s">
        <v>166</v>
      </c>
      <c r="AI2992" s="1" t="s">
        <v>627</v>
      </c>
      <c r="AJ2992" s="1">
        <v>81.12</v>
      </c>
      <c r="AK2992" s="1">
        <v>0</v>
      </c>
      <c r="AL2992" s="1" t="s">
        <v>48420</v>
      </c>
      <c r="AM2992" s="1" t="s">
        <v>48419</v>
      </c>
      <c r="AN2992" s="1"/>
      <c r="AO2992" s="1" t="s">
        <v>704</v>
      </c>
      <c r="AP2992" s="1" t="s">
        <v>174</v>
      </c>
      <c r="AQ2992" s="1">
        <v>62</v>
      </c>
      <c r="AR2992" s="1">
        <v>0</v>
      </c>
      <c r="AS2992" s="1"/>
      <c r="AT2992" s="1"/>
      <c r="AU2992" s="1"/>
      <c r="AV2992" s="1"/>
      <c r="AW2992" s="1"/>
      <c r="AX2992" s="1"/>
      <c r="AY2992" s="1" t="s">
        <v>48421</v>
      </c>
      <c r="AZ2992" s="1" t="s">
        <v>48422</v>
      </c>
      <c r="BA2992" s="1"/>
      <c r="BB2992" s="1"/>
      <c r="BC2992" s="1" t="s">
        <v>1065</v>
      </c>
      <c r="BD2992" s="1" t="s">
        <v>1400</v>
      </c>
      <c r="BE2992" s="1">
        <v>58.2</v>
      </c>
      <c r="BF2992" s="1">
        <v>6.57</v>
      </c>
      <c r="BG2992" s="1"/>
      <c r="BH2992" s="1"/>
      <c r="BI2992" s="1"/>
      <c r="BJ2992" s="1"/>
      <c r="BK2992" s="1"/>
      <c r="BL2992" s="1"/>
      <c r="BM2992" s="1"/>
      <c r="BN2992" s="1"/>
      <c r="BO2992" s="1" t="s">
        <v>369</v>
      </c>
      <c r="BP2992" s="1"/>
      <c r="BQ2992" s="1"/>
      <c r="BR2992" s="1"/>
      <c r="BS2992" s="1"/>
      <c r="BT2992" s="1"/>
      <c r="BU2992" s="1" t="str">
        <f>HYPERLINK("https://nconnect.nicmar.ac.in/storage/profile/2022-2023_P2260025_721954.jpg","Download")</f>
        <v>0</v>
      </c>
      <c r="BV2992" s="3"/>
      <c r="BW2992" s="3"/>
    </row>
    <row r="2993" spans="1:75">
      <c r="A2993" s="1" t="s">
        <v>40756</v>
      </c>
      <c r="B2993" s="1" t="s">
        <v>48053</v>
      </c>
      <c r="C2993" s="1" t="s">
        <v>48423</v>
      </c>
      <c r="D2993" s="1" t="s">
        <v>3160</v>
      </c>
      <c r="E2993" s="1"/>
      <c r="F2993" s="1" t="s">
        <v>48424</v>
      </c>
      <c r="G2993" s="1" t="s">
        <v>48425</v>
      </c>
      <c r="H2993" s="1" t="s">
        <v>48426</v>
      </c>
      <c r="I2993" s="1" t="s">
        <v>48427</v>
      </c>
      <c r="J2993" s="1">
        <v>9785637437</v>
      </c>
      <c r="K2993" s="1" t="s">
        <v>84</v>
      </c>
      <c r="L2993" s="1" t="s">
        <v>48428</v>
      </c>
      <c r="M2993" s="1" t="s">
        <v>86</v>
      </c>
      <c r="N2993" s="1" t="s">
        <v>4278</v>
      </c>
      <c r="O2993" s="1"/>
      <c r="P2993" s="1" t="s">
        <v>507</v>
      </c>
      <c r="Q2993" s="1" t="s">
        <v>48429</v>
      </c>
      <c r="R2993" s="1" t="s">
        <v>48430</v>
      </c>
      <c r="S2993" s="1">
        <v>9389444579</v>
      </c>
      <c r="T2993" s="1" t="s">
        <v>839</v>
      </c>
      <c r="U2993" s="1" t="s">
        <v>48431</v>
      </c>
      <c r="V2993" s="1">
        <v>9358187438</v>
      </c>
      <c r="W2993" s="1" t="s">
        <v>94</v>
      </c>
      <c r="X2993" s="1" t="s">
        <v>48432</v>
      </c>
      <c r="Y2993" s="1" t="s">
        <v>28737</v>
      </c>
      <c r="Z2993" s="1" t="s">
        <v>544</v>
      </c>
      <c r="AA2993" s="1" t="s">
        <v>48432</v>
      </c>
      <c r="AB2993" s="1" t="s">
        <v>28737</v>
      </c>
      <c r="AC2993" s="1" t="s">
        <v>544</v>
      </c>
      <c r="AD2993" s="1" t="s">
        <v>98</v>
      </c>
      <c r="AE2993" s="1" t="s">
        <v>98</v>
      </c>
      <c r="AF2993" s="1" t="s">
        <v>1060</v>
      </c>
      <c r="AG2993" s="1" t="s">
        <v>28739</v>
      </c>
      <c r="AH2993" s="1" t="s">
        <v>1393</v>
      </c>
      <c r="AI2993" s="1" t="s">
        <v>336</v>
      </c>
      <c r="AJ2993" s="1">
        <v>66.5</v>
      </c>
      <c r="AK2993" s="1">
        <v>7</v>
      </c>
      <c r="AL2993" s="1" t="s">
        <v>98</v>
      </c>
      <c r="AM2993" s="1" t="s">
        <v>48433</v>
      </c>
      <c r="AN2993" s="1"/>
      <c r="AO2993" s="1" t="s">
        <v>3923</v>
      </c>
      <c r="AP2993" s="1" t="s">
        <v>2726</v>
      </c>
      <c r="AQ2993" s="1">
        <v>62.5</v>
      </c>
      <c r="AR2993" s="1">
        <v>0</v>
      </c>
      <c r="AS2993" s="1"/>
      <c r="AT2993" s="1"/>
      <c r="AU2993" s="1"/>
      <c r="AV2993" s="1"/>
      <c r="AW2993" s="1"/>
      <c r="AX2993" s="1"/>
      <c r="AY2993" s="1" t="s">
        <v>28974</v>
      </c>
      <c r="AZ2993" s="1" t="s">
        <v>48434</v>
      </c>
      <c r="BA2993" s="1"/>
      <c r="BB2993" s="1"/>
      <c r="BC2993" s="1" t="s">
        <v>804</v>
      </c>
      <c r="BD2993" s="1" t="s">
        <v>25647</v>
      </c>
      <c r="BE2993" s="1">
        <v>64.13</v>
      </c>
      <c r="BF2993" s="1"/>
      <c r="BG2993" s="1"/>
      <c r="BH2993" s="1"/>
      <c r="BI2993" s="1"/>
      <c r="BJ2993" s="1"/>
      <c r="BK2993" s="1"/>
      <c r="BL2993" s="1"/>
      <c r="BM2993" s="1"/>
      <c r="BN2993" s="1"/>
      <c r="BO2993" s="1" t="s">
        <v>260</v>
      </c>
      <c r="BP2993" s="1" t="s">
        <v>48435</v>
      </c>
      <c r="BQ2993" s="1" t="s">
        <v>9606</v>
      </c>
      <c r="BR2993" s="1" t="s">
        <v>48436</v>
      </c>
      <c r="BS2993" s="1">
        <v>8</v>
      </c>
      <c r="BT2993" s="1"/>
      <c r="BU2993" s="1" t="str">
        <f>HYPERLINK("https://nconnect.nicmar.ac.in/storage/profile/2022-2023_P2260026_497286.jpg","Download")</f>
        <v>0</v>
      </c>
      <c r="BV2993" s="3"/>
      <c r="BW2993" s="3"/>
    </row>
    <row r="2994" spans="1:75">
      <c r="A2994" s="1" t="s">
        <v>40756</v>
      </c>
      <c r="B2994" s="1" t="s">
        <v>48053</v>
      </c>
      <c r="C2994" s="1" t="s">
        <v>48437</v>
      </c>
      <c r="D2994" s="1" t="s">
        <v>48438</v>
      </c>
      <c r="E2994" s="1" t="s">
        <v>812</v>
      </c>
      <c r="F2994" s="1" t="s">
        <v>11506</v>
      </c>
      <c r="G2994" s="1" t="s">
        <v>48439</v>
      </c>
      <c r="H2994" s="1" t="s">
        <v>48440</v>
      </c>
      <c r="I2994" s="1" t="s">
        <v>48441</v>
      </c>
      <c r="J2994" s="1">
        <v>9745086872</v>
      </c>
      <c r="K2994" s="1" t="s">
        <v>84</v>
      </c>
      <c r="L2994" s="1" t="s">
        <v>30911</v>
      </c>
      <c r="M2994" s="1" t="s">
        <v>86</v>
      </c>
      <c r="N2994" s="1" t="s">
        <v>25961</v>
      </c>
      <c r="O2994" s="1"/>
      <c r="P2994" s="1" t="s">
        <v>455</v>
      </c>
      <c r="Q2994" s="1" t="s">
        <v>48442</v>
      </c>
      <c r="R2994" s="1" t="s">
        <v>48443</v>
      </c>
      <c r="S2994" s="1">
        <v>9400488959</v>
      </c>
      <c r="T2994" s="1" t="s">
        <v>159</v>
      </c>
      <c r="U2994" s="1" t="s">
        <v>48444</v>
      </c>
      <c r="V2994" s="1">
        <v>6238044518</v>
      </c>
      <c r="W2994" s="1" t="s">
        <v>161</v>
      </c>
      <c r="X2994" s="1" t="s">
        <v>48445</v>
      </c>
      <c r="Y2994" s="1" t="s">
        <v>5874</v>
      </c>
      <c r="Z2994" s="1" t="s">
        <v>130</v>
      </c>
      <c r="AA2994" s="1" t="s">
        <v>48445</v>
      </c>
      <c r="AB2994" s="1" t="s">
        <v>5874</v>
      </c>
      <c r="AC2994" s="1" t="s">
        <v>130</v>
      </c>
      <c r="AD2994" s="1" t="s">
        <v>98</v>
      </c>
      <c r="AE2994" s="1" t="s">
        <v>98</v>
      </c>
      <c r="AF2994" s="1" t="s">
        <v>48446</v>
      </c>
      <c r="AG2994" s="1" t="s">
        <v>48447</v>
      </c>
      <c r="AH2994" s="1" t="s">
        <v>1213</v>
      </c>
      <c r="AI2994" s="1" t="s">
        <v>1262</v>
      </c>
      <c r="AJ2994" s="1">
        <v>85.5</v>
      </c>
      <c r="AK2994" s="1">
        <v>9</v>
      </c>
      <c r="AL2994" s="1" t="s">
        <v>48448</v>
      </c>
      <c r="AM2994" s="1" t="s">
        <v>48449</v>
      </c>
      <c r="AN2994" s="1"/>
      <c r="AO2994" s="1" t="s">
        <v>166</v>
      </c>
      <c r="AP2994" s="1" t="s">
        <v>1111</v>
      </c>
      <c r="AQ2994" s="1">
        <v>88.08</v>
      </c>
      <c r="AR2994" s="1"/>
      <c r="AS2994" s="1"/>
      <c r="AT2994" s="1"/>
      <c r="AU2994" s="1"/>
      <c r="AV2994" s="1"/>
      <c r="AW2994" s="1"/>
      <c r="AX2994" s="1"/>
      <c r="AY2994" s="1" t="s">
        <v>137</v>
      </c>
      <c r="AZ2994" s="1" t="s">
        <v>47612</v>
      </c>
      <c r="BA2994" s="1"/>
      <c r="BB2994" s="1"/>
      <c r="BC2994" s="1" t="s">
        <v>139</v>
      </c>
      <c r="BD2994" s="1" t="s">
        <v>1647</v>
      </c>
      <c r="BE2994" s="1">
        <v>73.85</v>
      </c>
      <c r="BF2994" s="1">
        <v>7.76</v>
      </c>
      <c r="BG2994" s="1"/>
      <c r="BH2994" s="1"/>
      <c r="BI2994" s="1"/>
      <c r="BJ2994" s="1"/>
      <c r="BK2994" s="1"/>
      <c r="BL2994" s="1"/>
      <c r="BM2994" s="1"/>
      <c r="BN2994" s="1"/>
      <c r="BO2994" s="1" t="s">
        <v>260</v>
      </c>
      <c r="BP2994" s="1" t="s">
        <v>48450</v>
      </c>
      <c r="BQ2994" s="1" t="s">
        <v>471</v>
      </c>
      <c r="BR2994" s="1"/>
      <c r="BS2994" s="1"/>
      <c r="BT2994" s="1"/>
      <c r="BU2994" s="1" t="str">
        <f>HYPERLINK("https://nconnect.nicmar.ac.in/storage/profile/ProfilePhoto_P2260027_475981.jpg","Download")</f>
        <v>0</v>
      </c>
      <c r="BV2994" s="3"/>
      <c r="BW2994" s="3"/>
    </row>
    <row r="2995" spans="1:75">
      <c r="A2995" s="1" t="s">
        <v>40756</v>
      </c>
      <c r="B2995" s="1" t="s">
        <v>48053</v>
      </c>
      <c r="C2995" s="1" t="s">
        <v>48451</v>
      </c>
      <c r="D2995" s="1" t="s">
        <v>48452</v>
      </c>
      <c r="E2995" s="1"/>
      <c r="F2995" s="1" t="s">
        <v>48453</v>
      </c>
      <c r="G2995" s="1" t="s">
        <v>48454</v>
      </c>
      <c r="H2995" s="1" t="s">
        <v>48455</v>
      </c>
      <c r="I2995" s="1" t="s">
        <v>48456</v>
      </c>
      <c r="J2995" s="1">
        <v>9686005147</v>
      </c>
      <c r="K2995" s="1" t="s">
        <v>84</v>
      </c>
      <c r="L2995" s="1" t="s">
        <v>48457</v>
      </c>
      <c r="M2995" s="1" t="s">
        <v>86</v>
      </c>
      <c r="N2995" s="1" t="s">
        <v>48458</v>
      </c>
      <c r="O2995" s="1"/>
      <c r="P2995" s="1" t="s">
        <v>455</v>
      </c>
      <c r="Q2995" s="1" t="s">
        <v>48459</v>
      </c>
      <c r="R2995" s="1" t="s">
        <v>48460</v>
      </c>
      <c r="S2995" s="1">
        <v>8971470666</v>
      </c>
      <c r="T2995" s="1" t="s">
        <v>926</v>
      </c>
      <c r="U2995" s="1" t="s">
        <v>48461</v>
      </c>
      <c r="V2995" s="1">
        <v>8971470888</v>
      </c>
      <c r="W2995" s="1" t="s">
        <v>278</v>
      </c>
      <c r="X2995" s="1" t="s">
        <v>48462</v>
      </c>
      <c r="Y2995" s="1" t="s">
        <v>14431</v>
      </c>
      <c r="Z2995" s="1" t="s">
        <v>1210</v>
      </c>
      <c r="AA2995" s="1" t="s">
        <v>48462</v>
      </c>
      <c r="AB2995" s="1" t="s">
        <v>14431</v>
      </c>
      <c r="AC2995" s="1" t="s">
        <v>1210</v>
      </c>
      <c r="AD2995" s="1" t="s">
        <v>98</v>
      </c>
      <c r="AE2995" s="1" t="s">
        <v>98</v>
      </c>
      <c r="AF2995" s="1" t="s">
        <v>48463</v>
      </c>
      <c r="AG2995" s="1" t="s">
        <v>48464</v>
      </c>
      <c r="AH2995" s="1" t="s">
        <v>2156</v>
      </c>
      <c r="AI2995" s="1" t="s">
        <v>627</v>
      </c>
      <c r="AJ2995" s="1">
        <v>86</v>
      </c>
      <c r="AK2995" s="1">
        <v>0</v>
      </c>
      <c r="AL2995" s="1" t="s">
        <v>48465</v>
      </c>
      <c r="AM2995" s="1" t="s">
        <v>48464</v>
      </c>
      <c r="AN2995" s="1"/>
      <c r="AO2995" s="1" t="s">
        <v>1396</v>
      </c>
      <c r="AP2995" s="1" t="s">
        <v>171</v>
      </c>
      <c r="AQ2995" s="1">
        <v>86</v>
      </c>
      <c r="AR2995" s="1">
        <v>0</v>
      </c>
      <c r="AS2995" s="1"/>
      <c r="AT2995" s="1"/>
      <c r="AU2995" s="1"/>
      <c r="AV2995" s="1"/>
      <c r="AW2995" s="1"/>
      <c r="AX2995" s="1"/>
      <c r="AY2995" s="1" t="s">
        <v>731</v>
      </c>
      <c r="AZ2995" s="1" t="s">
        <v>48466</v>
      </c>
      <c r="BA2995" s="1"/>
      <c r="BB2995" s="1"/>
      <c r="BC2995" s="1" t="s">
        <v>1065</v>
      </c>
      <c r="BD2995" s="1" t="s">
        <v>110</v>
      </c>
      <c r="BE2995" s="1">
        <v>72</v>
      </c>
      <c r="BF2995" s="1">
        <v>7.6</v>
      </c>
      <c r="BG2995" s="1"/>
      <c r="BH2995" s="1"/>
      <c r="BI2995" s="1"/>
      <c r="BJ2995" s="1"/>
      <c r="BK2995" s="1"/>
      <c r="BL2995" s="1"/>
      <c r="BM2995" s="1"/>
      <c r="BN2995" s="1"/>
      <c r="BO2995" s="1" t="s">
        <v>47030</v>
      </c>
      <c r="BP2995" s="1"/>
      <c r="BQ2995" s="1"/>
      <c r="BR2995" s="1" t="s">
        <v>48467</v>
      </c>
      <c r="BS2995" s="1">
        <v>4</v>
      </c>
      <c r="BT2995" s="1"/>
      <c r="BU2995" s="1" t="str">
        <f>HYPERLINK("https://nconnect.nicmar.ac.in/storage/profile/2022-2023_P2260028_692137.jpg","Download")</f>
        <v>0</v>
      </c>
      <c r="BV2995" s="3"/>
      <c r="BW2995" s="3"/>
    </row>
    <row r="2996" spans="1:75">
      <c r="A2996" s="1" t="s">
        <v>40756</v>
      </c>
      <c r="B2996" s="1" t="s">
        <v>48053</v>
      </c>
      <c r="C2996" s="1" t="s">
        <v>48468</v>
      </c>
      <c r="D2996" s="1" t="s">
        <v>48469</v>
      </c>
      <c r="E2996" s="1"/>
      <c r="F2996" s="1" t="s">
        <v>961</v>
      </c>
      <c r="G2996" s="1" t="s">
        <v>48470</v>
      </c>
      <c r="H2996" s="1" t="s">
        <v>48471</v>
      </c>
      <c r="I2996" s="1" t="s">
        <v>48472</v>
      </c>
      <c r="J2996" s="1">
        <v>9111466361</v>
      </c>
      <c r="K2996" s="1" t="s">
        <v>84</v>
      </c>
      <c r="L2996" s="1" t="s">
        <v>30264</v>
      </c>
      <c r="M2996" s="1" t="s">
        <v>86</v>
      </c>
      <c r="N2996" s="1" t="s">
        <v>4278</v>
      </c>
      <c r="O2996" s="1"/>
      <c r="P2996" s="1" t="s">
        <v>507</v>
      </c>
      <c r="Q2996" s="1" t="s">
        <v>48473</v>
      </c>
      <c r="R2996" s="1" t="s">
        <v>19350</v>
      </c>
      <c r="S2996" s="1">
        <v>9827180962</v>
      </c>
      <c r="T2996" s="1" t="s">
        <v>926</v>
      </c>
      <c r="U2996" s="1" t="s">
        <v>48474</v>
      </c>
      <c r="V2996" s="1">
        <v>8085260037</v>
      </c>
      <c r="W2996" s="1" t="s">
        <v>161</v>
      </c>
      <c r="X2996" s="1" t="s">
        <v>48475</v>
      </c>
      <c r="Y2996" s="1" t="s">
        <v>11762</v>
      </c>
      <c r="Z2996" s="1" t="s">
        <v>2933</v>
      </c>
      <c r="AA2996" s="1" t="s">
        <v>48475</v>
      </c>
      <c r="AB2996" s="1" t="s">
        <v>11762</v>
      </c>
      <c r="AC2996" s="1" t="s">
        <v>2933</v>
      </c>
      <c r="AD2996" s="1" t="s">
        <v>98</v>
      </c>
      <c r="AE2996" s="1" t="s">
        <v>98</v>
      </c>
      <c r="AF2996" s="1" t="s">
        <v>48476</v>
      </c>
      <c r="AG2996" s="1" t="s">
        <v>5375</v>
      </c>
      <c r="AH2996" s="1" t="s">
        <v>1110</v>
      </c>
      <c r="AI2996" s="1" t="s">
        <v>284</v>
      </c>
      <c r="AJ2996" s="1">
        <v>64.6</v>
      </c>
      <c r="AK2996" s="1">
        <v>6.8</v>
      </c>
      <c r="AL2996" s="1" t="s">
        <v>48476</v>
      </c>
      <c r="AM2996" s="1" t="s">
        <v>6416</v>
      </c>
      <c r="AN2996" s="1"/>
      <c r="AO2996" s="1" t="s">
        <v>704</v>
      </c>
      <c r="AP2996" s="1" t="s">
        <v>490</v>
      </c>
      <c r="AQ2996" s="1">
        <v>55</v>
      </c>
      <c r="AR2996" s="1">
        <v>0</v>
      </c>
      <c r="AS2996" s="1"/>
      <c r="AT2996" s="1"/>
      <c r="AU2996" s="1"/>
      <c r="AV2996" s="1"/>
      <c r="AW2996" s="1"/>
      <c r="AX2996" s="1"/>
      <c r="AY2996" s="1" t="s">
        <v>5338</v>
      </c>
      <c r="AZ2996" s="1" t="s">
        <v>48477</v>
      </c>
      <c r="BA2996" s="1"/>
      <c r="BB2996" s="1"/>
      <c r="BC2996" s="1" t="s">
        <v>490</v>
      </c>
      <c r="BD2996" s="1" t="s">
        <v>632</v>
      </c>
      <c r="BE2996" s="1">
        <v>73.19</v>
      </c>
      <c r="BF2996" s="1">
        <v>8.15</v>
      </c>
      <c r="BG2996" s="1"/>
      <c r="BH2996" s="1"/>
      <c r="BI2996" s="1"/>
      <c r="BJ2996" s="1"/>
      <c r="BK2996" s="1"/>
      <c r="BL2996" s="1"/>
      <c r="BM2996" s="1"/>
      <c r="BN2996" s="1"/>
      <c r="BO2996" s="1" t="s">
        <v>369</v>
      </c>
      <c r="BP2996" s="1"/>
      <c r="BQ2996" s="1"/>
      <c r="BR2996" s="1" t="s">
        <v>48478</v>
      </c>
      <c r="BS2996" s="1">
        <v>19</v>
      </c>
      <c r="BT2996" s="1"/>
      <c r="BU2996" s="1" t="str">
        <f>HYPERLINK("https://nconnect.nicmar.ac.in/storage/profile/2022-2023_P2260029_157623.jpg","Download")</f>
        <v>0</v>
      </c>
      <c r="BV2996" s="3"/>
      <c r="BW2996" s="3"/>
    </row>
    <row r="2997" spans="1:75">
      <c r="A2997" s="1" t="s">
        <v>40756</v>
      </c>
      <c r="B2997" s="1" t="s">
        <v>48053</v>
      </c>
      <c r="C2997" s="1" t="s">
        <v>48479</v>
      </c>
      <c r="D2997" s="1" t="s">
        <v>7090</v>
      </c>
      <c r="E2997" s="1" t="s">
        <v>2273</v>
      </c>
      <c r="F2997" s="1" t="s">
        <v>48480</v>
      </c>
      <c r="G2997" s="1" t="s">
        <v>48481</v>
      </c>
      <c r="H2997" s="1" t="s">
        <v>48482</v>
      </c>
      <c r="I2997" s="1" t="s">
        <v>48483</v>
      </c>
      <c r="J2997" s="1">
        <v>9422479663</v>
      </c>
      <c r="K2997" s="1" t="s">
        <v>84</v>
      </c>
      <c r="L2997" s="1" t="s">
        <v>27208</v>
      </c>
      <c r="M2997" s="1" t="s">
        <v>86</v>
      </c>
      <c r="N2997" s="1" t="s">
        <v>3568</v>
      </c>
      <c r="O2997" s="1"/>
      <c r="P2997" s="1" t="s">
        <v>507</v>
      </c>
      <c r="Q2997" s="1" t="s">
        <v>48484</v>
      </c>
      <c r="R2997" s="1" t="s">
        <v>2273</v>
      </c>
      <c r="S2997" s="1">
        <v>9890330356</v>
      </c>
      <c r="T2997" s="1" t="s">
        <v>839</v>
      </c>
      <c r="U2997" s="1" t="s">
        <v>2567</v>
      </c>
      <c r="V2997" s="1">
        <v>9890361393</v>
      </c>
      <c r="W2997" s="1" t="s">
        <v>127</v>
      </c>
      <c r="X2997" s="1" t="s">
        <v>48485</v>
      </c>
      <c r="Y2997" s="1" t="s">
        <v>910</v>
      </c>
      <c r="Z2997" s="1" t="s">
        <v>97</v>
      </c>
      <c r="AA2997" s="1" t="s">
        <v>48485</v>
      </c>
      <c r="AB2997" s="1" t="s">
        <v>910</v>
      </c>
      <c r="AC2997" s="1" t="s">
        <v>97</v>
      </c>
      <c r="AD2997" s="1" t="s">
        <v>98</v>
      </c>
      <c r="AE2997" s="1" t="s">
        <v>98</v>
      </c>
      <c r="AF2997" s="1" t="s">
        <v>48486</v>
      </c>
      <c r="AG2997" s="1" t="s">
        <v>912</v>
      </c>
      <c r="AH2997" s="1" t="s">
        <v>101</v>
      </c>
      <c r="AI2997" s="1" t="s">
        <v>136</v>
      </c>
      <c r="AJ2997" s="1">
        <v>81</v>
      </c>
      <c r="AK2997" s="1">
        <v>0</v>
      </c>
      <c r="AL2997" s="1" t="s">
        <v>48487</v>
      </c>
      <c r="AM2997" s="1" t="s">
        <v>912</v>
      </c>
      <c r="AN2997" s="1"/>
      <c r="AO2997" s="1" t="s">
        <v>1396</v>
      </c>
      <c r="AP2997" s="1" t="s">
        <v>573</v>
      </c>
      <c r="AQ2997" s="1">
        <v>68.46</v>
      </c>
      <c r="AR2997" s="1">
        <v>0</v>
      </c>
      <c r="AS2997" s="1"/>
      <c r="AT2997" s="1"/>
      <c r="AU2997" s="1"/>
      <c r="AV2997" s="1"/>
      <c r="AW2997" s="1"/>
      <c r="AX2997" s="1"/>
      <c r="AY2997" s="1" t="s">
        <v>9545</v>
      </c>
      <c r="AZ2997" s="1" t="s">
        <v>48488</v>
      </c>
      <c r="BA2997" s="1"/>
      <c r="BB2997" s="1"/>
      <c r="BC2997" s="1" t="s">
        <v>388</v>
      </c>
      <c r="BD2997" s="1" t="s">
        <v>110</v>
      </c>
      <c r="BE2997" s="1">
        <v>66.9</v>
      </c>
      <c r="BF2997" s="1">
        <v>7.44</v>
      </c>
      <c r="BG2997" s="1"/>
      <c r="BH2997" s="1"/>
      <c r="BI2997" s="1"/>
      <c r="BJ2997" s="1"/>
      <c r="BK2997" s="1"/>
      <c r="BL2997" s="1"/>
      <c r="BM2997" s="1"/>
      <c r="BN2997" s="1"/>
      <c r="BO2997" s="1" t="s">
        <v>369</v>
      </c>
      <c r="BP2997" s="1"/>
      <c r="BQ2997" s="1"/>
      <c r="BR2997" s="1"/>
      <c r="BS2997" s="1"/>
      <c r="BT2997" s="1"/>
      <c r="BU2997" s="1" t="str">
        <f>HYPERLINK("https://nconnect.nicmar.ac.in/storage/profile/ProfilePhoto_P2260030_651472.jpg","Download")</f>
        <v>0</v>
      </c>
      <c r="BV2997" s="3"/>
      <c r="BW2997" s="3"/>
    </row>
    <row r="2998" spans="1:75">
      <c r="A2998" s="1" t="s">
        <v>40756</v>
      </c>
      <c r="B2998" s="1" t="s">
        <v>48053</v>
      </c>
      <c r="C2998" s="1" t="s">
        <v>48489</v>
      </c>
      <c r="D2998" s="1" t="s">
        <v>38368</v>
      </c>
      <c r="E2998" s="1" t="s">
        <v>48490</v>
      </c>
      <c r="F2998" s="1" t="s">
        <v>48491</v>
      </c>
      <c r="G2998" s="1" t="s">
        <v>48492</v>
      </c>
      <c r="H2998" s="1" t="s">
        <v>48493</v>
      </c>
      <c r="I2998" s="1" t="s">
        <v>48494</v>
      </c>
      <c r="J2998" s="1">
        <v>8928442004</v>
      </c>
      <c r="K2998" s="1" t="s">
        <v>84</v>
      </c>
      <c r="L2998" s="1" t="s">
        <v>48495</v>
      </c>
      <c r="M2998" s="1" t="s">
        <v>86</v>
      </c>
      <c r="N2998" s="1" t="s">
        <v>618</v>
      </c>
      <c r="O2998" s="1"/>
      <c r="P2998" s="1" t="s">
        <v>455</v>
      </c>
      <c r="Q2998" s="1" t="s">
        <v>48496</v>
      </c>
      <c r="R2998" s="1" t="s">
        <v>48497</v>
      </c>
      <c r="S2998" s="1">
        <v>9561978540</v>
      </c>
      <c r="T2998" s="1" t="s">
        <v>15716</v>
      </c>
      <c r="U2998" s="1" t="s">
        <v>48498</v>
      </c>
      <c r="V2998" s="1">
        <v>9665427001</v>
      </c>
      <c r="W2998" s="1" t="s">
        <v>161</v>
      </c>
      <c r="X2998" s="1" t="s">
        <v>48499</v>
      </c>
      <c r="Y2998" s="1" t="s">
        <v>910</v>
      </c>
      <c r="Z2998" s="1" t="s">
        <v>97</v>
      </c>
      <c r="AA2998" s="1" t="s">
        <v>48499</v>
      </c>
      <c r="AB2998" s="1" t="s">
        <v>910</v>
      </c>
      <c r="AC2998" s="1" t="s">
        <v>97</v>
      </c>
      <c r="AD2998" s="1" t="s">
        <v>98</v>
      </c>
      <c r="AE2998" s="1" t="s">
        <v>98</v>
      </c>
      <c r="AF2998" s="1" t="s">
        <v>48500</v>
      </c>
      <c r="AG2998" s="1" t="s">
        <v>996</v>
      </c>
      <c r="AH2998" s="1" t="s">
        <v>166</v>
      </c>
      <c r="AI2998" s="1" t="s">
        <v>1111</v>
      </c>
      <c r="AJ2998" s="1">
        <v>89</v>
      </c>
      <c r="AK2998" s="1"/>
      <c r="AL2998" s="1"/>
      <c r="AM2998" s="1"/>
      <c r="AN2998" s="1"/>
      <c r="AO2998" s="1"/>
      <c r="AP2998" s="1"/>
      <c r="AQ2998" s="1"/>
      <c r="AR2998" s="1"/>
      <c r="AS2998" s="1" t="s">
        <v>103</v>
      </c>
      <c r="AT2998" s="1" t="s">
        <v>7124</v>
      </c>
      <c r="AU2998" s="1" t="s">
        <v>139</v>
      </c>
      <c r="AV2998" s="1" t="s">
        <v>313</v>
      </c>
      <c r="AW2998" s="1">
        <v>73.56</v>
      </c>
      <c r="AX2998" s="1"/>
      <c r="AY2998" s="1" t="s">
        <v>366</v>
      </c>
      <c r="AZ2998" s="1" t="s">
        <v>48501</v>
      </c>
      <c r="BA2998" s="1"/>
      <c r="BB2998" s="1"/>
      <c r="BC2998" s="1" t="s">
        <v>206</v>
      </c>
      <c r="BD2998" s="1" t="s">
        <v>289</v>
      </c>
      <c r="BE2998" s="1">
        <v>83.5</v>
      </c>
      <c r="BF2998" s="1">
        <v>8.79</v>
      </c>
      <c r="BG2998" s="1"/>
      <c r="BH2998" s="1"/>
      <c r="BI2998" s="1"/>
      <c r="BJ2998" s="1"/>
      <c r="BK2998" s="1"/>
      <c r="BL2998" s="1"/>
      <c r="BM2998" s="1"/>
      <c r="BN2998" s="1"/>
      <c r="BO2998" s="1" t="s">
        <v>25445</v>
      </c>
      <c r="BP2998" s="1"/>
      <c r="BQ2998" s="1"/>
      <c r="BR2998" s="1" t="s">
        <v>48502</v>
      </c>
      <c r="BS2998" s="1">
        <v>15</v>
      </c>
      <c r="BT2998" s="1"/>
      <c r="BU2998" s="1" t="str">
        <f>HYPERLINK("https://nconnect.nicmar.ac.in/storage/profile/ProfilePhoto_P2260031_637948.jpg","Download")</f>
        <v>0</v>
      </c>
      <c r="BV2998" s="3"/>
      <c r="BW2998" s="3"/>
    </row>
    <row r="2999" spans="1:75">
      <c r="A2999" s="1" t="s">
        <v>40756</v>
      </c>
      <c r="B2999" s="1" t="s">
        <v>48053</v>
      </c>
      <c r="C2999" s="1" t="s">
        <v>48503</v>
      </c>
      <c r="D2999" s="1" t="s">
        <v>2500</v>
      </c>
      <c r="E2999" s="1" t="s">
        <v>6082</v>
      </c>
      <c r="F2999" s="1" t="s">
        <v>48504</v>
      </c>
      <c r="G2999" s="1" t="s">
        <v>48505</v>
      </c>
      <c r="H2999" s="1" t="s">
        <v>48506</v>
      </c>
      <c r="I2999" s="1" t="s">
        <v>48507</v>
      </c>
      <c r="J2999" s="1">
        <v>9096038569</v>
      </c>
      <c r="K2999" s="1" t="s">
        <v>84</v>
      </c>
      <c r="L2999" s="1" t="s">
        <v>48508</v>
      </c>
      <c r="M2999" s="1" t="s">
        <v>86</v>
      </c>
      <c r="N2999" s="1" t="s">
        <v>903</v>
      </c>
      <c r="O2999" s="1"/>
      <c r="P2999" s="1" t="s">
        <v>455</v>
      </c>
      <c r="Q2999" s="1" t="s">
        <v>48509</v>
      </c>
      <c r="R2999" s="1" t="s">
        <v>6082</v>
      </c>
      <c r="S2999" s="1">
        <v>9921932015</v>
      </c>
      <c r="T2999" s="1" t="s">
        <v>30417</v>
      </c>
      <c r="U2999" s="1" t="s">
        <v>8175</v>
      </c>
      <c r="V2999" s="1">
        <v>9359307114</v>
      </c>
      <c r="W2999" s="1" t="s">
        <v>278</v>
      </c>
      <c r="X2999" s="1" t="s">
        <v>48510</v>
      </c>
      <c r="Y2999" s="1" t="s">
        <v>196</v>
      </c>
      <c r="Z2999" s="1" t="s">
        <v>97</v>
      </c>
      <c r="AA2999" s="1" t="s">
        <v>48510</v>
      </c>
      <c r="AB2999" s="1" t="s">
        <v>196</v>
      </c>
      <c r="AC2999" s="1" t="s">
        <v>97</v>
      </c>
      <c r="AD2999" s="1" t="s">
        <v>98</v>
      </c>
      <c r="AE2999" s="1" t="s">
        <v>98</v>
      </c>
      <c r="AF2999" s="1" t="s">
        <v>48511</v>
      </c>
      <c r="AG2999" s="1" t="s">
        <v>996</v>
      </c>
      <c r="AH2999" s="1" t="s">
        <v>133</v>
      </c>
      <c r="AI2999" s="1" t="s">
        <v>3421</v>
      </c>
      <c r="AJ2999" s="1">
        <v>69.45</v>
      </c>
      <c r="AK2999" s="1"/>
      <c r="AL2999" s="1"/>
      <c r="AM2999" s="1"/>
      <c r="AN2999" s="1"/>
      <c r="AO2999" s="1"/>
      <c r="AP2999" s="1"/>
      <c r="AQ2999" s="1"/>
      <c r="AR2999" s="1"/>
      <c r="AS2999" s="1" t="s">
        <v>439</v>
      </c>
      <c r="AT2999" s="1" t="s">
        <v>48512</v>
      </c>
      <c r="AU2999" s="1" t="s">
        <v>1213</v>
      </c>
      <c r="AV2999" s="1" t="s">
        <v>167</v>
      </c>
      <c r="AW2999" s="1">
        <v>61.95</v>
      </c>
      <c r="AX2999" s="1"/>
      <c r="AY2999" s="1" t="s">
        <v>28128</v>
      </c>
      <c r="AZ2999" s="1" t="s">
        <v>48513</v>
      </c>
      <c r="BA2999" s="1"/>
      <c r="BB2999" s="1"/>
      <c r="BC2999" s="1" t="s">
        <v>139</v>
      </c>
      <c r="BD2999" s="1" t="s">
        <v>977</v>
      </c>
      <c r="BE2999" s="1">
        <v>54.12</v>
      </c>
      <c r="BF2999" s="1">
        <v>6.15</v>
      </c>
      <c r="BG2999" s="1"/>
      <c r="BH2999" s="1"/>
      <c r="BI2999" s="1"/>
      <c r="BJ2999" s="1"/>
      <c r="BK2999" s="1"/>
      <c r="BL2999" s="1"/>
      <c r="BM2999" s="1"/>
      <c r="BN2999" s="1"/>
      <c r="BO2999" s="1" t="s">
        <v>1826</v>
      </c>
      <c r="BP2999" s="1" t="s">
        <v>48514</v>
      </c>
      <c r="BQ2999" s="1" t="s">
        <v>292</v>
      </c>
      <c r="BR2999" s="1"/>
      <c r="BS2999" s="1"/>
      <c r="BT2999" s="1"/>
      <c r="BU2999" s="1" t="str">
        <f>HYPERLINK("https://nconnect.nicmar.ac.in/storage/profile/2022-2023_P2260032_274536.jpg","Download")</f>
        <v>0</v>
      </c>
      <c r="BV2999" s="3"/>
      <c r="BW2999" s="3"/>
    </row>
    <row r="3000" spans="1:75">
      <c r="A3000" s="1" t="s">
        <v>40756</v>
      </c>
      <c r="B3000" s="1" t="s">
        <v>48053</v>
      </c>
      <c r="C3000" s="1" t="s">
        <v>48515</v>
      </c>
      <c r="D3000" s="1" t="s">
        <v>4820</v>
      </c>
      <c r="E3000" s="1" t="s">
        <v>48516</v>
      </c>
      <c r="F3000" s="1" t="s">
        <v>48517</v>
      </c>
      <c r="G3000" s="1" t="s">
        <v>48518</v>
      </c>
      <c r="H3000" s="1" t="s">
        <v>48519</v>
      </c>
      <c r="I3000" s="1" t="s">
        <v>48520</v>
      </c>
      <c r="J3000" s="1">
        <v>9673575931</v>
      </c>
      <c r="K3000" s="1" t="s">
        <v>84</v>
      </c>
      <c r="L3000" s="1" t="s">
        <v>48521</v>
      </c>
      <c r="M3000" s="1" t="s">
        <v>86</v>
      </c>
      <c r="N3000" s="1" t="s">
        <v>48522</v>
      </c>
      <c r="O3000" s="1"/>
      <c r="P3000" s="1" t="s">
        <v>481</v>
      </c>
      <c r="Q3000" s="1" t="s">
        <v>48523</v>
      </c>
      <c r="R3000" s="1" t="s">
        <v>48524</v>
      </c>
      <c r="S3000" s="1">
        <v>7972158799</v>
      </c>
      <c r="T3000" s="1" t="s">
        <v>48525</v>
      </c>
      <c r="U3000" s="1" t="s">
        <v>48526</v>
      </c>
      <c r="V3000" s="1">
        <v>9403062881</v>
      </c>
      <c r="W3000" s="1" t="s">
        <v>161</v>
      </c>
      <c r="X3000" s="1" t="s">
        <v>48527</v>
      </c>
      <c r="Y3000" s="1" t="s">
        <v>5030</v>
      </c>
      <c r="Z3000" s="1" t="s">
        <v>97</v>
      </c>
      <c r="AA3000" s="1" t="s">
        <v>48528</v>
      </c>
      <c r="AB3000" s="1" t="s">
        <v>196</v>
      </c>
      <c r="AC3000" s="1" t="s">
        <v>97</v>
      </c>
      <c r="AD3000" s="1" t="s">
        <v>98</v>
      </c>
      <c r="AE3000" s="1" t="s">
        <v>98</v>
      </c>
      <c r="AF3000" s="1" t="s">
        <v>48529</v>
      </c>
      <c r="AG3000" s="1" t="s">
        <v>2379</v>
      </c>
      <c r="AH3000" s="1" t="s">
        <v>133</v>
      </c>
      <c r="AI3000" s="1" t="s">
        <v>1213</v>
      </c>
      <c r="AJ3000" s="1">
        <v>77.4</v>
      </c>
      <c r="AK3000" s="1">
        <v>8.1</v>
      </c>
      <c r="AL3000" s="1" t="s">
        <v>48530</v>
      </c>
      <c r="AM3000" s="1" t="s">
        <v>2379</v>
      </c>
      <c r="AN3000" s="1"/>
      <c r="AO3000" s="1" t="s">
        <v>1213</v>
      </c>
      <c r="AP3000" s="1" t="s">
        <v>136</v>
      </c>
      <c r="AQ3000" s="1">
        <v>50.92</v>
      </c>
      <c r="AR3000" s="1">
        <v>5.4</v>
      </c>
      <c r="AS3000" s="1" t="s">
        <v>439</v>
      </c>
      <c r="AT3000" s="1" t="s">
        <v>48531</v>
      </c>
      <c r="AU3000" s="1" t="s">
        <v>166</v>
      </c>
      <c r="AV3000" s="1" t="s">
        <v>438</v>
      </c>
      <c r="AW3000" s="1">
        <v>70.97</v>
      </c>
      <c r="AX3000" s="1">
        <v>7.5</v>
      </c>
      <c r="AY3000" s="1" t="s">
        <v>366</v>
      </c>
      <c r="AZ3000" s="1" t="s">
        <v>48532</v>
      </c>
      <c r="BA3000" s="1"/>
      <c r="BB3000" s="1"/>
      <c r="BC3000" s="1" t="s">
        <v>438</v>
      </c>
      <c r="BD3000" s="1" t="s">
        <v>110</v>
      </c>
      <c r="BE3000" s="1">
        <v>81</v>
      </c>
      <c r="BF3000" s="1">
        <v>8.53</v>
      </c>
      <c r="BG3000" s="1"/>
      <c r="BH3000" s="1"/>
      <c r="BI3000" s="1"/>
      <c r="BJ3000" s="1"/>
      <c r="BK3000" s="1"/>
      <c r="BL3000" s="1"/>
      <c r="BM3000" s="1"/>
      <c r="BN3000" s="1"/>
      <c r="BO3000" s="1" t="s">
        <v>3308</v>
      </c>
      <c r="BP3000" s="1"/>
      <c r="BQ3000" s="1"/>
      <c r="BR3000" s="1"/>
      <c r="BS3000" s="1"/>
      <c r="BT3000" s="1"/>
      <c r="BU3000" s="1" t="str">
        <f>HYPERLINK("https://nconnect.nicmar.ac.in/storage/profile/ProfilePhoto_P2260033_794635.jpg","Download")</f>
        <v>0</v>
      </c>
      <c r="BV3000" s="3"/>
      <c r="BW3000" s="3"/>
    </row>
    <row r="3001" spans="1:75">
      <c r="A3001" s="1" t="s">
        <v>40756</v>
      </c>
      <c r="B3001" s="1" t="s">
        <v>48053</v>
      </c>
      <c r="C3001" s="1" t="s">
        <v>48533</v>
      </c>
      <c r="D3001" s="1" t="s">
        <v>48534</v>
      </c>
      <c r="E3001" s="1" t="s">
        <v>29764</v>
      </c>
      <c r="F3001" s="1" t="s">
        <v>48535</v>
      </c>
      <c r="G3001" s="1" t="s">
        <v>48536</v>
      </c>
      <c r="H3001" s="1" t="s">
        <v>48537</v>
      </c>
      <c r="I3001" s="1" t="s">
        <v>48538</v>
      </c>
      <c r="J3001" s="1">
        <v>8308884254</v>
      </c>
      <c r="K3001" s="1" t="s">
        <v>84</v>
      </c>
      <c r="L3001" s="1" t="s">
        <v>48539</v>
      </c>
      <c r="M3001" s="1" t="s">
        <v>86</v>
      </c>
      <c r="N3001" s="1" t="s">
        <v>618</v>
      </c>
      <c r="O3001" s="1"/>
      <c r="P3001" s="1" t="s">
        <v>455</v>
      </c>
      <c r="Q3001" s="1" t="s">
        <v>48540</v>
      </c>
      <c r="R3001" s="1" t="s">
        <v>29764</v>
      </c>
      <c r="S3001" s="1">
        <v>8329570315</v>
      </c>
      <c r="T3001" s="1" t="s">
        <v>698</v>
      </c>
      <c r="U3001" s="1" t="s">
        <v>48541</v>
      </c>
      <c r="V3001" s="1">
        <v>9422595414</v>
      </c>
      <c r="W3001" s="1" t="s">
        <v>278</v>
      </c>
      <c r="X3001" s="1" t="s">
        <v>48542</v>
      </c>
      <c r="Y3001" s="1" t="s">
        <v>3538</v>
      </c>
      <c r="Z3001" s="1" t="s">
        <v>97</v>
      </c>
      <c r="AA3001" s="1" t="s">
        <v>48542</v>
      </c>
      <c r="AB3001" s="1" t="s">
        <v>3538</v>
      </c>
      <c r="AC3001" s="1" t="s">
        <v>97</v>
      </c>
      <c r="AD3001" s="1" t="s">
        <v>98</v>
      </c>
      <c r="AE3001" s="1" t="s">
        <v>98</v>
      </c>
      <c r="AF3001" s="1" t="s">
        <v>48543</v>
      </c>
      <c r="AG3001" s="1" t="s">
        <v>48544</v>
      </c>
      <c r="AH3001" s="1" t="s">
        <v>166</v>
      </c>
      <c r="AI3001" s="1" t="s">
        <v>1111</v>
      </c>
      <c r="AJ3001" s="1">
        <v>73.8</v>
      </c>
      <c r="AK3001" s="1"/>
      <c r="AL3001" s="1" t="s">
        <v>48543</v>
      </c>
      <c r="AM3001" s="1" t="s">
        <v>48544</v>
      </c>
      <c r="AN3001" s="1"/>
      <c r="AO3001" s="1" t="s">
        <v>170</v>
      </c>
      <c r="AP3001" s="1" t="s">
        <v>1477</v>
      </c>
      <c r="AQ3001" s="1">
        <v>57.23</v>
      </c>
      <c r="AR3001" s="1"/>
      <c r="AS3001" s="1"/>
      <c r="AT3001" s="1"/>
      <c r="AU3001" s="1"/>
      <c r="AV3001" s="1"/>
      <c r="AW3001" s="1"/>
      <c r="AX3001" s="1"/>
      <c r="AY3001" s="1" t="s">
        <v>258</v>
      </c>
      <c r="AZ3001" s="1" t="s">
        <v>48545</v>
      </c>
      <c r="BA3001" s="1"/>
      <c r="BB3001" s="1"/>
      <c r="BC3001" s="1" t="s">
        <v>1065</v>
      </c>
      <c r="BD3001" s="1" t="s">
        <v>632</v>
      </c>
      <c r="BE3001" s="1">
        <v>66.44</v>
      </c>
      <c r="BF3001" s="1">
        <v>7.37</v>
      </c>
      <c r="BG3001" s="1"/>
      <c r="BH3001" s="1"/>
      <c r="BI3001" s="1"/>
      <c r="BJ3001" s="1"/>
      <c r="BK3001" s="1"/>
      <c r="BL3001" s="1"/>
      <c r="BM3001" s="1"/>
      <c r="BN3001" s="1"/>
      <c r="BO3001" s="1" t="s">
        <v>369</v>
      </c>
      <c r="BP3001" s="1"/>
      <c r="BQ3001" s="1"/>
      <c r="BR3001" s="1"/>
      <c r="BS3001" s="1"/>
      <c r="BT3001" s="1"/>
      <c r="BU3001" s="1" t="str">
        <f>HYPERLINK("https://nconnect.nicmar.ac.in/storage/profile/2022-2023_P2260019_821739.jpg","Download")</f>
        <v>0</v>
      </c>
      <c r="BV3001" s="3"/>
      <c r="BW3001" s="3"/>
    </row>
    <row r="3002" spans="1:75">
      <c r="A3002" s="1" t="s">
        <v>45201</v>
      </c>
      <c r="B3002" s="1" t="s">
        <v>13976</v>
      </c>
      <c r="C3002" s="1" t="s">
        <v>48546</v>
      </c>
      <c r="D3002" s="1" t="s">
        <v>23378</v>
      </c>
      <c r="E3002" s="1"/>
      <c r="F3002" s="1" t="s">
        <v>44504</v>
      </c>
      <c r="G3002" s="1" t="s">
        <v>48547</v>
      </c>
      <c r="H3002" s="1" t="s">
        <v>48548</v>
      </c>
      <c r="I3002" s="1" t="s">
        <v>48549</v>
      </c>
      <c r="J3002" s="1">
        <v>9932166087</v>
      </c>
      <c r="K3002" s="1" t="s">
        <v>84</v>
      </c>
      <c r="L3002" s="1" t="s">
        <v>38637</v>
      </c>
      <c r="M3002" s="1" t="s">
        <v>86</v>
      </c>
      <c r="N3002" s="1" t="s">
        <v>48550</v>
      </c>
      <c r="O3002" s="1" t="s">
        <v>48551</v>
      </c>
      <c r="P3002" s="1" t="s">
        <v>219</v>
      </c>
      <c r="Q3002" s="1">
        <v>537632374042</v>
      </c>
      <c r="R3002" s="1" t="s">
        <v>48552</v>
      </c>
      <c r="S3002" s="1">
        <v>9475309401</v>
      </c>
      <c r="T3002" s="1" t="s">
        <v>23640</v>
      </c>
      <c r="U3002" s="1" t="s">
        <v>48553</v>
      </c>
      <c r="V3002" s="1">
        <v>8918119819</v>
      </c>
      <c r="W3002" s="1" t="s">
        <v>23640</v>
      </c>
      <c r="X3002" s="1" t="s">
        <v>48554</v>
      </c>
      <c r="Y3002" s="1" t="s">
        <v>4697</v>
      </c>
      <c r="Z3002" s="1" t="s">
        <v>1234</v>
      </c>
      <c r="AA3002" s="1" t="s">
        <v>48554</v>
      </c>
      <c r="AB3002" s="1" t="s">
        <v>4697</v>
      </c>
      <c r="AC3002" s="1" t="s">
        <v>1234</v>
      </c>
      <c r="AD3002" s="1" t="s">
        <v>98</v>
      </c>
      <c r="AE3002" s="1" t="s">
        <v>98</v>
      </c>
      <c r="AF3002" s="1" t="s">
        <v>48555</v>
      </c>
      <c r="AG3002" s="1" t="s">
        <v>48556</v>
      </c>
      <c r="AH3002" s="1" t="s">
        <v>337</v>
      </c>
      <c r="AI3002" s="1" t="s">
        <v>414</v>
      </c>
      <c r="AJ3002" s="1">
        <v>95.6</v>
      </c>
      <c r="AK3002" s="1"/>
      <c r="AL3002" s="1" t="s">
        <v>48557</v>
      </c>
      <c r="AM3002" s="1" t="s">
        <v>48558</v>
      </c>
      <c r="AN3002" s="1" t="s">
        <v>465</v>
      </c>
      <c r="AO3002" s="1" t="s">
        <v>547</v>
      </c>
      <c r="AP3002" s="1" t="s">
        <v>2304</v>
      </c>
      <c r="AQ3002" s="1">
        <v>92.8</v>
      </c>
      <c r="AR3002" s="1"/>
      <c r="AS3002" s="1"/>
      <c r="AT3002" s="1"/>
      <c r="AU3002" s="1"/>
      <c r="AV3002" s="1"/>
      <c r="AW3002" s="1"/>
      <c r="AX3002" s="1"/>
      <c r="AY3002" s="1" t="s">
        <v>17363</v>
      </c>
      <c r="AZ3002" s="1" t="s">
        <v>48559</v>
      </c>
      <c r="BA3002" s="1" t="s">
        <v>466</v>
      </c>
      <c r="BB3002" s="1" t="s">
        <v>44085</v>
      </c>
      <c r="BC3002" s="1" t="s">
        <v>441</v>
      </c>
      <c r="BD3002" s="1" t="s">
        <v>553</v>
      </c>
      <c r="BE3002" s="1">
        <v>71.2</v>
      </c>
      <c r="BF3002" s="1">
        <v>7.87</v>
      </c>
      <c r="BG3002" s="1"/>
      <c r="BH3002" s="1"/>
      <c r="BI3002" s="1"/>
      <c r="BJ3002" s="1"/>
      <c r="BK3002" s="1"/>
      <c r="BL3002" s="1"/>
      <c r="BM3002" s="1"/>
      <c r="BN3002" s="1"/>
      <c r="BO3002" s="1" t="s">
        <v>48560</v>
      </c>
      <c r="BP3002" s="1"/>
      <c r="BQ3002" s="1"/>
      <c r="BR3002" s="1" t="s">
        <v>48561</v>
      </c>
      <c r="BS3002" s="1">
        <v>3</v>
      </c>
      <c r="BT3002" s="1" t="s">
        <v>48562</v>
      </c>
      <c r="BU3002" s="1" t="str">
        <f>HYPERLINK("https://nconnect.nicmar.ac.in/storage/profile/6a85f41083a82.png","Download")</f>
        <v>0</v>
      </c>
      <c r="BV3002" s="3"/>
      <c r="BW3002" s="3"/>
    </row>
    <row r="3003" spans="1:75">
      <c r="A3003" s="1" t="s">
        <v>45201</v>
      </c>
      <c r="B3003" s="1" t="s">
        <v>13976</v>
      </c>
      <c r="C3003" s="1" t="s">
        <v>48563</v>
      </c>
      <c r="D3003" s="1" t="s">
        <v>48564</v>
      </c>
      <c r="E3003" s="1" t="s">
        <v>48565</v>
      </c>
      <c r="F3003" s="1" t="s">
        <v>48566</v>
      </c>
      <c r="G3003" s="1" t="s">
        <v>48567</v>
      </c>
      <c r="H3003" s="1" t="s">
        <v>48568</v>
      </c>
      <c r="I3003" s="1" t="s">
        <v>48569</v>
      </c>
      <c r="J3003" s="1">
        <v>6282903722</v>
      </c>
      <c r="K3003" s="1" t="s">
        <v>153</v>
      </c>
      <c r="L3003" s="1" t="s">
        <v>7710</v>
      </c>
      <c r="M3003" s="1" t="s">
        <v>86</v>
      </c>
      <c r="N3003" s="1" t="s">
        <v>48570</v>
      </c>
      <c r="O3003" s="1" t="s">
        <v>48571</v>
      </c>
      <c r="P3003" s="1" t="s">
        <v>89</v>
      </c>
      <c r="Q3003" s="1">
        <v>249450874917</v>
      </c>
      <c r="R3003" s="1" t="s">
        <v>48572</v>
      </c>
      <c r="S3003" s="1">
        <v>9946035544</v>
      </c>
      <c r="T3003" s="1" t="s">
        <v>14352</v>
      </c>
      <c r="U3003" s="1" t="s">
        <v>48573</v>
      </c>
      <c r="V3003" s="1">
        <v>8086010145</v>
      </c>
      <c r="W3003" s="1" t="s">
        <v>14710</v>
      </c>
      <c r="X3003" s="1" t="s">
        <v>48574</v>
      </c>
      <c r="Y3003" s="1" t="s">
        <v>701</v>
      </c>
      <c r="Z3003" s="1" t="s">
        <v>130</v>
      </c>
      <c r="AA3003" s="1" t="s">
        <v>48574</v>
      </c>
      <c r="AB3003" s="1" t="s">
        <v>701</v>
      </c>
      <c r="AC3003" s="1" t="s">
        <v>130</v>
      </c>
      <c r="AD3003" s="1" t="s">
        <v>98</v>
      </c>
      <c r="AE3003" s="1" t="s">
        <v>98</v>
      </c>
      <c r="AF3003" s="1" t="s">
        <v>48575</v>
      </c>
      <c r="AG3003" s="1" t="s">
        <v>48576</v>
      </c>
      <c r="AH3003" s="1" t="s">
        <v>171</v>
      </c>
      <c r="AI3003" s="1" t="s">
        <v>313</v>
      </c>
      <c r="AJ3003" s="1">
        <v>91.6</v>
      </c>
      <c r="AK3003" s="1"/>
      <c r="AL3003" s="1" t="s">
        <v>48575</v>
      </c>
      <c r="AM3003" s="1" t="s">
        <v>48576</v>
      </c>
      <c r="AN3003" s="1" t="s">
        <v>465</v>
      </c>
      <c r="AO3003" s="1" t="s">
        <v>417</v>
      </c>
      <c r="AP3003" s="1" t="s">
        <v>549</v>
      </c>
      <c r="AQ3003" s="1">
        <v>88.4</v>
      </c>
      <c r="AR3003" s="1"/>
      <c r="AS3003" s="1"/>
      <c r="AT3003" s="1"/>
      <c r="AU3003" s="1"/>
      <c r="AV3003" s="1"/>
      <c r="AW3003" s="1"/>
      <c r="AX3003" s="1"/>
      <c r="AY3003" s="1" t="s">
        <v>48577</v>
      </c>
      <c r="AZ3003" s="1" t="s">
        <v>48578</v>
      </c>
      <c r="BA3003" s="1" t="s">
        <v>682</v>
      </c>
      <c r="BB3003" s="1" t="s">
        <v>683</v>
      </c>
      <c r="BC3003" s="1" t="s">
        <v>441</v>
      </c>
      <c r="BD3003" s="1" t="s">
        <v>9688</v>
      </c>
      <c r="BE3003" s="1">
        <v>79.06</v>
      </c>
      <c r="BF3003" s="1">
        <v>9.07</v>
      </c>
      <c r="BG3003" s="1"/>
      <c r="BH3003" s="1"/>
      <c r="BI3003" s="1"/>
      <c r="BJ3003" s="1"/>
      <c r="BK3003" s="1"/>
      <c r="BL3003" s="1"/>
      <c r="BM3003" s="1"/>
      <c r="BN3003" s="1"/>
      <c r="BO3003" s="1" t="s">
        <v>48579</v>
      </c>
      <c r="BP3003" s="1"/>
      <c r="BQ3003" s="1"/>
      <c r="BR3003" s="1" t="s">
        <v>48580</v>
      </c>
      <c r="BS3003" s="1">
        <v>20</v>
      </c>
      <c r="BT3003" s="1"/>
      <c r="BU3003" s="1" t="str">
        <f>HYPERLINK("https://nconnect.nicmar.ac.in/storage/profile/6a85f5b9cb05a.png","Download")</f>
        <v>0</v>
      </c>
      <c r="BV3003" s="3"/>
      <c r="BW3003" s="3"/>
    </row>
    <row r="3004" spans="1:75">
      <c r="A3004" s="1" t="s">
        <v>45201</v>
      </c>
      <c r="B3004" s="1" t="s">
        <v>13976</v>
      </c>
      <c r="C3004" s="1" t="s">
        <v>48581</v>
      </c>
      <c r="D3004" s="1" t="s">
        <v>46154</v>
      </c>
      <c r="E3004" s="1" t="s">
        <v>16144</v>
      </c>
      <c r="F3004" s="1" t="s">
        <v>48582</v>
      </c>
      <c r="G3004" s="1" t="s">
        <v>48583</v>
      </c>
      <c r="H3004" s="1" t="s">
        <v>48584</v>
      </c>
      <c r="I3004" s="1" t="s">
        <v>48585</v>
      </c>
      <c r="J3004" s="1">
        <v>9503666544</v>
      </c>
      <c r="K3004" s="1" t="s">
        <v>84</v>
      </c>
      <c r="L3004" s="1" t="s">
        <v>39816</v>
      </c>
      <c r="M3004" s="1" t="s">
        <v>86</v>
      </c>
      <c r="N3004" s="1" t="s">
        <v>4263</v>
      </c>
      <c r="O3004" s="1" t="s">
        <v>48586</v>
      </c>
      <c r="P3004" s="1" t="s">
        <v>122</v>
      </c>
      <c r="Q3004" s="1">
        <v>455931724922</v>
      </c>
      <c r="R3004" s="1" t="s">
        <v>16144</v>
      </c>
      <c r="S3004" s="1">
        <v>8788566128</v>
      </c>
      <c r="T3004" s="1" t="s">
        <v>3439</v>
      </c>
      <c r="U3004" s="1" t="s">
        <v>21912</v>
      </c>
      <c r="V3004" s="1">
        <v>8087757555</v>
      </c>
      <c r="W3004" s="1" t="s">
        <v>10306</v>
      </c>
      <c r="X3004" s="1" t="s">
        <v>48587</v>
      </c>
      <c r="Y3004" s="1" t="s">
        <v>196</v>
      </c>
      <c r="Z3004" s="1" t="s">
        <v>97</v>
      </c>
      <c r="AA3004" s="1" t="s">
        <v>48587</v>
      </c>
      <c r="AB3004" s="1" t="s">
        <v>196</v>
      </c>
      <c r="AC3004" s="1" t="s">
        <v>97</v>
      </c>
      <c r="AD3004" s="1" t="s">
        <v>98</v>
      </c>
      <c r="AE3004" s="1" t="s">
        <v>98</v>
      </c>
      <c r="AF3004" s="1" t="s">
        <v>48588</v>
      </c>
      <c r="AG3004" s="1" t="s">
        <v>14157</v>
      </c>
      <c r="AH3004" s="1" t="s">
        <v>106</v>
      </c>
      <c r="AI3004" s="1" t="s">
        <v>414</v>
      </c>
      <c r="AJ3004" s="1">
        <v>74.8</v>
      </c>
      <c r="AK3004" s="1"/>
      <c r="AL3004" s="1"/>
      <c r="AM3004" s="1"/>
      <c r="AN3004" s="1"/>
      <c r="AO3004" s="1"/>
      <c r="AP3004" s="1"/>
      <c r="AQ3004" s="1"/>
      <c r="AR3004" s="1"/>
      <c r="AS3004" s="1" t="s">
        <v>23143</v>
      </c>
      <c r="AT3004" s="1" t="s">
        <v>48589</v>
      </c>
      <c r="AU3004" s="1" t="s">
        <v>438</v>
      </c>
      <c r="AV3004" s="1" t="s">
        <v>632</v>
      </c>
      <c r="AW3004" s="1">
        <v>72.26</v>
      </c>
      <c r="AX3004" s="1"/>
      <c r="AY3004" s="1" t="s">
        <v>14530</v>
      </c>
      <c r="AZ3004" s="1" t="s">
        <v>14161</v>
      </c>
      <c r="BA3004" s="1" t="s">
        <v>578</v>
      </c>
      <c r="BB3004" s="1" t="s">
        <v>23143</v>
      </c>
      <c r="BC3004" s="1" t="s">
        <v>289</v>
      </c>
      <c r="BD3004" s="1" t="s">
        <v>553</v>
      </c>
      <c r="BE3004" s="1">
        <v>61.8</v>
      </c>
      <c r="BF3004" s="1">
        <v>6.93</v>
      </c>
      <c r="BG3004" s="1"/>
      <c r="BH3004" s="1"/>
      <c r="BI3004" s="1"/>
      <c r="BJ3004" s="1"/>
      <c r="BK3004" s="1"/>
      <c r="BL3004" s="1"/>
      <c r="BM3004" s="1"/>
      <c r="BN3004" s="1"/>
      <c r="BO3004" s="1" t="s">
        <v>48590</v>
      </c>
      <c r="BP3004" s="1" t="s">
        <v>48591</v>
      </c>
      <c r="BQ3004" s="1" t="s">
        <v>1174</v>
      </c>
      <c r="BR3004" s="1" t="s">
        <v>48592</v>
      </c>
      <c r="BS3004" s="1">
        <v>17</v>
      </c>
      <c r="BT3004" s="1" t="s">
        <v>48593</v>
      </c>
      <c r="BU3004" s="1" t="str">
        <f>HYPERLINK("https://nconnect.nicmar.ac.in/storage/profile/6a847919a39de.png","Download")</f>
        <v>0</v>
      </c>
      <c r="BV3004" s="3"/>
      <c r="BW3004" s="3"/>
    </row>
    <row r="3005" spans="1:75">
      <c r="A3005" s="1" t="s">
        <v>45201</v>
      </c>
      <c r="B3005" s="1" t="s">
        <v>13976</v>
      </c>
      <c r="C3005" s="1" t="s">
        <v>48594</v>
      </c>
      <c r="D3005" s="1" t="s">
        <v>48595</v>
      </c>
      <c r="E3005" s="1" t="s">
        <v>48565</v>
      </c>
      <c r="F3005" s="1" t="s">
        <v>14387</v>
      </c>
      <c r="G3005" s="1" t="s">
        <v>48596</v>
      </c>
      <c r="H3005" s="1" t="s">
        <v>48597</v>
      </c>
      <c r="I3005" s="1" t="s">
        <v>48598</v>
      </c>
      <c r="J3005" s="1">
        <v>9645178330</v>
      </c>
      <c r="K3005" s="1" t="s">
        <v>153</v>
      </c>
      <c r="L3005" s="1" t="s">
        <v>48599</v>
      </c>
      <c r="M3005" s="1" t="s">
        <v>86</v>
      </c>
      <c r="N3005" s="1" t="s">
        <v>48600</v>
      </c>
      <c r="O3005" s="1" t="s">
        <v>48601</v>
      </c>
      <c r="P3005" s="1" t="s">
        <v>219</v>
      </c>
      <c r="Q3005" s="1">
        <v>895828761664</v>
      </c>
      <c r="R3005" s="1" t="s">
        <v>48602</v>
      </c>
      <c r="S3005" s="1">
        <v>7902741969</v>
      </c>
      <c r="T3005" s="1" t="s">
        <v>92</v>
      </c>
      <c r="U3005" s="1" t="s">
        <v>48603</v>
      </c>
      <c r="V3005" s="1">
        <v>9446167843</v>
      </c>
      <c r="W3005" s="1" t="s">
        <v>48604</v>
      </c>
      <c r="X3005" s="1" t="s">
        <v>48605</v>
      </c>
      <c r="Y3005" s="1" t="s">
        <v>19921</v>
      </c>
      <c r="Z3005" s="1" t="s">
        <v>130</v>
      </c>
      <c r="AA3005" s="1" t="s">
        <v>48605</v>
      </c>
      <c r="AB3005" s="1" t="s">
        <v>19921</v>
      </c>
      <c r="AC3005" s="1" t="s">
        <v>130</v>
      </c>
      <c r="AD3005" s="1" t="s">
        <v>98</v>
      </c>
      <c r="AE3005" s="1" t="s">
        <v>98</v>
      </c>
      <c r="AF3005" s="1" t="s">
        <v>48606</v>
      </c>
      <c r="AG3005" s="1" t="s">
        <v>15662</v>
      </c>
      <c r="AH3005" s="1" t="s">
        <v>106</v>
      </c>
      <c r="AI3005" s="1" t="s">
        <v>438</v>
      </c>
      <c r="AJ3005" s="1">
        <v>95.2</v>
      </c>
      <c r="AK3005" s="1">
        <v>9.5</v>
      </c>
      <c r="AL3005" s="1" t="s">
        <v>48607</v>
      </c>
      <c r="AM3005" s="1" t="s">
        <v>15662</v>
      </c>
      <c r="AN3005" s="1" t="s">
        <v>2995</v>
      </c>
      <c r="AO3005" s="1" t="s">
        <v>468</v>
      </c>
      <c r="AP3005" s="1" t="s">
        <v>847</v>
      </c>
      <c r="AQ3005" s="1">
        <v>94.6</v>
      </c>
      <c r="AR3005" s="1">
        <v>9.4</v>
      </c>
      <c r="AS3005" s="1"/>
      <c r="AT3005" s="1"/>
      <c r="AU3005" s="1"/>
      <c r="AV3005" s="1"/>
      <c r="AW3005" s="1"/>
      <c r="AX3005" s="1"/>
      <c r="AY3005" s="1" t="s">
        <v>137</v>
      </c>
      <c r="AZ3005" s="1" t="s">
        <v>33857</v>
      </c>
      <c r="BA3005" s="1" t="s">
        <v>682</v>
      </c>
      <c r="BB3005" s="1" t="s">
        <v>1561</v>
      </c>
      <c r="BC3005" s="1" t="s">
        <v>140</v>
      </c>
      <c r="BD3005" s="1" t="s">
        <v>14514</v>
      </c>
      <c r="BE3005" s="1">
        <v>65</v>
      </c>
      <c r="BF3005" s="1">
        <v>6.5</v>
      </c>
      <c r="BG3005" s="1"/>
      <c r="BH3005" s="1"/>
      <c r="BI3005" s="1"/>
      <c r="BJ3005" s="1"/>
      <c r="BK3005" s="1"/>
      <c r="BL3005" s="1"/>
      <c r="BM3005" s="1"/>
      <c r="BN3005" s="1"/>
      <c r="BO3005" s="1" t="s">
        <v>48608</v>
      </c>
      <c r="BP3005" s="1"/>
      <c r="BQ3005" s="1"/>
      <c r="BR3005" s="1" t="s">
        <v>48609</v>
      </c>
      <c r="BS3005" s="1">
        <v>21</v>
      </c>
      <c r="BT3005" s="1"/>
      <c r="BU3005" s="1" t="str">
        <f>HYPERLINK("https://nconnect.nicmar.ac.in/storage/profile/6a85f7af56a94.png","Download")</f>
        <v>0</v>
      </c>
      <c r="BV3005" s="3"/>
      <c r="BW3005" s="3"/>
    </row>
    <row r="3006" spans="1:75">
      <c r="A3006" s="1" t="s">
        <v>45201</v>
      </c>
      <c r="B3006" s="1" t="s">
        <v>13976</v>
      </c>
      <c r="C3006" s="1" t="s">
        <v>48610</v>
      </c>
      <c r="D3006" s="1" t="s">
        <v>21230</v>
      </c>
      <c r="E3006" s="1" t="s">
        <v>48611</v>
      </c>
      <c r="F3006" s="1" t="s">
        <v>9671</v>
      </c>
      <c r="G3006" s="1" t="s">
        <v>48612</v>
      </c>
      <c r="H3006" s="1" t="s">
        <v>48613</v>
      </c>
      <c r="I3006" s="1" t="s">
        <v>48614</v>
      </c>
      <c r="J3006" s="1">
        <v>7977045618</v>
      </c>
      <c r="K3006" s="1" t="s">
        <v>84</v>
      </c>
      <c r="L3006" s="1" t="s">
        <v>15923</v>
      </c>
      <c r="M3006" s="1" t="s">
        <v>86</v>
      </c>
      <c r="N3006" s="1" t="s">
        <v>768</v>
      </c>
      <c r="O3006" s="1" t="s">
        <v>48615</v>
      </c>
      <c r="P3006" s="1" t="s">
        <v>18210</v>
      </c>
      <c r="Q3006" s="1" t="s">
        <v>48616</v>
      </c>
      <c r="R3006" s="1" t="s">
        <v>48617</v>
      </c>
      <c r="S3006" s="1">
        <v>9969251304</v>
      </c>
      <c r="T3006" s="1" t="s">
        <v>3439</v>
      </c>
      <c r="U3006" s="1" t="s">
        <v>48618</v>
      </c>
      <c r="V3006" s="1">
        <v>8425866773</v>
      </c>
      <c r="W3006" s="1" t="s">
        <v>10306</v>
      </c>
      <c r="X3006" s="1" t="s">
        <v>48619</v>
      </c>
      <c r="Y3006" s="1" t="s">
        <v>1012</v>
      </c>
      <c r="Z3006" s="1" t="s">
        <v>97</v>
      </c>
      <c r="AA3006" s="1" t="s">
        <v>48619</v>
      </c>
      <c r="AB3006" s="1" t="s">
        <v>1012</v>
      </c>
      <c r="AC3006" s="1" t="s">
        <v>97</v>
      </c>
      <c r="AD3006" s="1" t="s">
        <v>98</v>
      </c>
      <c r="AE3006" s="1" t="s">
        <v>98</v>
      </c>
      <c r="AF3006" s="1" t="s">
        <v>48620</v>
      </c>
      <c r="AG3006" s="1" t="s">
        <v>48621</v>
      </c>
      <c r="AH3006" s="1" t="s">
        <v>170</v>
      </c>
      <c r="AI3006" s="1" t="s">
        <v>286</v>
      </c>
      <c r="AJ3006" s="1">
        <v>60</v>
      </c>
      <c r="AK3006" s="1"/>
      <c r="AL3006" s="1"/>
      <c r="AM3006" s="1"/>
      <c r="AN3006" s="1"/>
      <c r="AO3006" s="1"/>
      <c r="AP3006" s="1"/>
      <c r="AQ3006" s="1"/>
      <c r="AR3006" s="1"/>
      <c r="AS3006" s="1" t="s">
        <v>48622</v>
      </c>
      <c r="AT3006" s="1" t="s">
        <v>48623</v>
      </c>
      <c r="AU3006" s="1" t="s">
        <v>1065</v>
      </c>
      <c r="AV3006" s="1" t="s">
        <v>845</v>
      </c>
      <c r="AW3006" s="1">
        <v>80.5</v>
      </c>
      <c r="AX3006" s="1"/>
      <c r="AY3006" s="1" t="s">
        <v>14059</v>
      </c>
      <c r="AZ3006" s="1" t="s">
        <v>48624</v>
      </c>
      <c r="BA3006" s="1" t="s">
        <v>466</v>
      </c>
      <c r="BB3006" s="1" t="s">
        <v>44085</v>
      </c>
      <c r="BC3006" s="1" t="s">
        <v>871</v>
      </c>
      <c r="BD3006" s="1" t="s">
        <v>1089</v>
      </c>
      <c r="BE3006" s="1">
        <v>63.5</v>
      </c>
      <c r="BF3006" s="1">
        <v>7.07</v>
      </c>
      <c r="BG3006" s="1"/>
      <c r="BH3006" s="1"/>
      <c r="BI3006" s="1"/>
      <c r="BJ3006" s="1"/>
      <c r="BK3006" s="1"/>
      <c r="BL3006" s="1"/>
      <c r="BM3006" s="1"/>
      <c r="BN3006" s="1"/>
      <c r="BO3006" s="1" t="s">
        <v>48625</v>
      </c>
      <c r="BP3006" s="1"/>
      <c r="BQ3006" s="1"/>
      <c r="BR3006" s="1"/>
      <c r="BS3006" s="1"/>
      <c r="BT3006" s="1"/>
      <c r="BU3006" s="1" t="str">
        <f>HYPERLINK("https://nconnect.nicmar.ac.in/storage/profile/6a859a784c95c.png","Download")</f>
        <v>0</v>
      </c>
      <c r="BV3006" s="3"/>
      <c r="BW3006" s="3"/>
    </row>
    <row r="3007" spans="1:75">
      <c r="A3007" s="1" t="s">
        <v>45201</v>
      </c>
      <c r="B3007" s="1" t="s">
        <v>13976</v>
      </c>
      <c r="C3007" s="1" t="s">
        <v>48626</v>
      </c>
      <c r="D3007" s="1" t="s">
        <v>22030</v>
      </c>
      <c r="E3007" s="1" t="s">
        <v>587</v>
      </c>
      <c r="F3007" s="1" t="s">
        <v>17052</v>
      </c>
      <c r="G3007" s="1" t="s">
        <v>48627</v>
      </c>
      <c r="H3007" s="1" t="s">
        <v>48628</v>
      </c>
      <c r="I3007" s="1" t="s">
        <v>48629</v>
      </c>
      <c r="J3007" s="1">
        <v>8452082415</v>
      </c>
      <c r="K3007" s="1" t="s">
        <v>84</v>
      </c>
      <c r="L3007" s="1" t="s">
        <v>48630</v>
      </c>
      <c r="M3007" s="1" t="s">
        <v>86</v>
      </c>
      <c r="N3007" s="1" t="s">
        <v>48631</v>
      </c>
      <c r="O3007" s="1" t="s">
        <v>48632</v>
      </c>
      <c r="P3007" s="1" t="s">
        <v>122</v>
      </c>
      <c r="Q3007" s="1">
        <v>623565789396</v>
      </c>
      <c r="R3007" s="1" t="s">
        <v>48633</v>
      </c>
      <c r="S3007" s="1">
        <v>9987042781</v>
      </c>
      <c r="T3007" s="1" t="s">
        <v>21418</v>
      </c>
      <c r="U3007" s="1" t="s">
        <v>48634</v>
      </c>
      <c r="V3007" s="1">
        <v>9869181926</v>
      </c>
      <c r="W3007" s="1" t="s">
        <v>21418</v>
      </c>
      <c r="X3007" s="1" t="s">
        <v>48635</v>
      </c>
      <c r="Y3007" s="1" t="s">
        <v>2259</v>
      </c>
      <c r="Z3007" s="1" t="s">
        <v>97</v>
      </c>
      <c r="AA3007" s="1" t="s">
        <v>48635</v>
      </c>
      <c r="AB3007" s="1" t="s">
        <v>2259</v>
      </c>
      <c r="AC3007" s="1" t="s">
        <v>97</v>
      </c>
      <c r="AD3007" s="1" t="s">
        <v>98</v>
      </c>
      <c r="AE3007" s="1" t="s">
        <v>98</v>
      </c>
      <c r="AF3007" s="1" t="s">
        <v>48636</v>
      </c>
      <c r="AG3007" s="1" t="s">
        <v>48637</v>
      </c>
      <c r="AH3007" s="1" t="s">
        <v>337</v>
      </c>
      <c r="AI3007" s="1" t="s">
        <v>178</v>
      </c>
      <c r="AJ3007" s="1">
        <v>90.4</v>
      </c>
      <c r="AK3007" s="1"/>
      <c r="AL3007" s="1" t="s">
        <v>17772</v>
      </c>
      <c r="AM3007" s="1" t="s">
        <v>19842</v>
      </c>
      <c r="AN3007" s="1" t="s">
        <v>465</v>
      </c>
      <c r="AO3007" s="1" t="s">
        <v>178</v>
      </c>
      <c r="AP3007" s="1" t="s">
        <v>289</v>
      </c>
      <c r="AQ3007" s="1">
        <v>68</v>
      </c>
      <c r="AR3007" s="1"/>
      <c r="AS3007" s="1"/>
      <c r="AT3007" s="1"/>
      <c r="AU3007" s="1"/>
      <c r="AV3007" s="1"/>
      <c r="AW3007" s="1"/>
      <c r="AX3007" s="1"/>
      <c r="AY3007" s="1" t="s">
        <v>18533</v>
      </c>
      <c r="AZ3007" s="1" t="s">
        <v>48638</v>
      </c>
      <c r="BA3007" s="1" t="s">
        <v>466</v>
      </c>
      <c r="BB3007" s="1" t="s">
        <v>23143</v>
      </c>
      <c r="BC3007" s="1" t="s">
        <v>110</v>
      </c>
      <c r="BD3007" s="1" t="s">
        <v>14162</v>
      </c>
      <c r="BE3007" s="1">
        <v>56.8</v>
      </c>
      <c r="BF3007" s="1">
        <v>6.43</v>
      </c>
      <c r="BG3007" s="1"/>
      <c r="BH3007" s="1"/>
      <c r="BI3007" s="1"/>
      <c r="BJ3007" s="1"/>
      <c r="BK3007" s="1"/>
      <c r="BL3007" s="1"/>
      <c r="BM3007" s="1"/>
      <c r="BN3007" s="1"/>
      <c r="BO3007" s="1" t="s">
        <v>48639</v>
      </c>
      <c r="BP3007" s="1"/>
      <c r="BQ3007" s="1"/>
      <c r="BR3007" s="1"/>
      <c r="BS3007" s="1"/>
      <c r="BT3007" s="1"/>
      <c r="BU3007" s="1" t="str">
        <f>HYPERLINK("https://nconnect.nicmar.ac.in/storage/profile/6a8eb26c38ac3.png","Download")</f>
        <v>0</v>
      </c>
      <c r="BV3007" s="3"/>
      <c r="BW3007" s="3"/>
    </row>
    <row r="3008" spans="1:75">
      <c r="A3008" s="1" t="s">
        <v>45201</v>
      </c>
      <c r="B3008" s="1" t="s">
        <v>13976</v>
      </c>
      <c r="C3008" s="1" t="s">
        <v>48640</v>
      </c>
      <c r="D3008" s="1" t="s">
        <v>48641</v>
      </c>
      <c r="E3008" s="1" t="s">
        <v>14315</v>
      </c>
      <c r="F3008" s="1" t="s">
        <v>48642</v>
      </c>
      <c r="G3008" s="1" t="s">
        <v>48643</v>
      </c>
      <c r="H3008" s="1" t="s">
        <v>48644</v>
      </c>
      <c r="I3008" s="1" t="s">
        <v>48644</v>
      </c>
      <c r="J3008" s="1">
        <v>8422929851</v>
      </c>
      <c r="K3008" s="1" t="s">
        <v>153</v>
      </c>
      <c r="L3008" s="1" t="s">
        <v>5471</v>
      </c>
      <c r="M3008" s="1" t="s">
        <v>86</v>
      </c>
      <c r="N3008" s="1" t="s">
        <v>48645</v>
      </c>
      <c r="O3008" s="1" t="s">
        <v>18565</v>
      </c>
      <c r="P3008" s="1" t="s">
        <v>356</v>
      </c>
      <c r="Q3008" s="1">
        <v>410329612874</v>
      </c>
      <c r="R3008" s="1" t="s">
        <v>48646</v>
      </c>
      <c r="S3008" s="1">
        <v>9869408892</v>
      </c>
      <c r="T3008" s="1" t="s">
        <v>48647</v>
      </c>
      <c r="U3008" s="1" t="s">
        <v>48648</v>
      </c>
      <c r="V3008" s="1">
        <v>9773055879</v>
      </c>
      <c r="W3008" s="1" t="s">
        <v>9679</v>
      </c>
      <c r="X3008" s="1" t="s">
        <v>48649</v>
      </c>
      <c r="Y3008" s="1" t="s">
        <v>2259</v>
      </c>
      <c r="Z3008" s="1" t="s">
        <v>97</v>
      </c>
      <c r="AA3008" s="1" t="s">
        <v>48650</v>
      </c>
      <c r="AB3008" s="1" t="s">
        <v>2259</v>
      </c>
      <c r="AC3008" s="1" t="s">
        <v>97</v>
      </c>
      <c r="AD3008" s="1" t="s">
        <v>98</v>
      </c>
      <c r="AE3008" s="1" t="s">
        <v>98</v>
      </c>
      <c r="AF3008" s="1" t="s">
        <v>48651</v>
      </c>
      <c r="AG3008" s="1" t="s">
        <v>14157</v>
      </c>
      <c r="AH3008" s="1" t="s">
        <v>167</v>
      </c>
      <c r="AI3008" s="1" t="s">
        <v>200</v>
      </c>
      <c r="AJ3008" s="1">
        <v>86.2</v>
      </c>
      <c r="AK3008" s="1">
        <v>9.07</v>
      </c>
      <c r="AL3008" s="1" t="s">
        <v>48652</v>
      </c>
      <c r="AM3008" s="1" t="s">
        <v>14157</v>
      </c>
      <c r="AN3008" s="1" t="s">
        <v>465</v>
      </c>
      <c r="AO3008" s="1" t="s">
        <v>388</v>
      </c>
      <c r="AP3008" s="1" t="s">
        <v>203</v>
      </c>
      <c r="AQ3008" s="1">
        <v>69.23</v>
      </c>
      <c r="AR3008" s="1">
        <v>7.28</v>
      </c>
      <c r="AS3008" s="1"/>
      <c r="AT3008" s="1"/>
      <c r="AU3008" s="1"/>
      <c r="AV3008" s="1"/>
      <c r="AW3008" s="1"/>
      <c r="AX3008" s="1"/>
      <c r="AY3008" s="1" t="s">
        <v>14380</v>
      </c>
      <c r="AZ3008" s="1" t="s">
        <v>48653</v>
      </c>
      <c r="BA3008" s="1" t="s">
        <v>682</v>
      </c>
      <c r="BB3008" s="1" t="s">
        <v>1479</v>
      </c>
      <c r="BC3008" s="1" t="s">
        <v>315</v>
      </c>
      <c r="BD3008" s="1" t="s">
        <v>418</v>
      </c>
      <c r="BE3008" s="1">
        <v>78.7</v>
      </c>
      <c r="BF3008" s="1">
        <v>8.29</v>
      </c>
      <c r="BG3008" s="1"/>
      <c r="BH3008" s="1"/>
      <c r="BI3008" s="1"/>
      <c r="BJ3008" s="1"/>
      <c r="BK3008" s="1"/>
      <c r="BL3008" s="1"/>
      <c r="BM3008" s="1"/>
      <c r="BN3008" s="1"/>
      <c r="BO3008" s="1" t="s">
        <v>48654</v>
      </c>
      <c r="BP3008" s="1" t="s">
        <v>48655</v>
      </c>
      <c r="BQ3008" s="1" t="s">
        <v>2213</v>
      </c>
      <c r="BR3008" s="1" t="s">
        <v>48656</v>
      </c>
      <c r="BS3008" s="1">
        <v>179</v>
      </c>
      <c r="BT3008" s="1"/>
      <c r="BU3008" s="1" t="str">
        <f>HYPERLINK("https://nconnect.nicmar.ac.in/storage/profile/6a84b2d60d482.png","Download")</f>
        <v>0</v>
      </c>
      <c r="BV3008" s="3"/>
      <c r="BW3008" s="3"/>
    </row>
    <row r="3009" spans="1:75">
      <c r="A3009" s="1" t="s">
        <v>45201</v>
      </c>
      <c r="B3009" s="1" t="s">
        <v>13976</v>
      </c>
      <c r="C3009" s="1" t="s">
        <v>48657</v>
      </c>
      <c r="D3009" s="1" t="s">
        <v>44405</v>
      </c>
      <c r="E3009" s="1"/>
      <c r="F3009" s="1" t="s">
        <v>48658</v>
      </c>
      <c r="G3009" s="1" t="s">
        <v>48659</v>
      </c>
      <c r="H3009" s="1" t="s">
        <v>48660</v>
      </c>
      <c r="I3009" s="1" t="s">
        <v>48661</v>
      </c>
      <c r="J3009" s="1">
        <v>8626036657</v>
      </c>
      <c r="K3009" s="1" t="s">
        <v>153</v>
      </c>
      <c r="L3009" s="1" t="s">
        <v>44781</v>
      </c>
      <c r="M3009" s="1" t="s">
        <v>86</v>
      </c>
      <c r="N3009" s="1" t="s">
        <v>903</v>
      </c>
      <c r="O3009" s="1" t="s">
        <v>48662</v>
      </c>
      <c r="P3009" s="1" t="s">
        <v>122</v>
      </c>
      <c r="Q3009" s="1">
        <v>979075605760</v>
      </c>
      <c r="R3009" s="1" t="s">
        <v>48663</v>
      </c>
      <c r="S3009" s="1">
        <v>9623036657</v>
      </c>
      <c r="T3009" s="1" t="s">
        <v>48664</v>
      </c>
      <c r="U3009" s="1" t="s">
        <v>48665</v>
      </c>
      <c r="V3009" s="1">
        <v>9923534394</v>
      </c>
      <c r="W3009" s="1" t="s">
        <v>278</v>
      </c>
      <c r="X3009" s="1" t="s">
        <v>48666</v>
      </c>
      <c r="Y3009" s="1" t="s">
        <v>910</v>
      </c>
      <c r="Z3009" s="1" t="s">
        <v>97</v>
      </c>
      <c r="AA3009" s="1" t="s">
        <v>48666</v>
      </c>
      <c r="AB3009" s="1" t="s">
        <v>910</v>
      </c>
      <c r="AC3009" s="1" t="s">
        <v>97</v>
      </c>
      <c r="AD3009" s="1" t="s">
        <v>98</v>
      </c>
      <c r="AE3009" s="1" t="s">
        <v>98</v>
      </c>
      <c r="AF3009" s="1" t="s">
        <v>48667</v>
      </c>
      <c r="AG3009" s="1" t="s">
        <v>9682</v>
      </c>
      <c r="AH3009" s="1" t="s">
        <v>284</v>
      </c>
      <c r="AI3009" s="1" t="s">
        <v>9688</v>
      </c>
      <c r="AJ3009" s="1">
        <v>91.2</v>
      </c>
      <c r="AK3009" s="1">
        <v>9.8</v>
      </c>
      <c r="AL3009" s="1" t="s">
        <v>48668</v>
      </c>
      <c r="AM3009" s="1" t="s">
        <v>9682</v>
      </c>
      <c r="AN3009" s="1" t="s">
        <v>465</v>
      </c>
      <c r="AO3009" s="1" t="s">
        <v>490</v>
      </c>
      <c r="AP3009" s="1" t="s">
        <v>14514</v>
      </c>
      <c r="AQ3009" s="1">
        <v>85.6</v>
      </c>
      <c r="AR3009" s="1"/>
      <c r="AS3009" s="1"/>
      <c r="AT3009" s="1"/>
      <c r="AU3009" s="1"/>
      <c r="AV3009" s="1"/>
      <c r="AW3009" s="1"/>
      <c r="AX3009" s="1"/>
      <c r="AY3009" s="1" t="s">
        <v>48669</v>
      </c>
      <c r="AZ3009" s="1" t="s">
        <v>48670</v>
      </c>
      <c r="BA3009" s="1" t="s">
        <v>682</v>
      </c>
      <c r="BB3009" s="1" t="s">
        <v>683</v>
      </c>
      <c r="BC3009" s="1" t="s">
        <v>206</v>
      </c>
      <c r="BD3009" s="1" t="s">
        <v>207</v>
      </c>
      <c r="BE3009" s="1">
        <v>71.2</v>
      </c>
      <c r="BF3009" s="1">
        <v>7.92</v>
      </c>
      <c r="BG3009" s="1"/>
      <c r="BH3009" s="1"/>
      <c r="BI3009" s="1"/>
      <c r="BJ3009" s="1"/>
      <c r="BK3009" s="1"/>
      <c r="BL3009" s="1"/>
      <c r="BM3009" s="1"/>
      <c r="BN3009" s="1"/>
      <c r="BO3009" s="1" t="s">
        <v>48671</v>
      </c>
      <c r="BP3009" s="1" t="s">
        <v>48672</v>
      </c>
      <c r="BQ3009" s="1" t="s">
        <v>582</v>
      </c>
      <c r="BR3009" s="1" t="s">
        <v>48673</v>
      </c>
      <c r="BS3009" s="1">
        <v>17</v>
      </c>
      <c r="BT3009" s="1"/>
      <c r="BU3009" s="1" t="str">
        <f>HYPERLINK("https://nconnect.nicmar.ac.in/storage/profile/6a87b51e92b7c.png","Download")</f>
        <v>0</v>
      </c>
      <c r="BV3009" s="3"/>
      <c r="BW3009" s="3"/>
    </row>
    <row r="3010" spans="1:75">
      <c r="A3010" s="1" t="s">
        <v>45201</v>
      </c>
      <c r="B3010" s="1" t="s">
        <v>13976</v>
      </c>
      <c r="C3010" s="1" t="s">
        <v>48674</v>
      </c>
      <c r="D3010" s="1" t="s">
        <v>18465</v>
      </c>
      <c r="E3010" s="1"/>
      <c r="F3010" s="1" t="s">
        <v>19451</v>
      </c>
      <c r="G3010" s="1" t="s">
        <v>48675</v>
      </c>
      <c r="H3010" s="1" t="s">
        <v>48676</v>
      </c>
      <c r="I3010" s="1" t="s">
        <v>48677</v>
      </c>
      <c r="J3010" s="1">
        <v>9867633042</v>
      </c>
      <c r="K3010" s="1" t="s">
        <v>153</v>
      </c>
      <c r="L3010" s="1" t="s">
        <v>9098</v>
      </c>
      <c r="M3010" s="1" t="s">
        <v>86</v>
      </c>
      <c r="N3010" s="1" t="s">
        <v>8520</v>
      </c>
      <c r="O3010" s="1" t="s">
        <v>48678</v>
      </c>
      <c r="P3010" s="1" t="s">
        <v>122</v>
      </c>
      <c r="Q3010" s="1" t="s">
        <v>48679</v>
      </c>
      <c r="R3010" s="1" t="s">
        <v>48680</v>
      </c>
      <c r="S3010" s="1">
        <v>9869026224</v>
      </c>
      <c r="T3010" s="1" t="s">
        <v>15073</v>
      </c>
      <c r="U3010" s="1" t="s">
        <v>48681</v>
      </c>
      <c r="V3010" s="1">
        <v>9372813173</v>
      </c>
      <c r="W3010" s="1" t="s">
        <v>10306</v>
      </c>
      <c r="X3010" s="1" t="s">
        <v>48682</v>
      </c>
      <c r="Y3010" s="1" t="s">
        <v>2259</v>
      </c>
      <c r="Z3010" s="1" t="s">
        <v>97</v>
      </c>
      <c r="AA3010" s="1" t="s">
        <v>48683</v>
      </c>
      <c r="AB3010" s="1" t="s">
        <v>2259</v>
      </c>
      <c r="AC3010" s="1" t="s">
        <v>97</v>
      </c>
      <c r="AD3010" s="1" t="s">
        <v>98</v>
      </c>
      <c r="AE3010" s="1" t="s">
        <v>98</v>
      </c>
      <c r="AF3010" s="1" t="s">
        <v>48684</v>
      </c>
      <c r="AG3010" s="1" t="s">
        <v>14558</v>
      </c>
      <c r="AH3010" s="1" t="s">
        <v>166</v>
      </c>
      <c r="AI3010" s="1" t="s">
        <v>1111</v>
      </c>
      <c r="AJ3010" s="1">
        <v>75.2</v>
      </c>
      <c r="AK3010" s="1">
        <v>7.92</v>
      </c>
      <c r="AL3010" s="1" t="s">
        <v>48685</v>
      </c>
      <c r="AM3010" s="1" t="s">
        <v>14558</v>
      </c>
      <c r="AN3010" s="1" t="s">
        <v>575</v>
      </c>
      <c r="AO3010" s="1" t="s">
        <v>167</v>
      </c>
      <c r="AP3010" s="1" t="s">
        <v>1477</v>
      </c>
      <c r="AQ3010" s="1">
        <v>60.46</v>
      </c>
      <c r="AR3010" s="1">
        <v>6.36</v>
      </c>
      <c r="AS3010" s="1"/>
      <c r="AT3010" s="1"/>
      <c r="AU3010" s="1"/>
      <c r="AV3010" s="1"/>
      <c r="AW3010" s="1"/>
      <c r="AX3010" s="1"/>
      <c r="AY3010" s="1" t="s">
        <v>14380</v>
      </c>
      <c r="AZ3010" s="1" t="s">
        <v>48686</v>
      </c>
      <c r="BA3010" s="1" t="s">
        <v>682</v>
      </c>
      <c r="BB3010" s="1" t="s">
        <v>1479</v>
      </c>
      <c r="BC3010" s="1" t="s">
        <v>174</v>
      </c>
      <c r="BD3010" s="1" t="s">
        <v>579</v>
      </c>
      <c r="BE3010" s="1">
        <v>65.96</v>
      </c>
      <c r="BF3010" s="1">
        <v>7.6</v>
      </c>
      <c r="BG3010" s="1"/>
      <c r="BH3010" s="1"/>
      <c r="BI3010" s="1"/>
      <c r="BJ3010" s="1"/>
      <c r="BK3010" s="1"/>
      <c r="BL3010" s="1"/>
      <c r="BM3010" s="1"/>
      <c r="BN3010" s="1"/>
      <c r="BO3010" s="1" t="s">
        <v>48687</v>
      </c>
      <c r="BP3010" s="1" t="s">
        <v>48688</v>
      </c>
      <c r="BQ3010" s="1" t="s">
        <v>10925</v>
      </c>
      <c r="BR3010" s="1" t="s">
        <v>48689</v>
      </c>
      <c r="BS3010" s="1">
        <v>22</v>
      </c>
      <c r="BT3010" s="1" t="s">
        <v>48690</v>
      </c>
      <c r="BU3010" s="1" t="str">
        <f>HYPERLINK("https://nconnect.nicmar.ac.in/storage/profile/6a852d87f1810.png","Download")</f>
        <v>0</v>
      </c>
      <c r="BV3010" s="3"/>
      <c r="BW3010" s="3"/>
    </row>
    <row r="3011" spans="1:75">
      <c r="A3011" s="1" t="s">
        <v>45201</v>
      </c>
      <c r="B3011" s="1" t="s">
        <v>13976</v>
      </c>
      <c r="C3011" s="1" t="s">
        <v>48691</v>
      </c>
      <c r="D3011" s="1" t="s">
        <v>48692</v>
      </c>
      <c r="E3011" s="1" t="s">
        <v>48693</v>
      </c>
      <c r="F3011" s="1" t="s">
        <v>16498</v>
      </c>
      <c r="G3011" s="1" t="s">
        <v>48694</v>
      </c>
      <c r="H3011" s="1" t="s">
        <v>48695</v>
      </c>
      <c r="I3011" s="1" t="s">
        <v>48696</v>
      </c>
      <c r="J3011" s="1">
        <v>7506484462</v>
      </c>
      <c r="K3011" s="1" t="s">
        <v>84</v>
      </c>
      <c r="L3011" s="1" t="s">
        <v>48697</v>
      </c>
      <c r="M3011" s="1" t="s">
        <v>86</v>
      </c>
      <c r="N3011" s="1" t="s">
        <v>20131</v>
      </c>
      <c r="O3011" s="1" t="s">
        <v>48698</v>
      </c>
      <c r="P3011" s="1" t="s">
        <v>16423</v>
      </c>
      <c r="Q3011" s="1">
        <v>240092791808</v>
      </c>
      <c r="R3011" s="1" t="s">
        <v>48699</v>
      </c>
      <c r="S3011" s="1">
        <v>7738059805</v>
      </c>
      <c r="T3011" s="1" t="s">
        <v>15965</v>
      </c>
      <c r="U3011" s="1" t="s">
        <v>48700</v>
      </c>
      <c r="V3011" s="1">
        <v>9867472231</v>
      </c>
      <c r="W3011" s="1" t="s">
        <v>22414</v>
      </c>
      <c r="X3011" s="1" t="s">
        <v>48701</v>
      </c>
      <c r="Y3011" s="1" t="s">
        <v>2259</v>
      </c>
      <c r="Z3011" s="1" t="s">
        <v>97</v>
      </c>
      <c r="AA3011" s="1" t="s">
        <v>48701</v>
      </c>
      <c r="AB3011" s="1" t="s">
        <v>2259</v>
      </c>
      <c r="AC3011" s="1" t="s">
        <v>97</v>
      </c>
      <c r="AD3011" s="1" t="s">
        <v>98</v>
      </c>
      <c r="AE3011" s="1" t="s">
        <v>98</v>
      </c>
      <c r="AF3011" s="1" t="s">
        <v>48702</v>
      </c>
      <c r="AG3011" s="1" t="s">
        <v>14261</v>
      </c>
      <c r="AH3011" s="1" t="s">
        <v>101</v>
      </c>
      <c r="AI3011" s="1" t="s">
        <v>417</v>
      </c>
      <c r="AJ3011" s="1">
        <v>81.4</v>
      </c>
      <c r="AK3011" s="1"/>
      <c r="AL3011" s="1"/>
      <c r="AM3011" s="1"/>
      <c r="AN3011" s="1"/>
      <c r="AO3011" s="1"/>
      <c r="AP3011" s="1"/>
      <c r="AQ3011" s="1"/>
      <c r="AR3011" s="1"/>
      <c r="AS3011" s="1" t="s">
        <v>467</v>
      </c>
      <c r="AT3011" s="1" t="s">
        <v>48703</v>
      </c>
      <c r="AU3011" s="1" t="s">
        <v>233</v>
      </c>
      <c r="AV3011" s="1" t="s">
        <v>234</v>
      </c>
      <c r="AW3011" s="1">
        <v>73.47</v>
      </c>
      <c r="AX3011" s="1"/>
      <c r="AY3011" s="1" t="s">
        <v>14059</v>
      </c>
      <c r="AZ3011" s="1" t="s">
        <v>48704</v>
      </c>
      <c r="BA3011" s="1" t="s">
        <v>578</v>
      </c>
      <c r="BB3011" s="1" t="s">
        <v>467</v>
      </c>
      <c r="BC3011" s="1" t="s">
        <v>233</v>
      </c>
      <c r="BD3011" s="1" t="s">
        <v>234</v>
      </c>
      <c r="BE3011" s="1">
        <v>61.42</v>
      </c>
      <c r="BF3011" s="1">
        <v>6.96</v>
      </c>
      <c r="BG3011" s="1"/>
      <c r="BH3011" s="1"/>
      <c r="BI3011" s="1"/>
      <c r="BJ3011" s="1"/>
      <c r="BK3011" s="1"/>
      <c r="BL3011" s="1"/>
      <c r="BM3011" s="1"/>
      <c r="BN3011" s="1"/>
      <c r="BO3011" s="1" t="s">
        <v>11309</v>
      </c>
      <c r="BP3011" s="1"/>
      <c r="BQ3011" s="1"/>
      <c r="BR3011" s="1" t="s">
        <v>48705</v>
      </c>
      <c r="BS3011" s="1">
        <v>24</v>
      </c>
      <c r="BT3011" s="1" t="s">
        <v>48706</v>
      </c>
      <c r="BU3011" s="1" t="str">
        <f>HYPERLINK("https://nconnect.nicmar.ac.in/storage/profile/6a8e87edcc63e.png","Download")</f>
        <v>0</v>
      </c>
      <c r="BV3011" s="3"/>
      <c r="BW3011" s="3"/>
    </row>
    <row r="3012" spans="1:75">
      <c r="A3012" s="1" t="s">
        <v>45201</v>
      </c>
      <c r="B3012" s="1" t="s">
        <v>13976</v>
      </c>
      <c r="C3012" s="1" t="s">
        <v>48707</v>
      </c>
      <c r="D3012" s="1" t="s">
        <v>48708</v>
      </c>
      <c r="E3012" s="1" t="s">
        <v>16930</v>
      </c>
      <c r="F3012" s="1" t="s">
        <v>48709</v>
      </c>
      <c r="G3012" s="1" t="s">
        <v>48710</v>
      </c>
      <c r="H3012" s="1" t="s">
        <v>48711</v>
      </c>
      <c r="I3012" s="1" t="s">
        <v>48712</v>
      </c>
      <c r="J3012" s="1">
        <v>8693884013</v>
      </c>
      <c r="K3012" s="1" t="s">
        <v>84</v>
      </c>
      <c r="L3012" s="1" t="s">
        <v>12594</v>
      </c>
      <c r="M3012" s="1" t="s">
        <v>86</v>
      </c>
      <c r="N3012" s="1" t="s">
        <v>7152</v>
      </c>
      <c r="O3012" s="1" t="s">
        <v>48713</v>
      </c>
      <c r="P3012" s="1" t="s">
        <v>219</v>
      </c>
      <c r="Q3012" s="1">
        <v>241752403296</v>
      </c>
      <c r="R3012" s="1" t="s">
        <v>16930</v>
      </c>
      <c r="S3012" s="1">
        <v>8928967329</v>
      </c>
      <c r="T3012" s="1" t="s">
        <v>48714</v>
      </c>
      <c r="U3012" s="1" t="s">
        <v>48715</v>
      </c>
      <c r="V3012" s="1">
        <v>9920062651</v>
      </c>
      <c r="W3012" s="1" t="s">
        <v>48716</v>
      </c>
      <c r="X3012" s="1" t="s">
        <v>48717</v>
      </c>
      <c r="Y3012" s="1" t="s">
        <v>2259</v>
      </c>
      <c r="Z3012" s="1" t="s">
        <v>97</v>
      </c>
      <c r="AA3012" s="1" t="s">
        <v>48717</v>
      </c>
      <c r="AB3012" s="1" t="s">
        <v>2259</v>
      </c>
      <c r="AC3012" s="1" t="s">
        <v>97</v>
      </c>
      <c r="AD3012" s="1" t="s">
        <v>98</v>
      </c>
      <c r="AE3012" s="1" t="s">
        <v>98</v>
      </c>
      <c r="AF3012" s="1" t="s">
        <v>48718</v>
      </c>
      <c r="AG3012" s="1" t="s">
        <v>48719</v>
      </c>
      <c r="AH3012" s="1" t="s">
        <v>704</v>
      </c>
      <c r="AI3012" s="1" t="s">
        <v>171</v>
      </c>
      <c r="AJ3012" s="1">
        <v>82.83</v>
      </c>
      <c r="AK3012" s="1">
        <v>8.67</v>
      </c>
      <c r="AL3012" s="1" t="s">
        <v>48720</v>
      </c>
      <c r="AM3012" s="1" t="s">
        <v>20081</v>
      </c>
      <c r="AN3012" s="1" t="s">
        <v>465</v>
      </c>
      <c r="AO3012" s="1" t="s">
        <v>438</v>
      </c>
      <c r="AP3012" s="1" t="s">
        <v>417</v>
      </c>
      <c r="AQ3012" s="1">
        <v>75.69</v>
      </c>
      <c r="AR3012" s="1">
        <v>7.97</v>
      </c>
      <c r="AS3012" s="1"/>
      <c r="AT3012" s="1"/>
      <c r="AU3012" s="1"/>
      <c r="AV3012" s="1"/>
      <c r="AW3012" s="1"/>
      <c r="AX3012" s="1"/>
      <c r="AY3012" s="1" t="s">
        <v>14059</v>
      </c>
      <c r="AZ3012" s="1" t="s">
        <v>48721</v>
      </c>
      <c r="BA3012" s="1" t="s">
        <v>682</v>
      </c>
      <c r="BB3012" s="1" t="s">
        <v>683</v>
      </c>
      <c r="BC3012" s="1" t="s">
        <v>368</v>
      </c>
      <c r="BD3012" s="1" t="s">
        <v>9688</v>
      </c>
      <c r="BE3012" s="1">
        <v>70.49</v>
      </c>
      <c r="BF3012" s="1">
        <v>7.43</v>
      </c>
      <c r="BG3012" s="1"/>
      <c r="BH3012" s="1"/>
      <c r="BI3012" s="1"/>
      <c r="BJ3012" s="1"/>
      <c r="BK3012" s="1"/>
      <c r="BL3012" s="1"/>
      <c r="BM3012" s="1"/>
      <c r="BN3012" s="1"/>
      <c r="BO3012" s="1" t="s">
        <v>48722</v>
      </c>
      <c r="BP3012" s="1"/>
      <c r="BQ3012" s="1"/>
      <c r="BR3012" s="1" t="s">
        <v>48723</v>
      </c>
      <c r="BS3012" s="1">
        <v>20</v>
      </c>
      <c r="BT3012" s="1"/>
      <c r="BU3012" s="1" t="str">
        <f>HYPERLINK("https://nconnect.nicmar.ac.in/storage/profile/6a85b71437042.png","Download")</f>
        <v>0</v>
      </c>
      <c r="BV3012" s="3"/>
      <c r="BW3012" s="3"/>
    </row>
    <row r="3013" spans="1:75">
      <c r="A3013" s="1" t="s">
        <v>45201</v>
      </c>
      <c r="B3013" s="1" t="s">
        <v>13976</v>
      </c>
      <c r="C3013" s="1" t="s">
        <v>48724</v>
      </c>
      <c r="D3013" s="1" t="s">
        <v>48725</v>
      </c>
      <c r="E3013" s="1" t="s">
        <v>48726</v>
      </c>
      <c r="F3013" s="1" t="s">
        <v>48727</v>
      </c>
      <c r="G3013" s="1" t="s">
        <v>48728</v>
      </c>
      <c r="H3013" s="1" t="s">
        <v>48729</v>
      </c>
      <c r="I3013" s="1" t="s">
        <v>48730</v>
      </c>
      <c r="J3013" s="1">
        <v>9555934179</v>
      </c>
      <c r="K3013" s="1" t="s">
        <v>84</v>
      </c>
      <c r="L3013" s="1" t="s">
        <v>22356</v>
      </c>
      <c r="M3013" s="1" t="s">
        <v>86</v>
      </c>
      <c r="N3013" s="1" t="s">
        <v>48731</v>
      </c>
      <c r="O3013" s="1" t="s">
        <v>48732</v>
      </c>
      <c r="P3013" s="1" t="s">
        <v>122</v>
      </c>
      <c r="Q3013" s="1">
        <v>980599535558</v>
      </c>
      <c r="R3013" s="1" t="s">
        <v>48727</v>
      </c>
      <c r="S3013" s="1">
        <v>7710825714</v>
      </c>
      <c r="T3013" s="1" t="s">
        <v>48733</v>
      </c>
      <c r="U3013" s="1" t="s">
        <v>21279</v>
      </c>
      <c r="V3013" s="1">
        <v>7710825714</v>
      </c>
      <c r="W3013" s="1" t="s">
        <v>14212</v>
      </c>
      <c r="X3013" s="1" t="s">
        <v>48734</v>
      </c>
      <c r="Y3013" s="1" t="s">
        <v>4302</v>
      </c>
      <c r="Z3013" s="1" t="s">
        <v>97</v>
      </c>
      <c r="AA3013" s="1" t="s">
        <v>48734</v>
      </c>
      <c r="AB3013" s="1" t="s">
        <v>4302</v>
      </c>
      <c r="AC3013" s="1" t="s">
        <v>97</v>
      </c>
      <c r="AD3013" s="1" t="s">
        <v>98</v>
      </c>
      <c r="AE3013" s="1" t="s">
        <v>98</v>
      </c>
      <c r="AF3013" s="1" t="s">
        <v>48735</v>
      </c>
      <c r="AG3013" s="1" t="s">
        <v>48736</v>
      </c>
      <c r="AH3013" s="1" t="s">
        <v>166</v>
      </c>
      <c r="AI3013" s="1" t="s">
        <v>14083</v>
      </c>
      <c r="AJ3013" s="1">
        <v>65.8</v>
      </c>
      <c r="AK3013" s="1"/>
      <c r="AL3013" s="1" t="s">
        <v>48735</v>
      </c>
      <c r="AM3013" s="1" t="s">
        <v>48736</v>
      </c>
      <c r="AN3013" s="1" t="s">
        <v>575</v>
      </c>
      <c r="AO3013" s="1" t="s">
        <v>170</v>
      </c>
      <c r="AP3013" s="1" t="s">
        <v>1477</v>
      </c>
      <c r="AQ3013" s="1">
        <v>62.0</v>
      </c>
      <c r="AR3013" s="1"/>
      <c r="AS3013" s="1"/>
      <c r="AT3013" s="1"/>
      <c r="AU3013" s="1"/>
      <c r="AV3013" s="1"/>
      <c r="AW3013" s="1"/>
      <c r="AX3013" s="1"/>
      <c r="AY3013" s="1" t="s">
        <v>14059</v>
      </c>
      <c r="AZ3013" s="1" t="s">
        <v>48737</v>
      </c>
      <c r="BA3013" s="1" t="s">
        <v>578</v>
      </c>
      <c r="BB3013" s="1" t="s">
        <v>467</v>
      </c>
      <c r="BC3013" s="1" t="s">
        <v>174</v>
      </c>
      <c r="BD3013" s="1" t="s">
        <v>4722</v>
      </c>
      <c r="BE3013" s="1">
        <v>71.87</v>
      </c>
      <c r="BF3013" s="1">
        <v>8.09</v>
      </c>
      <c r="BG3013" s="1"/>
      <c r="BH3013" s="1"/>
      <c r="BI3013" s="1"/>
      <c r="BJ3013" s="1"/>
      <c r="BK3013" s="1"/>
      <c r="BL3013" s="1"/>
      <c r="BM3013" s="1"/>
      <c r="BN3013" s="1"/>
      <c r="BO3013" s="1" t="s">
        <v>48738</v>
      </c>
      <c r="BP3013" s="1" t="s">
        <v>48739</v>
      </c>
      <c r="BQ3013" s="1" t="s">
        <v>3426</v>
      </c>
      <c r="BR3013" s="1" t="s">
        <v>48740</v>
      </c>
      <c r="BS3013" s="1">
        <v>13</v>
      </c>
      <c r="BT3013" s="1" t="s">
        <v>48741</v>
      </c>
      <c r="BU3013" s="1" t="str">
        <f>HYPERLINK("https://nconnect.nicmar.ac.in/storage/profile/6a85b5764256b.png","Download")</f>
        <v>0</v>
      </c>
      <c r="BV3013" s="3"/>
      <c r="BW3013" s="3"/>
    </row>
    <row r="3014" spans="1:75">
      <c r="A3014" s="1" t="s">
        <v>45201</v>
      </c>
      <c r="B3014" s="1" t="s">
        <v>13976</v>
      </c>
      <c r="C3014" s="1" t="s">
        <v>48742</v>
      </c>
      <c r="D3014" s="1" t="s">
        <v>16309</v>
      </c>
      <c r="E3014" s="1" t="s">
        <v>48743</v>
      </c>
      <c r="F3014" s="1" t="s">
        <v>19681</v>
      </c>
      <c r="G3014" s="1" t="s">
        <v>48744</v>
      </c>
      <c r="H3014" s="1" t="s">
        <v>48745</v>
      </c>
      <c r="I3014" s="1" t="s">
        <v>48746</v>
      </c>
      <c r="J3014" s="1">
        <v>9359482039</v>
      </c>
      <c r="K3014" s="1" t="s">
        <v>84</v>
      </c>
      <c r="L3014" s="1" t="s">
        <v>48747</v>
      </c>
      <c r="M3014" s="1" t="s">
        <v>86</v>
      </c>
      <c r="N3014" s="1" t="s">
        <v>19632</v>
      </c>
      <c r="O3014" s="1" t="s">
        <v>48748</v>
      </c>
      <c r="P3014" s="1" t="s">
        <v>122</v>
      </c>
      <c r="Q3014" s="1">
        <v>598737654875</v>
      </c>
      <c r="R3014" s="1" t="s">
        <v>48743</v>
      </c>
      <c r="S3014" s="1">
        <v>9767878587</v>
      </c>
      <c r="T3014" s="1" t="s">
        <v>13987</v>
      </c>
      <c r="U3014" s="1" t="s">
        <v>48749</v>
      </c>
      <c r="V3014" s="1">
        <v>9309323868</v>
      </c>
      <c r="W3014" s="1" t="s">
        <v>14710</v>
      </c>
      <c r="X3014" s="1" t="s">
        <v>48750</v>
      </c>
      <c r="Y3014" s="1" t="s">
        <v>910</v>
      </c>
      <c r="Z3014" s="1" t="s">
        <v>97</v>
      </c>
      <c r="AA3014" s="1" t="s">
        <v>48751</v>
      </c>
      <c r="AB3014" s="1" t="s">
        <v>196</v>
      </c>
      <c r="AC3014" s="1" t="s">
        <v>97</v>
      </c>
      <c r="AD3014" s="1" t="s">
        <v>98</v>
      </c>
      <c r="AE3014" s="1" t="s">
        <v>98</v>
      </c>
      <c r="AF3014" s="1" t="s">
        <v>48752</v>
      </c>
      <c r="AG3014" s="1" t="s">
        <v>48753</v>
      </c>
      <c r="AH3014" s="1" t="s">
        <v>170</v>
      </c>
      <c r="AI3014" s="1" t="s">
        <v>286</v>
      </c>
      <c r="AJ3014" s="1">
        <v>86.68</v>
      </c>
      <c r="AK3014" s="1"/>
      <c r="AL3014" s="1"/>
      <c r="AM3014" s="1"/>
      <c r="AN3014" s="1"/>
      <c r="AO3014" s="1"/>
      <c r="AP3014" s="1"/>
      <c r="AQ3014" s="1"/>
      <c r="AR3014" s="1"/>
      <c r="AS3014" s="1" t="s">
        <v>17385</v>
      </c>
      <c r="AT3014" s="1" t="s">
        <v>48754</v>
      </c>
      <c r="AU3014" s="1" t="s">
        <v>106</v>
      </c>
      <c r="AV3014" s="1" t="s">
        <v>441</v>
      </c>
      <c r="AW3014" s="1">
        <v>91.0</v>
      </c>
      <c r="AX3014" s="1"/>
      <c r="AY3014" s="1" t="s">
        <v>14530</v>
      </c>
      <c r="AZ3014" s="1" t="s">
        <v>48755</v>
      </c>
      <c r="BA3014" s="1" t="s">
        <v>578</v>
      </c>
      <c r="BB3014" s="1" t="s">
        <v>467</v>
      </c>
      <c r="BC3014" s="1" t="s">
        <v>871</v>
      </c>
      <c r="BD3014" s="1" t="s">
        <v>1242</v>
      </c>
      <c r="BE3014" s="1">
        <v>72</v>
      </c>
      <c r="BF3014" s="1"/>
      <c r="BG3014" s="1"/>
      <c r="BH3014" s="1"/>
      <c r="BI3014" s="1"/>
      <c r="BJ3014" s="1"/>
      <c r="BK3014" s="1"/>
      <c r="BL3014" s="1"/>
      <c r="BM3014" s="1"/>
      <c r="BN3014" s="1"/>
      <c r="BO3014" s="1" t="s">
        <v>48756</v>
      </c>
      <c r="BP3014" s="1" t="s">
        <v>48757</v>
      </c>
      <c r="BQ3014" s="1" t="s">
        <v>780</v>
      </c>
      <c r="BR3014" s="1" t="s">
        <v>48758</v>
      </c>
      <c r="BS3014" s="1">
        <v>40</v>
      </c>
      <c r="BT3014" s="1"/>
      <c r="BU3014" s="1" t="str">
        <f>HYPERLINK("https://nconnect.nicmar.ac.in/storage/profile/6a859ac01bc2f.png","Download")</f>
        <v>0</v>
      </c>
      <c r="BV3014" s="3"/>
      <c r="BW3014" s="3"/>
    </row>
    <row r="3015" spans="1:75">
      <c r="A3015" s="1" t="s">
        <v>45201</v>
      </c>
      <c r="B3015" s="1" t="s">
        <v>13976</v>
      </c>
      <c r="C3015" s="1" t="s">
        <v>48759</v>
      </c>
      <c r="D3015" s="1" t="s">
        <v>22278</v>
      </c>
      <c r="E3015" s="1" t="s">
        <v>23788</v>
      </c>
      <c r="F3015" s="1" t="s">
        <v>14460</v>
      </c>
      <c r="G3015" s="1" t="s">
        <v>48760</v>
      </c>
      <c r="H3015" s="1" t="s">
        <v>48761</v>
      </c>
      <c r="I3015" s="1" t="s">
        <v>48762</v>
      </c>
      <c r="J3015" s="1">
        <v>8830354274</v>
      </c>
      <c r="K3015" s="1" t="s">
        <v>84</v>
      </c>
      <c r="L3015" s="1" t="s">
        <v>37761</v>
      </c>
      <c r="M3015" s="1" t="s">
        <v>86</v>
      </c>
      <c r="N3015" s="1" t="s">
        <v>14332</v>
      </c>
      <c r="O3015" s="1" t="s">
        <v>48763</v>
      </c>
      <c r="P3015" s="1" t="s">
        <v>89</v>
      </c>
      <c r="Q3015" s="1" t="s">
        <v>48764</v>
      </c>
      <c r="R3015" s="1" t="s">
        <v>23788</v>
      </c>
      <c r="S3015" s="1">
        <v>9822831607</v>
      </c>
      <c r="T3015" s="1" t="s">
        <v>14352</v>
      </c>
      <c r="U3015" s="1" t="s">
        <v>18490</v>
      </c>
      <c r="V3015" s="1">
        <v>9011212726</v>
      </c>
      <c r="W3015" s="1" t="s">
        <v>48765</v>
      </c>
      <c r="X3015" s="1" t="s">
        <v>48766</v>
      </c>
      <c r="Y3015" s="1" t="s">
        <v>5083</v>
      </c>
      <c r="Z3015" s="1" t="s">
        <v>97</v>
      </c>
      <c r="AA3015" s="1" t="s">
        <v>48766</v>
      </c>
      <c r="AB3015" s="1" t="s">
        <v>5083</v>
      </c>
      <c r="AC3015" s="1" t="s">
        <v>97</v>
      </c>
      <c r="AD3015" s="1" t="s">
        <v>98</v>
      </c>
      <c r="AE3015" s="1" t="s">
        <v>98</v>
      </c>
      <c r="AF3015" s="1" t="s">
        <v>48767</v>
      </c>
      <c r="AG3015" s="1" t="s">
        <v>48768</v>
      </c>
      <c r="AH3015" s="1" t="s">
        <v>1065</v>
      </c>
      <c r="AI3015" s="1" t="s">
        <v>414</v>
      </c>
      <c r="AJ3015" s="1">
        <v>65.8</v>
      </c>
      <c r="AK3015" s="1"/>
      <c r="AL3015" s="1"/>
      <c r="AM3015" s="1"/>
      <c r="AN3015" s="1"/>
      <c r="AO3015" s="1"/>
      <c r="AP3015" s="1"/>
      <c r="AQ3015" s="1"/>
      <c r="AR3015" s="1"/>
      <c r="AS3015" s="1" t="s">
        <v>23500</v>
      </c>
      <c r="AT3015" s="1" t="s">
        <v>48769</v>
      </c>
      <c r="AU3015" s="1" t="s">
        <v>206</v>
      </c>
      <c r="AV3015" s="1" t="s">
        <v>1886</v>
      </c>
      <c r="AW3015" s="1">
        <v>83.32</v>
      </c>
      <c r="AX3015" s="1"/>
      <c r="AY3015" s="1" t="s">
        <v>48770</v>
      </c>
      <c r="AZ3015" s="1" t="s">
        <v>48771</v>
      </c>
      <c r="BA3015" s="1" t="s">
        <v>578</v>
      </c>
      <c r="BB3015" s="1" t="s">
        <v>467</v>
      </c>
      <c r="BC3015" s="1" t="s">
        <v>289</v>
      </c>
      <c r="BD3015" s="1" t="s">
        <v>553</v>
      </c>
      <c r="BE3015" s="1">
        <v>75.8</v>
      </c>
      <c r="BF3015" s="1">
        <v>8.43</v>
      </c>
      <c r="BG3015" s="1"/>
      <c r="BH3015" s="1"/>
      <c r="BI3015" s="1"/>
      <c r="BJ3015" s="1"/>
      <c r="BK3015" s="1"/>
      <c r="BL3015" s="1"/>
      <c r="BM3015" s="1"/>
      <c r="BN3015" s="1"/>
      <c r="BO3015" s="1" t="s">
        <v>48772</v>
      </c>
      <c r="BP3015" s="1" t="s">
        <v>48773</v>
      </c>
      <c r="BQ3015" s="1" t="s">
        <v>1174</v>
      </c>
      <c r="BR3015" s="1"/>
      <c r="BS3015" s="1"/>
      <c r="BT3015" s="1"/>
      <c r="BU3015" s="1" t="str">
        <f>HYPERLINK("https://nconnect.nicmar.ac.in/storage/profile/6a848fc725c52.png","Download")</f>
        <v>0</v>
      </c>
      <c r="BV3015" s="3"/>
      <c r="BW3015" s="3"/>
    </row>
    <row r="3016" spans="1:75">
      <c r="A3016" s="1" t="s">
        <v>45201</v>
      </c>
      <c r="B3016" s="1" t="s">
        <v>13976</v>
      </c>
      <c r="C3016" s="1" t="s">
        <v>48774</v>
      </c>
      <c r="D3016" s="1" t="s">
        <v>48775</v>
      </c>
      <c r="E3016" s="1" t="s">
        <v>14387</v>
      </c>
      <c r="F3016" s="1" t="s">
        <v>23013</v>
      </c>
      <c r="G3016" s="1" t="s">
        <v>48776</v>
      </c>
      <c r="H3016" s="1" t="s">
        <v>48777</v>
      </c>
      <c r="I3016" s="1" t="s">
        <v>48778</v>
      </c>
      <c r="J3016" s="1">
        <v>9072237571</v>
      </c>
      <c r="K3016" s="1" t="s">
        <v>84</v>
      </c>
      <c r="L3016" s="1" t="s">
        <v>48779</v>
      </c>
      <c r="M3016" s="1" t="s">
        <v>86</v>
      </c>
      <c r="N3016" s="1" t="s">
        <v>7058</v>
      </c>
      <c r="O3016" s="1" t="s">
        <v>48780</v>
      </c>
      <c r="P3016" s="1" t="s">
        <v>219</v>
      </c>
      <c r="Q3016" s="1">
        <v>347907149160</v>
      </c>
      <c r="R3016" s="1" t="s">
        <v>48781</v>
      </c>
      <c r="S3016" s="1">
        <v>7907314147</v>
      </c>
      <c r="T3016" s="1" t="s">
        <v>3439</v>
      </c>
      <c r="U3016" s="1" t="s">
        <v>48782</v>
      </c>
      <c r="V3016" s="1">
        <v>9400459409</v>
      </c>
      <c r="W3016" s="1" t="s">
        <v>3439</v>
      </c>
      <c r="X3016" s="1" t="s">
        <v>48783</v>
      </c>
      <c r="Y3016" s="1" t="s">
        <v>701</v>
      </c>
      <c r="Z3016" s="1" t="s">
        <v>130</v>
      </c>
      <c r="AA3016" s="1" t="s">
        <v>48783</v>
      </c>
      <c r="AB3016" s="1" t="s">
        <v>701</v>
      </c>
      <c r="AC3016" s="1" t="s">
        <v>130</v>
      </c>
      <c r="AD3016" s="1" t="s">
        <v>98</v>
      </c>
      <c r="AE3016" s="1" t="s">
        <v>98</v>
      </c>
      <c r="AF3016" s="1" t="s">
        <v>48784</v>
      </c>
      <c r="AG3016" s="1" t="s">
        <v>48785</v>
      </c>
      <c r="AH3016" s="1" t="s">
        <v>166</v>
      </c>
      <c r="AI3016" s="1" t="s">
        <v>627</v>
      </c>
      <c r="AJ3016" s="1">
        <v>79.8</v>
      </c>
      <c r="AK3016" s="1">
        <v>8.4</v>
      </c>
      <c r="AL3016" s="1" t="s">
        <v>48786</v>
      </c>
      <c r="AM3016" s="1" t="s">
        <v>48785</v>
      </c>
      <c r="AN3016" s="1" t="s">
        <v>465</v>
      </c>
      <c r="AO3016" s="1" t="s">
        <v>170</v>
      </c>
      <c r="AP3016" s="1" t="s">
        <v>171</v>
      </c>
      <c r="AQ3016" s="1">
        <v>67.6</v>
      </c>
      <c r="AR3016" s="1"/>
      <c r="AS3016" s="1"/>
      <c r="AT3016" s="1"/>
      <c r="AU3016" s="1"/>
      <c r="AV3016" s="1"/>
      <c r="AW3016" s="1"/>
      <c r="AX3016" s="1"/>
      <c r="AY3016" s="1" t="s">
        <v>15573</v>
      </c>
      <c r="AZ3016" s="1" t="s">
        <v>48787</v>
      </c>
      <c r="BA3016" s="1" t="s">
        <v>466</v>
      </c>
      <c r="BB3016" s="1" t="s">
        <v>467</v>
      </c>
      <c r="BC3016" s="1" t="s">
        <v>1065</v>
      </c>
      <c r="BD3016" s="1" t="s">
        <v>289</v>
      </c>
      <c r="BE3016" s="1">
        <v>64.22</v>
      </c>
      <c r="BF3016" s="1">
        <v>6.76</v>
      </c>
      <c r="BG3016" s="1"/>
      <c r="BH3016" s="1"/>
      <c r="BI3016" s="1"/>
      <c r="BJ3016" s="1"/>
      <c r="BK3016" s="1"/>
      <c r="BL3016" s="1"/>
      <c r="BM3016" s="1"/>
      <c r="BN3016" s="1"/>
      <c r="BO3016" s="1" t="s">
        <v>48788</v>
      </c>
      <c r="BP3016" s="1" t="s">
        <v>48789</v>
      </c>
      <c r="BQ3016" s="1" t="s">
        <v>12940</v>
      </c>
      <c r="BR3016" s="1"/>
      <c r="BS3016" s="1"/>
      <c r="BT3016" s="1" t="s">
        <v>48790</v>
      </c>
      <c r="BU3016" s="1" t="str">
        <f>HYPERLINK("https://nconnect.nicmar.ac.in/storage/profile/6a81b0326998b.png","Download")</f>
        <v>0</v>
      </c>
      <c r="BV3016" s="3"/>
      <c r="BW3016" s="3"/>
    </row>
    <row r="3017" spans="1:75">
      <c r="A3017" s="1" t="s">
        <v>45201</v>
      </c>
      <c r="B3017" s="1" t="s">
        <v>13976</v>
      </c>
      <c r="C3017" s="1" t="s">
        <v>48791</v>
      </c>
      <c r="D3017" s="1" t="s">
        <v>17605</v>
      </c>
      <c r="E3017" s="1" t="s">
        <v>48792</v>
      </c>
      <c r="F3017" s="1" t="s">
        <v>23908</v>
      </c>
      <c r="G3017" s="1" t="s">
        <v>48793</v>
      </c>
      <c r="H3017" s="1" t="s">
        <v>48794</v>
      </c>
      <c r="I3017" s="1" t="s">
        <v>48794</v>
      </c>
      <c r="J3017" s="1">
        <v>8530164165</v>
      </c>
      <c r="K3017" s="1" t="s">
        <v>153</v>
      </c>
      <c r="L3017" s="1" t="s">
        <v>5097</v>
      </c>
      <c r="M3017" s="1" t="s">
        <v>86</v>
      </c>
      <c r="N3017" s="1" t="s">
        <v>768</v>
      </c>
      <c r="O3017" s="1" t="s">
        <v>48795</v>
      </c>
      <c r="P3017" s="1" t="s">
        <v>89</v>
      </c>
      <c r="Q3017" s="1">
        <v>965084309633</v>
      </c>
      <c r="R3017" s="1" t="s">
        <v>48796</v>
      </c>
      <c r="S3017" s="1">
        <v>9850899633</v>
      </c>
      <c r="T3017" s="1" t="s">
        <v>3439</v>
      </c>
      <c r="U3017" s="1" t="s">
        <v>48797</v>
      </c>
      <c r="V3017" s="1">
        <v>8668271127</v>
      </c>
      <c r="W3017" s="1" t="s">
        <v>14154</v>
      </c>
      <c r="X3017" s="1" t="s">
        <v>48798</v>
      </c>
      <c r="Y3017" s="1" t="s">
        <v>196</v>
      </c>
      <c r="Z3017" s="1" t="s">
        <v>97</v>
      </c>
      <c r="AA3017" s="1" t="s">
        <v>48798</v>
      </c>
      <c r="AB3017" s="1" t="s">
        <v>196</v>
      </c>
      <c r="AC3017" s="1" t="s">
        <v>97</v>
      </c>
      <c r="AD3017" s="1" t="s">
        <v>98</v>
      </c>
      <c r="AE3017" s="1" t="s">
        <v>98</v>
      </c>
      <c r="AF3017" s="1" t="s">
        <v>48799</v>
      </c>
      <c r="AG3017" s="1" t="s">
        <v>48800</v>
      </c>
      <c r="AH3017" s="1" t="s">
        <v>170</v>
      </c>
      <c r="AI3017" s="1" t="s">
        <v>171</v>
      </c>
      <c r="AJ3017" s="1">
        <v>88.2</v>
      </c>
      <c r="AK3017" s="1"/>
      <c r="AL3017" s="1" t="s">
        <v>48801</v>
      </c>
      <c r="AM3017" s="1" t="s">
        <v>48800</v>
      </c>
      <c r="AN3017" s="1" t="s">
        <v>575</v>
      </c>
      <c r="AO3017" s="1" t="s">
        <v>438</v>
      </c>
      <c r="AP3017" s="1" t="s">
        <v>178</v>
      </c>
      <c r="AQ3017" s="1">
        <v>65.38</v>
      </c>
      <c r="AR3017" s="1"/>
      <c r="AS3017" s="1"/>
      <c r="AT3017" s="1"/>
      <c r="AU3017" s="1"/>
      <c r="AV3017" s="1"/>
      <c r="AW3017" s="1"/>
      <c r="AX3017" s="1"/>
      <c r="AY3017" s="1" t="s">
        <v>14160</v>
      </c>
      <c r="AZ3017" s="1" t="s">
        <v>48802</v>
      </c>
      <c r="BA3017" s="1" t="s">
        <v>682</v>
      </c>
      <c r="BB3017" s="1" t="s">
        <v>683</v>
      </c>
      <c r="BC3017" s="1" t="s">
        <v>1171</v>
      </c>
      <c r="BD3017" s="1" t="s">
        <v>1401</v>
      </c>
      <c r="BE3017" s="1">
        <v>65.9</v>
      </c>
      <c r="BF3017" s="1">
        <v>7.34</v>
      </c>
      <c r="BG3017" s="1"/>
      <c r="BH3017" s="1"/>
      <c r="BI3017" s="1"/>
      <c r="BJ3017" s="1"/>
      <c r="BK3017" s="1"/>
      <c r="BL3017" s="1"/>
      <c r="BM3017" s="1"/>
      <c r="BN3017" s="1"/>
      <c r="BO3017" s="1" t="s">
        <v>48803</v>
      </c>
      <c r="BP3017" s="1" t="s">
        <v>48804</v>
      </c>
      <c r="BQ3017" s="1" t="s">
        <v>658</v>
      </c>
      <c r="BR3017" s="1"/>
      <c r="BS3017" s="1"/>
      <c r="BT3017" s="1"/>
      <c r="BU3017" s="1" t="str">
        <f>HYPERLINK("https://nconnect.nicmar.ac.in/storage/profile/6a85d61ce987a.png","Download")</f>
        <v>0</v>
      </c>
      <c r="BV3017" s="3"/>
      <c r="BW3017" s="3"/>
    </row>
    <row r="3018" spans="1:75">
      <c r="A3018" s="1" t="s">
        <v>45201</v>
      </c>
      <c r="B3018" s="1" t="s">
        <v>13976</v>
      </c>
      <c r="C3018" s="1" t="s">
        <v>48805</v>
      </c>
      <c r="D3018" s="1" t="s">
        <v>15437</v>
      </c>
      <c r="E3018" s="1" t="s">
        <v>9660</v>
      </c>
      <c r="F3018" s="1" t="s">
        <v>48806</v>
      </c>
      <c r="G3018" s="1" t="s">
        <v>48807</v>
      </c>
      <c r="H3018" s="1" t="s">
        <v>48808</v>
      </c>
      <c r="I3018" s="1" t="s">
        <v>48809</v>
      </c>
      <c r="J3018" s="1">
        <v>8788171260</v>
      </c>
      <c r="K3018" s="1" t="s">
        <v>153</v>
      </c>
      <c r="L3018" s="1" t="s">
        <v>48810</v>
      </c>
      <c r="M3018" s="1" t="s">
        <v>86</v>
      </c>
      <c r="N3018" s="1" t="s">
        <v>48811</v>
      </c>
      <c r="O3018" s="1" t="s">
        <v>48812</v>
      </c>
      <c r="P3018" s="1" t="s">
        <v>89</v>
      </c>
      <c r="Q3018" s="1">
        <v>564825167886</v>
      </c>
      <c r="R3018" s="1" t="s">
        <v>48813</v>
      </c>
      <c r="S3018" s="1">
        <v>9607178201</v>
      </c>
      <c r="T3018" s="1" t="s">
        <v>48814</v>
      </c>
      <c r="U3018" s="1" t="s">
        <v>48815</v>
      </c>
      <c r="V3018" s="1">
        <v>7498578239</v>
      </c>
      <c r="W3018" s="1" t="s">
        <v>10306</v>
      </c>
      <c r="X3018" s="1" t="s">
        <v>48816</v>
      </c>
      <c r="Y3018" s="1" t="s">
        <v>196</v>
      </c>
      <c r="Z3018" s="1" t="s">
        <v>97</v>
      </c>
      <c r="AA3018" s="1" t="s">
        <v>48816</v>
      </c>
      <c r="AB3018" s="1" t="s">
        <v>196</v>
      </c>
      <c r="AC3018" s="1" t="s">
        <v>97</v>
      </c>
      <c r="AD3018" s="1" t="s">
        <v>98</v>
      </c>
      <c r="AE3018" s="1" t="s">
        <v>98</v>
      </c>
      <c r="AF3018" s="1" t="s">
        <v>48817</v>
      </c>
      <c r="AG3018" s="1" t="s">
        <v>48818</v>
      </c>
      <c r="AH3018" s="1" t="s">
        <v>170</v>
      </c>
      <c r="AI3018" s="1" t="s">
        <v>286</v>
      </c>
      <c r="AJ3018" s="1">
        <v>88.8</v>
      </c>
      <c r="AK3018" s="1"/>
      <c r="AL3018" s="1" t="s">
        <v>48819</v>
      </c>
      <c r="AM3018" s="1" t="s">
        <v>44735</v>
      </c>
      <c r="AN3018" s="1" t="s">
        <v>465</v>
      </c>
      <c r="AO3018" s="1" t="s">
        <v>438</v>
      </c>
      <c r="AP3018" s="1" t="s">
        <v>365</v>
      </c>
      <c r="AQ3018" s="1">
        <v>82.62</v>
      </c>
      <c r="AR3018" s="1"/>
      <c r="AS3018" s="1"/>
      <c r="AT3018" s="1"/>
      <c r="AU3018" s="1"/>
      <c r="AV3018" s="1"/>
      <c r="AW3018" s="1"/>
      <c r="AX3018" s="1"/>
      <c r="AY3018" s="1" t="s">
        <v>48820</v>
      </c>
      <c r="AZ3018" s="1" t="s">
        <v>48821</v>
      </c>
      <c r="BA3018" s="1" t="s">
        <v>682</v>
      </c>
      <c r="BB3018" s="1" t="s">
        <v>683</v>
      </c>
      <c r="BC3018" s="1" t="s">
        <v>175</v>
      </c>
      <c r="BD3018" s="1" t="s">
        <v>553</v>
      </c>
      <c r="BE3018" s="1">
        <v>79.9</v>
      </c>
      <c r="BF3018" s="1">
        <v>7.99</v>
      </c>
      <c r="BG3018" s="1"/>
      <c r="BH3018" s="1"/>
      <c r="BI3018" s="1"/>
      <c r="BJ3018" s="1"/>
      <c r="BK3018" s="1"/>
      <c r="BL3018" s="1"/>
      <c r="BM3018" s="1"/>
      <c r="BN3018" s="1"/>
      <c r="BO3018" s="1" t="s">
        <v>48822</v>
      </c>
      <c r="BP3018" s="1" t="s">
        <v>48823</v>
      </c>
      <c r="BQ3018" s="1" t="s">
        <v>471</v>
      </c>
      <c r="BR3018" s="1" t="s">
        <v>48824</v>
      </c>
      <c r="BS3018" s="1">
        <v>122</v>
      </c>
      <c r="BT3018" s="1"/>
      <c r="BU3018" s="1" t="str">
        <f>HYPERLINK("https://nconnect.nicmar.ac.in/storage/profile/6a853198b3e18.png","Download")</f>
        <v>0</v>
      </c>
      <c r="BV3018" s="3"/>
      <c r="BW3018" s="3"/>
    </row>
    <row r="3019" spans="1:75">
      <c r="A3019" s="1" t="s">
        <v>45201</v>
      </c>
      <c r="B3019" s="1" t="s">
        <v>13976</v>
      </c>
      <c r="C3019" s="1" t="s">
        <v>48825</v>
      </c>
      <c r="D3019" s="1" t="s">
        <v>18752</v>
      </c>
      <c r="E3019" s="1" t="s">
        <v>21774</v>
      </c>
      <c r="F3019" s="1" t="s">
        <v>48826</v>
      </c>
      <c r="G3019" s="1" t="s">
        <v>48827</v>
      </c>
      <c r="H3019" s="1" t="s">
        <v>48828</v>
      </c>
      <c r="I3019" s="1" t="s">
        <v>48829</v>
      </c>
      <c r="J3019" s="1">
        <v>8208488933</v>
      </c>
      <c r="K3019" s="1" t="s">
        <v>153</v>
      </c>
      <c r="L3019" s="1" t="s">
        <v>4482</v>
      </c>
      <c r="M3019" s="1" t="s">
        <v>86</v>
      </c>
      <c r="N3019" s="1" t="s">
        <v>768</v>
      </c>
      <c r="O3019" s="1" t="s">
        <v>48830</v>
      </c>
      <c r="P3019" s="1" t="s">
        <v>122</v>
      </c>
      <c r="Q3019" s="1">
        <v>937144048830</v>
      </c>
      <c r="R3019" s="1" t="s">
        <v>48831</v>
      </c>
      <c r="S3019" s="1">
        <v>9423941362</v>
      </c>
      <c r="T3019" s="1" t="s">
        <v>48832</v>
      </c>
      <c r="U3019" s="1" t="s">
        <v>48833</v>
      </c>
      <c r="V3019" s="1">
        <v>9420601042</v>
      </c>
      <c r="W3019" s="1" t="s">
        <v>14095</v>
      </c>
      <c r="X3019" s="1" t="s">
        <v>48834</v>
      </c>
      <c r="Y3019" s="1" t="s">
        <v>910</v>
      </c>
      <c r="Z3019" s="1" t="s">
        <v>97</v>
      </c>
      <c r="AA3019" s="1" t="s">
        <v>48834</v>
      </c>
      <c r="AB3019" s="1" t="s">
        <v>910</v>
      </c>
      <c r="AC3019" s="1" t="s">
        <v>97</v>
      </c>
      <c r="AD3019" s="1" t="s">
        <v>98</v>
      </c>
      <c r="AE3019" s="1" t="s">
        <v>98</v>
      </c>
      <c r="AF3019" s="1" t="s">
        <v>48835</v>
      </c>
      <c r="AG3019" s="1" t="s">
        <v>48836</v>
      </c>
      <c r="AH3019" s="1" t="s">
        <v>167</v>
      </c>
      <c r="AI3019" s="1" t="s">
        <v>200</v>
      </c>
      <c r="AJ3019" s="1">
        <v>97.0</v>
      </c>
      <c r="AK3019" s="1"/>
      <c r="AL3019" s="1" t="s">
        <v>48837</v>
      </c>
      <c r="AM3019" s="1" t="s">
        <v>48836</v>
      </c>
      <c r="AN3019" s="1" t="s">
        <v>465</v>
      </c>
      <c r="AO3019" s="1" t="s">
        <v>438</v>
      </c>
      <c r="AP3019" s="1" t="s">
        <v>603</v>
      </c>
      <c r="AQ3019" s="1">
        <v>66.77</v>
      </c>
      <c r="AR3019" s="1"/>
      <c r="AS3019" s="1"/>
      <c r="AT3019" s="1"/>
      <c r="AU3019" s="1"/>
      <c r="AV3019" s="1"/>
      <c r="AW3019" s="1"/>
      <c r="AX3019" s="1"/>
      <c r="AY3019" s="1" t="s">
        <v>14160</v>
      </c>
      <c r="AZ3019" s="1" t="s">
        <v>48838</v>
      </c>
      <c r="BA3019" s="1" t="s">
        <v>682</v>
      </c>
      <c r="BB3019" s="1" t="s">
        <v>683</v>
      </c>
      <c r="BC3019" s="1" t="s">
        <v>468</v>
      </c>
      <c r="BD3019" s="1" t="s">
        <v>607</v>
      </c>
      <c r="BE3019" s="1">
        <v>69.42</v>
      </c>
      <c r="BF3019" s="1">
        <v>7.8</v>
      </c>
      <c r="BG3019" s="1"/>
      <c r="BH3019" s="1"/>
      <c r="BI3019" s="1"/>
      <c r="BJ3019" s="1"/>
      <c r="BK3019" s="1"/>
      <c r="BL3019" s="1"/>
      <c r="BM3019" s="1"/>
      <c r="BN3019" s="1"/>
      <c r="BO3019" s="1" t="s">
        <v>48839</v>
      </c>
      <c r="BP3019" s="1" t="s">
        <v>48840</v>
      </c>
      <c r="BQ3019" s="1" t="s">
        <v>471</v>
      </c>
      <c r="BR3019" s="1" t="s">
        <v>48841</v>
      </c>
      <c r="BS3019" s="1">
        <v>19</v>
      </c>
      <c r="BT3019" s="1"/>
      <c r="BU3019" s="1" t="str">
        <f>HYPERLINK("https://nconnect.nicmar.ac.in/storage/profile/6a84a5b15cb88.png","Download")</f>
        <v>0</v>
      </c>
      <c r="BV3019" s="3"/>
      <c r="BW3019" s="3"/>
    </row>
    <row r="3020" spans="1:75">
      <c r="A3020" s="1" t="s">
        <v>45201</v>
      </c>
      <c r="B3020" s="1" t="s">
        <v>13976</v>
      </c>
      <c r="C3020" s="1" t="s">
        <v>48842</v>
      </c>
      <c r="D3020" s="1" t="s">
        <v>48843</v>
      </c>
      <c r="E3020" s="1" t="s">
        <v>48844</v>
      </c>
      <c r="F3020" s="1" t="s">
        <v>21551</v>
      </c>
      <c r="G3020" s="1" t="s">
        <v>48845</v>
      </c>
      <c r="H3020" s="1" t="s">
        <v>48846</v>
      </c>
      <c r="I3020" s="1" t="s">
        <v>48847</v>
      </c>
      <c r="J3020" s="1">
        <v>9769064485</v>
      </c>
      <c r="K3020" s="1" t="s">
        <v>153</v>
      </c>
      <c r="L3020" s="1" t="s">
        <v>48848</v>
      </c>
      <c r="M3020" s="1" t="s">
        <v>86</v>
      </c>
      <c r="N3020" s="1" t="s">
        <v>355</v>
      </c>
      <c r="O3020" s="1" t="s">
        <v>48849</v>
      </c>
      <c r="P3020" s="1" t="s">
        <v>1693</v>
      </c>
      <c r="Q3020" s="1">
        <v>759520741220</v>
      </c>
      <c r="R3020" s="1" t="s">
        <v>48850</v>
      </c>
      <c r="S3020" s="1">
        <v>8169929641</v>
      </c>
      <c r="T3020" s="1" t="s">
        <v>48851</v>
      </c>
      <c r="U3020" s="1" t="s">
        <v>48852</v>
      </c>
      <c r="V3020" s="1">
        <v>9892627572</v>
      </c>
      <c r="W3020" s="1" t="s">
        <v>14154</v>
      </c>
      <c r="X3020" s="1" t="s">
        <v>48853</v>
      </c>
      <c r="Y3020" s="1" t="s">
        <v>1882</v>
      </c>
      <c r="Z3020" s="1" t="s">
        <v>97</v>
      </c>
      <c r="AA3020" s="1" t="s">
        <v>48853</v>
      </c>
      <c r="AB3020" s="1" t="s">
        <v>1882</v>
      </c>
      <c r="AC3020" s="1" t="s">
        <v>97</v>
      </c>
      <c r="AD3020" s="1" t="s">
        <v>98</v>
      </c>
      <c r="AE3020" s="1" t="s">
        <v>98</v>
      </c>
      <c r="AF3020" s="1" t="s">
        <v>48854</v>
      </c>
      <c r="AG3020" s="1" t="s">
        <v>1310</v>
      </c>
      <c r="AH3020" s="1" t="s">
        <v>171</v>
      </c>
      <c r="AI3020" s="1" t="s">
        <v>313</v>
      </c>
      <c r="AJ3020" s="1">
        <v>85.2</v>
      </c>
      <c r="AK3020" s="1"/>
      <c r="AL3020" s="1" t="s">
        <v>48855</v>
      </c>
      <c r="AM3020" s="1" t="s">
        <v>17414</v>
      </c>
      <c r="AN3020" s="1" t="s">
        <v>465</v>
      </c>
      <c r="AO3020" s="1" t="s">
        <v>417</v>
      </c>
      <c r="AP3020" s="1" t="s">
        <v>847</v>
      </c>
      <c r="AQ3020" s="1">
        <v>89.5</v>
      </c>
      <c r="AR3020" s="1"/>
      <c r="AS3020" s="1"/>
      <c r="AT3020" s="1"/>
      <c r="AU3020" s="1"/>
      <c r="AV3020" s="1"/>
      <c r="AW3020" s="1"/>
      <c r="AX3020" s="1"/>
      <c r="AY3020" s="1" t="s">
        <v>14059</v>
      </c>
      <c r="AZ3020" s="1" t="s">
        <v>48856</v>
      </c>
      <c r="BA3020" s="1" t="s">
        <v>578</v>
      </c>
      <c r="BB3020" s="1" t="s">
        <v>467</v>
      </c>
      <c r="BC3020" s="1" t="s">
        <v>871</v>
      </c>
      <c r="BD3020" s="1" t="s">
        <v>553</v>
      </c>
      <c r="BE3020" s="1">
        <v>72.62</v>
      </c>
      <c r="BF3020" s="1">
        <v>7.99</v>
      </c>
      <c r="BG3020" s="1"/>
      <c r="BH3020" s="1"/>
      <c r="BI3020" s="1"/>
      <c r="BJ3020" s="1"/>
      <c r="BK3020" s="1"/>
      <c r="BL3020" s="1"/>
      <c r="BM3020" s="1"/>
      <c r="BN3020" s="1"/>
      <c r="BO3020" s="1" t="s">
        <v>1315</v>
      </c>
      <c r="BP3020" s="1"/>
      <c r="BQ3020" s="1"/>
      <c r="BR3020" s="1" t="s">
        <v>48857</v>
      </c>
      <c r="BS3020" s="1">
        <v>21</v>
      </c>
      <c r="BT3020" s="1"/>
      <c r="BU3020" s="1" t="str">
        <f>HYPERLINK("https://nconnect.nicmar.ac.in/storage/profile/6a85b667f3ae5.png","Download")</f>
        <v>0</v>
      </c>
      <c r="BV3020" s="3"/>
      <c r="BW3020" s="3"/>
    </row>
    <row r="3021" spans="1:75">
      <c r="A3021" s="1" t="s">
        <v>45201</v>
      </c>
      <c r="B3021" s="1" t="s">
        <v>13976</v>
      </c>
      <c r="C3021" s="1" t="s">
        <v>48858</v>
      </c>
      <c r="D3021" s="1" t="s">
        <v>48859</v>
      </c>
      <c r="E3021" s="1"/>
      <c r="F3021" s="1" t="s">
        <v>15236</v>
      </c>
      <c r="G3021" s="1" t="s">
        <v>48860</v>
      </c>
      <c r="H3021" s="1" t="s">
        <v>48861</v>
      </c>
      <c r="I3021" s="1" t="s">
        <v>48862</v>
      </c>
      <c r="J3021" s="1">
        <v>9733663390</v>
      </c>
      <c r="K3021" s="1" t="s">
        <v>153</v>
      </c>
      <c r="L3021" s="1" t="s">
        <v>43952</v>
      </c>
      <c r="M3021" s="1" t="s">
        <v>86</v>
      </c>
      <c r="N3021" s="1" t="s">
        <v>33137</v>
      </c>
      <c r="O3021" s="1" t="s">
        <v>48863</v>
      </c>
      <c r="P3021" s="1" t="s">
        <v>89</v>
      </c>
      <c r="Q3021" s="1">
        <v>574007104272</v>
      </c>
      <c r="R3021" s="1" t="s">
        <v>48864</v>
      </c>
      <c r="S3021" s="1">
        <v>9434229905</v>
      </c>
      <c r="T3021" s="1" t="s">
        <v>839</v>
      </c>
      <c r="U3021" s="1" t="s">
        <v>48865</v>
      </c>
      <c r="V3021" s="1">
        <v>9933066099</v>
      </c>
      <c r="W3021" s="1" t="s">
        <v>48866</v>
      </c>
      <c r="X3021" s="1" t="s">
        <v>48867</v>
      </c>
      <c r="Y3021" s="1" t="s">
        <v>17357</v>
      </c>
      <c r="Z3021" s="1" t="s">
        <v>1234</v>
      </c>
      <c r="AA3021" s="1" t="s">
        <v>48867</v>
      </c>
      <c r="AB3021" s="1" t="s">
        <v>17357</v>
      </c>
      <c r="AC3021" s="1" t="s">
        <v>1234</v>
      </c>
      <c r="AD3021" s="1" t="s">
        <v>98</v>
      </c>
      <c r="AE3021" s="1" t="s">
        <v>98</v>
      </c>
      <c r="AF3021" s="1" t="s">
        <v>48868</v>
      </c>
      <c r="AG3021" s="1" t="s">
        <v>796</v>
      </c>
      <c r="AH3021" s="1" t="s">
        <v>200</v>
      </c>
      <c r="AI3021" s="1" t="s">
        <v>286</v>
      </c>
      <c r="AJ3021" s="1">
        <v>88.6</v>
      </c>
      <c r="AK3021" s="1">
        <v>9.3</v>
      </c>
      <c r="AL3021" s="1" t="s">
        <v>48868</v>
      </c>
      <c r="AM3021" s="1" t="s">
        <v>796</v>
      </c>
      <c r="AN3021" s="1" t="s">
        <v>575</v>
      </c>
      <c r="AO3021" s="1" t="s">
        <v>414</v>
      </c>
      <c r="AP3021" s="1" t="s">
        <v>603</v>
      </c>
      <c r="AQ3021" s="1">
        <v>76.8</v>
      </c>
      <c r="AR3021" s="1">
        <v>8.3</v>
      </c>
      <c r="AS3021" s="1"/>
      <c r="AT3021" s="1"/>
      <c r="AU3021" s="1"/>
      <c r="AV3021" s="1"/>
      <c r="AW3021" s="1"/>
      <c r="AX3021" s="1"/>
      <c r="AY3021" s="1" t="s">
        <v>48869</v>
      </c>
      <c r="AZ3021" s="1" t="s">
        <v>48870</v>
      </c>
      <c r="BA3021" s="1" t="s">
        <v>682</v>
      </c>
      <c r="BB3021" s="1" t="s">
        <v>1561</v>
      </c>
      <c r="BC3021" s="1" t="s">
        <v>175</v>
      </c>
      <c r="BD3021" s="1" t="s">
        <v>553</v>
      </c>
      <c r="BE3021" s="1">
        <v>69.7</v>
      </c>
      <c r="BF3021" s="1">
        <v>7.47</v>
      </c>
      <c r="BG3021" s="1"/>
      <c r="BH3021" s="1"/>
      <c r="BI3021" s="1"/>
      <c r="BJ3021" s="1"/>
      <c r="BK3021" s="1"/>
      <c r="BL3021" s="1"/>
      <c r="BM3021" s="1"/>
      <c r="BN3021" s="1"/>
      <c r="BO3021" s="1" t="s">
        <v>48871</v>
      </c>
      <c r="BP3021" s="1" t="s">
        <v>48872</v>
      </c>
      <c r="BQ3021" s="1" t="s">
        <v>9405</v>
      </c>
      <c r="BR3021" s="1" t="s">
        <v>48873</v>
      </c>
      <c r="BS3021" s="1">
        <v>23</v>
      </c>
      <c r="BT3021" s="1" t="s">
        <v>1666</v>
      </c>
      <c r="BU3021" s="1" t="str">
        <f>HYPERLINK("https://nconnect.nicmar.ac.in/storage/profile/6a849e28bdf26.png","Download")</f>
        <v>0</v>
      </c>
      <c r="BV3021" s="3"/>
      <c r="BW3021" s="3"/>
    </row>
    <row r="3022" spans="1:75">
      <c r="A3022" s="1" t="s">
        <v>45201</v>
      </c>
      <c r="B3022" s="1" t="s">
        <v>13976</v>
      </c>
      <c r="C3022" s="1" t="s">
        <v>48874</v>
      </c>
      <c r="D3022" s="1" t="s">
        <v>15194</v>
      </c>
      <c r="E3022" s="1" t="s">
        <v>24238</v>
      </c>
      <c r="F3022" s="1" t="s">
        <v>48875</v>
      </c>
      <c r="G3022" s="1" t="s">
        <v>48876</v>
      </c>
      <c r="H3022" s="1" t="s">
        <v>48877</v>
      </c>
      <c r="I3022" s="1" t="s">
        <v>48878</v>
      </c>
      <c r="J3022" s="1">
        <v>7977680408</v>
      </c>
      <c r="K3022" s="1" t="s">
        <v>84</v>
      </c>
      <c r="L3022" s="1" t="s">
        <v>15269</v>
      </c>
      <c r="M3022" s="1" t="s">
        <v>86</v>
      </c>
      <c r="N3022" s="1" t="s">
        <v>21778</v>
      </c>
      <c r="O3022" s="1" t="s">
        <v>48879</v>
      </c>
      <c r="P3022" s="1" t="s">
        <v>18210</v>
      </c>
      <c r="Q3022" s="1">
        <v>281086652142</v>
      </c>
      <c r="R3022" s="1" t="s">
        <v>48880</v>
      </c>
      <c r="S3022" s="1">
        <v>7977683656</v>
      </c>
      <c r="T3022" s="1" t="s">
        <v>45650</v>
      </c>
      <c r="U3022" s="1" t="s">
        <v>48881</v>
      </c>
      <c r="V3022" s="1">
        <v>9867593656</v>
      </c>
      <c r="W3022" s="1" t="s">
        <v>14154</v>
      </c>
      <c r="X3022" s="1" t="s">
        <v>48882</v>
      </c>
      <c r="Y3022" s="1" t="s">
        <v>1882</v>
      </c>
      <c r="Z3022" s="1" t="s">
        <v>97</v>
      </c>
      <c r="AA3022" s="1" t="s">
        <v>48882</v>
      </c>
      <c r="AB3022" s="1" t="s">
        <v>1882</v>
      </c>
      <c r="AC3022" s="1" t="s">
        <v>97</v>
      </c>
      <c r="AD3022" s="1" t="s">
        <v>98</v>
      </c>
      <c r="AE3022" s="1" t="s">
        <v>98</v>
      </c>
      <c r="AF3022" s="1" t="s">
        <v>48883</v>
      </c>
      <c r="AG3022" s="1" t="s">
        <v>17651</v>
      </c>
      <c r="AH3022" s="1" t="s">
        <v>1602</v>
      </c>
      <c r="AI3022" s="1" t="s">
        <v>170</v>
      </c>
      <c r="AJ3022" s="1">
        <v>87.2</v>
      </c>
      <c r="AK3022" s="1"/>
      <c r="AL3022" s="1"/>
      <c r="AM3022" s="1"/>
      <c r="AN3022" s="1"/>
      <c r="AO3022" s="1"/>
      <c r="AP3022" s="1"/>
      <c r="AQ3022" s="1"/>
      <c r="AR3022" s="1"/>
      <c r="AS3022" s="1" t="s">
        <v>14158</v>
      </c>
      <c r="AT3022" s="1" t="s">
        <v>48884</v>
      </c>
      <c r="AU3022" s="1" t="s">
        <v>230</v>
      </c>
      <c r="AV3022" s="1" t="s">
        <v>233</v>
      </c>
      <c r="AW3022" s="1">
        <v>88.41</v>
      </c>
      <c r="AX3022" s="1"/>
      <c r="AY3022" s="1" t="s">
        <v>14380</v>
      </c>
      <c r="AZ3022" s="1" t="s">
        <v>48885</v>
      </c>
      <c r="BA3022" s="1" t="s">
        <v>578</v>
      </c>
      <c r="BB3022" s="1" t="s">
        <v>467</v>
      </c>
      <c r="BC3022" s="1" t="s">
        <v>1171</v>
      </c>
      <c r="BD3022" s="1" t="s">
        <v>955</v>
      </c>
      <c r="BE3022" s="1">
        <v>82.7</v>
      </c>
      <c r="BF3022" s="1">
        <v>9.35</v>
      </c>
      <c r="BG3022" s="1"/>
      <c r="BH3022" s="1"/>
      <c r="BI3022" s="1"/>
      <c r="BJ3022" s="1"/>
      <c r="BK3022" s="1"/>
      <c r="BL3022" s="1"/>
      <c r="BM3022" s="1"/>
      <c r="BN3022" s="1"/>
      <c r="BO3022" s="1" t="s">
        <v>48886</v>
      </c>
      <c r="BP3022" s="1" t="s">
        <v>48887</v>
      </c>
      <c r="BQ3022" s="1" t="s">
        <v>345</v>
      </c>
      <c r="BR3022" s="1"/>
      <c r="BS3022" s="1"/>
      <c r="BT3022" s="1" t="s">
        <v>48888</v>
      </c>
      <c r="BU3022" s="1" t="str">
        <f>HYPERLINK("https://nconnect.nicmar.ac.in/storage/profile/6a84adc7c021f.png","Download")</f>
        <v>0</v>
      </c>
      <c r="BV3022" s="3"/>
      <c r="BW3022" s="3"/>
    </row>
    <row r="3023" spans="1:75">
      <c r="A3023" s="1" t="s">
        <v>45201</v>
      </c>
      <c r="B3023" s="1" t="s">
        <v>13976</v>
      </c>
      <c r="C3023" s="1" t="s">
        <v>48889</v>
      </c>
      <c r="D3023" s="1" t="s">
        <v>24555</v>
      </c>
      <c r="E3023" s="1" t="s">
        <v>15323</v>
      </c>
      <c r="F3023" s="1" t="s">
        <v>23213</v>
      </c>
      <c r="G3023" s="1" t="s">
        <v>48890</v>
      </c>
      <c r="H3023" s="1" t="s">
        <v>48891</v>
      </c>
      <c r="I3023" s="1" t="s">
        <v>48892</v>
      </c>
      <c r="J3023" s="1">
        <v>9960646937</v>
      </c>
      <c r="K3023" s="1" t="s">
        <v>84</v>
      </c>
      <c r="L3023" s="1" t="s">
        <v>48893</v>
      </c>
      <c r="M3023" s="1" t="s">
        <v>86</v>
      </c>
      <c r="N3023" s="1" t="s">
        <v>5025</v>
      </c>
      <c r="O3023" s="1" t="s">
        <v>48894</v>
      </c>
      <c r="P3023" s="1" t="s">
        <v>89</v>
      </c>
      <c r="Q3023" s="1">
        <v>880898248395</v>
      </c>
      <c r="R3023" s="1" t="s">
        <v>15323</v>
      </c>
      <c r="S3023" s="1">
        <v>9421514712</v>
      </c>
      <c r="T3023" s="1" t="s">
        <v>13987</v>
      </c>
      <c r="U3023" s="1" t="s">
        <v>48895</v>
      </c>
      <c r="V3023" s="1">
        <v>8329689165</v>
      </c>
      <c r="W3023" s="1" t="s">
        <v>14154</v>
      </c>
      <c r="X3023" s="1" t="s">
        <v>48896</v>
      </c>
      <c r="Y3023" s="1" t="s">
        <v>309</v>
      </c>
      <c r="Z3023" s="1" t="s">
        <v>97</v>
      </c>
      <c r="AA3023" s="1" t="s">
        <v>48896</v>
      </c>
      <c r="AB3023" s="1" t="s">
        <v>309</v>
      </c>
      <c r="AC3023" s="1" t="s">
        <v>97</v>
      </c>
      <c r="AD3023" s="1" t="s">
        <v>98</v>
      </c>
      <c r="AE3023" s="1" t="s">
        <v>98</v>
      </c>
      <c r="AF3023" s="1" t="s">
        <v>48897</v>
      </c>
      <c r="AG3023" s="1" t="s">
        <v>17863</v>
      </c>
      <c r="AH3023" s="1" t="s">
        <v>166</v>
      </c>
      <c r="AI3023" s="1" t="s">
        <v>627</v>
      </c>
      <c r="AJ3023" s="1">
        <v>92.4</v>
      </c>
      <c r="AK3023" s="1"/>
      <c r="AL3023" s="1" t="s">
        <v>48898</v>
      </c>
      <c r="AM3023" s="1" t="s">
        <v>17863</v>
      </c>
      <c r="AN3023" s="1" t="s">
        <v>575</v>
      </c>
      <c r="AO3023" s="1" t="s">
        <v>170</v>
      </c>
      <c r="AP3023" s="1" t="s">
        <v>171</v>
      </c>
      <c r="AQ3023" s="1">
        <v>81.23</v>
      </c>
      <c r="AR3023" s="1"/>
      <c r="AS3023" s="1"/>
      <c r="AT3023" s="1"/>
      <c r="AU3023" s="1"/>
      <c r="AV3023" s="1"/>
      <c r="AW3023" s="1"/>
      <c r="AX3023" s="1"/>
      <c r="AY3023" s="1" t="s">
        <v>14160</v>
      </c>
      <c r="AZ3023" s="1" t="s">
        <v>48899</v>
      </c>
      <c r="BA3023" s="1" t="s">
        <v>578</v>
      </c>
      <c r="BB3023" s="1" t="s">
        <v>467</v>
      </c>
      <c r="BC3023" s="1" t="s">
        <v>174</v>
      </c>
      <c r="BD3023" s="1" t="s">
        <v>110</v>
      </c>
      <c r="BE3023" s="1">
        <v>90.8</v>
      </c>
      <c r="BF3023" s="1">
        <v>9.54</v>
      </c>
      <c r="BG3023" s="1"/>
      <c r="BH3023" s="1"/>
      <c r="BI3023" s="1"/>
      <c r="BJ3023" s="1"/>
      <c r="BK3023" s="1"/>
      <c r="BL3023" s="1"/>
      <c r="BM3023" s="1"/>
      <c r="BN3023" s="1"/>
      <c r="BO3023" s="1" t="s">
        <v>48900</v>
      </c>
      <c r="BP3023" s="1" t="s">
        <v>48901</v>
      </c>
      <c r="BQ3023" s="1" t="s">
        <v>6652</v>
      </c>
      <c r="BR3023" s="1"/>
      <c r="BS3023" s="1"/>
      <c r="BT3023" s="1"/>
      <c r="BU3023" s="1" t="str">
        <f>HYPERLINK("https://nconnect.nicmar.ac.in/storage/profile/6a859902d946e.png","Download")</f>
        <v>0</v>
      </c>
      <c r="BV3023" s="3"/>
      <c r="BW3023" s="3"/>
    </row>
    <row r="3024" spans="1:75">
      <c r="A3024" s="1" t="s">
        <v>45201</v>
      </c>
      <c r="B3024" s="1" t="s">
        <v>13976</v>
      </c>
      <c r="C3024" s="1" t="s">
        <v>48902</v>
      </c>
      <c r="D3024" s="1" t="s">
        <v>48903</v>
      </c>
      <c r="E3024" s="1"/>
      <c r="F3024" s="1" t="s">
        <v>48904</v>
      </c>
      <c r="G3024" s="1" t="s">
        <v>48905</v>
      </c>
      <c r="H3024" s="1" t="s">
        <v>48906</v>
      </c>
      <c r="I3024" s="1" t="s">
        <v>48907</v>
      </c>
      <c r="J3024" s="1">
        <v>9416743400</v>
      </c>
      <c r="K3024" s="1" t="s">
        <v>153</v>
      </c>
      <c r="L3024" s="1" t="s">
        <v>48908</v>
      </c>
      <c r="M3024" s="1" t="s">
        <v>86</v>
      </c>
      <c r="N3024" s="1" t="s">
        <v>26850</v>
      </c>
      <c r="O3024" s="1" t="s">
        <v>48909</v>
      </c>
      <c r="P3024" s="1" t="s">
        <v>122</v>
      </c>
      <c r="Q3024" s="1">
        <v>821628457005</v>
      </c>
      <c r="R3024" s="1" t="s">
        <v>48910</v>
      </c>
      <c r="S3024" s="1">
        <v>8437797779</v>
      </c>
      <c r="T3024" s="1" t="s">
        <v>48911</v>
      </c>
      <c r="U3024" s="1" t="s">
        <v>48912</v>
      </c>
      <c r="V3024" s="1">
        <v>9416206262</v>
      </c>
      <c r="W3024" s="1" t="s">
        <v>48911</v>
      </c>
      <c r="X3024" s="1" t="s">
        <v>48913</v>
      </c>
      <c r="Y3024" s="1" t="s">
        <v>196</v>
      </c>
      <c r="Z3024" s="1" t="s">
        <v>97</v>
      </c>
      <c r="AA3024" s="1" t="s">
        <v>48913</v>
      </c>
      <c r="AB3024" s="1" t="s">
        <v>15170</v>
      </c>
      <c r="AC3024" s="1" t="s">
        <v>1700</v>
      </c>
      <c r="AD3024" s="1" t="s">
        <v>98</v>
      </c>
      <c r="AE3024" s="1" t="s">
        <v>98</v>
      </c>
      <c r="AF3024" s="1" t="s">
        <v>48914</v>
      </c>
      <c r="AG3024" s="1" t="s">
        <v>48915</v>
      </c>
      <c r="AH3024" s="1" t="s">
        <v>166</v>
      </c>
      <c r="AI3024" s="1" t="s">
        <v>627</v>
      </c>
      <c r="AJ3024" s="1">
        <v>89.3</v>
      </c>
      <c r="AK3024" s="1">
        <v>9.4</v>
      </c>
      <c r="AL3024" s="1" t="s">
        <v>48914</v>
      </c>
      <c r="AM3024" s="1" t="s">
        <v>48915</v>
      </c>
      <c r="AN3024" s="1" t="s">
        <v>465</v>
      </c>
      <c r="AO3024" s="1" t="s">
        <v>170</v>
      </c>
      <c r="AP3024" s="1" t="s">
        <v>171</v>
      </c>
      <c r="AQ3024" s="1">
        <v>72</v>
      </c>
      <c r="AR3024" s="1"/>
      <c r="AS3024" s="1"/>
      <c r="AT3024" s="1"/>
      <c r="AU3024" s="1"/>
      <c r="AV3024" s="1"/>
      <c r="AW3024" s="1"/>
      <c r="AX3024" s="1"/>
      <c r="AY3024" s="1" t="s">
        <v>48916</v>
      </c>
      <c r="AZ3024" s="1" t="s">
        <v>48917</v>
      </c>
      <c r="BA3024" s="1" t="s">
        <v>682</v>
      </c>
      <c r="BB3024" s="1" t="s">
        <v>1479</v>
      </c>
      <c r="BC3024" s="1" t="s">
        <v>1065</v>
      </c>
      <c r="BD3024" s="1" t="s">
        <v>391</v>
      </c>
      <c r="BE3024" s="1">
        <v>70.11</v>
      </c>
      <c r="BF3024" s="1">
        <v>7.38</v>
      </c>
      <c r="BG3024" s="1"/>
      <c r="BH3024" s="1"/>
      <c r="BI3024" s="1"/>
      <c r="BJ3024" s="1"/>
      <c r="BK3024" s="1"/>
      <c r="BL3024" s="1"/>
      <c r="BM3024" s="1"/>
      <c r="BN3024" s="1"/>
      <c r="BO3024" s="1" t="s">
        <v>48918</v>
      </c>
      <c r="BP3024" s="1" t="s">
        <v>48919</v>
      </c>
      <c r="BQ3024" s="1" t="s">
        <v>8862</v>
      </c>
      <c r="BR3024" s="1" t="s">
        <v>48920</v>
      </c>
      <c r="BS3024" s="1">
        <v>24</v>
      </c>
      <c r="BT3024" s="1"/>
      <c r="BU3024" s="1" t="str">
        <f>HYPERLINK("https://nconnect.nicmar.ac.in/storage/profile/6a84afb84e108.png","Download")</f>
        <v>0</v>
      </c>
      <c r="BV3024" s="3"/>
      <c r="BW3024" s="3"/>
    </row>
    <row r="3025" spans="1:75">
      <c r="A3025" s="1" t="s">
        <v>45201</v>
      </c>
      <c r="B3025" s="1" t="s">
        <v>13976</v>
      </c>
      <c r="C3025" s="1" t="s">
        <v>48921</v>
      </c>
      <c r="D3025" s="1" t="s">
        <v>22780</v>
      </c>
      <c r="E3025" s="1" t="s">
        <v>19868</v>
      </c>
      <c r="F3025" s="1" t="s">
        <v>48922</v>
      </c>
      <c r="G3025" s="1" t="s">
        <v>48923</v>
      </c>
      <c r="H3025" s="1" t="s">
        <v>48924</v>
      </c>
      <c r="I3025" s="1" t="s">
        <v>48925</v>
      </c>
      <c r="J3025" s="1">
        <v>7219405031</v>
      </c>
      <c r="K3025" s="1" t="s">
        <v>84</v>
      </c>
      <c r="L3025" s="1" t="s">
        <v>22557</v>
      </c>
      <c r="M3025" s="1" t="s">
        <v>86</v>
      </c>
      <c r="N3025" s="1" t="s">
        <v>768</v>
      </c>
      <c r="O3025" s="1" t="s">
        <v>48926</v>
      </c>
      <c r="P3025" s="1" t="s">
        <v>122</v>
      </c>
      <c r="Q3025" s="1">
        <v>995646758285</v>
      </c>
      <c r="R3025" s="1" t="s">
        <v>48927</v>
      </c>
      <c r="S3025" s="1">
        <v>7028005332</v>
      </c>
      <c r="T3025" s="1" t="s">
        <v>48928</v>
      </c>
      <c r="U3025" s="1" t="s">
        <v>48929</v>
      </c>
      <c r="V3025" s="1">
        <v>7028005333</v>
      </c>
      <c r="W3025" s="1" t="s">
        <v>14212</v>
      </c>
      <c r="X3025" s="1" t="s">
        <v>48930</v>
      </c>
      <c r="Y3025" s="1" t="s">
        <v>196</v>
      </c>
      <c r="Z3025" s="1" t="s">
        <v>97</v>
      </c>
      <c r="AA3025" s="1" t="s">
        <v>48930</v>
      </c>
      <c r="AB3025" s="1" t="s">
        <v>196</v>
      </c>
      <c r="AC3025" s="1" t="s">
        <v>97</v>
      </c>
      <c r="AD3025" s="1" t="s">
        <v>98</v>
      </c>
      <c r="AE3025" s="1" t="s">
        <v>98</v>
      </c>
      <c r="AF3025" s="1" t="s">
        <v>48931</v>
      </c>
      <c r="AG3025" s="1" t="s">
        <v>48932</v>
      </c>
      <c r="AH3025" s="1" t="s">
        <v>286</v>
      </c>
      <c r="AI3025" s="1" t="s">
        <v>313</v>
      </c>
      <c r="AJ3025" s="1">
        <v>75.8</v>
      </c>
      <c r="AK3025" s="1"/>
      <c r="AL3025" s="1"/>
      <c r="AM3025" s="1"/>
      <c r="AN3025" s="1"/>
      <c r="AO3025" s="1"/>
      <c r="AP3025" s="1"/>
      <c r="AQ3025" s="1"/>
      <c r="AR3025" s="1"/>
      <c r="AS3025" s="1" t="s">
        <v>14158</v>
      </c>
      <c r="AT3025" s="1" t="s">
        <v>48933</v>
      </c>
      <c r="AU3025" s="1" t="s">
        <v>438</v>
      </c>
      <c r="AV3025" s="1" t="s">
        <v>632</v>
      </c>
      <c r="AW3025" s="1">
        <v>80.68</v>
      </c>
      <c r="AX3025" s="1"/>
      <c r="AY3025" s="1" t="s">
        <v>48934</v>
      </c>
      <c r="AZ3025" s="1" t="s">
        <v>48935</v>
      </c>
      <c r="BA3025" s="1" t="s">
        <v>578</v>
      </c>
      <c r="BB3025" s="1" t="s">
        <v>467</v>
      </c>
      <c r="BC3025" s="1" t="s">
        <v>289</v>
      </c>
      <c r="BD3025" s="1" t="s">
        <v>848</v>
      </c>
      <c r="BE3025" s="1">
        <v>74.6</v>
      </c>
      <c r="BF3025" s="1">
        <v>8.21</v>
      </c>
      <c r="BG3025" s="1"/>
      <c r="BH3025" s="1"/>
      <c r="BI3025" s="1"/>
      <c r="BJ3025" s="1"/>
      <c r="BK3025" s="1"/>
      <c r="BL3025" s="1"/>
      <c r="BM3025" s="1"/>
      <c r="BN3025" s="1"/>
      <c r="BO3025" s="1" t="s">
        <v>48936</v>
      </c>
      <c r="BP3025" s="1" t="s">
        <v>48937</v>
      </c>
      <c r="BQ3025" s="1" t="s">
        <v>1357</v>
      </c>
      <c r="BR3025" s="1" t="s">
        <v>48938</v>
      </c>
      <c r="BS3025" s="1">
        <v>5</v>
      </c>
      <c r="BT3025" s="1" t="s">
        <v>48939</v>
      </c>
      <c r="BU3025" s="1" t="str">
        <f>HYPERLINK("https://nconnect.nicmar.ac.in/storage/profile/6a8197bd811f0.png","Download")</f>
        <v>0</v>
      </c>
      <c r="BV3025" s="3"/>
      <c r="BW3025" s="3"/>
    </row>
    <row r="3026" spans="1:75">
      <c r="A3026" s="1" t="s">
        <v>45201</v>
      </c>
      <c r="B3026" s="1" t="s">
        <v>13976</v>
      </c>
      <c r="C3026" s="1" t="s">
        <v>48940</v>
      </c>
      <c r="D3026" s="1" t="s">
        <v>48941</v>
      </c>
      <c r="E3026" s="1"/>
      <c r="F3026" s="1" t="s">
        <v>48942</v>
      </c>
      <c r="G3026" s="1" t="s">
        <v>48943</v>
      </c>
      <c r="H3026" s="1" t="s">
        <v>48944</v>
      </c>
      <c r="I3026" s="1" t="s">
        <v>48945</v>
      </c>
      <c r="J3026" s="1">
        <v>7006439889</v>
      </c>
      <c r="K3026" s="1" t="s">
        <v>153</v>
      </c>
      <c r="L3026" s="1" t="s">
        <v>12594</v>
      </c>
      <c r="M3026" s="1" t="s">
        <v>86</v>
      </c>
      <c r="N3026" s="1" t="s">
        <v>48946</v>
      </c>
      <c r="O3026" s="1" t="s">
        <v>48947</v>
      </c>
      <c r="P3026" s="1" t="s">
        <v>122</v>
      </c>
      <c r="Q3026" s="1">
        <v>712310648776</v>
      </c>
      <c r="R3026" s="1" t="s">
        <v>48948</v>
      </c>
      <c r="S3026" s="1">
        <v>7006149345</v>
      </c>
      <c r="T3026" s="1" t="s">
        <v>48949</v>
      </c>
      <c r="U3026" s="1" t="s">
        <v>48950</v>
      </c>
      <c r="V3026" s="1">
        <v>9682363063</v>
      </c>
      <c r="W3026" s="1" t="s">
        <v>48951</v>
      </c>
      <c r="X3026" s="1" t="s">
        <v>48952</v>
      </c>
      <c r="Y3026" s="1" t="s">
        <v>13744</v>
      </c>
      <c r="Z3026" s="1" t="s">
        <v>8896</v>
      </c>
      <c r="AA3026" s="1" t="s">
        <v>48953</v>
      </c>
      <c r="AB3026" s="1" t="s">
        <v>196</v>
      </c>
      <c r="AC3026" s="1" t="s">
        <v>97</v>
      </c>
      <c r="AD3026" s="1" t="s">
        <v>98</v>
      </c>
      <c r="AE3026" s="1" t="s">
        <v>98</v>
      </c>
      <c r="AF3026" s="1" t="s">
        <v>48954</v>
      </c>
      <c r="AG3026" s="1" t="s">
        <v>48955</v>
      </c>
      <c r="AH3026" s="1" t="s">
        <v>18921</v>
      </c>
      <c r="AI3026" s="1" t="s">
        <v>34798</v>
      </c>
      <c r="AJ3026" s="1">
        <v>98.4</v>
      </c>
      <c r="AK3026" s="1">
        <v>10</v>
      </c>
      <c r="AL3026" s="1" t="s">
        <v>48954</v>
      </c>
      <c r="AM3026" s="1" t="s">
        <v>48955</v>
      </c>
      <c r="AN3026" s="1" t="s">
        <v>465</v>
      </c>
      <c r="AO3026" s="1" t="s">
        <v>13133</v>
      </c>
      <c r="AP3026" s="1" t="s">
        <v>233</v>
      </c>
      <c r="AQ3026" s="1">
        <v>89.9</v>
      </c>
      <c r="AR3026" s="1">
        <v>9.46</v>
      </c>
      <c r="AS3026" s="1"/>
      <c r="AT3026" s="1"/>
      <c r="AU3026" s="1"/>
      <c r="AV3026" s="1"/>
      <c r="AW3026" s="1"/>
      <c r="AX3026" s="1"/>
      <c r="AY3026" s="1" t="s">
        <v>48956</v>
      </c>
      <c r="AZ3026" s="1" t="s">
        <v>48957</v>
      </c>
      <c r="BA3026" s="1" t="s">
        <v>466</v>
      </c>
      <c r="BB3026" s="1" t="s">
        <v>467</v>
      </c>
      <c r="BC3026" s="1" t="s">
        <v>140</v>
      </c>
      <c r="BD3026" s="1" t="s">
        <v>23253</v>
      </c>
      <c r="BE3026" s="1">
        <v>80.9</v>
      </c>
      <c r="BF3026" s="1">
        <v>8.09</v>
      </c>
      <c r="BG3026" s="1"/>
      <c r="BH3026" s="1"/>
      <c r="BI3026" s="1"/>
      <c r="BJ3026" s="1"/>
      <c r="BK3026" s="1"/>
      <c r="BL3026" s="1"/>
      <c r="BM3026" s="1"/>
      <c r="BN3026" s="1"/>
      <c r="BO3026" s="1" t="s">
        <v>369</v>
      </c>
      <c r="BP3026" s="1"/>
      <c r="BQ3026" s="1"/>
      <c r="BR3026" s="1" t="s">
        <v>48958</v>
      </c>
      <c r="BS3026" s="1">
        <v>9</v>
      </c>
      <c r="BT3026" s="1"/>
      <c r="BU3026" s="1" t="str">
        <f>HYPERLINK("https://nconnect.nicmar.ac.in/storage/profile/6a85bc6eeba69.png","Download")</f>
        <v>0</v>
      </c>
      <c r="BV3026" s="3"/>
      <c r="BW3026" s="3"/>
    </row>
    <row r="3027" spans="1:75">
      <c r="A3027" s="1" t="s">
        <v>45201</v>
      </c>
      <c r="B3027" s="1" t="s">
        <v>13976</v>
      </c>
      <c r="C3027" s="1" t="s">
        <v>48959</v>
      </c>
      <c r="D3027" s="1" t="s">
        <v>48960</v>
      </c>
      <c r="E3027" s="1" t="s">
        <v>48961</v>
      </c>
      <c r="F3027" s="1" t="s">
        <v>21024</v>
      </c>
      <c r="G3027" s="1" t="s">
        <v>48962</v>
      </c>
      <c r="H3027" s="1" t="s">
        <v>48963</v>
      </c>
      <c r="I3027" s="1" t="s">
        <v>48964</v>
      </c>
      <c r="J3027" s="1">
        <v>9890810923</v>
      </c>
      <c r="K3027" s="1" t="s">
        <v>84</v>
      </c>
      <c r="L3027" s="1" t="s">
        <v>24379</v>
      </c>
      <c r="M3027" s="1" t="s">
        <v>86</v>
      </c>
      <c r="N3027" s="1" t="s">
        <v>48965</v>
      </c>
      <c r="O3027" s="1" t="s">
        <v>48966</v>
      </c>
      <c r="P3027" s="1" t="s">
        <v>89</v>
      </c>
      <c r="Q3027" s="1">
        <v>794513855837</v>
      </c>
      <c r="R3027" s="1" t="s">
        <v>48967</v>
      </c>
      <c r="S3027" s="1">
        <v>9689461875</v>
      </c>
      <c r="T3027" s="1" t="s">
        <v>48968</v>
      </c>
      <c r="U3027" s="1" t="s">
        <v>48969</v>
      </c>
      <c r="V3027" s="1">
        <v>9689571847</v>
      </c>
      <c r="W3027" s="1" t="s">
        <v>14154</v>
      </c>
      <c r="X3027" s="1" t="s">
        <v>48970</v>
      </c>
      <c r="Y3027" s="1" t="s">
        <v>1189</v>
      </c>
      <c r="Z3027" s="1" t="s">
        <v>97</v>
      </c>
      <c r="AA3027" s="1" t="s">
        <v>48970</v>
      </c>
      <c r="AB3027" s="1" t="s">
        <v>1189</v>
      </c>
      <c r="AC3027" s="1" t="s">
        <v>97</v>
      </c>
      <c r="AD3027" s="1" t="s">
        <v>98</v>
      </c>
      <c r="AE3027" s="1" t="s">
        <v>98</v>
      </c>
      <c r="AF3027" s="1" t="s">
        <v>48971</v>
      </c>
      <c r="AG3027" s="1" t="s">
        <v>48972</v>
      </c>
      <c r="AH3027" s="1" t="s">
        <v>167</v>
      </c>
      <c r="AI3027" s="1" t="s">
        <v>200</v>
      </c>
      <c r="AJ3027" s="1">
        <v>76.8</v>
      </c>
      <c r="AK3027" s="1"/>
      <c r="AL3027" s="1" t="s">
        <v>48973</v>
      </c>
      <c r="AM3027" s="1" t="s">
        <v>48972</v>
      </c>
      <c r="AN3027" s="1" t="s">
        <v>465</v>
      </c>
      <c r="AO3027" s="1" t="s">
        <v>106</v>
      </c>
      <c r="AP3027" s="1" t="s">
        <v>203</v>
      </c>
      <c r="AQ3027" s="1">
        <v>71.85</v>
      </c>
      <c r="AR3027" s="1"/>
      <c r="AS3027" s="1"/>
      <c r="AT3027" s="1"/>
      <c r="AU3027" s="1"/>
      <c r="AV3027" s="1"/>
      <c r="AW3027" s="1"/>
      <c r="AX3027" s="1"/>
      <c r="AY3027" s="1" t="s">
        <v>23063</v>
      </c>
      <c r="AZ3027" s="1" t="s">
        <v>48974</v>
      </c>
      <c r="BA3027" s="1" t="s">
        <v>578</v>
      </c>
      <c r="BB3027" s="1" t="s">
        <v>467</v>
      </c>
      <c r="BC3027" s="1" t="s">
        <v>206</v>
      </c>
      <c r="BD3027" s="1" t="s">
        <v>955</v>
      </c>
      <c r="BE3027" s="1">
        <v>77.11</v>
      </c>
      <c r="BF3027" s="1">
        <v>8.74</v>
      </c>
      <c r="BG3027" s="1"/>
      <c r="BH3027" s="1"/>
      <c r="BI3027" s="1"/>
      <c r="BJ3027" s="1"/>
      <c r="BK3027" s="1"/>
      <c r="BL3027" s="1"/>
      <c r="BM3027" s="1"/>
      <c r="BN3027" s="1"/>
      <c r="BO3027" s="1" t="s">
        <v>48975</v>
      </c>
      <c r="BP3027" s="1" t="s">
        <v>48976</v>
      </c>
      <c r="BQ3027" s="1" t="s">
        <v>471</v>
      </c>
      <c r="BR3027" s="1"/>
      <c r="BS3027" s="1"/>
      <c r="BT3027" s="1" t="s">
        <v>48977</v>
      </c>
      <c r="BU3027" s="1" t="str">
        <f>HYPERLINK("https://nconnect.nicmar.ac.in/storage/profile/6a8438d68de33.png","Download")</f>
        <v>0</v>
      </c>
      <c r="BV3027" s="3"/>
      <c r="BW3027" s="3"/>
    </row>
    <row r="3028" spans="1:75">
      <c r="A3028" s="1" t="s">
        <v>45201</v>
      </c>
      <c r="B3028" s="1" t="s">
        <v>13976</v>
      </c>
      <c r="C3028" s="1" t="s">
        <v>48978</v>
      </c>
      <c r="D3028" s="1"/>
      <c r="E3028" s="1"/>
      <c r="F3028" s="1"/>
      <c r="G3028" s="1"/>
      <c r="H3028" s="1" t="s">
        <v>48979</v>
      </c>
      <c r="I3028" s="1" t="s">
        <v>48979</v>
      </c>
      <c r="J3028" s="1"/>
      <c r="K3028" s="1"/>
      <c r="L3028" s="1"/>
      <c r="M3028" s="1"/>
      <c r="N3028" s="1"/>
      <c r="O3028" s="1"/>
      <c r="P3028" s="1"/>
      <c r="Q3028" s="1"/>
      <c r="R3028" s="1"/>
      <c r="S3028" s="1"/>
      <c r="T3028" s="1"/>
      <c r="U3028" s="1"/>
      <c r="V3028" s="1"/>
      <c r="W3028" s="1"/>
      <c r="X3028" s="1"/>
      <c r="Y3028" s="1"/>
      <c r="Z3028" s="1"/>
      <c r="AA3028" s="1"/>
      <c r="AB3028" s="1"/>
      <c r="AC3028" s="1"/>
      <c r="AD3028" s="1" t="s">
        <v>98</v>
      </c>
      <c r="AE3028" s="1" t="s">
        <v>98</v>
      </c>
      <c r="AF3028" s="1"/>
      <c r="AG3028" s="1"/>
      <c r="AH3028" s="1"/>
      <c r="AI3028" s="1"/>
      <c r="AJ3028" s="1"/>
      <c r="AK3028" s="1"/>
      <c r="AL3028" s="1"/>
      <c r="AM3028" s="1"/>
      <c r="AN3028" s="1"/>
      <c r="AO3028" s="1"/>
      <c r="AP3028" s="1"/>
      <c r="AQ3028" s="1"/>
      <c r="AR3028" s="1"/>
      <c r="AS3028" s="1"/>
      <c r="AT3028" s="1"/>
      <c r="AU3028" s="1"/>
      <c r="AV3028" s="1"/>
      <c r="AW3028" s="1"/>
      <c r="AX3028" s="1"/>
      <c r="AY3028" s="1"/>
      <c r="AZ3028" s="1"/>
      <c r="BA3028" s="1"/>
      <c r="BB3028" s="1"/>
      <c r="BC3028" s="1"/>
      <c r="BD3028" s="1"/>
      <c r="BE3028" s="1"/>
      <c r="BF3028" s="1"/>
      <c r="BG3028" s="1"/>
      <c r="BH3028" s="1"/>
      <c r="BI3028" s="1"/>
      <c r="BJ3028" s="1"/>
      <c r="BK3028" s="1"/>
      <c r="BL3028" s="1"/>
      <c r="BM3028" s="1"/>
      <c r="BN3028" s="1"/>
      <c r="BO3028" s="1"/>
      <c r="BP3028" s="1" t="s">
        <v>48980</v>
      </c>
      <c r="BQ3028" s="1" t="s">
        <v>1070</v>
      </c>
      <c r="BR3028" s="1"/>
      <c r="BS3028" s="1"/>
      <c r="BT3028" s="1"/>
      <c r="BU3028" s="1" t="s">
        <v>9653</v>
      </c>
      <c r="BV3028" s="3"/>
      <c r="BW3028" s="3"/>
    </row>
    <row r="3029" spans="1:75">
      <c r="A3029" s="1" t="s">
        <v>45201</v>
      </c>
      <c r="B3029" s="1" t="s">
        <v>13976</v>
      </c>
      <c r="C3029" s="1" t="s">
        <v>48981</v>
      </c>
      <c r="D3029" s="1" t="s">
        <v>48982</v>
      </c>
      <c r="E3029" s="1" t="s">
        <v>15607</v>
      </c>
      <c r="F3029" s="1" t="s">
        <v>48983</v>
      </c>
      <c r="G3029" s="1" t="s">
        <v>48984</v>
      </c>
      <c r="H3029" s="1" t="s">
        <v>48985</v>
      </c>
      <c r="I3029" s="1" t="s">
        <v>48986</v>
      </c>
      <c r="J3029" s="1">
        <v>8104939871</v>
      </c>
      <c r="K3029" s="1" t="s">
        <v>153</v>
      </c>
      <c r="L3029" s="1" t="s">
        <v>21908</v>
      </c>
      <c r="M3029" s="1" t="s">
        <v>86</v>
      </c>
      <c r="N3029" s="1" t="s">
        <v>8520</v>
      </c>
      <c r="O3029" s="1" t="s">
        <v>48987</v>
      </c>
      <c r="P3029" s="1" t="s">
        <v>122</v>
      </c>
      <c r="Q3029" s="1">
        <v>302621459247</v>
      </c>
      <c r="R3029" s="1" t="s">
        <v>48988</v>
      </c>
      <c r="S3029" s="1">
        <v>9702360310</v>
      </c>
      <c r="T3029" s="1" t="s">
        <v>16891</v>
      </c>
      <c r="U3029" s="1" t="s">
        <v>48989</v>
      </c>
      <c r="V3029" s="1">
        <v>9702218436</v>
      </c>
      <c r="W3029" s="1" t="s">
        <v>15073</v>
      </c>
      <c r="X3029" s="1" t="s">
        <v>48990</v>
      </c>
      <c r="Y3029" s="1" t="s">
        <v>2259</v>
      </c>
      <c r="Z3029" s="1" t="s">
        <v>97</v>
      </c>
      <c r="AA3029" s="1" t="s">
        <v>48990</v>
      </c>
      <c r="AB3029" s="1" t="s">
        <v>2259</v>
      </c>
      <c r="AC3029" s="1" t="s">
        <v>97</v>
      </c>
      <c r="AD3029" s="1" t="s">
        <v>98</v>
      </c>
      <c r="AE3029" s="1" t="s">
        <v>98</v>
      </c>
      <c r="AF3029" s="1" t="s">
        <v>48991</v>
      </c>
      <c r="AG3029" s="1" t="s">
        <v>48992</v>
      </c>
      <c r="AH3029" s="1" t="s">
        <v>1213</v>
      </c>
      <c r="AI3029" s="1" t="s">
        <v>286</v>
      </c>
      <c r="AJ3029" s="1">
        <v>95.2</v>
      </c>
      <c r="AK3029" s="1"/>
      <c r="AL3029" s="1" t="s">
        <v>48993</v>
      </c>
      <c r="AM3029" s="1" t="s">
        <v>48992</v>
      </c>
      <c r="AN3029" s="1" t="s">
        <v>465</v>
      </c>
      <c r="AO3029" s="1" t="s">
        <v>438</v>
      </c>
      <c r="AP3029" s="1" t="s">
        <v>365</v>
      </c>
      <c r="AQ3029" s="1">
        <v>78.31</v>
      </c>
      <c r="AR3029" s="1"/>
      <c r="AS3029" s="1"/>
      <c r="AT3029" s="1"/>
      <c r="AU3029" s="1"/>
      <c r="AV3029" s="1"/>
      <c r="AW3029" s="1"/>
      <c r="AX3029" s="1"/>
      <c r="AY3029" s="1" t="s">
        <v>23063</v>
      </c>
      <c r="AZ3029" s="1" t="s">
        <v>48994</v>
      </c>
      <c r="BA3029" s="1" t="s">
        <v>682</v>
      </c>
      <c r="BB3029" s="1" t="s">
        <v>1479</v>
      </c>
      <c r="BC3029" s="1" t="s">
        <v>1040</v>
      </c>
      <c r="BD3029" s="1" t="s">
        <v>553</v>
      </c>
      <c r="BE3029" s="1">
        <v>70.31</v>
      </c>
      <c r="BF3029" s="1">
        <v>7.88</v>
      </c>
      <c r="BG3029" s="1"/>
      <c r="BH3029" s="1"/>
      <c r="BI3029" s="1"/>
      <c r="BJ3029" s="1"/>
      <c r="BK3029" s="1"/>
      <c r="BL3029" s="1"/>
      <c r="BM3029" s="1"/>
      <c r="BN3029" s="1"/>
      <c r="BO3029" s="1" t="s">
        <v>48995</v>
      </c>
      <c r="BP3029" s="1" t="s">
        <v>48996</v>
      </c>
      <c r="BQ3029" s="1" t="s">
        <v>893</v>
      </c>
      <c r="BR3029" s="1" t="s">
        <v>48997</v>
      </c>
      <c r="BS3029" s="1">
        <v>25</v>
      </c>
      <c r="BT3029" s="1" t="s">
        <v>48998</v>
      </c>
      <c r="BU3029" s="1" t="str">
        <f>HYPERLINK("https://nconnect.nicmar.ac.in/storage/profile/6a880fce491d7.png","Download")</f>
        <v>0</v>
      </c>
      <c r="BV3029" s="3"/>
      <c r="BW3029" s="3"/>
    </row>
    <row r="3030" spans="1:75">
      <c r="A3030" s="1" t="s">
        <v>45201</v>
      </c>
      <c r="B3030" s="1" t="s">
        <v>13976</v>
      </c>
      <c r="C3030" s="1" t="s">
        <v>48999</v>
      </c>
      <c r="D3030" s="1" t="s">
        <v>49000</v>
      </c>
      <c r="E3030" s="1" t="s">
        <v>40095</v>
      </c>
      <c r="F3030" s="1" t="s">
        <v>49001</v>
      </c>
      <c r="G3030" s="1" t="s">
        <v>49002</v>
      </c>
      <c r="H3030" s="1" t="s">
        <v>49003</v>
      </c>
      <c r="I3030" s="1" t="s">
        <v>49004</v>
      </c>
      <c r="J3030" s="1">
        <v>9022422973</v>
      </c>
      <c r="K3030" s="1" t="s">
        <v>153</v>
      </c>
      <c r="L3030" s="1" t="s">
        <v>49005</v>
      </c>
      <c r="M3030" s="1" t="s">
        <v>86</v>
      </c>
      <c r="N3030" s="1" t="s">
        <v>10675</v>
      </c>
      <c r="O3030" s="1" t="s">
        <v>49006</v>
      </c>
      <c r="P3030" s="1" t="s">
        <v>122</v>
      </c>
      <c r="Q3030" s="1">
        <v>713625486835</v>
      </c>
      <c r="R3030" s="1" t="s">
        <v>49007</v>
      </c>
      <c r="S3030" s="1">
        <v>9325212237</v>
      </c>
      <c r="T3030" s="1" t="s">
        <v>3439</v>
      </c>
      <c r="U3030" s="1" t="s">
        <v>49008</v>
      </c>
      <c r="V3030" s="1">
        <v>9373092390</v>
      </c>
      <c r="W3030" s="1" t="s">
        <v>49009</v>
      </c>
      <c r="X3030" s="1" t="s">
        <v>49010</v>
      </c>
      <c r="Y3030" s="1" t="s">
        <v>96</v>
      </c>
      <c r="Z3030" s="1" t="s">
        <v>97</v>
      </c>
      <c r="AA3030" s="1" t="s">
        <v>49010</v>
      </c>
      <c r="AB3030" s="1" t="s">
        <v>96</v>
      </c>
      <c r="AC3030" s="1" t="s">
        <v>97</v>
      </c>
      <c r="AD3030" s="1" t="s">
        <v>98</v>
      </c>
      <c r="AE3030" s="1" t="s">
        <v>98</v>
      </c>
      <c r="AF3030" s="1" t="s">
        <v>15510</v>
      </c>
      <c r="AG3030" s="1" t="s">
        <v>49011</v>
      </c>
      <c r="AH3030" s="1" t="s">
        <v>10573</v>
      </c>
      <c r="AI3030" s="1" t="s">
        <v>313</v>
      </c>
      <c r="AJ3030" s="1">
        <v>81.2</v>
      </c>
      <c r="AK3030" s="1"/>
      <c r="AL3030" s="1" t="s">
        <v>21171</v>
      </c>
      <c r="AM3030" s="1" t="s">
        <v>49011</v>
      </c>
      <c r="AN3030" s="1" t="s">
        <v>465</v>
      </c>
      <c r="AO3030" s="1" t="s">
        <v>313</v>
      </c>
      <c r="AP3030" s="1" t="s">
        <v>1192</v>
      </c>
      <c r="AQ3030" s="1">
        <v>89.4</v>
      </c>
      <c r="AR3030" s="1"/>
      <c r="AS3030" s="1"/>
      <c r="AT3030" s="1"/>
      <c r="AU3030" s="1"/>
      <c r="AV3030" s="1"/>
      <c r="AW3030" s="1"/>
      <c r="AX3030" s="1"/>
      <c r="AY3030" s="1" t="s">
        <v>49012</v>
      </c>
      <c r="AZ3030" s="1" t="s">
        <v>49013</v>
      </c>
      <c r="BA3030" s="1" t="s">
        <v>49014</v>
      </c>
      <c r="BB3030" s="1" t="s">
        <v>23255</v>
      </c>
      <c r="BC3030" s="1" t="s">
        <v>140</v>
      </c>
      <c r="BD3030" s="1" t="s">
        <v>9688</v>
      </c>
      <c r="BE3030" s="1">
        <v>67</v>
      </c>
      <c r="BF3030" s="1">
        <v>2.6</v>
      </c>
      <c r="BG3030" s="1"/>
      <c r="BH3030" s="1"/>
      <c r="BI3030" s="1"/>
      <c r="BJ3030" s="1"/>
      <c r="BK3030" s="1"/>
      <c r="BL3030" s="1"/>
      <c r="BM3030" s="1"/>
      <c r="BN3030" s="1"/>
      <c r="BO3030" s="1" t="s">
        <v>49015</v>
      </c>
      <c r="BP3030" s="1"/>
      <c r="BQ3030" s="1"/>
      <c r="BR3030" s="1" t="s">
        <v>49016</v>
      </c>
      <c r="BS3030" s="1">
        <v>26</v>
      </c>
      <c r="BT3030" s="1"/>
      <c r="BU3030" s="1" t="str">
        <f>HYPERLINK("https://nconnect.nicmar.ac.in/storage/profile/6a85e9d6d0271.png","Download")</f>
        <v>0</v>
      </c>
      <c r="BV3030" s="3"/>
      <c r="BW3030" s="3"/>
    </row>
    <row r="3031" spans="1:75">
      <c r="A3031" s="1" t="s">
        <v>45201</v>
      </c>
      <c r="B3031" s="1" t="s">
        <v>13976</v>
      </c>
      <c r="C3031" s="1" t="s">
        <v>49017</v>
      </c>
      <c r="D3031" s="1" t="s">
        <v>46136</v>
      </c>
      <c r="E3031" s="1"/>
      <c r="F3031" s="1" t="s">
        <v>8694</v>
      </c>
      <c r="G3031" s="1" t="s">
        <v>49018</v>
      </c>
      <c r="H3031" s="1" t="s">
        <v>49019</v>
      </c>
      <c r="I3031" s="1" t="s">
        <v>49020</v>
      </c>
      <c r="J3031" s="1">
        <v>6366087234</v>
      </c>
      <c r="K3031" s="1" t="s">
        <v>153</v>
      </c>
      <c r="L3031" s="1" t="s">
        <v>49021</v>
      </c>
      <c r="M3031" s="1" t="s">
        <v>86</v>
      </c>
      <c r="N3031" s="1" t="s">
        <v>49022</v>
      </c>
      <c r="O3031" s="1" t="s">
        <v>49023</v>
      </c>
      <c r="P3031" s="1" t="s">
        <v>89</v>
      </c>
      <c r="Q3031" s="1">
        <v>784233177607</v>
      </c>
      <c r="R3031" s="1" t="s">
        <v>49024</v>
      </c>
      <c r="S3031" s="1">
        <v>9341368029</v>
      </c>
      <c r="T3031" s="1" t="s">
        <v>49025</v>
      </c>
      <c r="U3031" s="1" t="s">
        <v>49026</v>
      </c>
      <c r="V3031" s="1">
        <v>9740221728</v>
      </c>
      <c r="W3031" s="1" t="s">
        <v>49027</v>
      </c>
      <c r="X3031" s="1" t="s">
        <v>49028</v>
      </c>
      <c r="Y3031" s="1" t="s">
        <v>3132</v>
      </c>
      <c r="Z3031" s="1" t="s">
        <v>1210</v>
      </c>
      <c r="AA3031" s="1" t="s">
        <v>49028</v>
      </c>
      <c r="AB3031" s="1" t="s">
        <v>3132</v>
      </c>
      <c r="AC3031" s="1" t="s">
        <v>1210</v>
      </c>
      <c r="AD3031" s="1" t="s">
        <v>98</v>
      </c>
      <c r="AE3031" s="1" t="s">
        <v>98</v>
      </c>
      <c r="AF3031" s="1" t="s">
        <v>49029</v>
      </c>
      <c r="AG3031" s="1" t="s">
        <v>49030</v>
      </c>
      <c r="AH3031" s="1" t="s">
        <v>170</v>
      </c>
      <c r="AI3031" s="1" t="s">
        <v>171</v>
      </c>
      <c r="AJ3031" s="1">
        <v>72.66</v>
      </c>
      <c r="AK3031" s="1"/>
      <c r="AL3031" s="1" t="s">
        <v>49031</v>
      </c>
      <c r="AM3031" s="1" t="s">
        <v>49032</v>
      </c>
      <c r="AN3031" s="1" t="s">
        <v>575</v>
      </c>
      <c r="AO3031" s="1" t="s">
        <v>438</v>
      </c>
      <c r="AP3031" s="1" t="s">
        <v>178</v>
      </c>
      <c r="AQ3031" s="1">
        <v>69.16</v>
      </c>
      <c r="AR3031" s="1"/>
      <c r="AS3031" s="1"/>
      <c r="AT3031" s="1"/>
      <c r="AU3031" s="1"/>
      <c r="AV3031" s="1"/>
      <c r="AW3031" s="1"/>
      <c r="AX3031" s="1"/>
      <c r="AY3031" s="1" t="s">
        <v>49033</v>
      </c>
      <c r="AZ3031" s="1" t="s">
        <v>49034</v>
      </c>
      <c r="BA3031" s="1" t="s">
        <v>682</v>
      </c>
      <c r="BB3031" s="1" t="s">
        <v>683</v>
      </c>
      <c r="BC3031" s="1" t="s">
        <v>233</v>
      </c>
      <c r="BD3031" s="1" t="s">
        <v>1401</v>
      </c>
      <c r="BE3031" s="1">
        <v>74.1</v>
      </c>
      <c r="BF3031" s="1">
        <v>7.8</v>
      </c>
      <c r="BG3031" s="1"/>
      <c r="BH3031" s="1"/>
      <c r="BI3031" s="1"/>
      <c r="BJ3031" s="1"/>
      <c r="BK3031" s="1"/>
      <c r="BL3031" s="1"/>
      <c r="BM3031" s="1"/>
      <c r="BN3031" s="1"/>
      <c r="BO3031" s="1" t="s">
        <v>49035</v>
      </c>
      <c r="BP3031" s="1" t="s">
        <v>49036</v>
      </c>
      <c r="BQ3031" s="1" t="s">
        <v>1070</v>
      </c>
      <c r="BR3031" s="1"/>
      <c r="BS3031" s="1"/>
      <c r="BT3031" s="1"/>
      <c r="BU3031" s="1" t="str">
        <f>HYPERLINK("https://nconnect.nicmar.ac.in/storage/profile/6a84a90d25ca7.png","Download")</f>
        <v>0</v>
      </c>
      <c r="BV3031" s="3"/>
      <c r="BW3031" s="3"/>
    </row>
    <row r="3032" spans="1:75">
      <c r="A3032" s="1" t="s">
        <v>45201</v>
      </c>
      <c r="B3032" s="1" t="s">
        <v>13976</v>
      </c>
      <c r="C3032" s="1" t="s">
        <v>49037</v>
      </c>
      <c r="D3032" s="1" t="s">
        <v>49038</v>
      </c>
      <c r="E3032" s="1" t="s">
        <v>14566</v>
      </c>
      <c r="F3032" s="1" t="s">
        <v>19794</v>
      </c>
      <c r="G3032" s="1" t="s">
        <v>49039</v>
      </c>
      <c r="H3032" s="1" t="s">
        <v>49040</v>
      </c>
      <c r="I3032" s="1" t="s">
        <v>49041</v>
      </c>
      <c r="J3032" s="1">
        <v>8625881130</v>
      </c>
      <c r="K3032" s="1" t="s">
        <v>153</v>
      </c>
      <c r="L3032" s="1" t="s">
        <v>19685</v>
      </c>
      <c r="M3032" s="1" t="s">
        <v>86</v>
      </c>
      <c r="N3032" s="1" t="s">
        <v>6390</v>
      </c>
      <c r="O3032" s="1" t="s">
        <v>49042</v>
      </c>
      <c r="P3032" s="1" t="s">
        <v>89</v>
      </c>
      <c r="Q3032" s="1" t="s">
        <v>49043</v>
      </c>
      <c r="R3032" s="1" t="s">
        <v>49044</v>
      </c>
      <c r="S3032" s="1">
        <v>9822025263</v>
      </c>
      <c r="T3032" s="1" t="s">
        <v>14467</v>
      </c>
      <c r="U3032" s="1" t="s">
        <v>49045</v>
      </c>
      <c r="V3032" s="1">
        <v>9922070240</v>
      </c>
      <c r="W3032" s="1" t="s">
        <v>14154</v>
      </c>
      <c r="X3032" s="1" t="s">
        <v>49046</v>
      </c>
      <c r="Y3032" s="1" t="s">
        <v>196</v>
      </c>
      <c r="Z3032" s="1" t="s">
        <v>97</v>
      </c>
      <c r="AA3032" s="1" t="s">
        <v>49046</v>
      </c>
      <c r="AB3032" s="1" t="s">
        <v>196</v>
      </c>
      <c r="AC3032" s="1" t="s">
        <v>97</v>
      </c>
      <c r="AD3032" s="1" t="s">
        <v>98</v>
      </c>
      <c r="AE3032" s="1" t="s">
        <v>98</v>
      </c>
      <c r="AF3032" s="1" t="s">
        <v>49047</v>
      </c>
      <c r="AG3032" s="1" t="s">
        <v>14098</v>
      </c>
      <c r="AH3032" s="1" t="s">
        <v>1213</v>
      </c>
      <c r="AI3032" s="1" t="s">
        <v>313</v>
      </c>
      <c r="AJ3032" s="1">
        <v>88.4</v>
      </c>
      <c r="AK3032" s="1"/>
      <c r="AL3032" s="1" t="s">
        <v>49048</v>
      </c>
      <c r="AM3032" s="1" t="s">
        <v>14099</v>
      </c>
      <c r="AN3032" s="1" t="s">
        <v>465</v>
      </c>
      <c r="AO3032" s="1" t="s">
        <v>315</v>
      </c>
      <c r="AP3032" s="1" t="s">
        <v>2304</v>
      </c>
      <c r="AQ3032" s="1">
        <v>78.83</v>
      </c>
      <c r="AR3032" s="1"/>
      <c r="AS3032" s="1"/>
      <c r="AT3032" s="1"/>
      <c r="AU3032" s="1"/>
      <c r="AV3032" s="1"/>
      <c r="AW3032" s="1"/>
      <c r="AX3032" s="1"/>
      <c r="AY3032" s="1" t="s">
        <v>14160</v>
      </c>
      <c r="AZ3032" s="1" t="s">
        <v>49049</v>
      </c>
      <c r="BA3032" s="1" t="s">
        <v>682</v>
      </c>
      <c r="BB3032" s="1" t="s">
        <v>683</v>
      </c>
      <c r="BC3032" s="1" t="s">
        <v>549</v>
      </c>
      <c r="BD3032" s="1" t="s">
        <v>9688</v>
      </c>
      <c r="BE3032" s="1">
        <v>69.95</v>
      </c>
      <c r="BF3032" s="1">
        <v>7.86</v>
      </c>
      <c r="BG3032" s="1"/>
      <c r="BH3032" s="1"/>
      <c r="BI3032" s="1"/>
      <c r="BJ3032" s="1"/>
      <c r="BK3032" s="1"/>
      <c r="BL3032" s="1"/>
      <c r="BM3032" s="1"/>
      <c r="BN3032" s="1"/>
      <c r="BO3032" s="1" t="s">
        <v>49050</v>
      </c>
      <c r="BP3032" s="1"/>
      <c r="BQ3032" s="1"/>
      <c r="BR3032" s="1" t="s">
        <v>49051</v>
      </c>
      <c r="BS3032" s="1">
        <v>19</v>
      </c>
      <c r="BT3032" s="1"/>
      <c r="BU3032" s="1" t="str">
        <f>HYPERLINK("https://nconnect.nicmar.ac.in/storage/profile/6a8e427e4d9ee.png","Download")</f>
        <v>0</v>
      </c>
      <c r="BV3032" s="3"/>
      <c r="BW3032" s="3"/>
    </row>
    <row r="3033" spans="1:75">
      <c r="A3033" s="1" t="s">
        <v>45201</v>
      </c>
      <c r="B3033" s="1" t="s">
        <v>13976</v>
      </c>
      <c r="C3033" s="1" t="s">
        <v>49052</v>
      </c>
      <c r="D3033" s="1" t="s">
        <v>14327</v>
      </c>
      <c r="E3033" s="1" t="s">
        <v>15498</v>
      </c>
      <c r="F3033" s="1" t="s">
        <v>49053</v>
      </c>
      <c r="G3033" s="1" t="s">
        <v>49054</v>
      </c>
      <c r="H3033" s="1" t="s">
        <v>49055</v>
      </c>
      <c r="I3033" s="1" t="s">
        <v>49056</v>
      </c>
      <c r="J3033" s="1">
        <v>8668365023</v>
      </c>
      <c r="K3033" s="1" t="s">
        <v>84</v>
      </c>
      <c r="L3033" s="1" t="s">
        <v>7672</v>
      </c>
      <c r="M3033" s="1" t="s">
        <v>86</v>
      </c>
      <c r="N3033" s="1" t="s">
        <v>836</v>
      </c>
      <c r="O3033" s="1" t="s">
        <v>49057</v>
      </c>
      <c r="P3033" s="1" t="s">
        <v>219</v>
      </c>
      <c r="Q3033" s="1">
        <v>994177025842</v>
      </c>
      <c r="R3033" s="1" t="s">
        <v>15498</v>
      </c>
      <c r="S3033" s="1">
        <v>7875375023</v>
      </c>
      <c r="T3033" s="1" t="s">
        <v>3439</v>
      </c>
      <c r="U3033" s="1" t="s">
        <v>16093</v>
      </c>
      <c r="V3033" s="1">
        <v>9423978087</v>
      </c>
      <c r="W3033" s="1" t="s">
        <v>14154</v>
      </c>
      <c r="X3033" s="1" t="s">
        <v>49058</v>
      </c>
      <c r="Y3033" s="1" t="s">
        <v>309</v>
      </c>
      <c r="Z3033" s="1" t="s">
        <v>97</v>
      </c>
      <c r="AA3033" s="1" t="s">
        <v>49058</v>
      </c>
      <c r="AB3033" s="1" t="s">
        <v>309</v>
      </c>
      <c r="AC3033" s="1" t="s">
        <v>97</v>
      </c>
      <c r="AD3033" s="1" t="s">
        <v>98</v>
      </c>
      <c r="AE3033" s="1" t="s">
        <v>98</v>
      </c>
      <c r="AF3033" s="1" t="s">
        <v>49059</v>
      </c>
      <c r="AG3033" s="1" t="s">
        <v>49060</v>
      </c>
      <c r="AH3033" s="1" t="s">
        <v>166</v>
      </c>
      <c r="AI3033" s="1" t="s">
        <v>171</v>
      </c>
      <c r="AJ3033" s="1">
        <v>87.6</v>
      </c>
      <c r="AK3033" s="1"/>
      <c r="AL3033" s="1" t="s">
        <v>49061</v>
      </c>
      <c r="AM3033" s="1" t="s">
        <v>49062</v>
      </c>
      <c r="AN3033" s="1" t="s">
        <v>465</v>
      </c>
      <c r="AO3033" s="1" t="s">
        <v>106</v>
      </c>
      <c r="AP3033" s="1" t="s">
        <v>417</v>
      </c>
      <c r="AQ3033" s="1">
        <v>86.92</v>
      </c>
      <c r="AR3033" s="1"/>
      <c r="AS3033" s="1"/>
      <c r="AT3033" s="1"/>
      <c r="AU3033" s="1"/>
      <c r="AV3033" s="1"/>
      <c r="AW3033" s="1"/>
      <c r="AX3033" s="1"/>
      <c r="AY3033" s="1" t="s">
        <v>14380</v>
      </c>
      <c r="AZ3033" s="1" t="s">
        <v>49063</v>
      </c>
      <c r="BA3033" s="1" t="s">
        <v>682</v>
      </c>
      <c r="BB3033" s="1" t="s">
        <v>683</v>
      </c>
      <c r="BC3033" s="1" t="s">
        <v>368</v>
      </c>
      <c r="BD3033" s="1" t="s">
        <v>607</v>
      </c>
      <c r="BE3033" s="1">
        <v>65.95</v>
      </c>
      <c r="BF3033" s="1">
        <v>7.29</v>
      </c>
      <c r="BG3033" s="1"/>
      <c r="BH3033" s="1"/>
      <c r="BI3033" s="1"/>
      <c r="BJ3033" s="1"/>
      <c r="BK3033" s="1"/>
      <c r="BL3033" s="1"/>
      <c r="BM3033" s="1"/>
      <c r="BN3033" s="1"/>
      <c r="BO3033" s="1" t="s">
        <v>49064</v>
      </c>
      <c r="BP3033" s="1" t="s">
        <v>49065</v>
      </c>
      <c r="BQ3033" s="1" t="s">
        <v>1070</v>
      </c>
      <c r="BR3033" s="1" t="s">
        <v>49066</v>
      </c>
      <c r="BS3033" s="1">
        <v>23</v>
      </c>
      <c r="BT3033" s="1"/>
      <c r="BU3033" s="1" t="str">
        <f>HYPERLINK("https://nconnect.nicmar.ac.in/storage/profile/6a85fddd5ff00.png","Download")</f>
        <v>0</v>
      </c>
      <c r="BV3033" s="3"/>
      <c r="BW3033" s="3"/>
    </row>
    <row r="3034" spans="1:75">
      <c r="A3034" s="1" t="s">
        <v>45201</v>
      </c>
      <c r="B3034" s="1" t="s">
        <v>13976</v>
      </c>
      <c r="C3034" s="1" t="s">
        <v>49067</v>
      </c>
      <c r="D3034" s="1" t="s">
        <v>13979</v>
      </c>
      <c r="E3034" s="1"/>
      <c r="F3034" s="1" t="s">
        <v>14908</v>
      </c>
      <c r="G3034" s="1" t="s">
        <v>49068</v>
      </c>
      <c r="H3034" s="1" t="s">
        <v>49069</v>
      </c>
      <c r="I3034" s="1" t="s">
        <v>49070</v>
      </c>
      <c r="J3034" s="1">
        <v>8571078475</v>
      </c>
      <c r="K3034" s="1" t="s">
        <v>84</v>
      </c>
      <c r="L3034" s="1" t="s">
        <v>49071</v>
      </c>
      <c r="M3034" s="1" t="s">
        <v>86</v>
      </c>
      <c r="N3034" s="1" t="s">
        <v>20887</v>
      </c>
      <c r="O3034" s="1" t="s">
        <v>49072</v>
      </c>
      <c r="P3034" s="1" t="s">
        <v>219</v>
      </c>
      <c r="Q3034" s="1">
        <v>424509283424</v>
      </c>
      <c r="R3034" s="1" t="s">
        <v>49073</v>
      </c>
      <c r="S3034" s="1">
        <v>9416033067</v>
      </c>
      <c r="T3034" s="1" t="s">
        <v>17120</v>
      </c>
      <c r="U3034" s="1" t="s">
        <v>49074</v>
      </c>
      <c r="V3034" s="1">
        <v>9416055404</v>
      </c>
      <c r="W3034" s="1" t="s">
        <v>9679</v>
      </c>
      <c r="X3034" s="1" t="s">
        <v>49075</v>
      </c>
      <c r="Y3034" s="1" t="s">
        <v>49076</v>
      </c>
      <c r="Z3034" s="1" t="s">
        <v>1700</v>
      </c>
      <c r="AA3034" s="1" t="s">
        <v>49075</v>
      </c>
      <c r="AB3034" s="1" t="s">
        <v>49076</v>
      </c>
      <c r="AC3034" s="1" t="s">
        <v>1700</v>
      </c>
      <c r="AD3034" s="1" t="s">
        <v>98</v>
      </c>
      <c r="AE3034" s="1" t="s">
        <v>98</v>
      </c>
      <c r="AF3034" s="1" t="s">
        <v>49077</v>
      </c>
      <c r="AG3034" s="1" t="s">
        <v>49078</v>
      </c>
      <c r="AH3034" s="1" t="s">
        <v>414</v>
      </c>
      <c r="AI3034" s="1" t="s">
        <v>178</v>
      </c>
      <c r="AJ3034" s="1">
        <v>70.17</v>
      </c>
      <c r="AK3034" s="1">
        <v>7.39</v>
      </c>
      <c r="AL3034" s="1" t="s">
        <v>49077</v>
      </c>
      <c r="AM3034" s="1" t="s">
        <v>49078</v>
      </c>
      <c r="AN3034" s="1" t="s">
        <v>465</v>
      </c>
      <c r="AO3034" s="1" t="s">
        <v>1192</v>
      </c>
      <c r="AP3034" s="1" t="s">
        <v>1400</v>
      </c>
      <c r="AQ3034" s="1">
        <v>67.8</v>
      </c>
      <c r="AR3034" s="1">
        <v>7.14</v>
      </c>
      <c r="AS3034" s="1"/>
      <c r="AT3034" s="1"/>
      <c r="AU3034" s="1"/>
      <c r="AV3034" s="1"/>
      <c r="AW3034" s="1"/>
      <c r="AX3034" s="1"/>
      <c r="AY3034" s="1" t="s">
        <v>49079</v>
      </c>
      <c r="AZ3034" s="1" t="s">
        <v>49080</v>
      </c>
      <c r="BA3034" s="1" t="s">
        <v>466</v>
      </c>
      <c r="BB3034" s="1" t="s">
        <v>467</v>
      </c>
      <c r="BC3034" s="1" t="s">
        <v>1802</v>
      </c>
      <c r="BD3034" s="1" t="s">
        <v>14514</v>
      </c>
      <c r="BE3034" s="1">
        <v>76.7</v>
      </c>
      <c r="BF3034" s="1">
        <v>7.67</v>
      </c>
      <c r="BG3034" s="1"/>
      <c r="BH3034" s="1"/>
      <c r="BI3034" s="1"/>
      <c r="BJ3034" s="1"/>
      <c r="BK3034" s="1"/>
      <c r="BL3034" s="1"/>
      <c r="BM3034" s="1"/>
      <c r="BN3034" s="1"/>
      <c r="BO3034" s="1" t="s">
        <v>3385</v>
      </c>
      <c r="BP3034" s="1"/>
      <c r="BQ3034" s="1"/>
      <c r="BR3034" s="1" t="s">
        <v>49081</v>
      </c>
      <c r="BS3034" s="1">
        <v>7</v>
      </c>
      <c r="BT3034" s="1" t="s">
        <v>49082</v>
      </c>
      <c r="BU3034" s="1" t="str">
        <f>HYPERLINK("https://nconnect.nicmar.ac.in/storage/profile/6a849c1a03eae.png","Download")</f>
        <v>0</v>
      </c>
      <c r="BV3034" s="3"/>
      <c r="BW3034" s="3"/>
    </row>
    <row r="3035" spans="1:75">
      <c r="A3035" s="1" t="s">
        <v>45201</v>
      </c>
      <c r="B3035" s="1" t="s">
        <v>13976</v>
      </c>
      <c r="C3035" s="1" t="s">
        <v>49083</v>
      </c>
      <c r="D3035" s="1" t="s">
        <v>49084</v>
      </c>
      <c r="E3035" s="1"/>
      <c r="F3035" s="1" t="s">
        <v>9165</v>
      </c>
      <c r="G3035" s="1" t="s">
        <v>49085</v>
      </c>
      <c r="H3035" s="1" t="s">
        <v>49086</v>
      </c>
      <c r="I3035" s="1" t="s">
        <v>49087</v>
      </c>
      <c r="J3035" s="1">
        <v>9489905901</v>
      </c>
      <c r="K3035" s="1" t="s">
        <v>84</v>
      </c>
      <c r="L3035" s="1" t="s">
        <v>49088</v>
      </c>
      <c r="M3035" s="1" t="s">
        <v>86</v>
      </c>
      <c r="N3035" s="1" t="s">
        <v>2356</v>
      </c>
      <c r="O3035" s="1" t="s">
        <v>49089</v>
      </c>
      <c r="P3035" s="1" t="s">
        <v>122</v>
      </c>
      <c r="Q3035" s="1">
        <v>949490841521</v>
      </c>
      <c r="R3035" s="1" t="s">
        <v>49090</v>
      </c>
      <c r="S3035" s="1">
        <v>9443191031</v>
      </c>
      <c r="T3035" s="1" t="s">
        <v>49091</v>
      </c>
      <c r="U3035" s="1" t="s">
        <v>49092</v>
      </c>
      <c r="V3035" s="1">
        <v>9486812281</v>
      </c>
      <c r="W3035" s="1" t="s">
        <v>278</v>
      </c>
      <c r="X3035" s="1" t="s">
        <v>49093</v>
      </c>
      <c r="Y3035" s="1" t="s">
        <v>7283</v>
      </c>
      <c r="Z3035" s="1" t="s">
        <v>570</v>
      </c>
      <c r="AA3035" s="1" t="s">
        <v>49093</v>
      </c>
      <c r="AB3035" s="1" t="s">
        <v>7283</v>
      </c>
      <c r="AC3035" s="1" t="s">
        <v>570</v>
      </c>
      <c r="AD3035" s="1" t="s">
        <v>98</v>
      </c>
      <c r="AE3035" s="1" t="s">
        <v>98</v>
      </c>
      <c r="AF3035" s="1" t="s">
        <v>49094</v>
      </c>
      <c r="AG3035" s="1" t="s">
        <v>49095</v>
      </c>
      <c r="AH3035" s="1" t="s">
        <v>167</v>
      </c>
      <c r="AI3035" s="1" t="s">
        <v>573</v>
      </c>
      <c r="AJ3035" s="1">
        <v>83.2</v>
      </c>
      <c r="AK3035" s="1"/>
      <c r="AL3035" s="1" t="s">
        <v>49096</v>
      </c>
      <c r="AM3035" s="1" t="s">
        <v>49097</v>
      </c>
      <c r="AN3035" s="1" t="s">
        <v>6380</v>
      </c>
      <c r="AO3035" s="1" t="s">
        <v>106</v>
      </c>
      <c r="AP3035" s="1" t="s">
        <v>547</v>
      </c>
      <c r="AQ3035" s="1">
        <v>67.6</v>
      </c>
      <c r="AR3035" s="1"/>
      <c r="AS3035" s="1"/>
      <c r="AT3035" s="1"/>
      <c r="AU3035" s="1"/>
      <c r="AV3035" s="1"/>
      <c r="AW3035" s="1"/>
      <c r="AX3035" s="1"/>
      <c r="AY3035" s="1" t="s">
        <v>49098</v>
      </c>
      <c r="AZ3035" s="1" t="s">
        <v>49099</v>
      </c>
      <c r="BA3035" s="1" t="s">
        <v>682</v>
      </c>
      <c r="BB3035" s="1" t="s">
        <v>1561</v>
      </c>
      <c r="BC3035" s="1" t="s">
        <v>206</v>
      </c>
      <c r="BD3035" s="1" t="s">
        <v>1314</v>
      </c>
      <c r="BE3035" s="1">
        <v>71</v>
      </c>
      <c r="BF3035" s="1">
        <v>7.1</v>
      </c>
      <c r="BG3035" s="1"/>
      <c r="BH3035" s="1"/>
      <c r="BI3035" s="1"/>
      <c r="BJ3035" s="1"/>
      <c r="BK3035" s="1"/>
      <c r="BL3035" s="1"/>
      <c r="BM3035" s="1"/>
      <c r="BN3035" s="1"/>
      <c r="BO3035" s="1" t="s">
        <v>49100</v>
      </c>
      <c r="BP3035" s="1" t="s">
        <v>49101</v>
      </c>
      <c r="BQ3035" s="1" t="s">
        <v>2245</v>
      </c>
      <c r="BR3035" s="1" t="s">
        <v>49102</v>
      </c>
      <c r="BS3035" s="1">
        <v>18</v>
      </c>
      <c r="BT3035" s="1"/>
      <c r="BU3035" s="1" t="str">
        <f>HYPERLINK("https://nconnect.nicmar.ac.in/storage/profile/6a809e489ed4b.png","Download")</f>
        <v>0</v>
      </c>
      <c r="BV3035" s="3"/>
      <c r="BW3035" s="3"/>
    </row>
    <row r="3036" spans="1:75">
      <c r="A3036" s="1" t="s">
        <v>45201</v>
      </c>
      <c r="B3036" s="1" t="s">
        <v>13976</v>
      </c>
      <c r="C3036" s="1" t="s">
        <v>49103</v>
      </c>
      <c r="D3036" s="1" t="s">
        <v>39608</v>
      </c>
      <c r="E3036" s="1" t="s">
        <v>19371</v>
      </c>
      <c r="F3036" s="1" t="s">
        <v>49104</v>
      </c>
      <c r="G3036" s="1" t="s">
        <v>49105</v>
      </c>
      <c r="H3036" s="1" t="s">
        <v>49106</v>
      </c>
      <c r="I3036" s="1" t="s">
        <v>49107</v>
      </c>
      <c r="J3036" s="1">
        <v>9021505472</v>
      </c>
      <c r="K3036" s="1" t="s">
        <v>153</v>
      </c>
      <c r="L3036" s="1" t="s">
        <v>46105</v>
      </c>
      <c r="M3036" s="1" t="s">
        <v>86</v>
      </c>
      <c r="N3036" s="1" t="s">
        <v>4263</v>
      </c>
      <c r="O3036" s="1" t="s">
        <v>49108</v>
      </c>
      <c r="P3036" s="1" t="s">
        <v>219</v>
      </c>
      <c r="Q3036" s="1">
        <v>226716335366</v>
      </c>
      <c r="R3036" s="1" t="s">
        <v>49109</v>
      </c>
      <c r="S3036" s="1">
        <v>9850137811</v>
      </c>
      <c r="T3036" s="1" t="s">
        <v>17450</v>
      </c>
      <c r="U3036" s="1" t="s">
        <v>49110</v>
      </c>
      <c r="V3036" s="1">
        <v>9404283040</v>
      </c>
      <c r="W3036" s="1" t="s">
        <v>3441</v>
      </c>
      <c r="X3036" s="1" t="s">
        <v>49111</v>
      </c>
      <c r="Y3036" s="1" t="s">
        <v>434</v>
      </c>
      <c r="Z3036" s="1" t="s">
        <v>97</v>
      </c>
      <c r="AA3036" s="1" t="s">
        <v>49112</v>
      </c>
      <c r="AB3036" s="1" t="s">
        <v>196</v>
      </c>
      <c r="AC3036" s="1" t="s">
        <v>97</v>
      </c>
      <c r="AD3036" s="1" t="s">
        <v>98</v>
      </c>
      <c r="AE3036" s="1" t="s">
        <v>98</v>
      </c>
      <c r="AF3036" s="1" t="s">
        <v>49113</v>
      </c>
      <c r="AG3036" s="1" t="s">
        <v>14977</v>
      </c>
      <c r="AH3036" s="1" t="s">
        <v>106</v>
      </c>
      <c r="AI3036" s="1" t="s">
        <v>414</v>
      </c>
      <c r="AJ3036" s="1">
        <v>92.4</v>
      </c>
      <c r="AK3036" s="1"/>
      <c r="AL3036" s="1" t="s">
        <v>49114</v>
      </c>
      <c r="AM3036" s="1" t="s">
        <v>14977</v>
      </c>
      <c r="AN3036" s="1" t="s">
        <v>465</v>
      </c>
      <c r="AO3036" s="1" t="s">
        <v>468</v>
      </c>
      <c r="AP3036" s="1" t="s">
        <v>441</v>
      </c>
      <c r="AQ3036" s="1">
        <v>97.33</v>
      </c>
      <c r="AR3036" s="1"/>
      <c r="AS3036" s="1"/>
      <c r="AT3036" s="1"/>
      <c r="AU3036" s="1"/>
      <c r="AV3036" s="1"/>
      <c r="AW3036" s="1"/>
      <c r="AX3036" s="1"/>
      <c r="AY3036" s="1" t="s">
        <v>49115</v>
      </c>
      <c r="AZ3036" s="1" t="s">
        <v>49116</v>
      </c>
      <c r="BA3036" s="1" t="s">
        <v>578</v>
      </c>
      <c r="BB3036" s="1" t="s">
        <v>49117</v>
      </c>
      <c r="BC3036" s="1" t="s">
        <v>549</v>
      </c>
      <c r="BD3036" s="1" t="s">
        <v>848</v>
      </c>
      <c r="BE3036" s="1">
        <v>76</v>
      </c>
      <c r="BF3036" s="1">
        <v>8.54</v>
      </c>
      <c r="BG3036" s="1"/>
      <c r="BH3036" s="1"/>
      <c r="BI3036" s="1"/>
      <c r="BJ3036" s="1"/>
      <c r="BK3036" s="1"/>
      <c r="BL3036" s="1"/>
      <c r="BM3036" s="1"/>
      <c r="BN3036" s="1"/>
      <c r="BO3036" s="1" t="s">
        <v>49118</v>
      </c>
      <c r="BP3036" s="1"/>
      <c r="BQ3036" s="1"/>
      <c r="BR3036" s="1" t="s">
        <v>49119</v>
      </c>
      <c r="BS3036" s="1">
        <v>8</v>
      </c>
      <c r="BT3036" s="1"/>
      <c r="BU3036" s="1" t="str">
        <f>HYPERLINK("https://nconnect.nicmar.ac.in/storage/profile/6a8487d76ce54.png","Download")</f>
        <v>0</v>
      </c>
      <c r="BV3036" s="3"/>
      <c r="BW3036" s="3"/>
    </row>
    <row r="3037" spans="1:75">
      <c r="A3037" s="1" t="s">
        <v>45201</v>
      </c>
      <c r="B3037" s="1" t="s">
        <v>13976</v>
      </c>
      <c r="C3037" s="1" t="s">
        <v>49120</v>
      </c>
      <c r="D3037" s="1" t="s">
        <v>49121</v>
      </c>
      <c r="E3037" s="1" t="s">
        <v>19911</v>
      </c>
      <c r="F3037" s="1" t="s">
        <v>49122</v>
      </c>
      <c r="G3037" s="1" t="s">
        <v>49123</v>
      </c>
      <c r="H3037" s="1" t="s">
        <v>49124</v>
      </c>
      <c r="I3037" s="1" t="s">
        <v>49125</v>
      </c>
      <c r="J3037" s="1">
        <v>8921961129</v>
      </c>
      <c r="K3037" s="1" t="s">
        <v>84</v>
      </c>
      <c r="L3037" s="1" t="s">
        <v>24405</v>
      </c>
      <c r="M3037" s="1" t="s">
        <v>86</v>
      </c>
      <c r="N3037" s="1" t="s">
        <v>20559</v>
      </c>
      <c r="O3037" s="1" t="s">
        <v>49126</v>
      </c>
      <c r="P3037" s="1" t="s">
        <v>356</v>
      </c>
      <c r="Q3037" s="1">
        <v>442537873240</v>
      </c>
      <c r="R3037" s="1" t="s">
        <v>49127</v>
      </c>
      <c r="S3037" s="1">
        <v>9447017448</v>
      </c>
      <c r="T3037" s="1" t="s">
        <v>3439</v>
      </c>
      <c r="U3037" s="1" t="s">
        <v>49128</v>
      </c>
      <c r="V3037" s="1">
        <v>9446046448</v>
      </c>
      <c r="W3037" s="1" t="s">
        <v>14212</v>
      </c>
      <c r="X3037" s="1" t="s">
        <v>49129</v>
      </c>
      <c r="Y3037" s="1" t="s">
        <v>2526</v>
      </c>
      <c r="Z3037" s="1" t="s">
        <v>130</v>
      </c>
      <c r="AA3037" s="1" t="s">
        <v>49129</v>
      </c>
      <c r="AB3037" s="1" t="s">
        <v>2526</v>
      </c>
      <c r="AC3037" s="1" t="s">
        <v>130</v>
      </c>
      <c r="AD3037" s="1" t="s">
        <v>98</v>
      </c>
      <c r="AE3037" s="1" t="s">
        <v>98</v>
      </c>
      <c r="AF3037" s="1" t="s">
        <v>49130</v>
      </c>
      <c r="AG3037" s="1" t="s">
        <v>796</v>
      </c>
      <c r="AH3037" s="1" t="s">
        <v>438</v>
      </c>
      <c r="AI3037" s="1" t="s">
        <v>977</v>
      </c>
      <c r="AJ3037" s="1">
        <v>96.2</v>
      </c>
      <c r="AK3037" s="1"/>
      <c r="AL3037" s="1" t="s">
        <v>49131</v>
      </c>
      <c r="AM3037" s="1" t="s">
        <v>796</v>
      </c>
      <c r="AN3037" s="1" t="s">
        <v>465</v>
      </c>
      <c r="AO3037" s="1" t="s">
        <v>847</v>
      </c>
      <c r="AP3037" s="1" t="s">
        <v>521</v>
      </c>
      <c r="AQ3037" s="1">
        <v>94.4</v>
      </c>
      <c r="AR3037" s="1"/>
      <c r="AS3037" s="1"/>
      <c r="AT3037" s="1"/>
      <c r="AU3037" s="1"/>
      <c r="AV3037" s="1"/>
      <c r="AW3037" s="1"/>
      <c r="AX3037" s="1"/>
      <c r="AY3037" s="1" t="s">
        <v>137</v>
      </c>
      <c r="AZ3037" s="1" t="s">
        <v>49132</v>
      </c>
      <c r="BA3037" s="1" t="s">
        <v>466</v>
      </c>
      <c r="BB3037" s="1" t="s">
        <v>467</v>
      </c>
      <c r="BC3037" s="1" t="s">
        <v>110</v>
      </c>
      <c r="BD3037" s="1" t="s">
        <v>14101</v>
      </c>
      <c r="BE3037" s="1">
        <v>77.3</v>
      </c>
      <c r="BF3037" s="1">
        <v>7.73</v>
      </c>
      <c r="BG3037" s="1"/>
      <c r="BH3037" s="1"/>
      <c r="BI3037" s="1"/>
      <c r="BJ3037" s="1"/>
      <c r="BK3037" s="1"/>
      <c r="BL3037" s="1"/>
      <c r="BM3037" s="1"/>
      <c r="BN3037" s="1"/>
      <c r="BO3037" s="1" t="s">
        <v>49133</v>
      </c>
      <c r="BP3037" s="1"/>
      <c r="BQ3037" s="1"/>
      <c r="BR3037" s="1" t="s">
        <v>49134</v>
      </c>
      <c r="BS3037" s="1">
        <v>1</v>
      </c>
      <c r="BT3037" s="1"/>
      <c r="BU3037" s="1" t="str">
        <f>HYPERLINK("https://nconnect.nicmar.ac.in/storage/profile/6a861b10b4834.png","Download")</f>
        <v>0</v>
      </c>
      <c r="BV3037" s="3"/>
      <c r="BW3037" s="3"/>
    </row>
    <row r="3038" spans="1:75">
      <c r="A3038" s="1" t="s">
        <v>45201</v>
      </c>
      <c r="B3038" s="1" t="s">
        <v>13976</v>
      </c>
      <c r="C3038" s="1" t="s">
        <v>49135</v>
      </c>
      <c r="D3038" s="1" t="s">
        <v>49136</v>
      </c>
      <c r="E3038" s="1" t="s">
        <v>19013</v>
      </c>
      <c r="F3038" s="1" t="s">
        <v>14758</v>
      </c>
      <c r="G3038" s="1" t="s">
        <v>49137</v>
      </c>
      <c r="H3038" s="1" t="s">
        <v>49138</v>
      </c>
      <c r="I3038" s="1" t="s">
        <v>49139</v>
      </c>
      <c r="J3038" s="1">
        <v>9922345621</v>
      </c>
      <c r="K3038" s="1" t="s">
        <v>84</v>
      </c>
      <c r="L3038" s="1" t="s">
        <v>49140</v>
      </c>
      <c r="M3038" s="1" t="s">
        <v>86</v>
      </c>
      <c r="N3038" s="1" t="s">
        <v>768</v>
      </c>
      <c r="O3038" s="1" t="s">
        <v>49141</v>
      </c>
      <c r="P3038" s="1" t="s">
        <v>89</v>
      </c>
      <c r="Q3038" s="1" t="s">
        <v>49142</v>
      </c>
      <c r="R3038" s="1" t="s">
        <v>19013</v>
      </c>
      <c r="S3038" s="1">
        <v>9922556681</v>
      </c>
      <c r="T3038" s="1" t="s">
        <v>13987</v>
      </c>
      <c r="U3038" s="1" t="s">
        <v>15437</v>
      </c>
      <c r="V3038" s="1">
        <v>7399556681</v>
      </c>
      <c r="W3038" s="1" t="s">
        <v>10306</v>
      </c>
      <c r="X3038" s="1" t="s">
        <v>49143</v>
      </c>
      <c r="Y3038" s="1" t="s">
        <v>196</v>
      </c>
      <c r="Z3038" s="1" t="s">
        <v>97</v>
      </c>
      <c r="AA3038" s="1" t="s">
        <v>49143</v>
      </c>
      <c r="AB3038" s="1" t="s">
        <v>196</v>
      </c>
      <c r="AC3038" s="1" t="s">
        <v>97</v>
      </c>
      <c r="AD3038" s="1" t="s">
        <v>98</v>
      </c>
      <c r="AE3038" s="1" t="s">
        <v>98</v>
      </c>
      <c r="AF3038" s="1" t="s">
        <v>49144</v>
      </c>
      <c r="AG3038" s="1" t="s">
        <v>49145</v>
      </c>
      <c r="AH3038" s="1" t="s">
        <v>3112</v>
      </c>
      <c r="AI3038" s="1" t="s">
        <v>170</v>
      </c>
      <c r="AJ3038" s="1">
        <v>71.4</v>
      </c>
      <c r="AK3038" s="1"/>
      <c r="AL3038" s="1" t="s">
        <v>49146</v>
      </c>
      <c r="AM3038" s="1" t="s">
        <v>49145</v>
      </c>
      <c r="AN3038" s="1" t="s">
        <v>465</v>
      </c>
      <c r="AO3038" s="1" t="s">
        <v>170</v>
      </c>
      <c r="AP3038" s="1" t="s">
        <v>438</v>
      </c>
      <c r="AQ3038" s="1">
        <v>66.92</v>
      </c>
      <c r="AR3038" s="1"/>
      <c r="AS3038" s="1"/>
      <c r="AT3038" s="1"/>
      <c r="AU3038" s="1"/>
      <c r="AV3038" s="1"/>
      <c r="AW3038" s="1"/>
      <c r="AX3038" s="1"/>
      <c r="AY3038" s="1" t="s">
        <v>14160</v>
      </c>
      <c r="AZ3038" s="1" t="s">
        <v>49147</v>
      </c>
      <c r="BA3038" s="1" t="s">
        <v>682</v>
      </c>
      <c r="BB3038" s="1" t="s">
        <v>1561</v>
      </c>
      <c r="BC3038" s="1" t="s">
        <v>315</v>
      </c>
      <c r="BD3038" s="1" t="s">
        <v>2383</v>
      </c>
      <c r="BE3038" s="1">
        <v>60.5</v>
      </c>
      <c r="BF3038" s="1">
        <v>6.8</v>
      </c>
      <c r="BG3038" s="1"/>
      <c r="BH3038" s="1"/>
      <c r="BI3038" s="1"/>
      <c r="BJ3038" s="1"/>
      <c r="BK3038" s="1"/>
      <c r="BL3038" s="1"/>
      <c r="BM3038" s="1"/>
      <c r="BN3038" s="1"/>
      <c r="BO3038" s="1" t="s">
        <v>49148</v>
      </c>
      <c r="BP3038" s="1" t="s">
        <v>49149</v>
      </c>
      <c r="BQ3038" s="1" t="s">
        <v>1174</v>
      </c>
      <c r="BR3038" s="1" t="s">
        <v>49150</v>
      </c>
      <c r="BS3038" s="1">
        <v>34</v>
      </c>
      <c r="BT3038" s="1" t="s">
        <v>49151</v>
      </c>
      <c r="BU3038" s="1" t="str">
        <f>HYPERLINK("https://nconnect.nicmar.ac.in/storage/profile/6a85c58619183.png","Download")</f>
        <v>0</v>
      </c>
      <c r="BV3038" s="3"/>
      <c r="BW3038" s="3"/>
    </row>
    <row r="3039" spans="1:75">
      <c r="A3039" s="1" t="s">
        <v>45201</v>
      </c>
      <c r="B3039" s="1" t="s">
        <v>13976</v>
      </c>
      <c r="C3039" s="1" t="s">
        <v>49152</v>
      </c>
      <c r="D3039" s="1" t="s">
        <v>15036</v>
      </c>
      <c r="E3039" s="1"/>
      <c r="F3039" s="1" t="s">
        <v>49153</v>
      </c>
      <c r="G3039" s="1" t="s">
        <v>49154</v>
      </c>
      <c r="H3039" s="1" t="s">
        <v>49155</v>
      </c>
      <c r="I3039" s="1" t="s">
        <v>49156</v>
      </c>
      <c r="J3039" s="1">
        <v>9653787912</v>
      </c>
      <c r="K3039" s="1" t="s">
        <v>84</v>
      </c>
      <c r="L3039" s="1" t="s">
        <v>32456</v>
      </c>
      <c r="M3039" s="1" t="s">
        <v>86</v>
      </c>
      <c r="N3039" s="1" t="s">
        <v>4857</v>
      </c>
      <c r="O3039" s="1" t="s">
        <v>49157</v>
      </c>
      <c r="P3039" s="1" t="s">
        <v>122</v>
      </c>
      <c r="Q3039" s="1">
        <v>926650745101</v>
      </c>
      <c r="R3039" s="1" t="s">
        <v>49158</v>
      </c>
      <c r="S3039" s="1">
        <v>9910334619</v>
      </c>
      <c r="T3039" s="1" t="s">
        <v>14953</v>
      </c>
      <c r="U3039" s="1" t="s">
        <v>49159</v>
      </c>
      <c r="V3039" s="1">
        <v>9871096027</v>
      </c>
      <c r="W3039" s="1" t="s">
        <v>49160</v>
      </c>
      <c r="X3039" s="1" t="s">
        <v>49161</v>
      </c>
      <c r="Y3039" s="1" t="s">
        <v>16334</v>
      </c>
      <c r="Z3039" s="1" t="s">
        <v>1700</v>
      </c>
      <c r="AA3039" s="1" t="s">
        <v>49161</v>
      </c>
      <c r="AB3039" s="1" t="s">
        <v>16334</v>
      </c>
      <c r="AC3039" s="1" t="s">
        <v>1700</v>
      </c>
      <c r="AD3039" s="1" t="s">
        <v>98</v>
      </c>
      <c r="AE3039" s="1" t="s">
        <v>98</v>
      </c>
      <c r="AF3039" s="1" t="s">
        <v>49162</v>
      </c>
      <c r="AG3039" s="1" t="s">
        <v>49163</v>
      </c>
      <c r="AH3039" s="1" t="s">
        <v>134</v>
      </c>
      <c r="AI3039" s="1" t="s">
        <v>1262</v>
      </c>
      <c r="AJ3039" s="1">
        <v>64.6</v>
      </c>
      <c r="AK3039" s="1">
        <v>6.8</v>
      </c>
      <c r="AL3039" s="1" t="s">
        <v>49164</v>
      </c>
      <c r="AM3039" s="1" t="s">
        <v>49163</v>
      </c>
      <c r="AN3039" s="1" t="s">
        <v>465</v>
      </c>
      <c r="AO3039" s="1" t="s">
        <v>627</v>
      </c>
      <c r="AP3039" s="1" t="s">
        <v>573</v>
      </c>
      <c r="AQ3039" s="1">
        <v>63.4</v>
      </c>
      <c r="AR3039" s="1">
        <v>6.4</v>
      </c>
      <c r="AS3039" s="1"/>
      <c r="AT3039" s="1"/>
      <c r="AU3039" s="1"/>
      <c r="AV3039" s="1"/>
      <c r="AW3039" s="1"/>
      <c r="AX3039" s="1"/>
      <c r="AY3039" s="1" t="s">
        <v>49165</v>
      </c>
      <c r="AZ3039" s="1" t="s">
        <v>18269</v>
      </c>
      <c r="BA3039" s="1" t="s">
        <v>466</v>
      </c>
      <c r="BB3039" s="1" t="s">
        <v>467</v>
      </c>
      <c r="BC3039" s="1" t="s">
        <v>170</v>
      </c>
      <c r="BD3039" s="1" t="s">
        <v>935</v>
      </c>
      <c r="BE3039" s="1">
        <v>63.81</v>
      </c>
      <c r="BF3039" s="1">
        <v>7.13</v>
      </c>
      <c r="BG3039" s="1"/>
      <c r="BH3039" s="1"/>
      <c r="BI3039" s="1"/>
      <c r="BJ3039" s="1"/>
      <c r="BK3039" s="1"/>
      <c r="BL3039" s="1"/>
      <c r="BM3039" s="1"/>
      <c r="BN3039" s="1"/>
      <c r="BO3039" s="1" t="s">
        <v>49166</v>
      </c>
      <c r="BP3039" s="1" t="s">
        <v>49167</v>
      </c>
      <c r="BQ3039" s="1" t="s">
        <v>4944</v>
      </c>
      <c r="BR3039" s="1"/>
      <c r="BS3039" s="1"/>
      <c r="BT3039" s="1" t="s">
        <v>49168</v>
      </c>
      <c r="BU3039" s="1" t="str">
        <f>HYPERLINK("https://nconnect.nicmar.ac.in/storage/profile/6a85e89319812.png","Download")</f>
        <v>0</v>
      </c>
      <c r="BV3039" s="3"/>
      <c r="BW3039" s="3"/>
    </row>
    <row r="3040" spans="1:75">
      <c r="A3040" s="1" t="s">
        <v>45201</v>
      </c>
      <c r="B3040" s="1" t="s">
        <v>13976</v>
      </c>
      <c r="C3040" s="1" t="s">
        <v>49169</v>
      </c>
      <c r="D3040" s="1" t="s">
        <v>49170</v>
      </c>
      <c r="E3040" s="1"/>
      <c r="F3040" s="1" t="s">
        <v>49171</v>
      </c>
      <c r="G3040" s="1" t="s">
        <v>49172</v>
      </c>
      <c r="H3040" s="1" t="s">
        <v>49173</v>
      </c>
      <c r="I3040" s="1" t="s">
        <v>49173</v>
      </c>
      <c r="J3040" s="1">
        <v>8787394436</v>
      </c>
      <c r="K3040" s="1" t="s">
        <v>84</v>
      </c>
      <c r="L3040" s="1" t="s">
        <v>45630</v>
      </c>
      <c r="M3040" s="1" t="s">
        <v>86</v>
      </c>
      <c r="N3040" s="1" t="s">
        <v>20887</v>
      </c>
      <c r="O3040" s="1" t="s">
        <v>49174</v>
      </c>
      <c r="P3040" s="1" t="s">
        <v>219</v>
      </c>
      <c r="Q3040" s="1">
        <v>394061691456</v>
      </c>
      <c r="R3040" s="1" t="s">
        <v>49175</v>
      </c>
      <c r="S3040" s="1" t="s">
        <v>16692</v>
      </c>
      <c r="T3040" s="1" t="s">
        <v>49176</v>
      </c>
      <c r="U3040" s="1" t="s">
        <v>49177</v>
      </c>
      <c r="V3040" s="1">
        <v>9436830791</v>
      </c>
      <c r="W3040" s="1" t="s">
        <v>49178</v>
      </c>
      <c r="X3040" s="1" t="s">
        <v>49179</v>
      </c>
      <c r="Y3040" s="1" t="s">
        <v>49180</v>
      </c>
      <c r="Z3040" s="1" t="s">
        <v>49181</v>
      </c>
      <c r="AA3040" s="1" t="s">
        <v>49179</v>
      </c>
      <c r="AB3040" s="1" t="s">
        <v>49180</v>
      </c>
      <c r="AC3040" s="1" t="s">
        <v>49181</v>
      </c>
      <c r="AD3040" s="1" t="s">
        <v>98</v>
      </c>
      <c r="AE3040" s="1" t="s">
        <v>98</v>
      </c>
      <c r="AF3040" s="1" t="s">
        <v>49182</v>
      </c>
      <c r="AG3040" s="1" t="s">
        <v>49183</v>
      </c>
      <c r="AH3040" s="1" t="s">
        <v>106</v>
      </c>
      <c r="AI3040" s="1" t="s">
        <v>313</v>
      </c>
      <c r="AJ3040" s="1">
        <v>82</v>
      </c>
      <c r="AK3040" s="1">
        <v>8.6</v>
      </c>
      <c r="AL3040" s="1" t="s">
        <v>49182</v>
      </c>
      <c r="AM3040" s="1" t="s">
        <v>49183</v>
      </c>
      <c r="AN3040" s="1" t="s">
        <v>575</v>
      </c>
      <c r="AO3040" s="1" t="s">
        <v>468</v>
      </c>
      <c r="AP3040" s="1" t="s">
        <v>549</v>
      </c>
      <c r="AQ3040" s="1">
        <v>76.8</v>
      </c>
      <c r="AR3040" s="1">
        <v>8.08</v>
      </c>
      <c r="AS3040" s="1"/>
      <c r="AT3040" s="1"/>
      <c r="AU3040" s="1"/>
      <c r="AV3040" s="1"/>
      <c r="AW3040" s="1"/>
      <c r="AX3040" s="1"/>
      <c r="AY3040" s="1" t="s">
        <v>49184</v>
      </c>
      <c r="AZ3040" s="1" t="s">
        <v>49185</v>
      </c>
      <c r="BA3040" s="1" t="s">
        <v>682</v>
      </c>
      <c r="BB3040" s="1" t="s">
        <v>39966</v>
      </c>
      <c r="BC3040" s="1" t="s">
        <v>441</v>
      </c>
      <c r="BD3040" s="1" t="s">
        <v>9688</v>
      </c>
      <c r="BE3040" s="1">
        <v>85</v>
      </c>
      <c r="BF3040" s="1">
        <v>8.5</v>
      </c>
      <c r="BG3040" s="1"/>
      <c r="BH3040" s="1"/>
      <c r="BI3040" s="1"/>
      <c r="BJ3040" s="1"/>
      <c r="BK3040" s="1"/>
      <c r="BL3040" s="1"/>
      <c r="BM3040" s="1"/>
      <c r="BN3040" s="1"/>
      <c r="BO3040" s="1" t="s">
        <v>49186</v>
      </c>
      <c r="BP3040" s="1"/>
      <c r="BQ3040" s="1"/>
      <c r="BR3040" s="1" t="s">
        <v>49187</v>
      </c>
      <c r="BS3040" s="1">
        <v>47</v>
      </c>
      <c r="BT3040" s="1"/>
      <c r="BU3040" s="1" t="str">
        <f>HYPERLINK("https://nconnect.nicmar.ac.in/storage/profile/6a85d9ed63747.png","Download")</f>
        <v>0</v>
      </c>
      <c r="BV3040" s="3"/>
      <c r="BW3040" s="3"/>
    </row>
    <row r="3041" spans="1:75">
      <c r="A3041" s="1" t="s">
        <v>45201</v>
      </c>
      <c r="B3041" s="1" t="s">
        <v>13976</v>
      </c>
      <c r="C3041" s="1" t="s">
        <v>49188</v>
      </c>
      <c r="D3041" s="1" t="s">
        <v>49189</v>
      </c>
      <c r="E3041" s="1" t="s">
        <v>15323</v>
      </c>
      <c r="F3041" s="1" t="s">
        <v>14147</v>
      </c>
      <c r="G3041" s="1" t="s">
        <v>49190</v>
      </c>
      <c r="H3041" s="1" t="s">
        <v>49191</v>
      </c>
      <c r="I3041" s="1" t="s">
        <v>49192</v>
      </c>
      <c r="J3041" s="1">
        <v>9119422387</v>
      </c>
      <c r="K3041" s="1" t="s">
        <v>153</v>
      </c>
      <c r="L3041" s="1" t="s">
        <v>45205</v>
      </c>
      <c r="M3041" s="1" t="s">
        <v>86</v>
      </c>
      <c r="N3041" s="1" t="s">
        <v>49193</v>
      </c>
      <c r="O3041" s="1" t="s">
        <v>49194</v>
      </c>
      <c r="P3041" s="1" t="s">
        <v>122</v>
      </c>
      <c r="Q3041" s="1">
        <v>959810824675</v>
      </c>
      <c r="R3041" s="1" t="s">
        <v>49195</v>
      </c>
      <c r="S3041" s="1">
        <v>9011033985</v>
      </c>
      <c r="T3041" s="1" t="s">
        <v>49196</v>
      </c>
      <c r="U3041" s="1" t="s">
        <v>49197</v>
      </c>
      <c r="V3041" s="1">
        <v>7972160152</v>
      </c>
      <c r="W3041" s="1" t="s">
        <v>10306</v>
      </c>
      <c r="X3041" s="1" t="s">
        <v>49198</v>
      </c>
      <c r="Y3041" s="1" t="s">
        <v>96</v>
      </c>
      <c r="Z3041" s="1" t="s">
        <v>97</v>
      </c>
      <c r="AA3041" s="1" t="s">
        <v>49198</v>
      </c>
      <c r="AB3041" s="1" t="s">
        <v>96</v>
      </c>
      <c r="AC3041" s="1" t="s">
        <v>97</v>
      </c>
      <c r="AD3041" s="1" t="s">
        <v>98</v>
      </c>
      <c r="AE3041" s="1" t="s">
        <v>98</v>
      </c>
      <c r="AF3041" s="1" t="s">
        <v>49199</v>
      </c>
      <c r="AG3041" s="1" t="s">
        <v>49200</v>
      </c>
      <c r="AH3041" s="1" t="s">
        <v>106</v>
      </c>
      <c r="AI3041" s="1" t="s">
        <v>438</v>
      </c>
      <c r="AJ3041" s="1">
        <v>85.17</v>
      </c>
      <c r="AK3041" s="1"/>
      <c r="AL3041" s="1" t="s">
        <v>13992</v>
      </c>
      <c r="AM3041" s="1" t="s">
        <v>49201</v>
      </c>
      <c r="AN3041" s="1" t="s">
        <v>465</v>
      </c>
      <c r="AO3041" s="1" t="s">
        <v>178</v>
      </c>
      <c r="AP3041" s="1" t="s">
        <v>847</v>
      </c>
      <c r="AQ3041" s="1">
        <v>90.83</v>
      </c>
      <c r="AR3041" s="1"/>
      <c r="AS3041" s="1"/>
      <c r="AT3041" s="1"/>
      <c r="AU3041" s="1"/>
      <c r="AV3041" s="1"/>
      <c r="AW3041" s="1"/>
      <c r="AX3041" s="1"/>
      <c r="AY3041" s="1" t="s">
        <v>49202</v>
      </c>
      <c r="AZ3041" s="1" t="s">
        <v>49203</v>
      </c>
      <c r="BA3041" s="1" t="s">
        <v>682</v>
      </c>
      <c r="BB3041" s="1" t="s">
        <v>1561</v>
      </c>
      <c r="BC3041" s="1" t="s">
        <v>871</v>
      </c>
      <c r="BD3041" s="1" t="s">
        <v>14162</v>
      </c>
      <c r="BE3041" s="1">
        <v>70.49</v>
      </c>
      <c r="BF3041" s="1"/>
      <c r="BG3041" s="1"/>
      <c r="BH3041" s="1"/>
      <c r="BI3041" s="1"/>
      <c r="BJ3041" s="1"/>
      <c r="BK3041" s="1"/>
      <c r="BL3041" s="1"/>
      <c r="BM3041" s="1"/>
      <c r="BN3041" s="1"/>
      <c r="BO3041" s="1" t="s">
        <v>11309</v>
      </c>
      <c r="BP3041" s="1"/>
      <c r="BQ3041" s="1"/>
      <c r="BR3041" s="1"/>
      <c r="BS3041" s="1"/>
      <c r="BT3041" s="1"/>
      <c r="BU3041" s="1" t="str">
        <f>HYPERLINK("https://nconnect.nicmar.ac.in/storage/profile/6a849ef182c01.png","Download")</f>
        <v>0</v>
      </c>
      <c r="BV3041" s="3"/>
      <c r="BW3041" s="3"/>
    </row>
    <row r="3042" spans="1:75">
      <c r="A3042" s="1" t="s">
        <v>45201</v>
      </c>
      <c r="B3042" s="1" t="s">
        <v>13976</v>
      </c>
      <c r="C3042" s="1" t="s">
        <v>49204</v>
      </c>
      <c r="D3042" s="1" t="s">
        <v>49205</v>
      </c>
      <c r="E3042" s="1" t="s">
        <v>16930</v>
      </c>
      <c r="F3042" s="1" t="s">
        <v>49206</v>
      </c>
      <c r="G3042" s="1" t="s">
        <v>49207</v>
      </c>
      <c r="H3042" s="1" t="s">
        <v>49208</v>
      </c>
      <c r="I3042" s="1" t="s">
        <v>49209</v>
      </c>
      <c r="J3042" s="1">
        <v>8378992906</v>
      </c>
      <c r="K3042" s="1" t="s">
        <v>153</v>
      </c>
      <c r="L3042" s="1" t="s">
        <v>6389</v>
      </c>
      <c r="M3042" s="1" t="s">
        <v>86</v>
      </c>
      <c r="N3042" s="1" t="s">
        <v>3568</v>
      </c>
      <c r="O3042" s="1" t="s">
        <v>49210</v>
      </c>
      <c r="P3042" s="1" t="s">
        <v>89</v>
      </c>
      <c r="Q3042" s="1">
        <v>976465659942</v>
      </c>
      <c r="R3042" s="1" t="s">
        <v>49211</v>
      </c>
      <c r="S3042" s="1">
        <v>9850666652</v>
      </c>
      <c r="T3042" s="1" t="s">
        <v>15073</v>
      </c>
      <c r="U3042" s="1" t="s">
        <v>49212</v>
      </c>
      <c r="V3042" s="1">
        <v>9850826663</v>
      </c>
      <c r="W3042" s="1" t="s">
        <v>15073</v>
      </c>
      <c r="X3042" s="1" t="s">
        <v>49213</v>
      </c>
      <c r="Y3042" s="1" t="s">
        <v>196</v>
      </c>
      <c r="Z3042" s="1" t="s">
        <v>97</v>
      </c>
      <c r="AA3042" s="1" t="s">
        <v>49213</v>
      </c>
      <c r="AB3042" s="1" t="s">
        <v>196</v>
      </c>
      <c r="AC3042" s="1" t="s">
        <v>97</v>
      </c>
      <c r="AD3042" s="1" t="s">
        <v>98</v>
      </c>
      <c r="AE3042" s="1" t="s">
        <v>98</v>
      </c>
      <c r="AF3042" s="1" t="s">
        <v>49214</v>
      </c>
      <c r="AG3042" s="1" t="s">
        <v>49215</v>
      </c>
      <c r="AH3042" s="1" t="s">
        <v>167</v>
      </c>
      <c r="AI3042" s="1" t="s">
        <v>414</v>
      </c>
      <c r="AJ3042" s="1">
        <v>95.8</v>
      </c>
      <c r="AK3042" s="1"/>
      <c r="AL3042" s="1" t="s">
        <v>49216</v>
      </c>
      <c r="AM3042" s="1" t="s">
        <v>49217</v>
      </c>
      <c r="AN3042" s="1" t="s">
        <v>465</v>
      </c>
      <c r="AO3042" s="1" t="s">
        <v>315</v>
      </c>
      <c r="AP3042" s="1" t="s">
        <v>1192</v>
      </c>
      <c r="AQ3042" s="1">
        <v>94.33</v>
      </c>
      <c r="AR3042" s="1"/>
      <c r="AS3042" s="1"/>
      <c r="AT3042" s="1"/>
      <c r="AU3042" s="1"/>
      <c r="AV3042" s="1"/>
      <c r="AW3042" s="1"/>
      <c r="AX3042" s="1"/>
      <c r="AY3042" s="1" t="s">
        <v>14160</v>
      </c>
      <c r="AZ3042" s="1" t="s">
        <v>49218</v>
      </c>
      <c r="BA3042" s="1" t="s">
        <v>682</v>
      </c>
      <c r="BB3042" s="1" t="s">
        <v>1561</v>
      </c>
      <c r="BC3042" s="1" t="s">
        <v>549</v>
      </c>
      <c r="BD3042" s="1" t="s">
        <v>9688</v>
      </c>
      <c r="BE3042" s="1">
        <v>72.71</v>
      </c>
      <c r="BF3042" s="1">
        <v>8.17</v>
      </c>
      <c r="BG3042" s="1"/>
      <c r="BH3042" s="1"/>
      <c r="BI3042" s="1"/>
      <c r="BJ3042" s="1"/>
      <c r="BK3042" s="1"/>
      <c r="BL3042" s="1"/>
      <c r="BM3042" s="1"/>
      <c r="BN3042" s="1"/>
      <c r="BO3042" s="1" t="s">
        <v>49219</v>
      </c>
      <c r="BP3042" s="1"/>
      <c r="BQ3042" s="1"/>
      <c r="BR3042" s="1" t="s">
        <v>49220</v>
      </c>
      <c r="BS3042" s="1">
        <v>23</v>
      </c>
      <c r="BT3042" s="1"/>
      <c r="BU3042" s="1" t="str">
        <f>HYPERLINK("https://nconnect.nicmar.ac.in/storage/profile/6a85e4460accd.png","Download")</f>
        <v>0</v>
      </c>
      <c r="BV3042" s="3"/>
      <c r="BW3042" s="3"/>
    </row>
    <row r="3043" spans="1:75">
      <c r="A3043" s="1" t="s">
        <v>45201</v>
      </c>
      <c r="B3043" s="1" t="s">
        <v>13976</v>
      </c>
      <c r="C3043" s="1" t="s">
        <v>49221</v>
      </c>
      <c r="D3043" s="1" t="s">
        <v>22030</v>
      </c>
      <c r="E3043" s="1" t="s">
        <v>39952</v>
      </c>
      <c r="F3043" s="1" t="s">
        <v>49222</v>
      </c>
      <c r="G3043" s="1" t="s">
        <v>49223</v>
      </c>
      <c r="H3043" s="1" t="s">
        <v>49224</v>
      </c>
      <c r="I3043" s="1" t="s">
        <v>49225</v>
      </c>
      <c r="J3043" s="1">
        <v>9860258260</v>
      </c>
      <c r="K3043" s="1" t="s">
        <v>84</v>
      </c>
      <c r="L3043" s="1" t="s">
        <v>8470</v>
      </c>
      <c r="M3043" s="1" t="s">
        <v>86</v>
      </c>
      <c r="N3043" s="1" t="s">
        <v>19986</v>
      </c>
      <c r="O3043" s="1" t="s">
        <v>49226</v>
      </c>
      <c r="P3043" s="1" t="s">
        <v>219</v>
      </c>
      <c r="Q3043" s="1">
        <v>475653929972</v>
      </c>
      <c r="R3043" s="1" t="s">
        <v>39952</v>
      </c>
      <c r="S3043" s="1">
        <v>9503121822</v>
      </c>
      <c r="T3043" s="1" t="s">
        <v>18623</v>
      </c>
      <c r="U3043" s="1" t="s">
        <v>49227</v>
      </c>
      <c r="V3043" s="1">
        <v>9763878098</v>
      </c>
      <c r="W3043" s="1" t="s">
        <v>14154</v>
      </c>
      <c r="X3043" s="1" t="s">
        <v>49228</v>
      </c>
      <c r="Y3043" s="1" t="s">
        <v>5181</v>
      </c>
      <c r="Z3043" s="1" t="s">
        <v>97</v>
      </c>
      <c r="AA3043" s="1" t="s">
        <v>49228</v>
      </c>
      <c r="AB3043" s="1" t="s">
        <v>5181</v>
      </c>
      <c r="AC3043" s="1" t="s">
        <v>97</v>
      </c>
      <c r="AD3043" s="1" t="s">
        <v>98</v>
      </c>
      <c r="AE3043" s="1" t="s">
        <v>98</v>
      </c>
      <c r="AF3043" s="1" t="s">
        <v>49229</v>
      </c>
      <c r="AG3043" s="1" t="s">
        <v>49230</v>
      </c>
      <c r="AH3043" s="1" t="s">
        <v>106</v>
      </c>
      <c r="AI3043" s="1" t="s">
        <v>438</v>
      </c>
      <c r="AJ3043" s="1">
        <v>84</v>
      </c>
      <c r="AK3043" s="1"/>
      <c r="AL3043" s="1"/>
      <c r="AM3043" s="1"/>
      <c r="AN3043" s="1"/>
      <c r="AO3043" s="1"/>
      <c r="AP3043" s="1"/>
      <c r="AQ3043" s="1"/>
      <c r="AR3043" s="1"/>
      <c r="AS3043" s="1" t="s">
        <v>467</v>
      </c>
      <c r="AT3043" s="1" t="s">
        <v>49231</v>
      </c>
      <c r="AU3043" s="1" t="s">
        <v>206</v>
      </c>
      <c r="AV3043" s="1" t="s">
        <v>1400</v>
      </c>
      <c r="AW3043" s="1">
        <v>88.74</v>
      </c>
      <c r="AX3043" s="1">
        <v>8.87</v>
      </c>
      <c r="AY3043" s="1" t="s">
        <v>14160</v>
      </c>
      <c r="AZ3043" s="1" t="s">
        <v>49232</v>
      </c>
      <c r="BA3043" s="1" t="s">
        <v>578</v>
      </c>
      <c r="BB3043" s="1" t="s">
        <v>467</v>
      </c>
      <c r="BC3043" s="1" t="s">
        <v>289</v>
      </c>
      <c r="BD3043" s="1" t="s">
        <v>848</v>
      </c>
      <c r="BE3043" s="1">
        <v>76.44</v>
      </c>
      <c r="BF3043" s="1">
        <v>8.37</v>
      </c>
      <c r="BG3043" s="1"/>
      <c r="BH3043" s="1"/>
      <c r="BI3043" s="1"/>
      <c r="BJ3043" s="1"/>
      <c r="BK3043" s="1"/>
      <c r="BL3043" s="1"/>
      <c r="BM3043" s="1"/>
      <c r="BN3043" s="1"/>
      <c r="BO3043" s="1" t="s">
        <v>849</v>
      </c>
      <c r="BP3043" s="1" t="s">
        <v>49233</v>
      </c>
      <c r="BQ3043" s="1" t="s">
        <v>471</v>
      </c>
      <c r="BR3043" s="1" t="s">
        <v>49234</v>
      </c>
      <c r="BS3043" s="1">
        <v>4</v>
      </c>
      <c r="BT3043" s="1"/>
      <c r="BU3043" s="1" t="str">
        <f>HYPERLINK("https://nconnect.nicmar.ac.in/storage/profile/6a849eb9dede4.png","Download")</f>
        <v>0</v>
      </c>
      <c r="BV3043" s="3"/>
      <c r="BW3043" s="3"/>
    </row>
    <row r="3044" spans="1:75">
      <c r="A3044" s="1" t="s">
        <v>45201</v>
      </c>
      <c r="B3044" s="1" t="s">
        <v>13976</v>
      </c>
      <c r="C3044" s="1" t="s">
        <v>49235</v>
      </c>
      <c r="D3044" s="1" t="s">
        <v>49236</v>
      </c>
      <c r="E3044" s="1" t="s">
        <v>17186</v>
      </c>
      <c r="F3044" s="1" t="s">
        <v>49237</v>
      </c>
      <c r="G3044" s="1" t="s">
        <v>49238</v>
      </c>
      <c r="H3044" s="1" t="s">
        <v>49239</v>
      </c>
      <c r="I3044" s="1" t="s">
        <v>49240</v>
      </c>
      <c r="J3044" s="1">
        <v>8422079118</v>
      </c>
      <c r="K3044" s="1" t="s">
        <v>153</v>
      </c>
      <c r="L3044" s="1" t="s">
        <v>9354</v>
      </c>
      <c r="M3044" s="1" t="s">
        <v>86</v>
      </c>
      <c r="N3044" s="1" t="s">
        <v>3568</v>
      </c>
      <c r="O3044" s="1" t="s">
        <v>49241</v>
      </c>
      <c r="P3044" s="1" t="s">
        <v>122</v>
      </c>
      <c r="Q3044" s="1" t="s">
        <v>49242</v>
      </c>
      <c r="R3044" s="1" t="s">
        <v>17186</v>
      </c>
      <c r="S3044" s="1">
        <v>9969846632</v>
      </c>
      <c r="T3044" s="1" t="s">
        <v>16937</v>
      </c>
      <c r="U3044" s="1" t="s">
        <v>49243</v>
      </c>
      <c r="V3044" s="1" t="s">
        <v>16692</v>
      </c>
      <c r="W3044" s="1" t="s">
        <v>98</v>
      </c>
      <c r="X3044" s="1" t="s">
        <v>49244</v>
      </c>
      <c r="Y3044" s="1" t="s">
        <v>2259</v>
      </c>
      <c r="Z3044" s="1" t="s">
        <v>97</v>
      </c>
      <c r="AA3044" s="1" t="s">
        <v>49244</v>
      </c>
      <c r="AB3044" s="1" t="s">
        <v>2259</v>
      </c>
      <c r="AC3044" s="1" t="s">
        <v>97</v>
      </c>
      <c r="AD3044" s="1" t="s">
        <v>98</v>
      </c>
      <c r="AE3044" s="1" t="s">
        <v>98</v>
      </c>
      <c r="AF3044" s="1" t="s">
        <v>49245</v>
      </c>
      <c r="AG3044" s="1" t="s">
        <v>14157</v>
      </c>
      <c r="AH3044" s="1" t="s">
        <v>3112</v>
      </c>
      <c r="AI3044" s="1" t="s">
        <v>200</v>
      </c>
      <c r="AJ3044" s="1">
        <v>85</v>
      </c>
      <c r="AK3044" s="1"/>
      <c r="AL3044" s="1" t="s">
        <v>49246</v>
      </c>
      <c r="AM3044" s="1" t="s">
        <v>14157</v>
      </c>
      <c r="AN3044" s="1" t="s">
        <v>575</v>
      </c>
      <c r="AO3044" s="1" t="s">
        <v>170</v>
      </c>
      <c r="AP3044" s="1" t="s">
        <v>203</v>
      </c>
      <c r="AQ3044" s="1">
        <v>70.77</v>
      </c>
      <c r="AR3044" s="1"/>
      <c r="AS3044" s="1"/>
      <c r="AT3044" s="1"/>
      <c r="AU3044" s="1"/>
      <c r="AV3044" s="1"/>
      <c r="AW3044" s="1"/>
      <c r="AX3044" s="1"/>
      <c r="AY3044" s="1" t="s">
        <v>14380</v>
      </c>
      <c r="AZ3044" s="1" t="s">
        <v>49247</v>
      </c>
      <c r="BA3044" s="1" t="s">
        <v>682</v>
      </c>
      <c r="BB3044" s="1" t="s">
        <v>683</v>
      </c>
      <c r="BC3044" s="1" t="s">
        <v>438</v>
      </c>
      <c r="BD3044" s="1" t="s">
        <v>418</v>
      </c>
      <c r="BE3044" s="1">
        <v>70.68</v>
      </c>
      <c r="BF3044" s="1">
        <v>7.93</v>
      </c>
      <c r="BG3044" s="1"/>
      <c r="BH3044" s="1"/>
      <c r="BI3044" s="1"/>
      <c r="BJ3044" s="1"/>
      <c r="BK3044" s="1"/>
      <c r="BL3044" s="1"/>
      <c r="BM3044" s="1"/>
      <c r="BN3044" s="1"/>
      <c r="BO3044" s="1" t="s">
        <v>49248</v>
      </c>
      <c r="BP3044" s="1" t="s">
        <v>49249</v>
      </c>
      <c r="BQ3044" s="1" t="s">
        <v>1357</v>
      </c>
      <c r="BR3044" s="1" t="s">
        <v>49250</v>
      </c>
      <c r="BS3044" s="1">
        <v>20</v>
      </c>
      <c r="BT3044" s="1"/>
      <c r="BU3044" s="1" t="str">
        <f>HYPERLINK("https://nconnect.nicmar.ac.in/storage/profile/6a84aa19aface.png","Download")</f>
        <v>0</v>
      </c>
      <c r="BV3044" s="3"/>
      <c r="BW3044" s="3"/>
    </row>
    <row r="3045" spans="1:75">
      <c r="A3045" s="1" t="s">
        <v>45201</v>
      </c>
      <c r="B3045" s="1" t="s">
        <v>13976</v>
      </c>
      <c r="C3045" s="1" t="s">
        <v>49251</v>
      </c>
      <c r="D3045" s="1" t="s">
        <v>49252</v>
      </c>
      <c r="E3045" s="1" t="s">
        <v>3631</v>
      </c>
      <c r="F3045" s="1" t="s">
        <v>19715</v>
      </c>
      <c r="G3045" s="1" t="s">
        <v>49253</v>
      </c>
      <c r="H3045" s="1" t="s">
        <v>49254</v>
      </c>
      <c r="I3045" s="1" t="s">
        <v>49255</v>
      </c>
      <c r="J3045" s="1">
        <v>8432050040</v>
      </c>
      <c r="K3045" s="1" t="s">
        <v>84</v>
      </c>
      <c r="L3045" s="1" t="s">
        <v>5193</v>
      </c>
      <c r="M3045" s="1" t="s">
        <v>86</v>
      </c>
      <c r="N3045" s="1" t="s">
        <v>4263</v>
      </c>
      <c r="O3045" s="1" t="s">
        <v>49256</v>
      </c>
      <c r="P3045" s="1" t="s">
        <v>219</v>
      </c>
      <c r="Q3045" s="1">
        <v>511733376728</v>
      </c>
      <c r="R3045" s="1" t="s">
        <v>3631</v>
      </c>
      <c r="S3045" s="1">
        <v>8956861303</v>
      </c>
      <c r="T3045" s="1" t="s">
        <v>49257</v>
      </c>
      <c r="U3045" s="1" t="s">
        <v>49258</v>
      </c>
      <c r="V3045" s="1">
        <v>9096786356</v>
      </c>
      <c r="W3045" s="1" t="s">
        <v>14154</v>
      </c>
      <c r="X3045" s="1" t="s">
        <v>49259</v>
      </c>
      <c r="Y3045" s="1" t="s">
        <v>434</v>
      </c>
      <c r="Z3045" s="1" t="s">
        <v>97</v>
      </c>
      <c r="AA3045" s="1" t="s">
        <v>49259</v>
      </c>
      <c r="AB3045" s="1" t="s">
        <v>434</v>
      </c>
      <c r="AC3045" s="1" t="s">
        <v>97</v>
      </c>
      <c r="AD3045" s="1" t="s">
        <v>98</v>
      </c>
      <c r="AE3045" s="1" t="s">
        <v>98</v>
      </c>
      <c r="AF3045" s="1" t="s">
        <v>49260</v>
      </c>
      <c r="AG3045" s="1" t="s">
        <v>49261</v>
      </c>
      <c r="AH3045" s="1" t="s">
        <v>286</v>
      </c>
      <c r="AI3045" s="1" t="s">
        <v>414</v>
      </c>
      <c r="AJ3045" s="1">
        <v>89.6</v>
      </c>
      <c r="AK3045" s="1"/>
      <c r="AL3045" s="1" t="s">
        <v>49262</v>
      </c>
      <c r="AM3045" s="1" t="s">
        <v>49263</v>
      </c>
      <c r="AN3045" s="1" t="s">
        <v>465</v>
      </c>
      <c r="AO3045" s="1" t="s">
        <v>414</v>
      </c>
      <c r="AP3045" s="1" t="s">
        <v>1192</v>
      </c>
      <c r="AQ3045" s="1">
        <v>91.67</v>
      </c>
      <c r="AR3045" s="1"/>
      <c r="AS3045" s="1"/>
      <c r="AT3045" s="1"/>
      <c r="AU3045" s="1"/>
      <c r="AV3045" s="1"/>
      <c r="AW3045" s="1"/>
      <c r="AX3045" s="1"/>
      <c r="AY3045" s="1" t="s">
        <v>48669</v>
      </c>
      <c r="AZ3045" s="1" t="s">
        <v>49264</v>
      </c>
      <c r="BA3045" s="1" t="s">
        <v>578</v>
      </c>
      <c r="BB3045" s="1" t="s">
        <v>467</v>
      </c>
      <c r="BC3045" s="1" t="s">
        <v>1192</v>
      </c>
      <c r="BD3045" s="1" t="s">
        <v>848</v>
      </c>
      <c r="BE3045" s="1">
        <v>75.6</v>
      </c>
      <c r="BF3045" s="1">
        <v>8.31</v>
      </c>
      <c r="BG3045" s="1"/>
      <c r="BH3045" s="1"/>
      <c r="BI3045" s="1"/>
      <c r="BJ3045" s="1"/>
      <c r="BK3045" s="1"/>
      <c r="BL3045" s="1"/>
      <c r="BM3045" s="1"/>
      <c r="BN3045" s="1"/>
      <c r="BO3045" s="1" t="s">
        <v>49265</v>
      </c>
      <c r="BP3045" s="1" t="s">
        <v>49266</v>
      </c>
      <c r="BQ3045" s="1" t="s">
        <v>9405</v>
      </c>
      <c r="BR3045" s="1" t="s">
        <v>49267</v>
      </c>
      <c r="BS3045" s="1">
        <v>37</v>
      </c>
      <c r="BT3045" s="1" t="s">
        <v>49268</v>
      </c>
      <c r="BU3045" s="1" t="str">
        <f>HYPERLINK("https://nconnect.nicmar.ac.in/storage/profile/6a8ebaa0b0d03.png","Download")</f>
        <v>0</v>
      </c>
      <c r="BV3045" s="3"/>
      <c r="BW3045" s="3"/>
    </row>
    <row r="3046" spans="1:75">
      <c r="A3046" s="1" t="s">
        <v>45201</v>
      </c>
      <c r="B3046" s="1" t="s">
        <v>13976</v>
      </c>
      <c r="C3046" s="1" t="s">
        <v>49269</v>
      </c>
      <c r="D3046" s="1" t="s">
        <v>49270</v>
      </c>
      <c r="E3046" s="1" t="s">
        <v>49271</v>
      </c>
      <c r="F3046" s="1" t="s">
        <v>23908</v>
      </c>
      <c r="G3046" s="1" t="s">
        <v>49272</v>
      </c>
      <c r="H3046" s="1" t="s">
        <v>49273</v>
      </c>
      <c r="I3046" s="1" t="s">
        <v>49274</v>
      </c>
      <c r="J3046" s="1">
        <v>7028702974</v>
      </c>
      <c r="K3046" s="1" t="s">
        <v>153</v>
      </c>
      <c r="L3046" s="1" t="s">
        <v>11976</v>
      </c>
      <c r="M3046" s="1" t="s">
        <v>86</v>
      </c>
      <c r="N3046" s="1" t="s">
        <v>18156</v>
      </c>
      <c r="O3046" s="1" t="s">
        <v>49275</v>
      </c>
      <c r="P3046" s="1" t="s">
        <v>89</v>
      </c>
      <c r="Q3046" s="1">
        <v>369713610075</v>
      </c>
      <c r="R3046" s="1" t="s">
        <v>49276</v>
      </c>
      <c r="S3046" s="1">
        <v>9503349380</v>
      </c>
      <c r="T3046" s="1" t="s">
        <v>45650</v>
      </c>
      <c r="U3046" s="1" t="s">
        <v>49277</v>
      </c>
      <c r="V3046" s="1">
        <v>7757848261</v>
      </c>
      <c r="W3046" s="1" t="s">
        <v>14710</v>
      </c>
      <c r="X3046" s="1" t="s">
        <v>49278</v>
      </c>
      <c r="Y3046" s="1" t="s">
        <v>196</v>
      </c>
      <c r="Z3046" s="1" t="s">
        <v>97</v>
      </c>
      <c r="AA3046" s="1" t="s">
        <v>49279</v>
      </c>
      <c r="AB3046" s="1" t="s">
        <v>196</v>
      </c>
      <c r="AC3046" s="1" t="s">
        <v>97</v>
      </c>
      <c r="AD3046" s="1" t="s">
        <v>98</v>
      </c>
      <c r="AE3046" s="1" t="s">
        <v>98</v>
      </c>
      <c r="AF3046" s="1" t="s">
        <v>49280</v>
      </c>
      <c r="AG3046" s="1" t="s">
        <v>49215</v>
      </c>
      <c r="AH3046" s="1" t="s">
        <v>170</v>
      </c>
      <c r="AI3046" s="1" t="s">
        <v>286</v>
      </c>
      <c r="AJ3046" s="1">
        <v>89.4</v>
      </c>
      <c r="AK3046" s="1"/>
      <c r="AL3046" s="1" t="s">
        <v>49281</v>
      </c>
      <c r="AM3046" s="1" t="s">
        <v>49282</v>
      </c>
      <c r="AN3046" s="1" t="s">
        <v>465</v>
      </c>
      <c r="AO3046" s="1" t="s">
        <v>438</v>
      </c>
      <c r="AP3046" s="1" t="s">
        <v>603</v>
      </c>
      <c r="AQ3046" s="1">
        <v>83.8</v>
      </c>
      <c r="AR3046" s="1"/>
      <c r="AS3046" s="1"/>
      <c r="AT3046" s="1"/>
      <c r="AU3046" s="1"/>
      <c r="AV3046" s="1"/>
      <c r="AW3046" s="1"/>
      <c r="AX3046" s="1"/>
      <c r="AY3046" s="1" t="s">
        <v>18495</v>
      </c>
      <c r="AZ3046" s="1" t="s">
        <v>49283</v>
      </c>
      <c r="BA3046" s="1" t="s">
        <v>682</v>
      </c>
      <c r="BB3046" s="1" t="s">
        <v>1561</v>
      </c>
      <c r="BC3046" s="1" t="s">
        <v>468</v>
      </c>
      <c r="BD3046" s="1" t="s">
        <v>607</v>
      </c>
      <c r="BE3046" s="1">
        <v>80.6</v>
      </c>
      <c r="BF3046" s="1">
        <v>9.27</v>
      </c>
      <c r="BG3046" s="1"/>
      <c r="BH3046" s="1"/>
      <c r="BI3046" s="1"/>
      <c r="BJ3046" s="1"/>
      <c r="BK3046" s="1"/>
      <c r="BL3046" s="1"/>
      <c r="BM3046" s="1"/>
      <c r="BN3046" s="1"/>
      <c r="BO3046" s="1" t="s">
        <v>49284</v>
      </c>
      <c r="BP3046" s="1" t="s">
        <v>49285</v>
      </c>
      <c r="BQ3046" s="1" t="s">
        <v>1070</v>
      </c>
      <c r="BR3046" s="1" t="s">
        <v>49286</v>
      </c>
      <c r="BS3046" s="1">
        <v>19</v>
      </c>
      <c r="BT3046" s="1"/>
      <c r="BU3046" s="1" t="str">
        <f>HYPERLINK("https://nconnect.nicmar.ac.in/storage/profile/6a849c0e1b3ed.png","Download")</f>
        <v>0</v>
      </c>
      <c r="BV3046" s="3"/>
      <c r="BW3046" s="3"/>
    </row>
    <row r="3047" spans="1:75">
      <c r="A3047" s="1" t="s">
        <v>45201</v>
      </c>
      <c r="B3047" s="1" t="s">
        <v>13976</v>
      </c>
      <c r="C3047" s="1" t="s">
        <v>49287</v>
      </c>
      <c r="D3047" s="1" t="s">
        <v>49288</v>
      </c>
      <c r="E3047" s="1" t="s">
        <v>49289</v>
      </c>
      <c r="F3047" s="1" t="s">
        <v>49290</v>
      </c>
      <c r="G3047" s="1" t="s">
        <v>49291</v>
      </c>
      <c r="H3047" s="1" t="s">
        <v>49292</v>
      </c>
      <c r="I3047" s="1" t="s">
        <v>49293</v>
      </c>
      <c r="J3047" s="1">
        <v>9922919134</v>
      </c>
      <c r="K3047" s="1" t="s">
        <v>84</v>
      </c>
      <c r="L3047" s="1" t="s">
        <v>49021</v>
      </c>
      <c r="M3047" s="1" t="s">
        <v>86</v>
      </c>
      <c r="N3047" s="1" t="s">
        <v>768</v>
      </c>
      <c r="O3047" s="1" t="s">
        <v>49294</v>
      </c>
      <c r="P3047" s="1" t="s">
        <v>356</v>
      </c>
      <c r="Q3047" s="1">
        <v>333512366817</v>
      </c>
      <c r="R3047" s="1" t="s">
        <v>49295</v>
      </c>
      <c r="S3047" s="1">
        <v>9822866270</v>
      </c>
      <c r="T3047" s="1" t="s">
        <v>49296</v>
      </c>
      <c r="U3047" s="1" t="s">
        <v>49297</v>
      </c>
      <c r="V3047" s="1">
        <v>9922959515</v>
      </c>
      <c r="W3047" s="1" t="s">
        <v>49296</v>
      </c>
      <c r="X3047" s="1" t="s">
        <v>49298</v>
      </c>
      <c r="Y3047" s="1" t="s">
        <v>196</v>
      </c>
      <c r="Z3047" s="1" t="s">
        <v>97</v>
      </c>
      <c r="AA3047" s="1" t="s">
        <v>49298</v>
      </c>
      <c r="AB3047" s="1" t="s">
        <v>196</v>
      </c>
      <c r="AC3047" s="1" t="s">
        <v>97</v>
      </c>
      <c r="AD3047" s="1" t="s">
        <v>98</v>
      </c>
      <c r="AE3047" s="1" t="s">
        <v>98</v>
      </c>
      <c r="AF3047" s="1" t="s">
        <v>49299</v>
      </c>
      <c r="AG3047" s="1" t="s">
        <v>49300</v>
      </c>
      <c r="AH3047" s="1" t="s">
        <v>284</v>
      </c>
      <c r="AI3047" s="1" t="s">
        <v>388</v>
      </c>
      <c r="AJ3047" s="1">
        <v>81.7</v>
      </c>
      <c r="AK3047" s="1">
        <v>8.6</v>
      </c>
      <c r="AL3047" s="1" t="s">
        <v>49301</v>
      </c>
      <c r="AM3047" s="1" t="s">
        <v>49302</v>
      </c>
      <c r="AN3047" s="1" t="s">
        <v>465</v>
      </c>
      <c r="AO3047" s="1" t="s">
        <v>286</v>
      </c>
      <c r="AP3047" s="1" t="s">
        <v>414</v>
      </c>
      <c r="AQ3047" s="1">
        <v>60.31</v>
      </c>
      <c r="AR3047" s="1"/>
      <c r="AS3047" s="1"/>
      <c r="AT3047" s="1"/>
      <c r="AU3047" s="1"/>
      <c r="AV3047" s="1"/>
      <c r="AW3047" s="1"/>
      <c r="AX3047" s="1"/>
      <c r="AY3047" s="1" t="s">
        <v>22787</v>
      </c>
      <c r="AZ3047" s="1" t="s">
        <v>49303</v>
      </c>
      <c r="BA3047" s="1" t="s">
        <v>682</v>
      </c>
      <c r="BB3047" s="1" t="s">
        <v>683</v>
      </c>
      <c r="BC3047" s="1" t="s">
        <v>206</v>
      </c>
      <c r="BD3047" s="1" t="s">
        <v>14514</v>
      </c>
      <c r="BE3047" s="1">
        <v>80.01</v>
      </c>
      <c r="BF3047" s="1">
        <v>8.4</v>
      </c>
      <c r="BG3047" s="1"/>
      <c r="BH3047" s="1"/>
      <c r="BI3047" s="1"/>
      <c r="BJ3047" s="1"/>
      <c r="BK3047" s="1"/>
      <c r="BL3047" s="1"/>
      <c r="BM3047" s="1"/>
      <c r="BN3047" s="1"/>
      <c r="BO3047" s="1" t="s">
        <v>49304</v>
      </c>
      <c r="BP3047" s="1" t="s">
        <v>49305</v>
      </c>
      <c r="BQ3047" s="1" t="s">
        <v>4149</v>
      </c>
      <c r="BR3047" s="1"/>
      <c r="BS3047" s="1"/>
      <c r="BT3047" s="1"/>
      <c r="BU3047" s="1" t="str">
        <f>HYPERLINK("https://nconnect.nicmar.ac.in/storage/profile/6a85d612a46d8.png","Download")</f>
        <v>0</v>
      </c>
      <c r="BV3047" s="3"/>
      <c r="BW3047" s="3"/>
    </row>
    <row r="3048" spans="1:75">
      <c r="A3048" s="1" t="s">
        <v>45201</v>
      </c>
      <c r="B3048" s="1" t="s">
        <v>13976</v>
      </c>
      <c r="C3048" s="1" t="s">
        <v>49306</v>
      </c>
      <c r="D3048" s="1" t="s">
        <v>49307</v>
      </c>
      <c r="E3048" s="1"/>
      <c r="F3048" s="1" t="s">
        <v>15214</v>
      </c>
      <c r="G3048" s="1" t="s">
        <v>49308</v>
      </c>
      <c r="H3048" s="1" t="s">
        <v>49309</v>
      </c>
      <c r="I3048" s="1" t="s">
        <v>49310</v>
      </c>
      <c r="J3048" s="1">
        <v>8755492196</v>
      </c>
      <c r="K3048" s="1" t="s">
        <v>84</v>
      </c>
      <c r="L3048" s="1" t="s">
        <v>49311</v>
      </c>
      <c r="M3048" s="1" t="s">
        <v>155</v>
      </c>
      <c r="N3048" s="1" t="s">
        <v>15810</v>
      </c>
      <c r="O3048" s="1" t="s">
        <v>49312</v>
      </c>
      <c r="P3048" s="1" t="s">
        <v>219</v>
      </c>
      <c r="Q3048" s="1">
        <v>740746846456</v>
      </c>
      <c r="R3048" s="1" t="s">
        <v>49313</v>
      </c>
      <c r="S3048" s="1">
        <v>7895877392</v>
      </c>
      <c r="T3048" s="1" t="s">
        <v>13987</v>
      </c>
      <c r="U3048" s="1" t="s">
        <v>49314</v>
      </c>
      <c r="V3048" s="1">
        <v>6350698892</v>
      </c>
      <c r="W3048" s="1" t="s">
        <v>14154</v>
      </c>
      <c r="X3048" s="1" t="s">
        <v>49315</v>
      </c>
      <c r="Y3048" s="1" t="s">
        <v>49316</v>
      </c>
      <c r="Z3048" s="1" t="s">
        <v>544</v>
      </c>
      <c r="AA3048" s="1" t="s">
        <v>49315</v>
      </c>
      <c r="AB3048" s="1" t="s">
        <v>49316</v>
      </c>
      <c r="AC3048" s="1" t="s">
        <v>544</v>
      </c>
      <c r="AD3048" s="1" t="s">
        <v>98</v>
      </c>
      <c r="AE3048" s="1" t="s">
        <v>98</v>
      </c>
      <c r="AF3048" s="1" t="s">
        <v>49317</v>
      </c>
      <c r="AG3048" s="1" t="s">
        <v>49318</v>
      </c>
      <c r="AH3048" s="1" t="s">
        <v>19995</v>
      </c>
      <c r="AI3048" s="1" t="s">
        <v>2157</v>
      </c>
      <c r="AJ3048" s="1">
        <v>60.33</v>
      </c>
      <c r="AK3048" s="1"/>
      <c r="AL3048" s="1" t="s">
        <v>49317</v>
      </c>
      <c r="AM3048" s="1" t="s">
        <v>49319</v>
      </c>
      <c r="AN3048" s="1" t="s">
        <v>465</v>
      </c>
      <c r="AO3048" s="1" t="s">
        <v>29186</v>
      </c>
      <c r="AP3048" s="1" t="s">
        <v>336</v>
      </c>
      <c r="AQ3048" s="1">
        <v>64.8</v>
      </c>
      <c r="AR3048" s="1"/>
      <c r="AS3048" s="1"/>
      <c r="AT3048" s="1"/>
      <c r="AU3048" s="1"/>
      <c r="AV3048" s="1"/>
      <c r="AW3048" s="1"/>
      <c r="AX3048" s="1"/>
      <c r="AY3048" s="1" t="s">
        <v>49320</v>
      </c>
      <c r="AZ3048" s="1" t="s">
        <v>49321</v>
      </c>
      <c r="BA3048" s="1" t="s">
        <v>466</v>
      </c>
      <c r="BB3048" s="1" t="s">
        <v>38469</v>
      </c>
      <c r="BC3048" s="1" t="s">
        <v>339</v>
      </c>
      <c r="BD3048" s="1" t="s">
        <v>105</v>
      </c>
      <c r="BE3048" s="1">
        <v>62.8</v>
      </c>
      <c r="BF3048" s="1"/>
      <c r="BG3048" s="1"/>
      <c r="BH3048" s="1"/>
      <c r="BI3048" s="1"/>
      <c r="BJ3048" s="1"/>
      <c r="BK3048" s="1"/>
      <c r="BL3048" s="1"/>
      <c r="BM3048" s="1"/>
      <c r="BN3048" s="1"/>
      <c r="BO3048" s="1" t="s">
        <v>49322</v>
      </c>
      <c r="BP3048" s="1" t="s">
        <v>49323</v>
      </c>
      <c r="BQ3048" s="1" t="s">
        <v>16305</v>
      </c>
      <c r="BR3048" s="1"/>
      <c r="BS3048" s="1"/>
      <c r="BT3048" s="1"/>
      <c r="BU3048" s="1" t="str">
        <f>HYPERLINK("https://nconnect.nicmar.ac.in/storage/profile/6a848cf9efa80.png","Download")</f>
        <v>0</v>
      </c>
      <c r="BV3048" s="3"/>
      <c r="BW3048" s="3"/>
    </row>
    <row r="3049" spans="1:75">
      <c r="A3049" s="1" t="s">
        <v>45201</v>
      </c>
      <c r="B3049" s="1" t="s">
        <v>13976</v>
      </c>
      <c r="C3049" s="1" t="s">
        <v>49324</v>
      </c>
      <c r="D3049" s="1" t="s">
        <v>44761</v>
      </c>
      <c r="E3049" s="1"/>
      <c r="F3049" s="1" t="s">
        <v>49325</v>
      </c>
      <c r="G3049" s="1" t="s">
        <v>49326</v>
      </c>
      <c r="H3049" s="1" t="s">
        <v>49327</v>
      </c>
      <c r="I3049" s="1" t="s">
        <v>49328</v>
      </c>
      <c r="J3049" s="1">
        <v>9562807803</v>
      </c>
      <c r="K3049" s="1" t="s">
        <v>84</v>
      </c>
      <c r="L3049" s="1" t="s">
        <v>36590</v>
      </c>
      <c r="M3049" s="1" t="s">
        <v>86</v>
      </c>
      <c r="N3049" s="1" t="s">
        <v>7058</v>
      </c>
      <c r="O3049" s="1" t="s">
        <v>49329</v>
      </c>
      <c r="P3049" s="1" t="s">
        <v>89</v>
      </c>
      <c r="Q3049" s="1">
        <v>711923869150</v>
      </c>
      <c r="R3049" s="1" t="s">
        <v>49330</v>
      </c>
      <c r="S3049" s="1">
        <v>9400807803</v>
      </c>
      <c r="T3049" s="1" t="s">
        <v>3439</v>
      </c>
      <c r="U3049" s="1" t="s">
        <v>49331</v>
      </c>
      <c r="V3049" s="1">
        <v>9400807803</v>
      </c>
      <c r="W3049" s="1" t="s">
        <v>9679</v>
      </c>
      <c r="X3049" s="1" t="s">
        <v>49332</v>
      </c>
      <c r="Y3049" s="1" t="s">
        <v>701</v>
      </c>
      <c r="Z3049" s="1" t="s">
        <v>130</v>
      </c>
      <c r="AA3049" s="1" t="s">
        <v>49332</v>
      </c>
      <c r="AB3049" s="1" t="s">
        <v>701</v>
      </c>
      <c r="AC3049" s="1" t="s">
        <v>130</v>
      </c>
      <c r="AD3049" s="1" t="s">
        <v>98</v>
      </c>
      <c r="AE3049" s="1" t="s">
        <v>98</v>
      </c>
      <c r="AF3049" s="1" t="s">
        <v>49333</v>
      </c>
      <c r="AG3049" s="1" t="s">
        <v>49334</v>
      </c>
      <c r="AH3049" s="1" t="s">
        <v>166</v>
      </c>
      <c r="AI3049" s="1" t="s">
        <v>1111</v>
      </c>
      <c r="AJ3049" s="1">
        <v>93.33</v>
      </c>
      <c r="AK3049" s="1"/>
      <c r="AL3049" s="1" t="s">
        <v>49335</v>
      </c>
      <c r="AM3049" s="1" t="s">
        <v>49336</v>
      </c>
      <c r="AN3049" s="1" t="s">
        <v>575</v>
      </c>
      <c r="AO3049" s="1" t="s">
        <v>170</v>
      </c>
      <c r="AP3049" s="1" t="s">
        <v>286</v>
      </c>
      <c r="AQ3049" s="1">
        <v>80.5</v>
      </c>
      <c r="AR3049" s="1"/>
      <c r="AS3049" s="1"/>
      <c r="AT3049" s="1"/>
      <c r="AU3049" s="1"/>
      <c r="AV3049" s="1"/>
      <c r="AW3049" s="1"/>
      <c r="AX3049" s="1"/>
      <c r="AY3049" s="1" t="s">
        <v>15573</v>
      </c>
      <c r="AZ3049" s="1" t="s">
        <v>49337</v>
      </c>
      <c r="BA3049" s="1" t="s">
        <v>466</v>
      </c>
      <c r="BB3049" s="1" t="s">
        <v>467</v>
      </c>
      <c r="BC3049" s="1" t="s">
        <v>1065</v>
      </c>
      <c r="BD3049" s="1" t="s">
        <v>289</v>
      </c>
      <c r="BE3049" s="1">
        <v>64.89</v>
      </c>
      <c r="BF3049" s="1">
        <v>6.83</v>
      </c>
      <c r="BG3049" s="1"/>
      <c r="BH3049" s="1"/>
      <c r="BI3049" s="1"/>
      <c r="BJ3049" s="1"/>
      <c r="BK3049" s="1"/>
      <c r="BL3049" s="1"/>
      <c r="BM3049" s="1"/>
      <c r="BN3049" s="1"/>
      <c r="BO3049" s="1" t="s">
        <v>49338</v>
      </c>
      <c r="BP3049" s="1" t="s">
        <v>49339</v>
      </c>
      <c r="BQ3049" s="1" t="s">
        <v>736</v>
      </c>
      <c r="BR3049" s="1"/>
      <c r="BS3049" s="1"/>
      <c r="BT3049" s="1"/>
      <c r="BU3049" s="1" t="str">
        <f>HYPERLINK("https://nconnect.nicmar.ac.in/storage/profile/6a85c7e9908fa.png","Download")</f>
        <v>0</v>
      </c>
      <c r="BV3049" s="3"/>
      <c r="BW3049" s="3"/>
    </row>
    <row r="3050" spans="1:75">
      <c r="A3050" s="1" t="s">
        <v>45201</v>
      </c>
      <c r="B3050" s="1" t="s">
        <v>13976</v>
      </c>
      <c r="C3050" s="1" t="s">
        <v>49340</v>
      </c>
      <c r="D3050" s="1" t="s">
        <v>40352</v>
      </c>
      <c r="E3050" s="1" t="s">
        <v>15607</v>
      </c>
      <c r="F3050" s="1" t="s">
        <v>49341</v>
      </c>
      <c r="G3050" s="1" t="s">
        <v>49342</v>
      </c>
      <c r="H3050" s="1" t="s">
        <v>49343</v>
      </c>
      <c r="I3050" s="1" t="s">
        <v>49344</v>
      </c>
      <c r="J3050" s="1">
        <v>8080413771</v>
      </c>
      <c r="K3050" s="1" t="s">
        <v>84</v>
      </c>
      <c r="L3050" s="1" t="s">
        <v>4482</v>
      </c>
      <c r="M3050" s="1" t="s">
        <v>86</v>
      </c>
      <c r="N3050" s="1" t="s">
        <v>49345</v>
      </c>
      <c r="O3050" s="1" t="s">
        <v>49346</v>
      </c>
      <c r="P3050" s="1" t="s">
        <v>356</v>
      </c>
      <c r="Q3050" s="1">
        <v>743301696039</v>
      </c>
      <c r="R3050" s="1" t="s">
        <v>49347</v>
      </c>
      <c r="S3050" s="1">
        <v>7020069370</v>
      </c>
      <c r="T3050" s="1" t="s">
        <v>15073</v>
      </c>
      <c r="U3050" s="1" t="s">
        <v>49348</v>
      </c>
      <c r="V3050" s="1">
        <v>7020996225</v>
      </c>
      <c r="W3050" s="1" t="s">
        <v>49349</v>
      </c>
      <c r="X3050" s="1" t="s">
        <v>49350</v>
      </c>
      <c r="Y3050" s="1" t="s">
        <v>196</v>
      </c>
      <c r="Z3050" s="1" t="s">
        <v>97</v>
      </c>
      <c r="AA3050" s="1" t="s">
        <v>49350</v>
      </c>
      <c r="AB3050" s="1" t="s">
        <v>196</v>
      </c>
      <c r="AC3050" s="1" t="s">
        <v>97</v>
      </c>
      <c r="AD3050" s="1" t="s">
        <v>98</v>
      </c>
      <c r="AE3050" s="1" t="s">
        <v>98</v>
      </c>
      <c r="AF3050" s="1" t="s">
        <v>49351</v>
      </c>
      <c r="AG3050" s="1" t="s">
        <v>49352</v>
      </c>
      <c r="AH3050" s="1" t="s">
        <v>573</v>
      </c>
      <c r="AI3050" s="1" t="s">
        <v>171</v>
      </c>
      <c r="AJ3050" s="1">
        <v>86.99</v>
      </c>
      <c r="AK3050" s="1"/>
      <c r="AL3050" s="1" t="s">
        <v>49353</v>
      </c>
      <c r="AM3050" s="1" t="s">
        <v>49354</v>
      </c>
      <c r="AN3050" s="1" t="s">
        <v>465</v>
      </c>
      <c r="AO3050" s="1" t="s">
        <v>203</v>
      </c>
      <c r="AP3050" s="1" t="s">
        <v>365</v>
      </c>
      <c r="AQ3050" s="1">
        <v>68.62</v>
      </c>
      <c r="AR3050" s="1"/>
      <c r="AS3050" s="1"/>
      <c r="AT3050" s="1"/>
      <c r="AU3050" s="1"/>
      <c r="AV3050" s="1"/>
      <c r="AW3050" s="1"/>
      <c r="AX3050" s="1"/>
      <c r="AY3050" s="1" t="s">
        <v>14160</v>
      </c>
      <c r="AZ3050" s="1" t="s">
        <v>49355</v>
      </c>
      <c r="BA3050" s="1" t="s">
        <v>682</v>
      </c>
      <c r="BB3050" s="1" t="s">
        <v>1561</v>
      </c>
      <c r="BC3050" s="1" t="s">
        <v>468</v>
      </c>
      <c r="BD3050" s="1" t="s">
        <v>607</v>
      </c>
      <c r="BE3050" s="1">
        <v>66.9</v>
      </c>
      <c r="BF3050" s="1">
        <v>7.44</v>
      </c>
      <c r="BG3050" s="1"/>
      <c r="BH3050" s="1"/>
      <c r="BI3050" s="1"/>
      <c r="BJ3050" s="1"/>
      <c r="BK3050" s="1"/>
      <c r="BL3050" s="1"/>
      <c r="BM3050" s="1"/>
      <c r="BN3050" s="1"/>
      <c r="BO3050" s="1" t="s">
        <v>49356</v>
      </c>
      <c r="BP3050" s="1" t="s">
        <v>49357</v>
      </c>
      <c r="BQ3050" s="1" t="s">
        <v>471</v>
      </c>
      <c r="BR3050" s="1" t="s">
        <v>49358</v>
      </c>
      <c r="BS3050" s="1">
        <v>121</v>
      </c>
      <c r="BT3050" s="1"/>
      <c r="BU3050" s="1" t="str">
        <f>HYPERLINK("https://nconnect.nicmar.ac.in/storage/profile/6a84aab7e1e7d.png","Download")</f>
        <v>0</v>
      </c>
      <c r="BV3050" s="3"/>
      <c r="BW3050" s="3"/>
    </row>
    <row r="3051" spans="1:75">
      <c r="A3051" s="1" t="s">
        <v>45201</v>
      </c>
      <c r="B3051" s="1" t="s">
        <v>13976</v>
      </c>
      <c r="C3051" s="1" t="s">
        <v>49359</v>
      </c>
      <c r="D3051" s="1" t="s">
        <v>49288</v>
      </c>
      <c r="E3051" s="1" t="s">
        <v>49289</v>
      </c>
      <c r="F3051" s="1" t="s">
        <v>49360</v>
      </c>
      <c r="G3051" s="1" t="s">
        <v>49361</v>
      </c>
      <c r="H3051" s="1" t="s">
        <v>49362</v>
      </c>
      <c r="I3051" s="1" t="s">
        <v>49363</v>
      </c>
      <c r="J3051" s="1">
        <v>8862023508</v>
      </c>
      <c r="K3051" s="1" t="s">
        <v>84</v>
      </c>
      <c r="L3051" s="1" t="s">
        <v>49364</v>
      </c>
      <c r="M3051" s="1" t="s">
        <v>155</v>
      </c>
      <c r="N3051" s="1" t="s">
        <v>49365</v>
      </c>
      <c r="O3051" s="1" t="s">
        <v>49366</v>
      </c>
      <c r="P3051" s="1" t="s">
        <v>122</v>
      </c>
      <c r="Q3051" s="1">
        <v>934564085496</v>
      </c>
      <c r="R3051" s="1" t="s">
        <v>49367</v>
      </c>
      <c r="S3051" s="1">
        <v>9422038694</v>
      </c>
      <c r="T3051" s="1" t="s">
        <v>49368</v>
      </c>
      <c r="U3051" s="1" t="s">
        <v>49369</v>
      </c>
      <c r="V3051" s="1">
        <v>7972477892</v>
      </c>
      <c r="W3051" s="1" t="s">
        <v>14154</v>
      </c>
      <c r="X3051" s="1" t="s">
        <v>49370</v>
      </c>
      <c r="Y3051" s="1" t="s">
        <v>5181</v>
      </c>
      <c r="Z3051" s="1" t="s">
        <v>97</v>
      </c>
      <c r="AA3051" s="1" t="s">
        <v>49370</v>
      </c>
      <c r="AB3051" s="1" t="s">
        <v>5181</v>
      </c>
      <c r="AC3051" s="1" t="s">
        <v>97</v>
      </c>
      <c r="AD3051" s="1" t="s">
        <v>98</v>
      </c>
      <c r="AE3051" s="1" t="s">
        <v>98</v>
      </c>
      <c r="AF3051" s="1" t="s">
        <v>49371</v>
      </c>
      <c r="AG3051" s="1" t="s">
        <v>49372</v>
      </c>
      <c r="AH3051" s="1" t="s">
        <v>1213</v>
      </c>
      <c r="AI3051" s="1" t="s">
        <v>515</v>
      </c>
      <c r="AJ3051" s="1">
        <v>81.8</v>
      </c>
      <c r="AK3051" s="1"/>
      <c r="AL3051" s="1" t="s">
        <v>16880</v>
      </c>
      <c r="AM3051" s="1" t="s">
        <v>14261</v>
      </c>
      <c r="AN3051" s="1" t="s">
        <v>575</v>
      </c>
      <c r="AO3051" s="1" t="s">
        <v>166</v>
      </c>
      <c r="AP3051" s="1" t="s">
        <v>517</v>
      </c>
      <c r="AQ3051" s="1">
        <v>48.77</v>
      </c>
      <c r="AR3051" s="1"/>
      <c r="AS3051" s="1" t="s">
        <v>14528</v>
      </c>
      <c r="AT3051" s="1" t="s">
        <v>49373</v>
      </c>
      <c r="AU3051" s="1" t="s">
        <v>1396</v>
      </c>
      <c r="AV3051" s="1" t="s">
        <v>106</v>
      </c>
      <c r="AW3051" s="1">
        <v>65.7</v>
      </c>
      <c r="AX3051" s="1"/>
      <c r="AY3051" s="1" t="s">
        <v>14160</v>
      </c>
      <c r="AZ3051" s="1" t="s">
        <v>49374</v>
      </c>
      <c r="BA3051" s="1" t="s">
        <v>578</v>
      </c>
      <c r="BB3051" s="1" t="s">
        <v>467</v>
      </c>
      <c r="BC3051" s="1" t="s">
        <v>1065</v>
      </c>
      <c r="BD3051" s="1" t="s">
        <v>2304</v>
      </c>
      <c r="BE3051" s="1">
        <v>67.4</v>
      </c>
      <c r="BF3051" s="1">
        <v>7.49</v>
      </c>
      <c r="BG3051" s="1"/>
      <c r="BH3051" s="1"/>
      <c r="BI3051" s="1"/>
      <c r="BJ3051" s="1"/>
      <c r="BK3051" s="1"/>
      <c r="BL3051" s="1"/>
      <c r="BM3051" s="1"/>
      <c r="BN3051" s="1"/>
      <c r="BO3051" s="1" t="s">
        <v>49375</v>
      </c>
      <c r="BP3051" s="1" t="s">
        <v>49376</v>
      </c>
      <c r="BQ3051" s="1" t="s">
        <v>49377</v>
      </c>
      <c r="BR3051" s="1"/>
      <c r="BS3051" s="1"/>
      <c r="BT3051" s="1" t="s">
        <v>49378</v>
      </c>
      <c r="BU3051" s="1" t="str">
        <f>HYPERLINK("https://nconnect.nicmar.ac.in/storage/profile/6a85cfeba3017.png","Download")</f>
        <v>0</v>
      </c>
      <c r="BV3051" s="3"/>
      <c r="BW3051" s="3"/>
    </row>
    <row r="3052" spans="1:75">
      <c r="A3052" s="1" t="s">
        <v>45201</v>
      </c>
      <c r="B3052" s="1" t="s">
        <v>13976</v>
      </c>
      <c r="C3052" s="1" t="s">
        <v>49379</v>
      </c>
      <c r="D3052" s="1" t="s">
        <v>16214</v>
      </c>
      <c r="E3052" s="1" t="s">
        <v>49380</v>
      </c>
      <c r="F3052" s="1" t="s">
        <v>49381</v>
      </c>
      <c r="G3052" s="1" t="s">
        <v>49382</v>
      </c>
      <c r="H3052" s="1" t="s">
        <v>49383</v>
      </c>
      <c r="I3052" s="1" t="s">
        <v>49384</v>
      </c>
      <c r="J3052" s="1">
        <v>9438647484</v>
      </c>
      <c r="K3052" s="1" t="s">
        <v>153</v>
      </c>
      <c r="L3052" s="1" t="s">
        <v>36188</v>
      </c>
      <c r="M3052" s="1" t="s">
        <v>86</v>
      </c>
      <c r="N3052" s="1" t="s">
        <v>49385</v>
      </c>
      <c r="O3052" s="1" t="s">
        <v>49386</v>
      </c>
      <c r="P3052" s="1" t="s">
        <v>122</v>
      </c>
      <c r="Q3052" s="1">
        <v>931350849661</v>
      </c>
      <c r="R3052" s="1" t="s">
        <v>49387</v>
      </c>
      <c r="S3052" s="1">
        <v>9938509592</v>
      </c>
      <c r="T3052" s="1" t="s">
        <v>49388</v>
      </c>
      <c r="U3052" s="1" t="s">
        <v>49389</v>
      </c>
      <c r="V3052" s="1">
        <v>8917684804</v>
      </c>
      <c r="W3052" s="1" t="s">
        <v>9679</v>
      </c>
      <c r="X3052" s="1" t="s">
        <v>49390</v>
      </c>
      <c r="Y3052" s="1" t="s">
        <v>2027</v>
      </c>
      <c r="Z3052" s="1" t="s">
        <v>865</v>
      </c>
      <c r="AA3052" s="1" t="s">
        <v>49391</v>
      </c>
      <c r="AB3052" s="1" t="s">
        <v>2027</v>
      </c>
      <c r="AC3052" s="1" t="s">
        <v>865</v>
      </c>
      <c r="AD3052" s="1" t="s">
        <v>98</v>
      </c>
      <c r="AE3052" s="1" t="s">
        <v>98</v>
      </c>
      <c r="AF3052" s="1" t="s">
        <v>49392</v>
      </c>
      <c r="AG3052" s="1" t="s">
        <v>49393</v>
      </c>
      <c r="AH3052" s="1" t="s">
        <v>230</v>
      </c>
      <c r="AI3052" s="1" t="s">
        <v>106</v>
      </c>
      <c r="AJ3052" s="1">
        <v>89.5</v>
      </c>
      <c r="AK3052" s="1"/>
      <c r="AL3052" s="1" t="s">
        <v>49394</v>
      </c>
      <c r="AM3052" s="1" t="s">
        <v>49395</v>
      </c>
      <c r="AN3052" s="1" t="s">
        <v>465</v>
      </c>
      <c r="AO3052" s="1" t="s">
        <v>438</v>
      </c>
      <c r="AP3052" s="1" t="s">
        <v>890</v>
      </c>
      <c r="AQ3052" s="1">
        <v>92.17</v>
      </c>
      <c r="AR3052" s="1"/>
      <c r="AS3052" s="1"/>
      <c r="AT3052" s="1"/>
      <c r="AU3052" s="1"/>
      <c r="AV3052" s="1"/>
      <c r="AW3052" s="1"/>
      <c r="AX3052" s="1"/>
      <c r="AY3052" s="1" t="s">
        <v>1264</v>
      </c>
      <c r="AZ3052" s="1" t="s">
        <v>49396</v>
      </c>
      <c r="BA3052" s="1" t="s">
        <v>682</v>
      </c>
      <c r="BB3052" s="1" t="s">
        <v>1561</v>
      </c>
      <c r="BC3052" s="1" t="s">
        <v>890</v>
      </c>
      <c r="BD3052" s="1" t="s">
        <v>848</v>
      </c>
      <c r="BE3052" s="1">
        <v>68.4</v>
      </c>
      <c r="BF3052" s="1">
        <v>7.34</v>
      </c>
      <c r="BG3052" s="1"/>
      <c r="BH3052" s="1"/>
      <c r="BI3052" s="1"/>
      <c r="BJ3052" s="1"/>
      <c r="BK3052" s="1"/>
      <c r="BL3052" s="1"/>
      <c r="BM3052" s="1"/>
      <c r="BN3052" s="1"/>
      <c r="BO3052" s="1" t="s">
        <v>49397</v>
      </c>
      <c r="BP3052" s="1" t="s">
        <v>49398</v>
      </c>
      <c r="BQ3052" s="1" t="s">
        <v>1070</v>
      </c>
      <c r="BR3052" s="1"/>
      <c r="BS3052" s="1"/>
      <c r="BT3052" s="1"/>
      <c r="BU3052" s="1" t="str">
        <f>HYPERLINK("https://nconnect.nicmar.ac.in/storage/profile/6a85e26fe1c50.png","Download")</f>
        <v>0</v>
      </c>
      <c r="BV3052" s="3"/>
      <c r="BW3052" s="3"/>
    </row>
    <row r="3053" spans="1:75">
      <c r="A3053" s="1" t="s">
        <v>45201</v>
      </c>
      <c r="B3053" s="1" t="s">
        <v>13976</v>
      </c>
      <c r="C3053" s="1" t="s">
        <v>49399</v>
      </c>
      <c r="D3053" s="1" t="s">
        <v>16853</v>
      </c>
      <c r="E3053" s="1" t="s">
        <v>18426</v>
      </c>
      <c r="F3053" s="1" t="s">
        <v>15825</v>
      </c>
      <c r="G3053" s="1" t="s">
        <v>49400</v>
      </c>
      <c r="H3053" s="1" t="s">
        <v>49401</v>
      </c>
      <c r="I3053" s="1" t="s">
        <v>49402</v>
      </c>
      <c r="J3053" s="1">
        <v>9076084645</v>
      </c>
      <c r="K3053" s="1" t="s">
        <v>153</v>
      </c>
      <c r="L3053" s="1" t="s">
        <v>35112</v>
      </c>
      <c r="M3053" s="1" t="s">
        <v>86</v>
      </c>
      <c r="N3053" s="1" t="s">
        <v>49403</v>
      </c>
      <c r="O3053" s="1" t="s">
        <v>49404</v>
      </c>
      <c r="P3053" s="1" t="s">
        <v>219</v>
      </c>
      <c r="Q3053" s="1">
        <v>825377399593</v>
      </c>
      <c r="R3053" s="1" t="s">
        <v>49405</v>
      </c>
      <c r="S3053" s="1">
        <v>9892065248</v>
      </c>
      <c r="T3053" s="1" t="s">
        <v>13411</v>
      </c>
      <c r="U3053" s="1" t="s">
        <v>49406</v>
      </c>
      <c r="V3053" s="1">
        <v>8689802556</v>
      </c>
      <c r="W3053" s="1" t="s">
        <v>15148</v>
      </c>
      <c r="X3053" s="1" t="s">
        <v>49407</v>
      </c>
      <c r="Y3053" s="1" t="s">
        <v>2259</v>
      </c>
      <c r="Z3053" s="1" t="s">
        <v>97</v>
      </c>
      <c r="AA3053" s="1" t="s">
        <v>49407</v>
      </c>
      <c r="AB3053" s="1" t="s">
        <v>2259</v>
      </c>
      <c r="AC3053" s="1" t="s">
        <v>97</v>
      </c>
      <c r="AD3053" s="1" t="s">
        <v>98</v>
      </c>
      <c r="AE3053" s="1" t="s">
        <v>98</v>
      </c>
      <c r="AF3053" s="1" t="s">
        <v>49408</v>
      </c>
      <c r="AG3053" s="1" t="s">
        <v>14238</v>
      </c>
      <c r="AH3053" s="1" t="s">
        <v>166</v>
      </c>
      <c r="AI3053" s="1" t="s">
        <v>1111</v>
      </c>
      <c r="AJ3053" s="1">
        <v>69.2</v>
      </c>
      <c r="AK3053" s="1"/>
      <c r="AL3053" s="1"/>
      <c r="AM3053" s="1"/>
      <c r="AN3053" s="1"/>
      <c r="AO3053" s="1"/>
      <c r="AP3053" s="1"/>
      <c r="AQ3053" s="1"/>
      <c r="AR3053" s="1"/>
      <c r="AS3053" s="1" t="s">
        <v>14158</v>
      </c>
      <c r="AT3053" s="1" t="s">
        <v>49409</v>
      </c>
      <c r="AU3053" s="1" t="s">
        <v>1065</v>
      </c>
      <c r="AV3053" s="1" t="s">
        <v>441</v>
      </c>
      <c r="AW3053" s="1">
        <v>84.37</v>
      </c>
      <c r="AX3053" s="1"/>
      <c r="AY3053" s="1" t="s">
        <v>17105</v>
      </c>
      <c r="AZ3053" s="1" t="s">
        <v>49410</v>
      </c>
      <c r="BA3053" s="1" t="s">
        <v>578</v>
      </c>
      <c r="BB3053" s="1" t="s">
        <v>467</v>
      </c>
      <c r="BC3053" s="1" t="s">
        <v>871</v>
      </c>
      <c r="BD3053" s="1" t="s">
        <v>1089</v>
      </c>
      <c r="BE3053" s="1">
        <v>60.51</v>
      </c>
      <c r="BF3053" s="1">
        <v>6.6</v>
      </c>
      <c r="BG3053" s="1"/>
      <c r="BH3053" s="1"/>
      <c r="BI3053" s="1"/>
      <c r="BJ3053" s="1"/>
      <c r="BK3053" s="1"/>
      <c r="BL3053" s="1"/>
      <c r="BM3053" s="1"/>
      <c r="BN3053" s="1"/>
      <c r="BO3053" s="1" t="s">
        <v>49411</v>
      </c>
      <c r="BP3053" s="1"/>
      <c r="BQ3053" s="1"/>
      <c r="BR3053" s="1" t="s">
        <v>49412</v>
      </c>
      <c r="BS3053" s="1">
        <v>26</v>
      </c>
      <c r="BT3053" s="1"/>
      <c r="BU3053" s="1" t="str">
        <f>HYPERLINK("https://nconnect.nicmar.ac.in/storage/profile/6a85c88123ee7.png","Download")</f>
        <v>0</v>
      </c>
      <c r="BV3053" s="3"/>
      <c r="BW3053" s="3"/>
    </row>
    <row r="3054" spans="1:75">
      <c r="A3054" s="1" t="s">
        <v>45201</v>
      </c>
      <c r="B3054" s="1" t="s">
        <v>13976</v>
      </c>
      <c r="C3054" s="1" t="s">
        <v>49413</v>
      </c>
      <c r="D3054" s="1" t="s">
        <v>49414</v>
      </c>
      <c r="E3054" s="1"/>
      <c r="F3054" s="1" t="s">
        <v>49415</v>
      </c>
      <c r="G3054" s="1" t="s">
        <v>49416</v>
      </c>
      <c r="H3054" s="1" t="s">
        <v>49417</v>
      </c>
      <c r="I3054" s="1" t="s">
        <v>49417</v>
      </c>
      <c r="J3054" s="1">
        <v>8280286336</v>
      </c>
      <c r="K3054" s="1" t="s">
        <v>153</v>
      </c>
      <c r="L3054" s="1" t="s">
        <v>32199</v>
      </c>
      <c r="M3054" s="1" t="s">
        <v>86</v>
      </c>
      <c r="N3054" s="1" t="s">
        <v>49418</v>
      </c>
      <c r="O3054" s="1" t="s">
        <v>49419</v>
      </c>
      <c r="P3054" s="1" t="s">
        <v>219</v>
      </c>
      <c r="Q3054" s="1">
        <v>479473384863</v>
      </c>
      <c r="R3054" s="1" t="s">
        <v>49420</v>
      </c>
      <c r="S3054" s="1">
        <v>9437442078</v>
      </c>
      <c r="T3054" s="1" t="s">
        <v>15073</v>
      </c>
      <c r="U3054" s="1" t="s">
        <v>49421</v>
      </c>
      <c r="V3054" s="1">
        <v>9347688104</v>
      </c>
      <c r="W3054" s="1" t="s">
        <v>15588</v>
      </c>
      <c r="X3054" s="1" t="s">
        <v>49422</v>
      </c>
      <c r="Y3054" s="1" t="s">
        <v>864</v>
      </c>
      <c r="Z3054" s="1" t="s">
        <v>865</v>
      </c>
      <c r="AA3054" s="1" t="s">
        <v>49422</v>
      </c>
      <c r="AB3054" s="1" t="s">
        <v>864</v>
      </c>
      <c r="AC3054" s="1" t="s">
        <v>865</v>
      </c>
      <c r="AD3054" s="1" t="s">
        <v>98</v>
      </c>
      <c r="AE3054" s="1" t="s">
        <v>98</v>
      </c>
      <c r="AF3054" s="1" t="s">
        <v>49423</v>
      </c>
      <c r="AG3054" s="1" t="s">
        <v>49424</v>
      </c>
      <c r="AH3054" s="1" t="s">
        <v>27648</v>
      </c>
      <c r="AI3054" s="1" t="s">
        <v>515</v>
      </c>
      <c r="AJ3054" s="1">
        <v>89.3</v>
      </c>
      <c r="AK3054" s="1">
        <v>9.4</v>
      </c>
      <c r="AL3054" s="1" t="s">
        <v>49423</v>
      </c>
      <c r="AM3054" s="1" t="s">
        <v>49424</v>
      </c>
      <c r="AN3054" s="1" t="s">
        <v>575</v>
      </c>
      <c r="AO3054" s="1" t="s">
        <v>515</v>
      </c>
      <c r="AP3054" s="1" t="s">
        <v>1111</v>
      </c>
      <c r="AQ3054" s="1">
        <v>85.2</v>
      </c>
      <c r="AR3054" s="1"/>
      <c r="AS3054" s="1"/>
      <c r="AT3054" s="1"/>
      <c r="AU3054" s="1"/>
      <c r="AV3054" s="1"/>
      <c r="AW3054" s="1"/>
      <c r="AX3054" s="1"/>
      <c r="AY3054" s="1" t="s">
        <v>17989</v>
      </c>
      <c r="AZ3054" s="1" t="s">
        <v>49425</v>
      </c>
      <c r="BA3054" s="1" t="s">
        <v>682</v>
      </c>
      <c r="BB3054" s="1" t="s">
        <v>1561</v>
      </c>
      <c r="BC3054" s="1" t="s">
        <v>1396</v>
      </c>
      <c r="BD3054" s="1" t="s">
        <v>441</v>
      </c>
      <c r="BE3054" s="1">
        <v>86.8</v>
      </c>
      <c r="BF3054" s="1">
        <v>8.68</v>
      </c>
      <c r="BG3054" s="1"/>
      <c r="BH3054" s="1"/>
      <c r="BI3054" s="1"/>
      <c r="BJ3054" s="1"/>
      <c r="BK3054" s="1"/>
      <c r="BL3054" s="1"/>
      <c r="BM3054" s="1"/>
      <c r="BN3054" s="1"/>
      <c r="BO3054" s="1" t="s">
        <v>49426</v>
      </c>
      <c r="BP3054" s="1" t="s">
        <v>49427</v>
      </c>
      <c r="BQ3054" s="1" t="s">
        <v>12940</v>
      </c>
      <c r="BR3054" s="1"/>
      <c r="BS3054" s="1"/>
      <c r="BT3054" s="1"/>
      <c r="BU3054" s="1" t="str">
        <f>HYPERLINK("https://nconnect.nicmar.ac.in/storage/profile/6a85c2ecb4fe6.png","Download")</f>
        <v>0</v>
      </c>
      <c r="BV3054" s="3"/>
      <c r="BW3054" s="3"/>
    </row>
    <row r="3055" spans="1:75">
      <c r="A3055" s="1" t="s">
        <v>45201</v>
      </c>
      <c r="B3055" s="1" t="s">
        <v>13976</v>
      </c>
      <c r="C3055" s="1" t="s">
        <v>49428</v>
      </c>
      <c r="D3055" s="1" t="s">
        <v>49429</v>
      </c>
      <c r="E3055" s="1" t="s">
        <v>49430</v>
      </c>
      <c r="F3055" s="1" t="s">
        <v>49431</v>
      </c>
      <c r="G3055" s="1" t="s">
        <v>49432</v>
      </c>
      <c r="H3055" s="1" t="s">
        <v>49433</v>
      </c>
      <c r="I3055" s="1" t="s">
        <v>49434</v>
      </c>
      <c r="J3055" s="1">
        <v>8317697332</v>
      </c>
      <c r="K3055" s="1" t="s">
        <v>153</v>
      </c>
      <c r="L3055" s="1" t="s">
        <v>10947</v>
      </c>
      <c r="M3055" s="1" t="s">
        <v>86</v>
      </c>
      <c r="N3055" s="1" t="s">
        <v>49435</v>
      </c>
      <c r="O3055" s="1" t="s">
        <v>49436</v>
      </c>
      <c r="P3055" s="1" t="s">
        <v>219</v>
      </c>
      <c r="Q3055" s="1">
        <v>240340582475</v>
      </c>
      <c r="R3055" s="1" t="s">
        <v>49437</v>
      </c>
      <c r="S3055" s="1">
        <v>9966026883</v>
      </c>
      <c r="T3055" s="1" t="s">
        <v>44767</v>
      </c>
      <c r="U3055" s="1" t="s">
        <v>49438</v>
      </c>
      <c r="V3055" s="1">
        <v>9849545226</v>
      </c>
      <c r="W3055" s="1" t="s">
        <v>14234</v>
      </c>
      <c r="X3055" s="1" t="s">
        <v>49439</v>
      </c>
      <c r="Y3055" s="1" t="s">
        <v>3031</v>
      </c>
      <c r="Z3055" s="1" t="s">
        <v>461</v>
      </c>
      <c r="AA3055" s="1" t="s">
        <v>49439</v>
      </c>
      <c r="AB3055" s="1" t="s">
        <v>3031</v>
      </c>
      <c r="AC3055" s="1" t="s">
        <v>461</v>
      </c>
      <c r="AD3055" s="1" t="s">
        <v>98</v>
      </c>
      <c r="AE3055" s="1" t="s">
        <v>98</v>
      </c>
      <c r="AF3055" s="1" t="s">
        <v>49440</v>
      </c>
      <c r="AG3055" s="1" t="s">
        <v>49441</v>
      </c>
      <c r="AH3055" s="1" t="s">
        <v>170</v>
      </c>
      <c r="AI3055" s="1" t="s">
        <v>171</v>
      </c>
      <c r="AJ3055" s="1">
        <v>72.6</v>
      </c>
      <c r="AK3055" s="1">
        <v>7.64</v>
      </c>
      <c r="AL3055" s="1" t="s">
        <v>49442</v>
      </c>
      <c r="AM3055" s="1" t="s">
        <v>3031</v>
      </c>
      <c r="AN3055" s="1" t="s">
        <v>465</v>
      </c>
      <c r="AO3055" s="1" t="s">
        <v>106</v>
      </c>
      <c r="AP3055" s="1" t="s">
        <v>468</v>
      </c>
      <c r="AQ3055" s="1">
        <v>86.4</v>
      </c>
      <c r="AR3055" s="1">
        <v>9</v>
      </c>
      <c r="AS3055" s="1"/>
      <c r="AT3055" s="1"/>
      <c r="AU3055" s="1"/>
      <c r="AV3055" s="1"/>
      <c r="AW3055" s="1"/>
      <c r="AX3055" s="1"/>
      <c r="AY3055" s="1" t="s">
        <v>15535</v>
      </c>
      <c r="AZ3055" s="1" t="s">
        <v>49443</v>
      </c>
      <c r="BA3055" s="1" t="s">
        <v>682</v>
      </c>
      <c r="BB3055" s="1" t="s">
        <v>683</v>
      </c>
      <c r="BC3055" s="1" t="s">
        <v>890</v>
      </c>
      <c r="BD3055" s="1" t="s">
        <v>553</v>
      </c>
      <c r="BE3055" s="1">
        <v>81.2</v>
      </c>
      <c r="BF3055" s="1">
        <v>8.12</v>
      </c>
      <c r="BG3055" s="1"/>
      <c r="BH3055" s="1"/>
      <c r="BI3055" s="1"/>
      <c r="BJ3055" s="1"/>
      <c r="BK3055" s="1"/>
      <c r="BL3055" s="1"/>
      <c r="BM3055" s="1"/>
      <c r="BN3055" s="1"/>
      <c r="BO3055" s="1" t="s">
        <v>49444</v>
      </c>
      <c r="BP3055" s="1" t="s">
        <v>49445</v>
      </c>
      <c r="BQ3055" s="1" t="s">
        <v>893</v>
      </c>
      <c r="BR3055" s="1" t="s">
        <v>49446</v>
      </c>
      <c r="BS3055" s="1">
        <v>21</v>
      </c>
      <c r="BT3055" s="1" t="s">
        <v>49447</v>
      </c>
      <c r="BU3055" s="1" t="str">
        <f>HYPERLINK("https://nconnect.nicmar.ac.in/storage/profile/6a85b20b83ffc.png","Download")</f>
        <v>0</v>
      </c>
      <c r="BV3055" s="3"/>
      <c r="BW3055" s="3"/>
    </row>
    <row r="3056" spans="1:75">
      <c r="A3056" s="1" t="s">
        <v>45201</v>
      </c>
      <c r="B3056" s="1" t="s">
        <v>13976</v>
      </c>
      <c r="C3056" s="1" t="s">
        <v>49448</v>
      </c>
      <c r="D3056" s="1" t="s">
        <v>22050</v>
      </c>
      <c r="E3056" s="1" t="s">
        <v>49449</v>
      </c>
      <c r="F3056" s="1" t="s">
        <v>15304</v>
      </c>
      <c r="G3056" s="1" t="s">
        <v>49450</v>
      </c>
      <c r="H3056" s="1" t="s">
        <v>49451</v>
      </c>
      <c r="I3056" s="1" t="s">
        <v>49452</v>
      </c>
      <c r="J3056" s="1">
        <v>7757082815</v>
      </c>
      <c r="K3056" s="1" t="s">
        <v>84</v>
      </c>
      <c r="L3056" s="1" t="s">
        <v>46622</v>
      </c>
      <c r="M3056" s="1" t="s">
        <v>86</v>
      </c>
      <c r="N3056" s="1" t="s">
        <v>49453</v>
      </c>
      <c r="O3056" s="1" t="s">
        <v>49454</v>
      </c>
      <c r="P3056" s="1" t="s">
        <v>219</v>
      </c>
      <c r="Q3056" s="1">
        <v>373844671732</v>
      </c>
      <c r="R3056" s="1" t="s">
        <v>49455</v>
      </c>
      <c r="S3056" s="1">
        <v>9130089340</v>
      </c>
      <c r="T3056" s="1" t="s">
        <v>14192</v>
      </c>
      <c r="U3056" s="1" t="s">
        <v>49456</v>
      </c>
      <c r="V3056" s="1">
        <v>7821992326</v>
      </c>
      <c r="W3056" s="1" t="s">
        <v>14154</v>
      </c>
      <c r="X3056" s="1" t="s">
        <v>49457</v>
      </c>
      <c r="Y3056" s="1" t="s">
        <v>1145</v>
      </c>
      <c r="Z3056" s="1" t="s">
        <v>97</v>
      </c>
      <c r="AA3056" s="1" t="s">
        <v>49458</v>
      </c>
      <c r="AB3056" s="1" t="s">
        <v>196</v>
      </c>
      <c r="AC3056" s="1" t="s">
        <v>97</v>
      </c>
      <c r="AD3056" s="1" t="s">
        <v>98</v>
      </c>
      <c r="AE3056" s="1" t="s">
        <v>98</v>
      </c>
      <c r="AF3056" s="1" t="s">
        <v>49459</v>
      </c>
      <c r="AG3056" s="1" t="s">
        <v>49460</v>
      </c>
      <c r="AH3056" s="1" t="s">
        <v>438</v>
      </c>
      <c r="AI3056" s="1" t="s">
        <v>468</v>
      </c>
      <c r="AJ3056" s="1">
        <v>94.0</v>
      </c>
      <c r="AK3056" s="1"/>
      <c r="AL3056" s="1" t="s">
        <v>49461</v>
      </c>
      <c r="AM3056" s="1" t="s">
        <v>49462</v>
      </c>
      <c r="AN3056" s="1" t="s">
        <v>575</v>
      </c>
      <c r="AO3056" s="1" t="s">
        <v>847</v>
      </c>
      <c r="AP3056" s="1" t="s">
        <v>289</v>
      </c>
      <c r="AQ3056" s="1">
        <v>85.83</v>
      </c>
      <c r="AR3056" s="1"/>
      <c r="AS3056" s="1"/>
      <c r="AT3056" s="1"/>
      <c r="AU3056" s="1"/>
      <c r="AV3056" s="1"/>
      <c r="AW3056" s="1"/>
      <c r="AX3056" s="1"/>
      <c r="AY3056" s="1" t="s">
        <v>44922</v>
      </c>
      <c r="AZ3056" s="1" t="s">
        <v>49463</v>
      </c>
      <c r="BA3056" s="1" t="s">
        <v>578</v>
      </c>
      <c r="BB3056" s="1" t="s">
        <v>467</v>
      </c>
      <c r="BC3056" s="1" t="s">
        <v>289</v>
      </c>
      <c r="BD3056" s="1" t="s">
        <v>14514</v>
      </c>
      <c r="BE3056" s="1">
        <v>65.5</v>
      </c>
      <c r="BF3056" s="1">
        <v>7.29</v>
      </c>
      <c r="BG3056" s="1"/>
      <c r="BH3056" s="1"/>
      <c r="BI3056" s="1"/>
      <c r="BJ3056" s="1"/>
      <c r="BK3056" s="1"/>
      <c r="BL3056" s="1"/>
      <c r="BM3056" s="1"/>
      <c r="BN3056" s="1"/>
      <c r="BO3056" s="1" t="s">
        <v>49464</v>
      </c>
      <c r="BP3056" s="1"/>
      <c r="BQ3056" s="1"/>
      <c r="BR3056" s="1" t="s">
        <v>49465</v>
      </c>
      <c r="BS3056" s="1">
        <v>15</v>
      </c>
      <c r="BT3056" s="1"/>
      <c r="BU3056" s="1" t="str">
        <f>HYPERLINK("https://nconnect.nicmar.ac.in/storage/profile/6a85bbd9eabf6.png","Download")</f>
        <v>0</v>
      </c>
      <c r="BV3056" s="3"/>
      <c r="BW3056" s="3"/>
    </row>
    <row r="3057" spans="1:75">
      <c r="A3057" s="1" t="s">
        <v>45201</v>
      </c>
      <c r="B3057" s="1" t="s">
        <v>13976</v>
      </c>
      <c r="C3057" s="1" t="s">
        <v>49466</v>
      </c>
      <c r="D3057" s="1" t="s">
        <v>49467</v>
      </c>
      <c r="E3057" s="1"/>
      <c r="F3057" s="1" t="s">
        <v>49468</v>
      </c>
      <c r="G3057" s="1" t="s">
        <v>49469</v>
      </c>
      <c r="H3057" s="1" t="s">
        <v>49470</v>
      </c>
      <c r="I3057" s="1" t="s">
        <v>49471</v>
      </c>
      <c r="J3057" s="1">
        <v>8330990814</v>
      </c>
      <c r="K3057" s="1" t="s">
        <v>153</v>
      </c>
      <c r="L3057" s="1" t="s">
        <v>49472</v>
      </c>
      <c r="M3057" s="1" t="s">
        <v>86</v>
      </c>
      <c r="N3057" s="1" t="s">
        <v>17231</v>
      </c>
      <c r="O3057" s="1" t="s">
        <v>49473</v>
      </c>
      <c r="P3057" s="1" t="s">
        <v>18210</v>
      </c>
      <c r="Q3057" s="1" t="s">
        <v>49474</v>
      </c>
      <c r="R3057" s="1" t="s">
        <v>49475</v>
      </c>
      <c r="S3057" s="1">
        <v>9441319332</v>
      </c>
      <c r="T3057" s="1" t="s">
        <v>49476</v>
      </c>
      <c r="U3057" s="1" t="s">
        <v>49477</v>
      </c>
      <c r="V3057" s="1">
        <v>9494712435</v>
      </c>
      <c r="W3057" s="1" t="s">
        <v>541</v>
      </c>
      <c r="X3057" s="1" t="s">
        <v>49478</v>
      </c>
      <c r="Y3057" s="1" t="s">
        <v>4048</v>
      </c>
      <c r="Z3057" s="1" t="s">
        <v>461</v>
      </c>
      <c r="AA3057" s="1" t="s">
        <v>49478</v>
      </c>
      <c r="AB3057" s="1" t="s">
        <v>4048</v>
      </c>
      <c r="AC3057" s="1" t="s">
        <v>461</v>
      </c>
      <c r="AD3057" s="1" t="s">
        <v>98</v>
      </c>
      <c r="AE3057" s="1" t="s">
        <v>98</v>
      </c>
      <c r="AF3057" s="1" t="s">
        <v>49479</v>
      </c>
      <c r="AG3057" s="1" t="s">
        <v>10442</v>
      </c>
      <c r="AH3057" s="1" t="s">
        <v>1213</v>
      </c>
      <c r="AI3057" s="1" t="s">
        <v>515</v>
      </c>
      <c r="AJ3057" s="1">
        <v>90</v>
      </c>
      <c r="AK3057" s="1">
        <v>9</v>
      </c>
      <c r="AL3057" s="1"/>
      <c r="AM3057" s="1"/>
      <c r="AN3057" s="1"/>
      <c r="AO3057" s="1"/>
      <c r="AP3057" s="1"/>
      <c r="AQ3057" s="1"/>
      <c r="AR3057" s="1"/>
      <c r="AS3057" s="1" t="s">
        <v>49480</v>
      </c>
      <c r="AT3057" s="1" t="s">
        <v>49481</v>
      </c>
      <c r="AU3057" s="1" t="s">
        <v>5515</v>
      </c>
      <c r="AV3057" s="1" t="s">
        <v>170</v>
      </c>
      <c r="AW3057" s="1">
        <v>85.34</v>
      </c>
      <c r="AX3057" s="1"/>
      <c r="AY3057" s="1" t="s">
        <v>287</v>
      </c>
      <c r="AZ3057" s="1" t="s">
        <v>41637</v>
      </c>
      <c r="BA3057" s="1" t="s">
        <v>466</v>
      </c>
      <c r="BB3057" s="1" t="s">
        <v>467</v>
      </c>
      <c r="BC3057" s="1" t="s">
        <v>230</v>
      </c>
      <c r="BD3057" s="1" t="s">
        <v>468</v>
      </c>
      <c r="BE3057" s="1">
        <v>8.19</v>
      </c>
      <c r="BF3057" s="1">
        <v>8.19</v>
      </c>
      <c r="BG3057" s="1"/>
      <c r="BH3057" s="1"/>
      <c r="BI3057" s="1"/>
      <c r="BJ3057" s="1"/>
      <c r="BK3057" s="1"/>
      <c r="BL3057" s="1"/>
      <c r="BM3057" s="1"/>
      <c r="BN3057" s="1"/>
      <c r="BO3057" s="1" t="s">
        <v>49482</v>
      </c>
      <c r="BP3057" s="1"/>
      <c r="BQ3057" s="1"/>
      <c r="BR3057" s="1"/>
      <c r="BS3057" s="1"/>
      <c r="BT3057" s="1" t="s">
        <v>49483</v>
      </c>
      <c r="BU3057" s="1" t="str">
        <f>HYPERLINK("https://nconnect.nicmar.ac.in/storage/profile/6a85bedda212a.png","Download")</f>
        <v>0</v>
      </c>
      <c r="BV3057" s="3"/>
      <c r="BW3057" s="3"/>
    </row>
    <row r="3058" spans="1:75">
      <c r="A3058" s="1" t="s">
        <v>45201</v>
      </c>
      <c r="B3058" s="1" t="s">
        <v>13976</v>
      </c>
      <c r="C3058" s="1" t="s">
        <v>49484</v>
      </c>
      <c r="D3058" s="1" t="s">
        <v>49485</v>
      </c>
      <c r="E3058" s="1" t="s">
        <v>16930</v>
      </c>
      <c r="F3058" s="1" t="s">
        <v>49486</v>
      </c>
      <c r="G3058" s="1" t="s">
        <v>49487</v>
      </c>
      <c r="H3058" s="1" t="s">
        <v>49488</v>
      </c>
      <c r="I3058" s="1" t="s">
        <v>49489</v>
      </c>
      <c r="J3058" s="1">
        <v>9923412039</v>
      </c>
      <c r="K3058" s="1" t="s">
        <v>84</v>
      </c>
      <c r="L3058" s="1" t="s">
        <v>16812</v>
      </c>
      <c r="M3058" s="1" t="s">
        <v>86</v>
      </c>
      <c r="N3058" s="1" t="s">
        <v>7152</v>
      </c>
      <c r="O3058" s="1" t="s">
        <v>49490</v>
      </c>
      <c r="P3058" s="1" t="s">
        <v>89</v>
      </c>
      <c r="Q3058" s="1">
        <v>321762837279</v>
      </c>
      <c r="R3058" s="1" t="s">
        <v>16930</v>
      </c>
      <c r="S3058" s="1">
        <v>9890622441</v>
      </c>
      <c r="T3058" s="1" t="s">
        <v>3439</v>
      </c>
      <c r="U3058" s="1" t="s">
        <v>49491</v>
      </c>
      <c r="V3058" s="1">
        <v>9960506646</v>
      </c>
      <c r="W3058" s="1" t="s">
        <v>14154</v>
      </c>
      <c r="X3058" s="1" t="s">
        <v>49492</v>
      </c>
      <c r="Y3058" s="1" t="s">
        <v>196</v>
      </c>
      <c r="Z3058" s="1" t="s">
        <v>97</v>
      </c>
      <c r="AA3058" s="1" t="s">
        <v>49492</v>
      </c>
      <c r="AB3058" s="1" t="s">
        <v>196</v>
      </c>
      <c r="AC3058" s="1" t="s">
        <v>97</v>
      </c>
      <c r="AD3058" s="1" t="s">
        <v>98</v>
      </c>
      <c r="AE3058" s="1" t="s">
        <v>98</v>
      </c>
      <c r="AF3058" s="1" t="s">
        <v>49493</v>
      </c>
      <c r="AG3058" s="1" t="s">
        <v>14238</v>
      </c>
      <c r="AH3058" s="1" t="s">
        <v>166</v>
      </c>
      <c r="AI3058" s="1" t="s">
        <v>1111</v>
      </c>
      <c r="AJ3058" s="1">
        <v>79.4</v>
      </c>
      <c r="AK3058" s="1"/>
      <c r="AL3058" s="1"/>
      <c r="AM3058" s="1"/>
      <c r="AN3058" s="1"/>
      <c r="AO3058" s="1"/>
      <c r="AP3058" s="1"/>
      <c r="AQ3058" s="1"/>
      <c r="AR3058" s="1"/>
      <c r="AS3058" s="1" t="s">
        <v>23143</v>
      </c>
      <c r="AT3058" s="1" t="s">
        <v>49494</v>
      </c>
      <c r="AU3058" s="1" t="s">
        <v>206</v>
      </c>
      <c r="AV3058" s="1" t="s">
        <v>441</v>
      </c>
      <c r="AW3058" s="1">
        <v>86.1</v>
      </c>
      <c r="AX3058" s="1"/>
      <c r="AY3058" s="1" t="s">
        <v>14160</v>
      </c>
      <c r="AZ3058" s="1" t="s">
        <v>49495</v>
      </c>
      <c r="BA3058" s="1" t="s">
        <v>578</v>
      </c>
      <c r="BB3058" s="1" t="s">
        <v>23143</v>
      </c>
      <c r="BC3058" s="1" t="s">
        <v>871</v>
      </c>
      <c r="BD3058" s="1" t="s">
        <v>207</v>
      </c>
      <c r="BE3058" s="1">
        <v>67.7</v>
      </c>
      <c r="BF3058" s="1">
        <v>7.52</v>
      </c>
      <c r="BG3058" s="1"/>
      <c r="BH3058" s="1"/>
      <c r="BI3058" s="1"/>
      <c r="BJ3058" s="1"/>
      <c r="BK3058" s="1"/>
      <c r="BL3058" s="1"/>
      <c r="BM3058" s="1"/>
      <c r="BN3058" s="1"/>
      <c r="BO3058" s="1" t="s">
        <v>49496</v>
      </c>
      <c r="BP3058" s="1" t="s">
        <v>49497</v>
      </c>
      <c r="BQ3058" s="1" t="s">
        <v>6365</v>
      </c>
      <c r="BR3058" s="1" t="s">
        <v>49498</v>
      </c>
      <c r="BS3058" s="1">
        <v>55</v>
      </c>
      <c r="BT3058" s="1"/>
      <c r="BU3058" s="1" t="str">
        <f>HYPERLINK("https://nconnect.nicmar.ac.in/storage/profile/6a85c15370902.png","Download")</f>
        <v>0</v>
      </c>
      <c r="BV3058" s="3"/>
      <c r="BW3058" s="3"/>
    </row>
    <row r="3059" spans="1:75">
      <c r="A3059" s="1" t="s">
        <v>45201</v>
      </c>
      <c r="B3059" s="1" t="s">
        <v>13976</v>
      </c>
      <c r="C3059" s="1" t="s">
        <v>49499</v>
      </c>
      <c r="D3059" s="1" t="s">
        <v>49500</v>
      </c>
      <c r="E3059" s="1" t="s">
        <v>49501</v>
      </c>
      <c r="F3059" s="1" t="s">
        <v>49502</v>
      </c>
      <c r="G3059" s="1" t="s">
        <v>49503</v>
      </c>
      <c r="H3059" s="1" t="s">
        <v>49504</v>
      </c>
      <c r="I3059" s="1" t="s">
        <v>49505</v>
      </c>
      <c r="J3059" s="1">
        <v>8136884264</v>
      </c>
      <c r="K3059" s="1" t="s">
        <v>153</v>
      </c>
      <c r="L3059" s="1" t="s">
        <v>7890</v>
      </c>
      <c r="M3059" s="1" t="s">
        <v>86</v>
      </c>
      <c r="N3059" s="1" t="s">
        <v>18328</v>
      </c>
      <c r="O3059" s="1" t="s">
        <v>49506</v>
      </c>
      <c r="P3059" s="1" t="s">
        <v>89</v>
      </c>
      <c r="Q3059" s="1">
        <v>711920282629</v>
      </c>
      <c r="R3059" s="1" t="s">
        <v>49507</v>
      </c>
      <c r="S3059" s="1">
        <v>9567867264</v>
      </c>
      <c r="T3059" s="1" t="s">
        <v>49508</v>
      </c>
      <c r="U3059" s="1" t="s">
        <v>49509</v>
      </c>
      <c r="V3059" s="1">
        <v>9995894264</v>
      </c>
      <c r="W3059" s="1" t="s">
        <v>14032</v>
      </c>
      <c r="X3059" s="1" t="s">
        <v>49510</v>
      </c>
      <c r="Y3059" s="1" t="s">
        <v>701</v>
      </c>
      <c r="Z3059" s="1" t="s">
        <v>130</v>
      </c>
      <c r="AA3059" s="1" t="s">
        <v>49510</v>
      </c>
      <c r="AB3059" s="1" t="s">
        <v>701</v>
      </c>
      <c r="AC3059" s="1" t="s">
        <v>130</v>
      </c>
      <c r="AD3059" s="1" t="s">
        <v>98</v>
      </c>
      <c r="AE3059" s="1" t="s">
        <v>98</v>
      </c>
      <c r="AF3059" s="1" t="s">
        <v>49511</v>
      </c>
      <c r="AG3059" s="1" t="s">
        <v>14399</v>
      </c>
      <c r="AH3059" s="1" t="s">
        <v>106</v>
      </c>
      <c r="AI3059" s="1" t="s">
        <v>313</v>
      </c>
      <c r="AJ3059" s="1">
        <v>87.8</v>
      </c>
      <c r="AK3059" s="1"/>
      <c r="AL3059" s="1" t="s">
        <v>49511</v>
      </c>
      <c r="AM3059" s="1" t="s">
        <v>14399</v>
      </c>
      <c r="AN3059" s="1" t="s">
        <v>6380</v>
      </c>
      <c r="AO3059" s="1" t="s">
        <v>468</v>
      </c>
      <c r="AP3059" s="1" t="s">
        <v>549</v>
      </c>
      <c r="AQ3059" s="1">
        <v>88.4</v>
      </c>
      <c r="AR3059" s="1"/>
      <c r="AS3059" s="1"/>
      <c r="AT3059" s="1"/>
      <c r="AU3059" s="1"/>
      <c r="AV3059" s="1"/>
      <c r="AW3059" s="1"/>
      <c r="AX3059" s="1"/>
      <c r="AY3059" s="1" t="s">
        <v>49512</v>
      </c>
      <c r="AZ3059" s="1" t="s">
        <v>49513</v>
      </c>
      <c r="BA3059" s="1" t="s">
        <v>5749</v>
      </c>
      <c r="BB3059" s="1" t="s">
        <v>24690</v>
      </c>
      <c r="BC3059" s="1" t="s">
        <v>871</v>
      </c>
      <c r="BD3059" s="1" t="s">
        <v>553</v>
      </c>
      <c r="BE3059" s="1">
        <v>76.1</v>
      </c>
      <c r="BF3059" s="1">
        <v>7.61</v>
      </c>
      <c r="BG3059" s="1"/>
      <c r="BH3059" s="1"/>
      <c r="BI3059" s="1"/>
      <c r="BJ3059" s="1"/>
      <c r="BK3059" s="1"/>
      <c r="BL3059" s="1"/>
      <c r="BM3059" s="1"/>
      <c r="BN3059" s="1"/>
      <c r="BO3059" s="1" t="s">
        <v>49514</v>
      </c>
      <c r="BP3059" s="1"/>
      <c r="BQ3059" s="1"/>
      <c r="BR3059" s="1" t="s">
        <v>49515</v>
      </c>
      <c r="BS3059" s="1">
        <v>19</v>
      </c>
      <c r="BT3059" s="1" t="s">
        <v>49516</v>
      </c>
      <c r="BU3059" s="1" t="str">
        <f>HYPERLINK("https://nconnect.nicmar.ac.in/storage/profile/6a8592c0977dc.png","Download")</f>
        <v>0</v>
      </c>
      <c r="BV3059" s="3"/>
      <c r="BW3059" s="3"/>
    </row>
    <row r="3060" spans="1:75">
      <c r="A3060" s="1" t="s">
        <v>45201</v>
      </c>
      <c r="B3060" s="1" t="s">
        <v>13976</v>
      </c>
      <c r="C3060" s="1" t="s">
        <v>49517</v>
      </c>
      <c r="D3060" s="1" t="s">
        <v>16309</v>
      </c>
      <c r="E3060" s="1"/>
      <c r="F3060" s="1" t="s">
        <v>19889</v>
      </c>
      <c r="G3060" s="1" t="s">
        <v>49518</v>
      </c>
      <c r="H3060" s="1" t="s">
        <v>49519</v>
      </c>
      <c r="I3060" s="1" t="s">
        <v>49520</v>
      </c>
      <c r="J3060" s="1">
        <v>9174512746</v>
      </c>
      <c r="K3060" s="1" t="s">
        <v>84</v>
      </c>
      <c r="L3060" s="1" t="s">
        <v>26651</v>
      </c>
      <c r="M3060" s="1" t="s">
        <v>86</v>
      </c>
      <c r="N3060" s="1" t="s">
        <v>4857</v>
      </c>
      <c r="O3060" s="1" t="s">
        <v>49521</v>
      </c>
      <c r="P3060" s="1" t="s">
        <v>122</v>
      </c>
      <c r="Q3060" s="1">
        <v>649369661239</v>
      </c>
      <c r="R3060" s="1" t="s">
        <v>49522</v>
      </c>
      <c r="S3060" s="1">
        <v>9981355731</v>
      </c>
      <c r="T3060" s="1" t="s">
        <v>49523</v>
      </c>
      <c r="U3060" s="1" t="s">
        <v>49524</v>
      </c>
      <c r="V3060" s="1">
        <v>9685506480</v>
      </c>
      <c r="W3060" s="1" t="s">
        <v>14212</v>
      </c>
      <c r="X3060" s="1" t="s">
        <v>49525</v>
      </c>
      <c r="Y3060" s="1" t="s">
        <v>29113</v>
      </c>
      <c r="Z3060" s="1" t="s">
        <v>3419</v>
      </c>
      <c r="AA3060" s="1" t="s">
        <v>49526</v>
      </c>
      <c r="AB3060" s="1" t="s">
        <v>196</v>
      </c>
      <c r="AC3060" s="1" t="s">
        <v>97</v>
      </c>
      <c r="AD3060" s="1" t="s">
        <v>98</v>
      </c>
      <c r="AE3060" s="1" t="s">
        <v>98</v>
      </c>
      <c r="AF3060" s="1" t="s">
        <v>49527</v>
      </c>
      <c r="AG3060" s="1" t="s">
        <v>796</v>
      </c>
      <c r="AH3060" s="1" t="s">
        <v>490</v>
      </c>
      <c r="AI3060" s="1" t="s">
        <v>414</v>
      </c>
      <c r="AJ3060" s="1">
        <v>61</v>
      </c>
      <c r="AK3060" s="1"/>
      <c r="AL3060" s="1"/>
      <c r="AM3060" s="1"/>
      <c r="AN3060" s="1"/>
      <c r="AO3060" s="1"/>
      <c r="AP3060" s="1"/>
      <c r="AQ3060" s="1"/>
      <c r="AR3060" s="1"/>
      <c r="AS3060" s="1" t="s">
        <v>14377</v>
      </c>
      <c r="AT3060" s="1" t="s">
        <v>49528</v>
      </c>
      <c r="AU3060" s="1" t="s">
        <v>206</v>
      </c>
      <c r="AV3060" s="1" t="s">
        <v>1825</v>
      </c>
      <c r="AW3060" s="1">
        <v>83.4</v>
      </c>
      <c r="AX3060" s="1"/>
      <c r="AY3060" s="1" t="s">
        <v>49529</v>
      </c>
      <c r="AZ3060" s="1" t="s">
        <v>49530</v>
      </c>
      <c r="BA3060" s="1" t="s">
        <v>466</v>
      </c>
      <c r="BB3060" s="1" t="s">
        <v>467</v>
      </c>
      <c r="BC3060" s="1" t="s">
        <v>391</v>
      </c>
      <c r="BD3060" s="1" t="s">
        <v>14514</v>
      </c>
      <c r="BE3060" s="1">
        <v>61</v>
      </c>
      <c r="BF3060" s="1"/>
      <c r="BG3060" s="1"/>
      <c r="BH3060" s="1"/>
      <c r="BI3060" s="1"/>
      <c r="BJ3060" s="1"/>
      <c r="BK3060" s="1"/>
      <c r="BL3060" s="1"/>
      <c r="BM3060" s="1"/>
      <c r="BN3060" s="1"/>
      <c r="BO3060" s="1" t="s">
        <v>49531</v>
      </c>
      <c r="BP3060" s="1"/>
      <c r="BQ3060" s="1"/>
      <c r="BR3060" s="1"/>
      <c r="BS3060" s="1"/>
      <c r="BT3060" s="1"/>
      <c r="BU3060" s="1" t="str">
        <f>HYPERLINK("https://nconnect.nicmar.ac.in/storage/profile/6a85e2c26bc6e.png","Download")</f>
        <v>0</v>
      </c>
      <c r="BV3060" s="3"/>
      <c r="BW3060" s="3"/>
    </row>
    <row r="3061" spans="1:75">
      <c r="A3061" s="1" t="s">
        <v>45201</v>
      </c>
      <c r="B3061" s="1" t="s">
        <v>13976</v>
      </c>
      <c r="C3061" s="1" t="s">
        <v>49532</v>
      </c>
      <c r="D3061" s="1" t="s">
        <v>49533</v>
      </c>
      <c r="E3061" s="1"/>
      <c r="F3061" s="1" t="s">
        <v>19051</v>
      </c>
      <c r="G3061" s="1" t="s">
        <v>49534</v>
      </c>
      <c r="H3061" s="1" t="s">
        <v>49535</v>
      </c>
      <c r="I3061" s="1" t="s">
        <v>49536</v>
      </c>
      <c r="J3061" s="1">
        <v>8093966162</v>
      </c>
      <c r="K3061" s="1" t="s">
        <v>84</v>
      </c>
      <c r="L3061" s="1" t="s">
        <v>49537</v>
      </c>
      <c r="M3061" s="1" t="s">
        <v>86</v>
      </c>
      <c r="N3061" s="1" t="s">
        <v>13318</v>
      </c>
      <c r="O3061" s="1" t="s">
        <v>49538</v>
      </c>
      <c r="P3061" s="1" t="s">
        <v>122</v>
      </c>
      <c r="Q3061" s="1">
        <v>658138069395</v>
      </c>
      <c r="R3061" s="1" t="s">
        <v>49539</v>
      </c>
      <c r="S3061" s="1">
        <v>9937152322</v>
      </c>
      <c r="T3061" s="1" t="s">
        <v>2177</v>
      </c>
      <c r="U3061" s="1" t="s">
        <v>49540</v>
      </c>
      <c r="V3061" s="1">
        <v>9776200133</v>
      </c>
      <c r="W3061" s="1" t="s">
        <v>14234</v>
      </c>
      <c r="X3061" s="1" t="s">
        <v>49541</v>
      </c>
      <c r="Y3061" s="1" t="s">
        <v>864</v>
      </c>
      <c r="Z3061" s="1" t="s">
        <v>865</v>
      </c>
      <c r="AA3061" s="1" t="s">
        <v>49541</v>
      </c>
      <c r="AB3061" s="1" t="s">
        <v>864</v>
      </c>
      <c r="AC3061" s="1" t="s">
        <v>865</v>
      </c>
      <c r="AD3061" s="1" t="s">
        <v>98</v>
      </c>
      <c r="AE3061" s="1" t="s">
        <v>98</v>
      </c>
      <c r="AF3061" s="1" t="s">
        <v>49542</v>
      </c>
      <c r="AG3061" s="1" t="s">
        <v>49543</v>
      </c>
      <c r="AH3061" s="1" t="s">
        <v>2726</v>
      </c>
      <c r="AI3061" s="1" t="s">
        <v>134</v>
      </c>
      <c r="AJ3061" s="1">
        <v>91.2</v>
      </c>
      <c r="AK3061" s="1">
        <v>9.6</v>
      </c>
      <c r="AL3061" s="1" t="s">
        <v>49542</v>
      </c>
      <c r="AM3061" s="1" t="s">
        <v>49543</v>
      </c>
      <c r="AN3061" s="1" t="s">
        <v>465</v>
      </c>
      <c r="AO3061" s="1" t="s">
        <v>134</v>
      </c>
      <c r="AP3061" s="1" t="s">
        <v>136</v>
      </c>
      <c r="AQ3061" s="1">
        <v>79.2</v>
      </c>
      <c r="AR3061" s="1"/>
      <c r="AS3061" s="1"/>
      <c r="AT3061" s="1"/>
      <c r="AU3061" s="1"/>
      <c r="AV3061" s="1"/>
      <c r="AW3061" s="1"/>
      <c r="AX3061" s="1"/>
      <c r="AY3061" s="1" t="s">
        <v>17989</v>
      </c>
      <c r="AZ3061" s="1" t="s">
        <v>17989</v>
      </c>
      <c r="BA3061" s="1" t="s">
        <v>466</v>
      </c>
      <c r="BB3061" s="1" t="s">
        <v>467</v>
      </c>
      <c r="BC3061" s="1" t="s">
        <v>166</v>
      </c>
      <c r="BD3061" s="1" t="s">
        <v>313</v>
      </c>
      <c r="BE3061" s="1">
        <v>75.8</v>
      </c>
      <c r="BF3061" s="1">
        <v>7.58</v>
      </c>
      <c r="BG3061" s="1"/>
      <c r="BH3061" s="1"/>
      <c r="BI3061" s="1"/>
      <c r="BJ3061" s="1"/>
      <c r="BK3061" s="1"/>
      <c r="BL3061" s="1"/>
      <c r="BM3061" s="1"/>
      <c r="BN3061" s="1"/>
      <c r="BO3061" s="1" t="s">
        <v>49544</v>
      </c>
      <c r="BP3061" s="1" t="s">
        <v>49545</v>
      </c>
      <c r="BQ3061" s="1" t="s">
        <v>49546</v>
      </c>
      <c r="BR3061" s="1" t="s">
        <v>49547</v>
      </c>
      <c r="BS3061" s="1">
        <v>8</v>
      </c>
      <c r="BT3061" s="1" t="s">
        <v>49548</v>
      </c>
      <c r="BU3061" s="1" t="str">
        <f>HYPERLINK("https://nconnect.nicmar.ac.in/storage/profile/6a85e68513569.png","Download")</f>
        <v>0</v>
      </c>
      <c r="BV3061" s="3"/>
      <c r="BW3061" s="3"/>
    </row>
    <row r="3062" spans="1:75">
      <c r="A3062" s="1" t="s">
        <v>45201</v>
      </c>
      <c r="B3062" s="1" t="s">
        <v>13976</v>
      </c>
      <c r="C3062" s="1" t="s">
        <v>49549</v>
      </c>
      <c r="D3062" s="1" t="s">
        <v>14645</v>
      </c>
      <c r="E3062" s="1"/>
      <c r="F3062" s="1" t="s">
        <v>15726</v>
      </c>
      <c r="G3062" s="1" t="s">
        <v>49550</v>
      </c>
      <c r="H3062" s="1" t="s">
        <v>49551</v>
      </c>
      <c r="I3062" s="1" t="s">
        <v>49552</v>
      </c>
      <c r="J3062" s="1">
        <v>7978700061</v>
      </c>
      <c r="K3062" s="1" t="s">
        <v>153</v>
      </c>
      <c r="L3062" s="1" t="s">
        <v>49553</v>
      </c>
      <c r="M3062" s="1" t="s">
        <v>86</v>
      </c>
      <c r="N3062" s="1" t="s">
        <v>1573</v>
      </c>
      <c r="O3062" s="1" t="s">
        <v>49554</v>
      </c>
      <c r="P3062" s="1" t="s">
        <v>89</v>
      </c>
      <c r="Q3062" s="1">
        <v>593933601934</v>
      </c>
      <c r="R3062" s="1" t="s">
        <v>49555</v>
      </c>
      <c r="S3062" s="1">
        <v>7328840400</v>
      </c>
      <c r="T3062" s="1" t="s">
        <v>18971</v>
      </c>
      <c r="U3062" s="1" t="s">
        <v>49556</v>
      </c>
      <c r="V3062" s="1">
        <v>7855898172</v>
      </c>
      <c r="W3062" s="1" t="s">
        <v>9679</v>
      </c>
      <c r="X3062" s="1" t="s">
        <v>49557</v>
      </c>
      <c r="Y3062" s="1" t="s">
        <v>864</v>
      </c>
      <c r="Z3062" s="1" t="s">
        <v>865</v>
      </c>
      <c r="AA3062" s="1" t="s">
        <v>49557</v>
      </c>
      <c r="AB3062" s="1" t="s">
        <v>864</v>
      </c>
      <c r="AC3062" s="1" t="s">
        <v>865</v>
      </c>
      <c r="AD3062" s="1" t="s">
        <v>98</v>
      </c>
      <c r="AE3062" s="1" t="s">
        <v>98</v>
      </c>
      <c r="AF3062" s="1" t="s">
        <v>49558</v>
      </c>
      <c r="AG3062" s="1" t="s">
        <v>49559</v>
      </c>
      <c r="AH3062" s="1" t="s">
        <v>34285</v>
      </c>
      <c r="AI3062" s="1" t="s">
        <v>134</v>
      </c>
      <c r="AJ3062" s="1">
        <v>95</v>
      </c>
      <c r="AK3062" s="1">
        <v>10</v>
      </c>
      <c r="AL3062" s="1" t="s">
        <v>49558</v>
      </c>
      <c r="AM3062" s="1" t="s">
        <v>49559</v>
      </c>
      <c r="AN3062" s="1" t="s">
        <v>465</v>
      </c>
      <c r="AO3062" s="1" t="s">
        <v>134</v>
      </c>
      <c r="AP3062" s="1" t="s">
        <v>136</v>
      </c>
      <c r="AQ3062" s="1">
        <v>79.8</v>
      </c>
      <c r="AR3062" s="1"/>
      <c r="AS3062" s="1"/>
      <c r="AT3062" s="1"/>
      <c r="AU3062" s="1"/>
      <c r="AV3062" s="1"/>
      <c r="AW3062" s="1"/>
      <c r="AX3062" s="1"/>
      <c r="AY3062" s="1" t="s">
        <v>49560</v>
      </c>
      <c r="AZ3062" s="1" t="s">
        <v>49561</v>
      </c>
      <c r="BA3062" s="1" t="s">
        <v>682</v>
      </c>
      <c r="BB3062" s="1" t="s">
        <v>1561</v>
      </c>
      <c r="BC3062" s="1" t="s">
        <v>105</v>
      </c>
      <c r="BD3062" s="1" t="s">
        <v>178</v>
      </c>
      <c r="BE3062" s="1">
        <v>74.6</v>
      </c>
      <c r="BF3062" s="1">
        <v>7.85</v>
      </c>
      <c r="BG3062" s="1"/>
      <c r="BH3062" s="1"/>
      <c r="BI3062" s="1"/>
      <c r="BJ3062" s="1"/>
      <c r="BK3062" s="1"/>
      <c r="BL3062" s="1"/>
      <c r="BM3062" s="1"/>
      <c r="BN3062" s="1"/>
      <c r="BO3062" s="1" t="s">
        <v>49562</v>
      </c>
      <c r="BP3062" s="1" t="s">
        <v>49563</v>
      </c>
      <c r="BQ3062" s="1" t="s">
        <v>29553</v>
      </c>
      <c r="BR3062" s="1"/>
      <c r="BS3062" s="1"/>
      <c r="BT3062" s="1"/>
      <c r="BU3062" s="1" t="str">
        <f>HYPERLINK("https://nconnect.nicmar.ac.in/storage/profile/6a85caf65f47a.png","Download")</f>
        <v>0</v>
      </c>
      <c r="BV3062" s="3"/>
      <c r="BW3062" s="3"/>
    </row>
    <row r="3063" spans="1:75">
      <c r="A3063" s="1" t="s">
        <v>45201</v>
      </c>
      <c r="B3063" s="1" t="s">
        <v>13976</v>
      </c>
      <c r="C3063" s="1" t="s">
        <v>49564</v>
      </c>
      <c r="D3063" s="1" t="s">
        <v>49565</v>
      </c>
      <c r="E3063" s="1"/>
      <c r="F3063" s="1" t="s">
        <v>49566</v>
      </c>
      <c r="G3063" s="1" t="s">
        <v>49567</v>
      </c>
      <c r="H3063" s="1" t="s">
        <v>49568</v>
      </c>
      <c r="I3063" s="1" t="s">
        <v>49569</v>
      </c>
      <c r="J3063" s="1">
        <v>8095186867</v>
      </c>
      <c r="K3063" s="1" t="s">
        <v>153</v>
      </c>
      <c r="L3063" s="1" t="s">
        <v>49570</v>
      </c>
      <c r="M3063" s="1" t="s">
        <v>86</v>
      </c>
      <c r="N3063" s="1" t="s">
        <v>49571</v>
      </c>
      <c r="O3063" s="1" t="s">
        <v>49572</v>
      </c>
      <c r="P3063" s="1" t="s">
        <v>356</v>
      </c>
      <c r="Q3063" s="1">
        <v>465083492197</v>
      </c>
      <c r="R3063" s="1" t="s">
        <v>49573</v>
      </c>
      <c r="S3063" s="1">
        <v>8861212985</v>
      </c>
      <c r="T3063" s="1" t="s">
        <v>49574</v>
      </c>
      <c r="U3063" s="1" t="s">
        <v>17690</v>
      </c>
      <c r="V3063" s="1">
        <v>9871412985</v>
      </c>
      <c r="W3063" s="1" t="s">
        <v>3441</v>
      </c>
      <c r="X3063" s="1" t="s">
        <v>49575</v>
      </c>
      <c r="Y3063" s="1" t="s">
        <v>6414</v>
      </c>
      <c r="Z3063" s="1" t="s">
        <v>1210</v>
      </c>
      <c r="AA3063" s="1" t="s">
        <v>49575</v>
      </c>
      <c r="AB3063" s="1" t="s">
        <v>6414</v>
      </c>
      <c r="AC3063" s="1" t="s">
        <v>1210</v>
      </c>
      <c r="AD3063" s="1" t="s">
        <v>98</v>
      </c>
      <c r="AE3063" s="1" t="s">
        <v>98</v>
      </c>
      <c r="AF3063" s="1" t="s">
        <v>49576</v>
      </c>
      <c r="AG3063" s="1" t="s">
        <v>49577</v>
      </c>
      <c r="AH3063" s="1" t="s">
        <v>284</v>
      </c>
      <c r="AI3063" s="1" t="s">
        <v>573</v>
      </c>
      <c r="AJ3063" s="1">
        <v>95</v>
      </c>
      <c r="AK3063" s="1">
        <v>10</v>
      </c>
      <c r="AL3063" s="1" t="s">
        <v>49578</v>
      </c>
      <c r="AM3063" s="1" t="s">
        <v>49577</v>
      </c>
      <c r="AN3063" s="1" t="s">
        <v>465</v>
      </c>
      <c r="AO3063" s="1" t="s">
        <v>490</v>
      </c>
      <c r="AP3063" s="1" t="s">
        <v>547</v>
      </c>
      <c r="AQ3063" s="1">
        <v>89</v>
      </c>
      <c r="AR3063" s="1"/>
      <c r="AS3063" s="1"/>
      <c r="AT3063" s="1"/>
      <c r="AU3063" s="1"/>
      <c r="AV3063" s="1"/>
      <c r="AW3063" s="1"/>
      <c r="AX3063" s="1"/>
      <c r="AY3063" s="1" t="s">
        <v>49579</v>
      </c>
      <c r="AZ3063" s="1" t="s">
        <v>49580</v>
      </c>
      <c r="BA3063" s="1" t="s">
        <v>682</v>
      </c>
      <c r="BB3063" s="1" t="s">
        <v>1561</v>
      </c>
      <c r="BC3063" s="1" t="s">
        <v>206</v>
      </c>
      <c r="BD3063" s="1" t="s">
        <v>1089</v>
      </c>
      <c r="BE3063" s="1">
        <v>72.2</v>
      </c>
      <c r="BF3063" s="1">
        <v>7.97</v>
      </c>
      <c r="BG3063" s="1"/>
      <c r="BH3063" s="1"/>
      <c r="BI3063" s="1"/>
      <c r="BJ3063" s="1"/>
      <c r="BK3063" s="1"/>
      <c r="BL3063" s="1"/>
      <c r="BM3063" s="1"/>
      <c r="BN3063" s="1"/>
      <c r="BO3063" s="1" t="s">
        <v>49581</v>
      </c>
      <c r="BP3063" s="1" t="s">
        <v>49582</v>
      </c>
      <c r="BQ3063" s="1" t="s">
        <v>1152</v>
      </c>
      <c r="BR3063" s="1" t="s">
        <v>49583</v>
      </c>
      <c r="BS3063" s="1">
        <v>20</v>
      </c>
      <c r="BT3063" s="1" t="s">
        <v>49584</v>
      </c>
      <c r="BU3063" s="1" t="str">
        <f>HYPERLINK("https://nconnect.nicmar.ac.in/storage/profile/6a84a0ed81715.png","Download")</f>
        <v>0</v>
      </c>
      <c r="BV3063" s="3"/>
      <c r="BW3063" s="3"/>
    </row>
    <row r="3064" spans="1:75">
      <c r="A3064" s="1" t="s">
        <v>45201</v>
      </c>
      <c r="B3064" s="1" t="s">
        <v>13976</v>
      </c>
      <c r="C3064" s="1" t="s">
        <v>49585</v>
      </c>
      <c r="D3064" s="1" t="s">
        <v>49586</v>
      </c>
      <c r="E3064" s="1" t="s">
        <v>24891</v>
      </c>
      <c r="F3064" s="1" t="s">
        <v>49587</v>
      </c>
      <c r="G3064" s="1" t="s">
        <v>49588</v>
      </c>
      <c r="H3064" s="1" t="s">
        <v>49589</v>
      </c>
      <c r="I3064" s="1" t="s">
        <v>49589</v>
      </c>
      <c r="J3064" s="1">
        <v>8080930084</v>
      </c>
      <c r="K3064" s="1" t="s">
        <v>84</v>
      </c>
      <c r="L3064" s="1" t="s">
        <v>5132</v>
      </c>
      <c r="M3064" s="1" t="s">
        <v>86</v>
      </c>
      <c r="N3064" s="1" t="s">
        <v>49590</v>
      </c>
      <c r="O3064" s="1" t="s">
        <v>49591</v>
      </c>
      <c r="P3064" s="1" t="s">
        <v>219</v>
      </c>
      <c r="Q3064" s="1">
        <v>364280420902</v>
      </c>
      <c r="R3064" s="1" t="s">
        <v>24891</v>
      </c>
      <c r="S3064" s="1">
        <v>8080945264</v>
      </c>
      <c r="T3064" s="1" t="s">
        <v>14727</v>
      </c>
      <c r="U3064" s="1" t="s">
        <v>49592</v>
      </c>
      <c r="V3064" s="1">
        <v>9158885303</v>
      </c>
      <c r="W3064" s="1" t="s">
        <v>14727</v>
      </c>
      <c r="X3064" s="1" t="s">
        <v>49593</v>
      </c>
      <c r="Y3064" s="1" t="s">
        <v>196</v>
      </c>
      <c r="Z3064" s="1" t="s">
        <v>97</v>
      </c>
      <c r="AA3064" s="1" t="s">
        <v>49593</v>
      </c>
      <c r="AB3064" s="1" t="s">
        <v>196</v>
      </c>
      <c r="AC3064" s="1" t="s">
        <v>97</v>
      </c>
      <c r="AD3064" s="1" t="s">
        <v>98</v>
      </c>
      <c r="AE3064" s="1" t="s">
        <v>98</v>
      </c>
      <c r="AF3064" s="1" t="s">
        <v>49594</v>
      </c>
      <c r="AG3064" s="1" t="s">
        <v>16724</v>
      </c>
      <c r="AH3064" s="1" t="s">
        <v>166</v>
      </c>
      <c r="AI3064" s="1" t="s">
        <v>1111</v>
      </c>
      <c r="AJ3064" s="1">
        <v>62.8</v>
      </c>
      <c r="AK3064" s="1"/>
      <c r="AL3064" s="1"/>
      <c r="AM3064" s="1"/>
      <c r="AN3064" s="1"/>
      <c r="AO3064" s="1"/>
      <c r="AP3064" s="1"/>
      <c r="AQ3064" s="1"/>
      <c r="AR3064" s="1"/>
      <c r="AS3064" s="1" t="s">
        <v>49595</v>
      </c>
      <c r="AT3064" s="1" t="s">
        <v>49596</v>
      </c>
      <c r="AU3064" s="1" t="s">
        <v>139</v>
      </c>
      <c r="AV3064" s="1" t="s">
        <v>438</v>
      </c>
      <c r="AW3064" s="1">
        <v>68.55</v>
      </c>
      <c r="AX3064" s="1"/>
      <c r="AY3064" s="1" t="s">
        <v>14160</v>
      </c>
      <c r="AZ3064" s="1" t="s">
        <v>49597</v>
      </c>
      <c r="BA3064" s="1" t="s">
        <v>682</v>
      </c>
      <c r="BB3064" s="1" t="s">
        <v>1561</v>
      </c>
      <c r="BC3064" s="1" t="s">
        <v>368</v>
      </c>
      <c r="BD3064" s="1" t="s">
        <v>607</v>
      </c>
      <c r="BE3064" s="1">
        <v>79.34</v>
      </c>
      <c r="BF3064" s="1">
        <v>8.32</v>
      </c>
      <c r="BG3064" s="1"/>
      <c r="BH3064" s="1"/>
      <c r="BI3064" s="1"/>
      <c r="BJ3064" s="1"/>
      <c r="BK3064" s="1"/>
      <c r="BL3064" s="1"/>
      <c r="BM3064" s="1"/>
      <c r="BN3064" s="1"/>
      <c r="BO3064" s="1" t="s">
        <v>49598</v>
      </c>
      <c r="BP3064" s="1" t="s">
        <v>49599</v>
      </c>
      <c r="BQ3064" s="1" t="s">
        <v>1357</v>
      </c>
      <c r="BR3064" s="1"/>
      <c r="BS3064" s="1"/>
      <c r="BT3064" s="1"/>
      <c r="BU3064" s="1" t="str">
        <f>HYPERLINK("https://nconnect.nicmar.ac.in/storage/profile/6a870acc8249d.png","Download")</f>
        <v>0</v>
      </c>
      <c r="BV3064" s="3"/>
      <c r="BW3064" s="3"/>
    </row>
    <row r="3065" spans="1:75">
      <c r="A3065" s="1" t="s">
        <v>45201</v>
      </c>
      <c r="B3065" s="1" t="s">
        <v>13976</v>
      </c>
      <c r="C3065" s="1" t="s">
        <v>49600</v>
      </c>
      <c r="D3065" s="1" t="s">
        <v>49601</v>
      </c>
      <c r="E3065" s="1"/>
      <c r="F3065" s="1" t="s">
        <v>49602</v>
      </c>
      <c r="G3065" s="1" t="s">
        <v>49603</v>
      </c>
      <c r="H3065" s="1" t="s">
        <v>49604</v>
      </c>
      <c r="I3065" s="1" t="s">
        <v>49605</v>
      </c>
      <c r="J3065" s="1">
        <v>8247893307</v>
      </c>
      <c r="K3065" s="1" t="s">
        <v>84</v>
      </c>
      <c r="L3065" s="1" t="s">
        <v>8385</v>
      </c>
      <c r="M3065" s="1" t="s">
        <v>86</v>
      </c>
      <c r="N3065" s="1" t="s">
        <v>22216</v>
      </c>
      <c r="O3065" s="1" t="s">
        <v>49606</v>
      </c>
      <c r="P3065" s="1" t="s">
        <v>122</v>
      </c>
      <c r="Q3065" s="1">
        <v>753539301570</v>
      </c>
      <c r="R3065" s="1" t="s">
        <v>49607</v>
      </c>
      <c r="S3065" s="1">
        <v>9550249909</v>
      </c>
      <c r="T3065" s="1" t="s">
        <v>49608</v>
      </c>
      <c r="U3065" s="1" t="s">
        <v>49609</v>
      </c>
      <c r="V3065" s="1">
        <v>9398347664</v>
      </c>
      <c r="W3065" s="1" t="s">
        <v>14032</v>
      </c>
      <c r="X3065" s="1" t="s">
        <v>49610</v>
      </c>
      <c r="Y3065" s="1" t="s">
        <v>20156</v>
      </c>
      <c r="Z3065" s="1" t="s">
        <v>281</v>
      </c>
      <c r="AA3065" s="1" t="s">
        <v>49610</v>
      </c>
      <c r="AB3065" s="1" t="s">
        <v>20156</v>
      </c>
      <c r="AC3065" s="1" t="s">
        <v>281</v>
      </c>
      <c r="AD3065" s="1" t="s">
        <v>98</v>
      </c>
      <c r="AE3065" s="1" t="s">
        <v>98</v>
      </c>
      <c r="AF3065" s="1" t="s">
        <v>49611</v>
      </c>
      <c r="AG3065" s="1" t="s">
        <v>49612</v>
      </c>
      <c r="AH3065" s="1" t="s">
        <v>167</v>
      </c>
      <c r="AI3065" s="1" t="s">
        <v>573</v>
      </c>
      <c r="AJ3065" s="1">
        <v>90.25</v>
      </c>
      <c r="AK3065" s="1">
        <v>9.5</v>
      </c>
      <c r="AL3065" s="1"/>
      <c r="AM3065" s="1"/>
      <c r="AN3065" s="1"/>
      <c r="AO3065" s="1"/>
      <c r="AP3065" s="1"/>
      <c r="AQ3065" s="1"/>
      <c r="AR3065" s="1"/>
      <c r="AS3065" s="1" t="s">
        <v>467</v>
      </c>
      <c r="AT3065" s="1" t="s">
        <v>20423</v>
      </c>
      <c r="AU3065" s="1" t="s">
        <v>170</v>
      </c>
      <c r="AV3065" s="1" t="s">
        <v>977</v>
      </c>
      <c r="AW3065" s="1">
        <v>86.77</v>
      </c>
      <c r="AX3065" s="1"/>
      <c r="AY3065" s="1" t="s">
        <v>20162</v>
      </c>
      <c r="AZ3065" s="1" t="s">
        <v>49613</v>
      </c>
      <c r="BA3065" s="1" t="s">
        <v>466</v>
      </c>
      <c r="BB3065" s="1" t="s">
        <v>467</v>
      </c>
      <c r="BC3065" s="1" t="s">
        <v>1647</v>
      </c>
      <c r="BD3065" s="1" t="s">
        <v>955</v>
      </c>
      <c r="BE3065" s="1">
        <v>75.6</v>
      </c>
      <c r="BF3065" s="1">
        <v>8.31</v>
      </c>
      <c r="BG3065" s="1"/>
      <c r="BH3065" s="1"/>
      <c r="BI3065" s="1"/>
      <c r="BJ3065" s="1"/>
      <c r="BK3065" s="1"/>
      <c r="BL3065" s="1"/>
      <c r="BM3065" s="1"/>
      <c r="BN3065" s="1"/>
      <c r="BO3065" s="1" t="s">
        <v>49614</v>
      </c>
      <c r="BP3065" s="1" t="s">
        <v>49615</v>
      </c>
      <c r="BQ3065" s="1" t="s">
        <v>9405</v>
      </c>
      <c r="BR3065" s="1"/>
      <c r="BS3065" s="1"/>
      <c r="BT3065" s="1"/>
      <c r="BU3065" s="1" t="str">
        <f>HYPERLINK("https://nconnect.nicmar.ac.in/storage/profile/6a85efef70feb.png","Download")</f>
        <v>0</v>
      </c>
      <c r="BV3065" s="3"/>
      <c r="BW3065" s="3"/>
    </row>
    <row r="3066" spans="1:75">
      <c r="A3066" s="1" t="s">
        <v>45201</v>
      </c>
      <c r="B3066" s="1" t="s">
        <v>13976</v>
      </c>
      <c r="C3066" s="1" t="s">
        <v>49616</v>
      </c>
      <c r="D3066" s="1" t="s">
        <v>49617</v>
      </c>
      <c r="E3066" s="1" t="s">
        <v>49618</v>
      </c>
      <c r="F3066" s="1" t="s">
        <v>15807</v>
      </c>
      <c r="G3066" s="1" t="s">
        <v>49619</v>
      </c>
      <c r="H3066" s="1" t="s">
        <v>49620</v>
      </c>
      <c r="I3066" s="1" t="s">
        <v>49621</v>
      </c>
      <c r="J3066" s="1">
        <v>7385048179</v>
      </c>
      <c r="K3066" s="1" t="s">
        <v>153</v>
      </c>
      <c r="L3066" s="1" t="s">
        <v>49622</v>
      </c>
      <c r="M3066" s="1" t="s">
        <v>86</v>
      </c>
      <c r="N3066" s="1" t="s">
        <v>49623</v>
      </c>
      <c r="O3066" s="1" t="s">
        <v>49624</v>
      </c>
      <c r="P3066" s="1" t="s">
        <v>219</v>
      </c>
      <c r="Q3066" s="1">
        <v>629013893670</v>
      </c>
      <c r="R3066" s="1" t="s">
        <v>49625</v>
      </c>
      <c r="S3066" s="1">
        <v>7709331636</v>
      </c>
      <c r="T3066" s="1" t="s">
        <v>49626</v>
      </c>
      <c r="U3066" s="1" t="s">
        <v>49627</v>
      </c>
      <c r="V3066" s="1">
        <v>7387552077</v>
      </c>
      <c r="W3066" s="1" t="s">
        <v>14032</v>
      </c>
      <c r="X3066" s="1" t="s">
        <v>49628</v>
      </c>
      <c r="Y3066" s="1" t="s">
        <v>410</v>
      </c>
      <c r="Z3066" s="1" t="s">
        <v>97</v>
      </c>
      <c r="AA3066" s="1" t="s">
        <v>49628</v>
      </c>
      <c r="AB3066" s="1" t="s">
        <v>410</v>
      </c>
      <c r="AC3066" s="1" t="s">
        <v>97</v>
      </c>
      <c r="AD3066" s="1" t="s">
        <v>98</v>
      </c>
      <c r="AE3066" s="1" t="s">
        <v>98</v>
      </c>
      <c r="AF3066" s="1" t="s">
        <v>49629</v>
      </c>
      <c r="AG3066" s="1" t="s">
        <v>49630</v>
      </c>
      <c r="AH3066" s="1" t="s">
        <v>315</v>
      </c>
      <c r="AI3066" s="1" t="s">
        <v>603</v>
      </c>
      <c r="AJ3066" s="1">
        <v>95.04</v>
      </c>
      <c r="AK3066" s="1"/>
      <c r="AL3066" s="1" t="s">
        <v>49631</v>
      </c>
      <c r="AM3066" s="1" t="s">
        <v>49632</v>
      </c>
      <c r="AN3066" s="1" t="s">
        <v>465</v>
      </c>
      <c r="AO3066" s="1" t="s">
        <v>549</v>
      </c>
      <c r="AP3066" s="1" t="s">
        <v>1886</v>
      </c>
      <c r="AQ3066" s="1">
        <v>82.5</v>
      </c>
      <c r="AR3066" s="1"/>
      <c r="AS3066" s="1"/>
      <c r="AT3066" s="1"/>
      <c r="AU3066" s="1"/>
      <c r="AV3066" s="1"/>
      <c r="AW3066" s="1"/>
      <c r="AX3066" s="1"/>
      <c r="AY3066" s="1" t="s">
        <v>14530</v>
      </c>
      <c r="AZ3066" s="1" t="s">
        <v>49633</v>
      </c>
      <c r="BA3066" s="1" t="s">
        <v>578</v>
      </c>
      <c r="BB3066" s="1" t="s">
        <v>467</v>
      </c>
      <c r="BC3066" s="1" t="s">
        <v>1889</v>
      </c>
      <c r="BD3066" s="1" t="s">
        <v>14162</v>
      </c>
      <c r="BE3066" s="1">
        <v>70.7</v>
      </c>
      <c r="BF3066" s="1">
        <v>7.82</v>
      </c>
      <c r="BG3066" s="1"/>
      <c r="BH3066" s="1"/>
      <c r="BI3066" s="1"/>
      <c r="BJ3066" s="1"/>
      <c r="BK3066" s="1"/>
      <c r="BL3066" s="1"/>
      <c r="BM3066" s="1"/>
      <c r="BN3066" s="1"/>
      <c r="BO3066" s="1" t="s">
        <v>49634</v>
      </c>
      <c r="BP3066" s="1"/>
      <c r="BQ3066" s="1"/>
      <c r="BR3066" s="1" t="s">
        <v>49635</v>
      </c>
      <c r="BS3066" s="1">
        <v>4</v>
      </c>
      <c r="BT3066" s="1"/>
      <c r="BU3066" s="1" t="str">
        <f>HYPERLINK("https://nconnect.nicmar.ac.in/storage/profile/6a860b0331c84.png","Download")</f>
        <v>0</v>
      </c>
      <c r="BV3066" s="3"/>
      <c r="BW3066" s="3"/>
    </row>
    <row r="3067" spans="1:75">
      <c r="A3067" s="1" t="s">
        <v>45201</v>
      </c>
      <c r="B3067" s="1" t="s">
        <v>13976</v>
      </c>
      <c r="C3067" s="1" t="s">
        <v>49636</v>
      </c>
      <c r="D3067" s="1" t="s">
        <v>17605</v>
      </c>
      <c r="E3067" s="1" t="s">
        <v>49637</v>
      </c>
      <c r="F3067" s="1" t="s">
        <v>49638</v>
      </c>
      <c r="G3067" s="1" t="s">
        <v>49639</v>
      </c>
      <c r="H3067" s="1" t="s">
        <v>49640</v>
      </c>
      <c r="I3067" s="1" t="s">
        <v>49641</v>
      </c>
      <c r="J3067" s="1">
        <v>7218875503</v>
      </c>
      <c r="K3067" s="1" t="s">
        <v>153</v>
      </c>
      <c r="L3067" s="1" t="s">
        <v>10998</v>
      </c>
      <c r="M3067" s="1" t="s">
        <v>86</v>
      </c>
      <c r="N3067" s="1" t="s">
        <v>45222</v>
      </c>
      <c r="O3067" s="1" t="s">
        <v>49642</v>
      </c>
      <c r="P3067" s="1" t="s">
        <v>122</v>
      </c>
      <c r="Q3067" s="1">
        <v>506055130873</v>
      </c>
      <c r="R3067" s="1" t="s">
        <v>49643</v>
      </c>
      <c r="S3067" s="1">
        <v>7350593258</v>
      </c>
      <c r="T3067" s="1" t="s">
        <v>3439</v>
      </c>
      <c r="U3067" s="1" t="s">
        <v>49644</v>
      </c>
      <c r="V3067" s="1">
        <v>9421018657</v>
      </c>
      <c r="W3067" s="1" t="s">
        <v>14154</v>
      </c>
      <c r="X3067" s="1" t="s">
        <v>49645</v>
      </c>
      <c r="Y3067" s="1" t="s">
        <v>224</v>
      </c>
      <c r="Z3067" s="1" t="s">
        <v>97</v>
      </c>
      <c r="AA3067" s="1" t="s">
        <v>49646</v>
      </c>
      <c r="AB3067" s="1" t="s">
        <v>196</v>
      </c>
      <c r="AC3067" s="1" t="s">
        <v>97</v>
      </c>
      <c r="AD3067" s="1" t="s">
        <v>98</v>
      </c>
      <c r="AE3067" s="1" t="s">
        <v>98</v>
      </c>
      <c r="AF3067" s="1" t="s">
        <v>49647</v>
      </c>
      <c r="AG3067" s="1" t="s">
        <v>14157</v>
      </c>
      <c r="AH3067" s="1" t="s">
        <v>170</v>
      </c>
      <c r="AI3067" s="1" t="s">
        <v>286</v>
      </c>
      <c r="AJ3067" s="1">
        <v>86.4</v>
      </c>
      <c r="AK3067" s="1"/>
      <c r="AL3067" s="1" t="s">
        <v>49648</v>
      </c>
      <c r="AM3067" s="1" t="s">
        <v>14157</v>
      </c>
      <c r="AN3067" s="1" t="s">
        <v>465</v>
      </c>
      <c r="AO3067" s="1" t="s">
        <v>438</v>
      </c>
      <c r="AP3067" s="1" t="s">
        <v>365</v>
      </c>
      <c r="AQ3067" s="1">
        <v>70.77</v>
      </c>
      <c r="AR3067" s="1"/>
      <c r="AS3067" s="1"/>
      <c r="AT3067" s="1"/>
      <c r="AU3067" s="1"/>
      <c r="AV3067" s="1"/>
      <c r="AW3067" s="1"/>
      <c r="AX3067" s="1"/>
      <c r="AY3067" s="1" t="s">
        <v>14380</v>
      </c>
      <c r="AZ3067" s="1" t="s">
        <v>49649</v>
      </c>
      <c r="BA3067" s="1" t="s">
        <v>682</v>
      </c>
      <c r="BB3067" s="1" t="s">
        <v>1561</v>
      </c>
      <c r="BC3067" s="1" t="s">
        <v>1040</v>
      </c>
      <c r="BD3067" s="1" t="s">
        <v>553</v>
      </c>
      <c r="BE3067" s="1">
        <v>65.72</v>
      </c>
      <c r="BF3067" s="1"/>
      <c r="BG3067" s="1"/>
      <c r="BH3067" s="1"/>
      <c r="BI3067" s="1"/>
      <c r="BJ3067" s="1"/>
      <c r="BK3067" s="1"/>
      <c r="BL3067" s="1"/>
      <c r="BM3067" s="1"/>
      <c r="BN3067" s="1"/>
      <c r="BO3067" s="1" t="s">
        <v>49650</v>
      </c>
      <c r="BP3067" s="1"/>
      <c r="BQ3067" s="1"/>
      <c r="BR3067" s="1" t="s">
        <v>49651</v>
      </c>
      <c r="BS3067" s="1">
        <v>23</v>
      </c>
      <c r="BT3067" s="1"/>
      <c r="BU3067" s="1" t="str">
        <f>HYPERLINK("https://nconnect.nicmar.ac.in/storage/profile/6a8543d453bb6.png","Download")</f>
        <v>0</v>
      </c>
      <c r="BV3067" s="3"/>
      <c r="BW3067" s="3"/>
    </row>
    <row r="3068" spans="1:75">
      <c r="A3068" s="1" t="s">
        <v>45201</v>
      </c>
      <c r="B3068" s="1" t="s">
        <v>13976</v>
      </c>
      <c r="C3068" s="1" t="s">
        <v>49652</v>
      </c>
      <c r="D3068" s="1" t="s">
        <v>22552</v>
      </c>
      <c r="E3068" s="1" t="s">
        <v>23102</v>
      </c>
      <c r="F3068" s="1" t="s">
        <v>49653</v>
      </c>
      <c r="G3068" s="1" t="s">
        <v>49654</v>
      </c>
      <c r="H3068" s="1" t="s">
        <v>49655</v>
      </c>
      <c r="I3068" s="1" t="s">
        <v>49656</v>
      </c>
      <c r="J3068" s="1">
        <v>8767896076</v>
      </c>
      <c r="K3068" s="1" t="s">
        <v>153</v>
      </c>
      <c r="L3068" s="1" t="s">
        <v>41298</v>
      </c>
      <c r="M3068" s="1" t="s">
        <v>86</v>
      </c>
      <c r="N3068" s="1" t="s">
        <v>4263</v>
      </c>
      <c r="O3068" s="1" t="s">
        <v>49657</v>
      </c>
      <c r="P3068" s="1" t="s">
        <v>122</v>
      </c>
      <c r="Q3068" s="1">
        <v>450252186628</v>
      </c>
      <c r="R3068" s="1" t="s">
        <v>49658</v>
      </c>
      <c r="S3068" s="1">
        <v>9890014414</v>
      </c>
      <c r="T3068" s="1" t="s">
        <v>3439</v>
      </c>
      <c r="U3068" s="1" t="s">
        <v>49659</v>
      </c>
      <c r="V3068" s="1">
        <v>8482914656</v>
      </c>
      <c r="W3068" s="1" t="s">
        <v>14154</v>
      </c>
      <c r="X3068" s="1" t="s">
        <v>49660</v>
      </c>
      <c r="Y3068" s="1" t="s">
        <v>1779</v>
      </c>
      <c r="Z3068" s="1" t="s">
        <v>97</v>
      </c>
      <c r="AA3068" s="1" t="s">
        <v>49660</v>
      </c>
      <c r="AB3068" s="1" t="s">
        <v>1779</v>
      </c>
      <c r="AC3068" s="1" t="s">
        <v>97</v>
      </c>
      <c r="AD3068" s="1" t="s">
        <v>98</v>
      </c>
      <c r="AE3068" s="1" t="s">
        <v>98</v>
      </c>
      <c r="AF3068" s="1" t="s">
        <v>49661</v>
      </c>
      <c r="AG3068" s="1" t="s">
        <v>49662</v>
      </c>
      <c r="AH3068" s="1" t="s">
        <v>438</v>
      </c>
      <c r="AI3068" s="1" t="s">
        <v>178</v>
      </c>
      <c r="AJ3068" s="1">
        <v>82.8</v>
      </c>
      <c r="AK3068" s="1"/>
      <c r="AL3068" s="1" t="s">
        <v>49663</v>
      </c>
      <c r="AM3068" s="1" t="s">
        <v>49664</v>
      </c>
      <c r="AN3068" s="1" t="s">
        <v>575</v>
      </c>
      <c r="AO3068" s="1" t="s">
        <v>847</v>
      </c>
      <c r="AP3068" s="1" t="s">
        <v>1886</v>
      </c>
      <c r="AQ3068" s="1">
        <v>67.17</v>
      </c>
      <c r="AR3068" s="1"/>
      <c r="AS3068" s="1"/>
      <c r="AT3068" s="1"/>
      <c r="AU3068" s="1"/>
      <c r="AV3068" s="1"/>
      <c r="AW3068" s="1"/>
      <c r="AX3068" s="1"/>
      <c r="AY3068" s="1" t="s">
        <v>49665</v>
      </c>
      <c r="AZ3068" s="1" t="s">
        <v>49666</v>
      </c>
      <c r="BA3068" s="1" t="s">
        <v>578</v>
      </c>
      <c r="BB3068" s="1" t="s">
        <v>467</v>
      </c>
      <c r="BC3068" s="1" t="s">
        <v>1400</v>
      </c>
      <c r="BD3068" s="1" t="s">
        <v>14514</v>
      </c>
      <c r="BE3068" s="1">
        <v>73.1</v>
      </c>
      <c r="BF3068" s="1">
        <v>8.06</v>
      </c>
      <c r="BG3068" s="1"/>
      <c r="BH3068" s="1"/>
      <c r="BI3068" s="1"/>
      <c r="BJ3068" s="1"/>
      <c r="BK3068" s="1"/>
      <c r="BL3068" s="1"/>
      <c r="BM3068" s="1"/>
      <c r="BN3068" s="1"/>
      <c r="BO3068" s="1" t="s">
        <v>49667</v>
      </c>
      <c r="BP3068" s="1"/>
      <c r="BQ3068" s="1"/>
      <c r="BR3068" s="1"/>
      <c r="BS3068" s="1"/>
      <c r="BT3068" s="1"/>
      <c r="BU3068" s="1" t="str">
        <f>HYPERLINK("https://nconnect.nicmar.ac.in/storage/profile/6a84b1755e985.png","Download")</f>
        <v>0</v>
      </c>
      <c r="BV3068" s="3"/>
      <c r="BW3068" s="3"/>
    </row>
    <row r="3069" spans="1:75">
      <c r="A3069" s="1" t="s">
        <v>45201</v>
      </c>
      <c r="B3069" s="1" t="s">
        <v>13976</v>
      </c>
      <c r="C3069" s="1" t="s">
        <v>49668</v>
      </c>
      <c r="D3069" s="1" t="s">
        <v>49669</v>
      </c>
      <c r="E3069" s="1"/>
      <c r="F3069" s="1" t="s">
        <v>30488</v>
      </c>
      <c r="G3069" s="1" t="s">
        <v>49670</v>
      </c>
      <c r="H3069" s="1" t="s">
        <v>49671</v>
      </c>
      <c r="I3069" s="1" t="s">
        <v>49672</v>
      </c>
      <c r="J3069" s="1">
        <v>9470225575</v>
      </c>
      <c r="K3069" s="1" t="s">
        <v>84</v>
      </c>
      <c r="L3069" s="1" t="s">
        <v>11335</v>
      </c>
      <c r="M3069" s="1" t="s">
        <v>86</v>
      </c>
      <c r="N3069" s="1" t="s">
        <v>87</v>
      </c>
      <c r="O3069" s="1" t="s">
        <v>49673</v>
      </c>
      <c r="P3069" s="1" t="s">
        <v>89</v>
      </c>
      <c r="Q3069" s="1">
        <v>319998548246</v>
      </c>
      <c r="R3069" s="1" t="s">
        <v>49674</v>
      </c>
      <c r="S3069" s="1">
        <v>8804108986</v>
      </c>
      <c r="T3069" s="1" t="s">
        <v>926</v>
      </c>
      <c r="U3069" s="1" t="s">
        <v>49675</v>
      </c>
      <c r="V3069" s="1">
        <v>7491089864</v>
      </c>
      <c r="W3069" s="1" t="s">
        <v>94</v>
      </c>
      <c r="X3069" s="1" t="s">
        <v>49676</v>
      </c>
      <c r="Y3069" s="1" t="s">
        <v>648</v>
      </c>
      <c r="Z3069" s="1" t="s">
        <v>649</v>
      </c>
      <c r="AA3069" s="1" t="s">
        <v>49677</v>
      </c>
      <c r="AB3069" s="1" t="s">
        <v>9226</v>
      </c>
      <c r="AC3069" s="1" t="s">
        <v>1739</v>
      </c>
      <c r="AD3069" s="1" t="s">
        <v>98</v>
      </c>
      <c r="AE3069" s="1" t="s">
        <v>98</v>
      </c>
      <c r="AF3069" s="1" t="s">
        <v>11912</v>
      </c>
      <c r="AG3069" s="1" t="s">
        <v>775</v>
      </c>
      <c r="AH3069" s="1" t="s">
        <v>1110</v>
      </c>
      <c r="AI3069" s="1" t="s">
        <v>1111</v>
      </c>
      <c r="AJ3069" s="1">
        <v>89.3</v>
      </c>
      <c r="AK3069" s="1">
        <v>9.4</v>
      </c>
      <c r="AL3069" s="1" t="s">
        <v>4936</v>
      </c>
      <c r="AM3069" s="1" t="s">
        <v>775</v>
      </c>
      <c r="AN3069" s="1" t="s">
        <v>465</v>
      </c>
      <c r="AO3069" s="1" t="s">
        <v>704</v>
      </c>
      <c r="AP3069" s="1" t="s">
        <v>286</v>
      </c>
      <c r="AQ3069" s="1">
        <v>77</v>
      </c>
      <c r="AR3069" s="1">
        <v>8.1</v>
      </c>
      <c r="AS3069" s="1"/>
      <c r="AT3069" s="1"/>
      <c r="AU3069" s="1"/>
      <c r="AV3069" s="1"/>
      <c r="AW3069" s="1"/>
      <c r="AX3069" s="1"/>
      <c r="AY3069" s="1" t="s">
        <v>49678</v>
      </c>
      <c r="AZ3069" s="1" t="s">
        <v>49679</v>
      </c>
      <c r="BA3069" s="1" t="s">
        <v>466</v>
      </c>
      <c r="BB3069" s="1" t="s">
        <v>23143</v>
      </c>
      <c r="BC3069" s="1" t="s">
        <v>1065</v>
      </c>
      <c r="BD3069" s="1" t="s">
        <v>1400</v>
      </c>
      <c r="BE3069" s="1">
        <v>79.91</v>
      </c>
      <c r="BF3069" s="1">
        <v>8.6</v>
      </c>
      <c r="BG3069" s="1"/>
      <c r="BH3069" s="1"/>
      <c r="BI3069" s="1"/>
      <c r="BJ3069" s="1"/>
      <c r="BK3069" s="1"/>
      <c r="BL3069" s="1"/>
      <c r="BM3069" s="1"/>
      <c r="BN3069" s="1"/>
      <c r="BO3069" s="1" t="s">
        <v>49680</v>
      </c>
      <c r="BP3069" s="1" t="s">
        <v>49681</v>
      </c>
      <c r="BQ3069" s="1" t="s">
        <v>4944</v>
      </c>
      <c r="BR3069" s="1" t="s">
        <v>49682</v>
      </c>
      <c r="BS3069" s="1">
        <v>9</v>
      </c>
      <c r="BT3069" s="1" t="s">
        <v>49683</v>
      </c>
      <c r="BU3069" s="1" t="str">
        <f>HYPERLINK("https://nconnect.nicmar.ac.in/storage/profile/6a8ebae352128.png","Download")</f>
        <v>0</v>
      </c>
      <c r="BV3069" s="3"/>
      <c r="BW3069" s="3"/>
    </row>
    <row r="3070" spans="1:75">
      <c r="A3070" s="1" t="s">
        <v>45201</v>
      </c>
      <c r="B3070" s="1" t="s">
        <v>13976</v>
      </c>
      <c r="C3070" s="1" t="s">
        <v>49684</v>
      </c>
      <c r="D3070" s="1" t="s">
        <v>49685</v>
      </c>
      <c r="E3070" s="1"/>
      <c r="F3070" s="1" t="s">
        <v>16886</v>
      </c>
      <c r="G3070" s="1" t="s">
        <v>49686</v>
      </c>
      <c r="H3070" s="1" t="s">
        <v>49687</v>
      </c>
      <c r="I3070" s="1" t="s">
        <v>49687</v>
      </c>
      <c r="J3070" s="1">
        <v>7597221794</v>
      </c>
      <c r="K3070" s="1" t="s">
        <v>153</v>
      </c>
      <c r="L3070" s="1" t="s">
        <v>15695</v>
      </c>
      <c r="M3070" s="1" t="s">
        <v>86</v>
      </c>
      <c r="N3070" s="1" t="s">
        <v>768</v>
      </c>
      <c r="O3070" s="1" t="s">
        <v>49688</v>
      </c>
      <c r="P3070" s="1" t="s">
        <v>122</v>
      </c>
      <c r="Q3070" s="1">
        <v>892915914760</v>
      </c>
      <c r="R3070" s="1" t="s">
        <v>49689</v>
      </c>
      <c r="S3070" s="1">
        <v>9413404194</v>
      </c>
      <c r="T3070" s="1" t="s">
        <v>49690</v>
      </c>
      <c r="U3070" s="1" t="s">
        <v>49691</v>
      </c>
      <c r="V3070" s="1">
        <v>9352611650</v>
      </c>
      <c r="W3070" s="1" t="s">
        <v>10306</v>
      </c>
      <c r="X3070" s="1" t="s">
        <v>49692</v>
      </c>
      <c r="Y3070" s="1" t="s">
        <v>21151</v>
      </c>
      <c r="Z3070" s="1" t="s">
        <v>2153</v>
      </c>
      <c r="AA3070" s="1" t="s">
        <v>49693</v>
      </c>
      <c r="AB3070" s="1" t="s">
        <v>196</v>
      </c>
      <c r="AC3070" s="1" t="s">
        <v>97</v>
      </c>
      <c r="AD3070" s="1" t="s">
        <v>98</v>
      </c>
      <c r="AE3070" s="1" t="s">
        <v>98</v>
      </c>
      <c r="AF3070" s="1" t="s">
        <v>49694</v>
      </c>
      <c r="AG3070" s="1" t="s">
        <v>15703</v>
      </c>
      <c r="AH3070" s="1" t="s">
        <v>704</v>
      </c>
      <c r="AI3070" s="1" t="s">
        <v>171</v>
      </c>
      <c r="AJ3070" s="1">
        <v>83.6</v>
      </c>
      <c r="AK3070" s="1">
        <v>8.8</v>
      </c>
      <c r="AL3070" s="1" t="s">
        <v>49694</v>
      </c>
      <c r="AM3070" s="1" t="s">
        <v>15703</v>
      </c>
      <c r="AN3070" s="1" t="s">
        <v>575</v>
      </c>
      <c r="AO3070" s="1" t="s">
        <v>547</v>
      </c>
      <c r="AP3070" s="1" t="s">
        <v>178</v>
      </c>
      <c r="AQ3070" s="1">
        <v>86.4</v>
      </c>
      <c r="AR3070" s="1">
        <v>9.09</v>
      </c>
      <c r="AS3070" s="1"/>
      <c r="AT3070" s="1"/>
      <c r="AU3070" s="1"/>
      <c r="AV3070" s="1"/>
      <c r="AW3070" s="1"/>
      <c r="AX3070" s="1"/>
      <c r="AY3070" s="1" t="s">
        <v>14380</v>
      </c>
      <c r="AZ3070" s="1" t="s">
        <v>49695</v>
      </c>
      <c r="BA3070" s="1" t="s">
        <v>682</v>
      </c>
      <c r="BB3070" s="1" t="s">
        <v>1561</v>
      </c>
      <c r="BC3070" s="1" t="s">
        <v>977</v>
      </c>
      <c r="BD3070" s="1" t="s">
        <v>553</v>
      </c>
      <c r="BE3070" s="1">
        <v>72</v>
      </c>
      <c r="BF3070" s="1">
        <v>8.07</v>
      </c>
      <c r="BG3070" s="1"/>
      <c r="BH3070" s="1"/>
      <c r="BI3070" s="1"/>
      <c r="BJ3070" s="1"/>
      <c r="BK3070" s="1"/>
      <c r="BL3070" s="1"/>
      <c r="BM3070" s="1"/>
      <c r="BN3070" s="1"/>
      <c r="BO3070" s="1" t="s">
        <v>49696</v>
      </c>
      <c r="BP3070" s="1" t="s">
        <v>49697</v>
      </c>
      <c r="BQ3070" s="1" t="s">
        <v>1174</v>
      </c>
      <c r="BR3070" s="1"/>
      <c r="BS3070" s="1"/>
      <c r="BT3070" s="1" t="s">
        <v>49698</v>
      </c>
      <c r="BU3070" s="1" t="str">
        <f>HYPERLINK("https://nconnect.nicmar.ac.in/storage/profile/6a85a1c67c79c.png","Download")</f>
        <v>0</v>
      </c>
      <c r="BV3070" s="3"/>
      <c r="BW3070" s="3"/>
    </row>
    <row r="3071" spans="1:75">
      <c r="A3071" s="1" t="s">
        <v>45201</v>
      </c>
      <c r="B3071" s="1" t="s">
        <v>13976</v>
      </c>
      <c r="C3071" s="1" t="s">
        <v>49699</v>
      </c>
      <c r="D3071" s="1" t="s">
        <v>49700</v>
      </c>
      <c r="E3071" s="1" t="s">
        <v>22251</v>
      </c>
      <c r="F3071" s="1" t="s">
        <v>49701</v>
      </c>
      <c r="G3071" s="1" t="s">
        <v>49702</v>
      </c>
      <c r="H3071" s="1" t="s">
        <v>49703</v>
      </c>
      <c r="I3071" s="1" t="s">
        <v>49703</v>
      </c>
      <c r="J3071" s="1">
        <v>9820457216</v>
      </c>
      <c r="K3071" s="1" t="s">
        <v>153</v>
      </c>
      <c r="L3071" s="1" t="s">
        <v>19397</v>
      </c>
      <c r="M3071" s="1" t="s">
        <v>86</v>
      </c>
      <c r="N3071" s="1" t="s">
        <v>23348</v>
      </c>
      <c r="O3071" s="1" t="s">
        <v>49704</v>
      </c>
      <c r="P3071" s="1" t="s">
        <v>219</v>
      </c>
      <c r="Q3071" s="1">
        <v>946728667777</v>
      </c>
      <c r="R3071" s="1" t="s">
        <v>49705</v>
      </c>
      <c r="S3071" s="1">
        <v>9619495117</v>
      </c>
      <c r="T3071" s="1" t="s">
        <v>49706</v>
      </c>
      <c r="U3071" s="1" t="s">
        <v>17399</v>
      </c>
      <c r="V3071" s="1">
        <v>9892530204</v>
      </c>
      <c r="W3071" s="1" t="s">
        <v>49707</v>
      </c>
      <c r="X3071" s="1" t="s">
        <v>49708</v>
      </c>
      <c r="Y3071" s="1" t="s">
        <v>1012</v>
      </c>
      <c r="Z3071" s="1" t="s">
        <v>97</v>
      </c>
      <c r="AA3071" s="1" t="s">
        <v>49708</v>
      </c>
      <c r="AB3071" s="1" t="s">
        <v>1012</v>
      </c>
      <c r="AC3071" s="1" t="s">
        <v>97</v>
      </c>
      <c r="AD3071" s="1" t="s">
        <v>98</v>
      </c>
      <c r="AE3071" s="1" t="s">
        <v>98</v>
      </c>
      <c r="AF3071" s="1" t="s">
        <v>49709</v>
      </c>
      <c r="AG3071" s="1" t="s">
        <v>14157</v>
      </c>
      <c r="AH3071" s="1" t="s">
        <v>167</v>
      </c>
      <c r="AI3071" s="1" t="s">
        <v>200</v>
      </c>
      <c r="AJ3071" s="1">
        <v>93</v>
      </c>
      <c r="AK3071" s="1">
        <v>9.79</v>
      </c>
      <c r="AL3071" s="1" t="s">
        <v>49710</v>
      </c>
      <c r="AM3071" s="1" t="s">
        <v>14238</v>
      </c>
      <c r="AN3071" s="1" t="s">
        <v>465</v>
      </c>
      <c r="AO3071" s="1" t="s">
        <v>106</v>
      </c>
      <c r="AP3071" s="1" t="s">
        <v>203</v>
      </c>
      <c r="AQ3071" s="1">
        <v>73</v>
      </c>
      <c r="AR3071" s="1">
        <v>7.68</v>
      </c>
      <c r="AS3071" s="1"/>
      <c r="AT3071" s="1"/>
      <c r="AU3071" s="1"/>
      <c r="AV3071" s="1"/>
      <c r="AW3071" s="1"/>
      <c r="AX3071" s="1"/>
      <c r="AY3071" s="1" t="s">
        <v>18495</v>
      </c>
      <c r="AZ3071" s="1" t="s">
        <v>49711</v>
      </c>
      <c r="BA3071" s="1" t="s">
        <v>682</v>
      </c>
      <c r="BB3071" s="1" t="s">
        <v>683</v>
      </c>
      <c r="BC3071" s="1" t="s">
        <v>206</v>
      </c>
      <c r="BD3071" s="1" t="s">
        <v>1314</v>
      </c>
      <c r="BE3071" s="1">
        <v>83.51</v>
      </c>
      <c r="BF3071" s="1">
        <v>8.79</v>
      </c>
      <c r="BG3071" s="1"/>
      <c r="BH3071" s="1"/>
      <c r="BI3071" s="1"/>
      <c r="BJ3071" s="1"/>
      <c r="BK3071" s="1"/>
      <c r="BL3071" s="1"/>
      <c r="BM3071" s="1"/>
      <c r="BN3071" s="1"/>
      <c r="BO3071" s="1" t="s">
        <v>49712</v>
      </c>
      <c r="BP3071" s="1" t="s">
        <v>49713</v>
      </c>
      <c r="BQ3071" s="1" t="s">
        <v>6365</v>
      </c>
      <c r="BR3071" s="1"/>
      <c r="BS3071" s="1"/>
      <c r="BT3071" s="1"/>
      <c r="BU3071" s="1" t="str">
        <f>HYPERLINK("https://nconnect.nicmar.ac.in/storage/profile/6a859641b0d19.png","Download")</f>
        <v>0</v>
      </c>
      <c r="BV3071" s="3"/>
      <c r="BW3071" s="3"/>
    </row>
    <row r="3072" spans="1:75">
      <c r="A3072" s="1" t="s">
        <v>45201</v>
      </c>
      <c r="B3072" s="1" t="s">
        <v>13976</v>
      </c>
      <c r="C3072" s="1" t="s">
        <v>49714</v>
      </c>
      <c r="D3072" s="1" t="s">
        <v>49715</v>
      </c>
      <c r="E3072" s="1" t="s">
        <v>49716</v>
      </c>
      <c r="F3072" s="1" t="s">
        <v>49717</v>
      </c>
      <c r="G3072" s="1" t="s">
        <v>49718</v>
      </c>
      <c r="H3072" s="1" t="s">
        <v>49719</v>
      </c>
      <c r="I3072" s="1" t="s">
        <v>49719</v>
      </c>
      <c r="J3072" s="1">
        <v>7796420387</v>
      </c>
      <c r="K3072" s="1" t="s">
        <v>84</v>
      </c>
      <c r="L3072" s="1" t="s">
        <v>12693</v>
      </c>
      <c r="M3072" s="1" t="s">
        <v>86</v>
      </c>
      <c r="N3072" s="1" t="s">
        <v>768</v>
      </c>
      <c r="O3072" s="1" t="s">
        <v>49720</v>
      </c>
      <c r="P3072" s="1" t="s">
        <v>219</v>
      </c>
      <c r="Q3072" s="1">
        <v>568194487089</v>
      </c>
      <c r="R3072" s="1" t="s">
        <v>49721</v>
      </c>
      <c r="S3072" s="1">
        <v>9890086137</v>
      </c>
      <c r="T3072" s="1" t="s">
        <v>14352</v>
      </c>
      <c r="U3072" s="1" t="s">
        <v>49722</v>
      </c>
      <c r="V3072" s="1">
        <v>9766684567</v>
      </c>
      <c r="W3072" s="1" t="s">
        <v>14352</v>
      </c>
      <c r="X3072" s="1" t="s">
        <v>49723</v>
      </c>
      <c r="Y3072" s="1" t="s">
        <v>196</v>
      </c>
      <c r="Z3072" s="1" t="s">
        <v>97</v>
      </c>
      <c r="AA3072" s="1" t="s">
        <v>49723</v>
      </c>
      <c r="AB3072" s="1" t="s">
        <v>196</v>
      </c>
      <c r="AC3072" s="1" t="s">
        <v>97</v>
      </c>
      <c r="AD3072" s="1" t="s">
        <v>98</v>
      </c>
      <c r="AE3072" s="1" t="s">
        <v>98</v>
      </c>
      <c r="AF3072" s="1" t="s">
        <v>49724</v>
      </c>
      <c r="AG3072" s="1" t="s">
        <v>49725</v>
      </c>
      <c r="AH3072" s="1" t="s">
        <v>286</v>
      </c>
      <c r="AI3072" s="1" t="s">
        <v>313</v>
      </c>
      <c r="AJ3072" s="1">
        <v>92.8</v>
      </c>
      <c r="AK3072" s="1"/>
      <c r="AL3072" s="1" t="s">
        <v>49726</v>
      </c>
      <c r="AM3072" s="1" t="s">
        <v>49727</v>
      </c>
      <c r="AN3072" s="1" t="s">
        <v>465</v>
      </c>
      <c r="AO3072" s="1" t="s">
        <v>603</v>
      </c>
      <c r="AP3072" s="1" t="s">
        <v>441</v>
      </c>
      <c r="AQ3072" s="1">
        <v>90.17</v>
      </c>
      <c r="AR3072" s="1"/>
      <c r="AS3072" s="1"/>
      <c r="AT3072" s="1"/>
      <c r="AU3072" s="1"/>
      <c r="AV3072" s="1"/>
      <c r="AW3072" s="1"/>
      <c r="AX3072" s="1"/>
      <c r="AY3072" s="1" t="s">
        <v>49728</v>
      </c>
      <c r="AZ3072" s="1" t="s">
        <v>49729</v>
      </c>
      <c r="BA3072" s="1" t="s">
        <v>466</v>
      </c>
      <c r="BB3072" s="1" t="s">
        <v>23143</v>
      </c>
      <c r="BC3072" s="1" t="s">
        <v>207</v>
      </c>
      <c r="BD3072" s="1" t="s">
        <v>553</v>
      </c>
      <c r="BE3072" s="1">
        <v>76</v>
      </c>
      <c r="BF3072" s="1">
        <v>8</v>
      </c>
      <c r="BG3072" s="1"/>
      <c r="BH3072" s="1"/>
      <c r="BI3072" s="1"/>
      <c r="BJ3072" s="1"/>
      <c r="BK3072" s="1"/>
      <c r="BL3072" s="1"/>
      <c r="BM3072" s="1"/>
      <c r="BN3072" s="1"/>
      <c r="BO3072" s="1" t="s">
        <v>49730</v>
      </c>
      <c r="BP3072" s="1" t="s">
        <v>49731</v>
      </c>
      <c r="BQ3072" s="1" t="s">
        <v>471</v>
      </c>
      <c r="BR3072" s="1"/>
      <c r="BS3072" s="1"/>
      <c r="BT3072" s="1"/>
      <c r="BU3072" s="1" t="str">
        <f>HYPERLINK("https://nconnect.nicmar.ac.in/storage/profile/6a85ebef51309.png","Download")</f>
        <v>0</v>
      </c>
      <c r="BV3072" s="3"/>
      <c r="BW3072" s="3"/>
    </row>
    <row r="3073" spans="1:75">
      <c r="A3073" s="1" t="s">
        <v>45201</v>
      </c>
      <c r="B3073" s="1" t="s">
        <v>13976</v>
      </c>
      <c r="C3073" s="1" t="s">
        <v>49732</v>
      </c>
      <c r="D3073" s="1" t="s">
        <v>49733</v>
      </c>
      <c r="E3073" s="1" t="s">
        <v>49734</v>
      </c>
      <c r="F3073" s="1" t="s">
        <v>17513</v>
      </c>
      <c r="G3073" s="1" t="s">
        <v>49735</v>
      </c>
      <c r="H3073" s="1" t="s">
        <v>49736</v>
      </c>
      <c r="I3073" s="1" t="s">
        <v>49736</v>
      </c>
      <c r="J3073" s="1">
        <v>9730571744</v>
      </c>
      <c r="K3073" s="1" t="s">
        <v>84</v>
      </c>
      <c r="L3073" s="1" t="s">
        <v>15023</v>
      </c>
      <c r="M3073" s="1" t="s">
        <v>86</v>
      </c>
      <c r="N3073" s="1" t="s">
        <v>6390</v>
      </c>
      <c r="O3073" s="1" t="s">
        <v>49737</v>
      </c>
      <c r="P3073" s="1" t="s">
        <v>122</v>
      </c>
      <c r="Q3073" s="1">
        <v>922637377192</v>
      </c>
      <c r="R3073" s="1" t="s">
        <v>49738</v>
      </c>
      <c r="S3073" s="1">
        <v>7249462950</v>
      </c>
      <c r="T3073" s="1" t="s">
        <v>2177</v>
      </c>
      <c r="U3073" s="1" t="s">
        <v>49739</v>
      </c>
      <c r="V3073" s="1">
        <v>9960114683</v>
      </c>
      <c r="W3073" s="1" t="s">
        <v>49740</v>
      </c>
      <c r="X3073" s="1" t="s">
        <v>49741</v>
      </c>
      <c r="Y3073" s="1" t="s">
        <v>410</v>
      </c>
      <c r="Z3073" s="1" t="s">
        <v>97</v>
      </c>
      <c r="AA3073" s="1" t="s">
        <v>49741</v>
      </c>
      <c r="AB3073" s="1" t="s">
        <v>410</v>
      </c>
      <c r="AC3073" s="1" t="s">
        <v>97</v>
      </c>
      <c r="AD3073" s="1" t="s">
        <v>98</v>
      </c>
      <c r="AE3073" s="1" t="s">
        <v>98</v>
      </c>
      <c r="AF3073" s="1" t="s">
        <v>49742</v>
      </c>
      <c r="AG3073" s="1" t="s">
        <v>49743</v>
      </c>
      <c r="AH3073" s="1" t="s">
        <v>573</v>
      </c>
      <c r="AI3073" s="1" t="s">
        <v>171</v>
      </c>
      <c r="AJ3073" s="1">
        <v>73.2</v>
      </c>
      <c r="AK3073" s="1"/>
      <c r="AL3073" s="1" t="s">
        <v>49744</v>
      </c>
      <c r="AM3073" s="1" t="s">
        <v>49745</v>
      </c>
      <c r="AN3073" s="1" t="s">
        <v>575</v>
      </c>
      <c r="AO3073" s="1" t="s">
        <v>106</v>
      </c>
      <c r="AP3073" s="1" t="s">
        <v>468</v>
      </c>
      <c r="AQ3073" s="1">
        <v>60.15</v>
      </c>
      <c r="AR3073" s="1"/>
      <c r="AS3073" s="1"/>
      <c r="AT3073" s="1"/>
      <c r="AU3073" s="1"/>
      <c r="AV3073" s="1"/>
      <c r="AW3073" s="1"/>
      <c r="AX3073" s="1"/>
      <c r="AY3073" s="1" t="s">
        <v>49746</v>
      </c>
      <c r="AZ3073" s="1" t="s">
        <v>49747</v>
      </c>
      <c r="BA3073" s="1" t="s">
        <v>466</v>
      </c>
      <c r="BB3073" s="1" t="s">
        <v>467</v>
      </c>
      <c r="BC3073" s="1" t="s">
        <v>178</v>
      </c>
      <c r="BD3073" s="1" t="s">
        <v>1089</v>
      </c>
      <c r="BE3073" s="1">
        <v>72.9</v>
      </c>
      <c r="BF3073" s="1"/>
      <c r="BG3073" s="1"/>
      <c r="BH3073" s="1"/>
      <c r="BI3073" s="1"/>
      <c r="BJ3073" s="1"/>
      <c r="BK3073" s="1"/>
      <c r="BL3073" s="1"/>
      <c r="BM3073" s="1"/>
      <c r="BN3073" s="1"/>
      <c r="BO3073" s="1" t="s">
        <v>49748</v>
      </c>
      <c r="BP3073" s="1"/>
      <c r="BQ3073" s="1"/>
      <c r="BR3073" s="1" t="s">
        <v>49749</v>
      </c>
      <c r="BS3073" s="1">
        <v>13</v>
      </c>
      <c r="BT3073" s="1"/>
      <c r="BU3073" s="1" t="str">
        <f>HYPERLINK("https://nconnect.nicmar.ac.in/storage/profile/6a85ddd5012dc.png","Download")</f>
        <v>0</v>
      </c>
      <c r="BV3073" s="3"/>
      <c r="BW3073" s="3"/>
    </row>
    <row r="3074" spans="1:75">
      <c r="A3074" s="1" t="s">
        <v>45201</v>
      </c>
      <c r="B3074" s="1" t="s">
        <v>13976</v>
      </c>
      <c r="C3074" s="1" t="s">
        <v>49750</v>
      </c>
      <c r="D3074" s="1" t="s">
        <v>25541</v>
      </c>
      <c r="E3074" s="1"/>
      <c r="F3074" s="1" t="s">
        <v>49751</v>
      </c>
      <c r="G3074" s="1" t="s">
        <v>49752</v>
      </c>
      <c r="H3074" s="1" t="s">
        <v>49753</v>
      </c>
      <c r="I3074" s="1" t="s">
        <v>49754</v>
      </c>
      <c r="J3074" s="1">
        <v>8810805536</v>
      </c>
      <c r="K3074" s="1" t="s">
        <v>84</v>
      </c>
      <c r="L3074" s="1" t="s">
        <v>37882</v>
      </c>
      <c r="M3074" s="1" t="s">
        <v>86</v>
      </c>
      <c r="N3074" s="1" t="s">
        <v>49755</v>
      </c>
      <c r="O3074" s="1" t="s">
        <v>49756</v>
      </c>
      <c r="P3074" s="1" t="s">
        <v>219</v>
      </c>
      <c r="Q3074" s="1">
        <v>360868390376</v>
      </c>
      <c r="R3074" s="1" t="s">
        <v>49757</v>
      </c>
      <c r="S3074" s="1">
        <v>9443943155</v>
      </c>
      <c r="T3074" s="1" t="s">
        <v>15926</v>
      </c>
      <c r="U3074" s="1" t="s">
        <v>49758</v>
      </c>
      <c r="V3074" s="1">
        <v>7010645956</v>
      </c>
      <c r="W3074" s="1" t="s">
        <v>14154</v>
      </c>
      <c r="X3074" s="1" t="s">
        <v>49759</v>
      </c>
      <c r="Y3074" s="1" t="s">
        <v>822</v>
      </c>
      <c r="Z3074" s="1" t="s">
        <v>570</v>
      </c>
      <c r="AA3074" s="1" t="s">
        <v>49759</v>
      </c>
      <c r="AB3074" s="1" t="s">
        <v>822</v>
      </c>
      <c r="AC3074" s="1" t="s">
        <v>570</v>
      </c>
      <c r="AD3074" s="1" t="s">
        <v>98</v>
      </c>
      <c r="AE3074" s="1" t="s">
        <v>98</v>
      </c>
      <c r="AF3074" s="1" t="s">
        <v>49760</v>
      </c>
      <c r="AG3074" s="1" t="s">
        <v>49761</v>
      </c>
      <c r="AH3074" s="1" t="s">
        <v>1110</v>
      </c>
      <c r="AI3074" s="1" t="s">
        <v>1111</v>
      </c>
      <c r="AJ3074" s="1">
        <v>90.25</v>
      </c>
      <c r="AK3074" s="1">
        <v>9.5</v>
      </c>
      <c r="AL3074" s="1" t="s">
        <v>49760</v>
      </c>
      <c r="AM3074" s="1" t="s">
        <v>49761</v>
      </c>
      <c r="AN3074" s="1" t="s">
        <v>465</v>
      </c>
      <c r="AO3074" s="1" t="s">
        <v>704</v>
      </c>
      <c r="AP3074" s="1" t="s">
        <v>286</v>
      </c>
      <c r="AQ3074" s="1">
        <v>89.8</v>
      </c>
      <c r="AR3074" s="1"/>
      <c r="AS3074" s="1"/>
      <c r="AT3074" s="1"/>
      <c r="AU3074" s="1"/>
      <c r="AV3074" s="1"/>
      <c r="AW3074" s="1"/>
      <c r="AX3074" s="1"/>
      <c r="AY3074" s="1" t="s">
        <v>49762</v>
      </c>
      <c r="AZ3074" s="1" t="s">
        <v>49763</v>
      </c>
      <c r="BA3074" s="1" t="s">
        <v>466</v>
      </c>
      <c r="BB3074" s="1" t="s">
        <v>23143</v>
      </c>
      <c r="BC3074" s="1" t="s">
        <v>174</v>
      </c>
      <c r="BD3074" s="1" t="s">
        <v>632</v>
      </c>
      <c r="BE3074" s="1">
        <v>86.1</v>
      </c>
      <c r="BF3074" s="1">
        <v>9.11</v>
      </c>
      <c r="BG3074" s="1"/>
      <c r="BH3074" s="1"/>
      <c r="BI3074" s="1"/>
      <c r="BJ3074" s="1"/>
      <c r="BK3074" s="1"/>
      <c r="BL3074" s="1"/>
      <c r="BM3074" s="1"/>
      <c r="BN3074" s="1"/>
      <c r="BO3074" s="1" t="s">
        <v>49764</v>
      </c>
      <c r="BP3074" s="1" t="s">
        <v>49765</v>
      </c>
      <c r="BQ3074" s="1" t="s">
        <v>2213</v>
      </c>
      <c r="BR3074" s="1" t="s">
        <v>49766</v>
      </c>
      <c r="BS3074" s="1">
        <v>25</v>
      </c>
      <c r="BT3074" s="1" t="s">
        <v>49767</v>
      </c>
      <c r="BU3074" s="1" t="str">
        <f>HYPERLINK("https://nconnect.nicmar.ac.in/storage/profile/6a85ce34738d6.png","Download")</f>
        <v>0</v>
      </c>
      <c r="BV3074" s="3"/>
      <c r="BW3074" s="3"/>
    </row>
    <row r="3075" spans="1:75">
      <c r="A3075" s="1" t="s">
        <v>45201</v>
      </c>
      <c r="B3075" s="1" t="s">
        <v>13976</v>
      </c>
      <c r="C3075" s="1" t="s">
        <v>49768</v>
      </c>
      <c r="D3075" s="1" t="s">
        <v>49769</v>
      </c>
      <c r="E3075" s="1"/>
      <c r="F3075" s="1" t="s">
        <v>49770</v>
      </c>
      <c r="G3075" s="1" t="s">
        <v>49771</v>
      </c>
      <c r="H3075" s="1" t="s">
        <v>49772</v>
      </c>
      <c r="I3075" s="1" t="s">
        <v>49772</v>
      </c>
      <c r="J3075" s="1">
        <v>9313458054</v>
      </c>
      <c r="K3075" s="1" t="s">
        <v>84</v>
      </c>
      <c r="L3075" s="1" t="s">
        <v>49773</v>
      </c>
      <c r="M3075" s="1" t="s">
        <v>86</v>
      </c>
      <c r="N3075" s="1" t="s">
        <v>49774</v>
      </c>
      <c r="O3075" s="1" t="s">
        <v>49775</v>
      </c>
      <c r="P3075" s="1" t="s">
        <v>219</v>
      </c>
      <c r="Q3075" s="1">
        <v>887499323657</v>
      </c>
      <c r="R3075" s="1" t="s">
        <v>49776</v>
      </c>
      <c r="S3075" s="1">
        <v>9428518747</v>
      </c>
      <c r="T3075" s="1" t="s">
        <v>26424</v>
      </c>
      <c r="U3075" s="1" t="s">
        <v>49777</v>
      </c>
      <c r="V3075" s="1">
        <v>9909972993</v>
      </c>
      <c r="W3075" s="1" t="s">
        <v>541</v>
      </c>
      <c r="X3075" s="1" t="s">
        <v>49778</v>
      </c>
      <c r="Y3075" s="1" t="s">
        <v>8166</v>
      </c>
      <c r="Z3075" s="1" t="s">
        <v>676</v>
      </c>
      <c r="AA3075" s="1" t="s">
        <v>49779</v>
      </c>
      <c r="AB3075" s="1" t="s">
        <v>1882</v>
      </c>
      <c r="AC3075" s="1" t="s">
        <v>97</v>
      </c>
      <c r="AD3075" s="1" t="s">
        <v>98</v>
      </c>
      <c r="AE3075" s="1" t="s">
        <v>98</v>
      </c>
      <c r="AF3075" s="1" t="s">
        <v>1060</v>
      </c>
      <c r="AG3075" s="1" t="s">
        <v>312</v>
      </c>
      <c r="AH3075" s="1" t="s">
        <v>438</v>
      </c>
      <c r="AI3075" s="1" t="s">
        <v>468</v>
      </c>
      <c r="AJ3075" s="1">
        <v>79.83</v>
      </c>
      <c r="AK3075" s="1"/>
      <c r="AL3075" s="1"/>
      <c r="AM3075" s="1"/>
      <c r="AN3075" s="1"/>
      <c r="AO3075" s="1"/>
      <c r="AP3075" s="1"/>
      <c r="AQ3075" s="1"/>
      <c r="AR3075" s="1"/>
      <c r="AS3075" s="1"/>
      <c r="AT3075" s="1"/>
      <c r="AU3075" s="1"/>
      <c r="AV3075" s="1"/>
      <c r="AW3075" s="1"/>
      <c r="AX3075" s="1"/>
      <c r="AY3075" s="1" t="s">
        <v>26138</v>
      </c>
      <c r="AZ3075" s="1" t="s">
        <v>49780</v>
      </c>
      <c r="BA3075" s="1" t="s">
        <v>466</v>
      </c>
      <c r="BB3075" s="1" t="s">
        <v>49781</v>
      </c>
      <c r="BC3075" s="1" t="s">
        <v>289</v>
      </c>
      <c r="BD3075" s="1" t="s">
        <v>49782</v>
      </c>
      <c r="BE3075" s="1">
        <v>65.3</v>
      </c>
      <c r="BF3075" s="1">
        <v>6.53</v>
      </c>
      <c r="BG3075" s="1"/>
      <c r="BH3075" s="1"/>
      <c r="BI3075" s="1"/>
      <c r="BJ3075" s="1"/>
      <c r="BK3075" s="1"/>
      <c r="BL3075" s="1"/>
      <c r="BM3075" s="1"/>
      <c r="BN3075" s="1"/>
      <c r="BO3075" s="1" t="s">
        <v>1890</v>
      </c>
      <c r="BP3075" s="1"/>
      <c r="BQ3075" s="1"/>
      <c r="BR3075" s="1" t="s">
        <v>49783</v>
      </c>
      <c r="BS3075" s="1">
        <v>14</v>
      </c>
      <c r="BT3075" s="1"/>
      <c r="BU3075" s="1" t="str">
        <f>HYPERLINK("https://nconnect.nicmar.ac.in/storage/profile/6a85c4230e9c8.png","Download")</f>
        <v>0</v>
      </c>
      <c r="BV3075" s="3"/>
      <c r="BW3075" s="3"/>
    </row>
    <row r="3076" spans="1:75">
      <c r="A3076" s="1" t="s">
        <v>45201</v>
      </c>
      <c r="B3076" s="1" t="s">
        <v>13976</v>
      </c>
      <c r="C3076" s="1" t="s">
        <v>49784</v>
      </c>
      <c r="D3076" s="1" t="s">
        <v>22140</v>
      </c>
      <c r="E3076" s="1"/>
      <c r="F3076" s="1" t="s">
        <v>49785</v>
      </c>
      <c r="G3076" s="1" t="s">
        <v>49786</v>
      </c>
      <c r="H3076" s="1" t="s">
        <v>49787</v>
      </c>
      <c r="I3076" s="1" t="s">
        <v>49788</v>
      </c>
      <c r="J3076" s="1">
        <v>8800475166</v>
      </c>
      <c r="K3076" s="1" t="s">
        <v>84</v>
      </c>
      <c r="L3076" s="1" t="s">
        <v>49789</v>
      </c>
      <c r="M3076" s="1" t="s">
        <v>86</v>
      </c>
      <c r="N3076" s="1" t="s">
        <v>22198</v>
      </c>
      <c r="O3076" s="1" t="s">
        <v>49790</v>
      </c>
      <c r="P3076" s="1" t="s">
        <v>122</v>
      </c>
      <c r="Q3076" s="1" t="s">
        <v>49791</v>
      </c>
      <c r="R3076" s="1" t="s">
        <v>49792</v>
      </c>
      <c r="S3076" s="1">
        <v>9873355052</v>
      </c>
      <c r="T3076" s="1" t="s">
        <v>49793</v>
      </c>
      <c r="U3076" s="1" t="s">
        <v>49794</v>
      </c>
      <c r="V3076" s="1">
        <v>7701010093</v>
      </c>
      <c r="W3076" s="1" t="s">
        <v>14821</v>
      </c>
      <c r="X3076" s="1" t="s">
        <v>49795</v>
      </c>
      <c r="Y3076" s="1" t="s">
        <v>3767</v>
      </c>
      <c r="Z3076" s="1" t="s">
        <v>544</v>
      </c>
      <c r="AA3076" s="1" t="s">
        <v>49795</v>
      </c>
      <c r="AB3076" s="1" t="s">
        <v>3767</v>
      </c>
      <c r="AC3076" s="1" t="s">
        <v>544</v>
      </c>
      <c r="AD3076" s="1" t="s">
        <v>98</v>
      </c>
      <c r="AE3076" s="1" t="s">
        <v>98</v>
      </c>
      <c r="AF3076" s="1"/>
      <c r="AG3076" s="1"/>
      <c r="AH3076" s="1"/>
      <c r="AI3076" s="1"/>
      <c r="AJ3076" s="1"/>
      <c r="AK3076" s="1"/>
      <c r="AL3076" s="1"/>
      <c r="AM3076" s="1"/>
      <c r="AN3076" s="1"/>
      <c r="AO3076" s="1"/>
      <c r="AP3076" s="1"/>
      <c r="AQ3076" s="1"/>
      <c r="AR3076" s="1"/>
      <c r="AS3076" s="1"/>
      <c r="AT3076" s="1"/>
      <c r="AU3076" s="1"/>
      <c r="AV3076" s="1"/>
      <c r="AW3076" s="1"/>
      <c r="AX3076" s="1"/>
      <c r="AY3076" s="1"/>
      <c r="AZ3076" s="1"/>
      <c r="BA3076" s="1"/>
      <c r="BB3076" s="1"/>
      <c r="BC3076" s="1"/>
      <c r="BD3076" s="1"/>
      <c r="BE3076" s="1"/>
      <c r="BF3076" s="1"/>
      <c r="BG3076" s="1"/>
      <c r="BH3076" s="1"/>
      <c r="BI3076" s="1"/>
      <c r="BJ3076" s="1"/>
      <c r="BK3076" s="1"/>
      <c r="BL3076" s="1"/>
      <c r="BM3076" s="1"/>
      <c r="BN3076" s="1"/>
      <c r="BO3076" s="1"/>
      <c r="BP3076" s="1" t="s">
        <v>49796</v>
      </c>
      <c r="BQ3076" s="1" t="s">
        <v>2245</v>
      </c>
      <c r="BR3076" s="1" t="s">
        <v>49797</v>
      </c>
      <c r="BS3076" s="1">
        <v>142</v>
      </c>
      <c r="BT3076" s="1"/>
      <c r="BU3076" s="1" t="str">
        <f>HYPERLINK("https://nconnect.nicmar.ac.in/storage/profile/6a828dece7997.png","Download")</f>
        <v>0</v>
      </c>
      <c r="BV3076" s="3"/>
      <c r="BW3076" s="3"/>
    </row>
    <row r="3077" spans="1:75">
      <c r="A3077" s="1" t="s">
        <v>45201</v>
      </c>
      <c r="B3077" s="1" t="s">
        <v>13976</v>
      </c>
      <c r="C3077" s="1" t="s">
        <v>49798</v>
      </c>
      <c r="D3077" s="1" t="s">
        <v>49799</v>
      </c>
      <c r="E3077" s="1"/>
      <c r="F3077" s="1" t="s">
        <v>49800</v>
      </c>
      <c r="G3077" s="1" t="s">
        <v>49801</v>
      </c>
      <c r="H3077" s="1" t="s">
        <v>49802</v>
      </c>
      <c r="I3077" s="1" t="s">
        <v>49802</v>
      </c>
      <c r="J3077" s="1">
        <v>9325813403</v>
      </c>
      <c r="K3077" s="1" t="s">
        <v>84</v>
      </c>
      <c r="L3077" s="1" t="s">
        <v>49803</v>
      </c>
      <c r="M3077" s="1" t="s">
        <v>86</v>
      </c>
      <c r="N3077" s="1" t="s">
        <v>49804</v>
      </c>
      <c r="O3077" s="1" t="s">
        <v>49805</v>
      </c>
      <c r="P3077" s="1" t="s">
        <v>122</v>
      </c>
      <c r="Q3077" s="1">
        <v>431703107923</v>
      </c>
      <c r="R3077" s="1" t="s">
        <v>49806</v>
      </c>
      <c r="S3077" s="1">
        <v>9820391861</v>
      </c>
      <c r="T3077" s="1" t="s">
        <v>21418</v>
      </c>
      <c r="U3077" s="1" t="s">
        <v>49807</v>
      </c>
      <c r="V3077" s="1">
        <v>9820391861</v>
      </c>
      <c r="W3077" s="1" t="s">
        <v>98</v>
      </c>
      <c r="X3077" s="1" t="s">
        <v>49808</v>
      </c>
      <c r="Y3077" s="1" t="s">
        <v>7679</v>
      </c>
      <c r="Z3077" s="1" t="s">
        <v>130</v>
      </c>
      <c r="AA3077" s="1" t="s">
        <v>49809</v>
      </c>
      <c r="AB3077" s="1" t="s">
        <v>1012</v>
      </c>
      <c r="AC3077" s="1" t="s">
        <v>97</v>
      </c>
      <c r="AD3077" s="1" t="s">
        <v>98</v>
      </c>
      <c r="AE3077" s="1" t="s">
        <v>98</v>
      </c>
      <c r="AF3077" s="1" t="s">
        <v>3556</v>
      </c>
      <c r="AG3077" s="1" t="s">
        <v>49810</v>
      </c>
      <c r="AH3077" s="1" t="s">
        <v>106</v>
      </c>
      <c r="AI3077" s="1" t="s">
        <v>313</v>
      </c>
      <c r="AJ3077" s="1">
        <v>90.6</v>
      </c>
      <c r="AK3077" s="1">
        <v>0</v>
      </c>
      <c r="AL3077" s="1" t="s">
        <v>3556</v>
      </c>
      <c r="AM3077" s="1" t="s">
        <v>49810</v>
      </c>
      <c r="AN3077" s="1" t="s">
        <v>6380</v>
      </c>
      <c r="AO3077" s="1" t="s">
        <v>438</v>
      </c>
      <c r="AP3077" s="1" t="s">
        <v>847</v>
      </c>
      <c r="AQ3077" s="1">
        <v>80.3</v>
      </c>
      <c r="AR3077" s="1"/>
      <c r="AS3077" s="1"/>
      <c r="AT3077" s="1"/>
      <c r="AU3077" s="1"/>
      <c r="AV3077" s="1"/>
      <c r="AW3077" s="1"/>
      <c r="AX3077" s="1"/>
      <c r="AY3077" s="1" t="s">
        <v>366</v>
      </c>
      <c r="AZ3077" s="1" t="s">
        <v>36244</v>
      </c>
      <c r="BA3077" s="1" t="s">
        <v>466</v>
      </c>
      <c r="BB3077" s="1" t="s">
        <v>467</v>
      </c>
      <c r="BC3077" s="1" t="s">
        <v>871</v>
      </c>
      <c r="BD3077" s="1" t="s">
        <v>1401</v>
      </c>
      <c r="BE3077" s="1">
        <v>61</v>
      </c>
      <c r="BF3077" s="1">
        <v>6.9</v>
      </c>
      <c r="BG3077" s="1"/>
      <c r="BH3077" s="1"/>
      <c r="BI3077" s="1"/>
      <c r="BJ3077" s="1"/>
      <c r="BK3077" s="1"/>
      <c r="BL3077" s="1"/>
      <c r="BM3077" s="1"/>
      <c r="BN3077" s="1"/>
      <c r="BO3077" s="1" t="s">
        <v>45937</v>
      </c>
      <c r="BP3077" s="1"/>
      <c r="BQ3077" s="1"/>
      <c r="BR3077" s="1" t="s">
        <v>49811</v>
      </c>
      <c r="BS3077" s="1">
        <v>7</v>
      </c>
      <c r="BT3077" s="1" t="s">
        <v>49812</v>
      </c>
      <c r="BU3077" s="1" t="str">
        <f>HYPERLINK("https://nconnect.nicmar.ac.in/storage/profile/6a84a0bb906d9.png","Download")</f>
        <v>0</v>
      </c>
      <c r="BV3077" s="3"/>
      <c r="BW3077" s="3"/>
    </row>
    <row r="3078" spans="1:75">
      <c r="A3078" s="1" t="s">
        <v>45201</v>
      </c>
      <c r="B3078" s="1" t="s">
        <v>13976</v>
      </c>
      <c r="C3078" s="1" t="s">
        <v>49813</v>
      </c>
      <c r="D3078" s="1" t="s">
        <v>49814</v>
      </c>
      <c r="E3078" s="1" t="s">
        <v>116</v>
      </c>
      <c r="F3078" s="1" t="s">
        <v>16399</v>
      </c>
      <c r="G3078" s="1" t="s">
        <v>49815</v>
      </c>
      <c r="H3078" s="1" t="s">
        <v>49816</v>
      </c>
      <c r="I3078" s="1" t="s">
        <v>49816</v>
      </c>
      <c r="J3078" s="1">
        <v>9686336899</v>
      </c>
      <c r="K3078" s="1" t="s">
        <v>153</v>
      </c>
      <c r="L3078" s="1" t="s">
        <v>37129</v>
      </c>
      <c r="M3078" s="1" t="s">
        <v>86</v>
      </c>
      <c r="N3078" s="1" t="s">
        <v>49817</v>
      </c>
      <c r="O3078" s="1" t="s">
        <v>49818</v>
      </c>
      <c r="P3078" s="1" t="s">
        <v>122</v>
      </c>
      <c r="Q3078" s="1">
        <v>940475609264</v>
      </c>
      <c r="R3078" s="1" t="s">
        <v>49819</v>
      </c>
      <c r="S3078" s="1">
        <v>9448547449</v>
      </c>
      <c r="T3078" s="1" t="s">
        <v>14800</v>
      </c>
      <c r="U3078" s="1" t="s">
        <v>49820</v>
      </c>
      <c r="V3078" s="1">
        <v>9880852357</v>
      </c>
      <c r="W3078" s="1" t="s">
        <v>10306</v>
      </c>
      <c r="X3078" s="1" t="s">
        <v>49821</v>
      </c>
      <c r="Y3078" s="1" t="s">
        <v>15530</v>
      </c>
      <c r="Z3078" s="1" t="s">
        <v>1210</v>
      </c>
      <c r="AA3078" s="1" t="s">
        <v>49821</v>
      </c>
      <c r="AB3078" s="1" t="s">
        <v>15530</v>
      </c>
      <c r="AC3078" s="1" t="s">
        <v>1210</v>
      </c>
      <c r="AD3078" s="1" t="s">
        <v>98</v>
      </c>
      <c r="AE3078" s="1" t="s">
        <v>98</v>
      </c>
      <c r="AF3078" s="1" t="s">
        <v>49822</v>
      </c>
      <c r="AG3078" s="1" t="s">
        <v>49823</v>
      </c>
      <c r="AH3078" s="1" t="s">
        <v>101</v>
      </c>
      <c r="AI3078" s="1" t="s">
        <v>102</v>
      </c>
      <c r="AJ3078" s="1">
        <v>83.6</v>
      </c>
      <c r="AK3078" s="1">
        <v>8.8</v>
      </c>
      <c r="AL3078" s="1" t="s">
        <v>49824</v>
      </c>
      <c r="AM3078" s="1" t="s">
        <v>49825</v>
      </c>
      <c r="AN3078" s="1" t="s">
        <v>465</v>
      </c>
      <c r="AO3078" s="1" t="s">
        <v>284</v>
      </c>
      <c r="AP3078" s="1" t="s">
        <v>704</v>
      </c>
      <c r="AQ3078" s="1">
        <v>91.33</v>
      </c>
      <c r="AR3078" s="1"/>
      <c r="AS3078" s="1"/>
      <c r="AT3078" s="1"/>
      <c r="AU3078" s="1"/>
      <c r="AV3078" s="1"/>
      <c r="AW3078" s="1"/>
      <c r="AX3078" s="1"/>
      <c r="AY3078" s="1" t="s">
        <v>17045</v>
      </c>
      <c r="AZ3078" s="1" t="s">
        <v>49826</v>
      </c>
      <c r="BA3078" s="1" t="s">
        <v>682</v>
      </c>
      <c r="BB3078" s="1" t="s">
        <v>1561</v>
      </c>
      <c r="BC3078" s="1" t="s">
        <v>230</v>
      </c>
      <c r="BD3078" s="1" t="s">
        <v>632</v>
      </c>
      <c r="BE3078" s="1">
        <v>78.3</v>
      </c>
      <c r="BF3078" s="1"/>
      <c r="BG3078" s="1"/>
      <c r="BH3078" s="1"/>
      <c r="BI3078" s="1"/>
      <c r="BJ3078" s="1"/>
      <c r="BK3078" s="1"/>
      <c r="BL3078" s="1"/>
      <c r="BM3078" s="1"/>
      <c r="BN3078" s="1"/>
      <c r="BO3078" s="1" t="s">
        <v>49827</v>
      </c>
      <c r="BP3078" s="1" t="s">
        <v>49828</v>
      </c>
      <c r="BQ3078" s="1" t="s">
        <v>8010</v>
      </c>
      <c r="BR3078" s="1"/>
      <c r="BS3078" s="1"/>
      <c r="BT3078" s="1"/>
      <c r="BU3078" s="1" t="str">
        <f>HYPERLINK("https://nconnect.nicmar.ac.in/storage/profile/6a8600c4af0e6.png","Download")</f>
        <v>0</v>
      </c>
      <c r="BV3078" s="3"/>
      <c r="BW3078" s="3"/>
    </row>
    <row r="3079" spans="1:75">
      <c r="A3079" s="1" t="s">
        <v>45201</v>
      </c>
      <c r="B3079" s="1" t="s">
        <v>13976</v>
      </c>
      <c r="C3079" s="1" t="s">
        <v>49829</v>
      </c>
      <c r="D3079" s="1" t="s">
        <v>49830</v>
      </c>
      <c r="E3079" s="1"/>
      <c r="F3079" s="1" t="s">
        <v>49831</v>
      </c>
      <c r="G3079" s="1" t="s">
        <v>49832</v>
      </c>
      <c r="H3079" s="1" t="s">
        <v>49833</v>
      </c>
      <c r="I3079" s="1" t="s">
        <v>49833</v>
      </c>
      <c r="J3079" s="1">
        <v>7619500577</v>
      </c>
      <c r="K3079" s="1" t="s">
        <v>84</v>
      </c>
      <c r="L3079" s="1" t="s">
        <v>36670</v>
      </c>
      <c r="M3079" s="1" t="s">
        <v>86</v>
      </c>
      <c r="N3079" s="1" t="s">
        <v>49834</v>
      </c>
      <c r="O3079" s="1" t="s">
        <v>49835</v>
      </c>
      <c r="P3079" s="1" t="s">
        <v>89</v>
      </c>
      <c r="Q3079" s="1">
        <v>452433035934</v>
      </c>
      <c r="R3079" s="1" t="s">
        <v>49836</v>
      </c>
      <c r="S3079" s="1">
        <v>7676522945</v>
      </c>
      <c r="T3079" s="1" t="s">
        <v>16204</v>
      </c>
      <c r="U3079" s="1" t="s">
        <v>49837</v>
      </c>
      <c r="V3079" s="1">
        <v>6363051158</v>
      </c>
      <c r="W3079" s="1" t="s">
        <v>16204</v>
      </c>
      <c r="X3079" s="1" t="s">
        <v>49838</v>
      </c>
      <c r="Y3079" s="1" t="s">
        <v>9929</v>
      </c>
      <c r="Z3079" s="1" t="s">
        <v>1210</v>
      </c>
      <c r="AA3079" s="1" t="s">
        <v>49839</v>
      </c>
      <c r="AB3079" s="1" t="s">
        <v>196</v>
      </c>
      <c r="AC3079" s="1" t="s">
        <v>97</v>
      </c>
      <c r="AD3079" s="1" t="s">
        <v>98</v>
      </c>
      <c r="AE3079" s="1" t="s">
        <v>98</v>
      </c>
      <c r="AF3079" s="1" t="s">
        <v>49840</v>
      </c>
      <c r="AG3079" s="1" t="s">
        <v>49841</v>
      </c>
      <c r="AH3079" s="1" t="s">
        <v>166</v>
      </c>
      <c r="AI3079" s="1" t="s">
        <v>284</v>
      </c>
      <c r="AJ3079" s="1">
        <v>90.56</v>
      </c>
      <c r="AK3079" s="1"/>
      <c r="AL3079" s="1" t="s">
        <v>49842</v>
      </c>
      <c r="AM3079" s="1" t="s">
        <v>49843</v>
      </c>
      <c r="AN3079" s="1" t="s">
        <v>575</v>
      </c>
      <c r="AO3079" s="1" t="s">
        <v>170</v>
      </c>
      <c r="AP3079" s="1" t="s">
        <v>286</v>
      </c>
      <c r="AQ3079" s="1">
        <v>92</v>
      </c>
      <c r="AR3079" s="1"/>
      <c r="AS3079" s="1"/>
      <c r="AT3079" s="1"/>
      <c r="AU3079" s="1"/>
      <c r="AV3079" s="1"/>
      <c r="AW3079" s="1"/>
      <c r="AX3079" s="1"/>
      <c r="AY3079" s="1" t="s">
        <v>35547</v>
      </c>
      <c r="AZ3079" s="1" t="s">
        <v>49844</v>
      </c>
      <c r="BA3079" s="1" t="s">
        <v>466</v>
      </c>
      <c r="BB3079" s="1" t="s">
        <v>467</v>
      </c>
      <c r="BC3079" s="1" t="s">
        <v>106</v>
      </c>
      <c r="BD3079" s="1" t="s">
        <v>289</v>
      </c>
      <c r="BE3079" s="1">
        <v>77.3</v>
      </c>
      <c r="BF3079" s="1">
        <v>8.48</v>
      </c>
      <c r="BG3079" s="1"/>
      <c r="BH3079" s="1"/>
      <c r="BI3079" s="1"/>
      <c r="BJ3079" s="1"/>
      <c r="BK3079" s="1"/>
      <c r="BL3079" s="1"/>
      <c r="BM3079" s="1"/>
      <c r="BN3079" s="1"/>
      <c r="BO3079" s="1" t="s">
        <v>49845</v>
      </c>
      <c r="BP3079" s="1" t="s">
        <v>49846</v>
      </c>
      <c r="BQ3079" s="1" t="s">
        <v>4389</v>
      </c>
      <c r="BR3079" s="1" t="s">
        <v>49847</v>
      </c>
      <c r="BS3079" s="1">
        <v>6</v>
      </c>
      <c r="BT3079" s="1"/>
      <c r="BU3079" s="1" t="str">
        <f>HYPERLINK("https://nconnect.nicmar.ac.in/storage/profile/6a85dfd191c65.png","Download")</f>
        <v>0</v>
      </c>
      <c r="BV3079" s="3"/>
      <c r="BW3079" s="3"/>
    </row>
    <row r="3080" spans="1:75">
      <c r="A3080" s="1" t="s">
        <v>45201</v>
      </c>
      <c r="B3080" s="1" t="s">
        <v>13976</v>
      </c>
      <c r="C3080" s="1" t="s">
        <v>49848</v>
      </c>
      <c r="D3080" s="1" t="s">
        <v>49849</v>
      </c>
      <c r="E3080" s="1"/>
      <c r="F3080" s="1" t="s">
        <v>49850</v>
      </c>
      <c r="G3080" s="1" t="s">
        <v>49851</v>
      </c>
      <c r="H3080" s="1" t="s">
        <v>49852</v>
      </c>
      <c r="I3080" s="1" t="s">
        <v>49852</v>
      </c>
      <c r="J3080" s="1">
        <v>8319196700</v>
      </c>
      <c r="K3080" s="1" t="s">
        <v>84</v>
      </c>
      <c r="L3080" s="1" t="s">
        <v>1674</v>
      </c>
      <c r="M3080" s="1" t="s">
        <v>86</v>
      </c>
      <c r="N3080" s="1" t="s">
        <v>49853</v>
      </c>
      <c r="O3080" s="1" t="s">
        <v>49854</v>
      </c>
      <c r="P3080" s="1" t="s">
        <v>219</v>
      </c>
      <c r="Q3080" s="1">
        <v>548544945544</v>
      </c>
      <c r="R3080" s="1" t="s">
        <v>49855</v>
      </c>
      <c r="S3080" s="1">
        <v>7415868255</v>
      </c>
      <c r="T3080" s="1" t="s">
        <v>3441</v>
      </c>
      <c r="U3080" s="1" t="s">
        <v>49856</v>
      </c>
      <c r="V3080" s="1">
        <v>9039475878</v>
      </c>
      <c r="W3080" s="1" t="s">
        <v>15812</v>
      </c>
      <c r="X3080" s="1" t="s">
        <v>49857</v>
      </c>
      <c r="Y3080" s="1" t="s">
        <v>49858</v>
      </c>
      <c r="Z3080" s="1" t="s">
        <v>3419</v>
      </c>
      <c r="AA3080" s="1" t="s">
        <v>49857</v>
      </c>
      <c r="AB3080" s="1" t="s">
        <v>49858</v>
      </c>
      <c r="AC3080" s="1" t="s">
        <v>3419</v>
      </c>
      <c r="AD3080" s="1" t="s">
        <v>98</v>
      </c>
      <c r="AE3080" s="1" t="s">
        <v>98</v>
      </c>
      <c r="AF3080" s="1" t="s">
        <v>49859</v>
      </c>
      <c r="AG3080" s="1" t="s">
        <v>49860</v>
      </c>
      <c r="AH3080" s="1" t="s">
        <v>170</v>
      </c>
      <c r="AI3080" s="1" t="s">
        <v>171</v>
      </c>
      <c r="AJ3080" s="1">
        <v>76</v>
      </c>
      <c r="AK3080" s="1">
        <v>7.62</v>
      </c>
      <c r="AL3080" s="1" t="s">
        <v>49859</v>
      </c>
      <c r="AM3080" s="1" t="s">
        <v>49860</v>
      </c>
      <c r="AN3080" s="1" t="s">
        <v>465</v>
      </c>
      <c r="AO3080" s="1" t="s">
        <v>438</v>
      </c>
      <c r="AP3080" s="1" t="s">
        <v>178</v>
      </c>
      <c r="AQ3080" s="1">
        <v>67</v>
      </c>
      <c r="AR3080" s="1">
        <v>6.78</v>
      </c>
      <c r="AS3080" s="1"/>
      <c r="AT3080" s="1"/>
      <c r="AU3080" s="1"/>
      <c r="AV3080" s="1"/>
      <c r="AW3080" s="1"/>
      <c r="AX3080" s="1"/>
      <c r="AY3080" s="1" t="s">
        <v>49861</v>
      </c>
      <c r="AZ3080" s="1" t="s">
        <v>49862</v>
      </c>
      <c r="BA3080" s="1" t="s">
        <v>682</v>
      </c>
      <c r="BB3080" s="1" t="s">
        <v>683</v>
      </c>
      <c r="BC3080" s="1" t="s">
        <v>549</v>
      </c>
      <c r="BD3080" s="1" t="s">
        <v>14162</v>
      </c>
      <c r="BE3080" s="1">
        <v>80</v>
      </c>
      <c r="BF3080" s="1">
        <v>8.06</v>
      </c>
      <c r="BG3080" s="1"/>
      <c r="BH3080" s="1"/>
      <c r="BI3080" s="1"/>
      <c r="BJ3080" s="1"/>
      <c r="BK3080" s="1"/>
      <c r="BL3080" s="1"/>
      <c r="BM3080" s="1"/>
      <c r="BN3080" s="1"/>
      <c r="BO3080" s="1" t="s">
        <v>49863</v>
      </c>
      <c r="BP3080" s="1"/>
      <c r="BQ3080" s="1"/>
      <c r="BR3080" s="1"/>
      <c r="BS3080" s="1"/>
      <c r="BT3080" s="1" t="s">
        <v>49864</v>
      </c>
      <c r="BU3080" s="1" t="str">
        <f>HYPERLINK("https://nconnect.nicmar.ac.in/storage/profile/6a85b9de27193.png","Download")</f>
        <v>0</v>
      </c>
      <c r="BV3080" s="3"/>
      <c r="BW3080" s="3"/>
    </row>
    <row r="3081" spans="1:75">
      <c r="A3081" s="1" t="s">
        <v>45201</v>
      </c>
      <c r="B3081" s="1" t="s">
        <v>13976</v>
      </c>
      <c r="C3081" s="1" t="s">
        <v>49865</v>
      </c>
      <c r="D3081" s="1" t="s">
        <v>2097</v>
      </c>
      <c r="E3081" s="1" t="s">
        <v>5073</v>
      </c>
      <c r="F3081" s="1" t="s">
        <v>985</v>
      </c>
      <c r="G3081" s="1" t="s">
        <v>49866</v>
      </c>
      <c r="H3081" s="1" t="s">
        <v>49867</v>
      </c>
      <c r="I3081" s="1" t="s">
        <v>49868</v>
      </c>
      <c r="J3081" s="1">
        <v>9920067297</v>
      </c>
      <c r="K3081" s="1" t="s">
        <v>84</v>
      </c>
      <c r="L3081" s="1" t="s">
        <v>49869</v>
      </c>
      <c r="M3081" s="1" t="s">
        <v>86</v>
      </c>
      <c r="N3081" s="1" t="s">
        <v>49870</v>
      </c>
      <c r="O3081" s="1" t="s">
        <v>22077</v>
      </c>
      <c r="P3081" s="1" t="s">
        <v>89</v>
      </c>
      <c r="Q3081" s="1">
        <v>784260247930</v>
      </c>
      <c r="R3081" s="1" t="s">
        <v>49871</v>
      </c>
      <c r="S3081" s="1">
        <v>9820067297</v>
      </c>
      <c r="T3081" s="1" t="s">
        <v>13573</v>
      </c>
      <c r="U3081" s="1" t="s">
        <v>49872</v>
      </c>
      <c r="V3081" s="1">
        <v>8850676631</v>
      </c>
      <c r="W3081" s="1" t="s">
        <v>161</v>
      </c>
      <c r="X3081" s="1" t="s">
        <v>49873</v>
      </c>
      <c r="Y3081" s="1" t="s">
        <v>2259</v>
      </c>
      <c r="Z3081" s="1" t="s">
        <v>97</v>
      </c>
      <c r="AA3081" s="1" t="s">
        <v>49873</v>
      </c>
      <c r="AB3081" s="1" t="s">
        <v>2259</v>
      </c>
      <c r="AC3081" s="1" t="s">
        <v>97</v>
      </c>
      <c r="AD3081" s="1" t="s">
        <v>98</v>
      </c>
      <c r="AE3081" s="1" t="s">
        <v>98</v>
      </c>
      <c r="AF3081" s="1" t="s">
        <v>49874</v>
      </c>
      <c r="AG3081" s="1" t="s">
        <v>165</v>
      </c>
      <c r="AH3081" s="1" t="s">
        <v>166</v>
      </c>
      <c r="AI3081" s="1" t="s">
        <v>627</v>
      </c>
      <c r="AJ3081" s="1">
        <v>85.4</v>
      </c>
      <c r="AK3081" s="1"/>
      <c r="AL3081" s="1" t="s">
        <v>49875</v>
      </c>
      <c r="AM3081" s="1" t="s">
        <v>165</v>
      </c>
      <c r="AN3081" s="1" t="s">
        <v>465</v>
      </c>
      <c r="AO3081" s="1" t="s">
        <v>170</v>
      </c>
      <c r="AP3081" s="1" t="s">
        <v>171</v>
      </c>
      <c r="AQ3081" s="1">
        <v>62.31</v>
      </c>
      <c r="AR3081" s="1"/>
      <c r="AS3081" s="1"/>
      <c r="AT3081" s="1"/>
      <c r="AU3081" s="1"/>
      <c r="AV3081" s="1"/>
      <c r="AW3081" s="1"/>
      <c r="AX3081" s="1"/>
      <c r="AY3081" s="1" t="s">
        <v>258</v>
      </c>
      <c r="AZ3081" s="1" t="s">
        <v>49876</v>
      </c>
      <c r="BA3081" s="1" t="s">
        <v>682</v>
      </c>
      <c r="BB3081" s="1" t="s">
        <v>1561</v>
      </c>
      <c r="BC3081" s="1" t="s">
        <v>438</v>
      </c>
      <c r="BD3081" s="1" t="s">
        <v>418</v>
      </c>
      <c r="BE3081" s="1">
        <v>66.24</v>
      </c>
      <c r="BF3081" s="1">
        <v>7.33</v>
      </c>
      <c r="BG3081" s="1"/>
      <c r="BH3081" s="1"/>
      <c r="BI3081" s="1"/>
      <c r="BJ3081" s="1"/>
      <c r="BK3081" s="1"/>
      <c r="BL3081" s="1"/>
      <c r="BM3081" s="1"/>
      <c r="BN3081" s="1"/>
      <c r="BO3081" s="1" t="s">
        <v>49877</v>
      </c>
      <c r="BP3081" s="1" t="s">
        <v>49878</v>
      </c>
      <c r="BQ3081" s="1" t="s">
        <v>4149</v>
      </c>
      <c r="BR3081" s="1"/>
      <c r="BS3081" s="1"/>
      <c r="BT3081" s="1"/>
      <c r="BU3081" s="1" t="str">
        <f>HYPERLINK("https://nconnect.nicmar.ac.in/storage/profile/6a8731ef7f583.png","Download")</f>
        <v>0</v>
      </c>
      <c r="BV3081" s="3"/>
      <c r="BW3081" s="3"/>
    </row>
    <row r="3082" spans="1:75">
      <c r="A3082" s="1" t="s">
        <v>45201</v>
      </c>
      <c r="B3082" s="1" t="s">
        <v>13976</v>
      </c>
      <c r="C3082" s="1" t="s">
        <v>49879</v>
      </c>
      <c r="D3082" s="1" t="s">
        <v>49880</v>
      </c>
      <c r="E3082" s="1" t="s">
        <v>49881</v>
      </c>
      <c r="F3082" s="1" t="s">
        <v>49882</v>
      </c>
      <c r="G3082" s="1" t="s">
        <v>49883</v>
      </c>
      <c r="H3082" s="1" t="s">
        <v>49884</v>
      </c>
      <c r="I3082" s="1" t="s">
        <v>49884</v>
      </c>
      <c r="J3082" s="1">
        <v>7506007025</v>
      </c>
      <c r="K3082" s="1" t="s">
        <v>153</v>
      </c>
      <c r="L3082" s="1" t="s">
        <v>49885</v>
      </c>
      <c r="M3082" s="1" t="s">
        <v>86</v>
      </c>
      <c r="N3082" s="1" t="s">
        <v>618</v>
      </c>
      <c r="O3082" s="1" t="s">
        <v>49886</v>
      </c>
      <c r="P3082" s="1" t="s">
        <v>219</v>
      </c>
      <c r="Q3082" s="1">
        <v>225684217522</v>
      </c>
      <c r="R3082" s="1" t="s">
        <v>17961</v>
      </c>
      <c r="S3082" s="1">
        <v>9221479363</v>
      </c>
      <c r="T3082" s="1" t="s">
        <v>49887</v>
      </c>
      <c r="U3082" s="1" t="s">
        <v>14145</v>
      </c>
      <c r="V3082" s="1">
        <v>8591423881</v>
      </c>
      <c r="W3082" s="1" t="s">
        <v>16332</v>
      </c>
      <c r="X3082" s="1" t="s">
        <v>49888</v>
      </c>
      <c r="Y3082" s="1" t="s">
        <v>2259</v>
      </c>
      <c r="Z3082" s="1" t="s">
        <v>97</v>
      </c>
      <c r="AA3082" s="1" t="s">
        <v>49888</v>
      </c>
      <c r="AB3082" s="1" t="s">
        <v>2259</v>
      </c>
      <c r="AC3082" s="1" t="s">
        <v>97</v>
      </c>
      <c r="AD3082" s="1" t="s">
        <v>98</v>
      </c>
      <c r="AE3082" s="1" t="s">
        <v>98</v>
      </c>
      <c r="AF3082" s="1" t="s">
        <v>49889</v>
      </c>
      <c r="AG3082" s="1" t="s">
        <v>16008</v>
      </c>
      <c r="AH3082" s="1" t="s">
        <v>1213</v>
      </c>
      <c r="AI3082" s="1" t="s">
        <v>101</v>
      </c>
      <c r="AJ3082" s="1">
        <v>81</v>
      </c>
      <c r="AK3082" s="1"/>
      <c r="AL3082" s="1"/>
      <c r="AM3082" s="1"/>
      <c r="AN3082" s="1"/>
      <c r="AO3082" s="1"/>
      <c r="AP3082" s="1"/>
      <c r="AQ3082" s="1"/>
      <c r="AR3082" s="1"/>
      <c r="AS3082" s="1" t="s">
        <v>14158</v>
      </c>
      <c r="AT3082" s="1" t="s">
        <v>49890</v>
      </c>
      <c r="AU3082" s="1" t="s">
        <v>135</v>
      </c>
      <c r="AV3082" s="1" t="s">
        <v>573</v>
      </c>
      <c r="AW3082" s="1">
        <v>81.88</v>
      </c>
      <c r="AX3082" s="1"/>
      <c r="AY3082" s="1" t="s">
        <v>14380</v>
      </c>
      <c r="AZ3082" s="1" t="s">
        <v>49891</v>
      </c>
      <c r="BA3082" s="1" t="s">
        <v>578</v>
      </c>
      <c r="BB3082" s="1" t="s">
        <v>467</v>
      </c>
      <c r="BC3082" s="1" t="s">
        <v>170</v>
      </c>
      <c r="BD3082" s="1" t="s">
        <v>175</v>
      </c>
      <c r="BE3082" s="1">
        <v>71</v>
      </c>
      <c r="BF3082" s="1">
        <v>7.92</v>
      </c>
      <c r="BG3082" s="1"/>
      <c r="BH3082" s="1"/>
      <c r="BI3082" s="1"/>
      <c r="BJ3082" s="1"/>
      <c r="BK3082" s="1"/>
      <c r="BL3082" s="1"/>
      <c r="BM3082" s="1"/>
      <c r="BN3082" s="1"/>
      <c r="BO3082" s="1" t="s">
        <v>49892</v>
      </c>
      <c r="BP3082" s="1" t="s">
        <v>49893</v>
      </c>
      <c r="BQ3082" s="1" t="s">
        <v>22407</v>
      </c>
      <c r="BR3082" s="1"/>
      <c r="BS3082" s="1"/>
      <c r="BT3082" s="1"/>
      <c r="BU3082" s="1" t="str">
        <f>HYPERLINK("https://nconnect.nicmar.ac.in/storage/profile/6a8586d76ba34.png","Download")</f>
        <v>0</v>
      </c>
      <c r="BV3082" s="3"/>
      <c r="BW3082" s="3"/>
    </row>
    <row r="3083" spans="1:75">
      <c r="A3083" s="1" t="s">
        <v>45201</v>
      </c>
      <c r="B3083" s="1" t="s">
        <v>13976</v>
      </c>
      <c r="C3083" s="1" t="s">
        <v>49894</v>
      </c>
      <c r="D3083" s="1" t="s">
        <v>49895</v>
      </c>
      <c r="E3083" s="1"/>
      <c r="F3083" s="1" t="s">
        <v>49896</v>
      </c>
      <c r="G3083" s="1" t="s">
        <v>49897</v>
      </c>
      <c r="H3083" s="1" t="s">
        <v>49898</v>
      </c>
      <c r="I3083" s="1" t="s">
        <v>49898</v>
      </c>
      <c r="J3083" s="1">
        <v>7032902322</v>
      </c>
      <c r="K3083" s="1" t="s">
        <v>153</v>
      </c>
      <c r="L3083" s="1" t="s">
        <v>49899</v>
      </c>
      <c r="M3083" s="1" t="s">
        <v>155</v>
      </c>
      <c r="N3083" s="1" t="s">
        <v>12270</v>
      </c>
      <c r="O3083" s="1" t="s">
        <v>49900</v>
      </c>
      <c r="P3083" s="1" t="s">
        <v>122</v>
      </c>
      <c r="Q3083" s="1">
        <v>549601344655</v>
      </c>
      <c r="R3083" s="1" t="s">
        <v>49901</v>
      </c>
      <c r="S3083" s="1" t="s">
        <v>16692</v>
      </c>
      <c r="T3083" s="1" t="s">
        <v>49902</v>
      </c>
      <c r="U3083" s="1" t="s">
        <v>49903</v>
      </c>
      <c r="V3083" s="1">
        <v>9733022415</v>
      </c>
      <c r="W3083" s="1" t="s">
        <v>2177</v>
      </c>
      <c r="X3083" s="1" t="s">
        <v>49904</v>
      </c>
      <c r="Y3083" s="1" t="s">
        <v>17357</v>
      </c>
      <c r="Z3083" s="1" t="s">
        <v>1234</v>
      </c>
      <c r="AA3083" s="1" t="s">
        <v>49904</v>
      </c>
      <c r="AB3083" s="1" t="s">
        <v>17357</v>
      </c>
      <c r="AC3083" s="1" t="s">
        <v>1234</v>
      </c>
      <c r="AD3083" s="1" t="s">
        <v>98</v>
      </c>
      <c r="AE3083" s="1" t="s">
        <v>98</v>
      </c>
      <c r="AF3083" s="1" t="s">
        <v>49905</v>
      </c>
      <c r="AG3083" s="1" t="s">
        <v>17359</v>
      </c>
      <c r="AH3083" s="1" t="s">
        <v>49906</v>
      </c>
      <c r="AI3083" s="1" t="s">
        <v>49907</v>
      </c>
      <c r="AJ3083" s="1">
        <v>80.5</v>
      </c>
      <c r="AK3083" s="1"/>
      <c r="AL3083" s="1" t="s">
        <v>49905</v>
      </c>
      <c r="AM3083" s="1" t="s">
        <v>17361</v>
      </c>
      <c r="AN3083" s="1" t="s">
        <v>575</v>
      </c>
      <c r="AO3083" s="1" t="s">
        <v>49908</v>
      </c>
      <c r="AP3083" s="1" t="s">
        <v>49909</v>
      </c>
      <c r="AQ3083" s="1">
        <v>81.5</v>
      </c>
      <c r="AR3083" s="1"/>
      <c r="AS3083" s="1"/>
      <c r="AT3083" s="1"/>
      <c r="AU3083" s="1"/>
      <c r="AV3083" s="1"/>
      <c r="AW3083" s="1"/>
      <c r="AX3083" s="1"/>
      <c r="AY3083" s="1" t="s">
        <v>49910</v>
      </c>
      <c r="AZ3083" s="1" t="s">
        <v>49911</v>
      </c>
      <c r="BA3083" s="1" t="s">
        <v>578</v>
      </c>
      <c r="BB3083" s="1" t="s">
        <v>467</v>
      </c>
      <c r="BC3083" s="1" t="s">
        <v>34287</v>
      </c>
      <c r="BD3083" s="1" t="s">
        <v>19995</v>
      </c>
      <c r="BE3083" s="1">
        <v>72.99</v>
      </c>
      <c r="BF3083" s="1"/>
      <c r="BG3083" s="1" t="s">
        <v>49912</v>
      </c>
      <c r="BH3083" s="1" t="s">
        <v>49912</v>
      </c>
      <c r="BI3083" s="1" t="s">
        <v>44607</v>
      </c>
      <c r="BJ3083" s="1" t="s">
        <v>1062</v>
      </c>
      <c r="BK3083" s="1" t="s">
        <v>25321</v>
      </c>
      <c r="BL3083" s="1" t="s">
        <v>49913</v>
      </c>
      <c r="BM3083" s="1">
        <v>75</v>
      </c>
      <c r="BN3083" s="1">
        <v>6.92</v>
      </c>
      <c r="BO3083" s="1" t="s">
        <v>49914</v>
      </c>
      <c r="BP3083" s="1" t="s">
        <v>49915</v>
      </c>
      <c r="BQ3083" s="1" t="s">
        <v>49916</v>
      </c>
      <c r="BR3083" s="1" t="s">
        <v>49917</v>
      </c>
      <c r="BS3083" s="1">
        <v>2</v>
      </c>
      <c r="BT3083" s="1"/>
      <c r="BU3083" s="1" t="str">
        <f>HYPERLINK("https://nconnect.nicmar.ac.in/storage/profile/6a85ee7baf2d1.png","Download")</f>
        <v>0</v>
      </c>
      <c r="BV3083" s="3"/>
      <c r="BW3083" s="3"/>
    </row>
    <row r="3084" spans="1:75">
      <c r="A3084" s="1" t="s">
        <v>45201</v>
      </c>
      <c r="B3084" s="1" t="s">
        <v>13976</v>
      </c>
      <c r="C3084" s="1" t="s">
        <v>49918</v>
      </c>
      <c r="D3084" s="1" t="s">
        <v>49919</v>
      </c>
      <c r="E3084" s="1"/>
      <c r="F3084" s="1" t="s">
        <v>30991</v>
      </c>
      <c r="G3084" s="1" t="s">
        <v>49920</v>
      </c>
      <c r="H3084" s="1" t="s">
        <v>49921</v>
      </c>
      <c r="I3084" s="1" t="s">
        <v>49921</v>
      </c>
      <c r="J3084" s="1">
        <v>7077972461</v>
      </c>
      <c r="K3084" s="1" t="s">
        <v>84</v>
      </c>
      <c r="L3084" s="1" t="s">
        <v>38230</v>
      </c>
      <c r="M3084" s="1" t="s">
        <v>86</v>
      </c>
      <c r="N3084" s="1" t="s">
        <v>49922</v>
      </c>
      <c r="O3084" s="1" t="s">
        <v>49923</v>
      </c>
      <c r="P3084" s="1" t="s">
        <v>122</v>
      </c>
      <c r="Q3084" s="1">
        <v>357480810095</v>
      </c>
      <c r="R3084" s="1" t="s">
        <v>49924</v>
      </c>
      <c r="S3084" s="1">
        <v>9937629066</v>
      </c>
      <c r="T3084" s="1" t="s">
        <v>49925</v>
      </c>
      <c r="U3084" s="1" t="s">
        <v>49926</v>
      </c>
      <c r="V3084" s="1">
        <v>9178608701</v>
      </c>
      <c r="W3084" s="1" t="s">
        <v>15588</v>
      </c>
      <c r="X3084" s="1" t="s">
        <v>49927</v>
      </c>
      <c r="Y3084" s="1" t="s">
        <v>4437</v>
      </c>
      <c r="Z3084" s="1" t="s">
        <v>865</v>
      </c>
      <c r="AA3084" s="1" t="s">
        <v>49927</v>
      </c>
      <c r="AB3084" s="1" t="s">
        <v>4437</v>
      </c>
      <c r="AC3084" s="1" t="s">
        <v>865</v>
      </c>
      <c r="AD3084" s="1" t="s">
        <v>98</v>
      </c>
      <c r="AE3084" s="1" t="s">
        <v>98</v>
      </c>
      <c r="AF3084" s="1" t="s">
        <v>49928</v>
      </c>
      <c r="AG3084" s="1" t="s">
        <v>49929</v>
      </c>
      <c r="AH3084" s="1" t="s">
        <v>728</v>
      </c>
      <c r="AI3084" s="1" t="s">
        <v>704</v>
      </c>
      <c r="AJ3084" s="1">
        <v>74</v>
      </c>
      <c r="AK3084" s="1"/>
      <c r="AL3084" s="1"/>
      <c r="AM3084" s="1"/>
      <c r="AN3084" s="1"/>
      <c r="AO3084" s="1"/>
      <c r="AP3084" s="1"/>
      <c r="AQ3084" s="1"/>
      <c r="AR3084" s="1"/>
      <c r="AS3084" s="1" t="s">
        <v>49930</v>
      </c>
      <c r="AT3084" s="1" t="s">
        <v>49931</v>
      </c>
      <c r="AU3084" s="1" t="s">
        <v>573</v>
      </c>
      <c r="AV3084" s="1" t="s">
        <v>468</v>
      </c>
      <c r="AW3084" s="1">
        <v>73.8</v>
      </c>
      <c r="AX3084" s="1"/>
      <c r="AY3084" s="1" t="s">
        <v>49932</v>
      </c>
      <c r="AZ3084" s="1" t="s">
        <v>49933</v>
      </c>
      <c r="BA3084" s="1" t="s">
        <v>466</v>
      </c>
      <c r="BB3084" s="1" t="s">
        <v>44085</v>
      </c>
      <c r="BC3084" s="1" t="s">
        <v>977</v>
      </c>
      <c r="BD3084" s="1" t="s">
        <v>579</v>
      </c>
      <c r="BE3084" s="1">
        <v>74</v>
      </c>
      <c r="BF3084" s="1"/>
      <c r="BG3084" s="1"/>
      <c r="BH3084" s="1"/>
      <c r="BI3084" s="1"/>
      <c r="BJ3084" s="1"/>
      <c r="BK3084" s="1"/>
      <c r="BL3084" s="1"/>
      <c r="BM3084" s="1"/>
      <c r="BN3084" s="1"/>
      <c r="BO3084" s="1" t="s">
        <v>49934</v>
      </c>
      <c r="BP3084" s="1" t="s">
        <v>49935</v>
      </c>
      <c r="BQ3084" s="1" t="s">
        <v>1482</v>
      </c>
      <c r="BR3084" s="1"/>
      <c r="BS3084" s="1"/>
      <c r="BT3084" s="1" t="s">
        <v>49936</v>
      </c>
      <c r="BU3084" s="1" t="str">
        <f>HYPERLINK("https://nconnect.nicmar.ac.in/storage/profile/6a85a527100f7.png","Download")</f>
        <v>0</v>
      </c>
      <c r="BV3084" s="3"/>
      <c r="BW3084" s="3"/>
    </row>
    <row r="3085" spans="1:75">
      <c r="A3085" s="1" t="s">
        <v>45201</v>
      </c>
      <c r="B3085" s="1" t="s">
        <v>13976</v>
      </c>
      <c r="C3085" s="1" t="s">
        <v>49937</v>
      </c>
      <c r="D3085" s="1" t="s">
        <v>49938</v>
      </c>
      <c r="E3085" s="1"/>
      <c r="F3085" s="1" t="s">
        <v>1361</v>
      </c>
      <c r="G3085" s="1" t="s">
        <v>49939</v>
      </c>
      <c r="H3085" s="1" t="s">
        <v>49940</v>
      </c>
      <c r="I3085" s="1" t="s">
        <v>49941</v>
      </c>
      <c r="J3085" s="1">
        <v>9110630726</v>
      </c>
      <c r="K3085" s="1" t="s">
        <v>153</v>
      </c>
      <c r="L3085" s="1" t="s">
        <v>9255</v>
      </c>
      <c r="M3085" s="1" t="s">
        <v>86</v>
      </c>
      <c r="N3085" s="1" t="s">
        <v>14464</v>
      </c>
      <c r="O3085" s="1" t="s">
        <v>49942</v>
      </c>
      <c r="P3085" s="1" t="s">
        <v>219</v>
      </c>
      <c r="Q3085" s="1">
        <v>508820822918</v>
      </c>
      <c r="R3085" s="1" t="s">
        <v>49943</v>
      </c>
      <c r="S3085" s="1">
        <v>8050015977</v>
      </c>
      <c r="T3085" s="1" t="s">
        <v>49944</v>
      </c>
      <c r="U3085" s="1" t="s">
        <v>49945</v>
      </c>
      <c r="V3085" s="1">
        <v>9449058751</v>
      </c>
      <c r="W3085" s="1" t="s">
        <v>49946</v>
      </c>
      <c r="X3085" s="1" t="s">
        <v>49947</v>
      </c>
      <c r="Y3085" s="1" t="s">
        <v>4069</v>
      </c>
      <c r="Z3085" s="1" t="s">
        <v>1210</v>
      </c>
      <c r="AA3085" s="1" t="s">
        <v>49947</v>
      </c>
      <c r="AB3085" s="1" t="s">
        <v>4069</v>
      </c>
      <c r="AC3085" s="1" t="s">
        <v>1210</v>
      </c>
      <c r="AD3085" s="1" t="s">
        <v>98</v>
      </c>
      <c r="AE3085" s="1" t="s">
        <v>98</v>
      </c>
      <c r="AF3085" s="1" t="s">
        <v>49948</v>
      </c>
      <c r="AG3085" s="1" t="s">
        <v>49949</v>
      </c>
      <c r="AH3085" s="1" t="s">
        <v>167</v>
      </c>
      <c r="AI3085" s="1" t="s">
        <v>170</v>
      </c>
      <c r="AJ3085" s="1">
        <v>87.4</v>
      </c>
      <c r="AK3085" s="1">
        <v>9.2</v>
      </c>
      <c r="AL3085" s="1" t="s">
        <v>49950</v>
      </c>
      <c r="AM3085" s="1" t="s">
        <v>49951</v>
      </c>
      <c r="AN3085" s="1" t="s">
        <v>575</v>
      </c>
      <c r="AO3085" s="1" t="s">
        <v>170</v>
      </c>
      <c r="AP3085" s="1" t="s">
        <v>438</v>
      </c>
      <c r="AQ3085" s="1">
        <v>78.5</v>
      </c>
      <c r="AR3085" s="1"/>
      <c r="AS3085" s="1"/>
      <c r="AT3085" s="1"/>
      <c r="AU3085" s="1"/>
      <c r="AV3085" s="1"/>
      <c r="AW3085" s="1"/>
      <c r="AX3085" s="1"/>
      <c r="AY3085" s="1" t="s">
        <v>15972</v>
      </c>
      <c r="AZ3085" s="1" t="s">
        <v>49952</v>
      </c>
      <c r="BA3085" s="1" t="s">
        <v>682</v>
      </c>
      <c r="BB3085" s="1" t="s">
        <v>1479</v>
      </c>
      <c r="BC3085" s="1" t="s">
        <v>206</v>
      </c>
      <c r="BD3085" s="1" t="s">
        <v>1089</v>
      </c>
      <c r="BE3085" s="1">
        <v>65.5</v>
      </c>
      <c r="BF3085" s="1">
        <v>7.3</v>
      </c>
      <c r="BG3085" s="1"/>
      <c r="BH3085" s="1"/>
      <c r="BI3085" s="1"/>
      <c r="BJ3085" s="1"/>
      <c r="BK3085" s="1"/>
      <c r="BL3085" s="1"/>
      <c r="BM3085" s="1"/>
      <c r="BN3085" s="1"/>
      <c r="BO3085" s="1" t="s">
        <v>49953</v>
      </c>
      <c r="BP3085" s="1" t="s">
        <v>49954</v>
      </c>
      <c r="BQ3085" s="1" t="s">
        <v>658</v>
      </c>
      <c r="BR3085" s="1" t="s">
        <v>49955</v>
      </c>
      <c r="BS3085" s="1">
        <v>41</v>
      </c>
      <c r="BT3085" s="1"/>
      <c r="BU3085" s="1" t="str">
        <f>HYPERLINK("https://nconnect.nicmar.ac.in/storage/profile/6a85fedde635b.png","Download")</f>
        <v>0</v>
      </c>
      <c r="BV3085" s="3"/>
      <c r="BW3085" s="3"/>
    </row>
    <row r="3086" spans="1:75">
      <c r="A3086" s="1" t="s">
        <v>45201</v>
      </c>
      <c r="B3086" s="1" t="s">
        <v>13976</v>
      </c>
      <c r="C3086" s="1" t="s">
        <v>49956</v>
      </c>
      <c r="D3086" s="1" t="s">
        <v>49957</v>
      </c>
      <c r="E3086" s="1"/>
      <c r="F3086" s="1" t="s">
        <v>1964</v>
      </c>
      <c r="G3086" s="1" t="s">
        <v>49958</v>
      </c>
      <c r="H3086" s="1" t="s">
        <v>49959</v>
      </c>
      <c r="I3086" s="1" t="s">
        <v>49960</v>
      </c>
      <c r="J3086" s="1">
        <v>9731034229</v>
      </c>
      <c r="K3086" s="1" t="s">
        <v>84</v>
      </c>
      <c r="L3086" s="1" t="s">
        <v>49961</v>
      </c>
      <c r="M3086" s="1" t="s">
        <v>86</v>
      </c>
      <c r="N3086" s="1" t="s">
        <v>49962</v>
      </c>
      <c r="O3086" s="1" t="s">
        <v>49963</v>
      </c>
      <c r="P3086" s="1" t="s">
        <v>219</v>
      </c>
      <c r="Q3086" s="1">
        <v>332358146974</v>
      </c>
      <c r="R3086" s="1" t="s">
        <v>49964</v>
      </c>
      <c r="S3086" s="1">
        <v>9731773979</v>
      </c>
      <c r="T3086" s="1" t="s">
        <v>17448</v>
      </c>
      <c r="U3086" s="1" t="s">
        <v>49965</v>
      </c>
      <c r="V3086" s="1">
        <v>9060082235</v>
      </c>
      <c r="W3086" s="1" t="s">
        <v>9679</v>
      </c>
      <c r="X3086" s="1" t="s">
        <v>49966</v>
      </c>
      <c r="Y3086" s="1" t="s">
        <v>3985</v>
      </c>
      <c r="Z3086" s="1" t="s">
        <v>1210</v>
      </c>
      <c r="AA3086" s="1" t="s">
        <v>49966</v>
      </c>
      <c r="AB3086" s="1" t="s">
        <v>3985</v>
      </c>
      <c r="AC3086" s="1" t="s">
        <v>1210</v>
      </c>
      <c r="AD3086" s="1" t="s">
        <v>98</v>
      </c>
      <c r="AE3086" s="1" t="s">
        <v>98</v>
      </c>
      <c r="AF3086" s="1" t="s">
        <v>49967</v>
      </c>
      <c r="AG3086" s="1" t="s">
        <v>46440</v>
      </c>
      <c r="AH3086" s="1" t="s">
        <v>101</v>
      </c>
      <c r="AI3086" s="1" t="s">
        <v>1110</v>
      </c>
      <c r="AJ3086" s="1">
        <v>94.4</v>
      </c>
      <c r="AK3086" s="1"/>
      <c r="AL3086" s="1" t="s">
        <v>49968</v>
      </c>
      <c r="AM3086" s="1" t="s">
        <v>24367</v>
      </c>
      <c r="AN3086" s="1" t="s">
        <v>575</v>
      </c>
      <c r="AO3086" s="1" t="s">
        <v>1111</v>
      </c>
      <c r="AP3086" s="1" t="s">
        <v>200</v>
      </c>
      <c r="AQ3086" s="1">
        <v>85.33</v>
      </c>
      <c r="AR3086" s="1"/>
      <c r="AS3086" s="1"/>
      <c r="AT3086" s="1"/>
      <c r="AU3086" s="1"/>
      <c r="AV3086" s="1"/>
      <c r="AW3086" s="1"/>
      <c r="AX3086" s="1"/>
      <c r="AY3086" s="1" t="s">
        <v>15972</v>
      </c>
      <c r="AZ3086" s="1" t="s">
        <v>49969</v>
      </c>
      <c r="BA3086" s="1" t="s">
        <v>578</v>
      </c>
      <c r="BB3086" s="1" t="s">
        <v>467</v>
      </c>
      <c r="BC3086" s="1" t="s">
        <v>1065</v>
      </c>
      <c r="BD3086" s="1" t="s">
        <v>1400</v>
      </c>
      <c r="BE3086" s="1">
        <v>75.33</v>
      </c>
      <c r="BF3086" s="1">
        <v>8.28</v>
      </c>
      <c r="BG3086" s="1"/>
      <c r="BH3086" s="1"/>
      <c r="BI3086" s="1"/>
      <c r="BJ3086" s="1"/>
      <c r="BK3086" s="1"/>
      <c r="BL3086" s="1"/>
      <c r="BM3086" s="1"/>
      <c r="BN3086" s="1"/>
      <c r="BO3086" s="1" t="s">
        <v>49970</v>
      </c>
      <c r="BP3086" s="1" t="s">
        <v>49971</v>
      </c>
      <c r="BQ3086" s="1" t="s">
        <v>2462</v>
      </c>
      <c r="BR3086" s="1" t="s">
        <v>49972</v>
      </c>
      <c r="BS3086" s="1">
        <v>4</v>
      </c>
      <c r="BT3086" s="1" t="s">
        <v>49973</v>
      </c>
      <c r="BU3086" s="1" t="str">
        <f>HYPERLINK("https://nconnect.nicmar.ac.in/storage/profile/6a85e911e0891.png","Download")</f>
        <v>0</v>
      </c>
      <c r="BV3086" s="3"/>
      <c r="BW3086" s="3"/>
    </row>
    <row r="3087" spans="1:75">
      <c r="A3087" s="1" t="s">
        <v>45201</v>
      </c>
      <c r="B3087" s="1" t="s">
        <v>13976</v>
      </c>
      <c r="C3087" s="1" t="s">
        <v>49974</v>
      </c>
      <c r="D3087" s="1" t="s">
        <v>49975</v>
      </c>
      <c r="E3087" s="1" t="s">
        <v>49976</v>
      </c>
      <c r="F3087" s="1" t="s">
        <v>49977</v>
      </c>
      <c r="G3087" s="1" t="s">
        <v>49978</v>
      </c>
      <c r="H3087" s="1" t="s">
        <v>49979</v>
      </c>
      <c r="I3087" s="1" t="s">
        <v>49980</v>
      </c>
      <c r="J3087" s="1">
        <v>8097515233</v>
      </c>
      <c r="K3087" s="1" t="s">
        <v>84</v>
      </c>
      <c r="L3087" s="1" t="s">
        <v>47306</v>
      </c>
      <c r="M3087" s="1" t="s">
        <v>86</v>
      </c>
      <c r="N3087" s="1" t="s">
        <v>24424</v>
      </c>
      <c r="O3087" s="1" t="s">
        <v>35272</v>
      </c>
      <c r="P3087" s="1" t="s">
        <v>356</v>
      </c>
      <c r="Q3087" s="1">
        <v>838872879462</v>
      </c>
      <c r="R3087" s="1" t="s">
        <v>49981</v>
      </c>
      <c r="S3087" s="1">
        <v>7977200873</v>
      </c>
      <c r="T3087" s="1" t="s">
        <v>49982</v>
      </c>
      <c r="U3087" s="1" t="s">
        <v>49983</v>
      </c>
      <c r="V3087" s="1">
        <v>8976012674</v>
      </c>
      <c r="W3087" s="1" t="s">
        <v>3441</v>
      </c>
      <c r="X3087" s="1" t="s">
        <v>49984</v>
      </c>
      <c r="Y3087" s="1" t="s">
        <v>2259</v>
      </c>
      <c r="Z3087" s="1" t="s">
        <v>97</v>
      </c>
      <c r="AA3087" s="1" t="s">
        <v>49984</v>
      </c>
      <c r="AB3087" s="1" t="s">
        <v>2259</v>
      </c>
      <c r="AC3087" s="1" t="s">
        <v>97</v>
      </c>
      <c r="AD3087" s="1" t="s">
        <v>98</v>
      </c>
      <c r="AE3087" s="1" t="s">
        <v>98</v>
      </c>
      <c r="AF3087" s="1"/>
      <c r="AG3087" s="1"/>
      <c r="AH3087" s="1"/>
      <c r="AI3087" s="1"/>
      <c r="AJ3087" s="1"/>
      <c r="AK3087" s="1"/>
      <c r="AL3087" s="1"/>
      <c r="AM3087" s="1"/>
      <c r="AN3087" s="1"/>
      <c r="AO3087" s="1"/>
      <c r="AP3087" s="1"/>
      <c r="AQ3087" s="1"/>
      <c r="AR3087" s="1"/>
      <c r="AS3087" s="1"/>
      <c r="AT3087" s="1"/>
      <c r="AU3087" s="1"/>
      <c r="AV3087" s="1"/>
      <c r="AW3087" s="1"/>
      <c r="AX3087" s="1"/>
      <c r="AY3087" s="1"/>
      <c r="AZ3087" s="1"/>
      <c r="BA3087" s="1"/>
      <c r="BB3087" s="1"/>
      <c r="BC3087" s="1"/>
      <c r="BD3087" s="1"/>
      <c r="BE3087" s="1"/>
      <c r="BF3087" s="1"/>
      <c r="BG3087" s="1"/>
      <c r="BH3087" s="1"/>
      <c r="BI3087" s="1"/>
      <c r="BJ3087" s="1"/>
      <c r="BK3087" s="1"/>
      <c r="BL3087" s="1"/>
      <c r="BM3087" s="1"/>
      <c r="BN3087" s="1"/>
      <c r="BO3087" s="1"/>
      <c r="BP3087" s="1" t="s">
        <v>49985</v>
      </c>
      <c r="BQ3087" s="1" t="s">
        <v>1564</v>
      </c>
      <c r="BR3087" s="1"/>
      <c r="BS3087" s="1"/>
      <c r="BT3087" s="1"/>
      <c r="BU3087" s="1" t="str">
        <f>HYPERLINK("https://nconnect.nicmar.ac.in/storage/profile/6a8f4bd535848.png","Download")</f>
        <v>0</v>
      </c>
      <c r="BV3087" s="3"/>
      <c r="BW3087" s="3"/>
    </row>
    <row r="3088" spans="1:75">
      <c r="A3088" s="1" t="s">
        <v>45201</v>
      </c>
      <c r="B3088" s="1" t="s">
        <v>13976</v>
      </c>
      <c r="C3088" s="1" t="s">
        <v>49986</v>
      </c>
      <c r="D3088" s="1" t="s">
        <v>18833</v>
      </c>
      <c r="E3088" s="1" t="s">
        <v>15214</v>
      </c>
      <c r="F3088" s="1" t="s">
        <v>49987</v>
      </c>
      <c r="G3088" s="1" t="s">
        <v>49988</v>
      </c>
      <c r="H3088" s="1" t="s">
        <v>49989</v>
      </c>
      <c r="I3088" s="1" t="s">
        <v>49989</v>
      </c>
      <c r="J3088" s="1">
        <v>8319707966</v>
      </c>
      <c r="K3088" s="1" t="s">
        <v>84</v>
      </c>
      <c r="L3088" s="1" t="s">
        <v>480</v>
      </c>
      <c r="M3088" s="1" t="s">
        <v>86</v>
      </c>
      <c r="N3088" s="1" t="s">
        <v>4857</v>
      </c>
      <c r="O3088" s="1" t="s">
        <v>49990</v>
      </c>
      <c r="P3088" s="1" t="s">
        <v>219</v>
      </c>
      <c r="Q3088" s="1">
        <v>707453350697</v>
      </c>
      <c r="R3088" s="1" t="s">
        <v>49991</v>
      </c>
      <c r="S3088" s="1">
        <v>9826133021</v>
      </c>
      <c r="T3088" s="1" t="s">
        <v>49992</v>
      </c>
      <c r="U3088" s="1" t="s">
        <v>49993</v>
      </c>
      <c r="V3088" s="1">
        <v>9300137184</v>
      </c>
      <c r="W3088" s="1" t="s">
        <v>14032</v>
      </c>
      <c r="X3088" s="1" t="s">
        <v>49994</v>
      </c>
      <c r="Y3088" s="1" t="s">
        <v>11762</v>
      </c>
      <c r="Z3088" s="1" t="s">
        <v>2933</v>
      </c>
      <c r="AA3088" s="1" t="s">
        <v>49994</v>
      </c>
      <c r="AB3088" s="1" t="s">
        <v>11762</v>
      </c>
      <c r="AC3088" s="1" t="s">
        <v>2933</v>
      </c>
      <c r="AD3088" s="1" t="s">
        <v>98</v>
      </c>
      <c r="AE3088" s="1" t="s">
        <v>98</v>
      </c>
      <c r="AF3088" s="1" t="s">
        <v>49995</v>
      </c>
      <c r="AG3088" s="1" t="s">
        <v>49996</v>
      </c>
      <c r="AH3088" s="1" t="s">
        <v>106</v>
      </c>
      <c r="AI3088" s="1" t="s">
        <v>313</v>
      </c>
      <c r="AJ3088" s="1">
        <v>95.8</v>
      </c>
      <c r="AK3088" s="1"/>
      <c r="AL3088" s="1" t="s">
        <v>49997</v>
      </c>
      <c r="AM3088" s="1" t="s">
        <v>49998</v>
      </c>
      <c r="AN3088" s="1" t="s">
        <v>465</v>
      </c>
      <c r="AO3088" s="1" t="s">
        <v>468</v>
      </c>
      <c r="AP3088" s="1" t="s">
        <v>549</v>
      </c>
      <c r="AQ3088" s="1">
        <v>81.8</v>
      </c>
      <c r="AR3088" s="1"/>
      <c r="AS3088" s="1"/>
      <c r="AT3088" s="1"/>
      <c r="AU3088" s="1"/>
      <c r="AV3088" s="1"/>
      <c r="AW3088" s="1"/>
      <c r="AX3088" s="1"/>
      <c r="AY3088" s="1" t="s">
        <v>49999</v>
      </c>
      <c r="AZ3088" s="1" t="s">
        <v>50000</v>
      </c>
      <c r="BA3088" s="1" t="s">
        <v>466</v>
      </c>
      <c r="BB3088" s="1" t="s">
        <v>467</v>
      </c>
      <c r="BC3088" s="1" t="s">
        <v>549</v>
      </c>
      <c r="BD3088" s="1" t="s">
        <v>23253</v>
      </c>
      <c r="BE3088" s="1">
        <v>62.53</v>
      </c>
      <c r="BF3088" s="1"/>
      <c r="BG3088" s="1"/>
      <c r="BH3088" s="1"/>
      <c r="BI3088" s="1"/>
      <c r="BJ3088" s="1"/>
      <c r="BK3088" s="1"/>
      <c r="BL3088" s="1"/>
      <c r="BM3088" s="1"/>
      <c r="BN3088" s="1"/>
      <c r="BO3088" s="1" t="s">
        <v>15575</v>
      </c>
      <c r="BP3088" s="1" t="s">
        <v>50001</v>
      </c>
      <c r="BQ3088" s="1" t="s">
        <v>1174</v>
      </c>
      <c r="BR3088" s="1" t="s">
        <v>50002</v>
      </c>
      <c r="BS3088" s="1">
        <v>6</v>
      </c>
      <c r="BT3088" s="1"/>
      <c r="BU3088" s="1" t="str">
        <f>HYPERLINK("https://nconnect.nicmar.ac.in/storage/profile/6a81d1f94fc38.png","Download")</f>
        <v>0</v>
      </c>
      <c r="BV3088" s="3"/>
      <c r="BW3088" s="3"/>
    </row>
    <row r="3089" spans="1:75">
      <c r="A3089" s="1" t="s">
        <v>45201</v>
      </c>
      <c r="B3089" s="1" t="s">
        <v>13976</v>
      </c>
      <c r="C3089" s="1" t="s">
        <v>50003</v>
      </c>
      <c r="D3089" s="1" t="s">
        <v>50004</v>
      </c>
      <c r="E3089" s="1"/>
      <c r="F3089" s="1" t="s">
        <v>50005</v>
      </c>
      <c r="G3089" s="1" t="s">
        <v>50006</v>
      </c>
      <c r="H3089" s="1" t="s">
        <v>50007</v>
      </c>
      <c r="I3089" s="1" t="s">
        <v>50007</v>
      </c>
      <c r="J3089" s="1">
        <v>7014951718</v>
      </c>
      <c r="K3089" s="1" t="s">
        <v>84</v>
      </c>
      <c r="L3089" s="1" t="s">
        <v>50008</v>
      </c>
      <c r="M3089" s="1" t="s">
        <v>86</v>
      </c>
      <c r="N3089" s="1" t="s">
        <v>50009</v>
      </c>
      <c r="O3089" s="1" t="s">
        <v>50010</v>
      </c>
      <c r="P3089" s="1" t="s">
        <v>219</v>
      </c>
      <c r="Q3089" s="1">
        <v>8808457773723</v>
      </c>
      <c r="R3089" s="1" t="s">
        <v>50011</v>
      </c>
      <c r="S3089" s="1">
        <v>8005532322</v>
      </c>
      <c r="T3089" s="1" t="s">
        <v>50012</v>
      </c>
      <c r="U3089" s="1" t="s">
        <v>50013</v>
      </c>
      <c r="V3089" s="1">
        <v>9461841347</v>
      </c>
      <c r="W3089" s="1" t="s">
        <v>50014</v>
      </c>
      <c r="X3089" s="1" t="s">
        <v>50015</v>
      </c>
      <c r="Y3089" s="1" t="s">
        <v>29682</v>
      </c>
      <c r="Z3089" s="1" t="s">
        <v>2153</v>
      </c>
      <c r="AA3089" s="1" t="s">
        <v>50015</v>
      </c>
      <c r="AB3089" s="1" t="s">
        <v>29682</v>
      </c>
      <c r="AC3089" s="1" t="s">
        <v>2153</v>
      </c>
      <c r="AD3089" s="1" t="s">
        <v>98</v>
      </c>
      <c r="AE3089" s="1" t="s">
        <v>98</v>
      </c>
      <c r="AF3089" s="1" t="s">
        <v>50016</v>
      </c>
      <c r="AG3089" s="1" t="s">
        <v>50017</v>
      </c>
      <c r="AH3089" s="1" t="s">
        <v>1214</v>
      </c>
      <c r="AI3089" s="1" t="s">
        <v>14514</v>
      </c>
      <c r="AJ3089" s="1">
        <v>70.3</v>
      </c>
      <c r="AK3089" s="1">
        <v>7.4</v>
      </c>
      <c r="AL3089" s="1" t="s">
        <v>50018</v>
      </c>
      <c r="AM3089" s="1" t="s">
        <v>50019</v>
      </c>
      <c r="AN3089" s="1" t="s">
        <v>465</v>
      </c>
      <c r="AO3089" s="1" t="s">
        <v>284</v>
      </c>
      <c r="AP3089" s="1" t="s">
        <v>170</v>
      </c>
      <c r="AQ3089" s="1">
        <v>67.8</v>
      </c>
      <c r="AR3089" s="1"/>
      <c r="AS3089" s="1"/>
      <c r="AT3089" s="1"/>
      <c r="AU3089" s="1"/>
      <c r="AV3089" s="1"/>
      <c r="AW3089" s="1"/>
      <c r="AX3089" s="1"/>
      <c r="AY3089" s="1" t="s">
        <v>28974</v>
      </c>
      <c r="AZ3089" s="1" t="s">
        <v>50020</v>
      </c>
      <c r="BA3089" s="1" t="s">
        <v>466</v>
      </c>
      <c r="BB3089" s="1" t="s">
        <v>467</v>
      </c>
      <c r="BC3089" s="1" t="s">
        <v>230</v>
      </c>
      <c r="BD3089" s="1" t="s">
        <v>606</v>
      </c>
      <c r="BE3089" s="1">
        <v>65.26</v>
      </c>
      <c r="BF3089" s="1"/>
      <c r="BG3089" s="1"/>
      <c r="BH3089" s="1"/>
      <c r="BI3089" s="1"/>
      <c r="BJ3089" s="1"/>
      <c r="BK3089" s="1"/>
      <c r="BL3089" s="1"/>
      <c r="BM3089" s="1"/>
      <c r="BN3089" s="1"/>
      <c r="BO3089" s="1" t="s">
        <v>50021</v>
      </c>
      <c r="BP3089" s="1" t="s">
        <v>50022</v>
      </c>
      <c r="BQ3089" s="1" t="s">
        <v>1043</v>
      </c>
      <c r="BR3089" s="1"/>
      <c r="BS3089" s="1"/>
      <c r="BT3089" s="1" t="s">
        <v>50023</v>
      </c>
      <c r="BU3089" s="1" t="str">
        <f>HYPERLINK("https://nconnect.nicmar.ac.in/storage/profile/6a8165c5baed1.png","Download")</f>
        <v>0</v>
      </c>
      <c r="BV3089" s="3"/>
      <c r="BW3089" s="3"/>
    </row>
    <row r="3090" spans="1:75">
      <c r="A3090" s="1" t="s">
        <v>45201</v>
      </c>
      <c r="B3090" s="1" t="s">
        <v>13976</v>
      </c>
      <c r="C3090" s="1" t="s">
        <v>50024</v>
      </c>
      <c r="D3090" s="1" t="s">
        <v>2272</v>
      </c>
      <c r="E3090" s="1" t="s">
        <v>1320</v>
      </c>
      <c r="F3090" s="1" t="s">
        <v>50025</v>
      </c>
      <c r="G3090" s="1" t="s">
        <v>50026</v>
      </c>
      <c r="H3090" s="1" t="s">
        <v>50027</v>
      </c>
      <c r="I3090" s="1" t="s">
        <v>50027</v>
      </c>
      <c r="J3090" s="1">
        <v>9710654658</v>
      </c>
      <c r="K3090" s="1" t="s">
        <v>84</v>
      </c>
      <c r="L3090" s="1" t="s">
        <v>5045</v>
      </c>
      <c r="M3090" s="1" t="s">
        <v>86</v>
      </c>
      <c r="N3090" s="1" t="s">
        <v>2356</v>
      </c>
      <c r="O3090" s="1" t="s">
        <v>50028</v>
      </c>
      <c r="P3090" s="1" t="s">
        <v>219</v>
      </c>
      <c r="Q3090" s="1">
        <v>856747827380</v>
      </c>
      <c r="R3090" s="1" t="s">
        <v>50029</v>
      </c>
      <c r="S3090" s="1">
        <v>9962631522</v>
      </c>
      <c r="T3090" s="1" t="s">
        <v>92</v>
      </c>
      <c r="U3090" s="1" t="s">
        <v>50030</v>
      </c>
      <c r="V3090" s="1">
        <v>7305265465</v>
      </c>
      <c r="W3090" s="1" t="s">
        <v>161</v>
      </c>
      <c r="X3090" s="1" t="s">
        <v>50031</v>
      </c>
      <c r="Y3090" s="1" t="s">
        <v>20593</v>
      </c>
      <c r="Z3090" s="1" t="s">
        <v>570</v>
      </c>
      <c r="AA3090" s="1" t="s">
        <v>50031</v>
      </c>
      <c r="AB3090" s="1" t="s">
        <v>20593</v>
      </c>
      <c r="AC3090" s="1" t="s">
        <v>570</v>
      </c>
      <c r="AD3090" s="1" t="s">
        <v>98</v>
      </c>
      <c r="AE3090" s="1" t="s">
        <v>98</v>
      </c>
      <c r="AF3090" s="1"/>
      <c r="AG3090" s="1"/>
      <c r="AH3090" s="1"/>
      <c r="AI3090" s="1"/>
      <c r="AJ3090" s="1"/>
      <c r="AK3090" s="1"/>
      <c r="AL3090" s="1"/>
      <c r="AM3090" s="1"/>
      <c r="AN3090" s="1"/>
      <c r="AO3090" s="1"/>
      <c r="AP3090" s="1"/>
      <c r="AQ3090" s="1"/>
      <c r="AR3090" s="1"/>
      <c r="AS3090" s="1"/>
      <c r="AT3090" s="1"/>
      <c r="AU3090" s="1"/>
      <c r="AV3090" s="1"/>
      <c r="AW3090" s="1"/>
      <c r="AX3090" s="1"/>
      <c r="AY3090" s="1"/>
      <c r="AZ3090" s="1"/>
      <c r="BA3090" s="1"/>
      <c r="BB3090" s="1"/>
      <c r="BC3090" s="1"/>
      <c r="BD3090" s="1"/>
      <c r="BE3090" s="1"/>
      <c r="BF3090" s="1"/>
      <c r="BG3090" s="1"/>
      <c r="BH3090" s="1"/>
      <c r="BI3090" s="1"/>
      <c r="BJ3090" s="1"/>
      <c r="BK3090" s="1"/>
      <c r="BL3090" s="1"/>
      <c r="BM3090" s="1"/>
      <c r="BN3090" s="1"/>
      <c r="BO3090" s="1"/>
      <c r="BP3090" s="1"/>
      <c r="BQ3090" s="1"/>
      <c r="BR3090" s="1"/>
      <c r="BS3090" s="1"/>
      <c r="BT3090" s="1"/>
      <c r="BU3090" s="1" t="str">
        <f>HYPERLINK("https://nconnect.nicmar.ac.in/storage/profile/6a85e58991862.png","Download")</f>
        <v>0</v>
      </c>
      <c r="BV3090" s="3"/>
      <c r="BW3090" s="3"/>
    </row>
    <row r="3091" spans="1:75">
      <c r="A3091" s="1" t="s">
        <v>45201</v>
      </c>
      <c r="B3091" s="1" t="s">
        <v>13976</v>
      </c>
      <c r="C3091" s="1" t="s">
        <v>50032</v>
      </c>
      <c r="D3091" s="1" t="s">
        <v>50033</v>
      </c>
      <c r="E3091" s="1" t="s">
        <v>50034</v>
      </c>
      <c r="F3091" s="1" t="s">
        <v>40185</v>
      </c>
      <c r="G3091" s="1" t="s">
        <v>50035</v>
      </c>
      <c r="H3091" s="1" t="s">
        <v>50036</v>
      </c>
      <c r="I3091" s="1" t="s">
        <v>50037</v>
      </c>
      <c r="J3091" s="1">
        <v>7391826995</v>
      </c>
      <c r="K3091" s="1" t="s">
        <v>153</v>
      </c>
      <c r="L3091" s="1" t="s">
        <v>30347</v>
      </c>
      <c r="M3091" s="1" t="s">
        <v>86</v>
      </c>
      <c r="N3091" s="1" t="s">
        <v>618</v>
      </c>
      <c r="O3091" s="1" t="s">
        <v>50038</v>
      </c>
      <c r="P3091" s="1" t="s">
        <v>89</v>
      </c>
      <c r="Q3091" s="1">
        <v>320612217400</v>
      </c>
      <c r="R3091" s="1" t="s">
        <v>50039</v>
      </c>
      <c r="S3091" s="1">
        <v>8805336969</v>
      </c>
      <c r="T3091" s="1" t="s">
        <v>2177</v>
      </c>
      <c r="U3091" s="1" t="s">
        <v>44569</v>
      </c>
      <c r="V3091" s="1">
        <v>7774003918</v>
      </c>
      <c r="W3091" s="1" t="s">
        <v>19327</v>
      </c>
      <c r="X3091" s="1" t="s">
        <v>50040</v>
      </c>
      <c r="Y3091" s="1" t="s">
        <v>410</v>
      </c>
      <c r="Z3091" s="1" t="s">
        <v>97</v>
      </c>
      <c r="AA3091" s="1" t="s">
        <v>50040</v>
      </c>
      <c r="AB3091" s="1" t="s">
        <v>410</v>
      </c>
      <c r="AC3091" s="1" t="s">
        <v>97</v>
      </c>
      <c r="AD3091" s="1" t="s">
        <v>98</v>
      </c>
      <c r="AE3091" s="1" t="s">
        <v>98</v>
      </c>
      <c r="AF3091" s="1"/>
      <c r="AG3091" s="1"/>
      <c r="AH3091" s="1"/>
      <c r="AI3091" s="1"/>
      <c r="AJ3091" s="1"/>
      <c r="AK3091" s="1"/>
      <c r="AL3091" s="1"/>
      <c r="AM3091" s="1"/>
      <c r="AN3091" s="1"/>
      <c r="AO3091" s="1"/>
      <c r="AP3091" s="1"/>
      <c r="AQ3091" s="1"/>
      <c r="AR3091" s="1"/>
      <c r="AS3091" s="1"/>
      <c r="AT3091" s="1"/>
      <c r="AU3091" s="1"/>
      <c r="AV3091" s="1"/>
      <c r="AW3091" s="1"/>
      <c r="AX3091" s="1"/>
      <c r="AY3091" s="1"/>
      <c r="AZ3091" s="1"/>
      <c r="BA3091" s="1"/>
      <c r="BB3091" s="1"/>
      <c r="BC3091" s="1"/>
      <c r="BD3091" s="1"/>
      <c r="BE3091" s="1"/>
      <c r="BF3091" s="1"/>
      <c r="BG3091" s="1"/>
      <c r="BH3091" s="1"/>
      <c r="BI3091" s="1"/>
      <c r="BJ3091" s="1"/>
      <c r="BK3091" s="1"/>
      <c r="BL3091" s="1"/>
      <c r="BM3091" s="1"/>
      <c r="BN3091" s="1"/>
      <c r="BO3091" s="1"/>
      <c r="BP3091" s="1" t="s">
        <v>50041</v>
      </c>
      <c r="BQ3091" s="1" t="s">
        <v>2462</v>
      </c>
      <c r="BR3091" s="1"/>
      <c r="BS3091" s="1"/>
      <c r="BT3091" s="1"/>
      <c r="BU3091" s="1" t="str">
        <f>HYPERLINK("https://nconnect.nicmar.ac.in/storage/profile/6a8b3b9066c5e.png","Download")</f>
        <v>0</v>
      </c>
      <c r="BV3091" s="3"/>
      <c r="BW3091" s="3"/>
    </row>
    <row r="3092" spans="1:75">
      <c r="A3092" s="1" t="s">
        <v>45201</v>
      </c>
      <c r="B3092" s="1" t="s">
        <v>13976</v>
      </c>
      <c r="C3092" s="1" t="s">
        <v>50042</v>
      </c>
      <c r="D3092" s="1" t="s">
        <v>50043</v>
      </c>
      <c r="E3092" s="1" t="s">
        <v>50044</v>
      </c>
      <c r="F3092" s="1" t="s">
        <v>50045</v>
      </c>
      <c r="G3092" s="1" t="s">
        <v>50046</v>
      </c>
      <c r="H3092" s="1" t="s">
        <v>50047</v>
      </c>
      <c r="I3092" s="1" t="s">
        <v>50047</v>
      </c>
      <c r="J3092" s="1">
        <v>9699853040</v>
      </c>
      <c r="K3092" s="1" t="s">
        <v>153</v>
      </c>
      <c r="L3092" s="1" t="s">
        <v>19685</v>
      </c>
      <c r="M3092" s="1" t="s">
        <v>86</v>
      </c>
      <c r="N3092" s="1" t="s">
        <v>6088</v>
      </c>
      <c r="O3092" s="1" t="s">
        <v>50048</v>
      </c>
      <c r="P3092" s="1" t="s">
        <v>219</v>
      </c>
      <c r="Q3092" s="1">
        <v>873355932979</v>
      </c>
      <c r="R3092" s="1" t="s">
        <v>50049</v>
      </c>
      <c r="S3092" s="1">
        <v>9766596003</v>
      </c>
      <c r="T3092" s="1" t="s">
        <v>50050</v>
      </c>
      <c r="U3092" s="1" t="s">
        <v>50051</v>
      </c>
      <c r="V3092" s="1">
        <v>9421280099</v>
      </c>
      <c r="W3092" s="1" t="s">
        <v>15812</v>
      </c>
      <c r="X3092" s="1" t="s">
        <v>50052</v>
      </c>
      <c r="Y3092" s="1" t="s">
        <v>2668</v>
      </c>
      <c r="Z3092" s="1" t="s">
        <v>97</v>
      </c>
      <c r="AA3092" s="1" t="s">
        <v>50052</v>
      </c>
      <c r="AB3092" s="1" t="s">
        <v>2668</v>
      </c>
      <c r="AC3092" s="1" t="s">
        <v>97</v>
      </c>
      <c r="AD3092" s="1" t="s">
        <v>98</v>
      </c>
      <c r="AE3092" s="1" t="s">
        <v>98</v>
      </c>
      <c r="AF3092" s="1" t="s">
        <v>50053</v>
      </c>
      <c r="AG3092" s="1" t="s">
        <v>50054</v>
      </c>
      <c r="AH3092" s="1" t="s">
        <v>106</v>
      </c>
      <c r="AI3092" s="1" t="s">
        <v>414</v>
      </c>
      <c r="AJ3092" s="1">
        <v>76</v>
      </c>
      <c r="AK3092" s="1">
        <v>8</v>
      </c>
      <c r="AL3092" s="1" t="s">
        <v>50055</v>
      </c>
      <c r="AM3092" s="1" t="s">
        <v>50054</v>
      </c>
      <c r="AN3092" s="1" t="s">
        <v>465</v>
      </c>
      <c r="AO3092" s="1" t="s">
        <v>468</v>
      </c>
      <c r="AP3092" s="1" t="s">
        <v>1192</v>
      </c>
      <c r="AQ3092" s="1">
        <v>89.33</v>
      </c>
      <c r="AR3092" s="1">
        <v>9.4</v>
      </c>
      <c r="AS3092" s="1"/>
      <c r="AT3092" s="1"/>
      <c r="AU3092" s="1"/>
      <c r="AV3092" s="1"/>
      <c r="AW3092" s="1"/>
      <c r="AX3092" s="1"/>
      <c r="AY3092" s="1" t="s">
        <v>50056</v>
      </c>
      <c r="AZ3092" s="1" t="s">
        <v>50057</v>
      </c>
      <c r="BA3092" s="1" t="s">
        <v>682</v>
      </c>
      <c r="BB3092" s="1" t="s">
        <v>1561</v>
      </c>
      <c r="BC3092" s="1" t="s">
        <v>606</v>
      </c>
      <c r="BD3092" s="1" t="s">
        <v>14514</v>
      </c>
      <c r="BE3092" s="1">
        <v>64.98</v>
      </c>
      <c r="BF3092" s="1">
        <v>6.84</v>
      </c>
      <c r="BG3092" s="1"/>
      <c r="BH3092" s="1"/>
      <c r="BI3092" s="1"/>
      <c r="BJ3092" s="1"/>
      <c r="BK3092" s="1"/>
      <c r="BL3092" s="1"/>
      <c r="BM3092" s="1"/>
      <c r="BN3092" s="1"/>
      <c r="BO3092" s="1" t="s">
        <v>50058</v>
      </c>
      <c r="BP3092" s="1"/>
      <c r="BQ3092" s="1"/>
      <c r="BR3092" s="1" t="s">
        <v>50059</v>
      </c>
      <c r="BS3092" s="1">
        <v>22</v>
      </c>
      <c r="BT3092" s="1"/>
      <c r="BU3092" s="1" t="str">
        <f>HYPERLINK("https://nconnect.nicmar.ac.in/storage/profile/6a85ea9c257c3.png","Download")</f>
        <v>0</v>
      </c>
      <c r="BV3092" s="3"/>
      <c r="BW3092" s="3"/>
    </row>
    <row r="3093" spans="1:75">
      <c r="A3093" s="1" t="s">
        <v>45201</v>
      </c>
      <c r="B3093" s="1" t="s">
        <v>13976</v>
      </c>
      <c r="C3093" s="1" t="s">
        <v>50060</v>
      </c>
      <c r="D3093" s="1" t="s">
        <v>20940</v>
      </c>
      <c r="E3093" s="1" t="s">
        <v>50061</v>
      </c>
      <c r="F3093" s="1" t="s">
        <v>50062</v>
      </c>
      <c r="G3093" s="1" t="s">
        <v>50063</v>
      </c>
      <c r="H3093" s="1" t="s">
        <v>50064</v>
      </c>
      <c r="I3093" s="1" t="s">
        <v>50064</v>
      </c>
      <c r="J3093" s="1">
        <v>7021172334</v>
      </c>
      <c r="K3093" s="1" t="s">
        <v>153</v>
      </c>
      <c r="L3093" s="1" t="s">
        <v>16554</v>
      </c>
      <c r="M3093" s="1" t="s">
        <v>86</v>
      </c>
      <c r="N3093" s="1" t="s">
        <v>618</v>
      </c>
      <c r="O3093" s="1" t="s">
        <v>50065</v>
      </c>
      <c r="P3093" s="1" t="s">
        <v>122</v>
      </c>
      <c r="Q3093" s="1">
        <v>777630264156</v>
      </c>
      <c r="R3093" s="1" t="s">
        <v>50066</v>
      </c>
      <c r="S3093" s="1">
        <v>9120202834</v>
      </c>
      <c r="T3093" s="1" t="s">
        <v>50067</v>
      </c>
      <c r="U3093" s="1" t="s">
        <v>50068</v>
      </c>
      <c r="V3093" s="1">
        <v>9146040723</v>
      </c>
      <c r="W3093" s="1" t="s">
        <v>15182</v>
      </c>
      <c r="X3093" s="1" t="s">
        <v>50069</v>
      </c>
      <c r="Y3093" s="1" t="s">
        <v>1882</v>
      </c>
      <c r="Z3093" s="1" t="s">
        <v>97</v>
      </c>
      <c r="AA3093" s="1" t="s">
        <v>50069</v>
      </c>
      <c r="AB3093" s="1" t="s">
        <v>1882</v>
      </c>
      <c r="AC3093" s="1" t="s">
        <v>97</v>
      </c>
      <c r="AD3093" s="1" t="s">
        <v>98</v>
      </c>
      <c r="AE3093" s="1" t="s">
        <v>98</v>
      </c>
      <c r="AF3093" s="1" t="s">
        <v>50070</v>
      </c>
      <c r="AG3093" s="1" t="s">
        <v>796</v>
      </c>
      <c r="AH3093" s="1" t="s">
        <v>704</v>
      </c>
      <c r="AI3093" s="1" t="s">
        <v>171</v>
      </c>
      <c r="AJ3093" s="1">
        <v>87.6</v>
      </c>
      <c r="AK3093" s="1">
        <v>9.22</v>
      </c>
      <c r="AL3093" s="1" t="s">
        <v>50070</v>
      </c>
      <c r="AM3093" s="1" t="s">
        <v>796</v>
      </c>
      <c r="AN3093" s="1" t="s">
        <v>465</v>
      </c>
      <c r="AO3093" s="1" t="s">
        <v>414</v>
      </c>
      <c r="AP3093" s="1" t="s">
        <v>178</v>
      </c>
      <c r="AQ3093" s="1">
        <v>87.6</v>
      </c>
      <c r="AR3093" s="1">
        <v>9.22</v>
      </c>
      <c r="AS3093" s="1"/>
      <c r="AT3093" s="1"/>
      <c r="AU3093" s="1"/>
      <c r="AV3093" s="1"/>
      <c r="AW3093" s="1"/>
      <c r="AX3093" s="1"/>
      <c r="AY3093" s="1" t="s">
        <v>14380</v>
      </c>
      <c r="AZ3093" s="1" t="s">
        <v>50071</v>
      </c>
      <c r="BA3093" s="1" t="s">
        <v>682</v>
      </c>
      <c r="BB3093" s="1" t="s">
        <v>683</v>
      </c>
      <c r="BC3093" s="1" t="s">
        <v>468</v>
      </c>
      <c r="BD3093" s="1" t="s">
        <v>553</v>
      </c>
      <c r="BE3093" s="1">
        <v>70.46</v>
      </c>
      <c r="BF3093" s="1">
        <v>7.9</v>
      </c>
      <c r="BG3093" s="1"/>
      <c r="BH3093" s="1"/>
      <c r="BI3093" s="1"/>
      <c r="BJ3093" s="1"/>
      <c r="BK3093" s="1"/>
      <c r="BL3093" s="1"/>
      <c r="BM3093" s="1"/>
      <c r="BN3093" s="1"/>
      <c r="BO3093" s="1" t="s">
        <v>50072</v>
      </c>
      <c r="BP3093" s="1" t="s">
        <v>50073</v>
      </c>
      <c r="BQ3093" s="1" t="s">
        <v>1070</v>
      </c>
      <c r="BR3093" s="1" t="s">
        <v>50074</v>
      </c>
      <c r="BS3093" s="1">
        <v>23</v>
      </c>
      <c r="BT3093" s="1"/>
      <c r="BU3093" s="1" t="str">
        <f>HYPERLINK("https://nconnect.nicmar.ac.in/storage/profile/6a84a83ac18b2.png","Download")</f>
        <v>0</v>
      </c>
      <c r="BV3093" s="3"/>
      <c r="BW3093" s="3"/>
    </row>
    <row r="3094" spans="1:75">
      <c r="A3094" s="1" t="s">
        <v>45201</v>
      </c>
      <c r="B3094" s="1" t="s">
        <v>13976</v>
      </c>
      <c r="C3094" s="1" t="s">
        <v>50075</v>
      </c>
      <c r="D3094" s="1" t="s">
        <v>50076</v>
      </c>
      <c r="E3094" s="1" t="s">
        <v>15036</v>
      </c>
      <c r="F3094" s="1" t="s">
        <v>14364</v>
      </c>
      <c r="G3094" s="1" t="s">
        <v>50077</v>
      </c>
      <c r="H3094" s="1" t="s">
        <v>50078</v>
      </c>
      <c r="I3094" s="1" t="s">
        <v>50078</v>
      </c>
      <c r="J3094" s="1">
        <v>7249880419</v>
      </c>
      <c r="K3094" s="1" t="s">
        <v>84</v>
      </c>
      <c r="L3094" s="1" t="s">
        <v>50079</v>
      </c>
      <c r="M3094" s="1" t="s">
        <v>86</v>
      </c>
      <c r="N3094" s="1" t="s">
        <v>50080</v>
      </c>
      <c r="O3094" s="1" t="s">
        <v>50081</v>
      </c>
      <c r="P3094" s="1" t="s">
        <v>356</v>
      </c>
      <c r="Q3094" s="1">
        <v>961756817475</v>
      </c>
      <c r="R3094" s="1" t="s">
        <v>50082</v>
      </c>
      <c r="S3094" s="1">
        <v>7758841923</v>
      </c>
      <c r="T3094" s="1" t="s">
        <v>14507</v>
      </c>
      <c r="U3094" s="1" t="s">
        <v>50083</v>
      </c>
      <c r="V3094" s="1">
        <v>9763580419</v>
      </c>
      <c r="W3094" s="1" t="s">
        <v>10306</v>
      </c>
      <c r="X3094" s="1" t="s">
        <v>50084</v>
      </c>
      <c r="Y3094" s="1" t="s">
        <v>196</v>
      </c>
      <c r="Z3094" s="1" t="s">
        <v>97</v>
      </c>
      <c r="AA3094" s="1" t="s">
        <v>50084</v>
      </c>
      <c r="AB3094" s="1" t="s">
        <v>196</v>
      </c>
      <c r="AC3094" s="1" t="s">
        <v>97</v>
      </c>
      <c r="AD3094" s="1" t="s">
        <v>98</v>
      </c>
      <c r="AE3094" s="1" t="s">
        <v>98</v>
      </c>
      <c r="AF3094" s="1" t="s">
        <v>50085</v>
      </c>
      <c r="AG3094" s="1" t="s">
        <v>18531</v>
      </c>
      <c r="AH3094" s="1" t="s">
        <v>10573</v>
      </c>
      <c r="AI3094" s="1" t="s">
        <v>547</v>
      </c>
      <c r="AJ3094" s="1">
        <v>81.4</v>
      </c>
      <c r="AK3094" s="1"/>
      <c r="AL3094" s="1"/>
      <c r="AM3094" s="1"/>
      <c r="AN3094" s="1"/>
      <c r="AO3094" s="1"/>
      <c r="AP3094" s="1"/>
      <c r="AQ3094" s="1"/>
      <c r="AR3094" s="1"/>
      <c r="AS3094" s="1" t="s">
        <v>50086</v>
      </c>
      <c r="AT3094" s="1" t="s">
        <v>18531</v>
      </c>
      <c r="AU3094" s="1" t="s">
        <v>438</v>
      </c>
      <c r="AV3094" s="1" t="s">
        <v>110</v>
      </c>
      <c r="AW3094" s="1">
        <v>89.18</v>
      </c>
      <c r="AX3094" s="1"/>
      <c r="AY3094" s="1" t="s">
        <v>14160</v>
      </c>
      <c r="AZ3094" s="1" t="s">
        <v>50087</v>
      </c>
      <c r="BA3094" s="1" t="s">
        <v>578</v>
      </c>
      <c r="BB3094" s="1" t="s">
        <v>467</v>
      </c>
      <c r="BC3094" s="1" t="s">
        <v>1825</v>
      </c>
      <c r="BD3094" s="1" t="s">
        <v>1401</v>
      </c>
      <c r="BE3094" s="1">
        <v>79.88</v>
      </c>
      <c r="BF3094" s="1">
        <v>8.74</v>
      </c>
      <c r="BG3094" s="1"/>
      <c r="BH3094" s="1"/>
      <c r="BI3094" s="1"/>
      <c r="BJ3094" s="1"/>
      <c r="BK3094" s="1"/>
      <c r="BL3094" s="1"/>
      <c r="BM3094" s="1"/>
      <c r="BN3094" s="1"/>
      <c r="BO3094" s="1" t="s">
        <v>50088</v>
      </c>
      <c r="BP3094" s="1" t="s">
        <v>50089</v>
      </c>
      <c r="BQ3094" s="1" t="s">
        <v>1070</v>
      </c>
      <c r="BR3094" s="1" t="s">
        <v>50090</v>
      </c>
      <c r="BS3094" s="1">
        <v>4</v>
      </c>
      <c r="BT3094" s="1"/>
      <c r="BU3094" s="1" t="str">
        <f>HYPERLINK("https://nconnect.nicmar.ac.in/storage/profile/6a8724bf83785.png","Download")</f>
        <v>0</v>
      </c>
      <c r="BV3094" s="3"/>
      <c r="BW3094" s="3"/>
    </row>
    <row r="3095" spans="1:75">
      <c r="A3095" s="1" t="s">
        <v>45201</v>
      </c>
      <c r="B3095" s="1" t="s">
        <v>13976</v>
      </c>
      <c r="C3095" s="1" t="s">
        <v>50091</v>
      </c>
      <c r="D3095" s="1" t="s">
        <v>39608</v>
      </c>
      <c r="E3095" s="1" t="s">
        <v>44425</v>
      </c>
      <c r="F3095" s="1" t="s">
        <v>50092</v>
      </c>
      <c r="G3095" s="1" t="s">
        <v>50093</v>
      </c>
      <c r="H3095" s="1" t="s">
        <v>50094</v>
      </c>
      <c r="I3095" s="1" t="s">
        <v>50094</v>
      </c>
      <c r="J3095" s="1">
        <v>8625816327</v>
      </c>
      <c r="K3095" s="1" t="s">
        <v>153</v>
      </c>
      <c r="L3095" s="1" t="s">
        <v>18295</v>
      </c>
      <c r="M3095" s="1" t="s">
        <v>86</v>
      </c>
      <c r="N3095" s="1" t="s">
        <v>50095</v>
      </c>
      <c r="O3095" s="1" t="s">
        <v>50096</v>
      </c>
      <c r="P3095" s="1" t="s">
        <v>122</v>
      </c>
      <c r="Q3095" s="1">
        <v>447327803441</v>
      </c>
      <c r="R3095" s="1" t="s">
        <v>50097</v>
      </c>
      <c r="S3095" s="1">
        <v>9422746737</v>
      </c>
      <c r="T3095" s="1" t="s">
        <v>14507</v>
      </c>
      <c r="U3095" s="1" t="s">
        <v>50098</v>
      </c>
      <c r="V3095" s="1">
        <v>9370319127</v>
      </c>
      <c r="W3095" s="1" t="s">
        <v>14154</v>
      </c>
      <c r="X3095" s="1" t="s">
        <v>50099</v>
      </c>
      <c r="Y3095" s="1" t="s">
        <v>1779</v>
      </c>
      <c r="Z3095" s="1" t="s">
        <v>97</v>
      </c>
      <c r="AA3095" s="1" t="s">
        <v>50100</v>
      </c>
      <c r="AB3095" s="1" t="s">
        <v>196</v>
      </c>
      <c r="AC3095" s="1" t="s">
        <v>97</v>
      </c>
      <c r="AD3095" s="1" t="s">
        <v>98</v>
      </c>
      <c r="AE3095" s="1" t="s">
        <v>98</v>
      </c>
      <c r="AF3095" s="1" t="s">
        <v>50101</v>
      </c>
      <c r="AG3095" s="1" t="s">
        <v>50102</v>
      </c>
      <c r="AH3095" s="1" t="s">
        <v>167</v>
      </c>
      <c r="AI3095" s="1" t="s">
        <v>200</v>
      </c>
      <c r="AJ3095" s="1">
        <v>87</v>
      </c>
      <c r="AK3095" s="1">
        <v>9.16</v>
      </c>
      <c r="AL3095" s="1" t="s">
        <v>50103</v>
      </c>
      <c r="AM3095" s="1" t="s">
        <v>50102</v>
      </c>
      <c r="AN3095" s="1" t="s">
        <v>575</v>
      </c>
      <c r="AO3095" s="1" t="s">
        <v>106</v>
      </c>
      <c r="AP3095" s="1" t="s">
        <v>203</v>
      </c>
      <c r="AQ3095" s="1">
        <v>64.15</v>
      </c>
      <c r="AR3095" s="1">
        <v>6.63</v>
      </c>
      <c r="AS3095" s="1" t="s">
        <v>14158</v>
      </c>
      <c r="AT3095" s="1" t="s">
        <v>50104</v>
      </c>
      <c r="AU3095" s="1" t="s">
        <v>847</v>
      </c>
      <c r="AV3095" s="1" t="s">
        <v>234</v>
      </c>
      <c r="AW3095" s="1">
        <v>84.68</v>
      </c>
      <c r="AX3095" s="1">
        <v>8.91</v>
      </c>
      <c r="AY3095" s="1" t="s">
        <v>14530</v>
      </c>
      <c r="AZ3095" s="1" t="s">
        <v>14161</v>
      </c>
      <c r="BA3095" s="1" t="s">
        <v>578</v>
      </c>
      <c r="BB3095" s="1" t="s">
        <v>467</v>
      </c>
      <c r="BC3095" s="1" t="s">
        <v>1267</v>
      </c>
      <c r="BD3095" s="1" t="s">
        <v>14162</v>
      </c>
      <c r="BE3095" s="1">
        <v>68.0</v>
      </c>
      <c r="BF3095" s="1">
        <v>7.64</v>
      </c>
      <c r="BG3095" s="1"/>
      <c r="BH3095" s="1"/>
      <c r="BI3095" s="1"/>
      <c r="BJ3095" s="1"/>
      <c r="BK3095" s="1"/>
      <c r="BL3095" s="1"/>
      <c r="BM3095" s="1"/>
      <c r="BN3095" s="1"/>
      <c r="BO3095" s="1" t="s">
        <v>50105</v>
      </c>
      <c r="BP3095" s="1"/>
      <c r="BQ3095" s="1"/>
      <c r="BR3095" s="1"/>
      <c r="BS3095" s="1"/>
      <c r="BT3095" s="1"/>
      <c r="BU3095" s="1" t="str">
        <f>HYPERLINK("https://nconnect.nicmar.ac.in/storage/profile/6a8593fc67b97.png","Download")</f>
        <v>0</v>
      </c>
      <c r="BV3095" s="3"/>
      <c r="BW3095" s="3"/>
    </row>
    <row r="3096" spans="1:75">
      <c r="A3096" s="1" t="s">
        <v>45201</v>
      </c>
      <c r="B3096" s="1" t="s">
        <v>13976</v>
      </c>
      <c r="C3096" s="1" t="s">
        <v>50106</v>
      </c>
      <c r="D3096" s="1" t="s">
        <v>6981</v>
      </c>
      <c r="E3096" s="1"/>
      <c r="F3096" s="1" t="s">
        <v>587</v>
      </c>
      <c r="G3096" s="1" t="s">
        <v>50107</v>
      </c>
      <c r="H3096" s="1" t="s">
        <v>50108</v>
      </c>
      <c r="I3096" s="1" t="s">
        <v>50108</v>
      </c>
      <c r="J3096" s="1">
        <v>7356883585</v>
      </c>
      <c r="K3096" s="1" t="s">
        <v>153</v>
      </c>
      <c r="L3096" s="1" t="s">
        <v>50109</v>
      </c>
      <c r="M3096" s="1" t="s">
        <v>86</v>
      </c>
      <c r="N3096" s="1" t="s">
        <v>7058</v>
      </c>
      <c r="O3096" s="1" t="s">
        <v>50110</v>
      </c>
      <c r="P3096" s="1" t="s">
        <v>89</v>
      </c>
      <c r="Q3096" s="1">
        <v>979915136317</v>
      </c>
      <c r="R3096" s="1" t="s">
        <v>50111</v>
      </c>
      <c r="S3096" s="1">
        <v>9947589013</v>
      </c>
      <c r="T3096" s="1" t="s">
        <v>50112</v>
      </c>
      <c r="U3096" s="1" t="s">
        <v>50113</v>
      </c>
      <c r="V3096" s="1">
        <v>9605577879</v>
      </c>
      <c r="W3096" s="1" t="s">
        <v>50114</v>
      </c>
      <c r="X3096" s="1" t="s">
        <v>50115</v>
      </c>
      <c r="Y3096" s="1" t="s">
        <v>1307</v>
      </c>
      <c r="Z3096" s="1" t="s">
        <v>130</v>
      </c>
      <c r="AA3096" s="1" t="s">
        <v>50115</v>
      </c>
      <c r="AB3096" s="1" t="s">
        <v>1307</v>
      </c>
      <c r="AC3096" s="1" t="s">
        <v>130</v>
      </c>
      <c r="AD3096" s="1" t="s">
        <v>98</v>
      </c>
      <c r="AE3096" s="1" t="s">
        <v>98</v>
      </c>
      <c r="AF3096" s="1" t="s">
        <v>50116</v>
      </c>
      <c r="AG3096" s="1" t="s">
        <v>50117</v>
      </c>
      <c r="AH3096" s="1" t="s">
        <v>106</v>
      </c>
      <c r="AI3096" s="1" t="s">
        <v>313</v>
      </c>
      <c r="AJ3096" s="1">
        <v>95.4</v>
      </c>
      <c r="AK3096" s="1"/>
      <c r="AL3096" s="1" t="s">
        <v>50118</v>
      </c>
      <c r="AM3096" s="1" t="s">
        <v>50119</v>
      </c>
      <c r="AN3096" s="1" t="s">
        <v>575</v>
      </c>
      <c r="AO3096" s="1" t="s">
        <v>417</v>
      </c>
      <c r="AP3096" s="1" t="s">
        <v>549</v>
      </c>
      <c r="AQ3096" s="1">
        <v>99.16</v>
      </c>
      <c r="AR3096" s="1"/>
      <c r="AS3096" s="1"/>
      <c r="AT3096" s="1"/>
      <c r="AU3096" s="1"/>
      <c r="AV3096" s="1"/>
      <c r="AW3096" s="1"/>
      <c r="AX3096" s="1"/>
      <c r="AY3096" s="1" t="s">
        <v>137</v>
      </c>
      <c r="AZ3096" s="1" t="s">
        <v>50120</v>
      </c>
      <c r="BA3096" s="1" t="s">
        <v>682</v>
      </c>
      <c r="BB3096" s="1" t="s">
        <v>683</v>
      </c>
      <c r="BC3096" s="1" t="s">
        <v>871</v>
      </c>
      <c r="BD3096" s="1" t="s">
        <v>14101</v>
      </c>
      <c r="BE3096" s="1">
        <v>79.4</v>
      </c>
      <c r="BF3096" s="1">
        <v>7.94</v>
      </c>
      <c r="BG3096" s="1"/>
      <c r="BH3096" s="1"/>
      <c r="BI3096" s="1"/>
      <c r="BJ3096" s="1"/>
      <c r="BK3096" s="1"/>
      <c r="BL3096" s="1"/>
      <c r="BM3096" s="1"/>
      <c r="BN3096" s="1"/>
      <c r="BO3096" s="1" t="s">
        <v>50121</v>
      </c>
      <c r="BP3096" s="1"/>
      <c r="BQ3096" s="1"/>
      <c r="BR3096" s="1" t="s">
        <v>50122</v>
      </c>
      <c r="BS3096" s="1">
        <v>19</v>
      </c>
      <c r="BT3096" s="1"/>
      <c r="BU3096" s="1" t="str">
        <f>HYPERLINK("https://nconnect.nicmar.ac.in/storage/profile/6a85e1ec49114.png","Download")</f>
        <v>0</v>
      </c>
      <c r="BV3096" s="3"/>
      <c r="BW3096" s="3"/>
    </row>
    <row r="3097" spans="1:75">
      <c r="A3097" s="1" t="s">
        <v>45201</v>
      </c>
      <c r="B3097" s="1" t="s">
        <v>13976</v>
      </c>
      <c r="C3097" s="1" t="s">
        <v>50123</v>
      </c>
      <c r="D3097" s="1" t="s">
        <v>10117</v>
      </c>
      <c r="E3097" s="1"/>
      <c r="F3097" s="1" t="s">
        <v>50124</v>
      </c>
      <c r="G3097" s="1" t="s">
        <v>50125</v>
      </c>
      <c r="H3097" s="1" t="s">
        <v>50126</v>
      </c>
      <c r="I3097" s="1" t="s">
        <v>50127</v>
      </c>
      <c r="J3097" s="1">
        <v>9038068889</v>
      </c>
      <c r="K3097" s="1" t="s">
        <v>153</v>
      </c>
      <c r="L3097" s="1" t="s">
        <v>25637</v>
      </c>
      <c r="M3097" s="1" t="s">
        <v>86</v>
      </c>
      <c r="N3097" s="1" t="s">
        <v>50128</v>
      </c>
      <c r="O3097" s="1" t="s">
        <v>50129</v>
      </c>
      <c r="P3097" s="1" t="s">
        <v>219</v>
      </c>
      <c r="Q3097" s="1">
        <v>247702322971</v>
      </c>
      <c r="R3097" s="1" t="s">
        <v>50130</v>
      </c>
      <c r="S3097" s="1">
        <v>9007476337</v>
      </c>
      <c r="T3097" s="1" t="s">
        <v>15073</v>
      </c>
      <c r="U3097" s="1" t="s">
        <v>50131</v>
      </c>
      <c r="V3097" s="1">
        <v>9831182981</v>
      </c>
      <c r="W3097" s="1" t="s">
        <v>15073</v>
      </c>
      <c r="X3097" s="1" t="s">
        <v>50132</v>
      </c>
      <c r="Y3097" s="1" t="s">
        <v>3282</v>
      </c>
      <c r="Z3097" s="1" t="s">
        <v>1234</v>
      </c>
      <c r="AA3097" s="1" t="s">
        <v>50132</v>
      </c>
      <c r="AB3097" s="1" t="s">
        <v>3282</v>
      </c>
      <c r="AC3097" s="1" t="s">
        <v>1234</v>
      </c>
      <c r="AD3097" s="1" t="s">
        <v>98</v>
      </c>
      <c r="AE3097" s="1" t="s">
        <v>98</v>
      </c>
      <c r="AF3097" s="1" t="s">
        <v>50133</v>
      </c>
      <c r="AG3097" s="1" t="s">
        <v>50134</v>
      </c>
      <c r="AH3097" s="1" t="s">
        <v>3421</v>
      </c>
      <c r="AI3097" s="1" t="s">
        <v>136</v>
      </c>
      <c r="AJ3097" s="1">
        <v>77.9</v>
      </c>
      <c r="AK3097" s="1">
        <v>8.2</v>
      </c>
      <c r="AL3097" s="1" t="s">
        <v>50133</v>
      </c>
      <c r="AM3097" s="1" t="s">
        <v>50134</v>
      </c>
      <c r="AN3097" s="1" t="s">
        <v>6323</v>
      </c>
      <c r="AO3097" s="1" t="s">
        <v>167</v>
      </c>
      <c r="AP3097" s="1" t="s">
        <v>573</v>
      </c>
      <c r="AQ3097" s="1">
        <v>75</v>
      </c>
      <c r="AR3097" s="1">
        <v>8</v>
      </c>
      <c r="AS3097" s="1"/>
      <c r="AT3097" s="1"/>
      <c r="AU3097" s="1"/>
      <c r="AV3097" s="1"/>
      <c r="AW3097" s="1"/>
      <c r="AX3097" s="1"/>
      <c r="AY3097" s="1" t="s">
        <v>50135</v>
      </c>
      <c r="AZ3097" s="1" t="s">
        <v>50136</v>
      </c>
      <c r="BA3097" s="1" t="s">
        <v>682</v>
      </c>
      <c r="BB3097" s="1" t="s">
        <v>1479</v>
      </c>
      <c r="BC3097" s="1" t="s">
        <v>388</v>
      </c>
      <c r="BD3097" s="1" t="s">
        <v>632</v>
      </c>
      <c r="BE3097" s="1">
        <v>82.4</v>
      </c>
      <c r="BF3097" s="1">
        <v>7.88</v>
      </c>
      <c r="BG3097" s="1"/>
      <c r="BH3097" s="1"/>
      <c r="BI3097" s="1"/>
      <c r="BJ3097" s="1"/>
      <c r="BK3097" s="1"/>
      <c r="BL3097" s="1"/>
      <c r="BM3097" s="1"/>
      <c r="BN3097" s="1"/>
      <c r="BO3097" s="1" t="s">
        <v>50137</v>
      </c>
      <c r="BP3097" s="1" t="s">
        <v>50138</v>
      </c>
      <c r="BQ3097" s="1" t="s">
        <v>6365</v>
      </c>
      <c r="BR3097" s="1" t="s">
        <v>50139</v>
      </c>
      <c r="BS3097" s="1">
        <v>23</v>
      </c>
      <c r="BT3097" s="1"/>
      <c r="BU3097" s="1" t="str">
        <f>HYPERLINK("https://nconnect.nicmar.ac.in/storage/profile/6a85ddb71d581.png","Download")</f>
        <v>0</v>
      </c>
      <c r="BV3097" s="3"/>
      <c r="BW3097" s="3"/>
    </row>
    <row r="3098" spans="1:75">
      <c r="A3098" s="1" t="s">
        <v>45201</v>
      </c>
      <c r="B3098" s="1" t="s">
        <v>13976</v>
      </c>
      <c r="C3098" s="1" t="s">
        <v>50140</v>
      </c>
      <c r="D3098" s="1" t="s">
        <v>50141</v>
      </c>
      <c r="E3098" s="1" t="s">
        <v>22050</v>
      </c>
      <c r="F3098" s="1" t="s">
        <v>15036</v>
      </c>
      <c r="G3098" s="1" t="s">
        <v>50142</v>
      </c>
      <c r="H3098" s="1" t="s">
        <v>50143</v>
      </c>
      <c r="I3098" s="1" t="s">
        <v>50143</v>
      </c>
      <c r="J3098" s="1">
        <v>7710927276</v>
      </c>
      <c r="K3098" s="1" t="s">
        <v>84</v>
      </c>
      <c r="L3098" s="1" t="s">
        <v>8346</v>
      </c>
      <c r="M3098" s="1" t="s">
        <v>86</v>
      </c>
      <c r="N3098" s="1" t="s">
        <v>24878</v>
      </c>
      <c r="O3098" s="1" t="s">
        <v>50144</v>
      </c>
      <c r="P3098" s="1" t="s">
        <v>219</v>
      </c>
      <c r="Q3098" s="1">
        <v>554318302456</v>
      </c>
      <c r="R3098" s="1" t="s">
        <v>50145</v>
      </c>
      <c r="S3098" s="1">
        <v>8980042784</v>
      </c>
      <c r="T3098" s="1" t="s">
        <v>14316</v>
      </c>
      <c r="U3098" s="1" t="s">
        <v>50146</v>
      </c>
      <c r="V3098" s="1">
        <v>7359894884</v>
      </c>
      <c r="W3098" s="1" t="s">
        <v>14710</v>
      </c>
      <c r="X3098" s="1" t="s">
        <v>50147</v>
      </c>
      <c r="Y3098" s="1" t="s">
        <v>2259</v>
      </c>
      <c r="Z3098" s="1" t="s">
        <v>97</v>
      </c>
      <c r="AA3098" s="1" t="s">
        <v>50148</v>
      </c>
      <c r="AB3098" s="1" t="s">
        <v>8744</v>
      </c>
      <c r="AC3098" s="1" t="s">
        <v>676</v>
      </c>
      <c r="AD3098" s="1" t="s">
        <v>98</v>
      </c>
      <c r="AE3098" s="1" t="s">
        <v>98</v>
      </c>
      <c r="AF3098" s="1" t="s">
        <v>50149</v>
      </c>
      <c r="AG3098" s="1" t="s">
        <v>796</v>
      </c>
      <c r="AH3098" s="1" t="s">
        <v>106</v>
      </c>
      <c r="AI3098" s="1" t="s">
        <v>547</v>
      </c>
      <c r="AJ3098" s="1">
        <v>70</v>
      </c>
      <c r="AK3098" s="1">
        <v>7</v>
      </c>
      <c r="AL3098" s="1" t="s">
        <v>50150</v>
      </c>
      <c r="AM3098" s="1" t="s">
        <v>50151</v>
      </c>
      <c r="AN3098" s="1" t="s">
        <v>465</v>
      </c>
      <c r="AO3098" s="1" t="s">
        <v>468</v>
      </c>
      <c r="AP3098" s="1" t="s">
        <v>2304</v>
      </c>
      <c r="AQ3098" s="1">
        <v>78</v>
      </c>
      <c r="AR3098" s="1">
        <v>7.8</v>
      </c>
      <c r="AS3098" s="1"/>
      <c r="AT3098" s="1"/>
      <c r="AU3098" s="1"/>
      <c r="AV3098" s="1"/>
      <c r="AW3098" s="1"/>
      <c r="AX3098" s="1"/>
      <c r="AY3098" s="1" t="s">
        <v>50152</v>
      </c>
      <c r="AZ3098" s="1" t="s">
        <v>50153</v>
      </c>
      <c r="BA3098" s="1" t="s">
        <v>466</v>
      </c>
      <c r="BB3098" s="1" t="s">
        <v>23143</v>
      </c>
      <c r="BC3098" s="1" t="s">
        <v>441</v>
      </c>
      <c r="BD3098" s="1" t="s">
        <v>607</v>
      </c>
      <c r="BE3098" s="1">
        <v>65</v>
      </c>
      <c r="BF3098" s="1">
        <v>6.5</v>
      </c>
      <c r="BG3098" s="1"/>
      <c r="BH3098" s="1"/>
      <c r="BI3098" s="1"/>
      <c r="BJ3098" s="1"/>
      <c r="BK3098" s="1"/>
      <c r="BL3098" s="1"/>
      <c r="BM3098" s="1"/>
      <c r="BN3098" s="1"/>
      <c r="BO3098" s="1" t="s">
        <v>50154</v>
      </c>
      <c r="BP3098" s="1"/>
      <c r="BQ3098" s="1"/>
      <c r="BR3098" s="1" t="s">
        <v>50155</v>
      </c>
      <c r="BS3098" s="1">
        <v>16</v>
      </c>
      <c r="BT3098" s="1"/>
      <c r="BU3098" s="1" t="str">
        <f>HYPERLINK("https://nconnect.nicmar.ac.in/storage/profile/6a85ed787bbfe.png","Download")</f>
        <v>0</v>
      </c>
      <c r="BV3098" s="3"/>
      <c r="BW3098" s="3"/>
    </row>
    <row r="3099" spans="1:75">
      <c r="A3099" s="1" t="s">
        <v>45201</v>
      </c>
      <c r="B3099" s="1" t="s">
        <v>13976</v>
      </c>
      <c r="C3099" s="1" t="s">
        <v>50156</v>
      </c>
      <c r="D3099" s="1" t="s">
        <v>50157</v>
      </c>
      <c r="E3099" s="1"/>
      <c r="F3099" s="1" t="s">
        <v>13979</v>
      </c>
      <c r="G3099" s="1" t="s">
        <v>50158</v>
      </c>
      <c r="H3099" s="1" t="s">
        <v>50159</v>
      </c>
      <c r="I3099" s="1" t="s">
        <v>50160</v>
      </c>
      <c r="J3099" s="1">
        <v>8714131106</v>
      </c>
      <c r="K3099" s="1" t="s">
        <v>153</v>
      </c>
      <c r="L3099" s="1" t="s">
        <v>38259</v>
      </c>
      <c r="M3099" s="1" t="s">
        <v>86</v>
      </c>
      <c r="N3099" s="1" t="s">
        <v>50161</v>
      </c>
      <c r="O3099" s="1" t="s">
        <v>50162</v>
      </c>
      <c r="P3099" s="1" t="s">
        <v>219</v>
      </c>
      <c r="Q3099" s="1">
        <v>530933091352</v>
      </c>
      <c r="R3099" s="1" t="s">
        <v>50163</v>
      </c>
      <c r="S3099" s="1">
        <v>9496852349</v>
      </c>
      <c r="T3099" s="1" t="s">
        <v>50164</v>
      </c>
      <c r="U3099" s="1" t="s">
        <v>50165</v>
      </c>
      <c r="V3099" s="1">
        <v>9496868434</v>
      </c>
      <c r="W3099" s="1" t="s">
        <v>10306</v>
      </c>
      <c r="X3099" s="1" t="s">
        <v>50166</v>
      </c>
      <c r="Y3099" s="1" t="s">
        <v>5313</v>
      </c>
      <c r="Z3099" s="1" t="s">
        <v>130</v>
      </c>
      <c r="AA3099" s="1" t="s">
        <v>50167</v>
      </c>
      <c r="AB3099" s="1" t="s">
        <v>5313</v>
      </c>
      <c r="AC3099" s="1" t="s">
        <v>130</v>
      </c>
      <c r="AD3099" s="1" t="s">
        <v>98</v>
      </c>
      <c r="AE3099" s="1" t="s">
        <v>98</v>
      </c>
      <c r="AF3099" s="1" t="s">
        <v>50168</v>
      </c>
      <c r="AG3099" s="1" t="s">
        <v>50169</v>
      </c>
      <c r="AH3099" s="1" t="s">
        <v>106</v>
      </c>
      <c r="AI3099" s="1" t="s">
        <v>414</v>
      </c>
      <c r="AJ3099" s="1">
        <v>96.6</v>
      </c>
      <c r="AK3099" s="1"/>
      <c r="AL3099" s="1" t="s">
        <v>21693</v>
      </c>
      <c r="AM3099" s="1" t="s">
        <v>50169</v>
      </c>
      <c r="AN3099" s="1" t="s">
        <v>575</v>
      </c>
      <c r="AO3099" s="1" t="s">
        <v>468</v>
      </c>
      <c r="AP3099" s="1" t="s">
        <v>1192</v>
      </c>
      <c r="AQ3099" s="1">
        <v>95.4</v>
      </c>
      <c r="AR3099" s="1"/>
      <c r="AS3099" s="1"/>
      <c r="AT3099" s="1"/>
      <c r="AU3099" s="1"/>
      <c r="AV3099" s="1"/>
      <c r="AW3099" s="1"/>
      <c r="AX3099" s="1"/>
      <c r="AY3099" s="1" t="s">
        <v>15573</v>
      </c>
      <c r="AZ3099" s="1" t="s">
        <v>50170</v>
      </c>
      <c r="BA3099" s="1" t="s">
        <v>466</v>
      </c>
      <c r="BB3099" s="1" t="s">
        <v>467</v>
      </c>
      <c r="BC3099" s="1" t="s">
        <v>1802</v>
      </c>
      <c r="BD3099" s="1" t="s">
        <v>14101</v>
      </c>
      <c r="BE3099" s="1">
        <v>75</v>
      </c>
      <c r="BF3099" s="1">
        <v>7.5</v>
      </c>
      <c r="BG3099" s="1"/>
      <c r="BH3099" s="1"/>
      <c r="BI3099" s="1"/>
      <c r="BJ3099" s="1"/>
      <c r="BK3099" s="1"/>
      <c r="BL3099" s="1"/>
      <c r="BM3099" s="1"/>
      <c r="BN3099" s="1"/>
      <c r="BO3099" s="1" t="s">
        <v>50171</v>
      </c>
      <c r="BP3099" s="1"/>
      <c r="BQ3099" s="1"/>
      <c r="BR3099" s="1" t="s">
        <v>50172</v>
      </c>
      <c r="BS3099" s="1">
        <v>1</v>
      </c>
      <c r="BT3099" s="1" t="s">
        <v>50173</v>
      </c>
      <c r="BU3099" s="1" t="str">
        <f>HYPERLINK("https://nconnect.nicmar.ac.in/storage/profile/6a85b2fcb7d1a.png","Download")</f>
        <v>0</v>
      </c>
      <c r="BV3099" s="3"/>
      <c r="BW3099" s="3"/>
    </row>
    <row r="3100" spans="1:75">
      <c r="A3100" s="1" t="s">
        <v>45201</v>
      </c>
      <c r="B3100" s="1" t="s">
        <v>13976</v>
      </c>
      <c r="C3100" s="1" t="s">
        <v>50174</v>
      </c>
      <c r="D3100" s="1" t="s">
        <v>50175</v>
      </c>
      <c r="E3100" s="1" t="s">
        <v>50176</v>
      </c>
      <c r="F3100" s="1" t="s">
        <v>50177</v>
      </c>
      <c r="G3100" s="1" t="s">
        <v>50178</v>
      </c>
      <c r="H3100" s="1" t="s">
        <v>50179</v>
      </c>
      <c r="I3100" s="1" t="s">
        <v>50179</v>
      </c>
      <c r="J3100" s="1">
        <v>6282871619</v>
      </c>
      <c r="K3100" s="1" t="s">
        <v>153</v>
      </c>
      <c r="L3100" s="1" t="s">
        <v>12609</v>
      </c>
      <c r="M3100" s="1" t="s">
        <v>86</v>
      </c>
      <c r="N3100" s="1" t="s">
        <v>1300</v>
      </c>
      <c r="O3100" s="1" t="s">
        <v>50180</v>
      </c>
      <c r="P3100" s="1" t="s">
        <v>219</v>
      </c>
      <c r="Q3100" s="1">
        <v>851509759810</v>
      </c>
      <c r="R3100" s="1" t="s">
        <v>50181</v>
      </c>
      <c r="S3100" s="1">
        <v>9447969800</v>
      </c>
      <c r="T3100" s="1" t="s">
        <v>50182</v>
      </c>
      <c r="U3100" s="1" t="s">
        <v>50183</v>
      </c>
      <c r="V3100" s="1">
        <v>9497620700</v>
      </c>
      <c r="W3100" s="1" t="s">
        <v>22414</v>
      </c>
      <c r="X3100" s="1" t="s">
        <v>50184</v>
      </c>
      <c r="Y3100" s="1" t="s">
        <v>5313</v>
      </c>
      <c r="Z3100" s="1" t="s">
        <v>130</v>
      </c>
      <c r="AA3100" s="1" t="s">
        <v>50184</v>
      </c>
      <c r="AB3100" s="1" t="s">
        <v>5313</v>
      </c>
      <c r="AC3100" s="1" t="s">
        <v>130</v>
      </c>
      <c r="AD3100" s="1" t="s">
        <v>98</v>
      </c>
      <c r="AE3100" s="1" t="s">
        <v>98</v>
      </c>
      <c r="AF3100" s="1" t="s">
        <v>21693</v>
      </c>
      <c r="AG3100" s="1" t="s">
        <v>50185</v>
      </c>
      <c r="AH3100" s="1" t="s">
        <v>438</v>
      </c>
      <c r="AI3100" s="1" t="s">
        <v>603</v>
      </c>
      <c r="AJ3100" s="1">
        <v>93</v>
      </c>
      <c r="AK3100" s="1"/>
      <c r="AL3100" s="1" t="s">
        <v>21693</v>
      </c>
      <c r="AM3100" s="1" t="s">
        <v>50185</v>
      </c>
      <c r="AN3100" s="1" t="s">
        <v>6380</v>
      </c>
      <c r="AO3100" s="1" t="s">
        <v>847</v>
      </c>
      <c r="AP3100" s="1" t="s">
        <v>1886</v>
      </c>
      <c r="AQ3100" s="1">
        <v>87</v>
      </c>
      <c r="AR3100" s="1"/>
      <c r="AS3100" s="1"/>
      <c r="AT3100" s="1"/>
      <c r="AU3100" s="1"/>
      <c r="AV3100" s="1"/>
      <c r="AW3100" s="1"/>
      <c r="AX3100" s="1"/>
      <c r="AY3100" s="1" t="s">
        <v>15573</v>
      </c>
      <c r="AZ3100" s="1" t="s">
        <v>50186</v>
      </c>
      <c r="BA3100" s="1" t="s">
        <v>466</v>
      </c>
      <c r="BB3100" s="1" t="s">
        <v>467</v>
      </c>
      <c r="BC3100" s="1" t="s">
        <v>1825</v>
      </c>
      <c r="BD3100" s="1" t="s">
        <v>9688</v>
      </c>
      <c r="BE3100" s="1">
        <v>83.6</v>
      </c>
      <c r="BF3100" s="1">
        <v>8.36</v>
      </c>
      <c r="BG3100" s="1"/>
      <c r="BH3100" s="1"/>
      <c r="BI3100" s="1"/>
      <c r="BJ3100" s="1"/>
      <c r="BK3100" s="1"/>
      <c r="BL3100" s="1"/>
      <c r="BM3100" s="1"/>
      <c r="BN3100" s="1"/>
      <c r="BO3100" s="1" t="s">
        <v>50187</v>
      </c>
      <c r="BP3100" s="1"/>
      <c r="BQ3100" s="1"/>
      <c r="BR3100" s="1" t="s">
        <v>50188</v>
      </c>
      <c r="BS3100" s="1"/>
      <c r="BT3100" s="1" t="s">
        <v>50189</v>
      </c>
      <c r="BU3100" s="1" t="str">
        <f>HYPERLINK("https://nconnect.nicmar.ac.in/storage/profile/6a85bab1b7585.png","Download")</f>
        <v>0</v>
      </c>
      <c r="BV3100" s="3"/>
      <c r="BW3100" s="3"/>
    </row>
    <row r="3101" spans="1:75">
      <c r="A3101" s="1" t="s">
        <v>45201</v>
      </c>
      <c r="B3101" s="1" t="s">
        <v>13976</v>
      </c>
      <c r="C3101" s="1" t="s">
        <v>50190</v>
      </c>
      <c r="D3101" s="1" t="s">
        <v>50191</v>
      </c>
      <c r="E3101" s="1" t="s">
        <v>23759</v>
      </c>
      <c r="F3101" s="1" t="s">
        <v>9671</v>
      </c>
      <c r="G3101" s="1" t="s">
        <v>50192</v>
      </c>
      <c r="H3101" s="1" t="s">
        <v>50193</v>
      </c>
      <c r="I3101" s="1" t="s">
        <v>50193</v>
      </c>
      <c r="J3101" s="1">
        <v>7972212009</v>
      </c>
      <c r="K3101" s="1" t="s">
        <v>84</v>
      </c>
      <c r="L3101" s="1" t="s">
        <v>15605</v>
      </c>
      <c r="M3101" s="1" t="s">
        <v>86</v>
      </c>
      <c r="N3101" s="1" t="s">
        <v>768</v>
      </c>
      <c r="O3101" s="1" t="s">
        <v>50194</v>
      </c>
      <c r="P3101" s="1" t="s">
        <v>89</v>
      </c>
      <c r="Q3101" s="1">
        <v>487262438355</v>
      </c>
      <c r="R3101" s="1" t="s">
        <v>50195</v>
      </c>
      <c r="S3101" s="1">
        <v>9326082314</v>
      </c>
      <c r="T3101" s="1" t="s">
        <v>3439</v>
      </c>
      <c r="U3101" s="1" t="s">
        <v>50196</v>
      </c>
      <c r="V3101" s="1">
        <v>9371346165</v>
      </c>
      <c r="W3101" s="1" t="s">
        <v>14154</v>
      </c>
      <c r="X3101" s="1" t="s">
        <v>50197</v>
      </c>
      <c r="Y3101" s="1" t="s">
        <v>410</v>
      </c>
      <c r="Z3101" s="1" t="s">
        <v>97</v>
      </c>
      <c r="AA3101" s="1" t="s">
        <v>50197</v>
      </c>
      <c r="AB3101" s="1" t="s">
        <v>410</v>
      </c>
      <c r="AC3101" s="1" t="s">
        <v>97</v>
      </c>
      <c r="AD3101" s="1" t="s">
        <v>98</v>
      </c>
      <c r="AE3101" s="1" t="s">
        <v>98</v>
      </c>
      <c r="AF3101" s="1" t="s">
        <v>50198</v>
      </c>
      <c r="AG3101" s="1" t="s">
        <v>50199</v>
      </c>
      <c r="AH3101" s="1" t="s">
        <v>2157</v>
      </c>
      <c r="AI3101" s="1" t="s">
        <v>313</v>
      </c>
      <c r="AJ3101" s="1">
        <v>72.6</v>
      </c>
      <c r="AK3101" s="1"/>
      <c r="AL3101" s="1" t="s">
        <v>50200</v>
      </c>
      <c r="AM3101" s="1" t="s">
        <v>50199</v>
      </c>
      <c r="AN3101" s="1" t="s">
        <v>575</v>
      </c>
      <c r="AO3101" s="1" t="s">
        <v>313</v>
      </c>
      <c r="AP3101" s="1" t="s">
        <v>845</v>
      </c>
      <c r="AQ3101" s="1">
        <v>81.67</v>
      </c>
      <c r="AR3101" s="1"/>
      <c r="AS3101" s="1"/>
      <c r="AT3101" s="1"/>
      <c r="AU3101" s="1"/>
      <c r="AV3101" s="1"/>
      <c r="AW3101" s="1"/>
      <c r="AX3101" s="1"/>
      <c r="AY3101" s="1" t="s">
        <v>14884</v>
      </c>
      <c r="AZ3101" s="1" t="s">
        <v>50201</v>
      </c>
      <c r="BA3101" s="1" t="s">
        <v>466</v>
      </c>
      <c r="BB3101" s="1" t="s">
        <v>467</v>
      </c>
      <c r="BC3101" s="1" t="s">
        <v>871</v>
      </c>
      <c r="BD3101" s="1" t="s">
        <v>848</v>
      </c>
      <c r="BE3101" s="1">
        <v>71.3</v>
      </c>
      <c r="BF3101" s="1">
        <v>7.13</v>
      </c>
      <c r="BG3101" s="1"/>
      <c r="BH3101" s="1"/>
      <c r="BI3101" s="1"/>
      <c r="BJ3101" s="1"/>
      <c r="BK3101" s="1"/>
      <c r="BL3101" s="1"/>
      <c r="BM3101" s="1"/>
      <c r="BN3101" s="1"/>
      <c r="BO3101" s="1" t="s">
        <v>50202</v>
      </c>
      <c r="BP3101" s="1" t="s">
        <v>50203</v>
      </c>
      <c r="BQ3101" s="1" t="s">
        <v>9405</v>
      </c>
      <c r="BR3101" s="1" t="s">
        <v>50204</v>
      </c>
      <c r="BS3101" s="1">
        <v>9</v>
      </c>
      <c r="BT3101" s="1"/>
      <c r="BU3101" s="1" t="str">
        <f>HYPERLINK("https://nconnect.nicmar.ac.in/storage/profile/6a85a4a7ce648.png","Download")</f>
        <v>0</v>
      </c>
      <c r="BV3101" s="3"/>
      <c r="BW3101" s="3"/>
    </row>
    <row r="3102" spans="1:75">
      <c r="A3102" s="1" t="s">
        <v>45201</v>
      </c>
      <c r="B3102" s="1" t="s">
        <v>13976</v>
      </c>
      <c r="C3102" s="1" t="s">
        <v>50205</v>
      </c>
      <c r="D3102" s="1" t="s">
        <v>50206</v>
      </c>
      <c r="E3102" s="1" t="s">
        <v>17186</v>
      </c>
      <c r="F3102" s="1" t="s">
        <v>50207</v>
      </c>
      <c r="G3102" s="1" t="s">
        <v>50208</v>
      </c>
      <c r="H3102" s="1" t="s">
        <v>50209</v>
      </c>
      <c r="I3102" s="1" t="s">
        <v>50209</v>
      </c>
      <c r="J3102" s="1">
        <v>8879842908</v>
      </c>
      <c r="K3102" s="1" t="s">
        <v>84</v>
      </c>
      <c r="L3102" s="1" t="s">
        <v>7672</v>
      </c>
      <c r="M3102" s="1" t="s">
        <v>86</v>
      </c>
      <c r="N3102" s="1" t="s">
        <v>21834</v>
      </c>
      <c r="O3102" s="1" t="s">
        <v>50210</v>
      </c>
      <c r="P3102" s="1" t="s">
        <v>89</v>
      </c>
      <c r="Q3102" s="1">
        <v>706806162495</v>
      </c>
      <c r="R3102" s="1" t="s">
        <v>50211</v>
      </c>
      <c r="S3102" s="1">
        <v>9820622361</v>
      </c>
      <c r="T3102" s="1" t="s">
        <v>2177</v>
      </c>
      <c r="U3102" s="1" t="s">
        <v>50212</v>
      </c>
      <c r="V3102" s="1">
        <v>9820622374</v>
      </c>
      <c r="W3102" s="1" t="s">
        <v>50213</v>
      </c>
      <c r="X3102" s="1" t="s">
        <v>50214</v>
      </c>
      <c r="Y3102" s="1" t="s">
        <v>2259</v>
      </c>
      <c r="Z3102" s="1" t="s">
        <v>97</v>
      </c>
      <c r="AA3102" s="1" t="s">
        <v>50214</v>
      </c>
      <c r="AB3102" s="1" t="s">
        <v>2259</v>
      </c>
      <c r="AC3102" s="1" t="s">
        <v>97</v>
      </c>
      <c r="AD3102" s="1" t="s">
        <v>98</v>
      </c>
      <c r="AE3102" s="1" t="s">
        <v>98</v>
      </c>
      <c r="AF3102" s="1" t="s">
        <v>50215</v>
      </c>
      <c r="AG3102" s="1" t="s">
        <v>44704</v>
      </c>
      <c r="AH3102" s="1" t="s">
        <v>170</v>
      </c>
      <c r="AI3102" s="1" t="s">
        <v>286</v>
      </c>
      <c r="AJ3102" s="1">
        <v>82.4</v>
      </c>
      <c r="AK3102" s="1"/>
      <c r="AL3102" s="1" t="s">
        <v>50216</v>
      </c>
      <c r="AM3102" s="1" t="s">
        <v>44704</v>
      </c>
      <c r="AN3102" s="1" t="s">
        <v>465</v>
      </c>
      <c r="AO3102" s="1" t="s">
        <v>438</v>
      </c>
      <c r="AP3102" s="1" t="s">
        <v>365</v>
      </c>
      <c r="AQ3102" s="1">
        <v>68.15</v>
      </c>
      <c r="AR3102" s="1"/>
      <c r="AS3102" s="1"/>
      <c r="AT3102" s="1"/>
      <c r="AU3102" s="1"/>
      <c r="AV3102" s="1"/>
      <c r="AW3102" s="1"/>
      <c r="AX3102" s="1"/>
      <c r="AY3102" s="1" t="s">
        <v>14380</v>
      </c>
      <c r="AZ3102" s="1" t="s">
        <v>50217</v>
      </c>
      <c r="BA3102" s="1" t="s">
        <v>578</v>
      </c>
      <c r="BB3102" s="1" t="s">
        <v>467</v>
      </c>
      <c r="BC3102" s="1" t="s">
        <v>178</v>
      </c>
      <c r="BD3102" s="1" t="s">
        <v>418</v>
      </c>
      <c r="BE3102" s="1">
        <v>80.23</v>
      </c>
      <c r="BF3102" s="1">
        <v>9.22</v>
      </c>
      <c r="BG3102" s="1"/>
      <c r="BH3102" s="1"/>
      <c r="BI3102" s="1"/>
      <c r="BJ3102" s="1"/>
      <c r="BK3102" s="1"/>
      <c r="BL3102" s="1"/>
      <c r="BM3102" s="1"/>
      <c r="BN3102" s="1"/>
      <c r="BO3102" s="1" t="s">
        <v>50218</v>
      </c>
      <c r="BP3102" s="1" t="s">
        <v>50219</v>
      </c>
      <c r="BQ3102" s="1" t="s">
        <v>7647</v>
      </c>
      <c r="BR3102" s="1" t="s">
        <v>50220</v>
      </c>
      <c r="BS3102" s="1">
        <v>17</v>
      </c>
      <c r="BT3102" s="1" t="s">
        <v>50221</v>
      </c>
      <c r="BU3102" s="1" t="str">
        <f>HYPERLINK("https://nconnect.nicmar.ac.in/storage/profile/6a84b4a5d14f9.png","Download")</f>
        <v>0</v>
      </c>
      <c r="BV3102" s="3"/>
      <c r="BW3102" s="3"/>
    </row>
    <row r="3103" spans="1:75">
      <c r="A3103" s="1" t="s">
        <v>45201</v>
      </c>
      <c r="B3103" s="1" t="s">
        <v>13976</v>
      </c>
      <c r="C3103" s="1" t="s">
        <v>50222</v>
      </c>
      <c r="D3103" s="1" t="s">
        <v>50223</v>
      </c>
      <c r="E3103" s="1" t="s">
        <v>24238</v>
      </c>
      <c r="F3103" s="1" t="s">
        <v>50224</v>
      </c>
      <c r="G3103" s="1" t="s">
        <v>50225</v>
      </c>
      <c r="H3103" s="1" t="s">
        <v>50226</v>
      </c>
      <c r="I3103" s="1" t="s">
        <v>50226</v>
      </c>
      <c r="J3103" s="1">
        <v>9307344517</v>
      </c>
      <c r="K3103" s="1" t="s">
        <v>153</v>
      </c>
      <c r="L3103" s="1" t="s">
        <v>14272</v>
      </c>
      <c r="M3103" s="1" t="s">
        <v>86</v>
      </c>
      <c r="N3103" s="1" t="s">
        <v>768</v>
      </c>
      <c r="O3103" s="1" t="s">
        <v>50227</v>
      </c>
      <c r="P3103" s="1" t="s">
        <v>122</v>
      </c>
      <c r="Q3103" s="1">
        <v>493426128016</v>
      </c>
      <c r="R3103" s="1" t="s">
        <v>50228</v>
      </c>
      <c r="S3103" s="1">
        <v>9822235125</v>
      </c>
      <c r="T3103" s="1" t="s">
        <v>15146</v>
      </c>
      <c r="U3103" s="1" t="s">
        <v>50229</v>
      </c>
      <c r="V3103" s="1">
        <v>9112493324</v>
      </c>
      <c r="W3103" s="1" t="s">
        <v>15148</v>
      </c>
      <c r="X3103" s="1" t="s">
        <v>50230</v>
      </c>
      <c r="Y3103" s="1" t="s">
        <v>410</v>
      </c>
      <c r="Z3103" s="1" t="s">
        <v>97</v>
      </c>
      <c r="AA3103" s="1" t="s">
        <v>50230</v>
      </c>
      <c r="AB3103" s="1" t="s">
        <v>410</v>
      </c>
      <c r="AC3103" s="1" t="s">
        <v>97</v>
      </c>
      <c r="AD3103" s="1" t="s">
        <v>98</v>
      </c>
      <c r="AE3103" s="1" t="s">
        <v>98</v>
      </c>
      <c r="AF3103" s="1" t="s">
        <v>50231</v>
      </c>
      <c r="AG3103" s="1" t="s">
        <v>50232</v>
      </c>
      <c r="AH3103" s="1" t="s">
        <v>106</v>
      </c>
      <c r="AI3103" s="1" t="s">
        <v>414</v>
      </c>
      <c r="AJ3103" s="1">
        <v>71.6</v>
      </c>
      <c r="AK3103" s="1">
        <v>7.54</v>
      </c>
      <c r="AL3103" s="1" t="s">
        <v>50233</v>
      </c>
      <c r="AM3103" s="1" t="s">
        <v>50232</v>
      </c>
      <c r="AN3103" s="1" t="s">
        <v>465</v>
      </c>
      <c r="AO3103" s="1" t="s">
        <v>438</v>
      </c>
      <c r="AP3103" s="1" t="s">
        <v>845</v>
      </c>
      <c r="AQ3103" s="1">
        <v>90.83</v>
      </c>
      <c r="AR3103" s="1">
        <v>9.56</v>
      </c>
      <c r="AS3103" s="1"/>
      <c r="AT3103" s="1"/>
      <c r="AU3103" s="1"/>
      <c r="AV3103" s="1"/>
      <c r="AW3103" s="1"/>
      <c r="AX3103" s="1"/>
      <c r="AY3103" s="1" t="s">
        <v>14884</v>
      </c>
      <c r="AZ3103" s="1" t="s">
        <v>50234</v>
      </c>
      <c r="BA3103" s="1" t="s">
        <v>682</v>
      </c>
      <c r="BB3103" s="1" t="s">
        <v>683</v>
      </c>
      <c r="BC3103" s="1" t="s">
        <v>871</v>
      </c>
      <c r="BD3103" s="1" t="s">
        <v>14514</v>
      </c>
      <c r="BE3103" s="1">
        <v>73.9</v>
      </c>
      <c r="BF3103" s="1">
        <v>7.72</v>
      </c>
      <c r="BG3103" s="1"/>
      <c r="BH3103" s="1"/>
      <c r="BI3103" s="1"/>
      <c r="BJ3103" s="1"/>
      <c r="BK3103" s="1"/>
      <c r="BL3103" s="1"/>
      <c r="BM3103" s="1"/>
      <c r="BN3103" s="1"/>
      <c r="BO3103" s="1" t="s">
        <v>50235</v>
      </c>
      <c r="BP3103" s="1"/>
      <c r="BQ3103" s="1"/>
      <c r="BR3103" s="1" t="s">
        <v>50236</v>
      </c>
      <c r="BS3103" s="1">
        <v>20</v>
      </c>
      <c r="BT3103" s="1"/>
      <c r="BU3103" s="1" t="str">
        <f>HYPERLINK("https://nconnect.nicmar.ac.in/storage/profile/6a85ba1917f58.png","Download")</f>
        <v>0</v>
      </c>
      <c r="BV3103" s="3"/>
      <c r="BW3103" s="3"/>
    </row>
    <row r="3104" spans="1:75">
      <c r="A3104" s="1" t="s">
        <v>45201</v>
      </c>
      <c r="B3104" s="1" t="s">
        <v>13976</v>
      </c>
      <c r="C3104" s="1" t="s">
        <v>50237</v>
      </c>
      <c r="D3104" s="1" t="s">
        <v>15139</v>
      </c>
      <c r="E3104" s="1" t="s">
        <v>20988</v>
      </c>
      <c r="F3104" s="1" t="s">
        <v>50238</v>
      </c>
      <c r="G3104" s="1" t="s">
        <v>50239</v>
      </c>
      <c r="H3104" s="1" t="s">
        <v>50240</v>
      </c>
      <c r="I3104" s="1" t="s">
        <v>50240</v>
      </c>
      <c r="J3104" s="1">
        <v>8104022466</v>
      </c>
      <c r="K3104" s="1" t="s">
        <v>84</v>
      </c>
      <c r="L3104" s="1" t="s">
        <v>2220</v>
      </c>
      <c r="M3104" s="1" t="s">
        <v>86</v>
      </c>
      <c r="N3104" s="1" t="s">
        <v>8520</v>
      </c>
      <c r="O3104" s="1" t="s">
        <v>50241</v>
      </c>
      <c r="P3104" s="1" t="s">
        <v>122</v>
      </c>
      <c r="Q3104" s="1">
        <v>708973572195</v>
      </c>
      <c r="R3104" s="1" t="s">
        <v>50242</v>
      </c>
      <c r="S3104" s="1">
        <v>8169562582</v>
      </c>
      <c r="T3104" s="1" t="s">
        <v>17174</v>
      </c>
      <c r="U3104" s="1" t="s">
        <v>50243</v>
      </c>
      <c r="V3104" s="1">
        <v>8169560319</v>
      </c>
      <c r="W3104" s="1" t="s">
        <v>3441</v>
      </c>
      <c r="X3104" s="1" t="s">
        <v>50244</v>
      </c>
      <c r="Y3104" s="1" t="s">
        <v>2259</v>
      </c>
      <c r="Z3104" s="1" t="s">
        <v>97</v>
      </c>
      <c r="AA3104" s="1" t="s">
        <v>50244</v>
      </c>
      <c r="AB3104" s="1" t="s">
        <v>2259</v>
      </c>
      <c r="AC3104" s="1" t="s">
        <v>97</v>
      </c>
      <c r="AD3104" s="1" t="s">
        <v>98</v>
      </c>
      <c r="AE3104" s="1" t="s">
        <v>98</v>
      </c>
      <c r="AF3104" s="1" t="s">
        <v>50245</v>
      </c>
      <c r="AG3104" s="1" t="s">
        <v>50246</v>
      </c>
      <c r="AH3104" s="1" t="s">
        <v>388</v>
      </c>
      <c r="AI3104" s="1" t="s">
        <v>286</v>
      </c>
      <c r="AJ3104" s="1">
        <v>88</v>
      </c>
      <c r="AK3104" s="1"/>
      <c r="AL3104" s="1"/>
      <c r="AM3104" s="1"/>
      <c r="AN3104" s="1"/>
      <c r="AO3104" s="1"/>
      <c r="AP3104" s="1"/>
      <c r="AQ3104" s="1"/>
      <c r="AR3104" s="1"/>
      <c r="AS3104" s="1" t="s">
        <v>14158</v>
      </c>
      <c r="AT3104" s="1" t="s">
        <v>25145</v>
      </c>
      <c r="AU3104" s="1" t="s">
        <v>1065</v>
      </c>
      <c r="AV3104" s="1" t="s">
        <v>845</v>
      </c>
      <c r="AW3104" s="1">
        <v>92.53</v>
      </c>
      <c r="AX3104" s="1">
        <v>9.74</v>
      </c>
      <c r="AY3104" s="1" t="s">
        <v>14380</v>
      </c>
      <c r="AZ3104" s="1" t="s">
        <v>50247</v>
      </c>
      <c r="BA3104" s="1" t="s">
        <v>578</v>
      </c>
      <c r="BB3104" s="1" t="s">
        <v>467</v>
      </c>
      <c r="BC3104" s="1" t="s">
        <v>441</v>
      </c>
      <c r="BD3104" s="1" t="s">
        <v>418</v>
      </c>
      <c r="BE3104" s="1">
        <v>80.67</v>
      </c>
      <c r="BF3104" s="1">
        <v>9.28</v>
      </c>
      <c r="BG3104" s="1"/>
      <c r="BH3104" s="1"/>
      <c r="BI3104" s="1"/>
      <c r="BJ3104" s="1"/>
      <c r="BK3104" s="1"/>
      <c r="BL3104" s="1"/>
      <c r="BM3104" s="1"/>
      <c r="BN3104" s="1"/>
      <c r="BO3104" s="1" t="s">
        <v>50248</v>
      </c>
      <c r="BP3104" s="1" t="s">
        <v>50249</v>
      </c>
      <c r="BQ3104" s="1" t="s">
        <v>7647</v>
      </c>
      <c r="BR3104" s="1" t="s">
        <v>50250</v>
      </c>
      <c r="BS3104" s="1">
        <v>6</v>
      </c>
      <c r="BT3104" s="1"/>
      <c r="BU3104" s="1" t="str">
        <f>HYPERLINK("https://nconnect.nicmar.ac.in/storage/profile/6a85171533d71.png","Download")</f>
        <v>0</v>
      </c>
      <c r="BV3104" s="3"/>
      <c r="BW3104" s="3"/>
    </row>
    <row r="3105" spans="1:75">
      <c r="A3105" s="1" t="s">
        <v>45201</v>
      </c>
      <c r="B3105" s="1" t="s">
        <v>13976</v>
      </c>
      <c r="C3105" s="1" t="s">
        <v>50251</v>
      </c>
      <c r="D3105" s="1" t="s">
        <v>50252</v>
      </c>
      <c r="E3105" s="1" t="s">
        <v>50253</v>
      </c>
      <c r="F3105" s="1" t="s">
        <v>14147</v>
      </c>
      <c r="G3105" s="1" t="s">
        <v>50254</v>
      </c>
      <c r="H3105" s="1" t="s">
        <v>50255</v>
      </c>
      <c r="I3105" s="1" t="s">
        <v>50256</v>
      </c>
      <c r="J3105" s="1">
        <v>9767765088</v>
      </c>
      <c r="K3105" s="1" t="s">
        <v>153</v>
      </c>
      <c r="L3105" s="1" t="s">
        <v>42349</v>
      </c>
      <c r="M3105" s="1" t="s">
        <v>86</v>
      </c>
      <c r="N3105" s="1" t="s">
        <v>768</v>
      </c>
      <c r="O3105" s="1" t="s">
        <v>50257</v>
      </c>
      <c r="P3105" s="1" t="s">
        <v>219</v>
      </c>
      <c r="Q3105" s="1">
        <v>723347581496</v>
      </c>
      <c r="R3105" s="1" t="s">
        <v>50253</v>
      </c>
      <c r="S3105" s="1">
        <v>9921835657</v>
      </c>
      <c r="T3105" s="1" t="s">
        <v>16425</v>
      </c>
      <c r="U3105" s="1" t="s">
        <v>22717</v>
      </c>
      <c r="V3105" s="1">
        <v>9960454657</v>
      </c>
      <c r="W3105" s="1" t="s">
        <v>15313</v>
      </c>
      <c r="X3105" s="1" t="s">
        <v>50258</v>
      </c>
      <c r="Y3105" s="1" t="s">
        <v>96</v>
      </c>
      <c r="Z3105" s="1" t="s">
        <v>97</v>
      </c>
      <c r="AA3105" s="1" t="s">
        <v>50258</v>
      </c>
      <c r="AB3105" s="1" t="s">
        <v>96</v>
      </c>
      <c r="AC3105" s="1" t="s">
        <v>97</v>
      </c>
      <c r="AD3105" s="1" t="s">
        <v>98</v>
      </c>
      <c r="AE3105" s="1" t="s">
        <v>98</v>
      </c>
      <c r="AF3105" s="1" t="s">
        <v>50259</v>
      </c>
      <c r="AG3105" s="1" t="s">
        <v>50260</v>
      </c>
      <c r="AH3105" s="1" t="s">
        <v>171</v>
      </c>
      <c r="AI3105" s="1" t="s">
        <v>313</v>
      </c>
      <c r="AJ3105" s="1">
        <v>81.8</v>
      </c>
      <c r="AK3105" s="1"/>
      <c r="AL3105" s="1" t="s">
        <v>50261</v>
      </c>
      <c r="AM3105" s="1" t="s">
        <v>50262</v>
      </c>
      <c r="AN3105" s="1" t="s">
        <v>465</v>
      </c>
      <c r="AO3105" s="1" t="s">
        <v>1040</v>
      </c>
      <c r="AP3105" s="1" t="s">
        <v>441</v>
      </c>
      <c r="AQ3105" s="1">
        <v>84.66</v>
      </c>
      <c r="AR3105" s="1"/>
      <c r="AS3105" s="1"/>
      <c r="AT3105" s="1"/>
      <c r="AU3105" s="1"/>
      <c r="AV3105" s="1"/>
      <c r="AW3105" s="1"/>
      <c r="AX3105" s="1"/>
      <c r="AY3105" s="1" t="s">
        <v>50263</v>
      </c>
      <c r="AZ3105" s="1" t="s">
        <v>50264</v>
      </c>
      <c r="BA3105" s="1" t="s">
        <v>682</v>
      </c>
      <c r="BB3105" s="1" t="s">
        <v>683</v>
      </c>
      <c r="BC3105" s="1" t="s">
        <v>441</v>
      </c>
      <c r="BD3105" s="1" t="s">
        <v>14514</v>
      </c>
      <c r="BE3105" s="1">
        <v>66.75</v>
      </c>
      <c r="BF3105" s="1">
        <v>7.19</v>
      </c>
      <c r="BG3105" s="1"/>
      <c r="BH3105" s="1"/>
      <c r="BI3105" s="1"/>
      <c r="BJ3105" s="1"/>
      <c r="BK3105" s="1"/>
      <c r="BL3105" s="1"/>
      <c r="BM3105" s="1"/>
      <c r="BN3105" s="1"/>
      <c r="BO3105" s="1" t="s">
        <v>50265</v>
      </c>
      <c r="BP3105" s="1"/>
      <c r="BQ3105" s="1"/>
      <c r="BR3105" s="1" t="s">
        <v>50266</v>
      </c>
      <c r="BS3105" s="1">
        <v>26</v>
      </c>
      <c r="BT3105" s="1"/>
      <c r="BU3105" s="1" t="str">
        <f>HYPERLINK("https://nconnect.nicmar.ac.in/storage/profile/6a8599cb87c11.png","Download")</f>
        <v>0</v>
      </c>
      <c r="BV3105" s="3"/>
      <c r="BW3105" s="3"/>
    </row>
    <row r="3106" spans="1:75">
      <c r="A3106" s="1" t="s">
        <v>45201</v>
      </c>
      <c r="B3106" s="1" t="s">
        <v>13976</v>
      </c>
      <c r="C3106" s="1" t="s">
        <v>50267</v>
      </c>
      <c r="D3106" s="1" t="s">
        <v>25561</v>
      </c>
      <c r="E3106" s="1"/>
      <c r="F3106" s="1" t="s">
        <v>50268</v>
      </c>
      <c r="G3106" s="1" t="s">
        <v>50269</v>
      </c>
      <c r="H3106" s="1" t="s">
        <v>50270</v>
      </c>
      <c r="I3106" s="1" t="s">
        <v>50271</v>
      </c>
      <c r="J3106" s="1">
        <v>8272992113</v>
      </c>
      <c r="K3106" s="1" t="s">
        <v>84</v>
      </c>
      <c r="L3106" s="1" t="s">
        <v>50272</v>
      </c>
      <c r="M3106" s="1" t="s">
        <v>86</v>
      </c>
      <c r="N3106" s="1" t="s">
        <v>50273</v>
      </c>
      <c r="O3106" s="1" t="s">
        <v>1301</v>
      </c>
      <c r="P3106" s="1" t="s">
        <v>122</v>
      </c>
      <c r="Q3106" s="1">
        <v>517949221796</v>
      </c>
      <c r="R3106" s="1" t="s">
        <v>50274</v>
      </c>
      <c r="S3106" s="1">
        <v>8820569441</v>
      </c>
      <c r="T3106" s="1" t="s">
        <v>2177</v>
      </c>
      <c r="U3106" s="1" t="s">
        <v>50275</v>
      </c>
      <c r="V3106" s="1">
        <v>7044149504</v>
      </c>
      <c r="W3106" s="1" t="s">
        <v>14212</v>
      </c>
      <c r="X3106" s="1" t="s">
        <v>50276</v>
      </c>
      <c r="Y3106" s="1" t="s">
        <v>3282</v>
      </c>
      <c r="Z3106" s="1" t="s">
        <v>1234</v>
      </c>
      <c r="AA3106" s="1" t="s">
        <v>50276</v>
      </c>
      <c r="AB3106" s="1" t="s">
        <v>3282</v>
      </c>
      <c r="AC3106" s="1" t="s">
        <v>1234</v>
      </c>
      <c r="AD3106" s="1" t="s">
        <v>98</v>
      </c>
      <c r="AE3106" s="1" t="s">
        <v>98</v>
      </c>
      <c r="AF3106" s="1" t="s">
        <v>50277</v>
      </c>
      <c r="AG3106" s="1" t="s">
        <v>15511</v>
      </c>
      <c r="AH3106" s="1" t="s">
        <v>284</v>
      </c>
      <c r="AI3106" s="1" t="s">
        <v>200</v>
      </c>
      <c r="AJ3106" s="1">
        <v>76.0</v>
      </c>
      <c r="AK3106" s="1">
        <v>8.0</v>
      </c>
      <c r="AL3106" s="1" t="s">
        <v>50277</v>
      </c>
      <c r="AM3106" s="1" t="s">
        <v>15511</v>
      </c>
      <c r="AN3106" s="1" t="s">
        <v>465</v>
      </c>
      <c r="AO3106" s="1" t="s">
        <v>490</v>
      </c>
      <c r="AP3106" s="1" t="s">
        <v>414</v>
      </c>
      <c r="AQ3106" s="1">
        <v>73.6</v>
      </c>
      <c r="AR3106" s="1"/>
      <c r="AS3106" s="1"/>
      <c r="AT3106" s="1"/>
      <c r="AU3106" s="1"/>
      <c r="AV3106" s="1"/>
      <c r="AW3106" s="1"/>
      <c r="AX3106" s="1"/>
      <c r="AY3106" s="1" t="s">
        <v>27181</v>
      </c>
      <c r="AZ3106" s="1" t="s">
        <v>50278</v>
      </c>
      <c r="BA3106" s="1" t="s">
        <v>578</v>
      </c>
      <c r="BB3106" s="1" t="s">
        <v>467</v>
      </c>
      <c r="BC3106" s="1" t="s">
        <v>1040</v>
      </c>
      <c r="BD3106" s="1" t="s">
        <v>418</v>
      </c>
      <c r="BE3106" s="1">
        <v>63.73</v>
      </c>
      <c r="BF3106" s="1">
        <v>6.92</v>
      </c>
      <c r="BG3106" s="1"/>
      <c r="BH3106" s="1"/>
      <c r="BI3106" s="1"/>
      <c r="BJ3106" s="1"/>
      <c r="BK3106" s="1"/>
      <c r="BL3106" s="1"/>
      <c r="BM3106" s="1"/>
      <c r="BN3106" s="1"/>
      <c r="BO3106" s="1" t="s">
        <v>260</v>
      </c>
      <c r="BP3106" s="1" t="s">
        <v>50279</v>
      </c>
      <c r="BQ3106" s="1" t="s">
        <v>582</v>
      </c>
      <c r="BR3106" s="1"/>
      <c r="BS3106" s="1"/>
      <c r="BT3106" s="1"/>
      <c r="BU3106" s="1" t="str">
        <f>HYPERLINK("https://nconnect.nicmar.ac.in/storage/profile/6a81ac63d3deb.png","Download")</f>
        <v>0</v>
      </c>
      <c r="BV3106" s="3"/>
      <c r="BW3106" s="3"/>
    </row>
    <row r="3107" spans="1:75">
      <c r="A3107" s="1" t="s">
        <v>45201</v>
      </c>
      <c r="B3107" s="1" t="s">
        <v>13976</v>
      </c>
      <c r="C3107" s="1" t="s">
        <v>50280</v>
      </c>
      <c r="D3107" s="1" t="s">
        <v>50281</v>
      </c>
      <c r="E3107" s="1" t="s">
        <v>50282</v>
      </c>
      <c r="F3107" s="1" t="s">
        <v>50283</v>
      </c>
      <c r="G3107" s="1" t="s">
        <v>50284</v>
      </c>
      <c r="H3107" s="1" t="s">
        <v>50285</v>
      </c>
      <c r="I3107" s="1" t="s">
        <v>50285</v>
      </c>
      <c r="J3107" s="1">
        <v>9136365197</v>
      </c>
      <c r="K3107" s="1" t="s">
        <v>84</v>
      </c>
      <c r="L3107" s="1" t="s">
        <v>16038</v>
      </c>
      <c r="M3107" s="1" t="s">
        <v>86</v>
      </c>
      <c r="N3107" s="1" t="s">
        <v>768</v>
      </c>
      <c r="O3107" s="1" t="s">
        <v>50286</v>
      </c>
      <c r="P3107" s="1" t="s">
        <v>219</v>
      </c>
      <c r="Q3107" s="1">
        <v>658313842337</v>
      </c>
      <c r="R3107" s="1" t="s">
        <v>50282</v>
      </c>
      <c r="S3107" s="1">
        <v>9702296645</v>
      </c>
      <c r="T3107" s="1" t="s">
        <v>15073</v>
      </c>
      <c r="U3107" s="1" t="s">
        <v>15437</v>
      </c>
      <c r="V3107" s="1">
        <v>7977257352</v>
      </c>
      <c r="W3107" s="1" t="s">
        <v>14234</v>
      </c>
      <c r="X3107" s="1" t="s">
        <v>50287</v>
      </c>
      <c r="Y3107" s="1" t="s">
        <v>1012</v>
      </c>
      <c r="Z3107" s="1" t="s">
        <v>97</v>
      </c>
      <c r="AA3107" s="1" t="s">
        <v>50287</v>
      </c>
      <c r="AB3107" s="1" t="s">
        <v>1012</v>
      </c>
      <c r="AC3107" s="1" t="s">
        <v>97</v>
      </c>
      <c r="AD3107" s="1" t="s">
        <v>98</v>
      </c>
      <c r="AE3107" s="1" t="s">
        <v>98</v>
      </c>
      <c r="AF3107" s="1" t="s">
        <v>40347</v>
      </c>
      <c r="AG3107" s="1" t="s">
        <v>14238</v>
      </c>
      <c r="AH3107" s="1" t="s">
        <v>170</v>
      </c>
      <c r="AI3107" s="1" t="s">
        <v>286</v>
      </c>
      <c r="AJ3107" s="1">
        <v>61.2</v>
      </c>
      <c r="AK3107" s="1"/>
      <c r="AL3107" s="1"/>
      <c r="AM3107" s="1"/>
      <c r="AN3107" s="1"/>
      <c r="AO3107" s="1"/>
      <c r="AP3107" s="1"/>
      <c r="AQ3107" s="1"/>
      <c r="AR3107" s="1"/>
      <c r="AS3107" s="1" t="s">
        <v>467</v>
      </c>
      <c r="AT3107" s="1" t="s">
        <v>15078</v>
      </c>
      <c r="AU3107" s="1" t="s">
        <v>1065</v>
      </c>
      <c r="AV3107" s="1" t="s">
        <v>441</v>
      </c>
      <c r="AW3107" s="1">
        <v>84.47</v>
      </c>
      <c r="AX3107" s="1"/>
      <c r="AY3107" s="1" t="s">
        <v>14380</v>
      </c>
      <c r="AZ3107" s="1" t="s">
        <v>40350</v>
      </c>
      <c r="BA3107" s="1" t="s">
        <v>578</v>
      </c>
      <c r="BB3107" s="1" t="s">
        <v>3661</v>
      </c>
      <c r="BC3107" s="1" t="s">
        <v>871</v>
      </c>
      <c r="BD3107" s="1" t="s">
        <v>418</v>
      </c>
      <c r="BE3107" s="1">
        <v>68.9</v>
      </c>
      <c r="BF3107" s="1">
        <v>7.63</v>
      </c>
      <c r="BG3107" s="1"/>
      <c r="BH3107" s="1"/>
      <c r="BI3107" s="1"/>
      <c r="BJ3107" s="1"/>
      <c r="BK3107" s="1"/>
      <c r="BL3107" s="1"/>
      <c r="BM3107" s="1"/>
      <c r="BN3107" s="1"/>
      <c r="BO3107" s="1" t="s">
        <v>50288</v>
      </c>
      <c r="BP3107" s="1" t="s">
        <v>50289</v>
      </c>
      <c r="BQ3107" s="1" t="s">
        <v>6365</v>
      </c>
      <c r="BR3107" s="1" t="s">
        <v>50290</v>
      </c>
      <c r="BS3107" s="1">
        <v>11</v>
      </c>
      <c r="BT3107" s="1"/>
      <c r="BU3107" s="1" t="str">
        <f>HYPERLINK("https://nconnect.nicmar.ac.in/storage/profile/6a85ef4cf1bbc.png","Download")</f>
        <v>0</v>
      </c>
      <c r="BV3107" s="3"/>
      <c r="BW3107" s="3"/>
    </row>
    <row r="3108" spans="1:75">
      <c r="A3108" s="1" t="s">
        <v>45201</v>
      </c>
      <c r="B3108" s="1" t="s">
        <v>13976</v>
      </c>
      <c r="C3108" s="1" t="s">
        <v>50291</v>
      </c>
      <c r="D3108" s="1" t="s">
        <v>50292</v>
      </c>
      <c r="E3108" s="1" t="s">
        <v>50293</v>
      </c>
      <c r="F3108" s="1" t="s">
        <v>18719</v>
      </c>
      <c r="G3108" s="1" t="s">
        <v>50294</v>
      </c>
      <c r="H3108" s="1" t="s">
        <v>50295</v>
      </c>
      <c r="I3108" s="1" t="s">
        <v>50295</v>
      </c>
      <c r="J3108" s="1">
        <v>8320285072</v>
      </c>
      <c r="K3108" s="1" t="s">
        <v>84</v>
      </c>
      <c r="L3108" s="1" t="s">
        <v>40228</v>
      </c>
      <c r="M3108" s="1" t="s">
        <v>86</v>
      </c>
      <c r="N3108" s="1" t="s">
        <v>50296</v>
      </c>
      <c r="O3108" s="1" t="s">
        <v>50297</v>
      </c>
      <c r="P3108" s="1" t="s">
        <v>89</v>
      </c>
      <c r="Q3108" s="1">
        <v>382677326713</v>
      </c>
      <c r="R3108" s="1" t="s">
        <v>50298</v>
      </c>
      <c r="S3108" s="1">
        <v>9824424463</v>
      </c>
      <c r="T3108" s="1" t="s">
        <v>15073</v>
      </c>
      <c r="U3108" s="1" t="s">
        <v>50299</v>
      </c>
      <c r="V3108" s="1">
        <v>9033007042</v>
      </c>
      <c r="W3108" s="1" t="s">
        <v>10306</v>
      </c>
      <c r="X3108" s="1" t="s">
        <v>50300</v>
      </c>
      <c r="Y3108" s="1" t="s">
        <v>2880</v>
      </c>
      <c r="Z3108" s="1" t="s">
        <v>676</v>
      </c>
      <c r="AA3108" s="1" t="s">
        <v>50300</v>
      </c>
      <c r="AB3108" s="1" t="s">
        <v>2880</v>
      </c>
      <c r="AC3108" s="1" t="s">
        <v>676</v>
      </c>
      <c r="AD3108" s="1" t="s">
        <v>98</v>
      </c>
      <c r="AE3108" s="1" t="s">
        <v>98</v>
      </c>
      <c r="AF3108" s="1" t="s">
        <v>50301</v>
      </c>
      <c r="AG3108" s="1" t="s">
        <v>50302</v>
      </c>
      <c r="AH3108" s="1" t="s">
        <v>490</v>
      </c>
      <c r="AI3108" s="1" t="s">
        <v>313</v>
      </c>
      <c r="AJ3108" s="1">
        <v>76.66</v>
      </c>
      <c r="AK3108" s="1"/>
      <c r="AL3108" s="1" t="s">
        <v>50303</v>
      </c>
      <c r="AM3108" s="1" t="s">
        <v>50302</v>
      </c>
      <c r="AN3108" s="1" t="s">
        <v>465</v>
      </c>
      <c r="AO3108" s="1" t="s">
        <v>977</v>
      </c>
      <c r="AP3108" s="1" t="s">
        <v>845</v>
      </c>
      <c r="AQ3108" s="1">
        <v>72</v>
      </c>
      <c r="AR3108" s="1"/>
      <c r="AS3108" s="1"/>
      <c r="AT3108" s="1"/>
      <c r="AU3108" s="1"/>
      <c r="AV3108" s="1"/>
      <c r="AW3108" s="1"/>
      <c r="AX3108" s="1"/>
      <c r="AY3108" s="1" t="s">
        <v>50304</v>
      </c>
      <c r="AZ3108" s="1" t="s">
        <v>50305</v>
      </c>
      <c r="BA3108" s="1" t="s">
        <v>466</v>
      </c>
      <c r="BB3108" s="1" t="s">
        <v>23143</v>
      </c>
      <c r="BC3108" s="1" t="s">
        <v>552</v>
      </c>
      <c r="BD3108" s="1" t="s">
        <v>553</v>
      </c>
      <c r="BE3108" s="1">
        <v>67.7</v>
      </c>
      <c r="BF3108" s="1">
        <v>7.47</v>
      </c>
      <c r="BG3108" s="1"/>
      <c r="BH3108" s="1"/>
      <c r="BI3108" s="1"/>
      <c r="BJ3108" s="1"/>
      <c r="BK3108" s="1"/>
      <c r="BL3108" s="1"/>
      <c r="BM3108" s="1"/>
      <c r="BN3108" s="1"/>
      <c r="BO3108" s="1" t="s">
        <v>50306</v>
      </c>
      <c r="BP3108" s="1" t="s">
        <v>50307</v>
      </c>
      <c r="BQ3108" s="1" t="s">
        <v>9405</v>
      </c>
      <c r="BR3108" s="1" t="s">
        <v>50308</v>
      </c>
      <c r="BS3108" s="1">
        <v>18</v>
      </c>
      <c r="BT3108" s="1" t="s">
        <v>50309</v>
      </c>
      <c r="BU3108" s="1" t="str">
        <f>HYPERLINK("https://nconnect.nicmar.ac.in/storage/profile/6a820945d9ae0.png","Download")</f>
        <v>0</v>
      </c>
      <c r="BV3108" s="3"/>
      <c r="BW3108" s="3"/>
    </row>
    <row r="3109" spans="1:75">
      <c r="A3109" s="1" t="s">
        <v>45201</v>
      </c>
      <c r="B3109" s="1" t="s">
        <v>13976</v>
      </c>
      <c r="C3109" s="1" t="s">
        <v>50310</v>
      </c>
      <c r="D3109" s="1" t="s">
        <v>50311</v>
      </c>
      <c r="E3109" s="1"/>
      <c r="F3109" s="1" t="s">
        <v>50312</v>
      </c>
      <c r="G3109" s="1" t="s">
        <v>50313</v>
      </c>
      <c r="H3109" s="1" t="s">
        <v>50314</v>
      </c>
      <c r="I3109" s="1" t="s">
        <v>50314</v>
      </c>
      <c r="J3109" s="1">
        <v>7794904162</v>
      </c>
      <c r="K3109" s="1" t="s">
        <v>153</v>
      </c>
      <c r="L3109" s="1" t="s">
        <v>39481</v>
      </c>
      <c r="M3109" s="1" t="s">
        <v>86</v>
      </c>
      <c r="N3109" s="1" t="s">
        <v>8486</v>
      </c>
      <c r="O3109" s="1" t="s">
        <v>50315</v>
      </c>
      <c r="P3109" s="1" t="s">
        <v>122</v>
      </c>
      <c r="Q3109" s="1">
        <v>901673948507</v>
      </c>
      <c r="R3109" s="1" t="s">
        <v>50316</v>
      </c>
      <c r="S3109" s="1">
        <v>8978081794</v>
      </c>
      <c r="T3109" s="1" t="s">
        <v>50317</v>
      </c>
      <c r="U3109" s="1" t="s">
        <v>50318</v>
      </c>
      <c r="V3109" s="1">
        <v>9490184626</v>
      </c>
      <c r="W3109" s="1" t="s">
        <v>10306</v>
      </c>
      <c r="X3109" s="1" t="s">
        <v>50319</v>
      </c>
      <c r="Y3109" s="1" t="s">
        <v>1454</v>
      </c>
      <c r="Z3109" s="1" t="s">
        <v>281</v>
      </c>
      <c r="AA3109" s="1" t="s">
        <v>50319</v>
      </c>
      <c r="AB3109" s="1" t="s">
        <v>1454</v>
      </c>
      <c r="AC3109" s="1" t="s">
        <v>281</v>
      </c>
      <c r="AD3109" s="1" t="s">
        <v>98</v>
      </c>
      <c r="AE3109" s="1" t="s">
        <v>98</v>
      </c>
      <c r="AF3109" s="1" t="s">
        <v>50320</v>
      </c>
      <c r="AG3109" s="1" t="s">
        <v>50321</v>
      </c>
      <c r="AH3109" s="1" t="s">
        <v>704</v>
      </c>
      <c r="AI3109" s="1" t="s">
        <v>171</v>
      </c>
      <c r="AJ3109" s="1">
        <v>65.4</v>
      </c>
      <c r="AK3109" s="1"/>
      <c r="AL3109" s="1" t="s">
        <v>20404</v>
      </c>
      <c r="AM3109" s="1" t="s">
        <v>50322</v>
      </c>
      <c r="AN3109" s="1" t="s">
        <v>465</v>
      </c>
      <c r="AO3109" s="1" t="s">
        <v>106</v>
      </c>
      <c r="AP3109" s="1" t="s">
        <v>603</v>
      </c>
      <c r="AQ3109" s="1">
        <v>80.6</v>
      </c>
      <c r="AR3109" s="1">
        <v>8.57</v>
      </c>
      <c r="AS3109" s="1"/>
      <c r="AT3109" s="1"/>
      <c r="AU3109" s="1"/>
      <c r="AV3109" s="1"/>
      <c r="AW3109" s="1"/>
      <c r="AX3109" s="1"/>
      <c r="AY3109" s="1" t="s">
        <v>50323</v>
      </c>
      <c r="AZ3109" s="1" t="s">
        <v>50324</v>
      </c>
      <c r="BA3109" s="1" t="s">
        <v>466</v>
      </c>
      <c r="BB3109" s="1" t="s">
        <v>23143</v>
      </c>
      <c r="BC3109" s="1" t="s">
        <v>468</v>
      </c>
      <c r="BD3109" s="1" t="s">
        <v>1089</v>
      </c>
      <c r="BE3109" s="1">
        <v>68.1</v>
      </c>
      <c r="BF3109" s="1">
        <v>7.56</v>
      </c>
      <c r="BG3109" s="1"/>
      <c r="BH3109" s="1"/>
      <c r="BI3109" s="1"/>
      <c r="BJ3109" s="1"/>
      <c r="BK3109" s="1"/>
      <c r="BL3109" s="1"/>
      <c r="BM3109" s="1"/>
      <c r="BN3109" s="1"/>
      <c r="BO3109" s="1" t="s">
        <v>50325</v>
      </c>
      <c r="BP3109" s="1"/>
      <c r="BQ3109" s="1"/>
      <c r="BR3109" s="1" t="s">
        <v>50326</v>
      </c>
      <c r="BS3109" s="1">
        <v>26</v>
      </c>
      <c r="BT3109" s="1"/>
      <c r="BU3109" s="1" t="str">
        <f>HYPERLINK("https://nconnect.nicmar.ac.in/storage/profile/6a85beb6b3f8f.png","Download")</f>
        <v>0</v>
      </c>
      <c r="BV3109" s="3"/>
      <c r="BW3109" s="3"/>
    </row>
    <row r="3110" spans="1:75">
      <c r="A3110" s="1" t="s">
        <v>45201</v>
      </c>
      <c r="B3110" s="1" t="s">
        <v>13976</v>
      </c>
      <c r="C3110" s="1" t="s">
        <v>50327</v>
      </c>
      <c r="D3110" s="1" t="s">
        <v>50328</v>
      </c>
      <c r="E3110" s="1"/>
      <c r="F3110" s="1" t="s">
        <v>812</v>
      </c>
      <c r="G3110" s="1" t="s">
        <v>50329</v>
      </c>
      <c r="H3110" s="1" t="s">
        <v>50330</v>
      </c>
      <c r="I3110" s="1" t="s">
        <v>50330</v>
      </c>
      <c r="J3110" s="1">
        <v>9865743972</v>
      </c>
      <c r="K3110" s="1" t="s">
        <v>153</v>
      </c>
      <c r="L3110" s="1" t="s">
        <v>50331</v>
      </c>
      <c r="M3110" s="1" t="s">
        <v>86</v>
      </c>
      <c r="N3110" s="1" t="s">
        <v>8020</v>
      </c>
      <c r="O3110" s="1" t="s">
        <v>50332</v>
      </c>
      <c r="P3110" s="1" t="s">
        <v>89</v>
      </c>
      <c r="Q3110" s="1">
        <v>644480863633</v>
      </c>
      <c r="R3110" s="1" t="s">
        <v>50333</v>
      </c>
      <c r="S3110" s="1">
        <v>9865174397</v>
      </c>
      <c r="T3110" s="1" t="s">
        <v>50334</v>
      </c>
      <c r="U3110" s="1" t="s">
        <v>50335</v>
      </c>
      <c r="V3110" s="1">
        <v>9788613316</v>
      </c>
      <c r="W3110" s="1" t="s">
        <v>18072</v>
      </c>
      <c r="X3110" s="1" t="s">
        <v>50336</v>
      </c>
      <c r="Y3110" s="1" t="s">
        <v>2131</v>
      </c>
      <c r="Z3110" s="1" t="s">
        <v>570</v>
      </c>
      <c r="AA3110" s="1" t="s">
        <v>50336</v>
      </c>
      <c r="AB3110" s="1" t="s">
        <v>2131</v>
      </c>
      <c r="AC3110" s="1" t="s">
        <v>570</v>
      </c>
      <c r="AD3110" s="1" t="s">
        <v>98</v>
      </c>
      <c r="AE3110" s="1" t="s">
        <v>98</v>
      </c>
      <c r="AF3110" s="1" t="s">
        <v>50337</v>
      </c>
      <c r="AG3110" s="1" t="s">
        <v>50338</v>
      </c>
      <c r="AH3110" s="1" t="s">
        <v>490</v>
      </c>
      <c r="AI3110" s="1" t="s">
        <v>313</v>
      </c>
      <c r="AJ3110" s="1">
        <v>94.4</v>
      </c>
      <c r="AK3110" s="1"/>
      <c r="AL3110" s="1" t="s">
        <v>50337</v>
      </c>
      <c r="AM3110" s="1" t="s">
        <v>50338</v>
      </c>
      <c r="AN3110" s="1" t="s">
        <v>575</v>
      </c>
      <c r="AO3110" s="1" t="s">
        <v>977</v>
      </c>
      <c r="AP3110" s="1" t="s">
        <v>845</v>
      </c>
      <c r="AQ3110" s="1">
        <v>94.4</v>
      </c>
      <c r="AR3110" s="1"/>
      <c r="AS3110" s="1"/>
      <c r="AT3110" s="1"/>
      <c r="AU3110" s="1"/>
      <c r="AV3110" s="1"/>
      <c r="AW3110" s="1"/>
      <c r="AX3110" s="1"/>
      <c r="AY3110" s="1" t="s">
        <v>19289</v>
      </c>
      <c r="AZ3110" s="1" t="s">
        <v>50339</v>
      </c>
      <c r="BA3110" s="1" t="s">
        <v>682</v>
      </c>
      <c r="BB3110" s="1" t="s">
        <v>1561</v>
      </c>
      <c r="BC3110" s="1" t="s">
        <v>140</v>
      </c>
      <c r="BD3110" s="1" t="s">
        <v>9688</v>
      </c>
      <c r="BE3110" s="1">
        <v>76.28</v>
      </c>
      <c r="BF3110" s="1">
        <v>7.63</v>
      </c>
      <c r="BG3110" s="1"/>
      <c r="BH3110" s="1"/>
      <c r="BI3110" s="1"/>
      <c r="BJ3110" s="1"/>
      <c r="BK3110" s="1"/>
      <c r="BL3110" s="1"/>
      <c r="BM3110" s="1"/>
      <c r="BN3110" s="1"/>
      <c r="BO3110" s="1" t="s">
        <v>50340</v>
      </c>
      <c r="BP3110" s="1"/>
      <c r="BQ3110" s="1"/>
      <c r="BR3110" s="1" t="s">
        <v>50341</v>
      </c>
      <c r="BS3110" s="1">
        <v>24</v>
      </c>
      <c r="BT3110" s="1"/>
      <c r="BU3110" s="1" t="str">
        <f>HYPERLINK("https://nconnect.nicmar.ac.in/storage/profile/6a85e53444b77.png","Download")</f>
        <v>0</v>
      </c>
      <c r="BV3110" s="3"/>
      <c r="BW3110" s="3"/>
    </row>
    <row r="3111" spans="1:75">
      <c r="A3111" s="1" t="s">
        <v>45201</v>
      </c>
      <c r="B3111" s="1" t="s">
        <v>13976</v>
      </c>
      <c r="C3111" s="1" t="s">
        <v>50342</v>
      </c>
      <c r="D3111" s="1" t="s">
        <v>50343</v>
      </c>
      <c r="E3111" s="1"/>
      <c r="F3111" s="1" t="s">
        <v>50344</v>
      </c>
      <c r="G3111" s="1" t="s">
        <v>50345</v>
      </c>
      <c r="H3111" s="1" t="s">
        <v>50346</v>
      </c>
      <c r="I3111" s="1" t="s">
        <v>50346</v>
      </c>
      <c r="J3111" s="1">
        <v>9585921750</v>
      </c>
      <c r="K3111" s="1" t="s">
        <v>153</v>
      </c>
      <c r="L3111" s="1" t="s">
        <v>12794</v>
      </c>
      <c r="M3111" s="1" t="s">
        <v>86</v>
      </c>
      <c r="N3111" s="1" t="s">
        <v>14292</v>
      </c>
      <c r="O3111" s="1" t="s">
        <v>50347</v>
      </c>
      <c r="P3111" s="1" t="s">
        <v>16423</v>
      </c>
      <c r="Q3111" s="1">
        <v>993278881727</v>
      </c>
      <c r="R3111" s="1" t="s">
        <v>50348</v>
      </c>
      <c r="S3111" s="1">
        <v>9600222501</v>
      </c>
      <c r="T3111" s="1" t="s">
        <v>50349</v>
      </c>
      <c r="U3111" s="1" t="s">
        <v>50350</v>
      </c>
      <c r="V3111" s="1">
        <v>9944401750</v>
      </c>
      <c r="W3111" s="1" t="s">
        <v>9663</v>
      </c>
      <c r="X3111" s="1" t="s">
        <v>50351</v>
      </c>
      <c r="Y3111" s="1" t="s">
        <v>2131</v>
      </c>
      <c r="Z3111" s="1" t="s">
        <v>570</v>
      </c>
      <c r="AA3111" s="1" t="s">
        <v>50351</v>
      </c>
      <c r="AB3111" s="1" t="s">
        <v>2131</v>
      </c>
      <c r="AC3111" s="1" t="s">
        <v>570</v>
      </c>
      <c r="AD3111" s="1" t="s">
        <v>98</v>
      </c>
      <c r="AE3111" s="1" t="s">
        <v>98</v>
      </c>
      <c r="AF3111" s="1" t="s">
        <v>50352</v>
      </c>
      <c r="AG3111" s="1" t="s">
        <v>50353</v>
      </c>
      <c r="AH3111" s="1" t="s">
        <v>490</v>
      </c>
      <c r="AI3111" s="1" t="s">
        <v>547</v>
      </c>
      <c r="AJ3111" s="1">
        <v>92.4</v>
      </c>
      <c r="AK3111" s="1"/>
      <c r="AL3111" s="1" t="s">
        <v>50354</v>
      </c>
      <c r="AM3111" s="1" t="s">
        <v>4366</v>
      </c>
      <c r="AN3111" s="1" t="s">
        <v>465</v>
      </c>
      <c r="AO3111" s="1" t="s">
        <v>977</v>
      </c>
      <c r="AP3111" s="1" t="s">
        <v>2304</v>
      </c>
      <c r="AQ3111" s="1">
        <v>90.8</v>
      </c>
      <c r="AR3111" s="1"/>
      <c r="AS3111" s="1"/>
      <c r="AT3111" s="1"/>
      <c r="AU3111" s="1"/>
      <c r="AV3111" s="1"/>
      <c r="AW3111" s="1"/>
      <c r="AX3111" s="1"/>
      <c r="AY3111" s="1" t="s">
        <v>14303</v>
      </c>
      <c r="AZ3111" s="1" t="s">
        <v>8028</v>
      </c>
      <c r="BA3111" s="1" t="s">
        <v>682</v>
      </c>
      <c r="BB3111" s="1" t="s">
        <v>1561</v>
      </c>
      <c r="BC3111" s="1" t="s">
        <v>606</v>
      </c>
      <c r="BD3111" s="1" t="s">
        <v>9688</v>
      </c>
      <c r="BE3111" s="1">
        <v>83.4</v>
      </c>
      <c r="BF3111" s="1">
        <v>8.34</v>
      </c>
      <c r="BG3111" s="1"/>
      <c r="BH3111" s="1"/>
      <c r="BI3111" s="1"/>
      <c r="BJ3111" s="1"/>
      <c r="BK3111" s="1"/>
      <c r="BL3111" s="1"/>
      <c r="BM3111" s="1"/>
      <c r="BN3111" s="1"/>
      <c r="BO3111" s="1" t="s">
        <v>50355</v>
      </c>
      <c r="BP3111" s="1"/>
      <c r="BQ3111" s="1"/>
      <c r="BR3111" s="1" t="s">
        <v>50356</v>
      </c>
      <c r="BS3111" s="1">
        <v>20</v>
      </c>
      <c r="BT3111" s="1" t="s">
        <v>18306</v>
      </c>
      <c r="BU3111" s="1" t="str">
        <f>HYPERLINK("https://nconnect.nicmar.ac.in/storage/profile/6a85ea46521d3.png","Download")</f>
        <v>0</v>
      </c>
      <c r="BV3111" s="3"/>
      <c r="BW3111" s="3"/>
    </row>
    <row r="3112" spans="1:75">
      <c r="A3112" s="1" t="s">
        <v>45201</v>
      </c>
      <c r="B3112" s="1" t="s">
        <v>13976</v>
      </c>
      <c r="C3112" s="1" t="s">
        <v>50357</v>
      </c>
      <c r="D3112" s="1" t="s">
        <v>50358</v>
      </c>
      <c r="E3112" s="1" t="s">
        <v>17554</v>
      </c>
      <c r="F3112" s="1" t="s">
        <v>50359</v>
      </c>
      <c r="G3112" s="1" t="s">
        <v>50360</v>
      </c>
      <c r="H3112" s="1" t="s">
        <v>50361</v>
      </c>
      <c r="I3112" s="1" t="s">
        <v>50361</v>
      </c>
      <c r="J3112" s="1">
        <v>9326346421</v>
      </c>
      <c r="K3112" s="1" t="s">
        <v>84</v>
      </c>
      <c r="L3112" s="1" t="s">
        <v>5078</v>
      </c>
      <c r="M3112" s="1" t="s">
        <v>86</v>
      </c>
      <c r="N3112" s="1" t="s">
        <v>4263</v>
      </c>
      <c r="O3112" s="1" t="s">
        <v>50362</v>
      </c>
      <c r="P3112" s="1" t="s">
        <v>89</v>
      </c>
      <c r="Q3112" s="1">
        <v>205695355488</v>
      </c>
      <c r="R3112" s="1" t="s">
        <v>17554</v>
      </c>
      <c r="S3112" s="1">
        <v>8308846953</v>
      </c>
      <c r="T3112" s="1" t="s">
        <v>50363</v>
      </c>
      <c r="U3112" s="1" t="s">
        <v>15939</v>
      </c>
      <c r="V3112" s="1">
        <v>8805484254</v>
      </c>
      <c r="W3112" s="1" t="s">
        <v>14154</v>
      </c>
      <c r="X3112" s="1" t="s">
        <v>50364</v>
      </c>
      <c r="Y3112" s="1" t="s">
        <v>1189</v>
      </c>
      <c r="Z3112" s="1" t="s">
        <v>97</v>
      </c>
      <c r="AA3112" s="1" t="s">
        <v>50365</v>
      </c>
      <c r="AB3112" s="1" t="s">
        <v>1189</v>
      </c>
      <c r="AC3112" s="1" t="s">
        <v>97</v>
      </c>
      <c r="AD3112" s="1" t="s">
        <v>98</v>
      </c>
      <c r="AE3112" s="1" t="s">
        <v>98</v>
      </c>
      <c r="AF3112" s="1" t="s">
        <v>50366</v>
      </c>
      <c r="AG3112" s="1" t="s">
        <v>50367</v>
      </c>
      <c r="AH3112" s="1" t="s">
        <v>170</v>
      </c>
      <c r="AI3112" s="1" t="s">
        <v>286</v>
      </c>
      <c r="AJ3112" s="1">
        <v>72</v>
      </c>
      <c r="AK3112" s="1"/>
      <c r="AL3112" s="1"/>
      <c r="AM3112" s="1"/>
      <c r="AN3112" s="1"/>
      <c r="AO3112" s="1"/>
      <c r="AP3112" s="1"/>
      <c r="AQ3112" s="1"/>
      <c r="AR3112" s="1"/>
      <c r="AS3112" s="1" t="s">
        <v>50368</v>
      </c>
      <c r="AT3112" s="1" t="s">
        <v>50369</v>
      </c>
      <c r="AU3112" s="1" t="s">
        <v>1065</v>
      </c>
      <c r="AV3112" s="1" t="s">
        <v>845</v>
      </c>
      <c r="AW3112" s="1">
        <v>79.53</v>
      </c>
      <c r="AX3112" s="1"/>
      <c r="AY3112" s="1" t="s">
        <v>50370</v>
      </c>
      <c r="AZ3112" s="1" t="s">
        <v>50371</v>
      </c>
      <c r="BA3112" s="1" t="s">
        <v>466</v>
      </c>
      <c r="BB3112" s="1" t="s">
        <v>467</v>
      </c>
      <c r="BC3112" s="1" t="s">
        <v>871</v>
      </c>
      <c r="BD3112" s="1" t="s">
        <v>1089</v>
      </c>
      <c r="BE3112" s="1">
        <v>60.33</v>
      </c>
      <c r="BF3112" s="1"/>
      <c r="BG3112" s="1"/>
      <c r="BH3112" s="1"/>
      <c r="BI3112" s="1"/>
      <c r="BJ3112" s="1"/>
      <c r="BK3112" s="1"/>
      <c r="BL3112" s="1"/>
      <c r="BM3112" s="1"/>
      <c r="BN3112" s="1"/>
      <c r="BO3112" s="1" t="s">
        <v>50372</v>
      </c>
      <c r="BP3112" s="1" t="s">
        <v>50373</v>
      </c>
      <c r="BQ3112" s="1" t="s">
        <v>292</v>
      </c>
      <c r="BR3112" s="1" t="s">
        <v>50374</v>
      </c>
      <c r="BS3112" s="1">
        <v>4</v>
      </c>
      <c r="BT3112" s="1"/>
      <c r="BU3112" s="1" t="str">
        <f>HYPERLINK("https://nconnect.nicmar.ac.in/storage/profile/6a85b180d0dec.png","Download")</f>
        <v>0</v>
      </c>
      <c r="BV3112" s="3"/>
      <c r="BW3112" s="3"/>
    </row>
    <row r="3113" spans="1:75">
      <c r="A3113" s="1" t="s">
        <v>45201</v>
      </c>
      <c r="B3113" s="1" t="s">
        <v>13976</v>
      </c>
      <c r="C3113" s="1" t="s">
        <v>50375</v>
      </c>
      <c r="D3113" s="1" t="s">
        <v>50376</v>
      </c>
      <c r="E3113" s="1" t="s">
        <v>44878</v>
      </c>
      <c r="F3113" s="1" t="s">
        <v>50377</v>
      </c>
      <c r="G3113" s="1" t="s">
        <v>50378</v>
      </c>
      <c r="H3113" s="1" t="s">
        <v>50379</v>
      </c>
      <c r="I3113" s="1" t="s">
        <v>50379</v>
      </c>
      <c r="J3113" s="1">
        <v>7758938222</v>
      </c>
      <c r="K3113" s="1" t="s">
        <v>84</v>
      </c>
      <c r="L3113" s="1" t="s">
        <v>8346</v>
      </c>
      <c r="M3113" s="1" t="s">
        <v>86</v>
      </c>
      <c r="N3113" s="1" t="s">
        <v>5472</v>
      </c>
      <c r="O3113" s="1" t="s">
        <v>50380</v>
      </c>
      <c r="P3113" s="1" t="s">
        <v>122</v>
      </c>
      <c r="Q3113" s="1">
        <v>894829539610</v>
      </c>
      <c r="R3113" s="1" t="s">
        <v>50381</v>
      </c>
      <c r="S3113" s="1">
        <v>9225511542</v>
      </c>
      <c r="T3113" s="1" t="s">
        <v>50382</v>
      </c>
      <c r="U3113" s="1" t="s">
        <v>50383</v>
      </c>
      <c r="V3113" s="1">
        <v>9225834277</v>
      </c>
      <c r="W3113" s="1" t="s">
        <v>14710</v>
      </c>
      <c r="X3113" s="1" t="s">
        <v>50384</v>
      </c>
      <c r="Y3113" s="1" t="s">
        <v>196</v>
      </c>
      <c r="Z3113" s="1" t="s">
        <v>97</v>
      </c>
      <c r="AA3113" s="1" t="s">
        <v>50384</v>
      </c>
      <c r="AB3113" s="1" t="s">
        <v>196</v>
      </c>
      <c r="AC3113" s="1" t="s">
        <v>97</v>
      </c>
      <c r="AD3113" s="1" t="s">
        <v>98</v>
      </c>
      <c r="AE3113" s="1" t="s">
        <v>98</v>
      </c>
      <c r="AF3113" s="1" t="s">
        <v>50385</v>
      </c>
      <c r="AG3113" s="1" t="s">
        <v>49352</v>
      </c>
      <c r="AH3113" s="1" t="s">
        <v>167</v>
      </c>
      <c r="AI3113" s="1" t="s">
        <v>171</v>
      </c>
      <c r="AJ3113" s="1">
        <v>80.84</v>
      </c>
      <c r="AK3113" s="1"/>
      <c r="AL3113" s="1" t="s">
        <v>13990</v>
      </c>
      <c r="AM3113" s="1" t="s">
        <v>50386</v>
      </c>
      <c r="AN3113" s="1" t="s">
        <v>465</v>
      </c>
      <c r="AO3113" s="1" t="s">
        <v>106</v>
      </c>
      <c r="AP3113" s="1" t="s">
        <v>178</v>
      </c>
      <c r="AQ3113" s="1">
        <v>83.4</v>
      </c>
      <c r="AR3113" s="1"/>
      <c r="AS3113" s="1"/>
      <c r="AT3113" s="1"/>
      <c r="AU3113" s="1"/>
      <c r="AV3113" s="1"/>
      <c r="AW3113" s="1"/>
      <c r="AX3113" s="1"/>
      <c r="AY3113" s="1" t="s">
        <v>14160</v>
      </c>
      <c r="AZ3113" s="1" t="s">
        <v>50387</v>
      </c>
      <c r="BA3113" s="1" t="s">
        <v>682</v>
      </c>
      <c r="BB3113" s="1" t="s">
        <v>1561</v>
      </c>
      <c r="BC3113" s="1" t="s">
        <v>167</v>
      </c>
      <c r="BD3113" s="1" t="s">
        <v>468</v>
      </c>
      <c r="BE3113" s="1">
        <v>64.5</v>
      </c>
      <c r="BF3113" s="1">
        <v>7.2</v>
      </c>
      <c r="BG3113" s="1"/>
      <c r="BH3113" s="1"/>
      <c r="BI3113" s="1"/>
      <c r="BJ3113" s="1"/>
      <c r="BK3113" s="1"/>
      <c r="BL3113" s="1"/>
      <c r="BM3113" s="1"/>
      <c r="BN3113" s="1"/>
      <c r="BO3113" s="1" t="s">
        <v>50388</v>
      </c>
      <c r="BP3113" s="1" t="s">
        <v>50389</v>
      </c>
      <c r="BQ3113" s="1" t="s">
        <v>2093</v>
      </c>
      <c r="BR3113" s="1" t="s">
        <v>50390</v>
      </c>
      <c r="BS3113" s="1">
        <v>19</v>
      </c>
      <c r="BT3113" s="1"/>
      <c r="BU3113" s="1" t="str">
        <f>HYPERLINK("https://nconnect.nicmar.ac.in/storage/profile/6a84a321d08e2.png","Download")</f>
        <v>0</v>
      </c>
      <c r="BV3113" s="3"/>
      <c r="BW3113" s="3"/>
    </row>
    <row r="3114" spans="1:75">
      <c r="A3114" s="1" t="s">
        <v>45201</v>
      </c>
      <c r="B3114" s="1" t="s">
        <v>13976</v>
      </c>
      <c r="C3114" s="1" t="s">
        <v>50391</v>
      </c>
      <c r="D3114" s="1" t="s">
        <v>50392</v>
      </c>
      <c r="E3114" s="1" t="s">
        <v>50393</v>
      </c>
      <c r="F3114" s="1" t="s">
        <v>50394</v>
      </c>
      <c r="G3114" s="1" t="s">
        <v>50395</v>
      </c>
      <c r="H3114" s="1" t="s">
        <v>50396</v>
      </c>
      <c r="I3114" s="1" t="s">
        <v>50396</v>
      </c>
      <c r="J3114" s="1">
        <v>9881574071</v>
      </c>
      <c r="K3114" s="1" t="s">
        <v>153</v>
      </c>
      <c r="L3114" s="1" t="s">
        <v>36097</v>
      </c>
      <c r="M3114" s="1" t="s">
        <v>86</v>
      </c>
      <c r="N3114" s="1" t="s">
        <v>44670</v>
      </c>
      <c r="O3114" s="1" t="s">
        <v>50397</v>
      </c>
      <c r="P3114" s="1" t="s">
        <v>89</v>
      </c>
      <c r="Q3114" s="1">
        <v>375012413977</v>
      </c>
      <c r="R3114" s="1" t="s">
        <v>50398</v>
      </c>
      <c r="S3114" s="1">
        <v>9881903634</v>
      </c>
      <c r="T3114" s="1" t="s">
        <v>50399</v>
      </c>
      <c r="U3114" s="1" t="s">
        <v>50400</v>
      </c>
      <c r="V3114" s="1">
        <v>9689135108</v>
      </c>
      <c r="W3114" s="1" t="s">
        <v>14032</v>
      </c>
      <c r="X3114" s="1" t="s">
        <v>50401</v>
      </c>
      <c r="Y3114" s="1" t="s">
        <v>196</v>
      </c>
      <c r="Z3114" s="1" t="s">
        <v>97</v>
      </c>
      <c r="AA3114" s="1" t="s">
        <v>50401</v>
      </c>
      <c r="AB3114" s="1" t="s">
        <v>196</v>
      </c>
      <c r="AC3114" s="1" t="s">
        <v>97</v>
      </c>
      <c r="AD3114" s="1" t="s">
        <v>98</v>
      </c>
      <c r="AE3114" s="1" t="s">
        <v>98</v>
      </c>
      <c r="AF3114" s="1" t="s">
        <v>50402</v>
      </c>
      <c r="AG3114" s="1" t="s">
        <v>50403</v>
      </c>
      <c r="AH3114" s="1" t="s">
        <v>704</v>
      </c>
      <c r="AI3114" s="1" t="s">
        <v>174</v>
      </c>
      <c r="AJ3114" s="1">
        <v>77.8</v>
      </c>
      <c r="AK3114" s="1"/>
      <c r="AL3114" s="1" t="s">
        <v>50402</v>
      </c>
      <c r="AM3114" s="1" t="s">
        <v>50403</v>
      </c>
      <c r="AN3114" s="1" t="s">
        <v>465</v>
      </c>
      <c r="AO3114" s="1" t="s">
        <v>547</v>
      </c>
      <c r="AP3114" s="1" t="s">
        <v>178</v>
      </c>
      <c r="AQ3114" s="1">
        <v>75</v>
      </c>
      <c r="AR3114" s="1"/>
      <c r="AS3114" s="1"/>
      <c r="AT3114" s="1"/>
      <c r="AU3114" s="1"/>
      <c r="AV3114" s="1"/>
      <c r="AW3114" s="1"/>
      <c r="AX3114" s="1"/>
      <c r="AY3114" s="1" t="s">
        <v>50404</v>
      </c>
      <c r="AZ3114" s="1" t="s">
        <v>50405</v>
      </c>
      <c r="BA3114" s="1" t="s">
        <v>466</v>
      </c>
      <c r="BB3114" s="1" t="s">
        <v>44085</v>
      </c>
      <c r="BC3114" s="1" t="s">
        <v>468</v>
      </c>
      <c r="BD3114" s="1" t="s">
        <v>1089</v>
      </c>
      <c r="BE3114" s="1">
        <v>86</v>
      </c>
      <c r="BF3114" s="1">
        <v>8.81</v>
      </c>
      <c r="BG3114" s="1"/>
      <c r="BH3114" s="1"/>
      <c r="BI3114" s="1"/>
      <c r="BJ3114" s="1"/>
      <c r="BK3114" s="1"/>
      <c r="BL3114" s="1"/>
      <c r="BM3114" s="1"/>
      <c r="BN3114" s="1"/>
      <c r="BO3114" s="1" t="s">
        <v>50406</v>
      </c>
      <c r="BP3114" s="1" t="s">
        <v>50407</v>
      </c>
      <c r="BQ3114" s="1" t="s">
        <v>1564</v>
      </c>
      <c r="BR3114" s="1"/>
      <c r="BS3114" s="1"/>
      <c r="BT3114" s="1"/>
      <c r="BU3114" s="1" t="s">
        <v>9653</v>
      </c>
      <c r="BV3114" s="3"/>
      <c r="BW3114" s="3"/>
    </row>
    <row r="3115" spans="1:75">
      <c r="A3115" s="1" t="s">
        <v>45201</v>
      </c>
      <c r="B3115" s="1" t="s">
        <v>13976</v>
      </c>
      <c r="C3115" s="1" t="s">
        <v>50408</v>
      </c>
      <c r="D3115" s="1" t="s">
        <v>18718</v>
      </c>
      <c r="E3115" s="1" t="s">
        <v>20829</v>
      </c>
      <c r="F3115" s="1" t="s">
        <v>50409</v>
      </c>
      <c r="G3115" s="1" t="s">
        <v>50410</v>
      </c>
      <c r="H3115" s="1" t="s">
        <v>50411</v>
      </c>
      <c r="I3115" s="1" t="s">
        <v>50411</v>
      </c>
      <c r="J3115" s="1">
        <v>9767381441</v>
      </c>
      <c r="K3115" s="1" t="s">
        <v>153</v>
      </c>
      <c r="L3115" s="1" t="s">
        <v>36170</v>
      </c>
      <c r="M3115" s="1" t="s">
        <v>86</v>
      </c>
      <c r="N3115" s="1" t="s">
        <v>18156</v>
      </c>
      <c r="O3115" s="1" t="s">
        <v>50412</v>
      </c>
      <c r="P3115" s="1" t="s">
        <v>16423</v>
      </c>
      <c r="Q3115" s="1">
        <v>753002257625</v>
      </c>
      <c r="R3115" s="1" t="s">
        <v>50413</v>
      </c>
      <c r="S3115" s="1">
        <v>9604446055</v>
      </c>
      <c r="T3115" s="1" t="s">
        <v>14352</v>
      </c>
      <c r="U3115" s="1" t="s">
        <v>50414</v>
      </c>
      <c r="V3115" s="1">
        <v>9923239712</v>
      </c>
      <c r="W3115" s="1" t="s">
        <v>14154</v>
      </c>
      <c r="X3115" s="1" t="s">
        <v>50415</v>
      </c>
      <c r="Y3115" s="1" t="s">
        <v>384</v>
      </c>
      <c r="Z3115" s="1" t="s">
        <v>97</v>
      </c>
      <c r="AA3115" s="1" t="s">
        <v>50415</v>
      </c>
      <c r="AB3115" s="1" t="s">
        <v>384</v>
      </c>
      <c r="AC3115" s="1" t="s">
        <v>97</v>
      </c>
      <c r="AD3115" s="1" t="s">
        <v>98</v>
      </c>
      <c r="AE3115" s="1" t="s">
        <v>98</v>
      </c>
      <c r="AF3115" s="1" t="s">
        <v>50416</v>
      </c>
      <c r="AG3115" s="1" t="s">
        <v>15703</v>
      </c>
      <c r="AH3115" s="1" t="s">
        <v>388</v>
      </c>
      <c r="AI3115" s="1" t="s">
        <v>171</v>
      </c>
      <c r="AJ3115" s="1">
        <v>76.8</v>
      </c>
      <c r="AK3115" s="1">
        <v>8.08</v>
      </c>
      <c r="AL3115" s="1" t="s">
        <v>50417</v>
      </c>
      <c r="AM3115" s="1" t="s">
        <v>50418</v>
      </c>
      <c r="AN3115" s="1" t="s">
        <v>465</v>
      </c>
      <c r="AO3115" s="1" t="s">
        <v>174</v>
      </c>
      <c r="AP3115" s="1" t="s">
        <v>178</v>
      </c>
      <c r="AQ3115" s="1">
        <v>75.54</v>
      </c>
      <c r="AR3115" s="1">
        <v>7.95</v>
      </c>
      <c r="AS3115" s="1"/>
      <c r="AT3115" s="1"/>
      <c r="AU3115" s="1"/>
      <c r="AV3115" s="1"/>
      <c r="AW3115" s="1"/>
      <c r="AX3115" s="1"/>
      <c r="AY3115" s="1" t="s">
        <v>50419</v>
      </c>
      <c r="AZ3115" s="1" t="s">
        <v>50420</v>
      </c>
      <c r="BA3115" s="1" t="s">
        <v>682</v>
      </c>
      <c r="BB3115" s="1" t="s">
        <v>683</v>
      </c>
      <c r="BC3115" s="1" t="s">
        <v>441</v>
      </c>
      <c r="BD3115" s="1" t="s">
        <v>9688</v>
      </c>
      <c r="BE3115" s="1">
        <v>89.21</v>
      </c>
      <c r="BF3115" s="1">
        <v>8.31</v>
      </c>
      <c r="BG3115" s="1"/>
      <c r="BH3115" s="1"/>
      <c r="BI3115" s="1"/>
      <c r="BJ3115" s="1"/>
      <c r="BK3115" s="1"/>
      <c r="BL3115" s="1"/>
      <c r="BM3115" s="1"/>
      <c r="BN3115" s="1"/>
      <c r="BO3115" s="1" t="s">
        <v>50421</v>
      </c>
      <c r="BP3115" s="1"/>
      <c r="BQ3115" s="1"/>
      <c r="BR3115" s="1" t="s">
        <v>50422</v>
      </c>
      <c r="BS3115" s="1">
        <v>43</v>
      </c>
      <c r="BT3115" s="1" t="s">
        <v>50423</v>
      </c>
      <c r="BU3115" s="1" t="str">
        <f>HYPERLINK("https://nconnect.nicmar.ac.in/storage/profile/6a85adcfbf935.png","Download")</f>
        <v>0</v>
      </c>
      <c r="BV3115" s="3"/>
      <c r="BW3115" s="3"/>
    </row>
    <row r="3116" spans="1:75">
      <c r="A3116" s="1" t="s">
        <v>45201</v>
      </c>
      <c r="B3116" s="1" t="s">
        <v>13976</v>
      </c>
      <c r="C3116" s="1" t="s">
        <v>50424</v>
      </c>
      <c r="D3116" s="1" t="s">
        <v>20718</v>
      </c>
      <c r="E3116" s="1"/>
      <c r="F3116" s="1" t="s">
        <v>50425</v>
      </c>
      <c r="G3116" s="1" t="s">
        <v>50426</v>
      </c>
      <c r="H3116" s="1" t="s">
        <v>50427</v>
      </c>
      <c r="I3116" s="1" t="s">
        <v>50427</v>
      </c>
      <c r="J3116" s="1">
        <v>8303007148</v>
      </c>
      <c r="K3116" s="1" t="s">
        <v>153</v>
      </c>
      <c r="L3116" s="1" t="s">
        <v>50428</v>
      </c>
      <c r="M3116" s="1" t="s">
        <v>86</v>
      </c>
      <c r="N3116" s="1" t="s">
        <v>50429</v>
      </c>
      <c r="O3116" s="1" t="s">
        <v>50430</v>
      </c>
      <c r="P3116" s="1" t="s">
        <v>122</v>
      </c>
      <c r="Q3116" s="1">
        <v>482057484635</v>
      </c>
      <c r="R3116" s="1" t="s">
        <v>50431</v>
      </c>
      <c r="S3116" s="1">
        <v>9935555169</v>
      </c>
      <c r="T3116" s="1" t="s">
        <v>3439</v>
      </c>
      <c r="U3116" s="1" t="s">
        <v>50432</v>
      </c>
      <c r="V3116" s="1">
        <v>9936150945</v>
      </c>
      <c r="W3116" s="1" t="s">
        <v>50433</v>
      </c>
      <c r="X3116" s="1" t="s">
        <v>50434</v>
      </c>
      <c r="Y3116" s="1" t="s">
        <v>21987</v>
      </c>
      <c r="Z3116" s="1" t="s">
        <v>544</v>
      </c>
      <c r="AA3116" s="1" t="s">
        <v>50434</v>
      </c>
      <c r="AB3116" s="1" t="s">
        <v>21987</v>
      </c>
      <c r="AC3116" s="1" t="s">
        <v>544</v>
      </c>
      <c r="AD3116" s="1" t="s">
        <v>98</v>
      </c>
      <c r="AE3116" s="1" t="s">
        <v>98</v>
      </c>
      <c r="AF3116" s="1" t="s">
        <v>50435</v>
      </c>
      <c r="AG3116" s="1" t="s">
        <v>9682</v>
      </c>
      <c r="AH3116" s="1" t="s">
        <v>704</v>
      </c>
      <c r="AI3116" s="1" t="s">
        <v>490</v>
      </c>
      <c r="AJ3116" s="1">
        <v>95</v>
      </c>
      <c r="AK3116" s="1">
        <v>10</v>
      </c>
      <c r="AL3116" s="1" t="s">
        <v>50436</v>
      </c>
      <c r="AM3116" s="1" t="s">
        <v>9682</v>
      </c>
      <c r="AN3116" s="1" t="s">
        <v>465</v>
      </c>
      <c r="AO3116" s="1" t="s">
        <v>490</v>
      </c>
      <c r="AP3116" s="1" t="s">
        <v>547</v>
      </c>
      <c r="AQ3116" s="1">
        <v>87.8</v>
      </c>
      <c r="AR3116" s="1"/>
      <c r="AS3116" s="1"/>
      <c r="AT3116" s="1"/>
      <c r="AU3116" s="1"/>
      <c r="AV3116" s="1"/>
      <c r="AW3116" s="1"/>
      <c r="AX3116" s="1"/>
      <c r="AY3116" s="1" t="s">
        <v>14160</v>
      </c>
      <c r="AZ3116" s="1" t="s">
        <v>50437</v>
      </c>
      <c r="BA3116" s="1" t="s">
        <v>682</v>
      </c>
      <c r="BB3116" s="1" t="s">
        <v>1561</v>
      </c>
      <c r="BC3116" s="1" t="s">
        <v>206</v>
      </c>
      <c r="BD3116" s="1" t="s">
        <v>418</v>
      </c>
      <c r="BE3116" s="1">
        <v>80</v>
      </c>
      <c r="BF3116" s="1">
        <v>8.42</v>
      </c>
      <c r="BG3116" s="1"/>
      <c r="BH3116" s="1"/>
      <c r="BI3116" s="1"/>
      <c r="BJ3116" s="1"/>
      <c r="BK3116" s="1"/>
      <c r="BL3116" s="1"/>
      <c r="BM3116" s="1"/>
      <c r="BN3116" s="1"/>
      <c r="BO3116" s="1" t="s">
        <v>50438</v>
      </c>
      <c r="BP3116" s="1" t="s">
        <v>50439</v>
      </c>
      <c r="BQ3116" s="1" t="s">
        <v>780</v>
      </c>
      <c r="BR3116" s="1" t="s">
        <v>50440</v>
      </c>
      <c r="BS3116" s="1">
        <v>58</v>
      </c>
      <c r="BT3116" s="1"/>
      <c r="BU3116" s="1" t="str">
        <f>HYPERLINK("https://nconnect.nicmar.ac.in/storage/profile/6a85ba006b669.png","Download")</f>
        <v>0</v>
      </c>
      <c r="BV3116" s="3"/>
      <c r="BW3116" s="3"/>
    </row>
    <row r="3117" spans="1:75">
      <c r="A3117" s="1" t="s">
        <v>45201</v>
      </c>
      <c r="B3117" s="1" t="s">
        <v>13976</v>
      </c>
      <c r="C3117" s="1" t="s">
        <v>50441</v>
      </c>
      <c r="D3117" s="1" t="s">
        <v>50442</v>
      </c>
      <c r="E3117" s="1"/>
      <c r="F3117" s="1" t="s">
        <v>50443</v>
      </c>
      <c r="G3117" s="1" t="s">
        <v>50444</v>
      </c>
      <c r="H3117" s="1" t="s">
        <v>50445</v>
      </c>
      <c r="I3117" s="1" t="s">
        <v>50445</v>
      </c>
      <c r="J3117" s="1">
        <v>9112114140</v>
      </c>
      <c r="K3117" s="1" t="s">
        <v>84</v>
      </c>
      <c r="L3117" s="1" t="s">
        <v>50446</v>
      </c>
      <c r="M3117" s="1" t="s">
        <v>86</v>
      </c>
      <c r="N3117" s="1" t="s">
        <v>44634</v>
      </c>
      <c r="O3117" s="1" t="s">
        <v>50447</v>
      </c>
      <c r="P3117" s="1" t="s">
        <v>122</v>
      </c>
      <c r="Q3117" s="1">
        <v>637705876585</v>
      </c>
      <c r="R3117" s="1" t="s">
        <v>9660</v>
      </c>
      <c r="S3117" s="1">
        <v>8551092000</v>
      </c>
      <c r="T3117" s="1" t="s">
        <v>3439</v>
      </c>
      <c r="U3117" s="1" t="s">
        <v>16093</v>
      </c>
      <c r="V3117" s="1">
        <v>9511855029</v>
      </c>
      <c r="W3117" s="1" t="s">
        <v>15866</v>
      </c>
      <c r="X3117" s="1" t="s">
        <v>50448</v>
      </c>
      <c r="Y3117" s="1" t="s">
        <v>96</v>
      </c>
      <c r="Z3117" s="1" t="s">
        <v>97</v>
      </c>
      <c r="AA3117" s="1" t="s">
        <v>50448</v>
      </c>
      <c r="AB3117" s="1" t="s">
        <v>96</v>
      </c>
      <c r="AC3117" s="1" t="s">
        <v>97</v>
      </c>
      <c r="AD3117" s="1" t="s">
        <v>98</v>
      </c>
      <c r="AE3117" s="1" t="s">
        <v>98</v>
      </c>
      <c r="AF3117" s="1" t="s">
        <v>50449</v>
      </c>
      <c r="AG3117" s="1" t="s">
        <v>15152</v>
      </c>
      <c r="AH3117" s="1" t="s">
        <v>167</v>
      </c>
      <c r="AI3117" s="1" t="s">
        <v>573</v>
      </c>
      <c r="AJ3117" s="1">
        <v>95.02</v>
      </c>
      <c r="AK3117" s="1">
        <v>10</v>
      </c>
      <c r="AL3117" s="1" t="s">
        <v>50450</v>
      </c>
      <c r="AM3117" s="1" t="s">
        <v>14238</v>
      </c>
      <c r="AN3117" s="1" t="s">
        <v>465</v>
      </c>
      <c r="AO3117" s="1" t="s">
        <v>170</v>
      </c>
      <c r="AP3117" s="1" t="s">
        <v>313</v>
      </c>
      <c r="AQ3117" s="1">
        <v>75.08</v>
      </c>
      <c r="AR3117" s="1"/>
      <c r="AS3117" s="1"/>
      <c r="AT3117" s="1"/>
      <c r="AU3117" s="1"/>
      <c r="AV3117" s="1"/>
      <c r="AW3117" s="1"/>
      <c r="AX3117" s="1"/>
      <c r="AY3117" s="1" t="s">
        <v>14160</v>
      </c>
      <c r="AZ3117" s="1" t="s">
        <v>50451</v>
      </c>
      <c r="BA3117" s="1" t="s">
        <v>466</v>
      </c>
      <c r="BB3117" s="1" t="s">
        <v>23143</v>
      </c>
      <c r="BC3117" s="1" t="s">
        <v>438</v>
      </c>
      <c r="BD3117" s="1" t="s">
        <v>955</v>
      </c>
      <c r="BE3117" s="1">
        <v>78.2</v>
      </c>
      <c r="BF3117" s="1">
        <v>8.57</v>
      </c>
      <c r="BG3117" s="1"/>
      <c r="BH3117" s="1"/>
      <c r="BI3117" s="1"/>
      <c r="BJ3117" s="1"/>
      <c r="BK3117" s="1"/>
      <c r="BL3117" s="1"/>
      <c r="BM3117" s="1"/>
      <c r="BN3117" s="1"/>
      <c r="BO3117" s="1" t="s">
        <v>50452</v>
      </c>
      <c r="BP3117" s="1" t="s">
        <v>50453</v>
      </c>
      <c r="BQ3117" s="1" t="s">
        <v>780</v>
      </c>
      <c r="BR3117" s="1" t="s">
        <v>50454</v>
      </c>
      <c r="BS3117" s="1">
        <v>25</v>
      </c>
      <c r="BT3117" s="1"/>
      <c r="BU3117" s="1" t="str">
        <f>HYPERLINK("https://nconnect.nicmar.ac.in/storage/profile/6a85dfed51fc7.png","Download")</f>
        <v>0</v>
      </c>
      <c r="BV3117" s="3"/>
      <c r="BW3117" s="3"/>
    </row>
    <row r="3118" spans="1:75">
      <c r="A3118" s="1" t="s">
        <v>45201</v>
      </c>
      <c r="B3118" s="1" t="s">
        <v>13976</v>
      </c>
      <c r="C3118" s="1" t="s">
        <v>50455</v>
      </c>
      <c r="D3118" s="1" t="s">
        <v>15139</v>
      </c>
      <c r="E3118" s="1" t="s">
        <v>50456</v>
      </c>
      <c r="F3118" s="1" t="s">
        <v>46395</v>
      </c>
      <c r="G3118" s="1" t="s">
        <v>50457</v>
      </c>
      <c r="H3118" s="1" t="s">
        <v>50458</v>
      </c>
      <c r="I3118" s="1" t="s">
        <v>50458</v>
      </c>
      <c r="J3118" s="1">
        <v>9503981860</v>
      </c>
      <c r="K3118" s="1" t="s">
        <v>84</v>
      </c>
      <c r="L3118" s="1" t="s">
        <v>1876</v>
      </c>
      <c r="M3118" s="1" t="s">
        <v>86</v>
      </c>
      <c r="N3118" s="1" t="s">
        <v>768</v>
      </c>
      <c r="O3118" s="1" t="s">
        <v>50459</v>
      </c>
      <c r="P3118" s="1" t="s">
        <v>122</v>
      </c>
      <c r="Q3118" s="1">
        <v>639706862843</v>
      </c>
      <c r="R3118" s="1" t="s">
        <v>50460</v>
      </c>
      <c r="S3118" s="1">
        <v>9850261119</v>
      </c>
      <c r="T3118" s="1" t="s">
        <v>14275</v>
      </c>
      <c r="U3118" s="1" t="s">
        <v>50461</v>
      </c>
      <c r="V3118" s="1">
        <v>9022573566</v>
      </c>
      <c r="W3118" s="1" t="s">
        <v>14154</v>
      </c>
      <c r="X3118" s="1" t="s">
        <v>50462</v>
      </c>
      <c r="Y3118" s="1" t="s">
        <v>1012</v>
      </c>
      <c r="Z3118" s="1" t="s">
        <v>97</v>
      </c>
      <c r="AA3118" s="1" t="s">
        <v>50462</v>
      </c>
      <c r="AB3118" s="1" t="s">
        <v>1012</v>
      </c>
      <c r="AC3118" s="1" t="s">
        <v>97</v>
      </c>
      <c r="AD3118" s="1" t="s">
        <v>98</v>
      </c>
      <c r="AE3118" s="1" t="s">
        <v>98</v>
      </c>
      <c r="AF3118" s="1" t="s">
        <v>50463</v>
      </c>
      <c r="AG3118" s="1" t="s">
        <v>50464</v>
      </c>
      <c r="AH3118" s="1" t="s">
        <v>170</v>
      </c>
      <c r="AI3118" s="1" t="s">
        <v>286</v>
      </c>
      <c r="AJ3118" s="1">
        <v>90.2</v>
      </c>
      <c r="AK3118" s="1"/>
      <c r="AL3118" s="1"/>
      <c r="AM3118" s="1"/>
      <c r="AN3118" s="1"/>
      <c r="AO3118" s="1"/>
      <c r="AP3118" s="1"/>
      <c r="AQ3118" s="1"/>
      <c r="AR3118" s="1"/>
      <c r="AS3118" s="1" t="s">
        <v>467</v>
      </c>
      <c r="AT3118" s="1" t="s">
        <v>50465</v>
      </c>
      <c r="AU3118" s="1" t="s">
        <v>1065</v>
      </c>
      <c r="AV3118" s="1" t="s">
        <v>441</v>
      </c>
      <c r="AW3118" s="1">
        <v>88.33</v>
      </c>
      <c r="AX3118" s="1"/>
      <c r="AY3118" s="1" t="s">
        <v>18495</v>
      </c>
      <c r="AZ3118" s="1" t="s">
        <v>50466</v>
      </c>
      <c r="BA3118" s="1" t="s">
        <v>578</v>
      </c>
      <c r="BB3118" s="1" t="s">
        <v>3661</v>
      </c>
      <c r="BC3118" s="1" t="s">
        <v>871</v>
      </c>
      <c r="BD3118" s="1" t="s">
        <v>418</v>
      </c>
      <c r="BE3118" s="1">
        <v>72.04</v>
      </c>
      <c r="BF3118" s="1"/>
      <c r="BG3118" s="1"/>
      <c r="BH3118" s="1"/>
      <c r="BI3118" s="1"/>
      <c r="BJ3118" s="1"/>
      <c r="BK3118" s="1"/>
      <c r="BL3118" s="1"/>
      <c r="BM3118" s="1"/>
      <c r="BN3118" s="1"/>
      <c r="BO3118" s="1" t="s">
        <v>50467</v>
      </c>
      <c r="BP3118" s="1" t="s">
        <v>50468</v>
      </c>
      <c r="BQ3118" s="1" t="s">
        <v>4149</v>
      </c>
      <c r="BR3118" s="1" t="s">
        <v>50469</v>
      </c>
      <c r="BS3118" s="1">
        <v>5</v>
      </c>
      <c r="BT3118" s="1"/>
      <c r="BU3118" s="1" t="str">
        <f>HYPERLINK("https://nconnect.nicmar.ac.in/storage/profile/6a85c0c9b615f.png","Download")</f>
        <v>0</v>
      </c>
      <c r="BV3118" s="3"/>
      <c r="BW3118" s="3"/>
    </row>
    <row r="3119" spans="1:75">
      <c r="A3119" s="1" t="s">
        <v>45201</v>
      </c>
      <c r="B3119" s="1" t="s">
        <v>13976</v>
      </c>
      <c r="C3119" s="1" t="s">
        <v>50470</v>
      </c>
      <c r="D3119" s="1" t="s">
        <v>15690</v>
      </c>
      <c r="E3119" s="1" t="s">
        <v>18786</v>
      </c>
      <c r="F3119" s="1" t="s">
        <v>14460</v>
      </c>
      <c r="G3119" s="1" t="s">
        <v>50471</v>
      </c>
      <c r="H3119" s="1" t="s">
        <v>50472</v>
      </c>
      <c r="I3119" s="1" t="s">
        <v>50472</v>
      </c>
      <c r="J3119" s="1">
        <v>8104721362</v>
      </c>
      <c r="K3119" s="1" t="s">
        <v>84</v>
      </c>
      <c r="L3119" s="1" t="s">
        <v>50473</v>
      </c>
      <c r="M3119" s="1" t="s">
        <v>86</v>
      </c>
      <c r="N3119" s="1" t="s">
        <v>23620</v>
      </c>
      <c r="O3119" s="1" t="s">
        <v>50474</v>
      </c>
      <c r="P3119" s="1" t="s">
        <v>356</v>
      </c>
      <c r="Q3119" s="1">
        <v>716647513433</v>
      </c>
      <c r="R3119" s="1" t="s">
        <v>50475</v>
      </c>
      <c r="S3119" s="1">
        <v>8104939260</v>
      </c>
      <c r="T3119" s="1" t="s">
        <v>50476</v>
      </c>
      <c r="U3119" s="1" t="s">
        <v>50477</v>
      </c>
      <c r="V3119" s="1">
        <v>9324274174</v>
      </c>
      <c r="W3119" s="1" t="s">
        <v>3441</v>
      </c>
      <c r="X3119" s="1" t="s">
        <v>50478</v>
      </c>
      <c r="Y3119" s="1" t="s">
        <v>1882</v>
      </c>
      <c r="Z3119" s="1" t="s">
        <v>97</v>
      </c>
      <c r="AA3119" s="1" t="s">
        <v>50479</v>
      </c>
      <c r="AB3119" s="1" t="s">
        <v>2259</v>
      </c>
      <c r="AC3119" s="1" t="s">
        <v>97</v>
      </c>
      <c r="AD3119" s="1" t="s">
        <v>98</v>
      </c>
      <c r="AE3119" s="1" t="s">
        <v>98</v>
      </c>
      <c r="AF3119" s="1" t="s">
        <v>50480</v>
      </c>
      <c r="AG3119" s="1" t="s">
        <v>16528</v>
      </c>
      <c r="AH3119" s="1" t="s">
        <v>170</v>
      </c>
      <c r="AI3119" s="1" t="s">
        <v>286</v>
      </c>
      <c r="AJ3119" s="1">
        <v>69.8</v>
      </c>
      <c r="AK3119" s="1">
        <v>7.35</v>
      </c>
      <c r="AL3119" s="1"/>
      <c r="AM3119" s="1"/>
      <c r="AN3119" s="1"/>
      <c r="AO3119" s="1"/>
      <c r="AP3119" s="1"/>
      <c r="AQ3119" s="1"/>
      <c r="AR3119" s="1"/>
      <c r="AS3119" s="1" t="s">
        <v>50481</v>
      </c>
      <c r="AT3119" s="1" t="s">
        <v>50482</v>
      </c>
      <c r="AU3119" s="1" t="s">
        <v>1065</v>
      </c>
      <c r="AV3119" s="1" t="s">
        <v>845</v>
      </c>
      <c r="AW3119" s="1">
        <v>87.95</v>
      </c>
      <c r="AX3119" s="1">
        <v>9.26</v>
      </c>
      <c r="AY3119" s="1" t="s">
        <v>14380</v>
      </c>
      <c r="AZ3119" s="1" t="s">
        <v>50483</v>
      </c>
      <c r="BA3119" s="1" t="s">
        <v>578</v>
      </c>
      <c r="BB3119" s="1" t="s">
        <v>23143</v>
      </c>
      <c r="BC3119" s="1" t="s">
        <v>441</v>
      </c>
      <c r="BD3119" s="1" t="s">
        <v>418</v>
      </c>
      <c r="BE3119" s="1">
        <v>66.04</v>
      </c>
      <c r="BF3119" s="1">
        <v>7.41</v>
      </c>
      <c r="BG3119" s="1"/>
      <c r="BH3119" s="1"/>
      <c r="BI3119" s="1"/>
      <c r="BJ3119" s="1"/>
      <c r="BK3119" s="1"/>
      <c r="BL3119" s="1"/>
      <c r="BM3119" s="1"/>
      <c r="BN3119" s="1"/>
      <c r="BO3119" s="1" t="s">
        <v>36664</v>
      </c>
      <c r="BP3119" s="1" t="s">
        <v>50484</v>
      </c>
      <c r="BQ3119" s="1" t="s">
        <v>471</v>
      </c>
      <c r="BR3119" s="1" t="s">
        <v>50485</v>
      </c>
      <c r="BS3119" s="1">
        <v>6</v>
      </c>
      <c r="BT3119" s="1"/>
      <c r="BU3119" s="1" t="str">
        <f>HYPERLINK("https://nconnect.nicmar.ac.in/storage/profile/6a85e9ef123da.png","Download")</f>
        <v>0</v>
      </c>
      <c r="BV3119" s="3"/>
      <c r="BW3119" s="3"/>
    </row>
    <row r="3120" spans="1:75">
      <c r="A3120" s="1" t="s">
        <v>45201</v>
      </c>
      <c r="B3120" s="1" t="s">
        <v>13976</v>
      </c>
      <c r="C3120" s="1" t="s">
        <v>50486</v>
      </c>
      <c r="D3120" s="1"/>
      <c r="E3120" s="1"/>
      <c r="F3120" s="1"/>
      <c r="G3120" s="1"/>
      <c r="H3120" s="1" t="s">
        <v>50487</v>
      </c>
      <c r="I3120" s="1" t="s">
        <v>50487</v>
      </c>
      <c r="J3120" s="1"/>
      <c r="K3120" s="1"/>
      <c r="L3120" s="1"/>
      <c r="M3120" s="1"/>
      <c r="N3120" s="1"/>
      <c r="O3120" s="1"/>
      <c r="P3120" s="1"/>
      <c r="Q3120" s="1"/>
      <c r="R3120" s="1"/>
      <c r="S3120" s="1"/>
      <c r="T3120" s="1"/>
      <c r="U3120" s="1"/>
      <c r="V3120" s="1"/>
      <c r="W3120" s="1"/>
      <c r="X3120" s="1"/>
      <c r="Y3120" s="1"/>
      <c r="Z3120" s="1"/>
      <c r="AA3120" s="1"/>
      <c r="AB3120" s="1"/>
      <c r="AC3120" s="1"/>
      <c r="AD3120" s="1" t="s">
        <v>98</v>
      </c>
      <c r="AE3120" s="1" t="s">
        <v>98</v>
      </c>
      <c r="AF3120" s="1"/>
      <c r="AG3120" s="1"/>
      <c r="AH3120" s="1"/>
      <c r="AI3120" s="1"/>
      <c r="AJ3120" s="1"/>
      <c r="AK3120" s="1"/>
      <c r="AL3120" s="1"/>
      <c r="AM3120" s="1"/>
      <c r="AN3120" s="1"/>
      <c r="AO3120" s="1"/>
      <c r="AP3120" s="1"/>
      <c r="AQ3120" s="1"/>
      <c r="AR3120" s="1"/>
      <c r="AS3120" s="1"/>
      <c r="AT3120" s="1"/>
      <c r="AU3120" s="1"/>
      <c r="AV3120" s="1"/>
      <c r="AW3120" s="1"/>
      <c r="AX3120" s="1"/>
      <c r="AY3120" s="1"/>
      <c r="AZ3120" s="1"/>
      <c r="BA3120" s="1"/>
      <c r="BB3120" s="1"/>
      <c r="BC3120" s="1"/>
      <c r="BD3120" s="1"/>
      <c r="BE3120" s="1"/>
      <c r="BF3120" s="1"/>
      <c r="BG3120" s="1"/>
      <c r="BH3120" s="1"/>
      <c r="BI3120" s="1"/>
      <c r="BJ3120" s="1"/>
      <c r="BK3120" s="1"/>
      <c r="BL3120" s="1"/>
      <c r="BM3120" s="1"/>
      <c r="BN3120" s="1"/>
      <c r="BO3120" s="1"/>
      <c r="BP3120" s="1"/>
      <c r="BQ3120" s="1"/>
      <c r="BR3120" s="1"/>
      <c r="BS3120" s="1"/>
      <c r="BT3120" s="1"/>
      <c r="BU3120" s="1" t="s">
        <v>9653</v>
      </c>
      <c r="BV3120" s="3"/>
      <c r="BW3120" s="3"/>
    </row>
    <row r="3121" spans="1:75">
      <c r="A3121" s="1" t="s">
        <v>45201</v>
      </c>
      <c r="B3121" s="1" t="s">
        <v>13976</v>
      </c>
      <c r="C3121" s="1" t="s">
        <v>50488</v>
      </c>
      <c r="D3121" s="1" t="s">
        <v>15287</v>
      </c>
      <c r="E3121" s="1" t="s">
        <v>39952</v>
      </c>
      <c r="F3121" s="1" t="s">
        <v>3633</v>
      </c>
      <c r="G3121" s="1" t="s">
        <v>50489</v>
      </c>
      <c r="H3121" s="1" t="s">
        <v>50490</v>
      </c>
      <c r="I3121" s="1" t="s">
        <v>50490</v>
      </c>
      <c r="J3121" s="1">
        <v>9922912019</v>
      </c>
      <c r="K3121" s="1" t="s">
        <v>84</v>
      </c>
      <c r="L3121" s="1" t="s">
        <v>50491</v>
      </c>
      <c r="M3121" s="1" t="s">
        <v>86</v>
      </c>
      <c r="N3121" s="1" t="s">
        <v>45222</v>
      </c>
      <c r="O3121" s="1" t="s">
        <v>50492</v>
      </c>
      <c r="P3121" s="1" t="s">
        <v>219</v>
      </c>
      <c r="Q3121" s="1">
        <v>394192655276</v>
      </c>
      <c r="R3121" s="1" t="s">
        <v>50493</v>
      </c>
      <c r="S3121" s="1">
        <v>8804491491</v>
      </c>
      <c r="T3121" s="1" t="s">
        <v>3439</v>
      </c>
      <c r="U3121" s="1" t="s">
        <v>50494</v>
      </c>
      <c r="V3121" s="1">
        <v>9922911996</v>
      </c>
      <c r="W3121" s="1" t="s">
        <v>14154</v>
      </c>
      <c r="X3121" s="1" t="s">
        <v>50495</v>
      </c>
      <c r="Y3121" s="1" t="s">
        <v>196</v>
      </c>
      <c r="Z3121" s="1" t="s">
        <v>97</v>
      </c>
      <c r="AA3121" s="1" t="s">
        <v>50495</v>
      </c>
      <c r="AB3121" s="1" t="s">
        <v>196</v>
      </c>
      <c r="AC3121" s="1" t="s">
        <v>97</v>
      </c>
      <c r="AD3121" s="1" t="s">
        <v>98</v>
      </c>
      <c r="AE3121" s="1" t="s">
        <v>98</v>
      </c>
      <c r="AF3121" s="1" t="s">
        <v>50496</v>
      </c>
      <c r="AG3121" s="1" t="s">
        <v>20254</v>
      </c>
      <c r="AH3121" s="1" t="s">
        <v>977</v>
      </c>
      <c r="AI3121" s="1" t="s">
        <v>468</v>
      </c>
      <c r="AJ3121" s="1">
        <v>93.8</v>
      </c>
      <c r="AK3121" s="1"/>
      <c r="AL3121" s="1" t="s">
        <v>50497</v>
      </c>
      <c r="AM3121" s="1" t="s">
        <v>20254</v>
      </c>
      <c r="AN3121" s="1" t="s">
        <v>465</v>
      </c>
      <c r="AO3121" s="1" t="s">
        <v>1886</v>
      </c>
      <c r="AP3121" s="1" t="s">
        <v>632</v>
      </c>
      <c r="AQ3121" s="1">
        <v>71.17</v>
      </c>
      <c r="AR3121" s="1"/>
      <c r="AS3121" s="1"/>
      <c r="AT3121" s="1"/>
      <c r="AU3121" s="1"/>
      <c r="AV3121" s="1"/>
      <c r="AW3121" s="1"/>
      <c r="AX3121" s="1"/>
      <c r="AY3121" s="1" t="s">
        <v>50498</v>
      </c>
      <c r="AZ3121" s="1" t="s">
        <v>20254</v>
      </c>
      <c r="BA3121" s="1" t="s">
        <v>466</v>
      </c>
      <c r="BB3121" s="1" t="s">
        <v>23143</v>
      </c>
      <c r="BC3121" s="1" t="s">
        <v>110</v>
      </c>
      <c r="BD3121" s="1" t="s">
        <v>14162</v>
      </c>
      <c r="BE3121" s="1">
        <v>64.4</v>
      </c>
      <c r="BF3121" s="1">
        <v>7.19</v>
      </c>
      <c r="BG3121" s="1"/>
      <c r="BH3121" s="1"/>
      <c r="BI3121" s="1"/>
      <c r="BJ3121" s="1"/>
      <c r="BK3121" s="1"/>
      <c r="BL3121" s="1"/>
      <c r="BM3121" s="1"/>
      <c r="BN3121" s="1"/>
      <c r="BO3121" s="1" t="s">
        <v>24796</v>
      </c>
      <c r="BP3121" s="1"/>
      <c r="BQ3121" s="1"/>
      <c r="BR3121" s="1"/>
      <c r="BS3121" s="1"/>
      <c r="BT3121" s="1"/>
      <c r="BU3121" s="1" t="str">
        <f>HYPERLINK("https://nconnect.nicmar.ac.in/storage/profile/6a82f2770f547.png","Download")</f>
        <v>0</v>
      </c>
      <c r="BV3121" s="3"/>
      <c r="BW3121" s="3"/>
    </row>
    <row r="3122" spans="1:75">
      <c r="A3122" s="1" t="s">
        <v>45201</v>
      </c>
      <c r="B3122" s="1" t="s">
        <v>13976</v>
      </c>
      <c r="C3122" s="1" t="s">
        <v>50499</v>
      </c>
      <c r="D3122" s="1" t="s">
        <v>50500</v>
      </c>
      <c r="E3122" s="1"/>
      <c r="F3122" s="1" t="s">
        <v>50501</v>
      </c>
      <c r="G3122" s="1" t="s">
        <v>50502</v>
      </c>
      <c r="H3122" s="1" t="s">
        <v>50503</v>
      </c>
      <c r="I3122" s="1" t="s">
        <v>50503</v>
      </c>
      <c r="J3122" s="1">
        <v>9113782875</v>
      </c>
      <c r="K3122" s="1" t="s">
        <v>84</v>
      </c>
      <c r="L3122" s="1" t="s">
        <v>50504</v>
      </c>
      <c r="M3122" s="1" t="s">
        <v>86</v>
      </c>
      <c r="N3122" s="1" t="s">
        <v>4278</v>
      </c>
      <c r="O3122" s="1" t="s">
        <v>50505</v>
      </c>
      <c r="P3122" s="1" t="s">
        <v>122</v>
      </c>
      <c r="Q3122" s="1">
        <v>543709824390</v>
      </c>
      <c r="R3122" s="1" t="s">
        <v>50506</v>
      </c>
      <c r="S3122" s="1">
        <v>8051710069</v>
      </c>
      <c r="T3122" s="1" t="s">
        <v>2177</v>
      </c>
      <c r="U3122" s="1" t="s">
        <v>50507</v>
      </c>
      <c r="V3122" s="1">
        <v>7782989689</v>
      </c>
      <c r="W3122" s="1" t="s">
        <v>14154</v>
      </c>
      <c r="X3122" s="1" t="s">
        <v>50508</v>
      </c>
      <c r="Y3122" s="1" t="s">
        <v>648</v>
      </c>
      <c r="Z3122" s="1" t="s">
        <v>649</v>
      </c>
      <c r="AA3122" s="1" t="s">
        <v>50508</v>
      </c>
      <c r="AB3122" s="1" t="s">
        <v>648</v>
      </c>
      <c r="AC3122" s="1" t="s">
        <v>649</v>
      </c>
      <c r="AD3122" s="1" t="s">
        <v>98</v>
      </c>
      <c r="AE3122" s="1" t="s">
        <v>98</v>
      </c>
      <c r="AF3122" s="1" t="s">
        <v>50509</v>
      </c>
      <c r="AG3122" s="1" t="s">
        <v>50510</v>
      </c>
      <c r="AH3122" s="1" t="s">
        <v>3770</v>
      </c>
      <c r="AI3122" s="1" t="s">
        <v>134</v>
      </c>
      <c r="AJ3122" s="1">
        <v>91.2</v>
      </c>
      <c r="AK3122" s="1">
        <v>9.6</v>
      </c>
      <c r="AL3122" s="1" t="s">
        <v>50511</v>
      </c>
      <c r="AM3122" s="1" t="s">
        <v>50510</v>
      </c>
      <c r="AN3122" s="1" t="s">
        <v>465</v>
      </c>
      <c r="AO3122" s="1" t="s">
        <v>1213</v>
      </c>
      <c r="AP3122" s="1" t="s">
        <v>136</v>
      </c>
      <c r="AQ3122" s="1">
        <v>72.6</v>
      </c>
      <c r="AR3122" s="1"/>
      <c r="AS3122" s="1"/>
      <c r="AT3122" s="1"/>
      <c r="AU3122" s="1"/>
      <c r="AV3122" s="1"/>
      <c r="AW3122" s="1"/>
      <c r="AX3122" s="1"/>
      <c r="AY3122" s="1" t="s">
        <v>50512</v>
      </c>
      <c r="AZ3122" s="1" t="s">
        <v>50513</v>
      </c>
      <c r="BA3122" s="1" t="s">
        <v>466</v>
      </c>
      <c r="BB3122" s="1" t="s">
        <v>23143</v>
      </c>
      <c r="BC3122" s="1" t="s">
        <v>166</v>
      </c>
      <c r="BD3122" s="1" t="s">
        <v>13133</v>
      </c>
      <c r="BE3122" s="1">
        <v>77.8</v>
      </c>
      <c r="BF3122" s="1">
        <v>7.78</v>
      </c>
      <c r="BG3122" s="1"/>
      <c r="BH3122" s="1"/>
      <c r="BI3122" s="1"/>
      <c r="BJ3122" s="1"/>
      <c r="BK3122" s="1"/>
      <c r="BL3122" s="1"/>
      <c r="BM3122" s="1"/>
      <c r="BN3122" s="1"/>
      <c r="BO3122" s="1" t="s">
        <v>50514</v>
      </c>
      <c r="BP3122" s="1" t="s">
        <v>50515</v>
      </c>
      <c r="BQ3122" s="1" t="s">
        <v>26776</v>
      </c>
      <c r="BR3122" s="1"/>
      <c r="BS3122" s="1"/>
      <c r="BT3122" s="1"/>
      <c r="BU3122" s="1" t="str">
        <f>HYPERLINK("https://nconnect.nicmar.ac.in/storage/profile/6a818bda5d939.png","Download")</f>
        <v>0</v>
      </c>
      <c r="BV3122" s="3"/>
      <c r="BW3122" s="3"/>
    </row>
    <row r="3123" spans="1:75">
      <c r="A3123" s="1" t="s">
        <v>45201</v>
      </c>
      <c r="B3123" s="1" t="s">
        <v>13976</v>
      </c>
      <c r="C3123" s="1" t="s">
        <v>50516</v>
      </c>
      <c r="D3123" s="1" t="s">
        <v>50517</v>
      </c>
      <c r="E3123" s="1"/>
      <c r="F3123" s="1" t="s">
        <v>50518</v>
      </c>
      <c r="G3123" s="1" t="s">
        <v>50519</v>
      </c>
      <c r="H3123" s="1" t="s">
        <v>50520</v>
      </c>
      <c r="I3123" s="1" t="s">
        <v>50520</v>
      </c>
      <c r="J3123" s="1">
        <v>7892199016</v>
      </c>
      <c r="K3123" s="1" t="s">
        <v>84</v>
      </c>
      <c r="L3123" s="1" t="s">
        <v>50521</v>
      </c>
      <c r="M3123" s="1" t="s">
        <v>86</v>
      </c>
      <c r="N3123" s="1" t="s">
        <v>50522</v>
      </c>
      <c r="O3123" s="1" t="s">
        <v>50523</v>
      </c>
      <c r="P3123" s="1" t="s">
        <v>356</v>
      </c>
      <c r="Q3123" s="1">
        <v>842003768979</v>
      </c>
      <c r="R3123" s="1" t="s">
        <v>1612</v>
      </c>
      <c r="S3123" s="1">
        <v>9449707851</v>
      </c>
      <c r="T3123" s="1" t="s">
        <v>50524</v>
      </c>
      <c r="U3123" s="1" t="s">
        <v>50525</v>
      </c>
      <c r="V3123" s="1">
        <v>9964524352</v>
      </c>
      <c r="W3123" s="1" t="s">
        <v>50526</v>
      </c>
      <c r="X3123" s="1" t="s">
        <v>50527</v>
      </c>
      <c r="Y3123" s="1" t="s">
        <v>9912</v>
      </c>
      <c r="Z3123" s="1" t="s">
        <v>1210</v>
      </c>
      <c r="AA3123" s="1" t="s">
        <v>50527</v>
      </c>
      <c r="AB3123" s="1" t="s">
        <v>9912</v>
      </c>
      <c r="AC3123" s="1" t="s">
        <v>1210</v>
      </c>
      <c r="AD3123" s="1" t="s">
        <v>98</v>
      </c>
      <c r="AE3123" s="1" t="s">
        <v>98</v>
      </c>
      <c r="AF3123" s="1" t="s">
        <v>50528</v>
      </c>
      <c r="AG3123" s="1" t="s">
        <v>50529</v>
      </c>
      <c r="AH3123" s="1" t="s">
        <v>704</v>
      </c>
      <c r="AI3123" s="1" t="s">
        <v>490</v>
      </c>
      <c r="AJ3123" s="1">
        <v>93.6</v>
      </c>
      <c r="AK3123" s="1"/>
      <c r="AL3123" s="1" t="s">
        <v>50530</v>
      </c>
      <c r="AM3123" s="1" t="s">
        <v>50531</v>
      </c>
      <c r="AN3123" s="1" t="s">
        <v>575</v>
      </c>
      <c r="AO3123" s="1" t="s">
        <v>414</v>
      </c>
      <c r="AP3123" s="1" t="s">
        <v>603</v>
      </c>
      <c r="AQ3123" s="1">
        <v>82.5</v>
      </c>
      <c r="AR3123" s="1"/>
      <c r="AS3123" s="1"/>
      <c r="AT3123" s="1"/>
      <c r="AU3123" s="1"/>
      <c r="AV3123" s="1"/>
      <c r="AW3123" s="1"/>
      <c r="AX3123" s="1"/>
      <c r="AY3123" s="1" t="s">
        <v>50532</v>
      </c>
      <c r="AZ3123" s="1" t="s">
        <v>50533</v>
      </c>
      <c r="BA3123" s="1" t="s">
        <v>578</v>
      </c>
      <c r="BB3123" s="1" t="s">
        <v>467</v>
      </c>
      <c r="BC3123" s="1" t="s">
        <v>140</v>
      </c>
      <c r="BD3123" s="1" t="s">
        <v>1401</v>
      </c>
      <c r="BE3123" s="1">
        <v>85.6</v>
      </c>
      <c r="BF3123" s="1">
        <v>8.56</v>
      </c>
      <c r="BG3123" s="1"/>
      <c r="BH3123" s="1"/>
      <c r="BI3123" s="1"/>
      <c r="BJ3123" s="1"/>
      <c r="BK3123" s="1"/>
      <c r="BL3123" s="1"/>
      <c r="BM3123" s="1"/>
      <c r="BN3123" s="1"/>
      <c r="BO3123" s="1" t="s">
        <v>50534</v>
      </c>
      <c r="BP3123" s="1"/>
      <c r="BQ3123" s="1"/>
      <c r="BR3123" s="1"/>
      <c r="BS3123" s="1"/>
      <c r="BT3123" s="1"/>
      <c r="BU3123" s="1" t="str">
        <f>HYPERLINK("https://nconnect.nicmar.ac.in/storage/profile/6a85f7cd644ec.png","Download")</f>
        <v>0</v>
      </c>
      <c r="BV3123" s="3"/>
      <c r="BW3123" s="3"/>
    </row>
    <row r="3124" spans="1:75">
      <c r="A3124" s="1" t="s">
        <v>45201</v>
      </c>
      <c r="B3124" s="1" t="s">
        <v>13976</v>
      </c>
      <c r="C3124" s="1" t="s">
        <v>50535</v>
      </c>
      <c r="D3124" s="1" t="s">
        <v>50536</v>
      </c>
      <c r="E3124" s="1" t="s">
        <v>116</v>
      </c>
      <c r="F3124" s="1" t="s">
        <v>17052</v>
      </c>
      <c r="G3124" s="1" t="s">
        <v>50537</v>
      </c>
      <c r="H3124" s="1" t="s">
        <v>50538</v>
      </c>
      <c r="I3124" s="1" t="s">
        <v>50539</v>
      </c>
      <c r="J3124" s="1">
        <v>6282723492</v>
      </c>
      <c r="K3124" s="1" t="s">
        <v>84</v>
      </c>
      <c r="L3124" s="1" t="s">
        <v>22848</v>
      </c>
      <c r="M3124" s="1" t="s">
        <v>86</v>
      </c>
      <c r="N3124" s="1" t="s">
        <v>50540</v>
      </c>
      <c r="O3124" s="1" t="s">
        <v>50541</v>
      </c>
      <c r="P3124" s="1" t="s">
        <v>219</v>
      </c>
      <c r="Q3124" s="1">
        <v>849253935250</v>
      </c>
      <c r="R3124" s="1" t="s">
        <v>50542</v>
      </c>
      <c r="S3124" s="1">
        <v>9447172202</v>
      </c>
      <c r="T3124" s="1" t="s">
        <v>3439</v>
      </c>
      <c r="U3124" s="1" t="s">
        <v>50543</v>
      </c>
      <c r="V3124" s="1">
        <v>9497616219</v>
      </c>
      <c r="W3124" s="1" t="s">
        <v>14154</v>
      </c>
      <c r="X3124" s="1" t="s">
        <v>50544</v>
      </c>
      <c r="Y3124" s="1" t="s">
        <v>3190</v>
      </c>
      <c r="Z3124" s="1" t="s">
        <v>130</v>
      </c>
      <c r="AA3124" s="1" t="s">
        <v>50544</v>
      </c>
      <c r="AB3124" s="1" t="s">
        <v>3190</v>
      </c>
      <c r="AC3124" s="1" t="s">
        <v>130</v>
      </c>
      <c r="AD3124" s="1" t="s">
        <v>98</v>
      </c>
      <c r="AE3124" s="1" t="s">
        <v>98</v>
      </c>
      <c r="AF3124" s="1" t="s">
        <v>50545</v>
      </c>
      <c r="AG3124" s="1" t="s">
        <v>50546</v>
      </c>
      <c r="AH3124" s="1" t="s">
        <v>170</v>
      </c>
      <c r="AI3124" s="1" t="s">
        <v>171</v>
      </c>
      <c r="AJ3124" s="1">
        <v>78.33</v>
      </c>
      <c r="AK3124" s="1"/>
      <c r="AL3124" s="1" t="s">
        <v>50547</v>
      </c>
      <c r="AM3124" s="1" t="s">
        <v>50548</v>
      </c>
      <c r="AN3124" s="1" t="s">
        <v>575</v>
      </c>
      <c r="AO3124" s="1" t="s">
        <v>106</v>
      </c>
      <c r="AP3124" s="1" t="s">
        <v>178</v>
      </c>
      <c r="AQ3124" s="1">
        <v>85.66</v>
      </c>
      <c r="AR3124" s="1"/>
      <c r="AS3124" s="1"/>
      <c r="AT3124" s="1"/>
      <c r="AU3124" s="1"/>
      <c r="AV3124" s="1"/>
      <c r="AW3124" s="1"/>
      <c r="AX3124" s="1"/>
      <c r="AY3124" s="1" t="s">
        <v>15573</v>
      </c>
      <c r="AZ3124" s="1" t="s">
        <v>50549</v>
      </c>
      <c r="BA3124" s="1" t="s">
        <v>466</v>
      </c>
      <c r="BB3124" s="1" t="s">
        <v>23143</v>
      </c>
      <c r="BC3124" s="1" t="s">
        <v>175</v>
      </c>
      <c r="BD3124" s="1" t="s">
        <v>553</v>
      </c>
      <c r="BE3124" s="1">
        <v>66.5</v>
      </c>
      <c r="BF3124" s="1">
        <v>6.65</v>
      </c>
      <c r="BG3124" s="1"/>
      <c r="BH3124" s="1"/>
      <c r="BI3124" s="1"/>
      <c r="BJ3124" s="1"/>
      <c r="BK3124" s="1"/>
      <c r="BL3124" s="1"/>
      <c r="BM3124" s="1"/>
      <c r="BN3124" s="1"/>
      <c r="BO3124" s="1" t="s">
        <v>50550</v>
      </c>
      <c r="BP3124" s="1"/>
      <c r="BQ3124" s="1"/>
      <c r="BR3124" s="1" t="s">
        <v>50551</v>
      </c>
      <c r="BS3124" s="1"/>
      <c r="BT3124" s="1" t="s">
        <v>50552</v>
      </c>
      <c r="BU3124" s="1" t="str">
        <f>HYPERLINK("https://nconnect.nicmar.ac.in/storage/profile/6a859a3052fed.png","Download")</f>
        <v>0</v>
      </c>
      <c r="BV3124" s="3"/>
      <c r="BW3124" s="3"/>
    </row>
    <row r="3125" spans="1:75">
      <c r="A3125" s="1" t="s">
        <v>45201</v>
      </c>
      <c r="B3125" s="1" t="s">
        <v>13976</v>
      </c>
      <c r="C3125" s="1" t="s">
        <v>50553</v>
      </c>
      <c r="D3125" s="1" t="s">
        <v>18465</v>
      </c>
      <c r="E3125" s="1"/>
      <c r="F3125" s="1" t="s">
        <v>14406</v>
      </c>
      <c r="G3125" s="1" t="s">
        <v>50554</v>
      </c>
      <c r="H3125" s="1" t="s">
        <v>50555</v>
      </c>
      <c r="I3125" s="1" t="s">
        <v>50555</v>
      </c>
      <c r="J3125" s="1">
        <v>6264806148</v>
      </c>
      <c r="K3125" s="1" t="s">
        <v>153</v>
      </c>
      <c r="L3125" s="1" t="s">
        <v>50556</v>
      </c>
      <c r="M3125" s="1" t="s">
        <v>86</v>
      </c>
      <c r="N3125" s="1" t="s">
        <v>14332</v>
      </c>
      <c r="O3125" s="1" t="s">
        <v>50557</v>
      </c>
      <c r="P3125" s="1" t="s">
        <v>122</v>
      </c>
      <c r="Q3125" s="1">
        <v>653067174924</v>
      </c>
      <c r="R3125" s="1" t="s">
        <v>50558</v>
      </c>
      <c r="S3125" s="1">
        <v>8824838685</v>
      </c>
      <c r="T3125" s="1" t="s">
        <v>15073</v>
      </c>
      <c r="U3125" s="1" t="s">
        <v>50559</v>
      </c>
      <c r="V3125" s="1">
        <v>6266958508</v>
      </c>
      <c r="W3125" s="1" t="s">
        <v>14710</v>
      </c>
      <c r="X3125" s="1" t="s">
        <v>50560</v>
      </c>
      <c r="Y3125" s="1" t="s">
        <v>5641</v>
      </c>
      <c r="Z3125" s="1" t="s">
        <v>3419</v>
      </c>
      <c r="AA3125" s="1" t="s">
        <v>50560</v>
      </c>
      <c r="AB3125" s="1" t="s">
        <v>5641</v>
      </c>
      <c r="AC3125" s="1" t="s">
        <v>3419</v>
      </c>
      <c r="AD3125" s="1" t="s">
        <v>98</v>
      </c>
      <c r="AE3125" s="1" t="s">
        <v>98</v>
      </c>
      <c r="AF3125" s="1" t="s">
        <v>50561</v>
      </c>
      <c r="AG3125" s="1" t="s">
        <v>50562</v>
      </c>
      <c r="AH3125" s="1" t="s">
        <v>388</v>
      </c>
      <c r="AI3125" s="1" t="s">
        <v>171</v>
      </c>
      <c r="AJ3125" s="1">
        <v>62.6</v>
      </c>
      <c r="AK3125" s="1">
        <v>6.59</v>
      </c>
      <c r="AL3125" s="1" t="s">
        <v>50563</v>
      </c>
      <c r="AM3125" s="1" t="s">
        <v>50564</v>
      </c>
      <c r="AN3125" s="1" t="s">
        <v>465</v>
      </c>
      <c r="AO3125" s="1" t="s">
        <v>438</v>
      </c>
      <c r="AP3125" s="1" t="s">
        <v>178</v>
      </c>
      <c r="AQ3125" s="1">
        <v>68.2</v>
      </c>
      <c r="AR3125" s="1">
        <v>7.18</v>
      </c>
      <c r="AS3125" s="1"/>
      <c r="AT3125" s="1"/>
      <c r="AU3125" s="1"/>
      <c r="AV3125" s="1"/>
      <c r="AW3125" s="1"/>
      <c r="AX3125" s="1"/>
      <c r="AY3125" s="1" t="s">
        <v>50565</v>
      </c>
      <c r="AZ3125" s="1" t="s">
        <v>50566</v>
      </c>
      <c r="BA3125" s="1" t="s">
        <v>682</v>
      </c>
      <c r="BB3125" s="1" t="s">
        <v>683</v>
      </c>
      <c r="BC3125" s="1" t="s">
        <v>890</v>
      </c>
      <c r="BD3125" s="1" t="s">
        <v>1401</v>
      </c>
      <c r="BE3125" s="1">
        <v>81.9</v>
      </c>
      <c r="BF3125" s="1">
        <v>8.19</v>
      </c>
      <c r="BG3125" s="1"/>
      <c r="BH3125" s="1"/>
      <c r="BI3125" s="1"/>
      <c r="BJ3125" s="1"/>
      <c r="BK3125" s="1"/>
      <c r="BL3125" s="1"/>
      <c r="BM3125" s="1"/>
      <c r="BN3125" s="1"/>
      <c r="BO3125" s="1" t="s">
        <v>50567</v>
      </c>
      <c r="BP3125" s="1" t="s">
        <v>50568</v>
      </c>
      <c r="BQ3125" s="1" t="s">
        <v>471</v>
      </c>
      <c r="BR3125" s="1" t="s">
        <v>50569</v>
      </c>
      <c r="BS3125" s="1">
        <v>43</v>
      </c>
      <c r="BT3125" s="1" t="s">
        <v>50570</v>
      </c>
      <c r="BU3125" s="1" t="str">
        <f>HYPERLINK("https://nconnect.nicmar.ac.in/storage/profile/6a85ea2d964ac.png","Download")</f>
        <v>0</v>
      </c>
      <c r="BV3125" s="3"/>
      <c r="BW3125" s="3"/>
    </row>
    <row r="3126" spans="1:75">
      <c r="A3126" s="1" t="s">
        <v>45201</v>
      </c>
      <c r="B3126" s="1" t="s">
        <v>13976</v>
      </c>
      <c r="C3126" s="1" t="s">
        <v>50571</v>
      </c>
      <c r="D3126" s="1" t="s">
        <v>50572</v>
      </c>
      <c r="E3126" s="1" t="s">
        <v>5171</v>
      </c>
      <c r="F3126" s="1" t="s">
        <v>35964</v>
      </c>
      <c r="G3126" s="1" t="s">
        <v>50573</v>
      </c>
      <c r="H3126" s="1" t="s">
        <v>50574</v>
      </c>
      <c r="I3126" s="1" t="s">
        <v>50574</v>
      </c>
      <c r="J3126" s="1">
        <v>9987687437</v>
      </c>
      <c r="K3126" s="1" t="s">
        <v>153</v>
      </c>
      <c r="L3126" s="1" t="s">
        <v>18544</v>
      </c>
      <c r="M3126" s="1" t="s">
        <v>86</v>
      </c>
      <c r="N3126" s="1" t="s">
        <v>6390</v>
      </c>
      <c r="O3126" s="1" t="s">
        <v>50575</v>
      </c>
      <c r="P3126" s="1" t="s">
        <v>122</v>
      </c>
      <c r="Q3126" s="1">
        <v>274579369879</v>
      </c>
      <c r="R3126" s="1" t="s">
        <v>50576</v>
      </c>
      <c r="S3126" s="1">
        <v>9821560342</v>
      </c>
      <c r="T3126" s="1" t="s">
        <v>645</v>
      </c>
      <c r="U3126" s="1" t="s">
        <v>50577</v>
      </c>
      <c r="V3126" s="1">
        <v>9702939997</v>
      </c>
      <c r="W3126" s="1" t="s">
        <v>127</v>
      </c>
      <c r="X3126" s="1" t="s">
        <v>50578</v>
      </c>
      <c r="Y3126" s="1" t="s">
        <v>1189</v>
      </c>
      <c r="Z3126" s="1" t="s">
        <v>97</v>
      </c>
      <c r="AA3126" s="1" t="s">
        <v>50578</v>
      </c>
      <c r="AB3126" s="1" t="s">
        <v>1189</v>
      </c>
      <c r="AC3126" s="1" t="s">
        <v>97</v>
      </c>
      <c r="AD3126" s="1" t="s">
        <v>98</v>
      </c>
      <c r="AE3126" s="1" t="s">
        <v>98</v>
      </c>
      <c r="AF3126" s="1" t="s">
        <v>50579</v>
      </c>
      <c r="AG3126" s="1" t="s">
        <v>50580</v>
      </c>
      <c r="AH3126" s="1" t="s">
        <v>170</v>
      </c>
      <c r="AI3126" s="1" t="s">
        <v>106</v>
      </c>
      <c r="AJ3126" s="1">
        <v>96.0</v>
      </c>
      <c r="AK3126" s="1"/>
      <c r="AL3126" s="1" t="s">
        <v>50581</v>
      </c>
      <c r="AM3126" s="1" t="s">
        <v>50580</v>
      </c>
      <c r="AN3126" s="1" t="s">
        <v>465</v>
      </c>
      <c r="AO3126" s="1" t="s">
        <v>438</v>
      </c>
      <c r="AP3126" s="1" t="s">
        <v>178</v>
      </c>
      <c r="AQ3126" s="1">
        <v>73.54</v>
      </c>
      <c r="AR3126" s="1"/>
      <c r="AS3126" s="1"/>
      <c r="AT3126" s="1"/>
      <c r="AU3126" s="1"/>
      <c r="AV3126" s="1"/>
      <c r="AW3126" s="1"/>
      <c r="AX3126" s="1"/>
      <c r="AY3126" s="1" t="s">
        <v>258</v>
      </c>
      <c r="AZ3126" s="1" t="s">
        <v>50582</v>
      </c>
      <c r="BA3126" s="1" t="s">
        <v>682</v>
      </c>
      <c r="BB3126" s="1" t="s">
        <v>1561</v>
      </c>
      <c r="BC3126" s="1" t="s">
        <v>368</v>
      </c>
      <c r="BD3126" s="1" t="s">
        <v>45311</v>
      </c>
      <c r="BE3126" s="1">
        <v>65.8</v>
      </c>
      <c r="BF3126" s="1">
        <v>7.27</v>
      </c>
      <c r="BG3126" s="1"/>
      <c r="BH3126" s="1"/>
      <c r="BI3126" s="1"/>
      <c r="BJ3126" s="1"/>
      <c r="BK3126" s="1"/>
      <c r="BL3126" s="1"/>
      <c r="BM3126" s="1"/>
      <c r="BN3126" s="1"/>
      <c r="BO3126" s="1" t="s">
        <v>50583</v>
      </c>
      <c r="BP3126" s="1"/>
      <c r="BQ3126" s="1"/>
      <c r="BR3126" s="1" t="s">
        <v>50584</v>
      </c>
      <c r="BS3126" s="1">
        <v>15</v>
      </c>
      <c r="BT3126" s="1" t="s">
        <v>50585</v>
      </c>
      <c r="BU3126" s="1" t="str">
        <f>HYPERLINK("https://nconnect.nicmar.ac.in/storage/profile/6a845f216c481.png","Download")</f>
        <v>0</v>
      </c>
      <c r="BV3126" s="3"/>
      <c r="BW3126" s="3"/>
    </row>
    <row r="3127" spans="1:75">
      <c r="A3127" s="1" t="s">
        <v>45201</v>
      </c>
      <c r="B3127" s="1" t="s">
        <v>13976</v>
      </c>
      <c r="C3127" s="1" t="s">
        <v>50586</v>
      </c>
      <c r="D3127" s="1" t="s">
        <v>50587</v>
      </c>
      <c r="E3127" s="1" t="s">
        <v>50588</v>
      </c>
      <c r="F3127" s="1" t="s">
        <v>50589</v>
      </c>
      <c r="G3127" s="1" t="s">
        <v>50590</v>
      </c>
      <c r="H3127" s="1" t="s">
        <v>50591</v>
      </c>
      <c r="I3127" s="1" t="s">
        <v>50591</v>
      </c>
      <c r="J3127" s="1">
        <v>9820030136</v>
      </c>
      <c r="K3127" s="1" t="s">
        <v>84</v>
      </c>
      <c r="L3127" s="1" t="s">
        <v>44932</v>
      </c>
      <c r="M3127" s="1" t="s">
        <v>86</v>
      </c>
      <c r="N3127" s="1" t="s">
        <v>8520</v>
      </c>
      <c r="O3127" s="1" t="s">
        <v>50592</v>
      </c>
      <c r="P3127" s="1" t="s">
        <v>219</v>
      </c>
      <c r="Q3127" s="1">
        <v>990623750204</v>
      </c>
      <c r="R3127" s="1" t="s">
        <v>50593</v>
      </c>
      <c r="S3127" s="1">
        <v>9820230136</v>
      </c>
      <c r="T3127" s="1" t="s">
        <v>18051</v>
      </c>
      <c r="U3127" s="1" t="s">
        <v>50594</v>
      </c>
      <c r="V3127" s="1">
        <v>9869830136</v>
      </c>
      <c r="W3127" s="1" t="s">
        <v>14154</v>
      </c>
      <c r="X3127" s="1" t="s">
        <v>50595</v>
      </c>
      <c r="Y3127" s="1" t="s">
        <v>1882</v>
      </c>
      <c r="Z3127" s="1" t="s">
        <v>97</v>
      </c>
      <c r="AA3127" s="1" t="s">
        <v>50595</v>
      </c>
      <c r="AB3127" s="1" t="s">
        <v>1882</v>
      </c>
      <c r="AC3127" s="1" t="s">
        <v>97</v>
      </c>
      <c r="AD3127" s="1" t="s">
        <v>98</v>
      </c>
      <c r="AE3127" s="1" t="s">
        <v>98</v>
      </c>
      <c r="AF3127" s="1" t="s">
        <v>50596</v>
      </c>
      <c r="AG3127" s="1" t="s">
        <v>50597</v>
      </c>
      <c r="AH3127" s="1" t="s">
        <v>170</v>
      </c>
      <c r="AI3127" s="1" t="s">
        <v>106</v>
      </c>
      <c r="AJ3127" s="1">
        <v>84.4</v>
      </c>
      <c r="AK3127" s="1"/>
      <c r="AL3127" s="1"/>
      <c r="AM3127" s="1"/>
      <c r="AN3127" s="1"/>
      <c r="AO3127" s="1"/>
      <c r="AP3127" s="1"/>
      <c r="AQ3127" s="1"/>
      <c r="AR3127" s="1"/>
      <c r="AS3127" s="1" t="s">
        <v>467</v>
      </c>
      <c r="AT3127" s="1" t="s">
        <v>50598</v>
      </c>
      <c r="AU3127" s="1" t="s">
        <v>1065</v>
      </c>
      <c r="AV3127" s="1" t="s">
        <v>847</v>
      </c>
      <c r="AW3127" s="1">
        <v>83.8</v>
      </c>
      <c r="AX3127" s="1"/>
      <c r="AY3127" s="1" t="s">
        <v>14380</v>
      </c>
      <c r="AZ3127" s="1" t="s">
        <v>15555</v>
      </c>
      <c r="BA3127" s="1" t="s">
        <v>578</v>
      </c>
      <c r="BB3127" s="1" t="s">
        <v>3661</v>
      </c>
      <c r="BC3127" s="1" t="s">
        <v>441</v>
      </c>
      <c r="BD3127" s="1" t="s">
        <v>207</v>
      </c>
      <c r="BE3127" s="1">
        <v>71.2</v>
      </c>
      <c r="BF3127" s="1">
        <v>7.92</v>
      </c>
      <c r="BG3127" s="1"/>
      <c r="BH3127" s="1"/>
      <c r="BI3127" s="1"/>
      <c r="BJ3127" s="1"/>
      <c r="BK3127" s="1"/>
      <c r="BL3127" s="1"/>
      <c r="BM3127" s="1"/>
      <c r="BN3127" s="1"/>
      <c r="BO3127" s="1" t="s">
        <v>50599</v>
      </c>
      <c r="BP3127" s="1" t="s">
        <v>50600</v>
      </c>
      <c r="BQ3127" s="1" t="s">
        <v>2213</v>
      </c>
      <c r="BR3127" s="1" t="s">
        <v>50601</v>
      </c>
      <c r="BS3127" s="1">
        <v>8</v>
      </c>
      <c r="BT3127" s="1"/>
      <c r="BU3127" s="1" t="str">
        <f>HYPERLINK("https://nconnect.nicmar.ac.in/storage/profile/6a85b8998b4b3.png","Download")</f>
        <v>0</v>
      </c>
      <c r="BV3127" s="3"/>
      <c r="BW3127" s="3"/>
    </row>
    <row r="3128" spans="1:75">
      <c r="A3128" s="1" t="s">
        <v>45201</v>
      </c>
      <c r="B3128" s="1" t="s">
        <v>13976</v>
      </c>
      <c r="C3128" s="1" t="s">
        <v>50602</v>
      </c>
      <c r="D3128" s="1" t="s">
        <v>50603</v>
      </c>
      <c r="E3128" s="1" t="s">
        <v>50604</v>
      </c>
      <c r="F3128" s="1" t="s">
        <v>50605</v>
      </c>
      <c r="G3128" s="1" t="s">
        <v>50606</v>
      </c>
      <c r="H3128" s="1" t="s">
        <v>50607</v>
      </c>
      <c r="I3128" s="1" t="s">
        <v>50607</v>
      </c>
      <c r="J3128" s="1">
        <v>9403960672</v>
      </c>
      <c r="K3128" s="1" t="s">
        <v>84</v>
      </c>
      <c r="L3128" s="1" t="s">
        <v>15503</v>
      </c>
      <c r="M3128" s="1" t="s">
        <v>86</v>
      </c>
      <c r="N3128" s="1" t="s">
        <v>17857</v>
      </c>
      <c r="O3128" s="1" t="s">
        <v>50608</v>
      </c>
      <c r="P3128" s="1" t="s">
        <v>356</v>
      </c>
      <c r="Q3128" s="1">
        <v>419197331762</v>
      </c>
      <c r="R3128" s="1" t="s">
        <v>50609</v>
      </c>
      <c r="S3128" s="1">
        <v>9405121623</v>
      </c>
      <c r="T3128" s="1" t="s">
        <v>13987</v>
      </c>
      <c r="U3128" s="1" t="s">
        <v>50610</v>
      </c>
      <c r="V3128" s="1">
        <v>9405121623</v>
      </c>
      <c r="W3128" s="1" t="s">
        <v>14154</v>
      </c>
      <c r="X3128" s="1" t="s">
        <v>50611</v>
      </c>
      <c r="Y3128" s="1" t="s">
        <v>7694</v>
      </c>
      <c r="Z3128" s="1" t="s">
        <v>97</v>
      </c>
      <c r="AA3128" s="1" t="s">
        <v>50612</v>
      </c>
      <c r="AB3128" s="1" t="s">
        <v>196</v>
      </c>
      <c r="AC3128" s="1" t="s">
        <v>97</v>
      </c>
      <c r="AD3128" s="1" t="s">
        <v>98</v>
      </c>
      <c r="AE3128" s="1" t="s">
        <v>98</v>
      </c>
      <c r="AF3128" s="1" t="s">
        <v>50613</v>
      </c>
      <c r="AG3128" s="1" t="s">
        <v>50614</v>
      </c>
      <c r="AH3128" s="1" t="s">
        <v>977</v>
      </c>
      <c r="AI3128" s="1" t="s">
        <v>468</v>
      </c>
      <c r="AJ3128" s="1">
        <v>86.2</v>
      </c>
      <c r="AK3128" s="1"/>
      <c r="AL3128" s="1" t="s">
        <v>50613</v>
      </c>
      <c r="AM3128" s="1" t="s">
        <v>50615</v>
      </c>
      <c r="AN3128" s="1" t="s">
        <v>465</v>
      </c>
      <c r="AO3128" s="1" t="s">
        <v>632</v>
      </c>
      <c r="AP3128" s="1" t="s">
        <v>289</v>
      </c>
      <c r="AQ3128" s="1">
        <v>80.4</v>
      </c>
      <c r="AR3128" s="1"/>
      <c r="AS3128" s="1"/>
      <c r="AT3128" s="1"/>
      <c r="AU3128" s="1"/>
      <c r="AV3128" s="1"/>
      <c r="AW3128" s="1"/>
      <c r="AX3128" s="1"/>
      <c r="AY3128" s="1" t="s">
        <v>50616</v>
      </c>
      <c r="AZ3128" s="1" t="s">
        <v>50617</v>
      </c>
      <c r="BA3128" s="1" t="s">
        <v>466</v>
      </c>
      <c r="BB3128" s="1" t="s">
        <v>38469</v>
      </c>
      <c r="BC3128" s="1" t="s">
        <v>110</v>
      </c>
      <c r="BD3128" s="1" t="s">
        <v>14162</v>
      </c>
      <c r="BE3128" s="1">
        <v>70</v>
      </c>
      <c r="BF3128" s="1">
        <v>7.49</v>
      </c>
      <c r="BG3128" s="1"/>
      <c r="BH3128" s="1"/>
      <c r="BI3128" s="1"/>
      <c r="BJ3128" s="1"/>
      <c r="BK3128" s="1"/>
      <c r="BL3128" s="1"/>
      <c r="BM3128" s="1"/>
      <c r="BN3128" s="1"/>
      <c r="BO3128" s="1" t="s">
        <v>50618</v>
      </c>
      <c r="BP3128" s="1" t="s">
        <v>50619</v>
      </c>
      <c r="BQ3128" s="1" t="s">
        <v>7917</v>
      </c>
      <c r="BR3128" s="1"/>
      <c r="BS3128" s="1"/>
      <c r="BT3128" s="1" t="s">
        <v>50620</v>
      </c>
      <c r="BU3128" s="1" t="str">
        <f>HYPERLINK("https://nconnect.nicmar.ac.in/storage/profile/6a85edd49b0e5.png","Download")</f>
        <v>0</v>
      </c>
      <c r="BV3128" s="3"/>
      <c r="BW3128" s="3"/>
    </row>
    <row r="3129" spans="1:75">
      <c r="A3129" s="1" t="s">
        <v>45201</v>
      </c>
      <c r="B3129" s="1" t="s">
        <v>13976</v>
      </c>
      <c r="C3129" s="1" t="s">
        <v>50621</v>
      </c>
      <c r="D3129" s="1" t="s">
        <v>50622</v>
      </c>
      <c r="E3129" s="1" t="s">
        <v>44270</v>
      </c>
      <c r="F3129" s="1" t="s">
        <v>50623</v>
      </c>
      <c r="G3129" s="1" t="s">
        <v>50624</v>
      </c>
      <c r="H3129" s="1" t="s">
        <v>50625</v>
      </c>
      <c r="I3129" s="1" t="s">
        <v>50625</v>
      </c>
      <c r="J3129" s="1">
        <v>9309867847</v>
      </c>
      <c r="K3129" s="1" t="s">
        <v>153</v>
      </c>
      <c r="L3129" s="1" t="s">
        <v>7871</v>
      </c>
      <c r="M3129" s="1" t="s">
        <v>86</v>
      </c>
      <c r="N3129" s="1" t="s">
        <v>18471</v>
      </c>
      <c r="O3129" s="1" t="s">
        <v>50626</v>
      </c>
      <c r="P3129" s="1" t="s">
        <v>219</v>
      </c>
      <c r="Q3129" s="1">
        <v>555027647091</v>
      </c>
      <c r="R3129" s="1" t="s">
        <v>50627</v>
      </c>
      <c r="S3129" s="1">
        <v>9850110790</v>
      </c>
      <c r="T3129" s="1" t="s">
        <v>50628</v>
      </c>
      <c r="U3129" s="1" t="s">
        <v>50629</v>
      </c>
      <c r="V3129" s="1">
        <v>8766448298</v>
      </c>
      <c r="W3129" s="1" t="s">
        <v>15148</v>
      </c>
      <c r="X3129" s="1" t="s">
        <v>50630</v>
      </c>
      <c r="Y3129" s="1" t="s">
        <v>196</v>
      </c>
      <c r="Z3129" s="1" t="s">
        <v>97</v>
      </c>
      <c r="AA3129" s="1" t="s">
        <v>50630</v>
      </c>
      <c r="AB3129" s="1" t="s">
        <v>196</v>
      </c>
      <c r="AC3129" s="1" t="s">
        <v>97</v>
      </c>
      <c r="AD3129" s="1" t="s">
        <v>98</v>
      </c>
      <c r="AE3129" s="1" t="s">
        <v>98</v>
      </c>
      <c r="AF3129" s="1" t="s">
        <v>45426</v>
      </c>
      <c r="AG3129" s="1" t="s">
        <v>50631</v>
      </c>
      <c r="AH3129" s="1" t="s">
        <v>313</v>
      </c>
      <c r="AI3129" s="1" t="s">
        <v>603</v>
      </c>
      <c r="AJ3129" s="1">
        <v>80.2</v>
      </c>
      <c r="AK3129" s="1">
        <v>8.44</v>
      </c>
      <c r="AL3129" s="1"/>
      <c r="AM3129" s="1"/>
      <c r="AN3129" s="1"/>
      <c r="AO3129" s="1"/>
      <c r="AP3129" s="1"/>
      <c r="AQ3129" s="1"/>
      <c r="AR3129" s="1"/>
      <c r="AS3129" s="1" t="s">
        <v>467</v>
      </c>
      <c r="AT3129" s="1" t="s">
        <v>50632</v>
      </c>
      <c r="AU3129" s="1" t="s">
        <v>2210</v>
      </c>
      <c r="AV3129" s="1" t="s">
        <v>179</v>
      </c>
      <c r="AW3129" s="1">
        <v>71.29</v>
      </c>
      <c r="AX3129" s="1">
        <v>7.5</v>
      </c>
      <c r="AY3129" s="1" t="s">
        <v>25035</v>
      </c>
      <c r="AZ3129" s="1" t="s">
        <v>50633</v>
      </c>
      <c r="BA3129" s="1" t="s">
        <v>578</v>
      </c>
      <c r="BB3129" s="1" t="s">
        <v>467</v>
      </c>
      <c r="BC3129" s="1" t="s">
        <v>4573</v>
      </c>
      <c r="BD3129" s="1" t="s">
        <v>14162</v>
      </c>
      <c r="BE3129" s="1">
        <v>69.2</v>
      </c>
      <c r="BF3129" s="1">
        <v>7.67</v>
      </c>
      <c r="BG3129" s="1"/>
      <c r="BH3129" s="1"/>
      <c r="BI3129" s="1"/>
      <c r="BJ3129" s="1"/>
      <c r="BK3129" s="1"/>
      <c r="BL3129" s="1"/>
      <c r="BM3129" s="1"/>
      <c r="BN3129" s="1"/>
      <c r="BO3129" s="1" t="s">
        <v>50634</v>
      </c>
      <c r="BP3129" s="1"/>
      <c r="BQ3129" s="1"/>
      <c r="BR3129" s="1"/>
      <c r="BS3129" s="1"/>
      <c r="BT3129" s="1"/>
      <c r="BU3129" s="1" t="str">
        <f>HYPERLINK("https://nconnect.nicmar.ac.in/storage/profile/6a85c9ca71522.png","Download")</f>
        <v>0</v>
      </c>
      <c r="BV3129" s="3"/>
      <c r="BW3129" s="3"/>
    </row>
    <row r="3130" spans="1:75">
      <c r="A3130" s="1" t="s">
        <v>45201</v>
      </c>
      <c r="B3130" s="1" t="s">
        <v>13976</v>
      </c>
      <c r="C3130" s="1" t="s">
        <v>50635</v>
      </c>
      <c r="D3130" s="1" t="s">
        <v>16615</v>
      </c>
      <c r="E3130" s="1" t="s">
        <v>19627</v>
      </c>
      <c r="F3130" s="1" t="s">
        <v>50636</v>
      </c>
      <c r="G3130" s="1" t="s">
        <v>50637</v>
      </c>
      <c r="H3130" s="1" t="s">
        <v>50638</v>
      </c>
      <c r="I3130" s="1" t="s">
        <v>50639</v>
      </c>
      <c r="J3130" s="1">
        <v>7972368980</v>
      </c>
      <c r="K3130" s="1" t="s">
        <v>153</v>
      </c>
      <c r="L3130" s="1" t="s">
        <v>26476</v>
      </c>
      <c r="M3130" s="1" t="s">
        <v>86</v>
      </c>
      <c r="N3130" s="1" t="s">
        <v>50640</v>
      </c>
      <c r="O3130" s="1" t="s">
        <v>50641</v>
      </c>
      <c r="P3130" s="1" t="s">
        <v>122</v>
      </c>
      <c r="Q3130" s="1">
        <v>434220731431</v>
      </c>
      <c r="R3130" s="1" t="s">
        <v>50642</v>
      </c>
      <c r="S3130" s="1">
        <v>9850068365</v>
      </c>
      <c r="T3130" s="1" t="s">
        <v>16557</v>
      </c>
      <c r="U3130" s="1" t="s">
        <v>50643</v>
      </c>
      <c r="V3130" s="1">
        <v>9850068365</v>
      </c>
      <c r="W3130" s="1" t="s">
        <v>44135</v>
      </c>
      <c r="X3130" s="1" t="s">
        <v>50644</v>
      </c>
      <c r="Y3130" s="1" t="s">
        <v>196</v>
      </c>
      <c r="Z3130" s="1" t="s">
        <v>97</v>
      </c>
      <c r="AA3130" s="1" t="s">
        <v>50644</v>
      </c>
      <c r="AB3130" s="1" t="s">
        <v>196</v>
      </c>
      <c r="AC3130" s="1" t="s">
        <v>97</v>
      </c>
      <c r="AD3130" s="1" t="s">
        <v>98</v>
      </c>
      <c r="AE3130" s="1" t="s">
        <v>98</v>
      </c>
      <c r="AF3130" s="1" t="s">
        <v>50645</v>
      </c>
      <c r="AG3130" s="1" t="s">
        <v>50646</v>
      </c>
      <c r="AH3130" s="1" t="s">
        <v>2783</v>
      </c>
      <c r="AI3130" s="1" t="s">
        <v>1262</v>
      </c>
      <c r="AJ3130" s="1">
        <v>85</v>
      </c>
      <c r="AK3130" s="1"/>
      <c r="AL3130" s="1" t="s">
        <v>50647</v>
      </c>
      <c r="AM3130" s="1" t="s">
        <v>50648</v>
      </c>
      <c r="AN3130" s="1" t="s">
        <v>35580</v>
      </c>
      <c r="AO3130" s="1" t="s">
        <v>101</v>
      </c>
      <c r="AP3130" s="1" t="s">
        <v>627</v>
      </c>
      <c r="AQ3130" s="1">
        <v>76.77</v>
      </c>
      <c r="AR3130" s="1"/>
      <c r="AS3130" s="1"/>
      <c r="AT3130" s="1"/>
      <c r="AU3130" s="1"/>
      <c r="AV3130" s="1"/>
      <c r="AW3130" s="1"/>
      <c r="AX3130" s="1"/>
      <c r="AY3130" s="1" t="s">
        <v>14160</v>
      </c>
      <c r="AZ3130" s="1" t="s">
        <v>50649</v>
      </c>
      <c r="BA3130" s="1" t="s">
        <v>682</v>
      </c>
      <c r="BB3130" s="1" t="s">
        <v>1561</v>
      </c>
      <c r="BC3130" s="1" t="s">
        <v>139</v>
      </c>
      <c r="BD3130" s="1" t="s">
        <v>441</v>
      </c>
      <c r="BE3130" s="1">
        <v>79</v>
      </c>
      <c r="BF3130" s="1">
        <v>7.9</v>
      </c>
      <c r="BG3130" s="1"/>
      <c r="BH3130" s="1"/>
      <c r="BI3130" s="1"/>
      <c r="BJ3130" s="1"/>
      <c r="BK3130" s="1"/>
      <c r="BL3130" s="1"/>
      <c r="BM3130" s="1"/>
      <c r="BN3130" s="1"/>
      <c r="BO3130" s="1" t="s">
        <v>50650</v>
      </c>
      <c r="BP3130" s="1" t="s">
        <v>50651</v>
      </c>
      <c r="BQ3130" s="1" t="s">
        <v>143</v>
      </c>
      <c r="BR3130" s="1"/>
      <c r="BS3130" s="1"/>
      <c r="BT3130" s="1"/>
      <c r="BU3130" s="1" t="str">
        <f>HYPERLINK("https://nconnect.nicmar.ac.in/storage/profile/6a85eff5200fa.png","Download")</f>
        <v>0</v>
      </c>
      <c r="BV3130" s="3"/>
      <c r="BW3130" s="3"/>
    </row>
    <row r="3131" spans="1:75">
      <c r="A3131" s="1" t="s">
        <v>45201</v>
      </c>
      <c r="B3131" s="1" t="s">
        <v>13976</v>
      </c>
      <c r="C3131" s="1" t="s">
        <v>50652</v>
      </c>
      <c r="D3131" s="1" t="s">
        <v>22552</v>
      </c>
      <c r="E3131" s="1"/>
      <c r="F3131" s="1" t="s">
        <v>50653</v>
      </c>
      <c r="G3131" s="1" t="s">
        <v>50654</v>
      </c>
      <c r="H3131" s="1" t="s">
        <v>50655</v>
      </c>
      <c r="I3131" s="1" t="s">
        <v>50655</v>
      </c>
      <c r="J3131" s="1">
        <v>9369693935</v>
      </c>
      <c r="K3131" s="1" t="s">
        <v>153</v>
      </c>
      <c r="L3131" s="1" t="s">
        <v>11422</v>
      </c>
      <c r="M3131" s="1" t="s">
        <v>86</v>
      </c>
      <c r="N3131" s="1" t="s">
        <v>355</v>
      </c>
      <c r="O3131" s="1" t="s">
        <v>50656</v>
      </c>
      <c r="P3131" s="1" t="s">
        <v>356</v>
      </c>
      <c r="Q3131" s="1">
        <v>867266940090</v>
      </c>
      <c r="R3131" s="1" t="s">
        <v>50657</v>
      </c>
      <c r="S3131" s="1">
        <v>9415541075</v>
      </c>
      <c r="T3131" s="1" t="s">
        <v>49257</v>
      </c>
      <c r="U3131" s="1" t="s">
        <v>50658</v>
      </c>
      <c r="V3131" s="1">
        <v>8707862927</v>
      </c>
      <c r="W3131" s="1" t="s">
        <v>10306</v>
      </c>
      <c r="X3131" s="1" t="s">
        <v>50659</v>
      </c>
      <c r="Y3131" s="1" t="s">
        <v>1059</v>
      </c>
      <c r="Z3131" s="1" t="s">
        <v>544</v>
      </c>
      <c r="AA3131" s="1" t="s">
        <v>50660</v>
      </c>
      <c r="AB3131" s="1" t="s">
        <v>196</v>
      </c>
      <c r="AC3131" s="1" t="s">
        <v>97</v>
      </c>
      <c r="AD3131" s="1" t="s">
        <v>98</v>
      </c>
      <c r="AE3131" s="1" t="s">
        <v>98</v>
      </c>
      <c r="AF3131" s="1" t="s">
        <v>50661</v>
      </c>
      <c r="AG3131" s="1" t="s">
        <v>50662</v>
      </c>
      <c r="AH3131" s="1" t="s">
        <v>704</v>
      </c>
      <c r="AI3131" s="1" t="s">
        <v>171</v>
      </c>
      <c r="AJ3131" s="1">
        <v>84.4</v>
      </c>
      <c r="AK3131" s="1">
        <v>8.88</v>
      </c>
      <c r="AL3131" s="1" t="s">
        <v>50661</v>
      </c>
      <c r="AM3131" s="1" t="s">
        <v>50662</v>
      </c>
      <c r="AN3131" s="1" t="s">
        <v>465</v>
      </c>
      <c r="AO3131" s="1" t="s">
        <v>547</v>
      </c>
      <c r="AP3131" s="1" t="s">
        <v>178</v>
      </c>
      <c r="AQ3131" s="1">
        <v>93.75</v>
      </c>
      <c r="AR3131" s="1">
        <v>9.87</v>
      </c>
      <c r="AS3131" s="1"/>
      <c r="AT3131" s="1"/>
      <c r="AU3131" s="1"/>
      <c r="AV3131" s="1"/>
      <c r="AW3131" s="1"/>
      <c r="AX3131" s="1"/>
      <c r="AY3131" s="1" t="s">
        <v>50663</v>
      </c>
      <c r="AZ3131" s="1" t="s">
        <v>50664</v>
      </c>
      <c r="BA3131" s="1" t="s">
        <v>682</v>
      </c>
      <c r="BB3131" s="1" t="s">
        <v>683</v>
      </c>
      <c r="BC3131" s="1" t="s">
        <v>871</v>
      </c>
      <c r="BD3131" s="1" t="s">
        <v>14514</v>
      </c>
      <c r="BE3131" s="1">
        <v>76</v>
      </c>
      <c r="BF3131" s="1">
        <v>9.0</v>
      </c>
      <c r="BG3131" s="1"/>
      <c r="BH3131" s="1"/>
      <c r="BI3131" s="1"/>
      <c r="BJ3131" s="1"/>
      <c r="BK3131" s="1"/>
      <c r="BL3131" s="1"/>
      <c r="BM3131" s="1"/>
      <c r="BN3131" s="1"/>
      <c r="BO3131" s="1" t="s">
        <v>50665</v>
      </c>
      <c r="BP3131" s="1" t="s">
        <v>50666</v>
      </c>
      <c r="BQ3131" s="1" t="s">
        <v>658</v>
      </c>
      <c r="BR3131" s="1" t="s">
        <v>50667</v>
      </c>
      <c r="BS3131" s="1">
        <v>25</v>
      </c>
      <c r="BT3131" s="1" t="s">
        <v>50668</v>
      </c>
      <c r="BU3131" s="1" t="str">
        <f>HYPERLINK("https://nconnect.nicmar.ac.in/storage/profile/6a85ea08ed70d.png","Download")</f>
        <v>0</v>
      </c>
      <c r="BV3131" s="3"/>
      <c r="BW3131" s="3"/>
    </row>
    <row r="3132" spans="1:75">
      <c r="A3132" s="1" t="s">
        <v>45201</v>
      </c>
      <c r="B3132" s="1" t="s">
        <v>13976</v>
      </c>
      <c r="C3132" s="1" t="s">
        <v>50669</v>
      </c>
      <c r="D3132" s="1" t="s">
        <v>50670</v>
      </c>
      <c r="E3132" s="1"/>
      <c r="F3132" s="1" t="s">
        <v>50671</v>
      </c>
      <c r="G3132" s="1" t="s">
        <v>50672</v>
      </c>
      <c r="H3132" s="1" t="s">
        <v>50673</v>
      </c>
      <c r="I3132" s="1" t="s">
        <v>50673</v>
      </c>
      <c r="J3132" s="1">
        <v>8908799999</v>
      </c>
      <c r="K3132" s="1" t="s">
        <v>84</v>
      </c>
      <c r="L3132" s="1" t="s">
        <v>24977</v>
      </c>
      <c r="M3132" s="1" t="s">
        <v>86</v>
      </c>
      <c r="N3132" s="1" t="s">
        <v>50674</v>
      </c>
      <c r="O3132" s="1" t="s">
        <v>50675</v>
      </c>
      <c r="P3132" s="1" t="s">
        <v>219</v>
      </c>
      <c r="Q3132" s="1">
        <v>65309143590</v>
      </c>
      <c r="R3132" s="1" t="s">
        <v>50676</v>
      </c>
      <c r="S3132" s="1">
        <v>9437799999</v>
      </c>
      <c r="T3132" s="1" t="s">
        <v>14800</v>
      </c>
      <c r="U3132" s="1" t="s">
        <v>50677</v>
      </c>
      <c r="V3132" s="1">
        <v>9438320939</v>
      </c>
      <c r="W3132" s="1" t="s">
        <v>21080</v>
      </c>
      <c r="X3132" s="1" t="s">
        <v>50678</v>
      </c>
      <c r="Y3132" s="1" t="s">
        <v>4437</v>
      </c>
      <c r="Z3132" s="1" t="s">
        <v>865</v>
      </c>
      <c r="AA3132" s="1" t="s">
        <v>50678</v>
      </c>
      <c r="AB3132" s="1" t="s">
        <v>4437</v>
      </c>
      <c r="AC3132" s="1" t="s">
        <v>865</v>
      </c>
      <c r="AD3132" s="1" t="s">
        <v>98</v>
      </c>
      <c r="AE3132" s="1" t="s">
        <v>98</v>
      </c>
      <c r="AF3132" s="1" t="s">
        <v>50679</v>
      </c>
      <c r="AG3132" s="1" t="s">
        <v>50680</v>
      </c>
      <c r="AH3132" s="1" t="s">
        <v>438</v>
      </c>
      <c r="AI3132" s="1" t="s">
        <v>603</v>
      </c>
      <c r="AJ3132" s="1">
        <v>78</v>
      </c>
      <c r="AK3132" s="1"/>
      <c r="AL3132" s="1" t="s">
        <v>50681</v>
      </c>
      <c r="AM3132" s="1" t="s">
        <v>50682</v>
      </c>
      <c r="AN3132" s="1" t="s">
        <v>465</v>
      </c>
      <c r="AO3132" s="1" t="s">
        <v>468</v>
      </c>
      <c r="AP3132" s="1" t="s">
        <v>1400</v>
      </c>
      <c r="AQ3132" s="1">
        <v>67.8</v>
      </c>
      <c r="AR3132" s="1"/>
      <c r="AS3132" s="1"/>
      <c r="AT3132" s="1"/>
      <c r="AU3132" s="1"/>
      <c r="AV3132" s="1"/>
      <c r="AW3132" s="1"/>
      <c r="AX3132" s="1"/>
      <c r="AY3132" s="1" t="s">
        <v>4962</v>
      </c>
      <c r="AZ3132" s="1" t="s">
        <v>50683</v>
      </c>
      <c r="BA3132" s="1" t="s">
        <v>466</v>
      </c>
      <c r="BB3132" s="1" t="s">
        <v>38485</v>
      </c>
      <c r="BC3132" s="1" t="s">
        <v>110</v>
      </c>
      <c r="BD3132" s="1" t="s">
        <v>14162</v>
      </c>
      <c r="BE3132" s="1">
        <v>65.4</v>
      </c>
      <c r="BF3132" s="1">
        <v>7.2</v>
      </c>
      <c r="BG3132" s="1"/>
      <c r="BH3132" s="1"/>
      <c r="BI3132" s="1"/>
      <c r="BJ3132" s="1"/>
      <c r="BK3132" s="1"/>
      <c r="BL3132" s="1"/>
      <c r="BM3132" s="1"/>
      <c r="BN3132" s="1"/>
      <c r="BO3132" s="1" t="s">
        <v>50684</v>
      </c>
      <c r="BP3132" s="1" t="s">
        <v>50685</v>
      </c>
      <c r="BQ3132" s="1" t="s">
        <v>7917</v>
      </c>
      <c r="BR3132" s="1"/>
      <c r="BS3132" s="1"/>
      <c r="BT3132" s="1"/>
      <c r="BU3132" s="1" t="s">
        <v>9653</v>
      </c>
      <c r="BV3132" s="3"/>
      <c r="BW3132" s="3"/>
    </row>
    <row r="3133" spans="1:75">
      <c r="A3133" s="1" t="s">
        <v>45201</v>
      </c>
      <c r="B3133" s="1" t="s">
        <v>13976</v>
      </c>
      <c r="C3133" s="1" t="s">
        <v>50686</v>
      </c>
      <c r="D3133" s="1" t="s">
        <v>50687</v>
      </c>
      <c r="E3133" s="1" t="s">
        <v>40095</v>
      </c>
      <c r="F3133" s="1" t="s">
        <v>50688</v>
      </c>
      <c r="G3133" s="1" t="s">
        <v>50689</v>
      </c>
      <c r="H3133" s="1" t="s">
        <v>50690</v>
      </c>
      <c r="I3133" s="1" t="s">
        <v>50690</v>
      </c>
      <c r="J3133" s="1">
        <v>9699214634</v>
      </c>
      <c r="K3133" s="1" t="s">
        <v>84</v>
      </c>
      <c r="L3133" s="1" t="s">
        <v>36067</v>
      </c>
      <c r="M3133" s="1" t="s">
        <v>86</v>
      </c>
      <c r="N3133" s="1" t="s">
        <v>16702</v>
      </c>
      <c r="O3133" s="1" t="s">
        <v>50691</v>
      </c>
      <c r="P3133" s="1" t="s">
        <v>89</v>
      </c>
      <c r="Q3133" s="1">
        <v>667397426200</v>
      </c>
      <c r="R3133" s="1" t="s">
        <v>40095</v>
      </c>
      <c r="S3133" s="1">
        <v>9881387681</v>
      </c>
      <c r="T3133" s="1" t="s">
        <v>13987</v>
      </c>
      <c r="U3133" s="1" t="s">
        <v>50692</v>
      </c>
      <c r="V3133" s="1">
        <v>9423713960</v>
      </c>
      <c r="W3133" s="1" t="s">
        <v>14154</v>
      </c>
      <c r="X3133" s="1" t="s">
        <v>50693</v>
      </c>
      <c r="Y3133" s="1" t="s">
        <v>224</v>
      </c>
      <c r="Z3133" s="1" t="s">
        <v>97</v>
      </c>
      <c r="AA3133" s="1" t="s">
        <v>50693</v>
      </c>
      <c r="AB3133" s="1" t="s">
        <v>224</v>
      </c>
      <c r="AC3133" s="1" t="s">
        <v>97</v>
      </c>
      <c r="AD3133" s="1" t="s">
        <v>98</v>
      </c>
      <c r="AE3133" s="1" t="s">
        <v>98</v>
      </c>
      <c r="AF3133" s="1" t="s">
        <v>50694</v>
      </c>
      <c r="AG3133" s="1" t="s">
        <v>97</v>
      </c>
      <c r="AH3133" s="1" t="s">
        <v>438</v>
      </c>
      <c r="AI3133" s="1" t="s">
        <v>603</v>
      </c>
      <c r="AJ3133" s="1">
        <v>81.2</v>
      </c>
      <c r="AK3133" s="1"/>
      <c r="AL3133" s="1" t="s">
        <v>50695</v>
      </c>
      <c r="AM3133" s="1" t="s">
        <v>97</v>
      </c>
      <c r="AN3133" s="1" t="s">
        <v>465</v>
      </c>
      <c r="AO3133" s="1" t="s">
        <v>847</v>
      </c>
      <c r="AP3133" s="1" t="s">
        <v>13217</v>
      </c>
      <c r="AQ3133" s="1">
        <v>62.83</v>
      </c>
      <c r="AR3133" s="1"/>
      <c r="AS3133" s="1"/>
      <c r="AT3133" s="1"/>
      <c r="AU3133" s="1"/>
      <c r="AV3133" s="1"/>
      <c r="AW3133" s="1"/>
      <c r="AX3133" s="1"/>
      <c r="AY3133" s="1" t="s">
        <v>50696</v>
      </c>
      <c r="AZ3133" s="1" t="s">
        <v>97</v>
      </c>
      <c r="BA3133" s="1" t="s">
        <v>578</v>
      </c>
      <c r="BB3133" s="1" t="s">
        <v>467</v>
      </c>
      <c r="BC3133" s="1" t="s">
        <v>1802</v>
      </c>
      <c r="BD3133" s="1" t="s">
        <v>9688</v>
      </c>
      <c r="BE3133" s="1">
        <v>78</v>
      </c>
      <c r="BF3133" s="1">
        <v>8.21</v>
      </c>
      <c r="BG3133" s="1"/>
      <c r="BH3133" s="1"/>
      <c r="BI3133" s="1"/>
      <c r="BJ3133" s="1"/>
      <c r="BK3133" s="1"/>
      <c r="BL3133" s="1"/>
      <c r="BM3133" s="1"/>
      <c r="BN3133" s="1"/>
      <c r="BO3133" s="1" t="s">
        <v>50697</v>
      </c>
      <c r="BP3133" s="1"/>
      <c r="BQ3133" s="1"/>
      <c r="BR3133" s="1" t="s">
        <v>50698</v>
      </c>
      <c r="BS3133" s="1">
        <v>4</v>
      </c>
      <c r="BT3133" s="1"/>
      <c r="BU3133" s="1" t="str">
        <f>HYPERLINK("https://nconnect.nicmar.ac.in/storage/profile/6a85e67c33fc0.png","Download")</f>
        <v>0</v>
      </c>
      <c r="BV3133" s="3"/>
      <c r="BW3133" s="3"/>
    </row>
    <row r="3134" spans="1:75">
      <c r="A3134" s="1" t="s">
        <v>45201</v>
      </c>
      <c r="B3134" s="1" t="s">
        <v>13976</v>
      </c>
      <c r="C3134" s="1" t="s">
        <v>50699</v>
      </c>
      <c r="D3134" s="1" t="s">
        <v>19517</v>
      </c>
      <c r="E3134" s="1" t="s">
        <v>16930</v>
      </c>
      <c r="F3134" s="1" t="s">
        <v>14460</v>
      </c>
      <c r="G3134" s="1" t="s">
        <v>50700</v>
      </c>
      <c r="H3134" s="1" t="s">
        <v>50701</v>
      </c>
      <c r="I3134" s="1" t="s">
        <v>50702</v>
      </c>
      <c r="J3134" s="1">
        <v>8411852240</v>
      </c>
      <c r="K3134" s="1" t="s">
        <v>84</v>
      </c>
      <c r="L3134" s="1" t="s">
        <v>989</v>
      </c>
      <c r="M3134" s="1" t="s">
        <v>86</v>
      </c>
      <c r="N3134" s="1" t="s">
        <v>8520</v>
      </c>
      <c r="O3134" s="1" t="s">
        <v>50703</v>
      </c>
      <c r="P3134" s="1" t="s">
        <v>219</v>
      </c>
      <c r="Q3134" s="1">
        <v>284810047622</v>
      </c>
      <c r="R3134" s="1" t="s">
        <v>19202</v>
      </c>
      <c r="S3134" s="1">
        <v>9860258950</v>
      </c>
      <c r="T3134" s="1" t="s">
        <v>50704</v>
      </c>
      <c r="U3134" s="1" t="s">
        <v>15059</v>
      </c>
      <c r="V3134" s="1">
        <v>9518550026</v>
      </c>
      <c r="W3134" s="1" t="s">
        <v>3441</v>
      </c>
      <c r="X3134" s="1" t="s">
        <v>50705</v>
      </c>
      <c r="Y3134" s="1" t="s">
        <v>4302</v>
      </c>
      <c r="Z3134" s="1" t="s">
        <v>97</v>
      </c>
      <c r="AA3134" s="1" t="s">
        <v>50705</v>
      </c>
      <c r="AB3134" s="1" t="s">
        <v>4302</v>
      </c>
      <c r="AC3134" s="1" t="s">
        <v>97</v>
      </c>
      <c r="AD3134" s="1" t="s">
        <v>98</v>
      </c>
      <c r="AE3134" s="1" t="s">
        <v>98</v>
      </c>
      <c r="AF3134" s="1" t="s">
        <v>50706</v>
      </c>
      <c r="AG3134" s="1" t="s">
        <v>50707</v>
      </c>
      <c r="AH3134" s="1" t="s">
        <v>200</v>
      </c>
      <c r="AI3134" s="1" t="s">
        <v>286</v>
      </c>
      <c r="AJ3134" s="1">
        <v>84.84</v>
      </c>
      <c r="AK3134" s="1"/>
      <c r="AL3134" s="1" t="s">
        <v>50708</v>
      </c>
      <c r="AM3134" s="1" t="s">
        <v>14977</v>
      </c>
      <c r="AN3134" s="1" t="s">
        <v>465</v>
      </c>
      <c r="AO3134" s="1" t="s">
        <v>203</v>
      </c>
      <c r="AP3134" s="1" t="s">
        <v>365</v>
      </c>
      <c r="AQ3134" s="1">
        <v>64.62</v>
      </c>
      <c r="AR3134" s="1"/>
      <c r="AS3134" s="1"/>
      <c r="AT3134" s="1"/>
      <c r="AU3134" s="1"/>
      <c r="AV3134" s="1"/>
      <c r="AW3134" s="1"/>
      <c r="AX3134" s="1"/>
      <c r="AY3134" s="1" t="s">
        <v>50709</v>
      </c>
      <c r="AZ3134" s="1" t="s">
        <v>50710</v>
      </c>
      <c r="BA3134" s="1" t="s">
        <v>578</v>
      </c>
      <c r="BB3134" s="1" t="s">
        <v>467</v>
      </c>
      <c r="BC3134" s="1" t="s">
        <v>468</v>
      </c>
      <c r="BD3134" s="1" t="s">
        <v>207</v>
      </c>
      <c r="BE3134" s="1">
        <v>80.48</v>
      </c>
      <c r="BF3134" s="1">
        <v>8.79</v>
      </c>
      <c r="BG3134" s="1"/>
      <c r="BH3134" s="1"/>
      <c r="BI3134" s="1"/>
      <c r="BJ3134" s="1"/>
      <c r="BK3134" s="1"/>
      <c r="BL3134" s="1"/>
      <c r="BM3134" s="1"/>
      <c r="BN3134" s="1"/>
      <c r="BO3134" s="1" t="s">
        <v>260</v>
      </c>
      <c r="BP3134" s="1"/>
      <c r="BQ3134" s="1"/>
      <c r="BR3134" s="1"/>
      <c r="BS3134" s="1"/>
      <c r="BT3134" s="1"/>
      <c r="BU3134" s="1" t="str">
        <f>HYPERLINK("https://nconnect.nicmar.ac.in/storage/profile/6a85e4c0a7552.png","Download")</f>
        <v>0</v>
      </c>
      <c r="BV3134" s="3"/>
      <c r="BW3134" s="3"/>
    </row>
    <row r="3135" spans="1:75">
      <c r="A3135" s="1" t="s">
        <v>45201</v>
      </c>
      <c r="B3135" s="1" t="s">
        <v>13976</v>
      </c>
      <c r="C3135" s="1" t="s">
        <v>50711</v>
      </c>
      <c r="D3135" s="1" t="s">
        <v>50712</v>
      </c>
      <c r="E3135" s="1" t="s">
        <v>7638</v>
      </c>
      <c r="F3135" s="1" t="s">
        <v>30472</v>
      </c>
      <c r="G3135" s="1" t="s">
        <v>50713</v>
      </c>
      <c r="H3135" s="1" t="s">
        <v>50714</v>
      </c>
      <c r="I3135" s="1" t="s">
        <v>50715</v>
      </c>
      <c r="J3135" s="1">
        <v>9607283711</v>
      </c>
      <c r="K3135" s="1" t="s">
        <v>153</v>
      </c>
      <c r="L3135" s="1" t="s">
        <v>29944</v>
      </c>
      <c r="M3135" s="1" t="s">
        <v>86</v>
      </c>
      <c r="N3135" s="1" t="s">
        <v>50716</v>
      </c>
      <c r="O3135" s="1" t="s">
        <v>50717</v>
      </c>
      <c r="P3135" s="1" t="s">
        <v>122</v>
      </c>
      <c r="Q3135" s="1" t="s">
        <v>50718</v>
      </c>
      <c r="R3135" s="1" t="s">
        <v>50719</v>
      </c>
      <c r="S3135" s="1">
        <v>9049975946</v>
      </c>
      <c r="T3135" s="1" t="s">
        <v>50720</v>
      </c>
      <c r="U3135" s="1" t="s">
        <v>50721</v>
      </c>
      <c r="V3135" s="1">
        <v>7666541363</v>
      </c>
      <c r="W3135" s="1" t="s">
        <v>50722</v>
      </c>
      <c r="X3135" s="1" t="s">
        <v>50723</v>
      </c>
      <c r="Y3135" s="1" t="s">
        <v>6128</v>
      </c>
      <c r="Z3135" s="1" t="s">
        <v>97</v>
      </c>
      <c r="AA3135" s="1" t="s">
        <v>50723</v>
      </c>
      <c r="AB3135" s="1" t="s">
        <v>6128</v>
      </c>
      <c r="AC3135" s="1" t="s">
        <v>97</v>
      </c>
      <c r="AD3135" s="1" t="s">
        <v>98</v>
      </c>
      <c r="AE3135" s="1" t="s">
        <v>98</v>
      </c>
      <c r="AF3135" s="1" t="s">
        <v>50724</v>
      </c>
      <c r="AG3135" s="1" t="s">
        <v>50725</v>
      </c>
      <c r="AH3135" s="1" t="s">
        <v>166</v>
      </c>
      <c r="AI3135" s="1" t="s">
        <v>1111</v>
      </c>
      <c r="AJ3135" s="1">
        <v>74.4</v>
      </c>
      <c r="AK3135" s="1"/>
      <c r="AL3135" s="1" t="s">
        <v>50726</v>
      </c>
      <c r="AM3135" s="1" t="s">
        <v>50725</v>
      </c>
      <c r="AN3135" s="1" t="s">
        <v>465</v>
      </c>
      <c r="AO3135" s="1" t="s">
        <v>170</v>
      </c>
      <c r="AP3135" s="1" t="s">
        <v>1477</v>
      </c>
      <c r="AQ3135" s="1">
        <v>67.23</v>
      </c>
      <c r="AR3135" s="1"/>
      <c r="AS3135" s="1"/>
      <c r="AT3135" s="1"/>
      <c r="AU3135" s="1"/>
      <c r="AV3135" s="1"/>
      <c r="AW3135" s="1"/>
      <c r="AX3135" s="1"/>
      <c r="AY3135" s="1" t="s">
        <v>14262</v>
      </c>
      <c r="AZ3135" s="1" t="s">
        <v>50727</v>
      </c>
      <c r="BA3135" s="1" t="s">
        <v>682</v>
      </c>
      <c r="BB3135" s="1" t="s">
        <v>1561</v>
      </c>
      <c r="BC3135" s="1" t="s">
        <v>174</v>
      </c>
      <c r="BD3135" s="1" t="s">
        <v>4093</v>
      </c>
      <c r="BE3135" s="1">
        <v>63.29</v>
      </c>
      <c r="BF3135" s="1"/>
      <c r="BG3135" s="1"/>
      <c r="BH3135" s="1"/>
      <c r="BI3135" s="1"/>
      <c r="BJ3135" s="1"/>
      <c r="BK3135" s="1"/>
      <c r="BL3135" s="1"/>
      <c r="BM3135" s="1"/>
      <c r="BN3135" s="1"/>
      <c r="BO3135" s="1" t="s">
        <v>50728</v>
      </c>
      <c r="BP3135" s="1"/>
      <c r="BQ3135" s="1"/>
      <c r="BR3135" s="1" t="s">
        <v>50729</v>
      </c>
      <c r="BS3135" s="1">
        <v>21</v>
      </c>
      <c r="BT3135" s="1"/>
      <c r="BU3135" s="1" t="str">
        <f>HYPERLINK("https://nconnect.nicmar.ac.in/storage/profile/6a85f4f08aa9b.png","Download")</f>
        <v>0</v>
      </c>
      <c r="BV3135" s="3"/>
      <c r="BW3135" s="3"/>
    </row>
    <row r="3136" spans="1:75">
      <c r="A3136" s="1" t="s">
        <v>50730</v>
      </c>
      <c r="B3136" s="1" t="s">
        <v>13976</v>
      </c>
      <c r="C3136" s="1" t="s">
        <v>50731</v>
      </c>
      <c r="D3136" s="1"/>
      <c r="E3136" s="1"/>
      <c r="F3136" s="1"/>
      <c r="G3136" s="1"/>
      <c r="H3136" s="1" t="s">
        <v>50732</v>
      </c>
      <c r="I3136" s="1" t="s">
        <v>50732</v>
      </c>
      <c r="J3136" s="1"/>
      <c r="K3136" s="1"/>
      <c r="L3136" s="1"/>
      <c r="M3136" s="1"/>
      <c r="N3136" s="1"/>
      <c r="O3136" s="1"/>
      <c r="P3136" s="1"/>
      <c r="Q3136" s="1"/>
      <c r="R3136" s="1"/>
      <c r="S3136" s="1"/>
      <c r="T3136" s="1"/>
      <c r="U3136" s="1"/>
      <c r="V3136" s="1"/>
      <c r="W3136" s="1"/>
      <c r="X3136" s="1"/>
      <c r="Y3136" s="1"/>
      <c r="Z3136" s="1"/>
      <c r="AA3136" s="1"/>
      <c r="AB3136" s="1"/>
      <c r="AC3136" s="1"/>
      <c r="AD3136" s="1" t="s">
        <v>98</v>
      </c>
      <c r="AE3136" s="1" t="s">
        <v>98</v>
      </c>
      <c r="AF3136" s="1"/>
      <c r="AG3136" s="1"/>
      <c r="AH3136" s="1"/>
      <c r="AI3136" s="1"/>
      <c r="AJ3136" s="1"/>
      <c r="AK3136" s="1"/>
      <c r="AL3136" s="1"/>
      <c r="AM3136" s="1"/>
      <c r="AN3136" s="1"/>
      <c r="AO3136" s="1"/>
      <c r="AP3136" s="1"/>
      <c r="AQ3136" s="1"/>
      <c r="AR3136" s="1"/>
      <c r="AS3136" s="1"/>
      <c r="AT3136" s="1"/>
      <c r="AU3136" s="1"/>
      <c r="AV3136" s="1"/>
      <c r="AW3136" s="1"/>
      <c r="AX3136" s="1"/>
      <c r="AY3136" s="1"/>
      <c r="AZ3136" s="1"/>
      <c r="BA3136" s="1"/>
      <c r="BB3136" s="1"/>
      <c r="BC3136" s="1"/>
      <c r="BD3136" s="1"/>
      <c r="BE3136" s="1"/>
      <c r="BF3136" s="1"/>
      <c r="BG3136" s="1"/>
      <c r="BH3136" s="1"/>
      <c r="BI3136" s="1"/>
      <c r="BJ3136" s="1"/>
      <c r="BK3136" s="1"/>
      <c r="BL3136" s="1"/>
      <c r="BM3136" s="1"/>
      <c r="BN3136" s="1"/>
      <c r="BO3136" s="1"/>
      <c r="BP3136" s="1"/>
      <c r="BQ3136" s="1"/>
      <c r="BR3136" s="1"/>
      <c r="BS3136" s="1"/>
      <c r="BT3136" s="1"/>
      <c r="BU3136" s="1" t="s">
        <v>9653</v>
      </c>
      <c r="BV3136" s="3"/>
      <c r="BW3136" s="3"/>
    </row>
    <row r="3137" spans="1:75">
      <c r="A3137" s="1" t="s">
        <v>50730</v>
      </c>
      <c r="B3137" s="1" t="s">
        <v>13976</v>
      </c>
      <c r="C3137" s="1" t="s">
        <v>50733</v>
      </c>
      <c r="D3137" s="1"/>
      <c r="E3137" s="1"/>
      <c r="F3137" s="1"/>
      <c r="G3137" s="1"/>
      <c r="H3137" s="1" t="s">
        <v>50734</v>
      </c>
      <c r="I3137" s="1" t="s">
        <v>50734</v>
      </c>
      <c r="J3137" s="1"/>
      <c r="K3137" s="1"/>
      <c r="L3137" s="1"/>
      <c r="M3137" s="1"/>
      <c r="N3137" s="1"/>
      <c r="O3137" s="1"/>
      <c r="P3137" s="1"/>
      <c r="Q3137" s="1"/>
      <c r="R3137" s="1"/>
      <c r="S3137" s="1"/>
      <c r="T3137" s="1"/>
      <c r="U3137" s="1"/>
      <c r="V3137" s="1"/>
      <c r="W3137" s="1"/>
      <c r="X3137" s="1"/>
      <c r="Y3137" s="1"/>
      <c r="Z3137" s="1"/>
      <c r="AA3137" s="1"/>
      <c r="AB3137" s="1"/>
      <c r="AC3137" s="1"/>
      <c r="AD3137" s="1" t="s">
        <v>98</v>
      </c>
      <c r="AE3137" s="1" t="s">
        <v>98</v>
      </c>
      <c r="AF3137" s="1"/>
      <c r="AG3137" s="1"/>
      <c r="AH3137" s="1"/>
      <c r="AI3137" s="1"/>
      <c r="AJ3137" s="1"/>
      <c r="AK3137" s="1"/>
      <c r="AL3137" s="1"/>
      <c r="AM3137" s="1"/>
      <c r="AN3137" s="1"/>
      <c r="AO3137" s="1"/>
      <c r="AP3137" s="1"/>
      <c r="AQ3137" s="1"/>
      <c r="AR3137" s="1"/>
      <c r="AS3137" s="1"/>
      <c r="AT3137" s="1"/>
      <c r="AU3137" s="1"/>
      <c r="AV3137" s="1"/>
      <c r="AW3137" s="1"/>
      <c r="AX3137" s="1"/>
      <c r="AY3137" s="1"/>
      <c r="AZ3137" s="1"/>
      <c r="BA3137" s="1"/>
      <c r="BB3137" s="1"/>
      <c r="BC3137" s="1"/>
      <c r="BD3137" s="1"/>
      <c r="BE3137" s="1"/>
      <c r="BF3137" s="1"/>
      <c r="BG3137" s="1"/>
      <c r="BH3137" s="1"/>
      <c r="BI3137" s="1"/>
      <c r="BJ3137" s="1"/>
      <c r="BK3137" s="1"/>
      <c r="BL3137" s="1"/>
      <c r="BM3137" s="1"/>
      <c r="BN3137" s="1"/>
      <c r="BO3137" s="1"/>
      <c r="BP3137" s="1"/>
      <c r="BQ3137" s="1"/>
      <c r="BR3137" s="1"/>
      <c r="BS3137" s="1"/>
      <c r="BT3137" s="1"/>
      <c r="BU3137" s="1" t="s">
        <v>9653</v>
      </c>
      <c r="BV3137" s="3"/>
      <c r="BW3137" s="3"/>
    </row>
    <row r="3138" spans="1:75">
      <c r="A3138" s="1" t="s">
        <v>50730</v>
      </c>
      <c r="B3138" s="1" t="s">
        <v>13976</v>
      </c>
      <c r="C3138" s="1" t="s">
        <v>50735</v>
      </c>
      <c r="D3138" s="1"/>
      <c r="E3138" s="1"/>
      <c r="F3138" s="1"/>
      <c r="G3138" s="1"/>
      <c r="H3138" s="1" t="s">
        <v>50736</v>
      </c>
      <c r="I3138" s="1" t="s">
        <v>50736</v>
      </c>
      <c r="J3138" s="1"/>
      <c r="K3138" s="1"/>
      <c r="L3138" s="1"/>
      <c r="M3138" s="1"/>
      <c r="N3138" s="1"/>
      <c r="O3138" s="1"/>
      <c r="P3138" s="1"/>
      <c r="Q3138" s="1"/>
      <c r="R3138" s="1"/>
      <c r="S3138" s="1"/>
      <c r="T3138" s="1"/>
      <c r="U3138" s="1"/>
      <c r="V3138" s="1"/>
      <c r="W3138" s="1"/>
      <c r="X3138" s="1"/>
      <c r="Y3138" s="1"/>
      <c r="Z3138" s="1"/>
      <c r="AA3138" s="1"/>
      <c r="AB3138" s="1"/>
      <c r="AC3138" s="1"/>
      <c r="AD3138" s="1" t="s">
        <v>98</v>
      </c>
      <c r="AE3138" s="1" t="s">
        <v>98</v>
      </c>
      <c r="AF3138" s="1"/>
      <c r="AG3138" s="1"/>
      <c r="AH3138" s="1"/>
      <c r="AI3138" s="1"/>
      <c r="AJ3138" s="1"/>
      <c r="AK3138" s="1"/>
      <c r="AL3138" s="1"/>
      <c r="AM3138" s="1"/>
      <c r="AN3138" s="1"/>
      <c r="AO3138" s="1"/>
      <c r="AP3138" s="1"/>
      <c r="AQ3138" s="1"/>
      <c r="AR3138" s="1"/>
      <c r="AS3138" s="1"/>
      <c r="AT3138" s="1"/>
      <c r="AU3138" s="1"/>
      <c r="AV3138" s="1"/>
      <c r="AW3138" s="1"/>
      <c r="AX3138" s="1"/>
      <c r="AY3138" s="1"/>
      <c r="AZ3138" s="1"/>
      <c r="BA3138" s="1"/>
      <c r="BB3138" s="1"/>
      <c r="BC3138" s="1"/>
      <c r="BD3138" s="1"/>
      <c r="BE3138" s="1"/>
      <c r="BF3138" s="1"/>
      <c r="BG3138" s="1"/>
      <c r="BH3138" s="1"/>
      <c r="BI3138" s="1"/>
      <c r="BJ3138" s="1"/>
      <c r="BK3138" s="1"/>
      <c r="BL3138" s="1"/>
      <c r="BM3138" s="1"/>
      <c r="BN3138" s="1"/>
      <c r="BO3138" s="1"/>
      <c r="BP3138" s="1"/>
      <c r="BQ3138" s="1"/>
      <c r="BR3138" s="1"/>
      <c r="BS3138" s="1"/>
      <c r="BT3138" s="1"/>
      <c r="BU3138" s="1" t="s">
        <v>9653</v>
      </c>
      <c r="BV3138" s="3"/>
      <c r="BW3138" s="3"/>
    </row>
    <row r="3139" spans="1:75">
      <c r="A3139" s="1" t="s">
        <v>50730</v>
      </c>
      <c r="B3139" s="1" t="s">
        <v>13976</v>
      </c>
      <c r="C3139" s="1" t="s">
        <v>50737</v>
      </c>
      <c r="D3139" s="1"/>
      <c r="E3139" s="1"/>
      <c r="F3139" s="1"/>
      <c r="G3139" s="1"/>
      <c r="H3139" s="1" t="s">
        <v>50738</v>
      </c>
      <c r="I3139" s="1" t="s">
        <v>50738</v>
      </c>
      <c r="J3139" s="1"/>
      <c r="K3139" s="1"/>
      <c r="L3139" s="1"/>
      <c r="M3139" s="1"/>
      <c r="N3139" s="1"/>
      <c r="O3139" s="1"/>
      <c r="P3139" s="1"/>
      <c r="Q3139" s="1"/>
      <c r="R3139" s="1"/>
      <c r="S3139" s="1"/>
      <c r="T3139" s="1"/>
      <c r="U3139" s="1"/>
      <c r="V3139" s="1"/>
      <c r="W3139" s="1"/>
      <c r="X3139" s="1"/>
      <c r="Y3139" s="1"/>
      <c r="Z3139" s="1"/>
      <c r="AA3139" s="1"/>
      <c r="AB3139" s="1"/>
      <c r="AC3139" s="1"/>
      <c r="AD3139" s="1" t="s">
        <v>98</v>
      </c>
      <c r="AE3139" s="1" t="s">
        <v>98</v>
      </c>
      <c r="AF3139" s="1"/>
      <c r="AG3139" s="1"/>
      <c r="AH3139" s="1"/>
      <c r="AI3139" s="1"/>
      <c r="AJ3139" s="1"/>
      <c r="AK3139" s="1"/>
      <c r="AL3139" s="1"/>
      <c r="AM3139" s="1"/>
      <c r="AN3139" s="1"/>
      <c r="AO3139" s="1"/>
      <c r="AP3139" s="1"/>
      <c r="AQ3139" s="1"/>
      <c r="AR3139" s="1"/>
      <c r="AS3139" s="1"/>
      <c r="AT3139" s="1"/>
      <c r="AU3139" s="1"/>
      <c r="AV3139" s="1"/>
      <c r="AW3139" s="1"/>
      <c r="AX3139" s="1"/>
      <c r="AY3139" s="1"/>
      <c r="AZ3139" s="1"/>
      <c r="BA3139" s="1"/>
      <c r="BB3139" s="1"/>
      <c r="BC3139" s="1"/>
      <c r="BD3139" s="1"/>
      <c r="BE3139" s="1"/>
      <c r="BF3139" s="1"/>
      <c r="BG3139" s="1"/>
      <c r="BH3139" s="1"/>
      <c r="BI3139" s="1"/>
      <c r="BJ3139" s="1"/>
      <c r="BK3139" s="1"/>
      <c r="BL3139" s="1"/>
      <c r="BM3139" s="1"/>
      <c r="BN3139" s="1"/>
      <c r="BO3139" s="1"/>
      <c r="BP3139" s="1"/>
      <c r="BQ3139" s="1"/>
      <c r="BR3139" s="1"/>
      <c r="BS3139" s="1"/>
      <c r="BT3139" s="1"/>
      <c r="BU3139" s="1" t="s">
        <v>9653</v>
      </c>
      <c r="BV3139" s="3"/>
      <c r="BW3139" s="3"/>
    </row>
    <row r="3140" spans="1:75">
      <c r="A3140" s="1" t="s">
        <v>50730</v>
      </c>
      <c r="B3140" s="1" t="s">
        <v>13976</v>
      </c>
      <c r="C3140" s="1" t="s">
        <v>50739</v>
      </c>
      <c r="D3140" s="1"/>
      <c r="E3140" s="1"/>
      <c r="F3140" s="1"/>
      <c r="G3140" s="1"/>
      <c r="H3140" s="1" t="s">
        <v>50740</v>
      </c>
      <c r="I3140" s="1" t="s">
        <v>50740</v>
      </c>
      <c r="J3140" s="1"/>
      <c r="K3140" s="1"/>
      <c r="L3140" s="1"/>
      <c r="M3140" s="1"/>
      <c r="N3140" s="1"/>
      <c r="O3140" s="1"/>
      <c r="P3140" s="1"/>
      <c r="Q3140" s="1"/>
      <c r="R3140" s="1"/>
      <c r="S3140" s="1"/>
      <c r="T3140" s="1"/>
      <c r="U3140" s="1"/>
      <c r="V3140" s="1"/>
      <c r="W3140" s="1"/>
      <c r="X3140" s="1"/>
      <c r="Y3140" s="1"/>
      <c r="Z3140" s="1"/>
      <c r="AA3140" s="1"/>
      <c r="AB3140" s="1"/>
      <c r="AC3140" s="1"/>
      <c r="AD3140" s="1" t="s">
        <v>98</v>
      </c>
      <c r="AE3140" s="1" t="s">
        <v>98</v>
      </c>
      <c r="AF3140" s="1"/>
      <c r="AG3140" s="1"/>
      <c r="AH3140" s="1"/>
      <c r="AI3140" s="1"/>
      <c r="AJ3140" s="1"/>
      <c r="AK3140" s="1"/>
      <c r="AL3140" s="1"/>
      <c r="AM3140" s="1"/>
      <c r="AN3140" s="1"/>
      <c r="AO3140" s="1"/>
      <c r="AP3140" s="1"/>
      <c r="AQ3140" s="1"/>
      <c r="AR3140" s="1"/>
      <c r="AS3140" s="1"/>
      <c r="AT3140" s="1"/>
      <c r="AU3140" s="1"/>
      <c r="AV3140" s="1"/>
      <c r="AW3140" s="1"/>
      <c r="AX3140" s="1"/>
      <c r="AY3140" s="1"/>
      <c r="AZ3140" s="1"/>
      <c r="BA3140" s="1"/>
      <c r="BB3140" s="1"/>
      <c r="BC3140" s="1"/>
      <c r="BD3140" s="1"/>
      <c r="BE3140" s="1"/>
      <c r="BF3140" s="1"/>
      <c r="BG3140" s="1"/>
      <c r="BH3140" s="1"/>
      <c r="BI3140" s="1"/>
      <c r="BJ3140" s="1"/>
      <c r="BK3140" s="1"/>
      <c r="BL3140" s="1"/>
      <c r="BM3140" s="1"/>
      <c r="BN3140" s="1"/>
      <c r="BO3140" s="1"/>
      <c r="BP3140" s="1"/>
      <c r="BQ3140" s="1"/>
      <c r="BR3140" s="1"/>
      <c r="BS3140" s="1"/>
      <c r="BT3140" s="1"/>
      <c r="BU3140" s="1" t="s">
        <v>9653</v>
      </c>
      <c r="BV3140" s="3"/>
      <c r="BW3140" s="3"/>
    </row>
    <row r="3141" spans="1:75">
      <c r="A3141" s="1" t="s">
        <v>50730</v>
      </c>
      <c r="B3141" s="1" t="s">
        <v>13976</v>
      </c>
      <c r="C3141" s="1" t="s">
        <v>50741</v>
      </c>
      <c r="D3141" s="1"/>
      <c r="E3141" s="1"/>
      <c r="F3141" s="1"/>
      <c r="G3141" s="1"/>
      <c r="H3141" s="1" t="s">
        <v>50742</v>
      </c>
      <c r="I3141" s="1" t="s">
        <v>50742</v>
      </c>
      <c r="J3141" s="1"/>
      <c r="K3141" s="1"/>
      <c r="L3141" s="1"/>
      <c r="M3141" s="1"/>
      <c r="N3141" s="1"/>
      <c r="O3141" s="1"/>
      <c r="P3141" s="1"/>
      <c r="Q3141" s="1"/>
      <c r="R3141" s="1"/>
      <c r="S3141" s="1"/>
      <c r="T3141" s="1"/>
      <c r="U3141" s="1"/>
      <c r="V3141" s="1"/>
      <c r="W3141" s="1"/>
      <c r="X3141" s="1"/>
      <c r="Y3141" s="1"/>
      <c r="Z3141" s="1"/>
      <c r="AA3141" s="1"/>
      <c r="AB3141" s="1"/>
      <c r="AC3141" s="1"/>
      <c r="AD3141" s="1" t="s">
        <v>98</v>
      </c>
      <c r="AE3141" s="1" t="s">
        <v>98</v>
      </c>
      <c r="AF3141" s="1"/>
      <c r="AG3141" s="1"/>
      <c r="AH3141" s="1"/>
      <c r="AI3141" s="1"/>
      <c r="AJ3141" s="1"/>
      <c r="AK3141" s="1"/>
      <c r="AL3141" s="1"/>
      <c r="AM3141" s="1"/>
      <c r="AN3141" s="1"/>
      <c r="AO3141" s="1"/>
      <c r="AP3141" s="1"/>
      <c r="AQ3141" s="1"/>
      <c r="AR3141" s="1"/>
      <c r="AS3141" s="1"/>
      <c r="AT3141" s="1"/>
      <c r="AU3141" s="1"/>
      <c r="AV3141" s="1"/>
      <c r="AW3141" s="1"/>
      <c r="AX3141" s="1"/>
      <c r="AY3141" s="1"/>
      <c r="AZ3141" s="1"/>
      <c r="BA3141" s="1"/>
      <c r="BB3141" s="1"/>
      <c r="BC3141" s="1"/>
      <c r="BD3141" s="1"/>
      <c r="BE3141" s="1"/>
      <c r="BF3141" s="1"/>
      <c r="BG3141" s="1"/>
      <c r="BH3141" s="1"/>
      <c r="BI3141" s="1"/>
      <c r="BJ3141" s="1"/>
      <c r="BK3141" s="1"/>
      <c r="BL3141" s="1"/>
      <c r="BM3141" s="1"/>
      <c r="BN3141" s="1"/>
      <c r="BO3141" s="1"/>
      <c r="BP3141" s="1"/>
      <c r="BQ3141" s="1"/>
      <c r="BR3141" s="1"/>
      <c r="BS3141" s="1"/>
      <c r="BT3141" s="1"/>
      <c r="BU3141" s="1" t="s">
        <v>9653</v>
      </c>
      <c r="BV3141" s="3"/>
      <c r="BW3141" s="3"/>
    </row>
    <row r="3142" spans="1:75">
      <c r="A3142" s="1" t="s">
        <v>50730</v>
      </c>
      <c r="B3142" s="1" t="s">
        <v>13976</v>
      </c>
      <c r="C3142" s="1" t="s">
        <v>50743</v>
      </c>
      <c r="D3142" s="1"/>
      <c r="E3142" s="1"/>
      <c r="F3142" s="1"/>
      <c r="G3142" s="1"/>
      <c r="H3142" s="1" t="s">
        <v>50744</v>
      </c>
      <c r="I3142" s="1" t="s">
        <v>50744</v>
      </c>
      <c r="J3142" s="1"/>
      <c r="K3142" s="1"/>
      <c r="L3142" s="1"/>
      <c r="M3142" s="1"/>
      <c r="N3142" s="1"/>
      <c r="O3142" s="1"/>
      <c r="P3142" s="1"/>
      <c r="Q3142" s="1"/>
      <c r="R3142" s="1"/>
      <c r="S3142" s="1"/>
      <c r="T3142" s="1"/>
      <c r="U3142" s="1"/>
      <c r="V3142" s="1"/>
      <c r="W3142" s="1"/>
      <c r="X3142" s="1"/>
      <c r="Y3142" s="1"/>
      <c r="Z3142" s="1"/>
      <c r="AA3142" s="1"/>
      <c r="AB3142" s="1"/>
      <c r="AC3142" s="1"/>
      <c r="AD3142" s="1" t="s">
        <v>98</v>
      </c>
      <c r="AE3142" s="1" t="s">
        <v>98</v>
      </c>
      <c r="AF3142" s="1"/>
      <c r="AG3142" s="1"/>
      <c r="AH3142" s="1"/>
      <c r="AI3142" s="1"/>
      <c r="AJ3142" s="1"/>
      <c r="AK3142" s="1"/>
      <c r="AL3142" s="1"/>
      <c r="AM3142" s="1"/>
      <c r="AN3142" s="1"/>
      <c r="AO3142" s="1"/>
      <c r="AP3142" s="1"/>
      <c r="AQ3142" s="1"/>
      <c r="AR3142" s="1"/>
      <c r="AS3142" s="1"/>
      <c r="AT3142" s="1"/>
      <c r="AU3142" s="1"/>
      <c r="AV3142" s="1"/>
      <c r="AW3142" s="1"/>
      <c r="AX3142" s="1"/>
      <c r="AY3142" s="1"/>
      <c r="AZ3142" s="1"/>
      <c r="BA3142" s="1"/>
      <c r="BB3142" s="1"/>
      <c r="BC3142" s="1"/>
      <c r="BD3142" s="1"/>
      <c r="BE3142" s="1"/>
      <c r="BF3142" s="1"/>
      <c r="BG3142" s="1"/>
      <c r="BH3142" s="1"/>
      <c r="BI3142" s="1"/>
      <c r="BJ3142" s="1"/>
      <c r="BK3142" s="1"/>
      <c r="BL3142" s="1"/>
      <c r="BM3142" s="1"/>
      <c r="BN3142" s="1"/>
      <c r="BO3142" s="1"/>
      <c r="BP3142" s="1"/>
      <c r="BQ3142" s="1"/>
      <c r="BR3142" s="1"/>
      <c r="BS3142" s="1"/>
      <c r="BT3142" s="1"/>
      <c r="BU3142" s="1" t="s">
        <v>9653</v>
      </c>
      <c r="BV3142" s="3"/>
      <c r="BW3142" s="3"/>
    </row>
    <row r="3143" spans="1:75">
      <c r="A3143" s="1" t="s">
        <v>50745</v>
      </c>
      <c r="B3143" s="1" t="s">
        <v>50746</v>
      </c>
      <c r="C3143" s="1" t="s">
        <v>50747</v>
      </c>
      <c r="D3143" s="1"/>
      <c r="E3143" s="1"/>
      <c r="F3143" s="1"/>
      <c r="G3143" s="1"/>
      <c r="H3143" s="1" t="s">
        <v>50748</v>
      </c>
      <c r="I3143" s="1" t="s">
        <v>50748</v>
      </c>
      <c r="J3143" s="1"/>
      <c r="K3143" s="1"/>
      <c r="L3143" s="1"/>
      <c r="M3143" s="1"/>
      <c r="N3143" s="1"/>
      <c r="O3143" s="1"/>
      <c r="P3143" s="1"/>
      <c r="Q3143" s="1"/>
      <c r="R3143" s="1"/>
      <c r="S3143" s="1"/>
      <c r="T3143" s="1"/>
      <c r="U3143" s="1"/>
      <c r="V3143" s="1"/>
      <c r="W3143" s="1"/>
      <c r="X3143" s="1"/>
      <c r="Y3143" s="1"/>
      <c r="Z3143" s="1"/>
      <c r="AA3143" s="1"/>
      <c r="AB3143" s="1"/>
      <c r="AC3143" s="1"/>
      <c r="AD3143" s="1" t="s">
        <v>98</v>
      </c>
      <c r="AE3143" s="1" t="s">
        <v>98</v>
      </c>
      <c r="AF3143" s="1"/>
      <c r="AG3143" s="1"/>
      <c r="AH3143" s="1"/>
      <c r="AI3143" s="1"/>
      <c r="AJ3143" s="1"/>
      <c r="AK3143" s="1"/>
      <c r="AL3143" s="1"/>
      <c r="AM3143" s="1"/>
      <c r="AN3143" s="1"/>
      <c r="AO3143" s="1"/>
      <c r="AP3143" s="1"/>
      <c r="AQ3143" s="1"/>
      <c r="AR3143" s="1"/>
      <c r="AS3143" s="1"/>
      <c r="AT3143" s="1"/>
      <c r="AU3143" s="1"/>
      <c r="AV3143" s="1"/>
      <c r="AW3143" s="1"/>
      <c r="AX3143" s="1"/>
      <c r="AY3143" s="1"/>
      <c r="AZ3143" s="1"/>
      <c r="BA3143" s="1"/>
      <c r="BB3143" s="1"/>
      <c r="BC3143" s="1"/>
      <c r="BD3143" s="1"/>
      <c r="BE3143" s="1"/>
      <c r="BF3143" s="1"/>
      <c r="BG3143" s="1"/>
      <c r="BH3143" s="1"/>
      <c r="BI3143" s="1"/>
      <c r="BJ3143" s="1"/>
      <c r="BK3143" s="1"/>
      <c r="BL3143" s="1"/>
      <c r="BM3143" s="1"/>
      <c r="BN3143" s="1"/>
      <c r="BO3143" s="1"/>
      <c r="BP3143" s="1"/>
      <c r="BQ3143" s="1"/>
      <c r="BR3143" s="1"/>
      <c r="BS3143" s="1"/>
      <c r="BT3143" s="1"/>
      <c r="BU3143" s="1" t="s">
        <v>9653</v>
      </c>
      <c r="BV3143" s="3"/>
      <c r="BW3143" s="3"/>
    </row>
    <row r="3144" spans="1:75">
      <c r="A3144" s="1" t="s">
        <v>50745</v>
      </c>
      <c r="B3144" s="1" t="s">
        <v>50746</v>
      </c>
      <c r="C3144" s="1" t="s">
        <v>50749</v>
      </c>
      <c r="D3144" s="1"/>
      <c r="E3144" s="1"/>
      <c r="F3144" s="1"/>
      <c r="G3144" s="1"/>
      <c r="H3144" s="1" t="s">
        <v>50750</v>
      </c>
      <c r="I3144" s="1" t="s">
        <v>50750</v>
      </c>
      <c r="J3144" s="1"/>
      <c r="K3144" s="1"/>
      <c r="L3144" s="1"/>
      <c r="M3144" s="1"/>
      <c r="N3144" s="1"/>
      <c r="O3144" s="1"/>
      <c r="P3144" s="1"/>
      <c r="Q3144" s="1"/>
      <c r="R3144" s="1"/>
      <c r="S3144" s="1"/>
      <c r="T3144" s="1"/>
      <c r="U3144" s="1"/>
      <c r="V3144" s="1"/>
      <c r="W3144" s="1"/>
      <c r="X3144" s="1"/>
      <c r="Y3144" s="1"/>
      <c r="Z3144" s="1"/>
      <c r="AA3144" s="1"/>
      <c r="AB3144" s="1"/>
      <c r="AC3144" s="1"/>
      <c r="AD3144" s="1" t="s">
        <v>98</v>
      </c>
      <c r="AE3144" s="1" t="s">
        <v>98</v>
      </c>
      <c r="AF3144" s="1"/>
      <c r="AG3144" s="1"/>
      <c r="AH3144" s="1"/>
      <c r="AI3144" s="1"/>
      <c r="AJ3144" s="1"/>
      <c r="AK3144" s="1"/>
      <c r="AL3144" s="1"/>
      <c r="AM3144" s="1"/>
      <c r="AN3144" s="1"/>
      <c r="AO3144" s="1"/>
      <c r="AP3144" s="1"/>
      <c r="AQ3144" s="1"/>
      <c r="AR3144" s="1"/>
      <c r="AS3144" s="1"/>
      <c r="AT3144" s="1"/>
      <c r="AU3144" s="1"/>
      <c r="AV3144" s="1"/>
      <c r="AW3144" s="1"/>
      <c r="AX3144" s="1"/>
      <c r="AY3144" s="1"/>
      <c r="AZ3144" s="1"/>
      <c r="BA3144" s="1"/>
      <c r="BB3144" s="1"/>
      <c r="BC3144" s="1"/>
      <c r="BD3144" s="1"/>
      <c r="BE3144" s="1"/>
      <c r="BF3144" s="1"/>
      <c r="BG3144" s="1"/>
      <c r="BH3144" s="1"/>
      <c r="BI3144" s="1"/>
      <c r="BJ3144" s="1"/>
      <c r="BK3144" s="1"/>
      <c r="BL3144" s="1"/>
      <c r="BM3144" s="1"/>
      <c r="BN3144" s="1"/>
      <c r="BO3144" s="1"/>
      <c r="BP3144" s="1"/>
      <c r="BQ3144" s="1"/>
      <c r="BR3144" s="1"/>
      <c r="BS3144" s="1"/>
      <c r="BT3144" s="1"/>
      <c r="BU3144" s="1" t="s">
        <v>9653</v>
      </c>
      <c r="BV3144" s="3"/>
      <c r="BW3144" s="3"/>
    </row>
    <row r="3145" spans="1:75">
      <c r="A3145" s="1" t="s">
        <v>50745</v>
      </c>
      <c r="B3145" s="1" t="s">
        <v>50746</v>
      </c>
      <c r="C3145" s="1" t="s">
        <v>50751</v>
      </c>
      <c r="D3145" s="1"/>
      <c r="E3145" s="1"/>
      <c r="F3145" s="1"/>
      <c r="G3145" s="1"/>
      <c r="H3145" s="1" t="s">
        <v>50752</v>
      </c>
      <c r="I3145" s="1" t="s">
        <v>50752</v>
      </c>
      <c r="J3145" s="1"/>
      <c r="K3145" s="1"/>
      <c r="L3145" s="1"/>
      <c r="M3145" s="1"/>
      <c r="N3145" s="1"/>
      <c r="O3145" s="1"/>
      <c r="P3145" s="1"/>
      <c r="Q3145" s="1"/>
      <c r="R3145" s="1"/>
      <c r="S3145" s="1"/>
      <c r="T3145" s="1"/>
      <c r="U3145" s="1"/>
      <c r="V3145" s="1"/>
      <c r="W3145" s="1"/>
      <c r="X3145" s="1"/>
      <c r="Y3145" s="1"/>
      <c r="Z3145" s="1"/>
      <c r="AA3145" s="1"/>
      <c r="AB3145" s="1"/>
      <c r="AC3145" s="1"/>
      <c r="AD3145" s="1" t="s">
        <v>98</v>
      </c>
      <c r="AE3145" s="1" t="s">
        <v>98</v>
      </c>
      <c r="AF3145" s="1"/>
      <c r="AG3145" s="1"/>
      <c r="AH3145" s="1"/>
      <c r="AI3145" s="1"/>
      <c r="AJ3145" s="1"/>
      <c r="AK3145" s="1"/>
      <c r="AL3145" s="1"/>
      <c r="AM3145" s="1"/>
      <c r="AN3145" s="1"/>
      <c r="AO3145" s="1"/>
      <c r="AP3145" s="1"/>
      <c r="AQ3145" s="1"/>
      <c r="AR3145" s="1"/>
      <c r="AS3145" s="1"/>
      <c r="AT3145" s="1"/>
      <c r="AU3145" s="1"/>
      <c r="AV3145" s="1"/>
      <c r="AW3145" s="1"/>
      <c r="AX3145" s="1"/>
      <c r="AY3145" s="1"/>
      <c r="AZ3145" s="1"/>
      <c r="BA3145" s="1"/>
      <c r="BB3145" s="1"/>
      <c r="BC3145" s="1"/>
      <c r="BD3145" s="1"/>
      <c r="BE3145" s="1"/>
      <c r="BF3145" s="1"/>
      <c r="BG3145" s="1"/>
      <c r="BH3145" s="1"/>
      <c r="BI3145" s="1"/>
      <c r="BJ3145" s="1"/>
      <c r="BK3145" s="1"/>
      <c r="BL3145" s="1"/>
      <c r="BM3145" s="1"/>
      <c r="BN3145" s="1"/>
      <c r="BO3145" s="1"/>
      <c r="BP3145" s="1"/>
      <c r="BQ3145" s="1"/>
      <c r="BR3145" s="1"/>
      <c r="BS3145" s="1"/>
      <c r="BT3145" s="1"/>
      <c r="BU3145" s="1" t="s">
        <v>9653</v>
      </c>
      <c r="BV3145" s="3"/>
      <c r="BW3145" s="3"/>
    </row>
    <row r="3146" spans="1:75">
      <c r="A3146" s="1" t="s">
        <v>50745</v>
      </c>
      <c r="B3146" s="1" t="s">
        <v>50746</v>
      </c>
      <c r="C3146" s="1" t="s">
        <v>50753</v>
      </c>
      <c r="D3146" s="1"/>
      <c r="E3146" s="1"/>
      <c r="F3146" s="1"/>
      <c r="G3146" s="1"/>
      <c r="H3146" s="1" t="s">
        <v>50754</v>
      </c>
      <c r="I3146" s="1" t="s">
        <v>50754</v>
      </c>
      <c r="J3146" s="1"/>
      <c r="K3146" s="1"/>
      <c r="L3146" s="1"/>
      <c r="M3146" s="1"/>
      <c r="N3146" s="1"/>
      <c r="O3146" s="1"/>
      <c r="P3146" s="1"/>
      <c r="Q3146" s="1"/>
      <c r="R3146" s="1"/>
      <c r="S3146" s="1"/>
      <c r="T3146" s="1"/>
      <c r="U3146" s="1"/>
      <c r="V3146" s="1"/>
      <c r="W3146" s="1"/>
      <c r="X3146" s="1"/>
      <c r="Y3146" s="1"/>
      <c r="Z3146" s="1"/>
      <c r="AA3146" s="1"/>
      <c r="AB3146" s="1"/>
      <c r="AC3146" s="1"/>
      <c r="AD3146" s="1" t="s">
        <v>98</v>
      </c>
      <c r="AE3146" s="1" t="s">
        <v>98</v>
      </c>
      <c r="AF3146" s="1"/>
      <c r="AG3146" s="1"/>
      <c r="AH3146" s="1"/>
      <c r="AI3146" s="1"/>
      <c r="AJ3146" s="1"/>
      <c r="AK3146" s="1"/>
      <c r="AL3146" s="1"/>
      <c r="AM3146" s="1"/>
      <c r="AN3146" s="1"/>
      <c r="AO3146" s="1"/>
      <c r="AP3146" s="1"/>
      <c r="AQ3146" s="1"/>
      <c r="AR3146" s="1"/>
      <c r="AS3146" s="1"/>
      <c r="AT3146" s="1"/>
      <c r="AU3146" s="1"/>
      <c r="AV3146" s="1"/>
      <c r="AW3146" s="1"/>
      <c r="AX3146" s="1"/>
      <c r="AY3146" s="1"/>
      <c r="AZ3146" s="1"/>
      <c r="BA3146" s="1"/>
      <c r="BB3146" s="1"/>
      <c r="BC3146" s="1"/>
      <c r="BD3146" s="1"/>
      <c r="BE3146" s="1"/>
      <c r="BF3146" s="1"/>
      <c r="BG3146" s="1"/>
      <c r="BH3146" s="1"/>
      <c r="BI3146" s="1"/>
      <c r="BJ3146" s="1"/>
      <c r="BK3146" s="1"/>
      <c r="BL3146" s="1"/>
      <c r="BM3146" s="1"/>
      <c r="BN3146" s="1"/>
      <c r="BO3146" s="1"/>
      <c r="BP3146" s="1"/>
      <c r="BQ3146" s="1"/>
      <c r="BR3146" s="1"/>
      <c r="BS3146" s="1"/>
      <c r="BT3146" s="1"/>
      <c r="BU3146" s="1" t="s">
        <v>9653</v>
      </c>
      <c r="BV3146" s="3"/>
      <c r="BW3146" s="3"/>
    </row>
    <row r="3147" spans="1:75">
      <c r="A3147" s="1" t="s">
        <v>50745</v>
      </c>
      <c r="B3147" s="1" t="s">
        <v>50746</v>
      </c>
      <c r="C3147" s="1" t="s">
        <v>50755</v>
      </c>
      <c r="D3147" s="1" t="s">
        <v>18800</v>
      </c>
      <c r="E3147" s="1" t="s">
        <v>15995</v>
      </c>
      <c r="F3147" s="1" t="s">
        <v>50756</v>
      </c>
      <c r="G3147" s="1" t="s">
        <v>50757</v>
      </c>
      <c r="H3147" s="1" t="s">
        <v>50758</v>
      </c>
      <c r="I3147" s="1" t="s">
        <v>50759</v>
      </c>
      <c r="J3147" s="1">
        <v>9096006988</v>
      </c>
      <c r="K3147" s="1" t="s">
        <v>84</v>
      </c>
      <c r="L3147" s="1" t="s">
        <v>50760</v>
      </c>
      <c r="M3147" s="1" t="s">
        <v>86</v>
      </c>
      <c r="N3147" s="1" t="s">
        <v>5472</v>
      </c>
      <c r="O3147" s="1" t="s">
        <v>50761</v>
      </c>
      <c r="P3147" s="1" t="s">
        <v>122</v>
      </c>
      <c r="Q3147" s="1">
        <v>893524366781</v>
      </c>
      <c r="R3147" s="1" t="s">
        <v>50762</v>
      </c>
      <c r="S3147" s="1">
        <v>8805017042</v>
      </c>
      <c r="T3147" s="1" t="s">
        <v>14800</v>
      </c>
      <c r="U3147" s="1" t="s">
        <v>50763</v>
      </c>
      <c r="V3147" s="1">
        <v>8805017033</v>
      </c>
      <c r="W3147" s="1" t="s">
        <v>14212</v>
      </c>
      <c r="X3147" s="1" t="s">
        <v>50764</v>
      </c>
      <c r="Y3147" s="1" t="s">
        <v>196</v>
      </c>
      <c r="Z3147" s="1" t="s">
        <v>97</v>
      </c>
      <c r="AA3147" s="1" t="s">
        <v>50764</v>
      </c>
      <c r="AB3147" s="1" t="s">
        <v>196</v>
      </c>
      <c r="AC3147" s="1" t="s">
        <v>97</v>
      </c>
      <c r="AD3147" s="1" t="s">
        <v>98</v>
      </c>
      <c r="AE3147" s="1" t="s">
        <v>98</v>
      </c>
      <c r="AF3147" s="1" t="s">
        <v>50765</v>
      </c>
      <c r="AG3147" s="1" t="s">
        <v>50386</v>
      </c>
      <c r="AH3147" s="1" t="s">
        <v>3285</v>
      </c>
      <c r="AI3147" s="1" t="s">
        <v>441</v>
      </c>
      <c r="AJ3147" s="1">
        <v>92.8</v>
      </c>
      <c r="AK3147" s="1">
        <v>9.5</v>
      </c>
      <c r="AL3147" s="1" t="s">
        <v>50766</v>
      </c>
      <c r="AM3147" s="1" t="s">
        <v>16528</v>
      </c>
      <c r="AN3147" s="1" t="s">
        <v>465</v>
      </c>
      <c r="AO3147" s="1" t="s">
        <v>289</v>
      </c>
      <c r="AP3147" s="1" t="s">
        <v>40088</v>
      </c>
      <c r="AQ3147" s="1">
        <v>64.83</v>
      </c>
      <c r="AR3147" s="1">
        <v>6.82</v>
      </c>
      <c r="AS3147" s="1"/>
      <c r="AT3147" s="1"/>
      <c r="AU3147" s="1"/>
      <c r="AV3147" s="1"/>
      <c r="AW3147" s="1"/>
      <c r="AX3147" s="1"/>
      <c r="AY3147" s="1" t="s">
        <v>50767</v>
      </c>
      <c r="AZ3147" s="1" t="s">
        <v>50767</v>
      </c>
      <c r="BA3147" s="1" t="s">
        <v>466</v>
      </c>
      <c r="BB3147" s="1" t="s">
        <v>467</v>
      </c>
      <c r="BC3147" s="1" t="s">
        <v>391</v>
      </c>
      <c r="BD3147" s="1" t="s">
        <v>50768</v>
      </c>
      <c r="BE3147" s="1">
        <v>89.21</v>
      </c>
      <c r="BF3147" s="1">
        <v>9.39</v>
      </c>
      <c r="BG3147" s="1"/>
      <c r="BH3147" s="1"/>
      <c r="BI3147" s="1"/>
      <c r="BJ3147" s="1"/>
      <c r="BK3147" s="1"/>
      <c r="BL3147" s="1"/>
      <c r="BM3147" s="1"/>
      <c r="BN3147" s="1"/>
      <c r="BO3147" s="1" t="s">
        <v>50769</v>
      </c>
      <c r="BP3147" s="1"/>
      <c r="BQ3147" s="1"/>
      <c r="BR3147" s="1" t="s">
        <v>50770</v>
      </c>
      <c r="BS3147" s="1">
        <v>6</v>
      </c>
      <c r="BT3147" s="1" t="s">
        <v>50771</v>
      </c>
      <c r="BU3147" s="1" t="str">
        <f>HYPERLINK("https://nconnect.nicmar.ac.in/storage/profile/6a85d26c33eb8.png","Download")</f>
        <v>0</v>
      </c>
      <c r="BV3147" s="3"/>
      <c r="BW3147" s="3"/>
    </row>
    <row r="3148" spans="1:75">
      <c r="A3148" s="1" t="s">
        <v>50745</v>
      </c>
      <c r="B3148" s="1" t="s">
        <v>50746</v>
      </c>
      <c r="C3148" s="1" t="s">
        <v>50772</v>
      </c>
      <c r="D3148" s="1"/>
      <c r="E3148" s="1"/>
      <c r="F3148" s="1"/>
      <c r="G3148" s="1"/>
      <c r="H3148" s="1" t="s">
        <v>50773</v>
      </c>
      <c r="I3148" s="1" t="s">
        <v>50773</v>
      </c>
      <c r="J3148" s="1"/>
      <c r="K3148" s="1"/>
      <c r="L3148" s="1"/>
      <c r="M3148" s="1"/>
      <c r="N3148" s="1"/>
      <c r="O3148" s="1"/>
      <c r="P3148" s="1"/>
      <c r="Q3148" s="1"/>
      <c r="R3148" s="1"/>
      <c r="S3148" s="1"/>
      <c r="T3148" s="1"/>
      <c r="U3148" s="1"/>
      <c r="V3148" s="1"/>
      <c r="W3148" s="1"/>
      <c r="X3148" s="1"/>
      <c r="Y3148" s="1"/>
      <c r="Z3148" s="1"/>
      <c r="AA3148" s="1"/>
      <c r="AB3148" s="1"/>
      <c r="AC3148" s="1"/>
      <c r="AD3148" s="1" t="s">
        <v>98</v>
      </c>
      <c r="AE3148" s="1" t="s">
        <v>98</v>
      </c>
      <c r="AF3148" s="1"/>
      <c r="AG3148" s="1"/>
      <c r="AH3148" s="1"/>
      <c r="AI3148" s="1"/>
      <c r="AJ3148" s="1"/>
      <c r="AK3148" s="1"/>
      <c r="AL3148" s="1"/>
      <c r="AM3148" s="1"/>
      <c r="AN3148" s="1"/>
      <c r="AO3148" s="1"/>
      <c r="AP3148" s="1"/>
      <c r="AQ3148" s="1"/>
      <c r="AR3148" s="1"/>
      <c r="AS3148" s="1"/>
      <c r="AT3148" s="1"/>
      <c r="AU3148" s="1"/>
      <c r="AV3148" s="1"/>
      <c r="AW3148" s="1"/>
      <c r="AX3148" s="1"/>
      <c r="AY3148" s="1"/>
      <c r="AZ3148" s="1"/>
      <c r="BA3148" s="1"/>
      <c r="BB3148" s="1"/>
      <c r="BC3148" s="1"/>
      <c r="BD3148" s="1"/>
      <c r="BE3148" s="1"/>
      <c r="BF3148" s="1"/>
      <c r="BG3148" s="1"/>
      <c r="BH3148" s="1"/>
      <c r="BI3148" s="1"/>
      <c r="BJ3148" s="1"/>
      <c r="BK3148" s="1"/>
      <c r="BL3148" s="1"/>
      <c r="BM3148" s="1"/>
      <c r="BN3148" s="1"/>
      <c r="BO3148" s="1"/>
      <c r="BP3148" s="1"/>
      <c r="BQ3148" s="1"/>
      <c r="BR3148" s="1"/>
      <c r="BS3148" s="1"/>
      <c r="BT3148" s="1"/>
      <c r="BU3148" s="1" t="s">
        <v>9653</v>
      </c>
      <c r="BV3148" s="3"/>
      <c r="BW3148" s="3"/>
    </row>
    <row r="3149" spans="1:75">
      <c r="A3149" s="1" t="s">
        <v>50745</v>
      </c>
      <c r="B3149" s="1" t="s">
        <v>50746</v>
      </c>
      <c r="C3149" s="1" t="s">
        <v>50774</v>
      </c>
      <c r="D3149" s="1"/>
      <c r="E3149" s="1"/>
      <c r="F3149" s="1"/>
      <c r="G3149" s="1"/>
      <c r="H3149" s="1" t="s">
        <v>50775</v>
      </c>
      <c r="I3149" s="1" t="s">
        <v>50775</v>
      </c>
      <c r="J3149" s="1"/>
      <c r="K3149" s="1"/>
      <c r="L3149" s="1"/>
      <c r="M3149" s="1"/>
      <c r="N3149" s="1"/>
      <c r="O3149" s="1"/>
      <c r="P3149" s="1"/>
      <c r="Q3149" s="1"/>
      <c r="R3149" s="1"/>
      <c r="S3149" s="1"/>
      <c r="T3149" s="1"/>
      <c r="U3149" s="1"/>
      <c r="V3149" s="1"/>
      <c r="W3149" s="1"/>
      <c r="X3149" s="1"/>
      <c r="Y3149" s="1"/>
      <c r="Z3149" s="1"/>
      <c r="AA3149" s="1"/>
      <c r="AB3149" s="1"/>
      <c r="AC3149" s="1"/>
      <c r="AD3149" s="1" t="s">
        <v>98</v>
      </c>
      <c r="AE3149" s="1" t="s">
        <v>98</v>
      </c>
      <c r="AF3149" s="1"/>
      <c r="AG3149" s="1"/>
      <c r="AH3149" s="1"/>
      <c r="AI3149" s="1"/>
      <c r="AJ3149" s="1"/>
      <c r="AK3149" s="1"/>
      <c r="AL3149" s="1"/>
      <c r="AM3149" s="1"/>
      <c r="AN3149" s="1"/>
      <c r="AO3149" s="1"/>
      <c r="AP3149" s="1"/>
      <c r="AQ3149" s="1"/>
      <c r="AR3149" s="1"/>
      <c r="AS3149" s="1"/>
      <c r="AT3149" s="1"/>
      <c r="AU3149" s="1"/>
      <c r="AV3149" s="1"/>
      <c r="AW3149" s="1"/>
      <c r="AX3149" s="1"/>
      <c r="AY3149" s="1"/>
      <c r="AZ3149" s="1"/>
      <c r="BA3149" s="1"/>
      <c r="BB3149" s="1"/>
      <c r="BC3149" s="1"/>
      <c r="BD3149" s="1"/>
      <c r="BE3149" s="1"/>
      <c r="BF3149" s="1"/>
      <c r="BG3149" s="1"/>
      <c r="BH3149" s="1"/>
      <c r="BI3149" s="1"/>
      <c r="BJ3149" s="1"/>
      <c r="BK3149" s="1"/>
      <c r="BL3149" s="1"/>
      <c r="BM3149" s="1"/>
      <c r="BN3149" s="1"/>
      <c r="BO3149" s="1"/>
      <c r="BP3149" s="1"/>
      <c r="BQ3149" s="1"/>
      <c r="BR3149" s="1"/>
      <c r="BS3149" s="1"/>
      <c r="BT3149" s="1"/>
      <c r="BU3149" s="1" t="s">
        <v>9653</v>
      </c>
      <c r="BV3149" s="3"/>
      <c r="BW3149" s="3"/>
    </row>
    <row r="3150" spans="1:75">
      <c r="A3150" s="1" t="s">
        <v>50745</v>
      </c>
      <c r="B3150" s="1" t="s">
        <v>50746</v>
      </c>
      <c r="C3150" s="1" t="s">
        <v>50776</v>
      </c>
      <c r="D3150" s="1"/>
      <c r="E3150" s="1"/>
      <c r="F3150" s="1"/>
      <c r="G3150" s="1"/>
      <c r="H3150" s="1" t="s">
        <v>50777</v>
      </c>
      <c r="I3150" s="1" t="s">
        <v>50777</v>
      </c>
      <c r="J3150" s="1"/>
      <c r="K3150" s="1"/>
      <c r="L3150" s="1"/>
      <c r="M3150" s="1"/>
      <c r="N3150" s="1"/>
      <c r="O3150" s="1"/>
      <c r="P3150" s="1"/>
      <c r="Q3150" s="1"/>
      <c r="R3150" s="1"/>
      <c r="S3150" s="1"/>
      <c r="T3150" s="1"/>
      <c r="U3150" s="1"/>
      <c r="V3150" s="1"/>
      <c r="W3150" s="1"/>
      <c r="X3150" s="1"/>
      <c r="Y3150" s="1"/>
      <c r="Z3150" s="1"/>
      <c r="AA3150" s="1"/>
      <c r="AB3150" s="1"/>
      <c r="AC3150" s="1"/>
      <c r="AD3150" s="1" t="s">
        <v>98</v>
      </c>
      <c r="AE3150" s="1" t="s">
        <v>98</v>
      </c>
      <c r="AF3150" s="1"/>
      <c r="AG3150" s="1"/>
      <c r="AH3150" s="1"/>
      <c r="AI3150" s="1"/>
      <c r="AJ3150" s="1"/>
      <c r="AK3150" s="1"/>
      <c r="AL3150" s="1"/>
      <c r="AM3150" s="1"/>
      <c r="AN3150" s="1"/>
      <c r="AO3150" s="1"/>
      <c r="AP3150" s="1"/>
      <c r="AQ3150" s="1"/>
      <c r="AR3150" s="1"/>
      <c r="AS3150" s="1"/>
      <c r="AT3150" s="1"/>
      <c r="AU3150" s="1"/>
      <c r="AV3150" s="1"/>
      <c r="AW3150" s="1"/>
      <c r="AX3150" s="1"/>
      <c r="AY3150" s="1"/>
      <c r="AZ3150" s="1"/>
      <c r="BA3150" s="1"/>
      <c r="BB3150" s="1"/>
      <c r="BC3150" s="1"/>
      <c r="BD3150" s="1"/>
      <c r="BE3150" s="1"/>
      <c r="BF3150" s="1"/>
      <c r="BG3150" s="1"/>
      <c r="BH3150" s="1"/>
      <c r="BI3150" s="1"/>
      <c r="BJ3150" s="1"/>
      <c r="BK3150" s="1"/>
      <c r="BL3150" s="1"/>
      <c r="BM3150" s="1"/>
      <c r="BN3150" s="1"/>
      <c r="BO3150" s="1"/>
      <c r="BP3150" s="1"/>
      <c r="BQ3150" s="1"/>
      <c r="BR3150" s="1"/>
      <c r="BS3150" s="1"/>
      <c r="BT3150" s="1"/>
      <c r="BU3150" s="1" t="s">
        <v>9653</v>
      </c>
      <c r="BV3150" s="3"/>
      <c r="BW3150" s="3"/>
    </row>
    <row r="3151" spans="1:75">
      <c r="A3151" s="1" t="s">
        <v>50745</v>
      </c>
      <c r="B3151" s="1" t="s">
        <v>50746</v>
      </c>
      <c r="C3151" s="1" t="s">
        <v>50778</v>
      </c>
      <c r="D3151" s="1" t="s">
        <v>50779</v>
      </c>
      <c r="E3151" s="1" t="s">
        <v>23907</v>
      </c>
      <c r="F3151" s="1" t="s">
        <v>50780</v>
      </c>
      <c r="G3151" s="1" t="s">
        <v>50781</v>
      </c>
      <c r="H3151" s="1" t="s">
        <v>50782</v>
      </c>
      <c r="I3151" s="1" t="s">
        <v>50783</v>
      </c>
      <c r="J3151" s="1">
        <v>8830167912</v>
      </c>
      <c r="K3151" s="1" t="s">
        <v>153</v>
      </c>
      <c r="L3151" s="1" t="s">
        <v>50784</v>
      </c>
      <c r="M3151" s="1" t="s">
        <v>86</v>
      </c>
      <c r="N3151" s="1" t="s">
        <v>50785</v>
      </c>
      <c r="O3151" s="1" t="s">
        <v>50786</v>
      </c>
      <c r="P3151" s="1" t="s">
        <v>219</v>
      </c>
      <c r="Q3151" s="1">
        <v>731843230446</v>
      </c>
      <c r="R3151" s="1" t="s">
        <v>50787</v>
      </c>
      <c r="S3151" s="1">
        <v>8788820129</v>
      </c>
      <c r="T3151" s="1" t="s">
        <v>50788</v>
      </c>
      <c r="U3151" s="1" t="s">
        <v>50789</v>
      </c>
      <c r="V3151" s="1">
        <v>9175493467</v>
      </c>
      <c r="W3151" s="1" t="s">
        <v>14234</v>
      </c>
      <c r="X3151" s="1" t="s">
        <v>50790</v>
      </c>
      <c r="Y3151" s="1" t="s">
        <v>196</v>
      </c>
      <c r="Z3151" s="1" t="s">
        <v>97</v>
      </c>
      <c r="AA3151" s="1" t="s">
        <v>50790</v>
      </c>
      <c r="AB3151" s="1" t="s">
        <v>196</v>
      </c>
      <c r="AC3151" s="1" t="s">
        <v>97</v>
      </c>
      <c r="AD3151" s="1" t="s">
        <v>98</v>
      </c>
      <c r="AE3151" s="1" t="s">
        <v>98</v>
      </c>
      <c r="AF3151" s="1" t="s">
        <v>50791</v>
      </c>
      <c r="AG3151" s="1" t="s">
        <v>50792</v>
      </c>
      <c r="AH3151" s="1" t="s">
        <v>468</v>
      </c>
      <c r="AI3151" s="1" t="s">
        <v>1192</v>
      </c>
      <c r="AJ3151" s="1">
        <v>84.17</v>
      </c>
      <c r="AK3151" s="1">
        <v>8.65</v>
      </c>
      <c r="AL3151" s="1" t="s">
        <v>50793</v>
      </c>
      <c r="AM3151" s="1" t="s">
        <v>50792</v>
      </c>
      <c r="AN3151" s="1" t="s">
        <v>465</v>
      </c>
      <c r="AO3151" s="1" t="s">
        <v>110</v>
      </c>
      <c r="AP3151" s="1" t="s">
        <v>234</v>
      </c>
      <c r="AQ3151" s="1">
        <v>68</v>
      </c>
      <c r="AR3151" s="1">
        <v>7.16</v>
      </c>
      <c r="AS3151" s="1"/>
      <c r="AT3151" s="1"/>
      <c r="AU3151" s="1"/>
      <c r="AV3151" s="1"/>
      <c r="AW3151" s="1"/>
      <c r="AX3151" s="1"/>
      <c r="AY3151" s="1" t="s">
        <v>44646</v>
      </c>
      <c r="AZ3151" s="1" t="s">
        <v>50794</v>
      </c>
      <c r="BA3151" s="1" t="s">
        <v>466</v>
      </c>
      <c r="BB3151" s="1" t="s">
        <v>467</v>
      </c>
      <c r="BC3151" s="1" t="s">
        <v>391</v>
      </c>
      <c r="BD3151" s="1" t="s">
        <v>43823</v>
      </c>
      <c r="BE3151" s="1">
        <v>63.6</v>
      </c>
      <c r="BF3151" s="1">
        <v>6.36</v>
      </c>
      <c r="BG3151" s="1"/>
      <c r="BH3151" s="1"/>
      <c r="BI3151" s="1"/>
      <c r="BJ3151" s="1"/>
      <c r="BK3151" s="1"/>
      <c r="BL3151" s="1"/>
      <c r="BM3151" s="1"/>
      <c r="BN3151" s="1"/>
      <c r="BO3151" s="1" t="s">
        <v>50795</v>
      </c>
      <c r="BP3151" s="1"/>
      <c r="BQ3151" s="1"/>
      <c r="BR3151" s="1" t="s">
        <v>50796</v>
      </c>
      <c r="BS3151" s="1">
        <v>4</v>
      </c>
      <c r="BT3151" s="1"/>
      <c r="BU3151" s="1" t="str">
        <f>HYPERLINK("https://nconnect.nicmar.ac.in/storage/profile/6a90021912f1f.png","Download")</f>
        <v>0</v>
      </c>
      <c r="BV3151" s="3"/>
      <c r="BW3151" s="3"/>
    </row>
    <row r="3152" spans="1:75">
      <c r="A3152" s="1" t="s">
        <v>50745</v>
      </c>
      <c r="B3152" s="1" t="s">
        <v>50746</v>
      </c>
      <c r="C3152" s="1" t="s">
        <v>50797</v>
      </c>
      <c r="D3152" s="1" t="s">
        <v>50798</v>
      </c>
      <c r="E3152" s="1"/>
      <c r="F3152" s="1" t="s">
        <v>50799</v>
      </c>
      <c r="G3152" s="1" t="s">
        <v>50800</v>
      </c>
      <c r="H3152" s="1" t="s">
        <v>50801</v>
      </c>
      <c r="I3152" s="1" t="s">
        <v>50802</v>
      </c>
      <c r="J3152" s="1">
        <v>8851278023</v>
      </c>
      <c r="K3152" s="1" t="s">
        <v>84</v>
      </c>
      <c r="L3152" s="1" t="s">
        <v>50803</v>
      </c>
      <c r="M3152" s="1" t="s">
        <v>86</v>
      </c>
      <c r="N3152" s="1" t="s">
        <v>8293</v>
      </c>
      <c r="O3152" s="1" t="s">
        <v>50804</v>
      </c>
      <c r="P3152" s="1" t="s">
        <v>356</v>
      </c>
      <c r="Q3152" s="1">
        <v>432173400753</v>
      </c>
      <c r="R3152" s="1" t="s">
        <v>50805</v>
      </c>
      <c r="S3152" s="1">
        <v>8447459121</v>
      </c>
      <c r="T3152" s="1" t="s">
        <v>23057</v>
      </c>
      <c r="U3152" s="1" t="s">
        <v>50806</v>
      </c>
      <c r="V3152" s="1">
        <v>9911118018</v>
      </c>
      <c r="W3152" s="1" t="s">
        <v>18351</v>
      </c>
      <c r="X3152" s="1" t="s">
        <v>50807</v>
      </c>
      <c r="Y3152" s="1" t="s">
        <v>32752</v>
      </c>
      <c r="Z3152" s="1" t="s">
        <v>1739</v>
      </c>
      <c r="AA3152" s="1" t="s">
        <v>50807</v>
      </c>
      <c r="AB3152" s="1" t="s">
        <v>32752</v>
      </c>
      <c r="AC3152" s="1" t="s">
        <v>1739</v>
      </c>
      <c r="AD3152" s="1" t="s">
        <v>98</v>
      </c>
      <c r="AE3152" s="1" t="s">
        <v>98</v>
      </c>
      <c r="AF3152" s="1" t="s">
        <v>50808</v>
      </c>
      <c r="AG3152" s="1" t="s">
        <v>50809</v>
      </c>
      <c r="AH3152" s="1" t="s">
        <v>977</v>
      </c>
      <c r="AI3152" s="1" t="s">
        <v>441</v>
      </c>
      <c r="AJ3152" s="1">
        <v>74.1</v>
      </c>
      <c r="AK3152" s="1">
        <v>7.8</v>
      </c>
      <c r="AL3152" s="1" t="s">
        <v>50810</v>
      </c>
      <c r="AM3152" s="1" t="s">
        <v>50809</v>
      </c>
      <c r="AN3152" s="1" t="s">
        <v>465</v>
      </c>
      <c r="AO3152" s="1" t="s">
        <v>521</v>
      </c>
      <c r="AP3152" s="1" t="s">
        <v>955</v>
      </c>
      <c r="AQ3152" s="1">
        <v>57</v>
      </c>
      <c r="AR3152" s="1">
        <v>6</v>
      </c>
      <c r="AS3152" s="1"/>
      <c r="AT3152" s="1"/>
      <c r="AU3152" s="1"/>
      <c r="AV3152" s="1"/>
      <c r="AW3152" s="1"/>
      <c r="AX3152" s="1"/>
      <c r="AY3152" s="1"/>
      <c r="AZ3152" s="1"/>
      <c r="BA3152" s="1"/>
      <c r="BB3152" s="1"/>
      <c r="BC3152" s="1"/>
      <c r="BD3152" s="1"/>
      <c r="BE3152" s="1"/>
      <c r="BF3152" s="1"/>
      <c r="BG3152" s="1"/>
      <c r="BH3152" s="1"/>
      <c r="BI3152" s="1"/>
      <c r="BJ3152" s="1"/>
      <c r="BK3152" s="1"/>
      <c r="BL3152" s="1"/>
      <c r="BM3152" s="1"/>
      <c r="BN3152" s="1"/>
      <c r="BO3152" s="1" t="s">
        <v>50811</v>
      </c>
      <c r="BP3152" s="1"/>
      <c r="BQ3152" s="1"/>
      <c r="BR3152" s="1" t="s">
        <v>50812</v>
      </c>
      <c r="BS3152" s="1">
        <v>16</v>
      </c>
      <c r="BT3152" s="1"/>
      <c r="BU3152" s="1" t="str">
        <f>HYPERLINK("https://nconnect.nicmar.ac.in/storage/profile/6a8fc721e6e96.png","Download")</f>
        <v>0</v>
      </c>
      <c r="BV3152" s="3"/>
      <c r="BW3152" s="3"/>
    </row>
    <row r="3153" spans="1:75">
      <c r="A3153" s="1" t="s">
        <v>50745</v>
      </c>
      <c r="B3153" s="1" t="s">
        <v>50746</v>
      </c>
      <c r="C3153" s="1" t="s">
        <v>50813</v>
      </c>
      <c r="D3153" s="1" t="s">
        <v>19867</v>
      </c>
      <c r="E3153" s="1" t="s">
        <v>18965</v>
      </c>
      <c r="F3153" s="1" t="s">
        <v>21329</v>
      </c>
      <c r="G3153" s="1" t="s">
        <v>50814</v>
      </c>
      <c r="H3153" s="1" t="s">
        <v>50815</v>
      </c>
      <c r="I3153" s="1" t="s">
        <v>50815</v>
      </c>
      <c r="J3153" s="1">
        <v>9075093457</v>
      </c>
      <c r="K3153" s="1" t="s">
        <v>84</v>
      </c>
      <c r="L3153" s="1" t="s">
        <v>19169</v>
      </c>
      <c r="M3153" s="1" t="s">
        <v>86</v>
      </c>
      <c r="N3153" s="1" t="s">
        <v>50816</v>
      </c>
      <c r="O3153" s="1" t="s">
        <v>50817</v>
      </c>
      <c r="P3153" s="1" t="s">
        <v>219</v>
      </c>
      <c r="Q3153" s="1">
        <v>798972569459</v>
      </c>
      <c r="R3153" s="1" t="s">
        <v>50818</v>
      </c>
      <c r="S3153" s="1">
        <v>9172729800</v>
      </c>
      <c r="T3153" s="1" t="s">
        <v>50819</v>
      </c>
      <c r="U3153" s="1" t="s">
        <v>50820</v>
      </c>
      <c r="V3153" s="1">
        <v>9422893457</v>
      </c>
      <c r="W3153" s="1" t="s">
        <v>14234</v>
      </c>
      <c r="X3153" s="1" t="s">
        <v>50821</v>
      </c>
      <c r="Y3153" s="1" t="s">
        <v>410</v>
      </c>
      <c r="Z3153" s="1" t="s">
        <v>97</v>
      </c>
      <c r="AA3153" s="1" t="s">
        <v>50821</v>
      </c>
      <c r="AB3153" s="1" t="s">
        <v>410</v>
      </c>
      <c r="AC3153" s="1" t="s">
        <v>97</v>
      </c>
      <c r="AD3153" s="1" t="s">
        <v>98</v>
      </c>
      <c r="AE3153" s="1" t="s">
        <v>98</v>
      </c>
      <c r="AF3153" s="1" t="s">
        <v>50822</v>
      </c>
      <c r="AG3153" s="1" t="s">
        <v>50823</v>
      </c>
      <c r="AH3153" s="1" t="s">
        <v>417</v>
      </c>
      <c r="AI3153" s="1" t="s">
        <v>845</v>
      </c>
      <c r="AJ3153" s="1">
        <v>82</v>
      </c>
      <c r="AK3153" s="1">
        <v>8.69</v>
      </c>
      <c r="AL3153" s="1" t="s">
        <v>50824</v>
      </c>
      <c r="AM3153" s="1" t="s">
        <v>50825</v>
      </c>
      <c r="AN3153" s="1" t="s">
        <v>465</v>
      </c>
      <c r="AO3153" s="1" t="s">
        <v>632</v>
      </c>
      <c r="AP3153" s="1" t="s">
        <v>955</v>
      </c>
      <c r="AQ3153" s="1">
        <v>52</v>
      </c>
      <c r="AR3153" s="1">
        <v>5.47</v>
      </c>
      <c r="AS3153" s="1"/>
      <c r="AT3153" s="1"/>
      <c r="AU3153" s="1"/>
      <c r="AV3153" s="1"/>
      <c r="AW3153" s="1"/>
      <c r="AX3153" s="1"/>
      <c r="AY3153" s="1" t="s">
        <v>50826</v>
      </c>
      <c r="AZ3153" s="1" t="s">
        <v>50827</v>
      </c>
      <c r="BA3153" s="1" t="s">
        <v>466</v>
      </c>
      <c r="BB3153" s="1" t="s">
        <v>467</v>
      </c>
      <c r="BC3153" s="1" t="s">
        <v>391</v>
      </c>
      <c r="BD3153" s="1" t="s">
        <v>43823</v>
      </c>
      <c r="BE3153" s="1">
        <v>58</v>
      </c>
      <c r="BF3153" s="1">
        <v>6.7</v>
      </c>
      <c r="BG3153" s="1"/>
      <c r="BH3153" s="1"/>
      <c r="BI3153" s="1"/>
      <c r="BJ3153" s="1"/>
      <c r="BK3153" s="1"/>
      <c r="BL3153" s="1"/>
      <c r="BM3153" s="1"/>
      <c r="BN3153" s="1"/>
      <c r="BO3153" s="1" t="s">
        <v>50828</v>
      </c>
      <c r="BP3153" s="1"/>
      <c r="BQ3153" s="1"/>
      <c r="BR3153" s="1"/>
      <c r="BS3153" s="1"/>
      <c r="BT3153" s="1"/>
      <c r="BU3153" s="1" t="str">
        <f>HYPERLINK("https://nconnect.nicmar.ac.in/storage/profile/6a87f6191a26b.png","Download")</f>
        <v>0</v>
      </c>
      <c r="BV3153" s="3"/>
      <c r="BW3153" s="3"/>
    </row>
    <row r="3154" spans="1:75">
      <c r="A3154" s="1" t="s">
        <v>50745</v>
      </c>
      <c r="B3154" s="1" t="s">
        <v>50746</v>
      </c>
      <c r="C3154" s="1" t="s">
        <v>50829</v>
      </c>
      <c r="D3154" s="1"/>
      <c r="E3154" s="1"/>
      <c r="F3154" s="1"/>
      <c r="G3154" s="1"/>
      <c r="H3154" s="1" t="s">
        <v>50830</v>
      </c>
      <c r="I3154" s="1" t="s">
        <v>50830</v>
      </c>
      <c r="J3154" s="1"/>
      <c r="K3154" s="1"/>
      <c r="L3154" s="1"/>
      <c r="M3154" s="1"/>
      <c r="N3154" s="1"/>
      <c r="O3154" s="1"/>
      <c r="P3154" s="1"/>
      <c r="Q3154" s="1"/>
      <c r="R3154" s="1"/>
      <c r="S3154" s="1"/>
      <c r="T3154" s="1"/>
      <c r="U3154" s="1"/>
      <c r="V3154" s="1"/>
      <c r="W3154" s="1"/>
      <c r="X3154" s="1"/>
      <c r="Y3154" s="1"/>
      <c r="Z3154" s="1"/>
      <c r="AA3154" s="1"/>
      <c r="AB3154" s="1"/>
      <c r="AC3154" s="1"/>
      <c r="AD3154" s="1" t="s">
        <v>98</v>
      </c>
      <c r="AE3154" s="1" t="s">
        <v>98</v>
      </c>
      <c r="AF3154" s="1"/>
      <c r="AG3154" s="1"/>
      <c r="AH3154" s="1"/>
      <c r="AI3154" s="1"/>
      <c r="AJ3154" s="1"/>
      <c r="AK3154" s="1"/>
      <c r="AL3154" s="1"/>
      <c r="AM3154" s="1"/>
      <c r="AN3154" s="1"/>
      <c r="AO3154" s="1"/>
      <c r="AP3154" s="1"/>
      <c r="AQ3154" s="1"/>
      <c r="AR3154" s="1"/>
      <c r="AS3154" s="1"/>
      <c r="AT3154" s="1"/>
      <c r="AU3154" s="1"/>
      <c r="AV3154" s="1"/>
      <c r="AW3154" s="1"/>
      <c r="AX3154" s="1"/>
      <c r="AY3154" s="1"/>
      <c r="AZ3154" s="1"/>
      <c r="BA3154" s="1"/>
      <c r="BB3154" s="1"/>
      <c r="BC3154" s="1"/>
      <c r="BD3154" s="1"/>
      <c r="BE3154" s="1"/>
      <c r="BF3154" s="1"/>
      <c r="BG3154" s="1"/>
      <c r="BH3154" s="1"/>
      <c r="BI3154" s="1"/>
      <c r="BJ3154" s="1"/>
      <c r="BK3154" s="1"/>
      <c r="BL3154" s="1"/>
      <c r="BM3154" s="1"/>
      <c r="BN3154" s="1"/>
      <c r="BO3154" s="1"/>
      <c r="BP3154" s="1"/>
      <c r="BQ3154" s="1"/>
      <c r="BR3154" s="1"/>
      <c r="BS3154" s="1"/>
      <c r="BT3154" s="1"/>
      <c r="BU3154" s="1" t="s">
        <v>9653</v>
      </c>
      <c r="BV3154" s="3"/>
      <c r="BW3154" s="3"/>
    </row>
    <row r="3155" spans="1:75">
      <c r="A3155" s="1" t="s">
        <v>50745</v>
      </c>
      <c r="B3155" s="1" t="s">
        <v>50746</v>
      </c>
      <c r="C3155" s="1" t="s">
        <v>50831</v>
      </c>
      <c r="D3155" s="1"/>
      <c r="E3155" s="1"/>
      <c r="F3155" s="1"/>
      <c r="G3155" s="1"/>
      <c r="H3155" s="1" t="s">
        <v>50832</v>
      </c>
      <c r="I3155" s="1" t="s">
        <v>50832</v>
      </c>
      <c r="J3155" s="1"/>
      <c r="K3155" s="1"/>
      <c r="L3155" s="1"/>
      <c r="M3155" s="1"/>
      <c r="N3155" s="1"/>
      <c r="O3155" s="1"/>
      <c r="P3155" s="1"/>
      <c r="Q3155" s="1"/>
      <c r="R3155" s="1"/>
      <c r="S3155" s="1"/>
      <c r="T3155" s="1"/>
      <c r="U3155" s="1"/>
      <c r="V3155" s="1"/>
      <c r="W3155" s="1"/>
      <c r="X3155" s="1"/>
      <c r="Y3155" s="1"/>
      <c r="Z3155" s="1"/>
      <c r="AA3155" s="1"/>
      <c r="AB3155" s="1"/>
      <c r="AC3155" s="1"/>
      <c r="AD3155" s="1" t="s">
        <v>98</v>
      </c>
      <c r="AE3155" s="1" t="s">
        <v>98</v>
      </c>
      <c r="AF3155" s="1"/>
      <c r="AG3155" s="1"/>
      <c r="AH3155" s="1"/>
      <c r="AI3155" s="1"/>
      <c r="AJ3155" s="1"/>
      <c r="AK3155" s="1"/>
      <c r="AL3155" s="1"/>
      <c r="AM3155" s="1"/>
      <c r="AN3155" s="1"/>
      <c r="AO3155" s="1"/>
      <c r="AP3155" s="1"/>
      <c r="AQ3155" s="1"/>
      <c r="AR3155" s="1"/>
      <c r="AS3155" s="1"/>
      <c r="AT3155" s="1"/>
      <c r="AU3155" s="1"/>
      <c r="AV3155" s="1"/>
      <c r="AW3155" s="1"/>
      <c r="AX3155" s="1"/>
      <c r="AY3155" s="1"/>
      <c r="AZ3155" s="1"/>
      <c r="BA3155" s="1"/>
      <c r="BB3155" s="1"/>
      <c r="BC3155" s="1"/>
      <c r="BD3155" s="1"/>
      <c r="BE3155" s="1"/>
      <c r="BF3155" s="1"/>
      <c r="BG3155" s="1"/>
      <c r="BH3155" s="1"/>
      <c r="BI3155" s="1"/>
      <c r="BJ3155" s="1"/>
      <c r="BK3155" s="1"/>
      <c r="BL3155" s="1"/>
      <c r="BM3155" s="1"/>
      <c r="BN3155" s="1"/>
      <c r="BO3155" s="1"/>
      <c r="BP3155" s="1"/>
      <c r="BQ3155" s="1"/>
      <c r="BR3155" s="1"/>
      <c r="BS3155" s="1"/>
      <c r="BT3155" s="1"/>
      <c r="BU3155" s="1" t="s">
        <v>9653</v>
      </c>
      <c r="BV3155" s="3"/>
      <c r="BW3155" s="3"/>
    </row>
    <row r="3156" spans="1:75">
      <c r="A3156" s="1" t="s">
        <v>50745</v>
      </c>
      <c r="B3156" s="1" t="s">
        <v>50746</v>
      </c>
      <c r="C3156" s="1" t="s">
        <v>50833</v>
      </c>
      <c r="D3156" s="1" t="s">
        <v>50834</v>
      </c>
      <c r="E3156" s="1" t="s">
        <v>50835</v>
      </c>
      <c r="F3156" s="1" t="s">
        <v>2963</v>
      </c>
      <c r="G3156" s="1" t="s">
        <v>50836</v>
      </c>
      <c r="H3156" s="1" t="s">
        <v>50837</v>
      </c>
      <c r="I3156" s="1" t="s">
        <v>50837</v>
      </c>
      <c r="J3156" s="1">
        <v>9399564596</v>
      </c>
      <c r="K3156" s="1" t="s">
        <v>84</v>
      </c>
      <c r="L3156" s="1" t="s">
        <v>50838</v>
      </c>
      <c r="M3156" s="1" t="s">
        <v>86</v>
      </c>
      <c r="N3156" s="1" t="s">
        <v>2507</v>
      </c>
      <c r="O3156" s="1" t="s">
        <v>50839</v>
      </c>
      <c r="P3156" s="1" t="s">
        <v>89</v>
      </c>
      <c r="Q3156" s="1">
        <v>949811300334</v>
      </c>
      <c r="R3156" s="1" t="s">
        <v>50840</v>
      </c>
      <c r="S3156" s="1">
        <v>7587168986</v>
      </c>
      <c r="T3156" s="1" t="s">
        <v>50841</v>
      </c>
      <c r="U3156" s="1" t="s">
        <v>50842</v>
      </c>
      <c r="V3156" s="1">
        <v>7841096689</v>
      </c>
      <c r="W3156" s="1" t="s">
        <v>1257</v>
      </c>
      <c r="X3156" s="1" t="s">
        <v>50843</v>
      </c>
      <c r="Y3156" s="1" t="s">
        <v>11762</v>
      </c>
      <c r="Z3156" s="1" t="s">
        <v>2933</v>
      </c>
      <c r="AA3156" s="1" t="s">
        <v>50843</v>
      </c>
      <c r="AB3156" s="1" t="s">
        <v>11762</v>
      </c>
      <c r="AC3156" s="1" t="s">
        <v>2933</v>
      </c>
      <c r="AD3156" s="1" t="s">
        <v>98</v>
      </c>
      <c r="AE3156" s="1" t="s">
        <v>98</v>
      </c>
      <c r="AF3156" s="1" t="s">
        <v>50844</v>
      </c>
      <c r="AG3156" s="1" t="s">
        <v>50845</v>
      </c>
      <c r="AH3156" s="1" t="s">
        <v>170</v>
      </c>
      <c r="AI3156" s="1" t="s">
        <v>171</v>
      </c>
      <c r="AJ3156" s="1">
        <v>50.67</v>
      </c>
      <c r="AK3156" s="1">
        <v>5.8</v>
      </c>
      <c r="AL3156" s="1" t="s">
        <v>50846</v>
      </c>
      <c r="AM3156" s="1" t="s">
        <v>50845</v>
      </c>
      <c r="AN3156" s="1" t="s">
        <v>35580</v>
      </c>
      <c r="AO3156" s="1" t="s">
        <v>438</v>
      </c>
      <c r="AP3156" s="1" t="s">
        <v>552</v>
      </c>
      <c r="AQ3156" s="1">
        <v>57.8</v>
      </c>
      <c r="AR3156" s="1">
        <v>6.08</v>
      </c>
      <c r="AS3156" s="1" t="s">
        <v>467</v>
      </c>
      <c r="AT3156" s="1" t="s">
        <v>50847</v>
      </c>
      <c r="AU3156" s="1" t="s">
        <v>1040</v>
      </c>
      <c r="AV3156" s="1" t="s">
        <v>4573</v>
      </c>
      <c r="AW3156" s="1">
        <v>72.2</v>
      </c>
      <c r="AX3156" s="1">
        <v>8.39</v>
      </c>
      <c r="AY3156" s="1" t="s">
        <v>50848</v>
      </c>
      <c r="AZ3156" s="1" t="s">
        <v>50848</v>
      </c>
      <c r="BA3156" s="1" t="s">
        <v>466</v>
      </c>
      <c r="BB3156" s="1" t="s">
        <v>467</v>
      </c>
      <c r="BC3156" s="1" t="s">
        <v>1089</v>
      </c>
      <c r="BD3156" s="1" t="s">
        <v>43823</v>
      </c>
      <c r="BE3156" s="1">
        <v>56.33</v>
      </c>
      <c r="BF3156" s="1">
        <v>6.51</v>
      </c>
      <c r="BG3156" s="1"/>
      <c r="BH3156" s="1"/>
      <c r="BI3156" s="1"/>
      <c r="BJ3156" s="1"/>
      <c r="BK3156" s="1"/>
      <c r="BL3156" s="1"/>
      <c r="BM3156" s="1"/>
      <c r="BN3156" s="1"/>
      <c r="BO3156" s="1" t="s">
        <v>50849</v>
      </c>
      <c r="BP3156" s="1"/>
      <c r="BQ3156" s="1"/>
      <c r="BR3156" s="1" t="s">
        <v>50850</v>
      </c>
      <c r="BS3156" s="1">
        <v>4</v>
      </c>
      <c r="BT3156" s="1" t="s">
        <v>50851</v>
      </c>
      <c r="BU3156" s="1" t="str">
        <f>HYPERLINK("https://nconnect.nicmar.ac.in/storage/profile/6a8721adb8613.png","Download")</f>
        <v>0</v>
      </c>
      <c r="BV3156" s="3"/>
      <c r="BW3156" s="3"/>
    </row>
    <row r="3157" spans="1:75">
      <c r="A3157" s="1" t="s">
        <v>50745</v>
      </c>
      <c r="B3157" s="1" t="s">
        <v>50746</v>
      </c>
      <c r="C3157" s="1" t="s">
        <v>50852</v>
      </c>
      <c r="D3157" s="1" t="s">
        <v>17708</v>
      </c>
      <c r="E3157" s="1"/>
      <c r="F3157" s="1" t="s">
        <v>17246</v>
      </c>
      <c r="G3157" s="1" t="s">
        <v>50853</v>
      </c>
      <c r="H3157" s="1" t="s">
        <v>50854</v>
      </c>
      <c r="I3157" s="1" t="s">
        <v>50855</v>
      </c>
      <c r="J3157" s="1">
        <v>7369038488</v>
      </c>
      <c r="K3157" s="1" t="s">
        <v>84</v>
      </c>
      <c r="L3157" s="1" t="s">
        <v>50856</v>
      </c>
      <c r="M3157" s="1" t="s">
        <v>86</v>
      </c>
      <c r="N3157" s="1" t="s">
        <v>20887</v>
      </c>
      <c r="O3157" s="1" t="s">
        <v>50857</v>
      </c>
      <c r="P3157" s="1" t="s">
        <v>122</v>
      </c>
      <c r="Q3157" s="1">
        <v>207282919256</v>
      </c>
      <c r="R3157" s="1" t="s">
        <v>50858</v>
      </c>
      <c r="S3157" s="1">
        <v>6200638726</v>
      </c>
      <c r="T3157" s="1" t="s">
        <v>13987</v>
      </c>
      <c r="U3157" s="1" t="s">
        <v>50859</v>
      </c>
      <c r="V3157" s="1">
        <v>8087184327</v>
      </c>
      <c r="W3157" s="1" t="s">
        <v>14154</v>
      </c>
      <c r="X3157" s="1" t="s">
        <v>50860</v>
      </c>
      <c r="Y3157" s="1" t="s">
        <v>648</v>
      </c>
      <c r="Z3157" s="1" t="s">
        <v>649</v>
      </c>
      <c r="AA3157" s="1" t="s">
        <v>50860</v>
      </c>
      <c r="AB3157" s="1" t="s">
        <v>648</v>
      </c>
      <c r="AC3157" s="1" t="s">
        <v>649</v>
      </c>
      <c r="AD3157" s="1" t="s">
        <v>98</v>
      </c>
      <c r="AE3157" s="1" t="s">
        <v>98</v>
      </c>
      <c r="AF3157" s="1" t="s">
        <v>50861</v>
      </c>
      <c r="AG3157" s="1" t="s">
        <v>50862</v>
      </c>
      <c r="AH3157" s="1" t="s">
        <v>414</v>
      </c>
      <c r="AI3157" s="1" t="s">
        <v>178</v>
      </c>
      <c r="AJ3157" s="1">
        <v>67.6</v>
      </c>
      <c r="AK3157" s="1">
        <v>7.11</v>
      </c>
      <c r="AL3157" s="1"/>
      <c r="AM3157" s="1"/>
      <c r="AN3157" s="1"/>
      <c r="AO3157" s="1"/>
      <c r="AP3157" s="1"/>
      <c r="AQ3157" s="1"/>
      <c r="AR3157" s="1"/>
      <c r="AS3157" s="1" t="s">
        <v>467</v>
      </c>
      <c r="AT3157" s="1" t="s">
        <v>50863</v>
      </c>
      <c r="AU3157" s="1" t="s">
        <v>233</v>
      </c>
      <c r="AV3157" s="1" t="s">
        <v>4573</v>
      </c>
      <c r="AW3157" s="1">
        <v>81.2</v>
      </c>
      <c r="AX3157" s="1">
        <v>8.87</v>
      </c>
      <c r="AY3157" s="1"/>
      <c r="AZ3157" s="1"/>
      <c r="BA3157" s="1"/>
      <c r="BB3157" s="1"/>
      <c r="BC3157" s="1"/>
      <c r="BD3157" s="1"/>
      <c r="BE3157" s="1"/>
      <c r="BF3157" s="1"/>
      <c r="BG3157" s="1"/>
      <c r="BH3157" s="1"/>
      <c r="BI3157" s="1"/>
      <c r="BJ3157" s="1"/>
      <c r="BK3157" s="1"/>
      <c r="BL3157" s="1"/>
      <c r="BM3157" s="1"/>
      <c r="BN3157" s="1"/>
      <c r="BO3157" s="1" t="s">
        <v>50864</v>
      </c>
      <c r="BP3157" s="1"/>
      <c r="BQ3157" s="1"/>
      <c r="BR3157" s="1" t="s">
        <v>50865</v>
      </c>
      <c r="BS3157" s="1">
        <v>12</v>
      </c>
      <c r="BT3157" s="1" t="s">
        <v>50866</v>
      </c>
      <c r="BU3157" s="1" t="str">
        <f>HYPERLINK("https://nconnect.nicmar.ac.in/storage/profile/6a8370d313b43.png","Download")</f>
        <v>0</v>
      </c>
      <c r="BV3157" s="3"/>
      <c r="BW3157" s="3"/>
    </row>
    <row r="3158" spans="1:75">
      <c r="A3158" s="1" t="s">
        <v>50745</v>
      </c>
      <c r="B3158" s="1" t="s">
        <v>50746</v>
      </c>
      <c r="C3158" s="1" t="s">
        <v>50867</v>
      </c>
      <c r="D3158" s="1" t="s">
        <v>13978</v>
      </c>
      <c r="E3158" s="1" t="s">
        <v>24238</v>
      </c>
      <c r="F3158" s="1" t="s">
        <v>50868</v>
      </c>
      <c r="G3158" s="1" t="s">
        <v>50869</v>
      </c>
      <c r="H3158" s="1" t="s">
        <v>50870</v>
      </c>
      <c r="I3158" s="1" t="s">
        <v>50870</v>
      </c>
      <c r="J3158" s="1">
        <v>7972331059</v>
      </c>
      <c r="K3158" s="1" t="s">
        <v>84</v>
      </c>
      <c r="L3158" s="1" t="s">
        <v>50871</v>
      </c>
      <c r="M3158" s="1" t="s">
        <v>86</v>
      </c>
      <c r="N3158" s="1" t="s">
        <v>50872</v>
      </c>
      <c r="O3158" s="1" t="s">
        <v>50873</v>
      </c>
      <c r="P3158" s="1" t="s">
        <v>219</v>
      </c>
      <c r="Q3158" s="1">
        <v>984669081642</v>
      </c>
      <c r="R3158" s="1" t="s">
        <v>50874</v>
      </c>
      <c r="S3158" s="1">
        <v>9860962957</v>
      </c>
      <c r="T3158" s="1" t="s">
        <v>23186</v>
      </c>
      <c r="U3158" s="1" t="s">
        <v>50875</v>
      </c>
      <c r="V3158" s="1">
        <v>7020631037</v>
      </c>
      <c r="W3158" s="1" t="s">
        <v>14154</v>
      </c>
      <c r="X3158" s="1" t="s">
        <v>50876</v>
      </c>
      <c r="Y3158" s="1" t="s">
        <v>910</v>
      </c>
      <c r="Z3158" s="1" t="s">
        <v>97</v>
      </c>
      <c r="AA3158" s="1" t="s">
        <v>50876</v>
      </c>
      <c r="AB3158" s="1" t="s">
        <v>910</v>
      </c>
      <c r="AC3158" s="1" t="s">
        <v>97</v>
      </c>
      <c r="AD3158" s="1" t="s">
        <v>98</v>
      </c>
      <c r="AE3158" s="1" t="s">
        <v>98</v>
      </c>
      <c r="AF3158" s="1" t="s">
        <v>50877</v>
      </c>
      <c r="AG3158" s="1" t="s">
        <v>50878</v>
      </c>
      <c r="AH3158" s="1" t="s">
        <v>977</v>
      </c>
      <c r="AI3158" s="1" t="s">
        <v>2304</v>
      </c>
      <c r="AJ3158" s="1">
        <v>71.0</v>
      </c>
      <c r="AK3158" s="1"/>
      <c r="AL3158" s="1"/>
      <c r="AM3158" s="1"/>
      <c r="AN3158" s="1"/>
      <c r="AO3158" s="1"/>
      <c r="AP3158" s="1"/>
      <c r="AQ3158" s="1"/>
      <c r="AR3158" s="1"/>
      <c r="AS3158" s="1" t="s">
        <v>14158</v>
      </c>
      <c r="AT3158" s="1" t="s">
        <v>50879</v>
      </c>
      <c r="AU3158" s="1" t="s">
        <v>552</v>
      </c>
      <c r="AV3158" s="1" t="s">
        <v>207</v>
      </c>
      <c r="AW3158" s="1">
        <v>73.21</v>
      </c>
      <c r="AX3158" s="1"/>
      <c r="AY3158" s="1" t="s">
        <v>50880</v>
      </c>
      <c r="AZ3158" s="1" t="s">
        <v>50881</v>
      </c>
      <c r="BA3158" s="1" t="s">
        <v>466</v>
      </c>
      <c r="BB3158" s="1" t="s">
        <v>467</v>
      </c>
      <c r="BC3158" s="1" t="s">
        <v>207</v>
      </c>
      <c r="BD3158" s="1" t="s">
        <v>43823</v>
      </c>
      <c r="BE3158" s="1">
        <v>61.48</v>
      </c>
      <c r="BF3158" s="1"/>
      <c r="BG3158" s="1"/>
      <c r="BH3158" s="1"/>
      <c r="BI3158" s="1"/>
      <c r="BJ3158" s="1"/>
      <c r="BK3158" s="1"/>
      <c r="BL3158" s="1"/>
      <c r="BM3158" s="1"/>
      <c r="BN3158" s="1"/>
      <c r="BO3158" s="1" t="s">
        <v>50882</v>
      </c>
      <c r="BP3158" s="1"/>
      <c r="BQ3158" s="1"/>
      <c r="BR3158" s="1"/>
      <c r="BS3158" s="1"/>
      <c r="BT3158" s="1" t="s">
        <v>44410</v>
      </c>
      <c r="BU3158" s="1" t="str">
        <f>HYPERLINK("https://nconnect.nicmar.ac.in/storage/profile/6a870c710365d.png","Download")</f>
        <v>0</v>
      </c>
      <c r="BV3158" s="3"/>
      <c r="BW3158" s="3"/>
    </row>
    <row r="3159" spans="1:75">
      <c r="A3159" s="1" t="s">
        <v>50745</v>
      </c>
      <c r="B3159" s="1" t="s">
        <v>50746</v>
      </c>
      <c r="C3159" s="1" t="s">
        <v>50883</v>
      </c>
      <c r="D3159" s="1" t="s">
        <v>3431</v>
      </c>
      <c r="E3159" s="1" t="s">
        <v>397</v>
      </c>
      <c r="F3159" s="1" t="s">
        <v>9202</v>
      </c>
      <c r="G3159" s="1" t="s">
        <v>50884</v>
      </c>
      <c r="H3159" s="1" t="s">
        <v>50885</v>
      </c>
      <c r="I3159" s="1" t="s">
        <v>50885</v>
      </c>
      <c r="J3159" s="1">
        <v>7028695827</v>
      </c>
      <c r="K3159" s="1" t="s">
        <v>84</v>
      </c>
      <c r="L3159" s="1" t="s">
        <v>50886</v>
      </c>
      <c r="M3159" s="1" t="s">
        <v>86</v>
      </c>
      <c r="N3159" s="1" t="s">
        <v>17857</v>
      </c>
      <c r="O3159" s="1" t="s">
        <v>50887</v>
      </c>
      <c r="P3159" s="1" t="s">
        <v>122</v>
      </c>
      <c r="Q3159" s="1">
        <v>521682381308</v>
      </c>
      <c r="R3159" s="1" t="s">
        <v>50888</v>
      </c>
      <c r="S3159" s="1">
        <v>9890903327</v>
      </c>
      <c r="T3159" s="1" t="s">
        <v>50889</v>
      </c>
      <c r="U3159" s="1" t="s">
        <v>50890</v>
      </c>
      <c r="V3159" s="1">
        <v>9970100537</v>
      </c>
      <c r="W3159" s="1" t="s">
        <v>14212</v>
      </c>
      <c r="X3159" s="1" t="s">
        <v>50891</v>
      </c>
      <c r="Y3159" s="1" t="s">
        <v>196</v>
      </c>
      <c r="Z3159" s="1" t="s">
        <v>97</v>
      </c>
      <c r="AA3159" s="1" t="s">
        <v>50891</v>
      </c>
      <c r="AB3159" s="1" t="s">
        <v>196</v>
      </c>
      <c r="AC3159" s="1" t="s">
        <v>97</v>
      </c>
      <c r="AD3159" s="1" t="s">
        <v>98</v>
      </c>
      <c r="AE3159" s="1" t="s">
        <v>98</v>
      </c>
      <c r="AF3159" s="1" t="s">
        <v>39600</v>
      </c>
      <c r="AG3159" s="1" t="s">
        <v>50892</v>
      </c>
      <c r="AH3159" s="1" t="s">
        <v>1040</v>
      </c>
      <c r="AI3159" s="1" t="s">
        <v>441</v>
      </c>
      <c r="AJ3159" s="1">
        <v>87.6</v>
      </c>
      <c r="AK3159" s="1">
        <v>9.22</v>
      </c>
      <c r="AL3159" s="1"/>
      <c r="AM3159" s="1"/>
      <c r="AN3159" s="1"/>
      <c r="AO3159" s="1"/>
      <c r="AP3159" s="1"/>
      <c r="AQ3159" s="1"/>
      <c r="AR3159" s="1"/>
      <c r="AS3159" s="1" t="s">
        <v>439</v>
      </c>
      <c r="AT3159" s="1" t="s">
        <v>50893</v>
      </c>
      <c r="AU3159" s="1" t="s">
        <v>606</v>
      </c>
      <c r="AV3159" s="1" t="s">
        <v>1242</v>
      </c>
      <c r="AW3159" s="1">
        <v>83.16</v>
      </c>
      <c r="AX3159" s="1"/>
      <c r="AY3159" s="1" t="s">
        <v>50894</v>
      </c>
      <c r="AZ3159" s="1" t="s">
        <v>50895</v>
      </c>
      <c r="BA3159" s="1" t="s">
        <v>466</v>
      </c>
      <c r="BB3159" s="1" t="s">
        <v>467</v>
      </c>
      <c r="BC3159" s="1" t="s">
        <v>1089</v>
      </c>
      <c r="BD3159" s="1" t="s">
        <v>43823</v>
      </c>
      <c r="BE3159" s="1">
        <v>72.77</v>
      </c>
      <c r="BF3159" s="1">
        <v>7.66</v>
      </c>
      <c r="BG3159" s="1"/>
      <c r="BH3159" s="1"/>
      <c r="BI3159" s="1"/>
      <c r="BJ3159" s="1"/>
      <c r="BK3159" s="1"/>
      <c r="BL3159" s="1"/>
      <c r="BM3159" s="1"/>
      <c r="BN3159" s="1"/>
      <c r="BO3159" s="1" t="s">
        <v>50896</v>
      </c>
      <c r="BP3159" s="1"/>
      <c r="BQ3159" s="1"/>
      <c r="BR3159" s="1" t="s">
        <v>50897</v>
      </c>
      <c r="BS3159" s="1">
        <v>8</v>
      </c>
      <c r="BT3159" s="1" t="s">
        <v>50898</v>
      </c>
      <c r="BU3159" s="1" t="str">
        <f>HYPERLINK("https://nconnect.nicmar.ac.in/storage/profile/6a8742935adef.png","Download")</f>
        <v>0</v>
      </c>
      <c r="BV3159" s="3"/>
      <c r="BW3159" s="3"/>
    </row>
    <row r="3160" spans="1:75">
      <c r="A3160" s="1" t="s">
        <v>50745</v>
      </c>
      <c r="B3160" s="1" t="s">
        <v>50746</v>
      </c>
      <c r="C3160" s="1" t="s">
        <v>50899</v>
      </c>
      <c r="D3160" s="1"/>
      <c r="E3160" s="1"/>
      <c r="F3160" s="1"/>
      <c r="G3160" s="1"/>
      <c r="H3160" s="1" t="s">
        <v>50900</v>
      </c>
      <c r="I3160" s="1" t="s">
        <v>50900</v>
      </c>
      <c r="J3160" s="1"/>
      <c r="K3160" s="1"/>
      <c r="L3160" s="1"/>
      <c r="M3160" s="1"/>
      <c r="N3160" s="1"/>
      <c r="O3160" s="1"/>
      <c r="P3160" s="1"/>
      <c r="Q3160" s="1"/>
      <c r="R3160" s="1"/>
      <c r="S3160" s="1"/>
      <c r="T3160" s="1"/>
      <c r="U3160" s="1"/>
      <c r="V3160" s="1"/>
      <c r="W3160" s="1"/>
      <c r="X3160" s="1"/>
      <c r="Y3160" s="1"/>
      <c r="Z3160" s="1"/>
      <c r="AA3160" s="1"/>
      <c r="AB3160" s="1"/>
      <c r="AC3160" s="1"/>
      <c r="AD3160" s="1" t="s">
        <v>98</v>
      </c>
      <c r="AE3160" s="1" t="s">
        <v>98</v>
      </c>
      <c r="AF3160" s="1"/>
      <c r="AG3160" s="1"/>
      <c r="AH3160" s="1"/>
      <c r="AI3160" s="1"/>
      <c r="AJ3160" s="1"/>
      <c r="AK3160" s="1"/>
      <c r="AL3160" s="1"/>
      <c r="AM3160" s="1"/>
      <c r="AN3160" s="1"/>
      <c r="AO3160" s="1"/>
      <c r="AP3160" s="1"/>
      <c r="AQ3160" s="1"/>
      <c r="AR3160" s="1"/>
      <c r="AS3160" s="1"/>
      <c r="AT3160" s="1"/>
      <c r="AU3160" s="1"/>
      <c r="AV3160" s="1"/>
      <c r="AW3160" s="1"/>
      <c r="AX3160" s="1"/>
      <c r="AY3160" s="1"/>
      <c r="AZ3160" s="1"/>
      <c r="BA3160" s="1"/>
      <c r="BB3160" s="1"/>
      <c r="BC3160" s="1"/>
      <c r="BD3160" s="1"/>
      <c r="BE3160" s="1"/>
      <c r="BF3160" s="1"/>
      <c r="BG3160" s="1"/>
      <c r="BH3160" s="1"/>
      <c r="BI3160" s="1"/>
      <c r="BJ3160" s="1"/>
      <c r="BK3160" s="1"/>
      <c r="BL3160" s="1"/>
      <c r="BM3160" s="1"/>
      <c r="BN3160" s="1"/>
      <c r="BO3160" s="1"/>
      <c r="BP3160" s="1"/>
      <c r="BQ3160" s="1"/>
      <c r="BR3160" s="1"/>
      <c r="BS3160" s="1"/>
      <c r="BT3160" s="1"/>
      <c r="BU3160" s="1" t="s">
        <v>9653</v>
      </c>
      <c r="BV3160" s="3"/>
      <c r="BW3160" s="3"/>
    </row>
    <row r="3161" spans="1:75">
      <c r="A3161" s="1" t="s">
        <v>50745</v>
      </c>
      <c r="B3161" s="1" t="s">
        <v>50746</v>
      </c>
      <c r="C3161" s="1" t="s">
        <v>50901</v>
      </c>
      <c r="D3161" s="1" t="s">
        <v>2309</v>
      </c>
      <c r="E3161" s="1" t="s">
        <v>13957</v>
      </c>
      <c r="F3161" s="1" t="s">
        <v>9350</v>
      </c>
      <c r="G3161" s="1" t="s">
        <v>50902</v>
      </c>
      <c r="H3161" s="1" t="s">
        <v>50903</v>
      </c>
      <c r="I3161" s="1" t="s">
        <v>50904</v>
      </c>
      <c r="J3161" s="1">
        <v>7741882200</v>
      </c>
      <c r="K3161" s="1" t="s">
        <v>84</v>
      </c>
      <c r="L3161" s="1" t="s">
        <v>50905</v>
      </c>
      <c r="M3161" s="1" t="s">
        <v>86</v>
      </c>
      <c r="N3161" s="1" t="s">
        <v>903</v>
      </c>
      <c r="O3161" s="1" t="s">
        <v>50906</v>
      </c>
      <c r="P3161" s="1" t="s">
        <v>89</v>
      </c>
      <c r="Q3161" s="1">
        <v>222647777569</v>
      </c>
      <c r="R3161" s="1" t="s">
        <v>50907</v>
      </c>
      <c r="S3161" s="1">
        <v>7350882200</v>
      </c>
      <c r="T3161" s="1" t="s">
        <v>926</v>
      </c>
      <c r="U3161" s="1" t="s">
        <v>50908</v>
      </c>
      <c r="V3161" s="1">
        <v>8605929764</v>
      </c>
      <c r="W3161" s="1" t="s">
        <v>161</v>
      </c>
      <c r="X3161" s="1" t="s">
        <v>50909</v>
      </c>
      <c r="Y3161" s="1" t="s">
        <v>1989</v>
      </c>
      <c r="Z3161" s="1" t="s">
        <v>97</v>
      </c>
      <c r="AA3161" s="1" t="s">
        <v>50910</v>
      </c>
      <c r="AB3161" s="1" t="s">
        <v>196</v>
      </c>
      <c r="AC3161" s="1" t="s">
        <v>97</v>
      </c>
      <c r="AD3161" s="1" t="s">
        <v>98</v>
      </c>
      <c r="AE3161" s="1" t="s">
        <v>98</v>
      </c>
      <c r="AF3161" s="1" t="s">
        <v>50911</v>
      </c>
      <c r="AG3161" s="1" t="s">
        <v>50912</v>
      </c>
      <c r="AH3161" s="1" t="s">
        <v>977</v>
      </c>
      <c r="AI3161" s="1" t="s">
        <v>441</v>
      </c>
      <c r="AJ3161" s="1">
        <v>89.2</v>
      </c>
      <c r="AK3161" s="1"/>
      <c r="AL3161" s="1"/>
      <c r="AM3161" s="1"/>
      <c r="AN3161" s="1"/>
      <c r="AO3161" s="1"/>
      <c r="AP3161" s="1"/>
      <c r="AQ3161" s="1"/>
      <c r="AR3161" s="1"/>
      <c r="AS3161" s="1" t="s">
        <v>17941</v>
      </c>
      <c r="AT3161" s="1" t="s">
        <v>50913</v>
      </c>
      <c r="AU3161" s="1" t="s">
        <v>441</v>
      </c>
      <c r="AV3161" s="1" t="s">
        <v>7385</v>
      </c>
      <c r="AW3161" s="1">
        <v>92.95</v>
      </c>
      <c r="AX3161" s="1"/>
      <c r="AY3161" s="1"/>
      <c r="AZ3161" s="1"/>
      <c r="BA3161" s="1"/>
      <c r="BB3161" s="1"/>
      <c r="BC3161" s="1"/>
      <c r="BD3161" s="1"/>
      <c r="BE3161" s="1"/>
      <c r="BF3161" s="1"/>
      <c r="BG3161" s="1"/>
      <c r="BH3161" s="1"/>
      <c r="BI3161" s="1"/>
      <c r="BJ3161" s="1"/>
      <c r="BK3161" s="1"/>
      <c r="BL3161" s="1"/>
      <c r="BM3161" s="1"/>
      <c r="BN3161" s="1"/>
      <c r="BO3161" s="1" t="s">
        <v>50914</v>
      </c>
      <c r="BP3161" s="1"/>
      <c r="BQ3161" s="1"/>
      <c r="BR3161" s="1" t="s">
        <v>50915</v>
      </c>
      <c r="BS3161" s="1">
        <v>4</v>
      </c>
      <c r="BT3161" s="1"/>
      <c r="BU3161" s="1" t="str">
        <f>HYPERLINK("https://nconnect.nicmar.ac.in/storage/profile/6a8ca28192913.png","Download")</f>
        <v>0</v>
      </c>
      <c r="BV3161" s="3"/>
      <c r="BW3161" s="3"/>
    </row>
    <row r="3162" spans="1:75">
      <c r="A3162" s="1" t="s">
        <v>50745</v>
      </c>
      <c r="B3162" s="1" t="s">
        <v>50746</v>
      </c>
      <c r="C3162" s="1" t="s">
        <v>50916</v>
      </c>
      <c r="D3162" s="1" t="s">
        <v>50917</v>
      </c>
      <c r="E3162" s="1" t="s">
        <v>50918</v>
      </c>
      <c r="F3162" s="1" t="s">
        <v>50919</v>
      </c>
      <c r="G3162" s="1" t="s">
        <v>50920</v>
      </c>
      <c r="H3162" s="1" t="s">
        <v>50921</v>
      </c>
      <c r="I3162" s="1" t="s">
        <v>50921</v>
      </c>
      <c r="J3162" s="1">
        <v>7276742441</v>
      </c>
      <c r="K3162" s="1" t="s">
        <v>84</v>
      </c>
      <c r="L3162" s="1" t="s">
        <v>50922</v>
      </c>
      <c r="M3162" s="1" t="s">
        <v>86</v>
      </c>
      <c r="N3162" s="1" t="s">
        <v>19595</v>
      </c>
      <c r="O3162" s="1" t="s">
        <v>50923</v>
      </c>
      <c r="P3162" s="1" t="s">
        <v>16423</v>
      </c>
      <c r="Q3162" s="1">
        <v>764154754181</v>
      </c>
      <c r="R3162" s="1" t="s">
        <v>50918</v>
      </c>
      <c r="S3162" s="1">
        <v>9834988464</v>
      </c>
      <c r="T3162" s="1" t="s">
        <v>50924</v>
      </c>
      <c r="U3162" s="1" t="s">
        <v>24867</v>
      </c>
      <c r="V3162" s="1">
        <v>9604687811</v>
      </c>
      <c r="W3162" s="1" t="s">
        <v>14710</v>
      </c>
      <c r="X3162" s="1" t="s">
        <v>50925</v>
      </c>
      <c r="Y3162" s="1" t="s">
        <v>224</v>
      </c>
      <c r="Z3162" s="1" t="s">
        <v>97</v>
      </c>
      <c r="AA3162" s="1" t="s">
        <v>50926</v>
      </c>
      <c r="AB3162" s="1" t="s">
        <v>196</v>
      </c>
      <c r="AC3162" s="1" t="s">
        <v>97</v>
      </c>
      <c r="AD3162" s="1" t="s">
        <v>98</v>
      </c>
      <c r="AE3162" s="1" t="s">
        <v>98</v>
      </c>
      <c r="AF3162" s="1" t="s">
        <v>50927</v>
      </c>
      <c r="AG3162" s="1" t="s">
        <v>50928</v>
      </c>
      <c r="AH3162" s="1" t="s">
        <v>977</v>
      </c>
      <c r="AI3162" s="1" t="s">
        <v>2304</v>
      </c>
      <c r="AJ3162" s="1">
        <v>75.6</v>
      </c>
      <c r="AK3162" s="1"/>
      <c r="AL3162" s="1"/>
      <c r="AM3162" s="1"/>
      <c r="AN3162" s="1"/>
      <c r="AO3162" s="1"/>
      <c r="AP3162" s="1"/>
      <c r="AQ3162" s="1"/>
      <c r="AR3162" s="1"/>
      <c r="AS3162" s="1" t="s">
        <v>50929</v>
      </c>
      <c r="AT3162" s="1" t="s">
        <v>50930</v>
      </c>
      <c r="AU3162" s="1" t="s">
        <v>552</v>
      </c>
      <c r="AV3162" s="1" t="s">
        <v>7385</v>
      </c>
      <c r="AW3162" s="1">
        <v>71.42</v>
      </c>
      <c r="AX3162" s="1"/>
      <c r="AY3162" s="1" t="s">
        <v>50931</v>
      </c>
      <c r="AZ3162" s="1" t="s">
        <v>50932</v>
      </c>
      <c r="BA3162" s="1" t="s">
        <v>466</v>
      </c>
      <c r="BB3162" s="1" t="s">
        <v>467</v>
      </c>
      <c r="BC3162" s="1" t="s">
        <v>207</v>
      </c>
      <c r="BD3162" s="1" t="s">
        <v>43823</v>
      </c>
      <c r="BE3162" s="1">
        <v>70.58</v>
      </c>
      <c r="BF3162" s="1">
        <v>7.43</v>
      </c>
      <c r="BG3162" s="1"/>
      <c r="BH3162" s="1"/>
      <c r="BI3162" s="1"/>
      <c r="BJ3162" s="1"/>
      <c r="BK3162" s="1"/>
      <c r="BL3162" s="1"/>
      <c r="BM3162" s="1"/>
      <c r="BN3162" s="1"/>
      <c r="BO3162" s="1" t="s">
        <v>50933</v>
      </c>
      <c r="BP3162" s="1"/>
      <c r="BQ3162" s="1"/>
      <c r="BR3162" s="1" t="s">
        <v>50934</v>
      </c>
      <c r="BS3162" s="1">
        <v>4</v>
      </c>
      <c r="BT3162" s="1" t="s">
        <v>50935</v>
      </c>
      <c r="BU3162" s="1" t="str">
        <f>HYPERLINK("https://nconnect.nicmar.ac.in/storage/profile/6a870e41cfc2c.png","Download")</f>
        <v>0</v>
      </c>
      <c r="BV3162" s="3"/>
      <c r="BW3162" s="3"/>
    </row>
    <row r="3163" spans="1:75">
      <c r="A3163" s="1" t="s">
        <v>50745</v>
      </c>
      <c r="B3163" s="1" t="s">
        <v>50746</v>
      </c>
      <c r="C3163" s="1" t="s">
        <v>50936</v>
      </c>
      <c r="D3163" s="1"/>
      <c r="E3163" s="1"/>
      <c r="F3163" s="1"/>
      <c r="G3163" s="1"/>
      <c r="H3163" s="1" t="s">
        <v>50937</v>
      </c>
      <c r="I3163" s="1" t="s">
        <v>50937</v>
      </c>
      <c r="J3163" s="1"/>
      <c r="K3163" s="1"/>
      <c r="L3163" s="1"/>
      <c r="M3163" s="1"/>
      <c r="N3163" s="1"/>
      <c r="O3163" s="1"/>
      <c r="P3163" s="1"/>
      <c r="Q3163" s="1"/>
      <c r="R3163" s="1"/>
      <c r="S3163" s="1"/>
      <c r="T3163" s="1"/>
      <c r="U3163" s="1"/>
      <c r="V3163" s="1"/>
      <c r="W3163" s="1"/>
      <c r="X3163" s="1"/>
      <c r="Y3163" s="1"/>
      <c r="Z3163" s="1"/>
      <c r="AA3163" s="1"/>
      <c r="AB3163" s="1"/>
      <c r="AC3163" s="1"/>
      <c r="AD3163" s="1" t="s">
        <v>98</v>
      </c>
      <c r="AE3163" s="1" t="s">
        <v>98</v>
      </c>
      <c r="AF3163" s="1"/>
      <c r="AG3163" s="1"/>
      <c r="AH3163" s="1"/>
      <c r="AI3163" s="1"/>
      <c r="AJ3163" s="1"/>
      <c r="AK3163" s="1"/>
      <c r="AL3163" s="1"/>
      <c r="AM3163" s="1"/>
      <c r="AN3163" s="1"/>
      <c r="AO3163" s="1"/>
      <c r="AP3163" s="1"/>
      <c r="AQ3163" s="1"/>
      <c r="AR3163" s="1"/>
      <c r="AS3163" s="1"/>
      <c r="AT3163" s="1"/>
      <c r="AU3163" s="1"/>
      <c r="AV3163" s="1"/>
      <c r="AW3163" s="1"/>
      <c r="AX3163" s="1"/>
      <c r="AY3163" s="1"/>
      <c r="AZ3163" s="1"/>
      <c r="BA3163" s="1"/>
      <c r="BB3163" s="1"/>
      <c r="BC3163" s="1"/>
      <c r="BD3163" s="1"/>
      <c r="BE3163" s="1"/>
      <c r="BF3163" s="1"/>
      <c r="BG3163" s="1"/>
      <c r="BH3163" s="1"/>
      <c r="BI3163" s="1"/>
      <c r="BJ3163" s="1"/>
      <c r="BK3163" s="1"/>
      <c r="BL3163" s="1"/>
      <c r="BM3163" s="1"/>
      <c r="BN3163" s="1"/>
      <c r="BO3163" s="1"/>
      <c r="BP3163" s="1"/>
      <c r="BQ3163" s="1"/>
      <c r="BR3163" s="1"/>
      <c r="BS3163" s="1"/>
      <c r="BT3163" s="1"/>
      <c r="BU3163" s="1" t="s">
        <v>9653</v>
      </c>
      <c r="BV3163" s="3"/>
      <c r="BW3163" s="3"/>
    </row>
    <row r="3164" spans="1:75">
      <c r="A3164" s="1" t="s">
        <v>50745</v>
      </c>
      <c r="B3164" s="1" t="s">
        <v>50746</v>
      </c>
      <c r="C3164" s="1" t="s">
        <v>50938</v>
      </c>
      <c r="D3164" s="1" t="s">
        <v>22780</v>
      </c>
      <c r="E3164" s="1" t="s">
        <v>50939</v>
      </c>
      <c r="F3164" s="1" t="s">
        <v>50940</v>
      </c>
      <c r="G3164" s="1" t="s">
        <v>50941</v>
      </c>
      <c r="H3164" s="1" t="s">
        <v>50942</v>
      </c>
      <c r="I3164" s="1" t="s">
        <v>50943</v>
      </c>
      <c r="J3164" s="1">
        <v>9699451867</v>
      </c>
      <c r="K3164" s="1" t="s">
        <v>84</v>
      </c>
      <c r="L3164" s="1" t="s">
        <v>50944</v>
      </c>
      <c r="M3164" s="1" t="s">
        <v>86</v>
      </c>
      <c r="N3164" s="1" t="s">
        <v>50945</v>
      </c>
      <c r="O3164" s="1" t="s">
        <v>50946</v>
      </c>
      <c r="P3164" s="1" t="s">
        <v>219</v>
      </c>
      <c r="Q3164" s="1">
        <v>383935947795</v>
      </c>
      <c r="R3164" s="1" t="s">
        <v>50947</v>
      </c>
      <c r="S3164" s="1">
        <v>9922501723</v>
      </c>
      <c r="T3164" s="1" t="s">
        <v>50948</v>
      </c>
      <c r="U3164" s="1" t="s">
        <v>50949</v>
      </c>
      <c r="V3164" s="1">
        <v>9765866077</v>
      </c>
      <c r="W3164" s="1" t="s">
        <v>49160</v>
      </c>
      <c r="X3164" s="1" t="s">
        <v>50950</v>
      </c>
      <c r="Y3164" s="1" t="s">
        <v>196</v>
      </c>
      <c r="Z3164" s="1" t="s">
        <v>97</v>
      </c>
      <c r="AA3164" s="1" t="s">
        <v>50950</v>
      </c>
      <c r="AB3164" s="1" t="s">
        <v>196</v>
      </c>
      <c r="AC3164" s="1" t="s">
        <v>97</v>
      </c>
      <c r="AD3164" s="1" t="s">
        <v>98</v>
      </c>
      <c r="AE3164" s="1" t="s">
        <v>98</v>
      </c>
      <c r="AF3164" s="1" t="s">
        <v>50951</v>
      </c>
      <c r="AG3164" s="1" t="s">
        <v>50952</v>
      </c>
      <c r="AH3164" s="1" t="s">
        <v>178</v>
      </c>
      <c r="AI3164" s="1" t="s">
        <v>2304</v>
      </c>
      <c r="AJ3164" s="1">
        <v>74.3</v>
      </c>
      <c r="AK3164" s="1">
        <v>7.82</v>
      </c>
      <c r="AL3164" s="1"/>
      <c r="AM3164" s="1"/>
      <c r="AN3164" s="1"/>
      <c r="AO3164" s="1"/>
      <c r="AP3164" s="1"/>
      <c r="AQ3164" s="1"/>
      <c r="AR3164" s="1"/>
      <c r="AS3164" s="1" t="s">
        <v>14656</v>
      </c>
      <c r="AT3164" s="1" t="s">
        <v>50953</v>
      </c>
      <c r="AU3164" s="1" t="s">
        <v>606</v>
      </c>
      <c r="AV3164" s="1" t="s">
        <v>1314</v>
      </c>
      <c r="AW3164" s="1">
        <v>85.26</v>
      </c>
      <c r="AX3164" s="1">
        <v>8.97</v>
      </c>
      <c r="AY3164" s="1"/>
      <c r="AZ3164" s="1"/>
      <c r="BA3164" s="1"/>
      <c r="BB3164" s="1"/>
      <c r="BC3164" s="1"/>
      <c r="BD3164" s="1"/>
      <c r="BE3164" s="1"/>
      <c r="BF3164" s="1"/>
      <c r="BG3164" s="1"/>
      <c r="BH3164" s="1"/>
      <c r="BI3164" s="1"/>
      <c r="BJ3164" s="1"/>
      <c r="BK3164" s="1"/>
      <c r="BL3164" s="1"/>
      <c r="BM3164" s="1"/>
      <c r="BN3164" s="1"/>
      <c r="BO3164" s="1" t="s">
        <v>50954</v>
      </c>
      <c r="BP3164" s="1"/>
      <c r="BQ3164" s="1"/>
      <c r="BR3164" s="1" t="s">
        <v>50955</v>
      </c>
      <c r="BS3164" s="1">
        <v>8</v>
      </c>
      <c r="BT3164" s="1" t="s">
        <v>50956</v>
      </c>
      <c r="BU3164" s="1" t="str">
        <f>HYPERLINK("https://nconnect.nicmar.ac.in/storage/profile/6a8fe5262ef3d.png","Download")</f>
        <v>0</v>
      </c>
      <c r="BV3164" s="3"/>
      <c r="BW3164" s="3"/>
    </row>
    <row r="3165" spans="1:75">
      <c r="A3165" s="1" t="s">
        <v>50745</v>
      </c>
      <c r="B3165" s="1" t="s">
        <v>50746</v>
      </c>
      <c r="C3165" s="1" t="s">
        <v>50957</v>
      </c>
      <c r="D3165" s="1"/>
      <c r="E3165" s="1"/>
      <c r="F3165" s="1"/>
      <c r="G3165" s="1"/>
      <c r="H3165" s="1" t="s">
        <v>50958</v>
      </c>
      <c r="I3165" s="1" t="s">
        <v>50958</v>
      </c>
      <c r="J3165" s="1"/>
      <c r="K3165" s="1"/>
      <c r="L3165" s="1"/>
      <c r="M3165" s="1"/>
      <c r="N3165" s="1"/>
      <c r="O3165" s="1"/>
      <c r="P3165" s="1"/>
      <c r="Q3165" s="1"/>
      <c r="R3165" s="1"/>
      <c r="S3165" s="1"/>
      <c r="T3165" s="1"/>
      <c r="U3165" s="1"/>
      <c r="V3165" s="1"/>
      <c r="W3165" s="1"/>
      <c r="X3165" s="1"/>
      <c r="Y3165" s="1"/>
      <c r="Z3165" s="1"/>
      <c r="AA3165" s="1"/>
      <c r="AB3165" s="1"/>
      <c r="AC3165" s="1"/>
      <c r="AD3165" s="1" t="s">
        <v>98</v>
      </c>
      <c r="AE3165" s="1" t="s">
        <v>98</v>
      </c>
      <c r="AF3165" s="1"/>
      <c r="AG3165" s="1"/>
      <c r="AH3165" s="1"/>
      <c r="AI3165" s="1"/>
      <c r="AJ3165" s="1"/>
      <c r="AK3165" s="1"/>
      <c r="AL3165" s="1"/>
      <c r="AM3165" s="1"/>
      <c r="AN3165" s="1"/>
      <c r="AO3165" s="1"/>
      <c r="AP3165" s="1"/>
      <c r="AQ3165" s="1"/>
      <c r="AR3165" s="1"/>
      <c r="AS3165" s="1"/>
      <c r="AT3165" s="1"/>
      <c r="AU3165" s="1"/>
      <c r="AV3165" s="1"/>
      <c r="AW3165" s="1"/>
      <c r="AX3165" s="1"/>
      <c r="AY3165" s="1"/>
      <c r="AZ3165" s="1"/>
      <c r="BA3165" s="1"/>
      <c r="BB3165" s="1"/>
      <c r="BC3165" s="1"/>
      <c r="BD3165" s="1"/>
      <c r="BE3165" s="1"/>
      <c r="BF3165" s="1"/>
      <c r="BG3165" s="1"/>
      <c r="BH3165" s="1"/>
      <c r="BI3165" s="1"/>
      <c r="BJ3165" s="1"/>
      <c r="BK3165" s="1"/>
      <c r="BL3165" s="1"/>
      <c r="BM3165" s="1"/>
      <c r="BN3165" s="1"/>
      <c r="BO3165" s="1"/>
      <c r="BP3165" s="1"/>
      <c r="BQ3165" s="1"/>
      <c r="BR3165" s="1"/>
      <c r="BS3165" s="1"/>
      <c r="BT3165" s="1"/>
      <c r="BU3165" s="1" t="s">
        <v>9653</v>
      </c>
      <c r="BV3165" s="3"/>
      <c r="BW3165" s="3"/>
    </row>
    <row r="3166" spans="1:75">
      <c r="A3166" s="1" t="s">
        <v>50745</v>
      </c>
      <c r="B3166" s="1" t="s">
        <v>50746</v>
      </c>
      <c r="C3166" s="1" t="s">
        <v>50959</v>
      </c>
      <c r="D3166" s="1"/>
      <c r="E3166" s="1"/>
      <c r="F3166" s="1"/>
      <c r="G3166" s="1"/>
      <c r="H3166" s="1" t="s">
        <v>50960</v>
      </c>
      <c r="I3166" s="1" t="s">
        <v>50960</v>
      </c>
      <c r="J3166" s="1"/>
      <c r="K3166" s="1"/>
      <c r="L3166" s="1"/>
      <c r="M3166" s="1"/>
      <c r="N3166" s="1"/>
      <c r="O3166" s="1"/>
      <c r="P3166" s="1"/>
      <c r="Q3166" s="1"/>
      <c r="R3166" s="1"/>
      <c r="S3166" s="1"/>
      <c r="T3166" s="1"/>
      <c r="U3166" s="1"/>
      <c r="V3166" s="1"/>
      <c r="W3166" s="1"/>
      <c r="X3166" s="1"/>
      <c r="Y3166" s="1"/>
      <c r="Z3166" s="1"/>
      <c r="AA3166" s="1"/>
      <c r="AB3166" s="1"/>
      <c r="AC3166" s="1"/>
      <c r="AD3166" s="1" t="s">
        <v>98</v>
      </c>
      <c r="AE3166" s="1" t="s">
        <v>98</v>
      </c>
      <c r="AF3166" s="1"/>
      <c r="AG3166" s="1"/>
      <c r="AH3166" s="1"/>
      <c r="AI3166" s="1"/>
      <c r="AJ3166" s="1"/>
      <c r="AK3166" s="1"/>
      <c r="AL3166" s="1"/>
      <c r="AM3166" s="1"/>
      <c r="AN3166" s="1"/>
      <c r="AO3166" s="1"/>
      <c r="AP3166" s="1"/>
      <c r="AQ3166" s="1"/>
      <c r="AR3166" s="1"/>
      <c r="AS3166" s="1"/>
      <c r="AT3166" s="1"/>
      <c r="AU3166" s="1"/>
      <c r="AV3166" s="1"/>
      <c r="AW3166" s="1"/>
      <c r="AX3166" s="1"/>
      <c r="AY3166" s="1"/>
      <c r="AZ3166" s="1"/>
      <c r="BA3166" s="1"/>
      <c r="BB3166" s="1"/>
      <c r="BC3166" s="1"/>
      <c r="BD3166" s="1"/>
      <c r="BE3166" s="1"/>
      <c r="BF3166" s="1"/>
      <c r="BG3166" s="1"/>
      <c r="BH3166" s="1"/>
      <c r="BI3166" s="1"/>
      <c r="BJ3166" s="1"/>
      <c r="BK3166" s="1"/>
      <c r="BL3166" s="1"/>
      <c r="BM3166" s="1"/>
      <c r="BN3166" s="1"/>
      <c r="BO3166" s="1"/>
      <c r="BP3166" s="1"/>
      <c r="BQ3166" s="1"/>
      <c r="BR3166" s="1"/>
      <c r="BS3166" s="1"/>
      <c r="BT3166" s="1"/>
      <c r="BU3166" s="1" t="s">
        <v>9653</v>
      </c>
      <c r="BV3166" s="3"/>
      <c r="BW3166" s="3"/>
    </row>
    <row r="3167" spans="1:75">
      <c r="A3167" s="1" t="s">
        <v>50745</v>
      </c>
      <c r="B3167" s="1" t="s">
        <v>50746</v>
      </c>
      <c r="C3167" s="1" t="s">
        <v>50961</v>
      </c>
      <c r="D3167" s="1"/>
      <c r="E3167" s="1"/>
      <c r="F3167" s="1"/>
      <c r="G3167" s="1"/>
      <c r="H3167" s="1" t="s">
        <v>50962</v>
      </c>
      <c r="I3167" s="1" t="s">
        <v>50962</v>
      </c>
      <c r="J3167" s="1"/>
      <c r="K3167" s="1"/>
      <c r="L3167" s="1"/>
      <c r="M3167" s="1"/>
      <c r="N3167" s="1"/>
      <c r="O3167" s="1"/>
      <c r="P3167" s="1"/>
      <c r="Q3167" s="1"/>
      <c r="R3167" s="1"/>
      <c r="S3167" s="1"/>
      <c r="T3167" s="1"/>
      <c r="U3167" s="1"/>
      <c r="V3167" s="1"/>
      <c r="W3167" s="1"/>
      <c r="X3167" s="1"/>
      <c r="Y3167" s="1"/>
      <c r="Z3167" s="1"/>
      <c r="AA3167" s="1"/>
      <c r="AB3167" s="1"/>
      <c r="AC3167" s="1"/>
      <c r="AD3167" s="1" t="s">
        <v>98</v>
      </c>
      <c r="AE3167" s="1" t="s">
        <v>98</v>
      </c>
      <c r="AF3167" s="1"/>
      <c r="AG3167" s="1"/>
      <c r="AH3167" s="1"/>
      <c r="AI3167" s="1"/>
      <c r="AJ3167" s="1"/>
      <c r="AK3167" s="1"/>
      <c r="AL3167" s="1"/>
      <c r="AM3167" s="1"/>
      <c r="AN3167" s="1"/>
      <c r="AO3167" s="1"/>
      <c r="AP3167" s="1"/>
      <c r="AQ3167" s="1"/>
      <c r="AR3167" s="1"/>
      <c r="AS3167" s="1"/>
      <c r="AT3167" s="1"/>
      <c r="AU3167" s="1"/>
      <c r="AV3167" s="1"/>
      <c r="AW3167" s="1"/>
      <c r="AX3167" s="1"/>
      <c r="AY3167" s="1"/>
      <c r="AZ3167" s="1"/>
      <c r="BA3167" s="1"/>
      <c r="BB3167" s="1"/>
      <c r="BC3167" s="1"/>
      <c r="BD3167" s="1"/>
      <c r="BE3167" s="1"/>
      <c r="BF3167" s="1"/>
      <c r="BG3167" s="1"/>
      <c r="BH3167" s="1"/>
      <c r="BI3167" s="1"/>
      <c r="BJ3167" s="1"/>
      <c r="BK3167" s="1"/>
      <c r="BL3167" s="1"/>
      <c r="BM3167" s="1"/>
      <c r="BN3167" s="1"/>
      <c r="BO3167" s="1"/>
      <c r="BP3167" s="1"/>
      <c r="BQ3167" s="1"/>
      <c r="BR3167" s="1"/>
      <c r="BS3167" s="1"/>
      <c r="BT3167" s="1"/>
      <c r="BU3167" s="1" t="s">
        <v>9653</v>
      </c>
      <c r="BV3167" s="3"/>
      <c r="BW3167" s="3"/>
    </row>
    <row r="3168" spans="1:75">
      <c r="A3168" s="1" t="s">
        <v>50745</v>
      </c>
      <c r="B3168" s="1" t="s">
        <v>50746</v>
      </c>
      <c r="C3168" s="1" t="s">
        <v>50963</v>
      </c>
      <c r="D3168" s="1"/>
      <c r="E3168" s="1"/>
      <c r="F3168" s="1"/>
      <c r="G3168" s="1"/>
      <c r="H3168" s="1" t="s">
        <v>50964</v>
      </c>
      <c r="I3168" s="1" t="s">
        <v>50964</v>
      </c>
      <c r="J3168" s="1"/>
      <c r="K3168" s="1"/>
      <c r="L3168" s="1"/>
      <c r="M3168" s="1"/>
      <c r="N3168" s="1"/>
      <c r="O3168" s="1"/>
      <c r="P3168" s="1"/>
      <c r="Q3168" s="1"/>
      <c r="R3168" s="1"/>
      <c r="S3168" s="1"/>
      <c r="T3168" s="1"/>
      <c r="U3168" s="1"/>
      <c r="V3168" s="1"/>
      <c r="W3168" s="1"/>
      <c r="X3168" s="1"/>
      <c r="Y3168" s="1"/>
      <c r="Z3168" s="1"/>
      <c r="AA3168" s="1"/>
      <c r="AB3168" s="1"/>
      <c r="AC3168" s="1"/>
      <c r="AD3168" s="1" t="s">
        <v>98</v>
      </c>
      <c r="AE3168" s="1" t="s">
        <v>98</v>
      </c>
      <c r="AF3168" s="1"/>
      <c r="AG3168" s="1"/>
      <c r="AH3168" s="1"/>
      <c r="AI3168" s="1"/>
      <c r="AJ3168" s="1"/>
      <c r="AK3168" s="1"/>
      <c r="AL3168" s="1"/>
      <c r="AM3168" s="1"/>
      <c r="AN3168" s="1"/>
      <c r="AO3168" s="1"/>
      <c r="AP3168" s="1"/>
      <c r="AQ3168" s="1"/>
      <c r="AR3168" s="1"/>
      <c r="AS3168" s="1"/>
      <c r="AT3168" s="1"/>
      <c r="AU3168" s="1"/>
      <c r="AV3168" s="1"/>
      <c r="AW3168" s="1"/>
      <c r="AX3168" s="1"/>
      <c r="AY3168" s="1"/>
      <c r="AZ3168" s="1"/>
      <c r="BA3168" s="1"/>
      <c r="BB3168" s="1"/>
      <c r="BC3168" s="1"/>
      <c r="BD3168" s="1"/>
      <c r="BE3168" s="1"/>
      <c r="BF3168" s="1"/>
      <c r="BG3168" s="1"/>
      <c r="BH3168" s="1"/>
      <c r="BI3168" s="1"/>
      <c r="BJ3168" s="1"/>
      <c r="BK3168" s="1"/>
      <c r="BL3168" s="1"/>
      <c r="BM3168" s="1"/>
      <c r="BN3168" s="1"/>
      <c r="BO3168" s="1"/>
      <c r="BP3168" s="1"/>
      <c r="BQ3168" s="1"/>
      <c r="BR3168" s="1"/>
      <c r="BS3168" s="1"/>
      <c r="BT3168" s="1"/>
      <c r="BU3168" s="1" t="s">
        <v>9653</v>
      </c>
      <c r="BV3168" s="3"/>
      <c r="BW3168" s="3"/>
    </row>
    <row r="3169" spans="1:75">
      <c r="A3169" s="1" t="s">
        <v>50965</v>
      </c>
      <c r="B3169" s="1" t="s">
        <v>50966</v>
      </c>
      <c r="C3169" s="1" t="s">
        <v>50967</v>
      </c>
      <c r="D3169" s="1" t="s">
        <v>3502</v>
      </c>
      <c r="E3169" s="1" t="s">
        <v>50968</v>
      </c>
      <c r="F3169" s="1" t="s">
        <v>50969</v>
      </c>
      <c r="G3169" s="1" t="s">
        <v>50970</v>
      </c>
      <c r="H3169" s="1" t="s">
        <v>50971</v>
      </c>
      <c r="I3169" s="1" t="s">
        <v>50972</v>
      </c>
      <c r="J3169" s="1">
        <v>9699183378</v>
      </c>
      <c r="K3169" s="1" t="s">
        <v>153</v>
      </c>
      <c r="L3169" s="1" t="s">
        <v>22115</v>
      </c>
      <c r="M3169" s="1" t="s">
        <v>86</v>
      </c>
      <c r="N3169" s="1" t="s">
        <v>618</v>
      </c>
      <c r="O3169" s="1"/>
      <c r="P3169" s="1" t="s">
        <v>455</v>
      </c>
      <c r="Q3169" s="1" t="s">
        <v>50973</v>
      </c>
      <c r="R3169" s="1" t="s">
        <v>50974</v>
      </c>
      <c r="S3169" s="1">
        <v>9822720770</v>
      </c>
      <c r="T3169" s="1" t="s">
        <v>125</v>
      </c>
      <c r="U3169" s="1" t="s">
        <v>50975</v>
      </c>
      <c r="V3169" s="1">
        <v>9604590436</v>
      </c>
      <c r="W3169" s="1" t="s">
        <v>125</v>
      </c>
      <c r="X3169" s="1" t="s">
        <v>50976</v>
      </c>
      <c r="Y3169" s="1" t="s">
        <v>333</v>
      </c>
      <c r="Z3169" s="1" t="s">
        <v>97</v>
      </c>
      <c r="AA3169" s="1" t="s">
        <v>50977</v>
      </c>
      <c r="AB3169" s="1" t="s">
        <v>196</v>
      </c>
      <c r="AC3169" s="1" t="s">
        <v>97</v>
      </c>
      <c r="AD3169" s="1" t="s">
        <v>98</v>
      </c>
      <c r="AE3169" s="1" t="s">
        <v>98</v>
      </c>
      <c r="AF3169" s="1" t="s">
        <v>50978</v>
      </c>
      <c r="AG3169" s="1" t="s">
        <v>312</v>
      </c>
      <c r="AH3169" s="1" t="s">
        <v>313</v>
      </c>
      <c r="AI3169" s="1" t="s">
        <v>178</v>
      </c>
      <c r="AJ3169" s="1">
        <v>67.4</v>
      </c>
      <c r="AK3169" s="1"/>
      <c r="AL3169" s="1" t="s">
        <v>50979</v>
      </c>
      <c r="AM3169" s="1" t="s">
        <v>1968</v>
      </c>
      <c r="AN3169" s="1"/>
      <c r="AO3169" s="1" t="s">
        <v>847</v>
      </c>
      <c r="AP3169" s="1" t="s">
        <v>1886</v>
      </c>
      <c r="AQ3169" s="1">
        <v>75.67</v>
      </c>
      <c r="AR3169" s="1"/>
      <c r="AS3169" s="1"/>
      <c r="AT3169" s="1"/>
      <c r="AU3169" s="1"/>
      <c r="AV3169" s="1"/>
      <c r="AW3169" s="1"/>
      <c r="AX3169" s="1"/>
      <c r="AY3169" s="1"/>
      <c r="AZ3169" s="1"/>
      <c r="BA3169" s="1"/>
      <c r="BB3169" s="1"/>
      <c r="BC3169" s="1"/>
      <c r="BD3169" s="1"/>
      <c r="BE3169" s="1"/>
      <c r="BF3169" s="1"/>
      <c r="BG3169" s="1"/>
      <c r="BH3169" s="1"/>
      <c r="BI3169" s="1"/>
      <c r="BJ3169" s="1"/>
      <c r="BK3169" s="1"/>
      <c r="BL3169" s="1"/>
      <c r="BM3169" s="1"/>
      <c r="BN3169" s="1"/>
      <c r="BO3169" s="1" t="s">
        <v>50980</v>
      </c>
      <c r="BP3169" s="1"/>
      <c r="BQ3169" s="1"/>
      <c r="BR3169" s="1" t="s">
        <v>50981</v>
      </c>
      <c r="BS3169" s="1">
        <v>4</v>
      </c>
      <c r="BT3169" s="1" t="s">
        <v>50982</v>
      </c>
      <c r="BU3169" s="1" t="str">
        <f>HYPERLINK("https://nconnect.nicmar.ac.in/storage/profile/ProfilePhoto_P2201004_421385.jpg","Download")</f>
        <v>0</v>
      </c>
      <c r="BV3169" s="3"/>
      <c r="BW3169" s="3"/>
    </row>
    <row r="3170" spans="1:75">
      <c r="A3170" s="1" t="s">
        <v>50965</v>
      </c>
      <c r="B3170" s="1" t="s">
        <v>50966</v>
      </c>
      <c r="C3170" s="1" t="s">
        <v>50983</v>
      </c>
      <c r="D3170" s="1" t="s">
        <v>35296</v>
      </c>
      <c r="E3170" s="1" t="s">
        <v>4966</v>
      </c>
      <c r="F3170" s="1" t="s">
        <v>50984</v>
      </c>
      <c r="G3170" s="1" t="s">
        <v>50985</v>
      </c>
      <c r="H3170" s="1" t="s">
        <v>50986</v>
      </c>
      <c r="I3170" s="1" t="s">
        <v>50987</v>
      </c>
      <c r="J3170" s="1">
        <v>9509493345</v>
      </c>
      <c r="K3170" s="1" t="s">
        <v>84</v>
      </c>
      <c r="L3170" s="1" t="s">
        <v>46170</v>
      </c>
      <c r="M3170" s="1" t="s">
        <v>86</v>
      </c>
      <c r="N3170" s="1" t="s">
        <v>3500</v>
      </c>
      <c r="O3170" s="1"/>
      <c r="P3170" s="1" t="s">
        <v>507</v>
      </c>
      <c r="Q3170" s="1" t="s">
        <v>50988</v>
      </c>
      <c r="R3170" s="1" t="s">
        <v>50989</v>
      </c>
      <c r="S3170" s="1">
        <v>9413108318</v>
      </c>
      <c r="T3170" s="1" t="s">
        <v>50990</v>
      </c>
      <c r="U3170" s="1" t="s">
        <v>50991</v>
      </c>
      <c r="V3170" s="1">
        <v>9413108318</v>
      </c>
      <c r="W3170" s="1" t="s">
        <v>161</v>
      </c>
      <c r="X3170" s="1" t="s">
        <v>50992</v>
      </c>
      <c r="Y3170" s="1" t="s">
        <v>21151</v>
      </c>
      <c r="Z3170" s="1" t="s">
        <v>2153</v>
      </c>
      <c r="AA3170" s="1" t="s">
        <v>50992</v>
      </c>
      <c r="AB3170" s="1" t="s">
        <v>21151</v>
      </c>
      <c r="AC3170" s="1" t="s">
        <v>2153</v>
      </c>
      <c r="AD3170" s="1" t="s">
        <v>98</v>
      </c>
      <c r="AE3170" s="1" t="s">
        <v>98</v>
      </c>
      <c r="AF3170" s="1" t="s">
        <v>50993</v>
      </c>
      <c r="AG3170" s="1" t="s">
        <v>50994</v>
      </c>
      <c r="AH3170" s="1" t="s">
        <v>977</v>
      </c>
      <c r="AI3170" s="1" t="s">
        <v>441</v>
      </c>
      <c r="AJ3170" s="1">
        <v>76</v>
      </c>
      <c r="AK3170" s="1"/>
      <c r="AL3170" s="1" t="s">
        <v>50995</v>
      </c>
      <c r="AM3170" s="1" t="s">
        <v>50994</v>
      </c>
      <c r="AN3170" s="1"/>
      <c r="AO3170" s="1" t="s">
        <v>521</v>
      </c>
      <c r="AP3170" s="1" t="s">
        <v>955</v>
      </c>
      <c r="AQ3170" s="1">
        <v>67.6</v>
      </c>
      <c r="AR3170" s="1"/>
      <c r="AS3170" s="1"/>
      <c r="AT3170" s="1"/>
      <c r="AU3170" s="1"/>
      <c r="AV3170" s="1"/>
      <c r="AW3170" s="1"/>
      <c r="AX3170" s="1"/>
      <c r="AY3170" s="1"/>
      <c r="AZ3170" s="1"/>
      <c r="BA3170" s="1"/>
      <c r="BB3170" s="1"/>
      <c r="BC3170" s="1"/>
      <c r="BD3170" s="1"/>
      <c r="BE3170" s="1"/>
      <c r="BF3170" s="1"/>
      <c r="BG3170" s="1"/>
      <c r="BH3170" s="1"/>
      <c r="BI3170" s="1"/>
      <c r="BJ3170" s="1"/>
      <c r="BK3170" s="1"/>
      <c r="BL3170" s="1"/>
      <c r="BM3170" s="1"/>
      <c r="BN3170" s="1"/>
      <c r="BO3170" s="1" t="s">
        <v>50996</v>
      </c>
      <c r="BP3170" s="1"/>
      <c r="BQ3170" s="1"/>
      <c r="BR3170" s="1" t="s">
        <v>50997</v>
      </c>
      <c r="BS3170" s="1">
        <v>12</v>
      </c>
      <c r="BT3170" s="1"/>
      <c r="BU3170" s="1" t="str">
        <f>HYPERLINK("https://nconnect.nicmar.ac.in/storage/profile/ProfilePhoto_P2367001 _846157.jpg","Download")</f>
        <v>0</v>
      </c>
      <c r="BV3170" s="3"/>
      <c r="BW3170" s="3"/>
    </row>
    <row r="3171" spans="1:75">
      <c r="A3171" s="1" t="s">
        <v>50965</v>
      </c>
      <c r="B3171" s="1" t="s">
        <v>50966</v>
      </c>
      <c r="C3171" s="1" t="s">
        <v>50998</v>
      </c>
      <c r="D3171" s="1" t="s">
        <v>11255</v>
      </c>
      <c r="E3171" s="1" t="s">
        <v>50999</v>
      </c>
      <c r="F3171" s="1" t="s">
        <v>8106</v>
      </c>
      <c r="G3171" s="1" t="s">
        <v>51000</v>
      </c>
      <c r="H3171" s="1" t="s">
        <v>51001</v>
      </c>
      <c r="I3171" s="1" t="s">
        <v>51002</v>
      </c>
      <c r="J3171" s="1">
        <v>9890711789</v>
      </c>
      <c r="K3171" s="1" t="s">
        <v>84</v>
      </c>
      <c r="L3171" s="1" t="s">
        <v>50905</v>
      </c>
      <c r="M3171" s="1" t="s">
        <v>86</v>
      </c>
      <c r="N3171" s="1" t="s">
        <v>2433</v>
      </c>
      <c r="O3171" s="1"/>
      <c r="P3171" s="1" t="s">
        <v>5904</v>
      </c>
      <c r="Q3171" s="1" t="s">
        <v>51003</v>
      </c>
      <c r="R3171" s="1" t="s">
        <v>50999</v>
      </c>
      <c r="S3171" s="1">
        <v>9689008449</v>
      </c>
      <c r="T3171" s="1" t="s">
        <v>51004</v>
      </c>
      <c r="U3171" s="1" t="s">
        <v>51005</v>
      </c>
      <c r="V3171" s="1">
        <v>9689008449</v>
      </c>
      <c r="W3171" s="1" t="s">
        <v>51006</v>
      </c>
      <c r="X3171" s="1" t="s">
        <v>51007</v>
      </c>
      <c r="Y3171" s="1" t="s">
        <v>196</v>
      </c>
      <c r="Z3171" s="1" t="s">
        <v>97</v>
      </c>
      <c r="AA3171" s="1" t="s">
        <v>51007</v>
      </c>
      <c r="AB3171" s="1" t="s">
        <v>196</v>
      </c>
      <c r="AC3171" s="1" t="s">
        <v>97</v>
      </c>
      <c r="AD3171" s="1" t="s">
        <v>98</v>
      </c>
      <c r="AE3171" s="1" t="s">
        <v>98</v>
      </c>
      <c r="AF3171" s="1" t="s">
        <v>51008</v>
      </c>
      <c r="AG3171" s="1" t="s">
        <v>363</v>
      </c>
      <c r="AH3171" s="1" t="s">
        <v>438</v>
      </c>
      <c r="AI3171" s="1" t="s">
        <v>441</v>
      </c>
      <c r="AJ3171" s="1">
        <v>83.2</v>
      </c>
      <c r="AK3171" s="1">
        <v>0</v>
      </c>
      <c r="AL3171" s="1" t="s">
        <v>35185</v>
      </c>
      <c r="AM3171" s="1" t="s">
        <v>363</v>
      </c>
      <c r="AN3171" s="1"/>
      <c r="AO3171" s="1" t="s">
        <v>552</v>
      </c>
      <c r="AP3171" s="1" t="s">
        <v>234</v>
      </c>
      <c r="AQ3171" s="1">
        <v>70.83</v>
      </c>
      <c r="AR3171" s="1">
        <v>0</v>
      </c>
      <c r="AS3171" s="1"/>
      <c r="AT3171" s="1"/>
      <c r="AU3171" s="1"/>
      <c r="AV3171" s="1"/>
      <c r="AW3171" s="1"/>
      <c r="AX3171" s="1"/>
      <c r="AY3171" s="1"/>
      <c r="AZ3171" s="1"/>
      <c r="BA3171" s="1"/>
      <c r="BB3171" s="1"/>
      <c r="BC3171" s="1"/>
      <c r="BD3171" s="1"/>
      <c r="BE3171" s="1"/>
      <c r="BF3171" s="1"/>
      <c r="BG3171" s="1"/>
      <c r="BH3171" s="1"/>
      <c r="BI3171" s="1"/>
      <c r="BJ3171" s="1"/>
      <c r="BK3171" s="1"/>
      <c r="BL3171" s="1"/>
      <c r="BM3171" s="1"/>
      <c r="BN3171" s="1"/>
      <c r="BO3171" s="1" t="s">
        <v>51009</v>
      </c>
      <c r="BP3171" s="1"/>
      <c r="BQ3171" s="1"/>
      <c r="BR3171" s="1" t="s">
        <v>51010</v>
      </c>
      <c r="BS3171" s="1">
        <v>8</v>
      </c>
      <c r="BT3171" s="1"/>
      <c r="BU3171" s="1" t="str">
        <f>HYPERLINK("https://nconnect.nicmar.ac.in/storage/profile/ProfilePhoto_P2367002_857926.jpg","Download")</f>
        <v>0</v>
      </c>
      <c r="BV3171" s="3"/>
      <c r="BW3171" s="3"/>
    </row>
    <row r="3172" spans="1:75">
      <c r="A3172" s="1" t="s">
        <v>50965</v>
      </c>
      <c r="B3172" s="1" t="s">
        <v>50966</v>
      </c>
      <c r="C3172" s="1" t="s">
        <v>51011</v>
      </c>
      <c r="D3172" s="1" t="s">
        <v>6742</v>
      </c>
      <c r="E3172" s="1" t="s">
        <v>1294</v>
      </c>
      <c r="F3172" s="1" t="s">
        <v>51012</v>
      </c>
      <c r="G3172" s="1" t="s">
        <v>51013</v>
      </c>
      <c r="H3172" s="1" t="s">
        <v>51014</v>
      </c>
      <c r="I3172" s="1" t="s">
        <v>51015</v>
      </c>
      <c r="J3172" s="1">
        <v>9823735208</v>
      </c>
      <c r="K3172" s="1" t="s">
        <v>84</v>
      </c>
      <c r="L3172" s="1" t="s">
        <v>22300</v>
      </c>
      <c r="M3172" s="1" t="s">
        <v>86</v>
      </c>
      <c r="N3172" s="1" t="s">
        <v>51016</v>
      </c>
      <c r="O3172" s="1"/>
      <c r="P3172" s="1" t="s">
        <v>455</v>
      </c>
      <c r="Q3172" s="1" t="s">
        <v>51017</v>
      </c>
      <c r="R3172" s="1" t="s">
        <v>51018</v>
      </c>
      <c r="S3172" s="1">
        <v>9823015208</v>
      </c>
      <c r="T3172" s="1" t="s">
        <v>1620</v>
      </c>
      <c r="U3172" s="1" t="s">
        <v>51019</v>
      </c>
      <c r="V3172" s="1">
        <v>9764429571</v>
      </c>
      <c r="W3172" s="1" t="s">
        <v>1620</v>
      </c>
      <c r="X3172" s="1" t="s">
        <v>51020</v>
      </c>
      <c r="Y3172" s="1" t="s">
        <v>196</v>
      </c>
      <c r="Z3172" s="1" t="s">
        <v>97</v>
      </c>
      <c r="AA3172" s="1" t="s">
        <v>51020</v>
      </c>
      <c r="AB3172" s="1" t="s">
        <v>196</v>
      </c>
      <c r="AC3172" s="1" t="s">
        <v>97</v>
      </c>
      <c r="AD3172" s="1" t="s">
        <v>98</v>
      </c>
      <c r="AE3172" s="1" t="s">
        <v>98</v>
      </c>
      <c r="AF3172" s="1" t="s">
        <v>41306</v>
      </c>
      <c r="AG3172" s="1" t="s">
        <v>11984</v>
      </c>
      <c r="AH3172" s="1" t="s">
        <v>547</v>
      </c>
      <c r="AI3172" s="1" t="s">
        <v>178</v>
      </c>
      <c r="AJ3172" s="1">
        <v>63.4</v>
      </c>
      <c r="AK3172" s="1"/>
      <c r="AL3172" s="1" t="s">
        <v>51021</v>
      </c>
      <c r="AM3172" s="1" t="s">
        <v>51022</v>
      </c>
      <c r="AN3172" s="1"/>
      <c r="AO3172" s="1" t="s">
        <v>871</v>
      </c>
      <c r="AP3172" s="1" t="s">
        <v>40088</v>
      </c>
      <c r="AQ3172" s="1">
        <v>46.83</v>
      </c>
      <c r="AR3172" s="1"/>
      <c r="AS3172" s="1"/>
      <c r="AT3172" s="1"/>
      <c r="AU3172" s="1"/>
      <c r="AV3172" s="1"/>
      <c r="AW3172" s="1"/>
      <c r="AX3172" s="1"/>
      <c r="AY3172" s="1"/>
      <c r="AZ3172" s="1"/>
      <c r="BA3172" s="1"/>
      <c r="BB3172" s="1"/>
      <c r="BC3172" s="1"/>
      <c r="BD3172" s="1"/>
      <c r="BE3172" s="1"/>
      <c r="BF3172" s="1"/>
      <c r="BG3172" s="1"/>
      <c r="BH3172" s="1"/>
      <c r="BI3172" s="1"/>
      <c r="BJ3172" s="1"/>
      <c r="BK3172" s="1"/>
      <c r="BL3172" s="1"/>
      <c r="BM3172" s="1"/>
      <c r="BN3172" s="1"/>
      <c r="BO3172" s="1" t="s">
        <v>51023</v>
      </c>
      <c r="BP3172" s="1"/>
      <c r="BQ3172" s="1"/>
      <c r="BR3172" s="1" t="s">
        <v>51024</v>
      </c>
      <c r="BS3172" s="1">
        <v>12</v>
      </c>
      <c r="BT3172" s="1"/>
      <c r="BU3172" s="1" t="str">
        <f>HYPERLINK("https://nconnect.nicmar.ac.in/storage/profile/ProfilePhoto_P2367003_964215.jpg","Download")</f>
        <v>0</v>
      </c>
      <c r="BV3172" s="3"/>
      <c r="BW3172" s="3"/>
    </row>
    <row r="3173" spans="1:75">
      <c r="A3173" s="1" t="s">
        <v>50965</v>
      </c>
      <c r="B3173" s="1" t="s">
        <v>50966</v>
      </c>
      <c r="C3173" s="1" t="s">
        <v>51025</v>
      </c>
      <c r="D3173" s="1" t="s">
        <v>11522</v>
      </c>
      <c r="E3173" s="1"/>
      <c r="F3173" s="1" t="s">
        <v>51026</v>
      </c>
      <c r="G3173" s="1" t="s">
        <v>51027</v>
      </c>
      <c r="H3173" s="1" t="s">
        <v>51028</v>
      </c>
      <c r="I3173" s="1" t="s">
        <v>51029</v>
      </c>
      <c r="J3173" s="1">
        <v>9321041659</v>
      </c>
      <c r="K3173" s="1" t="s">
        <v>153</v>
      </c>
      <c r="L3173" s="1" t="s">
        <v>51030</v>
      </c>
      <c r="M3173" s="1" t="s">
        <v>86</v>
      </c>
      <c r="N3173" s="1" t="s">
        <v>51031</v>
      </c>
      <c r="O3173" s="1"/>
      <c r="P3173" s="1" t="s">
        <v>507</v>
      </c>
      <c r="Q3173" s="1" t="s">
        <v>51032</v>
      </c>
      <c r="R3173" s="1" t="s">
        <v>51033</v>
      </c>
      <c r="S3173" s="1">
        <v>8826427755</v>
      </c>
      <c r="T3173" s="1" t="s">
        <v>51034</v>
      </c>
      <c r="U3173" s="1" t="s">
        <v>51035</v>
      </c>
      <c r="V3173" s="1">
        <v>8879601780</v>
      </c>
      <c r="W3173" s="1" t="s">
        <v>51036</v>
      </c>
      <c r="X3173" s="1" t="s">
        <v>51037</v>
      </c>
      <c r="Y3173" s="1" t="s">
        <v>1012</v>
      </c>
      <c r="Z3173" s="1" t="s">
        <v>97</v>
      </c>
      <c r="AA3173" s="1" t="s">
        <v>51037</v>
      </c>
      <c r="AB3173" s="1" t="s">
        <v>1012</v>
      </c>
      <c r="AC3173" s="1" t="s">
        <v>97</v>
      </c>
      <c r="AD3173" s="1" t="s">
        <v>98</v>
      </c>
      <c r="AE3173" s="1" t="s">
        <v>98</v>
      </c>
      <c r="AF3173" s="1" t="s">
        <v>51038</v>
      </c>
      <c r="AG3173" s="1" t="s">
        <v>51039</v>
      </c>
      <c r="AH3173" s="1" t="s">
        <v>417</v>
      </c>
      <c r="AI3173" s="1" t="s">
        <v>847</v>
      </c>
      <c r="AJ3173" s="1">
        <v>96.83</v>
      </c>
      <c r="AK3173" s="1"/>
      <c r="AL3173" s="1" t="s">
        <v>51038</v>
      </c>
      <c r="AM3173" s="1" t="s">
        <v>51039</v>
      </c>
      <c r="AN3173" s="1"/>
      <c r="AO3173" s="1" t="s">
        <v>521</v>
      </c>
      <c r="AP3173" s="1" t="s">
        <v>955</v>
      </c>
      <c r="AQ3173" s="1">
        <v>85.4</v>
      </c>
      <c r="AR3173" s="1"/>
      <c r="AS3173" s="1"/>
      <c r="AT3173" s="1"/>
      <c r="AU3173" s="1"/>
      <c r="AV3173" s="1"/>
      <c r="AW3173" s="1"/>
      <c r="AX3173" s="1"/>
      <c r="AY3173" s="1"/>
      <c r="AZ3173" s="1"/>
      <c r="BA3173" s="1"/>
      <c r="BB3173" s="1"/>
      <c r="BC3173" s="1"/>
      <c r="BD3173" s="1"/>
      <c r="BE3173" s="1"/>
      <c r="BF3173" s="1"/>
      <c r="BG3173" s="1"/>
      <c r="BH3173" s="1"/>
      <c r="BI3173" s="1"/>
      <c r="BJ3173" s="1"/>
      <c r="BK3173" s="1"/>
      <c r="BL3173" s="1"/>
      <c r="BM3173" s="1"/>
      <c r="BN3173" s="1"/>
      <c r="BO3173" s="1" t="s">
        <v>1890</v>
      </c>
      <c r="BP3173" s="1"/>
      <c r="BQ3173" s="1"/>
      <c r="BR3173" s="1" t="s">
        <v>51040</v>
      </c>
      <c r="BS3173" s="1">
        <v>11</v>
      </c>
      <c r="BT3173" s="1" t="s">
        <v>51041</v>
      </c>
      <c r="BU3173" s="1" t="str">
        <f>HYPERLINK("https://nconnect.nicmar.ac.in/storage/profile/ProfilePhoto_P2367004_457236.jpg","Download")</f>
        <v>0</v>
      </c>
      <c r="BV3173" s="3"/>
      <c r="BW3173" s="3"/>
    </row>
    <row r="3174" spans="1:75">
      <c r="A3174" s="1" t="s">
        <v>50965</v>
      </c>
      <c r="B3174" s="1" t="s">
        <v>50966</v>
      </c>
      <c r="C3174" s="1" t="s">
        <v>51042</v>
      </c>
      <c r="D3174" s="1" t="s">
        <v>51043</v>
      </c>
      <c r="E3174" s="1"/>
      <c r="F3174" s="1" t="s">
        <v>25907</v>
      </c>
      <c r="G3174" s="1" t="s">
        <v>51044</v>
      </c>
      <c r="H3174" s="1" t="s">
        <v>51045</v>
      </c>
      <c r="I3174" s="1" t="s">
        <v>51046</v>
      </c>
      <c r="J3174" s="1">
        <v>9110812221</v>
      </c>
      <c r="K3174" s="1" t="s">
        <v>153</v>
      </c>
      <c r="L3174" s="1" t="s">
        <v>51047</v>
      </c>
      <c r="M3174" s="1" t="s">
        <v>86</v>
      </c>
      <c r="N3174" s="1" t="s">
        <v>2969</v>
      </c>
      <c r="O3174" s="1"/>
      <c r="P3174" s="1" t="s">
        <v>455</v>
      </c>
      <c r="Q3174" s="1" t="s">
        <v>51048</v>
      </c>
      <c r="R3174" s="1" t="s">
        <v>51049</v>
      </c>
      <c r="S3174" s="1">
        <v>8971359111</v>
      </c>
      <c r="T3174" s="1" t="s">
        <v>51050</v>
      </c>
      <c r="U3174" s="1" t="s">
        <v>51051</v>
      </c>
      <c r="V3174" s="1">
        <v>9611996875</v>
      </c>
      <c r="W3174" s="1" t="s">
        <v>127</v>
      </c>
      <c r="X3174" s="1" t="s">
        <v>51052</v>
      </c>
      <c r="Y3174" s="1" t="s">
        <v>3132</v>
      </c>
      <c r="Z3174" s="1" t="s">
        <v>1210</v>
      </c>
      <c r="AA3174" s="1" t="s">
        <v>51053</v>
      </c>
      <c r="AB3174" s="1" t="s">
        <v>196</v>
      </c>
      <c r="AC3174" s="1" t="s">
        <v>97</v>
      </c>
      <c r="AD3174" s="1" t="s">
        <v>98</v>
      </c>
      <c r="AE3174" s="1" t="s">
        <v>98</v>
      </c>
      <c r="AF3174" s="1" t="s">
        <v>51054</v>
      </c>
      <c r="AG3174" s="1" t="s">
        <v>51055</v>
      </c>
      <c r="AH3174" s="1" t="s">
        <v>603</v>
      </c>
      <c r="AI3174" s="1" t="s">
        <v>1192</v>
      </c>
      <c r="AJ3174" s="1">
        <v>93.33</v>
      </c>
      <c r="AK3174" s="1"/>
      <c r="AL3174" s="1" t="s">
        <v>51056</v>
      </c>
      <c r="AM3174" s="1" t="s">
        <v>51057</v>
      </c>
      <c r="AN3174" s="1"/>
      <c r="AO3174" s="1" t="s">
        <v>632</v>
      </c>
      <c r="AP3174" s="1" t="s">
        <v>955</v>
      </c>
      <c r="AQ3174" s="1">
        <v>76.8</v>
      </c>
      <c r="AR3174" s="1"/>
      <c r="AS3174" s="1"/>
      <c r="AT3174" s="1"/>
      <c r="AU3174" s="1"/>
      <c r="AV3174" s="1"/>
      <c r="AW3174" s="1"/>
      <c r="AX3174" s="1"/>
      <c r="AY3174" s="1"/>
      <c r="AZ3174" s="1"/>
      <c r="BA3174" s="1"/>
      <c r="BB3174" s="1"/>
      <c r="BC3174" s="1"/>
      <c r="BD3174" s="1"/>
      <c r="BE3174" s="1"/>
      <c r="BF3174" s="1"/>
      <c r="BG3174" s="1"/>
      <c r="BH3174" s="1"/>
      <c r="BI3174" s="1"/>
      <c r="BJ3174" s="1"/>
      <c r="BK3174" s="1"/>
      <c r="BL3174" s="1"/>
      <c r="BM3174" s="1"/>
      <c r="BN3174" s="1"/>
      <c r="BO3174" s="1" t="s">
        <v>51058</v>
      </c>
      <c r="BP3174" s="1"/>
      <c r="BQ3174" s="1"/>
      <c r="BR3174" s="1" t="s">
        <v>51059</v>
      </c>
      <c r="BS3174" s="1">
        <v>13</v>
      </c>
      <c r="BT3174" s="1" t="s">
        <v>51060</v>
      </c>
      <c r="BU3174" s="1" t="str">
        <f>HYPERLINK("https://nconnect.nicmar.ac.in/storage/profile/ProfilePhoto_P2367005_736251.jpg","Download")</f>
        <v>0</v>
      </c>
      <c r="BV3174" s="3"/>
      <c r="BW3174" s="3"/>
    </row>
    <row r="3175" spans="1:75">
      <c r="A3175" s="1" t="s">
        <v>50965</v>
      </c>
      <c r="B3175" s="1" t="s">
        <v>50966</v>
      </c>
      <c r="C3175" s="1" t="s">
        <v>51061</v>
      </c>
      <c r="D3175" s="1" t="s">
        <v>51062</v>
      </c>
      <c r="E3175" s="1" t="s">
        <v>13732</v>
      </c>
      <c r="F3175" s="1" t="s">
        <v>2964</v>
      </c>
      <c r="G3175" s="1" t="s">
        <v>51063</v>
      </c>
      <c r="H3175" s="1" t="s">
        <v>51064</v>
      </c>
      <c r="I3175" s="1" t="s">
        <v>51065</v>
      </c>
      <c r="J3175" s="1">
        <v>9503687452</v>
      </c>
      <c r="K3175" s="1" t="s">
        <v>153</v>
      </c>
      <c r="L3175" s="1" t="s">
        <v>12372</v>
      </c>
      <c r="M3175" s="1" t="s">
        <v>86</v>
      </c>
      <c r="N3175" s="1" t="s">
        <v>27995</v>
      </c>
      <c r="O3175" s="1"/>
      <c r="P3175" s="1" t="s">
        <v>1028</v>
      </c>
      <c r="Q3175" s="1" t="s">
        <v>51066</v>
      </c>
      <c r="R3175" s="1" t="s">
        <v>51067</v>
      </c>
      <c r="S3175" s="1">
        <v>9429672853</v>
      </c>
      <c r="T3175" s="1" t="s">
        <v>6569</v>
      </c>
      <c r="U3175" s="1" t="s">
        <v>51068</v>
      </c>
      <c r="V3175" s="1">
        <v>9173037033</v>
      </c>
      <c r="W3175" s="1" t="s">
        <v>51069</v>
      </c>
      <c r="X3175" s="1" t="s">
        <v>51070</v>
      </c>
      <c r="Y3175" s="1" t="s">
        <v>7949</v>
      </c>
      <c r="Z3175" s="1" t="s">
        <v>3419</v>
      </c>
      <c r="AA3175" s="1" t="s">
        <v>51070</v>
      </c>
      <c r="AB3175" s="1" t="s">
        <v>7949</v>
      </c>
      <c r="AC3175" s="1" t="s">
        <v>3419</v>
      </c>
      <c r="AD3175" s="1" t="s">
        <v>98</v>
      </c>
      <c r="AE3175" s="1" t="s">
        <v>98</v>
      </c>
      <c r="AF3175" s="1" t="s">
        <v>51071</v>
      </c>
      <c r="AG3175" s="1" t="s">
        <v>51072</v>
      </c>
      <c r="AH3175" s="1" t="s">
        <v>977</v>
      </c>
      <c r="AI3175" s="1" t="s">
        <v>441</v>
      </c>
      <c r="AJ3175" s="1">
        <v>85.4</v>
      </c>
      <c r="AK3175" s="1">
        <v>0</v>
      </c>
      <c r="AL3175" s="1" t="s">
        <v>51071</v>
      </c>
      <c r="AM3175" s="1" t="s">
        <v>51072</v>
      </c>
      <c r="AN3175" s="1"/>
      <c r="AO3175" s="1" t="s">
        <v>521</v>
      </c>
      <c r="AP3175" s="1" t="s">
        <v>955</v>
      </c>
      <c r="AQ3175" s="1">
        <v>78.2</v>
      </c>
      <c r="AR3175" s="1">
        <v>0</v>
      </c>
      <c r="AS3175" s="1"/>
      <c r="AT3175" s="1"/>
      <c r="AU3175" s="1"/>
      <c r="AV3175" s="1"/>
      <c r="AW3175" s="1"/>
      <c r="AX3175" s="1"/>
      <c r="AY3175" s="1"/>
      <c r="AZ3175" s="1"/>
      <c r="BA3175" s="1"/>
      <c r="BB3175" s="1"/>
      <c r="BC3175" s="1"/>
      <c r="BD3175" s="1"/>
      <c r="BE3175" s="1"/>
      <c r="BF3175" s="1"/>
      <c r="BG3175" s="1"/>
      <c r="BH3175" s="1"/>
      <c r="BI3175" s="1"/>
      <c r="BJ3175" s="1"/>
      <c r="BK3175" s="1"/>
      <c r="BL3175" s="1"/>
      <c r="BM3175" s="1"/>
      <c r="BN3175" s="1"/>
      <c r="BO3175" s="1" t="s">
        <v>51073</v>
      </c>
      <c r="BP3175" s="1"/>
      <c r="BQ3175" s="1"/>
      <c r="BR3175" s="1" t="s">
        <v>51074</v>
      </c>
      <c r="BS3175" s="1">
        <v>11</v>
      </c>
      <c r="BT3175" s="1" t="s">
        <v>51075</v>
      </c>
      <c r="BU3175" s="1" t="str">
        <f>HYPERLINK("https://nconnect.nicmar.ac.in/storage/profile/ProfilePhoto_P2367007_263857.jpg","Download")</f>
        <v>0</v>
      </c>
      <c r="BV3175" s="3"/>
      <c r="BW3175" s="3"/>
    </row>
    <row r="3176" spans="1:75">
      <c r="A3176" s="1" t="s">
        <v>50965</v>
      </c>
      <c r="B3176" s="1" t="s">
        <v>50966</v>
      </c>
      <c r="C3176" s="1" t="s">
        <v>51076</v>
      </c>
      <c r="D3176" s="1" t="s">
        <v>11255</v>
      </c>
      <c r="E3176" s="1" t="s">
        <v>1294</v>
      </c>
      <c r="F3176" s="1" t="s">
        <v>8106</v>
      </c>
      <c r="G3176" s="1" t="s">
        <v>51077</v>
      </c>
      <c r="H3176" s="1" t="s">
        <v>51078</v>
      </c>
      <c r="I3176" s="1" t="s">
        <v>51079</v>
      </c>
      <c r="J3176" s="1">
        <v>7741981838</v>
      </c>
      <c r="K3176" s="1" t="s">
        <v>84</v>
      </c>
      <c r="L3176" s="1" t="s">
        <v>45565</v>
      </c>
      <c r="M3176" s="1" t="s">
        <v>86</v>
      </c>
      <c r="N3176" s="1" t="s">
        <v>1163</v>
      </c>
      <c r="O3176" s="1"/>
      <c r="P3176" s="1" t="s">
        <v>481</v>
      </c>
      <c r="Q3176" s="1" t="s">
        <v>51080</v>
      </c>
      <c r="R3176" s="1" t="s">
        <v>51081</v>
      </c>
      <c r="S3176" s="1">
        <v>9689938965</v>
      </c>
      <c r="T3176" s="1" t="s">
        <v>8423</v>
      </c>
      <c r="U3176" s="1" t="s">
        <v>51082</v>
      </c>
      <c r="V3176" s="1">
        <v>9822372649</v>
      </c>
      <c r="W3176" s="1" t="s">
        <v>908</v>
      </c>
      <c r="X3176" s="1" t="s">
        <v>51083</v>
      </c>
      <c r="Y3176" s="1" t="s">
        <v>196</v>
      </c>
      <c r="Z3176" s="1" t="s">
        <v>97</v>
      </c>
      <c r="AA3176" s="1" t="s">
        <v>51083</v>
      </c>
      <c r="AB3176" s="1" t="s">
        <v>196</v>
      </c>
      <c r="AC3176" s="1" t="s">
        <v>97</v>
      </c>
      <c r="AD3176" s="1" t="s">
        <v>98</v>
      </c>
      <c r="AE3176" s="1" t="s">
        <v>98</v>
      </c>
      <c r="AF3176" s="1" t="s">
        <v>51084</v>
      </c>
      <c r="AG3176" s="1" t="s">
        <v>51085</v>
      </c>
      <c r="AH3176" s="1" t="s">
        <v>547</v>
      </c>
      <c r="AI3176" s="1" t="s">
        <v>178</v>
      </c>
      <c r="AJ3176" s="1">
        <v>87.2</v>
      </c>
      <c r="AK3176" s="1"/>
      <c r="AL3176" s="1" t="s">
        <v>37768</v>
      </c>
      <c r="AM3176" s="1" t="s">
        <v>51085</v>
      </c>
      <c r="AN3176" s="1"/>
      <c r="AO3176" s="1" t="s">
        <v>441</v>
      </c>
      <c r="AP3176" s="1" t="s">
        <v>1400</v>
      </c>
      <c r="AQ3176" s="1">
        <v>68.4</v>
      </c>
      <c r="AR3176" s="1"/>
      <c r="AS3176" s="1"/>
      <c r="AT3176" s="1"/>
      <c r="AU3176" s="1"/>
      <c r="AV3176" s="1"/>
      <c r="AW3176" s="1"/>
      <c r="AX3176" s="1"/>
      <c r="AY3176" s="1"/>
      <c r="AZ3176" s="1"/>
      <c r="BA3176" s="1"/>
      <c r="BB3176" s="1"/>
      <c r="BC3176" s="1"/>
      <c r="BD3176" s="1"/>
      <c r="BE3176" s="1"/>
      <c r="BF3176" s="1"/>
      <c r="BG3176" s="1"/>
      <c r="BH3176" s="1"/>
      <c r="BI3176" s="1"/>
      <c r="BJ3176" s="1"/>
      <c r="BK3176" s="1"/>
      <c r="BL3176" s="1"/>
      <c r="BM3176" s="1"/>
      <c r="BN3176" s="1"/>
      <c r="BO3176" s="1" t="s">
        <v>51086</v>
      </c>
      <c r="BP3176" s="1"/>
      <c r="BQ3176" s="1"/>
      <c r="BR3176" s="1" t="s">
        <v>51087</v>
      </c>
      <c r="BS3176" s="1">
        <v>8</v>
      </c>
      <c r="BT3176" s="1"/>
      <c r="BU3176" s="1" t="str">
        <f>HYPERLINK("https://nconnect.nicmar.ac.in/storage/profile/ProfilePhoto_P2367008 _287956.jpg","Download")</f>
        <v>0</v>
      </c>
      <c r="BV3176" s="3"/>
      <c r="BW3176" s="3"/>
    </row>
    <row r="3177" spans="1:75">
      <c r="A3177" s="1" t="s">
        <v>50965</v>
      </c>
      <c r="B3177" s="1" t="s">
        <v>50966</v>
      </c>
      <c r="C3177" s="1" t="s">
        <v>51088</v>
      </c>
      <c r="D3177" s="1" t="s">
        <v>38211</v>
      </c>
      <c r="E3177" s="1" t="s">
        <v>4948</v>
      </c>
      <c r="F3177" s="1" t="s">
        <v>51089</v>
      </c>
      <c r="G3177" s="1" t="s">
        <v>51090</v>
      </c>
      <c r="H3177" s="1" t="s">
        <v>51091</v>
      </c>
      <c r="I3177" s="1" t="s">
        <v>51092</v>
      </c>
      <c r="J3177" s="1">
        <v>9699114019</v>
      </c>
      <c r="K3177" s="1" t="s">
        <v>153</v>
      </c>
      <c r="L3177" s="1" t="s">
        <v>51093</v>
      </c>
      <c r="M3177" s="1" t="s">
        <v>86</v>
      </c>
      <c r="N3177" s="1" t="s">
        <v>8520</v>
      </c>
      <c r="O3177" s="1"/>
      <c r="P3177" s="1" t="s">
        <v>481</v>
      </c>
      <c r="Q3177" s="1" t="s">
        <v>51094</v>
      </c>
      <c r="R3177" s="1" t="s">
        <v>51095</v>
      </c>
      <c r="S3177" s="1">
        <v>9422987864</v>
      </c>
      <c r="T3177" s="1" t="s">
        <v>839</v>
      </c>
      <c r="U3177" s="1" t="s">
        <v>51096</v>
      </c>
      <c r="V3177" s="1">
        <v>9860042243</v>
      </c>
      <c r="W3177" s="1" t="s">
        <v>9700</v>
      </c>
      <c r="X3177" s="1" t="s">
        <v>51097</v>
      </c>
      <c r="Y3177" s="1" t="s">
        <v>196</v>
      </c>
      <c r="Z3177" s="1" t="s">
        <v>97</v>
      </c>
      <c r="AA3177" s="1" t="s">
        <v>51097</v>
      </c>
      <c r="AB3177" s="1" t="s">
        <v>196</v>
      </c>
      <c r="AC3177" s="1" t="s">
        <v>97</v>
      </c>
      <c r="AD3177" s="1" t="s">
        <v>98</v>
      </c>
      <c r="AE3177" s="1" t="s">
        <v>98</v>
      </c>
      <c r="AF3177" s="1" t="s">
        <v>51098</v>
      </c>
      <c r="AG3177" s="1" t="s">
        <v>312</v>
      </c>
      <c r="AH3177" s="1" t="s">
        <v>977</v>
      </c>
      <c r="AI3177" s="1" t="s">
        <v>441</v>
      </c>
      <c r="AJ3177" s="1">
        <v>89.5</v>
      </c>
      <c r="AK3177" s="1"/>
      <c r="AL3177" s="1" t="s">
        <v>51099</v>
      </c>
      <c r="AM3177" s="1" t="s">
        <v>51100</v>
      </c>
      <c r="AN3177" s="1"/>
      <c r="AO3177" s="1" t="s">
        <v>140</v>
      </c>
      <c r="AP3177" s="1" t="s">
        <v>955</v>
      </c>
      <c r="AQ3177" s="1">
        <v>71.5</v>
      </c>
      <c r="AR3177" s="1"/>
      <c r="AS3177" s="1"/>
      <c r="AT3177" s="1"/>
      <c r="AU3177" s="1"/>
      <c r="AV3177" s="1"/>
      <c r="AW3177" s="1"/>
      <c r="AX3177" s="1"/>
      <c r="AY3177" s="1"/>
      <c r="AZ3177" s="1"/>
      <c r="BA3177" s="1"/>
      <c r="BB3177" s="1"/>
      <c r="BC3177" s="1"/>
      <c r="BD3177" s="1"/>
      <c r="BE3177" s="1"/>
      <c r="BF3177" s="1"/>
      <c r="BG3177" s="1"/>
      <c r="BH3177" s="1"/>
      <c r="BI3177" s="1"/>
      <c r="BJ3177" s="1"/>
      <c r="BK3177" s="1"/>
      <c r="BL3177" s="1"/>
      <c r="BM3177" s="1"/>
      <c r="BN3177" s="1"/>
      <c r="BO3177" s="1" t="s">
        <v>51101</v>
      </c>
      <c r="BP3177" s="1"/>
      <c r="BQ3177" s="1"/>
      <c r="BR3177" s="1" t="s">
        <v>51102</v>
      </c>
      <c r="BS3177" s="1">
        <v>12</v>
      </c>
      <c r="BT3177" s="1" t="s">
        <v>51103</v>
      </c>
      <c r="BU3177" s="1" t="str">
        <f>HYPERLINK("https://nconnect.nicmar.ac.in/storage/profile/ProfilePhoto_P2367009_529378.jpg","Download")</f>
        <v>0</v>
      </c>
      <c r="BV3177" s="3"/>
      <c r="BW3177" s="3"/>
    </row>
    <row r="3178" spans="1:75">
      <c r="A3178" s="1" t="s">
        <v>50965</v>
      </c>
      <c r="B3178" s="1" t="s">
        <v>50966</v>
      </c>
      <c r="C3178" s="1" t="s">
        <v>51104</v>
      </c>
      <c r="D3178" s="1" t="s">
        <v>33259</v>
      </c>
      <c r="E3178" s="1"/>
      <c r="F3178" s="1" t="s">
        <v>51105</v>
      </c>
      <c r="G3178" s="1" t="s">
        <v>51106</v>
      </c>
      <c r="H3178" s="1" t="s">
        <v>51107</v>
      </c>
      <c r="I3178" s="1" t="s">
        <v>51108</v>
      </c>
      <c r="J3178" s="1">
        <v>8849784259</v>
      </c>
      <c r="K3178" s="1" t="s">
        <v>84</v>
      </c>
      <c r="L3178" s="1" t="s">
        <v>51109</v>
      </c>
      <c r="M3178" s="1" t="s">
        <v>86</v>
      </c>
      <c r="N3178" s="1" t="s">
        <v>10869</v>
      </c>
      <c r="O3178" s="1"/>
      <c r="P3178" s="1" t="s">
        <v>507</v>
      </c>
      <c r="Q3178" s="1" t="s">
        <v>51110</v>
      </c>
      <c r="R3178" s="1" t="s">
        <v>51111</v>
      </c>
      <c r="S3178" s="1">
        <v>8866078080</v>
      </c>
      <c r="T3178" s="1" t="s">
        <v>29982</v>
      </c>
      <c r="U3178" s="1" t="s">
        <v>51112</v>
      </c>
      <c r="V3178" s="1">
        <v>8866078099</v>
      </c>
      <c r="W3178" s="1" t="s">
        <v>94</v>
      </c>
      <c r="X3178" s="1" t="s">
        <v>51113</v>
      </c>
      <c r="Y3178" s="1" t="s">
        <v>3538</v>
      </c>
      <c r="Z3178" s="1" t="s">
        <v>97</v>
      </c>
      <c r="AA3178" s="1" t="s">
        <v>51113</v>
      </c>
      <c r="AB3178" s="1" t="s">
        <v>3538</v>
      </c>
      <c r="AC3178" s="1" t="s">
        <v>97</v>
      </c>
      <c r="AD3178" s="1" t="s">
        <v>98</v>
      </c>
      <c r="AE3178" s="1" t="s">
        <v>98</v>
      </c>
      <c r="AF3178" s="1" t="s">
        <v>51114</v>
      </c>
      <c r="AG3178" s="1" t="s">
        <v>51115</v>
      </c>
      <c r="AH3178" s="1" t="s">
        <v>603</v>
      </c>
      <c r="AI3178" s="1" t="s">
        <v>549</v>
      </c>
      <c r="AJ3178" s="1">
        <v>91</v>
      </c>
      <c r="AK3178" s="1"/>
      <c r="AL3178" s="1" t="s">
        <v>51114</v>
      </c>
      <c r="AM3178" s="1" t="s">
        <v>51115</v>
      </c>
      <c r="AN3178" s="1"/>
      <c r="AO3178" s="1" t="s">
        <v>1886</v>
      </c>
      <c r="AP3178" s="1" t="s">
        <v>955</v>
      </c>
      <c r="AQ3178" s="1">
        <v>67.8</v>
      </c>
      <c r="AR3178" s="1"/>
      <c r="AS3178" s="1"/>
      <c r="AT3178" s="1"/>
      <c r="AU3178" s="1"/>
      <c r="AV3178" s="1"/>
      <c r="AW3178" s="1"/>
      <c r="AX3178" s="1"/>
      <c r="AY3178" s="1"/>
      <c r="AZ3178" s="1"/>
      <c r="BA3178" s="1"/>
      <c r="BB3178" s="1"/>
      <c r="BC3178" s="1"/>
      <c r="BD3178" s="1"/>
      <c r="BE3178" s="1"/>
      <c r="BF3178" s="1"/>
      <c r="BG3178" s="1"/>
      <c r="BH3178" s="1"/>
      <c r="BI3178" s="1"/>
      <c r="BJ3178" s="1"/>
      <c r="BK3178" s="1"/>
      <c r="BL3178" s="1"/>
      <c r="BM3178" s="1"/>
      <c r="BN3178" s="1"/>
      <c r="BO3178" s="1" t="s">
        <v>51116</v>
      </c>
      <c r="BP3178" s="1"/>
      <c r="BQ3178" s="1"/>
      <c r="BR3178" s="1" t="s">
        <v>51117</v>
      </c>
      <c r="BS3178" s="1">
        <v>11</v>
      </c>
      <c r="BT3178" s="1" t="s">
        <v>51118</v>
      </c>
      <c r="BU3178" s="1" t="str">
        <f>HYPERLINK("https://nconnect.nicmar.ac.in/storage/profile/ProfilePhoto_P2367010_862957.jpg","Download")</f>
        <v>0</v>
      </c>
      <c r="BV3178" s="3"/>
      <c r="BW3178" s="3"/>
    </row>
    <row r="3179" spans="1:75">
      <c r="A3179" s="1" t="s">
        <v>50965</v>
      </c>
      <c r="B3179" s="1" t="s">
        <v>50966</v>
      </c>
      <c r="C3179" s="1" t="s">
        <v>51119</v>
      </c>
      <c r="D3179" s="1" t="s">
        <v>51120</v>
      </c>
      <c r="E3179" s="1" t="s">
        <v>5630</v>
      </c>
      <c r="F3179" s="1" t="s">
        <v>51121</v>
      </c>
      <c r="G3179" s="1" t="s">
        <v>51122</v>
      </c>
      <c r="H3179" s="1" t="s">
        <v>51123</v>
      </c>
      <c r="I3179" s="1" t="s">
        <v>51124</v>
      </c>
      <c r="J3179" s="1">
        <v>7219587604</v>
      </c>
      <c r="K3179" s="1" t="s">
        <v>84</v>
      </c>
      <c r="L3179" s="1" t="s">
        <v>46550</v>
      </c>
      <c r="M3179" s="1" t="s">
        <v>86</v>
      </c>
      <c r="N3179" s="1" t="s">
        <v>3568</v>
      </c>
      <c r="O3179" s="1"/>
      <c r="P3179" s="1" t="s">
        <v>455</v>
      </c>
      <c r="Q3179" s="1" t="s">
        <v>51125</v>
      </c>
      <c r="R3179" s="1" t="s">
        <v>51126</v>
      </c>
      <c r="S3179" s="1">
        <v>8446389932</v>
      </c>
      <c r="T3179" s="1" t="s">
        <v>5065</v>
      </c>
      <c r="U3179" s="1" t="s">
        <v>51127</v>
      </c>
      <c r="V3179" s="1">
        <v>9403682859</v>
      </c>
      <c r="W3179" s="1" t="s">
        <v>161</v>
      </c>
      <c r="X3179" s="1" t="s">
        <v>51128</v>
      </c>
      <c r="Y3179" s="1" t="s">
        <v>410</v>
      </c>
      <c r="Z3179" s="1" t="s">
        <v>97</v>
      </c>
      <c r="AA3179" s="1" t="s">
        <v>51128</v>
      </c>
      <c r="AB3179" s="1" t="s">
        <v>410</v>
      </c>
      <c r="AC3179" s="1" t="s">
        <v>97</v>
      </c>
      <c r="AD3179" s="1" t="s">
        <v>98</v>
      </c>
      <c r="AE3179" s="1" t="s">
        <v>98</v>
      </c>
      <c r="AF3179" s="1" t="s">
        <v>11018</v>
      </c>
      <c r="AG3179" s="1" t="s">
        <v>51129</v>
      </c>
      <c r="AH3179" s="1" t="s">
        <v>977</v>
      </c>
      <c r="AI3179" s="1" t="s">
        <v>441</v>
      </c>
      <c r="AJ3179" s="1">
        <v>82.8</v>
      </c>
      <c r="AK3179" s="1"/>
      <c r="AL3179" s="1" t="s">
        <v>51130</v>
      </c>
      <c r="AM3179" s="1" t="s">
        <v>51131</v>
      </c>
      <c r="AN3179" s="1"/>
      <c r="AO3179" s="1" t="s">
        <v>521</v>
      </c>
      <c r="AP3179" s="1" t="s">
        <v>955</v>
      </c>
      <c r="AQ3179" s="1">
        <v>82.67</v>
      </c>
      <c r="AR3179" s="1"/>
      <c r="AS3179" s="1"/>
      <c r="AT3179" s="1"/>
      <c r="AU3179" s="1"/>
      <c r="AV3179" s="1"/>
      <c r="AW3179" s="1"/>
      <c r="AX3179" s="1"/>
      <c r="AY3179" s="1"/>
      <c r="AZ3179" s="1"/>
      <c r="BA3179" s="1"/>
      <c r="BB3179" s="1"/>
      <c r="BC3179" s="1"/>
      <c r="BD3179" s="1"/>
      <c r="BE3179" s="1"/>
      <c r="BF3179" s="1"/>
      <c r="BG3179" s="1"/>
      <c r="BH3179" s="1"/>
      <c r="BI3179" s="1"/>
      <c r="BJ3179" s="1"/>
      <c r="BK3179" s="1"/>
      <c r="BL3179" s="1"/>
      <c r="BM3179" s="1"/>
      <c r="BN3179" s="1"/>
      <c r="BO3179" s="1" t="s">
        <v>51132</v>
      </c>
      <c r="BP3179" s="1"/>
      <c r="BQ3179" s="1"/>
      <c r="BR3179" s="1" t="s">
        <v>51133</v>
      </c>
      <c r="BS3179" s="1">
        <v>8</v>
      </c>
      <c r="BT3179" s="1"/>
      <c r="BU3179" s="1" t="str">
        <f>HYPERLINK("https://nconnect.nicmar.ac.in/storage/profile/ProfilePhoto_P2367011_378165.jpg","Download")</f>
        <v>0</v>
      </c>
      <c r="BV3179" s="3"/>
      <c r="BW3179" s="3"/>
    </row>
    <row r="3180" spans="1:75">
      <c r="A3180" s="1" t="s">
        <v>50965</v>
      </c>
      <c r="B3180" s="1" t="s">
        <v>50966</v>
      </c>
      <c r="C3180" s="1" t="s">
        <v>51134</v>
      </c>
      <c r="D3180" s="1" t="s">
        <v>51135</v>
      </c>
      <c r="E3180" s="1" t="s">
        <v>51136</v>
      </c>
      <c r="F3180" s="1" t="s">
        <v>37107</v>
      </c>
      <c r="G3180" s="1" t="s">
        <v>51137</v>
      </c>
      <c r="H3180" s="1" t="s">
        <v>51138</v>
      </c>
      <c r="I3180" s="1" t="s">
        <v>51139</v>
      </c>
      <c r="J3180" s="1">
        <v>8208901918</v>
      </c>
      <c r="K3180" s="1" t="s">
        <v>153</v>
      </c>
      <c r="L3180" s="1" t="s">
        <v>4243</v>
      </c>
      <c r="M3180" s="1" t="s">
        <v>86</v>
      </c>
      <c r="N3180" s="1" t="s">
        <v>6390</v>
      </c>
      <c r="O3180" s="1"/>
      <c r="P3180" s="1" t="s">
        <v>455</v>
      </c>
      <c r="Q3180" s="1" t="s">
        <v>51140</v>
      </c>
      <c r="R3180" s="1" t="s">
        <v>51141</v>
      </c>
      <c r="S3180" s="1">
        <v>9028393527</v>
      </c>
      <c r="T3180" s="1" t="s">
        <v>1552</v>
      </c>
      <c r="U3180" s="1" t="s">
        <v>51142</v>
      </c>
      <c r="V3180" s="1">
        <v>8999303582</v>
      </c>
      <c r="W3180" s="1" t="s">
        <v>127</v>
      </c>
      <c r="X3180" s="1" t="s">
        <v>51143</v>
      </c>
      <c r="Y3180" s="1" t="s">
        <v>1779</v>
      </c>
      <c r="Z3180" s="1" t="s">
        <v>97</v>
      </c>
      <c r="AA3180" s="1" t="s">
        <v>51143</v>
      </c>
      <c r="AB3180" s="1" t="s">
        <v>1779</v>
      </c>
      <c r="AC3180" s="1" t="s">
        <v>97</v>
      </c>
      <c r="AD3180" s="1" t="s">
        <v>98</v>
      </c>
      <c r="AE3180" s="1" t="s">
        <v>98</v>
      </c>
      <c r="AF3180" s="1" t="s">
        <v>51144</v>
      </c>
      <c r="AG3180" s="1" t="s">
        <v>312</v>
      </c>
      <c r="AH3180" s="1" t="s">
        <v>547</v>
      </c>
      <c r="AI3180" s="1" t="s">
        <v>178</v>
      </c>
      <c r="AJ3180" s="1">
        <v>73.8</v>
      </c>
      <c r="AK3180" s="1"/>
      <c r="AL3180" s="1" t="s">
        <v>51145</v>
      </c>
      <c r="AM3180" s="1" t="s">
        <v>1968</v>
      </c>
      <c r="AN3180" s="1"/>
      <c r="AO3180" s="1" t="s">
        <v>847</v>
      </c>
      <c r="AP3180" s="1" t="s">
        <v>1886</v>
      </c>
      <c r="AQ3180" s="1">
        <v>81.67</v>
      </c>
      <c r="AR3180" s="1"/>
      <c r="AS3180" s="1"/>
      <c r="AT3180" s="1"/>
      <c r="AU3180" s="1"/>
      <c r="AV3180" s="1"/>
      <c r="AW3180" s="1"/>
      <c r="AX3180" s="1"/>
      <c r="AY3180" s="1"/>
      <c r="AZ3180" s="1"/>
      <c r="BA3180" s="1"/>
      <c r="BB3180" s="1"/>
      <c r="BC3180" s="1"/>
      <c r="BD3180" s="1"/>
      <c r="BE3180" s="1"/>
      <c r="BF3180" s="1"/>
      <c r="BG3180" s="1"/>
      <c r="BH3180" s="1"/>
      <c r="BI3180" s="1"/>
      <c r="BJ3180" s="1"/>
      <c r="BK3180" s="1"/>
      <c r="BL3180" s="1"/>
      <c r="BM3180" s="1"/>
      <c r="BN3180" s="1"/>
      <c r="BO3180" s="1" t="s">
        <v>51146</v>
      </c>
      <c r="BP3180" s="1"/>
      <c r="BQ3180" s="1"/>
      <c r="BR3180" s="1" t="s">
        <v>51147</v>
      </c>
      <c r="BS3180" s="1">
        <v>12</v>
      </c>
      <c r="BT3180" s="1"/>
      <c r="BU3180" s="1" t="str">
        <f>HYPERLINK("https://nconnect.nicmar.ac.in/storage/profile/ProfilePhoto_P2367012 _417362.jpg","Download")</f>
        <v>0</v>
      </c>
      <c r="BV3180" s="3"/>
      <c r="BW3180" s="3"/>
    </row>
    <row r="3181" spans="1:75">
      <c r="A3181" s="1" t="s">
        <v>50965</v>
      </c>
      <c r="B3181" s="1" t="s">
        <v>50966</v>
      </c>
      <c r="C3181" s="1" t="s">
        <v>51148</v>
      </c>
      <c r="D3181" s="1" t="s">
        <v>51149</v>
      </c>
      <c r="E3181" s="1"/>
      <c r="F3181" s="1" t="s">
        <v>3910</v>
      </c>
      <c r="G3181" s="1" t="s">
        <v>51150</v>
      </c>
      <c r="H3181" s="1" t="s">
        <v>51151</v>
      </c>
      <c r="I3181" s="1" t="s">
        <v>51152</v>
      </c>
      <c r="J3181" s="1">
        <v>8240041676</v>
      </c>
      <c r="K3181" s="1" t="s">
        <v>153</v>
      </c>
      <c r="L3181" s="1" t="s">
        <v>51153</v>
      </c>
      <c r="M3181" s="1" t="s">
        <v>86</v>
      </c>
      <c r="N3181" s="1" t="s">
        <v>51154</v>
      </c>
      <c r="O3181" s="1"/>
      <c r="P3181" s="1" t="s">
        <v>507</v>
      </c>
      <c r="Q3181" s="1" t="s">
        <v>51155</v>
      </c>
      <c r="R3181" s="1" t="s">
        <v>51156</v>
      </c>
      <c r="S3181" s="1">
        <v>9674956451</v>
      </c>
      <c r="T3181" s="1" t="s">
        <v>839</v>
      </c>
      <c r="U3181" s="1" t="s">
        <v>51157</v>
      </c>
      <c r="V3181" s="1">
        <v>7003380613</v>
      </c>
      <c r="W3181" s="1" t="s">
        <v>541</v>
      </c>
      <c r="X3181" s="1" t="s">
        <v>51158</v>
      </c>
      <c r="Y3181" s="1" t="s">
        <v>3282</v>
      </c>
      <c r="Z3181" s="1" t="s">
        <v>1234</v>
      </c>
      <c r="AA3181" s="1" t="s">
        <v>51159</v>
      </c>
      <c r="AB3181" s="1" t="s">
        <v>196</v>
      </c>
      <c r="AC3181" s="1" t="s">
        <v>97</v>
      </c>
      <c r="AD3181" s="1" t="s">
        <v>98</v>
      </c>
      <c r="AE3181" s="1" t="s">
        <v>98</v>
      </c>
      <c r="AF3181" s="1" t="s">
        <v>51160</v>
      </c>
      <c r="AG3181" s="1" t="s">
        <v>51161</v>
      </c>
      <c r="AH3181" s="1" t="s">
        <v>977</v>
      </c>
      <c r="AI3181" s="1" t="s">
        <v>549</v>
      </c>
      <c r="AJ3181" s="1">
        <v>94.8</v>
      </c>
      <c r="AK3181" s="1"/>
      <c r="AL3181" s="1" t="s">
        <v>51160</v>
      </c>
      <c r="AM3181" s="1" t="s">
        <v>51162</v>
      </c>
      <c r="AN3181" s="1"/>
      <c r="AO3181" s="1" t="s">
        <v>521</v>
      </c>
      <c r="AP3181" s="1" t="s">
        <v>955</v>
      </c>
      <c r="AQ3181" s="1">
        <v>80</v>
      </c>
      <c r="AR3181" s="1"/>
      <c r="AS3181" s="1"/>
      <c r="AT3181" s="1"/>
      <c r="AU3181" s="1"/>
      <c r="AV3181" s="1"/>
      <c r="AW3181" s="1"/>
      <c r="AX3181" s="1"/>
      <c r="AY3181" s="1"/>
      <c r="AZ3181" s="1"/>
      <c r="BA3181" s="1"/>
      <c r="BB3181" s="1"/>
      <c r="BC3181" s="1"/>
      <c r="BD3181" s="1"/>
      <c r="BE3181" s="1"/>
      <c r="BF3181" s="1"/>
      <c r="BG3181" s="1"/>
      <c r="BH3181" s="1"/>
      <c r="BI3181" s="1"/>
      <c r="BJ3181" s="1"/>
      <c r="BK3181" s="1"/>
      <c r="BL3181" s="1"/>
      <c r="BM3181" s="1"/>
      <c r="BN3181" s="1"/>
      <c r="BO3181" s="1" t="s">
        <v>51163</v>
      </c>
      <c r="BP3181" s="1"/>
      <c r="BQ3181" s="1"/>
      <c r="BR3181" s="1" t="s">
        <v>51164</v>
      </c>
      <c r="BS3181" s="1">
        <v>13</v>
      </c>
      <c r="BT3181" s="1" t="s">
        <v>51165</v>
      </c>
      <c r="BU3181" s="1" t="str">
        <f>HYPERLINK("https://nconnect.nicmar.ac.in/storage/profile/ProfilePhoto_P2367013_643791.jpg","Download")</f>
        <v>0</v>
      </c>
      <c r="BV3181" s="3"/>
      <c r="BW3181" s="3"/>
    </row>
    <row r="3182" spans="1:75">
      <c r="A3182" s="1" t="s">
        <v>50965</v>
      </c>
      <c r="B3182" s="1" t="s">
        <v>50966</v>
      </c>
      <c r="C3182" s="1" t="s">
        <v>51166</v>
      </c>
      <c r="D3182" s="1" t="s">
        <v>43372</v>
      </c>
      <c r="E3182" s="1" t="s">
        <v>1320</v>
      </c>
      <c r="F3182" s="1" t="s">
        <v>51167</v>
      </c>
      <c r="G3182" s="1" t="s">
        <v>51168</v>
      </c>
      <c r="H3182" s="1" t="s">
        <v>51169</v>
      </c>
      <c r="I3182" s="1" t="s">
        <v>51170</v>
      </c>
      <c r="J3182" s="1">
        <v>6309297468</v>
      </c>
      <c r="K3182" s="1" t="s">
        <v>153</v>
      </c>
      <c r="L3182" s="1" t="s">
        <v>51171</v>
      </c>
      <c r="M3182" s="1" t="s">
        <v>86</v>
      </c>
      <c r="N3182" s="1" t="s">
        <v>3026</v>
      </c>
      <c r="O3182" s="1" t="s">
        <v>51172</v>
      </c>
      <c r="P3182" s="1" t="s">
        <v>455</v>
      </c>
      <c r="Q3182" s="1" t="s">
        <v>51173</v>
      </c>
      <c r="R3182" s="1" t="s">
        <v>51174</v>
      </c>
      <c r="S3182" s="1">
        <v>9423150504</v>
      </c>
      <c r="T3182" s="1" t="s">
        <v>926</v>
      </c>
      <c r="U3182" s="1" t="s">
        <v>51175</v>
      </c>
      <c r="V3182" s="1">
        <v>9049955999</v>
      </c>
      <c r="W3182" s="1" t="s">
        <v>94</v>
      </c>
      <c r="X3182" s="1" t="s">
        <v>51176</v>
      </c>
      <c r="Y3182" s="1" t="s">
        <v>96</v>
      </c>
      <c r="Z3182" s="1" t="s">
        <v>97</v>
      </c>
      <c r="AA3182" s="1" t="s">
        <v>51177</v>
      </c>
      <c r="AB3182" s="1" t="s">
        <v>196</v>
      </c>
      <c r="AC3182" s="1" t="s">
        <v>97</v>
      </c>
      <c r="AD3182" s="1" t="s">
        <v>98</v>
      </c>
      <c r="AE3182" s="1" t="s">
        <v>98</v>
      </c>
      <c r="AF3182" s="1" t="s">
        <v>6490</v>
      </c>
      <c r="AG3182" s="1" t="s">
        <v>51178</v>
      </c>
      <c r="AH3182" s="1" t="s">
        <v>977</v>
      </c>
      <c r="AI3182" s="1" t="s">
        <v>549</v>
      </c>
      <c r="AJ3182" s="1">
        <v>85</v>
      </c>
      <c r="AK3182" s="1"/>
      <c r="AL3182" s="1" t="s">
        <v>11269</v>
      </c>
      <c r="AM3182" s="1" t="s">
        <v>51179</v>
      </c>
      <c r="AN3182" s="1"/>
      <c r="AO3182" s="1" t="s">
        <v>845</v>
      </c>
      <c r="AP3182" s="1" t="s">
        <v>234</v>
      </c>
      <c r="AQ3182" s="1">
        <v>82.83</v>
      </c>
      <c r="AR3182" s="1"/>
      <c r="AS3182" s="1"/>
      <c r="AT3182" s="1"/>
      <c r="AU3182" s="1"/>
      <c r="AV3182" s="1"/>
      <c r="AW3182" s="1"/>
      <c r="AX3182" s="1"/>
      <c r="AY3182" s="1"/>
      <c r="AZ3182" s="1"/>
      <c r="BA3182" s="1"/>
      <c r="BB3182" s="1"/>
      <c r="BC3182" s="1"/>
      <c r="BD3182" s="1"/>
      <c r="BE3182" s="1"/>
      <c r="BF3182" s="1"/>
      <c r="BG3182" s="1"/>
      <c r="BH3182" s="1"/>
      <c r="BI3182" s="1"/>
      <c r="BJ3182" s="1"/>
      <c r="BK3182" s="1"/>
      <c r="BL3182" s="1"/>
      <c r="BM3182" s="1"/>
      <c r="BN3182" s="1"/>
      <c r="BO3182" s="1" t="s">
        <v>51180</v>
      </c>
      <c r="BP3182" s="1"/>
      <c r="BQ3182" s="1"/>
      <c r="BR3182" s="1" t="s">
        <v>51181</v>
      </c>
      <c r="BS3182" s="1">
        <v>12</v>
      </c>
      <c r="BT3182" s="1" t="s">
        <v>51182</v>
      </c>
      <c r="BU3182" s="1" t="str">
        <f>HYPERLINK("https://nconnect.nicmar.ac.in/storage/profile/ProfilePhoto_P2367014_958426.jpg","Download")</f>
        <v>0</v>
      </c>
      <c r="BV3182" s="3"/>
      <c r="BW3182" s="3"/>
    </row>
    <row r="3183" spans="1:75">
      <c r="A3183" s="1" t="s">
        <v>50965</v>
      </c>
      <c r="B3183" s="1" t="s">
        <v>50966</v>
      </c>
      <c r="C3183" s="1" t="s">
        <v>51183</v>
      </c>
      <c r="D3183" s="1" t="s">
        <v>51184</v>
      </c>
      <c r="E3183" s="1" t="s">
        <v>1136</v>
      </c>
      <c r="F3183" s="1" t="s">
        <v>8326</v>
      </c>
      <c r="G3183" s="1" t="s">
        <v>51185</v>
      </c>
      <c r="H3183" s="1" t="s">
        <v>51186</v>
      </c>
      <c r="I3183" s="1" t="s">
        <v>51187</v>
      </c>
      <c r="J3183" s="1">
        <v>9823279270</v>
      </c>
      <c r="K3183" s="1" t="s">
        <v>84</v>
      </c>
      <c r="L3183" s="1" t="s">
        <v>51188</v>
      </c>
      <c r="M3183" s="1" t="s">
        <v>86</v>
      </c>
      <c r="N3183" s="1" t="s">
        <v>618</v>
      </c>
      <c r="O3183" s="1" t="s">
        <v>51189</v>
      </c>
      <c r="P3183" s="1" t="s">
        <v>2021</v>
      </c>
      <c r="Q3183" s="1" t="s">
        <v>51190</v>
      </c>
      <c r="R3183" s="1" t="s">
        <v>51191</v>
      </c>
      <c r="S3183" s="1">
        <v>9764445090</v>
      </c>
      <c r="T3183" s="1" t="s">
        <v>13867</v>
      </c>
      <c r="U3183" s="1" t="s">
        <v>51192</v>
      </c>
      <c r="V3183" s="1">
        <v>8806661101</v>
      </c>
      <c r="W3183" s="1" t="s">
        <v>94</v>
      </c>
      <c r="X3183" s="1" t="s">
        <v>51193</v>
      </c>
      <c r="Y3183" s="1" t="s">
        <v>96</v>
      </c>
      <c r="Z3183" s="1" t="s">
        <v>97</v>
      </c>
      <c r="AA3183" s="1" t="s">
        <v>51193</v>
      </c>
      <c r="AB3183" s="1" t="s">
        <v>96</v>
      </c>
      <c r="AC3183" s="1" t="s">
        <v>97</v>
      </c>
      <c r="AD3183" s="1" t="s">
        <v>98</v>
      </c>
      <c r="AE3183" s="1" t="s">
        <v>98</v>
      </c>
      <c r="AF3183" s="1" t="s">
        <v>51194</v>
      </c>
      <c r="AG3183" s="1" t="s">
        <v>51195</v>
      </c>
      <c r="AH3183" s="1" t="s">
        <v>547</v>
      </c>
      <c r="AI3183" s="1" t="s">
        <v>441</v>
      </c>
      <c r="AJ3183" s="1">
        <v>74</v>
      </c>
      <c r="AK3183" s="1">
        <v>0</v>
      </c>
      <c r="AL3183" s="1" t="s">
        <v>25494</v>
      </c>
      <c r="AM3183" s="1" t="s">
        <v>51196</v>
      </c>
      <c r="AN3183" s="1"/>
      <c r="AO3183" s="1" t="s">
        <v>847</v>
      </c>
      <c r="AP3183" s="1" t="s">
        <v>955</v>
      </c>
      <c r="AQ3183" s="1">
        <v>60</v>
      </c>
      <c r="AR3183" s="1">
        <v>0</v>
      </c>
      <c r="AS3183" s="1"/>
      <c r="AT3183" s="1"/>
      <c r="AU3183" s="1"/>
      <c r="AV3183" s="1"/>
      <c r="AW3183" s="1"/>
      <c r="AX3183" s="1"/>
      <c r="AY3183" s="1"/>
      <c r="AZ3183" s="1"/>
      <c r="BA3183" s="1"/>
      <c r="BB3183" s="1"/>
      <c r="BC3183" s="1"/>
      <c r="BD3183" s="1"/>
      <c r="BE3183" s="1"/>
      <c r="BF3183" s="1"/>
      <c r="BG3183" s="1"/>
      <c r="BH3183" s="1"/>
      <c r="BI3183" s="1"/>
      <c r="BJ3183" s="1"/>
      <c r="BK3183" s="1"/>
      <c r="BL3183" s="1"/>
      <c r="BM3183" s="1"/>
      <c r="BN3183" s="1"/>
      <c r="BO3183" s="1" t="s">
        <v>1890</v>
      </c>
      <c r="BP3183" s="1"/>
      <c r="BQ3183" s="1"/>
      <c r="BR3183" s="1" t="s">
        <v>51197</v>
      </c>
      <c r="BS3183" s="1">
        <v>12</v>
      </c>
      <c r="BT3183" s="1" t="s">
        <v>51198</v>
      </c>
      <c r="BU3183" s="1" t="str">
        <f>HYPERLINK("https://nconnect.nicmar.ac.in/storage/profile/ProfilePhoto_P2367016 _639527.jpg","Download")</f>
        <v>0</v>
      </c>
      <c r="BV3183" s="3"/>
      <c r="BW3183" s="3"/>
    </row>
    <row r="3184" spans="1:75">
      <c r="A3184" s="1" t="s">
        <v>50965</v>
      </c>
      <c r="B3184" s="1" t="s">
        <v>50966</v>
      </c>
      <c r="C3184" s="1" t="s">
        <v>51199</v>
      </c>
      <c r="D3184" s="1" t="s">
        <v>11469</v>
      </c>
      <c r="E3184" s="1"/>
      <c r="F3184" s="1" t="s">
        <v>20298</v>
      </c>
      <c r="G3184" s="1" t="s">
        <v>51200</v>
      </c>
      <c r="H3184" s="1" t="s">
        <v>51201</v>
      </c>
      <c r="I3184" s="1" t="s">
        <v>51202</v>
      </c>
      <c r="J3184" s="1">
        <v>7033193602</v>
      </c>
      <c r="K3184" s="1" t="s">
        <v>84</v>
      </c>
      <c r="L3184" s="1" t="s">
        <v>51203</v>
      </c>
      <c r="M3184" s="1" t="s">
        <v>86</v>
      </c>
      <c r="N3184" s="1" t="s">
        <v>246</v>
      </c>
      <c r="O3184" s="1"/>
      <c r="P3184" s="1" t="s">
        <v>455</v>
      </c>
      <c r="Q3184" s="1" t="s">
        <v>51204</v>
      </c>
      <c r="R3184" s="1" t="s">
        <v>51205</v>
      </c>
      <c r="S3184" s="1">
        <v>9334408377</v>
      </c>
      <c r="T3184" s="1" t="s">
        <v>645</v>
      </c>
      <c r="U3184" s="1" t="s">
        <v>51206</v>
      </c>
      <c r="V3184" s="1">
        <v>9835632009</v>
      </c>
      <c r="W3184" s="1" t="s">
        <v>51207</v>
      </c>
      <c r="X3184" s="1" t="s">
        <v>51208</v>
      </c>
      <c r="Y3184" s="1" t="s">
        <v>648</v>
      </c>
      <c r="Z3184" s="1" t="s">
        <v>649</v>
      </c>
      <c r="AA3184" s="1" t="s">
        <v>51209</v>
      </c>
      <c r="AB3184" s="1" t="s">
        <v>196</v>
      </c>
      <c r="AC3184" s="1" t="s">
        <v>97</v>
      </c>
      <c r="AD3184" s="1" t="s">
        <v>98</v>
      </c>
      <c r="AE3184" s="1" t="s">
        <v>98</v>
      </c>
      <c r="AF3184" s="1" t="s">
        <v>51210</v>
      </c>
      <c r="AG3184" s="1" t="s">
        <v>312</v>
      </c>
      <c r="AH3184" s="1" t="s">
        <v>171</v>
      </c>
      <c r="AI3184" s="1" t="s">
        <v>313</v>
      </c>
      <c r="AJ3184" s="1">
        <v>94.33</v>
      </c>
      <c r="AK3184" s="1"/>
      <c r="AL3184" s="1" t="s">
        <v>51210</v>
      </c>
      <c r="AM3184" s="1" t="s">
        <v>312</v>
      </c>
      <c r="AN3184" s="1"/>
      <c r="AO3184" s="1" t="s">
        <v>178</v>
      </c>
      <c r="AP3184" s="1" t="s">
        <v>549</v>
      </c>
      <c r="AQ3184" s="1">
        <v>92.8</v>
      </c>
      <c r="AR3184" s="1"/>
      <c r="AS3184" s="1"/>
      <c r="AT3184" s="1"/>
      <c r="AU3184" s="1"/>
      <c r="AV3184" s="1"/>
      <c r="AW3184" s="1"/>
      <c r="AX3184" s="1"/>
      <c r="AY3184" s="1"/>
      <c r="AZ3184" s="1"/>
      <c r="BA3184" s="1"/>
      <c r="BB3184" s="1"/>
      <c r="BC3184" s="1"/>
      <c r="BD3184" s="1"/>
      <c r="BE3184" s="1"/>
      <c r="BF3184" s="1"/>
      <c r="BG3184" s="1"/>
      <c r="BH3184" s="1"/>
      <c r="BI3184" s="1"/>
      <c r="BJ3184" s="1"/>
      <c r="BK3184" s="1"/>
      <c r="BL3184" s="1"/>
      <c r="BM3184" s="1"/>
      <c r="BN3184" s="1"/>
      <c r="BO3184" s="1" t="s">
        <v>51101</v>
      </c>
      <c r="BP3184" s="1"/>
      <c r="BQ3184" s="1"/>
      <c r="BR3184" s="1" t="s">
        <v>51211</v>
      </c>
      <c r="BS3184" s="1">
        <v>11</v>
      </c>
      <c r="BT3184" s="1"/>
      <c r="BU3184" s="1" t="str">
        <f>HYPERLINK("https://nconnect.nicmar.ac.in/storage/profile/ProfilePhoto_P2367017_561432.jpg","Download")</f>
        <v>0</v>
      </c>
      <c r="BV3184" s="3"/>
      <c r="BW3184" s="3"/>
    </row>
    <row r="3185" spans="1:75">
      <c r="A3185" s="1" t="s">
        <v>50965</v>
      </c>
      <c r="B3185" s="1" t="s">
        <v>50966</v>
      </c>
      <c r="C3185" s="1" t="s">
        <v>51212</v>
      </c>
      <c r="D3185" s="1" t="s">
        <v>51213</v>
      </c>
      <c r="E3185" s="1"/>
      <c r="F3185" s="1" t="s">
        <v>530</v>
      </c>
      <c r="G3185" s="1" t="s">
        <v>51214</v>
      </c>
      <c r="H3185" s="1" t="s">
        <v>51215</v>
      </c>
      <c r="I3185" s="1" t="s">
        <v>51216</v>
      </c>
      <c r="J3185" s="1">
        <v>9336217380</v>
      </c>
      <c r="K3185" s="1" t="s">
        <v>84</v>
      </c>
      <c r="L3185" s="1" t="s">
        <v>21349</v>
      </c>
      <c r="M3185" s="1" t="s">
        <v>86</v>
      </c>
      <c r="N3185" s="1" t="s">
        <v>355</v>
      </c>
      <c r="O3185" s="1"/>
      <c r="P3185" s="1" t="s">
        <v>481</v>
      </c>
      <c r="Q3185" s="1" t="s">
        <v>51217</v>
      </c>
      <c r="R3185" s="1" t="s">
        <v>51218</v>
      </c>
      <c r="S3185" s="1">
        <v>9648940980</v>
      </c>
      <c r="T3185" s="1" t="s">
        <v>51219</v>
      </c>
      <c r="U3185" s="1" t="s">
        <v>51220</v>
      </c>
      <c r="V3185" s="1">
        <v>9648940980</v>
      </c>
      <c r="W3185" s="1" t="s">
        <v>51219</v>
      </c>
      <c r="X3185" s="1" t="s">
        <v>51221</v>
      </c>
      <c r="Y3185" s="1" t="s">
        <v>1059</v>
      </c>
      <c r="Z3185" s="1" t="s">
        <v>544</v>
      </c>
      <c r="AA3185" s="1" t="s">
        <v>51221</v>
      </c>
      <c r="AB3185" s="1" t="s">
        <v>1059</v>
      </c>
      <c r="AC3185" s="1" t="s">
        <v>544</v>
      </c>
      <c r="AD3185" s="1" t="s">
        <v>98</v>
      </c>
      <c r="AE3185" s="1" t="s">
        <v>98</v>
      </c>
      <c r="AF3185" s="1" t="s">
        <v>51222</v>
      </c>
      <c r="AG3185" s="1" t="s">
        <v>51223</v>
      </c>
      <c r="AH3185" s="1" t="s">
        <v>977</v>
      </c>
      <c r="AI3185" s="1" t="s">
        <v>441</v>
      </c>
      <c r="AJ3185" s="1">
        <v>95.6</v>
      </c>
      <c r="AK3185" s="1"/>
      <c r="AL3185" s="1" t="s">
        <v>51222</v>
      </c>
      <c r="AM3185" s="1" t="s">
        <v>51224</v>
      </c>
      <c r="AN3185" s="1"/>
      <c r="AO3185" s="1" t="s">
        <v>845</v>
      </c>
      <c r="AP3185" s="1" t="s">
        <v>955</v>
      </c>
      <c r="AQ3185" s="1">
        <v>81.6</v>
      </c>
      <c r="AR3185" s="1"/>
      <c r="AS3185" s="1"/>
      <c r="AT3185" s="1"/>
      <c r="AU3185" s="1"/>
      <c r="AV3185" s="1"/>
      <c r="AW3185" s="1"/>
      <c r="AX3185" s="1"/>
      <c r="AY3185" s="1"/>
      <c r="AZ3185" s="1"/>
      <c r="BA3185" s="1"/>
      <c r="BB3185" s="1"/>
      <c r="BC3185" s="1"/>
      <c r="BD3185" s="1"/>
      <c r="BE3185" s="1"/>
      <c r="BF3185" s="1"/>
      <c r="BG3185" s="1"/>
      <c r="BH3185" s="1"/>
      <c r="BI3185" s="1"/>
      <c r="BJ3185" s="1"/>
      <c r="BK3185" s="1"/>
      <c r="BL3185" s="1"/>
      <c r="BM3185" s="1"/>
      <c r="BN3185" s="1"/>
      <c r="BO3185" s="1" t="s">
        <v>51225</v>
      </c>
      <c r="BP3185" s="1"/>
      <c r="BQ3185" s="1"/>
      <c r="BR3185" s="1" t="s">
        <v>51226</v>
      </c>
      <c r="BS3185" s="1">
        <v>13</v>
      </c>
      <c r="BT3185" s="1" t="s">
        <v>51227</v>
      </c>
      <c r="BU3185" s="1" t="str">
        <f>HYPERLINK("https://nconnect.nicmar.ac.in/storage/profile/ProfilePhoto_P2367018_789645.jpg","Download")</f>
        <v>0</v>
      </c>
      <c r="BV3185" s="3"/>
      <c r="BW3185" s="3"/>
    </row>
    <row r="3186" spans="1:75">
      <c r="A3186" s="1" t="s">
        <v>50965</v>
      </c>
      <c r="B3186" s="1" t="s">
        <v>50966</v>
      </c>
      <c r="C3186" s="1" t="s">
        <v>51228</v>
      </c>
      <c r="D3186" s="1" t="s">
        <v>27361</v>
      </c>
      <c r="E3186" s="1" t="s">
        <v>5073</v>
      </c>
      <c r="F3186" s="1" t="s">
        <v>7091</v>
      </c>
      <c r="G3186" s="1" t="s">
        <v>51229</v>
      </c>
      <c r="H3186" s="1" t="s">
        <v>51230</v>
      </c>
      <c r="I3186" s="1" t="s">
        <v>51231</v>
      </c>
      <c r="J3186" s="1">
        <v>9146031791</v>
      </c>
      <c r="K3186" s="1" t="s">
        <v>84</v>
      </c>
      <c r="L3186" s="1" t="s">
        <v>51232</v>
      </c>
      <c r="M3186" s="1" t="s">
        <v>86</v>
      </c>
      <c r="N3186" s="1" t="s">
        <v>51233</v>
      </c>
      <c r="O3186" s="1"/>
      <c r="P3186" s="1" t="s">
        <v>507</v>
      </c>
      <c r="Q3186" s="1" t="s">
        <v>51234</v>
      </c>
      <c r="R3186" s="1" t="s">
        <v>51235</v>
      </c>
      <c r="S3186" s="1">
        <v>9422292521</v>
      </c>
      <c r="T3186" s="1" t="s">
        <v>92</v>
      </c>
      <c r="U3186" s="1" t="s">
        <v>51236</v>
      </c>
      <c r="V3186" s="1">
        <v>9225540828</v>
      </c>
      <c r="W3186" s="1" t="s">
        <v>9700</v>
      </c>
      <c r="X3186" s="1" t="s">
        <v>51237</v>
      </c>
      <c r="Y3186" s="1" t="s">
        <v>196</v>
      </c>
      <c r="Z3186" s="1" t="s">
        <v>97</v>
      </c>
      <c r="AA3186" s="1" t="s">
        <v>51237</v>
      </c>
      <c r="AB3186" s="1" t="s">
        <v>196</v>
      </c>
      <c r="AC3186" s="1" t="s">
        <v>97</v>
      </c>
      <c r="AD3186" s="1" t="s">
        <v>98</v>
      </c>
      <c r="AE3186" s="1" t="s">
        <v>98</v>
      </c>
      <c r="AF3186" s="1"/>
      <c r="AG3186" s="1"/>
      <c r="AH3186" s="1"/>
      <c r="AI3186" s="1"/>
      <c r="AJ3186" s="1"/>
      <c r="AK3186" s="1"/>
      <c r="AL3186" s="1"/>
      <c r="AM3186" s="1"/>
      <c r="AN3186" s="1"/>
      <c r="AO3186" s="1"/>
      <c r="AP3186" s="1"/>
      <c r="AQ3186" s="1"/>
      <c r="AR3186" s="1"/>
      <c r="AS3186" s="1"/>
      <c r="AT3186" s="1"/>
      <c r="AU3186" s="1"/>
      <c r="AV3186" s="1"/>
      <c r="AW3186" s="1"/>
      <c r="AX3186" s="1"/>
      <c r="AY3186" s="1"/>
      <c r="AZ3186" s="1"/>
      <c r="BA3186" s="1"/>
      <c r="BB3186" s="1"/>
      <c r="BC3186" s="1"/>
      <c r="BD3186" s="1"/>
      <c r="BE3186" s="1"/>
      <c r="BF3186" s="1"/>
      <c r="BG3186" s="1"/>
      <c r="BH3186" s="1"/>
      <c r="BI3186" s="1"/>
      <c r="BJ3186" s="1"/>
      <c r="BK3186" s="1"/>
      <c r="BL3186" s="1"/>
      <c r="BM3186" s="1"/>
      <c r="BN3186" s="1"/>
      <c r="BO3186" s="1"/>
      <c r="BP3186" s="1"/>
      <c r="BQ3186" s="1"/>
      <c r="BR3186" s="1"/>
      <c r="BS3186" s="1"/>
      <c r="BT3186" s="1"/>
      <c r="BU3186" s="1" t="str">
        <f>HYPERLINK("https://nconnect.nicmar.ac.in/storage/profile/ProfilePhoto_P2367019_756943.jpg","Download")</f>
        <v>0</v>
      </c>
      <c r="BV3186" s="3"/>
      <c r="BW3186" s="3"/>
    </row>
    <row r="3187" spans="1:75">
      <c r="A3187" s="1" t="s">
        <v>50965</v>
      </c>
      <c r="B3187" s="1" t="s">
        <v>50966</v>
      </c>
      <c r="C3187" s="1" t="s">
        <v>51238</v>
      </c>
      <c r="D3187" s="1" t="s">
        <v>6560</v>
      </c>
      <c r="E3187" s="1"/>
      <c r="F3187" s="1" t="s">
        <v>1728</v>
      </c>
      <c r="G3187" s="1" t="s">
        <v>51239</v>
      </c>
      <c r="H3187" s="1" t="s">
        <v>51240</v>
      </c>
      <c r="I3187" s="1" t="s">
        <v>51241</v>
      </c>
      <c r="J3187" s="1">
        <v>9717153576</v>
      </c>
      <c r="K3187" s="1" t="s">
        <v>84</v>
      </c>
      <c r="L3187" s="1" t="s">
        <v>51093</v>
      </c>
      <c r="M3187" s="1" t="s">
        <v>86</v>
      </c>
      <c r="N3187" s="1" t="s">
        <v>246</v>
      </c>
      <c r="O3187" s="1"/>
      <c r="P3187" s="1" t="s">
        <v>455</v>
      </c>
      <c r="Q3187" s="1" t="s">
        <v>51242</v>
      </c>
      <c r="R3187" s="1" t="s">
        <v>51243</v>
      </c>
      <c r="S3187" s="1">
        <v>9811710666</v>
      </c>
      <c r="T3187" s="1" t="s">
        <v>3693</v>
      </c>
      <c r="U3187" s="1" t="s">
        <v>51244</v>
      </c>
      <c r="V3187" s="1">
        <v>9811812606</v>
      </c>
      <c r="W3187" s="1" t="s">
        <v>94</v>
      </c>
      <c r="X3187" s="1" t="s">
        <v>51245</v>
      </c>
      <c r="Y3187" s="1" t="s">
        <v>1107</v>
      </c>
      <c r="Z3187" s="1" t="s">
        <v>544</v>
      </c>
      <c r="AA3187" s="1" t="s">
        <v>51245</v>
      </c>
      <c r="AB3187" s="1" t="s">
        <v>1107</v>
      </c>
      <c r="AC3187" s="1" t="s">
        <v>544</v>
      </c>
      <c r="AD3187" s="1" t="s">
        <v>98</v>
      </c>
      <c r="AE3187" s="1" t="s">
        <v>98</v>
      </c>
      <c r="AF3187" s="1" t="s">
        <v>51246</v>
      </c>
      <c r="AG3187" s="1" t="s">
        <v>51247</v>
      </c>
      <c r="AH3187" s="1" t="s">
        <v>977</v>
      </c>
      <c r="AI3187" s="1" t="s">
        <v>1192</v>
      </c>
      <c r="AJ3187" s="1">
        <v>89.6</v>
      </c>
      <c r="AK3187" s="1"/>
      <c r="AL3187" s="1" t="s">
        <v>51246</v>
      </c>
      <c r="AM3187" s="1" t="s">
        <v>51247</v>
      </c>
      <c r="AN3187" s="1"/>
      <c r="AO3187" s="1" t="s">
        <v>521</v>
      </c>
      <c r="AP3187" s="1" t="s">
        <v>10037</v>
      </c>
      <c r="AQ3187" s="1">
        <v>77</v>
      </c>
      <c r="AR3187" s="1"/>
      <c r="AS3187" s="1"/>
      <c r="AT3187" s="1"/>
      <c r="AU3187" s="1"/>
      <c r="AV3187" s="1"/>
      <c r="AW3187" s="1"/>
      <c r="AX3187" s="1"/>
      <c r="AY3187" s="1"/>
      <c r="AZ3187" s="1"/>
      <c r="BA3187" s="1"/>
      <c r="BB3187" s="1"/>
      <c r="BC3187" s="1"/>
      <c r="BD3187" s="1"/>
      <c r="BE3187" s="1"/>
      <c r="BF3187" s="1"/>
      <c r="BG3187" s="1"/>
      <c r="BH3187" s="1"/>
      <c r="BI3187" s="1"/>
      <c r="BJ3187" s="1"/>
      <c r="BK3187" s="1"/>
      <c r="BL3187" s="1"/>
      <c r="BM3187" s="1"/>
      <c r="BN3187" s="1"/>
      <c r="BO3187" s="1" t="s">
        <v>51101</v>
      </c>
      <c r="BP3187" s="1"/>
      <c r="BQ3187" s="1"/>
      <c r="BR3187" s="1" t="s">
        <v>51248</v>
      </c>
      <c r="BS3187" s="1">
        <v>12</v>
      </c>
      <c r="BT3187" s="1" t="s">
        <v>51249</v>
      </c>
      <c r="BU3187" s="1" t="str">
        <f>HYPERLINK("https://nconnect.nicmar.ac.in/storage/profile/ProfilePhoto_P2367020_634581.jpg","Download")</f>
        <v>0</v>
      </c>
      <c r="BV3187" s="3"/>
      <c r="BW3187" s="3"/>
    </row>
    <row r="3188" spans="1:75">
      <c r="A3188" s="1" t="s">
        <v>50965</v>
      </c>
      <c r="B3188" s="1" t="s">
        <v>50966</v>
      </c>
      <c r="C3188" s="1" t="s">
        <v>51250</v>
      </c>
      <c r="D3188" s="1" t="s">
        <v>51251</v>
      </c>
      <c r="E3188" s="1"/>
      <c r="F3188" s="1" t="s">
        <v>51252</v>
      </c>
      <c r="G3188" s="1" t="s">
        <v>51253</v>
      </c>
      <c r="H3188" s="1" t="s">
        <v>51254</v>
      </c>
      <c r="I3188" s="1" t="s">
        <v>51255</v>
      </c>
      <c r="J3188" s="1">
        <v>9682250305</v>
      </c>
      <c r="K3188" s="1" t="s">
        <v>153</v>
      </c>
      <c r="L3188" s="1" t="s">
        <v>51256</v>
      </c>
      <c r="M3188" s="1" t="s">
        <v>86</v>
      </c>
      <c r="N3188" s="1" t="s">
        <v>4278</v>
      </c>
      <c r="O3188" s="1"/>
      <c r="P3188" s="1" t="s">
        <v>507</v>
      </c>
      <c r="Q3188" s="1" t="s">
        <v>51257</v>
      </c>
      <c r="R3188" s="1" t="s">
        <v>51258</v>
      </c>
      <c r="S3188" s="1">
        <v>9136028008</v>
      </c>
      <c r="T3188" s="1" t="s">
        <v>51259</v>
      </c>
      <c r="U3188" s="1" t="s">
        <v>51260</v>
      </c>
      <c r="V3188" s="1">
        <v>9136028008</v>
      </c>
      <c r="W3188" s="1" t="s">
        <v>161</v>
      </c>
      <c r="X3188" s="1" t="s">
        <v>51261</v>
      </c>
      <c r="Y3188" s="1" t="s">
        <v>1012</v>
      </c>
      <c r="Z3188" s="1" t="s">
        <v>97</v>
      </c>
      <c r="AA3188" s="1" t="s">
        <v>51261</v>
      </c>
      <c r="AB3188" s="1" t="s">
        <v>1012</v>
      </c>
      <c r="AC3188" s="1" t="s">
        <v>97</v>
      </c>
      <c r="AD3188" s="1" t="s">
        <v>98</v>
      </c>
      <c r="AE3188" s="1" t="s">
        <v>98</v>
      </c>
      <c r="AF3188" s="1" t="s">
        <v>51262</v>
      </c>
      <c r="AG3188" s="1" t="s">
        <v>51263</v>
      </c>
      <c r="AH3188" s="1" t="s">
        <v>977</v>
      </c>
      <c r="AI3188" s="1" t="s">
        <v>549</v>
      </c>
      <c r="AJ3188" s="1">
        <v>93.67</v>
      </c>
      <c r="AK3188" s="1"/>
      <c r="AL3188" s="1" t="s">
        <v>51264</v>
      </c>
      <c r="AM3188" s="1" t="s">
        <v>51265</v>
      </c>
      <c r="AN3188" s="1"/>
      <c r="AO3188" s="1" t="s">
        <v>845</v>
      </c>
      <c r="AP3188" s="1" t="s">
        <v>955</v>
      </c>
      <c r="AQ3188" s="1">
        <v>79.83</v>
      </c>
      <c r="AR3188" s="1"/>
      <c r="AS3188" s="1"/>
      <c r="AT3188" s="1"/>
      <c r="AU3188" s="1"/>
      <c r="AV3188" s="1"/>
      <c r="AW3188" s="1"/>
      <c r="AX3188" s="1"/>
      <c r="AY3188" s="1"/>
      <c r="AZ3188" s="1"/>
      <c r="BA3188" s="1"/>
      <c r="BB3188" s="1"/>
      <c r="BC3188" s="1"/>
      <c r="BD3188" s="1"/>
      <c r="BE3188" s="1"/>
      <c r="BF3188" s="1"/>
      <c r="BG3188" s="1"/>
      <c r="BH3188" s="1"/>
      <c r="BI3188" s="1"/>
      <c r="BJ3188" s="1"/>
      <c r="BK3188" s="1"/>
      <c r="BL3188" s="1"/>
      <c r="BM3188" s="1"/>
      <c r="BN3188" s="1"/>
      <c r="BO3188" s="1" t="s">
        <v>51266</v>
      </c>
      <c r="BP3188" s="1"/>
      <c r="BQ3188" s="1"/>
      <c r="BR3188" s="1" t="s">
        <v>51267</v>
      </c>
      <c r="BS3188" s="1">
        <v>12</v>
      </c>
      <c r="BT3188" s="1" t="s">
        <v>51268</v>
      </c>
      <c r="BU3188" s="1" t="str">
        <f>HYPERLINK("https://nconnect.nicmar.ac.in/storage/profile/ProfilePhoto_P2367021_429761.jpg","Download")</f>
        <v>0</v>
      </c>
      <c r="BV3188" s="3"/>
      <c r="BW3188" s="3"/>
    </row>
    <row r="3189" spans="1:75">
      <c r="A3189" s="1" t="s">
        <v>50965</v>
      </c>
      <c r="B3189" s="1" t="s">
        <v>50966</v>
      </c>
      <c r="C3189" s="1" t="s">
        <v>51269</v>
      </c>
      <c r="D3189" s="1" t="s">
        <v>51270</v>
      </c>
      <c r="E3189" s="1"/>
      <c r="F3189" s="1" t="s">
        <v>5558</v>
      </c>
      <c r="G3189" s="1" t="s">
        <v>51271</v>
      </c>
      <c r="H3189" s="1" t="s">
        <v>51272</v>
      </c>
      <c r="I3189" s="1" t="s">
        <v>51273</v>
      </c>
      <c r="J3189" s="1">
        <v>9664344497</v>
      </c>
      <c r="K3189" s="1" t="s">
        <v>153</v>
      </c>
      <c r="L3189" s="1" t="s">
        <v>50922</v>
      </c>
      <c r="M3189" s="1" t="s">
        <v>86</v>
      </c>
      <c r="N3189" s="1" t="s">
        <v>87</v>
      </c>
      <c r="O3189" s="1"/>
      <c r="P3189" s="1" t="s">
        <v>507</v>
      </c>
      <c r="Q3189" s="1" t="s">
        <v>51274</v>
      </c>
      <c r="R3189" s="1" t="s">
        <v>51275</v>
      </c>
      <c r="S3189" s="1">
        <v>9414083728</v>
      </c>
      <c r="T3189" s="1" t="s">
        <v>51276</v>
      </c>
      <c r="U3189" s="1" t="s">
        <v>51277</v>
      </c>
      <c r="V3189" s="1">
        <v>9407311157</v>
      </c>
      <c r="W3189" s="1" t="s">
        <v>94</v>
      </c>
      <c r="X3189" s="1" t="s">
        <v>51278</v>
      </c>
      <c r="Y3189" s="1" t="s">
        <v>2880</v>
      </c>
      <c r="Z3189" s="1" t="s">
        <v>676</v>
      </c>
      <c r="AA3189" s="1" t="s">
        <v>51278</v>
      </c>
      <c r="AB3189" s="1" t="s">
        <v>2880</v>
      </c>
      <c r="AC3189" s="1" t="s">
        <v>676</v>
      </c>
      <c r="AD3189" s="1" t="s">
        <v>98</v>
      </c>
      <c r="AE3189" s="1" t="s">
        <v>98</v>
      </c>
      <c r="AF3189" s="1" t="s">
        <v>51279</v>
      </c>
      <c r="AG3189" s="1" t="s">
        <v>51280</v>
      </c>
      <c r="AH3189" s="1" t="s">
        <v>977</v>
      </c>
      <c r="AI3189" s="1" t="s">
        <v>441</v>
      </c>
      <c r="AJ3189" s="1">
        <v>84</v>
      </c>
      <c r="AK3189" s="1"/>
      <c r="AL3189" s="1" t="s">
        <v>51279</v>
      </c>
      <c r="AM3189" s="1" t="s">
        <v>51280</v>
      </c>
      <c r="AN3189" s="1"/>
      <c r="AO3189" s="1" t="s">
        <v>521</v>
      </c>
      <c r="AP3189" s="1" t="s">
        <v>955</v>
      </c>
      <c r="AQ3189" s="1">
        <v>68</v>
      </c>
      <c r="AR3189" s="1"/>
      <c r="AS3189" s="1"/>
      <c r="AT3189" s="1"/>
      <c r="AU3189" s="1"/>
      <c r="AV3189" s="1"/>
      <c r="AW3189" s="1"/>
      <c r="AX3189" s="1"/>
      <c r="AY3189" s="1"/>
      <c r="AZ3189" s="1"/>
      <c r="BA3189" s="1"/>
      <c r="BB3189" s="1"/>
      <c r="BC3189" s="1"/>
      <c r="BD3189" s="1"/>
      <c r="BE3189" s="1"/>
      <c r="BF3189" s="1"/>
      <c r="BG3189" s="1"/>
      <c r="BH3189" s="1"/>
      <c r="BI3189" s="1"/>
      <c r="BJ3189" s="1"/>
      <c r="BK3189" s="1"/>
      <c r="BL3189" s="1"/>
      <c r="BM3189" s="1"/>
      <c r="BN3189" s="1"/>
      <c r="BO3189" s="1" t="s">
        <v>51281</v>
      </c>
      <c r="BP3189" s="1"/>
      <c r="BQ3189" s="1"/>
      <c r="BR3189" s="1"/>
      <c r="BS3189" s="1"/>
      <c r="BT3189" s="1" t="s">
        <v>51282</v>
      </c>
      <c r="BU3189" s="1" t="str">
        <f>HYPERLINK("https://nconnect.nicmar.ac.in/storage/profile/ProfilePhoto_P2367022 _641289.jpg","Download")</f>
        <v>0</v>
      </c>
      <c r="BV3189" s="3"/>
      <c r="BW3189" s="3"/>
    </row>
    <row r="3190" spans="1:75">
      <c r="A3190" s="1" t="s">
        <v>50965</v>
      </c>
      <c r="B3190" s="1" t="s">
        <v>50966</v>
      </c>
      <c r="C3190" s="1" t="s">
        <v>51283</v>
      </c>
      <c r="D3190" s="1" t="s">
        <v>29625</v>
      </c>
      <c r="E3190" s="1"/>
      <c r="F3190" s="1" t="s">
        <v>7814</v>
      </c>
      <c r="G3190" s="1" t="s">
        <v>51284</v>
      </c>
      <c r="H3190" s="1" t="s">
        <v>51285</v>
      </c>
      <c r="I3190" s="1" t="s">
        <v>51286</v>
      </c>
      <c r="J3190" s="1">
        <v>7827503102</v>
      </c>
      <c r="K3190" s="1" t="s">
        <v>84</v>
      </c>
      <c r="L3190" s="1" t="s">
        <v>51287</v>
      </c>
      <c r="M3190" s="1" t="s">
        <v>86</v>
      </c>
      <c r="N3190" s="1" t="s">
        <v>379</v>
      </c>
      <c r="O3190" s="1"/>
      <c r="P3190" s="1" t="s">
        <v>455</v>
      </c>
      <c r="Q3190" s="1" t="s">
        <v>51288</v>
      </c>
      <c r="R3190" s="1" t="s">
        <v>51289</v>
      </c>
      <c r="S3190" s="1">
        <v>9811759396</v>
      </c>
      <c r="T3190" s="1" t="s">
        <v>926</v>
      </c>
      <c r="U3190" s="1" t="s">
        <v>51290</v>
      </c>
      <c r="V3190" s="1">
        <v>9953527697</v>
      </c>
      <c r="W3190" s="1" t="s">
        <v>278</v>
      </c>
      <c r="X3190" s="1" t="s">
        <v>51291</v>
      </c>
      <c r="Y3190" s="1" t="s">
        <v>3767</v>
      </c>
      <c r="Z3190" s="1" t="s">
        <v>544</v>
      </c>
      <c r="AA3190" s="1" t="s">
        <v>51291</v>
      </c>
      <c r="AB3190" s="1" t="s">
        <v>3767</v>
      </c>
      <c r="AC3190" s="1" t="s">
        <v>544</v>
      </c>
      <c r="AD3190" s="1" t="s">
        <v>98</v>
      </c>
      <c r="AE3190" s="1" t="s">
        <v>98</v>
      </c>
      <c r="AF3190" s="1" t="s">
        <v>51292</v>
      </c>
      <c r="AG3190" s="1" t="s">
        <v>312</v>
      </c>
      <c r="AH3190" s="1" t="s">
        <v>977</v>
      </c>
      <c r="AI3190" s="1" t="s">
        <v>2304</v>
      </c>
      <c r="AJ3190" s="1">
        <v>82.6</v>
      </c>
      <c r="AK3190" s="1">
        <v>0</v>
      </c>
      <c r="AL3190" s="1" t="s">
        <v>51292</v>
      </c>
      <c r="AM3190" s="1" t="s">
        <v>312</v>
      </c>
      <c r="AN3190" s="1"/>
      <c r="AO3190" s="1" t="s">
        <v>521</v>
      </c>
      <c r="AP3190" s="1" t="s">
        <v>579</v>
      </c>
      <c r="AQ3190" s="1">
        <v>76</v>
      </c>
      <c r="AR3190" s="1">
        <v>0</v>
      </c>
      <c r="AS3190" s="1"/>
      <c r="AT3190" s="1"/>
      <c r="AU3190" s="1"/>
      <c r="AV3190" s="1"/>
      <c r="AW3190" s="1"/>
      <c r="AX3190" s="1"/>
      <c r="AY3190" s="1"/>
      <c r="AZ3190" s="1"/>
      <c r="BA3190" s="1"/>
      <c r="BB3190" s="1"/>
      <c r="BC3190" s="1"/>
      <c r="BD3190" s="1"/>
      <c r="BE3190" s="1"/>
      <c r="BF3190" s="1"/>
      <c r="BG3190" s="1"/>
      <c r="BH3190" s="1"/>
      <c r="BI3190" s="1"/>
      <c r="BJ3190" s="1"/>
      <c r="BK3190" s="1"/>
      <c r="BL3190" s="1"/>
      <c r="BM3190" s="1"/>
      <c r="BN3190" s="1"/>
      <c r="BO3190" s="1" t="s">
        <v>1890</v>
      </c>
      <c r="BP3190" s="1"/>
      <c r="BQ3190" s="1"/>
      <c r="BR3190" s="1"/>
      <c r="BS3190" s="1"/>
      <c r="BT3190" s="1"/>
      <c r="BU3190" s="1" t="str">
        <f>HYPERLINK("https://nconnect.nicmar.ac.in/storage/profile/ProfilePhoto_p2367023_564182.jpg","Download")</f>
        <v>0</v>
      </c>
      <c r="BV3190" s="3"/>
      <c r="BW3190" s="3"/>
    </row>
    <row r="3191" spans="1:75">
      <c r="A3191" s="1" t="s">
        <v>50965</v>
      </c>
      <c r="B3191" s="1" t="s">
        <v>50966</v>
      </c>
      <c r="C3191" s="1" t="s">
        <v>51293</v>
      </c>
      <c r="D3191" s="1" t="s">
        <v>51294</v>
      </c>
      <c r="E3191" s="1"/>
      <c r="F3191" s="1" t="s">
        <v>51295</v>
      </c>
      <c r="G3191" s="1" t="s">
        <v>51296</v>
      </c>
      <c r="H3191" s="1" t="s">
        <v>51297</v>
      </c>
      <c r="I3191" s="1" t="s">
        <v>51298</v>
      </c>
      <c r="J3191" s="1">
        <v>9346635903</v>
      </c>
      <c r="K3191" s="1" t="s">
        <v>84</v>
      </c>
      <c r="L3191" s="1" t="s">
        <v>51299</v>
      </c>
      <c r="M3191" s="1" t="s">
        <v>86</v>
      </c>
      <c r="N3191" s="1" t="s">
        <v>15844</v>
      </c>
      <c r="O3191" s="1"/>
      <c r="P3191" s="1"/>
      <c r="Q3191" s="1" t="s">
        <v>51300</v>
      </c>
      <c r="R3191" s="1" t="s">
        <v>51301</v>
      </c>
      <c r="S3191" s="1">
        <v>9346635903</v>
      </c>
      <c r="T3191" s="1" t="s">
        <v>51302</v>
      </c>
      <c r="U3191" s="1" t="s">
        <v>51303</v>
      </c>
      <c r="V3191" s="1">
        <v>9347160650</v>
      </c>
      <c r="W3191" s="1" t="s">
        <v>127</v>
      </c>
      <c r="X3191" s="1" t="s">
        <v>51304</v>
      </c>
      <c r="Y3191" s="1" t="s">
        <v>487</v>
      </c>
      <c r="Z3191" s="1" t="s">
        <v>281</v>
      </c>
      <c r="AA3191" s="1" t="s">
        <v>51304</v>
      </c>
      <c r="AB3191" s="1" t="s">
        <v>487</v>
      </c>
      <c r="AC3191" s="1" t="s">
        <v>281</v>
      </c>
      <c r="AD3191" s="1" t="s">
        <v>98</v>
      </c>
      <c r="AE3191" s="1" t="s">
        <v>98</v>
      </c>
      <c r="AF3191" s="1" t="s">
        <v>51305</v>
      </c>
      <c r="AG3191" s="1" t="s">
        <v>1418</v>
      </c>
      <c r="AH3191" s="1" t="s">
        <v>178</v>
      </c>
      <c r="AI3191" s="1" t="s">
        <v>847</v>
      </c>
      <c r="AJ3191" s="1">
        <v>100</v>
      </c>
      <c r="AK3191" s="1"/>
      <c r="AL3191" s="1" t="s">
        <v>51306</v>
      </c>
      <c r="AM3191" s="1" t="s">
        <v>51307</v>
      </c>
      <c r="AN3191" s="1"/>
      <c r="AO3191" s="1" t="s">
        <v>549</v>
      </c>
      <c r="AP3191" s="1" t="s">
        <v>10037</v>
      </c>
      <c r="AQ3191" s="1">
        <v>88.5</v>
      </c>
      <c r="AR3191" s="1"/>
      <c r="AS3191" s="1"/>
      <c r="AT3191" s="1"/>
      <c r="AU3191" s="1"/>
      <c r="AV3191" s="1"/>
      <c r="AW3191" s="1"/>
      <c r="AX3191" s="1"/>
      <c r="AY3191" s="1"/>
      <c r="AZ3191" s="1"/>
      <c r="BA3191" s="1"/>
      <c r="BB3191" s="1"/>
      <c r="BC3191" s="1"/>
      <c r="BD3191" s="1"/>
      <c r="BE3191" s="1"/>
      <c r="BF3191" s="1"/>
      <c r="BG3191" s="1"/>
      <c r="BH3191" s="1"/>
      <c r="BI3191" s="1"/>
      <c r="BJ3191" s="1"/>
      <c r="BK3191" s="1"/>
      <c r="BL3191" s="1"/>
      <c r="BM3191" s="1"/>
      <c r="BN3191" s="1"/>
      <c r="BO3191" s="1" t="s">
        <v>51308</v>
      </c>
      <c r="BP3191" s="1"/>
      <c r="BQ3191" s="1"/>
      <c r="BR3191" s="1" t="s">
        <v>51309</v>
      </c>
      <c r="BS3191" s="1">
        <v>12</v>
      </c>
      <c r="BT3191" s="1" t="s">
        <v>51310</v>
      </c>
      <c r="BU3191" s="1" t="str">
        <f>HYPERLINK("https://nconnect.nicmar.ac.in/storage/profile/ProfilePhoto_P2367024 _423659.jpg","Download")</f>
        <v>0</v>
      </c>
      <c r="BV3191" s="3"/>
      <c r="BW3191" s="3"/>
    </row>
    <row r="3192" spans="1:75">
      <c r="A3192" s="1" t="s">
        <v>50965</v>
      </c>
      <c r="B3192" s="1" t="s">
        <v>50966</v>
      </c>
      <c r="C3192" s="1" t="s">
        <v>51311</v>
      </c>
      <c r="D3192" s="1" t="s">
        <v>51312</v>
      </c>
      <c r="E3192" s="1"/>
      <c r="F3192" s="1" t="s">
        <v>37079</v>
      </c>
      <c r="G3192" s="1" t="s">
        <v>51313</v>
      </c>
      <c r="H3192" s="1" t="s">
        <v>51314</v>
      </c>
      <c r="I3192" s="1" t="s">
        <v>51315</v>
      </c>
      <c r="J3192" s="1">
        <v>9302498588</v>
      </c>
      <c r="K3192" s="1" t="s">
        <v>153</v>
      </c>
      <c r="L3192" s="1" t="s">
        <v>51316</v>
      </c>
      <c r="M3192" s="1" t="s">
        <v>86</v>
      </c>
      <c r="N3192" s="1" t="s">
        <v>1101</v>
      </c>
      <c r="O3192" s="1"/>
      <c r="P3192" s="1" t="s">
        <v>507</v>
      </c>
      <c r="Q3192" s="1" t="s">
        <v>51317</v>
      </c>
      <c r="R3192" s="1" t="s">
        <v>51318</v>
      </c>
      <c r="S3192" s="1">
        <v>8839985150</v>
      </c>
      <c r="T3192" s="1" t="s">
        <v>839</v>
      </c>
      <c r="U3192" s="1" t="s">
        <v>51319</v>
      </c>
      <c r="V3192" s="1">
        <v>7987203315</v>
      </c>
      <c r="W3192" s="1" t="s">
        <v>2547</v>
      </c>
      <c r="X3192" s="1" t="s">
        <v>51320</v>
      </c>
      <c r="Y3192" s="1" t="s">
        <v>5622</v>
      </c>
      <c r="Z3192" s="1" t="s">
        <v>3419</v>
      </c>
      <c r="AA3192" s="1" t="s">
        <v>51320</v>
      </c>
      <c r="AB3192" s="1" t="s">
        <v>5622</v>
      </c>
      <c r="AC3192" s="1" t="s">
        <v>3419</v>
      </c>
      <c r="AD3192" s="1" t="s">
        <v>98</v>
      </c>
      <c r="AE3192" s="1" t="s">
        <v>98</v>
      </c>
      <c r="AF3192" s="1" t="s">
        <v>51321</v>
      </c>
      <c r="AG3192" s="1" t="s">
        <v>51322</v>
      </c>
      <c r="AH3192" s="1" t="s">
        <v>977</v>
      </c>
      <c r="AI3192" s="1" t="s">
        <v>441</v>
      </c>
      <c r="AJ3192" s="1">
        <v>74.5</v>
      </c>
      <c r="AK3192" s="1"/>
      <c r="AL3192" s="1" t="s">
        <v>51323</v>
      </c>
      <c r="AM3192" s="1" t="s">
        <v>51322</v>
      </c>
      <c r="AN3192" s="1"/>
      <c r="AO3192" s="1" t="s">
        <v>1886</v>
      </c>
      <c r="AP3192" s="1" t="s">
        <v>391</v>
      </c>
      <c r="AQ3192" s="1">
        <v>72.8</v>
      </c>
      <c r="AR3192" s="1"/>
      <c r="AS3192" s="1"/>
      <c r="AT3192" s="1"/>
      <c r="AU3192" s="1"/>
      <c r="AV3192" s="1"/>
      <c r="AW3192" s="1"/>
      <c r="AX3192" s="1"/>
      <c r="AY3192" s="1"/>
      <c r="AZ3192" s="1"/>
      <c r="BA3192" s="1"/>
      <c r="BB3192" s="1"/>
      <c r="BC3192" s="1"/>
      <c r="BD3192" s="1"/>
      <c r="BE3192" s="1"/>
      <c r="BF3192" s="1"/>
      <c r="BG3192" s="1"/>
      <c r="BH3192" s="1"/>
      <c r="BI3192" s="1"/>
      <c r="BJ3192" s="1"/>
      <c r="BK3192" s="1"/>
      <c r="BL3192" s="1"/>
      <c r="BM3192" s="1"/>
      <c r="BN3192" s="1"/>
      <c r="BO3192" s="1" t="s">
        <v>51324</v>
      </c>
      <c r="BP3192" s="1"/>
      <c r="BQ3192" s="1"/>
      <c r="BR3192" s="1"/>
      <c r="BS3192" s="1"/>
      <c r="BT3192" s="1"/>
      <c r="BU3192" s="1" t="str">
        <f>HYPERLINK("https://nconnect.nicmar.ac.in/storage/profile/ProfilePhoto_P2367025_248913.jpg","Download")</f>
        <v>0</v>
      </c>
      <c r="BV3192" s="3"/>
      <c r="BW3192" s="3"/>
    </row>
    <row r="3193" spans="1:75">
      <c r="A3193" s="1" t="s">
        <v>50965</v>
      </c>
      <c r="B3193" s="1" t="s">
        <v>50966</v>
      </c>
      <c r="C3193" s="1" t="s">
        <v>51325</v>
      </c>
      <c r="D3193" s="1" t="s">
        <v>5238</v>
      </c>
      <c r="E3193" s="1" t="s">
        <v>762</v>
      </c>
      <c r="F3193" s="1" t="s">
        <v>6810</v>
      </c>
      <c r="G3193" s="1" t="s">
        <v>51326</v>
      </c>
      <c r="H3193" s="1" t="s">
        <v>51327</v>
      </c>
      <c r="I3193" s="1" t="s">
        <v>51328</v>
      </c>
      <c r="J3193" s="1">
        <v>9224209398</v>
      </c>
      <c r="K3193" s="1" t="s">
        <v>153</v>
      </c>
      <c r="L3193" s="1" t="s">
        <v>51329</v>
      </c>
      <c r="M3193" s="1" t="s">
        <v>86</v>
      </c>
      <c r="N3193" s="1" t="s">
        <v>51330</v>
      </c>
      <c r="O3193" s="1"/>
      <c r="P3193" s="1" t="s">
        <v>1028</v>
      </c>
      <c r="Q3193" s="1" t="s">
        <v>51331</v>
      </c>
      <c r="R3193" s="1" t="s">
        <v>762</v>
      </c>
      <c r="S3193" s="1">
        <v>9821490634</v>
      </c>
      <c r="T3193" s="1" t="s">
        <v>51332</v>
      </c>
      <c r="U3193" s="1" t="s">
        <v>26253</v>
      </c>
      <c r="V3193" s="1">
        <v>9224209398</v>
      </c>
      <c r="W3193" s="1" t="s">
        <v>161</v>
      </c>
      <c r="X3193" s="1" t="s">
        <v>51333</v>
      </c>
      <c r="Y3193" s="1" t="s">
        <v>196</v>
      </c>
      <c r="Z3193" s="1" t="s">
        <v>97</v>
      </c>
      <c r="AA3193" s="1" t="s">
        <v>51333</v>
      </c>
      <c r="AB3193" s="1" t="s">
        <v>196</v>
      </c>
      <c r="AC3193" s="1" t="s">
        <v>97</v>
      </c>
      <c r="AD3193" s="1" t="s">
        <v>98</v>
      </c>
      <c r="AE3193" s="1" t="s">
        <v>98</v>
      </c>
      <c r="AF3193" s="1" t="s">
        <v>51334</v>
      </c>
      <c r="AG3193" s="1" t="s">
        <v>51335</v>
      </c>
      <c r="AH3193" s="1" t="s">
        <v>977</v>
      </c>
      <c r="AI3193" s="1" t="s">
        <v>441</v>
      </c>
      <c r="AJ3193" s="1">
        <v>62.8</v>
      </c>
      <c r="AK3193" s="1">
        <v>0</v>
      </c>
      <c r="AL3193" s="1" t="s">
        <v>51336</v>
      </c>
      <c r="AM3193" s="1" t="s">
        <v>165</v>
      </c>
      <c r="AN3193" s="1"/>
      <c r="AO3193" s="1" t="s">
        <v>289</v>
      </c>
      <c r="AP3193" s="1" t="s">
        <v>234</v>
      </c>
      <c r="AQ3193" s="1">
        <v>61.17</v>
      </c>
      <c r="AR3193" s="1">
        <v>0</v>
      </c>
      <c r="AS3193" s="1"/>
      <c r="AT3193" s="1"/>
      <c r="AU3193" s="1"/>
      <c r="AV3193" s="1"/>
      <c r="AW3193" s="1"/>
      <c r="AX3193" s="1"/>
      <c r="AY3193" s="1"/>
      <c r="AZ3193" s="1"/>
      <c r="BA3193" s="1"/>
      <c r="BB3193" s="1"/>
      <c r="BC3193" s="1"/>
      <c r="BD3193" s="1"/>
      <c r="BE3193" s="1"/>
      <c r="BF3193" s="1"/>
      <c r="BG3193" s="1"/>
      <c r="BH3193" s="1"/>
      <c r="BI3193" s="1"/>
      <c r="BJ3193" s="1"/>
      <c r="BK3193" s="1"/>
      <c r="BL3193" s="1"/>
      <c r="BM3193" s="1"/>
      <c r="BN3193" s="1"/>
      <c r="BO3193" s="1" t="s">
        <v>51337</v>
      </c>
      <c r="BP3193" s="1"/>
      <c r="BQ3193" s="1"/>
      <c r="BR3193" s="1" t="s">
        <v>51338</v>
      </c>
      <c r="BS3193" s="1">
        <v>13</v>
      </c>
      <c r="BT3193" s="1" t="s">
        <v>51339</v>
      </c>
      <c r="BU3193" s="1" t="str">
        <f>HYPERLINK("https://nconnect.nicmar.ac.in/storage/profile/ProfilePhoto_P2367028_915374.jpg","Download")</f>
        <v>0</v>
      </c>
      <c r="BV3193" s="3"/>
      <c r="BW3193" s="3"/>
    </row>
    <row r="3194" spans="1:75">
      <c r="A3194" s="1" t="s">
        <v>51340</v>
      </c>
      <c r="B3194" s="1" t="s">
        <v>51341</v>
      </c>
      <c r="C3194" s="1" t="s">
        <v>51342</v>
      </c>
      <c r="D3194" s="1" t="s">
        <v>51343</v>
      </c>
      <c r="E3194" s="1"/>
      <c r="F3194" s="1" t="s">
        <v>7814</v>
      </c>
      <c r="G3194" s="1" t="s">
        <v>51344</v>
      </c>
      <c r="H3194" s="1" t="s">
        <v>51345</v>
      </c>
      <c r="I3194" s="1" t="s">
        <v>51346</v>
      </c>
      <c r="J3194" s="1"/>
      <c r="K3194" s="1" t="s">
        <v>153</v>
      </c>
      <c r="L3194" s="1" t="s">
        <v>51347</v>
      </c>
      <c r="M3194" s="1" t="s">
        <v>86</v>
      </c>
      <c r="N3194" s="1" t="s">
        <v>5330</v>
      </c>
      <c r="O3194" s="1"/>
      <c r="P3194" s="1" t="s">
        <v>455</v>
      </c>
      <c r="Q3194" s="1" t="s">
        <v>51348</v>
      </c>
      <c r="R3194" s="1" t="s">
        <v>51349</v>
      </c>
      <c r="S3194" s="1">
        <v>7015481879</v>
      </c>
      <c r="T3194" s="1" t="s">
        <v>926</v>
      </c>
      <c r="U3194" s="1" t="s">
        <v>51350</v>
      </c>
      <c r="V3194" s="1">
        <v>7015481879</v>
      </c>
      <c r="W3194" s="1" t="s">
        <v>94</v>
      </c>
      <c r="X3194" s="1" t="s">
        <v>51351</v>
      </c>
      <c r="Y3194" s="1" t="s">
        <v>28193</v>
      </c>
      <c r="Z3194" s="1" t="s">
        <v>1700</v>
      </c>
      <c r="AA3194" s="1" t="s">
        <v>51351</v>
      </c>
      <c r="AB3194" s="1" t="s">
        <v>28193</v>
      </c>
      <c r="AC3194" s="1" t="s">
        <v>1700</v>
      </c>
      <c r="AD3194" s="1" t="s">
        <v>98</v>
      </c>
      <c r="AE3194" s="1" t="s">
        <v>98</v>
      </c>
      <c r="AF3194" s="1" t="s">
        <v>51352</v>
      </c>
      <c r="AG3194" s="1" t="s">
        <v>51353</v>
      </c>
      <c r="AH3194" s="1" t="s">
        <v>3770</v>
      </c>
      <c r="AI3194" s="1" t="s">
        <v>3421</v>
      </c>
      <c r="AJ3194" s="1">
        <v>95</v>
      </c>
      <c r="AK3194" s="1">
        <v>10</v>
      </c>
      <c r="AL3194" s="1" t="s">
        <v>51354</v>
      </c>
      <c r="AM3194" s="1" t="s">
        <v>51353</v>
      </c>
      <c r="AN3194" s="1"/>
      <c r="AO3194" s="1" t="s">
        <v>1214</v>
      </c>
      <c r="AP3194" s="1" t="s">
        <v>136</v>
      </c>
      <c r="AQ3194" s="1">
        <v>83.7</v>
      </c>
      <c r="AR3194" s="1"/>
      <c r="AS3194" s="1"/>
      <c r="AT3194" s="1"/>
      <c r="AU3194" s="1"/>
      <c r="AV3194" s="1"/>
      <c r="AW3194" s="1"/>
      <c r="AX3194" s="1"/>
      <c r="AY3194" s="1" t="s">
        <v>33615</v>
      </c>
      <c r="AZ3194" s="1" t="s">
        <v>51355</v>
      </c>
      <c r="BA3194" s="1"/>
      <c r="BB3194" s="1"/>
      <c r="BC3194" s="1" t="s">
        <v>105</v>
      </c>
      <c r="BD3194" s="1" t="s">
        <v>468</v>
      </c>
      <c r="BE3194" s="1">
        <v>75</v>
      </c>
      <c r="BF3194" s="1">
        <v>7.53</v>
      </c>
      <c r="BG3194" s="1"/>
      <c r="BH3194" s="1"/>
      <c r="BI3194" s="1"/>
      <c r="BJ3194" s="1"/>
      <c r="BK3194" s="1"/>
      <c r="BL3194" s="1"/>
      <c r="BM3194" s="1"/>
      <c r="BN3194" s="1"/>
      <c r="BO3194" s="1" t="s">
        <v>1114</v>
      </c>
      <c r="BP3194" s="1"/>
      <c r="BQ3194" s="1"/>
      <c r="BR3194" s="1" t="s">
        <v>51356</v>
      </c>
      <c r="BS3194" s="1">
        <v>12</v>
      </c>
      <c r="BT3194" s="1"/>
      <c r="BU3194" s="1" t="str">
        <f>HYPERLINK("https://nconnect.nicmar.ac.in/storage/profile/2021-2023_AB21001_418796.jpg","Download")</f>
        <v>0</v>
      </c>
      <c r="BV3194" s="3"/>
      <c r="BW3194" s="3"/>
    </row>
    <row r="3195" spans="1:75">
      <c r="A3195" s="1" t="s">
        <v>51340</v>
      </c>
      <c r="B3195" s="1" t="s">
        <v>51341</v>
      </c>
      <c r="C3195" s="1" t="s">
        <v>51357</v>
      </c>
      <c r="D3195" s="1" t="s">
        <v>663</v>
      </c>
      <c r="E3195" s="1" t="s">
        <v>663</v>
      </c>
      <c r="F3195" s="1" t="s">
        <v>51358</v>
      </c>
      <c r="G3195" s="1" t="s">
        <v>51359</v>
      </c>
      <c r="H3195" s="1" t="s">
        <v>51360</v>
      </c>
      <c r="I3195" s="1" t="s">
        <v>51361</v>
      </c>
      <c r="J3195" s="1"/>
      <c r="K3195" s="1" t="s">
        <v>84</v>
      </c>
      <c r="L3195" s="1" t="s">
        <v>51362</v>
      </c>
      <c r="M3195" s="1" t="s">
        <v>86</v>
      </c>
      <c r="N3195" s="1" t="s">
        <v>5330</v>
      </c>
      <c r="O3195" s="1"/>
      <c r="P3195" s="1" t="s">
        <v>1028</v>
      </c>
      <c r="Q3195" s="1" t="s">
        <v>51363</v>
      </c>
      <c r="R3195" s="1" t="s">
        <v>51364</v>
      </c>
      <c r="S3195" s="1">
        <v>7065440992</v>
      </c>
      <c r="T3195" s="1" t="s">
        <v>15111</v>
      </c>
      <c r="U3195" s="1" t="s">
        <v>5386</v>
      </c>
      <c r="V3195" s="1">
        <v>8882425600</v>
      </c>
      <c r="W3195" s="1" t="s">
        <v>161</v>
      </c>
      <c r="X3195" s="1" t="s">
        <v>51365</v>
      </c>
      <c r="Y3195" s="1" t="s">
        <v>25440</v>
      </c>
      <c r="Z3195" s="1" t="s">
        <v>1739</v>
      </c>
      <c r="AA3195" s="1" t="s">
        <v>51365</v>
      </c>
      <c r="AB3195" s="1" t="s">
        <v>25440</v>
      </c>
      <c r="AC3195" s="1" t="s">
        <v>1739</v>
      </c>
      <c r="AD3195" s="1" t="s">
        <v>98</v>
      </c>
      <c r="AE3195" s="1" t="s">
        <v>98</v>
      </c>
      <c r="AF3195" s="1" t="s">
        <v>51366</v>
      </c>
      <c r="AG3195" s="1" t="s">
        <v>5375</v>
      </c>
      <c r="AH3195" s="1" t="s">
        <v>3421</v>
      </c>
      <c r="AI3195" s="1" t="s">
        <v>515</v>
      </c>
      <c r="AJ3195" s="1">
        <v>86</v>
      </c>
      <c r="AK3195" s="1">
        <v>8.6</v>
      </c>
      <c r="AL3195" s="1" t="s">
        <v>51366</v>
      </c>
      <c r="AM3195" s="1" t="s">
        <v>5375</v>
      </c>
      <c r="AN3195" s="1"/>
      <c r="AO3195" s="1" t="s">
        <v>1110</v>
      </c>
      <c r="AP3195" s="1" t="s">
        <v>1111</v>
      </c>
      <c r="AQ3195" s="1">
        <v>84</v>
      </c>
      <c r="AR3195" s="1"/>
      <c r="AS3195" s="1"/>
      <c r="AT3195" s="1"/>
      <c r="AU3195" s="1"/>
      <c r="AV3195" s="1"/>
      <c r="AW3195" s="1"/>
      <c r="AX3195" s="1"/>
      <c r="AY3195" s="1" t="s">
        <v>6493</v>
      </c>
      <c r="AZ3195" s="1" t="s">
        <v>51367</v>
      </c>
      <c r="BA3195" s="1"/>
      <c r="BB3195" s="1"/>
      <c r="BC3195" s="1" t="s">
        <v>139</v>
      </c>
      <c r="BD3195" s="1" t="s">
        <v>1647</v>
      </c>
      <c r="BE3195" s="1">
        <v>82</v>
      </c>
      <c r="BF3195" s="1"/>
      <c r="BG3195" s="1" t="s">
        <v>51368</v>
      </c>
      <c r="BH3195" s="1" t="s">
        <v>6026</v>
      </c>
      <c r="BI3195" s="1"/>
      <c r="BJ3195" s="1"/>
      <c r="BK3195" s="1" t="s">
        <v>441</v>
      </c>
      <c r="BL3195" s="1" t="s">
        <v>579</v>
      </c>
      <c r="BM3195" s="1">
        <v>96</v>
      </c>
      <c r="BN3195" s="1">
        <v>9.6</v>
      </c>
      <c r="BO3195" s="1" t="s">
        <v>1114</v>
      </c>
      <c r="BP3195" s="1"/>
      <c r="BQ3195" s="1"/>
      <c r="BR3195" s="1" t="s">
        <v>51369</v>
      </c>
      <c r="BS3195" s="1">
        <v>12</v>
      </c>
      <c r="BT3195" s="1"/>
      <c r="BU3195" s="1" t="str">
        <f>HYPERLINK("https://nconnect.nicmar.ac.in/storage/profile/2021-2023_AB21002_954872.jpg","Download")</f>
        <v>0</v>
      </c>
      <c r="BV3195" s="3"/>
      <c r="BW3195" s="3"/>
    </row>
    <row r="3196" spans="1:75">
      <c r="A3196" s="1" t="s">
        <v>51340</v>
      </c>
      <c r="B3196" s="1" t="s">
        <v>51341</v>
      </c>
      <c r="C3196" s="1" t="s">
        <v>51370</v>
      </c>
      <c r="D3196" s="1" t="s">
        <v>2249</v>
      </c>
      <c r="E3196" s="1"/>
      <c r="F3196" s="1" t="s">
        <v>11351</v>
      </c>
      <c r="G3196" s="1" t="s">
        <v>51371</v>
      </c>
      <c r="H3196" s="1" t="s">
        <v>51372</v>
      </c>
      <c r="I3196" s="1" t="s">
        <v>51373</v>
      </c>
      <c r="J3196" s="1"/>
      <c r="K3196" s="1" t="s">
        <v>84</v>
      </c>
      <c r="L3196" s="1" t="s">
        <v>51374</v>
      </c>
      <c r="M3196" s="1" t="s">
        <v>86</v>
      </c>
      <c r="N3196" s="1" t="s">
        <v>4278</v>
      </c>
      <c r="O3196" s="1"/>
      <c r="P3196" s="1" t="s">
        <v>507</v>
      </c>
      <c r="Q3196" s="1" t="s">
        <v>51375</v>
      </c>
      <c r="R3196" s="1" t="s">
        <v>51376</v>
      </c>
      <c r="S3196" s="1">
        <v>9818269495</v>
      </c>
      <c r="T3196" s="1" t="s">
        <v>645</v>
      </c>
      <c r="U3196" s="1" t="s">
        <v>51377</v>
      </c>
      <c r="V3196" s="1">
        <v>9818863629</v>
      </c>
      <c r="W3196" s="1" t="s">
        <v>278</v>
      </c>
      <c r="X3196" s="1" t="s">
        <v>51378</v>
      </c>
      <c r="Y3196" s="1" t="s">
        <v>6489</v>
      </c>
      <c r="Z3196" s="1" t="s">
        <v>1739</v>
      </c>
      <c r="AA3196" s="1" t="s">
        <v>51378</v>
      </c>
      <c r="AB3196" s="1" t="s">
        <v>6489</v>
      </c>
      <c r="AC3196" s="1" t="s">
        <v>1739</v>
      </c>
      <c r="AD3196" s="1" t="s">
        <v>98</v>
      </c>
      <c r="AE3196" s="1" t="s">
        <v>98</v>
      </c>
      <c r="AF3196" s="1" t="s">
        <v>51379</v>
      </c>
      <c r="AG3196" s="1" t="s">
        <v>9059</v>
      </c>
      <c r="AH3196" s="1" t="s">
        <v>51380</v>
      </c>
      <c r="AI3196" s="1" t="s">
        <v>1457</v>
      </c>
      <c r="AJ3196" s="1">
        <v>78</v>
      </c>
      <c r="AK3196" s="1">
        <v>7.87</v>
      </c>
      <c r="AL3196" s="1" t="s">
        <v>51379</v>
      </c>
      <c r="AM3196" s="1" t="s">
        <v>9059</v>
      </c>
      <c r="AN3196" s="1"/>
      <c r="AO3196" s="1" t="s">
        <v>3421</v>
      </c>
      <c r="AP3196" s="1" t="s">
        <v>102</v>
      </c>
      <c r="AQ3196" s="1">
        <v>86</v>
      </c>
      <c r="AR3196" s="1">
        <v>8.66</v>
      </c>
      <c r="AS3196" s="1"/>
      <c r="AT3196" s="1"/>
      <c r="AU3196" s="1"/>
      <c r="AV3196" s="1"/>
      <c r="AW3196" s="1"/>
      <c r="AX3196" s="1"/>
      <c r="AY3196" s="1" t="s">
        <v>6493</v>
      </c>
      <c r="AZ3196" s="1" t="s">
        <v>51381</v>
      </c>
      <c r="BA3196" s="1"/>
      <c r="BB3196" s="1"/>
      <c r="BC3196" s="1" t="s">
        <v>4231</v>
      </c>
      <c r="BD3196" s="1" t="s">
        <v>977</v>
      </c>
      <c r="BE3196" s="1">
        <v>77</v>
      </c>
      <c r="BF3196" s="1">
        <v>7.73</v>
      </c>
      <c r="BG3196" s="1"/>
      <c r="BH3196" s="1"/>
      <c r="BI3196" s="1"/>
      <c r="BJ3196" s="1"/>
      <c r="BK3196" s="1"/>
      <c r="BL3196" s="1"/>
      <c r="BM3196" s="1"/>
      <c r="BN3196" s="1"/>
      <c r="BO3196" s="1" t="s">
        <v>51382</v>
      </c>
      <c r="BP3196" s="1"/>
      <c r="BQ3196" s="1"/>
      <c r="BR3196" s="1" t="s">
        <v>51383</v>
      </c>
      <c r="BS3196" s="1">
        <v>12</v>
      </c>
      <c r="BT3196" s="1"/>
      <c r="BU3196" s="1" t="str">
        <f>HYPERLINK("https://nconnect.nicmar.ac.in/storage/profile/2021-2023_AB21003_953781.jpg","Download")</f>
        <v>0</v>
      </c>
      <c r="BV3196" s="3"/>
      <c r="BW3196" s="3"/>
    </row>
    <row r="3197" spans="1:75">
      <c r="A3197" s="1" t="s">
        <v>51340</v>
      </c>
      <c r="B3197" s="1" t="s">
        <v>51341</v>
      </c>
      <c r="C3197" s="1" t="s">
        <v>51384</v>
      </c>
      <c r="D3197" s="1" t="s">
        <v>51385</v>
      </c>
      <c r="E3197" s="1"/>
      <c r="F3197" s="1" t="s">
        <v>2807</v>
      </c>
      <c r="G3197" s="1" t="s">
        <v>51386</v>
      </c>
      <c r="H3197" s="1" t="s">
        <v>51387</v>
      </c>
      <c r="I3197" s="1" t="s">
        <v>51388</v>
      </c>
      <c r="J3197" s="1">
        <v>8249272035</v>
      </c>
      <c r="K3197" s="1" t="s">
        <v>153</v>
      </c>
      <c r="L3197" s="1" t="s">
        <v>51389</v>
      </c>
      <c r="M3197" s="1" t="s">
        <v>86</v>
      </c>
      <c r="N3197" s="1" t="s">
        <v>51390</v>
      </c>
      <c r="O3197" s="1"/>
      <c r="P3197" s="1" t="s">
        <v>481</v>
      </c>
      <c r="Q3197" s="1" t="s">
        <v>51391</v>
      </c>
      <c r="R3197" s="1" t="s">
        <v>51392</v>
      </c>
      <c r="S3197" s="1">
        <v>9436169701</v>
      </c>
      <c r="T3197" s="1" t="s">
        <v>51393</v>
      </c>
      <c r="U3197" s="1" t="s">
        <v>51394</v>
      </c>
      <c r="V3197" s="1">
        <v>9366385820</v>
      </c>
      <c r="W3197" s="1" t="s">
        <v>221</v>
      </c>
      <c r="X3197" s="1" t="s">
        <v>51395</v>
      </c>
      <c r="Y3197" s="1" t="s">
        <v>31467</v>
      </c>
      <c r="Z3197" s="1" t="s">
        <v>31468</v>
      </c>
      <c r="AA3197" s="1" t="s">
        <v>51395</v>
      </c>
      <c r="AB3197" s="1" t="s">
        <v>31467</v>
      </c>
      <c r="AC3197" s="1" t="s">
        <v>31468</v>
      </c>
      <c r="AD3197" s="1" t="s">
        <v>98</v>
      </c>
      <c r="AE3197" s="1" t="s">
        <v>98</v>
      </c>
      <c r="AF3197" s="1" t="s">
        <v>1557</v>
      </c>
      <c r="AG3197" s="1" t="s">
        <v>51396</v>
      </c>
      <c r="AH3197" s="1" t="s">
        <v>3421</v>
      </c>
      <c r="AI3197" s="1" t="s">
        <v>515</v>
      </c>
      <c r="AJ3197" s="1">
        <v>68</v>
      </c>
      <c r="AK3197" s="1">
        <v>7</v>
      </c>
      <c r="AL3197" s="1" t="s">
        <v>31469</v>
      </c>
      <c r="AM3197" s="1" t="s">
        <v>51396</v>
      </c>
      <c r="AN3197" s="1"/>
      <c r="AO3197" s="1" t="s">
        <v>102</v>
      </c>
      <c r="AP3197" s="1" t="s">
        <v>1111</v>
      </c>
      <c r="AQ3197" s="1">
        <v>61</v>
      </c>
      <c r="AR3197" s="1">
        <v>6.3</v>
      </c>
      <c r="AS3197" s="1"/>
      <c r="AT3197" s="1"/>
      <c r="AU3197" s="1"/>
      <c r="AV3197" s="1"/>
      <c r="AW3197" s="1"/>
      <c r="AX3197" s="1"/>
      <c r="AY3197" s="1" t="s">
        <v>51397</v>
      </c>
      <c r="AZ3197" s="1" t="s">
        <v>51398</v>
      </c>
      <c r="BA3197" s="1"/>
      <c r="BB3197" s="1"/>
      <c r="BC3197" s="1" t="s">
        <v>139</v>
      </c>
      <c r="BD3197" s="1" t="s">
        <v>890</v>
      </c>
      <c r="BE3197" s="1">
        <v>74.6</v>
      </c>
      <c r="BF3197" s="1">
        <v>7.8</v>
      </c>
      <c r="BG3197" s="1"/>
      <c r="BH3197" s="1"/>
      <c r="BI3197" s="1"/>
      <c r="BJ3197" s="1"/>
      <c r="BK3197" s="1"/>
      <c r="BL3197" s="1"/>
      <c r="BM3197" s="1"/>
      <c r="BN3197" s="1"/>
      <c r="BO3197" s="1" t="s">
        <v>1114</v>
      </c>
      <c r="BP3197" s="1" t="s">
        <v>51399</v>
      </c>
      <c r="BQ3197" s="1" t="s">
        <v>9405</v>
      </c>
      <c r="BR3197" s="1" t="s">
        <v>51400</v>
      </c>
      <c r="BS3197" s="1">
        <v>7</v>
      </c>
      <c r="BT3197" s="1"/>
      <c r="BU3197" s="1" t="str">
        <f>HYPERLINK("https://nconnect.nicmar.ac.in/storage/profile/2021-2023_AB21004_148659.jpg","Download")</f>
        <v>0</v>
      </c>
      <c r="BV3197" s="3"/>
      <c r="BW3197" s="3"/>
    </row>
    <row r="3198" spans="1:75">
      <c r="A3198" s="1" t="s">
        <v>51340</v>
      </c>
      <c r="B3198" s="1" t="s">
        <v>51341</v>
      </c>
      <c r="C3198" s="1" t="s">
        <v>51401</v>
      </c>
      <c r="D3198" s="1" t="s">
        <v>2249</v>
      </c>
      <c r="E3198" s="1" t="s">
        <v>2249</v>
      </c>
      <c r="F3198" s="1" t="s">
        <v>2249</v>
      </c>
      <c r="G3198" s="1" t="s">
        <v>51402</v>
      </c>
      <c r="H3198" s="1" t="s">
        <v>51403</v>
      </c>
      <c r="I3198" s="1" t="s">
        <v>51404</v>
      </c>
      <c r="J3198" s="1"/>
      <c r="K3198" s="1" t="s">
        <v>84</v>
      </c>
      <c r="L3198" s="1" t="s">
        <v>9763</v>
      </c>
      <c r="M3198" s="1" t="s">
        <v>86</v>
      </c>
      <c r="N3198" s="1" t="s">
        <v>38738</v>
      </c>
      <c r="O3198" s="1"/>
      <c r="P3198" s="1" t="s">
        <v>507</v>
      </c>
      <c r="Q3198" s="1" t="s">
        <v>51405</v>
      </c>
      <c r="R3198" s="1" t="s">
        <v>51406</v>
      </c>
      <c r="S3198" s="1">
        <v>9214907667</v>
      </c>
      <c r="T3198" s="1" t="s">
        <v>276</v>
      </c>
      <c r="U3198" s="1" t="s">
        <v>51407</v>
      </c>
      <c r="V3198" s="1">
        <v>8890417910</v>
      </c>
      <c r="W3198" s="1" t="s">
        <v>127</v>
      </c>
      <c r="X3198" s="1" t="s">
        <v>51408</v>
      </c>
      <c r="Y3198" s="1" t="s">
        <v>51409</v>
      </c>
      <c r="Z3198" s="1" t="s">
        <v>2153</v>
      </c>
      <c r="AA3198" s="1" t="s">
        <v>51408</v>
      </c>
      <c r="AB3198" s="1" t="s">
        <v>51409</v>
      </c>
      <c r="AC3198" s="1" t="s">
        <v>2153</v>
      </c>
      <c r="AD3198" s="1" t="s">
        <v>98</v>
      </c>
      <c r="AE3198" s="1" t="s">
        <v>98</v>
      </c>
      <c r="AF3198" s="1" t="s">
        <v>51410</v>
      </c>
      <c r="AG3198" s="1" t="s">
        <v>2159</v>
      </c>
      <c r="AH3198" s="1" t="s">
        <v>257</v>
      </c>
      <c r="AI3198" s="1" t="s">
        <v>166</v>
      </c>
      <c r="AJ3198" s="1">
        <v>64.67</v>
      </c>
      <c r="AK3198" s="1"/>
      <c r="AL3198" s="1" t="s">
        <v>51411</v>
      </c>
      <c r="AM3198" s="1" t="s">
        <v>2159</v>
      </c>
      <c r="AN3198" s="1"/>
      <c r="AO3198" s="1" t="s">
        <v>1396</v>
      </c>
      <c r="AP3198" s="1" t="s">
        <v>170</v>
      </c>
      <c r="AQ3198" s="1">
        <v>71.4</v>
      </c>
      <c r="AR3198" s="1"/>
      <c r="AS3198" s="1"/>
      <c r="AT3198" s="1"/>
      <c r="AU3198" s="1"/>
      <c r="AV3198" s="1"/>
      <c r="AW3198" s="1"/>
      <c r="AX3198" s="1"/>
      <c r="AY3198" s="1" t="s">
        <v>51412</v>
      </c>
      <c r="AZ3198" s="1" t="s">
        <v>51413</v>
      </c>
      <c r="BA3198" s="1"/>
      <c r="BB3198" s="1"/>
      <c r="BC3198" s="1" t="s">
        <v>230</v>
      </c>
      <c r="BD3198" s="1" t="s">
        <v>441</v>
      </c>
      <c r="BE3198" s="1">
        <v>70.16</v>
      </c>
      <c r="BF3198" s="1"/>
      <c r="BG3198" s="1"/>
      <c r="BH3198" s="1"/>
      <c r="BI3198" s="1"/>
      <c r="BJ3198" s="1"/>
      <c r="BK3198" s="1"/>
      <c r="BL3198" s="1"/>
      <c r="BM3198" s="1"/>
      <c r="BN3198" s="1"/>
      <c r="BO3198" s="1" t="s">
        <v>369</v>
      </c>
      <c r="BP3198" s="1"/>
      <c r="BQ3198" s="1"/>
      <c r="BR3198" s="1" t="s">
        <v>51414</v>
      </c>
      <c r="BS3198" s="1">
        <v>19</v>
      </c>
      <c r="BT3198" s="1"/>
      <c r="BU3198" s="1" t="str">
        <f>HYPERLINK("https://nconnect.nicmar.ac.in/storage/profile/2021-2023_AB21005_284173.jpg","Download")</f>
        <v>0</v>
      </c>
      <c r="BV3198" s="3"/>
      <c r="BW3198" s="3"/>
    </row>
    <row r="3199" spans="1:75">
      <c r="A3199" s="1" t="s">
        <v>51340</v>
      </c>
      <c r="B3199" s="1" t="s">
        <v>51341</v>
      </c>
      <c r="C3199" s="1" t="s">
        <v>51415</v>
      </c>
      <c r="D3199" s="1" t="s">
        <v>38368</v>
      </c>
      <c r="E3199" s="1"/>
      <c r="F3199" s="1" t="s">
        <v>961</v>
      </c>
      <c r="G3199" s="1" t="s">
        <v>51416</v>
      </c>
      <c r="H3199" s="1" t="s">
        <v>51417</v>
      </c>
      <c r="I3199" s="1" t="s">
        <v>51418</v>
      </c>
      <c r="J3199" s="1"/>
      <c r="K3199" s="1" t="s">
        <v>84</v>
      </c>
      <c r="L3199" s="1" t="s">
        <v>30159</v>
      </c>
      <c r="M3199" s="1" t="s">
        <v>86</v>
      </c>
      <c r="N3199" s="1" t="s">
        <v>4278</v>
      </c>
      <c r="O3199" s="1"/>
      <c r="P3199" s="1" t="s">
        <v>507</v>
      </c>
      <c r="Q3199" s="1" t="s">
        <v>51419</v>
      </c>
      <c r="R3199" s="1" t="s">
        <v>51420</v>
      </c>
      <c r="S3199" s="1">
        <v>8800129098</v>
      </c>
      <c r="T3199" s="1" t="s">
        <v>221</v>
      </c>
      <c r="U3199" s="1" t="s">
        <v>51421</v>
      </c>
      <c r="V3199" s="1">
        <v>7011668051</v>
      </c>
      <c r="W3199" s="1" t="s">
        <v>221</v>
      </c>
      <c r="X3199" s="1" t="s">
        <v>51422</v>
      </c>
      <c r="Y3199" s="1" t="s">
        <v>2549</v>
      </c>
      <c r="Z3199" s="1" t="s">
        <v>1700</v>
      </c>
      <c r="AA3199" s="1" t="s">
        <v>51422</v>
      </c>
      <c r="AB3199" s="1" t="s">
        <v>2549</v>
      </c>
      <c r="AC3199" s="1" t="s">
        <v>1700</v>
      </c>
      <c r="AD3199" s="1" t="s">
        <v>98</v>
      </c>
      <c r="AE3199" s="1" t="s">
        <v>98</v>
      </c>
      <c r="AF3199" s="1" t="s">
        <v>51423</v>
      </c>
      <c r="AG3199" s="1" t="s">
        <v>796</v>
      </c>
      <c r="AH3199" s="1" t="s">
        <v>134</v>
      </c>
      <c r="AI3199" s="1" t="s">
        <v>1262</v>
      </c>
      <c r="AJ3199" s="1">
        <v>74</v>
      </c>
      <c r="AK3199" s="1">
        <v>7.8</v>
      </c>
      <c r="AL3199" s="1" t="s">
        <v>51423</v>
      </c>
      <c r="AM3199" s="1" t="s">
        <v>796</v>
      </c>
      <c r="AN3199" s="1"/>
      <c r="AO3199" s="1" t="s">
        <v>136</v>
      </c>
      <c r="AP3199" s="1" t="s">
        <v>627</v>
      </c>
      <c r="AQ3199" s="1">
        <v>81.6</v>
      </c>
      <c r="AR3199" s="1">
        <v>8.6</v>
      </c>
      <c r="AS3199" s="1"/>
      <c r="AT3199" s="1"/>
      <c r="AU3199" s="1"/>
      <c r="AV3199" s="1"/>
      <c r="AW3199" s="1"/>
      <c r="AX3199" s="1"/>
      <c r="AY3199" s="1" t="s">
        <v>30766</v>
      </c>
      <c r="AZ3199" s="1" t="s">
        <v>51424</v>
      </c>
      <c r="BA3199" s="1"/>
      <c r="BB3199" s="1"/>
      <c r="BC3199" s="1" t="s">
        <v>139</v>
      </c>
      <c r="BD3199" s="1" t="s">
        <v>289</v>
      </c>
      <c r="BE3199" s="1">
        <v>62.3</v>
      </c>
      <c r="BF3199" s="1">
        <v>6.23</v>
      </c>
      <c r="BG3199" s="1"/>
      <c r="BH3199" s="1"/>
      <c r="BI3199" s="1"/>
      <c r="BJ3199" s="1"/>
      <c r="BK3199" s="1"/>
      <c r="BL3199" s="1"/>
      <c r="BM3199" s="1"/>
      <c r="BN3199" s="1"/>
      <c r="BO3199" s="1" t="s">
        <v>8688</v>
      </c>
      <c r="BP3199" s="1"/>
      <c r="BQ3199" s="1"/>
      <c r="BR3199" s="1"/>
      <c r="BS3199" s="1"/>
      <c r="BT3199" s="1"/>
      <c r="BU3199" s="1" t="s">
        <v>9653</v>
      </c>
      <c r="BV3199" s="3"/>
      <c r="BW3199" s="3"/>
    </row>
    <row r="3200" spans="1:75">
      <c r="A3200" s="1" t="s">
        <v>51340</v>
      </c>
      <c r="B3200" s="1" t="s">
        <v>51341</v>
      </c>
      <c r="C3200" s="1" t="s">
        <v>51425</v>
      </c>
      <c r="D3200" s="1" t="s">
        <v>10295</v>
      </c>
      <c r="E3200" s="1"/>
      <c r="F3200" s="1" t="s">
        <v>51426</v>
      </c>
      <c r="G3200" s="1" t="s">
        <v>51427</v>
      </c>
      <c r="H3200" s="1" t="s">
        <v>51428</v>
      </c>
      <c r="I3200" s="1" t="s">
        <v>51428</v>
      </c>
      <c r="J3200" s="1"/>
      <c r="K3200" s="1"/>
      <c r="L3200" s="1" t="s">
        <v>51429</v>
      </c>
      <c r="M3200" s="1"/>
      <c r="N3200" s="1"/>
      <c r="O3200" s="1"/>
      <c r="P3200" s="1"/>
      <c r="Q3200" s="1"/>
      <c r="R3200" s="1"/>
      <c r="S3200" s="1"/>
      <c r="T3200" s="1"/>
      <c r="U3200" s="1"/>
      <c r="V3200" s="1"/>
      <c r="W3200" s="1"/>
      <c r="X3200" s="1"/>
      <c r="Y3200" s="1"/>
      <c r="Z3200" s="1"/>
      <c r="AA3200" s="1"/>
      <c r="AB3200" s="1"/>
      <c r="AC3200" s="1"/>
      <c r="AD3200" s="1" t="s">
        <v>98</v>
      </c>
      <c r="AE3200" s="1" t="s">
        <v>98</v>
      </c>
      <c r="AF3200" s="1"/>
      <c r="AG3200" s="1"/>
      <c r="AH3200" s="1"/>
      <c r="AI3200" s="1"/>
      <c r="AJ3200" s="1"/>
      <c r="AK3200" s="1"/>
      <c r="AL3200" s="1"/>
      <c r="AM3200" s="1"/>
      <c r="AN3200" s="1"/>
      <c r="AO3200" s="1"/>
      <c r="AP3200" s="1"/>
      <c r="AQ3200" s="1"/>
      <c r="AR3200" s="1"/>
      <c r="AS3200" s="1"/>
      <c r="AT3200" s="1"/>
      <c r="AU3200" s="1"/>
      <c r="AV3200" s="1"/>
      <c r="AW3200" s="1"/>
      <c r="AX3200" s="1"/>
      <c r="AY3200" s="1"/>
      <c r="AZ3200" s="1"/>
      <c r="BA3200" s="1"/>
      <c r="BB3200" s="1"/>
      <c r="BC3200" s="1"/>
      <c r="BD3200" s="1"/>
      <c r="BE3200" s="1"/>
      <c r="BF3200" s="1"/>
      <c r="BG3200" s="1"/>
      <c r="BH3200" s="1"/>
      <c r="BI3200" s="1"/>
      <c r="BJ3200" s="1"/>
      <c r="BK3200" s="1"/>
      <c r="BL3200" s="1"/>
      <c r="BM3200" s="1"/>
      <c r="BN3200" s="1"/>
      <c r="BO3200" s="1"/>
      <c r="BP3200" s="1"/>
      <c r="BQ3200" s="1"/>
      <c r="BR3200" s="1"/>
      <c r="BS3200" s="1"/>
      <c r="BT3200" s="1"/>
      <c r="BU3200" s="1" t="s">
        <v>9653</v>
      </c>
      <c r="BV3200" s="3"/>
      <c r="BW3200" s="3"/>
    </row>
    <row r="3201" spans="1:75">
      <c r="A3201" s="1" t="s">
        <v>51340</v>
      </c>
      <c r="B3201" s="1" t="s">
        <v>51341</v>
      </c>
      <c r="C3201" s="1" t="s">
        <v>51430</v>
      </c>
      <c r="D3201" s="1" t="s">
        <v>1893</v>
      </c>
      <c r="E3201" s="1"/>
      <c r="F3201" s="1" t="s">
        <v>1320</v>
      </c>
      <c r="G3201" s="1" t="s">
        <v>23564</v>
      </c>
      <c r="H3201" s="1" t="s">
        <v>51431</v>
      </c>
      <c r="I3201" s="1" t="s">
        <v>51432</v>
      </c>
      <c r="J3201" s="1"/>
      <c r="K3201" s="1" t="s">
        <v>84</v>
      </c>
      <c r="L3201" s="1" t="s">
        <v>51433</v>
      </c>
      <c r="M3201" s="1" t="s">
        <v>86</v>
      </c>
      <c r="N3201" s="1" t="s">
        <v>355</v>
      </c>
      <c r="O3201" s="1"/>
      <c r="P3201" s="1" t="s">
        <v>481</v>
      </c>
      <c r="Q3201" s="1" t="s">
        <v>51434</v>
      </c>
      <c r="R3201" s="1" t="s">
        <v>51435</v>
      </c>
      <c r="S3201" s="1">
        <v>9718958669</v>
      </c>
      <c r="T3201" s="1" t="s">
        <v>839</v>
      </c>
      <c r="U3201" s="1" t="s">
        <v>5386</v>
      </c>
      <c r="V3201" s="1">
        <v>9718958669</v>
      </c>
      <c r="W3201" s="1" t="s">
        <v>51436</v>
      </c>
      <c r="X3201" s="1" t="s">
        <v>51437</v>
      </c>
      <c r="Y3201" s="1" t="s">
        <v>1738</v>
      </c>
      <c r="Z3201" s="1" t="s">
        <v>1739</v>
      </c>
      <c r="AA3201" s="1" t="s">
        <v>51437</v>
      </c>
      <c r="AB3201" s="1" t="s">
        <v>1738</v>
      </c>
      <c r="AC3201" s="1" t="s">
        <v>1739</v>
      </c>
      <c r="AD3201" s="1" t="s">
        <v>98</v>
      </c>
      <c r="AE3201" s="1" t="s">
        <v>98</v>
      </c>
      <c r="AF3201" s="1" t="s">
        <v>51438</v>
      </c>
      <c r="AG3201" s="1" t="s">
        <v>796</v>
      </c>
      <c r="AH3201" s="1" t="s">
        <v>3770</v>
      </c>
      <c r="AI3201" s="1" t="s">
        <v>134</v>
      </c>
      <c r="AJ3201" s="1">
        <v>77.9</v>
      </c>
      <c r="AK3201" s="1">
        <v>8.2</v>
      </c>
      <c r="AL3201" s="1" t="s">
        <v>51439</v>
      </c>
      <c r="AM3201" s="1" t="s">
        <v>796</v>
      </c>
      <c r="AN3201" s="1"/>
      <c r="AO3201" s="1" t="s">
        <v>515</v>
      </c>
      <c r="AP3201" s="1" t="s">
        <v>136</v>
      </c>
      <c r="AQ3201" s="1">
        <v>55</v>
      </c>
      <c r="AR3201" s="1"/>
      <c r="AS3201" s="1"/>
      <c r="AT3201" s="1"/>
      <c r="AU3201" s="1"/>
      <c r="AV3201" s="1"/>
      <c r="AW3201" s="1"/>
      <c r="AX3201" s="1"/>
      <c r="AY3201" s="1" t="s">
        <v>51440</v>
      </c>
      <c r="AZ3201" s="1" t="s">
        <v>51441</v>
      </c>
      <c r="BA3201" s="1"/>
      <c r="BB3201" s="1"/>
      <c r="BC3201" s="1" t="s">
        <v>139</v>
      </c>
      <c r="BD3201" s="1" t="s">
        <v>890</v>
      </c>
      <c r="BE3201" s="1">
        <v>68.97</v>
      </c>
      <c r="BF3201" s="1">
        <v>6.99</v>
      </c>
      <c r="BG3201" s="1"/>
      <c r="BH3201" s="1"/>
      <c r="BI3201" s="1"/>
      <c r="BJ3201" s="1"/>
      <c r="BK3201" s="1"/>
      <c r="BL3201" s="1"/>
      <c r="BM3201" s="1"/>
      <c r="BN3201" s="1"/>
      <c r="BO3201" s="1" t="s">
        <v>1114</v>
      </c>
      <c r="BP3201" s="1" t="s">
        <v>51442</v>
      </c>
      <c r="BQ3201" s="1" t="s">
        <v>736</v>
      </c>
      <c r="BR3201" s="1" t="s">
        <v>51443</v>
      </c>
      <c r="BS3201" s="1">
        <v>13</v>
      </c>
      <c r="BT3201" s="1"/>
      <c r="BU3201" s="1" t="str">
        <f>HYPERLINK("https://nconnect.nicmar.ac.in/storage/profile/2021-2023_AB21008_246179.jpg","Download")</f>
        <v>0</v>
      </c>
      <c r="BV3201" s="3"/>
      <c r="BW3201" s="3"/>
    </row>
    <row r="3202" spans="1:75">
      <c r="A3202" s="1" t="s">
        <v>51340</v>
      </c>
      <c r="B3202" s="1" t="s">
        <v>51341</v>
      </c>
      <c r="C3202" s="1" t="s">
        <v>51444</v>
      </c>
      <c r="D3202" s="1" t="s">
        <v>663</v>
      </c>
      <c r="E3202" s="1"/>
      <c r="F3202" s="1" t="s">
        <v>51445</v>
      </c>
      <c r="G3202" s="1" t="s">
        <v>51446</v>
      </c>
      <c r="H3202" s="1" t="s">
        <v>51447</v>
      </c>
      <c r="I3202" s="1" t="s">
        <v>51448</v>
      </c>
      <c r="J3202" s="1"/>
      <c r="K3202" s="1" t="s">
        <v>84</v>
      </c>
      <c r="L3202" s="1" t="s">
        <v>51449</v>
      </c>
      <c r="M3202" s="1" t="s">
        <v>86</v>
      </c>
      <c r="N3202" s="1" t="s">
        <v>8438</v>
      </c>
      <c r="O3202" s="1"/>
      <c r="P3202" s="1" t="s">
        <v>481</v>
      </c>
      <c r="Q3202" s="1" t="s">
        <v>51450</v>
      </c>
      <c r="R3202" s="1" t="s">
        <v>51451</v>
      </c>
      <c r="S3202" s="1">
        <v>9654143588</v>
      </c>
      <c r="T3202" s="1" t="s">
        <v>51452</v>
      </c>
      <c r="U3202" s="1" t="s">
        <v>51453</v>
      </c>
      <c r="V3202" s="1">
        <v>8076035058</v>
      </c>
      <c r="W3202" s="1" t="s">
        <v>94</v>
      </c>
      <c r="X3202" s="1" t="s">
        <v>51454</v>
      </c>
      <c r="Y3202" s="1" t="s">
        <v>25440</v>
      </c>
      <c r="Z3202" s="1" t="s">
        <v>1739</v>
      </c>
      <c r="AA3202" s="1" t="s">
        <v>51454</v>
      </c>
      <c r="AB3202" s="1" t="s">
        <v>25440</v>
      </c>
      <c r="AC3202" s="1" t="s">
        <v>1739</v>
      </c>
      <c r="AD3202" s="1" t="s">
        <v>98</v>
      </c>
      <c r="AE3202" s="1" t="s">
        <v>98</v>
      </c>
      <c r="AF3202" s="1" t="s">
        <v>51455</v>
      </c>
      <c r="AG3202" s="1" t="s">
        <v>37367</v>
      </c>
      <c r="AH3202" s="1" t="s">
        <v>3923</v>
      </c>
      <c r="AI3202" s="1" t="s">
        <v>2726</v>
      </c>
      <c r="AJ3202" s="1">
        <v>76</v>
      </c>
      <c r="AK3202" s="1">
        <v>8</v>
      </c>
      <c r="AL3202" s="1" t="s">
        <v>51455</v>
      </c>
      <c r="AM3202" s="1" t="s">
        <v>37367</v>
      </c>
      <c r="AN3202" s="1"/>
      <c r="AO3202" s="1" t="s">
        <v>3421</v>
      </c>
      <c r="AP3202" s="1" t="s">
        <v>1262</v>
      </c>
      <c r="AQ3202" s="1">
        <v>75.8</v>
      </c>
      <c r="AR3202" s="1"/>
      <c r="AS3202" s="1"/>
      <c r="AT3202" s="1"/>
      <c r="AU3202" s="1"/>
      <c r="AV3202" s="1"/>
      <c r="AW3202" s="1"/>
      <c r="AX3202" s="1"/>
      <c r="AY3202" s="1" t="s">
        <v>6493</v>
      </c>
      <c r="AZ3202" s="1" t="s">
        <v>6494</v>
      </c>
      <c r="BA3202" s="1"/>
      <c r="BB3202" s="1"/>
      <c r="BC3202" s="1" t="s">
        <v>105</v>
      </c>
      <c r="BD3202" s="1" t="s">
        <v>206</v>
      </c>
      <c r="BE3202" s="1">
        <v>73.3</v>
      </c>
      <c r="BF3202" s="1">
        <v>7.33</v>
      </c>
      <c r="BG3202" s="1"/>
      <c r="BH3202" s="1"/>
      <c r="BI3202" s="1"/>
      <c r="BJ3202" s="1"/>
      <c r="BK3202" s="1"/>
      <c r="BL3202" s="1"/>
      <c r="BM3202" s="1"/>
      <c r="BN3202" s="1"/>
      <c r="BO3202" s="1" t="s">
        <v>1114</v>
      </c>
      <c r="BP3202" s="1"/>
      <c r="BQ3202" s="1"/>
      <c r="BR3202" s="1"/>
      <c r="BS3202" s="1"/>
      <c r="BT3202" s="1"/>
      <c r="BU3202" s="1" t="str">
        <f>HYPERLINK("https://nconnect.nicmar.ac.in/storage/profile/2021-2023_AB21009_946571.jpg","Download")</f>
        <v>0</v>
      </c>
      <c r="BV3202" s="3"/>
      <c r="BW3202" s="3"/>
    </row>
    <row r="3203" spans="1:75">
      <c r="A3203" s="1" t="s">
        <v>51340</v>
      </c>
      <c r="B3203" s="1" t="s">
        <v>51341</v>
      </c>
      <c r="C3203" s="1" t="s">
        <v>51456</v>
      </c>
      <c r="D3203" s="1" t="s">
        <v>51457</v>
      </c>
      <c r="E3203" s="1"/>
      <c r="F3203" s="1" t="s">
        <v>51458</v>
      </c>
      <c r="G3203" s="1" t="s">
        <v>51459</v>
      </c>
      <c r="H3203" s="1" t="s">
        <v>51460</v>
      </c>
      <c r="I3203" s="1" t="s">
        <v>51461</v>
      </c>
      <c r="J3203" s="1">
        <v>7292057597</v>
      </c>
      <c r="K3203" s="1" t="s">
        <v>153</v>
      </c>
      <c r="L3203" s="1" t="s">
        <v>51462</v>
      </c>
      <c r="M3203" s="1" t="s">
        <v>86</v>
      </c>
      <c r="N3203" s="1" t="s">
        <v>4753</v>
      </c>
      <c r="O3203" s="1"/>
      <c r="P3203" s="1" t="s">
        <v>455</v>
      </c>
      <c r="Q3203" s="1" t="s">
        <v>51463</v>
      </c>
      <c r="R3203" s="1" t="s">
        <v>51464</v>
      </c>
      <c r="S3203" s="1">
        <v>9650909759</v>
      </c>
      <c r="T3203" s="1" t="s">
        <v>9878</v>
      </c>
      <c r="U3203" s="1" t="s">
        <v>51465</v>
      </c>
      <c r="V3203" s="1">
        <v>8250954350</v>
      </c>
      <c r="W3203" s="1" t="s">
        <v>541</v>
      </c>
      <c r="X3203" s="1" t="s">
        <v>51466</v>
      </c>
      <c r="Y3203" s="1" t="s">
        <v>35597</v>
      </c>
      <c r="Z3203" s="1" t="s">
        <v>1234</v>
      </c>
      <c r="AA3203" s="1" t="s">
        <v>51466</v>
      </c>
      <c r="AB3203" s="1" t="s">
        <v>35597</v>
      </c>
      <c r="AC3203" s="1" t="s">
        <v>1234</v>
      </c>
      <c r="AD3203" s="1" t="s">
        <v>98</v>
      </c>
      <c r="AE3203" s="1" t="s">
        <v>98</v>
      </c>
      <c r="AF3203" s="1" t="s">
        <v>51467</v>
      </c>
      <c r="AG3203" s="1" t="s">
        <v>51468</v>
      </c>
      <c r="AH3203" s="1" t="s">
        <v>2156</v>
      </c>
      <c r="AI3203" s="1" t="s">
        <v>10231</v>
      </c>
      <c r="AJ3203" s="1">
        <v>71.14</v>
      </c>
      <c r="AK3203" s="1"/>
      <c r="AL3203" s="1" t="s">
        <v>51469</v>
      </c>
      <c r="AM3203" s="1" t="s">
        <v>51470</v>
      </c>
      <c r="AN3203" s="1"/>
      <c r="AO3203" s="1" t="s">
        <v>2203</v>
      </c>
      <c r="AP3203" s="1" t="s">
        <v>336</v>
      </c>
      <c r="AQ3203" s="1">
        <v>58</v>
      </c>
      <c r="AR3203" s="1"/>
      <c r="AS3203" s="1"/>
      <c r="AT3203" s="1"/>
      <c r="AU3203" s="1"/>
      <c r="AV3203" s="1"/>
      <c r="AW3203" s="1"/>
      <c r="AX3203" s="1"/>
      <c r="AY3203" s="1" t="s">
        <v>27297</v>
      </c>
      <c r="AZ3203" s="1" t="s">
        <v>10685</v>
      </c>
      <c r="BA3203" s="1"/>
      <c r="BB3203" s="1"/>
      <c r="BC3203" s="1" t="s">
        <v>12936</v>
      </c>
      <c r="BD3203" s="1" t="s">
        <v>105</v>
      </c>
      <c r="BE3203" s="1">
        <v>59.25</v>
      </c>
      <c r="BF3203" s="1"/>
      <c r="BG3203" s="1" t="s">
        <v>51471</v>
      </c>
      <c r="BH3203" s="1" t="s">
        <v>1062</v>
      </c>
      <c r="BI3203" s="1"/>
      <c r="BJ3203" s="1"/>
      <c r="BK3203" s="1" t="s">
        <v>552</v>
      </c>
      <c r="BL3203" s="1" t="s">
        <v>579</v>
      </c>
      <c r="BM3203" s="1">
        <v>83.98</v>
      </c>
      <c r="BN3203" s="1"/>
      <c r="BO3203" s="1" t="s">
        <v>369</v>
      </c>
      <c r="BP3203" s="1" t="s">
        <v>51472</v>
      </c>
      <c r="BQ3203" s="1" t="s">
        <v>51473</v>
      </c>
      <c r="BR3203" s="1" t="s">
        <v>51474</v>
      </c>
      <c r="BS3203" s="1">
        <v>12</v>
      </c>
      <c r="BT3203" s="1"/>
      <c r="BU3203" s="1" t="str">
        <f>HYPERLINK("https://nconnect.nicmar.ac.in/storage/profile/2021-2023_AB21010_974163.jpg","Download")</f>
        <v>0</v>
      </c>
      <c r="BV3203" s="3"/>
      <c r="BW3203" s="3"/>
    </row>
    <row r="3204" spans="1:75">
      <c r="A3204" s="1" t="s">
        <v>51340</v>
      </c>
      <c r="B3204" s="1" t="s">
        <v>51341</v>
      </c>
      <c r="C3204" s="1" t="s">
        <v>51475</v>
      </c>
      <c r="D3204" s="1" t="s">
        <v>3099</v>
      </c>
      <c r="E3204" s="1"/>
      <c r="F3204" s="1" t="s">
        <v>784</v>
      </c>
      <c r="G3204" s="1" t="s">
        <v>51476</v>
      </c>
      <c r="H3204" s="1" t="s">
        <v>51477</v>
      </c>
      <c r="I3204" s="1" t="s">
        <v>51478</v>
      </c>
      <c r="J3204" s="1"/>
      <c r="K3204" s="1" t="s">
        <v>153</v>
      </c>
      <c r="L3204" s="1" t="s">
        <v>51479</v>
      </c>
      <c r="M3204" s="1" t="s">
        <v>86</v>
      </c>
      <c r="N3204" s="1" t="s">
        <v>4278</v>
      </c>
      <c r="O3204" s="1"/>
      <c r="P3204" s="1" t="s">
        <v>455</v>
      </c>
      <c r="Q3204" s="1" t="s">
        <v>51480</v>
      </c>
      <c r="R3204" s="1" t="s">
        <v>6283</v>
      </c>
      <c r="S3204" s="1">
        <v>9771473150</v>
      </c>
      <c r="T3204" s="1" t="s">
        <v>1495</v>
      </c>
      <c r="U3204" s="1" t="s">
        <v>51481</v>
      </c>
      <c r="V3204" s="1">
        <v>9431357463</v>
      </c>
      <c r="W3204" s="1" t="s">
        <v>541</v>
      </c>
      <c r="X3204" s="1" t="s">
        <v>51482</v>
      </c>
      <c r="Y3204" s="1" t="s">
        <v>2954</v>
      </c>
      <c r="Z3204" s="1" t="s">
        <v>2955</v>
      </c>
      <c r="AA3204" s="1" t="s">
        <v>51482</v>
      </c>
      <c r="AB3204" s="1" t="s">
        <v>2954</v>
      </c>
      <c r="AC3204" s="1" t="s">
        <v>2955</v>
      </c>
      <c r="AD3204" s="1" t="s">
        <v>98</v>
      </c>
      <c r="AE3204" s="1" t="s">
        <v>98</v>
      </c>
      <c r="AF3204" s="1" t="s">
        <v>51483</v>
      </c>
      <c r="AG3204" s="1" t="s">
        <v>51484</v>
      </c>
      <c r="AH3204" s="1" t="s">
        <v>10231</v>
      </c>
      <c r="AI3204" s="1" t="s">
        <v>10573</v>
      </c>
      <c r="AJ3204" s="1">
        <v>77.8</v>
      </c>
      <c r="AK3204" s="1"/>
      <c r="AL3204" s="1" t="s">
        <v>51483</v>
      </c>
      <c r="AM3204" s="1" t="s">
        <v>51485</v>
      </c>
      <c r="AN3204" s="1"/>
      <c r="AO3204" s="1" t="s">
        <v>4593</v>
      </c>
      <c r="AP3204" s="1" t="s">
        <v>3285</v>
      </c>
      <c r="AQ3204" s="1">
        <v>68.33</v>
      </c>
      <c r="AR3204" s="1"/>
      <c r="AS3204" s="1"/>
      <c r="AT3204" s="1"/>
      <c r="AU3204" s="1"/>
      <c r="AV3204" s="1"/>
      <c r="AW3204" s="1"/>
      <c r="AX3204" s="1"/>
      <c r="AY3204" s="1" t="s">
        <v>51486</v>
      </c>
      <c r="AZ3204" s="1" t="s">
        <v>37514</v>
      </c>
      <c r="BA3204" s="1"/>
      <c r="BB3204" s="1"/>
      <c r="BC3204" s="1" t="s">
        <v>51487</v>
      </c>
      <c r="BD3204" s="1" t="s">
        <v>1396</v>
      </c>
      <c r="BE3204" s="1">
        <v>61.5</v>
      </c>
      <c r="BF3204" s="1"/>
      <c r="BG3204" s="1"/>
      <c r="BH3204" s="1"/>
      <c r="BI3204" s="1"/>
      <c r="BJ3204" s="1"/>
      <c r="BK3204" s="1"/>
      <c r="BL3204" s="1"/>
      <c r="BM3204" s="1"/>
      <c r="BN3204" s="1"/>
      <c r="BO3204" s="1" t="s">
        <v>1114</v>
      </c>
      <c r="BP3204" s="1" t="s">
        <v>51488</v>
      </c>
      <c r="BQ3204" s="1" t="s">
        <v>8862</v>
      </c>
      <c r="BR3204" s="1" t="s">
        <v>51489</v>
      </c>
      <c r="BS3204" s="1">
        <v>35</v>
      </c>
      <c r="BT3204" s="1"/>
      <c r="BU3204" s="1" t="str">
        <f>HYPERLINK("https://nconnect.nicmar.ac.in/storage/profile/2021-2023_AB21011_914687.jpg","Download")</f>
        <v>0</v>
      </c>
      <c r="BV3204" s="3"/>
      <c r="BW3204" s="3"/>
    </row>
    <row r="3205" spans="1:75">
      <c r="A3205" s="1" t="s">
        <v>51340</v>
      </c>
      <c r="B3205" s="1" t="s">
        <v>51341</v>
      </c>
      <c r="C3205" s="1" t="s">
        <v>51490</v>
      </c>
      <c r="D3205" s="1" t="s">
        <v>51491</v>
      </c>
      <c r="E3205" s="1" t="s">
        <v>51492</v>
      </c>
      <c r="F3205" s="1" t="s">
        <v>51493</v>
      </c>
      <c r="G3205" s="1" t="s">
        <v>51494</v>
      </c>
      <c r="H3205" s="1" t="s">
        <v>51495</v>
      </c>
      <c r="I3205" s="1" t="s">
        <v>51496</v>
      </c>
      <c r="J3205" s="1">
        <v>8700035769</v>
      </c>
      <c r="K3205" s="1" t="s">
        <v>84</v>
      </c>
      <c r="L3205" s="1" t="s">
        <v>51497</v>
      </c>
      <c r="M3205" s="1" t="s">
        <v>86</v>
      </c>
      <c r="N3205" s="1" t="s">
        <v>44867</v>
      </c>
      <c r="O3205" s="1"/>
      <c r="P3205" s="1" t="s">
        <v>507</v>
      </c>
      <c r="Q3205" s="1" t="s">
        <v>51498</v>
      </c>
      <c r="R3205" s="1" t="s">
        <v>51499</v>
      </c>
      <c r="S3205" s="1">
        <v>8700035769</v>
      </c>
      <c r="T3205" s="1" t="s">
        <v>382</v>
      </c>
      <c r="U3205" s="1" t="s">
        <v>51500</v>
      </c>
      <c r="V3205" s="1">
        <v>8700035769</v>
      </c>
      <c r="W3205" s="1" t="s">
        <v>161</v>
      </c>
      <c r="X3205" s="1" t="s">
        <v>51501</v>
      </c>
      <c r="Y3205" s="1" t="s">
        <v>3767</v>
      </c>
      <c r="Z3205" s="1" t="s">
        <v>544</v>
      </c>
      <c r="AA3205" s="1" t="s">
        <v>51501</v>
      </c>
      <c r="AB3205" s="1" t="s">
        <v>3767</v>
      </c>
      <c r="AC3205" s="1" t="s">
        <v>544</v>
      </c>
      <c r="AD3205" s="1" t="s">
        <v>98</v>
      </c>
      <c r="AE3205" s="1" t="s">
        <v>98</v>
      </c>
      <c r="AF3205" s="1" t="s">
        <v>51502</v>
      </c>
      <c r="AG3205" s="1" t="s">
        <v>51503</v>
      </c>
      <c r="AH3205" s="1" t="s">
        <v>2726</v>
      </c>
      <c r="AI3205" s="1" t="s">
        <v>3421</v>
      </c>
      <c r="AJ3205" s="1">
        <v>60.8</v>
      </c>
      <c r="AK3205" s="1">
        <v>6.4</v>
      </c>
      <c r="AL3205" s="1" t="s">
        <v>51504</v>
      </c>
      <c r="AM3205" s="1" t="s">
        <v>13343</v>
      </c>
      <c r="AN3205" s="1"/>
      <c r="AO3205" s="1" t="s">
        <v>1262</v>
      </c>
      <c r="AP3205" s="1" t="s">
        <v>1110</v>
      </c>
      <c r="AQ3205" s="1">
        <v>63</v>
      </c>
      <c r="AR3205" s="1"/>
      <c r="AS3205" s="1"/>
      <c r="AT3205" s="1"/>
      <c r="AU3205" s="1"/>
      <c r="AV3205" s="1"/>
      <c r="AW3205" s="1"/>
      <c r="AX3205" s="1"/>
      <c r="AY3205" s="1" t="s">
        <v>51505</v>
      </c>
      <c r="AZ3205" s="1" t="s">
        <v>51506</v>
      </c>
      <c r="BA3205" s="1"/>
      <c r="BB3205" s="1"/>
      <c r="BC3205" s="1" t="s">
        <v>4231</v>
      </c>
      <c r="BD3205" s="1" t="s">
        <v>547</v>
      </c>
      <c r="BE3205" s="1">
        <v>68</v>
      </c>
      <c r="BF3205" s="1"/>
      <c r="BG3205" s="1" t="s">
        <v>11724</v>
      </c>
      <c r="BH3205" s="1" t="s">
        <v>6026</v>
      </c>
      <c r="BI3205" s="1"/>
      <c r="BJ3205" s="1"/>
      <c r="BK3205" s="1" t="s">
        <v>441</v>
      </c>
      <c r="BL3205" s="1" t="s">
        <v>579</v>
      </c>
      <c r="BM3205" s="1">
        <v>86.74</v>
      </c>
      <c r="BN3205" s="1">
        <v>9.13</v>
      </c>
      <c r="BO3205" s="1" t="s">
        <v>1114</v>
      </c>
      <c r="BP3205" s="1"/>
      <c r="BQ3205" s="1"/>
      <c r="BR3205" s="1" t="s">
        <v>51507</v>
      </c>
      <c r="BS3205" s="1">
        <v>12</v>
      </c>
      <c r="BT3205" s="1"/>
      <c r="BU3205" s="1" t="s">
        <v>9653</v>
      </c>
      <c r="BV3205" s="3"/>
      <c r="BW3205" s="3"/>
    </row>
    <row r="3206" spans="1:75">
      <c r="A3206" s="1" t="s">
        <v>51340</v>
      </c>
      <c r="B3206" s="1" t="s">
        <v>51341</v>
      </c>
      <c r="C3206" s="1" t="s">
        <v>51508</v>
      </c>
      <c r="D3206" s="1" t="s">
        <v>45693</v>
      </c>
      <c r="E3206" s="1"/>
      <c r="F3206" s="1" t="s">
        <v>14774</v>
      </c>
      <c r="G3206" s="1" t="s">
        <v>51509</v>
      </c>
      <c r="H3206" s="1" t="s">
        <v>51510</v>
      </c>
      <c r="I3206" s="1" t="s">
        <v>51510</v>
      </c>
      <c r="J3206" s="1"/>
      <c r="K3206" s="1"/>
      <c r="L3206" s="1" t="s">
        <v>51429</v>
      </c>
      <c r="M3206" s="1"/>
      <c r="N3206" s="1"/>
      <c r="O3206" s="1"/>
      <c r="P3206" s="1"/>
      <c r="Q3206" s="1"/>
      <c r="R3206" s="1"/>
      <c r="S3206" s="1"/>
      <c r="T3206" s="1"/>
      <c r="U3206" s="1"/>
      <c r="V3206" s="1"/>
      <c r="W3206" s="1"/>
      <c r="X3206" s="1"/>
      <c r="Y3206" s="1"/>
      <c r="Z3206" s="1"/>
      <c r="AA3206" s="1"/>
      <c r="AB3206" s="1"/>
      <c r="AC3206" s="1"/>
      <c r="AD3206" s="1" t="s">
        <v>98</v>
      </c>
      <c r="AE3206" s="1" t="s">
        <v>98</v>
      </c>
      <c r="AF3206" s="1"/>
      <c r="AG3206" s="1"/>
      <c r="AH3206" s="1"/>
      <c r="AI3206" s="1"/>
      <c r="AJ3206" s="1"/>
      <c r="AK3206" s="1"/>
      <c r="AL3206" s="1"/>
      <c r="AM3206" s="1"/>
      <c r="AN3206" s="1"/>
      <c r="AO3206" s="1"/>
      <c r="AP3206" s="1"/>
      <c r="AQ3206" s="1"/>
      <c r="AR3206" s="1"/>
      <c r="AS3206" s="1"/>
      <c r="AT3206" s="1"/>
      <c r="AU3206" s="1"/>
      <c r="AV3206" s="1"/>
      <c r="AW3206" s="1"/>
      <c r="AX3206" s="1"/>
      <c r="AY3206" s="1"/>
      <c r="AZ3206" s="1"/>
      <c r="BA3206" s="1"/>
      <c r="BB3206" s="1"/>
      <c r="BC3206" s="1"/>
      <c r="BD3206" s="1"/>
      <c r="BE3206" s="1"/>
      <c r="BF3206" s="1"/>
      <c r="BG3206" s="1"/>
      <c r="BH3206" s="1"/>
      <c r="BI3206" s="1"/>
      <c r="BJ3206" s="1"/>
      <c r="BK3206" s="1"/>
      <c r="BL3206" s="1"/>
      <c r="BM3206" s="1"/>
      <c r="BN3206" s="1"/>
      <c r="BO3206" s="1"/>
      <c r="BP3206" s="1"/>
      <c r="BQ3206" s="1"/>
      <c r="BR3206" s="1"/>
      <c r="BS3206" s="1"/>
      <c r="BT3206" s="1"/>
      <c r="BU3206" s="1" t="s">
        <v>9653</v>
      </c>
      <c r="BV3206" s="3"/>
      <c r="BW3206" s="3"/>
    </row>
    <row r="3207" spans="1:75">
      <c r="A3207" s="1" t="s">
        <v>51340</v>
      </c>
      <c r="B3207" s="1" t="s">
        <v>51341</v>
      </c>
      <c r="C3207" s="1" t="s">
        <v>51511</v>
      </c>
      <c r="D3207" s="1" t="s">
        <v>5540</v>
      </c>
      <c r="E3207" s="1"/>
      <c r="F3207" s="1" t="s">
        <v>186</v>
      </c>
      <c r="G3207" s="1" t="s">
        <v>51512</v>
      </c>
      <c r="H3207" s="1" t="s">
        <v>51513</v>
      </c>
      <c r="I3207" s="1" t="s">
        <v>51514</v>
      </c>
      <c r="J3207" s="1"/>
      <c r="K3207" s="1" t="s">
        <v>84</v>
      </c>
      <c r="L3207" s="1" t="s">
        <v>51515</v>
      </c>
      <c r="M3207" s="1" t="s">
        <v>86</v>
      </c>
      <c r="N3207" s="1" t="s">
        <v>2081</v>
      </c>
      <c r="O3207" s="1"/>
      <c r="P3207" s="1" t="s">
        <v>481</v>
      </c>
      <c r="Q3207" s="1" t="s">
        <v>51516</v>
      </c>
      <c r="R3207" s="1" t="s">
        <v>51517</v>
      </c>
      <c r="S3207" s="1">
        <v>7631306333</v>
      </c>
      <c r="T3207" s="1" t="s">
        <v>1495</v>
      </c>
      <c r="U3207" s="1" t="s">
        <v>51518</v>
      </c>
      <c r="V3207" s="1">
        <v>9525100511</v>
      </c>
      <c r="W3207" s="1" t="s">
        <v>541</v>
      </c>
      <c r="X3207" s="1" t="s">
        <v>51519</v>
      </c>
      <c r="Y3207" s="1" t="s">
        <v>648</v>
      </c>
      <c r="Z3207" s="1" t="s">
        <v>649</v>
      </c>
      <c r="AA3207" s="1" t="s">
        <v>51519</v>
      </c>
      <c r="AB3207" s="1" t="s">
        <v>648</v>
      </c>
      <c r="AC3207" s="1" t="s">
        <v>649</v>
      </c>
      <c r="AD3207" s="1" t="s">
        <v>98</v>
      </c>
      <c r="AE3207" s="1" t="s">
        <v>98</v>
      </c>
      <c r="AF3207" s="1" t="s">
        <v>34020</v>
      </c>
      <c r="AG3207" s="1" t="s">
        <v>1310</v>
      </c>
      <c r="AH3207" s="1" t="s">
        <v>337</v>
      </c>
      <c r="AI3207" s="1" t="s">
        <v>3965</v>
      </c>
      <c r="AJ3207" s="1">
        <v>75</v>
      </c>
      <c r="AK3207" s="1"/>
      <c r="AL3207" s="1" t="s">
        <v>51520</v>
      </c>
      <c r="AM3207" s="1" t="s">
        <v>51521</v>
      </c>
      <c r="AN3207" s="1"/>
      <c r="AO3207" s="1" t="s">
        <v>3770</v>
      </c>
      <c r="AP3207" s="1" t="s">
        <v>1262</v>
      </c>
      <c r="AQ3207" s="1">
        <v>58</v>
      </c>
      <c r="AR3207" s="1"/>
      <c r="AS3207" s="1"/>
      <c r="AT3207" s="1"/>
      <c r="AU3207" s="1"/>
      <c r="AV3207" s="1"/>
      <c r="AW3207" s="1"/>
      <c r="AX3207" s="1"/>
      <c r="AY3207" s="1" t="s">
        <v>51522</v>
      </c>
      <c r="AZ3207" s="1" t="s">
        <v>51523</v>
      </c>
      <c r="BA3207" s="1"/>
      <c r="BB3207" s="1"/>
      <c r="BC3207" s="1" t="s">
        <v>105</v>
      </c>
      <c r="BD3207" s="1" t="s">
        <v>313</v>
      </c>
      <c r="BE3207" s="1">
        <v>78</v>
      </c>
      <c r="BF3207" s="1"/>
      <c r="BG3207" s="1"/>
      <c r="BH3207" s="1"/>
      <c r="BI3207" s="1"/>
      <c r="BJ3207" s="1"/>
      <c r="BK3207" s="1"/>
      <c r="BL3207" s="1"/>
      <c r="BM3207" s="1"/>
      <c r="BN3207" s="1"/>
      <c r="BO3207" s="1" t="s">
        <v>51524</v>
      </c>
      <c r="BP3207" s="1" t="s">
        <v>51525</v>
      </c>
      <c r="BQ3207" s="1" t="s">
        <v>11571</v>
      </c>
      <c r="BR3207" s="1" t="s">
        <v>51526</v>
      </c>
      <c r="BS3207" s="1">
        <v>16</v>
      </c>
      <c r="BT3207" s="1"/>
      <c r="BU3207" s="1" t="s">
        <v>9653</v>
      </c>
      <c r="BV3207" s="3"/>
      <c r="BW3207" s="3"/>
    </row>
    <row r="3208" spans="1:75">
      <c r="A3208" s="1" t="s">
        <v>51340</v>
      </c>
      <c r="B3208" s="1" t="s">
        <v>51341</v>
      </c>
      <c r="C3208" s="1" t="s">
        <v>51527</v>
      </c>
      <c r="D3208" s="1" t="s">
        <v>1136</v>
      </c>
      <c r="E3208" s="1"/>
      <c r="F3208" s="1" t="s">
        <v>961</v>
      </c>
      <c r="G3208" s="1" t="s">
        <v>51528</v>
      </c>
      <c r="H3208" s="1" t="s">
        <v>51529</v>
      </c>
      <c r="I3208" s="1" t="s">
        <v>51530</v>
      </c>
      <c r="J3208" s="1"/>
      <c r="K3208" s="1" t="s">
        <v>84</v>
      </c>
      <c r="L3208" s="1" t="s">
        <v>16636</v>
      </c>
      <c r="M3208" s="1" t="s">
        <v>86</v>
      </c>
      <c r="N3208" s="1" t="s">
        <v>4857</v>
      </c>
      <c r="O3208" s="1"/>
      <c r="P3208" s="1" t="s">
        <v>507</v>
      </c>
      <c r="Q3208" s="1" t="s">
        <v>51531</v>
      </c>
      <c r="R3208" s="1" t="s">
        <v>51532</v>
      </c>
      <c r="S3208" s="1">
        <v>8630323238</v>
      </c>
      <c r="T3208" s="1" t="s">
        <v>159</v>
      </c>
      <c r="U3208" s="1" t="s">
        <v>51533</v>
      </c>
      <c r="V3208" s="1">
        <v>8532853277</v>
      </c>
      <c r="W3208" s="1" t="s">
        <v>1257</v>
      </c>
      <c r="X3208" s="1" t="s">
        <v>51534</v>
      </c>
      <c r="Y3208" s="1" t="s">
        <v>794</v>
      </c>
      <c r="Z3208" s="1" t="s">
        <v>544</v>
      </c>
      <c r="AA3208" s="1" t="s">
        <v>51534</v>
      </c>
      <c r="AB3208" s="1" t="s">
        <v>794</v>
      </c>
      <c r="AC3208" s="1" t="s">
        <v>544</v>
      </c>
      <c r="AD3208" s="1" t="s">
        <v>98</v>
      </c>
      <c r="AE3208" s="1" t="s">
        <v>98</v>
      </c>
      <c r="AF3208" s="1" t="s">
        <v>51535</v>
      </c>
      <c r="AG3208" s="1" t="s">
        <v>312</v>
      </c>
      <c r="AH3208" s="1" t="s">
        <v>3923</v>
      </c>
      <c r="AI3208" s="1" t="s">
        <v>2726</v>
      </c>
      <c r="AJ3208" s="1">
        <v>70</v>
      </c>
      <c r="AK3208" s="1">
        <v>7.2</v>
      </c>
      <c r="AL3208" s="1" t="s">
        <v>51536</v>
      </c>
      <c r="AM3208" s="1" t="s">
        <v>312</v>
      </c>
      <c r="AN3208" s="1"/>
      <c r="AO3208" s="1" t="s">
        <v>1214</v>
      </c>
      <c r="AP3208" s="1" t="s">
        <v>136</v>
      </c>
      <c r="AQ3208" s="1">
        <v>85</v>
      </c>
      <c r="AR3208" s="1"/>
      <c r="AS3208" s="1"/>
      <c r="AT3208" s="1"/>
      <c r="AU3208" s="1"/>
      <c r="AV3208" s="1"/>
      <c r="AW3208" s="1"/>
      <c r="AX3208" s="1"/>
      <c r="AY3208" s="1" t="s">
        <v>51537</v>
      </c>
      <c r="AZ3208" s="1" t="s">
        <v>51537</v>
      </c>
      <c r="BA3208" s="1"/>
      <c r="BB3208" s="1"/>
      <c r="BC3208" s="1" t="s">
        <v>105</v>
      </c>
      <c r="BD3208" s="1" t="s">
        <v>109</v>
      </c>
      <c r="BE3208" s="1">
        <v>60</v>
      </c>
      <c r="BF3208" s="1">
        <v>6.28</v>
      </c>
      <c r="BG3208" s="1" t="s">
        <v>11724</v>
      </c>
      <c r="BH3208" s="1" t="s">
        <v>6026</v>
      </c>
      <c r="BI3208" s="1"/>
      <c r="BJ3208" s="1"/>
      <c r="BK3208" s="1" t="s">
        <v>552</v>
      </c>
      <c r="BL3208" s="1" t="s">
        <v>1267</v>
      </c>
      <c r="BM3208" s="1">
        <v>82</v>
      </c>
      <c r="BN3208" s="1">
        <v>8.2</v>
      </c>
      <c r="BO3208" s="1" t="s">
        <v>51538</v>
      </c>
      <c r="BP3208" s="1" t="s">
        <v>51539</v>
      </c>
      <c r="BQ3208" s="1" t="s">
        <v>12940</v>
      </c>
      <c r="BR3208" s="1" t="s">
        <v>51540</v>
      </c>
      <c r="BS3208" s="1">
        <v>16</v>
      </c>
      <c r="BT3208" s="1"/>
      <c r="BU3208" s="1" t="str">
        <f>HYPERLINK("https://nconnect.nicmar.ac.in/storage/profile/2021-2023_AB21016_574382.jpg","Download")</f>
        <v>0</v>
      </c>
      <c r="BV3208" s="3"/>
      <c r="BW3208" s="3"/>
    </row>
    <row r="3209" spans="1:75">
      <c r="A3209" s="1" t="s">
        <v>51340</v>
      </c>
      <c r="B3209" s="1" t="s">
        <v>51341</v>
      </c>
      <c r="C3209" s="1" t="s">
        <v>51541</v>
      </c>
      <c r="D3209" s="1" t="s">
        <v>51542</v>
      </c>
      <c r="E3209" s="1"/>
      <c r="F3209" s="1" t="s">
        <v>961</v>
      </c>
      <c r="G3209" s="1" t="s">
        <v>51543</v>
      </c>
      <c r="H3209" s="1" t="s">
        <v>51544</v>
      </c>
      <c r="I3209" s="1" t="s">
        <v>51545</v>
      </c>
      <c r="J3209" s="1"/>
      <c r="K3209" s="1" t="s">
        <v>84</v>
      </c>
      <c r="L3209" s="1" t="s">
        <v>51546</v>
      </c>
      <c r="M3209" s="1" t="s">
        <v>86</v>
      </c>
      <c r="N3209" s="1" t="s">
        <v>4278</v>
      </c>
      <c r="O3209" s="1"/>
      <c r="P3209" s="1" t="s">
        <v>455</v>
      </c>
      <c r="Q3209" s="1" t="s">
        <v>51547</v>
      </c>
      <c r="R3209" s="1" t="s">
        <v>51548</v>
      </c>
      <c r="S3209" s="1">
        <v>9650501119</v>
      </c>
      <c r="T3209" s="1" t="s">
        <v>645</v>
      </c>
      <c r="U3209" s="1" t="s">
        <v>51549</v>
      </c>
      <c r="V3209" s="1">
        <v>9958662105</v>
      </c>
      <c r="W3209" s="1" t="s">
        <v>541</v>
      </c>
      <c r="X3209" s="1" t="s">
        <v>51550</v>
      </c>
      <c r="Y3209" s="1" t="s">
        <v>1738</v>
      </c>
      <c r="Z3209" s="1" t="s">
        <v>1739</v>
      </c>
      <c r="AA3209" s="1" t="s">
        <v>51550</v>
      </c>
      <c r="AB3209" s="1" t="s">
        <v>1738</v>
      </c>
      <c r="AC3209" s="1" t="s">
        <v>1739</v>
      </c>
      <c r="AD3209" s="1" t="s">
        <v>98</v>
      </c>
      <c r="AE3209" s="1" t="s">
        <v>98</v>
      </c>
      <c r="AF3209" s="1" t="s">
        <v>51551</v>
      </c>
      <c r="AG3209" s="1" t="s">
        <v>312</v>
      </c>
      <c r="AH3209" s="1" t="s">
        <v>3770</v>
      </c>
      <c r="AI3209" s="1" t="s">
        <v>3421</v>
      </c>
      <c r="AJ3209" s="1">
        <v>68</v>
      </c>
      <c r="AK3209" s="1">
        <v>6.8</v>
      </c>
      <c r="AL3209" s="1" t="s">
        <v>51551</v>
      </c>
      <c r="AM3209" s="1" t="s">
        <v>312</v>
      </c>
      <c r="AN3209" s="1"/>
      <c r="AO3209" s="1" t="s">
        <v>1214</v>
      </c>
      <c r="AP3209" s="1" t="s">
        <v>1110</v>
      </c>
      <c r="AQ3209" s="1">
        <v>72.6</v>
      </c>
      <c r="AR3209" s="1"/>
      <c r="AS3209" s="1"/>
      <c r="AT3209" s="1"/>
      <c r="AU3209" s="1"/>
      <c r="AV3209" s="1"/>
      <c r="AW3209" s="1"/>
      <c r="AX3209" s="1"/>
      <c r="AY3209" s="1" t="s">
        <v>6493</v>
      </c>
      <c r="AZ3209" s="1" t="s">
        <v>6494</v>
      </c>
      <c r="BA3209" s="1"/>
      <c r="BB3209" s="1"/>
      <c r="BC3209" s="1" t="s">
        <v>105</v>
      </c>
      <c r="BD3209" s="1" t="s">
        <v>438</v>
      </c>
      <c r="BE3209" s="1">
        <v>75.1</v>
      </c>
      <c r="BF3209" s="1">
        <v>7.51</v>
      </c>
      <c r="BG3209" s="1"/>
      <c r="BH3209" s="1"/>
      <c r="BI3209" s="1"/>
      <c r="BJ3209" s="1"/>
      <c r="BK3209" s="1"/>
      <c r="BL3209" s="1"/>
      <c r="BM3209" s="1"/>
      <c r="BN3209" s="1"/>
      <c r="BO3209" s="1" t="s">
        <v>51552</v>
      </c>
      <c r="BP3209" s="1" t="s">
        <v>51553</v>
      </c>
      <c r="BQ3209" s="1" t="s">
        <v>7701</v>
      </c>
      <c r="BR3209" s="1" t="s">
        <v>51554</v>
      </c>
      <c r="BS3209" s="1">
        <v>10</v>
      </c>
      <c r="BT3209" s="1"/>
      <c r="BU3209" s="1" t="str">
        <f>HYPERLINK("https://nconnect.nicmar.ac.in/storage/profile/2021-2023_AB21017_369285.jpg","Download")</f>
        <v>0</v>
      </c>
      <c r="BV3209" s="3"/>
      <c r="BW3209" s="3"/>
    </row>
    <row r="3210" spans="1:75">
      <c r="A3210" s="1" t="s">
        <v>51340</v>
      </c>
      <c r="B3210" s="1" t="s">
        <v>51341</v>
      </c>
      <c r="C3210" s="1" t="s">
        <v>51555</v>
      </c>
      <c r="D3210" s="1" t="s">
        <v>50798</v>
      </c>
      <c r="E3210" s="1"/>
      <c r="F3210" s="1"/>
      <c r="G3210" s="1" t="s">
        <v>50798</v>
      </c>
      <c r="H3210" s="1" t="s">
        <v>51556</v>
      </c>
      <c r="I3210" s="1" t="s">
        <v>51556</v>
      </c>
      <c r="J3210" s="1"/>
      <c r="K3210" s="1"/>
      <c r="L3210" s="1" t="s">
        <v>51429</v>
      </c>
      <c r="M3210" s="1"/>
      <c r="N3210" s="1"/>
      <c r="O3210" s="1"/>
      <c r="P3210" s="1"/>
      <c r="Q3210" s="1"/>
      <c r="R3210" s="1"/>
      <c r="S3210" s="1"/>
      <c r="T3210" s="1"/>
      <c r="U3210" s="1"/>
      <c r="V3210" s="1"/>
      <c r="W3210" s="1"/>
      <c r="X3210" s="1"/>
      <c r="Y3210" s="1"/>
      <c r="Z3210" s="1"/>
      <c r="AA3210" s="1"/>
      <c r="AB3210" s="1"/>
      <c r="AC3210" s="1"/>
      <c r="AD3210" s="1" t="s">
        <v>98</v>
      </c>
      <c r="AE3210" s="1" t="s">
        <v>98</v>
      </c>
      <c r="AF3210" s="1"/>
      <c r="AG3210" s="1"/>
      <c r="AH3210" s="1"/>
      <c r="AI3210" s="1"/>
      <c r="AJ3210" s="1"/>
      <c r="AK3210" s="1"/>
      <c r="AL3210" s="1"/>
      <c r="AM3210" s="1"/>
      <c r="AN3210" s="1"/>
      <c r="AO3210" s="1"/>
      <c r="AP3210" s="1"/>
      <c r="AQ3210" s="1"/>
      <c r="AR3210" s="1"/>
      <c r="AS3210" s="1"/>
      <c r="AT3210" s="1"/>
      <c r="AU3210" s="1"/>
      <c r="AV3210" s="1"/>
      <c r="AW3210" s="1"/>
      <c r="AX3210" s="1"/>
      <c r="AY3210" s="1"/>
      <c r="AZ3210" s="1"/>
      <c r="BA3210" s="1"/>
      <c r="BB3210" s="1"/>
      <c r="BC3210" s="1"/>
      <c r="BD3210" s="1"/>
      <c r="BE3210" s="1"/>
      <c r="BF3210" s="1"/>
      <c r="BG3210" s="1"/>
      <c r="BH3210" s="1"/>
      <c r="BI3210" s="1"/>
      <c r="BJ3210" s="1"/>
      <c r="BK3210" s="1"/>
      <c r="BL3210" s="1"/>
      <c r="BM3210" s="1"/>
      <c r="BN3210" s="1"/>
      <c r="BO3210" s="1"/>
      <c r="BP3210" s="1"/>
      <c r="BQ3210" s="1"/>
      <c r="BR3210" s="1"/>
      <c r="BS3210" s="1"/>
      <c r="BT3210" s="1"/>
      <c r="BU3210" s="1" t="s">
        <v>9653</v>
      </c>
      <c r="BV3210" s="3"/>
      <c r="BW3210" s="3"/>
    </row>
    <row r="3211" spans="1:75">
      <c r="A3211" s="1" t="s">
        <v>51340</v>
      </c>
      <c r="B3211" s="1" t="s">
        <v>51341</v>
      </c>
      <c r="C3211" s="1" t="s">
        <v>51557</v>
      </c>
      <c r="D3211" s="1" t="s">
        <v>39137</v>
      </c>
      <c r="E3211" s="1"/>
      <c r="F3211" s="1" t="s">
        <v>51558</v>
      </c>
      <c r="G3211" s="1" t="s">
        <v>51559</v>
      </c>
      <c r="H3211" s="1" t="s">
        <v>51560</v>
      </c>
      <c r="I3211" s="1" t="s">
        <v>51561</v>
      </c>
      <c r="J3211" s="1"/>
      <c r="K3211" s="1" t="s">
        <v>153</v>
      </c>
      <c r="L3211" s="1" t="s">
        <v>51562</v>
      </c>
      <c r="M3211" s="1" t="s">
        <v>86</v>
      </c>
      <c r="N3211" s="1" t="s">
        <v>4278</v>
      </c>
      <c r="O3211" s="1"/>
      <c r="P3211" s="1" t="s">
        <v>455</v>
      </c>
      <c r="Q3211" s="1" t="s">
        <v>51563</v>
      </c>
      <c r="R3211" s="1" t="s">
        <v>51564</v>
      </c>
      <c r="S3211" s="1">
        <v>9717714396</v>
      </c>
      <c r="T3211" s="1" t="s">
        <v>125</v>
      </c>
      <c r="U3211" s="1" t="s">
        <v>51565</v>
      </c>
      <c r="V3211" s="1">
        <v>8448428437</v>
      </c>
      <c r="W3211" s="1" t="s">
        <v>161</v>
      </c>
      <c r="X3211" s="1" t="s">
        <v>51566</v>
      </c>
      <c r="Y3211" s="1" t="s">
        <v>6489</v>
      </c>
      <c r="Z3211" s="1" t="s">
        <v>1739</v>
      </c>
      <c r="AA3211" s="1" t="s">
        <v>51566</v>
      </c>
      <c r="AB3211" s="1" t="s">
        <v>6489</v>
      </c>
      <c r="AC3211" s="1" t="s">
        <v>1739</v>
      </c>
      <c r="AD3211" s="1" t="s">
        <v>98</v>
      </c>
      <c r="AE3211" s="1" t="s">
        <v>98</v>
      </c>
      <c r="AF3211" s="1" t="s">
        <v>13594</v>
      </c>
      <c r="AG3211" s="1" t="s">
        <v>312</v>
      </c>
      <c r="AH3211" s="1" t="s">
        <v>3923</v>
      </c>
      <c r="AI3211" s="1" t="s">
        <v>3965</v>
      </c>
      <c r="AJ3211" s="1">
        <v>90</v>
      </c>
      <c r="AK3211" s="1">
        <v>9.4</v>
      </c>
      <c r="AL3211" s="1" t="s">
        <v>13594</v>
      </c>
      <c r="AM3211" s="1" t="s">
        <v>312</v>
      </c>
      <c r="AN3211" s="1"/>
      <c r="AO3211" s="1" t="s">
        <v>3421</v>
      </c>
      <c r="AP3211" s="1" t="s">
        <v>101</v>
      </c>
      <c r="AQ3211" s="1">
        <v>88.2</v>
      </c>
      <c r="AR3211" s="1"/>
      <c r="AS3211" s="1"/>
      <c r="AT3211" s="1"/>
      <c r="AU3211" s="1"/>
      <c r="AV3211" s="1"/>
      <c r="AW3211" s="1"/>
      <c r="AX3211" s="1"/>
      <c r="AY3211" s="1" t="s">
        <v>6493</v>
      </c>
      <c r="AZ3211" s="1" t="s">
        <v>51567</v>
      </c>
      <c r="BA3211" s="1"/>
      <c r="BB3211" s="1"/>
      <c r="BC3211" s="1" t="s">
        <v>257</v>
      </c>
      <c r="BD3211" s="1" t="s">
        <v>438</v>
      </c>
      <c r="BE3211" s="1">
        <v>76.34</v>
      </c>
      <c r="BF3211" s="1"/>
      <c r="BG3211" s="1"/>
      <c r="BH3211" s="1"/>
      <c r="BI3211" s="1"/>
      <c r="BJ3211" s="1"/>
      <c r="BK3211" s="1"/>
      <c r="BL3211" s="1"/>
      <c r="BM3211" s="1"/>
      <c r="BN3211" s="1"/>
      <c r="BO3211" s="1" t="s">
        <v>1114</v>
      </c>
      <c r="BP3211" s="1" t="s">
        <v>51568</v>
      </c>
      <c r="BQ3211" s="1" t="s">
        <v>12940</v>
      </c>
      <c r="BR3211" s="1" t="s">
        <v>51569</v>
      </c>
      <c r="BS3211" s="1">
        <v>53</v>
      </c>
      <c r="BT3211" s="1"/>
      <c r="BU3211" s="1" t="str">
        <f>HYPERLINK("https://nconnect.nicmar.ac.in/storage/profile/2021-2023_AB21019_875213.jpg","Download")</f>
        <v>0</v>
      </c>
      <c r="BV3211" s="3"/>
      <c r="BW3211" s="3"/>
    </row>
    <row r="3212" spans="1:75">
      <c r="A3212" s="1" t="s">
        <v>51340</v>
      </c>
      <c r="B3212" s="1" t="s">
        <v>51341</v>
      </c>
      <c r="C3212" s="1" t="s">
        <v>51570</v>
      </c>
      <c r="D3212" s="1" t="s">
        <v>51571</v>
      </c>
      <c r="E3212" s="1"/>
      <c r="F3212" s="1" t="s">
        <v>27954</v>
      </c>
      <c r="G3212" s="1" t="s">
        <v>51572</v>
      </c>
      <c r="H3212" s="1" t="s">
        <v>51573</v>
      </c>
      <c r="I3212" s="1" t="s">
        <v>51574</v>
      </c>
      <c r="J3212" s="1">
        <v>8840790208</v>
      </c>
      <c r="K3212" s="1" t="s">
        <v>84</v>
      </c>
      <c r="L3212" s="1" t="s">
        <v>51575</v>
      </c>
      <c r="M3212" s="1" t="s">
        <v>86</v>
      </c>
      <c r="N3212" s="1" t="s">
        <v>4278</v>
      </c>
      <c r="O3212" s="1"/>
      <c r="P3212" s="1" t="s">
        <v>481</v>
      </c>
      <c r="Q3212" s="1" t="s">
        <v>51576</v>
      </c>
      <c r="R3212" s="1" t="s">
        <v>51577</v>
      </c>
      <c r="S3212" s="1">
        <v>7985558635</v>
      </c>
      <c r="T3212" s="1" t="s">
        <v>92</v>
      </c>
      <c r="U3212" s="1" t="s">
        <v>51578</v>
      </c>
      <c r="V3212" s="1">
        <v>6393950743</v>
      </c>
      <c r="W3212" s="1" t="s">
        <v>278</v>
      </c>
      <c r="X3212" s="1" t="s">
        <v>51579</v>
      </c>
      <c r="Y3212" s="1" t="s">
        <v>21987</v>
      </c>
      <c r="Z3212" s="1" t="s">
        <v>544</v>
      </c>
      <c r="AA3212" s="1" t="s">
        <v>51579</v>
      </c>
      <c r="AB3212" s="1" t="s">
        <v>21987</v>
      </c>
      <c r="AC3212" s="1" t="s">
        <v>544</v>
      </c>
      <c r="AD3212" s="1" t="s">
        <v>98</v>
      </c>
      <c r="AE3212" s="1" t="s">
        <v>98</v>
      </c>
      <c r="AF3212" s="1" t="s">
        <v>51580</v>
      </c>
      <c r="AG3212" s="1" t="s">
        <v>51581</v>
      </c>
      <c r="AH3212" s="1" t="s">
        <v>1393</v>
      </c>
      <c r="AI3212" s="1" t="s">
        <v>336</v>
      </c>
      <c r="AJ3212" s="1">
        <v>51.3</v>
      </c>
      <c r="AK3212" s="1">
        <v>5.4</v>
      </c>
      <c r="AL3212" s="1" t="s">
        <v>51582</v>
      </c>
      <c r="AM3212" s="1" t="s">
        <v>51583</v>
      </c>
      <c r="AN3212" s="1"/>
      <c r="AO3212" s="1" t="s">
        <v>3770</v>
      </c>
      <c r="AP3212" s="1" t="s">
        <v>1213</v>
      </c>
      <c r="AQ3212" s="1">
        <v>80</v>
      </c>
      <c r="AR3212" s="1">
        <v>8.4</v>
      </c>
      <c r="AS3212" s="1"/>
      <c r="AT3212" s="1"/>
      <c r="AU3212" s="1"/>
      <c r="AV3212" s="1"/>
      <c r="AW3212" s="1"/>
      <c r="AX3212" s="1"/>
      <c r="AY3212" s="1" t="s">
        <v>2614</v>
      </c>
      <c r="AZ3212" s="1" t="s">
        <v>51584</v>
      </c>
      <c r="BA3212" s="1"/>
      <c r="BB3212" s="1"/>
      <c r="BC3212" s="1" t="s">
        <v>1583</v>
      </c>
      <c r="BD3212" s="1" t="s">
        <v>847</v>
      </c>
      <c r="BE3212" s="1">
        <v>60.2</v>
      </c>
      <c r="BF3212" s="1">
        <v>6.33</v>
      </c>
      <c r="BG3212" s="1" t="s">
        <v>51585</v>
      </c>
      <c r="BH3212" s="1" t="s">
        <v>6026</v>
      </c>
      <c r="BI3212" s="1"/>
      <c r="BJ3212" s="1"/>
      <c r="BK3212" s="1" t="s">
        <v>552</v>
      </c>
      <c r="BL3212" s="1" t="s">
        <v>10037</v>
      </c>
      <c r="BM3212" s="1">
        <v>75.3</v>
      </c>
      <c r="BN3212" s="1">
        <v>7.9</v>
      </c>
      <c r="BO3212" s="1" t="s">
        <v>51586</v>
      </c>
      <c r="BP3212" s="1"/>
      <c r="BQ3212" s="1"/>
      <c r="BR3212" s="1"/>
      <c r="BS3212" s="1"/>
      <c r="BT3212" s="1"/>
      <c r="BU3212" s="1" t="str">
        <f>HYPERLINK("https://nconnect.nicmar.ac.in/storage/profile/2021-2023_AB21020_852416.jpg","Download")</f>
        <v>0</v>
      </c>
      <c r="BV3212" s="3"/>
      <c r="BW3212" s="3"/>
    </row>
    <row r="3213" spans="1:75">
      <c r="A3213" s="1" t="s">
        <v>51340</v>
      </c>
      <c r="B3213" s="1" t="s">
        <v>51341</v>
      </c>
      <c r="C3213" s="1" t="s">
        <v>51587</v>
      </c>
      <c r="D3213" s="1" t="s">
        <v>51588</v>
      </c>
      <c r="E3213" s="1" t="s">
        <v>51589</v>
      </c>
      <c r="F3213" s="1" t="s">
        <v>51590</v>
      </c>
      <c r="G3213" s="1" t="s">
        <v>51591</v>
      </c>
      <c r="H3213" s="1" t="s">
        <v>51592</v>
      </c>
      <c r="I3213" s="1" t="s">
        <v>51593</v>
      </c>
      <c r="J3213" s="1"/>
      <c r="K3213" s="1" t="s">
        <v>84</v>
      </c>
      <c r="L3213" s="1" t="s">
        <v>51594</v>
      </c>
      <c r="M3213" s="1" t="s">
        <v>86</v>
      </c>
      <c r="N3213" s="1" t="s">
        <v>51595</v>
      </c>
      <c r="O3213" s="1"/>
      <c r="P3213" s="1" t="s">
        <v>455</v>
      </c>
      <c r="Q3213" s="1" t="s">
        <v>51596</v>
      </c>
      <c r="R3213" s="1" t="s">
        <v>51597</v>
      </c>
      <c r="S3213" s="1">
        <v>7237881433</v>
      </c>
      <c r="T3213" s="1" t="s">
        <v>51598</v>
      </c>
      <c r="U3213" s="1" t="s">
        <v>51599</v>
      </c>
      <c r="V3213" s="1">
        <v>7894347440</v>
      </c>
      <c r="W3213" s="1" t="s">
        <v>1257</v>
      </c>
      <c r="X3213" s="1" t="s">
        <v>51600</v>
      </c>
      <c r="Y3213" s="1" t="s">
        <v>4437</v>
      </c>
      <c r="Z3213" s="1" t="s">
        <v>865</v>
      </c>
      <c r="AA3213" s="1" t="s">
        <v>51600</v>
      </c>
      <c r="AB3213" s="1" t="s">
        <v>4437</v>
      </c>
      <c r="AC3213" s="1" t="s">
        <v>865</v>
      </c>
      <c r="AD3213" s="1" t="s">
        <v>98</v>
      </c>
      <c r="AE3213" s="1" t="s">
        <v>98</v>
      </c>
      <c r="AF3213" s="1" t="s">
        <v>51601</v>
      </c>
      <c r="AG3213" s="1" t="s">
        <v>51602</v>
      </c>
      <c r="AH3213" s="1" t="s">
        <v>3421</v>
      </c>
      <c r="AI3213" s="1" t="s">
        <v>1262</v>
      </c>
      <c r="AJ3213" s="1">
        <v>74.1</v>
      </c>
      <c r="AK3213" s="1">
        <v>7.8</v>
      </c>
      <c r="AL3213" s="1" t="s">
        <v>51603</v>
      </c>
      <c r="AM3213" s="1" t="s">
        <v>51604</v>
      </c>
      <c r="AN3213" s="1"/>
      <c r="AO3213" s="1" t="s">
        <v>1110</v>
      </c>
      <c r="AP3213" s="1" t="s">
        <v>627</v>
      </c>
      <c r="AQ3213" s="1">
        <v>67.2</v>
      </c>
      <c r="AR3213" s="1"/>
      <c r="AS3213" s="1"/>
      <c r="AT3213" s="1"/>
      <c r="AU3213" s="1"/>
      <c r="AV3213" s="1"/>
      <c r="AW3213" s="1"/>
      <c r="AX3213" s="1"/>
      <c r="AY3213" s="1" t="s">
        <v>37118</v>
      </c>
      <c r="AZ3213" s="1" t="s">
        <v>51605</v>
      </c>
      <c r="BA3213" s="1"/>
      <c r="BB3213" s="1"/>
      <c r="BC3213" s="1" t="s">
        <v>139</v>
      </c>
      <c r="BD3213" s="1" t="s">
        <v>1040</v>
      </c>
      <c r="BE3213" s="1">
        <v>75.5</v>
      </c>
      <c r="BF3213" s="1">
        <v>8.05</v>
      </c>
      <c r="BG3213" s="1"/>
      <c r="BH3213" s="1"/>
      <c r="BI3213" s="1"/>
      <c r="BJ3213" s="1"/>
      <c r="BK3213" s="1"/>
      <c r="BL3213" s="1"/>
      <c r="BM3213" s="1"/>
      <c r="BN3213" s="1"/>
      <c r="BO3213" s="1" t="s">
        <v>1114</v>
      </c>
      <c r="BP3213" s="1"/>
      <c r="BQ3213" s="1"/>
      <c r="BR3213" s="1" t="s">
        <v>51606</v>
      </c>
      <c r="BS3213" s="1">
        <v>-154</v>
      </c>
      <c r="BT3213" s="1"/>
      <c r="BU3213" s="1" t="str">
        <f>HYPERLINK("https://nconnect.nicmar.ac.in/storage/profile/2021-2023_AB21022_394512.jpg","Download")</f>
        <v>0</v>
      </c>
      <c r="BV3213" s="3"/>
      <c r="BW3213" s="3"/>
    </row>
    <row r="3214" spans="1:75">
      <c r="A3214" s="1" t="s">
        <v>51340</v>
      </c>
      <c r="B3214" s="1" t="s">
        <v>51341</v>
      </c>
      <c r="C3214" s="1" t="s">
        <v>51607</v>
      </c>
      <c r="D3214" s="1" t="s">
        <v>1247</v>
      </c>
      <c r="E3214" s="1"/>
      <c r="F3214" s="1" t="s">
        <v>51608</v>
      </c>
      <c r="G3214" s="1" t="s">
        <v>51609</v>
      </c>
      <c r="H3214" s="1" t="s">
        <v>51610</v>
      </c>
      <c r="I3214" s="1" t="s">
        <v>51611</v>
      </c>
      <c r="J3214" s="1">
        <v>9557146125</v>
      </c>
      <c r="K3214" s="1" t="s">
        <v>84</v>
      </c>
      <c r="L3214" s="1" t="s">
        <v>51612</v>
      </c>
      <c r="M3214" s="1" t="s">
        <v>86</v>
      </c>
      <c r="N3214" s="1" t="s">
        <v>4278</v>
      </c>
      <c r="O3214" s="1"/>
      <c r="P3214" s="1" t="s">
        <v>507</v>
      </c>
      <c r="Q3214" s="1" t="s">
        <v>51613</v>
      </c>
      <c r="R3214" s="1" t="s">
        <v>51614</v>
      </c>
      <c r="S3214" s="1">
        <v>9412166228</v>
      </c>
      <c r="T3214" s="1" t="s">
        <v>51615</v>
      </c>
      <c r="U3214" s="1" t="s">
        <v>51616</v>
      </c>
      <c r="V3214" s="1">
        <v>9410158439</v>
      </c>
      <c r="W3214" s="1" t="s">
        <v>94</v>
      </c>
      <c r="X3214" s="1" t="s">
        <v>51617</v>
      </c>
      <c r="Y3214" s="1" t="s">
        <v>30372</v>
      </c>
      <c r="Z3214" s="1" t="s">
        <v>7930</v>
      </c>
      <c r="AA3214" s="1" t="s">
        <v>51617</v>
      </c>
      <c r="AB3214" s="1" t="s">
        <v>30372</v>
      </c>
      <c r="AC3214" s="1" t="s">
        <v>7930</v>
      </c>
      <c r="AD3214" s="1" t="s">
        <v>98</v>
      </c>
      <c r="AE3214" s="1" t="s">
        <v>98</v>
      </c>
      <c r="AF3214" s="1" t="s">
        <v>51618</v>
      </c>
      <c r="AG3214" s="1" t="s">
        <v>51619</v>
      </c>
      <c r="AH3214" s="1" t="s">
        <v>33217</v>
      </c>
      <c r="AI3214" s="1" t="s">
        <v>1457</v>
      </c>
      <c r="AJ3214" s="1">
        <v>75.5</v>
      </c>
      <c r="AK3214" s="1"/>
      <c r="AL3214" s="1" t="s">
        <v>51620</v>
      </c>
      <c r="AM3214" s="1" t="s">
        <v>51619</v>
      </c>
      <c r="AN3214" s="1"/>
      <c r="AO3214" s="1" t="s">
        <v>134</v>
      </c>
      <c r="AP3214" s="1" t="s">
        <v>627</v>
      </c>
      <c r="AQ3214" s="1">
        <v>72.2</v>
      </c>
      <c r="AR3214" s="1"/>
      <c r="AS3214" s="1"/>
      <c r="AT3214" s="1"/>
      <c r="AU3214" s="1"/>
      <c r="AV3214" s="1"/>
      <c r="AW3214" s="1"/>
      <c r="AX3214" s="1"/>
      <c r="AY3214" s="1" t="s">
        <v>51621</v>
      </c>
      <c r="AZ3214" s="1" t="s">
        <v>51621</v>
      </c>
      <c r="BA3214" s="1"/>
      <c r="BB3214" s="1"/>
      <c r="BC3214" s="1" t="s">
        <v>139</v>
      </c>
      <c r="BD3214" s="1" t="s">
        <v>845</v>
      </c>
      <c r="BE3214" s="1">
        <v>70.58</v>
      </c>
      <c r="BF3214" s="1">
        <v>7.43</v>
      </c>
      <c r="BG3214" s="1" t="s">
        <v>51585</v>
      </c>
      <c r="BH3214" s="1" t="s">
        <v>98</v>
      </c>
      <c r="BI3214" s="1"/>
      <c r="BJ3214" s="1"/>
      <c r="BK3214" s="1" t="s">
        <v>441</v>
      </c>
      <c r="BL3214" s="1" t="s">
        <v>10037</v>
      </c>
      <c r="BM3214" s="1">
        <v>77.9</v>
      </c>
      <c r="BN3214" s="1">
        <v>8.2</v>
      </c>
      <c r="BO3214" s="1" t="s">
        <v>51622</v>
      </c>
      <c r="BP3214" s="1"/>
      <c r="BQ3214" s="1"/>
      <c r="BR3214" s="1" t="s">
        <v>51623</v>
      </c>
      <c r="BS3214" s="1">
        <v>33</v>
      </c>
      <c r="BT3214" s="1"/>
      <c r="BU3214" s="1" t="str">
        <f>HYPERLINK("https://nconnect.nicmar.ac.in/storage/profile/2021-2023_AB21023_576128.jpg","Download")</f>
        <v>0</v>
      </c>
      <c r="BV3214" s="3"/>
      <c r="BW3214" s="3"/>
    </row>
    <row r="3215" spans="1:75">
      <c r="A3215" s="1" t="s">
        <v>51340</v>
      </c>
      <c r="B3215" s="1" t="s">
        <v>51341</v>
      </c>
      <c r="C3215" s="1" t="s">
        <v>51624</v>
      </c>
      <c r="D3215" s="1" t="s">
        <v>51625</v>
      </c>
      <c r="E3215" s="1"/>
      <c r="F3215" s="1" t="s">
        <v>51626</v>
      </c>
      <c r="G3215" s="1" t="s">
        <v>51627</v>
      </c>
      <c r="H3215" s="1" t="s">
        <v>51628</v>
      </c>
      <c r="I3215" s="1" t="s">
        <v>51629</v>
      </c>
      <c r="J3215" s="1">
        <v>8240966992</v>
      </c>
      <c r="K3215" s="1" t="s">
        <v>84</v>
      </c>
      <c r="L3215" s="1" t="s">
        <v>51630</v>
      </c>
      <c r="M3215" s="1" t="s">
        <v>86</v>
      </c>
      <c r="N3215" s="1" t="s">
        <v>3276</v>
      </c>
      <c r="O3215" s="1"/>
      <c r="P3215" s="1" t="s">
        <v>455</v>
      </c>
      <c r="Q3215" s="1" t="s">
        <v>51631</v>
      </c>
      <c r="R3215" s="1" t="s">
        <v>51632</v>
      </c>
      <c r="S3215" s="1">
        <v>8016196897</v>
      </c>
      <c r="T3215" s="1" t="s">
        <v>330</v>
      </c>
      <c r="U3215" s="1" t="s">
        <v>51633</v>
      </c>
      <c r="V3215" s="1">
        <v>8016196897</v>
      </c>
      <c r="W3215" s="1" t="s">
        <v>541</v>
      </c>
      <c r="X3215" s="1" t="s">
        <v>51634</v>
      </c>
      <c r="Y3215" s="1" t="s">
        <v>51635</v>
      </c>
      <c r="Z3215" s="1" t="s">
        <v>1234</v>
      </c>
      <c r="AA3215" s="1" t="s">
        <v>51634</v>
      </c>
      <c r="AB3215" s="1" t="s">
        <v>51635</v>
      </c>
      <c r="AC3215" s="1" t="s">
        <v>1234</v>
      </c>
      <c r="AD3215" s="1" t="s">
        <v>98</v>
      </c>
      <c r="AE3215" s="1" t="s">
        <v>98</v>
      </c>
      <c r="AF3215" s="1" t="s">
        <v>51636</v>
      </c>
      <c r="AG3215" s="1" t="s">
        <v>3284</v>
      </c>
      <c r="AH3215" s="1" t="s">
        <v>35199</v>
      </c>
      <c r="AI3215" s="1" t="s">
        <v>3770</v>
      </c>
      <c r="AJ3215" s="1">
        <v>60.3</v>
      </c>
      <c r="AK3215" s="1"/>
      <c r="AL3215" s="1"/>
      <c r="AM3215" s="1"/>
      <c r="AN3215" s="1"/>
      <c r="AO3215" s="1"/>
      <c r="AP3215" s="1"/>
      <c r="AQ3215" s="1"/>
      <c r="AR3215" s="1"/>
      <c r="AS3215" s="1" t="s">
        <v>103</v>
      </c>
      <c r="AT3215" s="1" t="s">
        <v>27180</v>
      </c>
      <c r="AU3215" s="1" t="s">
        <v>101</v>
      </c>
      <c r="AV3215" s="1" t="s">
        <v>139</v>
      </c>
      <c r="AW3215" s="1">
        <v>78.1</v>
      </c>
      <c r="AX3215" s="1">
        <v>7.8</v>
      </c>
      <c r="AY3215" s="1" t="s">
        <v>33164</v>
      </c>
      <c r="AZ3215" s="1" t="s">
        <v>51637</v>
      </c>
      <c r="BA3215" s="1"/>
      <c r="BB3215" s="1"/>
      <c r="BC3215" s="1" t="s">
        <v>286</v>
      </c>
      <c r="BD3215" s="1" t="s">
        <v>441</v>
      </c>
      <c r="BE3215" s="1">
        <v>76</v>
      </c>
      <c r="BF3215" s="1">
        <v>7.6</v>
      </c>
      <c r="BG3215" s="1"/>
      <c r="BH3215" s="1"/>
      <c r="BI3215" s="1"/>
      <c r="BJ3215" s="1"/>
      <c r="BK3215" s="1"/>
      <c r="BL3215" s="1"/>
      <c r="BM3215" s="1"/>
      <c r="BN3215" s="1"/>
      <c r="BO3215" s="1" t="s">
        <v>1114</v>
      </c>
      <c r="BP3215" s="1"/>
      <c r="BQ3215" s="1"/>
      <c r="BR3215" s="1" t="s">
        <v>51638</v>
      </c>
      <c r="BS3215" s="1">
        <v>8</v>
      </c>
      <c r="BT3215" s="1"/>
      <c r="BU3215" s="1" t="str">
        <f>HYPERLINK("https://nconnect.nicmar.ac.in/storage/profile/ProfilePhoto_AB21024_862714.jpg","Download")</f>
        <v>0</v>
      </c>
      <c r="BV3215" s="3"/>
      <c r="BW3215" s="3"/>
    </row>
    <row r="3216" spans="1:75">
      <c r="A3216" s="1" t="s">
        <v>51340</v>
      </c>
      <c r="B3216" s="1" t="s">
        <v>51341</v>
      </c>
      <c r="C3216" s="1" t="s">
        <v>51639</v>
      </c>
      <c r="D3216" s="1" t="s">
        <v>6862</v>
      </c>
      <c r="E3216" s="1" t="s">
        <v>1178</v>
      </c>
      <c r="F3216" s="1" t="s">
        <v>51640</v>
      </c>
      <c r="G3216" s="1" t="s">
        <v>51641</v>
      </c>
      <c r="H3216" s="1" t="s">
        <v>51642</v>
      </c>
      <c r="I3216" s="1" t="s">
        <v>51643</v>
      </c>
      <c r="J3216" s="1"/>
      <c r="K3216" s="1" t="s">
        <v>84</v>
      </c>
      <c r="L3216" s="1" t="s">
        <v>51644</v>
      </c>
      <c r="M3216" s="1" t="s">
        <v>86</v>
      </c>
      <c r="N3216" s="1" t="s">
        <v>4972</v>
      </c>
      <c r="O3216" s="1"/>
      <c r="P3216" s="1" t="s">
        <v>507</v>
      </c>
      <c r="Q3216" s="1" t="s">
        <v>51645</v>
      </c>
      <c r="R3216" s="1" t="s">
        <v>51646</v>
      </c>
      <c r="S3216" s="1">
        <v>9767086741</v>
      </c>
      <c r="T3216" s="1" t="s">
        <v>839</v>
      </c>
      <c r="U3216" s="1" t="s">
        <v>51647</v>
      </c>
      <c r="V3216" s="1">
        <v>7720985133</v>
      </c>
      <c r="W3216" s="1" t="s">
        <v>161</v>
      </c>
      <c r="X3216" s="1" t="s">
        <v>51648</v>
      </c>
      <c r="Y3216" s="1" t="s">
        <v>410</v>
      </c>
      <c r="Z3216" s="1" t="s">
        <v>97</v>
      </c>
      <c r="AA3216" s="1" t="s">
        <v>51648</v>
      </c>
      <c r="AB3216" s="1" t="s">
        <v>410</v>
      </c>
      <c r="AC3216" s="1" t="s">
        <v>97</v>
      </c>
      <c r="AD3216" s="1" t="s">
        <v>98</v>
      </c>
      <c r="AE3216" s="1" t="s">
        <v>98</v>
      </c>
      <c r="AF3216" s="1" t="s">
        <v>51649</v>
      </c>
      <c r="AG3216" s="1" t="s">
        <v>51650</v>
      </c>
      <c r="AH3216" s="1" t="s">
        <v>133</v>
      </c>
      <c r="AI3216" s="1" t="s">
        <v>1457</v>
      </c>
      <c r="AJ3216" s="1">
        <v>79.49</v>
      </c>
      <c r="AK3216" s="1"/>
      <c r="AL3216" s="1" t="s">
        <v>51651</v>
      </c>
      <c r="AM3216" s="1" t="s">
        <v>51652</v>
      </c>
      <c r="AN3216" s="1"/>
      <c r="AO3216" s="1" t="s">
        <v>101</v>
      </c>
      <c r="AP3216" s="1" t="s">
        <v>1802</v>
      </c>
      <c r="AQ3216" s="1">
        <v>63.6</v>
      </c>
      <c r="AR3216" s="1"/>
      <c r="AS3216" s="1"/>
      <c r="AT3216" s="1"/>
      <c r="AU3216" s="1"/>
      <c r="AV3216" s="1"/>
      <c r="AW3216" s="1"/>
      <c r="AX3216" s="1"/>
      <c r="AY3216" s="1" t="s">
        <v>415</v>
      </c>
      <c r="AZ3216" s="1" t="s">
        <v>35786</v>
      </c>
      <c r="BA3216" s="1"/>
      <c r="BB3216" s="1"/>
      <c r="BC3216" s="1" t="s">
        <v>105</v>
      </c>
      <c r="BD3216" s="1" t="s">
        <v>847</v>
      </c>
      <c r="BE3216" s="1">
        <v>60</v>
      </c>
      <c r="BF3216" s="1">
        <v>6.75</v>
      </c>
      <c r="BG3216" s="1"/>
      <c r="BH3216" s="1"/>
      <c r="BI3216" s="1"/>
      <c r="BJ3216" s="1"/>
      <c r="BK3216" s="1"/>
      <c r="BL3216" s="1"/>
      <c r="BM3216" s="1"/>
      <c r="BN3216" s="1"/>
      <c r="BO3216" s="1" t="s">
        <v>1114</v>
      </c>
      <c r="BP3216" s="1"/>
      <c r="BQ3216" s="1"/>
      <c r="BR3216" s="1" t="s">
        <v>51653</v>
      </c>
      <c r="BS3216" s="1">
        <v>10</v>
      </c>
      <c r="BT3216" s="1"/>
      <c r="BU3216" s="1" t="str">
        <f>HYPERLINK("https://nconnect.nicmar.ac.in/storage/profile/2021-2023_AG21002_731586.jpg","Download")</f>
        <v>0</v>
      </c>
      <c r="BV3216" s="3"/>
      <c r="BW3216" s="3"/>
    </row>
    <row r="3217" spans="1:75">
      <c r="A3217" s="1" t="s">
        <v>51340</v>
      </c>
      <c r="B3217" s="1" t="s">
        <v>51341</v>
      </c>
      <c r="C3217" s="1" t="s">
        <v>51654</v>
      </c>
      <c r="D3217" s="1" t="s">
        <v>51655</v>
      </c>
      <c r="E3217" s="1" t="s">
        <v>8974</v>
      </c>
      <c r="F3217" s="1" t="s">
        <v>51656</v>
      </c>
      <c r="G3217" s="1" t="s">
        <v>51657</v>
      </c>
      <c r="H3217" s="1" t="s">
        <v>51658</v>
      </c>
      <c r="I3217" s="1" t="s">
        <v>51659</v>
      </c>
      <c r="J3217" s="1"/>
      <c r="K3217" s="1" t="s">
        <v>84</v>
      </c>
      <c r="L3217" s="1" t="s">
        <v>51660</v>
      </c>
      <c r="M3217" s="1" t="s">
        <v>86</v>
      </c>
      <c r="N3217" s="1" t="s">
        <v>1163</v>
      </c>
      <c r="O3217" s="1"/>
      <c r="P3217" s="1" t="s">
        <v>481</v>
      </c>
      <c r="Q3217" s="1" t="s">
        <v>51661</v>
      </c>
      <c r="R3217" s="1" t="s">
        <v>51662</v>
      </c>
      <c r="S3217" s="1">
        <v>9067537424</v>
      </c>
      <c r="T3217" s="1" t="s">
        <v>125</v>
      </c>
      <c r="U3217" s="1" t="s">
        <v>51663</v>
      </c>
      <c r="V3217" s="1">
        <v>9921860122</v>
      </c>
      <c r="W3217" s="1" t="s">
        <v>541</v>
      </c>
      <c r="X3217" s="1" t="s">
        <v>51664</v>
      </c>
      <c r="Y3217" s="1" t="s">
        <v>410</v>
      </c>
      <c r="Z3217" s="1" t="s">
        <v>97</v>
      </c>
      <c r="AA3217" s="1" t="s">
        <v>51664</v>
      </c>
      <c r="AB3217" s="1" t="s">
        <v>410</v>
      </c>
      <c r="AC3217" s="1" t="s">
        <v>97</v>
      </c>
      <c r="AD3217" s="1" t="s">
        <v>98</v>
      </c>
      <c r="AE3217" s="1" t="s">
        <v>98</v>
      </c>
      <c r="AF3217" s="1" t="s">
        <v>51665</v>
      </c>
      <c r="AG3217" s="1" t="s">
        <v>2670</v>
      </c>
      <c r="AH3217" s="1" t="s">
        <v>339</v>
      </c>
      <c r="AI3217" s="1" t="s">
        <v>102</v>
      </c>
      <c r="AJ3217" s="1">
        <v>72.2</v>
      </c>
      <c r="AK3217" s="1">
        <v>7.6</v>
      </c>
      <c r="AL3217" s="1" t="s">
        <v>1603</v>
      </c>
      <c r="AM3217" s="1" t="s">
        <v>38152</v>
      </c>
      <c r="AN3217" s="1"/>
      <c r="AO3217" s="1" t="s">
        <v>342</v>
      </c>
      <c r="AP3217" s="1" t="s">
        <v>200</v>
      </c>
      <c r="AQ3217" s="1">
        <v>78</v>
      </c>
      <c r="AR3217" s="1"/>
      <c r="AS3217" s="1"/>
      <c r="AT3217" s="1"/>
      <c r="AU3217" s="1"/>
      <c r="AV3217" s="1"/>
      <c r="AW3217" s="1"/>
      <c r="AX3217" s="1"/>
      <c r="AY3217" s="1" t="s">
        <v>51666</v>
      </c>
      <c r="AZ3217" s="1" t="s">
        <v>51667</v>
      </c>
      <c r="BA3217" s="1"/>
      <c r="BB3217" s="1"/>
      <c r="BC3217" s="1" t="s">
        <v>388</v>
      </c>
      <c r="BD3217" s="1" t="s">
        <v>845</v>
      </c>
      <c r="BE3217" s="1">
        <v>72.4</v>
      </c>
      <c r="BF3217" s="1">
        <v>7.98</v>
      </c>
      <c r="BG3217" s="1"/>
      <c r="BH3217" s="1"/>
      <c r="BI3217" s="1"/>
      <c r="BJ3217" s="1"/>
      <c r="BK3217" s="1"/>
      <c r="BL3217" s="1"/>
      <c r="BM3217" s="1"/>
      <c r="BN3217" s="1"/>
      <c r="BO3217" s="1" t="s">
        <v>51668</v>
      </c>
      <c r="BP3217" s="1"/>
      <c r="BQ3217" s="1"/>
      <c r="BR3217" s="1" t="s">
        <v>51669</v>
      </c>
      <c r="BS3217" s="1">
        <v>43</v>
      </c>
      <c r="BT3217" s="1"/>
      <c r="BU3217" s="1" t="str">
        <f>HYPERLINK("https://nconnect.nicmar.ac.in/storage/profile/2021-2023_AG21006_852179.jpg","Download")</f>
        <v>0</v>
      </c>
      <c r="BV3217" s="3"/>
      <c r="BW3217" s="3"/>
    </row>
    <row r="3218" spans="1:75">
      <c r="A3218" s="1" t="s">
        <v>51340</v>
      </c>
      <c r="B3218" s="1" t="s">
        <v>51341</v>
      </c>
      <c r="C3218" s="1" t="s">
        <v>51670</v>
      </c>
      <c r="D3218" s="1" t="s">
        <v>51671</v>
      </c>
      <c r="E3218" s="1" t="s">
        <v>7461</v>
      </c>
      <c r="F3218" s="1" t="s">
        <v>51672</v>
      </c>
      <c r="G3218" s="1" t="s">
        <v>51673</v>
      </c>
      <c r="H3218" s="1" t="s">
        <v>51674</v>
      </c>
      <c r="I3218" s="1" t="s">
        <v>51675</v>
      </c>
      <c r="J3218" s="1">
        <v>8956228058</v>
      </c>
      <c r="K3218" s="1" t="s">
        <v>84</v>
      </c>
      <c r="L3218" s="1" t="s">
        <v>51676</v>
      </c>
      <c r="M3218" s="1" t="s">
        <v>155</v>
      </c>
      <c r="N3218" s="1" t="s">
        <v>618</v>
      </c>
      <c r="O3218" s="1"/>
      <c r="P3218" s="1"/>
      <c r="Q3218" s="1" t="s">
        <v>51677</v>
      </c>
      <c r="R3218" s="1" t="s">
        <v>51678</v>
      </c>
      <c r="S3218" s="1">
        <v>7798957775</v>
      </c>
      <c r="T3218" s="1" t="s">
        <v>839</v>
      </c>
      <c r="U3218" s="1" t="s">
        <v>51679</v>
      </c>
      <c r="V3218" s="1">
        <v>9422119141</v>
      </c>
      <c r="W3218" s="1" t="s">
        <v>278</v>
      </c>
      <c r="X3218" s="1" t="s">
        <v>51680</v>
      </c>
      <c r="Y3218" s="1" t="s">
        <v>5584</v>
      </c>
      <c r="Z3218" s="1" t="s">
        <v>97</v>
      </c>
      <c r="AA3218" s="1" t="s">
        <v>51680</v>
      </c>
      <c r="AB3218" s="1" t="s">
        <v>5584</v>
      </c>
      <c r="AC3218" s="1" t="s">
        <v>97</v>
      </c>
      <c r="AD3218" s="1" t="s">
        <v>98</v>
      </c>
      <c r="AE3218" s="1" t="s">
        <v>98</v>
      </c>
      <c r="AF3218" s="1" t="s">
        <v>51681</v>
      </c>
      <c r="AG3218" s="1" t="s">
        <v>2475</v>
      </c>
      <c r="AH3218" s="1" t="s">
        <v>133</v>
      </c>
      <c r="AI3218" s="1" t="s">
        <v>1213</v>
      </c>
      <c r="AJ3218" s="1">
        <v>66.8</v>
      </c>
      <c r="AK3218" s="1"/>
      <c r="AL3218" s="1" t="s">
        <v>51682</v>
      </c>
      <c r="AM3218" s="1" t="s">
        <v>51650</v>
      </c>
      <c r="AN3218" s="1"/>
      <c r="AO3218" s="1" t="s">
        <v>135</v>
      </c>
      <c r="AP3218" s="1" t="s">
        <v>11567</v>
      </c>
      <c r="AQ3218" s="1">
        <v>56.31</v>
      </c>
      <c r="AR3218" s="1"/>
      <c r="AS3218" s="1"/>
      <c r="AT3218" s="1"/>
      <c r="AU3218" s="1"/>
      <c r="AV3218" s="1"/>
      <c r="AW3218" s="1"/>
      <c r="AX3218" s="1"/>
      <c r="AY3218" s="1" t="s">
        <v>415</v>
      </c>
      <c r="AZ3218" s="1" t="s">
        <v>51683</v>
      </c>
      <c r="BA3218" s="1"/>
      <c r="BB3218" s="1"/>
      <c r="BC3218" s="1" t="s">
        <v>105</v>
      </c>
      <c r="BD3218" s="1" t="s">
        <v>109</v>
      </c>
      <c r="BE3218" s="1">
        <v>60.9</v>
      </c>
      <c r="BF3218" s="1">
        <v>6.84</v>
      </c>
      <c r="BG3218" s="1"/>
      <c r="BH3218" s="1"/>
      <c r="BI3218" s="1"/>
      <c r="BJ3218" s="1"/>
      <c r="BK3218" s="1"/>
      <c r="BL3218" s="1"/>
      <c r="BM3218" s="1"/>
      <c r="BN3218" s="1"/>
      <c r="BO3218" s="1" t="s">
        <v>1114</v>
      </c>
      <c r="BP3218" s="1"/>
      <c r="BQ3218" s="1"/>
      <c r="BR3218" s="1" t="s">
        <v>51684</v>
      </c>
      <c r="BS3218" s="1">
        <v>12</v>
      </c>
      <c r="BT3218" s="1"/>
      <c r="BU3218" s="1" t="str">
        <f>HYPERLINK("https://nconnect.nicmar.ac.in/storage/profile/2021-2023_AG21013_619857.jpg","Download")</f>
        <v>0</v>
      </c>
      <c r="BV3218" s="3"/>
      <c r="BW3218" s="3"/>
    </row>
    <row r="3219" spans="1:75">
      <c r="A3219" s="1" t="s">
        <v>51340</v>
      </c>
      <c r="B3219" s="1" t="s">
        <v>51341</v>
      </c>
      <c r="C3219" s="1" t="s">
        <v>51685</v>
      </c>
      <c r="D3219" s="1" t="s">
        <v>1247</v>
      </c>
      <c r="E3219" s="1" t="s">
        <v>15708</v>
      </c>
      <c r="F3219" s="1" t="s">
        <v>51686</v>
      </c>
      <c r="G3219" s="1" t="s">
        <v>51687</v>
      </c>
      <c r="H3219" s="1" t="s">
        <v>51688</v>
      </c>
      <c r="I3219" s="1" t="s">
        <v>51689</v>
      </c>
      <c r="J3219" s="1">
        <v>9325876672</v>
      </c>
      <c r="K3219" s="1" t="s">
        <v>84</v>
      </c>
      <c r="L3219" s="1" t="s">
        <v>51690</v>
      </c>
      <c r="M3219" s="1" t="s">
        <v>86</v>
      </c>
      <c r="N3219" s="1" t="s">
        <v>618</v>
      </c>
      <c r="O3219" s="1"/>
      <c r="P3219" s="1" t="s">
        <v>481</v>
      </c>
      <c r="Q3219" s="1" t="s">
        <v>51691</v>
      </c>
      <c r="R3219" s="1" t="s">
        <v>15708</v>
      </c>
      <c r="S3219" s="1">
        <v>9325876672</v>
      </c>
      <c r="T3219" s="1" t="s">
        <v>1495</v>
      </c>
      <c r="U3219" s="1" t="s">
        <v>9396</v>
      </c>
      <c r="V3219" s="1">
        <v>9423078223</v>
      </c>
      <c r="W3219" s="1" t="s">
        <v>125</v>
      </c>
      <c r="X3219" s="1" t="s">
        <v>51692</v>
      </c>
      <c r="Y3219" s="1" t="s">
        <v>1145</v>
      </c>
      <c r="Z3219" s="1" t="s">
        <v>97</v>
      </c>
      <c r="AA3219" s="1" t="s">
        <v>51693</v>
      </c>
      <c r="AB3219" s="1" t="s">
        <v>1145</v>
      </c>
      <c r="AC3219" s="1" t="s">
        <v>97</v>
      </c>
      <c r="AD3219" s="1" t="s">
        <v>98</v>
      </c>
      <c r="AE3219" s="1" t="s">
        <v>98</v>
      </c>
      <c r="AF3219" s="1" t="s">
        <v>51694</v>
      </c>
      <c r="AG3219" s="1" t="s">
        <v>165</v>
      </c>
      <c r="AH3219" s="1" t="s">
        <v>3965</v>
      </c>
      <c r="AI3219" s="1" t="s">
        <v>1457</v>
      </c>
      <c r="AJ3219" s="1">
        <v>69.2</v>
      </c>
      <c r="AK3219" s="1">
        <v>0</v>
      </c>
      <c r="AL3219" s="1" t="s">
        <v>51695</v>
      </c>
      <c r="AM3219" s="1" t="s">
        <v>165</v>
      </c>
      <c r="AN3219" s="1"/>
      <c r="AO3219" s="1" t="s">
        <v>5515</v>
      </c>
      <c r="AP3219" s="1" t="s">
        <v>32144</v>
      </c>
      <c r="AQ3219" s="1">
        <v>57.54</v>
      </c>
      <c r="AR3219" s="1">
        <v>0</v>
      </c>
      <c r="AS3219" s="1"/>
      <c r="AT3219" s="1"/>
      <c r="AU3219" s="1"/>
      <c r="AV3219" s="1"/>
      <c r="AW3219" s="1"/>
      <c r="AX3219" s="1"/>
      <c r="AY3219" s="1" t="s">
        <v>51696</v>
      </c>
      <c r="AZ3219" s="1" t="s">
        <v>51697</v>
      </c>
      <c r="BA3219" s="1"/>
      <c r="BB3219" s="1"/>
      <c r="BC3219" s="1" t="s">
        <v>139</v>
      </c>
      <c r="BD3219" s="1" t="s">
        <v>632</v>
      </c>
      <c r="BE3219" s="1">
        <v>88.4</v>
      </c>
      <c r="BF3219" s="1">
        <v>9.59</v>
      </c>
      <c r="BG3219" s="1"/>
      <c r="BH3219" s="1"/>
      <c r="BI3219" s="1"/>
      <c r="BJ3219" s="1"/>
      <c r="BK3219" s="1"/>
      <c r="BL3219" s="1"/>
      <c r="BM3219" s="1"/>
      <c r="BN3219" s="1"/>
      <c r="BO3219" s="1" t="s">
        <v>1114</v>
      </c>
      <c r="BP3219" s="1"/>
      <c r="BQ3219" s="1"/>
      <c r="BR3219" s="1" t="s">
        <v>51698</v>
      </c>
      <c r="BS3219" s="1">
        <v>12</v>
      </c>
      <c r="BT3219" s="1"/>
      <c r="BU3219" s="1" t="str">
        <f>HYPERLINK("https://nconnect.nicmar.ac.in/storage/profile/2021-2023_AG21015_517943.jpg","Download")</f>
        <v>0</v>
      </c>
      <c r="BV3219" s="3"/>
      <c r="BW3219" s="3"/>
    </row>
    <row r="3220" spans="1:75">
      <c r="A3220" s="1" t="s">
        <v>51340</v>
      </c>
      <c r="B3220" s="1" t="s">
        <v>51341</v>
      </c>
      <c r="C3220" s="1" t="s">
        <v>51699</v>
      </c>
      <c r="D3220" s="1" t="s">
        <v>13139</v>
      </c>
      <c r="E3220" s="1" t="s">
        <v>4256</v>
      </c>
      <c r="F3220" s="1" t="s">
        <v>51700</v>
      </c>
      <c r="G3220" s="1" t="s">
        <v>51701</v>
      </c>
      <c r="H3220" s="1" t="s">
        <v>51702</v>
      </c>
      <c r="I3220" s="1" t="s">
        <v>51703</v>
      </c>
      <c r="J3220" s="1">
        <v>7715832127</v>
      </c>
      <c r="K3220" s="1" t="s">
        <v>84</v>
      </c>
      <c r="L3220" s="1" t="s">
        <v>51704</v>
      </c>
      <c r="M3220" s="1" t="s">
        <v>86</v>
      </c>
      <c r="N3220" s="1" t="s">
        <v>51705</v>
      </c>
      <c r="O3220" s="1"/>
      <c r="P3220" s="1" t="s">
        <v>455</v>
      </c>
      <c r="Q3220" s="1" t="s">
        <v>51706</v>
      </c>
      <c r="R3220" s="1" t="s">
        <v>51707</v>
      </c>
      <c r="S3220" s="1">
        <v>9821556817</v>
      </c>
      <c r="T3220" s="1" t="s">
        <v>3396</v>
      </c>
      <c r="U3220" s="1" t="s">
        <v>51708</v>
      </c>
      <c r="V3220" s="1">
        <v>9324602251</v>
      </c>
      <c r="W3220" s="1" t="s">
        <v>94</v>
      </c>
      <c r="X3220" s="1" t="s">
        <v>51709</v>
      </c>
      <c r="Y3220" s="1" t="s">
        <v>1012</v>
      </c>
      <c r="Z3220" s="1" t="s">
        <v>97</v>
      </c>
      <c r="AA3220" s="1" t="s">
        <v>51710</v>
      </c>
      <c r="AB3220" s="1" t="s">
        <v>1012</v>
      </c>
      <c r="AC3220" s="1" t="s">
        <v>97</v>
      </c>
      <c r="AD3220" s="1" t="s">
        <v>98</v>
      </c>
      <c r="AE3220" s="1" t="s">
        <v>98</v>
      </c>
      <c r="AF3220" s="1" t="s">
        <v>51711</v>
      </c>
      <c r="AG3220" s="1" t="s">
        <v>51712</v>
      </c>
      <c r="AH3220" s="1">
        <v>39982</v>
      </c>
      <c r="AI3220" s="1">
        <v>40346</v>
      </c>
      <c r="AJ3220" s="1">
        <v>78.18</v>
      </c>
      <c r="AK3220" s="1">
        <v>0</v>
      </c>
      <c r="AL3220" s="1" t="s">
        <v>98</v>
      </c>
      <c r="AM3220" s="1" t="s">
        <v>98</v>
      </c>
      <c r="AN3220" s="1"/>
      <c r="AO3220" s="1" t="s">
        <v>98</v>
      </c>
      <c r="AP3220" s="1" t="s">
        <v>98</v>
      </c>
      <c r="AQ3220" s="1"/>
      <c r="AR3220" s="1"/>
      <c r="AS3220" s="1" t="s">
        <v>439</v>
      </c>
      <c r="AT3220" s="1" t="s">
        <v>51713</v>
      </c>
      <c r="AU3220" s="1">
        <v>41070</v>
      </c>
      <c r="AV3220" s="1">
        <v>42164</v>
      </c>
      <c r="AW3220" s="1">
        <v>52.91</v>
      </c>
      <c r="AX3220" s="1">
        <v>0</v>
      </c>
      <c r="AY3220" s="1" t="s">
        <v>28128</v>
      </c>
      <c r="AZ3220" s="1" t="s">
        <v>51714</v>
      </c>
      <c r="BA3220" s="1"/>
      <c r="BB3220" s="1"/>
      <c r="BC3220" s="1">
        <v>42190</v>
      </c>
      <c r="BD3220" s="1">
        <v>43285</v>
      </c>
      <c r="BE3220" s="1">
        <v>60.6</v>
      </c>
      <c r="BF3220" s="1">
        <v>0</v>
      </c>
      <c r="BG3220" s="1"/>
      <c r="BH3220" s="1"/>
      <c r="BI3220" s="1"/>
      <c r="BJ3220" s="1"/>
      <c r="BK3220" s="1" t="s">
        <v>98</v>
      </c>
      <c r="BL3220" s="1" t="s">
        <v>98</v>
      </c>
      <c r="BM3220" s="1" t="s">
        <v>98</v>
      </c>
      <c r="BN3220" s="1" t="s">
        <v>98</v>
      </c>
      <c r="BO3220" s="1" t="s">
        <v>260</v>
      </c>
      <c r="BP3220" s="1" t="s">
        <v>51715</v>
      </c>
      <c r="BQ3220" s="1" t="s">
        <v>1976</v>
      </c>
      <c r="BR3220" s="1" t="s">
        <v>51716</v>
      </c>
      <c r="BS3220" s="1">
        <v>24</v>
      </c>
      <c r="BT3220" s="1"/>
      <c r="BU3220" s="1" t="str">
        <f>HYPERLINK("https://nconnect.nicmar.ac.in/storage/profile/2021-2023_AP21001_852136.jpg","Download")</f>
        <v>0</v>
      </c>
      <c r="BV3220" s="3"/>
      <c r="BW3220" s="3"/>
    </row>
    <row r="3221" spans="1:75">
      <c r="A3221" s="1" t="s">
        <v>51340</v>
      </c>
      <c r="B3221" s="1" t="s">
        <v>51341</v>
      </c>
      <c r="C3221" s="1" t="s">
        <v>51717</v>
      </c>
      <c r="D3221" s="1" t="s">
        <v>6525</v>
      </c>
      <c r="E3221" s="1" t="s">
        <v>9165</v>
      </c>
      <c r="F3221" s="1" t="s">
        <v>587</v>
      </c>
      <c r="G3221" s="1" t="s">
        <v>51718</v>
      </c>
      <c r="H3221" s="1" t="s">
        <v>51719</v>
      </c>
      <c r="I3221" s="1" t="s">
        <v>51720</v>
      </c>
      <c r="J3221" s="1">
        <v>7406409755</v>
      </c>
      <c r="K3221" s="1" t="s">
        <v>84</v>
      </c>
      <c r="L3221" s="1" t="s">
        <v>51721</v>
      </c>
      <c r="M3221" s="1" t="s">
        <v>86</v>
      </c>
      <c r="N3221" s="1" t="s">
        <v>7745</v>
      </c>
      <c r="O3221" s="1"/>
      <c r="P3221" s="1" t="s">
        <v>507</v>
      </c>
      <c r="Q3221" s="1" t="s">
        <v>51722</v>
      </c>
      <c r="R3221" s="1" t="s">
        <v>51723</v>
      </c>
      <c r="S3221" s="1">
        <v>9448668675</v>
      </c>
      <c r="T3221" s="1" t="s">
        <v>51724</v>
      </c>
      <c r="U3221" s="1" t="s">
        <v>51725</v>
      </c>
      <c r="V3221" s="1">
        <v>9449374474</v>
      </c>
      <c r="W3221" s="1" t="s">
        <v>278</v>
      </c>
      <c r="X3221" s="1" t="s">
        <v>51726</v>
      </c>
      <c r="Y3221" s="1" t="s">
        <v>51727</v>
      </c>
      <c r="Z3221" s="1" t="s">
        <v>1210</v>
      </c>
      <c r="AA3221" s="1" t="s">
        <v>51728</v>
      </c>
      <c r="AB3221" s="1" t="s">
        <v>51727</v>
      </c>
      <c r="AC3221" s="1" t="s">
        <v>1210</v>
      </c>
      <c r="AD3221" s="1" t="s">
        <v>98</v>
      </c>
      <c r="AE3221" s="1" t="s">
        <v>98</v>
      </c>
      <c r="AF3221" s="1" t="s">
        <v>51729</v>
      </c>
      <c r="AG3221" s="1" t="s">
        <v>51730</v>
      </c>
      <c r="AH3221" s="1" t="s">
        <v>254</v>
      </c>
      <c r="AI3221" s="1" t="s">
        <v>134</v>
      </c>
      <c r="AJ3221" s="1">
        <v>62.52</v>
      </c>
      <c r="AK3221" s="1">
        <v>6.6</v>
      </c>
      <c r="AL3221" s="1" t="s">
        <v>51731</v>
      </c>
      <c r="AM3221" s="1" t="s">
        <v>51730</v>
      </c>
      <c r="AN3221" s="1"/>
      <c r="AO3221" s="1" t="s">
        <v>101</v>
      </c>
      <c r="AP3221" s="1" t="s">
        <v>136</v>
      </c>
      <c r="AQ3221" s="1">
        <v>63.5</v>
      </c>
      <c r="AR3221" s="1"/>
      <c r="AS3221" s="1"/>
      <c r="AT3221" s="1"/>
      <c r="AU3221" s="1" t="s">
        <v>98</v>
      </c>
      <c r="AV3221" s="1" t="s">
        <v>98</v>
      </c>
      <c r="AW3221" s="1"/>
      <c r="AX3221" s="1"/>
      <c r="AY3221" s="1" t="s">
        <v>51732</v>
      </c>
      <c r="AZ3221" s="1" t="s">
        <v>51733</v>
      </c>
      <c r="BA3221" s="1"/>
      <c r="BB3221" s="1"/>
      <c r="BC3221" s="1" t="s">
        <v>342</v>
      </c>
      <c r="BD3221" s="1" t="s">
        <v>890</v>
      </c>
      <c r="BE3221" s="1">
        <v>58.2</v>
      </c>
      <c r="BF3221" s="1">
        <v>6.57</v>
      </c>
      <c r="BG3221" s="1"/>
      <c r="BH3221" s="1"/>
      <c r="BI3221" s="1"/>
      <c r="BJ3221" s="1"/>
      <c r="BK3221" s="1" t="s">
        <v>98</v>
      </c>
      <c r="BL3221" s="1" t="s">
        <v>98</v>
      </c>
      <c r="BM3221" s="1" t="s">
        <v>98</v>
      </c>
      <c r="BN3221" s="1" t="s">
        <v>98</v>
      </c>
      <c r="BO3221" s="1" t="s">
        <v>1705</v>
      </c>
      <c r="BP3221" s="1"/>
      <c r="BQ3221" s="1"/>
      <c r="BR3221" s="1" t="s">
        <v>51734</v>
      </c>
      <c r="BS3221" s="1">
        <v>16</v>
      </c>
      <c r="BT3221" s="1"/>
      <c r="BU3221" s="1" t="str">
        <f>HYPERLINK("https://nconnect.nicmar.ac.in/storage/profile/2021-2023_AP21002_765438.jpg","Download")</f>
        <v>0</v>
      </c>
      <c r="BV3221" s="3"/>
      <c r="BW3221" s="3"/>
    </row>
    <row r="3222" spans="1:75">
      <c r="A3222" s="1" t="s">
        <v>51340</v>
      </c>
      <c r="B3222" s="1" t="s">
        <v>51341</v>
      </c>
      <c r="C3222" s="1" t="s">
        <v>51735</v>
      </c>
      <c r="D3222" s="1" t="s">
        <v>8790</v>
      </c>
      <c r="E3222" s="1"/>
      <c r="F3222" s="1" t="s">
        <v>51736</v>
      </c>
      <c r="G3222" s="1" t="s">
        <v>51737</v>
      </c>
      <c r="H3222" s="1" t="s">
        <v>51738</v>
      </c>
      <c r="I3222" s="1" t="s">
        <v>51739</v>
      </c>
      <c r="J3222" s="1">
        <v>9972075220</v>
      </c>
      <c r="K3222" s="1" t="s">
        <v>84</v>
      </c>
      <c r="L3222" s="1" t="s">
        <v>51740</v>
      </c>
      <c r="M3222" s="1" t="s">
        <v>86</v>
      </c>
      <c r="N3222" s="1" t="s">
        <v>28102</v>
      </c>
      <c r="O3222" s="1"/>
      <c r="P3222" s="1" t="s">
        <v>507</v>
      </c>
      <c r="Q3222" s="1" t="s">
        <v>51741</v>
      </c>
      <c r="R3222" s="1" t="s">
        <v>51742</v>
      </c>
      <c r="S3222" s="1">
        <v>7387782229</v>
      </c>
      <c r="T3222" s="1" t="s">
        <v>51743</v>
      </c>
      <c r="U3222" s="1" t="s">
        <v>51744</v>
      </c>
      <c r="V3222" s="1">
        <v>9036889169</v>
      </c>
      <c r="W3222" s="1" t="s">
        <v>127</v>
      </c>
      <c r="X3222" s="1" t="s">
        <v>51745</v>
      </c>
      <c r="Y3222" s="1"/>
      <c r="Z3222" s="1" t="s">
        <v>1210</v>
      </c>
      <c r="AA3222" s="1" t="s">
        <v>51746</v>
      </c>
      <c r="AB3222" s="1" t="s">
        <v>51747</v>
      </c>
      <c r="AC3222" s="1" t="s">
        <v>1210</v>
      </c>
      <c r="AD3222" s="1" t="s">
        <v>98</v>
      </c>
      <c r="AE3222" s="1" t="s">
        <v>98</v>
      </c>
      <c r="AF3222" s="1" t="s">
        <v>51748</v>
      </c>
      <c r="AG3222" s="1" t="s">
        <v>36627</v>
      </c>
      <c r="AH3222" s="1" t="s">
        <v>3421</v>
      </c>
      <c r="AI3222" s="1" t="s">
        <v>1262</v>
      </c>
      <c r="AJ3222" s="1">
        <v>83.65</v>
      </c>
      <c r="AK3222" s="1">
        <v>8.7</v>
      </c>
      <c r="AL3222" s="1" t="s">
        <v>51749</v>
      </c>
      <c r="AM3222" s="1" t="s">
        <v>36627</v>
      </c>
      <c r="AN3222" s="1"/>
      <c r="AO3222" s="1" t="s">
        <v>105</v>
      </c>
      <c r="AP3222" s="1" t="s">
        <v>627</v>
      </c>
      <c r="AQ3222" s="1">
        <v>58.2</v>
      </c>
      <c r="AR3222" s="1"/>
      <c r="AS3222" s="1"/>
      <c r="AT3222" s="1"/>
      <c r="AU3222" s="1" t="s">
        <v>98</v>
      </c>
      <c r="AV3222" s="1" t="s">
        <v>98</v>
      </c>
      <c r="AW3222" s="1" t="s">
        <v>98</v>
      </c>
      <c r="AX3222" s="1" t="s">
        <v>98</v>
      </c>
      <c r="AY3222" s="1" t="s">
        <v>1217</v>
      </c>
      <c r="AZ3222" s="1" t="s">
        <v>51750</v>
      </c>
      <c r="BA3222" s="1"/>
      <c r="BB3222" s="1"/>
      <c r="BC3222" s="1" t="s">
        <v>139</v>
      </c>
      <c r="BD3222" s="1" t="s">
        <v>890</v>
      </c>
      <c r="BE3222" s="1">
        <v>52.6</v>
      </c>
      <c r="BF3222" s="1">
        <v>6.01</v>
      </c>
      <c r="BG3222" s="1"/>
      <c r="BH3222" s="1"/>
      <c r="BI3222" s="1"/>
      <c r="BJ3222" s="1"/>
      <c r="BK3222" s="1" t="s">
        <v>98</v>
      </c>
      <c r="BL3222" s="1" t="s">
        <v>98</v>
      </c>
      <c r="BM3222" s="1" t="s">
        <v>98</v>
      </c>
      <c r="BN3222" s="1" t="s">
        <v>98</v>
      </c>
      <c r="BO3222" s="1" t="s">
        <v>1114</v>
      </c>
      <c r="BP3222" s="1"/>
      <c r="BQ3222" s="1"/>
      <c r="BR3222" s="1" t="s">
        <v>51751</v>
      </c>
      <c r="BS3222" s="1">
        <v>14</v>
      </c>
      <c r="BT3222" s="1"/>
      <c r="BU3222" s="1" t="str">
        <f>HYPERLINK("https://nconnect.nicmar.ac.in/storage/profile/2021-2023_AP21003_489157.jpg","Download")</f>
        <v>0</v>
      </c>
      <c r="BV3222" s="3"/>
      <c r="BW3222" s="3"/>
    </row>
    <row r="3223" spans="1:75">
      <c r="A3223" s="1" t="s">
        <v>51340</v>
      </c>
      <c r="B3223" s="1" t="s">
        <v>51341</v>
      </c>
      <c r="C3223" s="1" t="s">
        <v>51752</v>
      </c>
      <c r="D3223" s="1" t="s">
        <v>51753</v>
      </c>
      <c r="E3223" s="1" t="s">
        <v>51753</v>
      </c>
      <c r="F3223" s="1" t="s">
        <v>51754</v>
      </c>
      <c r="G3223" s="1" t="s">
        <v>51755</v>
      </c>
      <c r="H3223" s="1" t="s">
        <v>51756</v>
      </c>
      <c r="I3223" s="1" t="s">
        <v>51757</v>
      </c>
      <c r="J3223" s="1">
        <v>9428520251</v>
      </c>
      <c r="K3223" s="1" t="s">
        <v>153</v>
      </c>
      <c r="L3223" s="1" t="s">
        <v>8849</v>
      </c>
      <c r="M3223" s="1" t="s">
        <v>86</v>
      </c>
      <c r="N3223" s="1" t="s">
        <v>51758</v>
      </c>
      <c r="O3223" s="1"/>
      <c r="P3223" s="1" t="s">
        <v>481</v>
      </c>
      <c r="Q3223" s="1" t="s">
        <v>51759</v>
      </c>
      <c r="R3223" s="1" t="s">
        <v>51760</v>
      </c>
      <c r="S3223" s="1">
        <v>9428520151</v>
      </c>
      <c r="T3223" s="1" t="s">
        <v>3067</v>
      </c>
      <c r="U3223" s="1" t="s">
        <v>51761</v>
      </c>
      <c r="V3223" s="1">
        <v>9428520150</v>
      </c>
      <c r="W3223" s="1" t="s">
        <v>127</v>
      </c>
      <c r="X3223" s="1" t="s">
        <v>51762</v>
      </c>
      <c r="Y3223" s="1" t="s">
        <v>8166</v>
      </c>
      <c r="Z3223" s="1" t="s">
        <v>676</v>
      </c>
      <c r="AA3223" s="1" t="s">
        <v>51762</v>
      </c>
      <c r="AB3223" s="1" t="s">
        <v>2880</v>
      </c>
      <c r="AC3223" s="1" t="s">
        <v>676</v>
      </c>
      <c r="AD3223" s="1" t="s">
        <v>98</v>
      </c>
      <c r="AE3223" s="1" t="s">
        <v>98</v>
      </c>
      <c r="AF3223" s="1" t="s">
        <v>35578</v>
      </c>
      <c r="AG3223" s="1" t="s">
        <v>312</v>
      </c>
      <c r="AH3223" s="1">
        <v>41005</v>
      </c>
      <c r="AI3223" s="1">
        <v>41424</v>
      </c>
      <c r="AJ3223" s="1">
        <v>77.9</v>
      </c>
      <c r="AK3223" s="1">
        <v>8.2</v>
      </c>
      <c r="AL3223" s="1" t="s">
        <v>35578</v>
      </c>
      <c r="AM3223" s="1" t="s">
        <v>312</v>
      </c>
      <c r="AN3223" s="1"/>
      <c r="AO3223" s="1">
        <v>41795</v>
      </c>
      <c r="AP3223" s="1">
        <v>42149</v>
      </c>
      <c r="AQ3223" s="1">
        <v>73</v>
      </c>
      <c r="AR3223" s="1"/>
      <c r="AS3223" s="1"/>
      <c r="AT3223" s="1"/>
      <c r="AU3223" s="1" t="s">
        <v>98</v>
      </c>
      <c r="AV3223" s="1" t="s">
        <v>98</v>
      </c>
      <c r="AW3223" s="1" t="s">
        <v>98</v>
      </c>
      <c r="AX3223" s="1" t="s">
        <v>98</v>
      </c>
      <c r="AY3223" s="1" t="s">
        <v>5241</v>
      </c>
      <c r="AZ3223" s="1" t="s">
        <v>51763</v>
      </c>
      <c r="BA3223" s="1"/>
      <c r="BB3223" s="1"/>
      <c r="BC3223" s="1">
        <v>42219</v>
      </c>
      <c r="BD3223" s="1">
        <v>44399</v>
      </c>
      <c r="BE3223" s="1">
        <v>66.6</v>
      </c>
      <c r="BF3223" s="1">
        <v>7.16</v>
      </c>
      <c r="BG3223" s="1"/>
      <c r="BH3223" s="1"/>
      <c r="BI3223" s="1"/>
      <c r="BJ3223" s="1"/>
      <c r="BK3223" s="1" t="s">
        <v>98</v>
      </c>
      <c r="BL3223" s="1" t="s">
        <v>98</v>
      </c>
      <c r="BM3223" s="1" t="s">
        <v>98</v>
      </c>
      <c r="BN3223" s="1" t="s">
        <v>98</v>
      </c>
      <c r="BO3223" s="1" t="s">
        <v>51764</v>
      </c>
      <c r="BP3223" s="1" t="s">
        <v>51765</v>
      </c>
      <c r="BQ3223" s="1" t="s">
        <v>3949</v>
      </c>
      <c r="BR3223" s="1" t="s">
        <v>51766</v>
      </c>
      <c r="BS3223" s="1">
        <v>7</v>
      </c>
      <c r="BT3223" s="1"/>
      <c r="BU3223" s="1" t="s">
        <v>9653</v>
      </c>
      <c r="BV3223" s="3"/>
      <c r="BW3223" s="3"/>
    </row>
    <row r="3224" spans="1:75">
      <c r="A3224" s="1" t="s">
        <v>51340</v>
      </c>
      <c r="B3224" s="1" t="s">
        <v>51341</v>
      </c>
      <c r="C3224" s="1" t="s">
        <v>51767</v>
      </c>
      <c r="D3224" s="1" t="s">
        <v>422</v>
      </c>
      <c r="E3224" s="1"/>
      <c r="F3224" s="1" t="s">
        <v>6030</v>
      </c>
      <c r="G3224" s="1" t="s">
        <v>51768</v>
      </c>
      <c r="H3224" s="1" t="s">
        <v>51769</v>
      </c>
      <c r="I3224" s="1" t="s">
        <v>51770</v>
      </c>
      <c r="J3224" s="1">
        <v>9822415701</v>
      </c>
      <c r="K3224" s="1" t="s">
        <v>153</v>
      </c>
      <c r="L3224" s="1" t="s">
        <v>51771</v>
      </c>
      <c r="M3224" s="1" t="s">
        <v>86</v>
      </c>
      <c r="N3224" s="1" t="s">
        <v>903</v>
      </c>
      <c r="O3224" s="1"/>
      <c r="P3224" s="1" t="s">
        <v>455</v>
      </c>
      <c r="Q3224" s="1" t="s">
        <v>51772</v>
      </c>
      <c r="R3224" s="1" t="s">
        <v>51773</v>
      </c>
      <c r="S3224" s="1">
        <v>9373243641</v>
      </c>
      <c r="T3224" s="1" t="s">
        <v>539</v>
      </c>
      <c r="U3224" s="1" t="s">
        <v>51774</v>
      </c>
      <c r="V3224" s="1">
        <v>7066839721</v>
      </c>
      <c r="W3224" s="1" t="s">
        <v>94</v>
      </c>
      <c r="X3224" s="1" t="s">
        <v>51775</v>
      </c>
      <c r="Y3224" s="1" t="s">
        <v>309</v>
      </c>
      <c r="Z3224" s="1" t="s">
        <v>97</v>
      </c>
      <c r="AA3224" s="1" t="s">
        <v>51775</v>
      </c>
      <c r="AB3224" s="1" t="s">
        <v>309</v>
      </c>
      <c r="AC3224" s="1" t="s">
        <v>97</v>
      </c>
      <c r="AD3224" s="1" t="s">
        <v>98</v>
      </c>
      <c r="AE3224" s="1" t="s">
        <v>98</v>
      </c>
      <c r="AF3224" s="1" t="s">
        <v>51776</v>
      </c>
      <c r="AG3224" s="1" t="s">
        <v>51712</v>
      </c>
      <c r="AH3224" s="1">
        <v>41795</v>
      </c>
      <c r="AI3224" s="1">
        <v>42163</v>
      </c>
      <c r="AJ3224" s="1">
        <v>93.4</v>
      </c>
      <c r="AK3224" s="1"/>
      <c r="AL3224" s="1" t="s">
        <v>51777</v>
      </c>
      <c r="AM3224" s="1" t="s">
        <v>51712</v>
      </c>
      <c r="AN3224" s="1"/>
      <c r="AO3224" s="1">
        <v>42523</v>
      </c>
      <c r="AP3224" s="1">
        <v>42796</v>
      </c>
      <c r="AQ3224" s="1">
        <v>82.62</v>
      </c>
      <c r="AR3224" s="1"/>
      <c r="AS3224" s="1"/>
      <c r="AT3224" s="1"/>
      <c r="AU3224" s="1" t="s">
        <v>98</v>
      </c>
      <c r="AV3224" s="1" t="s">
        <v>98</v>
      </c>
      <c r="AW3224" s="1" t="s">
        <v>98</v>
      </c>
      <c r="AX3224" s="1" t="s">
        <v>98</v>
      </c>
      <c r="AY3224" s="1" t="s">
        <v>51778</v>
      </c>
      <c r="AZ3224" s="1" t="s">
        <v>51778</v>
      </c>
      <c r="BA3224" s="1"/>
      <c r="BB3224" s="1"/>
      <c r="BC3224" s="1">
        <v>42918</v>
      </c>
      <c r="BD3224" s="1">
        <v>44382</v>
      </c>
      <c r="BE3224" s="1">
        <v>87.6</v>
      </c>
      <c r="BF3224" s="1">
        <v>9.51</v>
      </c>
      <c r="BG3224" s="1"/>
      <c r="BH3224" s="1"/>
      <c r="BI3224" s="1"/>
      <c r="BJ3224" s="1"/>
      <c r="BK3224" s="1" t="s">
        <v>98</v>
      </c>
      <c r="BL3224" s="1" t="s">
        <v>98</v>
      </c>
      <c r="BM3224" s="1" t="s">
        <v>98</v>
      </c>
      <c r="BN3224" s="1" t="s">
        <v>98</v>
      </c>
      <c r="BO3224" s="1" t="s">
        <v>849</v>
      </c>
      <c r="BP3224" s="1"/>
      <c r="BQ3224" s="1"/>
      <c r="BR3224" s="1" t="s">
        <v>51779</v>
      </c>
      <c r="BS3224" s="1">
        <v>21</v>
      </c>
      <c r="BT3224" s="1"/>
      <c r="BU3224" s="1" t="str">
        <f>HYPERLINK("https://nconnect.nicmar.ac.in/storage/profile/2021-2023_AP21005_167328.jpg","Download")</f>
        <v>0</v>
      </c>
      <c r="BV3224" s="3"/>
      <c r="BW3224" s="3"/>
    </row>
    <row r="3225" spans="1:75">
      <c r="A3225" s="1" t="s">
        <v>51340</v>
      </c>
      <c r="B3225" s="1" t="s">
        <v>51341</v>
      </c>
      <c r="C3225" s="1" t="s">
        <v>51780</v>
      </c>
      <c r="D3225" s="1" t="s">
        <v>2829</v>
      </c>
      <c r="E3225" s="1" t="s">
        <v>7461</v>
      </c>
      <c r="F3225" s="1" t="s">
        <v>7462</v>
      </c>
      <c r="G3225" s="1" t="s">
        <v>51781</v>
      </c>
      <c r="H3225" s="1" t="s">
        <v>51782</v>
      </c>
      <c r="I3225" s="1" t="s">
        <v>51783</v>
      </c>
      <c r="J3225" s="1">
        <v>9763774463</v>
      </c>
      <c r="K3225" s="1" t="s">
        <v>84</v>
      </c>
      <c r="L3225" s="1" t="s">
        <v>34161</v>
      </c>
      <c r="M3225" s="1" t="s">
        <v>86</v>
      </c>
      <c r="N3225" s="1" t="s">
        <v>41494</v>
      </c>
      <c r="O3225" s="1"/>
      <c r="P3225" s="1" t="s">
        <v>481</v>
      </c>
      <c r="Q3225" s="1" t="s">
        <v>51784</v>
      </c>
      <c r="R3225" s="1" t="s">
        <v>51785</v>
      </c>
      <c r="S3225" s="1">
        <v>9422147409</v>
      </c>
      <c r="T3225" s="1" t="s">
        <v>839</v>
      </c>
      <c r="U3225" s="1" t="s">
        <v>51786</v>
      </c>
      <c r="V3225" s="1">
        <v>7030638158</v>
      </c>
      <c r="W3225" s="1" t="s">
        <v>2547</v>
      </c>
      <c r="X3225" s="1" t="s">
        <v>51787</v>
      </c>
      <c r="Y3225" s="1" t="s">
        <v>410</v>
      </c>
      <c r="Z3225" s="1" t="s">
        <v>97</v>
      </c>
      <c r="AA3225" s="1" t="s">
        <v>51787</v>
      </c>
      <c r="AB3225" s="1" t="s">
        <v>410</v>
      </c>
      <c r="AC3225" s="1" t="s">
        <v>97</v>
      </c>
      <c r="AD3225" s="1" t="s">
        <v>98</v>
      </c>
      <c r="AE3225" s="1" t="s">
        <v>98</v>
      </c>
      <c r="AF3225" s="1" t="s">
        <v>51788</v>
      </c>
      <c r="AG3225" s="1" t="s">
        <v>312</v>
      </c>
      <c r="AH3225" s="1" t="s">
        <v>101</v>
      </c>
      <c r="AI3225" s="1" t="s">
        <v>102</v>
      </c>
      <c r="AJ3225" s="1">
        <v>81.7</v>
      </c>
      <c r="AK3225" s="1">
        <v>8.6</v>
      </c>
      <c r="AL3225" s="1" t="s">
        <v>51789</v>
      </c>
      <c r="AM3225" s="1" t="s">
        <v>312</v>
      </c>
      <c r="AN3225" s="1"/>
      <c r="AO3225" s="1" t="s">
        <v>167</v>
      </c>
      <c r="AP3225" s="1" t="s">
        <v>518</v>
      </c>
      <c r="AQ3225" s="1">
        <v>79.69</v>
      </c>
      <c r="AR3225" s="1"/>
      <c r="AS3225" s="1"/>
      <c r="AT3225" s="1"/>
      <c r="AU3225" s="1" t="s">
        <v>98</v>
      </c>
      <c r="AV3225" s="1" t="s">
        <v>98</v>
      </c>
      <c r="AW3225" s="1" t="s">
        <v>98</v>
      </c>
      <c r="AX3225" s="1" t="s">
        <v>98</v>
      </c>
      <c r="AY3225" s="1" t="s">
        <v>415</v>
      </c>
      <c r="AZ3225" s="1" t="s">
        <v>51790</v>
      </c>
      <c r="BA3225" s="1"/>
      <c r="BB3225" s="1"/>
      <c r="BC3225" s="1" t="s">
        <v>388</v>
      </c>
      <c r="BD3225" s="1" t="s">
        <v>549</v>
      </c>
      <c r="BE3225" s="1">
        <v>76.1</v>
      </c>
      <c r="BF3225" s="1">
        <v>8.36</v>
      </c>
      <c r="BG3225" s="1"/>
      <c r="BH3225" s="1"/>
      <c r="BI3225" s="1"/>
      <c r="BJ3225" s="1"/>
      <c r="BK3225" s="1" t="s">
        <v>98</v>
      </c>
      <c r="BL3225" s="1" t="s">
        <v>98</v>
      </c>
      <c r="BM3225" s="1" t="s">
        <v>98</v>
      </c>
      <c r="BN3225" s="1" t="s">
        <v>98</v>
      </c>
      <c r="BO3225" s="1" t="s">
        <v>51791</v>
      </c>
      <c r="BP3225" s="1"/>
      <c r="BQ3225" s="1"/>
      <c r="BR3225" s="1" t="s">
        <v>51792</v>
      </c>
      <c r="BS3225" s="1">
        <v>24</v>
      </c>
      <c r="BT3225" s="1"/>
      <c r="BU3225" s="1" t="str">
        <f>HYPERLINK("https://nconnect.nicmar.ac.in/storage/profile/2021-2023_AP21006_361285.jpg","Download")</f>
        <v>0</v>
      </c>
      <c r="BV3225" s="3"/>
      <c r="BW3225" s="3"/>
    </row>
    <row r="3226" spans="1:75">
      <c r="A3226" s="1" t="s">
        <v>51340</v>
      </c>
      <c r="B3226" s="1" t="s">
        <v>51341</v>
      </c>
      <c r="C3226" s="1" t="s">
        <v>51793</v>
      </c>
      <c r="D3226" s="1" t="s">
        <v>1294</v>
      </c>
      <c r="E3226" s="1"/>
      <c r="F3226" s="1" t="s">
        <v>1320</v>
      </c>
      <c r="G3226" s="1" t="s">
        <v>39941</v>
      </c>
      <c r="H3226" s="1" t="s">
        <v>51794</v>
      </c>
      <c r="I3226" s="1" t="s">
        <v>51795</v>
      </c>
      <c r="J3226" s="1">
        <v>7417103653</v>
      </c>
      <c r="K3226" s="1" t="s">
        <v>84</v>
      </c>
      <c r="L3226" s="1" t="s">
        <v>51796</v>
      </c>
      <c r="M3226" s="1" t="s">
        <v>86</v>
      </c>
      <c r="N3226" s="1" t="s">
        <v>246</v>
      </c>
      <c r="O3226" s="1"/>
      <c r="P3226" s="1" t="s">
        <v>507</v>
      </c>
      <c r="Q3226" s="1" t="s">
        <v>51797</v>
      </c>
      <c r="R3226" s="1" t="s">
        <v>538</v>
      </c>
      <c r="S3226" s="1">
        <v>9473092022</v>
      </c>
      <c r="T3226" s="1" t="s">
        <v>51798</v>
      </c>
      <c r="U3226" s="1" t="s">
        <v>51799</v>
      </c>
      <c r="V3226" s="1">
        <v>8539930027</v>
      </c>
      <c r="W3226" s="1" t="s">
        <v>94</v>
      </c>
      <c r="X3226" s="1" t="s">
        <v>51800</v>
      </c>
      <c r="Y3226" s="1" t="s">
        <v>51801</v>
      </c>
      <c r="Z3226" s="1" t="s">
        <v>649</v>
      </c>
      <c r="AA3226" s="1" t="s">
        <v>51800</v>
      </c>
      <c r="AB3226" s="1" t="s">
        <v>51801</v>
      </c>
      <c r="AC3226" s="1" t="s">
        <v>649</v>
      </c>
      <c r="AD3226" s="1" t="s">
        <v>98</v>
      </c>
      <c r="AE3226" s="1" t="s">
        <v>98</v>
      </c>
      <c r="AF3226" s="1" t="s">
        <v>24232</v>
      </c>
      <c r="AG3226" s="1" t="s">
        <v>312</v>
      </c>
      <c r="AH3226" s="1" t="s">
        <v>10231</v>
      </c>
      <c r="AI3226" s="1" t="s">
        <v>2203</v>
      </c>
      <c r="AJ3226" s="1">
        <v>74.6</v>
      </c>
      <c r="AK3226" s="1"/>
      <c r="AL3226" s="1" t="s">
        <v>51802</v>
      </c>
      <c r="AM3226" s="1" t="s">
        <v>51803</v>
      </c>
      <c r="AN3226" s="1"/>
      <c r="AO3226" s="1" t="s">
        <v>3923</v>
      </c>
      <c r="AP3226" s="1" t="s">
        <v>133</v>
      </c>
      <c r="AQ3226" s="1">
        <v>65.4</v>
      </c>
      <c r="AR3226" s="1"/>
      <c r="AS3226" s="1"/>
      <c r="AT3226" s="1"/>
      <c r="AU3226" s="1" t="s">
        <v>98</v>
      </c>
      <c r="AV3226" s="1" t="s">
        <v>98</v>
      </c>
      <c r="AW3226" s="1" t="s">
        <v>98</v>
      </c>
      <c r="AX3226" s="1" t="s">
        <v>98</v>
      </c>
      <c r="AY3226" s="1" t="s">
        <v>51804</v>
      </c>
      <c r="AZ3226" s="1" t="s">
        <v>51804</v>
      </c>
      <c r="BA3226" s="1"/>
      <c r="BB3226" s="1"/>
      <c r="BC3226" s="1" t="s">
        <v>25321</v>
      </c>
      <c r="BD3226" s="1" t="s">
        <v>167</v>
      </c>
      <c r="BE3226" s="1">
        <v>78.9</v>
      </c>
      <c r="BF3226" s="1">
        <v>7.89</v>
      </c>
      <c r="BG3226" s="1"/>
      <c r="BH3226" s="1" t="s">
        <v>1062</v>
      </c>
      <c r="BI3226" s="1"/>
      <c r="BJ3226" s="1"/>
      <c r="BK3226" s="1" t="s">
        <v>552</v>
      </c>
      <c r="BL3226" s="1" t="s">
        <v>955</v>
      </c>
      <c r="BM3226" s="1">
        <v>87.4</v>
      </c>
      <c r="BN3226" s="1">
        <v>8.74</v>
      </c>
      <c r="BO3226" s="1" t="s">
        <v>51805</v>
      </c>
      <c r="BP3226" s="1" t="s">
        <v>51806</v>
      </c>
      <c r="BQ3226" s="1" t="s">
        <v>51807</v>
      </c>
      <c r="BR3226" s="1" t="s">
        <v>51808</v>
      </c>
      <c r="BS3226" s="1">
        <v>62</v>
      </c>
      <c r="BT3226" s="1"/>
      <c r="BU3226" s="1" t="str">
        <f>HYPERLINK("https://nconnect.nicmar.ac.in/storage/profile/2021-2023_AP21007_178423.jpg","Download")</f>
        <v>0</v>
      </c>
      <c r="BV3226" s="3"/>
      <c r="BW3226" s="3"/>
    </row>
    <row r="3227" spans="1:75">
      <c r="A3227" s="1" t="s">
        <v>51340</v>
      </c>
      <c r="B3227" s="1" t="s">
        <v>51341</v>
      </c>
      <c r="C3227" s="1" t="s">
        <v>51809</v>
      </c>
      <c r="D3227" s="1" t="s">
        <v>26161</v>
      </c>
      <c r="E3227" s="1" t="s">
        <v>10044</v>
      </c>
      <c r="F3227" s="1" t="s">
        <v>51810</v>
      </c>
      <c r="G3227" s="1" t="s">
        <v>51811</v>
      </c>
      <c r="H3227" s="1" t="s">
        <v>51812</v>
      </c>
      <c r="I3227" s="1" t="s">
        <v>51813</v>
      </c>
      <c r="J3227" s="1">
        <v>8600255047</v>
      </c>
      <c r="K3227" s="1" t="s">
        <v>84</v>
      </c>
      <c r="L3227" s="1" t="s">
        <v>51814</v>
      </c>
      <c r="M3227" s="1" t="s">
        <v>86</v>
      </c>
      <c r="N3227" s="1" t="s">
        <v>1163</v>
      </c>
      <c r="O3227" s="1"/>
      <c r="P3227" s="1" t="s">
        <v>455</v>
      </c>
      <c r="Q3227" s="1" t="s">
        <v>51815</v>
      </c>
      <c r="R3227" s="1" t="s">
        <v>51816</v>
      </c>
      <c r="S3227" s="1">
        <v>9422106349</v>
      </c>
      <c r="T3227" s="1" t="s">
        <v>839</v>
      </c>
      <c r="U3227" s="1" t="s">
        <v>51817</v>
      </c>
      <c r="V3227" s="1">
        <v>9860051702</v>
      </c>
      <c r="W3227" s="1" t="s">
        <v>94</v>
      </c>
      <c r="X3227" s="1" t="s">
        <v>51818</v>
      </c>
      <c r="Y3227" s="1" t="s">
        <v>410</v>
      </c>
      <c r="Z3227" s="1" t="s">
        <v>97</v>
      </c>
      <c r="AA3227" s="1" t="s">
        <v>51818</v>
      </c>
      <c r="AB3227" s="1" t="s">
        <v>410</v>
      </c>
      <c r="AC3227" s="1" t="s">
        <v>97</v>
      </c>
      <c r="AD3227" s="1" t="s">
        <v>98</v>
      </c>
      <c r="AE3227" s="1" t="s">
        <v>98</v>
      </c>
      <c r="AF3227" s="1" t="s">
        <v>51819</v>
      </c>
      <c r="AG3227" s="1" t="s">
        <v>312</v>
      </c>
      <c r="AH3227" s="1">
        <v>41070</v>
      </c>
      <c r="AI3227" s="1">
        <v>41420</v>
      </c>
      <c r="AJ3227" s="1">
        <v>76</v>
      </c>
      <c r="AK3227" s="1">
        <v>8</v>
      </c>
      <c r="AL3227" s="1" t="s">
        <v>51820</v>
      </c>
      <c r="AM3227" s="1" t="s">
        <v>1968</v>
      </c>
      <c r="AN3227" s="1"/>
      <c r="AO3227" s="1">
        <v>41836</v>
      </c>
      <c r="AP3227" s="1">
        <v>42094</v>
      </c>
      <c r="AQ3227" s="1">
        <v>61.23</v>
      </c>
      <c r="AR3227" s="1" t="s">
        <v>98</v>
      </c>
      <c r="AS3227" s="1" t="s">
        <v>98</v>
      </c>
      <c r="AT3227" s="1" t="s">
        <v>98</v>
      </c>
      <c r="AU3227" s="1" t="s">
        <v>98</v>
      </c>
      <c r="AV3227" s="1" t="s">
        <v>98</v>
      </c>
      <c r="AW3227" s="1" t="s">
        <v>98</v>
      </c>
      <c r="AX3227" s="1" t="s">
        <v>98</v>
      </c>
      <c r="AY3227" s="1" t="s">
        <v>415</v>
      </c>
      <c r="AZ3227" s="1" t="s">
        <v>51821</v>
      </c>
      <c r="BA3227" s="1"/>
      <c r="BB3227" s="1"/>
      <c r="BC3227" s="1">
        <v>42215</v>
      </c>
      <c r="BD3227" s="1">
        <v>44147</v>
      </c>
      <c r="BE3227" s="1">
        <v>84.5</v>
      </c>
      <c r="BF3227" s="1">
        <v>8.45</v>
      </c>
      <c r="BG3227" s="1" t="s">
        <v>98</v>
      </c>
      <c r="BH3227" s="1"/>
      <c r="BI3227" s="1"/>
      <c r="BJ3227" s="1"/>
      <c r="BK3227" s="1" t="s">
        <v>98</v>
      </c>
      <c r="BL3227" s="1" t="s">
        <v>98</v>
      </c>
      <c r="BM3227" s="1" t="s">
        <v>98</v>
      </c>
      <c r="BN3227" s="1" t="s">
        <v>98</v>
      </c>
      <c r="BO3227" s="1"/>
      <c r="BP3227" s="1"/>
      <c r="BQ3227" s="1"/>
      <c r="BR3227" s="1" t="s">
        <v>51822</v>
      </c>
      <c r="BS3227" s="1">
        <v>17</v>
      </c>
      <c r="BT3227" s="1"/>
      <c r="BU3227" s="1" t="str">
        <f>HYPERLINK("https://nconnect.nicmar.ac.in/storage/profile/2021-2023_AP21008_879624.jpg","Download")</f>
        <v>0</v>
      </c>
      <c r="BV3227" s="3"/>
      <c r="BW3227" s="3"/>
    </row>
    <row r="3228" spans="1:75">
      <c r="A3228" s="1" t="s">
        <v>51340</v>
      </c>
      <c r="B3228" s="1" t="s">
        <v>51341</v>
      </c>
      <c r="C3228" s="1" t="s">
        <v>51823</v>
      </c>
      <c r="D3228" s="1" t="s">
        <v>51824</v>
      </c>
      <c r="E3228" s="1" t="s">
        <v>33293</v>
      </c>
      <c r="F3228" s="1" t="s">
        <v>1020</v>
      </c>
      <c r="G3228" s="1" t="s">
        <v>51825</v>
      </c>
      <c r="H3228" s="1" t="s">
        <v>51826</v>
      </c>
      <c r="I3228" s="1" t="s">
        <v>51827</v>
      </c>
      <c r="J3228" s="1">
        <v>8008979775</v>
      </c>
      <c r="K3228" s="1" t="s">
        <v>84</v>
      </c>
      <c r="L3228" s="1" t="s">
        <v>51828</v>
      </c>
      <c r="M3228" s="1" t="s">
        <v>86</v>
      </c>
      <c r="N3228" s="1" t="s">
        <v>51829</v>
      </c>
      <c r="O3228" s="1"/>
      <c r="P3228" s="1" t="s">
        <v>455</v>
      </c>
      <c r="Q3228" s="1" t="s">
        <v>51830</v>
      </c>
      <c r="R3228" s="1" t="s">
        <v>51831</v>
      </c>
      <c r="S3228" s="1">
        <v>8121317761</v>
      </c>
      <c r="T3228" s="1" t="s">
        <v>839</v>
      </c>
      <c r="U3228" s="1" t="s">
        <v>51832</v>
      </c>
      <c r="V3228" s="1">
        <v>9490429500</v>
      </c>
      <c r="W3228" s="1" t="s">
        <v>94</v>
      </c>
      <c r="X3228" s="1" t="s">
        <v>51833</v>
      </c>
      <c r="Y3228" s="1" t="s">
        <v>51834</v>
      </c>
      <c r="Z3228" s="1" t="s">
        <v>281</v>
      </c>
      <c r="AA3228" s="1" t="s">
        <v>51835</v>
      </c>
      <c r="AB3228" s="1" t="s">
        <v>51834</v>
      </c>
      <c r="AC3228" s="1" t="s">
        <v>281</v>
      </c>
      <c r="AD3228" s="1" t="s">
        <v>98</v>
      </c>
      <c r="AE3228" s="1" t="s">
        <v>98</v>
      </c>
      <c r="AF3228" s="1" t="s">
        <v>51836</v>
      </c>
      <c r="AG3228" s="1" t="s">
        <v>51837</v>
      </c>
      <c r="AH3228" s="1" t="s">
        <v>51838</v>
      </c>
      <c r="AI3228" s="1" t="s">
        <v>51839</v>
      </c>
      <c r="AJ3228" s="1">
        <v>87.4</v>
      </c>
      <c r="AK3228" s="1">
        <v>9.2</v>
      </c>
      <c r="AL3228" s="1" t="s">
        <v>1843</v>
      </c>
      <c r="AM3228" s="1" t="s">
        <v>51840</v>
      </c>
      <c r="AN3228" s="1"/>
      <c r="AO3228" s="1" t="s">
        <v>51841</v>
      </c>
      <c r="AP3228" s="1" t="s">
        <v>51842</v>
      </c>
      <c r="AQ3228" s="1">
        <v>92.1</v>
      </c>
      <c r="AR3228" s="1"/>
      <c r="AS3228" s="1"/>
      <c r="AT3228" s="1"/>
      <c r="AU3228" s="1" t="s">
        <v>98</v>
      </c>
      <c r="AV3228" s="1" t="s">
        <v>98</v>
      </c>
      <c r="AW3228" s="1" t="s">
        <v>98</v>
      </c>
      <c r="AX3228" s="1" t="s">
        <v>98</v>
      </c>
      <c r="AY3228" s="1" t="s">
        <v>576</v>
      </c>
      <c r="AZ3228" s="1" t="s">
        <v>51843</v>
      </c>
      <c r="BA3228" s="1"/>
      <c r="BB3228" s="1"/>
      <c r="BC3228" s="1" t="s">
        <v>51844</v>
      </c>
      <c r="BD3228" s="1" t="s">
        <v>51845</v>
      </c>
      <c r="BE3228" s="1">
        <v>85.1</v>
      </c>
      <c r="BF3228" s="1">
        <v>8.51</v>
      </c>
      <c r="BG3228" s="1"/>
      <c r="BH3228" s="1"/>
      <c r="BI3228" s="1"/>
      <c r="BJ3228" s="1"/>
      <c r="BK3228" s="1" t="s">
        <v>98</v>
      </c>
      <c r="BL3228" s="1" t="s">
        <v>98</v>
      </c>
      <c r="BM3228" s="1" t="s">
        <v>98</v>
      </c>
      <c r="BN3228" s="1" t="s">
        <v>98</v>
      </c>
      <c r="BO3228" s="1" t="s">
        <v>51846</v>
      </c>
      <c r="BP3228" s="1"/>
      <c r="BQ3228" s="1"/>
      <c r="BR3228" s="1" t="s">
        <v>51847</v>
      </c>
      <c r="BS3228" s="1">
        <v>12</v>
      </c>
      <c r="BT3228" s="1"/>
      <c r="BU3228" s="1" t="str">
        <f>HYPERLINK("https://nconnect.nicmar.ac.in/storage/profile/2021-2023_AP21009_963415.jpg","Download")</f>
        <v>0</v>
      </c>
      <c r="BV3228" s="3"/>
      <c r="BW3228" s="3"/>
    </row>
    <row r="3229" spans="1:75">
      <c r="A3229" s="1" t="s">
        <v>51340</v>
      </c>
      <c r="B3229" s="1" t="s">
        <v>51341</v>
      </c>
      <c r="C3229" s="1" t="s">
        <v>51848</v>
      </c>
      <c r="D3229" s="1" t="s">
        <v>12898</v>
      </c>
      <c r="E3229" s="1"/>
      <c r="F3229" s="1" t="s">
        <v>3639</v>
      </c>
      <c r="G3229" s="1" t="s">
        <v>51849</v>
      </c>
      <c r="H3229" s="1" t="s">
        <v>51850</v>
      </c>
      <c r="I3229" s="1" t="s">
        <v>51851</v>
      </c>
      <c r="J3229" s="1">
        <v>9666660352</v>
      </c>
      <c r="K3229" s="1" t="s">
        <v>84</v>
      </c>
      <c r="L3229" s="1" t="s">
        <v>33099</v>
      </c>
      <c r="M3229" s="1" t="s">
        <v>86</v>
      </c>
      <c r="N3229" s="1" t="s">
        <v>3083</v>
      </c>
      <c r="O3229" s="1"/>
      <c r="P3229" s="1" t="s">
        <v>455</v>
      </c>
      <c r="Q3229" s="1" t="s">
        <v>51852</v>
      </c>
      <c r="R3229" s="1" t="s">
        <v>51853</v>
      </c>
      <c r="S3229" s="1">
        <v>9666660452</v>
      </c>
      <c r="T3229" s="1" t="s">
        <v>159</v>
      </c>
      <c r="U3229" s="1" t="s">
        <v>51854</v>
      </c>
      <c r="V3229" s="1">
        <v>9666660825</v>
      </c>
      <c r="W3229" s="1" t="s">
        <v>51855</v>
      </c>
      <c r="X3229" s="1" t="s">
        <v>51856</v>
      </c>
      <c r="Y3229" s="1" t="s">
        <v>51857</v>
      </c>
      <c r="Z3229" s="1" t="s">
        <v>461</v>
      </c>
      <c r="AA3229" s="1" t="s">
        <v>51856</v>
      </c>
      <c r="AB3229" s="1" t="s">
        <v>51857</v>
      </c>
      <c r="AC3229" s="1" t="s">
        <v>461</v>
      </c>
      <c r="AD3229" s="1" t="s">
        <v>98</v>
      </c>
      <c r="AE3229" s="1" t="s">
        <v>98</v>
      </c>
      <c r="AF3229" s="1" t="s">
        <v>31690</v>
      </c>
      <c r="AG3229" s="1" t="s">
        <v>32067</v>
      </c>
      <c r="AH3229" s="1">
        <v>41435</v>
      </c>
      <c r="AI3229" s="1">
        <v>41774</v>
      </c>
      <c r="AJ3229" s="1">
        <v>88.35</v>
      </c>
      <c r="AK3229" s="1">
        <v>9.3</v>
      </c>
      <c r="AL3229" s="1" t="s">
        <v>1603</v>
      </c>
      <c r="AM3229" s="1" t="s">
        <v>32067</v>
      </c>
      <c r="AN3229" s="1"/>
      <c r="AO3229" s="1">
        <v>41794</v>
      </c>
      <c r="AP3229" s="1">
        <v>42482</v>
      </c>
      <c r="AQ3229" s="1">
        <v>94.2</v>
      </c>
      <c r="AR3229" s="1"/>
      <c r="AS3229" s="1"/>
      <c r="AT3229" s="1"/>
      <c r="AU3229" s="1" t="s">
        <v>98</v>
      </c>
      <c r="AV3229" s="1" t="s">
        <v>98</v>
      </c>
      <c r="AW3229" s="1" t="s">
        <v>98</v>
      </c>
      <c r="AX3229" s="1" t="s">
        <v>98</v>
      </c>
      <c r="AY3229" s="1" t="s">
        <v>51858</v>
      </c>
      <c r="AZ3229" s="1" t="s">
        <v>51859</v>
      </c>
      <c r="BA3229" s="1"/>
      <c r="BB3229" s="1"/>
      <c r="BC3229" s="1">
        <v>42587</v>
      </c>
      <c r="BD3229" s="1">
        <v>44173</v>
      </c>
      <c r="BE3229" s="1">
        <v>59.2</v>
      </c>
      <c r="BF3229" s="1">
        <v>6.42</v>
      </c>
      <c r="BG3229" s="1"/>
      <c r="BH3229" s="1"/>
      <c r="BI3229" s="1"/>
      <c r="BJ3229" s="1"/>
      <c r="BK3229" s="1" t="s">
        <v>98</v>
      </c>
      <c r="BL3229" s="1" t="s">
        <v>98</v>
      </c>
      <c r="BM3229" s="1" t="s">
        <v>98</v>
      </c>
      <c r="BN3229" s="1" t="s">
        <v>98</v>
      </c>
      <c r="BO3229" s="1" t="s">
        <v>369</v>
      </c>
      <c r="BP3229" s="1"/>
      <c r="BQ3229" s="1"/>
      <c r="BR3229" s="1" t="s">
        <v>51860</v>
      </c>
      <c r="BS3229" s="1">
        <v>35</v>
      </c>
      <c r="BT3229" s="1"/>
      <c r="BU3229" s="1" t="str">
        <f>HYPERLINK("https://nconnect.nicmar.ac.in/storage/profile/2021-2023_AP21010_629173.jpg","Download")</f>
        <v>0</v>
      </c>
      <c r="BV3229" s="3"/>
      <c r="BW3229" s="3"/>
    </row>
    <row r="3230" spans="1:75">
      <c r="A3230" s="1" t="s">
        <v>51340</v>
      </c>
      <c r="B3230" s="1" t="s">
        <v>51341</v>
      </c>
      <c r="C3230" s="1" t="s">
        <v>51861</v>
      </c>
      <c r="D3230" s="1" t="s">
        <v>1179</v>
      </c>
      <c r="E3230" s="1" t="s">
        <v>1893</v>
      </c>
      <c r="F3230" s="1" t="s">
        <v>51862</v>
      </c>
      <c r="G3230" s="1" t="s">
        <v>51863</v>
      </c>
      <c r="H3230" s="1" t="s">
        <v>51864</v>
      </c>
      <c r="I3230" s="1" t="s">
        <v>51865</v>
      </c>
      <c r="J3230" s="1">
        <v>7337640111</v>
      </c>
      <c r="K3230" s="1" t="s">
        <v>84</v>
      </c>
      <c r="L3230" s="1" t="s">
        <v>35049</v>
      </c>
      <c r="M3230" s="1" t="s">
        <v>86</v>
      </c>
      <c r="N3230" s="1" t="s">
        <v>43717</v>
      </c>
      <c r="O3230" s="1"/>
      <c r="P3230" s="1" t="s">
        <v>481</v>
      </c>
      <c r="Q3230" s="1" t="s">
        <v>51866</v>
      </c>
      <c r="R3230" s="1" t="s">
        <v>51867</v>
      </c>
      <c r="S3230" s="1">
        <v>9845110155</v>
      </c>
      <c r="T3230" s="1" t="s">
        <v>51868</v>
      </c>
      <c r="U3230" s="1" t="s">
        <v>51869</v>
      </c>
      <c r="V3230" s="1">
        <v>9901353150</v>
      </c>
      <c r="W3230" s="1" t="s">
        <v>278</v>
      </c>
      <c r="X3230" s="1" t="s">
        <v>51870</v>
      </c>
      <c r="Y3230" s="1" t="s">
        <v>51871</v>
      </c>
      <c r="Z3230" s="1" t="s">
        <v>1210</v>
      </c>
      <c r="AA3230" s="1" t="s">
        <v>51872</v>
      </c>
      <c r="AB3230" s="1" t="s">
        <v>196</v>
      </c>
      <c r="AC3230" s="1" t="s">
        <v>97</v>
      </c>
      <c r="AD3230" s="1" t="s">
        <v>98</v>
      </c>
      <c r="AE3230" s="1" t="s">
        <v>98</v>
      </c>
      <c r="AF3230" s="1" t="s">
        <v>51873</v>
      </c>
      <c r="AG3230" s="1" t="s">
        <v>312</v>
      </c>
      <c r="AH3230" s="1">
        <v>41365</v>
      </c>
      <c r="AI3230" s="1">
        <v>41729</v>
      </c>
      <c r="AJ3230" s="1">
        <v>77.9</v>
      </c>
      <c r="AK3230" s="1">
        <v>8.2</v>
      </c>
      <c r="AL3230" s="1" t="s">
        <v>51874</v>
      </c>
      <c r="AM3230" s="1" t="s">
        <v>51875</v>
      </c>
      <c r="AN3230" s="1"/>
      <c r="AO3230" s="1">
        <v>41760</v>
      </c>
      <c r="AP3230" s="1">
        <v>42488</v>
      </c>
      <c r="AQ3230" s="1">
        <v>85.16</v>
      </c>
      <c r="AR3230" s="1"/>
      <c r="AS3230" s="1"/>
      <c r="AT3230" s="1"/>
      <c r="AU3230" s="1" t="s">
        <v>98</v>
      </c>
      <c r="AV3230" s="1" t="s">
        <v>98</v>
      </c>
      <c r="AW3230" s="1" t="s">
        <v>98</v>
      </c>
      <c r="AX3230" s="1" t="s">
        <v>98</v>
      </c>
      <c r="AY3230" s="1" t="s">
        <v>1627</v>
      </c>
      <c r="AZ3230" s="1" t="s">
        <v>1627</v>
      </c>
      <c r="BA3230" s="1"/>
      <c r="BB3230" s="1"/>
      <c r="BC3230" s="1">
        <v>42590</v>
      </c>
      <c r="BD3230" s="1">
        <v>43983</v>
      </c>
      <c r="BE3230" s="1">
        <v>74.57</v>
      </c>
      <c r="BF3230" s="1">
        <v>7.85</v>
      </c>
      <c r="BG3230" s="1"/>
      <c r="BH3230" s="1"/>
      <c r="BI3230" s="1"/>
      <c r="BJ3230" s="1"/>
      <c r="BK3230" s="1" t="s">
        <v>98</v>
      </c>
      <c r="BL3230" s="1" t="s">
        <v>98</v>
      </c>
      <c r="BM3230" s="1" t="s">
        <v>98</v>
      </c>
      <c r="BN3230" s="1" t="s">
        <v>98</v>
      </c>
      <c r="BO3230" s="1" t="s">
        <v>1114</v>
      </c>
      <c r="BP3230" s="1"/>
      <c r="BQ3230" s="1"/>
      <c r="BR3230" s="1" t="s">
        <v>51876</v>
      </c>
      <c r="BS3230" s="1">
        <v>19</v>
      </c>
      <c r="BT3230" s="1"/>
      <c r="BU3230" s="1" t="str">
        <f>HYPERLINK("https://nconnect.nicmar.ac.in/storage/profile/2021-2023_AP21011_251649.jpeg","Download")</f>
        <v>0</v>
      </c>
      <c r="BV3230" s="3"/>
      <c r="BW3230" s="3"/>
    </row>
    <row r="3231" spans="1:75">
      <c r="A3231" s="1" t="s">
        <v>51340</v>
      </c>
      <c r="B3231" s="1" t="s">
        <v>51341</v>
      </c>
      <c r="C3231" s="1" t="s">
        <v>51877</v>
      </c>
      <c r="D3231" s="1" t="s">
        <v>51878</v>
      </c>
      <c r="E3231" s="1" t="s">
        <v>5482</v>
      </c>
      <c r="F3231" s="1" t="s">
        <v>2233</v>
      </c>
      <c r="G3231" s="1" t="s">
        <v>51879</v>
      </c>
      <c r="H3231" s="1" t="s">
        <v>51880</v>
      </c>
      <c r="I3231" s="1" t="s">
        <v>51881</v>
      </c>
      <c r="J3231" s="1">
        <v>9892234873</v>
      </c>
      <c r="K3231" s="1" t="s">
        <v>84</v>
      </c>
      <c r="L3231" s="1" t="s">
        <v>13606</v>
      </c>
      <c r="M3231" s="1" t="s">
        <v>86</v>
      </c>
      <c r="N3231" s="1" t="s">
        <v>5235</v>
      </c>
      <c r="O3231" s="1"/>
      <c r="P3231" s="1" t="s">
        <v>455</v>
      </c>
      <c r="Q3231" s="1" t="s">
        <v>51882</v>
      </c>
      <c r="R3231" s="1" t="s">
        <v>51883</v>
      </c>
      <c r="S3231" s="1">
        <v>9892924827</v>
      </c>
      <c r="T3231" s="1" t="s">
        <v>645</v>
      </c>
      <c r="U3231" s="1" t="s">
        <v>51884</v>
      </c>
      <c r="V3231" s="1">
        <v>9892344916</v>
      </c>
      <c r="W3231" s="1" t="s">
        <v>278</v>
      </c>
      <c r="X3231" s="1" t="s">
        <v>51885</v>
      </c>
      <c r="Y3231" s="1" t="s">
        <v>14079</v>
      </c>
      <c r="Z3231" s="1" t="s">
        <v>97</v>
      </c>
      <c r="AA3231" s="1" t="s">
        <v>51885</v>
      </c>
      <c r="AB3231" s="1" t="s">
        <v>14079</v>
      </c>
      <c r="AC3231" s="1" t="s">
        <v>97</v>
      </c>
      <c r="AD3231" s="1" t="s">
        <v>98</v>
      </c>
      <c r="AE3231" s="1" t="s">
        <v>98</v>
      </c>
      <c r="AF3231" s="1" t="s">
        <v>3228</v>
      </c>
      <c r="AG3231" s="1" t="s">
        <v>2745</v>
      </c>
      <c r="AH3231" s="1" t="s">
        <v>10237</v>
      </c>
      <c r="AI3231" s="1" t="s">
        <v>102</v>
      </c>
      <c r="AJ3231" s="1">
        <v>83.6</v>
      </c>
      <c r="AK3231" s="1"/>
      <c r="AL3231" s="1" t="s">
        <v>36259</v>
      </c>
      <c r="AM3231" s="1" t="s">
        <v>2745</v>
      </c>
      <c r="AN3231" s="1"/>
      <c r="AO3231" s="1" t="s">
        <v>167</v>
      </c>
      <c r="AP3231" s="1" t="s">
        <v>200</v>
      </c>
      <c r="AQ3231" s="1">
        <v>77.38</v>
      </c>
      <c r="AR3231" s="1"/>
      <c r="AS3231" s="1"/>
      <c r="AT3231" s="1"/>
      <c r="AU3231" s="1" t="s">
        <v>98</v>
      </c>
      <c r="AV3231" s="1" t="s">
        <v>98</v>
      </c>
      <c r="AW3231" s="1" t="s">
        <v>98</v>
      </c>
      <c r="AX3231" s="1" t="s">
        <v>98</v>
      </c>
      <c r="AY3231" s="1" t="s">
        <v>258</v>
      </c>
      <c r="AZ3231" s="1" t="s">
        <v>2266</v>
      </c>
      <c r="BA3231" s="1"/>
      <c r="BB3231" s="1"/>
      <c r="BC3231" s="1" t="s">
        <v>230</v>
      </c>
      <c r="BD3231" s="1" t="s">
        <v>845</v>
      </c>
      <c r="BE3231" s="1">
        <v>69.87</v>
      </c>
      <c r="BF3231" s="1">
        <v>7.82</v>
      </c>
      <c r="BG3231" s="1"/>
      <c r="BH3231" s="1"/>
      <c r="BI3231" s="1"/>
      <c r="BJ3231" s="1"/>
      <c r="BK3231" s="1" t="s">
        <v>98</v>
      </c>
      <c r="BL3231" s="1" t="s">
        <v>98</v>
      </c>
      <c r="BM3231" s="1" t="s">
        <v>98</v>
      </c>
      <c r="BN3231" s="1" t="s">
        <v>98</v>
      </c>
      <c r="BO3231" s="1" t="s">
        <v>8688</v>
      </c>
      <c r="BP3231" s="1"/>
      <c r="BQ3231" s="1"/>
      <c r="BR3231" s="1" t="s">
        <v>51886</v>
      </c>
      <c r="BS3231" s="1">
        <v>14</v>
      </c>
      <c r="BT3231" s="1"/>
      <c r="BU3231" s="1" t="str">
        <f>HYPERLINK("https://nconnect.nicmar.ac.in/storage/profile/2021-2023_AP21012_796325.jpg","Download")</f>
        <v>0</v>
      </c>
      <c r="BV3231" s="3"/>
      <c r="BW3231" s="3"/>
    </row>
    <row r="3232" spans="1:75">
      <c r="A3232" s="1" t="s">
        <v>51340</v>
      </c>
      <c r="B3232" s="1" t="s">
        <v>51341</v>
      </c>
      <c r="C3232" s="1" t="s">
        <v>51887</v>
      </c>
      <c r="D3232" s="1" t="s">
        <v>51888</v>
      </c>
      <c r="E3232" s="1"/>
      <c r="F3232" s="1" t="s">
        <v>49799</v>
      </c>
      <c r="G3232" s="1" t="s">
        <v>51889</v>
      </c>
      <c r="H3232" s="1" t="s">
        <v>51890</v>
      </c>
      <c r="I3232" s="1" t="s">
        <v>51891</v>
      </c>
      <c r="J3232" s="1">
        <v>9445528369</v>
      </c>
      <c r="K3232" s="1" t="s">
        <v>84</v>
      </c>
      <c r="L3232" s="1" t="s">
        <v>51892</v>
      </c>
      <c r="M3232" s="1" t="s">
        <v>86</v>
      </c>
      <c r="N3232" s="1" t="s">
        <v>41910</v>
      </c>
      <c r="O3232" s="1"/>
      <c r="P3232" s="1" t="s">
        <v>2062</v>
      </c>
      <c r="Q3232" s="1" t="s">
        <v>51893</v>
      </c>
      <c r="R3232" s="1" t="s">
        <v>51894</v>
      </c>
      <c r="S3232" s="1">
        <v>9486467369</v>
      </c>
      <c r="T3232" s="1" t="s">
        <v>8332</v>
      </c>
      <c r="U3232" s="1" t="s">
        <v>51895</v>
      </c>
      <c r="V3232" s="1">
        <v>9443744694</v>
      </c>
      <c r="W3232" s="1" t="s">
        <v>94</v>
      </c>
      <c r="X3232" s="1" t="s">
        <v>51896</v>
      </c>
      <c r="Y3232" s="1" t="s">
        <v>51897</v>
      </c>
      <c r="Z3232" s="1" t="s">
        <v>570</v>
      </c>
      <c r="AA3232" s="1" t="s">
        <v>51898</v>
      </c>
      <c r="AB3232" s="1" t="s">
        <v>18215</v>
      </c>
      <c r="AC3232" s="1" t="s">
        <v>570</v>
      </c>
      <c r="AD3232" s="1" t="s">
        <v>98</v>
      </c>
      <c r="AE3232" s="1" t="s">
        <v>98</v>
      </c>
      <c r="AF3232" s="1" t="s">
        <v>51899</v>
      </c>
      <c r="AG3232" s="1" t="s">
        <v>11517</v>
      </c>
      <c r="AH3232" s="1">
        <v>41036</v>
      </c>
      <c r="AI3232" s="1">
        <v>41355</v>
      </c>
      <c r="AJ3232" s="1">
        <v>88.2</v>
      </c>
      <c r="AK3232" s="1"/>
      <c r="AL3232" s="1" t="s">
        <v>51900</v>
      </c>
      <c r="AM3232" s="1" t="s">
        <v>11517</v>
      </c>
      <c r="AN3232" s="1"/>
      <c r="AO3232" s="1">
        <v>41764</v>
      </c>
      <c r="AP3232" s="1">
        <v>42090</v>
      </c>
      <c r="AQ3232" s="1">
        <v>78.16</v>
      </c>
      <c r="AR3232" s="1"/>
      <c r="AS3232" s="1"/>
      <c r="AT3232" s="1"/>
      <c r="AU3232" s="1" t="s">
        <v>98</v>
      </c>
      <c r="AV3232" s="1" t="s">
        <v>98</v>
      </c>
      <c r="AW3232" s="1" t="s">
        <v>98</v>
      </c>
      <c r="AX3232" s="1" t="s">
        <v>98</v>
      </c>
      <c r="AY3232" s="1" t="s">
        <v>576</v>
      </c>
      <c r="AZ3232" s="1" t="s">
        <v>51901</v>
      </c>
      <c r="BA3232" s="1"/>
      <c r="BB3232" s="1"/>
      <c r="BC3232" s="1">
        <v>42216</v>
      </c>
      <c r="BD3232" s="1">
        <v>43581</v>
      </c>
      <c r="BE3232" s="1">
        <v>67.8</v>
      </c>
      <c r="BF3232" s="1">
        <v>6.78</v>
      </c>
      <c r="BG3232" s="1"/>
      <c r="BH3232" s="1"/>
      <c r="BI3232" s="1"/>
      <c r="BJ3232" s="1"/>
      <c r="BK3232" s="1" t="s">
        <v>98</v>
      </c>
      <c r="BL3232" s="1" t="s">
        <v>98</v>
      </c>
      <c r="BM3232" s="1" t="s">
        <v>98</v>
      </c>
      <c r="BN3232" s="1" t="s">
        <v>98</v>
      </c>
      <c r="BO3232" s="1" t="s">
        <v>51902</v>
      </c>
      <c r="BP3232" s="1" t="s">
        <v>51903</v>
      </c>
      <c r="BQ3232" s="1" t="s">
        <v>13562</v>
      </c>
      <c r="BR3232" s="1" t="s">
        <v>51904</v>
      </c>
      <c r="BS3232" s="1">
        <v>10</v>
      </c>
      <c r="BT3232" s="1"/>
      <c r="BU3232" s="1" t="str">
        <f>HYPERLINK("https://nconnect.nicmar.ac.in/storage/profile/2021-2023_AP21013_723169.jpeg","Download")</f>
        <v>0</v>
      </c>
      <c r="BV3232" s="3"/>
      <c r="BW3232" s="3"/>
    </row>
    <row r="3233" spans="1:75">
      <c r="A3233" s="1" t="s">
        <v>51340</v>
      </c>
      <c r="B3233" s="1" t="s">
        <v>51341</v>
      </c>
      <c r="C3233" s="1" t="s">
        <v>51905</v>
      </c>
      <c r="D3233" s="1" t="s">
        <v>51906</v>
      </c>
      <c r="E3233" s="1" t="s">
        <v>1853</v>
      </c>
      <c r="F3233" s="1" t="s">
        <v>5883</v>
      </c>
      <c r="G3233" s="1" t="s">
        <v>51907</v>
      </c>
      <c r="H3233" s="1" t="s">
        <v>51908</v>
      </c>
      <c r="I3233" s="1" t="s">
        <v>51909</v>
      </c>
      <c r="J3233" s="1">
        <v>7356013079</v>
      </c>
      <c r="K3233" s="1" t="s">
        <v>84</v>
      </c>
      <c r="L3233" s="1" t="s">
        <v>51910</v>
      </c>
      <c r="M3233" s="1" t="s">
        <v>86</v>
      </c>
      <c r="N3233" s="1" t="s">
        <v>695</v>
      </c>
      <c r="O3233" s="1"/>
      <c r="P3233" s="1" t="s">
        <v>481</v>
      </c>
      <c r="Q3233" s="1" t="s">
        <v>51911</v>
      </c>
      <c r="R3233" s="1" t="s">
        <v>51912</v>
      </c>
      <c r="S3233" s="1">
        <v>9495625837</v>
      </c>
      <c r="T3233" s="1" t="s">
        <v>3396</v>
      </c>
      <c r="U3233" s="1" t="s">
        <v>51913</v>
      </c>
      <c r="V3233" s="1">
        <v>9495014244</v>
      </c>
      <c r="W3233" s="1" t="s">
        <v>3396</v>
      </c>
      <c r="X3233" s="1" t="s">
        <v>51914</v>
      </c>
      <c r="Y3233" s="1" t="s">
        <v>51915</v>
      </c>
      <c r="Z3233" s="1" t="s">
        <v>130</v>
      </c>
      <c r="AA3233" s="1" t="s">
        <v>51916</v>
      </c>
      <c r="AB3233" s="1" t="s">
        <v>51915</v>
      </c>
      <c r="AC3233" s="1" t="s">
        <v>130</v>
      </c>
      <c r="AD3233" s="1" t="s">
        <v>98</v>
      </c>
      <c r="AE3233" s="1" t="s">
        <v>98</v>
      </c>
      <c r="AF3233" s="1" t="s">
        <v>51917</v>
      </c>
      <c r="AG3233" s="1" t="s">
        <v>2475</v>
      </c>
      <c r="AH3233" s="1">
        <v>40695</v>
      </c>
      <c r="AI3233" s="1">
        <v>41050</v>
      </c>
      <c r="AJ3233" s="1">
        <v>95</v>
      </c>
      <c r="AK3233" s="1">
        <v>10</v>
      </c>
      <c r="AL3233" s="1" t="s">
        <v>51917</v>
      </c>
      <c r="AM3233" s="1" t="s">
        <v>2475</v>
      </c>
      <c r="AN3233" s="1"/>
      <c r="AO3233" s="1">
        <v>41400</v>
      </c>
      <c r="AP3233" s="1">
        <v>41785</v>
      </c>
      <c r="AQ3233" s="1">
        <v>79.6</v>
      </c>
      <c r="AR3233" s="1"/>
      <c r="AS3233" s="1"/>
      <c r="AT3233" s="1"/>
      <c r="AU3233" s="1" t="s">
        <v>98</v>
      </c>
      <c r="AV3233" s="1" t="s">
        <v>98</v>
      </c>
      <c r="AW3233" s="1" t="s">
        <v>98</v>
      </c>
      <c r="AX3233" s="1" t="s">
        <v>98</v>
      </c>
      <c r="AY3233" s="1" t="s">
        <v>137</v>
      </c>
      <c r="AZ3233" s="1" t="s">
        <v>51918</v>
      </c>
      <c r="BA3233" s="1"/>
      <c r="BB3233" s="1"/>
      <c r="BC3233" s="1">
        <v>42594</v>
      </c>
      <c r="BD3233" s="1">
        <v>44093</v>
      </c>
      <c r="BE3233" s="1">
        <v>78.15</v>
      </c>
      <c r="BF3233" s="1">
        <v>8.19</v>
      </c>
      <c r="BG3233" s="1"/>
      <c r="BH3233" s="1"/>
      <c r="BI3233" s="1"/>
      <c r="BJ3233" s="1"/>
      <c r="BK3233" s="1" t="s">
        <v>98</v>
      </c>
      <c r="BL3233" s="1" t="s">
        <v>98</v>
      </c>
      <c r="BM3233" s="1" t="s">
        <v>98</v>
      </c>
      <c r="BN3233" s="1" t="s">
        <v>98</v>
      </c>
      <c r="BO3233" s="1" t="s">
        <v>260</v>
      </c>
      <c r="BP3233" s="1" t="s">
        <v>51919</v>
      </c>
      <c r="BQ3233" s="1" t="s">
        <v>3404</v>
      </c>
      <c r="BR3233" s="1" t="s">
        <v>51920</v>
      </c>
      <c r="BS3233" s="1">
        <v>8</v>
      </c>
      <c r="BT3233" s="1"/>
      <c r="BU3233" s="1" t="str">
        <f>HYPERLINK("https://nconnect.nicmar.ac.in/storage/profile/2021-2023_AP21014_275813.jpg","Download")</f>
        <v>0</v>
      </c>
      <c r="BV3233" s="3"/>
      <c r="BW3233" s="3"/>
    </row>
    <row r="3234" spans="1:75">
      <c r="A3234" s="1" t="s">
        <v>51340</v>
      </c>
      <c r="B3234" s="1" t="s">
        <v>51341</v>
      </c>
      <c r="C3234" s="1" t="s">
        <v>51921</v>
      </c>
      <c r="D3234" s="1" t="s">
        <v>1464</v>
      </c>
      <c r="E3234" s="1" t="s">
        <v>1320</v>
      </c>
      <c r="F3234" s="1" t="s">
        <v>42974</v>
      </c>
      <c r="G3234" s="1" t="s">
        <v>51922</v>
      </c>
      <c r="H3234" s="1" t="s">
        <v>51923</v>
      </c>
      <c r="I3234" s="1" t="s">
        <v>51923</v>
      </c>
      <c r="J3234" s="1">
        <v>8939000019</v>
      </c>
      <c r="K3234" s="1" t="s">
        <v>84</v>
      </c>
      <c r="L3234" s="1" t="s">
        <v>51924</v>
      </c>
      <c r="M3234" s="1" t="s">
        <v>86</v>
      </c>
      <c r="N3234" s="1" t="s">
        <v>51925</v>
      </c>
      <c r="O3234" s="1"/>
      <c r="P3234" s="1" t="s">
        <v>507</v>
      </c>
      <c r="Q3234" s="1" t="s">
        <v>51926</v>
      </c>
      <c r="R3234" s="1" t="s">
        <v>51927</v>
      </c>
      <c r="S3234" s="1">
        <v>9444367869</v>
      </c>
      <c r="T3234" s="1" t="s">
        <v>839</v>
      </c>
      <c r="U3234" s="1" t="s">
        <v>51928</v>
      </c>
      <c r="V3234" s="1">
        <v>9840565686</v>
      </c>
      <c r="W3234" s="1" t="s">
        <v>94</v>
      </c>
      <c r="X3234" s="1" t="s">
        <v>51929</v>
      </c>
      <c r="Y3234" s="1" t="s">
        <v>1498</v>
      </c>
      <c r="Z3234" s="1" t="s">
        <v>570</v>
      </c>
      <c r="AA3234" s="1" t="s">
        <v>51930</v>
      </c>
      <c r="AB3234" s="1" t="s">
        <v>1498</v>
      </c>
      <c r="AC3234" s="1" t="s">
        <v>570</v>
      </c>
      <c r="AD3234" s="1" t="s">
        <v>98</v>
      </c>
      <c r="AE3234" s="1" t="s">
        <v>98</v>
      </c>
      <c r="AF3234" s="1" t="s">
        <v>51931</v>
      </c>
      <c r="AG3234" s="1" t="s">
        <v>29514</v>
      </c>
      <c r="AH3234" s="1" t="s">
        <v>51932</v>
      </c>
      <c r="AI3234" s="1" t="s">
        <v>51933</v>
      </c>
      <c r="AJ3234" s="1">
        <v>70</v>
      </c>
      <c r="AK3234" s="1">
        <v>6.45</v>
      </c>
      <c r="AL3234" s="1" t="s">
        <v>51934</v>
      </c>
      <c r="AM3234" s="1" t="s">
        <v>29514</v>
      </c>
      <c r="AN3234" s="1"/>
      <c r="AO3234" s="1" t="s">
        <v>51935</v>
      </c>
      <c r="AP3234" s="1" t="s">
        <v>51936</v>
      </c>
      <c r="AQ3234" s="1">
        <v>65</v>
      </c>
      <c r="AR3234" s="1"/>
      <c r="AS3234" s="1"/>
      <c r="AT3234" s="1"/>
      <c r="AU3234" s="1"/>
      <c r="AV3234" s="1"/>
      <c r="AW3234" s="1"/>
      <c r="AX3234" s="1"/>
      <c r="AY3234" s="1" t="s">
        <v>51937</v>
      </c>
      <c r="AZ3234" s="1" t="s">
        <v>29514</v>
      </c>
      <c r="BA3234" s="1"/>
      <c r="BB3234" s="1"/>
      <c r="BC3234" s="1" t="s">
        <v>51938</v>
      </c>
      <c r="BD3234" s="1" t="s">
        <v>51939</v>
      </c>
      <c r="BE3234" s="1">
        <v>65</v>
      </c>
      <c r="BF3234" s="1">
        <v>6.24</v>
      </c>
      <c r="BG3234" s="1"/>
      <c r="BH3234" s="1"/>
      <c r="BI3234" s="1"/>
      <c r="BJ3234" s="1"/>
      <c r="BK3234" s="1"/>
      <c r="BL3234" s="1"/>
      <c r="BM3234" s="1"/>
      <c r="BN3234" s="1"/>
      <c r="BO3234" s="1" t="s">
        <v>34444</v>
      </c>
      <c r="BP3234" s="1" t="s">
        <v>51940</v>
      </c>
      <c r="BQ3234" s="1" t="s">
        <v>1152</v>
      </c>
      <c r="BR3234" s="1" t="s">
        <v>51941</v>
      </c>
      <c r="BS3234" s="1">
        <v>14</v>
      </c>
      <c r="BT3234" s="1"/>
      <c r="BU3234" s="1" t="s">
        <v>9653</v>
      </c>
      <c r="BV3234" s="3"/>
      <c r="BW3234" s="3"/>
    </row>
    <row r="3235" spans="1:75">
      <c r="A3235" s="1" t="s">
        <v>51340</v>
      </c>
      <c r="B3235" s="1" t="s">
        <v>51341</v>
      </c>
      <c r="C3235" s="1" t="s">
        <v>51942</v>
      </c>
      <c r="D3235" s="1" t="s">
        <v>5466</v>
      </c>
      <c r="E3235" s="1" t="s">
        <v>13179</v>
      </c>
      <c r="F3235" s="1" t="s">
        <v>51943</v>
      </c>
      <c r="G3235" s="1" t="s">
        <v>51944</v>
      </c>
      <c r="H3235" s="1" t="s">
        <v>51945</v>
      </c>
      <c r="I3235" s="1" t="s">
        <v>51946</v>
      </c>
      <c r="J3235" s="1">
        <v>7709536910</v>
      </c>
      <c r="K3235" s="1" t="s">
        <v>84</v>
      </c>
      <c r="L3235" s="1" t="s">
        <v>30198</v>
      </c>
      <c r="M3235" s="1" t="s">
        <v>86</v>
      </c>
      <c r="N3235" s="1" t="s">
        <v>903</v>
      </c>
      <c r="O3235" s="1"/>
      <c r="P3235" s="1" t="s">
        <v>507</v>
      </c>
      <c r="Q3235" s="1" t="s">
        <v>51947</v>
      </c>
      <c r="R3235" s="1" t="s">
        <v>51948</v>
      </c>
      <c r="S3235" s="1">
        <v>9850001903</v>
      </c>
      <c r="T3235" s="1" t="s">
        <v>51949</v>
      </c>
      <c r="U3235" s="1" t="s">
        <v>51950</v>
      </c>
      <c r="V3235" s="1">
        <v>9822720421</v>
      </c>
      <c r="W3235" s="1" t="s">
        <v>161</v>
      </c>
      <c r="X3235" s="1" t="s">
        <v>51951</v>
      </c>
      <c r="Y3235" s="1" t="s">
        <v>910</v>
      </c>
      <c r="Z3235" s="1" t="s">
        <v>97</v>
      </c>
      <c r="AA3235" s="1" t="s">
        <v>51951</v>
      </c>
      <c r="AB3235" s="1" t="s">
        <v>910</v>
      </c>
      <c r="AC3235" s="1" t="s">
        <v>97</v>
      </c>
      <c r="AD3235" s="1" t="s">
        <v>98</v>
      </c>
      <c r="AE3235" s="1" t="s">
        <v>98</v>
      </c>
      <c r="AF3235" s="1" t="s">
        <v>51952</v>
      </c>
      <c r="AG3235" s="1" t="s">
        <v>51712</v>
      </c>
      <c r="AH3235" s="1" t="s">
        <v>101</v>
      </c>
      <c r="AI3235" s="1" t="s">
        <v>105</v>
      </c>
      <c r="AJ3235" s="1">
        <v>89.2</v>
      </c>
      <c r="AK3235" s="1"/>
      <c r="AL3235" s="1" t="s">
        <v>98</v>
      </c>
      <c r="AM3235" s="1"/>
      <c r="AN3235" s="1"/>
      <c r="AO3235" s="1" t="s">
        <v>98</v>
      </c>
      <c r="AP3235" s="1" t="s">
        <v>98</v>
      </c>
      <c r="AQ3235" s="1"/>
      <c r="AR3235" s="1"/>
      <c r="AS3235" s="1" t="s">
        <v>439</v>
      </c>
      <c r="AT3235" s="1" t="s">
        <v>51953</v>
      </c>
      <c r="AU3235" s="1" t="s">
        <v>105</v>
      </c>
      <c r="AV3235" s="1" t="s">
        <v>106</v>
      </c>
      <c r="AW3235" s="1">
        <v>93.69</v>
      </c>
      <c r="AX3235" s="1"/>
      <c r="AY3235" s="1" t="s">
        <v>258</v>
      </c>
      <c r="AZ3235" s="1" t="s">
        <v>51954</v>
      </c>
      <c r="BA3235" s="1"/>
      <c r="BB3235" s="1"/>
      <c r="BC3235" s="1" t="s">
        <v>1065</v>
      </c>
      <c r="BD3235" s="1" t="s">
        <v>847</v>
      </c>
      <c r="BE3235" s="1">
        <v>80.7</v>
      </c>
      <c r="BF3235" s="1">
        <v>8.82</v>
      </c>
      <c r="BG3235" s="1"/>
      <c r="BH3235" s="1"/>
      <c r="BI3235" s="1"/>
      <c r="BJ3235" s="1"/>
      <c r="BK3235" s="1" t="s">
        <v>98</v>
      </c>
      <c r="BL3235" s="1" t="s">
        <v>98</v>
      </c>
      <c r="BM3235" s="1" t="s">
        <v>98</v>
      </c>
      <c r="BN3235" s="1" t="s">
        <v>98</v>
      </c>
      <c r="BO3235" s="1" t="s">
        <v>51955</v>
      </c>
      <c r="BP3235" s="1"/>
      <c r="BQ3235" s="1"/>
      <c r="BR3235" s="1" t="s">
        <v>51956</v>
      </c>
      <c r="BS3235" s="1">
        <v>18</v>
      </c>
      <c r="BT3235" s="1"/>
      <c r="BU3235" s="1" t="str">
        <f>HYPERLINK("https://nconnect.nicmar.ac.in/storage/profile/2021-2023_AP21016_856243.jpg","Download")</f>
        <v>0</v>
      </c>
      <c r="BV3235" s="3"/>
      <c r="BW3235" s="3"/>
    </row>
    <row r="3236" spans="1:75">
      <c r="A3236" s="1" t="s">
        <v>51340</v>
      </c>
      <c r="B3236" s="1" t="s">
        <v>51341</v>
      </c>
      <c r="C3236" s="1" t="s">
        <v>51957</v>
      </c>
      <c r="D3236" s="1" t="s">
        <v>51958</v>
      </c>
      <c r="E3236" s="1"/>
      <c r="F3236" s="1" t="s">
        <v>6636</v>
      </c>
      <c r="G3236" s="1" t="s">
        <v>51959</v>
      </c>
      <c r="H3236" s="1" t="s">
        <v>51960</v>
      </c>
      <c r="I3236" s="1" t="s">
        <v>51961</v>
      </c>
      <c r="J3236" s="1">
        <v>9925229762</v>
      </c>
      <c r="K3236" s="1" t="s">
        <v>84</v>
      </c>
      <c r="L3236" s="1" t="s">
        <v>28069</v>
      </c>
      <c r="M3236" s="1" t="s">
        <v>86</v>
      </c>
      <c r="N3236" s="1" t="s">
        <v>6641</v>
      </c>
      <c r="O3236" s="1"/>
      <c r="P3236" s="1" t="s">
        <v>507</v>
      </c>
      <c r="Q3236" s="1" t="s">
        <v>51962</v>
      </c>
      <c r="R3236" s="1" t="s">
        <v>51963</v>
      </c>
      <c r="S3236" s="1">
        <v>9825052060</v>
      </c>
      <c r="T3236" s="1" t="s">
        <v>839</v>
      </c>
      <c r="U3236" s="1" t="s">
        <v>51964</v>
      </c>
      <c r="V3236" s="1">
        <v>9925785233</v>
      </c>
      <c r="W3236" s="1" t="s">
        <v>94</v>
      </c>
      <c r="X3236" s="1" t="s">
        <v>51965</v>
      </c>
      <c r="Y3236" s="1" t="s">
        <v>51966</v>
      </c>
      <c r="Z3236" s="1" t="s">
        <v>676</v>
      </c>
      <c r="AA3236" s="1" t="s">
        <v>51967</v>
      </c>
      <c r="AB3236" s="1" t="s">
        <v>8166</v>
      </c>
      <c r="AC3236" s="1" t="s">
        <v>676</v>
      </c>
      <c r="AD3236" s="1" t="s">
        <v>98</v>
      </c>
      <c r="AE3236" s="1" t="s">
        <v>98</v>
      </c>
      <c r="AF3236" s="1" t="s">
        <v>51968</v>
      </c>
      <c r="AG3236" s="1" t="s">
        <v>312</v>
      </c>
      <c r="AH3236" s="1">
        <v>41730</v>
      </c>
      <c r="AI3236" s="1">
        <v>42152</v>
      </c>
      <c r="AJ3236" s="1">
        <v>79.8</v>
      </c>
      <c r="AK3236" s="1">
        <v>8.4</v>
      </c>
      <c r="AL3236" s="1" t="s">
        <v>51969</v>
      </c>
      <c r="AM3236" s="1" t="s">
        <v>312</v>
      </c>
      <c r="AN3236" s="1"/>
      <c r="AO3236" s="1">
        <v>42461</v>
      </c>
      <c r="AP3236" s="1">
        <v>42883</v>
      </c>
      <c r="AQ3236" s="1">
        <v>79.2</v>
      </c>
      <c r="AR3236" s="1"/>
      <c r="AS3236" s="1"/>
      <c r="AT3236" s="1"/>
      <c r="AU3236" s="1" t="s">
        <v>98</v>
      </c>
      <c r="AV3236" s="1" t="s">
        <v>98</v>
      </c>
      <c r="AW3236" s="1" t="s">
        <v>98</v>
      </c>
      <c r="AX3236" s="1" t="s">
        <v>98</v>
      </c>
      <c r="AY3236" s="1" t="s">
        <v>5241</v>
      </c>
      <c r="AZ3236" s="1" t="s">
        <v>29137</v>
      </c>
      <c r="BA3236" s="1"/>
      <c r="BB3236" s="1"/>
      <c r="BC3236" s="1">
        <v>42955</v>
      </c>
      <c r="BD3236" s="1">
        <v>44383</v>
      </c>
      <c r="BE3236" s="1">
        <v>82</v>
      </c>
      <c r="BF3236" s="1">
        <v>8.7</v>
      </c>
      <c r="BG3236" s="1"/>
      <c r="BH3236" s="1"/>
      <c r="BI3236" s="1"/>
      <c r="BJ3236" s="1"/>
      <c r="BK3236" s="1" t="s">
        <v>98</v>
      </c>
      <c r="BL3236" s="1" t="s">
        <v>98</v>
      </c>
      <c r="BM3236" s="1" t="s">
        <v>98</v>
      </c>
      <c r="BN3236" s="1" t="s">
        <v>98</v>
      </c>
      <c r="BO3236" s="1" t="s">
        <v>1114</v>
      </c>
      <c r="BP3236" s="1"/>
      <c r="BQ3236" s="1"/>
      <c r="BR3236" s="1" t="s">
        <v>51970</v>
      </c>
      <c r="BS3236" s="1">
        <v>15</v>
      </c>
      <c r="BT3236" s="1"/>
      <c r="BU3236" s="1" t="s">
        <v>9653</v>
      </c>
      <c r="BV3236" s="3"/>
      <c r="BW3236" s="3"/>
    </row>
    <row r="3237" spans="1:75">
      <c r="A3237" s="1" t="s">
        <v>51340</v>
      </c>
      <c r="B3237" s="1" t="s">
        <v>51341</v>
      </c>
      <c r="C3237" s="1" t="s">
        <v>51971</v>
      </c>
      <c r="D3237" s="1" t="s">
        <v>51972</v>
      </c>
      <c r="E3237" s="1" t="s">
        <v>2098</v>
      </c>
      <c r="F3237" s="1" t="s">
        <v>35964</v>
      </c>
      <c r="G3237" s="1" t="s">
        <v>51973</v>
      </c>
      <c r="H3237" s="1" t="s">
        <v>51974</v>
      </c>
      <c r="I3237" s="1" t="s">
        <v>51975</v>
      </c>
      <c r="J3237" s="1">
        <v>9021030117</v>
      </c>
      <c r="K3237" s="1" t="s">
        <v>153</v>
      </c>
      <c r="L3237" s="1" t="s">
        <v>51976</v>
      </c>
      <c r="M3237" s="1" t="s">
        <v>86</v>
      </c>
      <c r="N3237" s="1" t="s">
        <v>1163</v>
      </c>
      <c r="O3237" s="1"/>
      <c r="P3237" s="1" t="s">
        <v>481</v>
      </c>
      <c r="Q3237" s="1" t="s">
        <v>51977</v>
      </c>
      <c r="R3237" s="1" t="s">
        <v>51978</v>
      </c>
      <c r="S3237" s="1">
        <v>9822235360</v>
      </c>
      <c r="T3237" s="1" t="s">
        <v>1552</v>
      </c>
      <c r="U3237" s="1" t="s">
        <v>51979</v>
      </c>
      <c r="V3237" s="1">
        <v>9822935360</v>
      </c>
      <c r="W3237" s="1" t="s">
        <v>1552</v>
      </c>
      <c r="X3237" s="1" t="s">
        <v>51980</v>
      </c>
      <c r="Y3237" s="1" t="s">
        <v>410</v>
      </c>
      <c r="Z3237" s="1" t="s">
        <v>97</v>
      </c>
      <c r="AA3237" s="1" t="s">
        <v>51980</v>
      </c>
      <c r="AB3237" s="1" t="s">
        <v>410</v>
      </c>
      <c r="AC3237" s="1" t="s">
        <v>97</v>
      </c>
      <c r="AD3237" s="1" t="s">
        <v>98</v>
      </c>
      <c r="AE3237" s="1" t="s">
        <v>98</v>
      </c>
      <c r="AF3237" s="1" t="s">
        <v>51981</v>
      </c>
      <c r="AG3237" s="1" t="s">
        <v>312</v>
      </c>
      <c r="AH3237" s="1">
        <v>40714</v>
      </c>
      <c r="AI3237" s="1">
        <v>41050</v>
      </c>
      <c r="AJ3237" s="1">
        <v>93.1</v>
      </c>
      <c r="AK3237" s="1">
        <v>9.8</v>
      </c>
      <c r="AL3237" s="1" t="s">
        <v>36782</v>
      </c>
      <c r="AM3237" s="1" t="s">
        <v>312</v>
      </c>
      <c r="AN3237" s="1"/>
      <c r="AO3237" s="1">
        <v>41445</v>
      </c>
      <c r="AP3237" s="1">
        <v>41785</v>
      </c>
      <c r="AQ3237" s="1">
        <v>71</v>
      </c>
      <c r="AR3237" s="1"/>
      <c r="AS3237" s="1"/>
      <c r="AT3237" s="1"/>
      <c r="AU3237" s="1" t="s">
        <v>98</v>
      </c>
      <c r="AV3237" s="1" t="s">
        <v>98</v>
      </c>
      <c r="AW3237" s="1" t="s">
        <v>98</v>
      </c>
      <c r="AX3237" s="1" t="s">
        <v>98</v>
      </c>
      <c r="AY3237" s="1" t="s">
        <v>415</v>
      </c>
      <c r="AZ3237" s="1" t="s">
        <v>10685</v>
      </c>
      <c r="BA3237" s="1"/>
      <c r="BB3237" s="1"/>
      <c r="BC3237" s="1">
        <v>41825</v>
      </c>
      <c r="BD3237" s="1">
        <v>43636</v>
      </c>
      <c r="BE3237" s="1">
        <v>63</v>
      </c>
      <c r="BF3237" s="1">
        <v>7.05</v>
      </c>
      <c r="BG3237" s="1"/>
      <c r="BH3237" s="1"/>
      <c r="BI3237" s="1"/>
      <c r="BJ3237" s="1"/>
      <c r="BK3237" s="1" t="s">
        <v>98</v>
      </c>
      <c r="BL3237" s="1" t="s">
        <v>98</v>
      </c>
      <c r="BM3237" s="1" t="s">
        <v>98</v>
      </c>
      <c r="BN3237" s="1" t="s">
        <v>98</v>
      </c>
      <c r="BO3237" s="1" t="s">
        <v>51982</v>
      </c>
      <c r="BP3237" s="1" t="s">
        <v>51983</v>
      </c>
      <c r="BQ3237" s="1" t="s">
        <v>143</v>
      </c>
      <c r="BR3237" s="1" t="s">
        <v>51984</v>
      </c>
      <c r="BS3237" s="1">
        <v>102</v>
      </c>
      <c r="BT3237" s="1"/>
      <c r="BU3237" s="1" t="str">
        <f>HYPERLINK("https://nconnect.nicmar.ac.in/storage/profile/2021-2023_AP21018_956473.jpg","Download")</f>
        <v>0</v>
      </c>
      <c r="BV3237" s="3"/>
      <c r="BW3237" s="3"/>
    </row>
    <row r="3238" spans="1:75">
      <c r="A3238" s="1" t="s">
        <v>51340</v>
      </c>
      <c r="B3238" s="1" t="s">
        <v>51341</v>
      </c>
      <c r="C3238" s="1" t="s">
        <v>51985</v>
      </c>
      <c r="D3238" s="1" t="s">
        <v>148</v>
      </c>
      <c r="E3238" s="1" t="s">
        <v>4707</v>
      </c>
      <c r="F3238" s="1" t="s">
        <v>51986</v>
      </c>
      <c r="G3238" s="1" t="s">
        <v>51987</v>
      </c>
      <c r="H3238" s="1" t="s">
        <v>51988</v>
      </c>
      <c r="I3238" s="1" t="s">
        <v>51989</v>
      </c>
      <c r="J3238" s="1">
        <v>8082629393</v>
      </c>
      <c r="K3238" s="1" t="s">
        <v>153</v>
      </c>
      <c r="L3238" s="1" t="s">
        <v>51990</v>
      </c>
      <c r="M3238" s="1" t="s">
        <v>86</v>
      </c>
      <c r="N3238" s="1" t="s">
        <v>2433</v>
      </c>
      <c r="O3238" s="1"/>
      <c r="P3238" s="1" t="s">
        <v>2062</v>
      </c>
      <c r="Q3238" s="1" t="s">
        <v>51991</v>
      </c>
      <c r="R3238" s="1" t="s">
        <v>51992</v>
      </c>
      <c r="S3238" s="1">
        <v>8082627575</v>
      </c>
      <c r="T3238" s="1" t="s">
        <v>698</v>
      </c>
      <c r="U3238" s="1" t="s">
        <v>51993</v>
      </c>
      <c r="V3238" s="1">
        <v>8082627676</v>
      </c>
      <c r="W3238" s="1" t="s">
        <v>698</v>
      </c>
      <c r="X3238" s="1" t="s">
        <v>51994</v>
      </c>
      <c r="Y3238" s="1" t="s">
        <v>14079</v>
      </c>
      <c r="Z3238" s="1" t="s">
        <v>97</v>
      </c>
      <c r="AA3238" s="1" t="s">
        <v>51994</v>
      </c>
      <c r="AB3238" s="1" t="s">
        <v>14079</v>
      </c>
      <c r="AC3238" s="1" t="s">
        <v>97</v>
      </c>
      <c r="AD3238" s="1" t="s">
        <v>98</v>
      </c>
      <c r="AE3238" s="1" t="s">
        <v>98</v>
      </c>
      <c r="AF3238" s="1" t="s">
        <v>51995</v>
      </c>
      <c r="AG3238" s="1" t="s">
        <v>51996</v>
      </c>
      <c r="AH3238" s="1" t="s">
        <v>3285</v>
      </c>
      <c r="AI3238" s="1" t="s">
        <v>3965</v>
      </c>
      <c r="AJ3238" s="1">
        <v>85.09</v>
      </c>
      <c r="AK3238" s="1"/>
      <c r="AL3238" s="1" t="s">
        <v>51997</v>
      </c>
      <c r="AM3238" s="1" t="s">
        <v>51996</v>
      </c>
      <c r="AN3238" s="1"/>
      <c r="AO3238" s="1" t="s">
        <v>1213</v>
      </c>
      <c r="AP3238" s="1" t="s">
        <v>515</v>
      </c>
      <c r="AQ3238" s="1">
        <v>64.46</v>
      </c>
      <c r="AR3238" s="1"/>
      <c r="AS3238" s="1"/>
      <c r="AT3238" s="1"/>
      <c r="AU3238" s="1" t="s">
        <v>98</v>
      </c>
      <c r="AV3238" s="1" t="s">
        <v>98</v>
      </c>
      <c r="AW3238" s="1"/>
      <c r="AX3238" s="1"/>
      <c r="AY3238" s="1" t="s">
        <v>680</v>
      </c>
      <c r="AZ3238" s="1" t="s">
        <v>51998</v>
      </c>
      <c r="BA3238" s="1"/>
      <c r="BB3238" s="1"/>
      <c r="BC3238" s="1" t="s">
        <v>257</v>
      </c>
      <c r="BD3238" s="1" t="s">
        <v>547</v>
      </c>
      <c r="BE3238" s="1">
        <v>56.44</v>
      </c>
      <c r="BF3238" s="1">
        <v>6.4</v>
      </c>
      <c r="BG3238" s="1"/>
      <c r="BH3238" s="1"/>
      <c r="BI3238" s="1"/>
      <c r="BJ3238" s="1"/>
      <c r="BK3238" s="1" t="s">
        <v>98</v>
      </c>
      <c r="BL3238" s="1" t="s">
        <v>98</v>
      </c>
      <c r="BM3238" s="1" t="s">
        <v>98</v>
      </c>
      <c r="BN3238" s="1" t="s">
        <v>98</v>
      </c>
      <c r="BO3238" s="1" t="s">
        <v>51999</v>
      </c>
      <c r="BP3238" s="1" t="s">
        <v>52000</v>
      </c>
      <c r="BQ3238" s="1" t="s">
        <v>3291</v>
      </c>
      <c r="BR3238" s="1" t="s">
        <v>52001</v>
      </c>
      <c r="BS3238" s="1">
        <v>28</v>
      </c>
      <c r="BT3238" s="1"/>
      <c r="BU3238" s="1" t="str">
        <f>HYPERLINK("https://nconnect.nicmar.ac.in/storage/profile/2021-2023_AP21019_196248.jpg","Download")</f>
        <v>0</v>
      </c>
      <c r="BV3238" s="3"/>
      <c r="BW3238" s="3"/>
    </row>
    <row r="3239" spans="1:75">
      <c r="A3239" s="1" t="s">
        <v>51340</v>
      </c>
      <c r="B3239" s="1" t="s">
        <v>51341</v>
      </c>
      <c r="C3239" s="1" t="s">
        <v>52002</v>
      </c>
      <c r="D3239" s="1" t="s">
        <v>52003</v>
      </c>
      <c r="E3239" s="1"/>
      <c r="F3239" s="1" t="s">
        <v>961</v>
      </c>
      <c r="G3239" s="1" t="s">
        <v>52004</v>
      </c>
      <c r="H3239" s="1" t="s">
        <v>52005</v>
      </c>
      <c r="I3239" s="1" t="s">
        <v>52006</v>
      </c>
      <c r="J3239" s="1">
        <v>9968433957</v>
      </c>
      <c r="K3239" s="1" t="s">
        <v>84</v>
      </c>
      <c r="L3239" s="1" t="s">
        <v>52007</v>
      </c>
      <c r="M3239" s="1" t="s">
        <v>86</v>
      </c>
      <c r="N3239" s="1" t="s">
        <v>246</v>
      </c>
      <c r="O3239" s="1"/>
      <c r="P3239" s="1" t="s">
        <v>507</v>
      </c>
      <c r="Q3239" s="1" t="s">
        <v>52008</v>
      </c>
      <c r="R3239" s="1" t="s">
        <v>52009</v>
      </c>
      <c r="S3239" s="1">
        <v>9868631457</v>
      </c>
      <c r="T3239" s="1" t="s">
        <v>539</v>
      </c>
      <c r="U3239" s="1" t="s">
        <v>52010</v>
      </c>
      <c r="V3239" s="1">
        <v>9868877007</v>
      </c>
      <c r="W3239" s="1" t="s">
        <v>94</v>
      </c>
      <c r="X3239" s="1" t="s">
        <v>52011</v>
      </c>
      <c r="Y3239" s="1" t="s">
        <v>1739</v>
      </c>
      <c r="Z3239" s="1" t="s">
        <v>1739</v>
      </c>
      <c r="AA3239" s="1" t="s">
        <v>52011</v>
      </c>
      <c r="AB3239" s="1" t="s">
        <v>1739</v>
      </c>
      <c r="AC3239" s="1" t="s">
        <v>1739</v>
      </c>
      <c r="AD3239" s="1" t="s">
        <v>98</v>
      </c>
      <c r="AE3239" s="1" t="s">
        <v>98</v>
      </c>
      <c r="AF3239" s="1" t="s">
        <v>52012</v>
      </c>
      <c r="AG3239" s="1" t="s">
        <v>312</v>
      </c>
      <c r="AH3239" s="1" t="s">
        <v>1214</v>
      </c>
      <c r="AI3239" s="1" t="s">
        <v>136</v>
      </c>
      <c r="AJ3239" s="1">
        <v>89.3</v>
      </c>
      <c r="AK3239" s="1">
        <v>9.4</v>
      </c>
      <c r="AL3239" s="1" t="s">
        <v>52012</v>
      </c>
      <c r="AM3239" s="1" t="s">
        <v>312</v>
      </c>
      <c r="AN3239" s="1"/>
      <c r="AO3239" s="1" t="s">
        <v>284</v>
      </c>
      <c r="AP3239" s="1" t="s">
        <v>573</v>
      </c>
      <c r="AQ3239" s="1">
        <v>88.6</v>
      </c>
      <c r="AR3239" s="1"/>
      <c r="AS3239" s="1"/>
      <c r="AT3239" s="1"/>
      <c r="AU3239" s="1" t="s">
        <v>98</v>
      </c>
      <c r="AV3239" s="1" t="s">
        <v>98</v>
      </c>
      <c r="AW3239" s="1" t="s">
        <v>98</v>
      </c>
      <c r="AX3239" s="1" t="s">
        <v>98</v>
      </c>
      <c r="AY3239" s="1" t="s">
        <v>29243</v>
      </c>
      <c r="AZ3239" s="1" t="s">
        <v>52013</v>
      </c>
      <c r="BA3239" s="1"/>
      <c r="BB3239" s="1"/>
      <c r="BC3239" s="1" t="s">
        <v>230</v>
      </c>
      <c r="BD3239" s="1" t="s">
        <v>552</v>
      </c>
      <c r="BE3239" s="1">
        <v>79.41</v>
      </c>
      <c r="BF3239" s="1"/>
      <c r="BG3239" s="1"/>
      <c r="BH3239" s="1"/>
      <c r="BI3239" s="1"/>
      <c r="BJ3239" s="1"/>
      <c r="BK3239" s="1" t="s">
        <v>98</v>
      </c>
      <c r="BL3239" s="1" t="s">
        <v>98</v>
      </c>
      <c r="BM3239" s="1" t="s">
        <v>98</v>
      </c>
      <c r="BN3239" s="1" t="s">
        <v>98</v>
      </c>
      <c r="BO3239" s="1" t="s">
        <v>52014</v>
      </c>
      <c r="BP3239" s="1"/>
      <c r="BQ3239" s="1"/>
      <c r="BR3239" s="1" t="s">
        <v>52015</v>
      </c>
      <c r="BS3239" s="1">
        <v>36</v>
      </c>
      <c r="BT3239" s="1"/>
      <c r="BU3239" s="1" t="str">
        <f>HYPERLINK("https://nconnect.nicmar.ac.in/storage/profile/2021-2023_AP21020_796324.jpg","Download")</f>
        <v>0</v>
      </c>
      <c r="BV3239" s="3"/>
      <c r="BW3239" s="3"/>
    </row>
    <row r="3240" spans="1:75">
      <c r="A3240" s="1" t="s">
        <v>51340</v>
      </c>
      <c r="B3240" s="1" t="s">
        <v>51341</v>
      </c>
      <c r="C3240" s="1" t="s">
        <v>52016</v>
      </c>
      <c r="D3240" s="1" t="s">
        <v>3493</v>
      </c>
      <c r="E3240" s="1"/>
      <c r="F3240" s="1" t="s">
        <v>27396</v>
      </c>
      <c r="G3240" s="1" t="s">
        <v>52017</v>
      </c>
      <c r="H3240" s="1" t="s">
        <v>52018</v>
      </c>
      <c r="I3240" s="1" t="s">
        <v>52019</v>
      </c>
      <c r="J3240" s="1">
        <v>8953030825</v>
      </c>
      <c r="K3240" s="1" t="s">
        <v>84</v>
      </c>
      <c r="L3240" s="1" t="s">
        <v>28799</v>
      </c>
      <c r="M3240" s="1" t="s">
        <v>86</v>
      </c>
      <c r="N3240" s="1" t="s">
        <v>246</v>
      </c>
      <c r="O3240" s="1"/>
      <c r="P3240" s="1" t="s">
        <v>455</v>
      </c>
      <c r="Q3240" s="1" t="s">
        <v>52020</v>
      </c>
      <c r="R3240" s="1" t="s">
        <v>52021</v>
      </c>
      <c r="S3240" s="1">
        <v>9415585743</v>
      </c>
      <c r="T3240" s="1" t="s">
        <v>52022</v>
      </c>
      <c r="U3240" s="1" t="s">
        <v>52023</v>
      </c>
      <c r="V3240" s="1">
        <v>9336141349</v>
      </c>
      <c r="W3240" s="1" t="s">
        <v>161</v>
      </c>
      <c r="X3240" s="1" t="s">
        <v>52024</v>
      </c>
      <c r="Y3240" s="1" t="s">
        <v>33234</v>
      </c>
      <c r="Z3240" s="1" t="s">
        <v>544</v>
      </c>
      <c r="AA3240" s="1" t="s">
        <v>52024</v>
      </c>
      <c r="AB3240" s="1" t="s">
        <v>33234</v>
      </c>
      <c r="AC3240" s="1" t="s">
        <v>544</v>
      </c>
      <c r="AD3240" s="1" t="s">
        <v>98</v>
      </c>
      <c r="AE3240" s="1" t="s">
        <v>98</v>
      </c>
      <c r="AF3240" s="1" t="s">
        <v>52025</v>
      </c>
      <c r="AG3240" s="1" t="s">
        <v>52026</v>
      </c>
      <c r="AH3240" s="1">
        <v>41001</v>
      </c>
      <c r="AI3240" s="1">
        <v>41411</v>
      </c>
      <c r="AJ3240" s="1">
        <v>66.83</v>
      </c>
      <c r="AK3240" s="1">
        <v>0</v>
      </c>
      <c r="AL3240" s="1" t="s">
        <v>30671</v>
      </c>
      <c r="AM3240" s="1" t="s">
        <v>52026</v>
      </c>
      <c r="AN3240" s="1"/>
      <c r="AO3240" s="1">
        <v>41731</v>
      </c>
      <c r="AP3240" s="1">
        <v>42149</v>
      </c>
      <c r="AQ3240" s="1">
        <v>73.8</v>
      </c>
      <c r="AR3240" s="1">
        <v>0</v>
      </c>
      <c r="AS3240" s="1"/>
      <c r="AT3240" s="1"/>
      <c r="AU3240" s="1" t="s">
        <v>98</v>
      </c>
      <c r="AV3240" s="1" t="s">
        <v>98</v>
      </c>
      <c r="AW3240" s="1" t="s">
        <v>98</v>
      </c>
      <c r="AX3240" s="1" t="s">
        <v>98</v>
      </c>
      <c r="AY3240" s="1" t="s">
        <v>52027</v>
      </c>
      <c r="AZ3240" s="1" t="s">
        <v>550</v>
      </c>
      <c r="BA3240" s="1"/>
      <c r="BB3240" s="1"/>
      <c r="BC3240" s="1">
        <v>42567</v>
      </c>
      <c r="BD3240" s="1">
        <v>44083</v>
      </c>
      <c r="BE3240" s="1">
        <v>82.7</v>
      </c>
      <c r="BF3240" s="1">
        <v>8.27</v>
      </c>
      <c r="BG3240" s="1"/>
      <c r="BH3240" s="1"/>
      <c r="BI3240" s="1"/>
      <c r="BJ3240" s="1"/>
      <c r="BK3240" s="1" t="s">
        <v>98</v>
      </c>
      <c r="BL3240" s="1" t="s">
        <v>98</v>
      </c>
      <c r="BM3240" s="1" t="s">
        <v>98</v>
      </c>
      <c r="BN3240" s="1" t="s">
        <v>98</v>
      </c>
      <c r="BO3240" s="1" t="s">
        <v>369</v>
      </c>
      <c r="BP3240" s="1"/>
      <c r="BQ3240" s="1"/>
      <c r="BR3240" s="1" t="s">
        <v>52028</v>
      </c>
      <c r="BS3240" s="1">
        <v>17</v>
      </c>
      <c r="BT3240" s="1"/>
      <c r="BU3240" s="1" t="str">
        <f>HYPERLINK("https://nconnect.nicmar.ac.in/storage/profile/2021-2023_AP21021_412698.jpeg","Download")</f>
        <v>0</v>
      </c>
      <c r="BV3240" s="3"/>
      <c r="BW3240" s="3"/>
    </row>
    <row r="3241" spans="1:75">
      <c r="A3241" s="1" t="s">
        <v>51340</v>
      </c>
      <c r="B3241" s="1" t="s">
        <v>51341</v>
      </c>
      <c r="C3241" s="1" t="s">
        <v>52029</v>
      </c>
      <c r="D3241" s="1" t="s">
        <v>42517</v>
      </c>
      <c r="E3241" s="1" t="s">
        <v>52030</v>
      </c>
      <c r="F3241" s="1" t="s">
        <v>52031</v>
      </c>
      <c r="G3241" s="1" t="s">
        <v>52032</v>
      </c>
      <c r="H3241" s="1" t="s">
        <v>52033</v>
      </c>
      <c r="I3241" s="1" t="s">
        <v>52034</v>
      </c>
      <c r="J3241" s="1">
        <v>9182614136</v>
      </c>
      <c r="K3241" s="1" t="s">
        <v>84</v>
      </c>
      <c r="L3241" s="1" t="s">
        <v>34193</v>
      </c>
      <c r="M3241" s="1" t="s">
        <v>86</v>
      </c>
      <c r="N3241" s="1" t="s">
        <v>11528</v>
      </c>
      <c r="O3241" s="1"/>
      <c r="P3241" s="1" t="s">
        <v>455</v>
      </c>
      <c r="Q3241" s="1" t="s">
        <v>52035</v>
      </c>
      <c r="R3241" s="1" t="s">
        <v>52036</v>
      </c>
      <c r="S3241" s="1">
        <v>9848093593</v>
      </c>
      <c r="T3241" s="1" t="s">
        <v>1552</v>
      </c>
      <c r="U3241" s="1" t="s">
        <v>52037</v>
      </c>
      <c r="V3241" s="1">
        <v>9948684248</v>
      </c>
      <c r="W3241" s="1" t="s">
        <v>1552</v>
      </c>
      <c r="X3241" s="1" t="s">
        <v>52038</v>
      </c>
      <c r="Y3241" s="1" t="s">
        <v>52039</v>
      </c>
      <c r="Z3241" s="1" t="s">
        <v>281</v>
      </c>
      <c r="AA3241" s="1" t="s">
        <v>52038</v>
      </c>
      <c r="AB3241" s="1" t="s">
        <v>52039</v>
      </c>
      <c r="AC3241" s="1" t="s">
        <v>281</v>
      </c>
      <c r="AD3241" s="1" t="s">
        <v>98</v>
      </c>
      <c r="AE3241" s="1" t="s">
        <v>98</v>
      </c>
      <c r="AF3241" s="1" t="s">
        <v>52040</v>
      </c>
      <c r="AG3241" s="1" t="s">
        <v>52041</v>
      </c>
      <c r="AH3241" s="1">
        <v>41713</v>
      </c>
      <c r="AI3241" s="1">
        <v>42078</v>
      </c>
      <c r="AJ3241" s="1">
        <v>88.35</v>
      </c>
      <c r="AK3241" s="1">
        <v>9.3</v>
      </c>
      <c r="AL3241" s="1" t="s">
        <v>52042</v>
      </c>
      <c r="AM3241" s="1" t="s">
        <v>52041</v>
      </c>
      <c r="AN3241" s="1"/>
      <c r="AO3241" s="1">
        <v>42444</v>
      </c>
      <c r="AP3241" s="1">
        <v>42809</v>
      </c>
      <c r="AQ3241" s="1">
        <v>91.8</v>
      </c>
      <c r="AR3241" s="1"/>
      <c r="AS3241" s="1"/>
      <c r="AT3241" s="1"/>
      <c r="AU3241" s="1" t="s">
        <v>98</v>
      </c>
      <c r="AV3241" s="1" t="s">
        <v>98</v>
      </c>
      <c r="AW3241" s="1" t="s">
        <v>98</v>
      </c>
      <c r="AX3241" s="1" t="s">
        <v>98</v>
      </c>
      <c r="AY3241" s="1" t="s">
        <v>8266</v>
      </c>
      <c r="AZ3241" s="1" t="s">
        <v>22727</v>
      </c>
      <c r="BA3241" s="1"/>
      <c r="BB3241" s="1"/>
      <c r="BC3241" s="1">
        <v>42932</v>
      </c>
      <c r="BD3241" s="1">
        <v>44392</v>
      </c>
      <c r="BE3241" s="1">
        <v>76</v>
      </c>
      <c r="BF3241" s="1">
        <v>7.6</v>
      </c>
      <c r="BG3241" s="1"/>
      <c r="BH3241" s="1"/>
      <c r="BI3241" s="1"/>
      <c r="BJ3241" s="1"/>
      <c r="BK3241" s="1" t="s">
        <v>98</v>
      </c>
      <c r="BL3241" s="1" t="s">
        <v>98</v>
      </c>
      <c r="BM3241" s="1" t="s">
        <v>98</v>
      </c>
      <c r="BN3241" s="1" t="s">
        <v>98</v>
      </c>
      <c r="BO3241" s="1" t="s">
        <v>52043</v>
      </c>
      <c r="BP3241" s="1"/>
      <c r="BQ3241" s="1"/>
      <c r="BR3241" s="1" t="s">
        <v>52044</v>
      </c>
      <c r="BS3241" s="1">
        <v>1</v>
      </c>
      <c r="BT3241" s="1"/>
      <c r="BU3241" s="1" t="str">
        <f>HYPERLINK("https://nconnect.nicmar.ac.in/storage/profile/2021-2023_AP21022_715968.png","Download")</f>
        <v>0</v>
      </c>
      <c r="BV3241" s="3"/>
      <c r="BW3241" s="3"/>
    </row>
    <row r="3242" spans="1:75">
      <c r="A3242" s="1" t="s">
        <v>51340</v>
      </c>
      <c r="B3242" s="1" t="s">
        <v>51341</v>
      </c>
      <c r="C3242" s="1" t="s">
        <v>52045</v>
      </c>
      <c r="D3242" s="1" t="s">
        <v>13908</v>
      </c>
      <c r="E3242" s="1"/>
      <c r="F3242" s="1" t="s">
        <v>1320</v>
      </c>
      <c r="G3242" s="1" t="s">
        <v>52046</v>
      </c>
      <c r="H3242" s="1" t="s">
        <v>52047</v>
      </c>
      <c r="I3242" s="1" t="s">
        <v>52048</v>
      </c>
      <c r="J3242" s="1">
        <v>9097622055</v>
      </c>
      <c r="K3242" s="1" t="s">
        <v>84</v>
      </c>
      <c r="L3242" s="1" t="s">
        <v>52049</v>
      </c>
      <c r="M3242" s="1" t="s">
        <v>86</v>
      </c>
      <c r="N3242" s="1" t="s">
        <v>87</v>
      </c>
      <c r="O3242" s="1"/>
      <c r="P3242" s="1" t="s">
        <v>1028</v>
      </c>
      <c r="Q3242" s="1" t="s">
        <v>52050</v>
      </c>
      <c r="R3242" s="1" t="s">
        <v>52051</v>
      </c>
      <c r="S3242" s="1">
        <v>9931282230</v>
      </c>
      <c r="T3242" s="1" t="s">
        <v>539</v>
      </c>
      <c r="U3242" s="1" t="s">
        <v>52052</v>
      </c>
      <c r="V3242" s="1">
        <v>9065486254</v>
      </c>
      <c r="W3242" s="1" t="s">
        <v>94</v>
      </c>
      <c r="X3242" s="1" t="s">
        <v>52053</v>
      </c>
      <c r="Y3242" s="1" t="s">
        <v>2200</v>
      </c>
      <c r="Z3242" s="1" t="s">
        <v>649</v>
      </c>
      <c r="AA3242" s="1" t="s">
        <v>52053</v>
      </c>
      <c r="AB3242" s="1" t="s">
        <v>2200</v>
      </c>
      <c r="AC3242" s="1" t="s">
        <v>649</v>
      </c>
      <c r="AD3242" s="1" t="s">
        <v>98</v>
      </c>
      <c r="AE3242" s="1" t="s">
        <v>98</v>
      </c>
      <c r="AF3242" s="1" t="s">
        <v>52054</v>
      </c>
      <c r="AG3242" s="1" t="s">
        <v>13556</v>
      </c>
      <c r="AH3242" s="1" t="s">
        <v>801</v>
      </c>
      <c r="AI3242" s="1" t="s">
        <v>25321</v>
      </c>
      <c r="AJ3242" s="1">
        <v>71</v>
      </c>
      <c r="AK3242" s="1"/>
      <c r="AL3242" s="1" t="s">
        <v>37717</v>
      </c>
      <c r="AM3242" s="1" t="s">
        <v>13556</v>
      </c>
      <c r="AN3242" s="1"/>
      <c r="AO3242" s="1" t="s">
        <v>133</v>
      </c>
      <c r="AP3242" s="1" t="s">
        <v>1262</v>
      </c>
      <c r="AQ3242" s="1">
        <v>66.6</v>
      </c>
      <c r="AR3242" s="1"/>
      <c r="AS3242" s="1"/>
      <c r="AT3242" s="1"/>
      <c r="AU3242" s="1" t="s">
        <v>98</v>
      </c>
      <c r="AV3242" s="1" t="s">
        <v>98</v>
      </c>
      <c r="AW3242" s="1" t="s">
        <v>98</v>
      </c>
      <c r="AX3242" s="1" t="s">
        <v>98</v>
      </c>
      <c r="AY3242" s="1" t="s">
        <v>1240</v>
      </c>
      <c r="AZ3242" s="1" t="s">
        <v>52055</v>
      </c>
      <c r="BA3242" s="1"/>
      <c r="BB3242" s="1"/>
      <c r="BC3242" s="1" t="s">
        <v>105</v>
      </c>
      <c r="BD3242" s="1" t="s">
        <v>438</v>
      </c>
      <c r="BE3242" s="1">
        <v>69.1</v>
      </c>
      <c r="BF3242" s="1">
        <v>7.66</v>
      </c>
      <c r="BG3242" s="1"/>
      <c r="BH3242" s="1"/>
      <c r="BI3242" s="1"/>
      <c r="BJ3242" s="1"/>
      <c r="BK3242" s="1" t="s">
        <v>98</v>
      </c>
      <c r="BL3242" s="1" t="s">
        <v>98</v>
      </c>
      <c r="BM3242" s="1" t="s">
        <v>98</v>
      </c>
      <c r="BN3242" s="1" t="s">
        <v>98</v>
      </c>
      <c r="BO3242" s="1" t="s">
        <v>52056</v>
      </c>
      <c r="BP3242" s="1" t="s">
        <v>52057</v>
      </c>
      <c r="BQ3242" s="1" t="s">
        <v>21121</v>
      </c>
      <c r="BR3242" s="1" t="s">
        <v>52058</v>
      </c>
      <c r="BS3242" s="1">
        <v>17</v>
      </c>
      <c r="BT3242" s="1"/>
      <c r="BU3242" s="1" t="str">
        <f>HYPERLINK("https://nconnect.nicmar.ac.in/storage/profile/2021-2023_AP21023_586971.jpg","Download")</f>
        <v>0</v>
      </c>
      <c r="BV3242" s="3"/>
      <c r="BW3242" s="3"/>
    </row>
    <row r="3243" spans="1:75">
      <c r="A3243" s="1" t="s">
        <v>51340</v>
      </c>
      <c r="B3243" s="1" t="s">
        <v>51341</v>
      </c>
      <c r="C3243" s="1" t="s">
        <v>52059</v>
      </c>
      <c r="D3243" s="1" t="s">
        <v>8714</v>
      </c>
      <c r="E3243" s="1" t="s">
        <v>35741</v>
      </c>
      <c r="F3243" s="1" t="s">
        <v>52060</v>
      </c>
      <c r="G3243" s="1" t="s">
        <v>52061</v>
      </c>
      <c r="H3243" s="1" t="s">
        <v>52062</v>
      </c>
      <c r="I3243" s="1" t="s">
        <v>52063</v>
      </c>
      <c r="J3243" s="1">
        <v>9924719687</v>
      </c>
      <c r="K3243" s="1" t="s">
        <v>84</v>
      </c>
      <c r="L3243" s="1" t="s">
        <v>52064</v>
      </c>
      <c r="M3243" s="1" t="s">
        <v>86</v>
      </c>
      <c r="N3243" s="1" t="s">
        <v>6641</v>
      </c>
      <c r="O3243" s="1"/>
      <c r="P3243" s="1" t="s">
        <v>455</v>
      </c>
      <c r="Q3243" s="1" t="s">
        <v>52065</v>
      </c>
      <c r="R3243" s="1" t="s">
        <v>52066</v>
      </c>
      <c r="S3243" s="1">
        <v>9825061334</v>
      </c>
      <c r="T3243" s="1" t="s">
        <v>839</v>
      </c>
      <c r="U3243" s="1" t="s">
        <v>52067</v>
      </c>
      <c r="V3243" s="1">
        <v>8200367419</v>
      </c>
      <c r="W3243" s="1" t="s">
        <v>94</v>
      </c>
      <c r="X3243" s="1" t="s">
        <v>52068</v>
      </c>
      <c r="Y3243" s="1" t="s">
        <v>11706</v>
      </c>
      <c r="Z3243" s="1" t="s">
        <v>676</v>
      </c>
      <c r="AA3243" s="1" t="s">
        <v>52069</v>
      </c>
      <c r="AB3243" s="1" t="s">
        <v>196</v>
      </c>
      <c r="AC3243" s="1" t="s">
        <v>97</v>
      </c>
      <c r="AD3243" s="1" t="s">
        <v>98</v>
      </c>
      <c r="AE3243" s="1" t="s">
        <v>98</v>
      </c>
      <c r="AF3243" s="1" t="s">
        <v>52070</v>
      </c>
      <c r="AG3243" s="1" t="s">
        <v>52071</v>
      </c>
      <c r="AH3243" s="1">
        <v>41334</v>
      </c>
      <c r="AI3243" s="1">
        <v>41699</v>
      </c>
      <c r="AJ3243" s="1">
        <v>72.16</v>
      </c>
      <c r="AK3243" s="1"/>
      <c r="AL3243" s="1" t="s">
        <v>52070</v>
      </c>
      <c r="AM3243" s="1" t="s">
        <v>52071</v>
      </c>
      <c r="AN3243" s="1"/>
      <c r="AO3243" s="1">
        <v>42125</v>
      </c>
      <c r="AP3243" s="1">
        <v>42430</v>
      </c>
      <c r="AQ3243" s="1">
        <v>51.6</v>
      </c>
      <c r="AR3243" s="1"/>
      <c r="AS3243" s="1"/>
      <c r="AT3243" s="1"/>
      <c r="AU3243" s="1" t="s">
        <v>98</v>
      </c>
      <c r="AV3243" s="1" t="s">
        <v>98</v>
      </c>
      <c r="AW3243" s="1" t="s">
        <v>98</v>
      </c>
      <c r="AX3243" s="1" t="s">
        <v>98</v>
      </c>
      <c r="AY3243" s="1" t="s">
        <v>5241</v>
      </c>
      <c r="AZ3243" s="1" t="s">
        <v>29137</v>
      </c>
      <c r="BA3243" s="1"/>
      <c r="BB3243" s="1"/>
      <c r="BC3243" s="1">
        <v>42522</v>
      </c>
      <c r="BD3243" s="1">
        <v>44044</v>
      </c>
      <c r="BE3243" s="1">
        <v>68.8</v>
      </c>
      <c r="BF3243" s="1">
        <v>7.38</v>
      </c>
      <c r="BG3243" s="1"/>
      <c r="BH3243" s="1"/>
      <c r="BI3243" s="1"/>
      <c r="BJ3243" s="1"/>
      <c r="BK3243" s="1" t="s">
        <v>98</v>
      </c>
      <c r="BL3243" s="1" t="s">
        <v>98</v>
      </c>
      <c r="BM3243" s="1" t="s">
        <v>98</v>
      </c>
      <c r="BN3243" s="1" t="s">
        <v>98</v>
      </c>
      <c r="BO3243" s="1" t="s">
        <v>1114</v>
      </c>
      <c r="BP3243" s="1"/>
      <c r="BQ3243" s="1"/>
      <c r="BR3243" s="1" t="s">
        <v>52072</v>
      </c>
      <c r="BS3243" s="1">
        <v>16</v>
      </c>
      <c r="BT3243" s="1"/>
      <c r="BU3243" s="1" t="str">
        <f>HYPERLINK("https://nconnect.nicmar.ac.in/storage/profile/2021-2023_AP21024_257148.png","Download")</f>
        <v>0</v>
      </c>
      <c r="BV3243" s="3"/>
      <c r="BW3243" s="3"/>
    </row>
    <row r="3244" spans="1:75">
      <c r="A3244" s="1" t="s">
        <v>51340</v>
      </c>
      <c r="B3244" s="1" t="s">
        <v>51341</v>
      </c>
      <c r="C3244" s="1" t="s">
        <v>52073</v>
      </c>
      <c r="D3244" s="1" t="s">
        <v>52074</v>
      </c>
      <c r="E3244" s="1" t="s">
        <v>9208</v>
      </c>
      <c r="F3244" s="1" t="s">
        <v>29672</v>
      </c>
      <c r="G3244" s="1" t="s">
        <v>52075</v>
      </c>
      <c r="H3244" s="1" t="s">
        <v>52076</v>
      </c>
      <c r="I3244" s="1" t="s">
        <v>52077</v>
      </c>
      <c r="J3244" s="1">
        <v>7350375299</v>
      </c>
      <c r="K3244" s="1" t="s">
        <v>153</v>
      </c>
      <c r="L3244" s="1" t="s">
        <v>52078</v>
      </c>
      <c r="M3244" s="1" t="s">
        <v>86</v>
      </c>
      <c r="N3244" s="1" t="s">
        <v>1163</v>
      </c>
      <c r="O3244" s="1"/>
      <c r="P3244" s="1" t="s">
        <v>507</v>
      </c>
      <c r="Q3244" s="1" t="s">
        <v>52079</v>
      </c>
      <c r="R3244" s="1" t="s">
        <v>52080</v>
      </c>
      <c r="S3244" s="1">
        <v>9923484849</v>
      </c>
      <c r="T3244" s="1" t="s">
        <v>539</v>
      </c>
      <c r="U3244" s="1" t="s">
        <v>52081</v>
      </c>
      <c r="V3244" s="1">
        <v>9923118849</v>
      </c>
      <c r="W3244" s="1" t="s">
        <v>94</v>
      </c>
      <c r="X3244" s="1" t="s">
        <v>52082</v>
      </c>
      <c r="Y3244" s="1" t="s">
        <v>410</v>
      </c>
      <c r="Z3244" s="1" t="s">
        <v>97</v>
      </c>
      <c r="AA3244" s="1" t="s">
        <v>52083</v>
      </c>
      <c r="AB3244" s="1" t="s">
        <v>196</v>
      </c>
      <c r="AC3244" s="1" t="s">
        <v>97</v>
      </c>
      <c r="AD3244" s="1" t="s">
        <v>98</v>
      </c>
      <c r="AE3244" s="1" t="s">
        <v>98</v>
      </c>
      <c r="AF3244" s="1" t="s">
        <v>52084</v>
      </c>
      <c r="AG3244" s="1" t="s">
        <v>2745</v>
      </c>
      <c r="AH3244" s="1">
        <v>40603</v>
      </c>
      <c r="AI3244" s="1">
        <v>40999</v>
      </c>
      <c r="AJ3244" s="1">
        <v>85.4</v>
      </c>
      <c r="AK3244" s="1"/>
      <c r="AL3244" s="1" t="s">
        <v>52085</v>
      </c>
      <c r="AM3244" s="1" t="s">
        <v>2745</v>
      </c>
      <c r="AN3244" s="1"/>
      <c r="AO3244" s="1">
        <v>41306</v>
      </c>
      <c r="AP3244" s="1">
        <v>41698</v>
      </c>
      <c r="AQ3244" s="1">
        <v>60.62</v>
      </c>
      <c r="AR3244" s="1"/>
      <c r="AS3244" s="1"/>
      <c r="AT3244" s="1"/>
      <c r="AU3244" s="1" t="s">
        <v>98</v>
      </c>
      <c r="AV3244" s="1" t="s">
        <v>98</v>
      </c>
      <c r="AW3244" s="1" t="s">
        <v>98</v>
      </c>
      <c r="AX3244" s="1" t="s">
        <v>98</v>
      </c>
      <c r="AY3244" s="1" t="s">
        <v>997</v>
      </c>
      <c r="AZ3244" s="1" t="s">
        <v>10685</v>
      </c>
      <c r="BA3244" s="1"/>
      <c r="BB3244" s="1"/>
      <c r="BC3244" s="1">
        <v>41823</v>
      </c>
      <c r="BD3244" s="1">
        <v>43653</v>
      </c>
      <c r="BE3244" s="1">
        <v>59</v>
      </c>
      <c r="BF3244" s="1">
        <v>6.5</v>
      </c>
      <c r="BG3244" s="1"/>
      <c r="BH3244" s="1"/>
      <c r="BI3244" s="1"/>
      <c r="BJ3244" s="1"/>
      <c r="BK3244" s="1" t="s">
        <v>98</v>
      </c>
      <c r="BL3244" s="1" t="s">
        <v>98</v>
      </c>
      <c r="BM3244" s="1" t="s">
        <v>98</v>
      </c>
      <c r="BN3244" s="1" t="s">
        <v>98</v>
      </c>
      <c r="BO3244" s="1" t="s">
        <v>52086</v>
      </c>
      <c r="BP3244" s="1" t="s">
        <v>52087</v>
      </c>
      <c r="BQ3244" s="1" t="s">
        <v>9606</v>
      </c>
      <c r="BR3244" s="1" t="s">
        <v>52088</v>
      </c>
      <c r="BS3244" s="1">
        <v>47</v>
      </c>
      <c r="BT3244" s="1"/>
      <c r="BU3244" s="1" t="str">
        <f>HYPERLINK("https://nconnect.nicmar.ac.in/storage/profile/2021-2023_AP21025_824153.jpg","Download")</f>
        <v>0</v>
      </c>
      <c r="BV3244" s="3"/>
      <c r="BW3244" s="3"/>
    </row>
    <row r="3245" spans="1:75">
      <c r="A3245" s="1" t="s">
        <v>51340</v>
      </c>
      <c r="B3245" s="1" t="s">
        <v>51341</v>
      </c>
      <c r="C3245" s="1" t="s">
        <v>52089</v>
      </c>
      <c r="D3245" s="1" t="s">
        <v>1118</v>
      </c>
      <c r="E3245" s="1"/>
      <c r="F3245" s="1" t="s">
        <v>29690</v>
      </c>
      <c r="G3245" s="1" t="s">
        <v>52090</v>
      </c>
      <c r="H3245" s="1" t="s">
        <v>52091</v>
      </c>
      <c r="I3245" s="1" t="s">
        <v>52092</v>
      </c>
      <c r="J3245" s="1">
        <v>7011464607</v>
      </c>
      <c r="K3245" s="1" t="s">
        <v>84</v>
      </c>
      <c r="L3245" s="1" t="s">
        <v>52093</v>
      </c>
      <c r="M3245" s="1" t="s">
        <v>86</v>
      </c>
      <c r="N3245" s="1" t="s">
        <v>39882</v>
      </c>
      <c r="O3245" s="1"/>
      <c r="P3245" s="1" t="s">
        <v>507</v>
      </c>
      <c r="Q3245" s="1" t="s">
        <v>52094</v>
      </c>
      <c r="R3245" s="1" t="s">
        <v>52095</v>
      </c>
      <c r="S3245" s="1">
        <v>9313086310</v>
      </c>
      <c r="T3245" s="1" t="s">
        <v>839</v>
      </c>
      <c r="U3245" s="1" t="s">
        <v>52096</v>
      </c>
      <c r="V3245" s="1">
        <v>7017611754</v>
      </c>
      <c r="W3245" s="1" t="s">
        <v>94</v>
      </c>
      <c r="X3245" s="1" t="s">
        <v>52097</v>
      </c>
      <c r="Y3245" s="1" t="s">
        <v>3767</v>
      </c>
      <c r="Z3245" s="1" t="s">
        <v>544</v>
      </c>
      <c r="AA3245" s="1" t="s">
        <v>52098</v>
      </c>
      <c r="AB3245" s="1" t="s">
        <v>3767</v>
      </c>
      <c r="AC3245" s="1" t="s">
        <v>544</v>
      </c>
      <c r="AD3245" s="1" t="s">
        <v>98</v>
      </c>
      <c r="AE3245" s="1" t="s">
        <v>98</v>
      </c>
      <c r="AF3245" s="1" t="s">
        <v>52099</v>
      </c>
      <c r="AG3245" s="1" t="s">
        <v>52100</v>
      </c>
      <c r="AH3245" s="1">
        <v>40969</v>
      </c>
      <c r="AI3245" s="1">
        <v>41338</v>
      </c>
      <c r="AJ3245" s="1">
        <v>56.5</v>
      </c>
      <c r="AK3245" s="1"/>
      <c r="AL3245" s="1" t="s">
        <v>29700</v>
      </c>
      <c r="AM3245" s="1" t="s">
        <v>312</v>
      </c>
      <c r="AN3245" s="1"/>
      <c r="AO3245" s="1">
        <v>41730</v>
      </c>
      <c r="AP3245" s="1">
        <v>42149</v>
      </c>
      <c r="AQ3245" s="1">
        <v>52.4</v>
      </c>
      <c r="AR3245" s="1"/>
      <c r="AS3245" s="1"/>
      <c r="AT3245" s="1"/>
      <c r="AU3245" s="1" t="s">
        <v>98</v>
      </c>
      <c r="AV3245" s="1" t="s">
        <v>98</v>
      </c>
      <c r="AW3245" s="1" t="s">
        <v>98</v>
      </c>
      <c r="AX3245" s="1" t="s">
        <v>98</v>
      </c>
      <c r="AY3245" s="1"/>
      <c r="AZ3245" s="1"/>
      <c r="BA3245" s="1"/>
      <c r="BB3245" s="1"/>
      <c r="BC3245" s="1">
        <v>42217</v>
      </c>
      <c r="BD3245" s="1">
        <v>43642</v>
      </c>
      <c r="BE3245" s="1">
        <v>68.86</v>
      </c>
      <c r="BF3245" s="1" t="s">
        <v>98</v>
      </c>
      <c r="BG3245" s="1"/>
      <c r="BH3245" s="1"/>
      <c r="BI3245" s="1"/>
      <c r="BJ3245" s="1"/>
      <c r="BK3245" s="1" t="s">
        <v>98</v>
      </c>
      <c r="BL3245" s="1" t="s">
        <v>98</v>
      </c>
      <c r="BM3245" s="1" t="s">
        <v>98</v>
      </c>
      <c r="BN3245" s="1" t="s">
        <v>98</v>
      </c>
      <c r="BO3245" s="1" t="s">
        <v>260</v>
      </c>
      <c r="BP3245" s="1" t="s">
        <v>52101</v>
      </c>
      <c r="BQ3245" s="1" t="s">
        <v>8010</v>
      </c>
      <c r="BR3245" s="1" t="s">
        <v>52102</v>
      </c>
      <c r="BS3245" s="1">
        <v>196</v>
      </c>
      <c r="BT3245" s="1"/>
      <c r="BU3245" s="1" t="str">
        <f>HYPERLINK("https://nconnect.nicmar.ac.in/storage/profile/2021-2023_AP21026_861473.jpg","Download")</f>
        <v>0</v>
      </c>
      <c r="BV3245" s="3"/>
      <c r="BW3245" s="3"/>
    </row>
    <row r="3246" spans="1:75">
      <c r="A3246" s="1" t="s">
        <v>51340</v>
      </c>
      <c r="B3246" s="1" t="s">
        <v>51341</v>
      </c>
      <c r="C3246" s="1" t="s">
        <v>52103</v>
      </c>
      <c r="D3246" s="1" t="s">
        <v>52104</v>
      </c>
      <c r="E3246" s="1"/>
      <c r="F3246" s="1" t="s">
        <v>961</v>
      </c>
      <c r="G3246" s="1" t="s">
        <v>52105</v>
      </c>
      <c r="H3246" s="1" t="s">
        <v>52106</v>
      </c>
      <c r="I3246" s="1" t="s">
        <v>52107</v>
      </c>
      <c r="J3246" s="1">
        <v>9179099667</v>
      </c>
      <c r="K3246" s="1" t="s">
        <v>84</v>
      </c>
      <c r="L3246" s="1" t="s">
        <v>505</v>
      </c>
      <c r="M3246" s="1" t="s">
        <v>86</v>
      </c>
      <c r="N3246" s="1" t="s">
        <v>87</v>
      </c>
      <c r="O3246" s="1"/>
      <c r="P3246" s="1" t="s">
        <v>481</v>
      </c>
      <c r="Q3246" s="1" t="s">
        <v>52108</v>
      </c>
      <c r="R3246" s="1" t="s">
        <v>52109</v>
      </c>
      <c r="S3246" s="1">
        <v>9826299681</v>
      </c>
      <c r="T3246" s="1" t="s">
        <v>52110</v>
      </c>
      <c r="U3246" s="1" t="s">
        <v>52111</v>
      </c>
      <c r="V3246" s="1">
        <v>8827394230</v>
      </c>
      <c r="W3246" s="1" t="s">
        <v>161</v>
      </c>
      <c r="X3246" s="1" t="s">
        <v>52112</v>
      </c>
      <c r="Y3246" s="1" t="s">
        <v>5641</v>
      </c>
      <c r="Z3246" s="1" t="s">
        <v>3419</v>
      </c>
      <c r="AA3246" s="1" t="s">
        <v>52112</v>
      </c>
      <c r="AB3246" s="1" t="s">
        <v>5641</v>
      </c>
      <c r="AC3246" s="1" t="s">
        <v>3419</v>
      </c>
      <c r="AD3246" s="1" t="s">
        <v>98</v>
      </c>
      <c r="AE3246" s="1" t="s">
        <v>98</v>
      </c>
      <c r="AF3246" s="1" t="s">
        <v>52113</v>
      </c>
      <c r="AG3246" s="1" t="s">
        <v>312</v>
      </c>
      <c r="AH3246" s="1">
        <v>41741</v>
      </c>
      <c r="AI3246" s="1">
        <v>42136</v>
      </c>
      <c r="AJ3246" s="1">
        <v>81.7</v>
      </c>
      <c r="AK3246" s="1">
        <v>8.6</v>
      </c>
      <c r="AL3246" s="1" t="s">
        <v>52114</v>
      </c>
      <c r="AM3246" s="1" t="s">
        <v>312</v>
      </c>
      <c r="AN3246" s="1"/>
      <c r="AO3246" s="1">
        <v>42472</v>
      </c>
      <c r="AP3246" s="1">
        <v>42870</v>
      </c>
      <c r="AQ3246" s="1">
        <v>72.2</v>
      </c>
      <c r="AR3246" s="1"/>
      <c r="AS3246" s="1"/>
      <c r="AT3246" s="1"/>
      <c r="AU3246" s="1" t="s">
        <v>98</v>
      </c>
      <c r="AV3246" s="1" t="s">
        <v>98</v>
      </c>
      <c r="AW3246" s="1" t="s">
        <v>98</v>
      </c>
      <c r="AX3246" s="1" t="s">
        <v>98</v>
      </c>
      <c r="AY3246" s="1" t="s">
        <v>11448</v>
      </c>
      <c r="AZ3246" s="1" t="s">
        <v>52115</v>
      </c>
      <c r="BA3246" s="1"/>
      <c r="BB3246" s="1"/>
      <c r="BC3246" s="1">
        <v>42964</v>
      </c>
      <c r="BD3246" s="1">
        <v>44422</v>
      </c>
      <c r="BE3246" s="1">
        <v>78.1</v>
      </c>
      <c r="BF3246" s="1">
        <v>7.81</v>
      </c>
      <c r="BG3246" s="1"/>
      <c r="BH3246" s="1"/>
      <c r="BI3246" s="1"/>
      <c r="BJ3246" s="1"/>
      <c r="BK3246" s="1" t="s">
        <v>98</v>
      </c>
      <c r="BL3246" s="1" t="s">
        <v>98</v>
      </c>
      <c r="BM3246" s="1" t="s">
        <v>98</v>
      </c>
      <c r="BN3246" s="1" t="s">
        <v>98</v>
      </c>
      <c r="BO3246" s="1" t="s">
        <v>260</v>
      </c>
      <c r="BP3246" s="1"/>
      <c r="BQ3246" s="1"/>
      <c r="BR3246" s="1" t="s">
        <v>52116</v>
      </c>
      <c r="BS3246" s="1">
        <v>13</v>
      </c>
      <c r="BT3246" s="1"/>
      <c r="BU3246" s="1" t="str">
        <f>HYPERLINK("https://nconnect.nicmar.ac.in/storage/profile/2021-2023_AP21027_437625.jpg","Download")</f>
        <v>0</v>
      </c>
      <c r="BV3246" s="3"/>
      <c r="BW3246" s="3"/>
    </row>
    <row r="3247" spans="1:75">
      <c r="A3247" s="1" t="s">
        <v>51340</v>
      </c>
      <c r="B3247" s="1" t="s">
        <v>51341</v>
      </c>
      <c r="C3247" s="1" t="s">
        <v>52117</v>
      </c>
      <c r="D3247" s="1" t="s">
        <v>52118</v>
      </c>
      <c r="E3247" s="1"/>
      <c r="F3247" s="1" t="s">
        <v>3910</v>
      </c>
      <c r="G3247" s="1" t="s">
        <v>52119</v>
      </c>
      <c r="H3247" s="1" t="s">
        <v>52120</v>
      </c>
      <c r="I3247" s="1" t="s">
        <v>52121</v>
      </c>
      <c r="J3247" s="1">
        <v>9899718842</v>
      </c>
      <c r="K3247" s="1" t="s">
        <v>153</v>
      </c>
      <c r="L3247" s="1" t="s">
        <v>26957</v>
      </c>
      <c r="M3247" s="1" t="s">
        <v>86</v>
      </c>
      <c r="N3247" s="1" t="s">
        <v>881</v>
      </c>
      <c r="O3247" s="1"/>
      <c r="P3247" s="1" t="s">
        <v>507</v>
      </c>
      <c r="Q3247" s="1" t="s">
        <v>52122</v>
      </c>
      <c r="R3247" s="1" t="s">
        <v>52123</v>
      </c>
      <c r="S3247" s="1">
        <v>9810134885</v>
      </c>
      <c r="T3247" s="1" t="s">
        <v>37196</v>
      </c>
      <c r="U3247" s="1" t="s">
        <v>52124</v>
      </c>
      <c r="V3247" s="1">
        <v>9871042848</v>
      </c>
      <c r="W3247" s="1" t="s">
        <v>94</v>
      </c>
      <c r="X3247" s="1" t="s">
        <v>52125</v>
      </c>
      <c r="Y3247" s="1"/>
      <c r="Z3247" s="1" t="s">
        <v>1739</v>
      </c>
      <c r="AA3247" s="1" t="s">
        <v>52125</v>
      </c>
      <c r="AB3247" s="1" t="s">
        <v>32752</v>
      </c>
      <c r="AC3247" s="1" t="s">
        <v>1739</v>
      </c>
      <c r="AD3247" s="1" t="s">
        <v>98</v>
      </c>
      <c r="AE3247" s="1" t="s">
        <v>98</v>
      </c>
      <c r="AF3247" s="1" t="s">
        <v>52126</v>
      </c>
      <c r="AG3247" s="1" t="s">
        <v>312</v>
      </c>
      <c r="AH3247" s="1" t="s">
        <v>1214</v>
      </c>
      <c r="AI3247" s="1" t="s">
        <v>136</v>
      </c>
      <c r="AJ3247" s="1">
        <v>83.6</v>
      </c>
      <c r="AK3247" s="1">
        <v>8.8</v>
      </c>
      <c r="AL3247" s="1" t="s">
        <v>52126</v>
      </c>
      <c r="AM3247" s="1" t="s">
        <v>312</v>
      </c>
      <c r="AN3247" s="1"/>
      <c r="AO3247" s="1" t="s">
        <v>284</v>
      </c>
      <c r="AP3247" s="1" t="s">
        <v>573</v>
      </c>
      <c r="AQ3247" s="1">
        <v>75.6</v>
      </c>
      <c r="AR3247" s="1">
        <v>0</v>
      </c>
      <c r="AS3247" s="1"/>
      <c r="AT3247" s="1"/>
      <c r="AU3247" s="1" t="s">
        <v>98</v>
      </c>
      <c r="AV3247" s="1" t="s">
        <v>98</v>
      </c>
      <c r="AW3247" s="1"/>
      <c r="AX3247" s="1"/>
      <c r="AY3247" s="1" t="s">
        <v>6995</v>
      </c>
      <c r="AZ3247" s="1" t="s">
        <v>22727</v>
      </c>
      <c r="BA3247" s="1"/>
      <c r="BB3247" s="1"/>
      <c r="BC3247" s="1" t="s">
        <v>388</v>
      </c>
      <c r="BD3247" s="1" t="s">
        <v>441</v>
      </c>
      <c r="BE3247" s="1">
        <v>71.11</v>
      </c>
      <c r="BF3247" s="1">
        <v>7.11</v>
      </c>
      <c r="BG3247" s="1"/>
      <c r="BH3247" s="1"/>
      <c r="BI3247" s="1"/>
      <c r="BJ3247" s="1"/>
      <c r="BK3247" s="1" t="s">
        <v>98</v>
      </c>
      <c r="BL3247" s="1" t="s">
        <v>98</v>
      </c>
      <c r="BM3247" s="1" t="s">
        <v>98</v>
      </c>
      <c r="BN3247" s="1" t="s">
        <v>98</v>
      </c>
      <c r="BO3247" s="1" t="s">
        <v>1114</v>
      </c>
      <c r="BP3247" s="1"/>
      <c r="BQ3247" s="1"/>
      <c r="BR3247" s="1" t="s">
        <v>52127</v>
      </c>
      <c r="BS3247" s="1">
        <v>15</v>
      </c>
      <c r="BT3247" s="1"/>
      <c r="BU3247" s="1" t="str">
        <f>HYPERLINK("https://nconnect.nicmar.ac.in/storage/profile/2021-2023_AP21028_231648.jpeg","Download")</f>
        <v>0</v>
      </c>
      <c r="BV3247" s="3"/>
      <c r="BW3247" s="3"/>
    </row>
    <row r="3248" spans="1:75">
      <c r="A3248" s="1" t="s">
        <v>51340</v>
      </c>
      <c r="B3248" s="1" t="s">
        <v>51341</v>
      </c>
      <c r="C3248" s="1" t="s">
        <v>52128</v>
      </c>
      <c r="D3248" s="1" t="s">
        <v>52129</v>
      </c>
      <c r="E3248" s="1"/>
      <c r="F3248" s="1" t="s">
        <v>3271</v>
      </c>
      <c r="G3248" s="1" t="s">
        <v>52130</v>
      </c>
      <c r="H3248" s="1" t="s">
        <v>52131</v>
      </c>
      <c r="I3248" s="1" t="s">
        <v>52132</v>
      </c>
      <c r="J3248" s="1">
        <v>8240379694</v>
      </c>
      <c r="K3248" s="1" t="s">
        <v>153</v>
      </c>
      <c r="L3248" s="1" t="s">
        <v>29927</v>
      </c>
      <c r="M3248" s="1" t="s">
        <v>86</v>
      </c>
      <c r="N3248" s="1" t="s">
        <v>33137</v>
      </c>
      <c r="O3248" s="1"/>
      <c r="P3248" s="1" t="s">
        <v>481</v>
      </c>
      <c r="Q3248" s="1" t="s">
        <v>52133</v>
      </c>
      <c r="R3248" s="1" t="s">
        <v>52134</v>
      </c>
      <c r="S3248" s="1">
        <v>7044090839</v>
      </c>
      <c r="T3248" s="1" t="s">
        <v>539</v>
      </c>
      <c r="U3248" s="1" t="s">
        <v>52135</v>
      </c>
      <c r="V3248" s="1">
        <v>7890751780</v>
      </c>
      <c r="W3248" s="1" t="s">
        <v>94</v>
      </c>
      <c r="X3248" s="1" t="s">
        <v>52136</v>
      </c>
      <c r="Y3248" s="1" t="s">
        <v>3282</v>
      </c>
      <c r="Z3248" s="1" t="s">
        <v>1234</v>
      </c>
      <c r="AA3248" s="1" t="s">
        <v>52136</v>
      </c>
      <c r="AB3248" s="1" t="s">
        <v>3282</v>
      </c>
      <c r="AC3248" s="1" t="s">
        <v>1234</v>
      </c>
      <c r="AD3248" s="1" t="s">
        <v>98</v>
      </c>
      <c r="AE3248" s="1" t="s">
        <v>98</v>
      </c>
      <c r="AF3248" s="1" t="s">
        <v>52137</v>
      </c>
      <c r="AG3248" s="1" t="s">
        <v>312</v>
      </c>
      <c r="AH3248" s="1">
        <v>40269</v>
      </c>
      <c r="AI3248" s="1">
        <v>40695</v>
      </c>
      <c r="AJ3248" s="1">
        <v>91.2</v>
      </c>
      <c r="AK3248" s="1">
        <v>9.6</v>
      </c>
      <c r="AL3248" s="1" t="s">
        <v>1060</v>
      </c>
      <c r="AM3248" s="1" t="s">
        <v>312</v>
      </c>
      <c r="AN3248" s="1"/>
      <c r="AO3248" s="1">
        <v>41000</v>
      </c>
      <c r="AP3248" s="1">
        <v>41421</v>
      </c>
      <c r="AQ3248" s="1">
        <v>73.4</v>
      </c>
      <c r="AR3248" s="1"/>
      <c r="AS3248" s="1"/>
      <c r="AT3248" s="1"/>
      <c r="AU3248" s="1" t="s">
        <v>98</v>
      </c>
      <c r="AV3248" s="1" t="s">
        <v>98</v>
      </c>
      <c r="AW3248" s="1" t="s">
        <v>98</v>
      </c>
      <c r="AX3248" s="1" t="s">
        <v>98</v>
      </c>
      <c r="AY3248" s="1" t="s">
        <v>12278</v>
      </c>
      <c r="AZ3248" s="1" t="s">
        <v>52138</v>
      </c>
      <c r="BA3248" s="1"/>
      <c r="BB3248" s="1"/>
      <c r="BC3248" s="1">
        <v>41801</v>
      </c>
      <c r="BD3248" s="1">
        <v>43288</v>
      </c>
      <c r="BE3248" s="1">
        <v>78.6</v>
      </c>
      <c r="BF3248" s="1">
        <v>8.61</v>
      </c>
      <c r="BG3248" s="1"/>
      <c r="BH3248" s="1"/>
      <c r="BI3248" s="1"/>
      <c r="BJ3248" s="1"/>
      <c r="BK3248" s="1" t="s">
        <v>98</v>
      </c>
      <c r="BL3248" s="1" t="s">
        <v>98</v>
      </c>
      <c r="BM3248" s="1" t="s">
        <v>98</v>
      </c>
      <c r="BN3248" s="1" t="s">
        <v>98</v>
      </c>
      <c r="BO3248" s="1" t="s">
        <v>28530</v>
      </c>
      <c r="BP3248" s="1" t="s">
        <v>52139</v>
      </c>
      <c r="BQ3248" s="1" t="s">
        <v>1152</v>
      </c>
      <c r="BR3248" s="1" t="s">
        <v>52140</v>
      </c>
      <c r="BS3248" s="1">
        <v>15</v>
      </c>
      <c r="BT3248" s="1"/>
      <c r="BU3248" s="1" t="str">
        <f>HYPERLINK("https://nconnect.nicmar.ac.in/storage/profile/2021-2023_AP21029_419756.jpg","Download")</f>
        <v>0</v>
      </c>
      <c r="BV3248" s="3"/>
      <c r="BW3248" s="3"/>
    </row>
    <row r="3249" spans="1:75">
      <c r="A3249" s="1" t="s">
        <v>51340</v>
      </c>
      <c r="B3249" s="1" t="s">
        <v>51341</v>
      </c>
      <c r="C3249" s="1" t="s">
        <v>52141</v>
      </c>
      <c r="D3249" s="1" t="s">
        <v>25270</v>
      </c>
      <c r="E3249" s="1"/>
      <c r="F3249" s="1" t="s">
        <v>52142</v>
      </c>
      <c r="G3249" s="1" t="s">
        <v>52143</v>
      </c>
      <c r="H3249" s="1" t="s">
        <v>52144</v>
      </c>
      <c r="I3249" s="1" t="s">
        <v>52145</v>
      </c>
      <c r="J3249" s="1">
        <v>8476029209</v>
      </c>
      <c r="K3249" s="1" t="s">
        <v>84</v>
      </c>
      <c r="L3249" s="1" t="s">
        <v>52146</v>
      </c>
      <c r="M3249" s="1" t="s">
        <v>86</v>
      </c>
      <c r="N3249" s="1" t="s">
        <v>246</v>
      </c>
      <c r="O3249" s="1"/>
      <c r="P3249" s="1" t="s">
        <v>507</v>
      </c>
      <c r="Q3249" s="1" t="s">
        <v>52147</v>
      </c>
      <c r="R3249" s="1" t="s">
        <v>52148</v>
      </c>
      <c r="S3249" s="1">
        <v>9634744147</v>
      </c>
      <c r="T3249" s="1" t="s">
        <v>539</v>
      </c>
      <c r="U3249" s="1" t="s">
        <v>52149</v>
      </c>
      <c r="V3249" s="1">
        <v>9557075795</v>
      </c>
      <c r="W3249" s="1" t="s">
        <v>94</v>
      </c>
      <c r="X3249" s="1" t="s">
        <v>52150</v>
      </c>
      <c r="Y3249" s="1" t="s">
        <v>19101</v>
      </c>
      <c r="Z3249" s="1" t="s">
        <v>7930</v>
      </c>
      <c r="AA3249" s="1" t="s">
        <v>52150</v>
      </c>
      <c r="AB3249" s="1" t="s">
        <v>19101</v>
      </c>
      <c r="AC3249" s="1" t="s">
        <v>7930</v>
      </c>
      <c r="AD3249" s="1" t="s">
        <v>98</v>
      </c>
      <c r="AE3249" s="1" t="s">
        <v>98</v>
      </c>
      <c r="AF3249" s="1" t="s">
        <v>52151</v>
      </c>
      <c r="AG3249" s="1" t="s">
        <v>312</v>
      </c>
      <c r="AH3249" s="1">
        <v>40634</v>
      </c>
      <c r="AI3249" s="1">
        <v>41053</v>
      </c>
      <c r="AJ3249" s="1">
        <v>93.1</v>
      </c>
      <c r="AK3249" s="1">
        <v>9.8</v>
      </c>
      <c r="AL3249" s="1" t="s">
        <v>52152</v>
      </c>
      <c r="AM3249" s="1" t="s">
        <v>312</v>
      </c>
      <c r="AN3249" s="1"/>
      <c r="AO3249" s="1">
        <v>41365</v>
      </c>
      <c r="AP3249" s="1">
        <v>41788</v>
      </c>
      <c r="AQ3249" s="1">
        <v>91</v>
      </c>
      <c r="AR3249" s="1"/>
      <c r="AS3249" s="1"/>
      <c r="AT3249" s="1"/>
      <c r="AU3249" s="1" t="s">
        <v>98</v>
      </c>
      <c r="AV3249" s="1" t="s">
        <v>98</v>
      </c>
      <c r="AW3249" s="1" t="s">
        <v>98</v>
      </c>
      <c r="AX3249" s="1" t="s">
        <v>98</v>
      </c>
      <c r="AY3249" s="1" t="s">
        <v>52153</v>
      </c>
      <c r="AZ3249" s="1" t="s">
        <v>52154</v>
      </c>
      <c r="BA3249" s="1"/>
      <c r="BB3249" s="1"/>
      <c r="BC3249" s="1">
        <v>42219</v>
      </c>
      <c r="BD3249" s="1">
        <v>43690</v>
      </c>
      <c r="BE3249" s="1">
        <v>74.96</v>
      </c>
      <c r="BF3249" s="1"/>
      <c r="BG3249" s="1"/>
      <c r="BH3249" s="1"/>
      <c r="BI3249" s="1"/>
      <c r="BJ3249" s="1"/>
      <c r="BK3249" s="1" t="s">
        <v>98</v>
      </c>
      <c r="BL3249" s="1" t="s">
        <v>98</v>
      </c>
      <c r="BM3249" s="1" t="s">
        <v>98</v>
      </c>
      <c r="BN3249" s="1" t="s">
        <v>98</v>
      </c>
      <c r="BO3249" s="1" t="s">
        <v>369</v>
      </c>
      <c r="BP3249" s="1"/>
      <c r="BQ3249" s="1"/>
      <c r="BR3249" s="1" t="s">
        <v>52155</v>
      </c>
      <c r="BS3249" s="1">
        <v>18</v>
      </c>
      <c r="BT3249" s="1"/>
      <c r="BU3249" s="1" t="str">
        <f>HYPERLINK("https://nconnect.nicmar.ac.in/storage/profile/2021-2023_AP21030_973526.jpg","Download")</f>
        <v>0</v>
      </c>
      <c r="BV3249" s="3"/>
      <c r="BW3249" s="3"/>
    </row>
    <row r="3250" spans="1:75">
      <c r="A3250" s="1" t="s">
        <v>51340</v>
      </c>
      <c r="B3250" s="1" t="s">
        <v>51341</v>
      </c>
      <c r="C3250" s="1" t="s">
        <v>52156</v>
      </c>
      <c r="D3250" s="1" t="s">
        <v>52157</v>
      </c>
      <c r="E3250" s="1" t="s">
        <v>1404</v>
      </c>
      <c r="F3250" s="1" t="s">
        <v>52158</v>
      </c>
      <c r="G3250" s="1" t="s">
        <v>52159</v>
      </c>
      <c r="H3250" s="1" t="s">
        <v>52160</v>
      </c>
      <c r="I3250" s="1" t="s">
        <v>52160</v>
      </c>
      <c r="J3250" s="1"/>
      <c r="K3250" s="1" t="s">
        <v>153</v>
      </c>
      <c r="L3250" s="1" t="s">
        <v>52161</v>
      </c>
      <c r="M3250" s="1" t="s">
        <v>86</v>
      </c>
      <c r="N3250" s="1" t="s">
        <v>1449</v>
      </c>
      <c r="O3250" s="1"/>
      <c r="P3250" s="1" t="s">
        <v>1028</v>
      </c>
      <c r="Q3250" s="1" t="s">
        <v>52162</v>
      </c>
      <c r="R3250" s="1" t="s">
        <v>52163</v>
      </c>
      <c r="S3250" s="1">
        <v>9441406252</v>
      </c>
      <c r="T3250" s="1" t="s">
        <v>5620</v>
      </c>
      <c r="U3250" s="1" t="s">
        <v>52164</v>
      </c>
      <c r="V3250" s="1">
        <v>8247293363</v>
      </c>
      <c r="W3250" s="1" t="s">
        <v>5620</v>
      </c>
      <c r="X3250" s="1" t="s">
        <v>52165</v>
      </c>
      <c r="Y3250" s="1" t="s">
        <v>4048</v>
      </c>
      <c r="Z3250" s="1" t="s">
        <v>461</v>
      </c>
      <c r="AA3250" s="1" t="s">
        <v>52166</v>
      </c>
      <c r="AB3250" s="1" t="s">
        <v>4048</v>
      </c>
      <c r="AC3250" s="1" t="s">
        <v>461</v>
      </c>
      <c r="AD3250" s="1" t="s">
        <v>98</v>
      </c>
      <c r="AE3250" s="1" t="s">
        <v>98</v>
      </c>
      <c r="AF3250" s="1" t="s">
        <v>52167</v>
      </c>
      <c r="AG3250" s="1" t="s">
        <v>52168</v>
      </c>
      <c r="AH3250" s="1" t="s">
        <v>101</v>
      </c>
      <c r="AI3250" s="1" t="s">
        <v>102</v>
      </c>
      <c r="AJ3250" s="1">
        <v>83.6</v>
      </c>
      <c r="AK3250" s="1">
        <v>8.8</v>
      </c>
      <c r="AL3250" s="1" t="s">
        <v>47680</v>
      </c>
      <c r="AM3250" s="1" t="s">
        <v>52168</v>
      </c>
      <c r="AN3250" s="1"/>
      <c r="AO3250" s="1" t="s">
        <v>284</v>
      </c>
      <c r="AP3250" s="1" t="s">
        <v>704</v>
      </c>
      <c r="AQ3250" s="1">
        <v>90.8</v>
      </c>
      <c r="AR3250" s="1">
        <v>9.5</v>
      </c>
      <c r="AS3250" s="1"/>
      <c r="AT3250" s="1"/>
      <c r="AU3250" s="1"/>
      <c r="AV3250" s="1"/>
      <c r="AW3250" s="1"/>
      <c r="AX3250" s="1"/>
      <c r="AY3250" s="1" t="s">
        <v>1823</v>
      </c>
      <c r="AZ3250" s="1" t="s">
        <v>52169</v>
      </c>
      <c r="BA3250" s="1"/>
      <c r="BB3250" s="1"/>
      <c r="BC3250" s="1" t="s">
        <v>230</v>
      </c>
      <c r="BD3250" s="1" t="s">
        <v>549</v>
      </c>
      <c r="BE3250" s="1">
        <v>71.15</v>
      </c>
      <c r="BF3250" s="1">
        <v>7.49</v>
      </c>
      <c r="BG3250" s="1"/>
      <c r="BH3250" s="1"/>
      <c r="BI3250" s="1"/>
      <c r="BJ3250" s="1"/>
      <c r="BK3250" s="1"/>
      <c r="BL3250" s="1"/>
      <c r="BM3250" s="1"/>
      <c r="BN3250" s="1"/>
      <c r="BO3250" s="1" t="s">
        <v>369</v>
      </c>
      <c r="BP3250" s="1"/>
      <c r="BQ3250" s="1"/>
      <c r="BR3250" s="1" t="s">
        <v>52170</v>
      </c>
      <c r="BS3250" s="1">
        <v>22</v>
      </c>
      <c r="BT3250" s="1"/>
      <c r="BU3250" s="1" t="str">
        <f>HYPERLINK("https://nconnect.nicmar.ac.in/storage/profile/2021-2023_AP21031_528931.jpg","Download")</f>
        <v>0</v>
      </c>
      <c r="BV3250" s="3"/>
      <c r="BW3250" s="3"/>
    </row>
    <row r="3251" spans="1:75">
      <c r="A3251" s="1" t="s">
        <v>51340</v>
      </c>
      <c r="B3251" s="1" t="s">
        <v>51341</v>
      </c>
      <c r="C3251" s="1" t="s">
        <v>52171</v>
      </c>
      <c r="D3251" s="1" t="s">
        <v>52172</v>
      </c>
      <c r="E3251" s="1" t="s">
        <v>186</v>
      </c>
      <c r="F3251" s="1" t="s">
        <v>1179</v>
      </c>
      <c r="G3251" s="1" t="s">
        <v>52173</v>
      </c>
      <c r="H3251" s="1" t="s">
        <v>52174</v>
      </c>
      <c r="I3251" s="1" t="s">
        <v>52175</v>
      </c>
      <c r="J3251" s="1">
        <v>7588042018</v>
      </c>
      <c r="K3251" s="1" t="s">
        <v>84</v>
      </c>
      <c r="L3251" s="1" t="s">
        <v>4377</v>
      </c>
      <c r="M3251" s="1" t="s">
        <v>86</v>
      </c>
      <c r="N3251" s="1" t="s">
        <v>903</v>
      </c>
      <c r="O3251" s="1"/>
      <c r="P3251" s="1" t="s">
        <v>455</v>
      </c>
      <c r="Q3251" s="1" t="s">
        <v>52176</v>
      </c>
      <c r="R3251" s="1" t="s">
        <v>52177</v>
      </c>
      <c r="S3251" s="1">
        <v>9422183017</v>
      </c>
      <c r="T3251" s="1" t="s">
        <v>2950</v>
      </c>
      <c r="U3251" s="1" t="s">
        <v>52178</v>
      </c>
      <c r="V3251" s="1">
        <v>9403251858</v>
      </c>
      <c r="W3251" s="1" t="s">
        <v>94</v>
      </c>
      <c r="X3251" s="1" t="s">
        <v>52179</v>
      </c>
      <c r="Y3251" s="1" t="s">
        <v>52180</v>
      </c>
      <c r="Z3251" s="1" t="s">
        <v>97</v>
      </c>
      <c r="AA3251" s="1" t="s">
        <v>52181</v>
      </c>
      <c r="AB3251" s="1" t="s">
        <v>196</v>
      </c>
      <c r="AC3251" s="1" t="s">
        <v>97</v>
      </c>
      <c r="AD3251" s="1" t="s">
        <v>98</v>
      </c>
      <c r="AE3251" s="1" t="s">
        <v>98</v>
      </c>
      <c r="AF3251" s="1" t="s">
        <v>52182</v>
      </c>
      <c r="AG3251" s="1" t="s">
        <v>52183</v>
      </c>
      <c r="AH3251" s="1">
        <v>41426</v>
      </c>
      <c r="AI3251" s="1">
        <v>41807</v>
      </c>
      <c r="AJ3251" s="1">
        <v>74</v>
      </c>
      <c r="AK3251" s="1"/>
      <c r="AL3251" s="1" t="s">
        <v>52184</v>
      </c>
      <c r="AM3251" s="1" t="s">
        <v>52183</v>
      </c>
      <c r="AN3251" s="1"/>
      <c r="AO3251" s="1">
        <v>42156</v>
      </c>
      <c r="AP3251" s="1">
        <v>42525</v>
      </c>
      <c r="AQ3251" s="1">
        <v>59.23</v>
      </c>
      <c r="AR3251" s="1"/>
      <c r="AS3251" s="1"/>
      <c r="AT3251" s="1"/>
      <c r="AU3251" s="1" t="s">
        <v>98</v>
      </c>
      <c r="AV3251" s="1" t="s">
        <v>98</v>
      </c>
      <c r="AW3251" s="1" t="s">
        <v>98</v>
      </c>
      <c r="AX3251" s="1" t="s">
        <v>98</v>
      </c>
      <c r="AY3251" s="1" t="s">
        <v>366</v>
      </c>
      <c r="AZ3251" s="1" t="s">
        <v>52185</v>
      </c>
      <c r="BA3251" s="1"/>
      <c r="BB3251" s="1"/>
      <c r="BC3251" s="1">
        <v>42552</v>
      </c>
      <c r="BD3251" s="1">
        <v>44146</v>
      </c>
      <c r="BE3251" s="1">
        <v>61.25</v>
      </c>
      <c r="BF3251" s="1">
        <v>6.96</v>
      </c>
      <c r="BG3251" s="1"/>
      <c r="BH3251" s="1"/>
      <c r="BI3251" s="1"/>
      <c r="BJ3251" s="1"/>
      <c r="BK3251" s="1" t="s">
        <v>98</v>
      </c>
      <c r="BL3251" s="1" t="s">
        <v>98</v>
      </c>
      <c r="BM3251" s="1" t="s">
        <v>98</v>
      </c>
      <c r="BN3251" s="1" t="s">
        <v>98</v>
      </c>
      <c r="BO3251" s="1" t="s">
        <v>25985</v>
      </c>
      <c r="BP3251" s="1"/>
      <c r="BQ3251" s="1"/>
      <c r="BR3251" s="1" t="s">
        <v>52186</v>
      </c>
      <c r="BS3251" s="1">
        <v>7</v>
      </c>
      <c r="BT3251" s="1"/>
      <c r="BU3251" s="1" t="str">
        <f>HYPERLINK("https://nconnect.nicmar.ac.in/storage/profile/2021-2023_AP21032_493287.jpg","Download")</f>
        <v>0</v>
      </c>
      <c r="BV3251" s="3"/>
      <c r="BW3251" s="3"/>
    </row>
    <row r="3252" spans="1:75">
      <c r="A3252" s="1" t="s">
        <v>51340</v>
      </c>
      <c r="B3252" s="1" t="s">
        <v>51341</v>
      </c>
      <c r="C3252" s="1" t="s">
        <v>52187</v>
      </c>
      <c r="D3252" s="1" t="s">
        <v>52188</v>
      </c>
      <c r="E3252" s="1" t="s">
        <v>2249</v>
      </c>
      <c r="F3252" s="1" t="s">
        <v>2500</v>
      </c>
      <c r="G3252" s="1" t="s">
        <v>52189</v>
      </c>
      <c r="H3252" s="1" t="s">
        <v>52190</v>
      </c>
      <c r="I3252" s="1" t="s">
        <v>52191</v>
      </c>
      <c r="J3252" s="1">
        <v>8980926600</v>
      </c>
      <c r="K3252" s="1" t="s">
        <v>84</v>
      </c>
      <c r="L3252" s="1" t="s">
        <v>51594</v>
      </c>
      <c r="M3252" s="1" t="s">
        <v>86</v>
      </c>
      <c r="N3252" s="1" t="s">
        <v>36133</v>
      </c>
      <c r="O3252" s="1"/>
      <c r="P3252" s="1" t="s">
        <v>507</v>
      </c>
      <c r="Q3252" s="1" t="s">
        <v>52192</v>
      </c>
      <c r="R3252" s="1" t="s">
        <v>52193</v>
      </c>
      <c r="S3252" s="1">
        <v>9726639921</v>
      </c>
      <c r="T3252" s="1" t="s">
        <v>52194</v>
      </c>
      <c r="U3252" s="1" t="s">
        <v>52195</v>
      </c>
      <c r="V3252" s="1">
        <v>8141332030</v>
      </c>
      <c r="W3252" s="1" t="s">
        <v>278</v>
      </c>
      <c r="X3252" s="1" t="s">
        <v>52196</v>
      </c>
      <c r="Y3252" s="1" t="s">
        <v>52197</v>
      </c>
      <c r="Z3252" s="1" t="s">
        <v>676</v>
      </c>
      <c r="AA3252" s="1" t="s">
        <v>52198</v>
      </c>
      <c r="AB3252" s="1" t="s">
        <v>52197</v>
      </c>
      <c r="AC3252" s="1" t="s">
        <v>676</v>
      </c>
      <c r="AD3252" s="1" t="s">
        <v>98</v>
      </c>
      <c r="AE3252" s="1" t="s">
        <v>98</v>
      </c>
      <c r="AF3252" s="1" t="s">
        <v>52199</v>
      </c>
      <c r="AG3252" s="1" t="s">
        <v>52200</v>
      </c>
      <c r="AH3252" s="1">
        <v>41431</v>
      </c>
      <c r="AI3252" s="1">
        <v>41728</v>
      </c>
      <c r="AJ3252" s="1">
        <v>65</v>
      </c>
      <c r="AK3252" s="1"/>
      <c r="AL3252" s="1" t="s">
        <v>52201</v>
      </c>
      <c r="AM3252" s="1" t="s">
        <v>52200</v>
      </c>
      <c r="AN3252" s="1"/>
      <c r="AO3252" s="1">
        <v>41799</v>
      </c>
      <c r="AP3252" s="1">
        <v>42507</v>
      </c>
      <c r="AQ3252" s="1">
        <v>57.23</v>
      </c>
      <c r="AR3252" s="1"/>
      <c r="AS3252" s="1"/>
      <c r="AT3252" s="1"/>
      <c r="AU3252" s="1" t="s">
        <v>98</v>
      </c>
      <c r="AV3252" s="1" t="s">
        <v>98</v>
      </c>
      <c r="AW3252" s="1" t="s">
        <v>98</v>
      </c>
      <c r="AX3252" s="1" t="s">
        <v>98</v>
      </c>
      <c r="AY3252" s="1" t="s">
        <v>52202</v>
      </c>
      <c r="AZ3252" s="1" t="s">
        <v>52203</v>
      </c>
      <c r="BA3252" s="1"/>
      <c r="BB3252" s="1"/>
      <c r="BC3252" s="1">
        <v>42590</v>
      </c>
      <c r="BD3252" s="1">
        <v>44098</v>
      </c>
      <c r="BE3252" s="1">
        <v>73.1</v>
      </c>
      <c r="BF3252" s="1">
        <v>7.31</v>
      </c>
      <c r="BG3252" s="1"/>
      <c r="BH3252" s="1"/>
      <c r="BI3252" s="1"/>
      <c r="BJ3252" s="1"/>
      <c r="BK3252" s="1" t="s">
        <v>98</v>
      </c>
      <c r="BL3252" s="1" t="s">
        <v>98</v>
      </c>
      <c r="BM3252" s="1" t="s">
        <v>98</v>
      </c>
      <c r="BN3252" s="1" t="s">
        <v>98</v>
      </c>
      <c r="BO3252" s="1" t="s">
        <v>3308</v>
      </c>
      <c r="BP3252" s="1" t="s">
        <v>52204</v>
      </c>
      <c r="BQ3252" s="1" t="s">
        <v>1070</v>
      </c>
      <c r="BR3252" s="1" t="s">
        <v>52205</v>
      </c>
      <c r="BS3252" s="1">
        <v>12</v>
      </c>
      <c r="BT3252" s="1"/>
      <c r="BU3252" s="1" t="str">
        <f>HYPERLINK("https://nconnect.nicmar.ac.in/storage/profile/2021-2023_AP21033_357148.jpg","Download")</f>
        <v>0</v>
      </c>
      <c r="BV3252" s="3"/>
      <c r="BW3252" s="3"/>
    </row>
    <row r="3253" spans="1:75">
      <c r="A3253" s="1" t="s">
        <v>51340</v>
      </c>
      <c r="B3253" s="1" t="s">
        <v>51341</v>
      </c>
      <c r="C3253" s="1" t="s">
        <v>52206</v>
      </c>
      <c r="D3253" s="1" t="s">
        <v>52207</v>
      </c>
      <c r="E3253" s="1" t="s">
        <v>149</v>
      </c>
      <c r="F3253" s="1" t="s">
        <v>43530</v>
      </c>
      <c r="G3253" s="1" t="s">
        <v>52208</v>
      </c>
      <c r="H3253" s="1" t="s">
        <v>52209</v>
      </c>
      <c r="I3253" s="1" t="s">
        <v>52210</v>
      </c>
      <c r="J3253" s="1">
        <v>7020047539</v>
      </c>
      <c r="K3253" s="1" t="s">
        <v>84</v>
      </c>
      <c r="L3253" s="1" t="s">
        <v>52211</v>
      </c>
      <c r="M3253" s="1" t="s">
        <v>86</v>
      </c>
      <c r="N3253" s="1" t="s">
        <v>1163</v>
      </c>
      <c r="O3253" s="1"/>
      <c r="P3253" s="1" t="s">
        <v>481</v>
      </c>
      <c r="Q3253" s="1" t="s">
        <v>52212</v>
      </c>
      <c r="R3253" s="1" t="s">
        <v>52213</v>
      </c>
      <c r="S3253" s="1">
        <v>9881746240</v>
      </c>
      <c r="T3253" s="1" t="s">
        <v>52214</v>
      </c>
      <c r="U3253" s="1" t="s">
        <v>52215</v>
      </c>
      <c r="V3253" s="1">
        <v>9850683625</v>
      </c>
      <c r="W3253" s="1" t="s">
        <v>98</v>
      </c>
      <c r="X3253" s="1" t="s">
        <v>52216</v>
      </c>
      <c r="Y3253" s="1" t="s">
        <v>196</v>
      </c>
      <c r="Z3253" s="1" t="s">
        <v>97</v>
      </c>
      <c r="AA3253" s="1" t="s">
        <v>52216</v>
      </c>
      <c r="AB3253" s="1" t="s">
        <v>196</v>
      </c>
      <c r="AC3253" s="1" t="s">
        <v>97</v>
      </c>
      <c r="AD3253" s="1" t="s">
        <v>98</v>
      </c>
      <c r="AE3253" s="1" t="s">
        <v>98</v>
      </c>
      <c r="AF3253" s="1" t="s">
        <v>52217</v>
      </c>
      <c r="AG3253" s="1" t="s">
        <v>6474</v>
      </c>
      <c r="AH3253" s="1">
        <v>41426</v>
      </c>
      <c r="AI3253" s="1">
        <v>41760</v>
      </c>
      <c r="AJ3253" s="1">
        <v>93.33</v>
      </c>
      <c r="AK3253" s="1">
        <v>0</v>
      </c>
      <c r="AL3253" s="1" t="s">
        <v>52218</v>
      </c>
      <c r="AM3253" s="1" t="s">
        <v>6474</v>
      </c>
      <c r="AN3253" s="1"/>
      <c r="AO3253" s="1">
        <v>42156</v>
      </c>
      <c r="AP3253" s="1">
        <v>42476</v>
      </c>
      <c r="AQ3253" s="1">
        <v>79.69</v>
      </c>
      <c r="AR3253" s="1">
        <v>0</v>
      </c>
      <c r="AS3253" s="1"/>
      <c r="AT3253" s="1"/>
      <c r="AU3253" s="1" t="s">
        <v>98</v>
      </c>
      <c r="AV3253" s="1" t="s">
        <v>98</v>
      </c>
      <c r="AW3253" s="1" t="s">
        <v>98</v>
      </c>
      <c r="AX3253" s="1" t="s">
        <v>98</v>
      </c>
      <c r="AY3253" s="1" t="s">
        <v>366</v>
      </c>
      <c r="AZ3253" s="1" t="s">
        <v>52219</v>
      </c>
      <c r="BA3253" s="1"/>
      <c r="BB3253" s="1"/>
      <c r="BC3253" s="1">
        <v>42583</v>
      </c>
      <c r="BD3253" s="1">
        <v>44405</v>
      </c>
      <c r="BE3253" s="1">
        <v>73.36</v>
      </c>
      <c r="BF3253" s="1">
        <v>8.08</v>
      </c>
      <c r="BG3253" s="1"/>
      <c r="BH3253" s="1"/>
      <c r="BI3253" s="1"/>
      <c r="BJ3253" s="1"/>
      <c r="BK3253" s="1" t="s">
        <v>98</v>
      </c>
      <c r="BL3253" s="1" t="s">
        <v>98</v>
      </c>
      <c r="BM3253" s="1" t="s">
        <v>98</v>
      </c>
      <c r="BN3253" s="1" t="s">
        <v>98</v>
      </c>
      <c r="BO3253" s="1" t="s">
        <v>369</v>
      </c>
      <c r="BP3253" s="1"/>
      <c r="BQ3253" s="1"/>
      <c r="BR3253" s="1" t="s">
        <v>52220</v>
      </c>
      <c r="BS3253" s="1">
        <v>31</v>
      </c>
      <c r="BT3253" s="1"/>
      <c r="BU3253" s="1" t="str">
        <f>HYPERLINK("https://nconnect.nicmar.ac.in/storage/profile/2021-2023_AP21034_148296.jpg","Download")</f>
        <v>0</v>
      </c>
      <c r="BV3253" s="3"/>
      <c r="BW3253" s="3"/>
    </row>
    <row r="3254" spans="1:75">
      <c r="A3254" s="1" t="s">
        <v>51340</v>
      </c>
      <c r="B3254" s="1" t="s">
        <v>51341</v>
      </c>
      <c r="C3254" s="1" t="s">
        <v>52221</v>
      </c>
      <c r="D3254" s="1" t="s">
        <v>37757</v>
      </c>
      <c r="E3254" s="1"/>
      <c r="F3254" s="1" t="s">
        <v>1361</v>
      </c>
      <c r="G3254" s="1" t="s">
        <v>52222</v>
      </c>
      <c r="H3254" s="1" t="s">
        <v>52223</v>
      </c>
      <c r="I3254" s="1" t="s">
        <v>52224</v>
      </c>
      <c r="J3254" s="1">
        <v>7892817345</v>
      </c>
      <c r="K3254" s="1" t="s">
        <v>84</v>
      </c>
      <c r="L3254" s="1" t="s">
        <v>28505</v>
      </c>
      <c r="M3254" s="1" t="s">
        <v>86</v>
      </c>
      <c r="N3254" s="1" t="s">
        <v>52225</v>
      </c>
      <c r="O3254" s="1"/>
      <c r="P3254" s="1" t="s">
        <v>455</v>
      </c>
      <c r="Q3254" s="1" t="s">
        <v>52226</v>
      </c>
      <c r="R3254" s="1" t="s">
        <v>52227</v>
      </c>
      <c r="S3254" s="1">
        <v>8317361613</v>
      </c>
      <c r="T3254" s="1" t="s">
        <v>539</v>
      </c>
      <c r="U3254" s="1" t="s">
        <v>52228</v>
      </c>
      <c r="V3254" s="1">
        <v>9113266967</v>
      </c>
      <c r="W3254" s="1" t="s">
        <v>94</v>
      </c>
      <c r="X3254" s="1" t="s">
        <v>52229</v>
      </c>
      <c r="Y3254" s="1" t="s">
        <v>51727</v>
      </c>
      <c r="Z3254" s="1" t="s">
        <v>1210</v>
      </c>
      <c r="AA3254" s="1" t="s">
        <v>52230</v>
      </c>
      <c r="AB3254" s="1" t="s">
        <v>6453</v>
      </c>
      <c r="AC3254" s="1" t="s">
        <v>1210</v>
      </c>
      <c r="AD3254" s="1" t="s">
        <v>98</v>
      </c>
      <c r="AE3254" s="1" t="s">
        <v>98</v>
      </c>
      <c r="AF3254" s="1" t="s">
        <v>52231</v>
      </c>
      <c r="AG3254" s="1" t="s">
        <v>34583</v>
      </c>
      <c r="AH3254" s="1">
        <v>41061</v>
      </c>
      <c r="AI3254" s="1">
        <v>41400</v>
      </c>
      <c r="AJ3254" s="1">
        <v>84.48</v>
      </c>
      <c r="AK3254" s="1">
        <v>0</v>
      </c>
      <c r="AL3254" s="1" t="s">
        <v>52232</v>
      </c>
      <c r="AM3254" s="1" t="s">
        <v>46343</v>
      </c>
      <c r="AN3254" s="1"/>
      <c r="AO3254" s="1">
        <v>41764</v>
      </c>
      <c r="AP3254" s="1">
        <v>42142</v>
      </c>
      <c r="AQ3254" s="1">
        <v>92.33</v>
      </c>
      <c r="AR3254" s="1">
        <v>0</v>
      </c>
      <c r="AS3254" s="1"/>
      <c r="AT3254" s="1"/>
      <c r="AU3254" s="1" t="s">
        <v>98</v>
      </c>
      <c r="AV3254" s="1" t="s">
        <v>98</v>
      </c>
      <c r="AW3254" s="1" t="s">
        <v>98</v>
      </c>
      <c r="AX3254" s="1" t="s">
        <v>98</v>
      </c>
      <c r="AY3254" s="1" t="s">
        <v>1217</v>
      </c>
      <c r="AZ3254" s="1" t="s">
        <v>51733</v>
      </c>
      <c r="BA3254" s="1"/>
      <c r="BB3254" s="1"/>
      <c r="BC3254" s="1">
        <v>42224</v>
      </c>
      <c r="BD3254" s="1">
        <v>43715</v>
      </c>
      <c r="BE3254" s="1">
        <v>66.2</v>
      </c>
      <c r="BF3254" s="1">
        <v>7.37</v>
      </c>
      <c r="BG3254" s="1"/>
      <c r="BH3254" s="1"/>
      <c r="BI3254" s="1"/>
      <c r="BJ3254" s="1"/>
      <c r="BK3254" s="1" t="s">
        <v>98</v>
      </c>
      <c r="BL3254" s="1" t="s">
        <v>98</v>
      </c>
      <c r="BM3254" s="1" t="s">
        <v>98</v>
      </c>
      <c r="BN3254" s="1" t="s">
        <v>98</v>
      </c>
      <c r="BO3254" s="1" t="s">
        <v>52233</v>
      </c>
      <c r="BP3254" s="1"/>
      <c r="BQ3254" s="1"/>
      <c r="BR3254" s="1" t="s">
        <v>52234</v>
      </c>
      <c r="BS3254" s="1">
        <v>13</v>
      </c>
      <c r="BT3254" s="1"/>
      <c r="BU3254" s="1" t="str">
        <f>HYPERLINK("https://nconnect.nicmar.ac.in/storage/profile/2021-2023_AP21035_268179.jpg","Download")</f>
        <v>0</v>
      </c>
      <c r="BV3254" s="3"/>
      <c r="BW3254" s="3"/>
    </row>
    <row r="3255" spans="1:75">
      <c r="A3255" s="1" t="s">
        <v>51340</v>
      </c>
      <c r="B3255" s="1" t="s">
        <v>51341</v>
      </c>
      <c r="C3255" s="1" t="s">
        <v>52235</v>
      </c>
      <c r="D3255" s="1" t="s">
        <v>10133</v>
      </c>
      <c r="E3255" s="1"/>
      <c r="F3255" s="1" t="s">
        <v>52236</v>
      </c>
      <c r="G3255" s="1" t="s">
        <v>52237</v>
      </c>
      <c r="H3255" s="1" t="s">
        <v>52238</v>
      </c>
      <c r="I3255" s="1" t="s">
        <v>52239</v>
      </c>
      <c r="J3255" s="1">
        <v>9703557337</v>
      </c>
      <c r="K3255" s="1" t="s">
        <v>84</v>
      </c>
      <c r="L3255" s="1" t="s">
        <v>52240</v>
      </c>
      <c r="M3255" s="1" t="s">
        <v>86</v>
      </c>
      <c r="N3255" s="1" t="s">
        <v>52241</v>
      </c>
      <c r="O3255" s="1"/>
      <c r="P3255" s="1" t="s">
        <v>455</v>
      </c>
      <c r="Q3255" s="1" t="s">
        <v>52242</v>
      </c>
      <c r="R3255" s="1" t="s">
        <v>10139</v>
      </c>
      <c r="S3255" s="1">
        <v>9985438447</v>
      </c>
      <c r="T3255" s="1" t="s">
        <v>539</v>
      </c>
      <c r="U3255" s="1" t="s">
        <v>10140</v>
      </c>
      <c r="V3255" s="1">
        <v>9642174648</v>
      </c>
      <c r="W3255" s="1" t="s">
        <v>1552</v>
      </c>
      <c r="X3255" s="1" t="s">
        <v>52243</v>
      </c>
      <c r="Y3255" s="1" t="s">
        <v>460</v>
      </c>
      <c r="Z3255" s="1" t="s">
        <v>461</v>
      </c>
      <c r="AA3255" s="1" t="s">
        <v>52243</v>
      </c>
      <c r="AB3255" s="1" t="s">
        <v>460</v>
      </c>
      <c r="AC3255" s="1" t="s">
        <v>461</v>
      </c>
      <c r="AD3255" s="1" t="s">
        <v>98</v>
      </c>
      <c r="AE3255" s="1" t="s">
        <v>98</v>
      </c>
      <c r="AF3255" s="1" t="s">
        <v>52244</v>
      </c>
      <c r="AG3255" s="1" t="s">
        <v>52245</v>
      </c>
      <c r="AH3255" s="1">
        <v>41699</v>
      </c>
      <c r="AI3255" s="1">
        <v>42064</v>
      </c>
      <c r="AJ3255" s="1">
        <v>86.24</v>
      </c>
      <c r="AK3255" s="1">
        <v>8.8</v>
      </c>
      <c r="AL3255" s="1" t="s">
        <v>98</v>
      </c>
      <c r="AM3255" s="1" t="s">
        <v>98</v>
      </c>
      <c r="AN3255" s="1"/>
      <c r="AO3255" s="1" t="s">
        <v>98</v>
      </c>
      <c r="AP3255" s="1" t="s">
        <v>98</v>
      </c>
      <c r="AQ3255" s="1"/>
      <c r="AR3255" s="1"/>
      <c r="AS3255" s="1" t="s">
        <v>439</v>
      </c>
      <c r="AT3255" s="1" t="s">
        <v>52246</v>
      </c>
      <c r="AU3255" s="1">
        <v>42095</v>
      </c>
      <c r="AV3255" s="1">
        <v>43251</v>
      </c>
      <c r="AW3255" s="1">
        <v>75.95</v>
      </c>
      <c r="AX3255" s="1"/>
      <c r="AY3255" s="1" t="s">
        <v>52247</v>
      </c>
      <c r="AZ3255" s="1" t="s">
        <v>52247</v>
      </c>
      <c r="BA3255" s="1"/>
      <c r="BB3255" s="1"/>
      <c r="BC3255" s="1">
        <v>43332</v>
      </c>
      <c r="BD3255" s="1">
        <v>44378</v>
      </c>
      <c r="BE3255" s="1">
        <v>81.9</v>
      </c>
      <c r="BF3255" s="1">
        <v>8.69</v>
      </c>
      <c r="BG3255" s="1"/>
      <c r="BH3255" s="1"/>
      <c r="BI3255" s="1"/>
      <c r="BJ3255" s="1"/>
      <c r="BK3255" s="1" t="s">
        <v>98</v>
      </c>
      <c r="BL3255" s="1" t="s">
        <v>98</v>
      </c>
      <c r="BM3255" s="1" t="s">
        <v>98</v>
      </c>
      <c r="BN3255" s="1" t="s">
        <v>98</v>
      </c>
      <c r="BO3255" s="1" t="s">
        <v>52248</v>
      </c>
      <c r="BP3255" s="1"/>
      <c r="BQ3255" s="1"/>
      <c r="BR3255" s="1" t="s">
        <v>52249</v>
      </c>
      <c r="BS3255" s="1">
        <v>23</v>
      </c>
      <c r="BT3255" s="1"/>
      <c r="BU3255" s="1" t="str">
        <f>HYPERLINK("https://nconnect.nicmar.ac.in/storage/profile/2021-2023_AP21036_794268.jpg","Download")</f>
        <v>0</v>
      </c>
      <c r="BV3255" s="3"/>
      <c r="BW3255" s="3"/>
    </row>
    <row r="3256" spans="1:75">
      <c r="A3256" s="1" t="s">
        <v>51340</v>
      </c>
      <c r="B3256" s="1" t="s">
        <v>51341</v>
      </c>
      <c r="C3256" s="1" t="s">
        <v>52250</v>
      </c>
      <c r="D3256" s="1" t="s">
        <v>2309</v>
      </c>
      <c r="E3256" s="1"/>
      <c r="F3256" s="1" t="s">
        <v>1320</v>
      </c>
      <c r="G3256" s="1" t="s">
        <v>52251</v>
      </c>
      <c r="H3256" s="1" t="s">
        <v>52252</v>
      </c>
      <c r="I3256" s="1" t="s">
        <v>52253</v>
      </c>
      <c r="J3256" s="1">
        <v>6206191650</v>
      </c>
      <c r="K3256" s="1" t="s">
        <v>84</v>
      </c>
      <c r="L3256" s="1" t="s">
        <v>52254</v>
      </c>
      <c r="M3256" s="1" t="s">
        <v>86</v>
      </c>
      <c r="N3256" s="1" t="s">
        <v>52255</v>
      </c>
      <c r="O3256" s="1"/>
      <c r="P3256" s="1" t="s">
        <v>481</v>
      </c>
      <c r="Q3256" s="1" t="s">
        <v>52256</v>
      </c>
      <c r="R3256" s="1" t="s">
        <v>52257</v>
      </c>
      <c r="S3256" s="1">
        <v>9955700556</v>
      </c>
      <c r="T3256" s="1" t="s">
        <v>98</v>
      </c>
      <c r="U3256" s="1" t="s">
        <v>52258</v>
      </c>
      <c r="V3256" s="1">
        <v>7644939432</v>
      </c>
      <c r="W3256" s="1" t="s">
        <v>127</v>
      </c>
      <c r="X3256" s="1" t="s">
        <v>52259</v>
      </c>
      <c r="Y3256" s="1" t="s">
        <v>648</v>
      </c>
      <c r="Z3256" s="1" t="s">
        <v>649</v>
      </c>
      <c r="AA3256" s="1" t="s">
        <v>52260</v>
      </c>
      <c r="AB3256" s="1" t="s">
        <v>14726</v>
      </c>
      <c r="AC3256" s="1" t="s">
        <v>649</v>
      </c>
      <c r="AD3256" s="1" t="s">
        <v>98</v>
      </c>
      <c r="AE3256" s="1" t="s">
        <v>98</v>
      </c>
      <c r="AF3256" s="1" t="s">
        <v>52261</v>
      </c>
      <c r="AG3256" s="1" t="s">
        <v>312</v>
      </c>
      <c r="AH3256" s="1" t="s">
        <v>23371</v>
      </c>
      <c r="AI3256" s="1" t="s">
        <v>3285</v>
      </c>
      <c r="AJ3256" s="1">
        <v>81.7</v>
      </c>
      <c r="AK3256" s="1">
        <v>8.6</v>
      </c>
      <c r="AL3256" s="1" t="s">
        <v>52261</v>
      </c>
      <c r="AM3256" s="1" t="s">
        <v>312</v>
      </c>
      <c r="AN3256" s="1"/>
      <c r="AO3256" s="1" t="s">
        <v>339</v>
      </c>
      <c r="AP3256" s="1" t="s">
        <v>134</v>
      </c>
      <c r="AQ3256" s="1">
        <v>63.2</v>
      </c>
      <c r="AR3256" s="1"/>
      <c r="AS3256" s="1"/>
      <c r="AT3256" s="1"/>
      <c r="AU3256" s="1" t="s">
        <v>98</v>
      </c>
      <c r="AV3256" s="1" t="s">
        <v>98</v>
      </c>
      <c r="AW3256" s="1" t="s">
        <v>98</v>
      </c>
      <c r="AX3256" s="1" t="s">
        <v>98</v>
      </c>
      <c r="AY3256" s="1" t="s">
        <v>13327</v>
      </c>
      <c r="AZ3256" s="1" t="s">
        <v>52262</v>
      </c>
      <c r="BA3256" s="1"/>
      <c r="BB3256" s="1"/>
      <c r="BC3256" s="1" t="s">
        <v>134</v>
      </c>
      <c r="BD3256" s="1" t="s">
        <v>573</v>
      </c>
      <c r="BE3256" s="1">
        <v>73.1</v>
      </c>
      <c r="BF3256" s="1">
        <v>7.81</v>
      </c>
      <c r="BG3256" s="1"/>
      <c r="BH3256" s="1"/>
      <c r="BI3256" s="1"/>
      <c r="BJ3256" s="1"/>
      <c r="BK3256" s="1" t="s">
        <v>98</v>
      </c>
      <c r="BL3256" s="1" t="s">
        <v>98</v>
      </c>
      <c r="BM3256" s="1" t="s">
        <v>98</v>
      </c>
      <c r="BN3256" s="1" t="s">
        <v>98</v>
      </c>
      <c r="BO3256" s="1" t="s">
        <v>1114</v>
      </c>
      <c r="BP3256" s="1" t="s">
        <v>52263</v>
      </c>
      <c r="BQ3256" s="1" t="s">
        <v>52264</v>
      </c>
      <c r="BR3256" s="1" t="s">
        <v>52265</v>
      </c>
      <c r="BS3256" s="1">
        <v>13</v>
      </c>
      <c r="BT3256" s="1"/>
      <c r="BU3256" s="1" t="str">
        <f>HYPERLINK("https://nconnect.nicmar.ac.in/storage/profile/2021-2023_AP21037_421385.jpg","Download")</f>
        <v>0</v>
      </c>
      <c r="BV3256" s="3"/>
      <c r="BW3256" s="3"/>
    </row>
    <row r="3257" spans="1:75">
      <c r="A3257" s="1" t="s">
        <v>51340</v>
      </c>
      <c r="B3257" s="1" t="s">
        <v>51341</v>
      </c>
      <c r="C3257" s="1" t="s">
        <v>52266</v>
      </c>
      <c r="D3257" s="1" t="s">
        <v>52267</v>
      </c>
      <c r="E3257" s="1"/>
      <c r="F3257" s="1" t="s">
        <v>5558</v>
      </c>
      <c r="G3257" s="1" t="s">
        <v>52268</v>
      </c>
      <c r="H3257" s="1" t="s">
        <v>52269</v>
      </c>
      <c r="I3257" s="1" t="s">
        <v>52270</v>
      </c>
      <c r="J3257" s="1">
        <v>9005588375</v>
      </c>
      <c r="K3257" s="1" t="s">
        <v>84</v>
      </c>
      <c r="L3257" s="1" t="s">
        <v>52271</v>
      </c>
      <c r="M3257" s="1" t="s">
        <v>86</v>
      </c>
      <c r="N3257" s="1" t="s">
        <v>379</v>
      </c>
      <c r="O3257" s="1"/>
      <c r="P3257" s="1" t="s">
        <v>455</v>
      </c>
      <c r="Q3257" s="1" t="s">
        <v>52272</v>
      </c>
      <c r="R3257" s="1" t="s">
        <v>52273</v>
      </c>
      <c r="S3257" s="1">
        <v>9935556419</v>
      </c>
      <c r="T3257" s="1" t="s">
        <v>276</v>
      </c>
      <c r="U3257" s="1" t="s">
        <v>52274</v>
      </c>
      <c r="V3257" s="1">
        <v>9889477536</v>
      </c>
      <c r="W3257" s="1" t="s">
        <v>278</v>
      </c>
      <c r="X3257" s="1" t="s">
        <v>52275</v>
      </c>
      <c r="Y3257" s="1" t="s">
        <v>21987</v>
      </c>
      <c r="Z3257" s="1" t="s">
        <v>544</v>
      </c>
      <c r="AA3257" s="1" t="s">
        <v>52275</v>
      </c>
      <c r="AB3257" s="1" t="s">
        <v>21987</v>
      </c>
      <c r="AC3257" s="1" t="s">
        <v>544</v>
      </c>
      <c r="AD3257" s="1" t="s">
        <v>98</v>
      </c>
      <c r="AE3257" s="1" t="s">
        <v>98</v>
      </c>
      <c r="AF3257" s="1" t="s">
        <v>52276</v>
      </c>
      <c r="AG3257" s="1" t="s">
        <v>312</v>
      </c>
      <c r="AH3257" s="1">
        <v>39174</v>
      </c>
      <c r="AI3257" s="1">
        <v>39597</v>
      </c>
      <c r="AJ3257" s="1">
        <v>73.6</v>
      </c>
      <c r="AK3257" s="1">
        <v>0</v>
      </c>
      <c r="AL3257" s="1" t="s">
        <v>52277</v>
      </c>
      <c r="AM3257" s="1" t="s">
        <v>312</v>
      </c>
      <c r="AN3257" s="1"/>
      <c r="AO3257" s="1">
        <v>39909</v>
      </c>
      <c r="AP3257" s="1">
        <v>40319</v>
      </c>
      <c r="AQ3257" s="1">
        <v>64.2</v>
      </c>
      <c r="AR3257" s="1">
        <v>0</v>
      </c>
      <c r="AS3257" s="1"/>
      <c r="AT3257" s="1"/>
      <c r="AU3257" s="1" t="s">
        <v>98</v>
      </c>
      <c r="AV3257" s="1" t="s">
        <v>98</v>
      </c>
      <c r="AW3257" s="1" t="s">
        <v>98</v>
      </c>
      <c r="AX3257" s="1" t="s">
        <v>98</v>
      </c>
      <c r="AY3257" s="1" t="s">
        <v>52278</v>
      </c>
      <c r="AZ3257" s="1" t="s">
        <v>52279</v>
      </c>
      <c r="BA3257" s="1"/>
      <c r="BB3257" s="1"/>
      <c r="BC3257" s="1">
        <v>40791</v>
      </c>
      <c r="BD3257" s="1">
        <v>42986</v>
      </c>
      <c r="BE3257" s="1">
        <v>64.47</v>
      </c>
      <c r="BF3257" s="1">
        <v>0</v>
      </c>
      <c r="BG3257" s="1"/>
      <c r="BH3257" s="1"/>
      <c r="BI3257" s="1"/>
      <c r="BJ3257" s="1"/>
      <c r="BK3257" s="1" t="s">
        <v>98</v>
      </c>
      <c r="BL3257" s="1" t="s">
        <v>98</v>
      </c>
      <c r="BM3257" s="1" t="s">
        <v>98</v>
      </c>
      <c r="BN3257" s="1" t="s">
        <v>98</v>
      </c>
      <c r="BO3257" s="1" t="s">
        <v>51764</v>
      </c>
      <c r="BP3257" s="1" t="s">
        <v>52280</v>
      </c>
      <c r="BQ3257" s="1" t="s">
        <v>52281</v>
      </c>
      <c r="BR3257" s="1" t="s">
        <v>52282</v>
      </c>
      <c r="BS3257" s="1">
        <v>64</v>
      </c>
      <c r="BT3257" s="1"/>
      <c r="BU3257" s="1" t="str">
        <f>HYPERLINK("https://nconnect.nicmar.ac.in/storage/profile/2021-2023_AP21038_951462.jpg","Download")</f>
        <v>0</v>
      </c>
      <c r="BV3257" s="3"/>
      <c r="BW3257" s="3"/>
    </row>
    <row r="3258" spans="1:75">
      <c r="A3258" s="1" t="s">
        <v>51340</v>
      </c>
      <c r="B3258" s="1" t="s">
        <v>51341</v>
      </c>
      <c r="C3258" s="1" t="s">
        <v>52283</v>
      </c>
      <c r="D3258" s="1" t="s">
        <v>52284</v>
      </c>
      <c r="E3258" s="1" t="s">
        <v>1020</v>
      </c>
      <c r="F3258" s="1" t="s">
        <v>52285</v>
      </c>
      <c r="G3258" s="1" t="s">
        <v>52286</v>
      </c>
      <c r="H3258" s="1" t="s">
        <v>52287</v>
      </c>
      <c r="I3258" s="1" t="s">
        <v>52288</v>
      </c>
      <c r="J3258" s="1">
        <v>9985892556</v>
      </c>
      <c r="K3258" s="1" t="s">
        <v>84</v>
      </c>
      <c r="L3258" s="1" t="s">
        <v>5562</v>
      </c>
      <c r="M3258" s="1" t="s">
        <v>86</v>
      </c>
      <c r="N3258" s="1" t="s">
        <v>52289</v>
      </c>
      <c r="O3258" s="1"/>
      <c r="P3258" s="1" t="s">
        <v>2062</v>
      </c>
      <c r="Q3258" s="1" t="s">
        <v>52290</v>
      </c>
      <c r="R3258" s="1" t="s">
        <v>52291</v>
      </c>
      <c r="S3258" s="1">
        <v>8978809788</v>
      </c>
      <c r="T3258" s="1" t="s">
        <v>926</v>
      </c>
      <c r="U3258" s="1" t="s">
        <v>52292</v>
      </c>
      <c r="V3258" s="1">
        <v>8247670289</v>
      </c>
      <c r="W3258" s="1" t="s">
        <v>94</v>
      </c>
      <c r="X3258" s="1" t="s">
        <v>52293</v>
      </c>
      <c r="Y3258" s="1" t="s">
        <v>3031</v>
      </c>
      <c r="Z3258" s="1" t="s">
        <v>461</v>
      </c>
      <c r="AA3258" s="1" t="s">
        <v>52293</v>
      </c>
      <c r="AB3258" s="1" t="s">
        <v>3031</v>
      </c>
      <c r="AC3258" s="1" t="s">
        <v>461</v>
      </c>
      <c r="AD3258" s="1" t="s">
        <v>98</v>
      </c>
      <c r="AE3258" s="1" t="s">
        <v>98</v>
      </c>
      <c r="AF3258" s="1" t="s">
        <v>52294</v>
      </c>
      <c r="AG3258" s="1" t="s">
        <v>52295</v>
      </c>
      <c r="AH3258" s="1">
        <v>41757</v>
      </c>
      <c r="AI3258" s="1">
        <v>42152</v>
      </c>
      <c r="AJ3258" s="1">
        <v>77.9</v>
      </c>
      <c r="AK3258" s="1">
        <v>8.2</v>
      </c>
      <c r="AL3258" s="1" t="s">
        <v>52294</v>
      </c>
      <c r="AM3258" s="1" t="s">
        <v>52295</v>
      </c>
      <c r="AN3258" s="1"/>
      <c r="AO3258" s="1">
        <v>42122</v>
      </c>
      <c r="AP3258" s="1">
        <v>42855</v>
      </c>
      <c r="AQ3258" s="1">
        <v>72</v>
      </c>
      <c r="AR3258" s="1"/>
      <c r="AS3258" s="1"/>
      <c r="AT3258" s="1"/>
      <c r="AU3258" s="1" t="s">
        <v>98</v>
      </c>
      <c r="AV3258" s="1" t="s">
        <v>98</v>
      </c>
      <c r="AW3258" s="1" t="s">
        <v>98</v>
      </c>
      <c r="AX3258" s="1" t="s">
        <v>98</v>
      </c>
      <c r="AY3258" s="1" t="s">
        <v>29652</v>
      </c>
      <c r="AZ3258" s="1" t="s">
        <v>52296</v>
      </c>
      <c r="BA3258" s="1"/>
      <c r="BB3258" s="1"/>
      <c r="BC3258" s="1">
        <v>42978</v>
      </c>
      <c r="BD3258" s="1">
        <v>44380</v>
      </c>
      <c r="BE3258" s="1">
        <v>72.58</v>
      </c>
      <c r="BF3258" s="1">
        <v>7.64</v>
      </c>
      <c r="BG3258" s="1"/>
      <c r="BH3258" s="1"/>
      <c r="BI3258" s="1"/>
      <c r="BJ3258" s="1"/>
      <c r="BK3258" s="1" t="s">
        <v>98</v>
      </c>
      <c r="BL3258" s="1" t="s">
        <v>98</v>
      </c>
      <c r="BM3258" s="1" t="s">
        <v>98</v>
      </c>
      <c r="BN3258" s="1" t="s">
        <v>98</v>
      </c>
      <c r="BO3258" s="1" t="s">
        <v>260</v>
      </c>
      <c r="BP3258" s="1"/>
      <c r="BQ3258" s="1"/>
      <c r="BR3258" s="1" t="s">
        <v>52297</v>
      </c>
      <c r="BS3258" s="1">
        <v>17</v>
      </c>
      <c r="BT3258" s="1"/>
      <c r="BU3258" s="1" t="str">
        <f>HYPERLINK("https://nconnect.nicmar.ac.in/storage/profile/2021-2023_AP21039_461792.jpg","Download")</f>
        <v>0</v>
      </c>
      <c r="BV3258" s="3"/>
      <c r="BW3258" s="3"/>
    </row>
    <row r="3259" spans="1:75">
      <c r="A3259" s="1" t="s">
        <v>51340</v>
      </c>
      <c r="B3259" s="1" t="s">
        <v>51341</v>
      </c>
      <c r="C3259" s="1" t="s">
        <v>52298</v>
      </c>
      <c r="D3259" s="1" t="s">
        <v>52299</v>
      </c>
      <c r="E3259" s="1"/>
      <c r="F3259" s="1" t="s">
        <v>52300</v>
      </c>
      <c r="G3259" s="1" t="s">
        <v>52301</v>
      </c>
      <c r="H3259" s="1" t="s">
        <v>52302</v>
      </c>
      <c r="I3259" s="1" t="s">
        <v>52303</v>
      </c>
      <c r="J3259" s="1">
        <v>9791204158</v>
      </c>
      <c r="K3259" s="1" t="s">
        <v>84</v>
      </c>
      <c r="L3259" s="1" t="s">
        <v>52304</v>
      </c>
      <c r="M3259" s="1" t="s">
        <v>86</v>
      </c>
      <c r="N3259" s="1" t="s">
        <v>41910</v>
      </c>
      <c r="O3259" s="1"/>
      <c r="P3259" s="1" t="s">
        <v>507</v>
      </c>
      <c r="Q3259" s="1" t="s">
        <v>52305</v>
      </c>
      <c r="R3259" s="1" t="s">
        <v>52306</v>
      </c>
      <c r="S3259" s="1">
        <v>9790202666</v>
      </c>
      <c r="T3259" s="1" t="s">
        <v>52307</v>
      </c>
      <c r="U3259" s="1" t="s">
        <v>52308</v>
      </c>
      <c r="V3259" s="1">
        <v>9790000266</v>
      </c>
      <c r="W3259" s="1" t="s">
        <v>94</v>
      </c>
      <c r="X3259" s="1" t="s">
        <v>52309</v>
      </c>
      <c r="Y3259" s="1" t="s">
        <v>18215</v>
      </c>
      <c r="Z3259" s="1" t="s">
        <v>570</v>
      </c>
      <c r="AA3259" s="1" t="s">
        <v>52310</v>
      </c>
      <c r="AB3259" s="1" t="s">
        <v>18215</v>
      </c>
      <c r="AC3259" s="1" t="s">
        <v>570</v>
      </c>
      <c r="AD3259" s="1" t="s">
        <v>98</v>
      </c>
      <c r="AE3259" s="1" t="s">
        <v>98</v>
      </c>
      <c r="AF3259" s="1" t="s">
        <v>52311</v>
      </c>
      <c r="AG3259" s="1" t="s">
        <v>52312</v>
      </c>
      <c r="AH3259" s="1" t="s">
        <v>3923</v>
      </c>
      <c r="AI3259" s="1" t="s">
        <v>3770</v>
      </c>
      <c r="AJ3259" s="1">
        <v>82.8</v>
      </c>
      <c r="AK3259" s="1"/>
      <c r="AL3259" s="1" t="s">
        <v>52311</v>
      </c>
      <c r="AM3259" s="1" t="s">
        <v>52312</v>
      </c>
      <c r="AN3259" s="1"/>
      <c r="AO3259" s="1" t="s">
        <v>1457</v>
      </c>
      <c r="AP3259" s="1" t="s">
        <v>515</v>
      </c>
      <c r="AQ3259" s="1">
        <v>64.66</v>
      </c>
      <c r="AR3259" s="1"/>
      <c r="AS3259" s="1"/>
      <c r="AT3259" s="1"/>
      <c r="AU3259" s="1" t="s">
        <v>98</v>
      </c>
      <c r="AV3259" s="1" t="s">
        <v>98</v>
      </c>
      <c r="AW3259" s="1" t="s">
        <v>98</v>
      </c>
      <c r="AX3259" s="1" t="s">
        <v>98</v>
      </c>
      <c r="AY3259" s="1" t="s">
        <v>576</v>
      </c>
      <c r="AZ3259" s="1" t="s">
        <v>52313</v>
      </c>
      <c r="BA3259" s="1"/>
      <c r="BB3259" s="1"/>
      <c r="BC3259" s="1">
        <v>41760</v>
      </c>
      <c r="BD3259" s="1">
        <v>43405</v>
      </c>
      <c r="BE3259" s="1">
        <v>61.1</v>
      </c>
      <c r="BF3259" s="1">
        <v>6.11</v>
      </c>
      <c r="BG3259" s="1"/>
      <c r="BH3259" s="1"/>
      <c r="BI3259" s="1"/>
      <c r="BJ3259" s="1"/>
      <c r="BK3259" s="1" t="s">
        <v>98</v>
      </c>
      <c r="BL3259" s="1" t="s">
        <v>98</v>
      </c>
      <c r="BM3259" s="1" t="s">
        <v>98</v>
      </c>
      <c r="BN3259" s="1" t="s">
        <v>98</v>
      </c>
      <c r="BO3259" s="1" t="s">
        <v>1114</v>
      </c>
      <c r="BP3259" s="1"/>
      <c r="BQ3259" s="1"/>
      <c r="BR3259" s="1" t="s">
        <v>52314</v>
      </c>
      <c r="BS3259" s="1">
        <v>8</v>
      </c>
      <c r="BT3259" s="1"/>
      <c r="BU3259" s="1" t="s">
        <v>9653</v>
      </c>
      <c r="BV3259" s="3"/>
      <c r="BW3259" s="3"/>
    </row>
    <row r="3260" spans="1:75">
      <c r="A3260" s="1" t="s">
        <v>51340</v>
      </c>
      <c r="B3260" s="1" t="s">
        <v>51341</v>
      </c>
      <c r="C3260" s="1" t="s">
        <v>52315</v>
      </c>
      <c r="D3260" s="1" t="s">
        <v>14185</v>
      </c>
      <c r="E3260" s="1" t="s">
        <v>2659</v>
      </c>
      <c r="F3260" s="1" t="s">
        <v>52316</v>
      </c>
      <c r="G3260" s="1" t="s">
        <v>52317</v>
      </c>
      <c r="H3260" s="1" t="s">
        <v>52318</v>
      </c>
      <c r="I3260" s="1" t="s">
        <v>52318</v>
      </c>
      <c r="J3260" s="1"/>
      <c r="K3260" s="1" t="s">
        <v>153</v>
      </c>
      <c r="L3260" s="1"/>
      <c r="M3260" s="1"/>
      <c r="N3260" s="1"/>
      <c r="O3260" s="1"/>
      <c r="P3260" s="1"/>
      <c r="Q3260" s="1"/>
      <c r="R3260" s="1"/>
      <c r="S3260" s="1"/>
      <c r="T3260" s="1"/>
      <c r="U3260" s="1"/>
      <c r="V3260" s="1"/>
      <c r="W3260" s="1"/>
      <c r="X3260" s="1"/>
      <c r="Y3260" s="1"/>
      <c r="Z3260" s="1"/>
      <c r="AA3260" s="1"/>
      <c r="AB3260" s="1"/>
      <c r="AC3260" s="1"/>
      <c r="AD3260" s="1" t="s">
        <v>98</v>
      </c>
      <c r="AE3260" s="1" t="s">
        <v>98</v>
      </c>
      <c r="AF3260" s="1"/>
      <c r="AG3260" s="1"/>
      <c r="AH3260" s="1"/>
      <c r="AI3260" s="1"/>
      <c r="AJ3260" s="1"/>
      <c r="AK3260" s="1"/>
      <c r="AL3260" s="1"/>
      <c r="AM3260" s="1"/>
      <c r="AN3260" s="1"/>
      <c r="AO3260" s="1"/>
      <c r="AP3260" s="1"/>
      <c r="AQ3260" s="1"/>
      <c r="AR3260" s="1"/>
      <c r="AS3260" s="1"/>
      <c r="AT3260" s="1"/>
      <c r="AU3260" s="1"/>
      <c r="AV3260" s="1"/>
      <c r="AW3260" s="1"/>
      <c r="AX3260" s="1"/>
      <c r="AY3260" s="1"/>
      <c r="AZ3260" s="1"/>
      <c r="BA3260" s="1"/>
      <c r="BB3260" s="1"/>
      <c r="BC3260" s="1"/>
      <c r="BD3260" s="1"/>
      <c r="BE3260" s="1"/>
      <c r="BF3260" s="1"/>
      <c r="BG3260" s="1"/>
      <c r="BH3260" s="1"/>
      <c r="BI3260" s="1"/>
      <c r="BJ3260" s="1"/>
      <c r="BK3260" s="1"/>
      <c r="BL3260" s="1"/>
      <c r="BM3260" s="1"/>
      <c r="BN3260" s="1"/>
      <c r="BO3260" s="1"/>
      <c r="BP3260" s="1"/>
      <c r="BQ3260" s="1"/>
      <c r="BR3260" s="1"/>
      <c r="BS3260" s="1"/>
      <c r="BT3260" s="1"/>
      <c r="BU3260" s="1" t="s">
        <v>9653</v>
      </c>
      <c r="BV3260" s="3"/>
      <c r="BW3260" s="3"/>
    </row>
    <row r="3261" spans="1:75">
      <c r="A3261" s="1" t="s">
        <v>51340</v>
      </c>
      <c r="B3261" s="1" t="s">
        <v>51341</v>
      </c>
      <c r="C3261" s="1" t="s">
        <v>52319</v>
      </c>
      <c r="D3261" s="1" t="s">
        <v>52320</v>
      </c>
      <c r="E3261" s="1"/>
      <c r="F3261" s="1" t="s">
        <v>52321</v>
      </c>
      <c r="G3261" s="1" t="s">
        <v>52322</v>
      </c>
      <c r="H3261" s="1" t="s">
        <v>52323</v>
      </c>
      <c r="I3261" s="1" t="s">
        <v>52324</v>
      </c>
      <c r="J3261" s="1">
        <v>7861918881</v>
      </c>
      <c r="K3261" s="1" t="s">
        <v>84</v>
      </c>
      <c r="L3261" s="1" t="s">
        <v>52325</v>
      </c>
      <c r="M3261" s="1" t="s">
        <v>86</v>
      </c>
      <c r="N3261" s="1" t="s">
        <v>87</v>
      </c>
      <c r="O3261" s="1"/>
      <c r="P3261" s="1" t="s">
        <v>2021</v>
      </c>
      <c r="Q3261" s="1" t="s">
        <v>52326</v>
      </c>
      <c r="R3261" s="1" t="s">
        <v>52327</v>
      </c>
      <c r="S3261" s="1">
        <v>9136500513</v>
      </c>
      <c r="T3261" s="1" t="s">
        <v>926</v>
      </c>
      <c r="U3261" s="1" t="s">
        <v>52328</v>
      </c>
      <c r="V3261" s="1">
        <v>9313987603</v>
      </c>
      <c r="W3261" s="1" t="s">
        <v>94</v>
      </c>
      <c r="X3261" s="1" t="s">
        <v>52329</v>
      </c>
      <c r="Y3261" s="1" t="s">
        <v>32752</v>
      </c>
      <c r="Z3261" s="1" t="s">
        <v>1739</v>
      </c>
      <c r="AA3261" s="1" t="s">
        <v>52329</v>
      </c>
      <c r="AB3261" s="1" t="s">
        <v>32752</v>
      </c>
      <c r="AC3261" s="1" t="s">
        <v>1739</v>
      </c>
      <c r="AD3261" s="1" t="s">
        <v>98</v>
      </c>
      <c r="AE3261" s="1" t="s">
        <v>98</v>
      </c>
      <c r="AF3261" s="1" t="s">
        <v>52330</v>
      </c>
      <c r="AG3261" s="1" t="s">
        <v>312</v>
      </c>
      <c r="AH3261" s="1">
        <v>41581</v>
      </c>
      <c r="AI3261" s="1">
        <v>41946</v>
      </c>
      <c r="AJ3261" s="1">
        <v>79.8</v>
      </c>
      <c r="AK3261" s="1">
        <v>8.4</v>
      </c>
      <c r="AL3261" s="1" t="s">
        <v>52330</v>
      </c>
      <c r="AM3261" s="1" t="s">
        <v>312</v>
      </c>
      <c r="AN3261" s="1"/>
      <c r="AO3261" s="1">
        <v>42073</v>
      </c>
      <c r="AP3261" s="1">
        <v>42511</v>
      </c>
      <c r="AQ3261" s="1">
        <v>74.6</v>
      </c>
      <c r="AR3261" s="1"/>
      <c r="AS3261" s="1"/>
      <c r="AT3261" s="1"/>
      <c r="AU3261" s="1" t="s">
        <v>98</v>
      </c>
      <c r="AV3261" s="1" t="s">
        <v>98</v>
      </c>
      <c r="AW3261" s="1" t="s">
        <v>98</v>
      </c>
      <c r="AX3261" s="1" t="s">
        <v>98</v>
      </c>
      <c r="AY3261" s="1" t="s">
        <v>14921</v>
      </c>
      <c r="AZ3261" s="1" t="s">
        <v>52331</v>
      </c>
      <c r="BA3261" s="1"/>
      <c r="BB3261" s="1"/>
      <c r="BC3261" s="1">
        <v>42963</v>
      </c>
      <c r="BD3261" s="1">
        <v>44426</v>
      </c>
      <c r="BE3261" s="1">
        <v>74.9</v>
      </c>
      <c r="BF3261" s="1">
        <v>7.49</v>
      </c>
      <c r="BG3261" s="1"/>
      <c r="BH3261" s="1"/>
      <c r="BI3261" s="1"/>
      <c r="BJ3261" s="1"/>
      <c r="BK3261" s="1" t="s">
        <v>98</v>
      </c>
      <c r="BL3261" s="1" t="s">
        <v>98</v>
      </c>
      <c r="BM3261" s="1" t="s">
        <v>98</v>
      </c>
      <c r="BN3261" s="1" t="s">
        <v>98</v>
      </c>
      <c r="BO3261" s="1" t="s">
        <v>369</v>
      </c>
      <c r="BP3261" s="1"/>
      <c r="BQ3261" s="1"/>
      <c r="BR3261" s="1" t="s">
        <v>52332</v>
      </c>
      <c r="BS3261" s="1">
        <v>16</v>
      </c>
      <c r="BT3261" s="1"/>
      <c r="BU3261" s="1" t="str">
        <f>HYPERLINK("https://nconnect.nicmar.ac.in/storage/profile/2021-2023_AP21042_236154.jpg","Download")</f>
        <v>0</v>
      </c>
      <c r="BV3261" s="3"/>
      <c r="BW3261" s="3"/>
    </row>
    <row r="3262" spans="1:75">
      <c r="A3262" s="1" t="s">
        <v>51340</v>
      </c>
      <c r="B3262" s="1" t="s">
        <v>51341</v>
      </c>
      <c r="C3262" s="1" t="s">
        <v>52333</v>
      </c>
      <c r="D3262" s="1" t="s">
        <v>52334</v>
      </c>
      <c r="E3262" s="1" t="s">
        <v>52335</v>
      </c>
      <c r="F3262" s="1" t="s">
        <v>8157</v>
      </c>
      <c r="G3262" s="1" t="s">
        <v>52336</v>
      </c>
      <c r="H3262" s="1" t="s">
        <v>52337</v>
      </c>
      <c r="I3262" s="1" t="s">
        <v>52338</v>
      </c>
      <c r="J3262" s="1">
        <v>7720044355</v>
      </c>
      <c r="K3262" s="1" t="s">
        <v>84</v>
      </c>
      <c r="L3262" s="1" t="s">
        <v>52339</v>
      </c>
      <c r="M3262" s="1" t="s">
        <v>86</v>
      </c>
      <c r="N3262" s="1" t="s">
        <v>1163</v>
      </c>
      <c r="O3262" s="1"/>
      <c r="P3262" s="1" t="s">
        <v>455</v>
      </c>
      <c r="Q3262" s="1" t="s">
        <v>52340</v>
      </c>
      <c r="R3262" s="1" t="s">
        <v>52341</v>
      </c>
      <c r="S3262" s="1">
        <v>9372303411</v>
      </c>
      <c r="T3262" s="1" t="s">
        <v>3396</v>
      </c>
      <c r="U3262" s="1" t="s">
        <v>52342</v>
      </c>
      <c r="V3262" s="1">
        <v>8888839564</v>
      </c>
      <c r="W3262" s="1" t="s">
        <v>94</v>
      </c>
      <c r="X3262" s="1" t="s">
        <v>52343</v>
      </c>
      <c r="Y3262" s="1" t="s">
        <v>410</v>
      </c>
      <c r="Z3262" s="1" t="s">
        <v>97</v>
      </c>
      <c r="AA3262" s="1" t="s">
        <v>52344</v>
      </c>
      <c r="AB3262" s="1" t="s">
        <v>410</v>
      </c>
      <c r="AC3262" s="1" t="s">
        <v>97</v>
      </c>
      <c r="AD3262" s="1" t="s">
        <v>98</v>
      </c>
      <c r="AE3262" s="1" t="s">
        <v>98</v>
      </c>
      <c r="AF3262" s="1" t="s">
        <v>52345</v>
      </c>
      <c r="AG3262" s="1" t="s">
        <v>51712</v>
      </c>
      <c r="AH3262" s="1">
        <v>40716</v>
      </c>
      <c r="AI3262" s="1">
        <v>40978</v>
      </c>
      <c r="AJ3262" s="1">
        <v>74.2</v>
      </c>
      <c r="AK3262" s="1"/>
      <c r="AL3262" s="1" t="s">
        <v>52346</v>
      </c>
      <c r="AM3262" s="1" t="s">
        <v>51712</v>
      </c>
      <c r="AN3262" s="1"/>
      <c r="AO3262" s="1">
        <v>41419</v>
      </c>
      <c r="AP3262" s="1">
        <v>41683</v>
      </c>
      <c r="AQ3262" s="1">
        <v>58.46</v>
      </c>
      <c r="AR3262" s="1"/>
      <c r="AS3262" s="1"/>
      <c r="AT3262" s="1"/>
      <c r="AU3262" s="1" t="s">
        <v>98</v>
      </c>
      <c r="AV3262" s="1" t="s">
        <v>98</v>
      </c>
      <c r="AW3262" s="1" t="s">
        <v>98</v>
      </c>
      <c r="AX3262" s="1" t="s">
        <v>98</v>
      </c>
      <c r="AY3262" s="1" t="s">
        <v>52347</v>
      </c>
      <c r="AZ3262" s="1" t="s">
        <v>52348</v>
      </c>
      <c r="BA3262" s="1"/>
      <c r="BB3262" s="1"/>
      <c r="BC3262" s="1">
        <v>41771</v>
      </c>
      <c r="BD3262" s="1">
        <v>43258</v>
      </c>
      <c r="BE3262" s="1">
        <v>64.7</v>
      </c>
      <c r="BF3262" s="1">
        <v>7.22</v>
      </c>
      <c r="BG3262" s="1"/>
      <c r="BH3262" s="1"/>
      <c r="BI3262" s="1"/>
      <c r="BJ3262" s="1"/>
      <c r="BK3262" s="1" t="s">
        <v>98</v>
      </c>
      <c r="BL3262" s="1" t="s">
        <v>98</v>
      </c>
      <c r="BM3262" s="1" t="s">
        <v>98</v>
      </c>
      <c r="BN3262" s="1" t="s">
        <v>98</v>
      </c>
      <c r="BO3262" s="1" t="s">
        <v>369</v>
      </c>
      <c r="BP3262" s="1" t="s">
        <v>52349</v>
      </c>
      <c r="BQ3262" s="1" t="s">
        <v>7701</v>
      </c>
      <c r="BR3262" s="1" t="s">
        <v>52350</v>
      </c>
      <c r="BS3262" s="1">
        <v>17</v>
      </c>
      <c r="BT3262" s="1"/>
      <c r="BU3262" s="1" t="str">
        <f>HYPERLINK("https://nconnect.nicmar.ac.in/storage/profile/2021-2023_AP21043_245671.jpeg","Download")</f>
        <v>0</v>
      </c>
      <c r="BV3262" s="3"/>
      <c r="BW3262" s="3"/>
    </row>
    <row r="3263" spans="1:75">
      <c r="A3263" s="1" t="s">
        <v>51340</v>
      </c>
      <c r="B3263" s="1" t="s">
        <v>51341</v>
      </c>
      <c r="C3263" s="1" t="s">
        <v>52351</v>
      </c>
      <c r="D3263" s="1" t="s">
        <v>52352</v>
      </c>
      <c r="E3263" s="1"/>
      <c r="F3263" s="1" t="s">
        <v>52353</v>
      </c>
      <c r="G3263" s="1" t="s">
        <v>52354</v>
      </c>
      <c r="H3263" s="1" t="s">
        <v>52355</v>
      </c>
      <c r="I3263" s="1" t="s">
        <v>52356</v>
      </c>
      <c r="J3263" s="1">
        <v>7576890030</v>
      </c>
      <c r="K3263" s="1" t="s">
        <v>84</v>
      </c>
      <c r="L3263" s="1" t="s">
        <v>52357</v>
      </c>
      <c r="M3263" s="1" t="s">
        <v>86</v>
      </c>
      <c r="N3263" s="1" t="s">
        <v>2756</v>
      </c>
      <c r="O3263" s="1"/>
      <c r="P3263" s="1" t="s">
        <v>507</v>
      </c>
      <c r="Q3263" s="1" t="s">
        <v>52358</v>
      </c>
      <c r="R3263" s="1" t="s">
        <v>52359</v>
      </c>
      <c r="S3263" s="1">
        <v>9864887317</v>
      </c>
      <c r="T3263" s="1" t="s">
        <v>539</v>
      </c>
      <c r="U3263" s="1" t="s">
        <v>52360</v>
      </c>
      <c r="V3263" s="1">
        <v>9101093724</v>
      </c>
      <c r="W3263" s="1" t="s">
        <v>94</v>
      </c>
      <c r="X3263" s="1" t="s">
        <v>52361</v>
      </c>
      <c r="Y3263" s="1" t="s">
        <v>52362</v>
      </c>
      <c r="Z3263" s="1" t="s">
        <v>1556</v>
      </c>
      <c r="AA3263" s="1" t="s">
        <v>52363</v>
      </c>
      <c r="AB3263" s="1" t="s">
        <v>196</v>
      </c>
      <c r="AC3263" s="1" t="s">
        <v>97</v>
      </c>
      <c r="AD3263" s="1" t="s">
        <v>98</v>
      </c>
      <c r="AE3263" s="1" t="s">
        <v>98</v>
      </c>
      <c r="AF3263" s="1" t="s">
        <v>25881</v>
      </c>
      <c r="AG3263" s="1" t="s">
        <v>2475</v>
      </c>
      <c r="AH3263" s="1">
        <v>41409</v>
      </c>
      <c r="AI3263" s="1">
        <v>41779</v>
      </c>
      <c r="AJ3263" s="1">
        <v>89.3</v>
      </c>
      <c r="AK3263" s="1">
        <v>9.4</v>
      </c>
      <c r="AL3263" s="1" t="s">
        <v>33219</v>
      </c>
      <c r="AM3263" s="1" t="s">
        <v>52364</v>
      </c>
      <c r="AN3263" s="1"/>
      <c r="AO3263" s="1">
        <v>42200</v>
      </c>
      <c r="AP3263" s="1">
        <v>42505</v>
      </c>
      <c r="AQ3263" s="1">
        <v>72</v>
      </c>
      <c r="AR3263" s="1">
        <v>4</v>
      </c>
      <c r="AS3263" s="1"/>
      <c r="AT3263" s="1"/>
      <c r="AU3263" s="1" t="s">
        <v>98</v>
      </c>
      <c r="AV3263" s="1" t="s">
        <v>98</v>
      </c>
      <c r="AW3263" s="1" t="s">
        <v>98</v>
      </c>
      <c r="AX3263" s="1" t="s">
        <v>98</v>
      </c>
      <c r="AY3263" s="1" t="s">
        <v>33219</v>
      </c>
      <c r="AZ3263" s="1" t="s">
        <v>52364</v>
      </c>
      <c r="BA3263" s="1"/>
      <c r="BB3263" s="1"/>
      <c r="BC3263" s="1">
        <v>42566</v>
      </c>
      <c r="BD3263" s="1">
        <v>44063</v>
      </c>
      <c r="BE3263" s="1">
        <v>65.3</v>
      </c>
      <c r="BF3263" s="1">
        <v>7.03</v>
      </c>
      <c r="BG3263" s="1"/>
      <c r="BH3263" s="1"/>
      <c r="BI3263" s="1"/>
      <c r="BJ3263" s="1"/>
      <c r="BK3263" s="1" t="s">
        <v>98</v>
      </c>
      <c r="BL3263" s="1" t="s">
        <v>98</v>
      </c>
      <c r="BM3263" s="1" t="s">
        <v>98</v>
      </c>
      <c r="BN3263" s="1" t="s">
        <v>98</v>
      </c>
      <c r="BO3263" s="1" t="s">
        <v>52365</v>
      </c>
      <c r="BP3263" s="1"/>
      <c r="BQ3263" s="1"/>
      <c r="BR3263" s="1" t="s">
        <v>52366</v>
      </c>
      <c r="BS3263" s="1">
        <v>119</v>
      </c>
      <c r="BT3263" s="1"/>
      <c r="BU3263" s="1" t="str">
        <f>HYPERLINK("https://nconnect.nicmar.ac.in/storage/profile/2021-2023_AP21044_453718.jpg","Download")</f>
        <v>0</v>
      </c>
      <c r="BV3263" s="3"/>
      <c r="BW3263" s="3"/>
    </row>
    <row r="3264" spans="1:75">
      <c r="A3264" s="1" t="s">
        <v>51340</v>
      </c>
      <c r="B3264" s="1" t="s">
        <v>51341</v>
      </c>
      <c r="C3264" s="1" t="s">
        <v>52367</v>
      </c>
      <c r="D3264" s="1" t="s">
        <v>3684</v>
      </c>
      <c r="E3264" s="1" t="s">
        <v>52368</v>
      </c>
      <c r="F3264" s="1" t="s">
        <v>52369</v>
      </c>
      <c r="G3264" s="1" t="s">
        <v>52370</v>
      </c>
      <c r="H3264" s="1" t="s">
        <v>52371</v>
      </c>
      <c r="I3264" s="1" t="s">
        <v>52372</v>
      </c>
      <c r="J3264" s="1">
        <v>8830842124</v>
      </c>
      <c r="K3264" s="1" t="s">
        <v>84</v>
      </c>
      <c r="L3264" s="1" t="s">
        <v>52373</v>
      </c>
      <c r="M3264" s="1" t="s">
        <v>86</v>
      </c>
      <c r="N3264" s="1" t="s">
        <v>1163</v>
      </c>
      <c r="O3264" s="1"/>
      <c r="P3264" s="1" t="s">
        <v>507</v>
      </c>
      <c r="Q3264" s="1" t="s">
        <v>52374</v>
      </c>
      <c r="R3264" s="1" t="s">
        <v>52375</v>
      </c>
      <c r="S3264" s="1">
        <v>7588016926</v>
      </c>
      <c r="T3264" s="1" t="s">
        <v>127</v>
      </c>
      <c r="U3264" s="1" t="s">
        <v>52376</v>
      </c>
      <c r="V3264" s="1">
        <v>7038671045</v>
      </c>
      <c r="W3264" s="1" t="s">
        <v>94</v>
      </c>
      <c r="X3264" s="1" t="s">
        <v>52377</v>
      </c>
      <c r="Y3264" s="1" t="s">
        <v>910</v>
      </c>
      <c r="Z3264" s="1" t="s">
        <v>97</v>
      </c>
      <c r="AA3264" s="1" t="s">
        <v>52377</v>
      </c>
      <c r="AB3264" s="1" t="s">
        <v>910</v>
      </c>
      <c r="AC3264" s="1" t="s">
        <v>97</v>
      </c>
      <c r="AD3264" s="1" t="s">
        <v>98</v>
      </c>
      <c r="AE3264" s="1" t="s">
        <v>98</v>
      </c>
      <c r="AF3264" s="1" t="s">
        <v>52378</v>
      </c>
      <c r="AG3264" s="1" t="s">
        <v>2745</v>
      </c>
      <c r="AH3264" s="1">
        <v>41792</v>
      </c>
      <c r="AI3264" s="1">
        <v>42167</v>
      </c>
      <c r="AJ3264" s="1">
        <v>82</v>
      </c>
      <c r="AK3264" s="1"/>
      <c r="AL3264" s="1" t="s">
        <v>52379</v>
      </c>
      <c r="AM3264" s="1" t="s">
        <v>2745</v>
      </c>
      <c r="AN3264" s="1"/>
      <c r="AO3264" s="1">
        <v>42858</v>
      </c>
      <c r="AP3264" s="1">
        <v>42888</v>
      </c>
      <c r="AQ3264" s="1">
        <v>65.08</v>
      </c>
      <c r="AR3264" s="1"/>
      <c r="AS3264" s="1"/>
      <c r="AT3264" s="1"/>
      <c r="AU3264" s="1" t="s">
        <v>98</v>
      </c>
      <c r="AV3264" s="1" t="s">
        <v>98</v>
      </c>
      <c r="AW3264" s="1" t="s">
        <v>98</v>
      </c>
      <c r="AX3264" s="1" t="s">
        <v>98</v>
      </c>
      <c r="AY3264" s="1" t="s">
        <v>366</v>
      </c>
      <c r="AZ3264" s="1" t="s">
        <v>52380</v>
      </c>
      <c r="BA3264" s="1"/>
      <c r="BB3264" s="1"/>
      <c r="BC3264" s="1">
        <v>42922</v>
      </c>
      <c r="BD3264" s="1">
        <v>44392</v>
      </c>
      <c r="BE3264" s="1">
        <v>69.87</v>
      </c>
      <c r="BF3264" s="1">
        <v>7.94</v>
      </c>
      <c r="BG3264" s="1"/>
      <c r="BH3264" s="1"/>
      <c r="BI3264" s="1"/>
      <c r="BJ3264" s="1"/>
      <c r="BK3264" s="1" t="s">
        <v>98</v>
      </c>
      <c r="BL3264" s="1" t="s">
        <v>98</v>
      </c>
      <c r="BM3264" s="1" t="s">
        <v>98</v>
      </c>
      <c r="BN3264" s="1" t="s">
        <v>98</v>
      </c>
      <c r="BO3264" s="1" t="s">
        <v>369</v>
      </c>
      <c r="BP3264" s="1"/>
      <c r="BQ3264" s="1"/>
      <c r="BR3264" s="1" t="s">
        <v>52381</v>
      </c>
      <c r="BS3264" s="1">
        <v>23</v>
      </c>
      <c r="BT3264" s="1"/>
      <c r="BU3264" s="1" t="str">
        <f>HYPERLINK("https://nconnect.nicmar.ac.in/storage/profile/2021-2023_AP21045_135897.jpg","Download")</f>
        <v>0</v>
      </c>
      <c r="BV3264" s="3"/>
      <c r="BW3264" s="3"/>
    </row>
    <row r="3265" spans="1:75">
      <c r="A3265" s="1" t="s">
        <v>51340</v>
      </c>
      <c r="B3265" s="1" t="s">
        <v>51341</v>
      </c>
      <c r="C3265" s="1" t="s">
        <v>52382</v>
      </c>
      <c r="D3265" s="1" t="s">
        <v>26108</v>
      </c>
      <c r="E3265" s="1"/>
      <c r="F3265" s="1" t="s">
        <v>4748</v>
      </c>
      <c r="G3265" s="1" t="s">
        <v>52383</v>
      </c>
      <c r="H3265" s="1" t="s">
        <v>52384</v>
      </c>
      <c r="I3265" s="1" t="s">
        <v>52385</v>
      </c>
      <c r="J3265" s="1">
        <v>7772924028</v>
      </c>
      <c r="K3265" s="1" t="s">
        <v>153</v>
      </c>
      <c r="L3265" s="1" t="s">
        <v>52064</v>
      </c>
      <c r="M3265" s="1" t="s">
        <v>86</v>
      </c>
      <c r="N3265" s="1" t="s">
        <v>52386</v>
      </c>
      <c r="O3265" s="1"/>
      <c r="P3265" s="1" t="s">
        <v>481</v>
      </c>
      <c r="Q3265" s="1" t="s">
        <v>52387</v>
      </c>
      <c r="R3265" s="1" t="s">
        <v>52388</v>
      </c>
      <c r="S3265" s="1">
        <v>9406005182</v>
      </c>
      <c r="T3265" s="1" t="s">
        <v>539</v>
      </c>
      <c r="U3265" s="1" t="s">
        <v>52389</v>
      </c>
      <c r="V3265" s="1">
        <v>9753543419</v>
      </c>
      <c r="W3265" s="1" t="s">
        <v>541</v>
      </c>
      <c r="X3265" s="1" t="s">
        <v>52390</v>
      </c>
      <c r="Y3265" s="1" t="s">
        <v>21597</v>
      </c>
      <c r="Z3265" s="1" t="s">
        <v>2933</v>
      </c>
      <c r="AA3265" s="1" t="s">
        <v>52391</v>
      </c>
      <c r="AB3265" s="1" t="s">
        <v>21597</v>
      </c>
      <c r="AC3265" s="1" t="s">
        <v>2933</v>
      </c>
      <c r="AD3265" s="1" t="s">
        <v>98</v>
      </c>
      <c r="AE3265" s="1" t="s">
        <v>98</v>
      </c>
      <c r="AF3265" s="1" t="s">
        <v>1060</v>
      </c>
      <c r="AG3265" s="1" t="s">
        <v>312</v>
      </c>
      <c r="AH3265" s="1">
        <v>41000</v>
      </c>
      <c r="AI3265" s="1">
        <v>41361</v>
      </c>
      <c r="AJ3265" s="1">
        <v>76</v>
      </c>
      <c r="AK3265" s="1">
        <v>8</v>
      </c>
      <c r="AL3265" s="1" t="s">
        <v>1060</v>
      </c>
      <c r="AM3265" s="1" t="s">
        <v>312</v>
      </c>
      <c r="AN3265" s="1"/>
      <c r="AO3265" s="1">
        <v>41731</v>
      </c>
      <c r="AP3265" s="1">
        <v>42149</v>
      </c>
      <c r="AQ3265" s="1">
        <v>71.8</v>
      </c>
      <c r="AR3265" s="1">
        <v>0</v>
      </c>
      <c r="AS3265" s="1"/>
      <c r="AT3265" s="1"/>
      <c r="AU3265" s="1" t="s">
        <v>98</v>
      </c>
      <c r="AV3265" s="1" t="s">
        <v>98</v>
      </c>
      <c r="AW3265" s="1" t="s">
        <v>98</v>
      </c>
      <c r="AX3265" s="1" t="s">
        <v>98</v>
      </c>
      <c r="AY3265" s="1" t="s">
        <v>31453</v>
      </c>
      <c r="AZ3265" s="1" t="s">
        <v>31453</v>
      </c>
      <c r="BA3265" s="1"/>
      <c r="BB3265" s="1"/>
      <c r="BC3265" s="1">
        <v>42256</v>
      </c>
      <c r="BD3265" s="1">
        <v>44071</v>
      </c>
      <c r="BE3265" s="1">
        <v>68.5</v>
      </c>
      <c r="BF3265" s="1">
        <v>6.85</v>
      </c>
      <c r="BG3265" s="1"/>
      <c r="BH3265" s="1"/>
      <c r="BI3265" s="1"/>
      <c r="BJ3265" s="1"/>
      <c r="BK3265" s="1" t="s">
        <v>98</v>
      </c>
      <c r="BL3265" s="1" t="s">
        <v>98</v>
      </c>
      <c r="BM3265" s="1" t="s">
        <v>98</v>
      </c>
      <c r="BN3265" s="1" t="s">
        <v>98</v>
      </c>
      <c r="BO3265" s="1" t="s">
        <v>52392</v>
      </c>
      <c r="BP3265" s="1" t="s">
        <v>52393</v>
      </c>
      <c r="BQ3265" s="1" t="s">
        <v>1482</v>
      </c>
      <c r="BR3265" s="1" t="s">
        <v>52394</v>
      </c>
      <c r="BS3265" s="1">
        <v>195</v>
      </c>
      <c r="BT3265" s="1"/>
      <c r="BU3265" s="1" t="str">
        <f>HYPERLINK("https://nconnect.nicmar.ac.in/storage/profile/2021-2023_AP21046_863974.jpg","Download")</f>
        <v>0</v>
      </c>
      <c r="BV3265" s="3"/>
      <c r="BW3265" s="3"/>
    </row>
    <row r="3266" spans="1:75">
      <c r="A3266" s="1" t="s">
        <v>51340</v>
      </c>
      <c r="B3266" s="1" t="s">
        <v>51341</v>
      </c>
      <c r="C3266" s="1" t="s">
        <v>52395</v>
      </c>
      <c r="D3266" s="1" t="s">
        <v>2272</v>
      </c>
      <c r="E3266" s="1" t="s">
        <v>5073</v>
      </c>
      <c r="F3266" s="1" t="s">
        <v>52396</v>
      </c>
      <c r="G3266" s="1" t="s">
        <v>52397</v>
      </c>
      <c r="H3266" s="1" t="s">
        <v>52398</v>
      </c>
      <c r="I3266" s="1" t="s">
        <v>52399</v>
      </c>
      <c r="J3266" s="1">
        <v>9740728729</v>
      </c>
      <c r="K3266" s="1" t="s">
        <v>84</v>
      </c>
      <c r="L3266" s="1" t="s">
        <v>20974</v>
      </c>
      <c r="M3266" s="1" t="s">
        <v>86</v>
      </c>
      <c r="N3266" s="1" t="s">
        <v>1617</v>
      </c>
      <c r="O3266" s="1"/>
      <c r="P3266" s="1" t="s">
        <v>1028</v>
      </c>
      <c r="Q3266" s="1" t="s">
        <v>52400</v>
      </c>
      <c r="R3266" s="1" t="s">
        <v>52401</v>
      </c>
      <c r="S3266" s="1">
        <v>9844074693</v>
      </c>
      <c r="T3266" s="1" t="s">
        <v>1495</v>
      </c>
      <c r="U3266" s="1" t="s">
        <v>52402</v>
      </c>
      <c r="V3266" s="1">
        <v>9844311893</v>
      </c>
      <c r="W3266" s="1" t="s">
        <v>52403</v>
      </c>
      <c r="X3266" s="1" t="s">
        <v>52404</v>
      </c>
      <c r="Y3266" s="1" t="s">
        <v>6871</v>
      </c>
      <c r="Z3266" s="1" t="s">
        <v>1210</v>
      </c>
      <c r="AA3266" s="1" t="s">
        <v>52405</v>
      </c>
      <c r="AB3266" s="1" t="s">
        <v>196</v>
      </c>
      <c r="AC3266" s="1" t="s">
        <v>97</v>
      </c>
      <c r="AD3266" s="1" t="s">
        <v>98</v>
      </c>
      <c r="AE3266" s="1" t="s">
        <v>98</v>
      </c>
      <c r="AF3266" s="1" t="s">
        <v>52406</v>
      </c>
      <c r="AG3266" s="1" t="s">
        <v>52407</v>
      </c>
      <c r="AH3266" s="1">
        <v>41791</v>
      </c>
      <c r="AI3266" s="1">
        <v>42137</v>
      </c>
      <c r="AJ3266" s="1">
        <v>88.96</v>
      </c>
      <c r="AK3266" s="1"/>
      <c r="AL3266" s="1" t="s">
        <v>52408</v>
      </c>
      <c r="AM3266" s="1" t="s">
        <v>52407</v>
      </c>
      <c r="AN3266" s="1"/>
      <c r="AO3266" s="1">
        <v>42552</v>
      </c>
      <c r="AP3266" s="1">
        <v>43232</v>
      </c>
      <c r="AQ3266" s="1">
        <v>76.4</v>
      </c>
      <c r="AR3266" s="1"/>
      <c r="AS3266" s="1"/>
      <c r="AT3266" s="1"/>
      <c r="AU3266" s="1" t="s">
        <v>98</v>
      </c>
      <c r="AV3266" s="1" t="s">
        <v>98</v>
      </c>
      <c r="AW3266" s="1" t="s">
        <v>98</v>
      </c>
      <c r="AX3266" s="1" t="s">
        <v>98</v>
      </c>
      <c r="AY3266" s="1" t="s">
        <v>6669</v>
      </c>
      <c r="AZ3266" s="1" t="s">
        <v>20935</v>
      </c>
      <c r="BA3266" s="1"/>
      <c r="BB3266" s="1"/>
      <c r="BC3266" s="1">
        <v>42948</v>
      </c>
      <c r="BD3266" s="1">
        <v>44440</v>
      </c>
      <c r="BE3266" s="1">
        <v>68.8</v>
      </c>
      <c r="BF3266" s="1">
        <v>7.63</v>
      </c>
      <c r="BG3266" s="1"/>
      <c r="BH3266" s="1"/>
      <c r="BI3266" s="1"/>
      <c r="BJ3266" s="1"/>
      <c r="BK3266" s="1" t="s">
        <v>98</v>
      </c>
      <c r="BL3266" s="1" t="s">
        <v>98</v>
      </c>
      <c r="BM3266" s="1" t="s">
        <v>98</v>
      </c>
      <c r="BN3266" s="1" t="s">
        <v>98</v>
      </c>
      <c r="BO3266" s="1" t="s">
        <v>369</v>
      </c>
      <c r="BP3266" s="1"/>
      <c r="BQ3266" s="1"/>
      <c r="BR3266" s="1" t="s">
        <v>52409</v>
      </c>
      <c r="BS3266" s="1">
        <v>18</v>
      </c>
      <c r="BT3266" s="1"/>
      <c r="BU3266" s="1" t="str">
        <f>HYPERLINK("https://nconnect.nicmar.ac.in/storage/profile/2021-2023_AP21047_756284.jpeg","Download")</f>
        <v>0</v>
      </c>
      <c r="BV3266" s="3"/>
      <c r="BW3266" s="3"/>
    </row>
    <row r="3267" spans="1:75">
      <c r="A3267" s="1" t="s">
        <v>51340</v>
      </c>
      <c r="B3267" s="1" t="s">
        <v>51341</v>
      </c>
      <c r="C3267" s="1" t="s">
        <v>52410</v>
      </c>
      <c r="D3267" s="1" t="s">
        <v>52411</v>
      </c>
      <c r="E3267" s="1" t="s">
        <v>7759</v>
      </c>
      <c r="F3267" s="1" t="s">
        <v>2273</v>
      </c>
      <c r="G3267" s="1" t="s">
        <v>52412</v>
      </c>
      <c r="H3267" s="1" t="s">
        <v>52413</v>
      </c>
      <c r="I3267" s="1" t="s">
        <v>52414</v>
      </c>
      <c r="J3267" s="1">
        <v>9987658712</v>
      </c>
      <c r="K3267" s="1" t="s">
        <v>84</v>
      </c>
      <c r="L3267" s="1" t="s">
        <v>27381</v>
      </c>
      <c r="M3267" s="1" t="s">
        <v>86</v>
      </c>
      <c r="N3267" s="1" t="s">
        <v>52415</v>
      </c>
      <c r="O3267" s="1"/>
      <c r="P3267" s="1" t="s">
        <v>455</v>
      </c>
      <c r="Q3267" s="1" t="s">
        <v>52416</v>
      </c>
      <c r="R3267" s="1" t="s">
        <v>52417</v>
      </c>
      <c r="S3267" s="1">
        <v>9867443686</v>
      </c>
      <c r="T3267" s="1" t="s">
        <v>5027</v>
      </c>
      <c r="U3267" s="1" t="s">
        <v>52418</v>
      </c>
      <c r="V3267" s="1">
        <v>9892413580</v>
      </c>
      <c r="W3267" s="1" t="s">
        <v>94</v>
      </c>
      <c r="X3267" s="1" t="s">
        <v>52419</v>
      </c>
      <c r="Y3267" s="1" t="s">
        <v>52420</v>
      </c>
      <c r="Z3267" s="1" t="s">
        <v>97</v>
      </c>
      <c r="AA3267" s="1" t="s">
        <v>52419</v>
      </c>
      <c r="AB3267" s="1" t="s">
        <v>52420</v>
      </c>
      <c r="AC3267" s="1" t="s">
        <v>97</v>
      </c>
      <c r="AD3267" s="1" t="s">
        <v>98</v>
      </c>
      <c r="AE3267" s="1" t="s">
        <v>98</v>
      </c>
      <c r="AF3267" s="1" t="s">
        <v>43976</v>
      </c>
      <c r="AG3267" s="1" t="s">
        <v>312</v>
      </c>
      <c r="AH3267" s="1">
        <v>41365</v>
      </c>
      <c r="AI3267" s="1">
        <v>41778</v>
      </c>
      <c r="AJ3267" s="1">
        <v>91.2</v>
      </c>
      <c r="AK3267" s="1">
        <v>9.6</v>
      </c>
      <c r="AL3267" s="1" t="s">
        <v>43976</v>
      </c>
      <c r="AM3267" s="1" t="s">
        <v>312</v>
      </c>
      <c r="AN3267" s="1"/>
      <c r="AO3267" s="1">
        <v>42095</v>
      </c>
      <c r="AP3267" s="1">
        <v>42511</v>
      </c>
      <c r="AQ3267" s="1">
        <v>83.4</v>
      </c>
      <c r="AR3267" s="1"/>
      <c r="AS3267" s="1"/>
      <c r="AT3267" s="1"/>
      <c r="AU3267" s="1" t="s">
        <v>98</v>
      </c>
      <c r="AV3267" s="1" t="s">
        <v>98</v>
      </c>
      <c r="AW3267" s="1" t="s">
        <v>98</v>
      </c>
      <c r="AX3267" s="1" t="s">
        <v>98</v>
      </c>
      <c r="AY3267" s="1" t="s">
        <v>258</v>
      </c>
      <c r="AZ3267" s="1" t="s">
        <v>52421</v>
      </c>
      <c r="BA3267" s="1"/>
      <c r="BB3267" s="1"/>
      <c r="BC3267" s="1">
        <v>42551</v>
      </c>
      <c r="BD3267" s="1">
        <v>44155</v>
      </c>
      <c r="BE3267" s="1">
        <v>77.93</v>
      </c>
      <c r="BF3267" s="1">
        <v>8.91</v>
      </c>
      <c r="BG3267" s="1"/>
      <c r="BH3267" s="1"/>
      <c r="BI3267" s="1"/>
      <c r="BJ3267" s="1"/>
      <c r="BK3267" s="1" t="s">
        <v>98</v>
      </c>
      <c r="BL3267" s="1" t="s">
        <v>98</v>
      </c>
      <c r="BM3267" s="1" t="s">
        <v>98</v>
      </c>
      <c r="BN3267" s="1" t="s">
        <v>98</v>
      </c>
      <c r="BO3267" s="1" t="s">
        <v>52422</v>
      </c>
      <c r="BP3267" s="1"/>
      <c r="BQ3267" s="1"/>
      <c r="BR3267" s="1" t="s">
        <v>52423</v>
      </c>
      <c r="BS3267" s="1">
        <v>33</v>
      </c>
      <c r="BT3267" s="1"/>
      <c r="BU3267" s="1" t="str">
        <f>HYPERLINK("https://nconnect.nicmar.ac.in/storage/profile/2021-2023_AP21048_359126.jpg","Download")</f>
        <v>0</v>
      </c>
      <c r="BV3267" s="3"/>
      <c r="BW3267" s="3"/>
    </row>
    <row r="3268" spans="1:75">
      <c r="A3268" s="1" t="s">
        <v>51340</v>
      </c>
      <c r="B3268" s="1" t="s">
        <v>51341</v>
      </c>
      <c r="C3268" s="1" t="s">
        <v>52424</v>
      </c>
      <c r="D3268" s="1" t="s">
        <v>52425</v>
      </c>
      <c r="E3268" s="1" t="s">
        <v>43697</v>
      </c>
      <c r="F3268" s="1" t="s">
        <v>31119</v>
      </c>
      <c r="G3268" s="1" t="s">
        <v>52426</v>
      </c>
      <c r="H3268" s="1" t="s">
        <v>52427</v>
      </c>
      <c r="I3268" s="1" t="s">
        <v>52428</v>
      </c>
      <c r="J3268" s="1">
        <v>9177579921</v>
      </c>
      <c r="K3268" s="1" t="s">
        <v>153</v>
      </c>
      <c r="L3268" s="1" t="s">
        <v>52429</v>
      </c>
      <c r="M3268" s="1" t="s">
        <v>86</v>
      </c>
      <c r="N3268" s="1" t="s">
        <v>3026</v>
      </c>
      <c r="O3268" s="1"/>
      <c r="P3268" s="1" t="s">
        <v>481</v>
      </c>
      <c r="Q3268" s="1" t="s">
        <v>52430</v>
      </c>
      <c r="R3268" s="1" t="s">
        <v>52431</v>
      </c>
      <c r="S3268" s="1">
        <v>8886086458</v>
      </c>
      <c r="T3268" s="1" t="s">
        <v>839</v>
      </c>
      <c r="U3268" s="1" t="s">
        <v>52432</v>
      </c>
      <c r="V3268" s="1">
        <v>9494322929</v>
      </c>
      <c r="W3268" s="1" t="s">
        <v>94</v>
      </c>
      <c r="X3268" s="1" t="s">
        <v>52433</v>
      </c>
      <c r="Y3268" s="1" t="s">
        <v>1454</v>
      </c>
      <c r="Z3268" s="1" t="s">
        <v>281</v>
      </c>
      <c r="AA3268" s="1" t="s">
        <v>52433</v>
      </c>
      <c r="AB3268" s="1" t="s">
        <v>1454</v>
      </c>
      <c r="AC3268" s="1" t="s">
        <v>281</v>
      </c>
      <c r="AD3268" s="1" t="s">
        <v>98</v>
      </c>
      <c r="AE3268" s="1" t="s">
        <v>98</v>
      </c>
      <c r="AF3268" s="1" t="s">
        <v>2653</v>
      </c>
      <c r="AG3268" s="1" t="s">
        <v>52434</v>
      </c>
      <c r="AH3268" s="1" t="s">
        <v>336</v>
      </c>
      <c r="AI3268" s="1" t="s">
        <v>337</v>
      </c>
      <c r="AJ3268" s="1">
        <v>91.83</v>
      </c>
      <c r="AK3268" s="1"/>
      <c r="AL3268" s="1" t="s">
        <v>1843</v>
      </c>
      <c r="AM3268" s="1" t="s">
        <v>52434</v>
      </c>
      <c r="AN3268" s="1"/>
      <c r="AO3268" s="1" t="s">
        <v>2726</v>
      </c>
      <c r="AP3268" s="1" t="s">
        <v>3421</v>
      </c>
      <c r="AQ3268" s="1">
        <v>87.5</v>
      </c>
      <c r="AR3268" s="1"/>
      <c r="AS3268" s="1"/>
      <c r="AT3268" s="1"/>
      <c r="AU3268" s="1" t="s">
        <v>98</v>
      </c>
      <c r="AV3268" s="1" t="s">
        <v>98</v>
      </c>
      <c r="AW3268" s="1" t="s">
        <v>98</v>
      </c>
      <c r="AX3268" s="1" t="s">
        <v>98</v>
      </c>
      <c r="AY3268" s="1" t="s">
        <v>52435</v>
      </c>
      <c r="AZ3268" s="1" t="s">
        <v>52436</v>
      </c>
      <c r="BA3268" s="1"/>
      <c r="BB3268" s="1"/>
      <c r="BC3268" s="1" t="s">
        <v>134</v>
      </c>
      <c r="BD3268" s="1" t="s">
        <v>704</v>
      </c>
      <c r="BE3268" s="1">
        <v>74.1</v>
      </c>
      <c r="BF3268" s="1">
        <v>7.8</v>
      </c>
      <c r="BG3268" s="1"/>
      <c r="BH3268" s="1"/>
      <c r="BI3268" s="1"/>
      <c r="BJ3268" s="1"/>
      <c r="BK3268" s="1" t="s">
        <v>98</v>
      </c>
      <c r="BL3268" s="1" t="s">
        <v>98</v>
      </c>
      <c r="BM3268" s="1" t="s">
        <v>98</v>
      </c>
      <c r="BN3268" s="1" t="s">
        <v>98</v>
      </c>
      <c r="BO3268" s="1" t="s">
        <v>52437</v>
      </c>
      <c r="BP3268" s="1" t="s">
        <v>52438</v>
      </c>
      <c r="BQ3268" s="1" t="s">
        <v>52439</v>
      </c>
      <c r="BR3268" s="1" t="s">
        <v>52440</v>
      </c>
      <c r="BS3268" s="1">
        <v>36</v>
      </c>
      <c r="BT3268" s="1"/>
      <c r="BU3268" s="1" t="str">
        <f>HYPERLINK("https://nconnect.nicmar.ac.in/storage/profile/2021-2023_AP21050_316745.jpg","Download")</f>
        <v>0</v>
      </c>
      <c r="BV3268" s="3"/>
      <c r="BW3268" s="3"/>
    </row>
    <row r="3269" spans="1:75">
      <c r="A3269" s="1" t="s">
        <v>51340</v>
      </c>
      <c r="B3269" s="1" t="s">
        <v>51341</v>
      </c>
      <c r="C3269" s="1" t="s">
        <v>52441</v>
      </c>
      <c r="D3269" s="1" t="s">
        <v>10244</v>
      </c>
      <c r="E3269" s="1" t="s">
        <v>1075</v>
      </c>
      <c r="F3269" s="1" t="s">
        <v>52442</v>
      </c>
      <c r="G3269" s="1" t="s">
        <v>52443</v>
      </c>
      <c r="H3269" s="1" t="s">
        <v>52444</v>
      </c>
      <c r="I3269" s="1" t="s">
        <v>52445</v>
      </c>
      <c r="J3269" s="1">
        <v>9623371989</v>
      </c>
      <c r="K3269" s="1" t="s">
        <v>153</v>
      </c>
      <c r="L3269" s="1" t="s">
        <v>52446</v>
      </c>
      <c r="M3269" s="1" t="s">
        <v>86</v>
      </c>
      <c r="N3269" s="1" t="s">
        <v>1163</v>
      </c>
      <c r="O3269" s="1"/>
      <c r="P3269" s="1" t="s">
        <v>507</v>
      </c>
      <c r="Q3269" s="1" t="s">
        <v>52447</v>
      </c>
      <c r="R3269" s="1" t="s">
        <v>52448</v>
      </c>
      <c r="S3269" s="1">
        <v>8390339774</v>
      </c>
      <c r="T3269" s="1" t="s">
        <v>3396</v>
      </c>
      <c r="U3269" s="1" t="s">
        <v>52449</v>
      </c>
      <c r="V3269" s="1">
        <v>8390339774</v>
      </c>
      <c r="W3269" s="1" t="s">
        <v>3396</v>
      </c>
      <c r="X3269" s="1" t="s">
        <v>52450</v>
      </c>
      <c r="Y3269" s="1" t="s">
        <v>224</v>
      </c>
      <c r="Z3269" s="1" t="s">
        <v>97</v>
      </c>
      <c r="AA3269" s="1" t="s">
        <v>52450</v>
      </c>
      <c r="AB3269" s="1" t="s">
        <v>224</v>
      </c>
      <c r="AC3269" s="1" t="s">
        <v>97</v>
      </c>
      <c r="AD3269" s="1" t="s">
        <v>98</v>
      </c>
      <c r="AE3269" s="1" t="s">
        <v>98</v>
      </c>
      <c r="AF3269" s="1" t="s">
        <v>52451</v>
      </c>
      <c r="AG3269" s="1" t="s">
        <v>2745</v>
      </c>
      <c r="AH3269" s="1" t="s">
        <v>52452</v>
      </c>
      <c r="AI3269" s="1" t="s">
        <v>52453</v>
      </c>
      <c r="AJ3269" s="1">
        <v>86.2</v>
      </c>
      <c r="AK3269" s="1"/>
      <c r="AL3269" s="1" t="s">
        <v>2049</v>
      </c>
      <c r="AM3269" s="1" t="s">
        <v>2745</v>
      </c>
      <c r="AN3269" s="1"/>
      <c r="AO3269" s="1" t="s">
        <v>52454</v>
      </c>
      <c r="AP3269" s="1" t="s">
        <v>52455</v>
      </c>
      <c r="AQ3269" s="1">
        <v>81.23</v>
      </c>
      <c r="AR3269" s="1"/>
      <c r="AS3269" s="1"/>
      <c r="AT3269" s="1"/>
      <c r="AU3269" s="1" t="s">
        <v>98</v>
      </c>
      <c r="AV3269" s="1" t="s">
        <v>98</v>
      </c>
      <c r="AW3269" s="1" t="s">
        <v>98</v>
      </c>
      <c r="AX3269" s="1" t="s">
        <v>98</v>
      </c>
      <c r="AY3269" s="1" t="s">
        <v>415</v>
      </c>
      <c r="AZ3269" s="1" t="s">
        <v>1478</v>
      </c>
      <c r="BA3269" s="1"/>
      <c r="BB3269" s="1"/>
      <c r="BC3269" s="1" t="s">
        <v>52456</v>
      </c>
      <c r="BD3269" s="1" t="s">
        <v>52457</v>
      </c>
      <c r="BE3269" s="1">
        <v>71</v>
      </c>
      <c r="BF3269" s="1">
        <v>7.89</v>
      </c>
      <c r="BG3269" s="1"/>
      <c r="BH3269" s="1"/>
      <c r="BI3269" s="1"/>
      <c r="BJ3269" s="1"/>
      <c r="BK3269" s="1" t="s">
        <v>98</v>
      </c>
      <c r="BL3269" s="1" t="s">
        <v>98</v>
      </c>
      <c r="BM3269" s="1" t="s">
        <v>98</v>
      </c>
      <c r="BN3269" s="1" t="s">
        <v>98</v>
      </c>
      <c r="BO3269" s="1" t="s">
        <v>52458</v>
      </c>
      <c r="BP3269" s="1"/>
      <c r="BQ3269" s="1"/>
      <c r="BR3269" s="1" t="s">
        <v>52459</v>
      </c>
      <c r="BS3269" s="1">
        <v>51</v>
      </c>
      <c r="BT3269" s="1"/>
      <c r="BU3269" s="1" t="str">
        <f>HYPERLINK("https://nconnect.nicmar.ac.in/storage/profile/2021-2023_AP21052_689143.jpg","Download")</f>
        <v>0</v>
      </c>
      <c r="BV3269" s="3"/>
      <c r="BW3269" s="3"/>
    </row>
    <row r="3270" spans="1:75">
      <c r="A3270" s="1" t="s">
        <v>51340</v>
      </c>
      <c r="B3270" s="1" t="s">
        <v>51341</v>
      </c>
      <c r="C3270" s="1" t="s">
        <v>52460</v>
      </c>
      <c r="D3270" s="1" t="s">
        <v>52461</v>
      </c>
      <c r="E3270" s="1"/>
      <c r="F3270" s="1" t="s">
        <v>52462</v>
      </c>
      <c r="G3270" s="1" t="s">
        <v>52463</v>
      </c>
      <c r="H3270" s="1" t="s">
        <v>52464</v>
      </c>
      <c r="I3270" s="1" t="s">
        <v>52465</v>
      </c>
      <c r="J3270" s="1">
        <v>8617047108</v>
      </c>
      <c r="K3270" s="1" t="s">
        <v>84</v>
      </c>
      <c r="L3270" s="1" t="s">
        <v>9973</v>
      </c>
      <c r="M3270" s="1" t="s">
        <v>86</v>
      </c>
      <c r="N3270" s="1" t="s">
        <v>33137</v>
      </c>
      <c r="O3270" s="1"/>
      <c r="P3270" s="1" t="s">
        <v>507</v>
      </c>
      <c r="Q3270" s="1" t="s">
        <v>52466</v>
      </c>
      <c r="R3270" s="1" t="s">
        <v>52467</v>
      </c>
      <c r="S3270" s="1">
        <v>9434199413</v>
      </c>
      <c r="T3270" s="1" t="s">
        <v>539</v>
      </c>
      <c r="U3270" s="1" t="s">
        <v>52468</v>
      </c>
      <c r="V3270" s="1">
        <v>9476183468</v>
      </c>
      <c r="W3270" s="1" t="s">
        <v>94</v>
      </c>
      <c r="X3270" s="1" t="s">
        <v>52469</v>
      </c>
      <c r="Y3270" s="1" t="s">
        <v>52470</v>
      </c>
      <c r="Z3270" s="1" t="s">
        <v>1234</v>
      </c>
      <c r="AA3270" s="1" t="s">
        <v>52469</v>
      </c>
      <c r="AB3270" s="1" t="s">
        <v>52470</v>
      </c>
      <c r="AC3270" s="1" t="s">
        <v>1234</v>
      </c>
      <c r="AD3270" s="1" t="s">
        <v>98</v>
      </c>
      <c r="AE3270" s="1" t="s">
        <v>98</v>
      </c>
      <c r="AF3270" s="1" t="s">
        <v>52471</v>
      </c>
      <c r="AG3270" s="1" t="s">
        <v>3284</v>
      </c>
      <c r="AH3270" s="1" t="s">
        <v>52472</v>
      </c>
      <c r="AI3270" s="1" t="s">
        <v>52473</v>
      </c>
      <c r="AJ3270" s="1">
        <v>89</v>
      </c>
      <c r="AK3270" s="1"/>
      <c r="AL3270" s="1" t="s">
        <v>52471</v>
      </c>
      <c r="AM3270" s="1" t="s">
        <v>3284</v>
      </c>
      <c r="AN3270" s="1"/>
      <c r="AO3270" s="1" t="s">
        <v>52474</v>
      </c>
      <c r="AP3270" s="1" t="s">
        <v>52475</v>
      </c>
      <c r="AQ3270" s="1">
        <v>86.8</v>
      </c>
      <c r="AR3270" s="1"/>
      <c r="AS3270" s="1"/>
      <c r="AT3270" s="1"/>
      <c r="AU3270" s="1" t="s">
        <v>98</v>
      </c>
      <c r="AV3270" s="1" t="s">
        <v>98</v>
      </c>
      <c r="AW3270" s="1" t="s">
        <v>98</v>
      </c>
      <c r="AX3270" s="1" t="s">
        <v>98</v>
      </c>
      <c r="AY3270" s="1" t="s">
        <v>1240</v>
      </c>
      <c r="AZ3270" s="1" t="s">
        <v>33165</v>
      </c>
      <c r="BA3270" s="1"/>
      <c r="BB3270" s="1"/>
      <c r="BC3270" s="1" t="s">
        <v>52476</v>
      </c>
      <c r="BD3270" s="1" t="s">
        <v>52477</v>
      </c>
      <c r="BE3270" s="1">
        <v>81.9</v>
      </c>
      <c r="BF3270" s="1">
        <v>8.94</v>
      </c>
      <c r="BG3270" s="1"/>
      <c r="BH3270" s="1"/>
      <c r="BI3270" s="1"/>
      <c r="BJ3270" s="1"/>
      <c r="BK3270" s="1" t="s">
        <v>98</v>
      </c>
      <c r="BL3270" s="1" t="s">
        <v>98</v>
      </c>
      <c r="BM3270" s="1" t="s">
        <v>98</v>
      </c>
      <c r="BN3270" s="1" t="s">
        <v>98</v>
      </c>
      <c r="BO3270" s="1" t="s">
        <v>52478</v>
      </c>
      <c r="BP3270" s="1"/>
      <c r="BQ3270" s="1"/>
      <c r="BR3270" s="1" t="s">
        <v>52479</v>
      </c>
      <c r="BS3270" s="1">
        <v>14</v>
      </c>
      <c r="BT3270" s="1"/>
      <c r="BU3270" s="1" t="str">
        <f>HYPERLINK("https://nconnect.nicmar.ac.in/storage/profile/2021-2023_AP21053_285713.jpg","Download")</f>
        <v>0</v>
      </c>
      <c r="BV3270" s="3"/>
      <c r="BW3270" s="3"/>
    </row>
    <row r="3271" spans="1:75">
      <c r="A3271" s="1" t="s">
        <v>51340</v>
      </c>
      <c r="B3271" s="1" t="s">
        <v>51341</v>
      </c>
      <c r="C3271" s="1" t="s">
        <v>52480</v>
      </c>
      <c r="D3271" s="1" t="s">
        <v>52481</v>
      </c>
      <c r="E3271" s="1" t="s">
        <v>1893</v>
      </c>
      <c r="F3271" s="1" t="s">
        <v>9631</v>
      </c>
      <c r="G3271" s="1" t="s">
        <v>52482</v>
      </c>
      <c r="H3271" s="1" t="s">
        <v>52483</v>
      </c>
      <c r="I3271" s="1" t="s">
        <v>52484</v>
      </c>
      <c r="J3271" s="1">
        <v>7879893589</v>
      </c>
      <c r="K3271" s="1" t="s">
        <v>84</v>
      </c>
      <c r="L3271" s="1" t="s">
        <v>22798</v>
      </c>
      <c r="M3271" s="1" t="s">
        <v>86</v>
      </c>
      <c r="N3271" s="1" t="s">
        <v>3026</v>
      </c>
      <c r="O3271" s="1"/>
      <c r="P3271" s="1" t="s">
        <v>455</v>
      </c>
      <c r="Q3271" s="1" t="s">
        <v>52485</v>
      </c>
      <c r="R3271" s="1" t="s">
        <v>52486</v>
      </c>
      <c r="S3271" s="1">
        <v>9827487492</v>
      </c>
      <c r="T3271" s="1" t="s">
        <v>5027</v>
      </c>
      <c r="U3271" s="1" t="s">
        <v>52487</v>
      </c>
      <c r="V3271" s="1">
        <v>9630109599</v>
      </c>
      <c r="W3271" s="1" t="s">
        <v>94</v>
      </c>
      <c r="X3271" s="1" t="s">
        <v>52488</v>
      </c>
      <c r="Y3271" s="1" t="s">
        <v>52489</v>
      </c>
      <c r="Z3271" s="1" t="s">
        <v>2933</v>
      </c>
      <c r="AA3271" s="1" t="s">
        <v>52490</v>
      </c>
      <c r="AB3271" s="1" t="s">
        <v>52489</v>
      </c>
      <c r="AC3271" s="1" t="s">
        <v>2933</v>
      </c>
      <c r="AD3271" s="1" t="s">
        <v>98</v>
      </c>
      <c r="AE3271" s="1" t="s">
        <v>98</v>
      </c>
      <c r="AF3271" s="1" t="s">
        <v>52491</v>
      </c>
      <c r="AG3271" s="1" t="s">
        <v>312</v>
      </c>
      <c r="AH3271" s="1" t="s">
        <v>1214</v>
      </c>
      <c r="AI3271" s="1" t="s">
        <v>102</v>
      </c>
      <c r="AJ3271" s="1">
        <v>85.5</v>
      </c>
      <c r="AK3271" s="1">
        <v>9</v>
      </c>
      <c r="AL3271" s="1" t="s">
        <v>25726</v>
      </c>
      <c r="AM3271" s="1" t="s">
        <v>1420</v>
      </c>
      <c r="AN3271" s="1"/>
      <c r="AO3271" s="1" t="s">
        <v>284</v>
      </c>
      <c r="AP3271" s="1" t="s">
        <v>200</v>
      </c>
      <c r="AQ3271" s="1">
        <v>95.9</v>
      </c>
      <c r="AR3271" s="1"/>
      <c r="AS3271" s="1"/>
      <c r="AT3271" s="1"/>
      <c r="AU3271" s="1" t="s">
        <v>98</v>
      </c>
      <c r="AV3271" s="1" t="s">
        <v>98</v>
      </c>
      <c r="AW3271" s="1"/>
      <c r="AX3271" s="1"/>
      <c r="AY3271" s="1" t="s">
        <v>13921</v>
      </c>
      <c r="AZ3271" s="1" t="s">
        <v>13921</v>
      </c>
      <c r="BA3271" s="1"/>
      <c r="BB3271" s="1"/>
      <c r="BC3271" s="1" t="s">
        <v>230</v>
      </c>
      <c r="BD3271" s="1" t="s">
        <v>845</v>
      </c>
      <c r="BE3271" s="1">
        <v>80.6</v>
      </c>
      <c r="BF3271" s="1">
        <v>8.06</v>
      </c>
      <c r="BG3271" s="1"/>
      <c r="BH3271" s="1"/>
      <c r="BI3271" s="1"/>
      <c r="BJ3271" s="1"/>
      <c r="BK3271" s="1" t="s">
        <v>98</v>
      </c>
      <c r="BL3271" s="1" t="s">
        <v>98</v>
      </c>
      <c r="BM3271" s="1" t="s">
        <v>98</v>
      </c>
      <c r="BN3271" s="1" t="s">
        <v>98</v>
      </c>
      <c r="BO3271" s="1" t="s">
        <v>1114</v>
      </c>
      <c r="BP3271" s="1"/>
      <c r="BQ3271" s="1"/>
      <c r="BR3271" s="1" t="s">
        <v>52492</v>
      </c>
      <c r="BS3271" s="1">
        <v>13</v>
      </c>
      <c r="BT3271" s="1"/>
      <c r="BU3271" s="1" t="str">
        <f>HYPERLINK("https://nconnect.nicmar.ac.in/storage/profile/2021-2023_AP21054_265174.jpeg","Download")</f>
        <v>0</v>
      </c>
      <c r="BV3271" s="3"/>
      <c r="BW3271" s="3"/>
    </row>
    <row r="3272" spans="1:75">
      <c r="A3272" s="1" t="s">
        <v>51340</v>
      </c>
      <c r="B3272" s="1" t="s">
        <v>51341</v>
      </c>
      <c r="C3272" s="1" t="s">
        <v>52493</v>
      </c>
      <c r="D3272" s="1" t="s">
        <v>12688</v>
      </c>
      <c r="E3272" s="1" t="s">
        <v>762</v>
      </c>
      <c r="F3272" s="1" t="s">
        <v>52494</v>
      </c>
      <c r="G3272" s="1" t="s">
        <v>52495</v>
      </c>
      <c r="H3272" s="1" t="s">
        <v>52496</v>
      </c>
      <c r="I3272" s="1" t="s">
        <v>52497</v>
      </c>
      <c r="J3272" s="1">
        <v>9689103595</v>
      </c>
      <c r="K3272" s="1" t="s">
        <v>84</v>
      </c>
      <c r="L3272" s="1" t="s">
        <v>52498</v>
      </c>
      <c r="M3272" s="1" t="s">
        <v>86</v>
      </c>
      <c r="N3272" s="1" t="s">
        <v>2411</v>
      </c>
      <c r="O3272" s="1"/>
      <c r="P3272" s="1" t="s">
        <v>507</v>
      </c>
      <c r="Q3272" s="1" t="s">
        <v>52499</v>
      </c>
      <c r="R3272" s="1" t="s">
        <v>52500</v>
      </c>
      <c r="S3272" s="1">
        <v>9284699774</v>
      </c>
      <c r="T3272" s="1" t="s">
        <v>127</v>
      </c>
      <c r="U3272" s="1" t="s">
        <v>52501</v>
      </c>
      <c r="V3272" s="1">
        <v>9730246684</v>
      </c>
      <c r="W3272" s="1" t="s">
        <v>127</v>
      </c>
      <c r="X3272" s="1" t="s">
        <v>52502</v>
      </c>
      <c r="Y3272" s="1" t="s">
        <v>52503</v>
      </c>
      <c r="Z3272" s="1" t="s">
        <v>97</v>
      </c>
      <c r="AA3272" s="1" t="s">
        <v>52504</v>
      </c>
      <c r="AB3272" s="1" t="s">
        <v>196</v>
      </c>
      <c r="AC3272" s="1" t="s">
        <v>97</v>
      </c>
      <c r="AD3272" s="1" t="s">
        <v>98</v>
      </c>
      <c r="AE3272" s="1" t="s">
        <v>98</v>
      </c>
      <c r="AF3272" s="1" t="s">
        <v>52505</v>
      </c>
      <c r="AG3272" s="1" t="s">
        <v>2745</v>
      </c>
      <c r="AH3272" s="1" t="s">
        <v>101</v>
      </c>
      <c r="AI3272" s="1" t="s">
        <v>102</v>
      </c>
      <c r="AJ3272" s="1">
        <v>93.4</v>
      </c>
      <c r="AK3272" s="1">
        <v>0</v>
      </c>
      <c r="AL3272" s="1" t="s">
        <v>52506</v>
      </c>
      <c r="AM3272" s="1" t="s">
        <v>2745</v>
      </c>
      <c r="AN3272" s="1"/>
      <c r="AO3272" s="1" t="s">
        <v>166</v>
      </c>
      <c r="AP3272" s="1" t="s">
        <v>200</v>
      </c>
      <c r="AQ3272" s="1">
        <v>78.62</v>
      </c>
      <c r="AR3272" s="1">
        <v>0</v>
      </c>
      <c r="AS3272" s="1"/>
      <c r="AT3272" s="1"/>
      <c r="AU3272" s="1" t="s">
        <v>98</v>
      </c>
      <c r="AV3272" s="1" t="s">
        <v>98</v>
      </c>
      <c r="AW3272" s="1"/>
      <c r="AX3272" s="1"/>
      <c r="AY3272" s="1" t="s">
        <v>366</v>
      </c>
      <c r="AZ3272" s="1" t="s">
        <v>52507</v>
      </c>
      <c r="BA3272" s="1"/>
      <c r="BB3272" s="1"/>
      <c r="BC3272" s="1" t="s">
        <v>230</v>
      </c>
      <c r="BD3272" s="1" t="s">
        <v>847</v>
      </c>
      <c r="BE3272" s="1">
        <v>70.66</v>
      </c>
      <c r="BF3272" s="1">
        <v>8.03</v>
      </c>
      <c r="BG3272" s="1"/>
      <c r="BH3272" s="1"/>
      <c r="BI3272" s="1"/>
      <c r="BJ3272" s="1"/>
      <c r="BK3272" s="1" t="s">
        <v>98</v>
      </c>
      <c r="BL3272" s="1" t="s">
        <v>98</v>
      </c>
      <c r="BM3272" s="1" t="s">
        <v>98</v>
      </c>
      <c r="BN3272" s="1" t="s">
        <v>98</v>
      </c>
      <c r="BO3272" s="1" t="s">
        <v>52508</v>
      </c>
      <c r="BP3272" s="1"/>
      <c r="BQ3272" s="1"/>
      <c r="BR3272" s="1" t="s">
        <v>52509</v>
      </c>
      <c r="BS3272" s="1">
        <v>65</v>
      </c>
      <c r="BT3272" s="1"/>
      <c r="BU3272" s="1" t="str">
        <f>HYPERLINK("https://nconnect.nicmar.ac.in/storage/profile/2021-2023_AP21055_748139.jpg","Download")</f>
        <v>0</v>
      </c>
      <c r="BV3272" s="3"/>
      <c r="BW3272" s="3"/>
    </row>
    <row r="3273" spans="1:75">
      <c r="A3273" s="1" t="s">
        <v>51340</v>
      </c>
      <c r="B3273" s="1" t="s">
        <v>51341</v>
      </c>
      <c r="C3273" s="1" t="s">
        <v>52510</v>
      </c>
      <c r="D3273" s="1" t="s">
        <v>5028</v>
      </c>
      <c r="E3273" s="1" t="s">
        <v>7927</v>
      </c>
      <c r="F3273" s="1" t="s">
        <v>52511</v>
      </c>
      <c r="G3273" s="1" t="s">
        <v>52512</v>
      </c>
      <c r="H3273" s="1" t="s">
        <v>52513</v>
      </c>
      <c r="I3273" s="1" t="s">
        <v>52514</v>
      </c>
      <c r="J3273" s="1">
        <v>7381099820</v>
      </c>
      <c r="K3273" s="1" t="s">
        <v>153</v>
      </c>
      <c r="L3273" s="1" t="s">
        <v>52515</v>
      </c>
      <c r="M3273" s="1" t="s">
        <v>86</v>
      </c>
      <c r="N3273" s="1" t="s">
        <v>858</v>
      </c>
      <c r="O3273" s="1"/>
      <c r="P3273" s="1" t="s">
        <v>455</v>
      </c>
      <c r="Q3273" s="1" t="s">
        <v>52516</v>
      </c>
      <c r="R3273" s="1" t="s">
        <v>52517</v>
      </c>
      <c r="S3273" s="1">
        <v>7381099195</v>
      </c>
      <c r="T3273" s="1" t="s">
        <v>52518</v>
      </c>
      <c r="U3273" s="1" t="s">
        <v>52519</v>
      </c>
      <c r="V3273" s="1">
        <v>8480746948</v>
      </c>
      <c r="W3273" s="1" t="s">
        <v>94</v>
      </c>
      <c r="X3273" s="1" t="s">
        <v>52520</v>
      </c>
      <c r="Y3273" s="1" t="s">
        <v>1259</v>
      </c>
      <c r="Z3273" s="1" t="s">
        <v>865</v>
      </c>
      <c r="AA3273" s="1" t="s">
        <v>52521</v>
      </c>
      <c r="AB3273" s="1" t="s">
        <v>1259</v>
      </c>
      <c r="AC3273" s="1" t="s">
        <v>865</v>
      </c>
      <c r="AD3273" s="1" t="s">
        <v>98</v>
      </c>
      <c r="AE3273" s="1" t="s">
        <v>98</v>
      </c>
      <c r="AF3273" s="1" t="s">
        <v>52522</v>
      </c>
      <c r="AG3273" s="1" t="s">
        <v>52523</v>
      </c>
      <c r="AH3273" s="1">
        <v>41001</v>
      </c>
      <c r="AI3273" s="1">
        <v>41424</v>
      </c>
      <c r="AJ3273" s="1">
        <v>77.9</v>
      </c>
      <c r="AK3273" s="1">
        <v>8.2</v>
      </c>
      <c r="AL3273" s="1" t="s">
        <v>52524</v>
      </c>
      <c r="AM3273" s="1" t="s">
        <v>52523</v>
      </c>
      <c r="AN3273" s="1"/>
      <c r="AO3273" s="1">
        <v>41730</v>
      </c>
      <c r="AP3273" s="1">
        <v>42149</v>
      </c>
      <c r="AQ3273" s="1">
        <v>69.33</v>
      </c>
      <c r="AR3273" s="1"/>
      <c r="AS3273" s="1"/>
      <c r="AT3273" s="1"/>
      <c r="AU3273" s="1" t="s">
        <v>98</v>
      </c>
      <c r="AV3273" s="1" t="s">
        <v>98</v>
      </c>
      <c r="AW3273" s="1" t="s">
        <v>98</v>
      </c>
      <c r="AX3273" s="1" t="s">
        <v>98</v>
      </c>
      <c r="AY3273" s="1" t="s">
        <v>13327</v>
      </c>
      <c r="AZ3273" s="1" t="s">
        <v>870</v>
      </c>
      <c r="BA3273" s="1"/>
      <c r="BB3273" s="1"/>
      <c r="BC3273" s="1">
        <v>42240</v>
      </c>
      <c r="BD3273" s="1">
        <v>44084</v>
      </c>
      <c r="BE3273" s="1">
        <v>80</v>
      </c>
      <c r="BF3273" s="1">
        <v>8.5</v>
      </c>
      <c r="BG3273" s="1"/>
      <c r="BH3273" s="1"/>
      <c r="BI3273" s="1"/>
      <c r="BJ3273" s="1"/>
      <c r="BK3273" s="1" t="s">
        <v>98</v>
      </c>
      <c r="BL3273" s="1" t="s">
        <v>98</v>
      </c>
      <c r="BM3273" s="1" t="s">
        <v>98</v>
      </c>
      <c r="BN3273" s="1" t="s">
        <v>98</v>
      </c>
      <c r="BO3273" s="1" t="s">
        <v>52525</v>
      </c>
      <c r="BP3273" s="1" t="s">
        <v>52526</v>
      </c>
      <c r="BQ3273" s="1" t="s">
        <v>2326</v>
      </c>
      <c r="BR3273" s="1" t="s">
        <v>52527</v>
      </c>
      <c r="BS3273" s="1">
        <v>43</v>
      </c>
      <c r="BT3273" s="1"/>
      <c r="BU3273" s="1" t="str">
        <f>HYPERLINK("https://nconnect.nicmar.ac.in/storage/profile/2021-2023_AP21056_917428.jpg","Download")</f>
        <v>0</v>
      </c>
      <c r="BV3273" s="3"/>
      <c r="BW3273" s="3"/>
    </row>
    <row r="3274" spans="1:75">
      <c r="A3274" s="1" t="s">
        <v>51340</v>
      </c>
      <c r="B3274" s="1" t="s">
        <v>51341</v>
      </c>
      <c r="C3274" s="1" t="s">
        <v>52528</v>
      </c>
      <c r="D3274" s="1" t="s">
        <v>1525</v>
      </c>
      <c r="E3274" s="1" t="s">
        <v>3058</v>
      </c>
      <c r="F3274" s="1" t="s">
        <v>52529</v>
      </c>
      <c r="G3274" s="1" t="s">
        <v>52530</v>
      </c>
      <c r="H3274" s="1" t="s">
        <v>52531</v>
      </c>
      <c r="I3274" s="1" t="s">
        <v>52532</v>
      </c>
      <c r="J3274" s="1">
        <v>9921875136</v>
      </c>
      <c r="K3274" s="1" t="s">
        <v>84</v>
      </c>
      <c r="L3274" s="1" t="s">
        <v>52533</v>
      </c>
      <c r="M3274" s="1" t="s">
        <v>86</v>
      </c>
      <c r="N3274" s="1" t="s">
        <v>1163</v>
      </c>
      <c r="O3274" s="1"/>
      <c r="P3274" s="1" t="s">
        <v>1028</v>
      </c>
      <c r="Q3274" s="1" t="s">
        <v>52534</v>
      </c>
      <c r="R3274" s="1" t="s">
        <v>52535</v>
      </c>
      <c r="S3274" s="1">
        <v>9373090890</v>
      </c>
      <c r="T3274" s="1" t="s">
        <v>6971</v>
      </c>
      <c r="U3274" s="1" t="s">
        <v>52536</v>
      </c>
      <c r="V3274" s="1">
        <v>9922763161</v>
      </c>
      <c r="W3274" s="1" t="s">
        <v>94</v>
      </c>
      <c r="X3274" s="1" t="s">
        <v>52537</v>
      </c>
      <c r="Y3274" s="1" t="s">
        <v>196</v>
      </c>
      <c r="Z3274" s="1" t="s">
        <v>97</v>
      </c>
      <c r="AA3274" s="1" t="s">
        <v>52538</v>
      </c>
      <c r="AB3274" s="1" t="s">
        <v>196</v>
      </c>
      <c r="AC3274" s="1" t="s">
        <v>97</v>
      </c>
      <c r="AD3274" s="1" t="s">
        <v>98</v>
      </c>
      <c r="AE3274" s="1" t="s">
        <v>98</v>
      </c>
      <c r="AF3274" s="1" t="s">
        <v>52539</v>
      </c>
      <c r="AG3274" s="1" t="s">
        <v>1968</v>
      </c>
      <c r="AH3274" s="1">
        <v>41070</v>
      </c>
      <c r="AI3274" s="1">
        <v>41341</v>
      </c>
      <c r="AJ3274" s="1">
        <v>85.6</v>
      </c>
      <c r="AK3274" s="1"/>
      <c r="AL3274" s="1" t="s">
        <v>52540</v>
      </c>
      <c r="AM3274" s="1" t="s">
        <v>1968</v>
      </c>
      <c r="AN3274" s="1"/>
      <c r="AO3274" s="1">
        <v>41810</v>
      </c>
      <c r="AP3274" s="1">
        <v>42091</v>
      </c>
      <c r="AQ3274" s="1">
        <v>68.46</v>
      </c>
      <c r="AR3274" s="1"/>
      <c r="AS3274" s="1"/>
      <c r="AT3274" s="1"/>
      <c r="AU3274" s="1" t="s">
        <v>98</v>
      </c>
      <c r="AV3274" s="1" t="s">
        <v>98</v>
      </c>
      <c r="AW3274" s="1" t="s">
        <v>98</v>
      </c>
      <c r="AX3274" s="1" t="s">
        <v>98</v>
      </c>
      <c r="AY3274" s="1" t="s">
        <v>366</v>
      </c>
      <c r="AZ3274" s="1" t="s">
        <v>52541</v>
      </c>
      <c r="BA3274" s="1"/>
      <c r="BB3274" s="1"/>
      <c r="BC3274" s="1">
        <v>42202</v>
      </c>
      <c r="BD3274" s="1">
        <v>43616</v>
      </c>
      <c r="BE3274" s="1">
        <v>62.12</v>
      </c>
      <c r="BF3274" s="1">
        <v>7.06</v>
      </c>
      <c r="BG3274" s="1"/>
      <c r="BH3274" s="1"/>
      <c r="BI3274" s="1"/>
      <c r="BJ3274" s="1"/>
      <c r="BK3274" s="1" t="s">
        <v>98</v>
      </c>
      <c r="BL3274" s="1" t="s">
        <v>98</v>
      </c>
      <c r="BM3274" s="1" t="s">
        <v>98</v>
      </c>
      <c r="BN3274" s="1" t="s">
        <v>98</v>
      </c>
      <c r="BO3274" s="1" t="s">
        <v>260</v>
      </c>
      <c r="BP3274" s="1"/>
      <c r="BQ3274" s="1"/>
      <c r="BR3274" s="1" t="s">
        <v>52542</v>
      </c>
      <c r="BS3274" s="1">
        <v>8</v>
      </c>
      <c r="BT3274" s="1"/>
      <c r="BU3274" s="1" t="str">
        <f>HYPERLINK("https://nconnect.nicmar.ac.in/storage/profile/2021-2023_AP21057_984613.jpg","Download")</f>
        <v>0</v>
      </c>
      <c r="BV3274" s="3"/>
      <c r="BW3274" s="3"/>
    </row>
    <row r="3275" spans="1:75">
      <c r="A3275" s="1" t="s">
        <v>51340</v>
      </c>
      <c r="B3275" s="1" t="s">
        <v>51341</v>
      </c>
      <c r="C3275" s="1" t="s">
        <v>52543</v>
      </c>
      <c r="D3275" s="1" t="s">
        <v>919</v>
      </c>
      <c r="E3275" s="1"/>
      <c r="F3275" s="1" t="s">
        <v>52544</v>
      </c>
      <c r="G3275" s="1" t="s">
        <v>52545</v>
      </c>
      <c r="H3275" s="1" t="s">
        <v>52546</v>
      </c>
      <c r="I3275" s="1" t="s">
        <v>52547</v>
      </c>
      <c r="J3275" s="1">
        <v>8697223312</v>
      </c>
      <c r="K3275" s="1" t="s">
        <v>84</v>
      </c>
      <c r="L3275" s="1" t="s">
        <v>52548</v>
      </c>
      <c r="M3275" s="1" t="s">
        <v>86</v>
      </c>
      <c r="N3275" s="1" t="s">
        <v>27171</v>
      </c>
      <c r="O3275" s="1"/>
      <c r="P3275" s="1" t="s">
        <v>481</v>
      </c>
      <c r="Q3275" s="1" t="s">
        <v>52549</v>
      </c>
      <c r="R3275" s="1" t="s">
        <v>52550</v>
      </c>
      <c r="S3275" s="1">
        <v>8902254611</v>
      </c>
      <c r="T3275" s="1" t="s">
        <v>13258</v>
      </c>
      <c r="U3275" s="1" t="s">
        <v>52551</v>
      </c>
      <c r="V3275" s="1">
        <v>9477620913</v>
      </c>
      <c r="W3275" s="1" t="s">
        <v>541</v>
      </c>
      <c r="X3275" s="1" t="s">
        <v>52552</v>
      </c>
      <c r="Y3275" s="1" t="s">
        <v>3282</v>
      </c>
      <c r="Z3275" s="1" t="s">
        <v>1234</v>
      </c>
      <c r="AA3275" s="1" t="s">
        <v>52552</v>
      </c>
      <c r="AB3275" s="1" t="s">
        <v>3282</v>
      </c>
      <c r="AC3275" s="1" t="s">
        <v>1234</v>
      </c>
      <c r="AD3275" s="1" t="s">
        <v>98</v>
      </c>
      <c r="AE3275" s="1" t="s">
        <v>98</v>
      </c>
      <c r="AF3275" s="1" t="s">
        <v>52553</v>
      </c>
      <c r="AG3275" s="1" t="s">
        <v>52554</v>
      </c>
      <c r="AH3275" s="1">
        <v>41000</v>
      </c>
      <c r="AI3275" s="1">
        <v>41579</v>
      </c>
      <c r="AJ3275" s="1">
        <v>78.45</v>
      </c>
      <c r="AK3275" s="1">
        <v>0</v>
      </c>
      <c r="AL3275" s="1" t="s">
        <v>52555</v>
      </c>
      <c r="AM3275" s="1" t="s">
        <v>52556</v>
      </c>
      <c r="AN3275" s="1"/>
      <c r="AO3275" s="1">
        <v>41730</v>
      </c>
      <c r="AP3275" s="1">
        <v>42496</v>
      </c>
      <c r="AQ3275" s="1">
        <v>87.16</v>
      </c>
      <c r="AR3275" s="1">
        <v>0</v>
      </c>
      <c r="AS3275" s="1"/>
      <c r="AT3275" s="1"/>
      <c r="AU3275" s="1" t="s">
        <v>98</v>
      </c>
      <c r="AV3275" s="1" t="s">
        <v>98</v>
      </c>
      <c r="AW3275" s="1" t="s">
        <v>98</v>
      </c>
      <c r="AX3275" s="1" t="s">
        <v>98</v>
      </c>
      <c r="AY3275" s="1" t="s">
        <v>6995</v>
      </c>
      <c r="AZ3275" s="1" t="s">
        <v>22727</v>
      </c>
      <c r="BA3275" s="1"/>
      <c r="BB3275" s="1"/>
      <c r="BC3275" s="1">
        <v>42583</v>
      </c>
      <c r="BD3275" s="1">
        <v>44012</v>
      </c>
      <c r="BE3275" s="1">
        <v>79.6</v>
      </c>
      <c r="BF3275" s="1">
        <v>7.96</v>
      </c>
      <c r="BG3275" s="1"/>
      <c r="BH3275" s="1"/>
      <c r="BI3275" s="1"/>
      <c r="BJ3275" s="1"/>
      <c r="BK3275" s="1" t="s">
        <v>98</v>
      </c>
      <c r="BL3275" s="1" t="s">
        <v>98</v>
      </c>
      <c r="BM3275" s="1" t="s">
        <v>98</v>
      </c>
      <c r="BN3275" s="1" t="s">
        <v>98</v>
      </c>
      <c r="BO3275" s="1" t="s">
        <v>1114</v>
      </c>
      <c r="BP3275" s="1"/>
      <c r="BQ3275" s="1"/>
      <c r="BR3275" s="1" t="s">
        <v>52557</v>
      </c>
      <c r="BS3275" s="1">
        <v>12</v>
      </c>
      <c r="BT3275" s="1"/>
      <c r="BU3275" s="1" t="str">
        <f>HYPERLINK("https://nconnect.nicmar.ac.in/storage/profile/2021-2023_AP21058_386574.jpg","Download")</f>
        <v>0</v>
      </c>
      <c r="BV3275" s="3"/>
      <c r="BW3275" s="3"/>
    </row>
    <row r="3276" spans="1:75">
      <c r="A3276" s="1" t="s">
        <v>51340</v>
      </c>
      <c r="B3276" s="1" t="s">
        <v>51341</v>
      </c>
      <c r="C3276" s="1" t="s">
        <v>52558</v>
      </c>
      <c r="D3276" s="1" t="s">
        <v>52559</v>
      </c>
      <c r="E3276" s="1" t="s">
        <v>52560</v>
      </c>
      <c r="F3276" s="1" t="s">
        <v>52561</v>
      </c>
      <c r="G3276" s="1" t="s">
        <v>52562</v>
      </c>
      <c r="H3276" s="1" t="s">
        <v>52563</v>
      </c>
      <c r="I3276" s="1" t="s">
        <v>52564</v>
      </c>
      <c r="J3276" s="1">
        <v>9426185492</v>
      </c>
      <c r="K3276" s="1" t="s">
        <v>84</v>
      </c>
      <c r="L3276" s="1" t="s">
        <v>52565</v>
      </c>
      <c r="M3276" s="1" t="s">
        <v>86</v>
      </c>
      <c r="N3276" s="1" t="s">
        <v>27995</v>
      </c>
      <c r="O3276" s="1"/>
      <c r="P3276" s="1" t="s">
        <v>507</v>
      </c>
      <c r="Q3276" s="1" t="s">
        <v>52566</v>
      </c>
      <c r="R3276" s="1" t="s">
        <v>52567</v>
      </c>
      <c r="S3276" s="1">
        <v>9426285492</v>
      </c>
      <c r="T3276" s="1" t="s">
        <v>539</v>
      </c>
      <c r="U3276" s="1" t="s">
        <v>52568</v>
      </c>
      <c r="V3276" s="1">
        <v>9426139492</v>
      </c>
      <c r="W3276" s="1" t="s">
        <v>94</v>
      </c>
      <c r="X3276" s="1" t="s">
        <v>52569</v>
      </c>
      <c r="Y3276" s="1" t="s">
        <v>11706</v>
      </c>
      <c r="Z3276" s="1" t="s">
        <v>676</v>
      </c>
      <c r="AA3276" s="1" t="s">
        <v>52569</v>
      </c>
      <c r="AB3276" s="1" t="s">
        <v>11706</v>
      </c>
      <c r="AC3276" s="1" t="s">
        <v>676</v>
      </c>
      <c r="AD3276" s="1" t="s">
        <v>98</v>
      </c>
      <c r="AE3276" s="1" t="s">
        <v>98</v>
      </c>
      <c r="AF3276" s="1" t="s">
        <v>52570</v>
      </c>
      <c r="AG3276" s="1" t="s">
        <v>52571</v>
      </c>
      <c r="AH3276" s="1">
        <v>41429</v>
      </c>
      <c r="AI3276" s="1">
        <v>41717</v>
      </c>
      <c r="AJ3276" s="1">
        <v>70.5</v>
      </c>
      <c r="AK3276" s="1"/>
      <c r="AL3276" s="1" t="s">
        <v>52572</v>
      </c>
      <c r="AM3276" s="1" t="s">
        <v>52571</v>
      </c>
      <c r="AN3276" s="1"/>
      <c r="AO3276" s="1">
        <v>42156</v>
      </c>
      <c r="AP3276" s="1">
        <v>42458</v>
      </c>
      <c r="AQ3276" s="1">
        <v>66.15</v>
      </c>
      <c r="AR3276" s="1"/>
      <c r="AS3276" s="1"/>
      <c r="AT3276" s="1"/>
      <c r="AU3276" s="1" t="s">
        <v>98</v>
      </c>
      <c r="AV3276" s="1" t="s">
        <v>98</v>
      </c>
      <c r="AW3276" s="1" t="s">
        <v>98</v>
      </c>
      <c r="AX3276" s="1" t="s">
        <v>98</v>
      </c>
      <c r="AY3276" s="1" t="s">
        <v>5241</v>
      </c>
      <c r="AZ3276" s="1" t="s">
        <v>52573</v>
      </c>
      <c r="BA3276" s="1"/>
      <c r="BB3276" s="1"/>
      <c r="BC3276" s="1">
        <v>42586</v>
      </c>
      <c r="BD3276" s="1">
        <v>44056</v>
      </c>
      <c r="BE3276" s="1">
        <v>72.2</v>
      </c>
      <c r="BF3276" s="1">
        <v>7.72</v>
      </c>
      <c r="BG3276" s="1"/>
      <c r="BH3276" s="1"/>
      <c r="BI3276" s="1"/>
      <c r="BJ3276" s="1"/>
      <c r="BK3276" s="1" t="s">
        <v>98</v>
      </c>
      <c r="BL3276" s="1" t="s">
        <v>98</v>
      </c>
      <c r="BM3276" s="1" t="s">
        <v>98</v>
      </c>
      <c r="BN3276" s="1" t="s">
        <v>98</v>
      </c>
      <c r="BO3276" s="1" t="s">
        <v>8688</v>
      </c>
      <c r="BP3276" s="1" t="s">
        <v>52574</v>
      </c>
      <c r="BQ3276" s="1" t="s">
        <v>6365</v>
      </c>
      <c r="BR3276" s="1" t="s">
        <v>52575</v>
      </c>
      <c r="BS3276" s="1">
        <v>12</v>
      </c>
      <c r="BT3276" s="1"/>
      <c r="BU3276" s="1" t="str">
        <f>HYPERLINK("https://nconnect.nicmar.ac.in/storage/profile/2021-2023_AP21059_132974.jpg","Download")</f>
        <v>0</v>
      </c>
      <c r="BV3276" s="3"/>
      <c r="BW3276" s="3"/>
    </row>
    <row r="3277" spans="1:75">
      <c r="A3277" s="1" t="s">
        <v>51340</v>
      </c>
      <c r="B3277" s="1" t="s">
        <v>51341</v>
      </c>
      <c r="C3277" s="1" t="s">
        <v>52576</v>
      </c>
      <c r="D3277" s="1" t="s">
        <v>3431</v>
      </c>
      <c r="E3277" s="1"/>
      <c r="F3277" s="1" t="s">
        <v>52577</v>
      </c>
      <c r="G3277" s="1" t="s">
        <v>52578</v>
      </c>
      <c r="H3277" s="1" t="s">
        <v>52579</v>
      </c>
      <c r="I3277" s="1" t="s">
        <v>52580</v>
      </c>
      <c r="J3277" s="1">
        <v>8179570888</v>
      </c>
      <c r="K3277" s="1" t="s">
        <v>84</v>
      </c>
      <c r="L3277" s="1" t="s">
        <v>31048</v>
      </c>
      <c r="M3277" s="1" t="s">
        <v>86</v>
      </c>
      <c r="N3277" s="1" t="s">
        <v>52581</v>
      </c>
      <c r="O3277" s="1"/>
      <c r="P3277" s="1" t="s">
        <v>507</v>
      </c>
      <c r="Q3277" s="1" t="s">
        <v>52582</v>
      </c>
      <c r="R3277" s="1" t="s">
        <v>52583</v>
      </c>
      <c r="S3277" s="1">
        <v>8181812666</v>
      </c>
      <c r="T3277" s="1" t="s">
        <v>382</v>
      </c>
      <c r="U3277" s="1" t="s">
        <v>52584</v>
      </c>
      <c r="V3277" s="1">
        <v>9112244556</v>
      </c>
      <c r="W3277" s="1" t="s">
        <v>541</v>
      </c>
      <c r="X3277" s="1" t="s">
        <v>52585</v>
      </c>
      <c r="Y3277" s="1" t="s">
        <v>1779</v>
      </c>
      <c r="Z3277" s="1" t="s">
        <v>97</v>
      </c>
      <c r="AA3277" s="1" t="s">
        <v>52585</v>
      </c>
      <c r="AB3277" s="1" t="s">
        <v>14745</v>
      </c>
      <c r="AC3277" s="1" t="s">
        <v>97</v>
      </c>
      <c r="AD3277" s="1" t="s">
        <v>98</v>
      </c>
      <c r="AE3277" s="1" t="s">
        <v>98</v>
      </c>
      <c r="AF3277" s="1" t="s">
        <v>4591</v>
      </c>
      <c r="AG3277" s="1" t="s">
        <v>52586</v>
      </c>
      <c r="AH3277" s="1" t="s">
        <v>52587</v>
      </c>
      <c r="AI3277" s="1" t="s">
        <v>52588</v>
      </c>
      <c r="AJ3277" s="1">
        <v>74.1</v>
      </c>
      <c r="AK3277" s="1">
        <v>7.8</v>
      </c>
      <c r="AL3277" s="1" t="s">
        <v>1843</v>
      </c>
      <c r="AM3277" s="1" t="s">
        <v>52589</v>
      </c>
      <c r="AN3277" s="1"/>
      <c r="AO3277" s="1" t="s">
        <v>52590</v>
      </c>
      <c r="AP3277" s="1" t="s">
        <v>52591</v>
      </c>
      <c r="AQ3277" s="1">
        <v>94</v>
      </c>
      <c r="AR3277" s="1">
        <v>0</v>
      </c>
      <c r="AS3277" s="1"/>
      <c r="AT3277" s="1"/>
      <c r="AU3277" s="1"/>
      <c r="AV3277" s="1"/>
      <c r="AW3277" s="1"/>
      <c r="AX3277" s="1"/>
      <c r="AY3277" s="1" t="s">
        <v>52592</v>
      </c>
      <c r="AZ3277" s="1" t="s">
        <v>52593</v>
      </c>
      <c r="BA3277" s="1"/>
      <c r="BB3277" s="1"/>
      <c r="BC3277" s="1" t="s">
        <v>52594</v>
      </c>
      <c r="BD3277" s="1" t="s">
        <v>52595</v>
      </c>
      <c r="BE3277" s="1">
        <v>75.23</v>
      </c>
      <c r="BF3277" s="1">
        <v>6.72</v>
      </c>
      <c r="BG3277" s="1"/>
      <c r="BH3277" s="1"/>
      <c r="BI3277" s="1"/>
      <c r="BJ3277" s="1"/>
      <c r="BK3277" s="1"/>
      <c r="BL3277" s="1"/>
      <c r="BM3277" s="1"/>
      <c r="BN3277" s="1"/>
      <c r="BO3277" s="1" t="s">
        <v>1315</v>
      </c>
      <c r="BP3277" s="1" t="s">
        <v>52596</v>
      </c>
      <c r="BQ3277" s="1" t="s">
        <v>736</v>
      </c>
      <c r="BR3277" s="1" t="s">
        <v>52597</v>
      </c>
      <c r="BS3277" s="1">
        <v>19</v>
      </c>
      <c r="BT3277" s="1"/>
      <c r="BU3277" s="1" t="str">
        <f>HYPERLINK("https://nconnect.nicmar.ac.in/storage/profile/2021-2023_AP21060_764351.jpg","Download")</f>
        <v>0</v>
      </c>
      <c r="BV3277" s="3"/>
      <c r="BW3277" s="3"/>
    </row>
    <row r="3278" spans="1:75">
      <c r="A3278" s="1" t="s">
        <v>51340</v>
      </c>
      <c r="B3278" s="1" t="s">
        <v>51341</v>
      </c>
      <c r="C3278" s="1" t="s">
        <v>52598</v>
      </c>
      <c r="D3278" s="1" t="s">
        <v>11111</v>
      </c>
      <c r="E3278" s="1" t="s">
        <v>52599</v>
      </c>
      <c r="F3278" s="1" t="s">
        <v>52600</v>
      </c>
      <c r="G3278" s="1" t="s">
        <v>52601</v>
      </c>
      <c r="H3278" s="1" t="s">
        <v>52602</v>
      </c>
      <c r="I3278" s="1" t="s">
        <v>52603</v>
      </c>
      <c r="J3278" s="1">
        <v>7353126021</v>
      </c>
      <c r="K3278" s="1" t="s">
        <v>84</v>
      </c>
      <c r="L3278" s="1" t="s">
        <v>52604</v>
      </c>
      <c r="M3278" s="1" t="s">
        <v>86</v>
      </c>
      <c r="N3278" s="1" t="s">
        <v>11117</v>
      </c>
      <c r="O3278" s="1"/>
      <c r="P3278" s="1" t="s">
        <v>481</v>
      </c>
      <c r="Q3278" s="1" t="s">
        <v>52605</v>
      </c>
      <c r="R3278" s="1" t="s">
        <v>52606</v>
      </c>
      <c r="S3278" s="1">
        <v>9449649082</v>
      </c>
      <c r="T3278" s="1" t="s">
        <v>698</v>
      </c>
      <c r="U3278" s="1" t="s">
        <v>52607</v>
      </c>
      <c r="V3278" s="1">
        <v>9449649082</v>
      </c>
      <c r="W3278" s="1" t="s">
        <v>698</v>
      </c>
      <c r="X3278" s="1" t="s">
        <v>52608</v>
      </c>
      <c r="Y3278" s="1" t="s">
        <v>3729</v>
      </c>
      <c r="Z3278" s="1" t="s">
        <v>1210</v>
      </c>
      <c r="AA3278" s="1" t="s">
        <v>52609</v>
      </c>
      <c r="AB3278" s="1" t="s">
        <v>1779</v>
      </c>
      <c r="AC3278" s="1" t="s">
        <v>97</v>
      </c>
      <c r="AD3278" s="1" t="s">
        <v>98</v>
      </c>
      <c r="AE3278" s="1" t="s">
        <v>98</v>
      </c>
      <c r="AF3278" s="1" t="s">
        <v>52610</v>
      </c>
      <c r="AG3278" s="1" t="s">
        <v>52611</v>
      </c>
      <c r="AH3278" s="1">
        <v>41428</v>
      </c>
      <c r="AI3278" s="1">
        <v>41759</v>
      </c>
      <c r="AJ3278" s="1">
        <v>66.08</v>
      </c>
      <c r="AK3278" s="1"/>
      <c r="AL3278" s="1" t="s">
        <v>98</v>
      </c>
      <c r="AM3278" s="1" t="s">
        <v>52611</v>
      </c>
      <c r="AN3278" s="1"/>
      <c r="AO3278" s="1" t="s">
        <v>98</v>
      </c>
      <c r="AP3278" s="1" t="s">
        <v>98</v>
      </c>
      <c r="AQ3278" s="1"/>
      <c r="AR3278" s="1"/>
      <c r="AS3278" s="1" t="s">
        <v>439</v>
      </c>
      <c r="AT3278" s="1" t="s">
        <v>52612</v>
      </c>
      <c r="AU3278" s="1">
        <v>41821</v>
      </c>
      <c r="AV3278" s="1">
        <v>42916</v>
      </c>
      <c r="AW3278" s="1">
        <v>65</v>
      </c>
      <c r="AX3278" s="1"/>
      <c r="AY3278" s="1" t="s">
        <v>52613</v>
      </c>
      <c r="AZ3278" s="1" t="s">
        <v>52614</v>
      </c>
      <c r="BA3278" s="1"/>
      <c r="BB3278" s="1"/>
      <c r="BC3278" s="1">
        <v>42955</v>
      </c>
      <c r="BD3278" s="1">
        <v>44073</v>
      </c>
      <c r="BE3278" s="1">
        <v>61.75</v>
      </c>
      <c r="BF3278" s="1">
        <v>6.5</v>
      </c>
      <c r="BG3278" s="1"/>
      <c r="BH3278" s="1"/>
      <c r="BI3278" s="1"/>
      <c r="BJ3278" s="1"/>
      <c r="BK3278" s="1" t="s">
        <v>98</v>
      </c>
      <c r="BL3278" s="1" t="s">
        <v>98</v>
      </c>
      <c r="BM3278" s="1" t="s">
        <v>98</v>
      </c>
      <c r="BN3278" s="1" t="s">
        <v>98</v>
      </c>
      <c r="BO3278" s="1" t="s">
        <v>1315</v>
      </c>
      <c r="BP3278" s="1"/>
      <c r="BQ3278" s="1"/>
      <c r="BR3278" s="1" t="s">
        <v>52615</v>
      </c>
      <c r="BS3278" s="1">
        <v>34</v>
      </c>
      <c r="BT3278" s="1"/>
      <c r="BU3278" s="1" t="str">
        <f>HYPERLINK("https://nconnect.nicmar.ac.in/storage/profile/2021-2023_AP21061_971483.jpg","Download")</f>
        <v>0</v>
      </c>
      <c r="BV3278" s="3"/>
      <c r="BW3278" s="3"/>
    </row>
    <row r="3279" spans="1:75">
      <c r="A3279" s="1" t="s">
        <v>51340</v>
      </c>
      <c r="B3279" s="1" t="s">
        <v>51341</v>
      </c>
      <c r="C3279" s="1" t="s">
        <v>52616</v>
      </c>
      <c r="D3279" s="1" t="s">
        <v>52617</v>
      </c>
      <c r="E3279" s="1" t="s">
        <v>52618</v>
      </c>
      <c r="F3279" s="1" t="s">
        <v>4037</v>
      </c>
      <c r="G3279" s="1" t="s">
        <v>52619</v>
      </c>
      <c r="H3279" s="1" t="s">
        <v>52620</v>
      </c>
      <c r="I3279" s="1" t="s">
        <v>52621</v>
      </c>
      <c r="J3279" s="1">
        <v>9676053353</v>
      </c>
      <c r="K3279" s="1" t="s">
        <v>84</v>
      </c>
      <c r="L3279" s="1" t="s">
        <v>20974</v>
      </c>
      <c r="M3279" s="1" t="s">
        <v>86</v>
      </c>
      <c r="N3279" s="1" t="s">
        <v>52289</v>
      </c>
      <c r="O3279" s="1"/>
      <c r="P3279" s="1" t="s">
        <v>481</v>
      </c>
      <c r="Q3279" s="1" t="s">
        <v>52622</v>
      </c>
      <c r="R3279" s="1" t="s">
        <v>52623</v>
      </c>
      <c r="S3279" s="1">
        <v>9440044767</v>
      </c>
      <c r="T3279" s="1" t="s">
        <v>1620</v>
      </c>
      <c r="U3279" s="1" t="s">
        <v>52624</v>
      </c>
      <c r="V3279" s="1">
        <v>9292109060</v>
      </c>
      <c r="W3279" s="1" t="s">
        <v>94</v>
      </c>
      <c r="X3279" s="1" t="s">
        <v>52625</v>
      </c>
      <c r="Y3279" s="1" t="s">
        <v>52626</v>
      </c>
      <c r="Z3279" s="1" t="s">
        <v>461</v>
      </c>
      <c r="AA3279" s="1" t="s">
        <v>52625</v>
      </c>
      <c r="AB3279" s="1" t="s">
        <v>52626</v>
      </c>
      <c r="AC3279" s="1" t="s">
        <v>461</v>
      </c>
      <c r="AD3279" s="1" t="s">
        <v>98</v>
      </c>
      <c r="AE3279" s="1" t="s">
        <v>98</v>
      </c>
      <c r="AF3279" s="1" t="s">
        <v>31690</v>
      </c>
      <c r="AG3279" s="1" t="s">
        <v>1418</v>
      </c>
      <c r="AH3279" s="1">
        <v>41426</v>
      </c>
      <c r="AI3279" s="1">
        <v>41729</v>
      </c>
      <c r="AJ3279" s="1">
        <v>93.1</v>
      </c>
      <c r="AK3279" s="1">
        <v>9.8</v>
      </c>
      <c r="AL3279" s="1" t="s">
        <v>3033</v>
      </c>
      <c r="AM3279" s="1" t="s">
        <v>1418</v>
      </c>
      <c r="AN3279" s="1"/>
      <c r="AO3279" s="1" t="s">
        <v>1214</v>
      </c>
      <c r="AP3279" s="1">
        <v>42482</v>
      </c>
      <c r="AQ3279" s="1">
        <v>95.9</v>
      </c>
      <c r="AR3279" s="1"/>
      <c r="AS3279" s="1"/>
      <c r="AT3279" s="1"/>
      <c r="AU3279" s="1" t="s">
        <v>98</v>
      </c>
      <c r="AV3279" s="1" t="s">
        <v>98</v>
      </c>
      <c r="AW3279" s="1" t="s">
        <v>98</v>
      </c>
      <c r="AX3279" s="1" t="s">
        <v>98</v>
      </c>
      <c r="AY3279" s="1" t="s">
        <v>287</v>
      </c>
      <c r="AZ3279" s="1" t="s">
        <v>52627</v>
      </c>
      <c r="BA3279" s="1"/>
      <c r="BB3279" s="1"/>
      <c r="BC3279" s="1">
        <v>42583</v>
      </c>
      <c r="BD3279" s="1">
        <v>44104</v>
      </c>
      <c r="BE3279" s="1">
        <v>75</v>
      </c>
      <c r="BF3279" s="1">
        <v>8</v>
      </c>
      <c r="BG3279" s="1"/>
      <c r="BH3279" s="1"/>
      <c r="BI3279" s="1"/>
      <c r="BJ3279" s="1"/>
      <c r="BK3279" s="1" t="s">
        <v>98</v>
      </c>
      <c r="BL3279" s="1" t="s">
        <v>98</v>
      </c>
      <c r="BM3279" s="1" t="s">
        <v>98</v>
      </c>
      <c r="BN3279" s="1" t="s">
        <v>98</v>
      </c>
      <c r="BO3279" s="1" t="s">
        <v>52628</v>
      </c>
      <c r="BP3279" s="1"/>
      <c r="BQ3279" s="1"/>
      <c r="BR3279" s="1" t="s">
        <v>52629</v>
      </c>
      <c r="BS3279" s="1">
        <v>17</v>
      </c>
      <c r="BT3279" s="1"/>
      <c r="BU3279" s="1" t="str">
        <f>HYPERLINK("https://nconnect.nicmar.ac.in/storage/profile/2021-2023_AP21062_695823.jpg","Download")</f>
        <v>0</v>
      </c>
      <c r="BV3279" s="3"/>
      <c r="BW3279" s="3"/>
    </row>
    <row r="3280" spans="1:75">
      <c r="A3280" s="1" t="s">
        <v>51340</v>
      </c>
      <c r="B3280" s="1" t="s">
        <v>51341</v>
      </c>
      <c r="C3280" s="1" t="s">
        <v>52630</v>
      </c>
      <c r="D3280" s="1" t="s">
        <v>4820</v>
      </c>
      <c r="E3280" s="1" t="s">
        <v>23343</v>
      </c>
      <c r="F3280" s="1" t="s">
        <v>38783</v>
      </c>
      <c r="G3280" s="1" t="s">
        <v>52631</v>
      </c>
      <c r="H3280" s="1" t="s">
        <v>52632</v>
      </c>
      <c r="I3280" s="1" t="s">
        <v>52633</v>
      </c>
      <c r="J3280" s="1">
        <v>9819793210</v>
      </c>
      <c r="K3280" s="1" t="s">
        <v>84</v>
      </c>
      <c r="L3280" s="1" t="s">
        <v>52634</v>
      </c>
      <c r="M3280" s="1" t="s">
        <v>86</v>
      </c>
      <c r="N3280" s="1" t="s">
        <v>2433</v>
      </c>
      <c r="O3280" s="1"/>
      <c r="P3280" s="1" t="s">
        <v>481</v>
      </c>
      <c r="Q3280" s="1" t="s">
        <v>52635</v>
      </c>
      <c r="R3280" s="1" t="s">
        <v>52636</v>
      </c>
      <c r="S3280" s="1">
        <v>9324533720</v>
      </c>
      <c r="T3280" s="1" t="s">
        <v>52637</v>
      </c>
      <c r="U3280" s="1" t="s">
        <v>52638</v>
      </c>
      <c r="V3280" s="1">
        <v>9324860950</v>
      </c>
      <c r="W3280" s="1" t="s">
        <v>541</v>
      </c>
      <c r="X3280" s="1" t="s">
        <v>52639</v>
      </c>
      <c r="Y3280" s="1" t="s">
        <v>1012</v>
      </c>
      <c r="Z3280" s="1" t="s">
        <v>97</v>
      </c>
      <c r="AA3280" s="1" t="s">
        <v>52640</v>
      </c>
      <c r="AB3280" s="1" t="s">
        <v>1012</v>
      </c>
      <c r="AC3280" s="1" t="s">
        <v>97</v>
      </c>
      <c r="AD3280" s="1" t="s">
        <v>98</v>
      </c>
      <c r="AE3280" s="1" t="s">
        <v>98</v>
      </c>
      <c r="AF3280" s="1" t="s">
        <v>52641</v>
      </c>
      <c r="AG3280" s="1" t="s">
        <v>52642</v>
      </c>
      <c r="AH3280" s="1">
        <v>41699</v>
      </c>
      <c r="AI3280" s="1">
        <v>42142</v>
      </c>
      <c r="AJ3280" s="1">
        <v>91.67</v>
      </c>
      <c r="AK3280" s="1"/>
      <c r="AL3280" s="1" t="s">
        <v>52643</v>
      </c>
      <c r="AM3280" s="1" t="s">
        <v>52642</v>
      </c>
      <c r="AN3280" s="1"/>
      <c r="AO3280" s="1">
        <v>42541</v>
      </c>
      <c r="AP3280" s="1">
        <v>42875</v>
      </c>
      <c r="AQ3280" s="1">
        <v>72.92</v>
      </c>
      <c r="AR3280" s="1"/>
      <c r="AS3280" s="1"/>
      <c r="AT3280" s="1"/>
      <c r="AU3280" s="1" t="s">
        <v>98</v>
      </c>
      <c r="AV3280" s="1" t="s">
        <v>98</v>
      </c>
      <c r="AW3280" s="1" t="s">
        <v>98</v>
      </c>
      <c r="AX3280" s="1" t="s">
        <v>98</v>
      </c>
      <c r="AY3280" s="1" t="s">
        <v>680</v>
      </c>
      <c r="AZ3280" s="1" t="s">
        <v>26614</v>
      </c>
      <c r="BA3280" s="1"/>
      <c r="BB3280" s="1"/>
      <c r="BC3280" s="1">
        <v>42948</v>
      </c>
      <c r="BD3280" s="1">
        <v>44407</v>
      </c>
      <c r="BE3280" s="1">
        <v>68.3</v>
      </c>
      <c r="BF3280" s="1">
        <v>7.55</v>
      </c>
      <c r="BG3280" s="1"/>
      <c r="BH3280" s="1"/>
      <c r="BI3280" s="1"/>
      <c r="BJ3280" s="1"/>
      <c r="BK3280" s="1" t="s">
        <v>98</v>
      </c>
      <c r="BL3280" s="1" t="s">
        <v>98</v>
      </c>
      <c r="BM3280" s="1" t="s">
        <v>98</v>
      </c>
      <c r="BN3280" s="1" t="s">
        <v>98</v>
      </c>
      <c r="BO3280" s="1" t="s">
        <v>369</v>
      </c>
      <c r="BP3280" s="1"/>
      <c r="BQ3280" s="1"/>
      <c r="BR3280" s="1" t="s">
        <v>52644</v>
      </c>
      <c r="BS3280" s="1">
        <v>18</v>
      </c>
      <c r="BT3280" s="1"/>
      <c r="BU3280" s="1" t="str">
        <f>HYPERLINK("https://nconnect.nicmar.ac.in/storage/profile/2021-2023_AP21063_716298.jpg","Download")</f>
        <v>0</v>
      </c>
      <c r="BV3280" s="3"/>
      <c r="BW3280" s="3"/>
    </row>
    <row r="3281" spans="1:75">
      <c r="A3281" s="1" t="s">
        <v>51340</v>
      </c>
      <c r="B3281" s="1" t="s">
        <v>51341</v>
      </c>
      <c r="C3281" s="1" t="s">
        <v>52645</v>
      </c>
      <c r="D3281" s="1" t="s">
        <v>11470</v>
      </c>
      <c r="E3281" s="1"/>
      <c r="F3281" s="1" t="s">
        <v>530</v>
      </c>
      <c r="G3281" s="1" t="s">
        <v>52646</v>
      </c>
      <c r="H3281" s="1" t="s">
        <v>52647</v>
      </c>
      <c r="I3281" s="1" t="s">
        <v>52648</v>
      </c>
      <c r="J3281" s="1">
        <v>7008455765</v>
      </c>
      <c r="K3281" s="1" t="s">
        <v>84</v>
      </c>
      <c r="L3281" s="1" t="s">
        <v>52649</v>
      </c>
      <c r="M3281" s="1" t="s">
        <v>86</v>
      </c>
      <c r="N3281" s="1" t="s">
        <v>52650</v>
      </c>
      <c r="O3281" s="1"/>
      <c r="P3281" s="1" t="s">
        <v>455</v>
      </c>
      <c r="Q3281" s="1" t="s">
        <v>52651</v>
      </c>
      <c r="R3281" s="1" t="s">
        <v>52652</v>
      </c>
      <c r="S3281" s="1">
        <v>9861248724</v>
      </c>
      <c r="T3281" s="1" t="s">
        <v>839</v>
      </c>
      <c r="U3281" s="1" t="s">
        <v>52653</v>
      </c>
      <c r="V3281" s="1">
        <v>9337113863</v>
      </c>
      <c r="W3281" s="1" t="s">
        <v>94</v>
      </c>
      <c r="X3281" s="1" t="s">
        <v>52654</v>
      </c>
      <c r="Y3281" s="1" t="s">
        <v>22709</v>
      </c>
      <c r="Z3281" s="1" t="s">
        <v>865</v>
      </c>
      <c r="AA3281" s="1" t="s">
        <v>52654</v>
      </c>
      <c r="AB3281" s="1" t="s">
        <v>22709</v>
      </c>
      <c r="AC3281" s="1" t="s">
        <v>865</v>
      </c>
      <c r="AD3281" s="1" t="s">
        <v>98</v>
      </c>
      <c r="AE3281" s="1" t="s">
        <v>98</v>
      </c>
      <c r="AF3281" s="1" t="s">
        <v>52655</v>
      </c>
      <c r="AG3281" s="1" t="s">
        <v>6474</v>
      </c>
      <c r="AH3281" s="1" t="s">
        <v>799</v>
      </c>
      <c r="AI3281" s="1" t="s">
        <v>337</v>
      </c>
      <c r="AJ3281" s="1">
        <v>62.85</v>
      </c>
      <c r="AK3281" s="1"/>
      <c r="AL3281" s="1" t="s">
        <v>98</v>
      </c>
      <c r="AM3281" s="1"/>
      <c r="AN3281" s="1"/>
      <c r="AO3281" s="1" t="s">
        <v>98</v>
      </c>
      <c r="AP3281" s="1" t="s">
        <v>98</v>
      </c>
      <c r="AQ3281" s="1"/>
      <c r="AR3281" s="1"/>
      <c r="AS3281" s="1" t="s">
        <v>439</v>
      </c>
      <c r="AT3281" s="1" t="s">
        <v>5106</v>
      </c>
      <c r="AU3281" s="1" t="s">
        <v>257</v>
      </c>
      <c r="AV3281" s="1" t="s">
        <v>573</v>
      </c>
      <c r="AW3281" s="1">
        <v>88.85</v>
      </c>
      <c r="AX3281" s="1"/>
      <c r="AY3281" s="1" t="s">
        <v>13327</v>
      </c>
      <c r="AZ3281" s="1" t="s">
        <v>52656</v>
      </c>
      <c r="BA3281" s="1"/>
      <c r="BB3281" s="1"/>
      <c r="BC3281" s="1" t="s">
        <v>1065</v>
      </c>
      <c r="BD3281" s="1" t="s">
        <v>549</v>
      </c>
      <c r="BE3281" s="1">
        <v>71.6</v>
      </c>
      <c r="BF3281" s="1">
        <v>7.66</v>
      </c>
      <c r="BG3281" s="1"/>
      <c r="BH3281" s="1"/>
      <c r="BI3281" s="1"/>
      <c r="BJ3281" s="1"/>
      <c r="BK3281" s="1" t="s">
        <v>98</v>
      </c>
      <c r="BL3281" s="1" t="s">
        <v>98</v>
      </c>
      <c r="BM3281" s="1" t="s">
        <v>98</v>
      </c>
      <c r="BN3281" s="1" t="s">
        <v>98</v>
      </c>
      <c r="BO3281" s="1" t="s">
        <v>369</v>
      </c>
      <c r="BP3281" s="1" t="s">
        <v>52657</v>
      </c>
      <c r="BQ3281" s="1" t="s">
        <v>6365</v>
      </c>
      <c r="BR3281" s="1" t="s">
        <v>52658</v>
      </c>
      <c r="BS3281" s="1">
        <v>8</v>
      </c>
      <c r="BT3281" s="1"/>
      <c r="BU3281" s="1" t="str">
        <f>HYPERLINK("https://nconnect.nicmar.ac.in/storage/profile/2021-2023_AP21064_549687.jpg","Download")</f>
        <v>0</v>
      </c>
      <c r="BV3281" s="3"/>
      <c r="BW3281" s="3"/>
    </row>
    <row r="3282" spans="1:75">
      <c r="A3282" s="1" t="s">
        <v>51340</v>
      </c>
      <c r="B3282" s="1" t="s">
        <v>51341</v>
      </c>
      <c r="C3282" s="1" t="s">
        <v>52659</v>
      </c>
      <c r="D3282" s="1" t="s">
        <v>52660</v>
      </c>
      <c r="E3282" s="1" t="s">
        <v>52661</v>
      </c>
      <c r="F3282" s="1" t="s">
        <v>8922</v>
      </c>
      <c r="G3282" s="1" t="s">
        <v>52662</v>
      </c>
      <c r="H3282" s="1" t="s">
        <v>52663</v>
      </c>
      <c r="I3282" s="1" t="s">
        <v>52664</v>
      </c>
      <c r="J3282" s="1">
        <v>8500266642</v>
      </c>
      <c r="K3282" s="1" t="s">
        <v>84</v>
      </c>
      <c r="L3282" s="1" t="s">
        <v>52665</v>
      </c>
      <c r="M3282" s="1" t="s">
        <v>86</v>
      </c>
      <c r="N3282" s="1" t="s">
        <v>52666</v>
      </c>
      <c r="O3282" s="1"/>
      <c r="P3282" s="1" t="s">
        <v>507</v>
      </c>
      <c r="Q3282" s="1" t="s">
        <v>52667</v>
      </c>
      <c r="R3282" s="1" t="s">
        <v>52668</v>
      </c>
      <c r="S3282" s="1">
        <v>9394341666</v>
      </c>
      <c r="T3282" s="1" t="s">
        <v>771</v>
      </c>
      <c r="U3282" s="1" t="s">
        <v>52669</v>
      </c>
      <c r="V3282" s="1">
        <v>9394341888</v>
      </c>
      <c r="W3282" s="1" t="s">
        <v>541</v>
      </c>
      <c r="X3282" s="1" t="s">
        <v>52670</v>
      </c>
      <c r="Y3282" s="1" t="s">
        <v>52039</v>
      </c>
      <c r="Z3282" s="1" t="s">
        <v>281</v>
      </c>
      <c r="AA3282" s="1" t="s">
        <v>52671</v>
      </c>
      <c r="AB3282" s="1" t="s">
        <v>52039</v>
      </c>
      <c r="AC3282" s="1" t="s">
        <v>281</v>
      </c>
      <c r="AD3282" s="1" t="s">
        <v>98</v>
      </c>
      <c r="AE3282" s="1" t="s">
        <v>98</v>
      </c>
      <c r="AF3282" s="1" t="s">
        <v>52672</v>
      </c>
      <c r="AG3282" s="1" t="s">
        <v>36627</v>
      </c>
      <c r="AH3282" s="1" t="s">
        <v>101</v>
      </c>
      <c r="AI3282" s="1" t="s">
        <v>102</v>
      </c>
      <c r="AJ3282" s="1">
        <v>85.5</v>
      </c>
      <c r="AK3282" s="1">
        <v>9</v>
      </c>
      <c r="AL3282" s="1" t="s">
        <v>9621</v>
      </c>
      <c r="AM3282" s="1" t="s">
        <v>36627</v>
      </c>
      <c r="AN3282" s="1"/>
      <c r="AO3282" s="1" t="s">
        <v>136</v>
      </c>
      <c r="AP3282" s="1" t="s">
        <v>200</v>
      </c>
      <c r="AQ3282" s="1">
        <v>96.6</v>
      </c>
      <c r="AR3282" s="1"/>
      <c r="AS3282" s="1"/>
      <c r="AT3282" s="1"/>
      <c r="AU3282" s="1" t="s">
        <v>98</v>
      </c>
      <c r="AV3282" s="1" t="s">
        <v>98</v>
      </c>
      <c r="AW3282" s="1" t="s">
        <v>98</v>
      </c>
      <c r="AX3282" s="1" t="s">
        <v>98</v>
      </c>
      <c r="AY3282" s="1" t="s">
        <v>52673</v>
      </c>
      <c r="AZ3282" s="1" t="s">
        <v>52674</v>
      </c>
      <c r="BA3282" s="1"/>
      <c r="BB3282" s="1"/>
      <c r="BC3282" s="1" t="s">
        <v>230</v>
      </c>
      <c r="BD3282" s="1" t="s">
        <v>845</v>
      </c>
      <c r="BE3282" s="1">
        <v>84.31</v>
      </c>
      <c r="BF3282" s="1">
        <v>8.99</v>
      </c>
      <c r="BG3282" s="1"/>
      <c r="BH3282" s="1"/>
      <c r="BI3282" s="1"/>
      <c r="BJ3282" s="1"/>
      <c r="BK3282" s="1" t="s">
        <v>98</v>
      </c>
      <c r="BL3282" s="1" t="s">
        <v>98</v>
      </c>
      <c r="BM3282" s="1" t="s">
        <v>98</v>
      </c>
      <c r="BN3282" s="1" t="s">
        <v>98</v>
      </c>
      <c r="BO3282" s="1" t="s">
        <v>1114</v>
      </c>
      <c r="BP3282" s="1"/>
      <c r="BQ3282" s="1"/>
      <c r="BR3282" s="1" t="s">
        <v>52675</v>
      </c>
      <c r="BS3282" s="1">
        <v>11</v>
      </c>
      <c r="BT3282" s="1"/>
      <c r="BU3282" s="1" t="str">
        <f>HYPERLINK("https://nconnect.nicmar.ac.in/storage/profile/2021-2023_AP21065_369528.JPG","Download")</f>
        <v>0</v>
      </c>
      <c r="BV3282" s="3"/>
      <c r="BW3282" s="3"/>
    </row>
    <row r="3283" spans="1:75">
      <c r="A3283" s="1" t="s">
        <v>51340</v>
      </c>
      <c r="B3283" s="1" t="s">
        <v>51341</v>
      </c>
      <c r="C3283" s="1" t="s">
        <v>52676</v>
      </c>
      <c r="D3283" s="1" t="s">
        <v>2099</v>
      </c>
      <c r="E3283" s="1" t="s">
        <v>10261</v>
      </c>
      <c r="F3283" s="1" t="s">
        <v>1963</v>
      </c>
      <c r="G3283" s="1" t="s">
        <v>52677</v>
      </c>
      <c r="H3283" s="1" t="s">
        <v>52678</v>
      </c>
      <c r="I3283" s="1" t="s">
        <v>52679</v>
      </c>
      <c r="J3283" s="1">
        <v>8108448059</v>
      </c>
      <c r="K3283" s="1" t="s">
        <v>153</v>
      </c>
      <c r="L3283" s="1" t="s">
        <v>52680</v>
      </c>
      <c r="M3283" s="1" t="s">
        <v>86</v>
      </c>
      <c r="N3283" s="1" t="s">
        <v>52681</v>
      </c>
      <c r="O3283" s="1"/>
      <c r="P3283" s="1" t="s">
        <v>455</v>
      </c>
      <c r="Q3283" s="1" t="s">
        <v>52682</v>
      </c>
      <c r="R3283" s="1" t="s">
        <v>52683</v>
      </c>
      <c r="S3283" s="1">
        <v>9967808862</v>
      </c>
      <c r="T3283" s="1" t="s">
        <v>127</v>
      </c>
      <c r="U3283" s="1" t="s">
        <v>52684</v>
      </c>
      <c r="V3283" s="1">
        <v>9867070263</v>
      </c>
      <c r="W3283" s="1" t="s">
        <v>127</v>
      </c>
      <c r="X3283" s="1" t="s">
        <v>52685</v>
      </c>
      <c r="Y3283" s="1" t="s">
        <v>1012</v>
      </c>
      <c r="Z3283" s="1" t="s">
        <v>97</v>
      </c>
      <c r="AA3283" s="1" t="s">
        <v>52686</v>
      </c>
      <c r="AB3283" s="1" t="s">
        <v>196</v>
      </c>
      <c r="AC3283" s="1" t="s">
        <v>97</v>
      </c>
      <c r="AD3283" s="1" t="s">
        <v>98</v>
      </c>
      <c r="AE3283" s="1" t="s">
        <v>98</v>
      </c>
      <c r="AF3283" s="1" t="s">
        <v>52687</v>
      </c>
      <c r="AG3283" s="1" t="s">
        <v>1968</v>
      </c>
      <c r="AH3283" s="1" t="s">
        <v>3285</v>
      </c>
      <c r="AI3283" s="1" t="s">
        <v>133</v>
      </c>
      <c r="AJ3283" s="1">
        <v>88.36</v>
      </c>
      <c r="AK3283" s="1">
        <v>8.83</v>
      </c>
      <c r="AL3283" s="1" t="s">
        <v>52688</v>
      </c>
      <c r="AM3283" s="1" t="s">
        <v>1968</v>
      </c>
      <c r="AN3283" s="1"/>
      <c r="AO3283" s="1" t="s">
        <v>1213</v>
      </c>
      <c r="AP3283" s="1" t="s">
        <v>101</v>
      </c>
      <c r="AQ3283" s="1">
        <v>71.69</v>
      </c>
      <c r="AR3283" s="1">
        <v>7.16</v>
      </c>
      <c r="AS3283" s="1"/>
      <c r="AT3283" s="1"/>
      <c r="AU3283" s="1" t="s">
        <v>98</v>
      </c>
      <c r="AV3283" s="1" t="s">
        <v>98</v>
      </c>
      <c r="AW3283" s="1"/>
      <c r="AX3283" s="1"/>
      <c r="AY3283" s="1" t="s">
        <v>366</v>
      </c>
      <c r="AZ3283" s="1" t="s">
        <v>52689</v>
      </c>
      <c r="BA3283" s="1"/>
      <c r="BB3283" s="1"/>
      <c r="BC3283" s="1" t="s">
        <v>101</v>
      </c>
      <c r="BD3283" s="1" t="s">
        <v>106</v>
      </c>
      <c r="BE3283" s="1">
        <v>62.08</v>
      </c>
      <c r="BF3283" s="1">
        <v>6.2</v>
      </c>
      <c r="BG3283" s="1"/>
      <c r="BH3283" s="1"/>
      <c r="BI3283" s="1"/>
      <c r="BJ3283" s="1"/>
      <c r="BK3283" s="1" t="s">
        <v>98</v>
      </c>
      <c r="BL3283" s="1" t="s">
        <v>98</v>
      </c>
      <c r="BM3283" s="1" t="s">
        <v>98</v>
      </c>
      <c r="BN3283" s="1" t="s">
        <v>98</v>
      </c>
      <c r="BO3283" s="1" t="s">
        <v>1114</v>
      </c>
      <c r="BP3283" s="1" t="s">
        <v>52690</v>
      </c>
      <c r="BQ3283" s="1" t="s">
        <v>29415</v>
      </c>
      <c r="BR3283" s="1" t="s">
        <v>52691</v>
      </c>
      <c r="BS3283" s="1">
        <v>42</v>
      </c>
      <c r="BT3283" s="1"/>
      <c r="BU3283" s="1" t="str">
        <f>HYPERLINK("https://nconnect.nicmar.ac.in/storage/profile/2021-2023_AP21066_573192.jpg","Download")</f>
        <v>0</v>
      </c>
      <c r="BV3283" s="3"/>
      <c r="BW3283" s="3"/>
    </row>
    <row r="3284" spans="1:75">
      <c r="A3284" s="1" t="s">
        <v>51340</v>
      </c>
      <c r="B3284" s="1" t="s">
        <v>51341</v>
      </c>
      <c r="C3284" s="1" t="s">
        <v>52692</v>
      </c>
      <c r="D3284" s="1" t="s">
        <v>1749</v>
      </c>
      <c r="E3284" s="1" t="s">
        <v>4646</v>
      </c>
      <c r="F3284" s="1" t="s">
        <v>2099</v>
      </c>
      <c r="G3284" s="1" t="s">
        <v>52693</v>
      </c>
      <c r="H3284" s="1" t="s">
        <v>52694</v>
      </c>
      <c r="I3284" s="1" t="s">
        <v>52694</v>
      </c>
      <c r="J3284" s="1"/>
      <c r="K3284" s="1" t="s">
        <v>153</v>
      </c>
      <c r="L3284" s="1" t="s">
        <v>52695</v>
      </c>
      <c r="M3284" s="1" t="s">
        <v>86</v>
      </c>
      <c r="N3284" s="1" t="s">
        <v>1163</v>
      </c>
      <c r="O3284" s="1"/>
      <c r="P3284" s="1" t="s">
        <v>507</v>
      </c>
      <c r="Q3284" s="1" t="s">
        <v>52696</v>
      </c>
      <c r="R3284" s="1" t="s">
        <v>52697</v>
      </c>
      <c r="S3284" s="1">
        <v>9730842996</v>
      </c>
      <c r="T3284" s="1" t="s">
        <v>645</v>
      </c>
      <c r="U3284" s="1" t="s">
        <v>52698</v>
      </c>
      <c r="V3284" s="1">
        <v>7083684827</v>
      </c>
      <c r="W3284" s="1" t="s">
        <v>94</v>
      </c>
      <c r="X3284" s="1" t="s">
        <v>52699</v>
      </c>
      <c r="Y3284" s="1" t="s">
        <v>1779</v>
      </c>
      <c r="Z3284" s="1" t="s">
        <v>97</v>
      </c>
      <c r="AA3284" s="1" t="s">
        <v>52699</v>
      </c>
      <c r="AB3284" s="1" t="s">
        <v>1779</v>
      </c>
      <c r="AC3284" s="1" t="s">
        <v>97</v>
      </c>
      <c r="AD3284" s="1" t="s">
        <v>98</v>
      </c>
      <c r="AE3284" s="1" t="s">
        <v>98</v>
      </c>
      <c r="AF3284" s="1" t="s">
        <v>52700</v>
      </c>
      <c r="AG3284" s="1" t="s">
        <v>3052</v>
      </c>
      <c r="AH3284" s="1" t="s">
        <v>52453</v>
      </c>
      <c r="AI3284" s="1" t="s">
        <v>52701</v>
      </c>
      <c r="AJ3284" s="1">
        <v>89</v>
      </c>
      <c r="AK3284" s="1"/>
      <c r="AL3284" s="1" t="s">
        <v>52702</v>
      </c>
      <c r="AM3284" s="1" t="s">
        <v>3052</v>
      </c>
      <c r="AN3284" s="1"/>
      <c r="AO3284" s="1" t="s">
        <v>52703</v>
      </c>
      <c r="AP3284" s="1" t="s">
        <v>52704</v>
      </c>
      <c r="AQ3284" s="1">
        <v>68.46</v>
      </c>
      <c r="AR3284" s="1"/>
      <c r="AS3284" s="1"/>
      <c r="AT3284" s="1"/>
      <c r="AU3284" s="1"/>
      <c r="AV3284" s="1"/>
      <c r="AW3284" s="1"/>
      <c r="AX3284" s="1"/>
      <c r="AY3284" s="1" t="s">
        <v>366</v>
      </c>
      <c r="AZ3284" s="1" t="s">
        <v>52705</v>
      </c>
      <c r="BA3284" s="1"/>
      <c r="BB3284" s="1"/>
      <c r="BC3284" s="1" t="s">
        <v>52706</v>
      </c>
      <c r="BD3284" s="1" t="s">
        <v>52707</v>
      </c>
      <c r="BE3284" s="1">
        <v>62</v>
      </c>
      <c r="BF3284" s="1"/>
      <c r="BG3284" s="1"/>
      <c r="BH3284" s="1"/>
      <c r="BI3284" s="1"/>
      <c r="BJ3284" s="1"/>
      <c r="BK3284" s="1"/>
      <c r="BL3284" s="1"/>
      <c r="BM3284" s="1"/>
      <c r="BN3284" s="1"/>
      <c r="BO3284" s="1" t="s">
        <v>16194</v>
      </c>
      <c r="BP3284" s="1"/>
      <c r="BQ3284" s="1"/>
      <c r="BR3284" s="1" t="s">
        <v>52708</v>
      </c>
      <c r="BS3284" s="1">
        <v>25</v>
      </c>
      <c r="BT3284" s="1"/>
      <c r="BU3284" s="1" t="str">
        <f>HYPERLINK("https://nconnect.nicmar.ac.in/storage/profile/2021-2023_AP21067_629831.jpg","Download")</f>
        <v>0</v>
      </c>
      <c r="BV3284" s="3"/>
      <c r="BW3284" s="3"/>
    </row>
    <row r="3285" spans="1:75">
      <c r="A3285" s="1" t="s">
        <v>51340</v>
      </c>
      <c r="B3285" s="1" t="s">
        <v>51341</v>
      </c>
      <c r="C3285" s="1" t="s">
        <v>52709</v>
      </c>
      <c r="D3285" s="1" t="s">
        <v>36368</v>
      </c>
      <c r="E3285" s="1" t="s">
        <v>6880</v>
      </c>
      <c r="F3285" s="1" t="s">
        <v>52710</v>
      </c>
      <c r="G3285" s="1" t="s">
        <v>52711</v>
      </c>
      <c r="H3285" s="1" t="s">
        <v>52712</v>
      </c>
      <c r="I3285" s="1" t="s">
        <v>52713</v>
      </c>
      <c r="J3285" s="1">
        <v>9552699884</v>
      </c>
      <c r="K3285" s="1" t="s">
        <v>84</v>
      </c>
      <c r="L3285" s="1" t="s">
        <v>31048</v>
      </c>
      <c r="M3285" s="1" t="s">
        <v>86</v>
      </c>
      <c r="N3285" s="1" t="s">
        <v>52714</v>
      </c>
      <c r="O3285" s="1"/>
      <c r="P3285" s="1" t="s">
        <v>507</v>
      </c>
      <c r="Q3285" s="1" t="s">
        <v>52715</v>
      </c>
      <c r="R3285" s="1" t="s">
        <v>52716</v>
      </c>
      <c r="S3285" s="1">
        <v>9422181532</v>
      </c>
      <c r="T3285" s="1" t="s">
        <v>52717</v>
      </c>
      <c r="U3285" s="1" t="s">
        <v>52718</v>
      </c>
      <c r="V3285" s="1">
        <v>7588803044</v>
      </c>
      <c r="W3285" s="1" t="s">
        <v>278</v>
      </c>
      <c r="X3285" s="1" t="s">
        <v>52719</v>
      </c>
      <c r="Y3285" s="1" t="s">
        <v>96</v>
      </c>
      <c r="Z3285" s="1" t="s">
        <v>97</v>
      </c>
      <c r="AA3285" s="1" t="s">
        <v>98</v>
      </c>
      <c r="AB3285" s="1" t="s">
        <v>96</v>
      </c>
      <c r="AC3285" s="1" t="s">
        <v>97</v>
      </c>
      <c r="AD3285" s="1" t="s">
        <v>98</v>
      </c>
      <c r="AE3285" s="1" t="s">
        <v>98</v>
      </c>
      <c r="AF3285" s="1" t="s">
        <v>52720</v>
      </c>
      <c r="AG3285" s="1" t="s">
        <v>52721</v>
      </c>
      <c r="AH3285" s="1" t="s">
        <v>1457</v>
      </c>
      <c r="AI3285" s="1" t="s">
        <v>1262</v>
      </c>
      <c r="AJ3285" s="1">
        <v>93.1</v>
      </c>
      <c r="AK3285" s="1">
        <v>9.8</v>
      </c>
      <c r="AL3285" s="1" t="s">
        <v>25494</v>
      </c>
      <c r="AM3285" s="1" t="s">
        <v>52721</v>
      </c>
      <c r="AN3285" s="1"/>
      <c r="AO3285" s="1" t="s">
        <v>102</v>
      </c>
      <c r="AP3285" s="1" t="s">
        <v>627</v>
      </c>
      <c r="AQ3285" s="1">
        <v>68.6</v>
      </c>
      <c r="AR3285" s="1">
        <v>0</v>
      </c>
      <c r="AS3285" s="1"/>
      <c r="AT3285" s="1"/>
      <c r="AU3285" s="1" t="s">
        <v>98</v>
      </c>
      <c r="AV3285" s="1" t="s">
        <v>98</v>
      </c>
      <c r="AW3285" s="1"/>
      <c r="AX3285" s="1"/>
      <c r="AY3285" s="1" t="s">
        <v>7423</v>
      </c>
      <c r="AZ3285" s="1" t="s">
        <v>47991</v>
      </c>
      <c r="BA3285" s="1"/>
      <c r="BB3285" s="1"/>
      <c r="BC3285" s="1" t="s">
        <v>167</v>
      </c>
      <c r="BD3285" s="1" t="s">
        <v>890</v>
      </c>
      <c r="BE3285" s="1">
        <v>65.1</v>
      </c>
      <c r="BF3285" s="1">
        <v>6.51</v>
      </c>
      <c r="BG3285" s="1"/>
      <c r="BH3285" s="1"/>
      <c r="BI3285" s="1"/>
      <c r="BJ3285" s="1"/>
      <c r="BK3285" s="1" t="s">
        <v>98</v>
      </c>
      <c r="BL3285" s="1" t="s">
        <v>98</v>
      </c>
      <c r="BM3285" s="1" t="s">
        <v>98</v>
      </c>
      <c r="BN3285" s="1" t="s">
        <v>98</v>
      </c>
      <c r="BO3285" s="1"/>
      <c r="BP3285" s="1"/>
      <c r="BQ3285" s="1"/>
      <c r="BR3285" s="1" t="s">
        <v>52722</v>
      </c>
      <c r="BS3285" s="1">
        <v>35</v>
      </c>
      <c r="BT3285" s="1"/>
      <c r="BU3285" s="1" t="str">
        <f>HYPERLINK("https://nconnect.nicmar.ac.in/storage/profile/2021-2023_AP21068_967358.jpg","Download")</f>
        <v>0</v>
      </c>
      <c r="BV3285" s="3"/>
      <c r="BW3285" s="3"/>
    </row>
    <row r="3286" spans="1:75">
      <c r="A3286" s="1" t="s">
        <v>51340</v>
      </c>
      <c r="B3286" s="1" t="s">
        <v>51341</v>
      </c>
      <c r="C3286" s="1" t="s">
        <v>52723</v>
      </c>
      <c r="D3286" s="1" t="s">
        <v>52724</v>
      </c>
      <c r="E3286" s="1" t="s">
        <v>11239</v>
      </c>
      <c r="F3286" s="1" t="s">
        <v>46180</v>
      </c>
      <c r="G3286" s="1" t="s">
        <v>52725</v>
      </c>
      <c r="H3286" s="1" t="s">
        <v>52726</v>
      </c>
      <c r="I3286" s="1" t="s">
        <v>52727</v>
      </c>
      <c r="J3286" s="1">
        <v>8087978304</v>
      </c>
      <c r="K3286" s="1" t="s">
        <v>84</v>
      </c>
      <c r="L3286" s="1" t="s">
        <v>20302</v>
      </c>
      <c r="M3286" s="1" t="s">
        <v>86</v>
      </c>
      <c r="N3286" s="1" t="s">
        <v>990</v>
      </c>
      <c r="O3286" s="1"/>
      <c r="P3286" s="1" t="s">
        <v>455</v>
      </c>
      <c r="Q3286" s="1" t="s">
        <v>52728</v>
      </c>
      <c r="R3286" s="1" t="s">
        <v>52729</v>
      </c>
      <c r="S3286" s="1">
        <v>9822261205</v>
      </c>
      <c r="T3286" s="1" t="s">
        <v>698</v>
      </c>
      <c r="U3286" s="1" t="s">
        <v>52730</v>
      </c>
      <c r="V3286" s="1">
        <v>7038033853</v>
      </c>
      <c r="W3286" s="1" t="s">
        <v>161</v>
      </c>
      <c r="X3286" s="1" t="s">
        <v>52731</v>
      </c>
      <c r="Y3286" s="1" t="s">
        <v>196</v>
      </c>
      <c r="Z3286" s="1" t="s">
        <v>97</v>
      </c>
      <c r="AA3286" s="1" t="s">
        <v>52731</v>
      </c>
      <c r="AB3286" s="1" t="s">
        <v>196</v>
      </c>
      <c r="AC3286" s="1" t="s">
        <v>97</v>
      </c>
      <c r="AD3286" s="1" t="s">
        <v>98</v>
      </c>
      <c r="AE3286" s="1" t="s">
        <v>98</v>
      </c>
      <c r="AF3286" s="1" t="s">
        <v>3827</v>
      </c>
      <c r="AG3286" s="1" t="s">
        <v>52732</v>
      </c>
      <c r="AH3286" s="1" t="s">
        <v>134</v>
      </c>
      <c r="AI3286" s="1" t="s">
        <v>515</v>
      </c>
      <c r="AJ3286" s="1">
        <v>78.2</v>
      </c>
      <c r="AK3286" s="1"/>
      <c r="AL3286" s="1"/>
      <c r="AM3286" s="1"/>
      <c r="AN3286" s="1"/>
      <c r="AO3286" s="1" t="s">
        <v>98</v>
      </c>
      <c r="AP3286" s="1" t="s">
        <v>98</v>
      </c>
      <c r="AQ3286" s="1"/>
      <c r="AR3286" s="1"/>
      <c r="AS3286" s="1" t="s">
        <v>439</v>
      </c>
      <c r="AT3286" s="1" t="s">
        <v>52733</v>
      </c>
      <c r="AU3286" s="1" t="s">
        <v>135</v>
      </c>
      <c r="AV3286" s="1" t="s">
        <v>388</v>
      </c>
      <c r="AW3286" s="1">
        <v>58.74</v>
      </c>
      <c r="AX3286" s="1"/>
      <c r="AY3286" s="1" t="s">
        <v>366</v>
      </c>
      <c r="AZ3286" s="1" t="s">
        <v>52734</v>
      </c>
      <c r="BA3286" s="1"/>
      <c r="BB3286" s="1"/>
      <c r="BC3286" s="1" t="s">
        <v>230</v>
      </c>
      <c r="BD3286" s="1" t="s">
        <v>1647</v>
      </c>
      <c r="BE3286" s="1">
        <v>56.8</v>
      </c>
      <c r="BF3286" s="1">
        <v>6.46</v>
      </c>
      <c r="BG3286" s="1"/>
      <c r="BH3286" s="1"/>
      <c r="BI3286" s="1"/>
      <c r="BJ3286" s="1"/>
      <c r="BK3286" s="1" t="s">
        <v>98</v>
      </c>
      <c r="BL3286" s="1" t="s">
        <v>98</v>
      </c>
      <c r="BM3286" s="1" t="s">
        <v>98</v>
      </c>
      <c r="BN3286" s="1" t="s">
        <v>98</v>
      </c>
      <c r="BO3286" s="1" t="s">
        <v>1114</v>
      </c>
      <c r="BP3286" s="1"/>
      <c r="BQ3286" s="1"/>
      <c r="BR3286" s="1" t="s">
        <v>52735</v>
      </c>
      <c r="BS3286" s="1">
        <v>9</v>
      </c>
      <c r="BT3286" s="1"/>
      <c r="BU3286" s="1" t="str">
        <f>HYPERLINK("https://nconnect.nicmar.ac.in/storage/profile/2021-2023_AP21069_471392.jpeg","Download")</f>
        <v>0</v>
      </c>
      <c r="BV3286" s="3"/>
      <c r="BW3286" s="3"/>
    </row>
    <row r="3287" spans="1:75">
      <c r="A3287" s="1" t="s">
        <v>51340</v>
      </c>
      <c r="B3287" s="1" t="s">
        <v>51341</v>
      </c>
      <c r="C3287" s="1" t="s">
        <v>52736</v>
      </c>
      <c r="D3287" s="1" t="s">
        <v>3201</v>
      </c>
      <c r="E3287" s="1"/>
      <c r="F3287" s="1" t="s">
        <v>52737</v>
      </c>
      <c r="G3287" s="1" t="s">
        <v>52738</v>
      </c>
      <c r="H3287" s="1" t="s">
        <v>52739</v>
      </c>
      <c r="I3287" s="1" t="s">
        <v>52740</v>
      </c>
      <c r="J3287" s="1">
        <v>9826187065</v>
      </c>
      <c r="K3287" s="1" t="s">
        <v>153</v>
      </c>
      <c r="L3287" s="1" t="s">
        <v>52741</v>
      </c>
      <c r="M3287" s="1" t="s">
        <v>155</v>
      </c>
      <c r="N3287" s="1" t="s">
        <v>246</v>
      </c>
      <c r="O3287" s="1"/>
      <c r="P3287" s="1" t="s">
        <v>507</v>
      </c>
      <c r="Q3287" s="1" t="s">
        <v>52742</v>
      </c>
      <c r="R3287" s="1" t="s">
        <v>52743</v>
      </c>
      <c r="S3287" s="1">
        <v>9893352865</v>
      </c>
      <c r="T3287" s="1" t="s">
        <v>5639</v>
      </c>
      <c r="U3287" s="1" t="s">
        <v>52744</v>
      </c>
      <c r="V3287" s="1">
        <v>9893352866</v>
      </c>
      <c r="W3287" s="1" t="s">
        <v>94</v>
      </c>
      <c r="X3287" s="1" t="s">
        <v>52745</v>
      </c>
      <c r="Y3287" s="1" t="s">
        <v>5622</v>
      </c>
      <c r="Z3287" s="1" t="s">
        <v>3419</v>
      </c>
      <c r="AA3287" s="1" t="s">
        <v>52746</v>
      </c>
      <c r="AB3287" s="1" t="s">
        <v>196</v>
      </c>
      <c r="AC3287" s="1" t="s">
        <v>97</v>
      </c>
      <c r="AD3287" s="1" t="s">
        <v>98</v>
      </c>
      <c r="AE3287" s="1" t="s">
        <v>98</v>
      </c>
      <c r="AF3287" s="1" t="s">
        <v>52747</v>
      </c>
      <c r="AG3287" s="1" t="s">
        <v>52748</v>
      </c>
      <c r="AH3287" s="1">
        <v>40269</v>
      </c>
      <c r="AI3287" s="1">
        <v>40691</v>
      </c>
      <c r="AJ3287" s="1">
        <v>79.8</v>
      </c>
      <c r="AK3287" s="1"/>
      <c r="AL3287" s="1" t="s">
        <v>52747</v>
      </c>
      <c r="AM3287" s="1" t="s">
        <v>52748</v>
      </c>
      <c r="AN3287" s="1"/>
      <c r="AO3287" s="1">
        <v>41000</v>
      </c>
      <c r="AP3287" s="1">
        <v>41415</v>
      </c>
      <c r="AQ3287" s="1">
        <v>71.4</v>
      </c>
      <c r="AR3287" s="1"/>
      <c r="AS3287" s="1"/>
      <c r="AT3287" s="1"/>
      <c r="AU3287" s="1" t="s">
        <v>98</v>
      </c>
      <c r="AV3287" s="1" t="s">
        <v>98</v>
      </c>
      <c r="AW3287" s="1" t="s">
        <v>98</v>
      </c>
      <c r="AX3287" s="1" t="s">
        <v>98</v>
      </c>
      <c r="AY3287" s="1" t="s">
        <v>5224</v>
      </c>
      <c r="AZ3287" s="1" t="s">
        <v>52749</v>
      </c>
      <c r="BA3287" s="1"/>
      <c r="BB3287" s="1"/>
      <c r="BC3287" s="1">
        <v>41487</v>
      </c>
      <c r="BD3287" s="1" t="s">
        <v>52750</v>
      </c>
      <c r="BE3287" s="1">
        <v>74.4</v>
      </c>
      <c r="BF3287" s="1">
        <v>7.44</v>
      </c>
      <c r="BG3287" s="1"/>
      <c r="BH3287" s="1"/>
      <c r="BI3287" s="1"/>
      <c r="BJ3287" s="1"/>
      <c r="BK3287" s="1" t="s">
        <v>98</v>
      </c>
      <c r="BL3287" s="1" t="s">
        <v>98</v>
      </c>
      <c r="BM3287" s="1" t="s">
        <v>98</v>
      </c>
      <c r="BN3287" s="1" t="s">
        <v>98</v>
      </c>
      <c r="BO3287" s="1" t="s">
        <v>369</v>
      </c>
      <c r="BP3287" s="1" t="s">
        <v>52751</v>
      </c>
      <c r="BQ3287" s="1" t="s">
        <v>9111</v>
      </c>
      <c r="BR3287" s="1" t="s">
        <v>52752</v>
      </c>
      <c r="BS3287" s="1">
        <v>41</v>
      </c>
      <c r="BT3287" s="1"/>
      <c r="BU3287" s="1" t="str">
        <f>HYPERLINK("https://nconnect.nicmar.ac.in/storage/profile/2021-2023_AP21070_578614.jpg","Download")</f>
        <v>0</v>
      </c>
      <c r="BV3287" s="3"/>
      <c r="BW3287" s="3"/>
    </row>
    <row r="3288" spans="1:75">
      <c r="A3288" s="1" t="s">
        <v>51340</v>
      </c>
      <c r="B3288" s="1" t="s">
        <v>51341</v>
      </c>
      <c r="C3288" s="1" t="s">
        <v>52753</v>
      </c>
      <c r="D3288" s="1" t="s">
        <v>52754</v>
      </c>
      <c r="E3288" s="1" t="s">
        <v>1853</v>
      </c>
      <c r="F3288" s="1" t="s">
        <v>52755</v>
      </c>
      <c r="G3288" s="1" t="s">
        <v>52756</v>
      </c>
      <c r="H3288" s="1" t="s">
        <v>52757</v>
      </c>
      <c r="I3288" s="1" t="s">
        <v>52758</v>
      </c>
      <c r="J3288" s="1">
        <v>9113960828</v>
      </c>
      <c r="K3288" s="1" t="s">
        <v>84</v>
      </c>
      <c r="L3288" s="1" t="s">
        <v>52759</v>
      </c>
      <c r="M3288" s="1" t="s">
        <v>86</v>
      </c>
      <c r="N3288" s="1" t="s">
        <v>52760</v>
      </c>
      <c r="O3288" s="1"/>
      <c r="P3288" s="1" t="s">
        <v>1028</v>
      </c>
      <c r="Q3288" s="1" t="s">
        <v>52761</v>
      </c>
      <c r="R3288" s="1" t="s">
        <v>52762</v>
      </c>
      <c r="S3288" s="1">
        <v>9448944069</v>
      </c>
      <c r="T3288" s="1" t="s">
        <v>3303</v>
      </c>
      <c r="U3288" s="1" t="s">
        <v>52763</v>
      </c>
      <c r="V3288" s="1">
        <v>8277272945</v>
      </c>
      <c r="W3288" s="1" t="s">
        <v>94</v>
      </c>
      <c r="X3288" s="1" t="s">
        <v>52764</v>
      </c>
      <c r="Y3288" s="1" t="s">
        <v>51727</v>
      </c>
      <c r="Z3288" s="1" t="s">
        <v>1210</v>
      </c>
      <c r="AA3288" s="1" t="s">
        <v>52765</v>
      </c>
      <c r="AB3288" s="1" t="s">
        <v>196</v>
      </c>
      <c r="AC3288" s="1" t="s">
        <v>97</v>
      </c>
      <c r="AD3288" s="1" t="s">
        <v>98</v>
      </c>
      <c r="AE3288" s="1" t="s">
        <v>98</v>
      </c>
      <c r="AF3288" s="1" t="s">
        <v>52766</v>
      </c>
      <c r="AG3288" s="1" t="s">
        <v>312</v>
      </c>
      <c r="AH3288" s="1">
        <v>41760</v>
      </c>
      <c r="AI3288" s="1">
        <v>42152</v>
      </c>
      <c r="AJ3288" s="1">
        <v>87.4</v>
      </c>
      <c r="AK3288" s="1">
        <v>9.2</v>
      </c>
      <c r="AL3288" s="1" t="s">
        <v>52767</v>
      </c>
      <c r="AM3288" s="1" t="s">
        <v>51875</v>
      </c>
      <c r="AN3288" s="1"/>
      <c r="AO3288" s="1">
        <v>42522</v>
      </c>
      <c r="AP3288" s="1">
        <v>42867</v>
      </c>
      <c r="AQ3288" s="1">
        <v>88.5</v>
      </c>
      <c r="AR3288" s="1"/>
      <c r="AS3288" s="1"/>
      <c r="AT3288" s="1"/>
      <c r="AU3288" s="1" t="s">
        <v>98</v>
      </c>
      <c r="AV3288" s="1" t="s">
        <v>98</v>
      </c>
      <c r="AW3288" s="1" t="s">
        <v>98</v>
      </c>
      <c r="AX3288" s="1" t="s">
        <v>98</v>
      </c>
      <c r="AY3288" s="1" t="s">
        <v>52768</v>
      </c>
      <c r="AZ3288" s="1" t="s">
        <v>8100</v>
      </c>
      <c r="BA3288" s="1"/>
      <c r="BB3288" s="1"/>
      <c r="BC3288" s="1">
        <v>42947</v>
      </c>
      <c r="BD3288" s="1">
        <v>44498</v>
      </c>
      <c r="BE3288" s="1">
        <v>72.7</v>
      </c>
      <c r="BF3288" s="1">
        <v>8.02</v>
      </c>
      <c r="BG3288" s="1"/>
      <c r="BH3288" s="1"/>
      <c r="BI3288" s="1"/>
      <c r="BJ3288" s="1"/>
      <c r="BK3288" s="1" t="s">
        <v>98</v>
      </c>
      <c r="BL3288" s="1" t="s">
        <v>98</v>
      </c>
      <c r="BM3288" s="1" t="s">
        <v>98</v>
      </c>
      <c r="BN3288" s="1" t="s">
        <v>98</v>
      </c>
      <c r="BO3288" s="1" t="s">
        <v>28530</v>
      </c>
      <c r="BP3288" s="1"/>
      <c r="BQ3288" s="1"/>
      <c r="BR3288" s="1" t="s">
        <v>52769</v>
      </c>
      <c r="BS3288" s="1">
        <v>8</v>
      </c>
      <c r="BT3288" s="1"/>
      <c r="BU3288" s="1" t="str">
        <f>HYPERLINK("https://nconnect.nicmar.ac.in/storage/profile/2021-2023_AP21071_435798.jpg","Download")</f>
        <v>0</v>
      </c>
      <c r="BV3288" s="3"/>
      <c r="BW3288" s="3"/>
    </row>
    <row r="3289" spans="1:75">
      <c r="A3289" s="1" t="s">
        <v>51340</v>
      </c>
      <c r="B3289" s="1" t="s">
        <v>51341</v>
      </c>
      <c r="C3289" s="1" t="s">
        <v>52770</v>
      </c>
      <c r="D3289" s="1" t="s">
        <v>5752</v>
      </c>
      <c r="E3289" s="1" t="s">
        <v>5753</v>
      </c>
      <c r="F3289" s="1" t="s">
        <v>52771</v>
      </c>
      <c r="G3289" s="1" t="s">
        <v>52772</v>
      </c>
      <c r="H3289" s="1" t="s">
        <v>52773</v>
      </c>
      <c r="I3289" s="1" t="s">
        <v>52774</v>
      </c>
      <c r="J3289" s="1">
        <v>7874673337</v>
      </c>
      <c r="K3289" s="1" t="s">
        <v>84</v>
      </c>
      <c r="L3289" s="1" t="s">
        <v>29218</v>
      </c>
      <c r="M3289" s="1" t="s">
        <v>86</v>
      </c>
      <c r="N3289" s="1" t="s">
        <v>52775</v>
      </c>
      <c r="O3289" s="1"/>
      <c r="P3289" s="1" t="s">
        <v>455</v>
      </c>
      <c r="Q3289" s="1" t="s">
        <v>52776</v>
      </c>
      <c r="R3289" s="1" t="s">
        <v>52777</v>
      </c>
      <c r="S3289" s="1">
        <v>7666521700</v>
      </c>
      <c r="T3289" s="1" t="s">
        <v>539</v>
      </c>
      <c r="U3289" s="1" t="s">
        <v>52778</v>
      </c>
      <c r="V3289" s="1">
        <v>9112493061</v>
      </c>
      <c r="W3289" s="1" t="s">
        <v>94</v>
      </c>
      <c r="X3289" s="1" t="s">
        <v>52779</v>
      </c>
      <c r="Y3289" s="1" t="s">
        <v>196</v>
      </c>
      <c r="Z3289" s="1" t="s">
        <v>97</v>
      </c>
      <c r="AA3289" s="1" t="s">
        <v>52779</v>
      </c>
      <c r="AB3289" s="1" t="s">
        <v>196</v>
      </c>
      <c r="AC3289" s="1" t="s">
        <v>97</v>
      </c>
      <c r="AD3289" s="1" t="s">
        <v>98</v>
      </c>
      <c r="AE3289" s="1" t="s">
        <v>98</v>
      </c>
      <c r="AF3289" s="1" t="s">
        <v>52780</v>
      </c>
      <c r="AG3289" s="1" t="s">
        <v>312</v>
      </c>
      <c r="AH3289" s="1">
        <v>41095</v>
      </c>
      <c r="AI3289" s="1">
        <v>41424</v>
      </c>
      <c r="AJ3289" s="1">
        <v>66.5</v>
      </c>
      <c r="AK3289" s="1">
        <v>7</v>
      </c>
      <c r="AL3289" s="1" t="s">
        <v>52780</v>
      </c>
      <c r="AM3289" s="1" t="s">
        <v>312</v>
      </c>
      <c r="AN3289" s="1"/>
      <c r="AO3289" s="1">
        <v>41795</v>
      </c>
      <c r="AP3289" s="1">
        <v>42149</v>
      </c>
      <c r="AQ3289" s="1">
        <v>68.6</v>
      </c>
      <c r="AR3289" s="1"/>
      <c r="AS3289" s="1"/>
      <c r="AT3289" s="1"/>
      <c r="AU3289" s="1" t="s">
        <v>98</v>
      </c>
      <c r="AV3289" s="1" t="s">
        <v>98</v>
      </c>
      <c r="AW3289" s="1" t="s">
        <v>98</v>
      </c>
      <c r="AX3289" s="1" t="s">
        <v>98</v>
      </c>
      <c r="AY3289" s="1" t="s">
        <v>52781</v>
      </c>
      <c r="AZ3289" s="1" t="s">
        <v>52782</v>
      </c>
      <c r="BA3289" s="1"/>
      <c r="BB3289" s="1"/>
      <c r="BC3289" s="1">
        <v>42200</v>
      </c>
      <c r="BD3289" s="1">
        <v>43599</v>
      </c>
      <c r="BE3289" s="1">
        <v>61.4</v>
      </c>
      <c r="BF3289" s="1">
        <v>6.14</v>
      </c>
      <c r="BG3289" s="1"/>
      <c r="BH3289" s="1"/>
      <c r="BI3289" s="1"/>
      <c r="BJ3289" s="1"/>
      <c r="BK3289" s="1" t="s">
        <v>98</v>
      </c>
      <c r="BL3289" s="1" t="s">
        <v>98</v>
      </c>
      <c r="BM3289" s="1" t="s">
        <v>98</v>
      </c>
      <c r="BN3289" s="1" t="s">
        <v>98</v>
      </c>
      <c r="BO3289" s="1" t="s">
        <v>369</v>
      </c>
      <c r="BP3289" s="1" t="s">
        <v>52783</v>
      </c>
      <c r="BQ3289" s="1" t="s">
        <v>11571</v>
      </c>
      <c r="BR3289" s="1" t="s">
        <v>52784</v>
      </c>
      <c r="BS3289" s="1">
        <v>16</v>
      </c>
      <c r="BT3289" s="1"/>
      <c r="BU3289" s="1" t="str">
        <f>HYPERLINK("https://nconnect.nicmar.ac.in/storage/profile/2021-2023_AP21072_915846.JPG","Download")</f>
        <v>0</v>
      </c>
      <c r="BV3289" s="3"/>
      <c r="BW3289" s="3"/>
    </row>
    <row r="3290" spans="1:75">
      <c r="A3290" s="1" t="s">
        <v>51340</v>
      </c>
      <c r="B3290" s="1" t="s">
        <v>51341</v>
      </c>
      <c r="C3290" s="1" t="s">
        <v>52785</v>
      </c>
      <c r="D3290" s="1" t="s">
        <v>9691</v>
      </c>
      <c r="E3290" s="1" t="s">
        <v>7798</v>
      </c>
      <c r="F3290" s="1" t="s">
        <v>52786</v>
      </c>
      <c r="G3290" s="1" t="s">
        <v>52787</v>
      </c>
      <c r="H3290" s="1" t="s">
        <v>52788</v>
      </c>
      <c r="I3290" s="1" t="s">
        <v>52789</v>
      </c>
      <c r="J3290" s="1">
        <v>8446527261</v>
      </c>
      <c r="K3290" s="1" t="s">
        <v>84</v>
      </c>
      <c r="L3290" s="1" t="s">
        <v>34557</v>
      </c>
      <c r="M3290" s="1" t="s">
        <v>86</v>
      </c>
      <c r="N3290" s="1" t="s">
        <v>52790</v>
      </c>
      <c r="O3290" s="1"/>
      <c r="P3290" s="1" t="s">
        <v>455</v>
      </c>
      <c r="Q3290" s="1" t="s">
        <v>52791</v>
      </c>
      <c r="R3290" s="1" t="s">
        <v>52792</v>
      </c>
      <c r="S3290" s="1">
        <v>9422515885</v>
      </c>
      <c r="T3290" s="1" t="s">
        <v>52793</v>
      </c>
      <c r="U3290" s="1" t="s">
        <v>52794</v>
      </c>
      <c r="V3290" s="1">
        <v>7875067822</v>
      </c>
      <c r="W3290" s="1" t="s">
        <v>161</v>
      </c>
      <c r="X3290" s="1" t="s">
        <v>52795</v>
      </c>
      <c r="Y3290" s="1" t="s">
        <v>52796</v>
      </c>
      <c r="Z3290" s="1" t="s">
        <v>97</v>
      </c>
      <c r="AA3290" s="1" t="s">
        <v>52795</v>
      </c>
      <c r="AB3290" s="1" t="s">
        <v>52796</v>
      </c>
      <c r="AC3290" s="1" t="s">
        <v>97</v>
      </c>
      <c r="AD3290" s="1" t="s">
        <v>98</v>
      </c>
      <c r="AE3290" s="1" t="s">
        <v>98</v>
      </c>
      <c r="AF3290" s="1" t="s">
        <v>52797</v>
      </c>
      <c r="AG3290" s="1" t="s">
        <v>2745</v>
      </c>
      <c r="AH3290" s="1">
        <v>41451</v>
      </c>
      <c r="AI3290" s="1">
        <v>41807</v>
      </c>
      <c r="AJ3290" s="1">
        <v>86.8</v>
      </c>
      <c r="AK3290" s="1"/>
      <c r="AL3290" s="1" t="s">
        <v>52798</v>
      </c>
      <c r="AM3290" s="1" t="s">
        <v>2745</v>
      </c>
      <c r="AN3290" s="1"/>
      <c r="AO3290" s="1">
        <v>42181</v>
      </c>
      <c r="AP3290" s="1">
        <v>42515</v>
      </c>
      <c r="AQ3290" s="1">
        <v>75.08</v>
      </c>
      <c r="AR3290" s="1"/>
      <c r="AS3290" s="1"/>
      <c r="AT3290" s="1"/>
      <c r="AU3290" s="1" t="s">
        <v>98</v>
      </c>
      <c r="AV3290" s="1" t="s">
        <v>98</v>
      </c>
      <c r="AW3290" s="1" t="s">
        <v>98</v>
      </c>
      <c r="AX3290" s="1" t="s">
        <v>98</v>
      </c>
      <c r="AY3290" s="1" t="s">
        <v>366</v>
      </c>
      <c r="AZ3290" s="1" t="s">
        <v>5915</v>
      </c>
      <c r="BA3290" s="1"/>
      <c r="BB3290" s="1"/>
      <c r="BC3290" s="1">
        <v>42586</v>
      </c>
      <c r="BD3290" s="1">
        <v>44146</v>
      </c>
      <c r="BE3290" s="1">
        <v>63.8</v>
      </c>
      <c r="BF3290" s="1">
        <v>7.25</v>
      </c>
      <c r="BG3290" s="1"/>
      <c r="BH3290" s="1"/>
      <c r="BI3290" s="1"/>
      <c r="BJ3290" s="1"/>
      <c r="BK3290" s="1" t="s">
        <v>98</v>
      </c>
      <c r="BL3290" s="1" t="s">
        <v>98</v>
      </c>
      <c r="BM3290" s="1" t="s">
        <v>98</v>
      </c>
      <c r="BN3290" s="1" t="s">
        <v>98</v>
      </c>
      <c r="BO3290" s="1" t="s">
        <v>52799</v>
      </c>
      <c r="BP3290" s="1"/>
      <c r="BQ3290" s="1"/>
      <c r="BR3290" s="1" t="s">
        <v>52800</v>
      </c>
      <c r="BS3290" s="1">
        <v>7</v>
      </c>
      <c r="BT3290" s="1"/>
      <c r="BU3290" s="1" t="str">
        <f>HYPERLINK("https://nconnect.nicmar.ac.in/storage/profile/2021-2023_AP21073_945273.jpg","Download")</f>
        <v>0</v>
      </c>
      <c r="BV3290" s="3"/>
      <c r="BW3290" s="3"/>
    </row>
    <row r="3291" spans="1:75">
      <c r="A3291" s="1" t="s">
        <v>51340</v>
      </c>
      <c r="B3291" s="1" t="s">
        <v>51341</v>
      </c>
      <c r="C3291" s="1" t="s">
        <v>52801</v>
      </c>
      <c r="D3291" s="1" t="s">
        <v>52802</v>
      </c>
      <c r="E3291" s="1" t="s">
        <v>52803</v>
      </c>
      <c r="F3291" s="1" t="s">
        <v>33686</v>
      </c>
      <c r="G3291" s="1" t="s">
        <v>52804</v>
      </c>
      <c r="H3291" s="1" t="s">
        <v>52805</v>
      </c>
      <c r="I3291" s="1" t="s">
        <v>52806</v>
      </c>
      <c r="J3291" s="1">
        <v>8758566066</v>
      </c>
      <c r="K3291" s="1" t="s">
        <v>84</v>
      </c>
      <c r="L3291" s="1" t="s">
        <v>33519</v>
      </c>
      <c r="M3291" s="1" t="s">
        <v>86</v>
      </c>
      <c r="N3291" s="1" t="s">
        <v>6641</v>
      </c>
      <c r="O3291" s="1"/>
      <c r="P3291" s="1" t="s">
        <v>455</v>
      </c>
      <c r="Q3291" s="1" t="s">
        <v>52807</v>
      </c>
      <c r="R3291" s="1" t="s">
        <v>52808</v>
      </c>
      <c r="S3291" s="1">
        <v>9825566066</v>
      </c>
      <c r="T3291" s="1" t="s">
        <v>839</v>
      </c>
      <c r="U3291" s="1" t="s">
        <v>52809</v>
      </c>
      <c r="V3291" s="1">
        <v>8758466066</v>
      </c>
      <c r="W3291" s="1" t="s">
        <v>94</v>
      </c>
      <c r="X3291" s="1" t="s">
        <v>52810</v>
      </c>
      <c r="Y3291" s="1" t="s">
        <v>14319</v>
      </c>
      <c r="Z3291" s="1" t="s">
        <v>676</v>
      </c>
      <c r="AA3291" s="1" t="s">
        <v>52810</v>
      </c>
      <c r="AB3291" s="1" t="s">
        <v>14319</v>
      </c>
      <c r="AC3291" s="1" t="s">
        <v>676</v>
      </c>
      <c r="AD3291" s="1" t="s">
        <v>98</v>
      </c>
      <c r="AE3291" s="1" t="s">
        <v>98</v>
      </c>
      <c r="AF3291" s="1" t="s">
        <v>52811</v>
      </c>
      <c r="AG3291" s="1" t="s">
        <v>8746</v>
      </c>
      <c r="AH3291" s="1">
        <v>41435</v>
      </c>
      <c r="AI3291" s="1">
        <v>41729</v>
      </c>
      <c r="AJ3291" s="1">
        <v>54.67</v>
      </c>
      <c r="AK3291" s="1">
        <v>0</v>
      </c>
      <c r="AL3291" s="1" t="s">
        <v>98</v>
      </c>
      <c r="AM3291" s="1" t="s">
        <v>98</v>
      </c>
      <c r="AN3291" s="1"/>
      <c r="AO3291" s="1" t="s">
        <v>98</v>
      </c>
      <c r="AP3291" s="1" t="s">
        <v>98</v>
      </c>
      <c r="AQ3291" s="1"/>
      <c r="AR3291" s="1"/>
      <c r="AS3291" s="1" t="s">
        <v>439</v>
      </c>
      <c r="AT3291" s="1" t="s">
        <v>52812</v>
      </c>
      <c r="AU3291" s="1">
        <v>41792</v>
      </c>
      <c r="AV3291" s="1">
        <v>42903</v>
      </c>
      <c r="AW3291" s="1">
        <v>80.2</v>
      </c>
      <c r="AX3291" s="1">
        <v>8.52</v>
      </c>
      <c r="AY3291" s="1" t="s">
        <v>5241</v>
      </c>
      <c r="AZ3291" s="1" t="s">
        <v>52813</v>
      </c>
      <c r="BA3291" s="1"/>
      <c r="BB3291" s="1"/>
      <c r="BC3291" s="1">
        <v>42948</v>
      </c>
      <c r="BD3291" s="1">
        <v>44062</v>
      </c>
      <c r="BE3291" s="1">
        <v>85.4</v>
      </c>
      <c r="BF3291" s="1">
        <v>9.04</v>
      </c>
      <c r="BG3291" s="1"/>
      <c r="BH3291" s="1"/>
      <c r="BI3291" s="1"/>
      <c r="BJ3291" s="1"/>
      <c r="BK3291" s="1" t="s">
        <v>98</v>
      </c>
      <c r="BL3291" s="1" t="s">
        <v>98</v>
      </c>
      <c r="BM3291" s="1" t="s">
        <v>98</v>
      </c>
      <c r="BN3291" s="1" t="s">
        <v>98</v>
      </c>
      <c r="BO3291" s="1" t="s">
        <v>369</v>
      </c>
      <c r="BP3291" s="1" t="s">
        <v>52814</v>
      </c>
      <c r="BQ3291" s="1" t="s">
        <v>4149</v>
      </c>
      <c r="BR3291" s="1" t="s">
        <v>52815</v>
      </c>
      <c r="BS3291" s="1">
        <v>8</v>
      </c>
      <c r="BT3291" s="1"/>
      <c r="BU3291" s="1" t="str">
        <f>HYPERLINK("https://nconnect.nicmar.ac.in/storage/profile/ProfilePhoto_AP21074_472851.jpg","Download")</f>
        <v>0</v>
      </c>
      <c r="BV3291" s="3"/>
      <c r="BW3291" s="3"/>
    </row>
    <row r="3292" spans="1:75">
      <c r="A3292" s="1" t="s">
        <v>51340</v>
      </c>
      <c r="B3292" s="1" t="s">
        <v>51341</v>
      </c>
      <c r="C3292" s="1" t="s">
        <v>52816</v>
      </c>
      <c r="D3292" s="1" t="s">
        <v>1769</v>
      </c>
      <c r="E3292" s="1" t="s">
        <v>397</v>
      </c>
      <c r="F3292" s="1" t="s">
        <v>52817</v>
      </c>
      <c r="G3292" s="1" t="s">
        <v>52818</v>
      </c>
      <c r="H3292" s="1" t="s">
        <v>52819</v>
      </c>
      <c r="I3292" s="1" t="s">
        <v>52820</v>
      </c>
      <c r="J3292" s="1">
        <v>9969850676</v>
      </c>
      <c r="K3292" s="1" t="s">
        <v>84</v>
      </c>
      <c r="L3292" s="1" t="s">
        <v>52821</v>
      </c>
      <c r="M3292" s="1" t="s">
        <v>86</v>
      </c>
      <c r="N3292" s="1" t="s">
        <v>990</v>
      </c>
      <c r="O3292" s="1"/>
      <c r="P3292" s="1" t="s">
        <v>1028</v>
      </c>
      <c r="Q3292" s="1" t="s">
        <v>52822</v>
      </c>
      <c r="R3292" s="1" t="s">
        <v>52823</v>
      </c>
      <c r="S3292" s="1">
        <v>9869566455</v>
      </c>
      <c r="T3292" s="1" t="s">
        <v>52824</v>
      </c>
      <c r="U3292" s="1" t="s">
        <v>52825</v>
      </c>
      <c r="V3292" s="1">
        <v>9969216607</v>
      </c>
      <c r="W3292" s="1" t="s">
        <v>94</v>
      </c>
      <c r="X3292" s="1" t="s">
        <v>52826</v>
      </c>
      <c r="Y3292" s="1" t="s">
        <v>14079</v>
      </c>
      <c r="Z3292" s="1" t="s">
        <v>97</v>
      </c>
      <c r="AA3292" s="1" t="s">
        <v>52826</v>
      </c>
      <c r="AB3292" s="1" t="s">
        <v>14079</v>
      </c>
      <c r="AC3292" s="1" t="s">
        <v>97</v>
      </c>
      <c r="AD3292" s="1" t="s">
        <v>98</v>
      </c>
      <c r="AE3292" s="1" t="s">
        <v>98</v>
      </c>
      <c r="AF3292" s="1" t="s">
        <v>52827</v>
      </c>
      <c r="AG3292" s="1" t="s">
        <v>51712</v>
      </c>
      <c r="AH3292" s="1">
        <v>40700</v>
      </c>
      <c r="AI3292" s="1">
        <v>40970</v>
      </c>
      <c r="AJ3292" s="1">
        <v>73.64</v>
      </c>
      <c r="AK3292" s="1"/>
      <c r="AL3292" s="1" t="s">
        <v>52828</v>
      </c>
      <c r="AM3292" s="1" t="s">
        <v>51712</v>
      </c>
      <c r="AN3292" s="1"/>
      <c r="AO3292" s="1">
        <v>41427</v>
      </c>
      <c r="AP3292" s="1">
        <v>41672</v>
      </c>
      <c r="AQ3292" s="1">
        <v>59.23</v>
      </c>
      <c r="AR3292" s="1"/>
      <c r="AS3292" s="1"/>
      <c r="AT3292" s="1"/>
      <c r="AU3292" s="1" t="s">
        <v>98</v>
      </c>
      <c r="AV3292" s="1" t="s">
        <v>98</v>
      </c>
      <c r="AW3292" s="1" t="s">
        <v>98</v>
      </c>
      <c r="AX3292" s="1" t="s">
        <v>98</v>
      </c>
      <c r="AY3292" s="1" t="s">
        <v>258</v>
      </c>
      <c r="AZ3292" s="1" t="s">
        <v>52829</v>
      </c>
      <c r="BA3292" s="1"/>
      <c r="BB3292" s="1"/>
      <c r="BC3292" s="1">
        <v>41792</v>
      </c>
      <c r="BD3292" s="1">
        <v>43222</v>
      </c>
      <c r="BE3292" s="1">
        <v>56.3</v>
      </c>
      <c r="BF3292" s="1">
        <v>6.24</v>
      </c>
      <c r="BG3292" s="1"/>
      <c r="BH3292" s="1"/>
      <c r="BI3292" s="1"/>
      <c r="BJ3292" s="1"/>
      <c r="BK3292" s="1" t="s">
        <v>98</v>
      </c>
      <c r="BL3292" s="1" t="s">
        <v>98</v>
      </c>
      <c r="BM3292" s="1" t="s">
        <v>98</v>
      </c>
      <c r="BN3292" s="1" t="s">
        <v>98</v>
      </c>
      <c r="BO3292" s="1" t="s">
        <v>30955</v>
      </c>
      <c r="BP3292" s="1" t="s">
        <v>52830</v>
      </c>
      <c r="BQ3292" s="1" t="s">
        <v>52831</v>
      </c>
      <c r="BR3292" s="1" t="s">
        <v>52832</v>
      </c>
      <c r="BS3292" s="1">
        <v>13</v>
      </c>
      <c r="BT3292" s="1"/>
      <c r="BU3292" s="1" t="str">
        <f>HYPERLINK("https://nconnect.nicmar.ac.in/storage/profile/2021-2023_AP21075_978452.jpg","Download")</f>
        <v>0</v>
      </c>
      <c r="BV3292" s="3"/>
      <c r="BW3292" s="3"/>
    </row>
    <row r="3293" spans="1:75">
      <c r="A3293" s="1" t="s">
        <v>51340</v>
      </c>
      <c r="B3293" s="1" t="s">
        <v>51341</v>
      </c>
      <c r="C3293" s="1" t="s">
        <v>52833</v>
      </c>
      <c r="D3293" s="1" t="s">
        <v>52834</v>
      </c>
      <c r="E3293" s="1" t="s">
        <v>52835</v>
      </c>
      <c r="F3293" s="1" t="s">
        <v>52836</v>
      </c>
      <c r="G3293" s="1" t="s">
        <v>52837</v>
      </c>
      <c r="H3293" s="1" t="s">
        <v>52838</v>
      </c>
      <c r="I3293" s="1" t="s">
        <v>52839</v>
      </c>
      <c r="J3293" s="1">
        <v>9726501007</v>
      </c>
      <c r="K3293" s="1" t="s">
        <v>84</v>
      </c>
      <c r="L3293" s="1" t="s">
        <v>52840</v>
      </c>
      <c r="M3293" s="1" t="s">
        <v>86</v>
      </c>
      <c r="N3293" s="1" t="s">
        <v>13073</v>
      </c>
      <c r="O3293" s="1"/>
      <c r="P3293" s="1" t="s">
        <v>455</v>
      </c>
      <c r="Q3293" s="1" t="s">
        <v>52841</v>
      </c>
      <c r="R3293" s="1" t="s">
        <v>52842</v>
      </c>
      <c r="S3293" s="1">
        <v>8980020046</v>
      </c>
      <c r="T3293" s="1" t="s">
        <v>3788</v>
      </c>
      <c r="U3293" s="1" t="s">
        <v>52843</v>
      </c>
      <c r="V3293" s="1">
        <v>7621801720</v>
      </c>
      <c r="W3293" s="1" t="s">
        <v>278</v>
      </c>
      <c r="X3293" s="1" t="s">
        <v>52844</v>
      </c>
      <c r="Y3293" s="1" t="s">
        <v>52845</v>
      </c>
      <c r="Z3293" s="1" t="s">
        <v>676</v>
      </c>
      <c r="AA3293" s="1" t="s">
        <v>52846</v>
      </c>
      <c r="AB3293" s="1" t="s">
        <v>14319</v>
      </c>
      <c r="AC3293" s="1" t="s">
        <v>676</v>
      </c>
      <c r="AD3293" s="1" t="s">
        <v>98</v>
      </c>
      <c r="AE3293" s="1" t="s">
        <v>98</v>
      </c>
      <c r="AF3293" s="1" t="s">
        <v>52847</v>
      </c>
      <c r="AG3293" s="1" t="s">
        <v>52200</v>
      </c>
      <c r="AH3293" s="1">
        <v>41409</v>
      </c>
      <c r="AI3293" s="1">
        <v>41729</v>
      </c>
      <c r="AJ3293" s="1">
        <v>73.5</v>
      </c>
      <c r="AK3293" s="1"/>
      <c r="AL3293" s="1" t="s">
        <v>98</v>
      </c>
      <c r="AM3293" s="1" t="s">
        <v>98</v>
      </c>
      <c r="AN3293" s="1"/>
      <c r="AO3293" s="1" t="s">
        <v>98</v>
      </c>
      <c r="AP3293" s="1" t="s">
        <v>98</v>
      </c>
      <c r="AQ3293" s="1"/>
      <c r="AR3293" s="1"/>
      <c r="AS3293" s="1" t="s">
        <v>439</v>
      </c>
      <c r="AT3293" s="1" t="s">
        <v>52848</v>
      </c>
      <c r="AU3293" s="1">
        <v>41816</v>
      </c>
      <c r="AV3293" s="1">
        <v>43236</v>
      </c>
      <c r="AW3293" s="1">
        <v>61.7</v>
      </c>
      <c r="AX3293" s="1">
        <v>6.67</v>
      </c>
      <c r="AY3293" s="1" t="s">
        <v>35799</v>
      </c>
      <c r="AZ3293" s="1" t="s">
        <v>7827</v>
      </c>
      <c r="BA3293" s="1"/>
      <c r="BB3293" s="1"/>
      <c r="BC3293" s="1">
        <v>43267</v>
      </c>
      <c r="BD3293" s="1">
        <v>44332</v>
      </c>
      <c r="BE3293" s="1">
        <v>78.6</v>
      </c>
      <c r="BF3293" s="1">
        <v>8.61</v>
      </c>
      <c r="BG3293" s="1"/>
      <c r="BH3293" s="1"/>
      <c r="BI3293" s="1"/>
      <c r="BJ3293" s="1"/>
      <c r="BK3293" s="1" t="s">
        <v>98</v>
      </c>
      <c r="BL3293" s="1" t="s">
        <v>98</v>
      </c>
      <c r="BM3293" s="1" t="s">
        <v>98</v>
      </c>
      <c r="BN3293" s="1" t="s">
        <v>98</v>
      </c>
      <c r="BO3293" s="1" t="s">
        <v>369</v>
      </c>
      <c r="BP3293" s="1"/>
      <c r="BQ3293" s="1"/>
      <c r="BR3293" s="1" t="s">
        <v>52849</v>
      </c>
      <c r="BS3293" s="1">
        <v>25</v>
      </c>
      <c r="BT3293" s="1"/>
      <c r="BU3293" s="1" t="str">
        <f>HYPERLINK("https://nconnect.nicmar.ac.in/storage/profile/2021-2023_AP21076_317425.jpg","Download")</f>
        <v>0</v>
      </c>
      <c r="BV3293" s="3"/>
      <c r="BW3293" s="3"/>
    </row>
    <row r="3294" spans="1:75">
      <c r="A3294" s="1" t="s">
        <v>51340</v>
      </c>
      <c r="B3294" s="1" t="s">
        <v>51341</v>
      </c>
      <c r="C3294" s="1" t="s">
        <v>52850</v>
      </c>
      <c r="D3294" s="1" t="s">
        <v>348</v>
      </c>
      <c r="E3294" s="1" t="s">
        <v>5575</v>
      </c>
      <c r="F3294" s="1" t="s">
        <v>8306</v>
      </c>
      <c r="G3294" s="1" t="s">
        <v>52851</v>
      </c>
      <c r="H3294" s="1" t="s">
        <v>52852</v>
      </c>
      <c r="I3294" s="1" t="s">
        <v>52853</v>
      </c>
      <c r="J3294" s="1">
        <v>9930772056</v>
      </c>
      <c r="K3294" s="1" t="s">
        <v>84</v>
      </c>
      <c r="L3294" s="1" t="s">
        <v>52854</v>
      </c>
      <c r="M3294" s="1" t="s">
        <v>86</v>
      </c>
      <c r="N3294" s="1" t="s">
        <v>2433</v>
      </c>
      <c r="O3294" s="1"/>
      <c r="P3294" s="1" t="s">
        <v>481</v>
      </c>
      <c r="Q3294" s="1" t="s">
        <v>52855</v>
      </c>
      <c r="R3294" s="1" t="s">
        <v>52856</v>
      </c>
      <c r="S3294" s="1">
        <v>9920689705</v>
      </c>
      <c r="T3294" s="1" t="s">
        <v>1620</v>
      </c>
      <c r="U3294" s="1" t="s">
        <v>52857</v>
      </c>
      <c r="V3294" s="1">
        <v>8652101512</v>
      </c>
      <c r="W3294" s="1" t="s">
        <v>541</v>
      </c>
      <c r="X3294" s="1" t="s">
        <v>52858</v>
      </c>
      <c r="Y3294" s="1" t="s">
        <v>14079</v>
      </c>
      <c r="Z3294" s="1" t="s">
        <v>97</v>
      </c>
      <c r="AA3294" s="1" t="s">
        <v>52858</v>
      </c>
      <c r="AB3294" s="1" t="s">
        <v>14079</v>
      </c>
      <c r="AC3294" s="1" t="s">
        <v>97</v>
      </c>
      <c r="AD3294" s="1" t="s">
        <v>98</v>
      </c>
      <c r="AE3294" s="1" t="s">
        <v>98</v>
      </c>
      <c r="AF3294" s="1" t="s">
        <v>52859</v>
      </c>
      <c r="AG3294" s="1" t="s">
        <v>1968</v>
      </c>
      <c r="AH3294" s="1" t="s">
        <v>3285</v>
      </c>
      <c r="AI3294" s="1" t="s">
        <v>133</v>
      </c>
      <c r="AJ3294" s="1">
        <v>80.91</v>
      </c>
      <c r="AK3294" s="1">
        <v>8.09</v>
      </c>
      <c r="AL3294" s="1" t="s">
        <v>52860</v>
      </c>
      <c r="AM3294" s="1" t="s">
        <v>1968</v>
      </c>
      <c r="AN3294" s="1"/>
      <c r="AO3294" s="1" t="s">
        <v>134</v>
      </c>
      <c r="AP3294" s="1" t="s">
        <v>1262</v>
      </c>
      <c r="AQ3294" s="1">
        <v>73.38</v>
      </c>
      <c r="AR3294" s="1">
        <v>7.33</v>
      </c>
      <c r="AS3294" s="1"/>
      <c r="AT3294" s="1"/>
      <c r="AU3294" s="1" t="s">
        <v>98</v>
      </c>
      <c r="AV3294" s="1" t="s">
        <v>98</v>
      </c>
      <c r="AW3294" s="1"/>
      <c r="AX3294" s="1"/>
      <c r="AY3294" s="1" t="s">
        <v>366</v>
      </c>
      <c r="AZ3294" s="1" t="s">
        <v>52861</v>
      </c>
      <c r="BA3294" s="1"/>
      <c r="BB3294" s="1"/>
      <c r="BC3294" s="1" t="s">
        <v>257</v>
      </c>
      <c r="BD3294" s="1" t="s">
        <v>174</v>
      </c>
      <c r="BE3294" s="1">
        <v>62.35</v>
      </c>
      <c r="BF3294" s="1">
        <v>6.23</v>
      </c>
      <c r="BG3294" s="1"/>
      <c r="BH3294" s="1"/>
      <c r="BI3294" s="1"/>
      <c r="BJ3294" s="1"/>
      <c r="BK3294" s="1" t="s">
        <v>98</v>
      </c>
      <c r="BL3294" s="1" t="s">
        <v>98</v>
      </c>
      <c r="BM3294" s="1" t="s">
        <v>98</v>
      </c>
      <c r="BN3294" s="1" t="s">
        <v>98</v>
      </c>
      <c r="BO3294" s="1" t="s">
        <v>1114</v>
      </c>
      <c r="BP3294" s="1" t="s">
        <v>52862</v>
      </c>
      <c r="BQ3294" s="1" t="s">
        <v>2213</v>
      </c>
      <c r="BR3294" s="1" t="s">
        <v>52863</v>
      </c>
      <c r="BS3294" s="1">
        <v>62</v>
      </c>
      <c r="BT3294" s="1"/>
      <c r="BU3294" s="1" t="str">
        <f>HYPERLINK("https://nconnect.nicmar.ac.in/storage/profile/2021-2023_AP21077_481265.jpg","Download")</f>
        <v>0</v>
      </c>
      <c r="BV3294" s="3"/>
      <c r="BW3294" s="3"/>
    </row>
    <row r="3295" spans="1:75">
      <c r="A3295" s="1" t="s">
        <v>51340</v>
      </c>
      <c r="B3295" s="1" t="s">
        <v>51341</v>
      </c>
      <c r="C3295" s="1" t="s">
        <v>52864</v>
      </c>
      <c r="D3295" s="1" t="s">
        <v>52865</v>
      </c>
      <c r="E3295" s="1"/>
      <c r="F3295" s="1" t="s">
        <v>587</v>
      </c>
      <c r="G3295" s="1" t="s">
        <v>52866</v>
      </c>
      <c r="H3295" s="1" t="s">
        <v>52867</v>
      </c>
      <c r="I3295" s="1" t="s">
        <v>52868</v>
      </c>
      <c r="J3295" s="1">
        <v>9495723214</v>
      </c>
      <c r="K3295" s="1" t="s">
        <v>84</v>
      </c>
      <c r="L3295" s="1" t="s">
        <v>52869</v>
      </c>
      <c r="M3295" s="1" t="s">
        <v>86</v>
      </c>
      <c r="N3295" s="1" t="s">
        <v>3261</v>
      </c>
      <c r="O3295" s="1"/>
      <c r="P3295" s="1" t="s">
        <v>507</v>
      </c>
      <c r="Q3295" s="1" t="s">
        <v>52870</v>
      </c>
      <c r="R3295" s="1" t="s">
        <v>52871</v>
      </c>
      <c r="S3295" s="1">
        <v>9447922214</v>
      </c>
      <c r="T3295" s="1" t="s">
        <v>839</v>
      </c>
      <c r="U3295" s="1" t="s">
        <v>52872</v>
      </c>
      <c r="V3295" s="1">
        <v>9495824871</v>
      </c>
      <c r="W3295" s="1" t="s">
        <v>94</v>
      </c>
      <c r="X3295" s="1" t="s">
        <v>52873</v>
      </c>
      <c r="Y3295" s="1" t="s">
        <v>4916</v>
      </c>
      <c r="Z3295" s="1" t="s">
        <v>130</v>
      </c>
      <c r="AA3295" s="1" t="s">
        <v>52873</v>
      </c>
      <c r="AB3295" s="1" t="s">
        <v>4916</v>
      </c>
      <c r="AC3295" s="1" t="s">
        <v>130</v>
      </c>
      <c r="AD3295" s="1" t="s">
        <v>98</v>
      </c>
      <c r="AE3295" s="1" t="s">
        <v>98</v>
      </c>
      <c r="AF3295" s="1" t="s">
        <v>34633</v>
      </c>
      <c r="AG3295" s="1" t="s">
        <v>312</v>
      </c>
      <c r="AH3295" s="1">
        <v>41384</v>
      </c>
      <c r="AI3295" s="1">
        <v>41778</v>
      </c>
      <c r="AJ3295" s="1">
        <v>83.6</v>
      </c>
      <c r="AK3295" s="1">
        <v>8.8</v>
      </c>
      <c r="AL3295" s="1" t="s">
        <v>34633</v>
      </c>
      <c r="AM3295" s="1" t="s">
        <v>312</v>
      </c>
      <c r="AN3295" s="1"/>
      <c r="AO3295" s="1">
        <v>42115</v>
      </c>
      <c r="AP3295" s="1">
        <v>42511</v>
      </c>
      <c r="AQ3295" s="1">
        <v>87</v>
      </c>
      <c r="AR3295" s="1"/>
      <c r="AS3295" s="1"/>
      <c r="AT3295" s="1"/>
      <c r="AU3295" s="1" t="s">
        <v>98</v>
      </c>
      <c r="AV3295" s="1" t="s">
        <v>98</v>
      </c>
      <c r="AW3295" s="1" t="s">
        <v>98</v>
      </c>
      <c r="AX3295" s="1" t="s">
        <v>98</v>
      </c>
      <c r="AY3295" s="1" t="s">
        <v>137</v>
      </c>
      <c r="AZ3295" s="1" t="s">
        <v>52874</v>
      </c>
      <c r="BA3295" s="1"/>
      <c r="BB3295" s="1"/>
      <c r="BC3295" s="1">
        <v>42559</v>
      </c>
      <c r="BD3295" s="1">
        <v>44093</v>
      </c>
      <c r="BE3295" s="1">
        <v>70.05</v>
      </c>
      <c r="BF3295" s="1">
        <v>7.38</v>
      </c>
      <c r="BG3295" s="1"/>
      <c r="BH3295" s="1"/>
      <c r="BI3295" s="1"/>
      <c r="BJ3295" s="1"/>
      <c r="BK3295" s="1" t="s">
        <v>98</v>
      </c>
      <c r="BL3295" s="1" t="s">
        <v>98</v>
      </c>
      <c r="BM3295" s="1" t="s">
        <v>98</v>
      </c>
      <c r="BN3295" s="1" t="s">
        <v>98</v>
      </c>
      <c r="BO3295" s="1" t="s">
        <v>52875</v>
      </c>
      <c r="BP3295" s="1"/>
      <c r="BQ3295" s="1"/>
      <c r="BR3295" s="1" t="s">
        <v>52876</v>
      </c>
      <c r="BS3295" s="1">
        <v>11</v>
      </c>
      <c r="BT3295" s="1"/>
      <c r="BU3295" s="1" t="str">
        <f>HYPERLINK("https://nconnect.nicmar.ac.in/storage/profile/2021-2023_AP21078_286759.jpg","Download")</f>
        <v>0</v>
      </c>
      <c r="BV3295" s="3"/>
      <c r="BW3295" s="3"/>
    </row>
    <row r="3296" spans="1:75">
      <c r="A3296" s="1" t="s">
        <v>51340</v>
      </c>
      <c r="B3296" s="1" t="s">
        <v>51341</v>
      </c>
      <c r="C3296" s="1" t="s">
        <v>52877</v>
      </c>
      <c r="D3296" s="1" t="s">
        <v>3666</v>
      </c>
      <c r="E3296" s="1"/>
      <c r="F3296" s="1" t="s">
        <v>28313</v>
      </c>
      <c r="G3296" s="1" t="s">
        <v>52878</v>
      </c>
      <c r="H3296" s="1" t="s">
        <v>52879</v>
      </c>
      <c r="I3296" s="1" t="s">
        <v>52880</v>
      </c>
      <c r="J3296" s="1">
        <v>9452314300</v>
      </c>
      <c r="K3296" s="1" t="s">
        <v>84</v>
      </c>
      <c r="L3296" s="1" t="s">
        <v>52881</v>
      </c>
      <c r="M3296" s="1" t="s">
        <v>86</v>
      </c>
      <c r="N3296" s="1" t="s">
        <v>52882</v>
      </c>
      <c r="O3296" s="1"/>
      <c r="P3296" s="1" t="s">
        <v>455</v>
      </c>
      <c r="Q3296" s="1" t="s">
        <v>52883</v>
      </c>
      <c r="R3296" s="1" t="s">
        <v>52884</v>
      </c>
      <c r="S3296" s="1">
        <v>9450853333</v>
      </c>
      <c r="T3296" s="1" t="s">
        <v>52885</v>
      </c>
      <c r="U3296" s="1" t="s">
        <v>52886</v>
      </c>
      <c r="V3296" s="1">
        <v>9451102121</v>
      </c>
      <c r="W3296" s="1" t="s">
        <v>539</v>
      </c>
      <c r="X3296" s="1" t="s">
        <v>52887</v>
      </c>
      <c r="Y3296" s="1" t="s">
        <v>30185</v>
      </c>
      <c r="Z3296" s="1" t="s">
        <v>544</v>
      </c>
      <c r="AA3296" s="1" t="s">
        <v>52888</v>
      </c>
      <c r="AB3296" s="1" t="s">
        <v>30185</v>
      </c>
      <c r="AC3296" s="1" t="s">
        <v>544</v>
      </c>
      <c r="AD3296" s="1" t="s">
        <v>98</v>
      </c>
      <c r="AE3296" s="1" t="s">
        <v>98</v>
      </c>
      <c r="AF3296" s="1" t="s">
        <v>52889</v>
      </c>
      <c r="AG3296" s="1" t="s">
        <v>312</v>
      </c>
      <c r="AH3296" s="1">
        <v>41110</v>
      </c>
      <c r="AI3296" s="1">
        <v>41424</v>
      </c>
      <c r="AJ3296" s="1">
        <v>87.6</v>
      </c>
      <c r="AK3296" s="1">
        <v>9.2</v>
      </c>
      <c r="AL3296" s="1" t="s">
        <v>52890</v>
      </c>
      <c r="AM3296" s="1" t="s">
        <v>312</v>
      </c>
      <c r="AN3296" s="1"/>
      <c r="AO3296" s="1">
        <v>41835</v>
      </c>
      <c r="AP3296" s="1">
        <v>42149</v>
      </c>
      <c r="AQ3296" s="1">
        <v>78.6</v>
      </c>
      <c r="AR3296" s="1"/>
      <c r="AS3296" s="1"/>
      <c r="AT3296" s="1"/>
      <c r="AU3296" s="1" t="s">
        <v>98</v>
      </c>
      <c r="AV3296" s="1" t="s">
        <v>98</v>
      </c>
      <c r="AW3296" s="1" t="s">
        <v>98</v>
      </c>
      <c r="AX3296" s="1" t="s">
        <v>98</v>
      </c>
      <c r="AY3296" s="1" t="s">
        <v>32822</v>
      </c>
      <c r="AZ3296" s="1" t="s">
        <v>32822</v>
      </c>
      <c r="BA3296" s="1"/>
      <c r="BB3296" s="1"/>
      <c r="BC3296" s="1">
        <v>42563</v>
      </c>
      <c r="BD3296" s="1">
        <v>44012</v>
      </c>
      <c r="BE3296" s="1">
        <v>73.6</v>
      </c>
      <c r="BF3296" s="1">
        <v>7.36</v>
      </c>
      <c r="BG3296" s="1"/>
      <c r="BH3296" s="1"/>
      <c r="BI3296" s="1"/>
      <c r="BJ3296" s="1"/>
      <c r="BK3296" s="1" t="s">
        <v>98</v>
      </c>
      <c r="BL3296" s="1" t="s">
        <v>98</v>
      </c>
      <c r="BM3296" s="1" t="s">
        <v>98</v>
      </c>
      <c r="BN3296" s="1" t="s">
        <v>98</v>
      </c>
      <c r="BO3296" s="1" t="s">
        <v>369</v>
      </c>
      <c r="BP3296" s="1"/>
      <c r="BQ3296" s="1"/>
      <c r="BR3296" s="1" t="s">
        <v>52891</v>
      </c>
      <c r="BS3296" s="1">
        <v>21</v>
      </c>
      <c r="BT3296" s="1"/>
      <c r="BU3296" s="1" t="str">
        <f>HYPERLINK("https://nconnect.nicmar.ac.in/storage/profile/2021-2023_AP21079_694182.jpg","Download")</f>
        <v>0</v>
      </c>
      <c r="BV3296" s="3"/>
      <c r="BW3296" s="3"/>
    </row>
    <row r="3297" spans="1:75">
      <c r="A3297" s="1" t="s">
        <v>51340</v>
      </c>
      <c r="B3297" s="1" t="s">
        <v>51341</v>
      </c>
      <c r="C3297" s="1" t="s">
        <v>52892</v>
      </c>
      <c r="D3297" s="1" t="s">
        <v>29922</v>
      </c>
      <c r="E3297" s="1"/>
      <c r="F3297" s="1" t="s">
        <v>52893</v>
      </c>
      <c r="G3297" s="1" t="s">
        <v>52894</v>
      </c>
      <c r="H3297" s="1" t="s">
        <v>52895</v>
      </c>
      <c r="I3297" s="1" t="s">
        <v>52896</v>
      </c>
      <c r="J3297" s="1">
        <v>9443545588</v>
      </c>
      <c r="K3297" s="1" t="s">
        <v>84</v>
      </c>
      <c r="L3297" s="1" t="s">
        <v>52897</v>
      </c>
      <c r="M3297" s="1" t="s">
        <v>86</v>
      </c>
      <c r="N3297" s="1" t="s">
        <v>41910</v>
      </c>
      <c r="O3297" s="1"/>
      <c r="P3297" s="1" t="s">
        <v>455</v>
      </c>
      <c r="Q3297" s="1" t="s">
        <v>52898</v>
      </c>
      <c r="R3297" s="1" t="s">
        <v>52899</v>
      </c>
      <c r="S3297" s="1">
        <v>9443545588</v>
      </c>
      <c r="T3297" s="1" t="s">
        <v>539</v>
      </c>
      <c r="U3297" s="1" t="s">
        <v>52900</v>
      </c>
      <c r="V3297" s="1">
        <v>9443824061</v>
      </c>
      <c r="W3297" s="1" t="s">
        <v>539</v>
      </c>
      <c r="X3297" s="1" t="s">
        <v>52901</v>
      </c>
      <c r="Y3297" s="1" t="s">
        <v>822</v>
      </c>
      <c r="Z3297" s="1" t="s">
        <v>570</v>
      </c>
      <c r="AA3297" s="1" t="s">
        <v>52901</v>
      </c>
      <c r="AB3297" s="1" t="s">
        <v>822</v>
      </c>
      <c r="AC3297" s="1" t="s">
        <v>570</v>
      </c>
      <c r="AD3297" s="1" t="s">
        <v>98</v>
      </c>
      <c r="AE3297" s="1" t="s">
        <v>98</v>
      </c>
      <c r="AF3297" s="1" t="s">
        <v>823</v>
      </c>
      <c r="AG3297" s="1" t="s">
        <v>52902</v>
      </c>
      <c r="AH3297" s="1" t="s">
        <v>1213</v>
      </c>
      <c r="AI3297" s="1" t="s">
        <v>1262</v>
      </c>
      <c r="AJ3297" s="1">
        <v>96.4</v>
      </c>
      <c r="AK3297" s="1"/>
      <c r="AL3297" s="1" t="s">
        <v>52903</v>
      </c>
      <c r="AM3297" s="1" t="s">
        <v>52902</v>
      </c>
      <c r="AN3297" s="1"/>
      <c r="AO3297" s="1" t="s">
        <v>166</v>
      </c>
      <c r="AP3297" s="1" t="s">
        <v>627</v>
      </c>
      <c r="AQ3297" s="1">
        <v>89.67</v>
      </c>
      <c r="AR3297" s="1"/>
      <c r="AS3297" s="1"/>
      <c r="AT3297" s="1"/>
      <c r="AU3297" s="1" t="s">
        <v>98</v>
      </c>
      <c r="AV3297" s="1" t="s">
        <v>98</v>
      </c>
      <c r="AW3297" s="1" t="s">
        <v>98</v>
      </c>
      <c r="AX3297" s="1" t="s">
        <v>98</v>
      </c>
      <c r="AY3297" s="1" t="s">
        <v>576</v>
      </c>
      <c r="AZ3297" s="1" t="s">
        <v>45516</v>
      </c>
      <c r="BA3297" s="1"/>
      <c r="BB3297" s="1"/>
      <c r="BC3297" s="1" t="s">
        <v>1396</v>
      </c>
      <c r="BD3297" s="1" t="s">
        <v>417</v>
      </c>
      <c r="BE3297" s="1">
        <v>88.9</v>
      </c>
      <c r="BF3297" s="1">
        <v>8.89</v>
      </c>
      <c r="BG3297" s="1"/>
      <c r="BH3297" s="1"/>
      <c r="BI3297" s="1"/>
      <c r="BJ3297" s="1"/>
      <c r="BK3297" s="1" t="s">
        <v>98</v>
      </c>
      <c r="BL3297" s="1" t="s">
        <v>98</v>
      </c>
      <c r="BM3297" s="1" t="s">
        <v>98</v>
      </c>
      <c r="BN3297" s="1" t="s">
        <v>98</v>
      </c>
      <c r="BO3297" s="1" t="s">
        <v>52904</v>
      </c>
      <c r="BP3297" s="1"/>
      <c r="BQ3297" s="1"/>
      <c r="BR3297" s="1" t="s">
        <v>52905</v>
      </c>
      <c r="BS3297" s="1">
        <v>23</v>
      </c>
      <c r="BT3297" s="1"/>
      <c r="BU3297" s="1" t="str">
        <f>HYPERLINK("https://nconnect.nicmar.ac.in/storage/profile/2021-2023_AP21080_735419.jpg","Download")</f>
        <v>0</v>
      </c>
      <c r="BV3297" s="3"/>
      <c r="BW3297" s="3"/>
    </row>
    <row r="3298" spans="1:75">
      <c r="A3298" s="1" t="s">
        <v>51340</v>
      </c>
      <c r="B3298" s="1" t="s">
        <v>51341</v>
      </c>
      <c r="C3298" s="1" t="s">
        <v>52906</v>
      </c>
      <c r="D3298" s="1" t="s">
        <v>52907</v>
      </c>
      <c r="E3298" s="1" t="s">
        <v>15890</v>
      </c>
      <c r="F3298" s="1" t="s">
        <v>52908</v>
      </c>
      <c r="G3298" s="1" t="s">
        <v>52909</v>
      </c>
      <c r="H3298" s="1" t="s">
        <v>52910</v>
      </c>
      <c r="I3298" s="1" t="s">
        <v>52911</v>
      </c>
      <c r="J3298" s="1">
        <v>8129063064</v>
      </c>
      <c r="K3298" s="1" t="s">
        <v>153</v>
      </c>
      <c r="L3298" s="1" t="s">
        <v>52912</v>
      </c>
      <c r="M3298" s="1" t="s">
        <v>86</v>
      </c>
      <c r="N3298" s="1" t="s">
        <v>695</v>
      </c>
      <c r="O3298" s="1"/>
      <c r="P3298" s="1" t="s">
        <v>1028</v>
      </c>
      <c r="Q3298" s="1" t="s">
        <v>52913</v>
      </c>
      <c r="R3298" s="1" t="s">
        <v>52908</v>
      </c>
      <c r="S3298" s="1">
        <v>7083899633</v>
      </c>
      <c r="T3298" s="1" t="s">
        <v>52914</v>
      </c>
      <c r="U3298" s="1" t="s">
        <v>52915</v>
      </c>
      <c r="V3298" s="1">
        <v>8149066751</v>
      </c>
      <c r="W3298" s="1" t="s">
        <v>12597</v>
      </c>
      <c r="X3298" s="1" t="s">
        <v>52916</v>
      </c>
      <c r="Y3298" s="1" t="s">
        <v>701</v>
      </c>
      <c r="Z3298" s="1" t="s">
        <v>130</v>
      </c>
      <c r="AA3298" s="1" t="s">
        <v>52917</v>
      </c>
      <c r="AB3298" s="1" t="s">
        <v>701</v>
      </c>
      <c r="AC3298" s="1" t="s">
        <v>130</v>
      </c>
      <c r="AD3298" s="1" t="s">
        <v>98</v>
      </c>
      <c r="AE3298" s="1" t="s">
        <v>98</v>
      </c>
      <c r="AF3298" s="1" t="s">
        <v>52918</v>
      </c>
      <c r="AG3298" s="1" t="s">
        <v>312</v>
      </c>
      <c r="AH3298" s="1">
        <v>41001</v>
      </c>
      <c r="AI3298" s="1">
        <v>41420</v>
      </c>
      <c r="AJ3298" s="1">
        <v>95</v>
      </c>
      <c r="AK3298" s="1">
        <v>10</v>
      </c>
      <c r="AL3298" s="1" t="s">
        <v>52919</v>
      </c>
      <c r="AM3298" s="1" t="s">
        <v>52920</v>
      </c>
      <c r="AN3298" s="1"/>
      <c r="AO3298" s="1">
        <v>41792</v>
      </c>
      <c r="AP3298" s="1">
        <v>42145</v>
      </c>
      <c r="AQ3298" s="1">
        <v>94.41</v>
      </c>
      <c r="AR3298" s="1">
        <v>0</v>
      </c>
      <c r="AS3298" s="1"/>
      <c r="AT3298" s="1"/>
      <c r="AU3298" s="1" t="s">
        <v>98</v>
      </c>
      <c r="AV3298" s="1" t="s">
        <v>98</v>
      </c>
      <c r="AW3298" s="1" t="s">
        <v>98</v>
      </c>
      <c r="AX3298" s="1" t="s">
        <v>98</v>
      </c>
      <c r="AY3298" s="1" t="s">
        <v>137</v>
      </c>
      <c r="AZ3298" s="1" t="s">
        <v>15665</v>
      </c>
      <c r="BA3298" s="1"/>
      <c r="BB3298" s="1"/>
      <c r="BC3298" s="1">
        <v>42212</v>
      </c>
      <c r="BD3298" s="1">
        <v>43662</v>
      </c>
      <c r="BE3298" s="1">
        <v>87.35</v>
      </c>
      <c r="BF3298" s="1">
        <v>9.11</v>
      </c>
      <c r="BG3298" s="1"/>
      <c r="BH3298" s="1"/>
      <c r="BI3298" s="1"/>
      <c r="BJ3298" s="1"/>
      <c r="BK3298" s="1" t="s">
        <v>98</v>
      </c>
      <c r="BL3298" s="1" t="s">
        <v>98</v>
      </c>
      <c r="BM3298" s="1" t="s">
        <v>98</v>
      </c>
      <c r="BN3298" s="1" t="s">
        <v>98</v>
      </c>
      <c r="BO3298" s="1" t="s">
        <v>52921</v>
      </c>
      <c r="BP3298" s="1" t="s">
        <v>52922</v>
      </c>
      <c r="BQ3298" s="1" t="s">
        <v>3404</v>
      </c>
      <c r="BR3298" s="1" t="s">
        <v>52923</v>
      </c>
      <c r="BS3298" s="1">
        <v>38</v>
      </c>
      <c r="BT3298" s="1"/>
      <c r="BU3298" s="1" t="str">
        <f>HYPERLINK("https://nconnect.nicmar.ac.in/storage/profile/2021-2023_AP21081_683194.jpg","Download")</f>
        <v>0</v>
      </c>
      <c r="BV3298" s="3"/>
      <c r="BW3298" s="3"/>
    </row>
    <row r="3299" spans="1:75">
      <c r="A3299" s="1" t="s">
        <v>51340</v>
      </c>
      <c r="B3299" s="1" t="s">
        <v>51341</v>
      </c>
      <c r="C3299" s="1" t="s">
        <v>52924</v>
      </c>
      <c r="D3299" s="1" t="s">
        <v>27011</v>
      </c>
      <c r="E3299" s="1" t="s">
        <v>52925</v>
      </c>
      <c r="F3299" s="1" t="s">
        <v>52926</v>
      </c>
      <c r="G3299" s="1" t="s">
        <v>52927</v>
      </c>
      <c r="H3299" s="1" t="s">
        <v>52928</v>
      </c>
      <c r="I3299" s="1" t="s">
        <v>52929</v>
      </c>
      <c r="J3299" s="1">
        <v>8551882913</v>
      </c>
      <c r="K3299" s="1" t="s">
        <v>84</v>
      </c>
      <c r="L3299" s="1" t="s">
        <v>52930</v>
      </c>
      <c r="M3299" s="1" t="s">
        <v>86</v>
      </c>
      <c r="N3299" s="1" t="s">
        <v>2298</v>
      </c>
      <c r="O3299" s="1"/>
      <c r="P3299" s="1" t="s">
        <v>455</v>
      </c>
      <c r="Q3299" s="1" t="s">
        <v>52931</v>
      </c>
      <c r="R3299" s="1" t="s">
        <v>52932</v>
      </c>
      <c r="S3299" s="1">
        <v>9823050165</v>
      </c>
      <c r="T3299" s="1" t="s">
        <v>839</v>
      </c>
      <c r="U3299" s="1" t="s">
        <v>52933</v>
      </c>
      <c r="V3299" s="1">
        <v>9923002656</v>
      </c>
      <c r="W3299" s="1" t="s">
        <v>161</v>
      </c>
      <c r="X3299" s="1" t="s">
        <v>52934</v>
      </c>
      <c r="Y3299" s="1" t="s">
        <v>410</v>
      </c>
      <c r="Z3299" s="1" t="s">
        <v>97</v>
      </c>
      <c r="AA3299" s="1" t="s">
        <v>52935</v>
      </c>
      <c r="AB3299" s="1" t="s">
        <v>410</v>
      </c>
      <c r="AC3299" s="1" t="s">
        <v>97</v>
      </c>
      <c r="AD3299" s="1" t="s">
        <v>98</v>
      </c>
      <c r="AE3299" s="1" t="s">
        <v>98</v>
      </c>
      <c r="AF3299" s="1" t="s">
        <v>52936</v>
      </c>
      <c r="AG3299" s="1" t="s">
        <v>51712</v>
      </c>
      <c r="AH3299" s="1">
        <v>41061</v>
      </c>
      <c r="AI3299" s="1">
        <v>41334</v>
      </c>
      <c r="AJ3299" s="1">
        <v>83.8</v>
      </c>
      <c r="AK3299" s="1" t="s">
        <v>98</v>
      </c>
      <c r="AL3299" s="1" t="s">
        <v>52937</v>
      </c>
      <c r="AM3299" s="1" t="s">
        <v>52938</v>
      </c>
      <c r="AN3299" s="1"/>
      <c r="AO3299" s="1">
        <v>41760</v>
      </c>
      <c r="AP3299" s="1">
        <v>42152</v>
      </c>
      <c r="AQ3299" s="1">
        <v>63.69</v>
      </c>
      <c r="AR3299" s="1" t="s">
        <v>98</v>
      </c>
      <c r="AS3299" s="1" t="s">
        <v>98</v>
      </c>
      <c r="AT3299" s="1" t="s">
        <v>98</v>
      </c>
      <c r="AU3299" s="1" t="s">
        <v>98</v>
      </c>
      <c r="AV3299" s="1" t="s">
        <v>98</v>
      </c>
      <c r="AW3299" s="1" t="s">
        <v>98</v>
      </c>
      <c r="AX3299" s="1" t="s">
        <v>98</v>
      </c>
      <c r="AY3299" s="1" t="s">
        <v>3713</v>
      </c>
      <c r="AZ3299" s="1" t="s">
        <v>13726</v>
      </c>
      <c r="BA3299" s="1"/>
      <c r="BB3299" s="1"/>
      <c r="BC3299" s="1">
        <v>42217</v>
      </c>
      <c r="BD3299" s="1">
        <v>44166</v>
      </c>
      <c r="BE3299" s="1">
        <v>60.17</v>
      </c>
      <c r="BF3299" s="1" t="s">
        <v>98</v>
      </c>
      <c r="BG3299" s="1" t="s">
        <v>98</v>
      </c>
      <c r="BH3299" s="1"/>
      <c r="BI3299" s="1"/>
      <c r="BJ3299" s="1"/>
      <c r="BK3299" s="1" t="s">
        <v>98</v>
      </c>
      <c r="BL3299" s="1" t="s">
        <v>98</v>
      </c>
      <c r="BM3299" s="1" t="s">
        <v>98</v>
      </c>
      <c r="BN3299" s="1" t="s">
        <v>98</v>
      </c>
      <c r="BO3299" s="1"/>
      <c r="BP3299" s="1"/>
      <c r="BQ3299" s="1"/>
      <c r="BR3299" s="1" t="s">
        <v>52939</v>
      </c>
      <c r="BS3299" s="1">
        <v>8</v>
      </c>
      <c r="BT3299" s="1"/>
      <c r="BU3299" s="1" t="str">
        <f>HYPERLINK("https://nconnect.nicmar.ac.in/storage/profile/2021-2023_AP21082_269514.jpg","Download")</f>
        <v>0</v>
      </c>
      <c r="BV3299" s="3"/>
      <c r="BW3299" s="3"/>
    </row>
    <row r="3300" spans="1:75">
      <c r="A3300" s="1" t="s">
        <v>51340</v>
      </c>
      <c r="B3300" s="1" t="s">
        <v>51341</v>
      </c>
      <c r="C3300" s="1" t="s">
        <v>52940</v>
      </c>
      <c r="D3300" s="1" t="s">
        <v>52941</v>
      </c>
      <c r="E3300" s="1" t="s">
        <v>12505</v>
      </c>
      <c r="F3300" s="1" t="s">
        <v>52942</v>
      </c>
      <c r="G3300" s="1" t="s">
        <v>52943</v>
      </c>
      <c r="H3300" s="1" t="s">
        <v>52944</v>
      </c>
      <c r="I3300" s="1" t="s">
        <v>52945</v>
      </c>
      <c r="J3300" s="1">
        <v>9130270088</v>
      </c>
      <c r="K3300" s="1" t="s">
        <v>84</v>
      </c>
      <c r="L3300" s="1" t="s">
        <v>33263</v>
      </c>
      <c r="M3300" s="1" t="s">
        <v>86</v>
      </c>
      <c r="N3300" s="1" t="s">
        <v>246</v>
      </c>
      <c r="O3300" s="1"/>
      <c r="P3300" s="1" t="s">
        <v>507</v>
      </c>
      <c r="Q3300" s="1" t="s">
        <v>52946</v>
      </c>
      <c r="R3300" s="1" t="s">
        <v>52947</v>
      </c>
      <c r="S3300" s="1">
        <v>9322313202</v>
      </c>
      <c r="T3300" s="1" t="s">
        <v>698</v>
      </c>
      <c r="U3300" s="1" t="s">
        <v>52948</v>
      </c>
      <c r="V3300" s="1">
        <v>9423834774</v>
      </c>
      <c r="W3300" s="1" t="s">
        <v>161</v>
      </c>
      <c r="X3300" s="1" t="s">
        <v>52949</v>
      </c>
      <c r="Y3300" s="1" t="s">
        <v>52950</v>
      </c>
      <c r="Z3300" s="1" t="s">
        <v>97</v>
      </c>
      <c r="AA3300" s="1" t="s">
        <v>98</v>
      </c>
      <c r="AB3300" s="1" t="s">
        <v>14079</v>
      </c>
      <c r="AC3300" s="1" t="s">
        <v>97</v>
      </c>
      <c r="AD3300" s="1" t="s">
        <v>98</v>
      </c>
      <c r="AE3300" s="1" t="s">
        <v>98</v>
      </c>
      <c r="AF3300" s="1" t="s">
        <v>52951</v>
      </c>
      <c r="AG3300" s="1" t="s">
        <v>1968</v>
      </c>
      <c r="AH3300" s="1">
        <v>41434</v>
      </c>
      <c r="AI3300" s="1">
        <v>41807</v>
      </c>
      <c r="AJ3300" s="1">
        <v>79.6</v>
      </c>
      <c r="AK3300" s="1"/>
      <c r="AL3300" s="1" t="s">
        <v>98</v>
      </c>
      <c r="AM3300" s="1" t="s">
        <v>98</v>
      </c>
      <c r="AN3300" s="1"/>
      <c r="AO3300" s="1" t="s">
        <v>98</v>
      </c>
      <c r="AP3300" s="1" t="s">
        <v>98</v>
      </c>
      <c r="AQ3300" s="1"/>
      <c r="AR3300" s="1"/>
      <c r="AS3300" s="1" t="s">
        <v>439</v>
      </c>
      <c r="AT3300" s="1" t="s">
        <v>52952</v>
      </c>
      <c r="AU3300" s="1">
        <v>41888</v>
      </c>
      <c r="AV3300" s="1">
        <v>42894</v>
      </c>
      <c r="AW3300" s="1">
        <v>76.12</v>
      </c>
      <c r="AX3300" s="1"/>
      <c r="AY3300" s="1" t="s">
        <v>680</v>
      </c>
      <c r="AZ3300" s="1" t="s">
        <v>52953</v>
      </c>
      <c r="BA3300" s="1"/>
      <c r="BB3300" s="1"/>
      <c r="BC3300" s="1">
        <v>42984</v>
      </c>
      <c r="BD3300" s="1">
        <v>44112</v>
      </c>
      <c r="BE3300" s="1">
        <v>59.64</v>
      </c>
      <c r="BF3300" s="1">
        <v>6.71</v>
      </c>
      <c r="BG3300" s="1"/>
      <c r="BH3300" s="1"/>
      <c r="BI3300" s="1"/>
      <c r="BJ3300" s="1"/>
      <c r="BK3300" s="1" t="s">
        <v>98</v>
      </c>
      <c r="BL3300" s="1" t="s">
        <v>98</v>
      </c>
      <c r="BM3300" s="1" t="s">
        <v>98</v>
      </c>
      <c r="BN3300" s="1" t="s">
        <v>98</v>
      </c>
      <c r="BO3300" s="1" t="s">
        <v>849</v>
      </c>
      <c r="BP3300" s="1"/>
      <c r="BQ3300" s="1"/>
      <c r="BR3300" s="1" t="s">
        <v>52954</v>
      </c>
      <c r="BS3300" s="1">
        <v>11</v>
      </c>
      <c r="BT3300" s="1"/>
      <c r="BU3300" s="1" t="str">
        <f>HYPERLINK("https://nconnect.nicmar.ac.in/storage/profile/2021-2023_AP21083_914783.jpg","Download")</f>
        <v>0</v>
      </c>
      <c r="BV3300" s="3"/>
      <c r="BW3300" s="3"/>
    </row>
    <row r="3301" spans="1:75">
      <c r="A3301" s="1" t="s">
        <v>51340</v>
      </c>
      <c r="B3301" s="1" t="s">
        <v>51341</v>
      </c>
      <c r="C3301" s="1" t="s">
        <v>52955</v>
      </c>
      <c r="D3301" s="1" t="s">
        <v>35221</v>
      </c>
      <c r="E3301" s="1" t="s">
        <v>28849</v>
      </c>
      <c r="F3301" s="1" t="s">
        <v>52956</v>
      </c>
      <c r="G3301" s="1" t="s">
        <v>52957</v>
      </c>
      <c r="H3301" s="1" t="s">
        <v>52958</v>
      </c>
      <c r="I3301" s="1" t="s">
        <v>52959</v>
      </c>
      <c r="J3301" s="1">
        <v>9422230350</v>
      </c>
      <c r="K3301" s="1" t="s">
        <v>84</v>
      </c>
      <c r="L3301" s="1" t="s">
        <v>52960</v>
      </c>
      <c r="M3301" s="1" t="s">
        <v>86</v>
      </c>
      <c r="N3301" s="1" t="s">
        <v>13689</v>
      </c>
      <c r="O3301" s="1"/>
      <c r="P3301" s="1" t="s">
        <v>481</v>
      </c>
      <c r="Q3301" s="1" t="s">
        <v>52961</v>
      </c>
      <c r="R3301" s="1" t="s">
        <v>52962</v>
      </c>
      <c r="S3301" s="1">
        <v>9404087898</v>
      </c>
      <c r="T3301" s="1" t="s">
        <v>159</v>
      </c>
      <c r="U3301" s="1" t="s">
        <v>52963</v>
      </c>
      <c r="V3301" s="1">
        <v>9404087900</v>
      </c>
      <c r="W3301" s="1" t="s">
        <v>94</v>
      </c>
      <c r="X3301" s="1" t="s">
        <v>52964</v>
      </c>
      <c r="Y3301" s="1" t="s">
        <v>196</v>
      </c>
      <c r="Z3301" s="1" t="s">
        <v>97</v>
      </c>
      <c r="AA3301" s="1" t="s">
        <v>52965</v>
      </c>
      <c r="AB3301" s="1" t="s">
        <v>196</v>
      </c>
      <c r="AC3301" s="1" t="s">
        <v>97</v>
      </c>
      <c r="AD3301" s="1" t="s">
        <v>98</v>
      </c>
      <c r="AE3301" s="1" t="s">
        <v>98</v>
      </c>
      <c r="AF3301" s="1" t="s">
        <v>52966</v>
      </c>
      <c r="AG3301" s="1" t="s">
        <v>52967</v>
      </c>
      <c r="AH3301" s="1">
        <v>40969</v>
      </c>
      <c r="AI3301" s="1">
        <v>41364</v>
      </c>
      <c r="AJ3301" s="1">
        <v>84.4</v>
      </c>
      <c r="AK3301" s="1">
        <v>0</v>
      </c>
      <c r="AL3301" s="1" t="s">
        <v>52968</v>
      </c>
      <c r="AM3301" s="1" t="s">
        <v>52967</v>
      </c>
      <c r="AN3301" s="1"/>
      <c r="AO3301" s="1">
        <v>41671</v>
      </c>
      <c r="AP3301" s="1">
        <v>42063</v>
      </c>
      <c r="AQ3301" s="1">
        <v>62.62</v>
      </c>
      <c r="AR3301" s="1">
        <v>0</v>
      </c>
      <c r="AS3301" s="1"/>
      <c r="AT3301" s="1"/>
      <c r="AU3301" s="1" t="s">
        <v>98</v>
      </c>
      <c r="AV3301" s="1" t="s">
        <v>98</v>
      </c>
      <c r="AW3301" s="1" t="s">
        <v>98</v>
      </c>
      <c r="AX3301" s="1" t="s">
        <v>98</v>
      </c>
      <c r="AY3301" s="1" t="s">
        <v>366</v>
      </c>
      <c r="AZ3301" s="1" t="s">
        <v>17795</v>
      </c>
      <c r="BA3301" s="1"/>
      <c r="BB3301" s="1"/>
      <c r="BC3301" s="1">
        <v>42186</v>
      </c>
      <c r="BD3301" s="1">
        <v>43656</v>
      </c>
      <c r="BE3301" s="1">
        <v>70.5</v>
      </c>
      <c r="BF3301" s="1">
        <v>8</v>
      </c>
      <c r="BG3301" s="1"/>
      <c r="BH3301" s="1"/>
      <c r="BI3301" s="1"/>
      <c r="BJ3301" s="1"/>
      <c r="BK3301" s="1" t="s">
        <v>98</v>
      </c>
      <c r="BL3301" s="1" t="s">
        <v>98</v>
      </c>
      <c r="BM3301" s="1" t="s">
        <v>98</v>
      </c>
      <c r="BN3301" s="1" t="s">
        <v>98</v>
      </c>
      <c r="BO3301" s="1" t="s">
        <v>1114</v>
      </c>
      <c r="BP3301" s="1" t="s">
        <v>52969</v>
      </c>
      <c r="BQ3301" s="1" t="s">
        <v>20984</v>
      </c>
      <c r="BR3301" s="1" t="s">
        <v>52970</v>
      </c>
      <c r="BS3301" s="1">
        <v>19</v>
      </c>
      <c r="BT3301" s="1"/>
      <c r="BU3301" s="1" t="str">
        <f>HYPERLINK("https://nconnect.nicmar.ac.in/storage/profile/2021-2023_AP21084_573418.jpg","Download")</f>
        <v>0</v>
      </c>
      <c r="BV3301" s="3"/>
      <c r="BW3301" s="3"/>
    </row>
    <row r="3302" spans="1:75">
      <c r="A3302" s="1" t="s">
        <v>51340</v>
      </c>
      <c r="B3302" s="1" t="s">
        <v>51341</v>
      </c>
      <c r="C3302" s="1" t="s">
        <v>52971</v>
      </c>
      <c r="D3302" s="1" t="s">
        <v>960</v>
      </c>
      <c r="E3302" s="1"/>
      <c r="F3302" s="1" t="s">
        <v>29690</v>
      </c>
      <c r="G3302" s="1" t="s">
        <v>52972</v>
      </c>
      <c r="H3302" s="1" t="s">
        <v>52973</v>
      </c>
      <c r="I3302" s="1" t="s">
        <v>52974</v>
      </c>
      <c r="J3302" s="1">
        <v>9650282886</v>
      </c>
      <c r="K3302" s="1" t="s">
        <v>84</v>
      </c>
      <c r="L3302" s="1" t="s">
        <v>52975</v>
      </c>
      <c r="M3302" s="1" t="s">
        <v>86</v>
      </c>
      <c r="N3302" s="1" t="s">
        <v>246</v>
      </c>
      <c r="O3302" s="1"/>
      <c r="P3302" s="1" t="s">
        <v>455</v>
      </c>
      <c r="Q3302" s="1" t="s">
        <v>52976</v>
      </c>
      <c r="R3302" s="1" t="s">
        <v>52977</v>
      </c>
      <c r="S3302" s="1">
        <v>9756993588</v>
      </c>
      <c r="T3302" s="1" t="s">
        <v>159</v>
      </c>
      <c r="U3302" s="1" t="s">
        <v>52978</v>
      </c>
      <c r="V3302" s="1">
        <v>9756993588</v>
      </c>
      <c r="W3302" s="1" t="s">
        <v>161</v>
      </c>
      <c r="X3302" s="1" t="s">
        <v>52979</v>
      </c>
      <c r="Y3302" s="1" t="s">
        <v>52980</v>
      </c>
      <c r="Z3302" s="1" t="s">
        <v>544</v>
      </c>
      <c r="AA3302" s="1" t="s">
        <v>52981</v>
      </c>
      <c r="AB3302" s="1" t="s">
        <v>52982</v>
      </c>
      <c r="AC3302" s="1" t="s">
        <v>544</v>
      </c>
      <c r="AD3302" s="1" t="s">
        <v>98</v>
      </c>
      <c r="AE3302" s="1" t="s">
        <v>98</v>
      </c>
      <c r="AF3302" s="1" t="s">
        <v>52983</v>
      </c>
      <c r="AG3302" s="1" t="s">
        <v>312</v>
      </c>
      <c r="AH3302" s="1">
        <v>41457</v>
      </c>
      <c r="AI3302" s="1">
        <v>41779</v>
      </c>
      <c r="AJ3302" s="1">
        <v>66.5</v>
      </c>
      <c r="AK3302" s="1">
        <v>7</v>
      </c>
      <c r="AL3302" s="1" t="s">
        <v>52983</v>
      </c>
      <c r="AM3302" s="1" t="s">
        <v>312</v>
      </c>
      <c r="AN3302" s="1"/>
      <c r="AO3302" s="1">
        <v>42096</v>
      </c>
      <c r="AP3302" s="1">
        <v>42511</v>
      </c>
      <c r="AQ3302" s="1">
        <v>64</v>
      </c>
      <c r="AR3302" s="1"/>
      <c r="AS3302" s="1"/>
      <c r="AT3302" s="1"/>
      <c r="AU3302" s="1" t="s">
        <v>98</v>
      </c>
      <c r="AV3302" s="1" t="s">
        <v>98</v>
      </c>
      <c r="AW3302" s="1" t="s">
        <v>98</v>
      </c>
      <c r="AX3302" s="1" t="s">
        <v>98</v>
      </c>
      <c r="AY3302" s="1" t="s">
        <v>14921</v>
      </c>
      <c r="AZ3302" s="1" t="s">
        <v>52984</v>
      </c>
      <c r="BA3302" s="1"/>
      <c r="BB3302" s="1"/>
      <c r="BC3302" s="1">
        <v>42629</v>
      </c>
      <c r="BD3302" s="1">
        <v>44097</v>
      </c>
      <c r="BE3302" s="1">
        <v>66.5</v>
      </c>
      <c r="BF3302" s="1">
        <v>6.65</v>
      </c>
      <c r="BG3302" s="1"/>
      <c r="BH3302" s="1"/>
      <c r="BI3302" s="1"/>
      <c r="BJ3302" s="1"/>
      <c r="BK3302" s="1" t="s">
        <v>98</v>
      </c>
      <c r="BL3302" s="1" t="s">
        <v>98</v>
      </c>
      <c r="BM3302" s="1" t="s">
        <v>98</v>
      </c>
      <c r="BN3302" s="1" t="s">
        <v>98</v>
      </c>
      <c r="BO3302" s="1" t="s">
        <v>260</v>
      </c>
      <c r="BP3302" s="1"/>
      <c r="BQ3302" s="1"/>
      <c r="BR3302" s="1" t="s">
        <v>52985</v>
      </c>
      <c r="BS3302" s="1">
        <v>27</v>
      </c>
      <c r="BT3302" s="1"/>
      <c r="BU3302" s="1" t="str">
        <f>HYPERLINK("https://nconnect.nicmar.ac.in/storage/profile/2021-2023_AP21085_142357.jpg","Download")</f>
        <v>0</v>
      </c>
      <c r="BV3302" s="3"/>
      <c r="BW3302" s="3"/>
    </row>
    <row r="3303" spans="1:75">
      <c r="A3303" s="1" t="s">
        <v>51340</v>
      </c>
      <c r="B3303" s="1" t="s">
        <v>51341</v>
      </c>
      <c r="C3303" s="1" t="s">
        <v>52986</v>
      </c>
      <c r="D3303" s="1" t="s">
        <v>3493</v>
      </c>
      <c r="E3303" s="1"/>
      <c r="F3303" s="1" t="s">
        <v>530</v>
      </c>
      <c r="G3303" s="1" t="s">
        <v>8289</v>
      </c>
      <c r="H3303" s="1" t="s">
        <v>52987</v>
      </c>
      <c r="I3303" s="1" t="s">
        <v>52988</v>
      </c>
      <c r="J3303" s="1">
        <v>8076032347</v>
      </c>
      <c r="K3303" s="1" t="s">
        <v>84</v>
      </c>
      <c r="L3303" s="1" t="s">
        <v>8437</v>
      </c>
      <c r="M3303" s="1" t="s">
        <v>86</v>
      </c>
      <c r="N3303" s="1" t="s">
        <v>2969</v>
      </c>
      <c r="O3303" s="1"/>
      <c r="P3303" s="1" t="s">
        <v>481</v>
      </c>
      <c r="Q3303" s="1" t="s">
        <v>52989</v>
      </c>
      <c r="R3303" s="1" t="s">
        <v>52990</v>
      </c>
      <c r="S3303" s="1">
        <v>9911186921</v>
      </c>
      <c r="T3303" s="1" t="s">
        <v>8778</v>
      </c>
      <c r="U3303" s="1" t="s">
        <v>52991</v>
      </c>
      <c r="V3303" s="1">
        <v>9718713263</v>
      </c>
      <c r="W3303" s="1" t="s">
        <v>94</v>
      </c>
      <c r="X3303" s="1" t="s">
        <v>52992</v>
      </c>
      <c r="Y3303" s="1" t="s">
        <v>1739</v>
      </c>
      <c r="Z3303" s="1" t="s">
        <v>1739</v>
      </c>
      <c r="AA3303" s="1" t="s">
        <v>52992</v>
      </c>
      <c r="AB3303" s="1" t="s">
        <v>1739</v>
      </c>
      <c r="AC3303" s="1" t="s">
        <v>1739</v>
      </c>
      <c r="AD3303" s="1" t="s">
        <v>98</v>
      </c>
      <c r="AE3303" s="1" t="s">
        <v>98</v>
      </c>
      <c r="AF3303" s="1" t="s">
        <v>52993</v>
      </c>
      <c r="AG3303" s="1" t="s">
        <v>312</v>
      </c>
      <c r="AH3303" s="1">
        <v>40609</v>
      </c>
      <c r="AI3303" s="1">
        <v>41011</v>
      </c>
      <c r="AJ3303" s="1">
        <v>76</v>
      </c>
      <c r="AK3303" s="1">
        <v>8</v>
      </c>
      <c r="AL3303" s="1" t="s">
        <v>52994</v>
      </c>
      <c r="AM3303" s="1" t="s">
        <v>312</v>
      </c>
      <c r="AN3303" s="1"/>
      <c r="AO3303" s="1">
        <v>41334</v>
      </c>
      <c r="AP3303" s="1">
        <v>41773</v>
      </c>
      <c r="AQ3303" s="1">
        <v>69.23</v>
      </c>
      <c r="AR3303" s="1"/>
      <c r="AS3303" s="1"/>
      <c r="AT3303" s="1"/>
      <c r="AU3303" s="1" t="s">
        <v>98</v>
      </c>
      <c r="AV3303" s="1" t="s">
        <v>98</v>
      </c>
      <c r="AW3303" s="1" t="s">
        <v>98</v>
      </c>
      <c r="AX3303" s="1" t="s">
        <v>98</v>
      </c>
      <c r="AY3303" s="1" t="s">
        <v>52995</v>
      </c>
      <c r="AZ3303" s="1" t="s">
        <v>52013</v>
      </c>
      <c r="BA3303" s="1"/>
      <c r="BB3303" s="1"/>
      <c r="BC3303" s="1">
        <v>42223</v>
      </c>
      <c r="BD3303" s="1">
        <v>43582</v>
      </c>
      <c r="BE3303" s="1">
        <v>62.38</v>
      </c>
      <c r="BF3303" s="1"/>
      <c r="BG3303" s="1"/>
      <c r="BH3303" s="1"/>
      <c r="BI3303" s="1"/>
      <c r="BJ3303" s="1"/>
      <c r="BK3303" s="1" t="s">
        <v>98</v>
      </c>
      <c r="BL3303" s="1" t="s">
        <v>98</v>
      </c>
      <c r="BM3303" s="1" t="s">
        <v>98</v>
      </c>
      <c r="BN3303" s="1" t="s">
        <v>98</v>
      </c>
      <c r="BO3303" s="1" t="s">
        <v>52086</v>
      </c>
      <c r="BP3303" s="1" t="s">
        <v>52996</v>
      </c>
      <c r="BQ3303" s="1" t="s">
        <v>292</v>
      </c>
      <c r="BR3303" s="1" t="s">
        <v>52997</v>
      </c>
      <c r="BS3303" s="1">
        <v>31</v>
      </c>
      <c r="BT3303" s="1"/>
      <c r="BU3303" s="1" t="str">
        <f>HYPERLINK("https://nconnect.nicmar.ac.in/storage/profile/2021-2023_AP21086_346592.jpg","Download")</f>
        <v>0</v>
      </c>
      <c r="BV3303" s="3"/>
      <c r="BW3303" s="3"/>
    </row>
    <row r="3304" spans="1:75">
      <c r="A3304" s="1" t="s">
        <v>51340</v>
      </c>
      <c r="B3304" s="1" t="s">
        <v>51341</v>
      </c>
      <c r="C3304" s="1" t="s">
        <v>52998</v>
      </c>
      <c r="D3304" s="1" t="s">
        <v>52999</v>
      </c>
      <c r="E3304" s="1"/>
      <c r="F3304" s="1" t="s">
        <v>53000</v>
      </c>
      <c r="G3304" s="1" t="s">
        <v>53001</v>
      </c>
      <c r="H3304" s="1" t="s">
        <v>53002</v>
      </c>
      <c r="I3304" s="1" t="s">
        <v>53002</v>
      </c>
      <c r="J3304" s="1"/>
      <c r="K3304" s="1" t="s">
        <v>84</v>
      </c>
      <c r="L3304" s="1" t="s">
        <v>53003</v>
      </c>
      <c r="M3304" s="1" t="s">
        <v>86</v>
      </c>
      <c r="N3304" s="1" t="s">
        <v>4244</v>
      </c>
      <c r="O3304" s="1"/>
      <c r="P3304" s="1" t="s">
        <v>455</v>
      </c>
      <c r="Q3304" s="1" t="s">
        <v>53004</v>
      </c>
      <c r="R3304" s="1" t="s">
        <v>53005</v>
      </c>
      <c r="S3304" s="1">
        <v>9597093526</v>
      </c>
      <c r="T3304" s="1" t="s">
        <v>159</v>
      </c>
      <c r="U3304" s="1" t="s">
        <v>53006</v>
      </c>
      <c r="V3304" s="1">
        <v>9677435398</v>
      </c>
      <c r="W3304" s="1" t="s">
        <v>94</v>
      </c>
      <c r="X3304" s="1" t="s">
        <v>53007</v>
      </c>
      <c r="Y3304" s="1" t="s">
        <v>1864</v>
      </c>
      <c r="Z3304" s="1" t="s">
        <v>570</v>
      </c>
      <c r="AA3304" s="1" t="s">
        <v>53007</v>
      </c>
      <c r="AB3304" s="1" t="s">
        <v>1864</v>
      </c>
      <c r="AC3304" s="1" t="s">
        <v>570</v>
      </c>
      <c r="AD3304" s="1" t="s">
        <v>98</v>
      </c>
      <c r="AE3304" s="1" t="s">
        <v>98</v>
      </c>
      <c r="AF3304" s="1" t="s">
        <v>53008</v>
      </c>
      <c r="AG3304" s="1" t="s">
        <v>6168</v>
      </c>
      <c r="AH3304" s="1" t="s">
        <v>53009</v>
      </c>
      <c r="AI3304" s="1" t="s">
        <v>53010</v>
      </c>
      <c r="AJ3304" s="1">
        <v>88.6</v>
      </c>
      <c r="AK3304" s="1"/>
      <c r="AL3304" s="1" t="s">
        <v>53008</v>
      </c>
      <c r="AM3304" s="1" t="s">
        <v>6168</v>
      </c>
      <c r="AN3304" s="1"/>
      <c r="AO3304" s="1" t="s">
        <v>53011</v>
      </c>
      <c r="AP3304" s="1" t="s">
        <v>53012</v>
      </c>
      <c r="AQ3304" s="1">
        <v>67.4</v>
      </c>
      <c r="AR3304" s="1"/>
      <c r="AS3304" s="1"/>
      <c r="AT3304" s="1"/>
      <c r="AU3304" s="1"/>
      <c r="AV3304" s="1"/>
      <c r="AW3304" s="1"/>
      <c r="AX3304" s="1"/>
      <c r="AY3304" s="1" t="s">
        <v>576</v>
      </c>
      <c r="AZ3304" s="1" t="s">
        <v>53013</v>
      </c>
      <c r="BA3304" s="1"/>
      <c r="BB3304" s="1"/>
      <c r="BC3304" s="1" t="s">
        <v>53014</v>
      </c>
      <c r="BD3304" s="1" t="s">
        <v>53015</v>
      </c>
      <c r="BE3304" s="1">
        <v>63.3</v>
      </c>
      <c r="BF3304" s="1">
        <v>6.33</v>
      </c>
      <c r="BG3304" s="1"/>
      <c r="BH3304" s="1"/>
      <c r="BI3304" s="1"/>
      <c r="BJ3304" s="1"/>
      <c r="BK3304" s="1"/>
      <c r="BL3304" s="1"/>
      <c r="BM3304" s="1"/>
      <c r="BN3304" s="1"/>
      <c r="BO3304" s="1" t="s">
        <v>369</v>
      </c>
      <c r="BP3304" s="1" t="s">
        <v>53016</v>
      </c>
      <c r="BQ3304" s="1" t="s">
        <v>3404</v>
      </c>
      <c r="BR3304" s="1" t="s">
        <v>53017</v>
      </c>
      <c r="BS3304" s="1">
        <v>11</v>
      </c>
      <c r="BT3304" s="1"/>
      <c r="BU3304" s="1" t="str">
        <f>HYPERLINK("https://nconnect.nicmar.ac.in/storage/profile/2021-2023_AP21087_734689.jpeg","Download")</f>
        <v>0</v>
      </c>
      <c r="BV3304" s="3"/>
      <c r="BW3304" s="3"/>
    </row>
    <row r="3305" spans="1:75">
      <c r="A3305" s="1" t="s">
        <v>51340</v>
      </c>
      <c r="B3305" s="1" t="s">
        <v>51341</v>
      </c>
      <c r="C3305" s="1" t="s">
        <v>53018</v>
      </c>
      <c r="D3305" s="1" t="s">
        <v>52335</v>
      </c>
      <c r="E3305" s="1"/>
      <c r="F3305" s="1" t="s">
        <v>530</v>
      </c>
      <c r="G3305" s="1" t="s">
        <v>53019</v>
      </c>
      <c r="H3305" s="1" t="s">
        <v>53020</v>
      </c>
      <c r="I3305" s="1" t="s">
        <v>53021</v>
      </c>
      <c r="J3305" s="1">
        <v>9566075583</v>
      </c>
      <c r="K3305" s="1" t="s">
        <v>84</v>
      </c>
      <c r="L3305" s="1" t="s">
        <v>53022</v>
      </c>
      <c r="M3305" s="1" t="s">
        <v>86</v>
      </c>
      <c r="N3305" s="1" t="s">
        <v>246</v>
      </c>
      <c r="O3305" s="1"/>
      <c r="P3305" s="1" t="s">
        <v>455</v>
      </c>
      <c r="Q3305" s="1" t="s">
        <v>53023</v>
      </c>
      <c r="R3305" s="1" t="s">
        <v>53024</v>
      </c>
      <c r="S3305" s="1">
        <v>9597362510</v>
      </c>
      <c r="T3305" s="1" t="s">
        <v>539</v>
      </c>
      <c r="U3305" s="1" t="s">
        <v>53025</v>
      </c>
      <c r="V3305" s="1">
        <v>9900207165</v>
      </c>
      <c r="W3305" s="1" t="s">
        <v>94</v>
      </c>
      <c r="X3305" s="1" t="s">
        <v>53026</v>
      </c>
      <c r="Y3305" s="1" t="s">
        <v>11285</v>
      </c>
      <c r="Z3305" s="1" t="s">
        <v>2933</v>
      </c>
      <c r="AA3305" s="1" t="s">
        <v>53026</v>
      </c>
      <c r="AB3305" s="1" t="s">
        <v>11285</v>
      </c>
      <c r="AC3305" s="1" t="s">
        <v>2933</v>
      </c>
      <c r="AD3305" s="1" t="s">
        <v>98</v>
      </c>
      <c r="AE3305" s="1" t="s">
        <v>98</v>
      </c>
      <c r="AF3305" s="1" t="s">
        <v>53027</v>
      </c>
      <c r="AG3305" s="1" t="s">
        <v>312</v>
      </c>
      <c r="AH3305" s="1">
        <v>41008</v>
      </c>
      <c r="AI3305" s="1">
        <v>41347</v>
      </c>
      <c r="AJ3305" s="1">
        <v>77.9</v>
      </c>
      <c r="AK3305" s="1">
        <v>8.2</v>
      </c>
      <c r="AL3305" s="1" t="s">
        <v>53027</v>
      </c>
      <c r="AM3305" s="1" t="s">
        <v>312</v>
      </c>
      <c r="AN3305" s="1"/>
      <c r="AO3305" s="1">
        <v>41736</v>
      </c>
      <c r="AP3305" s="1">
        <v>42075</v>
      </c>
      <c r="AQ3305" s="1">
        <v>67.2</v>
      </c>
      <c r="AR3305" s="1"/>
      <c r="AS3305" s="1"/>
      <c r="AT3305" s="1"/>
      <c r="AU3305" s="1" t="s">
        <v>98</v>
      </c>
      <c r="AV3305" s="1" t="s">
        <v>98</v>
      </c>
      <c r="AW3305" s="1" t="s">
        <v>98</v>
      </c>
      <c r="AX3305" s="1" t="s">
        <v>98</v>
      </c>
      <c r="AY3305" s="1" t="s">
        <v>53028</v>
      </c>
      <c r="AZ3305" s="1" t="s">
        <v>53029</v>
      </c>
      <c r="BA3305" s="1"/>
      <c r="BB3305" s="1"/>
      <c r="BC3305" s="1">
        <v>42171</v>
      </c>
      <c r="BD3305" s="1">
        <v>43613</v>
      </c>
      <c r="BE3305" s="1">
        <v>71.96</v>
      </c>
      <c r="BF3305" s="1">
        <v>6.25</v>
      </c>
      <c r="BG3305" s="1"/>
      <c r="BH3305" s="1"/>
      <c r="BI3305" s="1"/>
      <c r="BJ3305" s="1"/>
      <c r="BK3305" s="1" t="s">
        <v>98</v>
      </c>
      <c r="BL3305" s="1" t="s">
        <v>98</v>
      </c>
      <c r="BM3305" s="1" t="s">
        <v>98</v>
      </c>
      <c r="BN3305" s="1" t="s">
        <v>98</v>
      </c>
      <c r="BO3305" s="1" t="s">
        <v>8688</v>
      </c>
      <c r="BP3305" s="1"/>
      <c r="BQ3305" s="1"/>
      <c r="BR3305" s="1" t="s">
        <v>53030</v>
      </c>
      <c r="BS3305" s="1">
        <v>22</v>
      </c>
      <c r="BT3305" s="1"/>
      <c r="BU3305" s="1" t="str">
        <f>HYPERLINK("https://nconnect.nicmar.ac.in/storage/profile/2021-2023_AP21088_129573.jpg","Download")</f>
        <v>0</v>
      </c>
      <c r="BV3305" s="3"/>
      <c r="BW3305" s="3"/>
    </row>
    <row r="3306" spans="1:75">
      <c r="A3306" s="1" t="s">
        <v>51340</v>
      </c>
      <c r="B3306" s="1" t="s">
        <v>51341</v>
      </c>
      <c r="C3306" s="1" t="s">
        <v>53031</v>
      </c>
      <c r="D3306" s="1" t="s">
        <v>1095</v>
      </c>
      <c r="E3306" s="1" t="s">
        <v>12721</v>
      </c>
      <c r="F3306" s="1" t="s">
        <v>53032</v>
      </c>
      <c r="G3306" s="1" t="s">
        <v>53033</v>
      </c>
      <c r="H3306" s="1" t="s">
        <v>53034</v>
      </c>
      <c r="I3306" s="1" t="s">
        <v>53035</v>
      </c>
      <c r="J3306" s="1">
        <v>7028205976</v>
      </c>
      <c r="K3306" s="1" t="s">
        <v>84</v>
      </c>
      <c r="L3306" s="1" t="s">
        <v>26349</v>
      </c>
      <c r="M3306" s="1" t="s">
        <v>86</v>
      </c>
      <c r="N3306" s="1" t="s">
        <v>2433</v>
      </c>
      <c r="O3306" s="1"/>
      <c r="P3306" s="1" t="s">
        <v>2684</v>
      </c>
      <c r="Q3306" s="1" t="s">
        <v>53036</v>
      </c>
      <c r="R3306" s="1" t="s">
        <v>53037</v>
      </c>
      <c r="S3306" s="1">
        <v>9325041409</v>
      </c>
      <c r="T3306" s="1" t="s">
        <v>159</v>
      </c>
      <c r="U3306" s="1" t="s">
        <v>53038</v>
      </c>
      <c r="V3306" s="1">
        <v>8308214846</v>
      </c>
      <c r="W3306" s="1" t="s">
        <v>278</v>
      </c>
      <c r="X3306" s="1" t="s">
        <v>53039</v>
      </c>
      <c r="Y3306" s="1" t="s">
        <v>434</v>
      </c>
      <c r="Z3306" s="1" t="s">
        <v>97</v>
      </c>
      <c r="AA3306" s="1" t="s">
        <v>53040</v>
      </c>
      <c r="AB3306" s="1" t="s">
        <v>196</v>
      </c>
      <c r="AC3306" s="1" t="s">
        <v>97</v>
      </c>
      <c r="AD3306" s="1" t="s">
        <v>98</v>
      </c>
      <c r="AE3306" s="1" t="s">
        <v>98</v>
      </c>
      <c r="AF3306" s="1" t="s">
        <v>53041</v>
      </c>
      <c r="AG3306" s="1" t="s">
        <v>29872</v>
      </c>
      <c r="AH3306" s="1">
        <v>40983</v>
      </c>
      <c r="AI3306" s="1">
        <v>41348</v>
      </c>
      <c r="AJ3306" s="1">
        <v>84.8</v>
      </c>
      <c r="AK3306" s="1"/>
      <c r="AL3306" s="1" t="s">
        <v>98</v>
      </c>
      <c r="AM3306" s="1" t="s">
        <v>98</v>
      </c>
      <c r="AN3306" s="1"/>
      <c r="AO3306" s="1" t="s">
        <v>98</v>
      </c>
      <c r="AP3306" s="1" t="s">
        <v>98</v>
      </c>
      <c r="AQ3306" s="1"/>
      <c r="AR3306" s="1"/>
      <c r="AS3306" s="1" t="s">
        <v>439</v>
      </c>
      <c r="AT3306" s="1" t="s">
        <v>53042</v>
      </c>
      <c r="AU3306" s="1">
        <v>41654</v>
      </c>
      <c r="AV3306" s="1">
        <v>42530</v>
      </c>
      <c r="AW3306" s="1">
        <v>80.67</v>
      </c>
      <c r="AX3306" s="1"/>
      <c r="AY3306" s="1" t="s">
        <v>366</v>
      </c>
      <c r="AZ3306" s="1" t="s">
        <v>53043</v>
      </c>
      <c r="BA3306" s="1"/>
      <c r="BB3306" s="1"/>
      <c r="BC3306" s="1">
        <v>42839</v>
      </c>
      <c r="BD3306" s="1">
        <v>43664</v>
      </c>
      <c r="BE3306" s="1">
        <v>60.11</v>
      </c>
      <c r="BF3306" s="1">
        <v>6.73</v>
      </c>
      <c r="BG3306" s="1"/>
      <c r="BH3306" s="1"/>
      <c r="BI3306" s="1"/>
      <c r="BJ3306" s="1"/>
      <c r="BK3306" s="1" t="s">
        <v>98</v>
      </c>
      <c r="BL3306" s="1" t="s">
        <v>98</v>
      </c>
      <c r="BM3306" s="1" t="s">
        <v>98</v>
      </c>
      <c r="BN3306" s="1" t="s">
        <v>98</v>
      </c>
      <c r="BO3306" s="1" t="s">
        <v>1114</v>
      </c>
      <c r="BP3306" s="1"/>
      <c r="BQ3306" s="1"/>
      <c r="BR3306" s="1" t="s">
        <v>53044</v>
      </c>
      <c r="BS3306" s="1">
        <v>15</v>
      </c>
      <c r="BT3306" s="1"/>
      <c r="BU3306" s="1" t="str">
        <f>HYPERLINK("https://nconnect.nicmar.ac.in/storage/profile/2021-2023_AP21089_392578.jpeg","Download")</f>
        <v>0</v>
      </c>
      <c r="BV3306" s="3"/>
      <c r="BW3306" s="3"/>
    </row>
    <row r="3307" spans="1:75">
      <c r="A3307" s="1" t="s">
        <v>51340</v>
      </c>
      <c r="B3307" s="1" t="s">
        <v>51341</v>
      </c>
      <c r="C3307" s="1" t="s">
        <v>53045</v>
      </c>
      <c r="D3307" s="1" t="s">
        <v>42059</v>
      </c>
      <c r="E3307" s="1"/>
      <c r="F3307" s="1" t="s">
        <v>350</v>
      </c>
      <c r="G3307" s="1" t="s">
        <v>53046</v>
      </c>
      <c r="H3307" s="1" t="s">
        <v>53047</v>
      </c>
      <c r="I3307" s="1" t="s">
        <v>53048</v>
      </c>
      <c r="J3307" s="1">
        <v>9452339273</v>
      </c>
      <c r="K3307" s="1" t="s">
        <v>153</v>
      </c>
      <c r="L3307" s="1" t="s">
        <v>31481</v>
      </c>
      <c r="M3307" s="1" t="s">
        <v>86</v>
      </c>
      <c r="N3307" s="1" t="s">
        <v>379</v>
      </c>
      <c r="O3307" s="1"/>
      <c r="P3307" s="1" t="s">
        <v>507</v>
      </c>
      <c r="Q3307" s="1" t="s">
        <v>53049</v>
      </c>
      <c r="R3307" s="1" t="s">
        <v>53050</v>
      </c>
      <c r="S3307" s="1">
        <v>6307624980</v>
      </c>
      <c r="T3307" s="1" t="s">
        <v>539</v>
      </c>
      <c r="U3307" s="1" t="s">
        <v>53051</v>
      </c>
      <c r="V3307" s="1">
        <v>7985806330</v>
      </c>
      <c r="W3307" s="1" t="s">
        <v>94</v>
      </c>
      <c r="X3307" s="1" t="s">
        <v>53052</v>
      </c>
      <c r="Y3307" s="1" t="s">
        <v>53053</v>
      </c>
      <c r="Z3307" s="1" t="s">
        <v>544</v>
      </c>
      <c r="AA3307" s="1" t="s">
        <v>98</v>
      </c>
      <c r="AB3307" s="1" t="s">
        <v>53053</v>
      </c>
      <c r="AC3307" s="1" t="s">
        <v>544</v>
      </c>
      <c r="AD3307" s="1" t="s">
        <v>98</v>
      </c>
      <c r="AE3307" s="1" t="s">
        <v>98</v>
      </c>
      <c r="AF3307" s="1" t="s">
        <v>1060</v>
      </c>
      <c r="AG3307" s="1" t="s">
        <v>312</v>
      </c>
      <c r="AH3307" s="1">
        <v>40637</v>
      </c>
      <c r="AI3307" s="1">
        <v>41053</v>
      </c>
      <c r="AJ3307" s="1">
        <v>95</v>
      </c>
      <c r="AK3307" s="1">
        <v>10</v>
      </c>
      <c r="AL3307" s="1" t="s">
        <v>1060</v>
      </c>
      <c r="AM3307" s="1" t="s">
        <v>312</v>
      </c>
      <c r="AN3307" s="1"/>
      <c r="AO3307" s="1">
        <v>41372</v>
      </c>
      <c r="AP3307" s="1">
        <v>41787</v>
      </c>
      <c r="AQ3307" s="1">
        <v>92</v>
      </c>
      <c r="AR3307" s="1"/>
      <c r="AS3307" s="1"/>
      <c r="AT3307" s="1"/>
      <c r="AU3307" s="1" t="s">
        <v>98</v>
      </c>
      <c r="AV3307" s="1" t="s">
        <v>98</v>
      </c>
      <c r="AW3307" s="1" t="s">
        <v>98</v>
      </c>
      <c r="AX3307" s="1" t="s">
        <v>98</v>
      </c>
      <c r="AY3307" s="1" t="s">
        <v>14921</v>
      </c>
      <c r="AZ3307" s="1" t="s">
        <v>53054</v>
      </c>
      <c r="BA3307" s="1"/>
      <c r="BB3307" s="1"/>
      <c r="BC3307" s="1">
        <v>42579</v>
      </c>
      <c r="BD3307" s="1">
        <v>44097</v>
      </c>
      <c r="BE3307" s="1">
        <v>82.3</v>
      </c>
      <c r="BF3307" s="1">
        <v>8.23</v>
      </c>
      <c r="BG3307" s="1"/>
      <c r="BH3307" s="1"/>
      <c r="BI3307" s="1"/>
      <c r="BJ3307" s="1"/>
      <c r="BK3307" s="1" t="s">
        <v>98</v>
      </c>
      <c r="BL3307" s="1" t="s">
        <v>98</v>
      </c>
      <c r="BM3307" s="1" t="s">
        <v>98</v>
      </c>
      <c r="BN3307" s="1" t="s">
        <v>98</v>
      </c>
      <c r="BO3307" s="1" t="s">
        <v>3308</v>
      </c>
      <c r="BP3307" s="1"/>
      <c r="BQ3307" s="1"/>
      <c r="BR3307" s="1" t="s">
        <v>53055</v>
      </c>
      <c r="BS3307" s="1">
        <v>24</v>
      </c>
      <c r="BT3307" s="1"/>
      <c r="BU3307" s="1" t="str">
        <f>HYPERLINK("https://nconnect.nicmar.ac.in/storage/profile/2021-2023_AP21090_591783.jpeg","Download")</f>
        <v>0</v>
      </c>
      <c r="BV3307" s="3"/>
      <c r="BW3307" s="3"/>
    </row>
    <row r="3308" spans="1:75">
      <c r="A3308" s="1" t="s">
        <v>51340</v>
      </c>
      <c r="B3308" s="1" t="s">
        <v>51341</v>
      </c>
      <c r="C3308" s="1" t="s">
        <v>53056</v>
      </c>
      <c r="D3308" s="1" t="s">
        <v>53057</v>
      </c>
      <c r="E3308" s="1"/>
      <c r="F3308" s="1" t="s">
        <v>53058</v>
      </c>
      <c r="G3308" s="1" t="s">
        <v>53059</v>
      </c>
      <c r="H3308" s="1" t="s">
        <v>53060</v>
      </c>
      <c r="I3308" s="1" t="s">
        <v>53061</v>
      </c>
      <c r="J3308" s="1">
        <v>9705224488</v>
      </c>
      <c r="K3308" s="1" t="s">
        <v>84</v>
      </c>
      <c r="L3308" s="1" t="s">
        <v>53062</v>
      </c>
      <c r="M3308" s="1" t="s">
        <v>86</v>
      </c>
      <c r="N3308" s="1" t="s">
        <v>8347</v>
      </c>
      <c r="O3308" s="1"/>
      <c r="P3308" s="1" t="s">
        <v>455</v>
      </c>
      <c r="Q3308" s="1" t="s">
        <v>53063</v>
      </c>
      <c r="R3308" s="1" t="s">
        <v>53064</v>
      </c>
      <c r="S3308" s="1">
        <v>9848055736</v>
      </c>
      <c r="T3308" s="1" t="s">
        <v>839</v>
      </c>
      <c r="U3308" s="1" t="s">
        <v>53065</v>
      </c>
      <c r="V3308" s="1">
        <v>9666278383</v>
      </c>
      <c r="W3308" s="1" t="s">
        <v>94</v>
      </c>
      <c r="X3308" s="1" t="s">
        <v>53066</v>
      </c>
      <c r="Y3308" s="1" t="s">
        <v>3031</v>
      </c>
      <c r="Z3308" s="1" t="s">
        <v>461</v>
      </c>
      <c r="AA3308" s="1" t="s">
        <v>53066</v>
      </c>
      <c r="AB3308" s="1" t="s">
        <v>3031</v>
      </c>
      <c r="AC3308" s="1" t="s">
        <v>461</v>
      </c>
      <c r="AD3308" s="1" t="s">
        <v>98</v>
      </c>
      <c r="AE3308" s="1" t="s">
        <v>98</v>
      </c>
      <c r="AF3308" s="1" t="s">
        <v>53067</v>
      </c>
      <c r="AG3308" s="1" t="s">
        <v>1418</v>
      </c>
      <c r="AH3308" s="1" t="s">
        <v>1457</v>
      </c>
      <c r="AI3308" s="1" t="s">
        <v>515</v>
      </c>
      <c r="AJ3308" s="1">
        <v>82.65</v>
      </c>
      <c r="AK3308" s="1">
        <v>8.7</v>
      </c>
      <c r="AL3308" s="1" t="s">
        <v>53068</v>
      </c>
      <c r="AM3308" s="1" t="s">
        <v>1418</v>
      </c>
      <c r="AN3308" s="1"/>
      <c r="AO3308" s="1" t="s">
        <v>102</v>
      </c>
      <c r="AP3308" s="1" t="s">
        <v>1111</v>
      </c>
      <c r="AQ3308" s="1">
        <v>94.6</v>
      </c>
      <c r="AR3308" s="1"/>
      <c r="AS3308" s="1"/>
      <c r="AT3308" s="1"/>
      <c r="AU3308" s="1" t="s">
        <v>98</v>
      </c>
      <c r="AV3308" s="1" t="s">
        <v>98</v>
      </c>
      <c r="AW3308" s="1"/>
      <c r="AX3308" s="1"/>
      <c r="AY3308" s="1" t="s">
        <v>287</v>
      </c>
      <c r="AZ3308" s="1" t="s">
        <v>52627</v>
      </c>
      <c r="BA3308" s="1"/>
      <c r="BB3308" s="1"/>
      <c r="BC3308" s="1" t="s">
        <v>139</v>
      </c>
      <c r="BD3308" s="1" t="s">
        <v>890</v>
      </c>
      <c r="BE3308" s="1">
        <v>67.8</v>
      </c>
      <c r="BF3308" s="1">
        <v>7.28</v>
      </c>
      <c r="BG3308" s="1"/>
      <c r="BH3308" s="1"/>
      <c r="BI3308" s="1"/>
      <c r="BJ3308" s="1"/>
      <c r="BK3308" s="1" t="s">
        <v>98</v>
      </c>
      <c r="BL3308" s="1" t="s">
        <v>98</v>
      </c>
      <c r="BM3308" s="1" t="s">
        <v>98</v>
      </c>
      <c r="BN3308" s="1" t="s">
        <v>98</v>
      </c>
      <c r="BO3308" s="1" t="s">
        <v>53069</v>
      </c>
      <c r="BP3308" s="1"/>
      <c r="BQ3308" s="1"/>
      <c r="BR3308" s="1" t="s">
        <v>53070</v>
      </c>
      <c r="BS3308" s="1">
        <v>30</v>
      </c>
      <c r="BT3308" s="1"/>
      <c r="BU3308" s="1" t="str">
        <f>HYPERLINK("https://nconnect.nicmar.ac.in/storage/profile/2021-2023_AP21091_175342.png","Download")</f>
        <v>0</v>
      </c>
      <c r="BV3308" s="3"/>
      <c r="BW3308" s="3"/>
    </row>
    <row r="3309" spans="1:75">
      <c r="A3309" s="1" t="s">
        <v>51340</v>
      </c>
      <c r="B3309" s="1" t="s">
        <v>51341</v>
      </c>
      <c r="C3309" s="1" t="s">
        <v>53071</v>
      </c>
      <c r="D3309" s="1" t="s">
        <v>53072</v>
      </c>
      <c r="E3309" s="1" t="s">
        <v>53073</v>
      </c>
      <c r="F3309" s="1" t="s">
        <v>53074</v>
      </c>
      <c r="G3309" s="1" t="s">
        <v>53075</v>
      </c>
      <c r="H3309" s="1" t="s">
        <v>53076</v>
      </c>
      <c r="I3309" s="1" t="s">
        <v>53077</v>
      </c>
      <c r="J3309" s="1">
        <v>8369705974</v>
      </c>
      <c r="K3309" s="1" t="s">
        <v>84</v>
      </c>
      <c r="L3309" s="1" t="s">
        <v>53078</v>
      </c>
      <c r="M3309" s="1" t="s">
        <v>86</v>
      </c>
      <c r="N3309" s="1" t="s">
        <v>246</v>
      </c>
      <c r="O3309" s="1"/>
      <c r="P3309" s="1" t="s">
        <v>481</v>
      </c>
      <c r="Q3309" s="1" t="s">
        <v>53079</v>
      </c>
      <c r="R3309" s="1" t="s">
        <v>53080</v>
      </c>
      <c r="S3309" s="1">
        <v>9323035128</v>
      </c>
      <c r="T3309" s="1" t="s">
        <v>382</v>
      </c>
      <c r="U3309" s="1" t="s">
        <v>53081</v>
      </c>
      <c r="V3309" s="1">
        <v>9930476233</v>
      </c>
      <c r="W3309" s="1" t="s">
        <v>94</v>
      </c>
      <c r="X3309" s="1" t="s">
        <v>53082</v>
      </c>
      <c r="Y3309" s="1" t="s">
        <v>53083</v>
      </c>
      <c r="Z3309" s="1" t="s">
        <v>97</v>
      </c>
      <c r="AA3309" s="1" t="s">
        <v>53082</v>
      </c>
      <c r="AB3309" s="1" t="s">
        <v>53083</v>
      </c>
      <c r="AC3309" s="1" t="s">
        <v>97</v>
      </c>
      <c r="AD3309" s="1" t="s">
        <v>98</v>
      </c>
      <c r="AE3309" s="1" t="s">
        <v>98</v>
      </c>
      <c r="AF3309" s="1" t="s">
        <v>53084</v>
      </c>
      <c r="AG3309" s="1" t="s">
        <v>996</v>
      </c>
      <c r="AH3309" s="1" t="s">
        <v>3285</v>
      </c>
      <c r="AI3309" s="1" t="s">
        <v>133</v>
      </c>
      <c r="AJ3309" s="1">
        <v>84.36</v>
      </c>
      <c r="AK3309" s="1">
        <v>0</v>
      </c>
      <c r="AL3309" s="1" t="s">
        <v>53085</v>
      </c>
      <c r="AM3309" s="1" t="s">
        <v>996</v>
      </c>
      <c r="AN3309" s="1"/>
      <c r="AO3309" s="1" t="s">
        <v>254</v>
      </c>
      <c r="AP3309" s="1" t="s">
        <v>101</v>
      </c>
      <c r="AQ3309" s="1">
        <v>68</v>
      </c>
      <c r="AR3309" s="1">
        <v>0</v>
      </c>
      <c r="AS3309" s="1"/>
      <c r="AT3309" s="1"/>
      <c r="AU3309" s="1" t="s">
        <v>98</v>
      </c>
      <c r="AV3309" s="1" t="s">
        <v>98</v>
      </c>
      <c r="AW3309" s="1" t="s">
        <v>98</v>
      </c>
      <c r="AX3309" s="1" t="s">
        <v>98</v>
      </c>
      <c r="AY3309" s="1" t="s">
        <v>258</v>
      </c>
      <c r="AZ3309" s="1" t="s">
        <v>53086</v>
      </c>
      <c r="BA3309" s="1"/>
      <c r="BB3309" s="1"/>
      <c r="BC3309" s="1" t="s">
        <v>135</v>
      </c>
      <c r="BD3309" s="1" t="s">
        <v>174</v>
      </c>
      <c r="BE3309" s="1">
        <v>71.05</v>
      </c>
      <c r="BF3309" s="1">
        <v>7.98</v>
      </c>
      <c r="BG3309" s="1"/>
      <c r="BH3309" s="1"/>
      <c r="BI3309" s="1"/>
      <c r="BJ3309" s="1"/>
      <c r="BK3309" s="1" t="s">
        <v>98</v>
      </c>
      <c r="BL3309" s="1" t="s">
        <v>98</v>
      </c>
      <c r="BM3309" s="1" t="s">
        <v>98</v>
      </c>
      <c r="BN3309" s="1" t="s">
        <v>98</v>
      </c>
      <c r="BO3309" s="1" t="s">
        <v>53087</v>
      </c>
      <c r="BP3309" s="1" t="s">
        <v>53088</v>
      </c>
      <c r="BQ3309" s="1" t="s">
        <v>29553</v>
      </c>
      <c r="BR3309" s="1" t="s">
        <v>53089</v>
      </c>
      <c r="BS3309" s="1">
        <v>17</v>
      </c>
      <c r="BT3309" s="1"/>
      <c r="BU3309" s="1" t="str">
        <f>HYPERLINK("https://nconnect.nicmar.ac.in/storage/profile/2021-2023_AP21093_316754.jpg","Download")</f>
        <v>0</v>
      </c>
      <c r="BV3309" s="3"/>
      <c r="BW3309" s="3"/>
    </row>
    <row r="3310" spans="1:75">
      <c r="A3310" s="1" t="s">
        <v>51340</v>
      </c>
      <c r="B3310" s="1" t="s">
        <v>51341</v>
      </c>
      <c r="C3310" s="1" t="s">
        <v>53090</v>
      </c>
      <c r="D3310" s="1" t="s">
        <v>3666</v>
      </c>
      <c r="E3310" s="1"/>
      <c r="F3310" s="1" t="s">
        <v>7178</v>
      </c>
      <c r="G3310" s="1" t="s">
        <v>53091</v>
      </c>
      <c r="H3310" s="1" t="s">
        <v>53092</v>
      </c>
      <c r="I3310" s="1" t="s">
        <v>53093</v>
      </c>
      <c r="J3310" s="1">
        <v>9936724626</v>
      </c>
      <c r="K3310" s="1" t="s">
        <v>84</v>
      </c>
      <c r="L3310" s="1" t="s">
        <v>31481</v>
      </c>
      <c r="M3310" s="1" t="s">
        <v>86</v>
      </c>
      <c r="N3310" s="1" t="s">
        <v>53094</v>
      </c>
      <c r="O3310" s="1"/>
      <c r="P3310" s="1" t="s">
        <v>481</v>
      </c>
      <c r="Q3310" s="1" t="s">
        <v>53095</v>
      </c>
      <c r="R3310" s="1" t="s">
        <v>53096</v>
      </c>
      <c r="S3310" s="1">
        <v>9838358893</v>
      </c>
      <c r="T3310" s="1" t="s">
        <v>839</v>
      </c>
      <c r="U3310" s="1" t="s">
        <v>53097</v>
      </c>
      <c r="V3310" s="1">
        <v>9792938325</v>
      </c>
      <c r="W3310" s="1" t="s">
        <v>94</v>
      </c>
      <c r="X3310" s="1" t="s">
        <v>53098</v>
      </c>
      <c r="Y3310" s="1" t="s">
        <v>1059</v>
      </c>
      <c r="Z3310" s="1" t="s">
        <v>544</v>
      </c>
      <c r="AA3310" s="1" t="s">
        <v>53098</v>
      </c>
      <c r="AB3310" s="1" t="s">
        <v>1059</v>
      </c>
      <c r="AC3310" s="1" t="s">
        <v>544</v>
      </c>
      <c r="AD3310" s="1" t="s">
        <v>98</v>
      </c>
      <c r="AE3310" s="1" t="s">
        <v>98</v>
      </c>
      <c r="AF3310" s="1" t="s">
        <v>29341</v>
      </c>
      <c r="AG3310" s="1" t="s">
        <v>6474</v>
      </c>
      <c r="AH3310" s="1">
        <v>41366</v>
      </c>
      <c r="AI3310" s="1">
        <v>41729</v>
      </c>
      <c r="AJ3310" s="1">
        <v>82</v>
      </c>
      <c r="AK3310" s="1"/>
      <c r="AL3310" s="1" t="s">
        <v>29341</v>
      </c>
      <c r="AM3310" s="1" t="s">
        <v>6474</v>
      </c>
      <c r="AN3310" s="1"/>
      <c r="AO3310" s="1">
        <v>42096</v>
      </c>
      <c r="AP3310" s="1">
        <v>42496</v>
      </c>
      <c r="AQ3310" s="1">
        <v>84.8</v>
      </c>
      <c r="AR3310" s="1"/>
      <c r="AS3310" s="1"/>
      <c r="AT3310" s="1"/>
      <c r="AU3310" s="1" t="s">
        <v>98</v>
      </c>
      <c r="AV3310" s="1" t="s">
        <v>98</v>
      </c>
      <c r="AW3310" s="1" t="s">
        <v>98</v>
      </c>
      <c r="AX3310" s="1" t="s">
        <v>98</v>
      </c>
      <c r="AY3310" s="1" t="s">
        <v>3771</v>
      </c>
      <c r="AZ3310" s="1" t="s">
        <v>3771</v>
      </c>
      <c r="BA3310" s="1"/>
      <c r="BB3310" s="1"/>
      <c r="BC3310" s="1">
        <v>42583</v>
      </c>
      <c r="BD3310" s="1">
        <v>44069</v>
      </c>
      <c r="BE3310" s="1">
        <v>75.1</v>
      </c>
      <c r="BF3310" s="1">
        <v>7.51</v>
      </c>
      <c r="BG3310" s="1"/>
      <c r="BH3310" s="1"/>
      <c r="BI3310" s="1"/>
      <c r="BJ3310" s="1"/>
      <c r="BK3310" s="1" t="s">
        <v>98</v>
      </c>
      <c r="BL3310" s="1" t="s">
        <v>98</v>
      </c>
      <c r="BM3310" s="1" t="s">
        <v>98</v>
      </c>
      <c r="BN3310" s="1" t="s">
        <v>98</v>
      </c>
      <c r="BO3310" s="1" t="s">
        <v>369</v>
      </c>
      <c r="BP3310" s="1"/>
      <c r="BQ3310" s="1"/>
      <c r="BR3310" s="1" t="s">
        <v>53099</v>
      </c>
      <c r="BS3310" s="1">
        <v>22</v>
      </c>
      <c r="BT3310" s="1"/>
      <c r="BU3310" s="1" t="str">
        <f>HYPERLINK("https://nconnect.nicmar.ac.in/storage/profile/2021-2023_AP21094_178456.png","Download")</f>
        <v>0</v>
      </c>
      <c r="BV3310" s="3"/>
      <c r="BW3310" s="3"/>
    </row>
    <row r="3311" spans="1:75">
      <c r="A3311" s="1" t="s">
        <v>51340</v>
      </c>
      <c r="B3311" s="1" t="s">
        <v>51341</v>
      </c>
      <c r="C3311" s="1" t="s">
        <v>53100</v>
      </c>
      <c r="D3311" s="1" t="s">
        <v>53101</v>
      </c>
      <c r="E3311" s="1"/>
      <c r="F3311" s="1" t="s">
        <v>53102</v>
      </c>
      <c r="G3311" s="1" t="s">
        <v>53103</v>
      </c>
      <c r="H3311" s="1" t="s">
        <v>53104</v>
      </c>
      <c r="I3311" s="1" t="s">
        <v>53105</v>
      </c>
      <c r="J3311" s="1">
        <v>7059179566</v>
      </c>
      <c r="K3311" s="1" t="s">
        <v>84</v>
      </c>
      <c r="L3311" s="1" t="s">
        <v>18907</v>
      </c>
      <c r="M3311" s="1" t="s">
        <v>86</v>
      </c>
      <c r="N3311" s="1" t="s">
        <v>27171</v>
      </c>
      <c r="O3311" s="1"/>
      <c r="P3311" s="1" t="s">
        <v>507</v>
      </c>
      <c r="Q3311" s="1" t="s">
        <v>53106</v>
      </c>
      <c r="R3311" s="1" t="s">
        <v>53107</v>
      </c>
      <c r="S3311" s="1">
        <v>9830786843</v>
      </c>
      <c r="T3311" s="1" t="s">
        <v>3396</v>
      </c>
      <c r="U3311" s="1" t="s">
        <v>53108</v>
      </c>
      <c r="V3311" s="1">
        <v>8335003478</v>
      </c>
      <c r="W3311" s="1" t="s">
        <v>94</v>
      </c>
      <c r="X3311" s="1" t="s">
        <v>53109</v>
      </c>
      <c r="Y3311" s="1" t="s">
        <v>3282</v>
      </c>
      <c r="Z3311" s="1" t="s">
        <v>1234</v>
      </c>
      <c r="AA3311" s="1" t="s">
        <v>53109</v>
      </c>
      <c r="AB3311" s="1" t="s">
        <v>3282</v>
      </c>
      <c r="AC3311" s="1" t="s">
        <v>1234</v>
      </c>
      <c r="AD3311" s="1" t="s">
        <v>98</v>
      </c>
      <c r="AE3311" s="1" t="s">
        <v>98</v>
      </c>
      <c r="AF3311" s="1" t="s">
        <v>53110</v>
      </c>
      <c r="AG3311" s="1" t="s">
        <v>3284</v>
      </c>
      <c r="AH3311" s="1" t="s">
        <v>7331</v>
      </c>
      <c r="AI3311" s="1" t="s">
        <v>2203</v>
      </c>
      <c r="AJ3311" s="1">
        <v>79.75</v>
      </c>
      <c r="AK3311" s="1"/>
      <c r="AL3311" s="1" t="s">
        <v>53110</v>
      </c>
      <c r="AM3311" s="1" t="s">
        <v>3287</v>
      </c>
      <c r="AN3311" s="1"/>
      <c r="AO3311" s="1" t="s">
        <v>23371</v>
      </c>
      <c r="AP3311" s="1" t="s">
        <v>3285</v>
      </c>
      <c r="AQ3311" s="1">
        <v>68.4</v>
      </c>
      <c r="AR3311" s="1"/>
      <c r="AS3311" s="1"/>
      <c r="AT3311" s="1"/>
      <c r="AU3311" s="1" t="s">
        <v>98</v>
      </c>
      <c r="AV3311" s="1" t="s">
        <v>98</v>
      </c>
      <c r="AW3311" s="1" t="s">
        <v>98</v>
      </c>
      <c r="AX3311" s="1" t="s">
        <v>98</v>
      </c>
      <c r="AY3311" s="1" t="s">
        <v>3625</v>
      </c>
      <c r="AZ3311" s="1" t="s">
        <v>53111</v>
      </c>
      <c r="BA3311" s="1"/>
      <c r="BB3311" s="1"/>
      <c r="BC3311" s="1" t="s">
        <v>339</v>
      </c>
      <c r="BD3311" s="1" t="s">
        <v>342</v>
      </c>
      <c r="BE3311" s="1">
        <v>65.6</v>
      </c>
      <c r="BF3311" s="1">
        <v>7.31</v>
      </c>
      <c r="BG3311" s="1"/>
      <c r="BH3311" s="1"/>
      <c r="BI3311" s="1"/>
      <c r="BJ3311" s="1"/>
      <c r="BK3311" s="1" t="s">
        <v>98</v>
      </c>
      <c r="BL3311" s="1" t="s">
        <v>98</v>
      </c>
      <c r="BM3311" s="1" t="s">
        <v>98</v>
      </c>
      <c r="BN3311" s="1" t="s">
        <v>98</v>
      </c>
      <c r="BO3311" s="1" t="s">
        <v>53112</v>
      </c>
      <c r="BP3311" s="1" t="s">
        <v>53113</v>
      </c>
      <c r="BQ3311" s="1" t="s">
        <v>1976</v>
      </c>
      <c r="BR3311" s="1" t="s">
        <v>53114</v>
      </c>
      <c r="BS3311" s="1">
        <v>14</v>
      </c>
      <c r="BT3311" s="1"/>
      <c r="BU3311" s="1" t="str">
        <f>HYPERLINK("https://nconnect.nicmar.ac.in/storage/profile/2021-2023_AP21095_125794.jpg","Download")</f>
        <v>0</v>
      </c>
      <c r="BV3311" s="3"/>
      <c r="BW3311" s="3"/>
    </row>
    <row r="3312" spans="1:75">
      <c r="A3312" s="1" t="s">
        <v>51340</v>
      </c>
      <c r="B3312" s="1" t="s">
        <v>51341</v>
      </c>
      <c r="C3312" s="1" t="s">
        <v>53115</v>
      </c>
      <c r="D3312" s="1" t="s">
        <v>53116</v>
      </c>
      <c r="E3312" s="1"/>
      <c r="F3312" s="1" t="s">
        <v>10261</v>
      </c>
      <c r="G3312" s="1" t="s">
        <v>53117</v>
      </c>
      <c r="H3312" s="1" t="s">
        <v>53118</v>
      </c>
      <c r="I3312" s="1" t="s">
        <v>53119</v>
      </c>
      <c r="J3312" s="1">
        <v>7901459544</v>
      </c>
      <c r="K3312" s="1" t="s">
        <v>153</v>
      </c>
      <c r="L3312" s="1" t="s">
        <v>14368</v>
      </c>
      <c r="M3312" s="1" t="s">
        <v>86</v>
      </c>
      <c r="N3312" s="1" t="s">
        <v>53120</v>
      </c>
      <c r="O3312" s="1"/>
      <c r="P3312" s="1" t="s">
        <v>455</v>
      </c>
      <c r="Q3312" s="1" t="s">
        <v>53121</v>
      </c>
      <c r="R3312" s="1" t="s">
        <v>53122</v>
      </c>
      <c r="S3312" s="1">
        <v>8712287553</v>
      </c>
      <c r="T3312" s="1" t="s">
        <v>5620</v>
      </c>
      <c r="U3312" s="1" t="s">
        <v>53123</v>
      </c>
      <c r="V3312" s="1">
        <v>7386406203</v>
      </c>
      <c r="W3312" s="1" t="s">
        <v>5620</v>
      </c>
      <c r="X3312" s="1" t="s">
        <v>53124</v>
      </c>
      <c r="Y3312" s="1" t="s">
        <v>3590</v>
      </c>
      <c r="Z3312" s="1" t="s">
        <v>281</v>
      </c>
      <c r="AA3312" s="1" t="s">
        <v>53124</v>
      </c>
      <c r="AB3312" s="1" t="s">
        <v>3590</v>
      </c>
      <c r="AC3312" s="1" t="s">
        <v>281</v>
      </c>
      <c r="AD3312" s="1" t="s">
        <v>98</v>
      </c>
      <c r="AE3312" s="1" t="s">
        <v>98</v>
      </c>
      <c r="AF3312" s="1" t="s">
        <v>53125</v>
      </c>
      <c r="AG3312" s="1" t="s">
        <v>21404</v>
      </c>
      <c r="AH3312" s="1" t="s">
        <v>1214</v>
      </c>
      <c r="AI3312" s="1" t="s">
        <v>102</v>
      </c>
      <c r="AJ3312" s="1">
        <v>93.1</v>
      </c>
      <c r="AK3312" s="1">
        <v>9.8</v>
      </c>
      <c r="AL3312" s="1" t="s">
        <v>53126</v>
      </c>
      <c r="AM3312" s="1" t="s">
        <v>21404</v>
      </c>
      <c r="AN3312" s="1"/>
      <c r="AO3312" s="1" t="s">
        <v>166</v>
      </c>
      <c r="AP3312" s="1" t="s">
        <v>573</v>
      </c>
      <c r="AQ3312" s="1">
        <v>96.2</v>
      </c>
      <c r="AR3312" s="1"/>
      <c r="AS3312" s="1"/>
      <c r="AT3312" s="1"/>
      <c r="AU3312" s="1" t="s">
        <v>98</v>
      </c>
      <c r="AV3312" s="1" t="s">
        <v>98</v>
      </c>
      <c r="AW3312" s="1" t="s">
        <v>98</v>
      </c>
      <c r="AX3312" s="1" t="s">
        <v>98</v>
      </c>
      <c r="AY3312" s="1" t="s">
        <v>53127</v>
      </c>
      <c r="AZ3312" s="1" t="s">
        <v>53128</v>
      </c>
      <c r="BA3312" s="1"/>
      <c r="BB3312" s="1"/>
      <c r="BC3312" s="1" t="s">
        <v>573</v>
      </c>
      <c r="BD3312" s="1" t="s">
        <v>2304</v>
      </c>
      <c r="BE3312" s="1">
        <v>90.28</v>
      </c>
      <c r="BF3312" s="1">
        <v>9.32</v>
      </c>
      <c r="BG3312" s="1"/>
      <c r="BH3312" s="1"/>
      <c r="BI3312" s="1"/>
      <c r="BJ3312" s="1"/>
      <c r="BK3312" s="1" t="s">
        <v>98</v>
      </c>
      <c r="BL3312" s="1" t="s">
        <v>98</v>
      </c>
      <c r="BM3312" s="1" t="s">
        <v>98</v>
      </c>
      <c r="BN3312" s="1" t="s">
        <v>98</v>
      </c>
      <c r="BO3312" s="1" t="s">
        <v>51552</v>
      </c>
      <c r="BP3312" s="1"/>
      <c r="BQ3312" s="1"/>
      <c r="BR3312" s="1" t="s">
        <v>53129</v>
      </c>
      <c r="BS3312" s="1">
        <v>9</v>
      </c>
      <c r="BT3312" s="1"/>
      <c r="BU3312" s="1" t="str">
        <f>HYPERLINK("https://nconnect.nicmar.ac.in/storage/profile/2021-2023_AP21096_139648.jpeg","Download")</f>
        <v>0</v>
      </c>
      <c r="BV3312" s="3"/>
      <c r="BW3312" s="3"/>
    </row>
    <row r="3313" spans="1:75">
      <c r="A3313" s="1" t="s">
        <v>51340</v>
      </c>
      <c r="B3313" s="1" t="s">
        <v>51341</v>
      </c>
      <c r="C3313" s="1" t="s">
        <v>53130</v>
      </c>
      <c r="D3313" s="1" t="s">
        <v>2829</v>
      </c>
      <c r="E3313" s="1"/>
      <c r="F3313" s="1" t="s">
        <v>11697</v>
      </c>
      <c r="G3313" s="1" t="s">
        <v>11698</v>
      </c>
      <c r="H3313" s="1" t="s">
        <v>53131</v>
      </c>
      <c r="I3313" s="1" t="s">
        <v>53132</v>
      </c>
      <c r="J3313" s="1">
        <v>8426900495</v>
      </c>
      <c r="K3313" s="1" t="s">
        <v>84</v>
      </c>
      <c r="L3313" s="1" t="s">
        <v>21027</v>
      </c>
      <c r="M3313" s="1" t="s">
        <v>86</v>
      </c>
      <c r="N3313" s="1" t="s">
        <v>246</v>
      </c>
      <c r="O3313" s="1"/>
      <c r="P3313" s="1" t="s">
        <v>481</v>
      </c>
      <c r="Q3313" s="1" t="s">
        <v>53133</v>
      </c>
      <c r="R3313" s="1" t="s">
        <v>53134</v>
      </c>
      <c r="S3313" s="1">
        <v>9413373248</v>
      </c>
      <c r="T3313" s="1" t="s">
        <v>3788</v>
      </c>
      <c r="U3313" s="1" t="s">
        <v>53135</v>
      </c>
      <c r="V3313" s="1">
        <v>8949679264</v>
      </c>
      <c r="W3313" s="1" t="s">
        <v>541</v>
      </c>
      <c r="X3313" s="1" t="s">
        <v>53136</v>
      </c>
      <c r="Y3313" s="1" t="s">
        <v>41982</v>
      </c>
      <c r="Z3313" s="1" t="s">
        <v>2153</v>
      </c>
      <c r="AA3313" s="1" t="s">
        <v>53136</v>
      </c>
      <c r="AB3313" s="1" t="s">
        <v>41982</v>
      </c>
      <c r="AC3313" s="1" t="s">
        <v>2153</v>
      </c>
      <c r="AD3313" s="1" t="s">
        <v>98</v>
      </c>
      <c r="AE3313" s="1" t="s">
        <v>98</v>
      </c>
      <c r="AF3313" s="1" t="s">
        <v>41985</v>
      </c>
      <c r="AG3313" s="1" t="s">
        <v>312</v>
      </c>
      <c r="AH3313" s="1">
        <v>41733</v>
      </c>
      <c r="AI3313" s="1">
        <v>42152</v>
      </c>
      <c r="AJ3313" s="1">
        <v>74.1</v>
      </c>
      <c r="AK3313" s="1">
        <v>7.8</v>
      </c>
      <c r="AL3313" s="1" t="s">
        <v>41985</v>
      </c>
      <c r="AM3313" s="1" t="s">
        <v>312</v>
      </c>
      <c r="AN3313" s="1"/>
      <c r="AO3313" s="1">
        <v>42463</v>
      </c>
      <c r="AP3313" s="1">
        <v>42883</v>
      </c>
      <c r="AQ3313" s="1">
        <v>71.8</v>
      </c>
      <c r="AR3313" s="1"/>
      <c r="AS3313" s="1"/>
      <c r="AT3313" s="1"/>
      <c r="AU3313" s="1" t="s">
        <v>98</v>
      </c>
      <c r="AV3313" s="1" t="s">
        <v>98</v>
      </c>
      <c r="AW3313" s="1" t="s">
        <v>98</v>
      </c>
      <c r="AX3313" s="1" t="s">
        <v>98</v>
      </c>
      <c r="AY3313" s="1" t="s">
        <v>366</v>
      </c>
      <c r="AZ3313" s="1" t="s">
        <v>53137</v>
      </c>
      <c r="BA3313" s="1"/>
      <c r="BB3313" s="1"/>
      <c r="BC3313" s="1">
        <v>42948</v>
      </c>
      <c r="BD3313" s="1">
        <v>44408</v>
      </c>
      <c r="BE3313" s="1">
        <v>68.28</v>
      </c>
      <c r="BF3313" s="1">
        <v>7.76</v>
      </c>
      <c r="BG3313" s="1"/>
      <c r="BH3313" s="1"/>
      <c r="BI3313" s="1"/>
      <c r="BJ3313" s="1"/>
      <c r="BK3313" s="1" t="s">
        <v>98</v>
      </c>
      <c r="BL3313" s="1" t="s">
        <v>98</v>
      </c>
      <c r="BM3313" s="1" t="s">
        <v>98</v>
      </c>
      <c r="BN3313" s="1" t="s">
        <v>98</v>
      </c>
      <c r="BO3313" s="1" t="s">
        <v>369</v>
      </c>
      <c r="BP3313" s="1"/>
      <c r="BQ3313" s="1"/>
      <c r="BR3313" s="1" t="s">
        <v>53138</v>
      </c>
      <c r="BS3313" s="1">
        <v>12</v>
      </c>
      <c r="BT3313" s="1"/>
      <c r="BU3313" s="1" t="s">
        <v>9653</v>
      </c>
      <c r="BV3313" s="3"/>
      <c r="BW3313" s="3"/>
    </row>
    <row r="3314" spans="1:75">
      <c r="A3314" s="1" t="s">
        <v>51340</v>
      </c>
      <c r="B3314" s="1" t="s">
        <v>51341</v>
      </c>
      <c r="C3314" s="1" t="s">
        <v>53139</v>
      </c>
      <c r="D3314" s="1" t="s">
        <v>53140</v>
      </c>
      <c r="E3314" s="1"/>
      <c r="F3314" s="1" t="s">
        <v>2350</v>
      </c>
      <c r="G3314" s="1" t="s">
        <v>53141</v>
      </c>
      <c r="H3314" s="1" t="s">
        <v>53142</v>
      </c>
      <c r="I3314" s="1" t="s">
        <v>53143</v>
      </c>
      <c r="J3314" s="1">
        <v>8891903618</v>
      </c>
      <c r="K3314" s="1" t="s">
        <v>153</v>
      </c>
      <c r="L3314" s="1" t="s">
        <v>53144</v>
      </c>
      <c r="M3314" s="1" t="s">
        <v>86</v>
      </c>
      <c r="N3314" s="1" t="s">
        <v>53145</v>
      </c>
      <c r="O3314" s="1"/>
      <c r="P3314" s="1" t="s">
        <v>481</v>
      </c>
      <c r="Q3314" s="1" t="s">
        <v>53146</v>
      </c>
      <c r="R3314" s="1" t="s">
        <v>53147</v>
      </c>
      <c r="S3314" s="1">
        <v>9895399199</v>
      </c>
      <c r="T3314" s="1" t="s">
        <v>53148</v>
      </c>
      <c r="U3314" s="1" t="s">
        <v>53149</v>
      </c>
      <c r="V3314" s="1">
        <v>9287555575</v>
      </c>
      <c r="W3314" s="1" t="s">
        <v>94</v>
      </c>
      <c r="X3314" s="1" t="s">
        <v>53150</v>
      </c>
      <c r="Y3314" s="1" t="s">
        <v>701</v>
      </c>
      <c r="Z3314" s="1" t="s">
        <v>130</v>
      </c>
      <c r="AA3314" s="1" t="s">
        <v>53150</v>
      </c>
      <c r="AB3314" s="1" t="s">
        <v>701</v>
      </c>
      <c r="AC3314" s="1" t="s">
        <v>130</v>
      </c>
      <c r="AD3314" s="1" t="s">
        <v>98</v>
      </c>
      <c r="AE3314" s="1" t="s">
        <v>98</v>
      </c>
      <c r="AF3314" s="1" t="s">
        <v>53151</v>
      </c>
      <c r="AG3314" s="1" t="s">
        <v>796</v>
      </c>
      <c r="AH3314" s="1">
        <v>41062</v>
      </c>
      <c r="AI3314" s="1">
        <v>41420</v>
      </c>
      <c r="AJ3314" s="1">
        <v>91.2</v>
      </c>
      <c r="AK3314" s="1">
        <v>9.6</v>
      </c>
      <c r="AL3314" s="1" t="s">
        <v>53151</v>
      </c>
      <c r="AM3314" s="1" t="s">
        <v>796</v>
      </c>
      <c r="AN3314" s="1"/>
      <c r="AO3314" s="1">
        <v>41764</v>
      </c>
      <c r="AP3314" s="1">
        <v>42149</v>
      </c>
      <c r="AQ3314" s="1">
        <v>94.4</v>
      </c>
      <c r="AR3314" s="1"/>
      <c r="AS3314" s="1"/>
      <c r="AT3314" s="1"/>
      <c r="AU3314" s="1" t="s">
        <v>98</v>
      </c>
      <c r="AV3314" s="1" t="s">
        <v>98</v>
      </c>
      <c r="AW3314" s="1" t="s">
        <v>98</v>
      </c>
      <c r="AX3314" s="1" t="s">
        <v>98</v>
      </c>
      <c r="AY3314" s="1" t="s">
        <v>53152</v>
      </c>
      <c r="AZ3314" s="1" t="s">
        <v>33857</v>
      </c>
      <c r="BA3314" s="1"/>
      <c r="BB3314" s="1"/>
      <c r="BC3314" s="1">
        <v>42219</v>
      </c>
      <c r="BD3314" s="1">
        <v>44089</v>
      </c>
      <c r="BE3314" s="1">
        <v>62.7</v>
      </c>
      <c r="BF3314" s="1">
        <v>6.6</v>
      </c>
      <c r="BG3314" s="1"/>
      <c r="BH3314" s="1"/>
      <c r="BI3314" s="1"/>
      <c r="BJ3314" s="1"/>
      <c r="BK3314" s="1" t="s">
        <v>98</v>
      </c>
      <c r="BL3314" s="1" t="s">
        <v>98</v>
      </c>
      <c r="BM3314" s="1" t="s">
        <v>98</v>
      </c>
      <c r="BN3314" s="1" t="s">
        <v>98</v>
      </c>
      <c r="BO3314" s="1" t="s">
        <v>53153</v>
      </c>
      <c r="BP3314" s="1"/>
      <c r="BQ3314" s="1"/>
      <c r="BR3314" s="1" t="s">
        <v>53154</v>
      </c>
      <c r="BS3314" s="1">
        <v>48</v>
      </c>
      <c r="BT3314" s="1"/>
      <c r="BU3314" s="1" t="str">
        <f>HYPERLINK("https://nconnect.nicmar.ac.in/storage/profile/2021-2023_AP21098_356871.jpg","Download")</f>
        <v>0</v>
      </c>
      <c r="BV3314" s="3"/>
      <c r="BW3314" s="3"/>
    </row>
    <row r="3315" spans="1:75">
      <c r="A3315" s="1" t="s">
        <v>51340</v>
      </c>
      <c r="B3315" s="1" t="s">
        <v>51341</v>
      </c>
      <c r="C3315" s="1" t="s">
        <v>53155</v>
      </c>
      <c r="D3315" s="1" t="s">
        <v>2428</v>
      </c>
      <c r="E3315" s="1" t="s">
        <v>5230</v>
      </c>
      <c r="F3315" s="1" t="s">
        <v>53156</v>
      </c>
      <c r="G3315" s="1" t="s">
        <v>53157</v>
      </c>
      <c r="H3315" s="1" t="s">
        <v>53158</v>
      </c>
      <c r="I3315" s="1" t="s">
        <v>53159</v>
      </c>
      <c r="J3315" s="1">
        <v>9833393858</v>
      </c>
      <c r="K3315" s="1" t="s">
        <v>84</v>
      </c>
      <c r="L3315" s="1" t="s">
        <v>33136</v>
      </c>
      <c r="M3315" s="1" t="s">
        <v>86</v>
      </c>
      <c r="N3315" s="1" t="s">
        <v>53160</v>
      </c>
      <c r="O3315" s="1"/>
      <c r="P3315" s="1" t="s">
        <v>481</v>
      </c>
      <c r="Q3315" s="1" t="s">
        <v>53161</v>
      </c>
      <c r="R3315" s="1" t="s">
        <v>53162</v>
      </c>
      <c r="S3315" s="1">
        <v>8288665521</v>
      </c>
      <c r="T3315" s="1" t="s">
        <v>53163</v>
      </c>
      <c r="U3315" s="1" t="s">
        <v>53164</v>
      </c>
      <c r="V3315" s="1">
        <v>9869161303</v>
      </c>
      <c r="W3315" s="1" t="s">
        <v>278</v>
      </c>
      <c r="X3315" s="1" t="s">
        <v>53165</v>
      </c>
      <c r="Y3315" s="1" t="s">
        <v>53166</v>
      </c>
      <c r="Z3315" s="1" t="s">
        <v>97</v>
      </c>
      <c r="AA3315" s="1" t="s">
        <v>53165</v>
      </c>
      <c r="AB3315" s="1" t="s">
        <v>53166</v>
      </c>
      <c r="AC3315" s="1" t="s">
        <v>97</v>
      </c>
      <c r="AD3315" s="1" t="s">
        <v>98</v>
      </c>
      <c r="AE3315" s="1" t="s">
        <v>98</v>
      </c>
      <c r="AF3315" s="1" t="s">
        <v>53167</v>
      </c>
      <c r="AG3315" s="1" t="s">
        <v>51712</v>
      </c>
      <c r="AH3315" s="1" t="s">
        <v>339</v>
      </c>
      <c r="AI3315" s="1" t="s">
        <v>3965</v>
      </c>
      <c r="AJ3315" s="1">
        <v>78.55</v>
      </c>
      <c r="AK3315" s="1"/>
      <c r="AL3315" s="1" t="s">
        <v>53168</v>
      </c>
      <c r="AM3315" s="1" t="s">
        <v>51712</v>
      </c>
      <c r="AN3315" s="1"/>
      <c r="AO3315" s="1" t="s">
        <v>1213</v>
      </c>
      <c r="AP3315" s="1" t="s">
        <v>3967</v>
      </c>
      <c r="AQ3315" s="1">
        <v>60.77</v>
      </c>
      <c r="AR3315" s="1"/>
      <c r="AS3315" s="1"/>
      <c r="AT3315" s="1"/>
      <c r="AU3315" s="1" t="s">
        <v>98</v>
      </c>
      <c r="AV3315" s="1" t="s">
        <v>98</v>
      </c>
      <c r="AW3315" s="1"/>
      <c r="AX3315" s="1"/>
      <c r="AY3315" s="1" t="s">
        <v>258</v>
      </c>
      <c r="AZ3315" s="1" t="s">
        <v>52953</v>
      </c>
      <c r="BA3315" s="1"/>
      <c r="BB3315" s="1"/>
      <c r="BC3315" s="1" t="s">
        <v>135</v>
      </c>
      <c r="BD3315" s="1" t="s">
        <v>171</v>
      </c>
      <c r="BE3315" s="1">
        <v>64.17</v>
      </c>
      <c r="BF3315" s="1">
        <v>7.05</v>
      </c>
      <c r="BG3315" s="1"/>
      <c r="BH3315" s="1"/>
      <c r="BI3315" s="1"/>
      <c r="BJ3315" s="1"/>
      <c r="BK3315" s="1" t="s">
        <v>98</v>
      </c>
      <c r="BL3315" s="1" t="s">
        <v>98</v>
      </c>
      <c r="BM3315" s="1" t="s">
        <v>98</v>
      </c>
      <c r="BN3315" s="1" t="s">
        <v>98</v>
      </c>
      <c r="BO3315" s="1" t="s">
        <v>1114</v>
      </c>
      <c r="BP3315" s="1" t="s">
        <v>53169</v>
      </c>
      <c r="BQ3315" s="1" t="s">
        <v>3404</v>
      </c>
      <c r="BR3315" s="1" t="s">
        <v>53170</v>
      </c>
      <c r="BS3315" s="1">
        <v>42</v>
      </c>
      <c r="BT3315" s="1"/>
      <c r="BU3315" s="1" t="str">
        <f>HYPERLINK("https://nconnect.nicmar.ac.in/storage/profile/2021-2023_AP21099_835472.jpg","Download")</f>
        <v>0</v>
      </c>
      <c r="BV3315" s="3"/>
      <c r="BW3315" s="3"/>
    </row>
    <row r="3316" spans="1:75">
      <c r="A3316" s="1" t="s">
        <v>51340</v>
      </c>
      <c r="B3316" s="1" t="s">
        <v>51341</v>
      </c>
      <c r="C3316" s="1" t="s">
        <v>53171</v>
      </c>
      <c r="D3316" s="1" t="s">
        <v>761</v>
      </c>
      <c r="E3316" s="1" t="s">
        <v>397</v>
      </c>
      <c r="F3316" s="1" t="s">
        <v>53172</v>
      </c>
      <c r="G3316" s="1" t="s">
        <v>53173</v>
      </c>
      <c r="H3316" s="1" t="s">
        <v>53174</v>
      </c>
      <c r="I3316" s="1" t="s">
        <v>53175</v>
      </c>
      <c r="J3316" s="1">
        <v>8237886725</v>
      </c>
      <c r="K3316" s="1" t="s">
        <v>84</v>
      </c>
      <c r="L3316" s="1" t="s">
        <v>53176</v>
      </c>
      <c r="M3316" s="1" t="s">
        <v>86</v>
      </c>
      <c r="N3316" s="1" t="s">
        <v>53177</v>
      </c>
      <c r="O3316" s="1"/>
      <c r="P3316" s="1" t="s">
        <v>481</v>
      </c>
      <c r="Q3316" s="1" t="s">
        <v>53178</v>
      </c>
      <c r="R3316" s="1" t="s">
        <v>53179</v>
      </c>
      <c r="S3316" s="1">
        <v>9422252405</v>
      </c>
      <c r="T3316" s="1" t="s">
        <v>539</v>
      </c>
      <c r="U3316" s="1" t="s">
        <v>53180</v>
      </c>
      <c r="V3316" s="1">
        <v>9420891815</v>
      </c>
      <c r="W3316" s="1" t="s">
        <v>94</v>
      </c>
      <c r="X3316" s="1" t="s">
        <v>53181</v>
      </c>
      <c r="Y3316" s="1" t="s">
        <v>910</v>
      </c>
      <c r="Z3316" s="1" t="s">
        <v>97</v>
      </c>
      <c r="AA3316" s="1" t="s">
        <v>53181</v>
      </c>
      <c r="AB3316" s="1" t="s">
        <v>910</v>
      </c>
      <c r="AC3316" s="1" t="s">
        <v>97</v>
      </c>
      <c r="AD3316" s="1" t="s">
        <v>98</v>
      </c>
      <c r="AE3316" s="1" t="s">
        <v>98</v>
      </c>
      <c r="AF3316" s="1" t="s">
        <v>53182</v>
      </c>
      <c r="AG3316" s="1" t="s">
        <v>6474</v>
      </c>
      <c r="AH3316" s="1">
        <v>41730</v>
      </c>
      <c r="AI3316" s="1">
        <v>42142</v>
      </c>
      <c r="AJ3316" s="1">
        <v>82.67</v>
      </c>
      <c r="AK3316" s="1">
        <v>0</v>
      </c>
      <c r="AL3316" s="1" t="s">
        <v>98</v>
      </c>
      <c r="AM3316" s="1" t="s">
        <v>98</v>
      </c>
      <c r="AN3316" s="1"/>
      <c r="AO3316" s="1" t="s">
        <v>98</v>
      </c>
      <c r="AP3316" s="1" t="s">
        <v>98</v>
      </c>
      <c r="AQ3316" s="1"/>
      <c r="AR3316" s="1"/>
      <c r="AS3316" s="1" t="s">
        <v>439</v>
      </c>
      <c r="AT3316" s="1" t="s">
        <v>53183</v>
      </c>
      <c r="AU3316" s="1">
        <v>42217</v>
      </c>
      <c r="AV3316" s="1">
        <v>43257</v>
      </c>
      <c r="AW3316" s="1">
        <v>75.7</v>
      </c>
      <c r="AX3316" s="1">
        <v>0</v>
      </c>
      <c r="AY3316" s="1" t="s">
        <v>7827</v>
      </c>
      <c r="AZ3316" s="1" t="s">
        <v>35799</v>
      </c>
      <c r="BA3316" s="1"/>
      <c r="BB3316" s="1"/>
      <c r="BC3316" s="1">
        <v>43322</v>
      </c>
      <c r="BD3316" s="1">
        <v>44407</v>
      </c>
      <c r="BE3316" s="1">
        <v>80.4</v>
      </c>
      <c r="BF3316" s="1">
        <v>8.79</v>
      </c>
      <c r="BG3316" s="1"/>
      <c r="BH3316" s="1"/>
      <c r="BI3316" s="1"/>
      <c r="BJ3316" s="1"/>
      <c r="BK3316" s="1" t="s">
        <v>98</v>
      </c>
      <c r="BL3316" s="1" t="s">
        <v>98</v>
      </c>
      <c r="BM3316" s="1" t="s">
        <v>98</v>
      </c>
      <c r="BN3316" s="1" t="s">
        <v>98</v>
      </c>
      <c r="BO3316" s="1" t="s">
        <v>369</v>
      </c>
      <c r="BP3316" s="1"/>
      <c r="BQ3316" s="1"/>
      <c r="BR3316" s="1" t="s">
        <v>53184</v>
      </c>
      <c r="BS3316" s="1">
        <v>22</v>
      </c>
      <c r="BT3316" s="1"/>
      <c r="BU3316" s="1" t="str">
        <f>HYPERLINK("https://nconnect.nicmar.ac.in/storage/profile/2021-2023_AP21100_437981.jpg","Download")</f>
        <v>0</v>
      </c>
      <c r="BV3316" s="3"/>
      <c r="BW3316" s="3"/>
    </row>
    <row r="3317" spans="1:75">
      <c r="A3317" s="1" t="s">
        <v>51340</v>
      </c>
      <c r="B3317" s="1" t="s">
        <v>51341</v>
      </c>
      <c r="C3317" s="1" t="s">
        <v>53185</v>
      </c>
      <c r="D3317" s="1" t="s">
        <v>1118</v>
      </c>
      <c r="E3317" s="1" t="s">
        <v>13206</v>
      </c>
      <c r="F3317" s="1" t="s">
        <v>53186</v>
      </c>
      <c r="G3317" s="1" t="s">
        <v>53187</v>
      </c>
      <c r="H3317" s="1" t="s">
        <v>53188</v>
      </c>
      <c r="I3317" s="1" t="s">
        <v>53189</v>
      </c>
      <c r="J3317" s="1">
        <v>7892982709</v>
      </c>
      <c r="K3317" s="1" t="s">
        <v>84</v>
      </c>
      <c r="L3317" s="1" t="s">
        <v>30397</v>
      </c>
      <c r="M3317" s="1" t="s">
        <v>86</v>
      </c>
      <c r="N3317" s="1" t="s">
        <v>53190</v>
      </c>
      <c r="O3317" s="1"/>
      <c r="P3317" s="1" t="s">
        <v>455</v>
      </c>
      <c r="Q3317" s="1" t="s">
        <v>53191</v>
      </c>
      <c r="R3317" s="1" t="s">
        <v>53192</v>
      </c>
      <c r="S3317" s="1">
        <v>9481915447</v>
      </c>
      <c r="T3317" s="1" t="s">
        <v>596</v>
      </c>
      <c r="U3317" s="1" t="s">
        <v>53193</v>
      </c>
      <c r="V3317" s="1">
        <v>9379894249</v>
      </c>
      <c r="W3317" s="1" t="s">
        <v>278</v>
      </c>
      <c r="X3317" s="1" t="s">
        <v>53194</v>
      </c>
      <c r="Y3317" s="1" t="s">
        <v>53195</v>
      </c>
      <c r="Z3317" s="1" t="s">
        <v>1210</v>
      </c>
      <c r="AA3317" s="1" t="s">
        <v>98</v>
      </c>
      <c r="AB3317" s="1" t="s">
        <v>53195</v>
      </c>
      <c r="AC3317" s="1" t="s">
        <v>1210</v>
      </c>
      <c r="AD3317" s="1" t="s">
        <v>98</v>
      </c>
      <c r="AE3317" s="1" t="s">
        <v>98</v>
      </c>
      <c r="AF3317" s="1" t="s">
        <v>53196</v>
      </c>
      <c r="AG3317" s="1" t="s">
        <v>36766</v>
      </c>
      <c r="AH3317" s="1" t="s">
        <v>3421</v>
      </c>
      <c r="AI3317" s="1" t="s">
        <v>1262</v>
      </c>
      <c r="AJ3317" s="1">
        <v>82.88</v>
      </c>
      <c r="AK3317" s="1">
        <v>8.7</v>
      </c>
      <c r="AL3317" s="1" t="s">
        <v>53197</v>
      </c>
      <c r="AM3317" s="1" t="s">
        <v>36766</v>
      </c>
      <c r="AN3317" s="1"/>
      <c r="AO3317" s="1" t="s">
        <v>1110</v>
      </c>
      <c r="AP3317" s="1" t="s">
        <v>627</v>
      </c>
      <c r="AQ3317" s="1">
        <v>79.16</v>
      </c>
      <c r="AR3317" s="1">
        <v>8.3</v>
      </c>
      <c r="AS3317" s="1"/>
      <c r="AT3317" s="1"/>
      <c r="AU3317" s="1" t="s">
        <v>98</v>
      </c>
      <c r="AV3317" s="1" t="s">
        <v>98</v>
      </c>
      <c r="AW3317" s="1"/>
      <c r="AX3317" s="1"/>
      <c r="AY3317" s="1" t="s">
        <v>1217</v>
      </c>
      <c r="AZ3317" s="1" t="s">
        <v>53198</v>
      </c>
      <c r="BA3317" s="1"/>
      <c r="BB3317" s="1"/>
      <c r="BC3317" s="1" t="s">
        <v>139</v>
      </c>
      <c r="BD3317" s="1" t="s">
        <v>2304</v>
      </c>
      <c r="BE3317" s="1">
        <v>55.9</v>
      </c>
      <c r="BF3317" s="1">
        <v>6.34</v>
      </c>
      <c r="BG3317" s="1"/>
      <c r="BH3317" s="1"/>
      <c r="BI3317" s="1"/>
      <c r="BJ3317" s="1"/>
      <c r="BK3317" s="1" t="s">
        <v>98</v>
      </c>
      <c r="BL3317" s="1" t="s">
        <v>98</v>
      </c>
      <c r="BM3317" s="1" t="s">
        <v>98</v>
      </c>
      <c r="BN3317" s="1" t="s">
        <v>98</v>
      </c>
      <c r="BO3317" s="1" t="s">
        <v>369</v>
      </c>
      <c r="BP3317" s="1"/>
      <c r="BQ3317" s="1"/>
      <c r="BR3317" s="1" t="s">
        <v>53199</v>
      </c>
      <c r="BS3317" s="1">
        <v>12</v>
      </c>
      <c r="BT3317" s="1"/>
      <c r="BU3317" s="1" t="s">
        <v>9653</v>
      </c>
      <c r="BV3317" s="3"/>
      <c r="BW3317" s="3"/>
    </row>
    <row r="3318" spans="1:75">
      <c r="A3318" s="1" t="s">
        <v>51340</v>
      </c>
      <c r="B3318" s="1" t="s">
        <v>51341</v>
      </c>
      <c r="C3318" s="1" t="s">
        <v>53200</v>
      </c>
      <c r="D3318" s="1" t="s">
        <v>33292</v>
      </c>
      <c r="E3318" s="1" t="s">
        <v>53201</v>
      </c>
      <c r="F3318" s="1" t="s">
        <v>1320</v>
      </c>
      <c r="G3318" s="1" t="s">
        <v>53202</v>
      </c>
      <c r="H3318" s="1" t="s">
        <v>53203</v>
      </c>
      <c r="I3318" s="1" t="s">
        <v>53204</v>
      </c>
      <c r="J3318" s="1">
        <v>9849566897</v>
      </c>
      <c r="K3318" s="1" t="s">
        <v>84</v>
      </c>
      <c r="L3318" s="1" t="s">
        <v>53205</v>
      </c>
      <c r="M3318" s="1" t="s">
        <v>86</v>
      </c>
      <c r="N3318" s="1" t="s">
        <v>8347</v>
      </c>
      <c r="O3318" s="1"/>
      <c r="P3318" s="1" t="s">
        <v>507</v>
      </c>
      <c r="Q3318" s="1" t="s">
        <v>53206</v>
      </c>
      <c r="R3318" s="1" t="s">
        <v>53207</v>
      </c>
      <c r="S3318" s="1">
        <v>9396530657</v>
      </c>
      <c r="T3318" s="1" t="s">
        <v>839</v>
      </c>
      <c r="U3318" s="1" t="s">
        <v>53208</v>
      </c>
      <c r="V3318" s="1">
        <v>9396806160</v>
      </c>
      <c r="W3318" s="1" t="s">
        <v>94</v>
      </c>
      <c r="X3318" s="1" t="s">
        <v>53209</v>
      </c>
      <c r="Y3318" s="1" t="s">
        <v>3031</v>
      </c>
      <c r="Z3318" s="1" t="s">
        <v>461</v>
      </c>
      <c r="AA3318" s="1" t="s">
        <v>53209</v>
      </c>
      <c r="AB3318" s="1" t="s">
        <v>3031</v>
      </c>
      <c r="AC3318" s="1" t="s">
        <v>461</v>
      </c>
      <c r="AD3318" s="1" t="s">
        <v>98</v>
      </c>
      <c r="AE3318" s="1" t="s">
        <v>98</v>
      </c>
      <c r="AF3318" s="1" t="s">
        <v>1437</v>
      </c>
      <c r="AG3318" s="1" t="s">
        <v>4050</v>
      </c>
      <c r="AH3318" s="1">
        <v>41794</v>
      </c>
      <c r="AI3318" s="1">
        <v>42141</v>
      </c>
      <c r="AJ3318" s="1">
        <v>77.9</v>
      </c>
      <c r="AK3318" s="1">
        <v>8.2</v>
      </c>
      <c r="AL3318" s="1" t="s">
        <v>53210</v>
      </c>
      <c r="AM3318" s="1" t="s">
        <v>4050</v>
      </c>
      <c r="AN3318" s="1"/>
      <c r="AO3318" s="1">
        <v>42522</v>
      </c>
      <c r="AP3318" s="1">
        <v>42841</v>
      </c>
      <c r="AQ3318" s="1">
        <v>61.2</v>
      </c>
      <c r="AR3318" s="1"/>
      <c r="AS3318" s="1"/>
      <c r="AT3318" s="1"/>
      <c r="AU3318" s="1" t="s">
        <v>98</v>
      </c>
      <c r="AV3318" s="1" t="s">
        <v>98</v>
      </c>
      <c r="AW3318" s="1" t="s">
        <v>98</v>
      </c>
      <c r="AX3318" s="1" t="s">
        <v>98</v>
      </c>
      <c r="AY3318" s="1" t="s">
        <v>53211</v>
      </c>
      <c r="AZ3318" s="1" t="s">
        <v>53211</v>
      </c>
      <c r="BA3318" s="1"/>
      <c r="BB3318" s="1"/>
      <c r="BC3318" s="1">
        <v>42941</v>
      </c>
      <c r="BD3318" s="1">
        <v>44384</v>
      </c>
      <c r="BE3318" s="1">
        <v>66.3</v>
      </c>
      <c r="BF3318" s="1">
        <v>6.5</v>
      </c>
      <c r="BG3318" s="1"/>
      <c r="BH3318" s="1"/>
      <c r="BI3318" s="1"/>
      <c r="BJ3318" s="1"/>
      <c r="BK3318" s="1" t="s">
        <v>98</v>
      </c>
      <c r="BL3318" s="1" t="s">
        <v>98</v>
      </c>
      <c r="BM3318" s="1" t="s">
        <v>98</v>
      </c>
      <c r="BN3318" s="1" t="s">
        <v>98</v>
      </c>
      <c r="BO3318" s="1" t="s">
        <v>1114</v>
      </c>
      <c r="BP3318" s="1"/>
      <c r="BQ3318" s="1"/>
      <c r="BR3318" s="1" t="s">
        <v>53212</v>
      </c>
      <c r="BS3318" s="1">
        <v>7</v>
      </c>
      <c r="BT3318" s="1"/>
      <c r="BU3318" s="1" t="str">
        <f>HYPERLINK("https://nconnect.nicmar.ac.in/storage/profile/2021-2023_AP21102_692518.jpeg","Download")</f>
        <v>0</v>
      </c>
      <c r="BV3318" s="3"/>
      <c r="BW3318" s="3"/>
    </row>
    <row r="3319" spans="1:75">
      <c r="A3319" s="1" t="s">
        <v>51340</v>
      </c>
      <c r="B3319" s="1" t="s">
        <v>51341</v>
      </c>
      <c r="C3319" s="1" t="s">
        <v>53213</v>
      </c>
      <c r="D3319" s="1" t="s">
        <v>35209</v>
      </c>
      <c r="E3319" s="1" t="s">
        <v>7510</v>
      </c>
      <c r="F3319" s="1" t="s">
        <v>53214</v>
      </c>
      <c r="G3319" s="1" t="s">
        <v>53215</v>
      </c>
      <c r="H3319" s="1" t="s">
        <v>53216</v>
      </c>
      <c r="I3319" s="1" t="s">
        <v>53217</v>
      </c>
      <c r="J3319" s="1">
        <v>9405841123</v>
      </c>
      <c r="K3319" s="1" t="s">
        <v>84</v>
      </c>
      <c r="L3319" s="1" t="s">
        <v>8090</v>
      </c>
      <c r="M3319" s="1" t="s">
        <v>86</v>
      </c>
      <c r="N3319" s="1" t="s">
        <v>1163</v>
      </c>
      <c r="O3319" s="1"/>
      <c r="P3319" s="1" t="s">
        <v>481</v>
      </c>
      <c r="Q3319" s="1" t="s">
        <v>53218</v>
      </c>
      <c r="R3319" s="1" t="s">
        <v>53219</v>
      </c>
      <c r="S3319" s="1">
        <v>9422095108</v>
      </c>
      <c r="T3319" s="1" t="s">
        <v>1620</v>
      </c>
      <c r="U3319" s="1" t="s">
        <v>53220</v>
      </c>
      <c r="V3319" s="1">
        <v>9421170472</v>
      </c>
      <c r="W3319" s="1" t="s">
        <v>94</v>
      </c>
      <c r="X3319" s="1" t="s">
        <v>53221</v>
      </c>
      <c r="Y3319" s="1" t="s">
        <v>53222</v>
      </c>
      <c r="Z3319" s="1" t="s">
        <v>97</v>
      </c>
      <c r="AA3319" s="1" t="s">
        <v>53223</v>
      </c>
      <c r="AB3319" s="1" t="s">
        <v>196</v>
      </c>
      <c r="AC3319" s="1" t="s">
        <v>97</v>
      </c>
      <c r="AD3319" s="1" t="s">
        <v>98</v>
      </c>
      <c r="AE3319" s="1" t="s">
        <v>98</v>
      </c>
      <c r="AF3319" s="1" t="s">
        <v>53224</v>
      </c>
      <c r="AG3319" s="1" t="s">
        <v>1968</v>
      </c>
      <c r="AH3319" s="1">
        <v>41440</v>
      </c>
      <c r="AI3319" s="1">
        <v>41807</v>
      </c>
      <c r="AJ3319" s="1">
        <v>96.6</v>
      </c>
      <c r="AK3319" s="1"/>
      <c r="AL3319" s="1" t="s">
        <v>53225</v>
      </c>
      <c r="AM3319" s="1" t="s">
        <v>1968</v>
      </c>
      <c r="AN3319" s="1"/>
      <c r="AO3319" s="1">
        <v>42156</v>
      </c>
      <c r="AP3319" s="1">
        <v>42515</v>
      </c>
      <c r="AQ3319" s="1">
        <v>66.15</v>
      </c>
      <c r="AR3319" s="1"/>
      <c r="AS3319" s="1"/>
      <c r="AT3319" s="1"/>
      <c r="AU3319" s="1" t="s">
        <v>98</v>
      </c>
      <c r="AV3319" s="1" t="s">
        <v>98</v>
      </c>
      <c r="AW3319" s="1" t="s">
        <v>98</v>
      </c>
      <c r="AX3319" s="1" t="s">
        <v>98</v>
      </c>
      <c r="AY3319" s="1" t="s">
        <v>258</v>
      </c>
      <c r="AZ3319" s="1" t="s">
        <v>26614</v>
      </c>
      <c r="BA3319" s="1"/>
      <c r="BB3319" s="1"/>
      <c r="BC3319" s="1">
        <v>42583</v>
      </c>
      <c r="BD3319" s="1">
        <v>44155</v>
      </c>
      <c r="BE3319" s="1">
        <v>67.88</v>
      </c>
      <c r="BF3319" s="1">
        <v>7.47</v>
      </c>
      <c r="BG3319" s="1"/>
      <c r="BH3319" s="1"/>
      <c r="BI3319" s="1"/>
      <c r="BJ3319" s="1"/>
      <c r="BK3319" s="1" t="s">
        <v>98</v>
      </c>
      <c r="BL3319" s="1" t="s">
        <v>98</v>
      </c>
      <c r="BM3319" s="1" t="s">
        <v>98</v>
      </c>
      <c r="BN3319" s="1" t="s">
        <v>98</v>
      </c>
      <c r="BO3319" s="1" t="s">
        <v>53226</v>
      </c>
      <c r="BP3319" s="1"/>
      <c r="BQ3319" s="1"/>
      <c r="BR3319" s="1" t="s">
        <v>53227</v>
      </c>
      <c r="BS3319" s="1">
        <v>11</v>
      </c>
      <c r="BT3319" s="1"/>
      <c r="BU3319" s="1" t="str">
        <f>HYPERLINK("https://nconnect.nicmar.ac.in/storage/profile/2021-2023_AP21103_271543.JPG","Download")</f>
        <v>0</v>
      </c>
      <c r="BV3319" s="3"/>
      <c r="BW3319" s="3"/>
    </row>
    <row r="3320" spans="1:75">
      <c r="A3320" s="1" t="s">
        <v>51340</v>
      </c>
      <c r="B3320" s="1" t="s">
        <v>51341</v>
      </c>
      <c r="C3320" s="1" t="s">
        <v>53228</v>
      </c>
      <c r="D3320" s="1" t="s">
        <v>53229</v>
      </c>
      <c r="E3320" s="1"/>
      <c r="F3320" s="1" t="s">
        <v>53230</v>
      </c>
      <c r="G3320" s="1" t="s">
        <v>53231</v>
      </c>
      <c r="H3320" s="1" t="s">
        <v>53232</v>
      </c>
      <c r="I3320" s="1" t="s">
        <v>53233</v>
      </c>
      <c r="J3320" s="1">
        <v>9032136679</v>
      </c>
      <c r="K3320" s="1" t="s">
        <v>84</v>
      </c>
      <c r="L3320" s="1" t="s">
        <v>52429</v>
      </c>
      <c r="M3320" s="1" t="s">
        <v>86</v>
      </c>
      <c r="N3320" s="1" t="s">
        <v>53234</v>
      </c>
      <c r="O3320" s="1"/>
      <c r="P3320" s="1" t="s">
        <v>455</v>
      </c>
      <c r="Q3320" s="1" t="s">
        <v>53235</v>
      </c>
      <c r="R3320" s="1" t="s">
        <v>53236</v>
      </c>
      <c r="S3320" s="1">
        <v>9885250010</v>
      </c>
      <c r="T3320" s="1" t="s">
        <v>159</v>
      </c>
      <c r="U3320" s="1" t="s">
        <v>53237</v>
      </c>
      <c r="V3320" s="1">
        <v>9441641103</v>
      </c>
      <c r="W3320" s="1" t="s">
        <v>541</v>
      </c>
      <c r="X3320" s="1" t="s">
        <v>53238</v>
      </c>
      <c r="Y3320" s="1" t="s">
        <v>3590</v>
      </c>
      <c r="Z3320" s="1" t="s">
        <v>281</v>
      </c>
      <c r="AA3320" s="1" t="s">
        <v>53238</v>
      </c>
      <c r="AB3320" s="1" t="s">
        <v>3590</v>
      </c>
      <c r="AC3320" s="1" t="s">
        <v>281</v>
      </c>
      <c r="AD3320" s="1" t="s">
        <v>98</v>
      </c>
      <c r="AE3320" s="1" t="s">
        <v>98</v>
      </c>
      <c r="AF3320" s="1" t="s">
        <v>53239</v>
      </c>
      <c r="AG3320" s="1" t="s">
        <v>53240</v>
      </c>
      <c r="AH3320" s="1" t="s">
        <v>4593</v>
      </c>
      <c r="AI3320" s="1" t="s">
        <v>801</v>
      </c>
      <c r="AJ3320" s="1">
        <v>70</v>
      </c>
      <c r="AK3320" s="1">
        <v>7.4</v>
      </c>
      <c r="AL3320" s="1" t="s">
        <v>53241</v>
      </c>
      <c r="AM3320" s="1" t="s">
        <v>53240</v>
      </c>
      <c r="AN3320" s="1"/>
      <c r="AO3320" s="1" t="s">
        <v>339</v>
      </c>
      <c r="AP3320" s="1" t="s">
        <v>134</v>
      </c>
      <c r="AQ3320" s="1">
        <v>80.1</v>
      </c>
      <c r="AR3320" s="1">
        <v>8.4</v>
      </c>
      <c r="AS3320" s="1"/>
      <c r="AT3320" s="1"/>
      <c r="AU3320" s="1" t="s">
        <v>98</v>
      </c>
      <c r="AV3320" s="1" t="s">
        <v>98</v>
      </c>
      <c r="AW3320" s="1" t="s">
        <v>98</v>
      </c>
      <c r="AX3320" s="1" t="s">
        <v>98</v>
      </c>
      <c r="AY3320" s="1" t="s">
        <v>5533</v>
      </c>
      <c r="AZ3320" s="1" t="s">
        <v>53242</v>
      </c>
      <c r="BA3320" s="1"/>
      <c r="BB3320" s="1"/>
      <c r="BC3320" s="1" t="s">
        <v>804</v>
      </c>
      <c r="BD3320" s="1" t="s">
        <v>13749</v>
      </c>
      <c r="BE3320" s="1">
        <v>66.99</v>
      </c>
      <c r="BF3320" s="1"/>
      <c r="BG3320" s="1"/>
      <c r="BH3320" s="1"/>
      <c r="BI3320" s="1"/>
      <c r="BJ3320" s="1"/>
      <c r="BK3320" s="1" t="s">
        <v>98</v>
      </c>
      <c r="BL3320" s="1" t="s">
        <v>98</v>
      </c>
      <c r="BM3320" s="1" t="s">
        <v>98</v>
      </c>
      <c r="BN3320" s="1" t="s">
        <v>98</v>
      </c>
      <c r="BO3320" s="1" t="s">
        <v>1114</v>
      </c>
      <c r="BP3320" s="1" t="s">
        <v>53243</v>
      </c>
      <c r="BQ3320" s="1" t="s">
        <v>736</v>
      </c>
      <c r="BR3320" s="1" t="s">
        <v>53244</v>
      </c>
      <c r="BS3320" s="1">
        <v>52</v>
      </c>
      <c r="BT3320" s="1"/>
      <c r="BU3320" s="1" t="str">
        <f>HYPERLINK("https://nconnect.nicmar.ac.in/storage/profile/2021-2023_AP21104_145867.jpg","Download")</f>
        <v>0</v>
      </c>
      <c r="BV3320" s="3"/>
      <c r="BW3320" s="3"/>
    </row>
    <row r="3321" spans="1:75">
      <c r="A3321" s="1" t="s">
        <v>51340</v>
      </c>
      <c r="B3321" s="1" t="s">
        <v>51341</v>
      </c>
      <c r="C3321" s="1" t="s">
        <v>53245</v>
      </c>
      <c r="D3321" s="1" t="s">
        <v>9134</v>
      </c>
      <c r="E3321" s="1"/>
      <c r="F3321" s="1" t="s">
        <v>53246</v>
      </c>
      <c r="G3321" s="1" t="s">
        <v>53247</v>
      </c>
      <c r="H3321" s="1" t="s">
        <v>53248</v>
      </c>
      <c r="I3321" s="1" t="s">
        <v>53249</v>
      </c>
      <c r="J3321" s="1">
        <v>8770759322</v>
      </c>
      <c r="K3321" s="1" t="s">
        <v>84</v>
      </c>
      <c r="L3321" s="1" t="s">
        <v>25977</v>
      </c>
      <c r="M3321" s="1" t="s">
        <v>86</v>
      </c>
      <c r="N3321" s="1" t="s">
        <v>37362</v>
      </c>
      <c r="O3321" s="1"/>
      <c r="P3321" s="1" t="s">
        <v>507</v>
      </c>
      <c r="Q3321" s="1" t="s">
        <v>53250</v>
      </c>
      <c r="R3321" s="1" t="s">
        <v>53251</v>
      </c>
      <c r="S3321" s="1">
        <v>8982034000</v>
      </c>
      <c r="T3321" s="1" t="s">
        <v>839</v>
      </c>
      <c r="U3321" s="1" t="s">
        <v>53252</v>
      </c>
      <c r="V3321" s="1">
        <v>8982035000</v>
      </c>
      <c r="W3321" s="1" t="s">
        <v>161</v>
      </c>
      <c r="X3321" s="1" t="s">
        <v>53253</v>
      </c>
      <c r="Y3321" s="1" t="s">
        <v>2932</v>
      </c>
      <c r="Z3321" s="1" t="s">
        <v>2933</v>
      </c>
      <c r="AA3321" s="1" t="s">
        <v>53253</v>
      </c>
      <c r="AB3321" s="1" t="s">
        <v>2932</v>
      </c>
      <c r="AC3321" s="1" t="s">
        <v>2933</v>
      </c>
      <c r="AD3321" s="1" t="s">
        <v>98</v>
      </c>
      <c r="AE3321" s="1" t="s">
        <v>98</v>
      </c>
      <c r="AF3321" s="1" t="s">
        <v>53254</v>
      </c>
      <c r="AG3321" s="1" t="s">
        <v>312</v>
      </c>
      <c r="AH3321" s="1">
        <v>41806</v>
      </c>
      <c r="AI3321" s="1">
        <v>42152</v>
      </c>
      <c r="AJ3321" s="1">
        <v>68.4</v>
      </c>
      <c r="AK3321" s="1">
        <v>7.2</v>
      </c>
      <c r="AL3321" s="1" t="s">
        <v>53254</v>
      </c>
      <c r="AM3321" s="1" t="s">
        <v>312</v>
      </c>
      <c r="AN3321" s="1"/>
      <c r="AO3321" s="1">
        <v>42537</v>
      </c>
      <c r="AP3321" s="1">
        <v>42883</v>
      </c>
      <c r="AQ3321" s="1">
        <v>69.6</v>
      </c>
      <c r="AR3321" s="1"/>
      <c r="AS3321" s="1"/>
      <c r="AT3321" s="1"/>
      <c r="AU3321" s="1" t="s">
        <v>98</v>
      </c>
      <c r="AV3321" s="1" t="s">
        <v>98</v>
      </c>
      <c r="AW3321" s="1" t="s">
        <v>98</v>
      </c>
      <c r="AX3321" s="1" t="s">
        <v>98</v>
      </c>
      <c r="AY3321" s="1" t="s">
        <v>25425</v>
      </c>
      <c r="AZ3321" s="1" t="s">
        <v>53255</v>
      </c>
      <c r="BA3321" s="1"/>
      <c r="BB3321" s="1"/>
      <c r="BC3321" s="1">
        <v>42926</v>
      </c>
      <c r="BD3321" s="1">
        <v>44415</v>
      </c>
      <c r="BE3321" s="1">
        <v>71.25</v>
      </c>
      <c r="BF3321" s="1">
        <v>2.85</v>
      </c>
      <c r="BG3321" s="1"/>
      <c r="BH3321" s="1"/>
      <c r="BI3321" s="1"/>
      <c r="BJ3321" s="1"/>
      <c r="BK3321" s="1" t="s">
        <v>98</v>
      </c>
      <c r="BL3321" s="1" t="s">
        <v>98</v>
      </c>
      <c r="BM3321" s="1" t="s">
        <v>98</v>
      </c>
      <c r="BN3321" s="1" t="s">
        <v>98</v>
      </c>
      <c r="BO3321" s="1" t="s">
        <v>1114</v>
      </c>
      <c r="BP3321" s="1"/>
      <c r="BQ3321" s="1"/>
      <c r="BR3321" s="1" t="s">
        <v>53256</v>
      </c>
      <c r="BS3321" s="1">
        <v>28</v>
      </c>
      <c r="BT3321" s="1"/>
      <c r="BU3321" s="1" t="str">
        <f>HYPERLINK("https://nconnect.nicmar.ac.in/storage/profile/2021-2023_AP21105_915437.png","Download")</f>
        <v>0</v>
      </c>
      <c r="BV3321" s="3"/>
      <c r="BW3321" s="3"/>
    </row>
    <row r="3322" spans="1:75">
      <c r="A3322" s="1" t="s">
        <v>51340</v>
      </c>
      <c r="B3322" s="1" t="s">
        <v>51341</v>
      </c>
      <c r="C3322" s="1" t="s">
        <v>53257</v>
      </c>
      <c r="D3322" s="1" t="s">
        <v>13956</v>
      </c>
      <c r="E3322" s="1"/>
      <c r="F3322" s="1" t="s">
        <v>2538</v>
      </c>
      <c r="G3322" s="1" t="s">
        <v>53258</v>
      </c>
      <c r="H3322" s="1" t="s">
        <v>53259</v>
      </c>
      <c r="I3322" s="1" t="s">
        <v>53260</v>
      </c>
      <c r="J3322" s="1">
        <v>8887863843</v>
      </c>
      <c r="K3322" s="1" t="s">
        <v>84</v>
      </c>
      <c r="L3322" s="1" t="s">
        <v>53261</v>
      </c>
      <c r="M3322" s="1" t="s">
        <v>86</v>
      </c>
      <c r="N3322" s="1" t="s">
        <v>13274</v>
      </c>
      <c r="O3322" s="1"/>
      <c r="P3322" s="1" t="s">
        <v>455</v>
      </c>
      <c r="Q3322" s="1" t="s">
        <v>53262</v>
      </c>
      <c r="R3322" s="1" t="s">
        <v>53263</v>
      </c>
      <c r="S3322" s="1">
        <v>9450544813</v>
      </c>
      <c r="T3322" s="1" t="s">
        <v>4693</v>
      </c>
      <c r="U3322" s="1" t="s">
        <v>53264</v>
      </c>
      <c r="V3322" s="1">
        <v>9305603669</v>
      </c>
      <c r="W3322" s="1" t="s">
        <v>94</v>
      </c>
      <c r="X3322" s="1" t="s">
        <v>53265</v>
      </c>
      <c r="Y3322" s="1" t="s">
        <v>21987</v>
      </c>
      <c r="Z3322" s="1" t="s">
        <v>544</v>
      </c>
      <c r="AA3322" s="1" t="s">
        <v>53265</v>
      </c>
      <c r="AB3322" s="1" t="s">
        <v>21987</v>
      </c>
      <c r="AC3322" s="1" t="s">
        <v>544</v>
      </c>
      <c r="AD3322" s="1" t="s">
        <v>98</v>
      </c>
      <c r="AE3322" s="1" t="s">
        <v>98</v>
      </c>
      <c r="AF3322" s="1" t="s">
        <v>53266</v>
      </c>
      <c r="AG3322" s="1" t="s">
        <v>53267</v>
      </c>
      <c r="AH3322" s="1">
        <v>40330</v>
      </c>
      <c r="AI3322" s="1">
        <v>40695</v>
      </c>
      <c r="AJ3322" s="1">
        <v>70.3</v>
      </c>
      <c r="AK3322" s="1">
        <v>7.4</v>
      </c>
      <c r="AL3322" s="1" t="s">
        <v>53268</v>
      </c>
      <c r="AM3322" s="1" t="s">
        <v>53267</v>
      </c>
      <c r="AN3322" s="1"/>
      <c r="AO3322" s="1">
        <v>41061</v>
      </c>
      <c r="AP3322" s="1">
        <v>41421</v>
      </c>
      <c r="AQ3322" s="1">
        <v>63.2</v>
      </c>
      <c r="AR3322" s="1"/>
      <c r="AS3322" s="1"/>
      <c r="AT3322" s="1"/>
      <c r="AU3322" s="1" t="s">
        <v>98</v>
      </c>
      <c r="AV3322" s="1" t="s">
        <v>98</v>
      </c>
      <c r="AW3322" s="1" t="s">
        <v>98</v>
      </c>
      <c r="AX3322" s="1" t="s">
        <v>98</v>
      </c>
      <c r="AY3322" s="1" t="s">
        <v>5106</v>
      </c>
      <c r="AZ3322" s="1" t="s">
        <v>5106</v>
      </c>
      <c r="BA3322" s="1"/>
      <c r="BB3322" s="1"/>
      <c r="BC3322" s="1">
        <v>41761</v>
      </c>
      <c r="BD3322" s="1">
        <v>43216</v>
      </c>
      <c r="BE3322" s="1">
        <v>79</v>
      </c>
      <c r="BF3322" s="1">
        <v>7.9</v>
      </c>
      <c r="BG3322" s="1"/>
      <c r="BH3322" s="1"/>
      <c r="BI3322" s="1"/>
      <c r="BJ3322" s="1"/>
      <c r="BK3322" s="1" t="s">
        <v>98</v>
      </c>
      <c r="BL3322" s="1" t="s">
        <v>98</v>
      </c>
      <c r="BM3322" s="1" t="s">
        <v>98</v>
      </c>
      <c r="BN3322" s="1" t="s">
        <v>98</v>
      </c>
      <c r="BO3322" s="1" t="s">
        <v>28530</v>
      </c>
      <c r="BP3322" s="1" t="s">
        <v>53269</v>
      </c>
      <c r="BQ3322" s="1" t="s">
        <v>49377</v>
      </c>
      <c r="BR3322" s="1" t="s">
        <v>53270</v>
      </c>
      <c r="BS3322" s="1">
        <v>12</v>
      </c>
      <c r="BT3322" s="1"/>
      <c r="BU3322" s="1" t="str">
        <f>HYPERLINK("https://nconnect.nicmar.ac.in/storage/profile/2021-2023_AP21106_687459.jpg","Download")</f>
        <v>0</v>
      </c>
      <c r="BV3322" s="3"/>
      <c r="BW3322" s="3"/>
    </row>
    <row r="3323" spans="1:75">
      <c r="A3323" s="1" t="s">
        <v>51340</v>
      </c>
      <c r="B3323" s="1" t="s">
        <v>51341</v>
      </c>
      <c r="C3323" s="1" t="s">
        <v>53271</v>
      </c>
      <c r="D3323" s="1" t="s">
        <v>3974</v>
      </c>
      <c r="E3323" s="1"/>
      <c r="F3323" s="1" t="s">
        <v>53272</v>
      </c>
      <c r="G3323" s="1" t="s">
        <v>53273</v>
      </c>
      <c r="H3323" s="1" t="s">
        <v>53274</v>
      </c>
      <c r="I3323" s="1" t="s">
        <v>53275</v>
      </c>
      <c r="J3323" s="1">
        <v>8921960783</v>
      </c>
      <c r="K3323" s="1" t="s">
        <v>153</v>
      </c>
      <c r="L3323" s="1" t="s">
        <v>53276</v>
      </c>
      <c r="M3323" s="1" t="s">
        <v>86</v>
      </c>
      <c r="N3323" s="1" t="s">
        <v>3026</v>
      </c>
      <c r="O3323" s="1"/>
      <c r="P3323" s="1" t="s">
        <v>507</v>
      </c>
      <c r="Q3323" s="1" t="s">
        <v>53277</v>
      </c>
      <c r="R3323" s="1" t="s">
        <v>53278</v>
      </c>
      <c r="S3323" s="1">
        <v>9246103369</v>
      </c>
      <c r="T3323" s="1" t="s">
        <v>7840</v>
      </c>
      <c r="U3323" s="1" t="s">
        <v>53279</v>
      </c>
      <c r="V3323" s="1">
        <v>9246503369</v>
      </c>
      <c r="W3323" s="1" t="s">
        <v>7840</v>
      </c>
      <c r="X3323" s="1" t="s">
        <v>53280</v>
      </c>
      <c r="Y3323" s="1" t="s">
        <v>3031</v>
      </c>
      <c r="Z3323" s="1" t="s">
        <v>461</v>
      </c>
      <c r="AA3323" s="1" t="s">
        <v>53280</v>
      </c>
      <c r="AB3323" s="1" t="s">
        <v>3031</v>
      </c>
      <c r="AC3323" s="1" t="s">
        <v>461</v>
      </c>
      <c r="AD3323" s="1" t="s">
        <v>98</v>
      </c>
      <c r="AE3323" s="1" t="s">
        <v>98</v>
      </c>
      <c r="AF3323" s="1" t="s">
        <v>53281</v>
      </c>
      <c r="AG3323" s="1" t="s">
        <v>1418</v>
      </c>
      <c r="AH3323" s="1" t="s">
        <v>3285</v>
      </c>
      <c r="AI3323" s="1" t="s">
        <v>2726</v>
      </c>
      <c r="AJ3323" s="1">
        <v>0</v>
      </c>
      <c r="AK3323" s="1">
        <v>9.2</v>
      </c>
      <c r="AL3323" s="1" t="s">
        <v>53282</v>
      </c>
      <c r="AM3323" s="1" t="s">
        <v>1418</v>
      </c>
      <c r="AN3323" s="1"/>
      <c r="AO3323" s="1" t="s">
        <v>133</v>
      </c>
      <c r="AP3323" s="1" t="s">
        <v>1262</v>
      </c>
      <c r="AQ3323" s="1">
        <v>96</v>
      </c>
      <c r="AR3323" s="1">
        <v>0</v>
      </c>
      <c r="AS3323" s="1"/>
      <c r="AT3323" s="1"/>
      <c r="AU3323" s="1" t="s">
        <v>98</v>
      </c>
      <c r="AV3323" s="1" t="s">
        <v>98</v>
      </c>
      <c r="AW3323" s="1" t="s">
        <v>98</v>
      </c>
      <c r="AX3323" s="1" t="s">
        <v>98</v>
      </c>
      <c r="AY3323" s="1" t="s">
        <v>53283</v>
      </c>
      <c r="AZ3323" s="1" t="s">
        <v>53283</v>
      </c>
      <c r="BA3323" s="1"/>
      <c r="BB3323" s="1"/>
      <c r="BC3323" s="1" t="s">
        <v>257</v>
      </c>
      <c r="BD3323" s="1" t="s">
        <v>315</v>
      </c>
      <c r="BE3323" s="1">
        <v>68.4</v>
      </c>
      <c r="BF3323" s="1">
        <v>6.84</v>
      </c>
      <c r="BG3323" s="1"/>
      <c r="BH3323" s="1"/>
      <c r="BI3323" s="1"/>
      <c r="BJ3323" s="1"/>
      <c r="BK3323" s="1" t="s">
        <v>98</v>
      </c>
      <c r="BL3323" s="1" t="s">
        <v>98</v>
      </c>
      <c r="BM3323" s="1" t="s">
        <v>98</v>
      </c>
      <c r="BN3323" s="1" t="s">
        <v>98</v>
      </c>
      <c r="BO3323" s="1" t="s">
        <v>53284</v>
      </c>
      <c r="BP3323" s="1" t="s">
        <v>53285</v>
      </c>
      <c r="BQ3323" s="1" t="s">
        <v>9606</v>
      </c>
      <c r="BR3323" s="1" t="s">
        <v>53286</v>
      </c>
      <c r="BS3323" s="1">
        <v>33</v>
      </c>
      <c r="BT3323" s="1"/>
      <c r="BU3323" s="1" t="str">
        <f>HYPERLINK("https://nconnect.nicmar.ac.in/storage/profile/2021-2023_AP21107_459812.jpg","Download")</f>
        <v>0</v>
      </c>
      <c r="BV3323" s="3"/>
      <c r="BW3323" s="3"/>
    </row>
    <row r="3324" spans="1:75">
      <c r="A3324" s="1" t="s">
        <v>51340</v>
      </c>
      <c r="B3324" s="1" t="s">
        <v>51341</v>
      </c>
      <c r="C3324" s="1" t="s">
        <v>53287</v>
      </c>
      <c r="D3324" s="1" t="s">
        <v>53288</v>
      </c>
      <c r="E3324" s="1" t="s">
        <v>53289</v>
      </c>
      <c r="F3324" s="1" t="s">
        <v>6636</v>
      </c>
      <c r="G3324" s="1" t="s">
        <v>53290</v>
      </c>
      <c r="H3324" s="1" t="s">
        <v>53291</v>
      </c>
      <c r="I3324" s="1" t="s">
        <v>53292</v>
      </c>
      <c r="J3324" s="1">
        <v>9427072213</v>
      </c>
      <c r="K3324" s="1" t="s">
        <v>84</v>
      </c>
      <c r="L3324" s="1" t="s">
        <v>35886</v>
      </c>
      <c r="M3324" s="1" t="s">
        <v>86</v>
      </c>
      <c r="N3324" s="1" t="s">
        <v>6641</v>
      </c>
      <c r="O3324" s="1"/>
      <c r="P3324" s="1" t="s">
        <v>481</v>
      </c>
      <c r="Q3324" s="1" t="s">
        <v>53293</v>
      </c>
      <c r="R3324" s="1" t="s">
        <v>53294</v>
      </c>
      <c r="S3324" s="1">
        <v>9726646476</v>
      </c>
      <c r="T3324" s="1" t="s">
        <v>1552</v>
      </c>
      <c r="U3324" s="1" t="s">
        <v>53295</v>
      </c>
      <c r="V3324" s="1">
        <v>9428104473</v>
      </c>
      <c r="W3324" s="1" t="s">
        <v>161</v>
      </c>
      <c r="X3324" s="1" t="s">
        <v>53296</v>
      </c>
      <c r="Y3324" s="1" t="s">
        <v>8166</v>
      </c>
      <c r="Z3324" s="1" t="s">
        <v>676</v>
      </c>
      <c r="AA3324" s="1" t="s">
        <v>53297</v>
      </c>
      <c r="AB3324" s="1" t="s">
        <v>8166</v>
      </c>
      <c r="AC3324" s="1" t="s">
        <v>676</v>
      </c>
      <c r="AD3324" s="1" t="s">
        <v>98</v>
      </c>
      <c r="AE3324" s="1" t="s">
        <v>98</v>
      </c>
      <c r="AF3324" s="1" t="s">
        <v>53298</v>
      </c>
      <c r="AG3324" s="1" t="s">
        <v>52071</v>
      </c>
      <c r="AH3324" s="1" t="s">
        <v>1583</v>
      </c>
      <c r="AI3324" s="1" t="s">
        <v>101</v>
      </c>
      <c r="AJ3324" s="1">
        <v>90.16</v>
      </c>
      <c r="AK3324" s="1">
        <v>9.01</v>
      </c>
      <c r="AL3324" s="1" t="s">
        <v>98</v>
      </c>
      <c r="AM3324" s="1"/>
      <c r="AN3324" s="1"/>
      <c r="AO3324" s="1"/>
      <c r="AP3324" s="1"/>
      <c r="AQ3324" s="1"/>
      <c r="AR3324" s="1"/>
      <c r="AS3324" s="1" t="s">
        <v>439</v>
      </c>
      <c r="AT3324" s="1" t="s">
        <v>53299</v>
      </c>
      <c r="AU3324" s="1" t="s">
        <v>105</v>
      </c>
      <c r="AV3324" s="1" t="s">
        <v>171</v>
      </c>
      <c r="AW3324" s="1">
        <v>74.4</v>
      </c>
      <c r="AX3324" s="1">
        <v>7.94</v>
      </c>
      <c r="AY3324" s="1" t="s">
        <v>5241</v>
      </c>
      <c r="AZ3324" s="1" t="s">
        <v>29137</v>
      </c>
      <c r="BA3324" s="1"/>
      <c r="BB3324" s="1"/>
      <c r="BC3324" s="1" t="s">
        <v>1065</v>
      </c>
      <c r="BD3324" s="1" t="s">
        <v>847</v>
      </c>
      <c r="BE3324" s="1">
        <v>82.7</v>
      </c>
      <c r="BF3324" s="1">
        <v>8.77</v>
      </c>
      <c r="BG3324" s="1"/>
      <c r="BH3324" s="1"/>
      <c r="BI3324" s="1"/>
      <c r="BJ3324" s="1"/>
      <c r="BK3324" s="1" t="s">
        <v>98</v>
      </c>
      <c r="BL3324" s="1" t="s">
        <v>98</v>
      </c>
      <c r="BM3324" s="1" t="s">
        <v>98</v>
      </c>
      <c r="BN3324" s="1" t="s">
        <v>98</v>
      </c>
      <c r="BO3324" s="1" t="s">
        <v>1114</v>
      </c>
      <c r="BP3324" s="1"/>
      <c r="BQ3324" s="1"/>
      <c r="BR3324" s="1" t="s">
        <v>53300</v>
      </c>
      <c r="BS3324" s="1">
        <v>17</v>
      </c>
      <c r="BT3324" s="1"/>
      <c r="BU3324" s="1" t="str">
        <f>HYPERLINK("https://nconnect.nicmar.ac.in/storage/profile/2021-2023_AP21108_832765.jpg","Download")</f>
        <v>0</v>
      </c>
      <c r="BV3324" s="3"/>
      <c r="BW3324" s="3"/>
    </row>
    <row r="3325" spans="1:75">
      <c r="A3325" s="1" t="s">
        <v>51340</v>
      </c>
      <c r="B3325" s="1" t="s">
        <v>51341</v>
      </c>
      <c r="C3325" s="1" t="s">
        <v>53301</v>
      </c>
      <c r="D3325" s="1" t="s">
        <v>3891</v>
      </c>
      <c r="E3325" s="1" t="s">
        <v>1320</v>
      </c>
      <c r="F3325" s="1" t="s">
        <v>53302</v>
      </c>
      <c r="G3325" s="1" t="s">
        <v>53303</v>
      </c>
      <c r="H3325" s="1" t="s">
        <v>53304</v>
      </c>
      <c r="I3325" s="1" t="s">
        <v>53305</v>
      </c>
      <c r="J3325" s="1">
        <v>7504818585</v>
      </c>
      <c r="K3325" s="1" t="s">
        <v>84</v>
      </c>
      <c r="L3325" s="1" t="s">
        <v>53306</v>
      </c>
      <c r="M3325" s="1" t="s">
        <v>86</v>
      </c>
      <c r="N3325" s="1" t="s">
        <v>881</v>
      </c>
      <c r="O3325" s="1"/>
      <c r="P3325" s="1" t="s">
        <v>455</v>
      </c>
      <c r="Q3325" s="1" t="s">
        <v>53307</v>
      </c>
      <c r="R3325" s="1" t="s">
        <v>53308</v>
      </c>
      <c r="S3325" s="1">
        <v>7978160206</v>
      </c>
      <c r="T3325" s="1" t="s">
        <v>53309</v>
      </c>
      <c r="U3325" s="1" t="s">
        <v>53310</v>
      </c>
      <c r="V3325" s="1">
        <v>9776660609</v>
      </c>
      <c r="W3325" s="1" t="s">
        <v>94</v>
      </c>
      <c r="X3325" s="1" t="s">
        <v>53311</v>
      </c>
      <c r="Y3325" s="1" t="s">
        <v>20810</v>
      </c>
      <c r="Z3325" s="1" t="s">
        <v>865</v>
      </c>
      <c r="AA3325" s="1" t="s">
        <v>53311</v>
      </c>
      <c r="AB3325" s="1" t="s">
        <v>20810</v>
      </c>
      <c r="AC3325" s="1" t="s">
        <v>865</v>
      </c>
      <c r="AD3325" s="1" t="s">
        <v>98</v>
      </c>
      <c r="AE3325" s="1" t="s">
        <v>98</v>
      </c>
      <c r="AF3325" s="1" t="s">
        <v>26428</v>
      </c>
      <c r="AG3325" s="1" t="s">
        <v>24233</v>
      </c>
      <c r="AH3325" s="1">
        <v>40614</v>
      </c>
      <c r="AI3325" s="1">
        <v>41053</v>
      </c>
      <c r="AJ3325" s="1">
        <v>76</v>
      </c>
      <c r="AK3325" s="1">
        <v>8</v>
      </c>
      <c r="AL3325" s="1" t="s">
        <v>98</v>
      </c>
      <c r="AM3325" s="1" t="s">
        <v>98</v>
      </c>
      <c r="AN3325" s="1"/>
      <c r="AO3325" s="1" t="s">
        <v>98</v>
      </c>
      <c r="AP3325" s="1" t="s">
        <v>98</v>
      </c>
      <c r="AQ3325" s="1"/>
      <c r="AR3325" s="1"/>
      <c r="AS3325" s="1" t="s">
        <v>439</v>
      </c>
      <c r="AT3325" s="1" t="s">
        <v>53312</v>
      </c>
      <c r="AU3325" s="1">
        <v>41221</v>
      </c>
      <c r="AV3325" s="1">
        <v>42503</v>
      </c>
      <c r="AW3325" s="1">
        <v>54.1</v>
      </c>
      <c r="AX3325" s="1"/>
      <c r="AY3325" s="1" t="s">
        <v>13327</v>
      </c>
      <c r="AZ3325" s="1" t="s">
        <v>53313</v>
      </c>
      <c r="BA3325" s="1"/>
      <c r="BB3325" s="1"/>
      <c r="BC3325" s="1">
        <v>42590</v>
      </c>
      <c r="BD3325" s="1">
        <v>43602</v>
      </c>
      <c r="BE3325" s="1">
        <v>67.7</v>
      </c>
      <c r="BF3325" s="1">
        <v>7.27</v>
      </c>
      <c r="BG3325" s="1"/>
      <c r="BH3325" s="1"/>
      <c r="BI3325" s="1"/>
      <c r="BJ3325" s="1"/>
      <c r="BK3325" s="1" t="s">
        <v>98</v>
      </c>
      <c r="BL3325" s="1" t="s">
        <v>98</v>
      </c>
      <c r="BM3325" s="1" t="s">
        <v>98</v>
      </c>
      <c r="BN3325" s="1" t="s">
        <v>98</v>
      </c>
      <c r="BO3325" s="1" t="s">
        <v>369</v>
      </c>
      <c r="BP3325" s="1" t="s">
        <v>53314</v>
      </c>
      <c r="BQ3325" s="1" t="s">
        <v>4389</v>
      </c>
      <c r="BR3325" s="1" t="s">
        <v>53315</v>
      </c>
      <c r="BS3325" s="1">
        <v>15</v>
      </c>
      <c r="BT3325" s="1"/>
      <c r="BU3325" s="1" t="str">
        <f>HYPERLINK("https://nconnect.nicmar.ac.in/storage/profile/2021-2023_AP21109_349286.jpg","Download")</f>
        <v>0</v>
      </c>
      <c r="BV3325" s="3"/>
      <c r="BW3325" s="3"/>
    </row>
    <row r="3326" spans="1:75">
      <c r="A3326" s="1" t="s">
        <v>51340</v>
      </c>
      <c r="B3326" s="1" t="s">
        <v>51341</v>
      </c>
      <c r="C3326" s="1" t="s">
        <v>53316</v>
      </c>
      <c r="D3326" s="1" t="s">
        <v>32585</v>
      </c>
      <c r="E3326" s="1" t="s">
        <v>149</v>
      </c>
      <c r="F3326" s="1" t="s">
        <v>41871</v>
      </c>
      <c r="G3326" s="1" t="s">
        <v>53317</v>
      </c>
      <c r="H3326" s="1" t="s">
        <v>53318</v>
      </c>
      <c r="I3326" s="1" t="s">
        <v>53319</v>
      </c>
      <c r="J3326" s="1">
        <v>8275860796</v>
      </c>
      <c r="K3326" s="1" t="s">
        <v>153</v>
      </c>
      <c r="L3326" s="1" t="s">
        <v>53320</v>
      </c>
      <c r="M3326" s="1" t="s">
        <v>86</v>
      </c>
      <c r="N3326" s="1" t="s">
        <v>41494</v>
      </c>
      <c r="O3326" s="1"/>
      <c r="P3326" s="1" t="s">
        <v>2021</v>
      </c>
      <c r="Q3326" s="1" t="s">
        <v>53321</v>
      </c>
      <c r="R3326" s="1" t="s">
        <v>53322</v>
      </c>
      <c r="S3326" s="1">
        <v>8275860897</v>
      </c>
      <c r="T3326" s="1" t="s">
        <v>98</v>
      </c>
      <c r="U3326" s="1" t="s">
        <v>53323</v>
      </c>
      <c r="V3326" s="1">
        <v>9404795865</v>
      </c>
      <c r="W3326" s="1" t="s">
        <v>2950</v>
      </c>
      <c r="X3326" s="1" t="s">
        <v>53324</v>
      </c>
      <c r="Y3326" s="1" t="s">
        <v>910</v>
      </c>
      <c r="Z3326" s="1" t="s">
        <v>97</v>
      </c>
      <c r="AA3326" s="1" t="s">
        <v>53325</v>
      </c>
      <c r="AB3326" s="1" t="s">
        <v>196</v>
      </c>
      <c r="AC3326" s="1" t="s">
        <v>97</v>
      </c>
      <c r="AD3326" s="1" t="s">
        <v>98</v>
      </c>
      <c r="AE3326" s="1" t="s">
        <v>98</v>
      </c>
      <c r="AF3326" s="1" t="s">
        <v>53326</v>
      </c>
      <c r="AG3326" s="1" t="s">
        <v>53327</v>
      </c>
      <c r="AH3326" s="1" t="s">
        <v>1213</v>
      </c>
      <c r="AI3326" s="1" t="s">
        <v>101</v>
      </c>
      <c r="AJ3326" s="1">
        <v>93</v>
      </c>
      <c r="AK3326" s="1">
        <v>9.3</v>
      </c>
      <c r="AL3326" s="1" t="s">
        <v>53328</v>
      </c>
      <c r="AM3326" s="1" t="s">
        <v>53327</v>
      </c>
      <c r="AN3326" s="1"/>
      <c r="AO3326" s="1" t="s">
        <v>1110</v>
      </c>
      <c r="AP3326" s="1" t="s">
        <v>627</v>
      </c>
      <c r="AQ3326" s="1">
        <v>76.77</v>
      </c>
      <c r="AR3326" s="1">
        <v>7.67</v>
      </c>
      <c r="AS3326" s="1"/>
      <c r="AT3326" s="1"/>
      <c r="AU3326" s="1" t="s">
        <v>98</v>
      </c>
      <c r="AV3326" s="1" t="s">
        <v>98</v>
      </c>
      <c r="AW3326" s="1" t="s">
        <v>98</v>
      </c>
      <c r="AX3326" s="1" t="s">
        <v>98</v>
      </c>
      <c r="AY3326" s="1" t="s">
        <v>366</v>
      </c>
      <c r="AZ3326" s="1" t="s">
        <v>3054</v>
      </c>
      <c r="BA3326" s="1"/>
      <c r="BB3326" s="1"/>
      <c r="BC3326" s="1" t="s">
        <v>139</v>
      </c>
      <c r="BD3326" s="1" t="s">
        <v>175</v>
      </c>
      <c r="BE3326" s="1">
        <v>70.7</v>
      </c>
      <c r="BF3326" s="1">
        <v>7.82</v>
      </c>
      <c r="BG3326" s="1"/>
      <c r="BH3326" s="1"/>
      <c r="BI3326" s="1"/>
      <c r="BJ3326" s="1"/>
      <c r="BK3326" s="1" t="s">
        <v>98</v>
      </c>
      <c r="BL3326" s="1" t="s">
        <v>98</v>
      </c>
      <c r="BM3326" s="1" t="s">
        <v>98</v>
      </c>
      <c r="BN3326" s="1" t="s">
        <v>98</v>
      </c>
      <c r="BO3326" s="1" t="s">
        <v>1114</v>
      </c>
      <c r="BP3326" s="1"/>
      <c r="BQ3326" s="1"/>
      <c r="BR3326" s="1" t="s">
        <v>53329</v>
      </c>
      <c r="BS3326" s="1">
        <v>11</v>
      </c>
      <c r="BT3326" s="1"/>
      <c r="BU3326" s="1" t="str">
        <f>HYPERLINK("https://nconnect.nicmar.ac.in/storage/profile/2021-2023_AP21110_352764.jpg","Download")</f>
        <v>0</v>
      </c>
      <c r="BV3326" s="3"/>
      <c r="BW3326" s="3"/>
    </row>
    <row r="3327" spans="1:75">
      <c r="A3327" s="1" t="s">
        <v>51340</v>
      </c>
      <c r="B3327" s="1" t="s">
        <v>51341</v>
      </c>
      <c r="C3327" s="1" t="s">
        <v>53330</v>
      </c>
      <c r="D3327" s="1" t="s">
        <v>9889</v>
      </c>
      <c r="E3327" s="1" t="s">
        <v>1136</v>
      </c>
      <c r="F3327" s="1" t="s">
        <v>41594</v>
      </c>
      <c r="G3327" s="1" t="s">
        <v>53331</v>
      </c>
      <c r="H3327" s="1" t="s">
        <v>53332</v>
      </c>
      <c r="I3327" s="1" t="s">
        <v>53333</v>
      </c>
      <c r="J3327" s="1">
        <v>8805515752</v>
      </c>
      <c r="K3327" s="1" t="s">
        <v>84</v>
      </c>
      <c r="L3327" s="1" t="s">
        <v>37538</v>
      </c>
      <c r="M3327" s="1" t="s">
        <v>86</v>
      </c>
      <c r="N3327" s="1" t="s">
        <v>2174</v>
      </c>
      <c r="O3327" s="1"/>
      <c r="P3327" s="1" t="s">
        <v>2062</v>
      </c>
      <c r="Q3327" s="1" t="s">
        <v>53334</v>
      </c>
      <c r="R3327" s="1" t="s">
        <v>53335</v>
      </c>
      <c r="S3327" s="1">
        <v>9422482595</v>
      </c>
      <c r="T3327" s="1" t="s">
        <v>1552</v>
      </c>
      <c r="U3327" s="1" t="s">
        <v>53336</v>
      </c>
      <c r="V3327" s="1">
        <v>9021226079</v>
      </c>
      <c r="W3327" s="1" t="s">
        <v>94</v>
      </c>
      <c r="X3327" s="1" t="s">
        <v>53337</v>
      </c>
      <c r="Y3327" s="1" t="s">
        <v>224</v>
      </c>
      <c r="Z3327" s="1" t="s">
        <v>97</v>
      </c>
      <c r="AA3327" s="1" t="s">
        <v>53337</v>
      </c>
      <c r="AB3327" s="1" t="s">
        <v>224</v>
      </c>
      <c r="AC3327" s="1" t="s">
        <v>97</v>
      </c>
      <c r="AD3327" s="1" t="s">
        <v>98</v>
      </c>
      <c r="AE3327" s="1" t="s">
        <v>98</v>
      </c>
      <c r="AF3327" s="1" t="s">
        <v>52451</v>
      </c>
      <c r="AG3327" s="1" t="s">
        <v>1968</v>
      </c>
      <c r="AH3327" s="1" t="s">
        <v>101</v>
      </c>
      <c r="AI3327" s="1" t="s">
        <v>166</v>
      </c>
      <c r="AJ3327" s="1">
        <v>72.8</v>
      </c>
      <c r="AK3327" s="1">
        <v>7.28</v>
      </c>
      <c r="AL3327" s="1" t="s">
        <v>42310</v>
      </c>
      <c r="AM3327" s="1" t="s">
        <v>1968</v>
      </c>
      <c r="AN3327" s="1"/>
      <c r="AO3327" s="1" t="s">
        <v>627</v>
      </c>
      <c r="AP3327" s="1" t="s">
        <v>573</v>
      </c>
      <c r="AQ3327" s="1">
        <v>69.85</v>
      </c>
      <c r="AR3327" s="1">
        <v>6.99</v>
      </c>
      <c r="AS3327" s="1"/>
      <c r="AT3327" s="1"/>
      <c r="AU3327" s="1" t="s">
        <v>98</v>
      </c>
      <c r="AV3327" s="1" t="s">
        <v>98</v>
      </c>
      <c r="AW3327" s="1"/>
      <c r="AX3327" s="1"/>
      <c r="AY3327" s="1" t="s">
        <v>340</v>
      </c>
      <c r="AZ3327" s="1" t="s">
        <v>53338</v>
      </c>
      <c r="BA3327" s="1"/>
      <c r="BB3327" s="1"/>
      <c r="BC3327" s="1" t="s">
        <v>388</v>
      </c>
      <c r="BD3327" s="1" t="s">
        <v>441</v>
      </c>
      <c r="BE3327" s="1">
        <v>89.48</v>
      </c>
      <c r="BF3327" s="1">
        <v>9.83</v>
      </c>
      <c r="BG3327" s="1"/>
      <c r="BH3327" s="1"/>
      <c r="BI3327" s="1"/>
      <c r="BJ3327" s="1"/>
      <c r="BK3327" s="1" t="s">
        <v>98</v>
      </c>
      <c r="BL3327" s="1" t="s">
        <v>98</v>
      </c>
      <c r="BM3327" s="1" t="s">
        <v>98</v>
      </c>
      <c r="BN3327" s="1" t="s">
        <v>98</v>
      </c>
      <c r="BO3327" s="1" t="s">
        <v>1114</v>
      </c>
      <c r="BP3327" s="1"/>
      <c r="BQ3327" s="1"/>
      <c r="BR3327" s="1" t="s">
        <v>53339</v>
      </c>
      <c r="BS3327" s="1">
        <v>18</v>
      </c>
      <c r="BT3327" s="1"/>
      <c r="BU3327" s="1" t="str">
        <f>HYPERLINK("https://nconnect.nicmar.ac.in/storage/profile/2021-2023_AP21111_189376.jpg","Download")</f>
        <v>0</v>
      </c>
      <c r="BV3327" s="3"/>
      <c r="BW3327" s="3"/>
    </row>
    <row r="3328" spans="1:75">
      <c r="A3328" s="1" t="s">
        <v>51340</v>
      </c>
      <c r="B3328" s="1" t="s">
        <v>51341</v>
      </c>
      <c r="C3328" s="1" t="s">
        <v>53340</v>
      </c>
      <c r="D3328" s="1" t="s">
        <v>2829</v>
      </c>
      <c r="E3328" s="1" t="s">
        <v>2233</v>
      </c>
      <c r="F3328" s="1" t="s">
        <v>53341</v>
      </c>
      <c r="G3328" s="1" t="s">
        <v>53342</v>
      </c>
      <c r="H3328" s="1" t="s">
        <v>53343</v>
      </c>
      <c r="I3328" s="1" t="s">
        <v>53344</v>
      </c>
      <c r="J3328" s="1">
        <v>9702708881</v>
      </c>
      <c r="K3328" s="1" t="s">
        <v>84</v>
      </c>
      <c r="L3328" s="1" t="s">
        <v>53345</v>
      </c>
      <c r="M3328" s="1" t="s">
        <v>86</v>
      </c>
      <c r="N3328" s="1" t="s">
        <v>1163</v>
      </c>
      <c r="O3328" s="1"/>
      <c r="P3328" s="1" t="s">
        <v>481</v>
      </c>
      <c r="Q3328" s="1" t="s">
        <v>53346</v>
      </c>
      <c r="R3328" s="1" t="s">
        <v>53347</v>
      </c>
      <c r="S3328" s="1">
        <v>9322506053</v>
      </c>
      <c r="T3328" s="1" t="s">
        <v>4486</v>
      </c>
      <c r="U3328" s="1" t="s">
        <v>53348</v>
      </c>
      <c r="V3328" s="1">
        <v>9702648120</v>
      </c>
      <c r="W3328" s="1" t="s">
        <v>94</v>
      </c>
      <c r="X3328" s="1" t="s">
        <v>53349</v>
      </c>
      <c r="Y3328" s="1" t="s">
        <v>53350</v>
      </c>
      <c r="Z3328" s="1" t="s">
        <v>97</v>
      </c>
      <c r="AA3328" s="1" t="s">
        <v>53349</v>
      </c>
      <c r="AB3328" s="1" t="s">
        <v>53350</v>
      </c>
      <c r="AC3328" s="1" t="s">
        <v>97</v>
      </c>
      <c r="AD3328" s="1" t="s">
        <v>98</v>
      </c>
      <c r="AE3328" s="1" t="s">
        <v>98</v>
      </c>
      <c r="AF3328" s="1" t="s">
        <v>26428</v>
      </c>
      <c r="AG3328" s="1" t="s">
        <v>312</v>
      </c>
      <c r="AH3328" s="1" t="s">
        <v>3421</v>
      </c>
      <c r="AI3328" s="1" t="s">
        <v>1262</v>
      </c>
      <c r="AJ3328" s="1">
        <v>77.9</v>
      </c>
      <c r="AK3328" s="1">
        <v>8.2</v>
      </c>
      <c r="AL3328" s="1" t="s">
        <v>98</v>
      </c>
      <c r="AM3328" s="1"/>
      <c r="AN3328" s="1"/>
      <c r="AO3328" s="1" t="s">
        <v>98</v>
      </c>
      <c r="AP3328" s="1" t="s">
        <v>98</v>
      </c>
      <c r="AQ3328" s="1"/>
      <c r="AR3328" s="1"/>
      <c r="AS3328" s="1" t="s">
        <v>439</v>
      </c>
      <c r="AT3328" s="1" t="s">
        <v>53351</v>
      </c>
      <c r="AU3328" s="1" t="s">
        <v>135</v>
      </c>
      <c r="AV3328" s="1" t="s">
        <v>170</v>
      </c>
      <c r="AW3328" s="1">
        <v>81.7</v>
      </c>
      <c r="AX3328" s="1"/>
      <c r="AY3328" s="1" t="s">
        <v>680</v>
      </c>
      <c r="AZ3328" s="1" t="s">
        <v>3071</v>
      </c>
      <c r="BA3328" s="1"/>
      <c r="BB3328" s="1"/>
      <c r="BC3328" s="1" t="s">
        <v>230</v>
      </c>
      <c r="BD3328" s="1" t="s">
        <v>175</v>
      </c>
      <c r="BE3328" s="1">
        <v>72.08</v>
      </c>
      <c r="BF3328" s="1">
        <v>8.12</v>
      </c>
      <c r="BG3328" s="1"/>
      <c r="BH3328" s="1"/>
      <c r="BI3328" s="1"/>
      <c r="BJ3328" s="1"/>
      <c r="BK3328" s="1" t="s">
        <v>98</v>
      </c>
      <c r="BL3328" s="1" t="s">
        <v>98</v>
      </c>
      <c r="BM3328" s="1" t="s">
        <v>98</v>
      </c>
      <c r="BN3328" s="1" t="s">
        <v>98</v>
      </c>
      <c r="BO3328" s="1" t="s">
        <v>369</v>
      </c>
      <c r="BP3328" s="1"/>
      <c r="BQ3328" s="1"/>
      <c r="BR3328" s="1" t="s">
        <v>53352</v>
      </c>
      <c r="BS3328" s="1">
        <v>40</v>
      </c>
      <c r="BT3328" s="1"/>
      <c r="BU3328" s="1" t="str">
        <f>HYPERLINK("https://nconnect.nicmar.ac.in/storage/profile/2021-2023_AP21112_639872.jpg","Download")</f>
        <v>0</v>
      </c>
      <c r="BV3328" s="3"/>
      <c r="BW3328" s="3"/>
    </row>
    <row r="3329" spans="1:75">
      <c r="A3329" s="1" t="s">
        <v>51340</v>
      </c>
      <c r="B3329" s="1" t="s">
        <v>51341</v>
      </c>
      <c r="C3329" s="1" t="s">
        <v>53353</v>
      </c>
      <c r="D3329" s="1" t="s">
        <v>13757</v>
      </c>
      <c r="E3329" s="1"/>
      <c r="F3329" s="1" t="s">
        <v>30991</v>
      </c>
      <c r="G3329" s="1" t="s">
        <v>53354</v>
      </c>
      <c r="H3329" s="1" t="s">
        <v>53355</v>
      </c>
      <c r="I3329" s="1" t="s">
        <v>53356</v>
      </c>
      <c r="J3329" s="1">
        <v>9148759749</v>
      </c>
      <c r="K3329" s="1" t="s">
        <v>84</v>
      </c>
      <c r="L3329" s="1" t="s">
        <v>53357</v>
      </c>
      <c r="M3329" s="1" t="s">
        <v>86</v>
      </c>
      <c r="N3329" s="1" t="s">
        <v>33137</v>
      </c>
      <c r="O3329" s="1"/>
      <c r="P3329" s="1" t="s">
        <v>455</v>
      </c>
      <c r="Q3329" s="1" t="s">
        <v>53358</v>
      </c>
      <c r="R3329" s="1" t="s">
        <v>53359</v>
      </c>
      <c r="S3329" s="1">
        <v>9661810362</v>
      </c>
      <c r="T3329" s="1" t="s">
        <v>125</v>
      </c>
      <c r="U3329" s="1" t="s">
        <v>53360</v>
      </c>
      <c r="V3329" s="1">
        <v>9431349072</v>
      </c>
      <c r="W3329" s="1" t="s">
        <v>94</v>
      </c>
      <c r="X3329" s="1" t="s">
        <v>53361</v>
      </c>
      <c r="Y3329" s="1" t="s">
        <v>53362</v>
      </c>
      <c r="Z3329" s="1" t="s">
        <v>2955</v>
      </c>
      <c r="AA3329" s="1" t="s">
        <v>53361</v>
      </c>
      <c r="AB3329" s="1" t="s">
        <v>53362</v>
      </c>
      <c r="AC3329" s="1" t="s">
        <v>2955</v>
      </c>
      <c r="AD3329" s="1" t="s">
        <v>98</v>
      </c>
      <c r="AE3329" s="1" t="s">
        <v>98</v>
      </c>
      <c r="AF3329" s="1" t="s">
        <v>53363</v>
      </c>
      <c r="AG3329" s="1" t="s">
        <v>53364</v>
      </c>
      <c r="AH3329" s="1">
        <v>40603</v>
      </c>
      <c r="AI3329" s="1">
        <v>40969</v>
      </c>
      <c r="AJ3329" s="1">
        <v>86.4</v>
      </c>
      <c r="AK3329" s="1"/>
      <c r="AL3329" s="1" t="s">
        <v>53363</v>
      </c>
      <c r="AM3329" s="1" t="s">
        <v>53364</v>
      </c>
      <c r="AN3329" s="1"/>
      <c r="AO3329" s="1">
        <v>41334</v>
      </c>
      <c r="AP3329" s="1">
        <v>41699</v>
      </c>
      <c r="AQ3329" s="1">
        <v>63.4</v>
      </c>
      <c r="AR3329" s="1"/>
      <c r="AS3329" s="1"/>
      <c r="AT3329" s="1"/>
      <c r="AU3329" s="1" t="s">
        <v>98</v>
      </c>
      <c r="AV3329" s="1" t="s">
        <v>98</v>
      </c>
      <c r="AW3329" s="1" t="s">
        <v>98</v>
      </c>
      <c r="AX3329" s="1" t="s">
        <v>98</v>
      </c>
      <c r="AY3329" s="1" t="s">
        <v>1217</v>
      </c>
      <c r="AZ3329" s="1" t="s">
        <v>53365</v>
      </c>
      <c r="BA3329" s="1"/>
      <c r="BB3329" s="1"/>
      <c r="BC3329" s="1">
        <v>42217</v>
      </c>
      <c r="BD3329" s="1">
        <v>43676</v>
      </c>
      <c r="BE3329" s="1">
        <v>60.5</v>
      </c>
      <c r="BF3329" s="1">
        <v>6.8</v>
      </c>
      <c r="BG3329" s="1"/>
      <c r="BH3329" s="1"/>
      <c r="BI3329" s="1"/>
      <c r="BJ3329" s="1"/>
      <c r="BK3329" s="1" t="s">
        <v>98</v>
      </c>
      <c r="BL3329" s="1" t="s">
        <v>98</v>
      </c>
      <c r="BM3329" s="1" t="s">
        <v>98</v>
      </c>
      <c r="BN3329" s="1" t="s">
        <v>98</v>
      </c>
      <c r="BO3329" s="1" t="s">
        <v>260</v>
      </c>
      <c r="BP3329" s="1"/>
      <c r="BQ3329" s="1"/>
      <c r="BR3329" s="1" t="s">
        <v>53366</v>
      </c>
      <c r="BS3329" s="1">
        <v>20</v>
      </c>
      <c r="BT3329" s="1"/>
      <c r="BU3329" s="1" t="str">
        <f>HYPERLINK("https://nconnect.nicmar.ac.in/storage/profile/2021-2023_AP21113_439718.JPG","Download")</f>
        <v>0</v>
      </c>
      <c r="BV3329" s="3"/>
      <c r="BW3329" s="3"/>
    </row>
    <row r="3330" spans="1:75">
      <c r="A3330" s="1" t="s">
        <v>51340</v>
      </c>
      <c r="B3330" s="1" t="s">
        <v>51341</v>
      </c>
      <c r="C3330" s="1" t="s">
        <v>53367</v>
      </c>
      <c r="D3330" s="1" t="s">
        <v>53368</v>
      </c>
      <c r="E3330" s="1"/>
      <c r="F3330" s="1" t="s">
        <v>26974</v>
      </c>
      <c r="G3330" s="1" t="s">
        <v>53369</v>
      </c>
      <c r="H3330" s="1" t="s">
        <v>53370</v>
      </c>
      <c r="I3330" s="1" t="s">
        <v>53371</v>
      </c>
      <c r="J3330" s="1">
        <v>9745916526</v>
      </c>
      <c r="K3330" s="1" t="s">
        <v>84</v>
      </c>
      <c r="L3330" s="1" t="s">
        <v>52064</v>
      </c>
      <c r="M3330" s="1" t="s">
        <v>86</v>
      </c>
      <c r="N3330" s="1" t="s">
        <v>2393</v>
      </c>
      <c r="O3330" s="1"/>
      <c r="P3330" s="1" t="s">
        <v>455</v>
      </c>
      <c r="Q3330" s="1" t="s">
        <v>53372</v>
      </c>
      <c r="R3330" s="1" t="s">
        <v>53373</v>
      </c>
      <c r="S3330" s="1">
        <v>9447152567</v>
      </c>
      <c r="T3330" s="1" t="s">
        <v>53374</v>
      </c>
      <c r="U3330" s="1" t="s">
        <v>53375</v>
      </c>
      <c r="V3330" s="1">
        <v>9995096980</v>
      </c>
      <c r="W3330" s="1" t="s">
        <v>94</v>
      </c>
      <c r="X3330" s="1" t="s">
        <v>53376</v>
      </c>
      <c r="Y3330" s="1" t="s">
        <v>53377</v>
      </c>
      <c r="Z3330" s="1" t="s">
        <v>130</v>
      </c>
      <c r="AA3330" s="1" t="s">
        <v>53378</v>
      </c>
      <c r="AB3330" s="1" t="s">
        <v>53377</v>
      </c>
      <c r="AC3330" s="1" t="s">
        <v>130</v>
      </c>
      <c r="AD3330" s="1" t="s">
        <v>98</v>
      </c>
      <c r="AE3330" s="1" t="s">
        <v>98</v>
      </c>
      <c r="AF3330" s="1" t="s">
        <v>25918</v>
      </c>
      <c r="AG3330" s="1" t="s">
        <v>312</v>
      </c>
      <c r="AH3330" s="1">
        <v>41428</v>
      </c>
      <c r="AI3330" s="1">
        <v>41778</v>
      </c>
      <c r="AJ3330" s="1">
        <v>83.6</v>
      </c>
      <c r="AK3330" s="1">
        <v>8.8</v>
      </c>
      <c r="AL3330" s="1" t="s">
        <v>53379</v>
      </c>
      <c r="AM3330" s="1" t="s">
        <v>312</v>
      </c>
      <c r="AN3330" s="1"/>
      <c r="AO3330" s="1">
        <v>42159</v>
      </c>
      <c r="AP3330" s="1">
        <v>42511</v>
      </c>
      <c r="AQ3330" s="1">
        <v>74.2</v>
      </c>
      <c r="AR3330" s="1"/>
      <c r="AS3330" s="1"/>
      <c r="AT3330" s="1"/>
      <c r="AU3330" s="1" t="s">
        <v>98</v>
      </c>
      <c r="AV3330" s="1" t="s">
        <v>98</v>
      </c>
      <c r="AW3330" s="1" t="s">
        <v>98</v>
      </c>
      <c r="AX3330" s="1" t="s">
        <v>98</v>
      </c>
      <c r="AY3330" s="1" t="s">
        <v>137</v>
      </c>
      <c r="AZ3330" s="1" t="s">
        <v>53380</v>
      </c>
      <c r="BA3330" s="1"/>
      <c r="BB3330" s="1"/>
      <c r="BC3330" s="1">
        <v>42563</v>
      </c>
      <c r="BD3330" s="1">
        <v>44093</v>
      </c>
      <c r="BE3330" s="1">
        <v>74.35</v>
      </c>
      <c r="BF3330" s="1">
        <v>7.81</v>
      </c>
      <c r="BG3330" s="1"/>
      <c r="BH3330" s="1"/>
      <c r="BI3330" s="1"/>
      <c r="BJ3330" s="1"/>
      <c r="BK3330" s="1" t="s">
        <v>98</v>
      </c>
      <c r="BL3330" s="1" t="s">
        <v>98</v>
      </c>
      <c r="BM3330" s="1" t="s">
        <v>98</v>
      </c>
      <c r="BN3330" s="1" t="s">
        <v>98</v>
      </c>
      <c r="BO3330" s="1" t="s">
        <v>369</v>
      </c>
      <c r="BP3330" s="1"/>
      <c r="BQ3330" s="1"/>
      <c r="BR3330" s="1" t="s">
        <v>53381</v>
      </c>
      <c r="BS3330" s="1">
        <v>135</v>
      </c>
      <c r="BT3330" s="1"/>
      <c r="BU3330" s="1" t="str">
        <f>HYPERLINK("https://nconnect.nicmar.ac.in/storage/profile/2021-2023_AP21114_578923.jpg","Download")</f>
        <v>0</v>
      </c>
      <c r="BV3330" s="3"/>
      <c r="BW3330" s="3"/>
    </row>
    <row r="3331" spans="1:75">
      <c r="A3331" s="1" t="s">
        <v>51340</v>
      </c>
      <c r="B3331" s="1" t="s">
        <v>51341</v>
      </c>
      <c r="C3331" s="1" t="s">
        <v>53382</v>
      </c>
      <c r="D3331" s="1" t="s">
        <v>39212</v>
      </c>
      <c r="E3331" s="1"/>
      <c r="F3331" s="1" t="s">
        <v>1853</v>
      </c>
      <c r="G3331" s="1" t="s">
        <v>53383</v>
      </c>
      <c r="H3331" s="1" t="s">
        <v>53384</v>
      </c>
      <c r="I3331" s="1" t="s">
        <v>53385</v>
      </c>
      <c r="J3331" s="1">
        <v>9496658068</v>
      </c>
      <c r="K3331" s="1" t="s">
        <v>153</v>
      </c>
      <c r="L3331" s="1" t="s">
        <v>53386</v>
      </c>
      <c r="M3331" s="1" t="s">
        <v>86</v>
      </c>
      <c r="N3331" s="1" t="s">
        <v>3261</v>
      </c>
      <c r="O3331" s="1"/>
      <c r="P3331" s="1" t="s">
        <v>455</v>
      </c>
      <c r="Q3331" s="1" t="s">
        <v>53387</v>
      </c>
      <c r="R3331" s="1" t="s">
        <v>53388</v>
      </c>
      <c r="S3331" s="1">
        <v>9447252898</v>
      </c>
      <c r="T3331" s="1" t="s">
        <v>12597</v>
      </c>
      <c r="U3331" s="1" t="s">
        <v>53389</v>
      </c>
      <c r="V3331" s="1">
        <v>9447002425</v>
      </c>
      <c r="W3331" s="1" t="s">
        <v>127</v>
      </c>
      <c r="X3331" s="1" t="s">
        <v>53390</v>
      </c>
      <c r="Y3331" s="1" t="s">
        <v>4916</v>
      </c>
      <c r="Z3331" s="1" t="s">
        <v>130</v>
      </c>
      <c r="AA3331" s="1" t="s">
        <v>53390</v>
      </c>
      <c r="AB3331" s="1" t="s">
        <v>4916</v>
      </c>
      <c r="AC3331" s="1" t="s">
        <v>130</v>
      </c>
      <c r="AD3331" s="1" t="s">
        <v>98</v>
      </c>
      <c r="AE3331" s="1" t="s">
        <v>98</v>
      </c>
      <c r="AF3331" s="1" t="s">
        <v>53391</v>
      </c>
      <c r="AG3331" s="1" t="s">
        <v>312</v>
      </c>
      <c r="AH3331" s="1">
        <v>41365</v>
      </c>
      <c r="AI3331" s="1">
        <v>41778</v>
      </c>
      <c r="AJ3331" s="1">
        <v>95</v>
      </c>
      <c r="AK3331" s="1">
        <v>10</v>
      </c>
      <c r="AL3331" s="1" t="s">
        <v>53391</v>
      </c>
      <c r="AM3331" s="1" t="s">
        <v>312</v>
      </c>
      <c r="AN3331" s="1"/>
      <c r="AO3331" s="1">
        <v>42095</v>
      </c>
      <c r="AP3331" s="1">
        <v>42511</v>
      </c>
      <c r="AQ3331" s="1">
        <v>85</v>
      </c>
      <c r="AR3331" s="1"/>
      <c r="AS3331" s="1"/>
      <c r="AT3331" s="1"/>
      <c r="AU3331" s="1" t="s">
        <v>98</v>
      </c>
      <c r="AV3331" s="1" t="s">
        <v>98</v>
      </c>
      <c r="AW3331" s="1" t="s">
        <v>98</v>
      </c>
      <c r="AX3331" s="1" t="s">
        <v>98</v>
      </c>
      <c r="AY3331" s="1" t="s">
        <v>137</v>
      </c>
      <c r="AZ3331" s="1" t="s">
        <v>53392</v>
      </c>
      <c r="BA3331" s="1"/>
      <c r="BB3331" s="1"/>
      <c r="BC3331" s="1">
        <v>42529</v>
      </c>
      <c r="BD3331" s="1">
        <v>44164</v>
      </c>
      <c r="BE3331" s="1">
        <v>66.15</v>
      </c>
      <c r="BF3331" s="1">
        <v>6.99</v>
      </c>
      <c r="BG3331" s="1"/>
      <c r="BH3331" s="1"/>
      <c r="BI3331" s="1"/>
      <c r="BJ3331" s="1"/>
      <c r="BK3331" s="1" t="s">
        <v>98</v>
      </c>
      <c r="BL3331" s="1" t="s">
        <v>98</v>
      </c>
      <c r="BM3331" s="1" t="s">
        <v>98</v>
      </c>
      <c r="BN3331" s="1" t="s">
        <v>98</v>
      </c>
      <c r="BO3331" s="1" t="s">
        <v>53393</v>
      </c>
      <c r="BP3331" s="1"/>
      <c r="BQ3331" s="1"/>
      <c r="BR3331" s="1" t="s">
        <v>53394</v>
      </c>
      <c r="BS3331" s="1">
        <v>13</v>
      </c>
      <c r="BT3331" s="1"/>
      <c r="BU3331" s="1" t="str">
        <f>HYPERLINK("https://nconnect.nicmar.ac.in/storage/profile/2021-2023_AP21115_395126.jpg","Download")</f>
        <v>0</v>
      </c>
      <c r="BV3331" s="3"/>
      <c r="BW3331" s="3"/>
    </row>
    <row r="3332" spans="1:75">
      <c r="A3332" s="1" t="s">
        <v>51340</v>
      </c>
      <c r="B3332" s="1" t="s">
        <v>51341</v>
      </c>
      <c r="C3332" s="1" t="s">
        <v>53395</v>
      </c>
      <c r="D3332" s="1" t="s">
        <v>5208</v>
      </c>
      <c r="E3332" s="1" t="s">
        <v>663</v>
      </c>
      <c r="F3332" s="1" t="s">
        <v>53396</v>
      </c>
      <c r="G3332" s="1" t="s">
        <v>53397</v>
      </c>
      <c r="H3332" s="1" t="s">
        <v>53398</v>
      </c>
      <c r="I3332" s="1" t="s">
        <v>53399</v>
      </c>
      <c r="J3332" s="1">
        <v>9765223475</v>
      </c>
      <c r="K3332" s="1" t="s">
        <v>84</v>
      </c>
      <c r="L3332" s="1" t="s">
        <v>53400</v>
      </c>
      <c r="M3332" s="1" t="s">
        <v>86</v>
      </c>
      <c r="N3332" s="1" t="s">
        <v>1163</v>
      </c>
      <c r="O3332" s="1"/>
      <c r="P3332" s="1" t="s">
        <v>507</v>
      </c>
      <c r="Q3332" s="1" t="s">
        <v>53401</v>
      </c>
      <c r="R3332" s="1" t="s">
        <v>53402</v>
      </c>
      <c r="S3332" s="1">
        <v>9850062250</v>
      </c>
      <c r="T3332" s="1" t="s">
        <v>926</v>
      </c>
      <c r="U3332" s="1" t="s">
        <v>53403</v>
      </c>
      <c r="V3332" s="1">
        <v>9423013471</v>
      </c>
      <c r="W3332" s="1" t="s">
        <v>645</v>
      </c>
      <c r="X3332" s="1" t="s">
        <v>53404</v>
      </c>
      <c r="Y3332" s="1" t="s">
        <v>196</v>
      </c>
      <c r="Z3332" s="1" t="s">
        <v>97</v>
      </c>
      <c r="AA3332" s="1" t="s">
        <v>53404</v>
      </c>
      <c r="AB3332" s="1" t="s">
        <v>196</v>
      </c>
      <c r="AC3332" s="1" t="s">
        <v>97</v>
      </c>
      <c r="AD3332" s="1" t="s">
        <v>98</v>
      </c>
      <c r="AE3332" s="1" t="s">
        <v>98</v>
      </c>
      <c r="AF3332" s="1" t="s">
        <v>53405</v>
      </c>
      <c r="AG3332" s="1" t="s">
        <v>1968</v>
      </c>
      <c r="AH3332" s="1">
        <v>41432</v>
      </c>
      <c r="AI3332" s="1">
        <v>41729</v>
      </c>
      <c r="AJ3332" s="1">
        <v>85.4</v>
      </c>
      <c r="AK3332" s="1"/>
      <c r="AL3332" s="1" t="s">
        <v>43463</v>
      </c>
      <c r="AM3332" s="1" t="s">
        <v>1968</v>
      </c>
      <c r="AN3332" s="1"/>
      <c r="AO3332" s="1">
        <v>42160</v>
      </c>
      <c r="AP3332" s="1">
        <v>42428</v>
      </c>
      <c r="AQ3332" s="1">
        <v>69.23</v>
      </c>
      <c r="AR3332" s="1"/>
      <c r="AS3332" s="1"/>
      <c r="AT3332" s="1"/>
      <c r="AU3332" s="1" t="s">
        <v>98</v>
      </c>
      <c r="AV3332" s="1" t="s">
        <v>98</v>
      </c>
      <c r="AW3332" s="1" t="s">
        <v>98</v>
      </c>
      <c r="AX3332" s="1" t="s">
        <v>98</v>
      </c>
      <c r="AY3332" s="1" t="s">
        <v>366</v>
      </c>
      <c r="AZ3332" s="1" t="s">
        <v>53406</v>
      </c>
      <c r="BA3332" s="1"/>
      <c r="BB3332" s="1"/>
      <c r="BC3332" s="1">
        <v>42587</v>
      </c>
      <c r="BD3332" s="1">
        <v>44146</v>
      </c>
      <c r="BE3332" s="1">
        <v>67.32</v>
      </c>
      <c r="BF3332" s="1">
        <v>7.65</v>
      </c>
      <c r="BG3332" s="1"/>
      <c r="BH3332" s="1"/>
      <c r="BI3332" s="1"/>
      <c r="BJ3332" s="1"/>
      <c r="BK3332" s="1" t="s">
        <v>98</v>
      </c>
      <c r="BL3332" s="1" t="s">
        <v>98</v>
      </c>
      <c r="BM3332" s="1" t="s">
        <v>98</v>
      </c>
      <c r="BN3332" s="1" t="s">
        <v>98</v>
      </c>
      <c r="BO3332" s="1" t="s">
        <v>260</v>
      </c>
      <c r="BP3332" s="1" t="s">
        <v>53407</v>
      </c>
      <c r="BQ3332" s="1" t="s">
        <v>893</v>
      </c>
      <c r="BR3332" s="1" t="s">
        <v>53408</v>
      </c>
      <c r="BS3332" s="1">
        <v>10</v>
      </c>
      <c r="BT3332" s="1"/>
      <c r="BU3332" s="1" t="str">
        <f>HYPERLINK("https://nconnect.nicmar.ac.in/storage/profile/2021-2023_AP21116_876924.jpg","Download")</f>
        <v>0</v>
      </c>
      <c r="BV3332" s="3"/>
      <c r="BW3332" s="3"/>
    </row>
    <row r="3333" spans="1:75">
      <c r="A3333" s="1" t="s">
        <v>51340</v>
      </c>
      <c r="B3333" s="1" t="s">
        <v>51341</v>
      </c>
      <c r="C3333" s="1" t="s">
        <v>53409</v>
      </c>
      <c r="D3333" s="1" t="s">
        <v>53140</v>
      </c>
      <c r="E3333" s="1"/>
      <c r="F3333" s="1" t="s">
        <v>53410</v>
      </c>
      <c r="G3333" s="1" t="s">
        <v>53411</v>
      </c>
      <c r="H3333" s="1" t="s">
        <v>53412</v>
      </c>
      <c r="I3333" s="1" t="s">
        <v>53413</v>
      </c>
      <c r="J3333" s="1">
        <v>8639219740</v>
      </c>
      <c r="K3333" s="1" t="s">
        <v>153</v>
      </c>
      <c r="L3333" s="1" t="s">
        <v>53414</v>
      </c>
      <c r="M3333" s="1" t="s">
        <v>86</v>
      </c>
      <c r="N3333" s="1" t="s">
        <v>1813</v>
      </c>
      <c r="O3333" s="1"/>
      <c r="P3333" s="1" t="s">
        <v>455</v>
      </c>
      <c r="Q3333" s="1" t="s">
        <v>53415</v>
      </c>
      <c r="R3333" s="1" t="s">
        <v>53416</v>
      </c>
      <c r="S3333" s="1">
        <v>8341896082</v>
      </c>
      <c r="T3333" s="1" t="s">
        <v>6713</v>
      </c>
      <c r="U3333" s="1" t="s">
        <v>53417</v>
      </c>
      <c r="V3333" s="1">
        <v>9908002470</v>
      </c>
      <c r="W3333" s="1" t="s">
        <v>539</v>
      </c>
      <c r="X3333" s="1" t="s">
        <v>53418</v>
      </c>
      <c r="Y3333" s="1" t="s">
        <v>53419</v>
      </c>
      <c r="Z3333" s="1" t="s">
        <v>461</v>
      </c>
      <c r="AA3333" s="1" t="s">
        <v>53420</v>
      </c>
      <c r="AB3333" s="1" t="s">
        <v>460</v>
      </c>
      <c r="AC3333" s="1" t="s">
        <v>461</v>
      </c>
      <c r="AD3333" s="1" t="s">
        <v>98</v>
      </c>
      <c r="AE3333" s="1" t="s">
        <v>98</v>
      </c>
      <c r="AF3333" s="1" t="s">
        <v>53421</v>
      </c>
      <c r="AG3333" s="1" t="s">
        <v>1418</v>
      </c>
      <c r="AH3333" s="1" t="s">
        <v>53422</v>
      </c>
      <c r="AI3333" s="1" t="s">
        <v>53423</v>
      </c>
      <c r="AJ3333" s="1">
        <v>90.67</v>
      </c>
      <c r="AK3333" s="1">
        <v>0</v>
      </c>
      <c r="AL3333" s="1" t="s">
        <v>53424</v>
      </c>
      <c r="AM3333" s="1" t="s">
        <v>1418</v>
      </c>
      <c r="AN3333" s="1"/>
      <c r="AO3333" s="1" t="s">
        <v>53425</v>
      </c>
      <c r="AP3333" s="1" t="s">
        <v>53426</v>
      </c>
      <c r="AQ3333" s="1">
        <v>92.8</v>
      </c>
      <c r="AR3333" s="1">
        <v>0</v>
      </c>
      <c r="AS3333" s="1"/>
      <c r="AT3333" s="1"/>
      <c r="AU3333" s="1" t="s">
        <v>98</v>
      </c>
      <c r="AV3333" s="1" t="s">
        <v>98</v>
      </c>
      <c r="AW3333" s="1" t="s">
        <v>98</v>
      </c>
      <c r="AX3333" s="1" t="s">
        <v>98</v>
      </c>
      <c r="AY3333" s="1" t="s">
        <v>53427</v>
      </c>
      <c r="AZ3333" s="1" t="s">
        <v>53428</v>
      </c>
      <c r="BA3333" s="1"/>
      <c r="BB3333" s="1"/>
      <c r="BC3333" s="1" t="s">
        <v>53429</v>
      </c>
      <c r="BD3333" s="1" t="s">
        <v>53430</v>
      </c>
      <c r="BE3333" s="1">
        <v>78.75</v>
      </c>
      <c r="BF3333" s="1">
        <v>0</v>
      </c>
      <c r="BG3333" s="1"/>
      <c r="BH3333" s="1"/>
      <c r="BI3333" s="1"/>
      <c r="BJ3333" s="1"/>
      <c r="BK3333" s="1" t="s">
        <v>98</v>
      </c>
      <c r="BL3333" s="1" t="s">
        <v>98</v>
      </c>
      <c r="BM3333" s="1" t="s">
        <v>98</v>
      </c>
      <c r="BN3333" s="1" t="s">
        <v>98</v>
      </c>
      <c r="BO3333" s="1" t="s">
        <v>369</v>
      </c>
      <c r="BP3333" s="1"/>
      <c r="BQ3333" s="1"/>
      <c r="BR3333" s="1" t="s">
        <v>53431</v>
      </c>
      <c r="BS3333" s="1">
        <v>10</v>
      </c>
      <c r="BT3333" s="1"/>
      <c r="BU3333" s="1" t="str">
        <f>HYPERLINK("https://nconnect.nicmar.ac.in/storage/profile/2021-2023_AP21117_172395.jpg","Download")</f>
        <v>0</v>
      </c>
      <c r="BV3333" s="3"/>
      <c r="BW3333" s="3"/>
    </row>
    <row r="3334" spans="1:75">
      <c r="A3334" s="1" t="s">
        <v>51340</v>
      </c>
      <c r="B3334" s="1" t="s">
        <v>51341</v>
      </c>
      <c r="C3334" s="1" t="s">
        <v>53432</v>
      </c>
      <c r="D3334" s="1" t="s">
        <v>4820</v>
      </c>
      <c r="E3334" s="1" t="s">
        <v>2098</v>
      </c>
      <c r="F3334" s="1" t="s">
        <v>53433</v>
      </c>
      <c r="G3334" s="1" t="s">
        <v>53434</v>
      </c>
      <c r="H3334" s="1" t="s">
        <v>53435</v>
      </c>
      <c r="I3334" s="1" t="s">
        <v>53435</v>
      </c>
      <c r="J3334" s="1"/>
      <c r="K3334" s="1" t="s">
        <v>84</v>
      </c>
      <c r="L3334" s="1" t="s">
        <v>51612</v>
      </c>
      <c r="M3334" s="1" t="s">
        <v>86</v>
      </c>
      <c r="N3334" s="1" t="s">
        <v>768</v>
      </c>
      <c r="O3334" s="1"/>
      <c r="P3334" s="1" t="s">
        <v>481</v>
      </c>
      <c r="Q3334" s="1" t="s">
        <v>53436</v>
      </c>
      <c r="R3334" s="1" t="s">
        <v>2098</v>
      </c>
      <c r="S3334" s="1">
        <v>9850891112</v>
      </c>
      <c r="T3334" s="1" t="s">
        <v>221</v>
      </c>
      <c r="U3334" s="1" t="s">
        <v>35166</v>
      </c>
      <c r="V3334" s="1">
        <v>7774071112</v>
      </c>
      <c r="W3334" s="1" t="s">
        <v>161</v>
      </c>
      <c r="X3334" s="1" t="s">
        <v>53437</v>
      </c>
      <c r="Y3334" s="1" t="s">
        <v>196</v>
      </c>
      <c r="Z3334" s="1" t="s">
        <v>97</v>
      </c>
      <c r="AA3334" s="1" t="s">
        <v>53438</v>
      </c>
      <c r="AB3334" s="1" t="s">
        <v>196</v>
      </c>
      <c r="AC3334" s="1" t="s">
        <v>97</v>
      </c>
      <c r="AD3334" s="1" t="s">
        <v>98</v>
      </c>
      <c r="AE3334" s="1" t="s">
        <v>98</v>
      </c>
      <c r="AF3334" s="1" t="s">
        <v>53439</v>
      </c>
      <c r="AG3334" s="1" t="s">
        <v>629</v>
      </c>
      <c r="AH3334" s="1" t="s">
        <v>53440</v>
      </c>
      <c r="AI3334" s="1" t="s">
        <v>53441</v>
      </c>
      <c r="AJ3334" s="1">
        <v>81.8</v>
      </c>
      <c r="AK3334" s="1"/>
      <c r="AL3334" s="1" t="s">
        <v>53442</v>
      </c>
      <c r="AM3334" s="1" t="s">
        <v>629</v>
      </c>
      <c r="AN3334" s="1"/>
      <c r="AO3334" s="1" t="s">
        <v>53443</v>
      </c>
      <c r="AP3334" s="1" t="s">
        <v>53444</v>
      </c>
      <c r="AQ3334" s="1">
        <v>60</v>
      </c>
      <c r="AR3334" s="1"/>
      <c r="AS3334" s="1"/>
      <c r="AT3334" s="1"/>
      <c r="AU3334" s="1"/>
      <c r="AV3334" s="1"/>
      <c r="AW3334" s="1"/>
      <c r="AX3334" s="1"/>
      <c r="AY3334" s="1" t="s">
        <v>366</v>
      </c>
      <c r="AZ3334" s="1" t="s">
        <v>53445</v>
      </c>
      <c r="BA3334" s="1"/>
      <c r="BB3334" s="1"/>
      <c r="BC3334" s="1" t="s">
        <v>53446</v>
      </c>
      <c r="BD3334" s="1" t="s">
        <v>53447</v>
      </c>
      <c r="BE3334" s="1">
        <v>61.95</v>
      </c>
      <c r="BF3334" s="1">
        <v>7.04</v>
      </c>
      <c r="BG3334" s="1"/>
      <c r="BH3334" s="1"/>
      <c r="BI3334" s="1"/>
      <c r="BJ3334" s="1"/>
      <c r="BK3334" s="1"/>
      <c r="BL3334" s="1"/>
      <c r="BM3334" s="1"/>
      <c r="BN3334" s="1"/>
      <c r="BO3334" s="1" t="s">
        <v>849</v>
      </c>
      <c r="BP3334" s="1"/>
      <c r="BQ3334" s="1"/>
      <c r="BR3334" s="1" t="s">
        <v>53448</v>
      </c>
      <c r="BS3334" s="1">
        <v>8</v>
      </c>
      <c r="BT3334" s="1"/>
      <c r="BU3334" s="1" t="str">
        <f>HYPERLINK("https://nconnect.nicmar.ac.in/storage/profile/2021-2023_AP21118_935281.jpg","Download")</f>
        <v>0</v>
      </c>
      <c r="BV3334" s="3"/>
      <c r="BW3334" s="3"/>
    </row>
    <row r="3335" spans="1:75">
      <c r="A3335" s="1" t="s">
        <v>51340</v>
      </c>
      <c r="B3335" s="1" t="s">
        <v>51341</v>
      </c>
      <c r="C3335" s="1" t="s">
        <v>53449</v>
      </c>
      <c r="D3335" s="1" t="s">
        <v>53450</v>
      </c>
      <c r="E3335" s="1" t="s">
        <v>53451</v>
      </c>
      <c r="F3335" s="1" t="s">
        <v>2772</v>
      </c>
      <c r="G3335" s="1" t="s">
        <v>53452</v>
      </c>
      <c r="H3335" s="1" t="s">
        <v>53453</v>
      </c>
      <c r="I3335" s="1" t="s">
        <v>53454</v>
      </c>
      <c r="J3335" s="1">
        <v>7904006826</v>
      </c>
      <c r="K3335" s="1" t="s">
        <v>84</v>
      </c>
      <c r="L3335" s="1" t="s">
        <v>31582</v>
      </c>
      <c r="M3335" s="1" t="s">
        <v>86</v>
      </c>
      <c r="N3335" s="1" t="s">
        <v>8816</v>
      </c>
      <c r="O3335" s="1"/>
      <c r="P3335" s="1" t="s">
        <v>507</v>
      </c>
      <c r="Q3335" s="1" t="s">
        <v>53455</v>
      </c>
      <c r="R3335" s="1" t="s">
        <v>53456</v>
      </c>
      <c r="S3335" s="1">
        <v>9443329026</v>
      </c>
      <c r="T3335" s="1" t="s">
        <v>839</v>
      </c>
      <c r="U3335" s="1" t="s">
        <v>53457</v>
      </c>
      <c r="V3335" s="1">
        <v>9486888101</v>
      </c>
      <c r="W3335" s="1" t="s">
        <v>127</v>
      </c>
      <c r="X3335" s="1" t="s">
        <v>53458</v>
      </c>
      <c r="Y3335" s="1" t="s">
        <v>53459</v>
      </c>
      <c r="Z3335" s="1" t="s">
        <v>570</v>
      </c>
      <c r="AA3335" s="1" t="s">
        <v>53458</v>
      </c>
      <c r="AB3335" s="1" t="s">
        <v>53459</v>
      </c>
      <c r="AC3335" s="1" t="s">
        <v>570</v>
      </c>
      <c r="AD3335" s="1" t="s">
        <v>98</v>
      </c>
      <c r="AE3335" s="1" t="s">
        <v>98</v>
      </c>
      <c r="AF3335" s="1" t="s">
        <v>53460</v>
      </c>
      <c r="AG3335" s="1" t="s">
        <v>53461</v>
      </c>
      <c r="AH3335" s="1">
        <v>40973</v>
      </c>
      <c r="AI3335" s="1">
        <v>41338</v>
      </c>
      <c r="AJ3335" s="1">
        <v>92</v>
      </c>
      <c r="AK3335" s="1"/>
      <c r="AL3335" s="1" t="s">
        <v>53460</v>
      </c>
      <c r="AM3335" s="1" t="s">
        <v>53461</v>
      </c>
      <c r="AN3335" s="1"/>
      <c r="AO3335" s="1">
        <v>41703</v>
      </c>
      <c r="AP3335" s="1">
        <v>42068</v>
      </c>
      <c r="AQ3335" s="1">
        <v>91.66</v>
      </c>
      <c r="AR3335" s="1"/>
      <c r="AS3335" s="1"/>
      <c r="AT3335" s="1"/>
      <c r="AU3335" s="1" t="s">
        <v>98</v>
      </c>
      <c r="AV3335" s="1" t="s">
        <v>98</v>
      </c>
      <c r="AW3335" s="1" t="s">
        <v>98</v>
      </c>
      <c r="AX3335" s="1" t="s">
        <v>98</v>
      </c>
      <c r="AY3335" s="1" t="s">
        <v>576</v>
      </c>
      <c r="AZ3335" s="1" t="s">
        <v>53462</v>
      </c>
      <c r="BA3335" s="1"/>
      <c r="BB3335" s="1"/>
      <c r="BC3335" s="1">
        <v>42244</v>
      </c>
      <c r="BD3335" s="1">
        <v>43777</v>
      </c>
      <c r="BE3335" s="1">
        <v>63.9</v>
      </c>
      <c r="BF3335" s="1">
        <v>6.39</v>
      </c>
      <c r="BG3335" s="1"/>
      <c r="BH3335" s="1"/>
      <c r="BI3335" s="1"/>
      <c r="BJ3335" s="1"/>
      <c r="BK3335" s="1" t="s">
        <v>98</v>
      </c>
      <c r="BL3335" s="1" t="s">
        <v>98</v>
      </c>
      <c r="BM3335" s="1" t="s">
        <v>98</v>
      </c>
      <c r="BN3335" s="1" t="s">
        <v>98</v>
      </c>
      <c r="BO3335" s="1" t="s">
        <v>53463</v>
      </c>
      <c r="BP3335" s="1"/>
      <c r="BQ3335" s="1"/>
      <c r="BR3335" s="1" t="s">
        <v>53464</v>
      </c>
      <c r="BS3335" s="1">
        <v>9</v>
      </c>
      <c r="BT3335" s="1"/>
      <c r="BU3335" s="1" t="str">
        <f>HYPERLINK("https://nconnect.nicmar.ac.in/storage/profile/2021-2023_AP21119_327864.jpg","Download")</f>
        <v>0</v>
      </c>
      <c r="BV3335" s="3"/>
      <c r="BW3335" s="3"/>
    </row>
    <row r="3336" spans="1:75">
      <c r="A3336" s="1" t="s">
        <v>51340</v>
      </c>
      <c r="B3336" s="1" t="s">
        <v>51341</v>
      </c>
      <c r="C3336" s="1" t="s">
        <v>53465</v>
      </c>
      <c r="D3336" s="1" t="s">
        <v>53466</v>
      </c>
      <c r="E3336" s="1" t="s">
        <v>663</v>
      </c>
      <c r="F3336" s="1" t="s">
        <v>32761</v>
      </c>
      <c r="G3336" s="1" t="s">
        <v>53467</v>
      </c>
      <c r="H3336" s="1" t="s">
        <v>53468</v>
      </c>
      <c r="I3336" s="1" t="s">
        <v>53469</v>
      </c>
      <c r="J3336" s="1">
        <v>8976019448</v>
      </c>
      <c r="K3336" s="1" t="s">
        <v>153</v>
      </c>
      <c r="L3336" s="1" t="s">
        <v>53470</v>
      </c>
      <c r="M3336" s="1" t="s">
        <v>86</v>
      </c>
      <c r="N3336" s="1" t="s">
        <v>246</v>
      </c>
      <c r="O3336" s="1"/>
      <c r="P3336" s="1" t="s">
        <v>507</v>
      </c>
      <c r="Q3336" s="1" t="s">
        <v>53471</v>
      </c>
      <c r="R3336" s="1" t="s">
        <v>53472</v>
      </c>
      <c r="S3336" s="1">
        <v>9594927013</v>
      </c>
      <c r="T3336" s="1" t="s">
        <v>645</v>
      </c>
      <c r="U3336" s="1" t="s">
        <v>53473</v>
      </c>
      <c r="V3336" s="1">
        <v>9702221300</v>
      </c>
      <c r="W3336" s="1" t="s">
        <v>94</v>
      </c>
      <c r="X3336" s="1" t="s">
        <v>53474</v>
      </c>
      <c r="Y3336" s="1" t="s">
        <v>14079</v>
      </c>
      <c r="Z3336" s="1" t="s">
        <v>97</v>
      </c>
      <c r="AA3336" s="1" t="s">
        <v>53475</v>
      </c>
      <c r="AB3336" s="1" t="s">
        <v>1012</v>
      </c>
      <c r="AC3336" s="1" t="s">
        <v>97</v>
      </c>
      <c r="AD3336" s="1" t="s">
        <v>98</v>
      </c>
      <c r="AE3336" s="1" t="s">
        <v>98</v>
      </c>
      <c r="AF3336" s="1" t="s">
        <v>41949</v>
      </c>
      <c r="AG3336" s="1" t="s">
        <v>6474</v>
      </c>
      <c r="AH3336" s="1">
        <v>41001</v>
      </c>
      <c r="AI3336" s="1">
        <v>41353</v>
      </c>
      <c r="AJ3336" s="1">
        <v>86.33</v>
      </c>
      <c r="AK3336" s="1"/>
      <c r="AL3336" s="1" t="s">
        <v>53476</v>
      </c>
      <c r="AM3336" s="1" t="s">
        <v>312</v>
      </c>
      <c r="AN3336" s="1"/>
      <c r="AO3336" s="1">
        <v>41729</v>
      </c>
      <c r="AP3336" s="1">
        <v>42090</v>
      </c>
      <c r="AQ3336" s="1">
        <v>74.2</v>
      </c>
      <c r="AR3336" s="1"/>
      <c r="AS3336" s="1"/>
      <c r="AT3336" s="1"/>
      <c r="AU3336" s="1" t="s">
        <v>98</v>
      </c>
      <c r="AV3336" s="1" t="s">
        <v>98</v>
      </c>
      <c r="AW3336" s="1" t="s">
        <v>98</v>
      </c>
      <c r="AX3336" s="1" t="s">
        <v>98</v>
      </c>
      <c r="AY3336" s="1" t="s">
        <v>366</v>
      </c>
      <c r="AZ3336" s="1" t="s">
        <v>53477</v>
      </c>
      <c r="BA3336" s="1"/>
      <c r="BB3336" s="1"/>
      <c r="BC3336" s="1">
        <v>42213</v>
      </c>
      <c r="BD3336" s="1">
        <v>44091</v>
      </c>
      <c r="BE3336" s="1">
        <v>77.97</v>
      </c>
      <c r="BF3336" s="1">
        <v>8.86</v>
      </c>
      <c r="BG3336" s="1"/>
      <c r="BH3336" s="1"/>
      <c r="BI3336" s="1"/>
      <c r="BJ3336" s="1"/>
      <c r="BK3336" s="1" t="s">
        <v>98</v>
      </c>
      <c r="BL3336" s="1" t="s">
        <v>98</v>
      </c>
      <c r="BM3336" s="1" t="s">
        <v>98</v>
      </c>
      <c r="BN3336" s="1" t="s">
        <v>98</v>
      </c>
      <c r="BO3336" s="1" t="s">
        <v>260</v>
      </c>
      <c r="BP3336" s="1"/>
      <c r="BQ3336" s="1"/>
      <c r="BR3336" s="1" t="s">
        <v>53478</v>
      </c>
      <c r="BS3336" s="1">
        <v>53</v>
      </c>
      <c r="BT3336" s="1"/>
      <c r="BU3336" s="1" t="str">
        <f>HYPERLINK("https://nconnect.nicmar.ac.in/storage/profile/2021-2023_AP21120_239167.jpg","Download")</f>
        <v>0</v>
      </c>
      <c r="BV3336" s="3"/>
      <c r="BW3336" s="3"/>
    </row>
    <row r="3337" spans="1:75">
      <c r="A3337" s="1" t="s">
        <v>51340</v>
      </c>
      <c r="B3337" s="1" t="s">
        <v>51341</v>
      </c>
      <c r="C3337" s="1" t="s">
        <v>53479</v>
      </c>
      <c r="D3337" s="1" t="s">
        <v>5466</v>
      </c>
      <c r="E3337" s="1" t="s">
        <v>53480</v>
      </c>
      <c r="F3337" s="1" t="s">
        <v>530</v>
      </c>
      <c r="G3337" s="1" t="s">
        <v>53481</v>
      </c>
      <c r="H3337" s="1" t="s">
        <v>53482</v>
      </c>
      <c r="I3337" s="1" t="s">
        <v>53483</v>
      </c>
      <c r="J3337" s="1">
        <v>8888667509</v>
      </c>
      <c r="K3337" s="1" t="s">
        <v>84</v>
      </c>
      <c r="L3337" s="1" t="s">
        <v>53484</v>
      </c>
      <c r="M3337" s="1" t="s">
        <v>86</v>
      </c>
      <c r="N3337" s="1" t="s">
        <v>87</v>
      </c>
      <c r="O3337" s="1"/>
      <c r="P3337" s="1" t="s">
        <v>481</v>
      </c>
      <c r="Q3337" s="1" t="s">
        <v>53485</v>
      </c>
      <c r="R3337" s="1" t="s">
        <v>53486</v>
      </c>
      <c r="S3337" s="1">
        <v>9922413012</v>
      </c>
      <c r="T3337" s="1" t="s">
        <v>3693</v>
      </c>
      <c r="U3337" s="1" t="s">
        <v>53487</v>
      </c>
      <c r="V3337" s="1">
        <v>8275747951</v>
      </c>
      <c r="W3337" s="1" t="s">
        <v>94</v>
      </c>
      <c r="X3337" s="1" t="s">
        <v>53488</v>
      </c>
      <c r="Y3337" s="1" t="s">
        <v>410</v>
      </c>
      <c r="Z3337" s="1" t="s">
        <v>97</v>
      </c>
      <c r="AA3337" s="1" t="s">
        <v>53489</v>
      </c>
      <c r="AB3337" s="1" t="s">
        <v>53490</v>
      </c>
      <c r="AC3337" s="1" t="s">
        <v>281</v>
      </c>
      <c r="AD3337" s="1" t="s">
        <v>98</v>
      </c>
      <c r="AE3337" s="1" t="s">
        <v>98</v>
      </c>
      <c r="AF3337" s="1" t="s">
        <v>53491</v>
      </c>
      <c r="AG3337" s="1" t="s">
        <v>312</v>
      </c>
      <c r="AH3337" s="1">
        <v>41428</v>
      </c>
      <c r="AI3337" s="1">
        <v>41778</v>
      </c>
      <c r="AJ3337" s="1">
        <v>93.1</v>
      </c>
      <c r="AK3337" s="1">
        <v>9.8</v>
      </c>
      <c r="AL3337" s="1" t="s">
        <v>33930</v>
      </c>
      <c r="AM3337" s="1" t="s">
        <v>312</v>
      </c>
      <c r="AN3337" s="1"/>
      <c r="AO3337" s="1">
        <v>42156</v>
      </c>
      <c r="AP3337" s="1">
        <v>42515</v>
      </c>
      <c r="AQ3337" s="1">
        <v>67.38</v>
      </c>
      <c r="AR3337" s="1">
        <v>0</v>
      </c>
      <c r="AS3337" s="1"/>
      <c r="AT3337" s="1"/>
      <c r="AU3337" s="1" t="s">
        <v>98</v>
      </c>
      <c r="AV3337" s="1" t="s">
        <v>98</v>
      </c>
      <c r="AW3337" s="1" t="s">
        <v>98</v>
      </c>
      <c r="AX3337" s="1" t="s">
        <v>98</v>
      </c>
      <c r="AY3337" s="1" t="s">
        <v>415</v>
      </c>
      <c r="AZ3337" s="1" t="s">
        <v>53492</v>
      </c>
      <c r="BA3337" s="1"/>
      <c r="BB3337" s="1"/>
      <c r="BC3337" s="1">
        <v>42590</v>
      </c>
      <c r="BD3337" s="1">
        <v>44109</v>
      </c>
      <c r="BE3337" s="1">
        <v>64.6</v>
      </c>
      <c r="BF3337" s="1">
        <v>6.46</v>
      </c>
      <c r="BG3337" s="1"/>
      <c r="BH3337" s="1"/>
      <c r="BI3337" s="1"/>
      <c r="BJ3337" s="1"/>
      <c r="BK3337" s="1" t="s">
        <v>98</v>
      </c>
      <c r="BL3337" s="1" t="s">
        <v>98</v>
      </c>
      <c r="BM3337" s="1" t="s">
        <v>98</v>
      </c>
      <c r="BN3337" s="1" t="s">
        <v>98</v>
      </c>
      <c r="BO3337" s="1" t="s">
        <v>47897</v>
      </c>
      <c r="BP3337" s="1" t="s">
        <v>53493</v>
      </c>
      <c r="BQ3337" s="1" t="s">
        <v>780</v>
      </c>
      <c r="BR3337" s="1" t="s">
        <v>53494</v>
      </c>
      <c r="BS3337" s="1">
        <v>29</v>
      </c>
      <c r="BT3337" s="1"/>
      <c r="BU3337" s="1" t="str">
        <f>HYPERLINK("https://nconnect.nicmar.ac.in/storage/profile/2021-2023_AP21121_572641.jpeg","Download")</f>
        <v>0</v>
      </c>
      <c r="BV3337" s="3"/>
      <c r="BW3337" s="3"/>
    </row>
    <row r="3338" spans="1:75">
      <c r="A3338" s="1" t="s">
        <v>51340</v>
      </c>
      <c r="B3338" s="1" t="s">
        <v>51341</v>
      </c>
      <c r="C3338" s="1" t="s">
        <v>53495</v>
      </c>
      <c r="D3338" s="1" t="s">
        <v>7759</v>
      </c>
      <c r="E3338" s="1" t="s">
        <v>2273</v>
      </c>
      <c r="F3338" s="1" t="s">
        <v>53496</v>
      </c>
      <c r="G3338" s="1" t="s">
        <v>53497</v>
      </c>
      <c r="H3338" s="1" t="s">
        <v>53498</v>
      </c>
      <c r="I3338" s="1" t="s">
        <v>53499</v>
      </c>
      <c r="J3338" s="1">
        <v>8888769991</v>
      </c>
      <c r="K3338" s="1" t="s">
        <v>84</v>
      </c>
      <c r="L3338" s="1"/>
      <c r="M3338" s="1" t="s">
        <v>86</v>
      </c>
      <c r="N3338" s="1" t="s">
        <v>1163</v>
      </c>
      <c r="O3338" s="1"/>
      <c r="P3338" s="1" t="s">
        <v>455</v>
      </c>
      <c r="Q3338" s="1">
        <v>869000000000</v>
      </c>
      <c r="R3338" s="1" t="s">
        <v>53500</v>
      </c>
      <c r="S3338" s="1">
        <v>9850609991</v>
      </c>
      <c r="T3338" s="1" t="s">
        <v>839</v>
      </c>
      <c r="U3338" s="1" t="s">
        <v>53501</v>
      </c>
      <c r="V3338" s="1">
        <v>9921609991</v>
      </c>
      <c r="W3338" s="1" t="s">
        <v>94</v>
      </c>
      <c r="X3338" s="1" t="s">
        <v>53502</v>
      </c>
      <c r="Y3338" s="1"/>
      <c r="Z3338" s="1"/>
      <c r="AA3338" s="1" t="s">
        <v>98</v>
      </c>
      <c r="AB3338" s="1"/>
      <c r="AC3338" s="1"/>
      <c r="AD3338" s="1" t="s">
        <v>98</v>
      </c>
      <c r="AE3338" s="1" t="s">
        <v>98</v>
      </c>
      <c r="AF3338" s="1" t="s">
        <v>53503</v>
      </c>
      <c r="AG3338" s="1" t="s">
        <v>1968</v>
      </c>
      <c r="AH3338" s="1">
        <v>41075</v>
      </c>
      <c r="AI3338" s="1">
        <v>41363</v>
      </c>
      <c r="AJ3338" s="1">
        <v>58.91</v>
      </c>
      <c r="AK3338" s="1" t="s">
        <v>98</v>
      </c>
      <c r="AL3338" s="1" t="s">
        <v>53504</v>
      </c>
      <c r="AM3338" s="1" t="s">
        <v>1968</v>
      </c>
      <c r="AN3338" s="1"/>
      <c r="AO3338" s="1">
        <v>41805</v>
      </c>
      <c r="AP3338" s="1">
        <v>42064</v>
      </c>
      <c r="AQ3338" s="1">
        <v>52.15</v>
      </c>
      <c r="AR3338" s="1" t="s">
        <v>98</v>
      </c>
      <c r="AS3338" s="1" t="s">
        <v>439</v>
      </c>
      <c r="AT3338" s="1" t="s">
        <v>53505</v>
      </c>
      <c r="AU3338" s="1">
        <v>42208</v>
      </c>
      <c r="AV3338" s="1">
        <v>42886</v>
      </c>
      <c r="AW3338" s="1">
        <v>72.18</v>
      </c>
      <c r="AX3338" s="1" t="s">
        <v>98</v>
      </c>
      <c r="AY3338" s="1" t="s">
        <v>366</v>
      </c>
      <c r="AZ3338" s="1" t="s">
        <v>53506</v>
      </c>
      <c r="BA3338" s="1"/>
      <c r="BB3338" s="1"/>
      <c r="BC3338" s="1">
        <v>42965</v>
      </c>
      <c r="BD3338" s="1">
        <v>44146</v>
      </c>
      <c r="BE3338" s="1">
        <v>62.3</v>
      </c>
      <c r="BF3338" s="1">
        <v>7.21</v>
      </c>
      <c r="BG3338" s="1" t="s">
        <v>98</v>
      </c>
      <c r="BH3338" s="1"/>
      <c r="BI3338" s="1"/>
      <c r="BJ3338" s="1"/>
      <c r="BK3338" s="1" t="s">
        <v>98</v>
      </c>
      <c r="BL3338" s="1" t="s">
        <v>98</v>
      </c>
      <c r="BM3338" s="1" t="s">
        <v>98</v>
      </c>
      <c r="BN3338" s="1" t="s">
        <v>98</v>
      </c>
      <c r="BO3338" s="1"/>
      <c r="BP3338" s="1"/>
      <c r="BQ3338" s="1"/>
      <c r="BR3338" s="1"/>
      <c r="BS3338" s="1"/>
      <c r="BT3338" s="1"/>
      <c r="BU3338" s="1" t="s">
        <v>9653</v>
      </c>
      <c r="BV3338" s="3"/>
      <c r="BW3338" s="3"/>
    </row>
    <row r="3339" spans="1:75">
      <c r="A3339" s="1" t="s">
        <v>51340</v>
      </c>
      <c r="B3339" s="1" t="s">
        <v>51341</v>
      </c>
      <c r="C3339" s="1" t="s">
        <v>53507</v>
      </c>
      <c r="D3339" s="1" t="s">
        <v>32181</v>
      </c>
      <c r="E3339" s="1" t="s">
        <v>1320</v>
      </c>
      <c r="F3339" s="1" t="s">
        <v>53508</v>
      </c>
      <c r="G3339" s="1" t="s">
        <v>53509</v>
      </c>
      <c r="H3339" s="1" t="s">
        <v>53510</v>
      </c>
      <c r="I3339" s="1" t="s">
        <v>53511</v>
      </c>
      <c r="J3339" s="1">
        <v>9113567529</v>
      </c>
      <c r="K3339" s="1" t="s">
        <v>84</v>
      </c>
      <c r="L3339" s="1" t="s">
        <v>53512</v>
      </c>
      <c r="M3339" s="1" t="s">
        <v>86</v>
      </c>
      <c r="N3339" s="1" t="s">
        <v>53513</v>
      </c>
      <c r="O3339" s="1"/>
      <c r="P3339" s="1" t="s">
        <v>481</v>
      </c>
      <c r="Q3339" s="1" t="s">
        <v>53514</v>
      </c>
      <c r="R3339" s="1" t="s">
        <v>53515</v>
      </c>
      <c r="S3339" s="1">
        <v>9000018651</v>
      </c>
      <c r="T3339" s="1" t="s">
        <v>7281</v>
      </c>
      <c r="U3339" s="1" t="s">
        <v>53516</v>
      </c>
      <c r="V3339" s="1">
        <v>9963268198</v>
      </c>
      <c r="W3339" s="1" t="s">
        <v>94</v>
      </c>
      <c r="X3339" s="1" t="s">
        <v>53517</v>
      </c>
      <c r="Y3339" s="1" t="s">
        <v>1454</v>
      </c>
      <c r="Z3339" s="1" t="s">
        <v>281</v>
      </c>
      <c r="AA3339" s="1" t="s">
        <v>53517</v>
      </c>
      <c r="AB3339" s="1" t="s">
        <v>1454</v>
      </c>
      <c r="AC3339" s="1" t="s">
        <v>281</v>
      </c>
      <c r="AD3339" s="1" t="s">
        <v>98</v>
      </c>
      <c r="AE3339" s="1" t="s">
        <v>98</v>
      </c>
      <c r="AF3339" s="1" t="s">
        <v>53518</v>
      </c>
      <c r="AG3339" s="1" t="s">
        <v>6474</v>
      </c>
      <c r="AH3339" s="1">
        <v>41796</v>
      </c>
      <c r="AI3339" s="1">
        <v>42142</v>
      </c>
      <c r="AJ3339" s="1">
        <v>78</v>
      </c>
      <c r="AK3339" s="1">
        <v>0</v>
      </c>
      <c r="AL3339" s="1" t="s">
        <v>25726</v>
      </c>
      <c r="AM3339" s="1" t="s">
        <v>6474</v>
      </c>
      <c r="AN3339" s="1"/>
      <c r="AO3339" s="1">
        <v>42522</v>
      </c>
      <c r="AP3339" s="1">
        <v>42838</v>
      </c>
      <c r="AQ3339" s="1">
        <v>95.1</v>
      </c>
      <c r="AR3339" s="1">
        <v>0</v>
      </c>
      <c r="AS3339" s="1"/>
      <c r="AT3339" s="1"/>
      <c r="AU3339" s="1" t="s">
        <v>98</v>
      </c>
      <c r="AV3339" s="1" t="s">
        <v>98</v>
      </c>
      <c r="AW3339" s="1" t="s">
        <v>98</v>
      </c>
      <c r="AX3339" s="1" t="s">
        <v>98</v>
      </c>
      <c r="AY3339" s="1" t="s">
        <v>6995</v>
      </c>
      <c r="AZ3339" s="1" t="s">
        <v>22727</v>
      </c>
      <c r="BA3339" s="1"/>
      <c r="BB3339" s="1"/>
      <c r="BC3339" s="1">
        <v>42968</v>
      </c>
      <c r="BD3339" s="1">
        <v>44456</v>
      </c>
      <c r="BE3339" s="1">
        <v>92.5</v>
      </c>
      <c r="BF3339" s="1">
        <v>9.25</v>
      </c>
      <c r="BG3339" s="1"/>
      <c r="BH3339" s="1"/>
      <c r="BI3339" s="1"/>
      <c r="BJ3339" s="1"/>
      <c r="BK3339" s="1" t="s">
        <v>98</v>
      </c>
      <c r="BL3339" s="1" t="s">
        <v>98</v>
      </c>
      <c r="BM3339" s="1" t="s">
        <v>98</v>
      </c>
      <c r="BN3339" s="1" t="s">
        <v>98</v>
      </c>
      <c r="BO3339" s="1" t="s">
        <v>369</v>
      </c>
      <c r="BP3339" s="1"/>
      <c r="BQ3339" s="1"/>
      <c r="BR3339" s="1" t="s">
        <v>53519</v>
      </c>
      <c r="BS3339" s="1">
        <v>45</v>
      </c>
      <c r="BT3339" s="1"/>
      <c r="BU3339" s="1" t="str">
        <f>HYPERLINK("https://nconnect.nicmar.ac.in/storage/profile/2021-2023_AP21123_734562.jpg","Download")</f>
        <v>0</v>
      </c>
      <c r="BV3339" s="3"/>
      <c r="BW3339" s="3"/>
    </row>
    <row r="3340" spans="1:75">
      <c r="A3340" s="1" t="s">
        <v>51340</v>
      </c>
      <c r="B3340" s="1" t="s">
        <v>51341</v>
      </c>
      <c r="C3340" s="1" t="s">
        <v>53520</v>
      </c>
      <c r="D3340" s="1" t="s">
        <v>53521</v>
      </c>
      <c r="E3340" s="1"/>
      <c r="F3340" s="1" t="s">
        <v>530</v>
      </c>
      <c r="G3340" s="1" t="s">
        <v>53522</v>
      </c>
      <c r="H3340" s="1" t="s">
        <v>53523</v>
      </c>
      <c r="I3340" s="1" t="s">
        <v>53524</v>
      </c>
      <c r="J3340" s="1">
        <v>8130300859</v>
      </c>
      <c r="K3340" s="1" t="s">
        <v>84</v>
      </c>
      <c r="L3340" s="1" t="s">
        <v>53525</v>
      </c>
      <c r="M3340" s="1" t="s">
        <v>86</v>
      </c>
      <c r="N3340" s="1" t="s">
        <v>246</v>
      </c>
      <c r="O3340" s="1"/>
      <c r="P3340" s="1" t="s">
        <v>507</v>
      </c>
      <c r="Q3340" s="1" t="s">
        <v>53526</v>
      </c>
      <c r="R3340" s="1" t="s">
        <v>53527</v>
      </c>
      <c r="S3340" s="1">
        <v>9826673158</v>
      </c>
      <c r="T3340" s="1" t="s">
        <v>127</v>
      </c>
      <c r="U3340" s="1" t="s">
        <v>53528</v>
      </c>
      <c r="V3340" s="1">
        <v>7247593539</v>
      </c>
      <c r="W3340" s="1" t="s">
        <v>127</v>
      </c>
      <c r="X3340" s="1" t="s">
        <v>53529</v>
      </c>
      <c r="Y3340" s="1" t="s">
        <v>53530</v>
      </c>
      <c r="Z3340" s="1" t="s">
        <v>2933</v>
      </c>
      <c r="AA3340" s="1" t="s">
        <v>53531</v>
      </c>
      <c r="AB3340" s="1" t="s">
        <v>21597</v>
      </c>
      <c r="AC3340" s="1" t="s">
        <v>2933</v>
      </c>
      <c r="AD3340" s="1" t="s">
        <v>98</v>
      </c>
      <c r="AE3340" s="1" t="s">
        <v>98</v>
      </c>
      <c r="AF3340" s="1" t="s">
        <v>53532</v>
      </c>
      <c r="AG3340" s="1" t="s">
        <v>312</v>
      </c>
      <c r="AH3340" s="1">
        <v>41000</v>
      </c>
      <c r="AI3340" s="1">
        <v>41424</v>
      </c>
      <c r="AJ3340" s="1">
        <v>74.1</v>
      </c>
      <c r="AK3340" s="1">
        <v>7.8</v>
      </c>
      <c r="AL3340" s="1" t="s">
        <v>53532</v>
      </c>
      <c r="AM3340" s="1" t="s">
        <v>312</v>
      </c>
      <c r="AN3340" s="1"/>
      <c r="AO3340" s="1">
        <v>41730</v>
      </c>
      <c r="AP3340" s="1">
        <v>42149</v>
      </c>
      <c r="AQ3340" s="1">
        <v>54.2</v>
      </c>
      <c r="AR3340" s="1"/>
      <c r="AS3340" s="1"/>
      <c r="AT3340" s="1"/>
      <c r="AU3340" s="1" t="s">
        <v>98</v>
      </c>
      <c r="AV3340" s="1" t="s">
        <v>98</v>
      </c>
      <c r="AW3340" s="1" t="s">
        <v>98</v>
      </c>
      <c r="AX3340" s="1" t="s">
        <v>98</v>
      </c>
      <c r="AY3340" s="1" t="s">
        <v>53533</v>
      </c>
      <c r="AZ3340" s="1" t="s">
        <v>53534</v>
      </c>
      <c r="BA3340" s="1"/>
      <c r="BB3340" s="1"/>
      <c r="BC3340" s="1">
        <v>42219</v>
      </c>
      <c r="BD3340" s="1">
        <v>43642</v>
      </c>
      <c r="BE3340" s="1">
        <v>68.9</v>
      </c>
      <c r="BF3340" s="1"/>
      <c r="BG3340" s="1"/>
      <c r="BH3340" s="1"/>
      <c r="BI3340" s="1"/>
      <c r="BJ3340" s="1"/>
      <c r="BK3340" s="1" t="s">
        <v>98</v>
      </c>
      <c r="BL3340" s="1" t="s">
        <v>98</v>
      </c>
      <c r="BM3340" s="1" t="s">
        <v>98</v>
      </c>
      <c r="BN3340" s="1" t="s">
        <v>98</v>
      </c>
      <c r="BO3340" s="1" t="s">
        <v>369</v>
      </c>
      <c r="BP3340" s="1" t="s">
        <v>53535</v>
      </c>
      <c r="BQ3340" s="1" t="s">
        <v>4552</v>
      </c>
      <c r="BR3340" s="1" t="s">
        <v>53536</v>
      </c>
      <c r="BS3340" s="1">
        <v>7</v>
      </c>
      <c r="BT3340" s="1"/>
      <c r="BU3340" s="1" t="str">
        <f>HYPERLINK("https://nconnect.nicmar.ac.in/storage/profile/2021-2023_AP21124_569248.jpg","Download")</f>
        <v>0</v>
      </c>
      <c r="BV3340" s="3"/>
      <c r="BW3340" s="3"/>
    </row>
    <row r="3341" spans="1:75">
      <c r="A3341" s="1" t="s">
        <v>51340</v>
      </c>
      <c r="B3341" s="1" t="s">
        <v>51341</v>
      </c>
      <c r="C3341" s="1" t="s">
        <v>53537</v>
      </c>
      <c r="D3341" s="1" t="s">
        <v>53538</v>
      </c>
      <c r="E3341" s="1"/>
      <c r="F3341" s="1" t="s">
        <v>51458</v>
      </c>
      <c r="G3341" s="1" t="s">
        <v>53539</v>
      </c>
      <c r="H3341" s="1" t="s">
        <v>53540</v>
      </c>
      <c r="I3341" s="1" t="s">
        <v>53541</v>
      </c>
      <c r="J3341" s="1">
        <v>9713317881</v>
      </c>
      <c r="K3341" s="1" t="s">
        <v>84</v>
      </c>
      <c r="L3341" s="1" t="s">
        <v>49537</v>
      </c>
      <c r="M3341" s="1" t="s">
        <v>86</v>
      </c>
      <c r="N3341" s="1" t="s">
        <v>27171</v>
      </c>
      <c r="O3341" s="1"/>
      <c r="P3341" s="1" t="s">
        <v>507</v>
      </c>
      <c r="Q3341" s="1" t="s">
        <v>53542</v>
      </c>
      <c r="R3341" s="1" t="s">
        <v>53543</v>
      </c>
      <c r="S3341" s="1">
        <v>8965082708</v>
      </c>
      <c r="T3341" s="1" t="s">
        <v>539</v>
      </c>
      <c r="U3341" s="1" t="s">
        <v>53544</v>
      </c>
      <c r="V3341" s="1">
        <v>8839406797</v>
      </c>
      <c r="W3341" s="1" t="s">
        <v>94</v>
      </c>
      <c r="X3341" s="1" t="s">
        <v>53545</v>
      </c>
      <c r="Y3341" s="1" t="s">
        <v>52489</v>
      </c>
      <c r="Z3341" s="1" t="s">
        <v>2933</v>
      </c>
      <c r="AA3341" s="1" t="s">
        <v>53545</v>
      </c>
      <c r="AB3341" s="1" t="s">
        <v>52489</v>
      </c>
      <c r="AC3341" s="1" t="s">
        <v>2933</v>
      </c>
      <c r="AD3341" s="1" t="s">
        <v>98</v>
      </c>
      <c r="AE3341" s="1" t="s">
        <v>98</v>
      </c>
      <c r="AF3341" s="1" t="s">
        <v>38868</v>
      </c>
      <c r="AG3341" s="1" t="s">
        <v>312</v>
      </c>
      <c r="AH3341" s="1">
        <v>41365</v>
      </c>
      <c r="AI3341" s="1">
        <v>41779</v>
      </c>
      <c r="AJ3341" s="1">
        <v>89.3</v>
      </c>
      <c r="AK3341" s="1">
        <v>9.4</v>
      </c>
      <c r="AL3341" s="1" t="s">
        <v>38868</v>
      </c>
      <c r="AM3341" s="1" t="s">
        <v>312</v>
      </c>
      <c r="AN3341" s="1"/>
      <c r="AO3341" s="1">
        <v>42095</v>
      </c>
      <c r="AP3341" s="1">
        <v>42511</v>
      </c>
      <c r="AQ3341" s="1">
        <v>85.6</v>
      </c>
      <c r="AR3341" s="1" t="s">
        <v>98</v>
      </c>
      <c r="AS3341" s="1" t="s">
        <v>98</v>
      </c>
      <c r="AT3341" s="1" t="s">
        <v>98</v>
      </c>
      <c r="AU3341" s="1" t="s">
        <v>98</v>
      </c>
      <c r="AV3341" s="1" t="s">
        <v>98</v>
      </c>
      <c r="AW3341" s="1" t="s">
        <v>98</v>
      </c>
      <c r="AX3341" s="1" t="s">
        <v>98</v>
      </c>
      <c r="AY3341" s="1" t="s">
        <v>9026</v>
      </c>
      <c r="AZ3341" s="1" t="s">
        <v>2614</v>
      </c>
      <c r="BA3341" s="1"/>
      <c r="BB3341" s="1"/>
      <c r="BC3341" s="1">
        <v>42538</v>
      </c>
      <c r="BD3341" s="1">
        <v>44011</v>
      </c>
      <c r="BE3341" s="1">
        <v>77.4</v>
      </c>
      <c r="BF3341" s="1">
        <v>6.86</v>
      </c>
      <c r="BG3341" s="1" t="s">
        <v>98</v>
      </c>
      <c r="BH3341" s="1"/>
      <c r="BI3341" s="1"/>
      <c r="BJ3341" s="1"/>
      <c r="BK3341" s="1" t="s">
        <v>98</v>
      </c>
      <c r="BL3341" s="1" t="s">
        <v>98</v>
      </c>
      <c r="BM3341" s="1" t="s">
        <v>98</v>
      </c>
      <c r="BN3341" s="1" t="s">
        <v>98</v>
      </c>
      <c r="BO3341" s="1"/>
      <c r="BP3341" s="1"/>
      <c r="BQ3341" s="1"/>
      <c r="BR3341" s="1" t="s">
        <v>53546</v>
      </c>
      <c r="BS3341" s="1">
        <v>8</v>
      </c>
      <c r="BT3341" s="1"/>
      <c r="BU3341" s="1" t="str">
        <f>HYPERLINK("https://nconnect.nicmar.ac.in/storage/profile/2021-2023_AP21125_184932.jpeg","Download")</f>
        <v>0</v>
      </c>
      <c r="BV3341" s="3"/>
      <c r="BW3341" s="3"/>
    </row>
    <row r="3342" spans="1:75">
      <c r="A3342" s="1" t="s">
        <v>51340</v>
      </c>
      <c r="B3342" s="1" t="s">
        <v>51341</v>
      </c>
      <c r="C3342" s="1" t="s">
        <v>53547</v>
      </c>
      <c r="D3342" s="1" t="s">
        <v>4707</v>
      </c>
      <c r="E3342" s="1" t="s">
        <v>4037</v>
      </c>
      <c r="F3342" s="1" t="s">
        <v>53548</v>
      </c>
      <c r="G3342" s="1" t="s">
        <v>53549</v>
      </c>
      <c r="H3342" s="1" t="s">
        <v>53550</v>
      </c>
      <c r="I3342" s="1" t="s">
        <v>53551</v>
      </c>
      <c r="J3342" s="1">
        <v>9052585022</v>
      </c>
      <c r="K3342" s="1" t="s">
        <v>84</v>
      </c>
      <c r="L3342" s="1" t="s">
        <v>53552</v>
      </c>
      <c r="M3342" s="1" t="s">
        <v>86</v>
      </c>
      <c r="N3342" s="1" t="s">
        <v>3026</v>
      </c>
      <c r="O3342" s="1"/>
      <c r="P3342" s="1" t="s">
        <v>455</v>
      </c>
      <c r="Q3342" s="1" t="s">
        <v>53553</v>
      </c>
      <c r="R3342" s="1" t="s">
        <v>53554</v>
      </c>
      <c r="S3342" s="1">
        <v>9347822911</v>
      </c>
      <c r="T3342" s="1" t="s">
        <v>159</v>
      </c>
      <c r="U3342" s="1" t="s">
        <v>53555</v>
      </c>
      <c r="V3342" s="1">
        <v>9963524394</v>
      </c>
      <c r="W3342" s="1" t="s">
        <v>94</v>
      </c>
      <c r="X3342" s="1" t="s">
        <v>53556</v>
      </c>
      <c r="Y3342" s="1" t="s">
        <v>3090</v>
      </c>
      <c r="Z3342" s="1" t="s">
        <v>281</v>
      </c>
      <c r="AA3342" s="1" t="s">
        <v>53556</v>
      </c>
      <c r="AB3342" s="1" t="s">
        <v>3090</v>
      </c>
      <c r="AC3342" s="1" t="s">
        <v>281</v>
      </c>
      <c r="AD3342" s="1" t="s">
        <v>98</v>
      </c>
      <c r="AE3342" s="1" t="s">
        <v>98</v>
      </c>
      <c r="AF3342" s="1" t="s">
        <v>53557</v>
      </c>
      <c r="AG3342" s="1" t="s">
        <v>36627</v>
      </c>
      <c r="AH3342" s="1">
        <v>40344</v>
      </c>
      <c r="AI3342" s="1">
        <v>40684</v>
      </c>
      <c r="AJ3342" s="1">
        <v>90.83</v>
      </c>
      <c r="AK3342" s="1"/>
      <c r="AL3342" s="1" t="s">
        <v>1843</v>
      </c>
      <c r="AM3342" s="1" t="s">
        <v>36627</v>
      </c>
      <c r="AN3342" s="1"/>
      <c r="AO3342" s="1">
        <v>40701</v>
      </c>
      <c r="AP3342" s="1">
        <v>41390</v>
      </c>
      <c r="AQ3342" s="1">
        <v>94.8</v>
      </c>
      <c r="AR3342" s="1"/>
      <c r="AS3342" s="1"/>
      <c r="AT3342" s="1"/>
      <c r="AU3342" s="1" t="s">
        <v>98</v>
      </c>
      <c r="AV3342" s="1" t="s">
        <v>98</v>
      </c>
      <c r="AW3342" s="1" t="s">
        <v>98</v>
      </c>
      <c r="AX3342" s="1" t="s">
        <v>98</v>
      </c>
      <c r="AY3342" s="1" t="s">
        <v>287</v>
      </c>
      <c r="AZ3342" s="1" t="s">
        <v>51859</v>
      </c>
      <c r="BA3342" s="1"/>
      <c r="BB3342" s="1"/>
      <c r="BC3342" s="1">
        <v>41531</v>
      </c>
      <c r="BD3342" s="1">
        <v>42895</v>
      </c>
      <c r="BE3342" s="1">
        <v>73.87</v>
      </c>
      <c r="BF3342" s="1"/>
      <c r="BG3342" s="1"/>
      <c r="BH3342" s="1"/>
      <c r="BI3342" s="1"/>
      <c r="BJ3342" s="1"/>
      <c r="BK3342" s="1" t="s">
        <v>98</v>
      </c>
      <c r="BL3342" s="1" t="s">
        <v>98</v>
      </c>
      <c r="BM3342" s="1" t="s">
        <v>98</v>
      </c>
      <c r="BN3342" s="1" t="s">
        <v>98</v>
      </c>
      <c r="BO3342" s="1" t="s">
        <v>1315</v>
      </c>
      <c r="BP3342" s="1" t="s">
        <v>53558</v>
      </c>
      <c r="BQ3342" s="1" t="s">
        <v>53559</v>
      </c>
      <c r="BR3342" s="1" t="s">
        <v>53560</v>
      </c>
      <c r="BS3342" s="1">
        <v>9</v>
      </c>
      <c r="BT3342" s="1"/>
      <c r="BU3342" s="1" t="str">
        <f>HYPERLINK("https://nconnect.nicmar.ac.in/storage/profile/2021-2023_AP21126_415728.jpg","Download")</f>
        <v>0</v>
      </c>
      <c r="BV3342" s="3"/>
      <c r="BW3342" s="3"/>
    </row>
    <row r="3343" spans="1:75">
      <c r="A3343" s="1" t="s">
        <v>51340</v>
      </c>
      <c r="B3343" s="1" t="s">
        <v>51341</v>
      </c>
      <c r="C3343" s="1" t="s">
        <v>53561</v>
      </c>
      <c r="D3343" s="1" t="s">
        <v>53562</v>
      </c>
      <c r="E3343" s="1"/>
      <c r="F3343" s="1" t="s">
        <v>53563</v>
      </c>
      <c r="G3343" s="1" t="s">
        <v>53564</v>
      </c>
      <c r="H3343" s="1" t="s">
        <v>53565</v>
      </c>
      <c r="I3343" s="1" t="s">
        <v>53566</v>
      </c>
      <c r="J3343" s="1">
        <v>8499839929</v>
      </c>
      <c r="K3343" s="1" t="s">
        <v>84</v>
      </c>
      <c r="L3343" s="1" t="s">
        <v>53567</v>
      </c>
      <c r="M3343" s="1" t="s">
        <v>86</v>
      </c>
      <c r="N3343" s="1" t="s">
        <v>3026</v>
      </c>
      <c r="O3343" s="1"/>
      <c r="P3343" s="1" t="s">
        <v>455</v>
      </c>
      <c r="Q3343" s="1" t="s">
        <v>53568</v>
      </c>
      <c r="R3343" s="1" t="s">
        <v>53569</v>
      </c>
      <c r="S3343" s="1">
        <v>9440282586</v>
      </c>
      <c r="T3343" s="1" t="s">
        <v>53570</v>
      </c>
      <c r="U3343" s="1" t="s">
        <v>53571</v>
      </c>
      <c r="V3343" s="1">
        <v>9963341945</v>
      </c>
      <c r="W3343" s="1" t="s">
        <v>94</v>
      </c>
      <c r="X3343" s="1" t="s">
        <v>53572</v>
      </c>
      <c r="Y3343" s="1" t="s">
        <v>460</v>
      </c>
      <c r="Z3343" s="1" t="s">
        <v>461</v>
      </c>
      <c r="AA3343" s="1" t="s">
        <v>53573</v>
      </c>
      <c r="AB3343" s="1" t="s">
        <v>3031</v>
      </c>
      <c r="AC3343" s="1" t="s">
        <v>461</v>
      </c>
      <c r="AD3343" s="1" t="s">
        <v>98</v>
      </c>
      <c r="AE3343" s="1" t="s">
        <v>98</v>
      </c>
      <c r="AF3343" s="1" t="s">
        <v>53574</v>
      </c>
      <c r="AG3343" s="1" t="s">
        <v>1418</v>
      </c>
      <c r="AH3343" s="1">
        <v>39972</v>
      </c>
      <c r="AI3343" s="1">
        <v>40321</v>
      </c>
      <c r="AJ3343" s="1">
        <v>89.5</v>
      </c>
      <c r="AK3343" s="1"/>
      <c r="AL3343" s="1" t="s">
        <v>53575</v>
      </c>
      <c r="AM3343" s="1" t="s">
        <v>1418</v>
      </c>
      <c r="AN3343" s="1"/>
      <c r="AO3343" s="1">
        <v>40336</v>
      </c>
      <c r="AP3343" s="1">
        <v>41076</v>
      </c>
      <c r="AQ3343" s="1">
        <v>89.4</v>
      </c>
      <c r="AR3343" s="1"/>
      <c r="AS3343" s="1"/>
      <c r="AT3343" s="1"/>
      <c r="AU3343" s="1" t="s">
        <v>98</v>
      </c>
      <c r="AV3343" s="1" t="s">
        <v>98</v>
      </c>
      <c r="AW3343" s="1" t="s">
        <v>98</v>
      </c>
      <c r="AX3343" s="1" t="s">
        <v>98</v>
      </c>
      <c r="AY3343" s="1" t="s">
        <v>4145</v>
      </c>
      <c r="AZ3343" s="1" t="s">
        <v>53576</v>
      </c>
      <c r="BA3343" s="1"/>
      <c r="BB3343" s="1"/>
      <c r="BC3343" s="1">
        <v>41183</v>
      </c>
      <c r="BD3343" s="1">
        <v>42615</v>
      </c>
      <c r="BE3343" s="1">
        <v>70.12</v>
      </c>
      <c r="BF3343" s="1"/>
      <c r="BG3343" s="1"/>
      <c r="BH3343" s="1"/>
      <c r="BI3343" s="1"/>
      <c r="BJ3343" s="1"/>
      <c r="BK3343" s="1" t="s">
        <v>98</v>
      </c>
      <c r="BL3343" s="1" t="s">
        <v>98</v>
      </c>
      <c r="BM3343" s="1" t="s">
        <v>98</v>
      </c>
      <c r="BN3343" s="1" t="s">
        <v>98</v>
      </c>
      <c r="BO3343" s="1" t="s">
        <v>369</v>
      </c>
      <c r="BP3343" s="1" t="s">
        <v>53577</v>
      </c>
      <c r="BQ3343" s="1" t="s">
        <v>39288</v>
      </c>
      <c r="BR3343" s="1" t="s">
        <v>53578</v>
      </c>
      <c r="BS3343" s="1">
        <v>11</v>
      </c>
      <c r="BT3343" s="1"/>
      <c r="BU3343" s="1" t="str">
        <f>HYPERLINK("https://nconnect.nicmar.ac.in/storage/profile/2021-2023_AP21127_253798.jpg","Download")</f>
        <v>0</v>
      </c>
      <c r="BV3343" s="3"/>
      <c r="BW3343" s="3"/>
    </row>
    <row r="3344" spans="1:75">
      <c r="A3344" s="1" t="s">
        <v>51340</v>
      </c>
      <c r="B3344" s="1" t="s">
        <v>51341</v>
      </c>
      <c r="C3344" s="1" t="s">
        <v>53579</v>
      </c>
      <c r="D3344" s="1" t="s">
        <v>53580</v>
      </c>
      <c r="E3344" s="1" t="s">
        <v>53581</v>
      </c>
      <c r="F3344" s="1" t="s">
        <v>53582</v>
      </c>
      <c r="G3344" s="1" t="s">
        <v>53583</v>
      </c>
      <c r="H3344" s="1" t="s">
        <v>53584</v>
      </c>
      <c r="I3344" s="1" t="s">
        <v>53585</v>
      </c>
      <c r="J3344" s="1">
        <v>9909944406</v>
      </c>
      <c r="K3344" s="1" t="s">
        <v>84</v>
      </c>
      <c r="L3344" s="1" t="s">
        <v>27192</v>
      </c>
      <c r="M3344" s="1" t="s">
        <v>86</v>
      </c>
      <c r="N3344" s="1" t="s">
        <v>53586</v>
      </c>
      <c r="O3344" s="1"/>
      <c r="P3344" s="1" t="s">
        <v>481</v>
      </c>
      <c r="Q3344" s="1" t="s">
        <v>53587</v>
      </c>
      <c r="R3344" s="1" t="s">
        <v>53588</v>
      </c>
      <c r="S3344" s="1">
        <v>8490891589</v>
      </c>
      <c r="T3344" s="1" t="s">
        <v>5027</v>
      </c>
      <c r="U3344" s="1" t="s">
        <v>53589</v>
      </c>
      <c r="V3344" s="1">
        <v>9106476855</v>
      </c>
      <c r="W3344" s="1" t="s">
        <v>2547</v>
      </c>
      <c r="X3344" s="1" t="s">
        <v>53590</v>
      </c>
      <c r="Y3344" s="1" t="s">
        <v>8166</v>
      </c>
      <c r="Z3344" s="1" t="s">
        <v>676</v>
      </c>
      <c r="AA3344" s="1" t="s">
        <v>53590</v>
      </c>
      <c r="AB3344" s="1" t="s">
        <v>8166</v>
      </c>
      <c r="AC3344" s="1" t="s">
        <v>676</v>
      </c>
      <c r="AD3344" s="1" t="s">
        <v>98</v>
      </c>
      <c r="AE3344" s="1" t="s">
        <v>98</v>
      </c>
      <c r="AF3344" s="1" t="s">
        <v>53591</v>
      </c>
      <c r="AG3344" s="1" t="s">
        <v>8746</v>
      </c>
      <c r="AH3344" s="1">
        <v>41426</v>
      </c>
      <c r="AI3344" s="1">
        <v>41729</v>
      </c>
      <c r="AJ3344" s="1">
        <v>65.83</v>
      </c>
      <c r="AK3344" s="1"/>
      <c r="AL3344" s="1" t="s">
        <v>53592</v>
      </c>
      <c r="AM3344" s="1" t="s">
        <v>8746</v>
      </c>
      <c r="AN3344" s="1"/>
      <c r="AO3344" s="1">
        <v>42156</v>
      </c>
      <c r="AP3344" s="1">
        <v>42490</v>
      </c>
      <c r="AQ3344" s="1">
        <v>70.46</v>
      </c>
      <c r="AR3344" s="1"/>
      <c r="AS3344" s="1"/>
      <c r="AT3344" s="1"/>
      <c r="AU3344" s="1" t="s">
        <v>98</v>
      </c>
      <c r="AV3344" s="1" t="s">
        <v>98</v>
      </c>
      <c r="AW3344" s="1" t="s">
        <v>98</v>
      </c>
      <c r="AX3344" s="1" t="s">
        <v>98</v>
      </c>
      <c r="AY3344" s="1" t="s">
        <v>5241</v>
      </c>
      <c r="AZ3344" s="1" t="s">
        <v>53593</v>
      </c>
      <c r="BA3344" s="1"/>
      <c r="BB3344" s="1"/>
      <c r="BC3344" s="1">
        <v>42644</v>
      </c>
      <c r="BD3344" s="1">
        <v>44062</v>
      </c>
      <c r="BE3344" s="1">
        <v>78.1</v>
      </c>
      <c r="BF3344" s="1">
        <v>8.31</v>
      </c>
      <c r="BG3344" s="1"/>
      <c r="BH3344" s="1"/>
      <c r="BI3344" s="1"/>
      <c r="BJ3344" s="1"/>
      <c r="BK3344" s="1" t="s">
        <v>98</v>
      </c>
      <c r="BL3344" s="1" t="s">
        <v>98</v>
      </c>
      <c r="BM3344" s="1" t="s">
        <v>98</v>
      </c>
      <c r="BN3344" s="1" t="s">
        <v>98</v>
      </c>
      <c r="BO3344" s="1" t="s">
        <v>369</v>
      </c>
      <c r="BP3344" s="1"/>
      <c r="BQ3344" s="1"/>
      <c r="BR3344" s="1" t="s">
        <v>53594</v>
      </c>
      <c r="BS3344" s="1">
        <v>7</v>
      </c>
      <c r="BT3344" s="1"/>
      <c r="BU3344" s="1" t="str">
        <f>HYPERLINK("https://nconnect.nicmar.ac.in/storage/profile/2021-2023_AP21128_681295.jpg","Download")</f>
        <v>0</v>
      </c>
      <c r="BV3344" s="3"/>
      <c r="BW3344" s="3"/>
    </row>
    <row r="3345" spans="1:75">
      <c r="A3345" s="1" t="s">
        <v>51340</v>
      </c>
      <c r="B3345" s="1" t="s">
        <v>51341</v>
      </c>
      <c r="C3345" s="1" t="s">
        <v>53595</v>
      </c>
      <c r="D3345" s="1" t="s">
        <v>5041</v>
      </c>
      <c r="E3345" s="1" t="s">
        <v>2734</v>
      </c>
      <c r="F3345" s="1" t="s">
        <v>53596</v>
      </c>
      <c r="G3345" s="1" t="s">
        <v>53597</v>
      </c>
      <c r="H3345" s="1" t="s">
        <v>53598</v>
      </c>
      <c r="I3345" s="1" t="s">
        <v>53599</v>
      </c>
      <c r="J3345" s="1">
        <v>7057027894</v>
      </c>
      <c r="K3345" s="1" t="s">
        <v>153</v>
      </c>
      <c r="L3345" s="1" t="s">
        <v>53022</v>
      </c>
      <c r="M3345" s="1" t="s">
        <v>86</v>
      </c>
      <c r="N3345" s="1" t="s">
        <v>1163</v>
      </c>
      <c r="O3345" s="1"/>
      <c r="P3345" s="1" t="s">
        <v>507</v>
      </c>
      <c r="Q3345" s="1" t="s">
        <v>53600</v>
      </c>
      <c r="R3345" s="1" t="s">
        <v>53601</v>
      </c>
      <c r="S3345" s="1">
        <v>7588180627</v>
      </c>
      <c r="T3345" s="1" t="s">
        <v>539</v>
      </c>
      <c r="U3345" s="1" t="s">
        <v>53602</v>
      </c>
      <c r="V3345" s="1">
        <v>9970786130</v>
      </c>
      <c r="W3345" s="1" t="s">
        <v>161</v>
      </c>
      <c r="X3345" s="1" t="s">
        <v>53603</v>
      </c>
      <c r="Y3345" s="1" t="s">
        <v>196</v>
      </c>
      <c r="Z3345" s="1" t="s">
        <v>97</v>
      </c>
      <c r="AA3345" s="1" t="s">
        <v>53603</v>
      </c>
      <c r="AB3345" s="1" t="s">
        <v>196</v>
      </c>
      <c r="AC3345" s="1" t="s">
        <v>97</v>
      </c>
      <c r="AD3345" s="1" t="s">
        <v>98</v>
      </c>
      <c r="AE3345" s="1" t="s">
        <v>98</v>
      </c>
      <c r="AF3345" s="1" t="s">
        <v>33941</v>
      </c>
      <c r="AG3345" s="1" t="s">
        <v>1968</v>
      </c>
      <c r="AH3345" s="1">
        <v>41030</v>
      </c>
      <c r="AI3345" s="1">
        <v>41442</v>
      </c>
      <c r="AJ3345" s="1">
        <v>83.64</v>
      </c>
      <c r="AK3345" s="1"/>
      <c r="AL3345" s="1" t="s">
        <v>53604</v>
      </c>
      <c r="AM3345" s="1" t="s">
        <v>1968</v>
      </c>
      <c r="AN3345" s="1"/>
      <c r="AO3345" s="1">
        <v>41736</v>
      </c>
      <c r="AP3345" s="1">
        <v>42127</v>
      </c>
      <c r="AQ3345" s="1">
        <v>69.85</v>
      </c>
      <c r="AR3345" s="1"/>
      <c r="AS3345" s="1"/>
      <c r="AT3345" s="1"/>
      <c r="AU3345" s="1" t="s">
        <v>98</v>
      </c>
      <c r="AV3345" s="1" t="s">
        <v>98</v>
      </c>
      <c r="AW3345" s="1" t="s">
        <v>98</v>
      </c>
      <c r="AX3345" s="1" t="s">
        <v>98</v>
      </c>
      <c r="AY3345" s="1" t="s">
        <v>366</v>
      </c>
      <c r="AZ3345" s="1" t="s">
        <v>53605</v>
      </c>
      <c r="BA3345" s="1"/>
      <c r="BB3345" s="1"/>
      <c r="BC3345" s="1">
        <v>42229</v>
      </c>
      <c r="BD3345" s="1">
        <v>44145</v>
      </c>
      <c r="BE3345" s="1">
        <v>67.5</v>
      </c>
      <c r="BF3345" s="1">
        <v>7.5</v>
      </c>
      <c r="BG3345" s="1"/>
      <c r="BH3345" s="1"/>
      <c r="BI3345" s="1"/>
      <c r="BJ3345" s="1"/>
      <c r="BK3345" s="1" t="s">
        <v>98</v>
      </c>
      <c r="BL3345" s="1" t="s">
        <v>98</v>
      </c>
      <c r="BM3345" s="1" t="s">
        <v>98</v>
      </c>
      <c r="BN3345" s="1" t="s">
        <v>98</v>
      </c>
      <c r="BO3345" s="1" t="s">
        <v>53606</v>
      </c>
      <c r="BP3345" s="1" t="s">
        <v>53607</v>
      </c>
      <c r="BQ3345" s="1" t="s">
        <v>1070</v>
      </c>
      <c r="BR3345" s="1" t="s">
        <v>53608</v>
      </c>
      <c r="BS3345" s="1">
        <v>29</v>
      </c>
      <c r="BT3345" s="1"/>
      <c r="BU3345" s="1" t="str">
        <f>HYPERLINK("https://nconnect.nicmar.ac.in/storage/profile/2021-2023_AP21130_597613.jpg","Download")</f>
        <v>0</v>
      </c>
      <c r="BV3345" s="3"/>
      <c r="BW3345" s="3"/>
    </row>
    <row r="3346" spans="1:75">
      <c r="A3346" s="1" t="s">
        <v>51340</v>
      </c>
      <c r="B3346" s="1" t="s">
        <v>51341</v>
      </c>
      <c r="C3346" s="1" t="s">
        <v>53609</v>
      </c>
      <c r="D3346" s="1" t="s">
        <v>4478</v>
      </c>
      <c r="E3346" s="1"/>
      <c r="F3346" s="1" t="s">
        <v>33653</v>
      </c>
      <c r="G3346" s="1" t="s">
        <v>53610</v>
      </c>
      <c r="H3346" s="1" t="s">
        <v>53611</v>
      </c>
      <c r="I3346" s="1" t="s">
        <v>53612</v>
      </c>
      <c r="J3346" s="1">
        <v>8985551355</v>
      </c>
      <c r="K3346" s="1" t="s">
        <v>84</v>
      </c>
      <c r="L3346" s="1" t="s">
        <v>53613</v>
      </c>
      <c r="M3346" s="1" t="s">
        <v>86</v>
      </c>
      <c r="N3346" s="1" t="s">
        <v>3026</v>
      </c>
      <c r="O3346" s="1"/>
      <c r="P3346" s="1" t="s">
        <v>455</v>
      </c>
      <c r="Q3346" s="1" t="s">
        <v>53614</v>
      </c>
      <c r="R3346" s="1" t="s">
        <v>53615</v>
      </c>
      <c r="S3346" s="1">
        <v>9440985200</v>
      </c>
      <c r="T3346" s="1" t="s">
        <v>539</v>
      </c>
      <c r="U3346" s="1" t="s">
        <v>53616</v>
      </c>
      <c r="V3346" s="1">
        <v>9493479200</v>
      </c>
      <c r="W3346" s="1" t="s">
        <v>94</v>
      </c>
      <c r="X3346" s="1" t="s">
        <v>53617</v>
      </c>
      <c r="Y3346" s="1" t="s">
        <v>487</v>
      </c>
      <c r="Z3346" s="1" t="s">
        <v>281</v>
      </c>
      <c r="AA3346" s="1" t="s">
        <v>53617</v>
      </c>
      <c r="AB3346" s="1" t="s">
        <v>487</v>
      </c>
      <c r="AC3346" s="1" t="s">
        <v>281</v>
      </c>
      <c r="AD3346" s="1" t="s">
        <v>98</v>
      </c>
      <c r="AE3346" s="1" t="s">
        <v>98</v>
      </c>
      <c r="AF3346" s="1" t="s">
        <v>53618</v>
      </c>
      <c r="AG3346" s="1" t="s">
        <v>21404</v>
      </c>
      <c r="AH3346" s="1" t="s">
        <v>1802</v>
      </c>
      <c r="AI3346" s="1" t="s">
        <v>515</v>
      </c>
      <c r="AJ3346" s="1">
        <v>92.15</v>
      </c>
      <c r="AK3346" s="1">
        <v>9.7</v>
      </c>
      <c r="AL3346" s="1" t="s">
        <v>53618</v>
      </c>
      <c r="AM3346" s="1" t="s">
        <v>21404</v>
      </c>
      <c r="AN3346" s="1"/>
      <c r="AO3346" s="1" t="s">
        <v>166</v>
      </c>
      <c r="AP3346" s="1" t="s">
        <v>284</v>
      </c>
      <c r="AQ3346" s="1">
        <v>95.6</v>
      </c>
      <c r="AR3346" s="1"/>
      <c r="AS3346" s="1"/>
      <c r="AT3346" s="1"/>
      <c r="AU3346" s="1" t="s">
        <v>98</v>
      </c>
      <c r="AV3346" s="1" t="s">
        <v>98</v>
      </c>
      <c r="AW3346" s="1" t="s">
        <v>98</v>
      </c>
      <c r="AX3346" s="1" t="s">
        <v>98</v>
      </c>
      <c r="AY3346" s="1" t="s">
        <v>53619</v>
      </c>
      <c r="AZ3346" s="1" t="s">
        <v>53620</v>
      </c>
      <c r="BA3346" s="1"/>
      <c r="BB3346" s="1"/>
      <c r="BC3346" s="1" t="s">
        <v>139</v>
      </c>
      <c r="BD3346" s="1" t="s">
        <v>417</v>
      </c>
      <c r="BE3346" s="1">
        <v>78</v>
      </c>
      <c r="BF3346" s="1">
        <v>8.55</v>
      </c>
      <c r="BG3346" s="1"/>
      <c r="BH3346" s="1"/>
      <c r="BI3346" s="1"/>
      <c r="BJ3346" s="1"/>
      <c r="BK3346" s="1" t="s">
        <v>98</v>
      </c>
      <c r="BL3346" s="1" t="s">
        <v>98</v>
      </c>
      <c r="BM3346" s="1" t="s">
        <v>98</v>
      </c>
      <c r="BN3346" s="1" t="s">
        <v>98</v>
      </c>
      <c r="BO3346" s="1" t="s">
        <v>53621</v>
      </c>
      <c r="BP3346" s="1"/>
      <c r="BQ3346" s="1"/>
      <c r="BR3346" s="1" t="s">
        <v>53622</v>
      </c>
      <c r="BS3346" s="1">
        <v>30</v>
      </c>
      <c r="BT3346" s="1"/>
      <c r="BU3346" s="1" t="str">
        <f>HYPERLINK("https://nconnect.nicmar.ac.in/storage/profile/2021-2023_AP21131_941362.jpg","Download")</f>
        <v>0</v>
      </c>
      <c r="BV3346" s="3"/>
      <c r="BW3346" s="3"/>
    </row>
    <row r="3347" spans="1:75">
      <c r="A3347" s="1" t="s">
        <v>51340</v>
      </c>
      <c r="B3347" s="1" t="s">
        <v>51341</v>
      </c>
      <c r="C3347" s="1" t="s">
        <v>53623</v>
      </c>
      <c r="D3347" s="1" t="s">
        <v>53624</v>
      </c>
      <c r="E3347" s="1" t="s">
        <v>53625</v>
      </c>
      <c r="F3347" s="1" t="s">
        <v>53626</v>
      </c>
      <c r="G3347" s="1" t="s">
        <v>53627</v>
      </c>
      <c r="H3347" s="1" t="s">
        <v>53628</v>
      </c>
      <c r="I3347" s="1" t="s">
        <v>53629</v>
      </c>
      <c r="J3347" s="1">
        <v>9421569736</v>
      </c>
      <c r="K3347" s="1" t="s">
        <v>84</v>
      </c>
      <c r="L3347" s="1" t="s">
        <v>53630</v>
      </c>
      <c r="M3347" s="1" t="s">
        <v>86</v>
      </c>
      <c r="N3347" s="1" t="s">
        <v>53631</v>
      </c>
      <c r="O3347" s="1"/>
      <c r="P3347" s="1" t="s">
        <v>481</v>
      </c>
      <c r="Q3347" s="1" t="s">
        <v>53632</v>
      </c>
      <c r="R3347" s="1" t="s">
        <v>53633</v>
      </c>
      <c r="S3347" s="1">
        <v>9834528610</v>
      </c>
      <c r="T3347" s="1" t="s">
        <v>839</v>
      </c>
      <c r="U3347" s="1" t="s">
        <v>53634</v>
      </c>
      <c r="V3347" s="1">
        <v>9325295103</v>
      </c>
      <c r="W3347" s="1" t="s">
        <v>94</v>
      </c>
      <c r="X3347" s="1" t="s">
        <v>53635</v>
      </c>
      <c r="Y3347" s="1" t="s">
        <v>163</v>
      </c>
      <c r="Z3347" s="1" t="s">
        <v>97</v>
      </c>
      <c r="AA3347" s="1" t="s">
        <v>53635</v>
      </c>
      <c r="AB3347" s="1" t="s">
        <v>163</v>
      </c>
      <c r="AC3347" s="1" t="s">
        <v>97</v>
      </c>
      <c r="AD3347" s="1" t="s">
        <v>98</v>
      </c>
      <c r="AE3347" s="1" t="s">
        <v>98</v>
      </c>
      <c r="AF3347" s="1" t="s">
        <v>10209</v>
      </c>
      <c r="AG3347" s="1" t="s">
        <v>2745</v>
      </c>
      <c r="AH3347" s="1">
        <v>41699</v>
      </c>
      <c r="AI3347" s="1">
        <v>42064</v>
      </c>
      <c r="AJ3347" s="1">
        <v>86.4</v>
      </c>
      <c r="AK3347" s="1"/>
      <c r="AL3347" s="1" t="s">
        <v>53636</v>
      </c>
      <c r="AM3347" s="1" t="s">
        <v>2745</v>
      </c>
      <c r="AN3347" s="1"/>
      <c r="AO3347" s="1">
        <v>42401</v>
      </c>
      <c r="AP3347" s="1">
        <v>42767</v>
      </c>
      <c r="AQ3347" s="1">
        <v>76.31</v>
      </c>
      <c r="AR3347" s="1"/>
      <c r="AS3347" s="1"/>
      <c r="AT3347" s="1"/>
      <c r="AU3347" s="1" t="s">
        <v>98</v>
      </c>
      <c r="AV3347" s="1" t="s">
        <v>98</v>
      </c>
      <c r="AW3347" s="1" t="s">
        <v>98</v>
      </c>
      <c r="AX3347" s="1" t="s">
        <v>98</v>
      </c>
      <c r="AY3347" s="1" t="s">
        <v>1606</v>
      </c>
      <c r="AZ3347" s="1" t="s">
        <v>53637</v>
      </c>
      <c r="BA3347" s="1"/>
      <c r="BB3347" s="1"/>
      <c r="BC3347" s="1">
        <v>42795</v>
      </c>
      <c r="BD3347" s="1">
        <v>44256</v>
      </c>
      <c r="BE3347" s="1">
        <v>76.54</v>
      </c>
      <c r="BF3347" s="1">
        <v>9.07</v>
      </c>
      <c r="BG3347" s="1"/>
      <c r="BH3347" s="1"/>
      <c r="BI3347" s="1"/>
      <c r="BJ3347" s="1"/>
      <c r="BK3347" s="1" t="s">
        <v>98</v>
      </c>
      <c r="BL3347" s="1" t="s">
        <v>98</v>
      </c>
      <c r="BM3347" s="1" t="s">
        <v>98</v>
      </c>
      <c r="BN3347" s="1" t="s">
        <v>98</v>
      </c>
      <c r="BO3347" s="1" t="s">
        <v>369</v>
      </c>
      <c r="BP3347" s="1"/>
      <c r="BQ3347" s="1"/>
      <c r="BR3347" s="1" t="s">
        <v>53638</v>
      </c>
      <c r="BS3347" s="1">
        <v>7</v>
      </c>
      <c r="BT3347" s="1"/>
      <c r="BU3347" s="1" t="str">
        <f>HYPERLINK("https://nconnect.nicmar.ac.in/storage/profile/2021-2023_AP21132_941762.jpg","Download")</f>
        <v>0</v>
      </c>
      <c r="BV3347" s="3"/>
      <c r="BW3347" s="3"/>
    </row>
    <row r="3348" spans="1:75">
      <c r="A3348" s="1" t="s">
        <v>51340</v>
      </c>
      <c r="B3348" s="1" t="s">
        <v>51341</v>
      </c>
      <c r="C3348" s="1" t="s">
        <v>53639</v>
      </c>
      <c r="D3348" s="1" t="s">
        <v>53640</v>
      </c>
      <c r="E3348" s="1"/>
      <c r="F3348" s="1" t="s">
        <v>1320</v>
      </c>
      <c r="G3348" s="1" t="s">
        <v>53641</v>
      </c>
      <c r="H3348" s="1" t="s">
        <v>53642</v>
      </c>
      <c r="I3348" s="1" t="s">
        <v>53643</v>
      </c>
      <c r="J3348" s="1">
        <v>9932044350</v>
      </c>
      <c r="K3348" s="1" t="s">
        <v>84</v>
      </c>
      <c r="L3348" s="1" t="s">
        <v>34077</v>
      </c>
      <c r="M3348" s="1" t="s">
        <v>86</v>
      </c>
      <c r="N3348" s="1" t="s">
        <v>246</v>
      </c>
      <c r="O3348" s="1"/>
      <c r="P3348" s="1" t="s">
        <v>507</v>
      </c>
      <c r="Q3348" s="1" t="s">
        <v>53644</v>
      </c>
      <c r="R3348" s="1" t="s">
        <v>53645</v>
      </c>
      <c r="S3348" s="1">
        <v>9430025107</v>
      </c>
      <c r="T3348" s="1" t="s">
        <v>596</v>
      </c>
      <c r="U3348" s="1" t="s">
        <v>53646</v>
      </c>
      <c r="V3348" s="1">
        <v>9430025107</v>
      </c>
      <c r="W3348" s="1" t="s">
        <v>94</v>
      </c>
      <c r="X3348" s="1" t="s">
        <v>53647</v>
      </c>
      <c r="Y3348" s="1" t="s">
        <v>53648</v>
      </c>
      <c r="Z3348" s="1" t="s">
        <v>649</v>
      </c>
      <c r="AA3348" s="1" t="s">
        <v>53647</v>
      </c>
      <c r="AB3348" s="1" t="s">
        <v>53648</v>
      </c>
      <c r="AC3348" s="1" t="s">
        <v>649</v>
      </c>
      <c r="AD3348" s="1" t="s">
        <v>98</v>
      </c>
      <c r="AE3348" s="1" t="s">
        <v>98</v>
      </c>
      <c r="AF3348" s="1" t="s">
        <v>53649</v>
      </c>
      <c r="AG3348" s="1" t="s">
        <v>312</v>
      </c>
      <c r="AH3348" s="1">
        <v>40634</v>
      </c>
      <c r="AI3348" s="1">
        <v>41053</v>
      </c>
      <c r="AJ3348" s="1">
        <v>95</v>
      </c>
      <c r="AK3348" s="1">
        <v>10</v>
      </c>
      <c r="AL3348" s="1" t="s">
        <v>53650</v>
      </c>
      <c r="AM3348" s="1" t="s">
        <v>312</v>
      </c>
      <c r="AN3348" s="1"/>
      <c r="AO3348" s="1">
        <v>41395</v>
      </c>
      <c r="AP3348" s="1">
        <v>41787</v>
      </c>
      <c r="AQ3348" s="1">
        <v>82</v>
      </c>
      <c r="AR3348" s="1"/>
      <c r="AS3348" s="1"/>
      <c r="AT3348" s="1"/>
      <c r="AU3348" s="1" t="s">
        <v>98</v>
      </c>
      <c r="AV3348" s="1" t="s">
        <v>98</v>
      </c>
      <c r="AW3348" s="1" t="s">
        <v>98</v>
      </c>
      <c r="AX3348" s="1" t="s">
        <v>98</v>
      </c>
      <c r="AY3348" s="1" t="s">
        <v>1240</v>
      </c>
      <c r="AZ3348" s="1" t="s">
        <v>52055</v>
      </c>
      <c r="BA3348" s="1"/>
      <c r="BB3348" s="1"/>
      <c r="BC3348" s="1">
        <v>42233</v>
      </c>
      <c r="BD3348" s="1">
        <v>43665</v>
      </c>
      <c r="BE3348" s="1">
        <v>83</v>
      </c>
      <c r="BF3348" s="1">
        <v>9.05</v>
      </c>
      <c r="BG3348" s="1"/>
      <c r="BH3348" s="1"/>
      <c r="BI3348" s="1"/>
      <c r="BJ3348" s="1"/>
      <c r="BK3348" s="1" t="s">
        <v>98</v>
      </c>
      <c r="BL3348" s="1" t="s">
        <v>98</v>
      </c>
      <c r="BM3348" s="1" t="s">
        <v>98</v>
      </c>
      <c r="BN3348" s="1" t="s">
        <v>98</v>
      </c>
      <c r="BO3348" s="1" t="s">
        <v>369</v>
      </c>
      <c r="BP3348" s="1" t="s">
        <v>53651</v>
      </c>
      <c r="BQ3348" s="1" t="s">
        <v>21121</v>
      </c>
      <c r="BR3348" s="1" t="s">
        <v>53652</v>
      </c>
      <c r="BS3348" s="1">
        <v>16</v>
      </c>
      <c r="BT3348" s="1"/>
      <c r="BU3348" s="1" t="str">
        <f>HYPERLINK("https://nconnect.nicmar.ac.in/storage/profile/2021-2023_AP21133_134278.jpg","Download")</f>
        <v>0</v>
      </c>
      <c r="BV3348" s="3"/>
      <c r="BW3348" s="3"/>
    </row>
    <row r="3349" spans="1:75">
      <c r="A3349" s="1" t="s">
        <v>51340</v>
      </c>
      <c r="B3349" s="1" t="s">
        <v>51341</v>
      </c>
      <c r="C3349" s="1" t="s">
        <v>53653</v>
      </c>
      <c r="D3349" s="1" t="s">
        <v>10508</v>
      </c>
      <c r="E3349" s="1" t="s">
        <v>9235</v>
      </c>
      <c r="F3349" s="1" t="s">
        <v>5650</v>
      </c>
      <c r="G3349" s="1" t="s">
        <v>53654</v>
      </c>
      <c r="H3349" s="1" t="s">
        <v>53655</v>
      </c>
      <c r="I3349" s="1" t="s">
        <v>53656</v>
      </c>
      <c r="J3349" s="1">
        <v>9511971695</v>
      </c>
      <c r="K3349" s="1" t="s">
        <v>84</v>
      </c>
      <c r="L3349" s="1" t="s">
        <v>53657</v>
      </c>
      <c r="M3349" s="1" t="s">
        <v>86</v>
      </c>
      <c r="N3349" s="1" t="s">
        <v>1163</v>
      </c>
      <c r="O3349" s="1"/>
      <c r="P3349" s="1" t="s">
        <v>455</v>
      </c>
      <c r="Q3349" s="1" t="s">
        <v>53658</v>
      </c>
      <c r="R3349" s="1" t="s">
        <v>53659</v>
      </c>
      <c r="S3349" s="1">
        <v>7507184300</v>
      </c>
      <c r="T3349" s="1" t="s">
        <v>539</v>
      </c>
      <c r="U3349" s="1" t="s">
        <v>53660</v>
      </c>
      <c r="V3349" s="1">
        <v>7972407031</v>
      </c>
      <c r="W3349" s="1" t="s">
        <v>94</v>
      </c>
      <c r="X3349" s="1" t="s">
        <v>53661</v>
      </c>
      <c r="Y3349" s="1" t="s">
        <v>5659</v>
      </c>
      <c r="Z3349" s="1" t="s">
        <v>97</v>
      </c>
      <c r="AA3349" s="1" t="s">
        <v>53661</v>
      </c>
      <c r="AB3349" s="1" t="s">
        <v>5659</v>
      </c>
      <c r="AC3349" s="1" t="s">
        <v>97</v>
      </c>
      <c r="AD3349" s="1" t="s">
        <v>98</v>
      </c>
      <c r="AE3349" s="1" t="s">
        <v>98</v>
      </c>
      <c r="AF3349" s="1" t="s">
        <v>53662</v>
      </c>
      <c r="AG3349" s="1" t="s">
        <v>2745</v>
      </c>
      <c r="AH3349" s="1" t="s">
        <v>3770</v>
      </c>
      <c r="AI3349" s="1" t="s">
        <v>1213</v>
      </c>
      <c r="AJ3349" s="1">
        <v>80.36</v>
      </c>
      <c r="AK3349" s="1"/>
      <c r="AL3349" s="1" t="s">
        <v>12798</v>
      </c>
      <c r="AM3349" s="1" t="s">
        <v>2745</v>
      </c>
      <c r="AN3349" s="1"/>
      <c r="AO3349" s="1" t="s">
        <v>1262</v>
      </c>
      <c r="AP3349" s="1" t="s">
        <v>136</v>
      </c>
      <c r="AQ3349" s="1">
        <v>71.69</v>
      </c>
      <c r="AR3349" s="1"/>
      <c r="AS3349" s="1"/>
      <c r="AT3349" s="1"/>
      <c r="AU3349" s="1" t="s">
        <v>98</v>
      </c>
      <c r="AV3349" s="1" t="s">
        <v>98</v>
      </c>
      <c r="AW3349" s="1" t="s">
        <v>98</v>
      </c>
      <c r="AX3349" s="1" t="s">
        <v>98</v>
      </c>
      <c r="AY3349" s="1" t="s">
        <v>366</v>
      </c>
      <c r="AZ3349" s="1" t="s">
        <v>53663</v>
      </c>
      <c r="BA3349" s="1"/>
      <c r="BB3349" s="1"/>
      <c r="BC3349" s="1" t="s">
        <v>342</v>
      </c>
      <c r="BD3349" s="1" t="s">
        <v>175</v>
      </c>
      <c r="BE3349" s="1">
        <v>65.21</v>
      </c>
      <c r="BF3349" s="1">
        <v>7.41</v>
      </c>
      <c r="BG3349" s="1"/>
      <c r="BH3349" s="1"/>
      <c r="BI3349" s="1"/>
      <c r="BJ3349" s="1"/>
      <c r="BK3349" s="1" t="s">
        <v>98</v>
      </c>
      <c r="BL3349" s="1" t="s">
        <v>98</v>
      </c>
      <c r="BM3349" s="1" t="s">
        <v>98</v>
      </c>
      <c r="BN3349" s="1" t="s">
        <v>98</v>
      </c>
      <c r="BO3349" s="1" t="s">
        <v>53664</v>
      </c>
      <c r="BP3349" s="1" t="s">
        <v>53665</v>
      </c>
      <c r="BQ3349" s="1"/>
      <c r="BR3349" s="1" t="s">
        <v>53666</v>
      </c>
      <c r="BS3349" s="1">
        <v>90</v>
      </c>
      <c r="BT3349" s="1"/>
      <c r="BU3349" s="1" t="str">
        <f>HYPERLINK("https://nconnect.nicmar.ac.in/storage/profile/2021-2023_AP21134_264139.jpg","Download")</f>
        <v>0</v>
      </c>
      <c r="BV3349" s="3"/>
      <c r="BW3349" s="3"/>
    </row>
    <row r="3350" spans="1:75">
      <c r="A3350" s="1" t="s">
        <v>51340</v>
      </c>
      <c r="B3350" s="1" t="s">
        <v>51341</v>
      </c>
      <c r="C3350" s="1" t="s">
        <v>53667</v>
      </c>
      <c r="D3350" s="1" t="s">
        <v>53668</v>
      </c>
      <c r="E3350" s="1" t="s">
        <v>1020</v>
      </c>
      <c r="F3350" s="1" t="s">
        <v>116</v>
      </c>
      <c r="G3350" s="1" t="s">
        <v>53669</v>
      </c>
      <c r="H3350" s="1" t="s">
        <v>53670</v>
      </c>
      <c r="I3350" s="1" t="s">
        <v>53671</v>
      </c>
      <c r="J3350" s="1">
        <v>9500912434</v>
      </c>
      <c r="K3350" s="1" t="s">
        <v>84</v>
      </c>
      <c r="L3350" s="1" t="s">
        <v>53672</v>
      </c>
      <c r="M3350" s="1" t="s">
        <v>86</v>
      </c>
      <c r="N3350" s="1" t="s">
        <v>53673</v>
      </c>
      <c r="O3350" s="1"/>
      <c r="P3350" s="1" t="s">
        <v>507</v>
      </c>
      <c r="Q3350" s="1" t="s">
        <v>53674</v>
      </c>
      <c r="R3350" s="1" t="s">
        <v>53675</v>
      </c>
      <c r="S3350" s="1">
        <v>9443312425</v>
      </c>
      <c r="T3350" s="1" t="s">
        <v>926</v>
      </c>
      <c r="U3350" s="1" t="s">
        <v>53676</v>
      </c>
      <c r="V3350" s="1">
        <v>9367755001</v>
      </c>
      <c r="W3350" s="1" t="s">
        <v>94</v>
      </c>
      <c r="X3350" s="1" t="s">
        <v>53677</v>
      </c>
      <c r="Y3350" s="1" t="s">
        <v>2131</v>
      </c>
      <c r="Z3350" s="1" t="s">
        <v>570</v>
      </c>
      <c r="AA3350" s="1" t="s">
        <v>53677</v>
      </c>
      <c r="AB3350" s="1" t="s">
        <v>2131</v>
      </c>
      <c r="AC3350" s="1" t="s">
        <v>570</v>
      </c>
      <c r="AD3350" s="1" t="s">
        <v>98</v>
      </c>
      <c r="AE3350" s="1" t="s">
        <v>98</v>
      </c>
      <c r="AF3350" s="1" t="s">
        <v>6941</v>
      </c>
      <c r="AG3350" s="1" t="s">
        <v>312</v>
      </c>
      <c r="AH3350" s="1">
        <v>41792</v>
      </c>
      <c r="AI3350" s="1">
        <v>42152</v>
      </c>
      <c r="AJ3350" s="1">
        <v>95</v>
      </c>
      <c r="AK3350" s="1">
        <v>10</v>
      </c>
      <c r="AL3350" s="1" t="s">
        <v>6941</v>
      </c>
      <c r="AM3350" s="1" t="s">
        <v>312</v>
      </c>
      <c r="AN3350" s="1"/>
      <c r="AO3350" s="1">
        <v>42527</v>
      </c>
      <c r="AP3350" s="1">
        <v>42883</v>
      </c>
      <c r="AQ3350" s="1">
        <v>90.2</v>
      </c>
      <c r="AR3350" s="1"/>
      <c r="AS3350" s="1"/>
      <c r="AT3350" s="1"/>
      <c r="AU3350" s="1" t="s">
        <v>98</v>
      </c>
      <c r="AV3350" s="1" t="s">
        <v>98</v>
      </c>
      <c r="AW3350" s="1" t="s">
        <v>98</v>
      </c>
      <c r="AX3350" s="1" t="s">
        <v>98</v>
      </c>
      <c r="AY3350" s="1" t="s">
        <v>550</v>
      </c>
      <c r="AZ3350" s="1" t="s">
        <v>550</v>
      </c>
      <c r="BA3350" s="1"/>
      <c r="BB3350" s="1"/>
      <c r="BC3350" s="1">
        <v>42921</v>
      </c>
      <c r="BD3350" s="1">
        <v>44377</v>
      </c>
      <c r="BE3350" s="1">
        <v>93.3</v>
      </c>
      <c r="BF3350" s="1">
        <v>9.33</v>
      </c>
      <c r="BG3350" s="1"/>
      <c r="BH3350" s="1"/>
      <c r="BI3350" s="1"/>
      <c r="BJ3350" s="1"/>
      <c r="BK3350" s="1" t="s">
        <v>98</v>
      </c>
      <c r="BL3350" s="1" t="s">
        <v>98</v>
      </c>
      <c r="BM3350" s="1" t="s">
        <v>98</v>
      </c>
      <c r="BN3350" s="1" t="s">
        <v>98</v>
      </c>
      <c r="BO3350" s="1" t="s">
        <v>369</v>
      </c>
      <c r="BP3350" s="1"/>
      <c r="BQ3350" s="1"/>
      <c r="BR3350" s="1" t="s">
        <v>53678</v>
      </c>
      <c r="BS3350" s="1">
        <v>24</v>
      </c>
      <c r="BT3350" s="1"/>
      <c r="BU3350" s="1" t="str">
        <f>HYPERLINK("https://nconnect.nicmar.ac.in/storage/profile/2021-2023_AP21135_214735.jpg","Download")</f>
        <v>0</v>
      </c>
      <c r="BV3350" s="3"/>
      <c r="BW3350" s="3"/>
    </row>
    <row r="3351" spans="1:75">
      <c r="A3351" s="1" t="s">
        <v>51340</v>
      </c>
      <c r="B3351" s="1" t="s">
        <v>51341</v>
      </c>
      <c r="C3351" s="1" t="s">
        <v>53679</v>
      </c>
      <c r="D3351" s="1" t="s">
        <v>6222</v>
      </c>
      <c r="E3351" s="1" t="s">
        <v>1320</v>
      </c>
      <c r="F3351" s="1" t="s">
        <v>53680</v>
      </c>
      <c r="G3351" s="1" t="s">
        <v>53681</v>
      </c>
      <c r="H3351" s="1" t="s">
        <v>53682</v>
      </c>
      <c r="I3351" s="1" t="s">
        <v>53683</v>
      </c>
      <c r="J3351" s="1">
        <v>9994884310</v>
      </c>
      <c r="K3351" s="1" t="s">
        <v>84</v>
      </c>
      <c r="L3351" s="1" t="s">
        <v>37538</v>
      </c>
      <c r="M3351" s="1" t="s">
        <v>86</v>
      </c>
      <c r="N3351" s="1" t="s">
        <v>53684</v>
      </c>
      <c r="O3351" s="1"/>
      <c r="P3351" s="1" t="s">
        <v>507</v>
      </c>
      <c r="Q3351" s="1" t="s">
        <v>53685</v>
      </c>
      <c r="R3351" s="1" t="s">
        <v>53686</v>
      </c>
      <c r="S3351" s="1">
        <v>9437068180</v>
      </c>
      <c r="T3351" s="1" t="s">
        <v>839</v>
      </c>
      <c r="U3351" s="1" t="s">
        <v>53687</v>
      </c>
      <c r="V3351" s="1">
        <v>9437097190</v>
      </c>
      <c r="W3351" s="1" t="s">
        <v>94</v>
      </c>
      <c r="X3351" s="1" t="s">
        <v>53688</v>
      </c>
      <c r="Y3351" s="1" t="s">
        <v>49929</v>
      </c>
      <c r="Z3351" s="1" t="s">
        <v>865</v>
      </c>
      <c r="AA3351" s="1" t="s">
        <v>53689</v>
      </c>
      <c r="AB3351" s="1" t="s">
        <v>49929</v>
      </c>
      <c r="AC3351" s="1" t="s">
        <v>865</v>
      </c>
      <c r="AD3351" s="1" t="s">
        <v>98</v>
      </c>
      <c r="AE3351" s="1" t="s">
        <v>98</v>
      </c>
      <c r="AF3351" s="1" t="s">
        <v>53690</v>
      </c>
      <c r="AG3351" s="1" t="s">
        <v>53691</v>
      </c>
      <c r="AH3351" s="1">
        <v>41754</v>
      </c>
      <c r="AI3351" s="1">
        <v>42130</v>
      </c>
      <c r="AJ3351" s="1">
        <v>92.5</v>
      </c>
      <c r="AK3351" s="1">
        <v>0</v>
      </c>
      <c r="AL3351" s="1" t="s">
        <v>53692</v>
      </c>
      <c r="AM3351" s="1" t="s">
        <v>53691</v>
      </c>
      <c r="AN3351" s="1"/>
      <c r="AO3351" s="1">
        <v>42160</v>
      </c>
      <c r="AP3351" s="1">
        <v>42867</v>
      </c>
      <c r="AQ3351" s="1">
        <v>75</v>
      </c>
      <c r="AR3351" s="1">
        <v>0</v>
      </c>
      <c r="AS3351" s="1"/>
      <c r="AT3351" s="1"/>
      <c r="AU3351" s="1" t="s">
        <v>98</v>
      </c>
      <c r="AV3351" s="1" t="s">
        <v>98</v>
      </c>
      <c r="AW3351" s="1" t="s">
        <v>98</v>
      </c>
      <c r="AX3351" s="1" t="s">
        <v>98</v>
      </c>
      <c r="AY3351" s="1" t="s">
        <v>2614</v>
      </c>
      <c r="AZ3351" s="1" t="s">
        <v>6113</v>
      </c>
      <c r="BA3351" s="1"/>
      <c r="BB3351" s="1"/>
      <c r="BC3351" s="1">
        <v>42887</v>
      </c>
      <c r="BD3351" s="1">
        <v>44364</v>
      </c>
      <c r="BE3351" s="1">
        <v>87.21</v>
      </c>
      <c r="BF3351" s="1">
        <v>8.34</v>
      </c>
      <c r="BG3351" s="1"/>
      <c r="BH3351" s="1"/>
      <c r="BI3351" s="1"/>
      <c r="BJ3351" s="1"/>
      <c r="BK3351" s="1" t="s">
        <v>98</v>
      </c>
      <c r="BL3351" s="1" t="s">
        <v>98</v>
      </c>
      <c r="BM3351" s="1" t="s">
        <v>98</v>
      </c>
      <c r="BN3351" s="1" t="s">
        <v>98</v>
      </c>
      <c r="BO3351" s="1" t="s">
        <v>53693</v>
      </c>
      <c r="BP3351" s="1"/>
      <c r="BQ3351" s="1"/>
      <c r="BR3351" s="1" t="s">
        <v>53694</v>
      </c>
      <c r="BS3351" s="1">
        <v>13</v>
      </c>
      <c r="BT3351" s="1"/>
      <c r="BU3351" s="1" t="str">
        <f>HYPERLINK("https://nconnect.nicmar.ac.in/storage/profile/2021-2023_AP21136_927436.png","Download")</f>
        <v>0</v>
      </c>
      <c r="BV3351" s="3"/>
      <c r="BW3351" s="3"/>
    </row>
    <row r="3352" spans="1:75">
      <c r="A3352" s="1" t="s">
        <v>51340</v>
      </c>
      <c r="B3352" s="1" t="s">
        <v>51341</v>
      </c>
      <c r="C3352" s="1" t="s">
        <v>53695</v>
      </c>
      <c r="D3352" s="1" t="s">
        <v>53696</v>
      </c>
      <c r="E3352" s="1"/>
      <c r="F3352" s="1" t="s">
        <v>53697</v>
      </c>
      <c r="G3352" s="1" t="s">
        <v>53698</v>
      </c>
      <c r="H3352" s="1" t="s">
        <v>53699</v>
      </c>
      <c r="I3352" s="1" t="s">
        <v>53700</v>
      </c>
      <c r="J3352" s="1">
        <v>8985358750</v>
      </c>
      <c r="K3352" s="1" t="s">
        <v>84</v>
      </c>
      <c r="L3352" s="1" t="s">
        <v>53701</v>
      </c>
      <c r="M3352" s="1" t="s">
        <v>86</v>
      </c>
      <c r="N3352" s="1" t="s">
        <v>1813</v>
      </c>
      <c r="O3352" s="1"/>
      <c r="P3352" s="1" t="s">
        <v>455</v>
      </c>
      <c r="Q3352" s="1" t="s">
        <v>53702</v>
      </c>
      <c r="R3352" s="1" t="s">
        <v>53703</v>
      </c>
      <c r="S3352" s="1">
        <v>9848333434</v>
      </c>
      <c r="T3352" s="1" t="s">
        <v>53704</v>
      </c>
      <c r="U3352" s="1" t="s">
        <v>53705</v>
      </c>
      <c r="V3352" s="1">
        <v>9705856767</v>
      </c>
      <c r="W3352" s="1" t="s">
        <v>541</v>
      </c>
      <c r="X3352" s="1" t="s">
        <v>53706</v>
      </c>
      <c r="Y3352" s="1" t="s">
        <v>53707</v>
      </c>
      <c r="Z3352" s="1" t="s">
        <v>281</v>
      </c>
      <c r="AA3352" s="1" t="s">
        <v>53706</v>
      </c>
      <c r="AB3352" s="1" t="s">
        <v>53707</v>
      </c>
      <c r="AC3352" s="1" t="s">
        <v>281</v>
      </c>
      <c r="AD3352" s="1" t="s">
        <v>98</v>
      </c>
      <c r="AE3352" s="1" t="s">
        <v>98</v>
      </c>
      <c r="AF3352" s="1" t="s">
        <v>53708</v>
      </c>
      <c r="AG3352" s="1" t="s">
        <v>1418</v>
      </c>
      <c r="AH3352" s="1">
        <v>41000</v>
      </c>
      <c r="AI3352" s="1">
        <v>41358</v>
      </c>
      <c r="AJ3352" s="1">
        <v>82.65</v>
      </c>
      <c r="AK3352" s="1">
        <v>8.7</v>
      </c>
      <c r="AL3352" s="1" t="s">
        <v>3033</v>
      </c>
      <c r="AM3352" s="1" t="s">
        <v>1418</v>
      </c>
      <c r="AN3352" s="1"/>
      <c r="AO3352" s="1">
        <v>41791</v>
      </c>
      <c r="AP3352" s="1">
        <v>42094</v>
      </c>
      <c r="AQ3352" s="1">
        <v>93.3</v>
      </c>
      <c r="AR3352" s="1"/>
      <c r="AS3352" s="1"/>
      <c r="AT3352" s="1"/>
      <c r="AU3352" s="1" t="s">
        <v>98</v>
      </c>
      <c r="AV3352" s="1" t="s">
        <v>98</v>
      </c>
      <c r="AW3352" s="1" t="s">
        <v>98</v>
      </c>
      <c r="AX3352" s="1" t="s">
        <v>98</v>
      </c>
      <c r="AY3352" s="1" t="s">
        <v>2654</v>
      </c>
      <c r="AZ3352" s="1" t="s">
        <v>18827</v>
      </c>
      <c r="BA3352" s="1"/>
      <c r="BB3352" s="1"/>
      <c r="BC3352" s="1">
        <v>42156</v>
      </c>
      <c r="BD3352" s="1">
        <v>43585</v>
      </c>
      <c r="BE3352" s="1">
        <v>78.2</v>
      </c>
      <c r="BF3352" s="1">
        <v>8.32</v>
      </c>
      <c r="BG3352" s="1"/>
      <c r="BH3352" s="1"/>
      <c r="BI3352" s="1"/>
      <c r="BJ3352" s="1"/>
      <c r="BK3352" s="1" t="s">
        <v>98</v>
      </c>
      <c r="BL3352" s="1" t="s">
        <v>98</v>
      </c>
      <c r="BM3352" s="1" t="s">
        <v>98</v>
      </c>
      <c r="BN3352" s="1" t="s">
        <v>98</v>
      </c>
      <c r="BO3352" s="1" t="s">
        <v>1705</v>
      </c>
      <c r="BP3352" s="1" t="s">
        <v>53709</v>
      </c>
      <c r="BQ3352" s="1" t="s">
        <v>3971</v>
      </c>
      <c r="BR3352" s="1" t="s">
        <v>53710</v>
      </c>
      <c r="BS3352" s="1">
        <v>24</v>
      </c>
      <c r="BT3352" s="1"/>
      <c r="BU3352" s="1" t="str">
        <f>HYPERLINK("https://nconnect.nicmar.ac.in/storage/profile/2021-2023_AP21137_548167.jpg","Download")</f>
        <v>0</v>
      </c>
      <c r="BV3352" s="3"/>
      <c r="BW3352" s="3"/>
    </row>
    <row r="3353" spans="1:75">
      <c r="A3353" s="1" t="s">
        <v>51340</v>
      </c>
      <c r="B3353" s="1" t="s">
        <v>51341</v>
      </c>
      <c r="C3353" s="1" t="s">
        <v>53711</v>
      </c>
      <c r="D3353" s="1" t="s">
        <v>6212</v>
      </c>
      <c r="E3353" s="1"/>
      <c r="F3353" s="1" t="s">
        <v>1321</v>
      </c>
      <c r="G3353" s="1" t="s">
        <v>53712</v>
      </c>
      <c r="H3353" s="1" t="s">
        <v>53713</v>
      </c>
      <c r="I3353" s="1" t="s">
        <v>53713</v>
      </c>
      <c r="J3353" s="1"/>
      <c r="K3353" s="1" t="s">
        <v>153</v>
      </c>
      <c r="L3353" s="1" t="s">
        <v>53714</v>
      </c>
      <c r="M3353" s="1" t="s">
        <v>86</v>
      </c>
      <c r="N3353" s="1" t="s">
        <v>53715</v>
      </c>
      <c r="O3353" s="1"/>
      <c r="P3353" s="1" t="s">
        <v>455</v>
      </c>
      <c r="Q3353" s="1" t="s">
        <v>53716</v>
      </c>
      <c r="R3353" s="1" t="s">
        <v>53717</v>
      </c>
      <c r="S3353" s="1">
        <v>9770583900</v>
      </c>
      <c r="T3353" s="1" t="s">
        <v>926</v>
      </c>
      <c r="U3353" s="1" t="s">
        <v>53718</v>
      </c>
      <c r="V3353" s="1">
        <v>8085999423</v>
      </c>
      <c r="W3353" s="1" t="s">
        <v>53719</v>
      </c>
      <c r="X3353" s="1" t="s">
        <v>53720</v>
      </c>
      <c r="Y3353" s="1" t="s">
        <v>21597</v>
      </c>
      <c r="Z3353" s="1" t="s">
        <v>2933</v>
      </c>
      <c r="AA3353" s="1" t="s">
        <v>53720</v>
      </c>
      <c r="AB3353" s="1" t="s">
        <v>21597</v>
      </c>
      <c r="AC3353" s="1" t="s">
        <v>2933</v>
      </c>
      <c r="AD3353" s="1" t="s">
        <v>98</v>
      </c>
      <c r="AE3353" s="1" t="s">
        <v>98</v>
      </c>
      <c r="AF3353" s="1" t="s">
        <v>53721</v>
      </c>
      <c r="AG3353" s="1" t="s">
        <v>53722</v>
      </c>
      <c r="AH3353" s="1" t="s">
        <v>53723</v>
      </c>
      <c r="AI3353" s="1" t="s">
        <v>53724</v>
      </c>
      <c r="AJ3353" s="1">
        <v>77.9</v>
      </c>
      <c r="AK3353" s="1">
        <v>8.2</v>
      </c>
      <c r="AL3353" s="1" t="s">
        <v>53721</v>
      </c>
      <c r="AM3353" s="1" t="s">
        <v>53722</v>
      </c>
      <c r="AN3353" s="1"/>
      <c r="AO3353" s="1" t="s">
        <v>53725</v>
      </c>
      <c r="AP3353" s="1" t="s">
        <v>53726</v>
      </c>
      <c r="AQ3353" s="1">
        <v>71.8</v>
      </c>
      <c r="AR3353" s="1"/>
      <c r="AS3353" s="1"/>
      <c r="AT3353" s="1"/>
      <c r="AU3353" s="1"/>
      <c r="AV3353" s="1"/>
      <c r="AW3353" s="1"/>
      <c r="AX3353" s="1"/>
      <c r="AY3353" s="1" t="s">
        <v>53727</v>
      </c>
      <c r="AZ3353" s="1" t="s">
        <v>53728</v>
      </c>
      <c r="BA3353" s="1"/>
      <c r="BB3353" s="1"/>
      <c r="BC3353" s="1" t="s">
        <v>53729</v>
      </c>
      <c r="BD3353" s="1" t="s">
        <v>53730</v>
      </c>
      <c r="BE3353" s="1">
        <v>87.68</v>
      </c>
      <c r="BF3353" s="1">
        <v>9.23</v>
      </c>
      <c r="BG3353" s="1"/>
      <c r="BH3353" s="1"/>
      <c r="BI3353" s="1"/>
      <c r="BJ3353" s="1"/>
      <c r="BK3353" s="1"/>
      <c r="BL3353" s="1"/>
      <c r="BM3353" s="1"/>
      <c r="BN3353" s="1"/>
      <c r="BO3353" s="1" t="s">
        <v>369</v>
      </c>
      <c r="BP3353" s="1" t="s">
        <v>53731</v>
      </c>
      <c r="BQ3353" s="1" t="s">
        <v>53732</v>
      </c>
      <c r="BR3353" s="1" t="s">
        <v>53733</v>
      </c>
      <c r="BS3353" s="1">
        <v>28</v>
      </c>
      <c r="BT3353" s="1"/>
      <c r="BU3353" s="1" t="str">
        <f>HYPERLINK("https://nconnect.nicmar.ac.in/storage/profile/2021-2023_AP21138_527961.png","Download")</f>
        <v>0</v>
      </c>
      <c r="BV3353" s="3"/>
      <c r="BW3353" s="3"/>
    </row>
    <row r="3354" spans="1:75">
      <c r="A3354" s="1" t="s">
        <v>51340</v>
      </c>
      <c r="B3354" s="1" t="s">
        <v>51341</v>
      </c>
      <c r="C3354" s="1" t="s">
        <v>53734</v>
      </c>
      <c r="D3354" s="1" t="s">
        <v>43697</v>
      </c>
      <c r="E3354" s="1" t="s">
        <v>35161</v>
      </c>
      <c r="F3354" s="1" t="s">
        <v>53735</v>
      </c>
      <c r="G3354" s="1" t="s">
        <v>53736</v>
      </c>
      <c r="H3354" s="1" t="s">
        <v>53737</v>
      </c>
      <c r="I3354" s="1" t="s">
        <v>53738</v>
      </c>
      <c r="J3354" s="1">
        <v>9637319563</v>
      </c>
      <c r="K3354" s="1" t="s">
        <v>84</v>
      </c>
      <c r="L3354" s="1" t="s">
        <v>53739</v>
      </c>
      <c r="M3354" s="1" t="s">
        <v>86</v>
      </c>
      <c r="N3354" s="1" t="s">
        <v>1163</v>
      </c>
      <c r="O3354" s="1"/>
      <c r="P3354" s="1" t="s">
        <v>455</v>
      </c>
      <c r="Q3354" s="1" t="s">
        <v>53740</v>
      </c>
      <c r="R3354" s="1" t="s">
        <v>53741</v>
      </c>
      <c r="S3354" s="1">
        <v>9421783186</v>
      </c>
      <c r="T3354" s="1" t="s">
        <v>53742</v>
      </c>
      <c r="U3354" s="1" t="s">
        <v>53743</v>
      </c>
      <c r="V3354" s="1">
        <v>9860085831</v>
      </c>
      <c r="W3354" s="1" t="s">
        <v>161</v>
      </c>
      <c r="X3354" s="1" t="s">
        <v>53744</v>
      </c>
      <c r="Y3354" s="1" t="s">
        <v>410</v>
      </c>
      <c r="Z3354" s="1" t="s">
        <v>97</v>
      </c>
      <c r="AA3354" s="1" t="s">
        <v>53744</v>
      </c>
      <c r="AB3354" s="1" t="s">
        <v>410</v>
      </c>
      <c r="AC3354" s="1" t="s">
        <v>97</v>
      </c>
      <c r="AD3354" s="1" t="s">
        <v>98</v>
      </c>
      <c r="AE3354" s="1" t="s">
        <v>98</v>
      </c>
      <c r="AF3354" s="1" t="s">
        <v>53745</v>
      </c>
      <c r="AG3354" s="1" t="s">
        <v>53746</v>
      </c>
      <c r="AH3354" s="1">
        <v>41306</v>
      </c>
      <c r="AI3354" s="1">
        <v>41807</v>
      </c>
      <c r="AJ3354" s="1">
        <v>68.4</v>
      </c>
      <c r="AK3354" s="1" t="s">
        <v>98</v>
      </c>
      <c r="AL3354" s="1" t="s">
        <v>53747</v>
      </c>
      <c r="AM3354" s="1" t="s">
        <v>53746</v>
      </c>
      <c r="AN3354" s="1"/>
      <c r="AO3354" s="1">
        <v>42041</v>
      </c>
      <c r="AP3354" s="1">
        <v>42515</v>
      </c>
      <c r="AQ3354" s="1">
        <v>61.69</v>
      </c>
      <c r="AR3354" s="1" t="s">
        <v>98</v>
      </c>
      <c r="AS3354" s="1" t="s">
        <v>98</v>
      </c>
      <c r="AT3354" s="1" t="s">
        <v>98</v>
      </c>
      <c r="AU3354" s="1" t="s">
        <v>98</v>
      </c>
      <c r="AV3354" s="1" t="s">
        <v>98</v>
      </c>
      <c r="AW3354" s="1" t="s">
        <v>98</v>
      </c>
      <c r="AX3354" s="1" t="s">
        <v>98</v>
      </c>
      <c r="AY3354" s="1" t="s">
        <v>415</v>
      </c>
      <c r="AZ3354" s="1" t="s">
        <v>26393</v>
      </c>
      <c r="BA3354" s="1"/>
      <c r="BB3354" s="1"/>
      <c r="BC3354" s="1">
        <v>42527</v>
      </c>
      <c r="BD3354" s="1">
        <v>44378</v>
      </c>
      <c r="BE3354" s="1">
        <v>59.5</v>
      </c>
      <c r="BF3354" s="1">
        <v>6.7</v>
      </c>
      <c r="BG3354" s="1" t="s">
        <v>98</v>
      </c>
      <c r="BH3354" s="1"/>
      <c r="BI3354" s="1"/>
      <c r="BJ3354" s="1"/>
      <c r="BK3354" s="1" t="s">
        <v>98</v>
      </c>
      <c r="BL3354" s="1" t="s">
        <v>98</v>
      </c>
      <c r="BM3354" s="1" t="s">
        <v>98</v>
      </c>
      <c r="BN3354" s="1" t="s">
        <v>98</v>
      </c>
      <c r="BO3354" s="1"/>
      <c r="BP3354" s="1"/>
      <c r="BQ3354" s="1"/>
      <c r="BR3354" s="1" t="s">
        <v>53748</v>
      </c>
      <c r="BS3354" s="1">
        <v>7</v>
      </c>
      <c r="BT3354" s="1"/>
      <c r="BU3354" s="1" t="str">
        <f>HYPERLINK("https://nconnect.nicmar.ac.in/storage/profile/2021-2023_AP21139_419572.jpg","Download")</f>
        <v>0</v>
      </c>
      <c r="BV3354" s="3"/>
      <c r="BW3354" s="3"/>
    </row>
    <row r="3355" spans="1:75">
      <c r="A3355" s="1" t="s">
        <v>51340</v>
      </c>
      <c r="B3355" s="1" t="s">
        <v>51341</v>
      </c>
      <c r="C3355" s="1" t="s">
        <v>53749</v>
      </c>
      <c r="D3355" s="1" t="s">
        <v>6330</v>
      </c>
      <c r="E3355" s="1" t="s">
        <v>4646</v>
      </c>
      <c r="F3355" s="1" t="s">
        <v>53750</v>
      </c>
      <c r="G3355" s="1" t="s">
        <v>53751</v>
      </c>
      <c r="H3355" s="1" t="s">
        <v>53752</v>
      </c>
      <c r="I3355" s="1" t="s">
        <v>53753</v>
      </c>
      <c r="J3355" s="1">
        <v>8668211942</v>
      </c>
      <c r="K3355" s="1" t="s">
        <v>84</v>
      </c>
      <c r="L3355" s="1" t="s">
        <v>53754</v>
      </c>
      <c r="M3355" s="1" t="s">
        <v>86</v>
      </c>
      <c r="N3355" s="1" t="s">
        <v>1163</v>
      </c>
      <c r="O3355" s="1"/>
      <c r="P3355" s="1" t="s">
        <v>507</v>
      </c>
      <c r="Q3355" s="1" t="s">
        <v>53755</v>
      </c>
      <c r="R3355" s="1" t="s">
        <v>53756</v>
      </c>
      <c r="S3355" s="1">
        <v>9767754801</v>
      </c>
      <c r="T3355" s="1" t="s">
        <v>2005</v>
      </c>
      <c r="U3355" s="1" t="s">
        <v>53757</v>
      </c>
      <c r="V3355" s="1">
        <v>9359482155</v>
      </c>
      <c r="W3355" s="1" t="s">
        <v>94</v>
      </c>
      <c r="X3355" s="1" t="s">
        <v>53758</v>
      </c>
      <c r="Y3355" s="1" t="s">
        <v>196</v>
      </c>
      <c r="Z3355" s="1" t="s">
        <v>97</v>
      </c>
      <c r="AA3355" s="1" t="s">
        <v>53759</v>
      </c>
      <c r="AB3355" s="1" t="s">
        <v>196</v>
      </c>
      <c r="AC3355" s="1" t="s">
        <v>97</v>
      </c>
      <c r="AD3355" s="1" t="s">
        <v>98</v>
      </c>
      <c r="AE3355" s="1" t="s">
        <v>98</v>
      </c>
      <c r="AF3355" s="1" t="s">
        <v>53760</v>
      </c>
      <c r="AG3355" s="1" t="s">
        <v>53761</v>
      </c>
      <c r="AH3355" s="1">
        <v>41001</v>
      </c>
      <c r="AI3355" s="1">
        <v>41420</v>
      </c>
      <c r="AJ3355" s="1">
        <v>76</v>
      </c>
      <c r="AK3355" s="1">
        <v>8</v>
      </c>
      <c r="AL3355" s="1" t="s">
        <v>53760</v>
      </c>
      <c r="AM3355" s="1" t="s">
        <v>53761</v>
      </c>
      <c r="AN3355" s="1"/>
      <c r="AO3355" s="1">
        <v>42095</v>
      </c>
      <c r="AP3355" s="1">
        <v>42511</v>
      </c>
      <c r="AQ3355" s="1">
        <v>63.4</v>
      </c>
      <c r="AR3355" s="1">
        <v>0</v>
      </c>
      <c r="AS3355" s="1"/>
      <c r="AT3355" s="1"/>
      <c r="AU3355" s="1" t="s">
        <v>98</v>
      </c>
      <c r="AV3355" s="1" t="s">
        <v>98</v>
      </c>
      <c r="AW3355" s="1" t="s">
        <v>98</v>
      </c>
      <c r="AX3355" s="1" t="s">
        <v>98</v>
      </c>
      <c r="AY3355" s="1" t="s">
        <v>366</v>
      </c>
      <c r="AZ3355" s="1" t="s">
        <v>6476</v>
      </c>
      <c r="BA3355" s="1"/>
      <c r="BB3355" s="1"/>
      <c r="BC3355" s="1">
        <v>42584</v>
      </c>
      <c r="BD3355" s="1">
        <v>44146</v>
      </c>
      <c r="BE3355" s="1">
        <v>62.56</v>
      </c>
      <c r="BF3355" s="1">
        <v>7.11</v>
      </c>
      <c r="BG3355" s="1"/>
      <c r="BH3355" s="1"/>
      <c r="BI3355" s="1"/>
      <c r="BJ3355" s="1"/>
      <c r="BK3355" s="1" t="s">
        <v>98</v>
      </c>
      <c r="BL3355" s="1" t="s">
        <v>98</v>
      </c>
      <c r="BM3355" s="1" t="s">
        <v>98</v>
      </c>
      <c r="BN3355" s="1" t="s">
        <v>98</v>
      </c>
      <c r="BO3355" s="1" t="s">
        <v>47897</v>
      </c>
      <c r="BP3355" s="1"/>
      <c r="BQ3355" s="1"/>
      <c r="BR3355" s="1" t="s">
        <v>53762</v>
      </c>
      <c r="BS3355" s="1">
        <v>34</v>
      </c>
      <c r="BT3355" s="1"/>
      <c r="BU3355" s="1" t="str">
        <f>HYPERLINK("https://nconnect.nicmar.ac.in/storage/profile/2021-2023_AP21140_539784.jpg","Download")</f>
        <v>0</v>
      </c>
      <c r="BV3355" s="3"/>
      <c r="BW3355" s="3"/>
    </row>
    <row r="3356" spans="1:75">
      <c r="A3356" s="1" t="s">
        <v>51340</v>
      </c>
      <c r="B3356" s="1" t="s">
        <v>51341</v>
      </c>
      <c r="C3356" s="1" t="s">
        <v>53763</v>
      </c>
      <c r="D3356" s="1" t="s">
        <v>1095</v>
      </c>
      <c r="E3356" s="1" t="s">
        <v>53764</v>
      </c>
      <c r="F3356" s="1" t="s">
        <v>6810</v>
      </c>
      <c r="G3356" s="1" t="s">
        <v>53765</v>
      </c>
      <c r="H3356" s="1" t="s">
        <v>53766</v>
      </c>
      <c r="I3356" s="1" t="s">
        <v>53767</v>
      </c>
      <c r="J3356" s="1">
        <v>9321210272</v>
      </c>
      <c r="K3356" s="1" t="s">
        <v>84</v>
      </c>
      <c r="L3356" s="1" t="s">
        <v>53768</v>
      </c>
      <c r="M3356" s="1" t="s">
        <v>86</v>
      </c>
      <c r="N3356" s="1" t="s">
        <v>903</v>
      </c>
      <c r="O3356" s="1"/>
      <c r="P3356" s="1" t="s">
        <v>455</v>
      </c>
      <c r="Q3356" s="1" t="s">
        <v>53769</v>
      </c>
      <c r="R3356" s="1" t="s">
        <v>53770</v>
      </c>
      <c r="S3356" s="1">
        <v>9167097521</v>
      </c>
      <c r="T3356" s="1" t="s">
        <v>3396</v>
      </c>
      <c r="U3356" s="1" t="s">
        <v>53771</v>
      </c>
      <c r="V3356" s="1">
        <v>9664529884</v>
      </c>
      <c r="W3356" s="1" t="s">
        <v>94</v>
      </c>
      <c r="X3356" s="1" t="s">
        <v>53772</v>
      </c>
      <c r="Y3356" s="1" t="s">
        <v>14079</v>
      </c>
      <c r="Z3356" s="1" t="s">
        <v>97</v>
      </c>
      <c r="AA3356" s="1" t="s">
        <v>53772</v>
      </c>
      <c r="AB3356" s="1" t="s">
        <v>14079</v>
      </c>
      <c r="AC3356" s="1" t="s">
        <v>97</v>
      </c>
      <c r="AD3356" s="1" t="s">
        <v>98</v>
      </c>
      <c r="AE3356" s="1" t="s">
        <v>98</v>
      </c>
      <c r="AF3356" s="1" t="s">
        <v>53773</v>
      </c>
      <c r="AG3356" s="1" t="s">
        <v>996</v>
      </c>
      <c r="AH3356" s="1" t="s">
        <v>3285</v>
      </c>
      <c r="AI3356" s="1" t="s">
        <v>133</v>
      </c>
      <c r="AJ3356" s="1">
        <v>84.36</v>
      </c>
      <c r="AK3356" s="1"/>
      <c r="AL3356" s="1" t="s">
        <v>53774</v>
      </c>
      <c r="AM3356" s="1" t="s">
        <v>996</v>
      </c>
      <c r="AN3356" s="1"/>
      <c r="AO3356" s="1" t="s">
        <v>804</v>
      </c>
      <c r="AP3356" s="1" t="s">
        <v>101</v>
      </c>
      <c r="AQ3356" s="1">
        <v>75.54</v>
      </c>
      <c r="AR3356" s="1"/>
      <c r="AS3356" s="1"/>
      <c r="AT3356" s="1"/>
      <c r="AU3356" s="1" t="s">
        <v>98</v>
      </c>
      <c r="AV3356" s="1" t="s">
        <v>98</v>
      </c>
      <c r="AW3356" s="1" t="s">
        <v>98</v>
      </c>
      <c r="AX3356" s="1" t="s">
        <v>98</v>
      </c>
      <c r="AY3356" s="1" t="s">
        <v>258</v>
      </c>
      <c r="AZ3356" s="1" t="s">
        <v>1973</v>
      </c>
      <c r="BA3356" s="1"/>
      <c r="BB3356" s="1"/>
      <c r="BC3356" s="1" t="s">
        <v>257</v>
      </c>
      <c r="BD3356" s="1" t="s">
        <v>174</v>
      </c>
      <c r="BE3356" s="1">
        <v>70.75</v>
      </c>
      <c r="BF3356" s="1">
        <v>7.94</v>
      </c>
      <c r="BG3356" s="1"/>
      <c r="BH3356" s="1"/>
      <c r="BI3356" s="1"/>
      <c r="BJ3356" s="1"/>
      <c r="BK3356" s="1" t="s">
        <v>98</v>
      </c>
      <c r="BL3356" s="1" t="s">
        <v>98</v>
      </c>
      <c r="BM3356" s="1" t="s">
        <v>98</v>
      </c>
      <c r="BN3356" s="1" t="s">
        <v>98</v>
      </c>
      <c r="BO3356" s="1" t="s">
        <v>53775</v>
      </c>
      <c r="BP3356" s="1" t="s">
        <v>53776</v>
      </c>
      <c r="BQ3356" s="1" t="s">
        <v>49546</v>
      </c>
      <c r="BR3356" s="1" t="s">
        <v>53777</v>
      </c>
      <c r="BS3356" s="1">
        <v>11</v>
      </c>
      <c r="BT3356" s="1"/>
      <c r="BU3356" s="1" t="str">
        <f>HYPERLINK("https://nconnect.nicmar.ac.in/storage/profile/2021-2023_AP21141_932485.jpg","Download")</f>
        <v>0</v>
      </c>
      <c r="BV3356" s="3"/>
      <c r="BW3356" s="3"/>
    </row>
    <row r="3357" spans="1:75">
      <c r="A3357" s="1" t="s">
        <v>51340</v>
      </c>
      <c r="B3357" s="1" t="s">
        <v>51341</v>
      </c>
      <c r="C3357" s="1" t="s">
        <v>53778</v>
      </c>
      <c r="D3357" s="1" t="s">
        <v>4706</v>
      </c>
      <c r="E3357" s="1"/>
      <c r="F3357" s="1" t="s">
        <v>53779</v>
      </c>
      <c r="G3357" s="1" t="s">
        <v>53780</v>
      </c>
      <c r="H3357" s="1" t="s">
        <v>53781</v>
      </c>
      <c r="I3357" s="1" t="s">
        <v>53782</v>
      </c>
      <c r="J3357" s="1">
        <v>8962702711</v>
      </c>
      <c r="K3357" s="1" t="s">
        <v>84</v>
      </c>
      <c r="L3357" s="1" t="s">
        <v>26081</v>
      </c>
      <c r="M3357" s="1" t="s">
        <v>86</v>
      </c>
      <c r="N3357" s="1" t="s">
        <v>246</v>
      </c>
      <c r="O3357" s="1"/>
      <c r="P3357" s="1" t="s">
        <v>507</v>
      </c>
      <c r="Q3357" s="1" t="s">
        <v>53783</v>
      </c>
      <c r="R3357" s="1" t="s">
        <v>53784</v>
      </c>
      <c r="S3357" s="1">
        <v>9200260648</v>
      </c>
      <c r="T3357" s="1" t="s">
        <v>5027</v>
      </c>
      <c r="U3357" s="1" t="s">
        <v>53785</v>
      </c>
      <c r="V3357" s="1">
        <v>9200267508</v>
      </c>
      <c r="W3357" s="1" t="s">
        <v>94</v>
      </c>
      <c r="X3357" s="1" t="s">
        <v>53786</v>
      </c>
      <c r="Y3357" s="1" t="s">
        <v>53787</v>
      </c>
      <c r="Z3357" s="1" t="s">
        <v>3419</v>
      </c>
      <c r="AA3357" s="1" t="s">
        <v>53786</v>
      </c>
      <c r="AB3357" s="1" t="s">
        <v>53787</v>
      </c>
      <c r="AC3357" s="1" t="s">
        <v>3419</v>
      </c>
      <c r="AD3357" s="1" t="s">
        <v>98</v>
      </c>
      <c r="AE3357" s="1" t="s">
        <v>98</v>
      </c>
      <c r="AF3357" s="1" t="s">
        <v>53788</v>
      </c>
      <c r="AG3357" s="1" t="s">
        <v>312</v>
      </c>
      <c r="AH3357" s="1" t="s">
        <v>1214</v>
      </c>
      <c r="AI3357" s="1" t="s">
        <v>632</v>
      </c>
      <c r="AJ3357" s="1">
        <v>68.4</v>
      </c>
      <c r="AK3357" s="1">
        <v>7.2</v>
      </c>
      <c r="AL3357" s="1" t="s">
        <v>53788</v>
      </c>
      <c r="AM3357" s="1" t="s">
        <v>312</v>
      </c>
      <c r="AN3357" s="1"/>
      <c r="AO3357" s="1" t="s">
        <v>284</v>
      </c>
      <c r="AP3357" s="1" t="s">
        <v>573</v>
      </c>
      <c r="AQ3357" s="1">
        <v>58.2</v>
      </c>
      <c r="AR3357" s="1"/>
      <c r="AS3357" s="1"/>
      <c r="AT3357" s="1"/>
      <c r="AU3357" s="1" t="s">
        <v>98</v>
      </c>
      <c r="AV3357" s="1" t="s">
        <v>98</v>
      </c>
      <c r="AW3357" s="1"/>
      <c r="AX3357" s="1"/>
      <c r="AY3357" s="1" t="s">
        <v>5224</v>
      </c>
      <c r="AZ3357" s="1" t="s">
        <v>53789</v>
      </c>
      <c r="BA3357" s="1"/>
      <c r="BB3357" s="1"/>
      <c r="BC3357" s="1" t="s">
        <v>230</v>
      </c>
      <c r="BD3357" s="1" t="s">
        <v>549</v>
      </c>
      <c r="BE3357" s="1">
        <v>77.1</v>
      </c>
      <c r="BF3357" s="1">
        <v>7.71</v>
      </c>
      <c r="BG3357" s="1"/>
      <c r="BH3357" s="1"/>
      <c r="BI3357" s="1"/>
      <c r="BJ3357" s="1"/>
      <c r="BK3357" s="1" t="s">
        <v>98</v>
      </c>
      <c r="BL3357" s="1" t="s">
        <v>98</v>
      </c>
      <c r="BM3357" s="1" t="s">
        <v>98</v>
      </c>
      <c r="BN3357" s="1" t="s">
        <v>98</v>
      </c>
      <c r="BO3357" s="1" t="s">
        <v>1114</v>
      </c>
      <c r="BP3357" s="1"/>
      <c r="BQ3357" s="1"/>
      <c r="BR3357" s="1" t="s">
        <v>53790</v>
      </c>
      <c r="BS3357" s="1">
        <v>12</v>
      </c>
      <c r="BT3357" s="1"/>
      <c r="BU3357" s="1" t="str">
        <f>HYPERLINK("https://nconnect.nicmar.ac.in/storage/profile/2021-2023_AP21142_591783.jpg","Download")</f>
        <v>0</v>
      </c>
      <c r="BV3357" s="3"/>
      <c r="BW3357" s="3"/>
    </row>
    <row r="3358" spans="1:75">
      <c r="A3358" s="1" t="s">
        <v>51340</v>
      </c>
      <c r="B3358" s="1" t="s">
        <v>51341</v>
      </c>
      <c r="C3358" s="1" t="s">
        <v>53791</v>
      </c>
      <c r="D3358" s="1" t="s">
        <v>53792</v>
      </c>
      <c r="E3358" s="1"/>
      <c r="F3358" s="1"/>
      <c r="G3358" s="1" t="s">
        <v>53793</v>
      </c>
      <c r="H3358" s="1" t="s">
        <v>53794</v>
      </c>
      <c r="I3358" s="1" t="s">
        <v>53795</v>
      </c>
      <c r="J3358" s="1">
        <v>9790806614</v>
      </c>
      <c r="K3358" s="1" t="s">
        <v>84</v>
      </c>
      <c r="L3358" s="1" t="s">
        <v>53796</v>
      </c>
      <c r="M3358" s="1" t="s">
        <v>86</v>
      </c>
      <c r="N3358" s="1" t="s">
        <v>2969</v>
      </c>
      <c r="O3358" s="1"/>
      <c r="P3358" s="1" t="s">
        <v>481</v>
      </c>
      <c r="Q3358" s="1" t="s">
        <v>53797</v>
      </c>
      <c r="R3358" s="1" t="s">
        <v>53798</v>
      </c>
      <c r="S3358" s="1">
        <v>8011432770</v>
      </c>
      <c r="T3358" s="1" t="s">
        <v>53799</v>
      </c>
      <c r="U3358" s="1" t="s">
        <v>53800</v>
      </c>
      <c r="V3358" s="1">
        <v>8011432770</v>
      </c>
      <c r="W3358" s="1" t="s">
        <v>541</v>
      </c>
      <c r="X3358" s="1" t="s">
        <v>53801</v>
      </c>
      <c r="Y3358" s="1" t="s">
        <v>53802</v>
      </c>
      <c r="Z3358" s="1" t="s">
        <v>649</v>
      </c>
      <c r="AA3358" s="1" t="s">
        <v>98</v>
      </c>
      <c r="AB3358" s="1" t="s">
        <v>53803</v>
      </c>
      <c r="AC3358" s="1" t="s">
        <v>97</v>
      </c>
      <c r="AD3358" s="1" t="s">
        <v>98</v>
      </c>
      <c r="AE3358" s="1" t="s">
        <v>98</v>
      </c>
      <c r="AF3358" s="1" t="s">
        <v>53804</v>
      </c>
      <c r="AG3358" s="1" t="s">
        <v>312</v>
      </c>
      <c r="AH3358" s="1" t="s">
        <v>53805</v>
      </c>
      <c r="AI3358" s="1" t="s">
        <v>53806</v>
      </c>
      <c r="AJ3358" s="1">
        <v>87.4</v>
      </c>
      <c r="AK3358" s="1">
        <v>9.2</v>
      </c>
      <c r="AL3358" s="1" t="s">
        <v>32045</v>
      </c>
      <c r="AM3358" s="1" t="s">
        <v>312</v>
      </c>
      <c r="AN3358" s="1"/>
      <c r="AO3358" s="1" t="s">
        <v>53807</v>
      </c>
      <c r="AP3358" s="1" t="s">
        <v>53808</v>
      </c>
      <c r="AQ3358" s="1">
        <v>74.6</v>
      </c>
      <c r="AR3358" s="1"/>
      <c r="AS3358" s="1"/>
      <c r="AT3358" s="1"/>
      <c r="AU3358" s="1" t="s">
        <v>98</v>
      </c>
      <c r="AV3358" s="1" t="s">
        <v>98</v>
      </c>
      <c r="AW3358" s="1" t="s">
        <v>98</v>
      </c>
      <c r="AX3358" s="1" t="s">
        <v>98</v>
      </c>
      <c r="AY3358" s="1" t="s">
        <v>51937</v>
      </c>
      <c r="AZ3358" s="1" t="s">
        <v>51937</v>
      </c>
      <c r="BA3358" s="1"/>
      <c r="BB3358" s="1"/>
      <c r="BC3358" s="1" t="s">
        <v>53809</v>
      </c>
      <c r="BD3358" s="1" t="s">
        <v>53810</v>
      </c>
      <c r="BE3358" s="1">
        <v>82.2</v>
      </c>
      <c r="BF3358" s="1">
        <v>8.22</v>
      </c>
      <c r="BG3358" s="1"/>
      <c r="BH3358" s="1"/>
      <c r="BI3358" s="1"/>
      <c r="BJ3358" s="1"/>
      <c r="BK3358" s="1" t="s">
        <v>98</v>
      </c>
      <c r="BL3358" s="1" t="s">
        <v>98</v>
      </c>
      <c r="BM3358" s="1" t="s">
        <v>98</v>
      </c>
      <c r="BN3358" s="1" t="s">
        <v>98</v>
      </c>
      <c r="BO3358" s="1" t="s">
        <v>369</v>
      </c>
      <c r="BP3358" s="1"/>
      <c r="BQ3358" s="1"/>
      <c r="BR3358" s="1" t="s">
        <v>53811</v>
      </c>
      <c r="BS3358" s="1">
        <v>12</v>
      </c>
      <c r="BT3358" s="1"/>
      <c r="BU3358" s="1" t="str">
        <f>HYPERLINK("https://nconnect.nicmar.ac.in/storage/profile/2021-2023_AP21144_192637.jpg","Download")</f>
        <v>0</v>
      </c>
      <c r="BV3358" s="3"/>
      <c r="BW3358" s="3"/>
    </row>
    <row r="3359" spans="1:75">
      <c r="A3359" s="1" t="s">
        <v>51340</v>
      </c>
      <c r="B3359" s="1" t="s">
        <v>51341</v>
      </c>
      <c r="C3359" s="1" t="s">
        <v>53812</v>
      </c>
      <c r="D3359" s="1" t="s">
        <v>53813</v>
      </c>
      <c r="E3359" s="1"/>
      <c r="F3359" s="1" t="s">
        <v>5301</v>
      </c>
      <c r="G3359" s="1" t="s">
        <v>53814</v>
      </c>
      <c r="H3359" s="1" t="s">
        <v>53815</v>
      </c>
      <c r="I3359" s="1" t="s">
        <v>53816</v>
      </c>
      <c r="J3359" s="1">
        <v>7760151479</v>
      </c>
      <c r="K3359" s="1" t="s">
        <v>84</v>
      </c>
      <c r="L3359" s="1" t="s">
        <v>53817</v>
      </c>
      <c r="M3359" s="1" t="s">
        <v>86</v>
      </c>
      <c r="N3359" s="1" t="s">
        <v>53818</v>
      </c>
      <c r="O3359" s="1"/>
      <c r="P3359" s="1" t="s">
        <v>455</v>
      </c>
      <c r="Q3359" s="1" t="s">
        <v>53819</v>
      </c>
      <c r="R3359" s="1" t="s">
        <v>53820</v>
      </c>
      <c r="S3359" s="1">
        <v>9449477887</v>
      </c>
      <c r="T3359" s="1" t="s">
        <v>539</v>
      </c>
      <c r="U3359" s="1" t="s">
        <v>53821</v>
      </c>
      <c r="V3359" s="1">
        <v>8095311685</v>
      </c>
      <c r="W3359" s="1" t="s">
        <v>94</v>
      </c>
      <c r="X3359" s="1" t="s">
        <v>53822</v>
      </c>
      <c r="Y3359" s="1" t="s">
        <v>53823</v>
      </c>
      <c r="Z3359" s="1" t="s">
        <v>1210</v>
      </c>
      <c r="AA3359" s="1" t="s">
        <v>53822</v>
      </c>
      <c r="AB3359" s="1" t="s">
        <v>53823</v>
      </c>
      <c r="AC3359" s="1" t="s">
        <v>1210</v>
      </c>
      <c r="AD3359" s="1" t="s">
        <v>98</v>
      </c>
      <c r="AE3359" s="1" t="s">
        <v>98</v>
      </c>
      <c r="AF3359" s="1" t="s">
        <v>53824</v>
      </c>
      <c r="AG3359" s="1" t="s">
        <v>1946</v>
      </c>
      <c r="AH3359" s="1" t="s">
        <v>134</v>
      </c>
      <c r="AI3359" s="1" t="s">
        <v>1262</v>
      </c>
      <c r="AJ3359" s="1">
        <v>87.84</v>
      </c>
      <c r="AK3359" s="1"/>
      <c r="AL3359" s="1" t="s">
        <v>53825</v>
      </c>
      <c r="AM3359" s="1" t="s">
        <v>1946</v>
      </c>
      <c r="AN3359" s="1"/>
      <c r="AO3359" s="1" t="s">
        <v>136</v>
      </c>
      <c r="AP3359" s="1" t="s">
        <v>627</v>
      </c>
      <c r="AQ3359" s="1">
        <v>67.83</v>
      </c>
      <c r="AR3359" s="1"/>
      <c r="AS3359" s="1"/>
      <c r="AT3359" s="1"/>
      <c r="AU3359" s="1" t="s">
        <v>98</v>
      </c>
      <c r="AV3359" s="1" t="s">
        <v>98</v>
      </c>
      <c r="AW3359" s="1"/>
      <c r="AX3359" s="1"/>
      <c r="AY3359" s="1" t="s">
        <v>1627</v>
      </c>
      <c r="AZ3359" s="1" t="s">
        <v>1627</v>
      </c>
      <c r="BA3359" s="1"/>
      <c r="BB3359" s="1"/>
      <c r="BC3359" s="1" t="s">
        <v>139</v>
      </c>
      <c r="BD3359" s="1" t="s">
        <v>890</v>
      </c>
      <c r="BE3359" s="1">
        <v>63.5</v>
      </c>
      <c r="BF3359" s="1">
        <v>7.1</v>
      </c>
      <c r="BG3359" s="1"/>
      <c r="BH3359" s="1"/>
      <c r="BI3359" s="1"/>
      <c r="BJ3359" s="1"/>
      <c r="BK3359" s="1" t="s">
        <v>98</v>
      </c>
      <c r="BL3359" s="1" t="s">
        <v>98</v>
      </c>
      <c r="BM3359" s="1" t="s">
        <v>98</v>
      </c>
      <c r="BN3359" s="1" t="s">
        <v>98</v>
      </c>
      <c r="BO3359" s="1" t="s">
        <v>53826</v>
      </c>
      <c r="BP3359" s="1"/>
      <c r="BQ3359" s="1"/>
      <c r="BR3359" s="1" t="s">
        <v>53827</v>
      </c>
      <c r="BS3359" s="1">
        <v>7</v>
      </c>
      <c r="BT3359" s="1"/>
      <c r="BU3359" s="1" t="str">
        <f>HYPERLINK("https://nconnect.nicmar.ac.in/storage/profile/2021-2023_AP21145_356217.jpg","Download")</f>
        <v>0</v>
      </c>
      <c r="BV3359" s="3"/>
      <c r="BW3359" s="3"/>
    </row>
    <row r="3360" spans="1:75">
      <c r="A3360" s="1" t="s">
        <v>51340</v>
      </c>
      <c r="B3360" s="1" t="s">
        <v>51341</v>
      </c>
      <c r="C3360" s="1" t="s">
        <v>53828</v>
      </c>
      <c r="D3360" s="1" t="s">
        <v>3493</v>
      </c>
      <c r="E3360" s="1" t="s">
        <v>457</v>
      </c>
      <c r="F3360" s="1" t="s">
        <v>53829</v>
      </c>
      <c r="G3360" s="1" t="s">
        <v>53830</v>
      </c>
      <c r="H3360" s="1" t="s">
        <v>53831</v>
      </c>
      <c r="I3360" s="1" t="s">
        <v>53832</v>
      </c>
      <c r="J3360" s="1">
        <v>7709741886</v>
      </c>
      <c r="K3360" s="1" t="s">
        <v>84</v>
      </c>
      <c r="L3360" s="1" t="s">
        <v>14739</v>
      </c>
      <c r="M3360" s="1" t="s">
        <v>86</v>
      </c>
      <c r="N3360" s="1" t="s">
        <v>1163</v>
      </c>
      <c r="O3360" s="1"/>
      <c r="P3360" s="1" t="s">
        <v>455</v>
      </c>
      <c r="Q3360" s="1" t="s">
        <v>53833</v>
      </c>
      <c r="R3360" s="1" t="s">
        <v>53834</v>
      </c>
      <c r="S3360" s="1">
        <v>9921183434</v>
      </c>
      <c r="T3360" s="1" t="s">
        <v>53835</v>
      </c>
      <c r="U3360" s="1" t="s">
        <v>53836</v>
      </c>
      <c r="V3360" s="1">
        <v>8668783712</v>
      </c>
      <c r="W3360" s="1" t="s">
        <v>94</v>
      </c>
      <c r="X3360" s="1" t="s">
        <v>53837</v>
      </c>
      <c r="Y3360" s="1" t="s">
        <v>333</v>
      </c>
      <c r="Z3360" s="1" t="s">
        <v>97</v>
      </c>
      <c r="AA3360" s="1" t="s">
        <v>98</v>
      </c>
      <c r="AB3360" s="1" t="s">
        <v>333</v>
      </c>
      <c r="AC3360" s="1" t="s">
        <v>97</v>
      </c>
      <c r="AD3360" s="1" t="s">
        <v>98</v>
      </c>
      <c r="AE3360" s="1" t="s">
        <v>98</v>
      </c>
      <c r="AF3360" s="1" t="s">
        <v>53838</v>
      </c>
      <c r="AG3360" s="1" t="s">
        <v>51712</v>
      </c>
      <c r="AH3360" s="1" t="s">
        <v>133</v>
      </c>
      <c r="AI3360" s="1" t="s">
        <v>1213</v>
      </c>
      <c r="AJ3360" s="1">
        <v>64.91</v>
      </c>
      <c r="AK3360" s="1">
        <v>6.49</v>
      </c>
      <c r="AL3360" s="1" t="s">
        <v>98</v>
      </c>
      <c r="AM3360" s="1"/>
      <c r="AN3360" s="1"/>
      <c r="AO3360" s="1" t="s">
        <v>98</v>
      </c>
      <c r="AP3360" s="1" t="s">
        <v>98</v>
      </c>
      <c r="AQ3360" s="1"/>
      <c r="AR3360" s="1"/>
      <c r="AS3360" s="1" t="s">
        <v>439</v>
      </c>
      <c r="AT3360" s="1" t="s">
        <v>8509</v>
      </c>
      <c r="AU3360" s="1" t="s">
        <v>804</v>
      </c>
      <c r="AV3360" s="1" t="s">
        <v>170</v>
      </c>
      <c r="AW3360" s="1">
        <v>65.33</v>
      </c>
      <c r="AX3360" s="1">
        <v>6.53</v>
      </c>
      <c r="AY3360" s="1" t="s">
        <v>340</v>
      </c>
      <c r="AZ3360" s="1" t="s">
        <v>3507</v>
      </c>
      <c r="BA3360" s="1"/>
      <c r="BB3360" s="1"/>
      <c r="BC3360" s="1" t="s">
        <v>230</v>
      </c>
      <c r="BD3360" s="1" t="s">
        <v>178</v>
      </c>
      <c r="BE3360" s="1">
        <v>72.77</v>
      </c>
      <c r="BF3360" s="1">
        <v>7.66</v>
      </c>
      <c r="BG3360" s="1"/>
      <c r="BH3360" s="1"/>
      <c r="BI3360" s="1"/>
      <c r="BJ3360" s="1"/>
      <c r="BK3360" s="1" t="s">
        <v>98</v>
      </c>
      <c r="BL3360" s="1" t="s">
        <v>98</v>
      </c>
      <c r="BM3360" s="1" t="s">
        <v>98</v>
      </c>
      <c r="BN3360" s="1" t="s">
        <v>98</v>
      </c>
      <c r="BO3360" s="1" t="s">
        <v>1114</v>
      </c>
      <c r="BP3360" s="1"/>
      <c r="BQ3360" s="1"/>
      <c r="BR3360" s="1" t="s">
        <v>53839</v>
      </c>
      <c r="BS3360" s="1">
        <v>9</v>
      </c>
      <c r="BT3360" s="1"/>
      <c r="BU3360" s="1" t="str">
        <f>HYPERLINK("https://nconnect.nicmar.ac.in/storage/profile/2021-2023_AP21146_917524.jpg","Download")</f>
        <v>0</v>
      </c>
      <c r="BV3360" s="3"/>
      <c r="BW3360" s="3"/>
    </row>
    <row r="3361" spans="1:75">
      <c r="A3361" s="1" t="s">
        <v>51340</v>
      </c>
      <c r="B3361" s="1" t="s">
        <v>51341</v>
      </c>
      <c r="C3361" s="1" t="s">
        <v>53840</v>
      </c>
      <c r="D3361" s="1" t="s">
        <v>48132</v>
      </c>
      <c r="E3361" s="1"/>
      <c r="F3361" s="1" t="s">
        <v>53841</v>
      </c>
      <c r="G3361" s="1" t="s">
        <v>53842</v>
      </c>
      <c r="H3361" s="1" t="s">
        <v>53843</v>
      </c>
      <c r="I3361" s="1" t="s">
        <v>53844</v>
      </c>
      <c r="J3361" s="1">
        <v>7076285958</v>
      </c>
      <c r="K3361" s="1" t="s">
        <v>84</v>
      </c>
      <c r="L3361" s="1"/>
      <c r="M3361" s="1" t="s">
        <v>86</v>
      </c>
      <c r="N3361" s="1" t="s">
        <v>53845</v>
      </c>
      <c r="O3361" s="1"/>
      <c r="P3361" s="1" t="s">
        <v>455</v>
      </c>
      <c r="Q3361" s="1">
        <v>511000000000</v>
      </c>
      <c r="R3361" s="1" t="s">
        <v>53846</v>
      </c>
      <c r="S3361" s="1">
        <v>9333744804</v>
      </c>
      <c r="T3361" s="1" t="s">
        <v>839</v>
      </c>
      <c r="U3361" s="1" t="s">
        <v>53847</v>
      </c>
      <c r="V3361" s="1">
        <v>9749966414</v>
      </c>
      <c r="W3361" s="1" t="s">
        <v>541</v>
      </c>
      <c r="X3361" s="1" t="s">
        <v>53848</v>
      </c>
      <c r="Y3361" s="1"/>
      <c r="Z3361" s="1"/>
      <c r="AA3361" s="1" t="s">
        <v>98</v>
      </c>
      <c r="AB3361" s="1"/>
      <c r="AC3361" s="1"/>
      <c r="AD3361" s="1" t="s">
        <v>98</v>
      </c>
      <c r="AE3361" s="1" t="s">
        <v>98</v>
      </c>
      <c r="AF3361" s="1" t="s">
        <v>7064</v>
      </c>
      <c r="AG3361" s="1" t="s">
        <v>312</v>
      </c>
      <c r="AH3361" s="1">
        <v>41001</v>
      </c>
      <c r="AI3361" s="1">
        <v>41424</v>
      </c>
      <c r="AJ3361" s="1">
        <v>74.1</v>
      </c>
      <c r="AK3361" s="1">
        <v>7.8</v>
      </c>
      <c r="AL3361" s="1" t="s">
        <v>7064</v>
      </c>
      <c r="AM3361" s="1" t="s">
        <v>312</v>
      </c>
      <c r="AN3361" s="1"/>
      <c r="AO3361" s="1">
        <v>41731</v>
      </c>
      <c r="AP3361" s="1">
        <v>42149</v>
      </c>
      <c r="AQ3361" s="1">
        <v>56.66</v>
      </c>
      <c r="AR3361" s="1" t="s">
        <v>98</v>
      </c>
      <c r="AS3361" s="1" t="s">
        <v>98</v>
      </c>
      <c r="AT3361" s="1" t="s">
        <v>98</v>
      </c>
      <c r="AU3361" s="1" t="s">
        <v>98</v>
      </c>
      <c r="AV3361" s="1" t="s">
        <v>98</v>
      </c>
      <c r="AW3361" s="1" t="s">
        <v>98</v>
      </c>
      <c r="AX3361" s="1" t="s">
        <v>98</v>
      </c>
      <c r="AY3361" s="1" t="s">
        <v>1240</v>
      </c>
      <c r="AZ3361" s="1" t="s">
        <v>53849</v>
      </c>
      <c r="BA3361" s="1"/>
      <c r="BB3361" s="1"/>
      <c r="BC3361" s="1">
        <v>42643</v>
      </c>
      <c r="BD3361" s="1">
        <v>44032</v>
      </c>
      <c r="BE3361" s="1">
        <v>72.4</v>
      </c>
      <c r="BF3361" s="1">
        <v>7.62</v>
      </c>
      <c r="BG3361" s="1" t="s">
        <v>98</v>
      </c>
      <c r="BH3361" s="1"/>
      <c r="BI3361" s="1"/>
      <c r="BJ3361" s="1"/>
      <c r="BK3361" s="1" t="s">
        <v>98</v>
      </c>
      <c r="BL3361" s="1" t="s">
        <v>98</v>
      </c>
      <c r="BM3361" s="1" t="s">
        <v>98</v>
      </c>
      <c r="BN3361" s="1" t="s">
        <v>98</v>
      </c>
      <c r="BO3361" s="1"/>
      <c r="BP3361" s="1"/>
      <c r="BQ3361" s="1"/>
      <c r="BR3361" s="1"/>
      <c r="BS3361" s="1"/>
      <c r="BT3361" s="1"/>
      <c r="BU3361" s="1" t="s">
        <v>9653</v>
      </c>
      <c r="BV3361" s="3"/>
      <c r="BW3361" s="3"/>
    </row>
    <row r="3362" spans="1:75">
      <c r="A3362" s="1" t="s">
        <v>51340</v>
      </c>
      <c r="B3362" s="1" t="s">
        <v>51341</v>
      </c>
      <c r="C3362" s="1" t="s">
        <v>53850</v>
      </c>
      <c r="D3362" s="1" t="s">
        <v>7510</v>
      </c>
      <c r="E3362" s="1" t="s">
        <v>186</v>
      </c>
      <c r="F3362" s="1" t="s">
        <v>53851</v>
      </c>
      <c r="G3362" s="1" t="s">
        <v>53852</v>
      </c>
      <c r="H3362" s="1" t="s">
        <v>53853</v>
      </c>
      <c r="I3362" s="1" t="s">
        <v>53854</v>
      </c>
      <c r="J3362" s="1">
        <v>7768895528</v>
      </c>
      <c r="K3362" s="1" t="s">
        <v>84</v>
      </c>
      <c r="L3362" s="1" t="s">
        <v>27290</v>
      </c>
      <c r="M3362" s="1" t="s">
        <v>86</v>
      </c>
      <c r="N3362" s="1" t="s">
        <v>1163</v>
      </c>
      <c r="O3362" s="1"/>
      <c r="P3362" s="1" t="s">
        <v>481</v>
      </c>
      <c r="Q3362" s="1" t="s">
        <v>53855</v>
      </c>
      <c r="R3362" s="1" t="s">
        <v>53856</v>
      </c>
      <c r="S3362" s="1">
        <v>9420790239</v>
      </c>
      <c r="T3362" s="1" t="s">
        <v>839</v>
      </c>
      <c r="U3362" s="1" t="s">
        <v>53857</v>
      </c>
      <c r="V3362" s="1">
        <v>8793245227</v>
      </c>
      <c r="W3362" s="1" t="s">
        <v>161</v>
      </c>
      <c r="X3362" s="1" t="s">
        <v>53858</v>
      </c>
      <c r="Y3362" s="1" t="s">
        <v>309</v>
      </c>
      <c r="Z3362" s="1" t="s">
        <v>97</v>
      </c>
      <c r="AA3362" s="1" t="s">
        <v>53858</v>
      </c>
      <c r="AB3362" s="1" t="s">
        <v>309</v>
      </c>
      <c r="AC3362" s="1" t="s">
        <v>97</v>
      </c>
      <c r="AD3362" s="1" t="s">
        <v>98</v>
      </c>
      <c r="AE3362" s="1" t="s">
        <v>98</v>
      </c>
      <c r="AF3362" s="1" t="s">
        <v>53859</v>
      </c>
      <c r="AG3362" s="1" t="s">
        <v>53860</v>
      </c>
      <c r="AH3362" s="1">
        <v>41442</v>
      </c>
      <c r="AI3362" s="1">
        <v>41807</v>
      </c>
      <c r="AJ3362" s="1">
        <v>86.4</v>
      </c>
      <c r="AK3362" s="1"/>
      <c r="AL3362" s="1" t="s">
        <v>53861</v>
      </c>
      <c r="AM3362" s="1" t="s">
        <v>53860</v>
      </c>
      <c r="AN3362" s="1"/>
      <c r="AO3362" s="1">
        <v>42192</v>
      </c>
      <c r="AP3362" s="1">
        <v>42515</v>
      </c>
      <c r="AQ3362" s="1">
        <v>67.38</v>
      </c>
      <c r="AR3362" s="1"/>
      <c r="AS3362" s="1"/>
      <c r="AT3362" s="1"/>
      <c r="AU3362" s="1" t="s">
        <v>98</v>
      </c>
      <c r="AV3362" s="1" t="s">
        <v>98</v>
      </c>
      <c r="AW3362" s="1" t="s">
        <v>98</v>
      </c>
      <c r="AX3362" s="1" t="s">
        <v>98</v>
      </c>
      <c r="AY3362" s="1" t="s">
        <v>366</v>
      </c>
      <c r="AZ3362" s="1" t="s">
        <v>53862</v>
      </c>
      <c r="BA3362" s="1"/>
      <c r="BB3362" s="1"/>
      <c r="BC3362" s="1">
        <v>42584</v>
      </c>
      <c r="BD3362" s="1">
        <v>44146</v>
      </c>
      <c r="BE3362" s="1">
        <v>73.74</v>
      </c>
      <c r="BF3362" s="1">
        <v>8.38</v>
      </c>
      <c r="BG3362" s="1"/>
      <c r="BH3362" s="1"/>
      <c r="BI3362" s="1"/>
      <c r="BJ3362" s="1"/>
      <c r="BK3362" s="1" t="s">
        <v>98</v>
      </c>
      <c r="BL3362" s="1" t="s">
        <v>98</v>
      </c>
      <c r="BM3362" s="1" t="s">
        <v>98</v>
      </c>
      <c r="BN3362" s="1" t="s">
        <v>98</v>
      </c>
      <c r="BO3362" s="1" t="s">
        <v>1826</v>
      </c>
      <c r="BP3362" s="1"/>
      <c r="BQ3362" s="1"/>
      <c r="BR3362" s="1" t="s">
        <v>53863</v>
      </c>
      <c r="BS3362" s="1">
        <v>11</v>
      </c>
      <c r="BT3362" s="1"/>
      <c r="BU3362" s="1" t="str">
        <f>HYPERLINK("https://nconnect.nicmar.ac.in/storage/profile/2021-2023_AP21148_157493.jpg","Download")</f>
        <v>0</v>
      </c>
      <c r="BV3362" s="3"/>
      <c r="BW3362" s="3"/>
    </row>
    <row r="3363" spans="1:75">
      <c r="A3363" s="1" t="s">
        <v>51340</v>
      </c>
      <c r="B3363" s="1" t="s">
        <v>51341</v>
      </c>
      <c r="C3363" s="1" t="s">
        <v>53864</v>
      </c>
      <c r="D3363" s="1" t="s">
        <v>3216</v>
      </c>
      <c r="E3363" s="1" t="s">
        <v>53865</v>
      </c>
      <c r="F3363" s="1" t="s">
        <v>6137</v>
      </c>
      <c r="G3363" s="1" t="s">
        <v>53866</v>
      </c>
      <c r="H3363" s="1" t="s">
        <v>53867</v>
      </c>
      <c r="I3363" s="1" t="s">
        <v>53868</v>
      </c>
      <c r="J3363" s="1">
        <v>9665232647</v>
      </c>
      <c r="K3363" s="1" t="s">
        <v>153</v>
      </c>
      <c r="L3363" s="1" t="s">
        <v>53869</v>
      </c>
      <c r="M3363" s="1" t="s">
        <v>86</v>
      </c>
      <c r="N3363" s="1" t="s">
        <v>34521</v>
      </c>
      <c r="O3363" s="1"/>
      <c r="P3363" s="1" t="s">
        <v>481</v>
      </c>
      <c r="Q3363" s="1" t="s">
        <v>53870</v>
      </c>
      <c r="R3363" s="1" t="s">
        <v>53871</v>
      </c>
      <c r="S3363" s="1">
        <v>9665232647</v>
      </c>
      <c r="T3363" s="1" t="s">
        <v>771</v>
      </c>
      <c r="U3363" s="1" t="s">
        <v>53872</v>
      </c>
      <c r="V3363" s="1">
        <v>8459311187</v>
      </c>
      <c r="W3363" s="1" t="s">
        <v>161</v>
      </c>
      <c r="X3363" s="1" t="s">
        <v>53873</v>
      </c>
      <c r="Y3363" s="1" t="s">
        <v>410</v>
      </c>
      <c r="Z3363" s="1" t="s">
        <v>97</v>
      </c>
      <c r="AA3363" s="1" t="s">
        <v>53873</v>
      </c>
      <c r="AB3363" s="1" t="s">
        <v>410</v>
      </c>
      <c r="AC3363" s="1" t="s">
        <v>97</v>
      </c>
      <c r="AD3363" s="1" t="s">
        <v>98</v>
      </c>
      <c r="AE3363" s="1" t="s">
        <v>98</v>
      </c>
      <c r="AF3363" s="1" t="s">
        <v>53874</v>
      </c>
      <c r="AG3363" s="1" t="s">
        <v>53875</v>
      </c>
      <c r="AH3363" s="1" t="s">
        <v>51487</v>
      </c>
      <c r="AI3363" s="1" t="s">
        <v>10236</v>
      </c>
      <c r="AJ3363" s="1">
        <v>76.2</v>
      </c>
      <c r="AK3363" s="1">
        <v>7.62</v>
      </c>
      <c r="AL3363" s="1" t="s">
        <v>53876</v>
      </c>
      <c r="AM3363" s="1" t="s">
        <v>53875</v>
      </c>
      <c r="AN3363" s="1"/>
      <c r="AO3363" s="1" t="s">
        <v>1802</v>
      </c>
      <c r="AP3363" s="1" t="s">
        <v>101</v>
      </c>
      <c r="AQ3363" s="1">
        <v>56.62</v>
      </c>
      <c r="AR3363" s="1">
        <v>5.67</v>
      </c>
      <c r="AS3363" s="1"/>
      <c r="AT3363" s="1"/>
      <c r="AU3363" s="1"/>
      <c r="AV3363" s="1"/>
      <c r="AW3363" s="1"/>
      <c r="AX3363" s="1"/>
      <c r="AY3363" s="1" t="s">
        <v>53877</v>
      </c>
      <c r="AZ3363" s="1" t="s">
        <v>53878</v>
      </c>
      <c r="BA3363" s="1"/>
      <c r="BB3363" s="1"/>
      <c r="BC3363" s="1" t="s">
        <v>257</v>
      </c>
      <c r="BD3363" s="1" t="s">
        <v>890</v>
      </c>
      <c r="BE3363" s="1">
        <v>58</v>
      </c>
      <c r="BF3363" s="1">
        <v>6.55</v>
      </c>
      <c r="BG3363" s="1"/>
      <c r="BH3363" s="1"/>
      <c r="BI3363" s="1"/>
      <c r="BJ3363" s="1"/>
      <c r="BK3363" s="1"/>
      <c r="BL3363" s="1"/>
      <c r="BM3363" s="1"/>
      <c r="BN3363" s="1"/>
      <c r="BO3363" s="1" t="s">
        <v>53879</v>
      </c>
      <c r="BP3363" s="1"/>
      <c r="BQ3363" s="1"/>
      <c r="BR3363" s="1" t="s">
        <v>53880</v>
      </c>
      <c r="BS3363" s="1">
        <v>-17</v>
      </c>
      <c r="BT3363" s="1"/>
      <c r="BU3363" s="1" t="s">
        <v>9653</v>
      </c>
      <c r="BV3363" s="3"/>
      <c r="BW3363" s="3"/>
    </row>
    <row r="3364" spans="1:75">
      <c r="A3364" s="1" t="s">
        <v>51340</v>
      </c>
      <c r="B3364" s="1" t="s">
        <v>51341</v>
      </c>
      <c r="C3364" s="1" t="s">
        <v>53881</v>
      </c>
      <c r="D3364" s="1" t="s">
        <v>4019</v>
      </c>
      <c r="E3364" s="1" t="s">
        <v>53882</v>
      </c>
      <c r="F3364" s="1" t="s">
        <v>12165</v>
      </c>
      <c r="G3364" s="1" t="s">
        <v>53883</v>
      </c>
      <c r="H3364" s="1" t="s">
        <v>53884</v>
      </c>
      <c r="I3364" s="1" t="s">
        <v>53885</v>
      </c>
      <c r="J3364" s="1">
        <v>9033494205</v>
      </c>
      <c r="K3364" s="1" t="s">
        <v>84</v>
      </c>
      <c r="L3364" s="1" t="s">
        <v>31683</v>
      </c>
      <c r="M3364" s="1" t="s">
        <v>86</v>
      </c>
      <c r="N3364" s="1" t="s">
        <v>53886</v>
      </c>
      <c r="O3364" s="1"/>
      <c r="P3364" s="1" t="s">
        <v>455</v>
      </c>
      <c r="Q3364" s="1" t="s">
        <v>53887</v>
      </c>
      <c r="R3364" s="1" t="s">
        <v>53888</v>
      </c>
      <c r="S3364" s="1">
        <v>9427703764</v>
      </c>
      <c r="T3364" s="1" t="s">
        <v>839</v>
      </c>
      <c r="U3364" s="1" t="s">
        <v>53889</v>
      </c>
      <c r="V3364" s="1">
        <v>8128187169</v>
      </c>
      <c r="W3364" s="1" t="s">
        <v>127</v>
      </c>
      <c r="X3364" s="1" t="s">
        <v>53890</v>
      </c>
      <c r="Y3364" s="1" t="s">
        <v>8166</v>
      </c>
      <c r="Z3364" s="1" t="s">
        <v>676</v>
      </c>
      <c r="AA3364" s="1" t="s">
        <v>53890</v>
      </c>
      <c r="AB3364" s="1" t="s">
        <v>8166</v>
      </c>
      <c r="AC3364" s="1" t="s">
        <v>676</v>
      </c>
      <c r="AD3364" s="1" t="s">
        <v>98</v>
      </c>
      <c r="AE3364" s="1" t="s">
        <v>98</v>
      </c>
      <c r="AF3364" s="1" t="s">
        <v>53891</v>
      </c>
      <c r="AG3364" s="1" t="s">
        <v>8746</v>
      </c>
      <c r="AH3364" s="1" t="s">
        <v>101</v>
      </c>
      <c r="AI3364" s="1" t="s">
        <v>102</v>
      </c>
      <c r="AJ3364" s="1">
        <v>72.83</v>
      </c>
      <c r="AK3364" s="1"/>
      <c r="AL3364" s="1" t="s">
        <v>53891</v>
      </c>
      <c r="AM3364" s="1" t="s">
        <v>8746</v>
      </c>
      <c r="AN3364" s="1"/>
      <c r="AO3364" s="1" t="s">
        <v>167</v>
      </c>
      <c r="AP3364" s="1" t="s">
        <v>704</v>
      </c>
      <c r="AQ3364" s="1">
        <v>56.46</v>
      </c>
      <c r="AR3364" s="1"/>
      <c r="AS3364" s="1"/>
      <c r="AT3364" s="1"/>
      <c r="AU3364" s="1" t="s">
        <v>98</v>
      </c>
      <c r="AV3364" s="1" t="s">
        <v>98</v>
      </c>
      <c r="AW3364" s="1"/>
      <c r="AX3364" s="1"/>
      <c r="AY3364" s="1" t="s">
        <v>31418</v>
      </c>
      <c r="AZ3364" s="1" t="s">
        <v>53892</v>
      </c>
      <c r="BA3364" s="1"/>
      <c r="BB3364" s="1"/>
      <c r="BC3364" s="1" t="s">
        <v>388</v>
      </c>
      <c r="BD3364" s="1" t="s">
        <v>845</v>
      </c>
      <c r="BE3364" s="1">
        <v>75</v>
      </c>
      <c r="BF3364" s="1">
        <v>7.5</v>
      </c>
      <c r="BG3364" s="1"/>
      <c r="BH3364" s="1"/>
      <c r="BI3364" s="1"/>
      <c r="BJ3364" s="1"/>
      <c r="BK3364" s="1" t="s">
        <v>98</v>
      </c>
      <c r="BL3364" s="1" t="s">
        <v>98</v>
      </c>
      <c r="BM3364" s="1" t="s">
        <v>98</v>
      </c>
      <c r="BN3364" s="1" t="s">
        <v>98</v>
      </c>
      <c r="BO3364" s="1" t="s">
        <v>53893</v>
      </c>
      <c r="BP3364" s="1"/>
      <c r="BQ3364" s="1"/>
      <c r="BR3364" s="1" t="s">
        <v>53894</v>
      </c>
      <c r="BS3364" s="1">
        <v>15</v>
      </c>
      <c r="BT3364" s="1"/>
      <c r="BU3364" s="1" t="str">
        <f>HYPERLINK("https://nconnect.nicmar.ac.in/storage/profile/2021-2023_AP21150_219678.jpg","Download")</f>
        <v>0</v>
      </c>
      <c r="BV3364" s="3"/>
      <c r="BW3364" s="3"/>
    </row>
    <row r="3365" spans="1:75">
      <c r="A3365" s="1" t="s">
        <v>51340</v>
      </c>
      <c r="B3365" s="1" t="s">
        <v>51341</v>
      </c>
      <c r="C3365" s="1" t="s">
        <v>53895</v>
      </c>
      <c r="D3365" s="1" t="s">
        <v>12383</v>
      </c>
      <c r="E3365" s="1"/>
      <c r="F3365" s="1" t="s">
        <v>29194</v>
      </c>
      <c r="G3365" s="1" t="s">
        <v>53896</v>
      </c>
      <c r="H3365" s="1" t="s">
        <v>53897</v>
      </c>
      <c r="I3365" s="1" t="s">
        <v>53898</v>
      </c>
      <c r="J3365" s="1">
        <v>8050481460</v>
      </c>
      <c r="K3365" s="1" t="s">
        <v>84</v>
      </c>
      <c r="L3365" s="1" t="s">
        <v>53899</v>
      </c>
      <c r="M3365" s="1" t="s">
        <v>86</v>
      </c>
      <c r="N3365" s="1" t="s">
        <v>13845</v>
      </c>
      <c r="O3365" s="1"/>
      <c r="P3365" s="1" t="s">
        <v>507</v>
      </c>
      <c r="Q3365" s="1" t="s">
        <v>53900</v>
      </c>
      <c r="R3365" s="1" t="s">
        <v>53901</v>
      </c>
      <c r="S3365" s="1">
        <v>9448747403</v>
      </c>
      <c r="T3365" s="1" t="s">
        <v>839</v>
      </c>
      <c r="U3365" s="1" t="s">
        <v>53902</v>
      </c>
      <c r="V3365" s="1">
        <v>8105572592</v>
      </c>
      <c r="W3365" s="1" t="s">
        <v>94</v>
      </c>
      <c r="X3365" s="1" t="s">
        <v>53903</v>
      </c>
      <c r="Y3365" s="1" t="s">
        <v>53904</v>
      </c>
      <c r="Z3365" s="1" t="s">
        <v>1210</v>
      </c>
      <c r="AA3365" s="1" t="s">
        <v>53905</v>
      </c>
      <c r="AB3365" s="1" t="s">
        <v>53904</v>
      </c>
      <c r="AC3365" s="1" t="s">
        <v>1210</v>
      </c>
      <c r="AD3365" s="1" t="s">
        <v>98</v>
      </c>
      <c r="AE3365" s="1" t="s">
        <v>98</v>
      </c>
      <c r="AF3365" s="1" t="s">
        <v>13503</v>
      </c>
      <c r="AG3365" s="1" t="s">
        <v>53906</v>
      </c>
      <c r="AH3365" s="1">
        <v>41426</v>
      </c>
      <c r="AI3365" s="1">
        <v>41775</v>
      </c>
      <c r="AJ3365" s="1">
        <v>84.5</v>
      </c>
      <c r="AK3365" s="1"/>
      <c r="AL3365" s="1" t="s">
        <v>53907</v>
      </c>
      <c r="AM3365" s="1" t="s">
        <v>53906</v>
      </c>
      <c r="AN3365" s="1"/>
      <c r="AO3365" s="1">
        <v>42217</v>
      </c>
      <c r="AP3365" s="1">
        <v>42515</v>
      </c>
      <c r="AQ3365" s="1">
        <v>89</v>
      </c>
      <c r="AR3365" s="1"/>
      <c r="AS3365" s="1"/>
      <c r="AT3365" s="1"/>
      <c r="AU3365" s="1" t="s">
        <v>98</v>
      </c>
      <c r="AV3365" s="1" t="s">
        <v>98</v>
      </c>
      <c r="AW3365" s="1" t="s">
        <v>98</v>
      </c>
      <c r="AX3365" s="1" t="s">
        <v>98</v>
      </c>
      <c r="AY3365" s="1" t="s">
        <v>15492</v>
      </c>
      <c r="AZ3365" s="1" t="s">
        <v>53908</v>
      </c>
      <c r="BA3365" s="1"/>
      <c r="BB3365" s="1"/>
      <c r="BC3365" s="1">
        <v>42583</v>
      </c>
      <c r="BD3365" s="1">
        <v>44119</v>
      </c>
      <c r="BE3365" s="1">
        <v>58.7</v>
      </c>
      <c r="BF3365" s="1">
        <v>6.62</v>
      </c>
      <c r="BG3365" s="1"/>
      <c r="BH3365" s="1"/>
      <c r="BI3365" s="1"/>
      <c r="BJ3365" s="1"/>
      <c r="BK3365" s="1" t="s">
        <v>98</v>
      </c>
      <c r="BL3365" s="1" t="s">
        <v>98</v>
      </c>
      <c r="BM3365" s="1" t="s">
        <v>98</v>
      </c>
      <c r="BN3365" s="1" t="s">
        <v>98</v>
      </c>
      <c r="BO3365" s="1" t="s">
        <v>1114</v>
      </c>
      <c r="BP3365" s="1"/>
      <c r="BQ3365" s="1"/>
      <c r="BR3365" s="1" t="s">
        <v>53909</v>
      </c>
      <c r="BS3365" s="1">
        <v>16</v>
      </c>
      <c r="BT3365" s="1"/>
      <c r="BU3365" s="1" t="str">
        <f>HYPERLINK("https://nconnect.nicmar.ac.in/storage/profile/2021-2023_AP21151_473695.jpg","Download")</f>
        <v>0</v>
      </c>
      <c r="BV3365" s="3"/>
      <c r="BW3365" s="3"/>
    </row>
    <row r="3366" spans="1:75">
      <c r="A3366" s="1" t="s">
        <v>51340</v>
      </c>
      <c r="B3366" s="1" t="s">
        <v>51341</v>
      </c>
      <c r="C3366" s="1" t="s">
        <v>53910</v>
      </c>
      <c r="D3366" s="1" t="s">
        <v>52335</v>
      </c>
      <c r="E3366" s="1"/>
      <c r="F3366" s="1" t="s">
        <v>34837</v>
      </c>
      <c r="G3366" s="1" t="s">
        <v>53911</v>
      </c>
      <c r="H3366" s="1" t="s">
        <v>53912</v>
      </c>
      <c r="I3366" s="1" t="s">
        <v>53913</v>
      </c>
      <c r="J3366" s="1">
        <v>8305029472</v>
      </c>
      <c r="K3366" s="1" t="s">
        <v>84</v>
      </c>
      <c r="L3366" s="1" t="s">
        <v>53914</v>
      </c>
      <c r="M3366" s="1" t="s">
        <v>86</v>
      </c>
      <c r="N3366" s="1" t="s">
        <v>246</v>
      </c>
      <c r="O3366" s="1"/>
      <c r="P3366" s="1" t="s">
        <v>481</v>
      </c>
      <c r="Q3366" s="1" t="s">
        <v>53915</v>
      </c>
      <c r="R3366" s="1" t="s">
        <v>53916</v>
      </c>
      <c r="S3366" s="1">
        <v>9752739219</v>
      </c>
      <c r="T3366" s="1" t="s">
        <v>15716</v>
      </c>
      <c r="U3366" s="1" t="s">
        <v>53917</v>
      </c>
      <c r="V3366" s="1">
        <v>9893881708</v>
      </c>
      <c r="W3366" s="1" t="s">
        <v>127</v>
      </c>
      <c r="X3366" s="1" t="s">
        <v>53918</v>
      </c>
      <c r="Y3366" s="1" t="s">
        <v>11445</v>
      </c>
      <c r="Z3366" s="1" t="s">
        <v>3419</v>
      </c>
      <c r="AA3366" s="1" t="s">
        <v>53918</v>
      </c>
      <c r="AB3366" s="1" t="s">
        <v>11445</v>
      </c>
      <c r="AC3366" s="1" t="s">
        <v>3419</v>
      </c>
      <c r="AD3366" s="1" t="s">
        <v>98</v>
      </c>
      <c r="AE3366" s="1" t="s">
        <v>98</v>
      </c>
      <c r="AF3366" s="1" t="s">
        <v>11446</v>
      </c>
      <c r="AG3366" s="1" t="s">
        <v>312</v>
      </c>
      <c r="AH3366" s="1">
        <v>41379</v>
      </c>
      <c r="AI3366" s="1">
        <v>41779</v>
      </c>
      <c r="AJ3366" s="1">
        <v>77.9</v>
      </c>
      <c r="AK3366" s="1">
        <v>8.2</v>
      </c>
      <c r="AL3366" s="1" t="s">
        <v>53919</v>
      </c>
      <c r="AM3366" s="1" t="s">
        <v>53920</v>
      </c>
      <c r="AN3366" s="1"/>
      <c r="AO3366" s="1">
        <v>42186</v>
      </c>
      <c r="AP3366" s="1">
        <v>42502</v>
      </c>
      <c r="AQ3366" s="1">
        <v>79.4</v>
      </c>
      <c r="AR3366" s="1"/>
      <c r="AS3366" s="1"/>
      <c r="AT3366" s="1"/>
      <c r="AU3366" s="1" t="s">
        <v>98</v>
      </c>
      <c r="AV3366" s="1" t="s">
        <v>98</v>
      </c>
      <c r="AW3366" s="1" t="s">
        <v>98</v>
      </c>
      <c r="AX3366" s="1" t="s">
        <v>98</v>
      </c>
      <c r="AY3366" s="1" t="s">
        <v>53921</v>
      </c>
      <c r="AZ3366" s="1" t="s">
        <v>53922</v>
      </c>
      <c r="BA3366" s="1"/>
      <c r="BB3366" s="1"/>
      <c r="BC3366" s="1">
        <v>42597</v>
      </c>
      <c r="BD3366" s="1">
        <v>43983</v>
      </c>
      <c r="BE3366" s="1">
        <v>84.7</v>
      </c>
      <c r="BF3366" s="1">
        <v>8.47</v>
      </c>
      <c r="BG3366" s="1"/>
      <c r="BH3366" s="1"/>
      <c r="BI3366" s="1"/>
      <c r="BJ3366" s="1"/>
      <c r="BK3366" s="1" t="s">
        <v>98</v>
      </c>
      <c r="BL3366" s="1" t="s">
        <v>98</v>
      </c>
      <c r="BM3366" s="1" t="s">
        <v>98</v>
      </c>
      <c r="BN3366" s="1" t="s">
        <v>98</v>
      </c>
      <c r="BO3366" s="1" t="s">
        <v>53923</v>
      </c>
      <c r="BP3366" s="1"/>
      <c r="BQ3366" s="1"/>
      <c r="BR3366" s="1" t="s">
        <v>53924</v>
      </c>
      <c r="BS3366" s="1">
        <v>23</v>
      </c>
      <c r="BT3366" s="1"/>
      <c r="BU3366" s="1" t="str">
        <f>HYPERLINK("https://nconnect.nicmar.ac.in/storage/profile/2021-2023_AP21152_615937.jpg","Download")</f>
        <v>0</v>
      </c>
      <c r="BV3366" s="3"/>
      <c r="BW3366" s="3"/>
    </row>
    <row r="3367" spans="1:75">
      <c r="A3367" s="1" t="s">
        <v>51340</v>
      </c>
      <c r="B3367" s="1" t="s">
        <v>51341</v>
      </c>
      <c r="C3367" s="1" t="s">
        <v>53925</v>
      </c>
      <c r="D3367" s="1" t="s">
        <v>4820</v>
      </c>
      <c r="E3367" s="1" t="s">
        <v>53926</v>
      </c>
      <c r="F3367" s="1" t="s">
        <v>2169</v>
      </c>
      <c r="G3367" s="1" t="s">
        <v>53927</v>
      </c>
      <c r="H3367" s="1" t="s">
        <v>53928</v>
      </c>
      <c r="I3367" s="1" t="s">
        <v>53929</v>
      </c>
      <c r="J3367" s="1">
        <v>8308248829</v>
      </c>
      <c r="K3367" s="1" t="s">
        <v>84</v>
      </c>
      <c r="L3367" s="1" t="s">
        <v>26281</v>
      </c>
      <c r="M3367" s="1" t="s">
        <v>86</v>
      </c>
      <c r="N3367" s="1" t="s">
        <v>41494</v>
      </c>
      <c r="O3367" s="1"/>
      <c r="P3367" s="1" t="s">
        <v>455</v>
      </c>
      <c r="Q3367" s="1" t="s">
        <v>53930</v>
      </c>
      <c r="R3367" s="1" t="s">
        <v>53931</v>
      </c>
      <c r="S3367" s="1">
        <v>9922967374</v>
      </c>
      <c r="T3367" s="1" t="s">
        <v>53932</v>
      </c>
      <c r="U3367" s="1" t="s">
        <v>53933</v>
      </c>
      <c r="V3367" s="1">
        <v>9011095545</v>
      </c>
      <c r="W3367" s="1" t="s">
        <v>94</v>
      </c>
      <c r="X3367" s="1" t="s">
        <v>53934</v>
      </c>
      <c r="Y3367" s="1" t="s">
        <v>53935</v>
      </c>
      <c r="Z3367" s="1" t="s">
        <v>97</v>
      </c>
      <c r="AA3367" s="1" t="s">
        <v>53934</v>
      </c>
      <c r="AB3367" s="1" t="s">
        <v>53935</v>
      </c>
      <c r="AC3367" s="1" t="s">
        <v>97</v>
      </c>
      <c r="AD3367" s="1" t="s">
        <v>98</v>
      </c>
      <c r="AE3367" s="1" t="s">
        <v>98</v>
      </c>
      <c r="AF3367" s="1" t="s">
        <v>53936</v>
      </c>
      <c r="AG3367" s="1" t="s">
        <v>1968</v>
      </c>
      <c r="AH3367" s="1">
        <v>41805</v>
      </c>
      <c r="AI3367" s="1">
        <v>42205</v>
      </c>
      <c r="AJ3367" s="1">
        <v>88</v>
      </c>
      <c r="AK3367" s="1">
        <v>0</v>
      </c>
      <c r="AL3367" s="1" t="s">
        <v>53937</v>
      </c>
      <c r="AM3367" s="1" t="s">
        <v>1968</v>
      </c>
      <c r="AN3367" s="1"/>
      <c r="AO3367" s="1">
        <v>42536</v>
      </c>
      <c r="AP3367" s="1">
        <v>42931</v>
      </c>
      <c r="AQ3367" s="1">
        <v>76.31</v>
      </c>
      <c r="AR3367" s="1">
        <v>0</v>
      </c>
      <c r="AS3367" s="1"/>
      <c r="AT3367" s="1"/>
      <c r="AU3367" s="1" t="s">
        <v>98</v>
      </c>
      <c r="AV3367" s="1" t="s">
        <v>98</v>
      </c>
      <c r="AW3367" s="1" t="s">
        <v>98</v>
      </c>
      <c r="AX3367" s="1" t="s">
        <v>98</v>
      </c>
      <c r="AY3367" s="1" t="s">
        <v>366</v>
      </c>
      <c r="AZ3367" s="1" t="s">
        <v>53938</v>
      </c>
      <c r="BA3367" s="1"/>
      <c r="BB3367" s="1"/>
      <c r="BC3367" s="1">
        <v>42961</v>
      </c>
      <c r="BD3367" s="1">
        <v>44408</v>
      </c>
      <c r="BE3367" s="1">
        <v>73.48</v>
      </c>
      <c r="BF3367" s="1">
        <v>8.35</v>
      </c>
      <c r="BG3367" s="1"/>
      <c r="BH3367" s="1"/>
      <c r="BI3367" s="1"/>
      <c r="BJ3367" s="1"/>
      <c r="BK3367" s="1" t="s">
        <v>98</v>
      </c>
      <c r="BL3367" s="1" t="s">
        <v>98</v>
      </c>
      <c r="BM3367" s="1" t="s">
        <v>98</v>
      </c>
      <c r="BN3367" s="1" t="s">
        <v>98</v>
      </c>
      <c r="BO3367" s="1" t="s">
        <v>849</v>
      </c>
      <c r="BP3367" s="1"/>
      <c r="BQ3367" s="1"/>
      <c r="BR3367" s="1" t="s">
        <v>53939</v>
      </c>
      <c r="BS3367" s="1">
        <v>9</v>
      </c>
      <c r="BT3367" s="1"/>
      <c r="BU3367" s="1" t="str">
        <f>HYPERLINK("https://nconnect.nicmar.ac.in/storage/profile/2021-2023_AP21153_754962.jpeg","Download")</f>
        <v>0</v>
      </c>
      <c r="BV3367" s="3"/>
      <c r="BW3367" s="3"/>
    </row>
    <row r="3368" spans="1:75">
      <c r="A3368" s="1" t="s">
        <v>51340</v>
      </c>
      <c r="B3368" s="1" t="s">
        <v>51341</v>
      </c>
      <c r="C3368" s="1" t="s">
        <v>53940</v>
      </c>
      <c r="D3368" s="1" t="s">
        <v>6869</v>
      </c>
      <c r="E3368" s="1"/>
      <c r="F3368" s="1" t="s">
        <v>53941</v>
      </c>
      <c r="G3368" s="1" t="s">
        <v>53942</v>
      </c>
      <c r="H3368" s="1" t="s">
        <v>53943</v>
      </c>
      <c r="I3368" s="1" t="s">
        <v>53944</v>
      </c>
      <c r="J3368" s="1">
        <v>9207944249</v>
      </c>
      <c r="K3368" s="1" t="s">
        <v>153</v>
      </c>
      <c r="L3368" s="1" t="s">
        <v>26313</v>
      </c>
      <c r="M3368" s="1" t="s">
        <v>86</v>
      </c>
      <c r="N3368" s="1" t="s">
        <v>2393</v>
      </c>
      <c r="O3368" s="1"/>
      <c r="P3368" s="1" t="s">
        <v>481</v>
      </c>
      <c r="Q3368" s="1" t="s">
        <v>53945</v>
      </c>
      <c r="R3368" s="1" t="s">
        <v>53946</v>
      </c>
      <c r="S3368" s="1">
        <v>8089809419</v>
      </c>
      <c r="T3368" s="1" t="s">
        <v>539</v>
      </c>
      <c r="U3368" s="1" t="s">
        <v>53947</v>
      </c>
      <c r="V3368" s="1">
        <v>8089526263</v>
      </c>
      <c r="W3368" s="1" t="s">
        <v>94</v>
      </c>
      <c r="X3368" s="1" t="s">
        <v>53948</v>
      </c>
      <c r="Y3368" s="1" t="s">
        <v>701</v>
      </c>
      <c r="Z3368" s="1" t="s">
        <v>130</v>
      </c>
      <c r="AA3368" s="1" t="s">
        <v>53948</v>
      </c>
      <c r="AB3368" s="1" t="s">
        <v>701</v>
      </c>
      <c r="AC3368" s="1" t="s">
        <v>130</v>
      </c>
      <c r="AD3368" s="1" t="s">
        <v>98</v>
      </c>
      <c r="AE3368" s="1" t="s">
        <v>98</v>
      </c>
      <c r="AF3368" s="1" t="s">
        <v>53949</v>
      </c>
      <c r="AG3368" s="1" t="s">
        <v>312</v>
      </c>
      <c r="AH3368" s="1">
        <v>41428</v>
      </c>
      <c r="AI3368" s="1">
        <v>41778</v>
      </c>
      <c r="AJ3368" s="1">
        <v>89.3</v>
      </c>
      <c r="AK3368" s="1">
        <v>9.4</v>
      </c>
      <c r="AL3368" s="1" t="s">
        <v>53950</v>
      </c>
      <c r="AM3368" s="1" t="s">
        <v>312</v>
      </c>
      <c r="AN3368" s="1"/>
      <c r="AO3368" s="1">
        <v>42156</v>
      </c>
      <c r="AP3368" s="1">
        <v>42511</v>
      </c>
      <c r="AQ3368" s="1">
        <v>77.2</v>
      </c>
      <c r="AR3368" s="1"/>
      <c r="AS3368" s="1"/>
      <c r="AT3368" s="1"/>
      <c r="AU3368" s="1" t="s">
        <v>98</v>
      </c>
      <c r="AV3368" s="1" t="s">
        <v>98</v>
      </c>
      <c r="AW3368" s="1" t="s">
        <v>98</v>
      </c>
      <c r="AX3368" s="1" t="s">
        <v>98</v>
      </c>
      <c r="AY3368" s="1" t="s">
        <v>137</v>
      </c>
      <c r="AZ3368" s="1" t="s">
        <v>12082</v>
      </c>
      <c r="BA3368" s="1"/>
      <c r="BB3368" s="1"/>
      <c r="BC3368" s="1">
        <v>42577</v>
      </c>
      <c r="BD3368" s="1">
        <v>44132</v>
      </c>
      <c r="BE3368" s="1">
        <v>67.35</v>
      </c>
      <c r="BF3368" s="1">
        <v>7.11</v>
      </c>
      <c r="BG3368" s="1"/>
      <c r="BH3368" s="1"/>
      <c r="BI3368" s="1"/>
      <c r="BJ3368" s="1"/>
      <c r="BK3368" s="1" t="s">
        <v>98</v>
      </c>
      <c r="BL3368" s="1" t="s">
        <v>98</v>
      </c>
      <c r="BM3368" s="1" t="s">
        <v>98</v>
      </c>
      <c r="BN3368" s="1" t="s">
        <v>98</v>
      </c>
      <c r="BO3368" s="1" t="s">
        <v>53951</v>
      </c>
      <c r="BP3368" s="1"/>
      <c r="BQ3368" s="1"/>
      <c r="BR3368" s="1" t="s">
        <v>53952</v>
      </c>
      <c r="BS3368" s="1">
        <v>10</v>
      </c>
      <c r="BT3368" s="1"/>
      <c r="BU3368" s="1" t="str">
        <f>HYPERLINK("https://nconnect.nicmar.ac.in/storage/profile/2021-2023_AP21154_462987.jpg","Download")</f>
        <v>0</v>
      </c>
      <c r="BV3368" s="3"/>
      <c r="BW3368" s="3"/>
    </row>
    <row r="3369" spans="1:75">
      <c r="A3369" s="1" t="s">
        <v>51340</v>
      </c>
      <c r="B3369" s="1" t="s">
        <v>51341</v>
      </c>
      <c r="C3369" s="1" t="s">
        <v>53953</v>
      </c>
      <c r="D3369" s="1" t="s">
        <v>6869</v>
      </c>
      <c r="E3369" s="1" t="s">
        <v>1487</v>
      </c>
      <c r="F3369" s="1" t="s">
        <v>116</v>
      </c>
      <c r="G3369" s="1" t="s">
        <v>53954</v>
      </c>
      <c r="H3369" s="1" t="s">
        <v>53955</v>
      </c>
      <c r="I3369" s="1" t="s">
        <v>53956</v>
      </c>
      <c r="J3369" s="1">
        <v>9400503963</v>
      </c>
      <c r="K3369" s="1" t="s">
        <v>153</v>
      </c>
      <c r="L3369" s="1" t="s">
        <v>53957</v>
      </c>
      <c r="M3369" s="1" t="s">
        <v>86</v>
      </c>
      <c r="N3369" s="1" t="s">
        <v>2393</v>
      </c>
      <c r="O3369" s="1"/>
      <c r="P3369" s="1" t="s">
        <v>455</v>
      </c>
      <c r="Q3369" s="1" t="s">
        <v>53958</v>
      </c>
      <c r="R3369" s="1" t="s">
        <v>53959</v>
      </c>
      <c r="S3369" s="1">
        <v>9495467355</v>
      </c>
      <c r="T3369" s="1" t="s">
        <v>539</v>
      </c>
      <c r="U3369" s="1" t="s">
        <v>53960</v>
      </c>
      <c r="V3369" s="1">
        <v>9446745265</v>
      </c>
      <c r="W3369" s="1" t="s">
        <v>94</v>
      </c>
      <c r="X3369" s="1" t="s">
        <v>53961</v>
      </c>
      <c r="Y3369" s="1" t="s">
        <v>701</v>
      </c>
      <c r="Z3369" s="1" t="s">
        <v>130</v>
      </c>
      <c r="AA3369" s="1" t="s">
        <v>53961</v>
      </c>
      <c r="AB3369" s="1" t="s">
        <v>701</v>
      </c>
      <c r="AC3369" s="1" t="s">
        <v>130</v>
      </c>
      <c r="AD3369" s="1" t="s">
        <v>98</v>
      </c>
      <c r="AE3369" s="1" t="s">
        <v>98</v>
      </c>
      <c r="AF3369" s="1" t="s">
        <v>1624</v>
      </c>
      <c r="AG3369" s="1" t="s">
        <v>312</v>
      </c>
      <c r="AH3369" s="1">
        <v>41428</v>
      </c>
      <c r="AI3369" s="1">
        <v>41778</v>
      </c>
      <c r="AJ3369" s="1">
        <v>91.2</v>
      </c>
      <c r="AK3369" s="1">
        <v>9.6</v>
      </c>
      <c r="AL3369" s="1" t="s">
        <v>1624</v>
      </c>
      <c r="AM3369" s="1" t="s">
        <v>312</v>
      </c>
      <c r="AN3369" s="1"/>
      <c r="AO3369" s="1">
        <v>42156</v>
      </c>
      <c r="AP3369" s="1">
        <v>42511</v>
      </c>
      <c r="AQ3369" s="1">
        <v>79</v>
      </c>
      <c r="AR3369" s="1"/>
      <c r="AS3369" s="1"/>
      <c r="AT3369" s="1"/>
      <c r="AU3369" s="1" t="s">
        <v>98</v>
      </c>
      <c r="AV3369" s="1" t="s">
        <v>98</v>
      </c>
      <c r="AW3369" s="1" t="s">
        <v>98</v>
      </c>
      <c r="AX3369" s="1" t="s">
        <v>98</v>
      </c>
      <c r="AY3369" s="1" t="s">
        <v>137</v>
      </c>
      <c r="AZ3369" s="1" t="s">
        <v>12082</v>
      </c>
      <c r="BA3369" s="1"/>
      <c r="BB3369" s="1"/>
      <c r="BC3369" s="1">
        <v>42577</v>
      </c>
      <c r="BD3369" s="1">
        <v>44132</v>
      </c>
      <c r="BE3369" s="1">
        <v>71.35</v>
      </c>
      <c r="BF3369" s="1">
        <v>7.51</v>
      </c>
      <c r="BG3369" s="1"/>
      <c r="BH3369" s="1"/>
      <c r="BI3369" s="1"/>
      <c r="BJ3369" s="1"/>
      <c r="BK3369" s="1" t="s">
        <v>98</v>
      </c>
      <c r="BL3369" s="1" t="s">
        <v>98</v>
      </c>
      <c r="BM3369" s="1" t="s">
        <v>98</v>
      </c>
      <c r="BN3369" s="1" t="s">
        <v>98</v>
      </c>
      <c r="BO3369" s="1" t="s">
        <v>53962</v>
      </c>
      <c r="BP3369" s="1"/>
      <c r="BQ3369" s="1"/>
      <c r="BR3369" s="1" t="s">
        <v>53963</v>
      </c>
      <c r="BS3369" s="1">
        <v>9</v>
      </c>
      <c r="BT3369" s="1"/>
      <c r="BU3369" s="1" t="str">
        <f>HYPERLINK("https://nconnect.nicmar.ac.in/storage/profile/2021-2023_AP21155_496527.jpg","Download")</f>
        <v>0</v>
      </c>
      <c r="BV3369" s="3"/>
      <c r="BW3369" s="3"/>
    </row>
    <row r="3370" spans="1:75">
      <c r="A3370" s="1" t="s">
        <v>51340</v>
      </c>
      <c r="B3370" s="1" t="s">
        <v>51341</v>
      </c>
      <c r="C3370" s="1" t="s">
        <v>53964</v>
      </c>
      <c r="D3370" s="1" t="s">
        <v>4293</v>
      </c>
      <c r="E3370" s="1" t="s">
        <v>1320</v>
      </c>
      <c r="F3370" s="1" t="s">
        <v>53965</v>
      </c>
      <c r="G3370" s="1" t="s">
        <v>53966</v>
      </c>
      <c r="H3370" s="1" t="s">
        <v>53967</v>
      </c>
      <c r="I3370" s="1" t="s">
        <v>53968</v>
      </c>
      <c r="J3370" s="1">
        <v>8895071330</v>
      </c>
      <c r="K3370" s="1" t="s">
        <v>84</v>
      </c>
      <c r="L3370" s="1" t="s">
        <v>53969</v>
      </c>
      <c r="M3370" s="1" t="s">
        <v>86</v>
      </c>
      <c r="N3370" s="1" t="s">
        <v>881</v>
      </c>
      <c r="O3370" s="1"/>
      <c r="P3370" s="1" t="s">
        <v>455</v>
      </c>
      <c r="Q3370" s="1" t="s">
        <v>53970</v>
      </c>
      <c r="R3370" s="1" t="s">
        <v>53971</v>
      </c>
      <c r="S3370" s="1">
        <v>9437958500</v>
      </c>
      <c r="T3370" s="1" t="s">
        <v>3396</v>
      </c>
      <c r="U3370" s="1" t="s">
        <v>53972</v>
      </c>
      <c r="V3370" s="1">
        <v>9439979620</v>
      </c>
      <c r="W3370" s="1" t="s">
        <v>2547</v>
      </c>
      <c r="X3370" s="1" t="s">
        <v>53973</v>
      </c>
      <c r="Y3370" s="1" t="s">
        <v>1259</v>
      </c>
      <c r="Z3370" s="1" t="s">
        <v>865</v>
      </c>
      <c r="AA3370" s="1" t="s">
        <v>53973</v>
      </c>
      <c r="AB3370" s="1" t="s">
        <v>1259</v>
      </c>
      <c r="AC3370" s="1" t="s">
        <v>865</v>
      </c>
      <c r="AD3370" s="1" t="s">
        <v>98</v>
      </c>
      <c r="AE3370" s="1" t="s">
        <v>98</v>
      </c>
      <c r="AF3370" s="1" t="s">
        <v>53974</v>
      </c>
      <c r="AG3370" s="1" t="s">
        <v>53975</v>
      </c>
      <c r="AH3370" s="1">
        <v>41001</v>
      </c>
      <c r="AI3370" s="1">
        <v>41424</v>
      </c>
      <c r="AJ3370" s="1">
        <v>91.2</v>
      </c>
      <c r="AK3370" s="1">
        <v>9.6</v>
      </c>
      <c r="AL3370" s="1" t="s">
        <v>53976</v>
      </c>
      <c r="AM3370" s="1" t="s">
        <v>53977</v>
      </c>
      <c r="AN3370" s="1"/>
      <c r="AO3370" s="1">
        <v>41730</v>
      </c>
      <c r="AP3370" s="1">
        <v>42149</v>
      </c>
      <c r="AQ3370" s="1">
        <v>88.4</v>
      </c>
      <c r="AR3370" s="1"/>
      <c r="AS3370" s="1"/>
      <c r="AT3370" s="1"/>
      <c r="AU3370" s="1" t="s">
        <v>98</v>
      </c>
      <c r="AV3370" s="1" t="s">
        <v>98</v>
      </c>
      <c r="AW3370" s="1" t="s">
        <v>98</v>
      </c>
      <c r="AX3370" s="1" t="s">
        <v>98</v>
      </c>
      <c r="AY3370" s="1" t="s">
        <v>13327</v>
      </c>
      <c r="AZ3370" s="1" t="s">
        <v>53978</v>
      </c>
      <c r="BA3370" s="1"/>
      <c r="BB3370" s="1"/>
      <c r="BC3370" s="1">
        <v>42240</v>
      </c>
      <c r="BD3370" s="1">
        <v>43703</v>
      </c>
      <c r="BE3370" s="1">
        <v>77.1</v>
      </c>
      <c r="BF3370" s="1">
        <v>8.21</v>
      </c>
      <c r="BG3370" s="1"/>
      <c r="BH3370" s="1"/>
      <c r="BI3370" s="1"/>
      <c r="BJ3370" s="1"/>
      <c r="BK3370" s="1" t="s">
        <v>98</v>
      </c>
      <c r="BL3370" s="1" t="s">
        <v>98</v>
      </c>
      <c r="BM3370" s="1" t="s">
        <v>98</v>
      </c>
      <c r="BN3370" s="1" t="s">
        <v>98</v>
      </c>
      <c r="BO3370" s="1" t="s">
        <v>369</v>
      </c>
      <c r="BP3370" s="1" t="s">
        <v>53979</v>
      </c>
      <c r="BQ3370" s="1" t="s">
        <v>4389</v>
      </c>
      <c r="BR3370" s="1" t="s">
        <v>53980</v>
      </c>
      <c r="BS3370" s="1">
        <v>21</v>
      </c>
      <c r="BT3370" s="1"/>
      <c r="BU3370" s="1" t="str">
        <f>HYPERLINK("https://nconnect.nicmar.ac.in/storage/profile/2021-2023_AP21156_453682.jpg","Download")</f>
        <v>0</v>
      </c>
      <c r="BV3370" s="3"/>
      <c r="BW3370" s="3"/>
    </row>
    <row r="3371" spans="1:75">
      <c r="A3371" s="1" t="s">
        <v>51340</v>
      </c>
      <c r="B3371" s="1" t="s">
        <v>51341</v>
      </c>
      <c r="C3371" s="1" t="s">
        <v>53981</v>
      </c>
      <c r="D3371" s="1" t="s">
        <v>2446</v>
      </c>
      <c r="E3371" s="1" t="s">
        <v>9856</v>
      </c>
      <c r="F3371" s="1" t="s">
        <v>53982</v>
      </c>
      <c r="G3371" s="1" t="s">
        <v>53983</v>
      </c>
      <c r="H3371" s="1" t="s">
        <v>53984</v>
      </c>
      <c r="I3371" s="1" t="s">
        <v>53985</v>
      </c>
      <c r="J3371" s="1">
        <v>7276719789</v>
      </c>
      <c r="K3371" s="1" t="s">
        <v>84</v>
      </c>
      <c r="L3371" s="1" t="s">
        <v>32135</v>
      </c>
      <c r="M3371" s="1" t="s">
        <v>86</v>
      </c>
      <c r="N3371" s="1" t="s">
        <v>1163</v>
      </c>
      <c r="O3371" s="1"/>
      <c r="P3371" s="1" t="s">
        <v>507</v>
      </c>
      <c r="Q3371" s="1" t="s">
        <v>53986</v>
      </c>
      <c r="R3371" s="1" t="s">
        <v>53987</v>
      </c>
      <c r="S3371" s="1">
        <v>9699226909</v>
      </c>
      <c r="T3371" s="1" t="s">
        <v>1620</v>
      </c>
      <c r="U3371" s="1" t="s">
        <v>53988</v>
      </c>
      <c r="V3371" s="1">
        <v>8149666079</v>
      </c>
      <c r="W3371" s="1" t="s">
        <v>94</v>
      </c>
      <c r="X3371" s="1" t="s">
        <v>53989</v>
      </c>
      <c r="Y3371" s="1" t="s">
        <v>53990</v>
      </c>
      <c r="Z3371" s="1" t="s">
        <v>97</v>
      </c>
      <c r="AA3371" s="1" t="s">
        <v>53989</v>
      </c>
      <c r="AB3371" s="1" t="s">
        <v>53990</v>
      </c>
      <c r="AC3371" s="1" t="s">
        <v>97</v>
      </c>
      <c r="AD3371" s="1" t="s">
        <v>98</v>
      </c>
      <c r="AE3371" s="1" t="s">
        <v>98</v>
      </c>
      <c r="AF3371" s="1" t="s">
        <v>53991</v>
      </c>
      <c r="AG3371" s="1" t="s">
        <v>1968</v>
      </c>
      <c r="AH3371" s="1" t="s">
        <v>1213</v>
      </c>
      <c r="AI3371" s="1" t="s">
        <v>515</v>
      </c>
      <c r="AJ3371" s="1">
        <v>76.8</v>
      </c>
      <c r="AK3371" s="1"/>
      <c r="AL3371" s="1" t="s">
        <v>53992</v>
      </c>
      <c r="AM3371" s="1" t="s">
        <v>1968</v>
      </c>
      <c r="AN3371" s="1"/>
      <c r="AO3371" s="1" t="s">
        <v>166</v>
      </c>
      <c r="AP3371" s="1" t="s">
        <v>517</v>
      </c>
      <c r="AQ3371" s="1">
        <v>65.69</v>
      </c>
      <c r="AR3371" s="1"/>
      <c r="AS3371" s="1"/>
      <c r="AT3371" s="1"/>
      <c r="AU3371" s="1" t="s">
        <v>98</v>
      </c>
      <c r="AV3371" s="1" t="s">
        <v>98</v>
      </c>
      <c r="AW3371" s="1" t="s">
        <v>98</v>
      </c>
      <c r="AX3371" s="1" t="s">
        <v>98</v>
      </c>
      <c r="AY3371" s="1" t="s">
        <v>258</v>
      </c>
      <c r="AZ3371" s="1" t="s">
        <v>36691</v>
      </c>
      <c r="BA3371" s="1"/>
      <c r="BB3371" s="1"/>
      <c r="BC3371" s="1" t="s">
        <v>139</v>
      </c>
      <c r="BD3371" s="1" t="s">
        <v>175</v>
      </c>
      <c r="BE3371" s="1">
        <v>68.09</v>
      </c>
      <c r="BF3371" s="1">
        <v>7.49</v>
      </c>
      <c r="BG3371" s="1"/>
      <c r="BH3371" s="1"/>
      <c r="BI3371" s="1"/>
      <c r="BJ3371" s="1"/>
      <c r="BK3371" s="1" t="s">
        <v>98</v>
      </c>
      <c r="BL3371" s="1" t="s">
        <v>98</v>
      </c>
      <c r="BM3371" s="1" t="s">
        <v>98</v>
      </c>
      <c r="BN3371" s="1" t="s">
        <v>98</v>
      </c>
      <c r="BO3371" s="1" t="s">
        <v>53993</v>
      </c>
      <c r="BP3371" s="1"/>
      <c r="BQ3371" s="1"/>
      <c r="BR3371" s="1" t="s">
        <v>53994</v>
      </c>
      <c r="BS3371" s="1">
        <v>28</v>
      </c>
      <c r="BT3371" s="1"/>
      <c r="BU3371" s="1" t="str">
        <f>HYPERLINK("https://nconnect.nicmar.ac.in/storage/profile/2021-2023_AP21157_381956.jpg","Download")</f>
        <v>0</v>
      </c>
      <c r="BV3371" s="3"/>
      <c r="BW3371" s="3"/>
    </row>
    <row r="3372" spans="1:75">
      <c r="A3372" s="1" t="s">
        <v>51340</v>
      </c>
      <c r="B3372" s="1" t="s">
        <v>51341</v>
      </c>
      <c r="C3372" s="1" t="s">
        <v>53995</v>
      </c>
      <c r="D3372" s="1" t="s">
        <v>2097</v>
      </c>
      <c r="E3372" s="1" t="s">
        <v>2098</v>
      </c>
      <c r="F3372" s="1" t="s">
        <v>52074</v>
      </c>
      <c r="G3372" s="1" t="s">
        <v>53996</v>
      </c>
      <c r="H3372" s="1" t="s">
        <v>53997</v>
      </c>
      <c r="I3372" s="1" t="s">
        <v>53998</v>
      </c>
      <c r="J3372" s="1">
        <v>8308390252</v>
      </c>
      <c r="K3372" s="1" t="s">
        <v>84</v>
      </c>
      <c r="L3372" s="1" t="s">
        <v>53999</v>
      </c>
      <c r="M3372" s="1" t="s">
        <v>86</v>
      </c>
      <c r="N3372" s="1" t="s">
        <v>1163</v>
      </c>
      <c r="O3372" s="1"/>
      <c r="P3372" s="1" t="s">
        <v>507</v>
      </c>
      <c r="Q3372" s="1" t="s">
        <v>54000</v>
      </c>
      <c r="R3372" s="1" t="s">
        <v>54001</v>
      </c>
      <c r="S3372" s="1">
        <v>9881137680</v>
      </c>
      <c r="T3372" s="1" t="s">
        <v>54002</v>
      </c>
      <c r="U3372" s="1" t="s">
        <v>54003</v>
      </c>
      <c r="V3372" s="1">
        <v>7447767680</v>
      </c>
      <c r="W3372" s="1" t="s">
        <v>94</v>
      </c>
      <c r="X3372" s="1" t="s">
        <v>54004</v>
      </c>
      <c r="Y3372" s="1" t="s">
        <v>910</v>
      </c>
      <c r="Z3372" s="1" t="s">
        <v>97</v>
      </c>
      <c r="AA3372" s="1" t="s">
        <v>54005</v>
      </c>
      <c r="AB3372" s="1" t="s">
        <v>910</v>
      </c>
      <c r="AC3372" s="1" t="s">
        <v>97</v>
      </c>
      <c r="AD3372" s="1" t="s">
        <v>98</v>
      </c>
      <c r="AE3372" s="1" t="s">
        <v>98</v>
      </c>
      <c r="AF3372" s="1" t="s">
        <v>54006</v>
      </c>
      <c r="AG3372" s="1" t="s">
        <v>51712</v>
      </c>
      <c r="AH3372" s="1">
        <v>41061</v>
      </c>
      <c r="AI3372" s="1">
        <v>41432</v>
      </c>
      <c r="AJ3372" s="1">
        <v>78</v>
      </c>
      <c r="AK3372" s="1"/>
      <c r="AL3372" s="1" t="s">
        <v>98</v>
      </c>
      <c r="AM3372" s="1" t="s">
        <v>98</v>
      </c>
      <c r="AN3372" s="1"/>
      <c r="AO3372" s="1" t="s">
        <v>98</v>
      </c>
      <c r="AP3372" s="1" t="s">
        <v>98</v>
      </c>
      <c r="AQ3372" s="1"/>
      <c r="AR3372" s="1"/>
      <c r="AS3372" s="1" t="s">
        <v>439</v>
      </c>
      <c r="AT3372" s="1" t="s">
        <v>54007</v>
      </c>
      <c r="AU3372" s="1">
        <v>41487</v>
      </c>
      <c r="AV3372" s="1">
        <v>42529</v>
      </c>
      <c r="AW3372" s="1">
        <v>65.52</v>
      </c>
      <c r="AX3372" s="1">
        <v>0</v>
      </c>
      <c r="AY3372" s="1" t="s">
        <v>366</v>
      </c>
      <c r="AZ3372" s="1" t="s">
        <v>54008</v>
      </c>
      <c r="BA3372" s="1"/>
      <c r="BB3372" s="1"/>
      <c r="BC3372" s="1">
        <v>42583</v>
      </c>
      <c r="BD3372" s="1">
        <v>43668</v>
      </c>
      <c r="BE3372" s="1">
        <v>52.97</v>
      </c>
      <c r="BF3372" s="1">
        <v>6.02</v>
      </c>
      <c r="BG3372" s="1"/>
      <c r="BH3372" s="1"/>
      <c r="BI3372" s="1"/>
      <c r="BJ3372" s="1"/>
      <c r="BK3372" s="1" t="s">
        <v>98</v>
      </c>
      <c r="BL3372" s="1" t="s">
        <v>98</v>
      </c>
      <c r="BM3372" s="1" t="s">
        <v>98</v>
      </c>
      <c r="BN3372" s="1" t="s">
        <v>98</v>
      </c>
      <c r="BO3372" s="1" t="s">
        <v>8688</v>
      </c>
      <c r="BP3372" s="1"/>
      <c r="BQ3372" s="1"/>
      <c r="BR3372" s="1" t="s">
        <v>54009</v>
      </c>
      <c r="BS3372" s="1">
        <v>8</v>
      </c>
      <c r="BT3372" s="1"/>
      <c r="BU3372" s="1" t="str">
        <f>HYPERLINK("https://nconnect.nicmar.ac.in/storage/profile/2021-2023_AP21158_567943.jpg","Download")</f>
        <v>0</v>
      </c>
      <c r="BV3372" s="3"/>
      <c r="BW3372" s="3"/>
    </row>
    <row r="3373" spans="1:75">
      <c r="A3373" s="1" t="s">
        <v>51340</v>
      </c>
      <c r="B3373" s="1" t="s">
        <v>51341</v>
      </c>
      <c r="C3373" s="1" t="s">
        <v>54010</v>
      </c>
      <c r="D3373" s="1" t="s">
        <v>54011</v>
      </c>
      <c r="E3373" s="1"/>
      <c r="F3373" s="1" t="s">
        <v>54012</v>
      </c>
      <c r="G3373" s="1" t="s">
        <v>54013</v>
      </c>
      <c r="H3373" s="1" t="s">
        <v>54014</v>
      </c>
      <c r="I3373" s="1" t="s">
        <v>54015</v>
      </c>
      <c r="J3373" s="1">
        <v>9790040634</v>
      </c>
      <c r="K3373" s="1" t="s">
        <v>84</v>
      </c>
      <c r="L3373" s="1" t="s">
        <v>54016</v>
      </c>
      <c r="M3373" s="1" t="s">
        <v>86</v>
      </c>
      <c r="N3373" s="1" t="s">
        <v>54017</v>
      </c>
      <c r="O3373" s="1"/>
      <c r="P3373" s="1" t="s">
        <v>507</v>
      </c>
      <c r="Q3373" s="1" t="s">
        <v>54018</v>
      </c>
      <c r="R3373" s="1" t="s">
        <v>54019</v>
      </c>
      <c r="S3373" s="1">
        <v>7995879923</v>
      </c>
      <c r="T3373" s="1" t="s">
        <v>539</v>
      </c>
      <c r="U3373" s="1" t="s">
        <v>54020</v>
      </c>
      <c r="V3373" s="1">
        <v>9949847678</v>
      </c>
      <c r="W3373" s="1" t="s">
        <v>94</v>
      </c>
      <c r="X3373" s="1" t="s">
        <v>54021</v>
      </c>
      <c r="Y3373" s="1" t="s">
        <v>1454</v>
      </c>
      <c r="Z3373" s="1" t="s">
        <v>281</v>
      </c>
      <c r="AA3373" s="1" t="s">
        <v>54021</v>
      </c>
      <c r="AB3373" s="1" t="s">
        <v>1454</v>
      </c>
      <c r="AC3373" s="1" t="s">
        <v>281</v>
      </c>
      <c r="AD3373" s="1" t="s">
        <v>98</v>
      </c>
      <c r="AE3373" s="1" t="s">
        <v>98</v>
      </c>
      <c r="AF3373" s="1" t="s">
        <v>31690</v>
      </c>
      <c r="AG3373" s="1" t="s">
        <v>36627</v>
      </c>
      <c r="AH3373" s="1">
        <v>41065</v>
      </c>
      <c r="AI3373" s="1">
        <v>41361</v>
      </c>
      <c r="AJ3373" s="1">
        <v>71.25</v>
      </c>
      <c r="AK3373" s="1">
        <v>7.5</v>
      </c>
      <c r="AL3373" s="1" t="s">
        <v>1843</v>
      </c>
      <c r="AM3373" s="1" t="s">
        <v>36627</v>
      </c>
      <c r="AN3373" s="1"/>
      <c r="AO3373" s="1">
        <v>41428</v>
      </c>
      <c r="AP3373" s="1">
        <v>42091</v>
      </c>
      <c r="AQ3373" s="1">
        <v>80.3</v>
      </c>
      <c r="AR3373" s="1"/>
      <c r="AS3373" s="1"/>
      <c r="AT3373" s="1"/>
      <c r="AU3373" s="1" t="s">
        <v>98</v>
      </c>
      <c r="AV3373" s="1" t="s">
        <v>98</v>
      </c>
      <c r="AW3373" s="1" t="s">
        <v>98</v>
      </c>
      <c r="AX3373" s="1" t="s">
        <v>98</v>
      </c>
      <c r="AY3373" s="1" t="s">
        <v>54022</v>
      </c>
      <c r="AZ3373" s="1" t="s">
        <v>54022</v>
      </c>
      <c r="BA3373" s="1"/>
      <c r="BB3373" s="1"/>
      <c r="BC3373" s="1">
        <v>42215</v>
      </c>
      <c r="BD3373" s="1">
        <v>43731</v>
      </c>
      <c r="BE3373" s="1">
        <v>75.4</v>
      </c>
      <c r="BF3373" s="1">
        <v>7.54</v>
      </c>
      <c r="BG3373" s="1"/>
      <c r="BH3373" s="1"/>
      <c r="BI3373" s="1"/>
      <c r="BJ3373" s="1"/>
      <c r="BK3373" s="1" t="s">
        <v>98</v>
      </c>
      <c r="BL3373" s="1" t="s">
        <v>98</v>
      </c>
      <c r="BM3373" s="1" t="s">
        <v>98</v>
      </c>
      <c r="BN3373" s="1" t="s">
        <v>98</v>
      </c>
      <c r="BO3373" s="1" t="s">
        <v>54023</v>
      </c>
      <c r="BP3373" s="1"/>
      <c r="BQ3373" s="1"/>
      <c r="BR3373" s="1" t="s">
        <v>54024</v>
      </c>
      <c r="BS3373" s="1">
        <v>16</v>
      </c>
      <c r="BT3373" s="1"/>
      <c r="BU3373" s="1" t="str">
        <f>HYPERLINK("https://nconnect.nicmar.ac.in/storage/profile/2021-2023_AP21159_514629.jpg","Download")</f>
        <v>0</v>
      </c>
      <c r="BV3373" s="3"/>
      <c r="BW3373" s="3"/>
    </row>
    <row r="3374" spans="1:75">
      <c r="A3374" s="1" t="s">
        <v>51340</v>
      </c>
      <c r="B3374" s="1" t="s">
        <v>51341</v>
      </c>
      <c r="C3374" s="1" t="s">
        <v>54025</v>
      </c>
      <c r="D3374" s="1" t="s">
        <v>54026</v>
      </c>
      <c r="E3374" s="1" t="s">
        <v>4037</v>
      </c>
      <c r="F3374" s="1" t="s">
        <v>54027</v>
      </c>
      <c r="G3374" s="1" t="s">
        <v>54028</v>
      </c>
      <c r="H3374" s="1" t="s">
        <v>54029</v>
      </c>
      <c r="I3374" s="1" t="s">
        <v>54030</v>
      </c>
      <c r="J3374" s="1">
        <v>8885087724</v>
      </c>
      <c r="K3374" s="1" t="s">
        <v>153</v>
      </c>
      <c r="L3374" s="1" t="s">
        <v>29334</v>
      </c>
      <c r="M3374" s="1" t="s">
        <v>86</v>
      </c>
      <c r="N3374" s="1" t="s">
        <v>1813</v>
      </c>
      <c r="O3374" s="1"/>
      <c r="P3374" s="1" t="s">
        <v>455</v>
      </c>
      <c r="Q3374" s="1" t="s">
        <v>54031</v>
      </c>
      <c r="R3374" s="1" t="s">
        <v>54032</v>
      </c>
      <c r="S3374" s="1">
        <v>9440987724</v>
      </c>
      <c r="T3374" s="1" t="s">
        <v>5027</v>
      </c>
      <c r="U3374" s="1" t="s">
        <v>54033</v>
      </c>
      <c r="V3374" s="1">
        <v>9866734973</v>
      </c>
      <c r="W3374" s="1" t="s">
        <v>94</v>
      </c>
      <c r="X3374" s="1" t="s">
        <v>54034</v>
      </c>
      <c r="Y3374" s="1" t="s">
        <v>3031</v>
      </c>
      <c r="Z3374" s="1" t="s">
        <v>461</v>
      </c>
      <c r="AA3374" s="1" t="s">
        <v>54034</v>
      </c>
      <c r="AB3374" s="1" t="s">
        <v>3031</v>
      </c>
      <c r="AC3374" s="1" t="s">
        <v>461</v>
      </c>
      <c r="AD3374" s="1" t="s">
        <v>98</v>
      </c>
      <c r="AE3374" s="1" t="s">
        <v>98</v>
      </c>
      <c r="AF3374" s="1" t="s">
        <v>54035</v>
      </c>
      <c r="AG3374" s="1" t="s">
        <v>6474</v>
      </c>
      <c r="AH3374" s="1">
        <v>41435</v>
      </c>
      <c r="AI3374" s="1">
        <v>41764</v>
      </c>
      <c r="AJ3374" s="1">
        <v>90.33</v>
      </c>
      <c r="AK3374" s="1">
        <v>0</v>
      </c>
      <c r="AL3374" s="1" t="s">
        <v>54036</v>
      </c>
      <c r="AM3374" s="1" t="s">
        <v>6474</v>
      </c>
      <c r="AN3374" s="1"/>
      <c r="AO3374" s="1">
        <v>42227</v>
      </c>
      <c r="AP3374" s="1">
        <v>42508</v>
      </c>
      <c r="AQ3374" s="1">
        <v>94.2</v>
      </c>
      <c r="AR3374" s="1">
        <v>0</v>
      </c>
      <c r="AS3374" s="1"/>
      <c r="AT3374" s="1"/>
      <c r="AU3374" s="1" t="s">
        <v>98</v>
      </c>
      <c r="AV3374" s="1" t="s">
        <v>98</v>
      </c>
      <c r="AW3374" s="1" t="s">
        <v>98</v>
      </c>
      <c r="AX3374" s="1" t="s">
        <v>98</v>
      </c>
      <c r="AY3374" s="1" t="s">
        <v>1823</v>
      </c>
      <c r="AZ3374" s="1" t="s">
        <v>51859</v>
      </c>
      <c r="BA3374" s="1"/>
      <c r="BB3374" s="1"/>
      <c r="BC3374" s="1">
        <v>42584</v>
      </c>
      <c r="BD3374" s="1">
        <v>44148</v>
      </c>
      <c r="BE3374" s="1">
        <v>72.7</v>
      </c>
      <c r="BF3374" s="1">
        <v>7.77</v>
      </c>
      <c r="BG3374" s="1"/>
      <c r="BH3374" s="1"/>
      <c r="BI3374" s="1"/>
      <c r="BJ3374" s="1"/>
      <c r="BK3374" s="1" t="s">
        <v>98</v>
      </c>
      <c r="BL3374" s="1" t="s">
        <v>98</v>
      </c>
      <c r="BM3374" s="1" t="s">
        <v>98</v>
      </c>
      <c r="BN3374" s="1" t="s">
        <v>98</v>
      </c>
      <c r="BO3374" s="1" t="s">
        <v>1114</v>
      </c>
      <c r="BP3374" s="1"/>
      <c r="BQ3374" s="1"/>
      <c r="BR3374" s="1" t="s">
        <v>54037</v>
      </c>
      <c r="BS3374" s="1">
        <v>12</v>
      </c>
      <c r="BT3374" s="1"/>
      <c r="BU3374" s="1" t="str">
        <f>HYPERLINK("https://nconnect.nicmar.ac.in/storage/profile/2021-2023_AP21160_247813.jpg","Download")</f>
        <v>0</v>
      </c>
      <c r="BV3374" s="3"/>
      <c r="BW3374" s="3"/>
    </row>
    <row r="3375" spans="1:75">
      <c r="A3375" s="1" t="s">
        <v>51340</v>
      </c>
      <c r="B3375" s="1" t="s">
        <v>51341</v>
      </c>
      <c r="C3375" s="1" t="s">
        <v>54038</v>
      </c>
      <c r="D3375" s="1" t="s">
        <v>348</v>
      </c>
      <c r="E3375" s="1"/>
      <c r="F3375" s="1" t="s">
        <v>17111</v>
      </c>
      <c r="G3375" s="1" t="s">
        <v>54039</v>
      </c>
      <c r="H3375" s="1" t="s">
        <v>54040</v>
      </c>
      <c r="I3375" s="1" t="s">
        <v>54041</v>
      </c>
      <c r="J3375" s="1">
        <v>9539393915</v>
      </c>
      <c r="K3375" s="1" t="s">
        <v>84</v>
      </c>
      <c r="L3375" s="1" t="s">
        <v>54042</v>
      </c>
      <c r="M3375" s="1" t="s">
        <v>86</v>
      </c>
      <c r="N3375" s="1" t="s">
        <v>54043</v>
      </c>
      <c r="O3375" s="1"/>
      <c r="P3375" s="1" t="s">
        <v>481</v>
      </c>
      <c r="Q3375" s="1" t="s">
        <v>54044</v>
      </c>
      <c r="R3375" s="1" t="s">
        <v>54045</v>
      </c>
      <c r="S3375" s="1">
        <v>7034128942</v>
      </c>
      <c r="T3375" s="1" t="s">
        <v>54046</v>
      </c>
      <c r="U3375" s="1" t="s">
        <v>54047</v>
      </c>
      <c r="V3375" s="1">
        <v>9946093780</v>
      </c>
      <c r="W3375" s="1" t="s">
        <v>54048</v>
      </c>
      <c r="X3375" s="1" t="s">
        <v>54049</v>
      </c>
      <c r="Y3375" s="1" t="s">
        <v>54050</v>
      </c>
      <c r="Z3375" s="1" t="s">
        <v>130</v>
      </c>
      <c r="AA3375" s="1" t="s">
        <v>54049</v>
      </c>
      <c r="AB3375" s="1" t="s">
        <v>54050</v>
      </c>
      <c r="AC3375" s="1" t="s">
        <v>130</v>
      </c>
      <c r="AD3375" s="1" t="s">
        <v>98</v>
      </c>
      <c r="AE3375" s="1" t="s">
        <v>98</v>
      </c>
      <c r="AF3375" s="1" t="s">
        <v>54051</v>
      </c>
      <c r="AG3375" s="1" t="s">
        <v>312</v>
      </c>
      <c r="AH3375" s="1">
        <v>41061</v>
      </c>
      <c r="AI3375" s="1">
        <v>41420</v>
      </c>
      <c r="AJ3375" s="1">
        <v>68.4</v>
      </c>
      <c r="AK3375" s="1">
        <v>7.2</v>
      </c>
      <c r="AL3375" s="1" t="s">
        <v>54052</v>
      </c>
      <c r="AM3375" s="1" t="s">
        <v>312</v>
      </c>
      <c r="AN3375" s="1"/>
      <c r="AO3375" s="1">
        <v>41792</v>
      </c>
      <c r="AP3375" s="1">
        <v>42145</v>
      </c>
      <c r="AQ3375" s="1">
        <v>86.25</v>
      </c>
      <c r="AR3375" s="1"/>
      <c r="AS3375" s="1"/>
      <c r="AT3375" s="1"/>
      <c r="AU3375" s="1" t="s">
        <v>98</v>
      </c>
      <c r="AV3375" s="1" t="s">
        <v>98</v>
      </c>
      <c r="AW3375" s="1" t="s">
        <v>98</v>
      </c>
      <c r="AX3375" s="1" t="s">
        <v>98</v>
      </c>
      <c r="AY3375" s="1" t="s">
        <v>137</v>
      </c>
      <c r="AZ3375" s="1" t="s">
        <v>54053</v>
      </c>
      <c r="BA3375" s="1"/>
      <c r="BB3375" s="1"/>
      <c r="BC3375" s="1">
        <v>42213</v>
      </c>
      <c r="BD3375" s="1">
        <v>43939</v>
      </c>
      <c r="BE3375" s="1">
        <v>62.35</v>
      </c>
      <c r="BF3375" s="1">
        <v>6.61</v>
      </c>
      <c r="BG3375" s="1"/>
      <c r="BH3375" s="1"/>
      <c r="BI3375" s="1"/>
      <c r="BJ3375" s="1"/>
      <c r="BK3375" s="1" t="s">
        <v>98</v>
      </c>
      <c r="BL3375" s="1" t="s">
        <v>98</v>
      </c>
      <c r="BM3375" s="1" t="s">
        <v>98</v>
      </c>
      <c r="BN3375" s="1" t="s">
        <v>98</v>
      </c>
      <c r="BO3375" s="1" t="s">
        <v>369</v>
      </c>
      <c r="BP3375" s="1"/>
      <c r="BQ3375" s="1"/>
      <c r="BR3375" s="1" t="s">
        <v>54054</v>
      </c>
      <c r="BS3375" s="1">
        <v>51</v>
      </c>
      <c r="BT3375" s="1"/>
      <c r="BU3375" s="1" t="str">
        <f>HYPERLINK("https://nconnect.nicmar.ac.in/storage/profile/2021-2023_AP21161_532869.jpg","Download")</f>
        <v>0</v>
      </c>
      <c r="BV3375" s="3"/>
      <c r="BW3375" s="3"/>
    </row>
    <row r="3376" spans="1:75">
      <c r="A3376" s="1" t="s">
        <v>51340</v>
      </c>
      <c r="B3376" s="1" t="s">
        <v>51341</v>
      </c>
      <c r="C3376" s="1" t="s">
        <v>54055</v>
      </c>
      <c r="D3376" s="1" t="s">
        <v>4019</v>
      </c>
      <c r="E3376" s="1" t="s">
        <v>2097</v>
      </c>
      <c r="F3376" s="1" t="s">
        <v>54056</v>
      </c>
      <c r="G3376" s="1" t="s">
        <v>54057</v>
      </c>
      <c r="H3376" s="1" t="s">
        <v>54058</v>
      </c>
      <c r="I3376" s="1" t="s">
        <v>54059</v>
      </c>
      <c r="J3376" s="1">
        <v>9426393143</v>
      </c>
      <c r="K3376" s="1" t="s">
        <v>84</v>
      </c>
      <c r="L3376" s="1" t="s">
        <v>6017</v>
      </c>
      <c r="M3376" s="1" t="s">
        <v>86</v>
      </c>
      <c r="N3376" s="1" t="s">
        <v>6641</v>
      </c>
      <c r="O3376" s="1"/>
      <c r="P3376" s="1" t="s">
        <v>507</v>
      </c>
      <c r="Q3376" s="1" t="s">
        <v>54060</v>
      </c>
      <c r="R3376" s="1" t="s">
        <v>54061</v>
      </c>
      <c r="S3376" s="1">
        <v>9662515771</v>
      </c>
      <c r="T3376" s="1" t="s">
        <v>13258</v>
      </c>
      <c r="U3376" s="1" t="s">
        <v>54062</v>
      </c>
      <c r="V3376" s="1">
        <v>9662515773</v>
      </c>
      <c r="W3376" s="1" t="s">
        <v>94</v>
      </c>
      <c r="X3376" s="1" t="s">
        <v>54063</v>
      </c>
      <c r="Y3376" s="1" t="s">
        <v>2880</v>
      </c>
      <c r="Z3376" s="1" t="s">
        <v>676</v>
      </c>
      <c r="AA3376" s="1" t="s">
        <v>54063</v>
      </c>
      <c r="AB3376" s="1" t="s">
        <v>2880</v>
      </c>
      <c r="AC3376" s="1" t="s">
        <v>676</v>
      </c>
      <c r="AD3376" s="1" t="s">
        <v>98</v>
      </c>
      <c r="AE3376" s="1" t="s">
        <v>98</v>
      </c>
      <c r="AF3376" s="1" t="s">
        <v>41603</v>
      </c>
      <c r="AG3376" s="1" t="s">
        <v>8746</v>
      </c>
      <c r="AH3376" s="1" t="s">
        <v>101</v>
      </c>
      <c r="AI3376" s="1" t="s">
        <v>102</v>
      </c>
      <c r="AJ3376" s="1">
        <v>79.66</v>
      </c>
      <c r="AK3376" s="1">
        <v>0</v>
      </c>
      <c r="AL3376" s="1" t="s">
        <v>41603</v>
      </c>
      <c r="AM3376" s="1" t="s">
        <v>8746</v>
      </c>
      <c r="AN3376" s="1"/>
      <c r="AO3376" s="1" t="s">
        <v>167</v>
      </c>
      <c r="AP3376" s="1" t="s">
        <v>704</v>
      </c>
      <c r="AQ3376" s="1">
        <v>60.61</v>
      </c>
      <c r="AR3376" s="1">
        <v>0</v>
      </c>
      <c r="AS3376" s="1"/>
      <c r="AT3376" s="1"/>
      <c r="AU3376" s="1" t="s">
        <v>98</v>
      </c>
      <c r="AV3376" s="1" t="s">
        <v>98</v>
      </c>
      <c r="AW3376" s="1"/>
      <c r="AX3376" s="1"/>
      <c r="AY3376" s="1" t="s">
        <v>31418</v>
      </c>
      <c r="AZ3376" s="1" t="s">
        <v>54064</v>
      </c>
      <c r="BA3376" s="1"/>
      <c r="BB3376" s="1"/>
      <c r="BC3376" s="1" t="s">
        <v>388</v>
      </c>
      <c r="BD3376" s="1" t="s">
        <v>845</v>
      </c>
      <c r="BE3376" s="1">
        <v>81.24</v>
      </c>
      <c r="BF3376" s="1">
        <v>8.28</v>
      </c>
      <c r="BG3376" s="1"/>
      <c r="BH3376" s="1"/>
      <c r="BI3376" s="1"/>
      <c r="BJ3376" s="1"/>
      <c r="BK3376" s="1" t="s">
        <v>98</v>
      </c>
      <c r="BL3376" s="1" t="s">
        <v>98</v>
      </c>
      <c r="BM3376" s="1" t="s">
        <v>98</v>
      </c>
      <c r="BN3376" s="1" t="s">
        <v>98</v>
      </c>
      <c r="BO3376" s="1" t="s">
        <v>54065</v>
      </c>
      <c r="BP3376" s="1"/>
      <c r="BQ3376" s="1"/>
      <c r="BR3376" s="1" t="s">
        <v>54066</v>
      </c>
      <c r="BS3376" s="1">
        <v>15</v>
      </c>
      <c r="BT3376" s="1"/>
      <c r="BU3376" s="1" t="str">
        <f>HYPERLINK("https://nconnect.nicmar.ac.in/storage/profile/2021-2023_AP21162_491275.jpg","Download")</f>
        <v>0</v>
      </c>
      <c r="BV3376" s="3"/>
      <c r="BW3376" s="3"/>
    </row>
    <row r="3377" spans="1:75">
      <c r="A3377" s="1" t="s">
        <v>51340</v>
      </c>
      <c r="B3377" s="1" t="s">
        <v>51341</v>
      </c>
      <c r="C3377" s="1" t="s">
        <v>54067</v>
      </c>
      <c r="D3377" s="1" t="s">
        <v>6471</v>
      </c>
      <c r="E3377" s="1"/>
      <c r="F3377" s="1" t="s">
        <v>20298</v>
      </c>
      <c r="G3377" s="1" t="s">
        <v>54068</v>
      </c>
      <c r="H3377" s="1" t="s">
        <v>54069</v>
      </c>
      <c r="I3377" s="1" t="s">
        <v>54070</v>
      </c>
      <c r="J3377" s="1">
        <v>8208491711</v>
      </c>
      <c r="K3377" s="1" t="s">
        <v>153</v>
      </c>
      <c r="L3377" s="1" t="s">
        <v>54071</v>
      </c>
      <c r="M3377" s="1" t="s">
        <v>86</v>
      </c>
      <c r="N3377" s="1" t="s">
        <v>246</v>
      </c>
      <c r="O3377" s="1"/>
      <c r="P3377" s="1" t="s">
        <v>5904</v>
      </c>
      <c r="Q3377" s="1" t="s">
        <v>54072</v>
      </c>
      <c r="R3377" s="1" t="s">
        <v>54073</v>
      </c>
      <c r="S3377" s="1">
        <v>8275777804</v>
      </c>
      <c r="T3377" s="1" t="s">
        <v>54074</v>
      </c>
      <c r="U3377" s="1" t="s">
        <v>54075</v>
      </c>
      <c r="V3377" s="1">
        <v>9403677036</v>
      </c>
      <c r="W3377" s="1" t="s">
        <v>94</v>
      </c>
      <c r="X3377" s="1" t="s">
        <v>54076</v>
      </c>
      <c r="Y3377" s="1" t="s">
        <v>3031</v>
      </c>
      <c r="Z3377" s="1" t="s">
        <v>461</v>
      </c>
      <c r="AA3377" s="1" t="s">
        <v>54076</v>
      </c>
      <c r="AB3377" s="1" t="s">
        <v>3031</v>
      </c>
      <c r="AC3377" s="1" t="s">
        <v>461</v>
      </c>
      <c r="AD3377" s="1" t="s">
        <v>98</v>
      </c>
      <c r="AE3377" s="1" t="s">
        <v>98</v>
      </c>
      <c r="AF3377" s="1" t="s">
        <v>54077</v>
      </c>
      <c r="AG3377" s="1" t="s">
        <v>312</v>
      </c>
      <c r="AH3377" s="1">
        <v>41000</v>
      </c>
      <c r="AI3377" s="1">
        <v>41420</v>
      </c>
      <c r="AJ3377" s="1">
        <v>89.3</v>
      </c>
      <c r="AK3377" s="1">
        <v>9.4</v>
      </c>
      <c r="AL3377" s="1" t="s">
        <v>54077</v>
      </c>
      <c r="AM3377" s="1" t="s">
        <v>312</v>
      </c>
      <c r="AN3377" s="1"/>
      <c r="AO3377" s="1">
        <v>41730</v>
      </c>
      <c r="AP3377" s="1">
        <v>42149</v>
      </c>
      <c r="AQ3377" s="1">
        <v>83.2</v>
      </c>
      <c r="AR3377" s="1">
        <v>0</v>
      </c>
      <c r="AS3377" s="1"/>
      <c r="AT3377" s="1"/>
      <c r="AU3377" s="1" t="s">
        <v>98</v>
      </c>
      <c r="AV3377" s="1" t="s">
        <v>98</v>
      </c>
      <c r="AW3377" s="1" t="s">
        <v>98</v>
      </c>
      <c r="AX3377" s="1" t="s">
        <v>98</v>
      </c>
      <c r="AY3377" s="1" t="s">
        <v>54078</v>
      </c>
      <c r="AZ3377" s="1" t="s">
        <v>54079</v>
      </c>
      <c r="BA3377" s="1"/>
      <c r="BB3377" s="1"/>
      <c r="BC3377" s="1" t="s">
        <v>54080</v>
      </c>
      <c r="BD3377" s="1" t="s">
        <v>54081</v>
      </c>
      <c r="BE3377" s="1">
        <v>78.3</v>
      </c>
      <c r="BF3377" s="1">
        <v>7.83</v>
      </c>
      <c r="BG3377" s="1"/>
      <c r="BH3377" s="1"/>
      <c r="BI3377" s="1"/>
      <c r="BJ3377" s="1"/>
      <c r="BK3377" s="1" t="s">
        <v>98</v>
      </c>
      <c r="BL3377" s="1" t="s">
        <v>98</v>
      </c>
      <c r="BM3377" s="1" t="s">
        <v>98</v>
      </c>
      <c r="BN3377" s="1" t="s">
        <v>98</v>
      </c>
      <c r="BO3377" s="1" t="s">
        <v>1315</v>
      </c>
      <c r="BP3377" s="1" t="s">
        <v>54082</v>
      </c>
      <c r="BQ3377" s="1"/>
      <c r="BR3377" s="1" t="s">
        <v>54083</v>
      </c>
      <c r="BS3377" s="1">
        <v>32</v>
      </c>
      <c r="BT3377" s="1"/>
      <c r="BU3377" s="1" t="str">
        <f>HYPERLINK("https://nconnect.nicmar.ac.in/storage/profile/2021-2023_AP21163_342618.jpg","Download")</f>
        <v>0</v>
      </c>
      <c r="BV3377" s="3"/>
      <c r="BW3377" s="3"/>
    </row>
    <row r="3378" spans="1:75">
      <c r="A3378" s="1" t="s">
        <v>51340</v>
      </c>
      <c r="B3378" s="1" t="s">
        <v>51341</v>
      </c>
      <c r="C3378" s="1" t="s">
        <v>54084</v>
      </c>
      <c r="D3378" s="1" t="s">
        <v>10163</v>
      </c>
      <c r="E3378" s="1"/>
      <c r="F3378" s="1" t="s">
        <v>54085</v>
      </c>
      <c r="G3378" s="1" t="s">
        <v>54086</v>
      </c>
      <c r="H3378" s="1" t="s">
        <v>54087</v>
      </c>
      <c r="I3378" s="1" t="s">
        <v>54088</v>
      </c>
      <c r="J3378" s="1">
        <v>8310509049</v>
      </c>
      <c r="K3378" s="1" t="s">
        <v>153</v>
      </c>
      <c r="L3378" s="1" t="s">
        <v>6604</v>
      </c>
      <c r="M3378" s="1" t="s">
        <v>86</v>
      </c>
      <c r="N3378" s="1" t="s">
        <v>54089</v>
      </c>
      <c r="O3378" s="1"/>
      <c r="P3378" s="1" t="s">
        <v>455</v>
      </c>
      <c r="Q3378" s="1" t="s">
        <v>54090</v>
      </c>
      <c r="R3378" s="1" t="s">
        <v>54091</v>
      </c>
      <c r="S3378" s="1">
        <v>9972374537</v>
      </c>
      <c r="T3378" s="1" t="s">
        <v>2950</v>
      </c>
      <c r="U3378" s="1" t="s">
        <v>54092</v>
      </c>
      <c r="V3378" s="1">
        <v>8310522571</v>
      </c>
      <c r="W3378" s="1" t="s">
        <v>94</v>
      </c>
      <c r="X3378" s="1" t="s">
        <v>54093</v>
      </c>
      <c r="Y3378" s="1" t="s">
        <v>1209</v>
      </c>
      <c r="Z3378" s="1" t="s">
        <v>1210</v>
      </c>
      <c r="AA3378" s="1" t="s">
        <v>54093</v>
      </c>
      <c r="AB3378" s="1" t="s">
        <v>1209</v>
      </c>
      <c r="AC3378" s="1" t="s">
        <v>1210</v>
      </c>
      <c r="AD3378" s="1" t="s">
        <v>98</v>
      </c>
      <c r="AE3378" s="1" t="s">
        <v>98</v>
      </c>
      <c r="AF3378" s="1" t="s">
        <v>54094</v>
      </c>
      <c r="AG3378" s="1" t="s">
        <v>1946</v>
      </c>
      <c r="AH3378" s="1" t="s">
        <v>515</v>
      </c>
      <c r="AI3378" s="1" t="s">
        <v>1110</v>
      </c>
      <c r="AJ3378" s="1">
        <v>83.52</v>
      </c>
      <c r="AK3378" s="1"/>
      <c r="AL3378" s="1" t="s">
        <v>54095</v>
      </c>
      <c r="AM3378" s="1" t="s">
        <v>1946</v>
      </c>
      <c r="AN3378" s="1"/>
      <c r="AO3378" s="1" t="s">
        <v>284</v>
      </c>
      <c r="AP3378" s="1" t="s">
        <v>200</v>
      </c>
      <c r="AQ3378" s="1">
        <v>71.16</v>
      </c>
      <c r="AR3378" s="1"/>
      <c r="AS3378" s="1"/>
      <c r="AT3378" s="1"/>
      <c r="AU3378" s="1" t="s">
        <v>98</v>
      </c>
      <c r="AV3378" s="1" t="s">
        <v>98</v>
      </c>
      <c r="AW3378" s="1" t="s">
        <v>98</v>
      </c>
      <c r="AX3378" s="1" t="s">
        <v>98</v>
      </c>
      <c r="AY3378" s="1" t="s">
        <v>1217</v>
      </c>
      <c r="AZ3378" s="1" t="s">
        <v>54096</v>
      </c>
      <c r="BA3378" s="1"/>
      <c r="BB3378" s="1"/>
      <c r="BC3378" s="1" t="s">
        <v>704</v>
      </c>
      <c r="BD3378" s="1" t="s">
        <v>606</v>
      </c>
      <c r="BE3378" s="1">
        <v>69</v>
      </c>
      <c r="BF3378" s="1">
        <v>7.65</v>
      </c>
      <c r="BG3378" s="1"/>
      <c r="BH3378" s="1"/>
      <c r="BI3378" s="1"/>
      <c r="BJ3378" s="1"/>
      <c r="BK3378" s="1" t="s">
        <v>98</v>
      </c>
      <c r="BL3378" s="1" t="s">
        <v>98</v>
      </c>
      <c r="BM3378" s="1" t="s">
        <v>98</v>
      </c>
      <c r="BN3378" s="1" t="s">
        <v>98</v>
      </c>
      <c r="BO3378" s="1" t="s">
        <v>1114</v>
      </c>
      <c r="BP3378" s="1"/>
      <c r="BQ3378" s="1"/>
      <c r="BR3378" s="1" t="s">
        <v>54097</v>
      </c>
      <c r="BS3378" s="1">
        <v>12</v>
      </c>
      <c r="BT3378" s="1"/>
      <c r="BU3378" s="1" t="str">
        <f>HYPERLINK("https://nconnect.nicmar.ac.in/storage/profile/2021-2023_AP21164_642859.JPG","Download")</f>
        <v>0</v>
      </c>
      <c r="BV3378" s="3"/>
      <c r="BW3378" s="3"/>
    </row>
    <row r="3379" spans="1:75">
      <c r="A3379" s="1" t="s">
        <v>51340</v>
      </c>
      <c r="B3379" s="1" t="s">
        <v>51341</v>
      </c>
      <c r="C3379" s="1" t="s">
        <v>54098</v>
      </c>
      <c r="D3379" s="1" t="s">
        <v>54099</v>
      </c>
      <c r="E3379" s="1" t="s">
        <v>1787</v>
      </c>
      <c r="F3379" s="1" t="s">
        <v>54100</v>
      </c>
      <c r="G3379" s="1" t="s">
        <v>54101</v>
      </c>
      <c r="H3379" s="1" t="s">
        <v>54102</v>
      </c>
      <c r="I3379" s="1" t="s">
        <v>54103</v>
      </c>
      <c r="J3379" s="1">
        <v>9712392163</v>
      </c>
      <c r="K3379" s="1" t="s">
        <v>84</v>
      </c>
      <c r="L3379" s="1" t="s">
        <v>32135</v>
      </c>
      <c r="M3379" s="1" t="s">
        <v>86</v>
      </c>
      <c r="N3379" s="1" t="s">
        <v>6641</v>
      </c>
      <c r="O3379" s="1"/>
      <c r="P3379" s="1" t="s">
        <v>455</v>
      </c>
      <c r="Q3379" s="1" t="s">
        <v>54104</v>
      </c>
      <c r="R3379" s="1" t="s">
        <v>54105</v>
      </c>
      <c r="S3379" s="1">
        <v>8758043631</v>
      </c>
      <c r="T3379" s="1" t="s">
        <v>54106</v>
      </c>
      <c r="U3379" s="1" t="s">
        <v>54107</v>
      </c>
      <c r="V3379" s="1">
        <v>7567272766</v>
      </c>
      <c r="W3379" s="1" t="s">
        <v>94</v>
      </c>
      <c r="X3379" s="1" t="s">
        <v>54108</v>
      </c>
      <c r="Y3379" s="1" t="s">
        <v>54109</v>
      </c>
      <c r="Z3379" s="1" t="s">
        <v>676</v>
      </c>
      <c r="AA3379" s="1" t="s">
        <v>54108</v>
      </c>
      <c r="AB3379" s="1" t="s">
        <v>54109</v>
      </c>
      <c r="AC3379" s="1" t="s">
        <v>676</v>
      </c>
      <c r="AD3379" s="1" t="s">
        <v>98</v>
      </c>
      <c r="AE3379" s="1" t="s">
        <v>98</v>
      </c>
      <c r="AF3379" s="1" t="s">
        <v>54110</v>
      </c>
      <c r="AG3379" s="1" t="s">
        <v>8746</v>
      </c>
      <c r="AH3379" s="1">
        <v>41436</v>
      </c>
      <c r="AI3379" s="1">
        <v>41729</v>
      </c>
      <c r="AJ3379" s="1">
        <v>69.83</v>
      </c>
      <c r="AK3379" s="1">
        <v>0</v>
      </c>
      <c r="AL3379" s="1" t="s">
        <v>98</v>
      </c>
      <c r="AM3379" s="1" t="s">
        <v>98</v>
      </c>
      <c r="AN3379" s="1"/>
      <c r="AO3379" s="1" t="s">
        <v>98</v>
      </c>
      <c r="AP3379" s="1" t="s">
        <v>98</v>
      </c>
      <c r="AQ3379" s="1"/>
      <c r="AR3379" s="1"/>
      <c r="AS3379" s="1" t="s">
        <v>439</v>
      </c>
      <c r="AT3379" s="1" t="s">
        <v>52812</v>
      </c>
      <c r="AU3379" s="1">
        <v>41855</v>
      </c>
      <c r="AV3379" s="1">
        <v>42886</v>
      </c>
      <c r="AW3379" s="1">
        <v>79</v>
      </c>
      <c r="AX3379" s="1">
        <v>8.4</v>
      </c>
      <c r="AY3379" s="1" t="s">
        <v>5241</v>
      </c>
      <c r="AZ3379" s="1" t="s">
        <v>52813</v>
      </c>
      <c r="BA3379" s="1"/>
      <c r="BB3379" s="1"/>
      <c r="BC3379" s="1">
        <v>42961</v>
      </c>
      <c r="BD3379" s="1">
        <v>44062</v>
      </c>
      <c r="BE3379" s="1">
        <v>83.1</v>
      </c>
      <c r="BF3379" s="1">
        <v>8.81</v>
      </c>
      <c r="BG3379" s="1"/>
      <c r="BH3379" s="1"/>
      <c r="BI3379" s="1"/>
      <c r="BJ3379" s="1"/>
      <c r="BK3379" s="1" t="s">
        <v>98</v>
      </c>
      <c r="BL3379" s="1" t="s">
        <v>98</v>
      </c>
      <c r="BM3379" s="1" t="s">
        <v>98</v>
      </c>
      <c r="BN3379" s="1" t="s">
        <v>98</v>
      </c>
      <c r="BO3379" s="1" t="s">
        <v>369</v>
      </c>
      <c r="BP3379" s="1" t="s">
        <v>54111</v>
      </c>
      <c r="BQ3379" s="1" t="s">
        <v>1152</v>
      </c>
      <c r="BR3379" s="1" t="s">
        <v>54112</v>
      </c>
      <c r="BS3379" s="1">
        <v>8</v>
      </c>
      <c r="BT3379" s="1"/>
      <c r="BU3379" s="1" t="str">
        <f>HYPERLINK("https://nconnect.nicmar.ac.in/storage/profile/2021-2023_AP21165_218645.jpg","Download")</f>
        <v>0</v>
      </c>
      <c r="BV3379" s="3"/>
      <c r="BW3379" s="3"/>
    </row>
    <row r="3380" spans="1:75">
      <c r="A3380" s="1" t="s">
        <v>51340</v>
      </c>
      <c r="B3380" s="1" t="s">
        <v>51341</v>
      </c>
      <c r="C3380" s="1" t="s">
        <v>54113</v>
      </c>
      <c r="D3380" s="1" t="s">
        <v>1095</v>
      </c>
      <c r="E3380" s="1"/>
      <c r="F3380" s="1" t="s">
        <v>32362</v>
      </c>
      <c r="G3380" s="1" t="s">
        <v>54114</v>
      </c>
      <c r="H3380" s="1" t="s">
        <v>54115</v>
      </c>
      <c r="I3380" s="1" t="s">
        <v>54116</v>
      </c>
      <c r="J3380" s="1">
        <v>7873506151</v>
      </c>
      <c r="K3380" s="1" t="s">
        <v>84</v>
      </c>
      <c r="L3380" s="1" t="s">
        <v>51630</v>
      </c>
      <c r="M3380" s="1" t="s">
        <v>86</v>
      </c>
      <c r="N3380" s="1" t="s">
        <v>881</v>
      </c>
      <c r="O3380" s="1"/>
      <c r="P3380" s="1" t="s">
        <v>455</v>
      </c>
      <c r="Q3380" s="1" t="s">
        <v>54117</v>
      </c>
      <c r="R3380" s="1" t="s">
        <v>54118</v>
      </c>
      <c r="S3380" s="1">
        <v>9338342595</v>
      </c>
      <c r="T3380" s="1" t="s">
        <v>9122</v>
      </c>
      <c r="U3380" s="1" t="s">
        <v>54119</v>
      </c>
      <c r="V3380" s="1">
        <v>9937462430</v>
      </c>
      <c r="W3380" s="1" t="s">
        <v>2547</v>
      </c>
      <c r="X3380" s="1" t="s">
        <v>54120</v>
      </c>
      <c r="Y3380" s="1" t="s">
        <v>1259</v>
      </c>
      <c r="Z3380" s="1" t="s">
        <v>865</v>
      </c>
      <c r="AA3380" s="1" t="s">
        <v>54120</v>
      </c>
      <c r="AB3380" s="1" t="s">
        <v>1259</v>
      </c>
      <c r="AC3380" s="1" t="s">
        <v>865</v>
      </c>
      <c r="AD3380" s="1" t="s">
        <v>98</v>
      </c>
      <c r="AE3380" s="1" t="s">
        <v>98</v>
      </c>
      <c r="AF3380" s="1" t="s">
        <v>54121</v>
      </c>
      <c r="AG3380" s="1" t="s">
        <v>312</v>
      </c>
      <c r="AH3380" s="1">
        <v>40299</v>
      </c>
      <c r="AI3380" s="1">
        <v>40698</v>
      </c>
      <c r="AJ3380" s="1">
        <v>91.2</v>
      </c>
      <c r="AK3380" s="1">
        <v>9.6</v>
      </c>
      <c r="AL3380" s="1" t="s">
        <v>54121</v>
      </c>
      <c r="AM3380" s="1" t="s">
        <v>312</v>
      </c>
      <c r="AN3380" s="1"/>
      <c r="AO3380" s="1">
        <v>41001</v>
      </c>
      <c r="AP3380" s="1">
        <v>41421</v>
      </c>
      <c r="AQ3380" s="1">
        <v>64.4</v>
      </c>
      <c r="AR3380" s="1"/>
      <c r="AS3380" s="1"/>
      <c r="AT3380" s="1"/>
      <c r="AU3380" s="1" t="s">
        <v>98</v>
      </c>
      <c r="AV3380" s="1" t="s">
        <v>98</v>
      </c>
      <c r="AW3380" s="1" t="s">
        <v>98</v>
      </c>
      <c r="AX3380" s="1" t="s">
        <v>98</v>
      </c>
      <c r="AY3380" s="1" t="s">
        <v>54122</v>
      </c>
      <c r="AZ3380" s="1" t="s">
        <v>54123</v>
      </c>
      <c r="BA3380" s="1"/>
      <c r="BB3380" s="1"/>
      <c r="BC3380" s="1">
        <v>41761</v>
      </c>
      <c r="BD3380" s="1">
        <v>43229</v>
      </c>
      <c r="BE3380" s="1">
        <v>80</v>
      </c>
      <c r="BF3380" s="1">
        <v>8.75</v>
      </c>
      <c r="BG3380" s="1"/>
      <c r="BH3380" s="1"/>
      <c r="BI3380" s="1"/>
      <c r="BJ3380" s="1"/>
      <c r="BK3380" s="1" t="s">
        <v>98</v>
      </c>
      <c r="BL3380" s="1" t="s">
        <v>98</v>
      </c>
      <c r="BM3380" s="1" t="s">
        <v>98</v>
      </c>
      <c r="BN3380" s="1" t="s">
        <v>98</v>
      </c>
      <c r="BO3380" s="1" t="s">
        <v>54124</v>
      </c>
      <c r="BP3380" s="1" t="s">
        <v>54125</v>
      </c>
      <c r="BQ3380" s="1" t="s">
        <v>20984</v>
      </c>
      <c r="BR3380" s="1" t="s">
        <v>54126</v>
      </c>
      <c r="BS3380" s="1">
        <v>16</v>
      </c>
      <c r="BT3380" s="1"/>
      <c r="BU3380" s="1" t="str">
        <f>HYPERLINK("https://nconnect.nicmar.ac.in/storage/profile/2021-2023_AP21166_851694.JPG","Download")</f>
        <v>0</v>
      </c>
      <c r="BV3380" s="3"/>
      <c r="BW3380" s="3"/>
    </row>
    <row r="3381" spans="1:75">
      <c r="A3381" s="1" t="s">
        <v>51340</v>
      </c>
      <c r="B3381" s="1" t="s">
        <v>51341</v>
      </c>
      <c r="C3381" s="1" t="s">
        <v>54127</v>
      </c>
      <c r="D3381" s="1" t="s">
        <v>7991</v>
      </c>
      <c r="E3381" s="1"/>
      <c r="F3381" s="1"/>
      <c r="G3381" s="1" t="s">
        <v>54128</v>
      </c>
      <c r="H3381" s="1" t="s">
        <v>54129</v>
      </c>
      <c r="I3381" s="1" t="s">
        <v>54130</v>
      </c>
      <c r="J3381" s="1">
        <v>9024444469</v>
      </c>
      <c r="K3381" s="1" t="s">
        <v>84</v>
      </c>
      <c r="L3381" s="1" t="s">
        <v>54131</v>
      </c>
      <c r="M3381" s="1" t="s">
        <v>86</v>
      </c>
      <c r="N3381" s="1" t="s">
        <v>1385</v>
      </c>
      <c r="O3381" s="1"/>
      <c r="P3381" s="1" t="s">
        <v>507</v>
      </c>
      <c r="Q3381" s="1" t="s">
        <v>54132</v>
      </c>
      <c r="R3381" s="1" t="s">
        <v>54133</v>
      </c>
      <c r="S3381" s="1">
        <v>9414220554</v>
      </c>
      <c r="T3381" s="1" t="s">
        <v>276</v>
      </c>
      <c r="U3381" s="1" t="s">
        <v>54134</v>
      </c>
      <c r="V3381" s="1">
        <v>9509592950</v>
      </c>
      <c r="W3381" s="1" t="s">
        <v>54135</v>
      </c>
      <c r="X3381" s="1" t="s">
        <v>54136</v>
      </c>
      <c r="Y3381" s="1" t="s">
        <v>54137</v>
      </c>
      <c r="Z3381" s="1" t="s">
        <v>2153</v>
      </c>
      <c r="AA3381" s="1" t="s">
        <v>54136</v>
      </c>
      <c r="AB3381" s="1" t="s">
        <v>54137</v>
      </c>
      <c r="AC3381" s="1" t="s">
        <v>2153</v>
      </c>
      <c r="AD3381" s="1" t="s">
        <v>98</v>
      </c>
      <c r="AE3381" s="1" t="s">
        <v>98</v>
      </c>
      <c r="AF3381" s="1" t="s">
        <v>54138</v>
      </c>
      <c r="AG3381" s="1" t="s">
        <v>312</v>
      </c>
      <c r="AH3381" s="1">
        <v>41001</v>
      </c>
      <c r="AI3381" s="1">
        <v>41424</v>
      </c>
      <c r="AJ3381" s="1">
        <v>72.2</v>
      </c>
      <c r="AK3381" s="1">
        <v>7.6</v>
      </c>
      <c r="AL3381" s="1" t="s">
        <v>54138</v>
      </c>
      <c r="AM3381" s="1" t="s">
        <v>312</v>
      </c>
      <c r="AN3381" s="1"/>
      <c r="AO3381" s="1">
        <v>41736</v>
      </c>
      <c r="AP3381" s="1">
        <v>42125</v>
      </c>
      <c r="AQ3381" s="1">
        <v>72.8</v>
      </c>
      <c r="AR3381" s="1">
        <v>0</v>
      </c>
      <c r="AS3381" s="1"/>
      <c r="AT3381" s="1"/>
      <c r="AU3381" s="1" t="s">
        <v>98</v>
      </c>
      <c r="AV3381" s="1" t="s">
        <v>98</v>
      </c>
      <c r="AW3381" s="1" t="s">
        <v>98</v>
      </c>
      <c r="AX3381" s="1" t="s">
        <v>98</v>
      </c>
      <c r="AY3381" s="1" t="s">
        <v>28974</v>
      </c>
      <c r="AZ3381" s="1" t="s">
        <v>54139</v>
      </c>
      <c r="BA3381" s="1"/>
      <c r="BB3381" s="1"/>
      <c r="BC3381" s="1">
        <v>42191</v>
      </c>
      <c r="BD3381" s="1">
        <v>44144</v>
      </c>
      <c r="BE3381" s="1">
        <v>62.88</v>
      </c>
      <c r="BF3381" s="1">
        <v>0</v>
      </c>
      <c r="BG3381" s="1"/>
      <c r="BH3381" s="1"/>
      <c r="BI3381" s="1"/>
      <c r="BJ3381" s="1"/>
      <c r="BK3381" s="1" t="s">
        <v>98</v>
      </c>
      <c r="BL3381" s="1" t="s">
        <v>98</v>
      </c>
      <c r="BM3381" s="1" t="s">
        <v>98</v>
      </c>
      <c r="BN3381" s="1" t="s">
        <v>98</v>
      </c>
      <c r="BO3381" s="1" t="s">
        <v>54140</v>
      </c>
      <c r="BP3381" s="1"/>
      <c r="BQ3381" s="1"/>
      <c r="BR3381" s="1" t="s">
        <v>54141</v>
      </c>
      <c r="BS3381" s="1">
        <v>33</v>
      </c>
      <c r="BT3381" s="1"/>
      <c r="BU3381" s="1" t="str">
        <f>HYPERLINK("https://nconnect.nicmar.ac.in/storage/profile/2021-2023_AP21168_943128.jpg","Download")</f>
        <v>0</v>
      </c>
      <c r="BV3381" s="3"/>
      <c r="BW3381" s="3"/>
    </row>
    <row r="3382" spans="1:75">
      <c r="A3382" s="1" t="s">
        <v>51340</v>
      </c>
      <c r="B3382" s="1" t="s">
        <v>51341</v>
      </c>
      <c r="C3382" s="1" t="s">
        <v>54142</v>
      </c>
      <c r="D3382" s="1" t="s">
        <v>54143</v>
      </c>
      <c r="E3382" s="1"/>
      <c r="F3382" s="1" t="s">
        <v>54144</v>
      </c>
      <c r="G3382" s="1" t="s">
        <v>54145</v>
      </c>
      <c r="H3382" s="1" t="s">
        <v>54146</v>
      </c>
      <c r="I3382" s="1" t="s">
        <v>54147</v>
      </c>
      <c r="J3382" s="1">
        <v>9940119951</v>
      </c>
      <c r="K3382" s="1" t="s">
        <v>153</v>
      </c>
      <c r="L3382" s="1" t="s">
        <v>28575</v>
      </c>
      <c r="M3382" s="1" t="s">
        <v>86</v>
      </c>
      <c r="N3382" s="1" t="s">
        <v>54148</v>
      </c>
      <c r="O3382" s="1"/>
      <c r="P3382" s="1" t="s">
        <v>507</v>
      </c>
      <c r="Q3382" s="1" t="s">
        <v>54149</v>
      </c>
      <c r="R3382" s="1" t="s">
        <v>54150</v>
      </c>
      <c r="S3382" s="1">
        <v>9381285200</v>
      </c>
      <c r="T3382" s="1" t="s">
        <v>54151</v>
      </c>
      <c r="U3382" s="1" t="s">
        <v>54152</v>
      </c>
      <c r="V3382" s="1">
        <v>9952034601</v>
      </c>
      <c r="W3382" s="1" t="s">
        <v>94</v>
      </c>
      <c r="X3382" s="1" t="s">
        <v>54153</v>
      </c>
      <c r="Y3382" s="1" t="s">
        <v>1498</v>
      </c>
      <c r="Z3382" s="1" t="s">
        <v>570</v>
      </c>
      <c r="AA3382" s="1" t="s">
        <v>54153</v>
      </c>
      <c r="AB3382" s="1" t="s">
        <v>1498</v>
      </c>
      <c r="AC3382" s="1" t="s">
        <v>570</v>
      </c>
      <c r="AD3382" s="1" t="s">
        <v>98</v>
      </c>
      <c r="AE3382" s="1" t="s">
        <v>98</v>
      </c>
      <c r="AF3382" s="1" t="s">
        <v>54154</v>
      </c>
      <c r="AG3382" s="1" t="s">
        <v>312</v>
      </c>
      <c r="AH3382" s="1" t="s">
        <v>53443</v>
      </c>
      <c r="AI3382" s="1" t="s">
        <v>54155</v>
      </c>
      <c r="AJ3382" s="1">
        <v>87.4</v>
      </c>
      <c r="AK3382" s="1">
        <v>9.2</v>
      </c>
      <c r="AL3382" s="1" t="s">
        <v>54156</v>
      </c>
      <c r="AM3382" s="1" t="s">
        <v>312</v>
      </c>
      <c r="AN3382" s="1"/>
      <c r="AO3382" s="1" t="s">
        <v>54157</v>
      </c>
      <c r="AP3382" s="1" t="s">
        <v>54158</v>
      </c>
      <c r="AQ3382" s="1">
        <v>89.8</v>
      </c>
      <c r="AR3382" s="1"/>
      <c r="AS3382" s="1"/>
      <c r="AT3382" s="1"/>
      <c r="AU3382" s="1" t="s">
        <v>98</v>
      </c>
      <c r="AV3382" s="1" t="s">
        <v>98</v>
      </c>
      <c r="AW3382" s="1" t="s">
        <v>98</v>
      </c>
      <c r="AX3382" s="1" t="s">
        <v>98</v>
      </c>
      <c r="AY3382" s="1" t="s">
        <v>550</v>
      </c>
      <c r="AZ3382" s="1" t="s">
        <v>550</v>
      </c>
      <c r="BA3382" s="1"/>
      <c r="BB3382" s="1"/>
      <c r="BC3382" s="1" t="s">
        <v>54159</v>
      </c>
      <c r="BD3382" s="1" t="s">
        <v>54160</v>
      </c>
      <c r="BE3382" s="1">
        <v>88.4</v>
      </c>
      <c r="BF3382" s="1">
        <v>8.84</v>
      </c>
      <c r="BG3382" s="1"/>
      <c r="BH3382" s="1"/>
      <c r="BI3382" s="1"/>
      <c r="BJ3382" s="1"/>
      <c r="BK3382" s="1" t="s">
        <v>98</v>
      </c>
      <c r="BL3382" s="1" t="s">
        <v>98</v>
      </c>
      <c r="BM3382" s="1" t="s">
        <v>98</v>
      </c>
      <c r="BN3382" s="1" t="s">
        <v>98</v>
      </c>
      <c r="BO3382" s="1" t="s">
        <v>54161</v>
      </c>
      <c r="BP3382" s="1"/>
      <c r="BQ3382" s="1"/>
      <c r="BR3382" s="1" t="s">
        <v>54162</v>
      </c>
      <c r="BS3382" s="1">
        <v>37</v>
      </c>
      <c r="BT3382" s="1"/>
      <c r="BU3382" s="1" t="str">
        <f>HYPERLINK("https://nconnect.nicmar.ac.in/storage/profile/2021-2023_AP21169_287345.jpg","Download")</f>
        <v>0</v>
      </c>
      <c r="BV3382" s="3"/>
      <c r="BW3382" s="3"/>
    </row>
    <row r="3383" spans="1:75">
      <c r="A3383" s="1" t="s">
        <v>51340</v>
      </c>
      <c r="B3383" s="1" t="s">
        <v>51341</v>
      </c>
      <c r="C3383" s="1" t="s">
        <v>54163</v>
      </c>
      <c r="D3383" s="1" t="s">
        <v>9889</v>
      </c>
      <c r="E3383" s="1" t="s">
        <v>54164</v>
      </c>
      <c r="F3383" s="1" t="s">
        <v>54165</v>
      </c>
      <c r="G3383" s="1" t="s">
        <v>54166</v>
      </c>
      <c r="H3383" s="1" t="s">
        <v>54167</v>
      </c>
      <c r="I3383" s="1" t="s">
        <v>54168</v>
      </c>
      <c r="J3383" s="1">
        <v>8320134914</v>
      </c>
      <c r="K3383" s="1" t="s">
        <v>84</v>
      </c>
      <c r="L3383" s="1" t="s">
        <v>28521</v>
      </c>
      <c r="M3383" s="1" t="s">
        <v>86</v>
      </c>
      <c r="N3383" s="1" t="s">
        <v>6641</v>
      </c>
      <c r="O3383" s="1"/>
      <c r="P3383" s="1" t="s">
        <v>507</v>
      </c>
      <c r="Q3383" s="1" t="s">
        <v>54169</v>
      </c>
      <c r="R3383" s="1" t="s">
        <v>54170</v>
      </c>
      <c r="S3383" s="1">
        <v>9687104701</v>
      </c>
      <c r="T3383" s="1" t="s">
        <v>5639</v>
      </c>
      <c r="U3383" s="1" t="s">
        <v>54171</v>
      </c>
      <c r="V3383" s="1">
        <v>9426004719</v>
      </c>
      <c r="W3383" s="1" t="s">
        <v>94</v>
      </c>
      <c r="X3383" s="1" t="s">
        <v>54172</v>
      </c>
      <c r="Y3383" s="1" t="s">
        <v>8166</v>
      </c>
      <c r="Z3383" s="1" t="s">
        <v>676</v>
      </c>
      <c r="AA3383" s="1" t="s">
        <v>54172</v>
      </c>
      <c r="AB3383" s="1" t="s">
        <v>8166</v>
      </c>
      <c r="AC3383" s="1" t="s">
        <v>676</v>
      </c>
      <c r="AD3383" s="1" t="s">
        <v>98</v>
      </c>
      <c r="AE3383" s="1" t="s">
        <v>98</v>
      </c>
      <c r="AF3383" s="1" t="s">
        <v>29154</v>
      </c>
      <c r="AG3383" s="1" t="s">
        <v>312</v>
      </c>
      <c r="AH3383" s="1" t="s">
        <v>54173</v>
      </c>
      <c r="AI3383" s="1" t="s">
        <v>54174</v>
      </c>
      <c r="AJ3383" s="1">
        <v>85.5</v>
      </c>
      <c r="AK3383" s="1">
        <v>9</v>
      </c>
      <c r="AL3383" s="1" t="s">
        <v>29154</v>
      </c>
      <c r="AM3383" s="1" t="s">
        <v>312</v>
      </c>
      <c r="AN3383" s="1"/>
      <c r="AO3383" s="1" t="s">
        <v>54175</v>
      </c>
      <c r="AP3383" s="1" t="s">
        <v>54158</v>
      </c>
      <c r="AQ3383" s="1">
        <v>91.4</v>
      </c>
      <c r="AR3383" s="1">
        <v>0</v>
      </c>
      <c r="AS3383" s="1"/>
      <c r="AT3383" s="1"/>
      <c r="AU3383" s="1" t="s">
        <v>98</v>
      </c>
      <c r="AV3383" s="1" t="s">
        <v>98</v>
      </c>
      <c r="AW3383" s="1" t="s">
        <v>98</v>
      </c>
      <c r="AX3383" s="1" t="s">
        <v>98</v>
      </c>
      <c r="AY3383" s="1" t="s">
        <v>52781</v>
      </c>
      <c r="AZ3383" s="1" t="s">
        <v>54176</v>
      </c>
      <c r="BA3383" s="1"/>
      <c r="BB3383" s="1"/>
      <c r="BC3383" s="1">
        <v>42940</v>
      </c>
      <c r="BD3383" s="1">
        <v>44341</v>
      </c>
      <c r="BE3383" s="1">
        <v>64.5</v>
      </c>
      <c r="BF3383" s="1">
        <v>6.45</v>
      </c>
      <c r="BG3383" s="1"/>
      <c r="BH3383" s="1"/>
      <c r="BI3383" s="1"/>
      <c r="BJ3383" s="1"/>
      <c r="BK3383" s="1" t="s">
        <v>98</v>
      </c>
      <c r="BL3383" s="1" t="s">
        <v>98</v>
      </c>
      <c r="BM3383" s="1" t="s">
        <v>98</v>
      </c>
      <c r="BN3383" s="1" t="s">
        <v>98</v>
      </c>
      <c r="BO3383" s="1" t="s">
        <v>369</v>
      </c>
      <c r="BP3383" s="1"/>
      <c r="BQ3383" s="1"/>
      <c r="BR3383" s="1" t="s">
        <v>54177</v>
      </c>
      <c r="BS3383" s="1">
        <v>23</v>
      </c>
      <c r="BT3383" s="1"/>
      <c r="BU3383" s="1" t="str">
        <f>HYPERLINK("https://nconnect.nicmar.ac.in/storage/profile/2021-2023_AP21170_243657.jpg","Download")</f>
        <v>0</v>
      </c>
      <c r="BV3383" s="3"/>
      <c r="BW3383" s="3"/>
    </row>
    <row r="3384" spans="1:75">
      <c r="A3384" s="1" t="s">
        <v>51340</v>
      </c>
      <c r="B3384" s="1" t="s">
        <v>51341</v>
      </c>
      <c r="C3384" s="1" t="s">
        <v>54178</v>
      </c>
      <c r="D3384" s="1" t="s">
        <v>54179</v>
      </c>
      <c r="E3384" s="1" t="s">
        <v>54180</v>
      </c>
      <c r="F3384" s="1" t="s">
        <v>4037</v>
      </c>
      <c r="G3384" s="1" t="s">
        <v>54181</v>
      </c>
      <c r="H3384" s="1" t="s">
        <v>54182</v>
      </c>
      <c r="I3384" s="1" t="s">
        <v>54183</v>
      </c>
      <c r="J3384" s="1">
        <v>8978666488</v>
      </c>
      <c r="K3384" s="1" t="s">
        <v>153</v>
      </c>
      <c r="L3384" s="1" t="s">
        <v>51721</v>
      </c>
      <c r="M3384" s="1" t="s">
        <v>86</v>
      </c>
      <c r="N3384" s="1" t="s">
        <v>3083</v>
      </c>
      <c r="O3384" s="1"/>
      <c r="P3384" s="1" t="s">
        <v>507</v>
      </c>
      <c r="Q3384" s="1" t="s">
        <v>54184</v>
      </c>
      <c r="R3384" s="1" t="s">
        <v>54185</v>
      </c>
      <c r="S3384" s="1">
        <v>9849061628</v>
      </c>
      <c r="T3384" s="1" t="s">
        <v>839</v>
      </c>
      <c r="U3384" s="1" t="s">
        <v>54186</v>
      </c>
      <c r="V3384" s="1">
        <v>9849035628</v>
      </c>
      <c r="W3384" s="1" t="s">
        <v>94</v>
      </c>
      <c r="X3384" s="1" t="s">
        <v>54187</v>
      </c>
      <c r="Y3384" s="1" t="s">
        <v>3031</v>
      </c>
      <c r="Z3384" s="1" t="s">
        <v>461</v>
      </c>
      <c r="AA3384" s="1" t="s">
        <v>54187</v>
      </c>
      <c r="AB3384" s="1" t="s">
        <v>3031</v>
      </c>
      <c r="AC3384" s="1" t="s">
        <v>461</v>
      </c>
      <c r="AD3384" s="1" t="s">
        <v>98</v>
      </c>
      <c r="AE3384" s="1" t="s">
        <v>98</v>
      </c>
      <c r="AF3384" s="1" t="s">
        <v>54188</v>
      </c>
      <c r="AG3384" s="1" t="s">
        <v>52434</v>
      </c>
      <c r="AH3384" s="1">
        <v>40700</v>
      </c>
      <c r="AI3384" s="1">
        <v>41104</v>
      </c>
      <c r="AJ3384" s="1">
        <v>82.65</v>
      </c>
      <c r="AK3384" s="1">
        <v>8.7</v>
      </c>
      <c r="AL3384" s="1" t="s">
        <v>3033</v>
      </c>
      <c r="AM3384" s="1" t="s">
        <v>52434</v>
      </c>
      <c r="AN3384" s="1"/>
      <c r="AO3384" s="1">
        <v>41464</v>
      </c>
      <c r="AP3384" s="1">
        <v>41803</v>
      </c>
      <c r="AQ3384" s="1">
        <v>82.5</v>
      </c>
      <c r="AR3384" s="1">
        <v>8.7</v>
      </c>
      <c r="AS3384" s="1"/>
      <c r="AT3384" s="1"/>
      <c r="AU3384" s="1" t="s">
        <v>98</v>
      </c>
      <c r="AV3384" s="1" t="s">
        <v>98</v>
      </c>
      <c r="AW3384" s="1" t="s">
        <v>98</v>
      </c>
      <c r="AX3384" s="1" t="s">
        <v>98</v>
      </c>
      <c r="AY3384" s="1" t="s">
        <v>3035</v>
      </c>
      <c r="AZ3384" s="1" t="s">
        <v>53211</v>
      </c>
      <c r="BA3384" s="1"/>
      <c r="BB3384" s="1"/>
      <c r="BC3384" s="1">
        <v>41897</v>
      </c>
      <c r="BD3384" s="1">
        <v>43340</v>
      </c>
      <c r="BE3384" s="1">
        <v>67.07</v>
      </c>
      <c r="BF3384" s="1">
        <v>7.06</v>
      </c>
      <c r="BG3384" s="1" t="s">
        <v>3035</v>
      </c>
      <c r="BH3384" s="1" t="s">
        <v>1586</v>
      </c>
      <c r="BI3384" s="1"/>
      <c r="BJ3384" s="1"/>
      <c r="BK3384" s="1">
        <v>43342</v>
      </c>
      <c r="BL3384" s="1">
        <v>44113</v>
      </c>
      <c r="BM3384" s="1">
        <v>64.22</v>
      </c>
      <c r="BN3384" s="1">
        <v>6.76</v>
      </c>
      <c r="BO3384" s="1" t="s">
        <v>1114</v>
      </c>
      <c r="BP3384" s="1"/>
      <c r="BQ3384" s="1"/>
      <c r="BR3384" s="1" t="s">
        <v>54189</v>
      </c>
      <c r="BS3384" s="1">
        <v>25</v>
      </c>
      <c r="BT3384" s="1"/>
      <c r="BU3384" s="1" t="str">
        <f>HYPERLINK("https://nconnect.nicmar.ac.in/storage/profile/2021-2023_AP21171_521894.jpg","Download")</f>
        <v>0</v>
      </c>
      <c r="BV3384" s="3"/>
      <c r="BW3384" s="3"/>
    </row>
    <row r="3385" spans="1:75">
      <c r="A3385" s="1" t="s">
        <v>51340</v>
      </c>
      <c r="B3385" s="1" t="s">
        <v>51341</v>
      </c>
      <c r="C3385" s="1" t="s">
        <v>54190</v>
      </c>
      <c r="D3385" s="1" t="s">
        <v>54191</v>
      </c>
      <c r="E3385" s="1" t="s">
        <v>530</v>
      </c>
      <c r="F3385" s="1" t="s">
        <v>350</v>
      </c>
      <c r="G3385" s="1" t="s">
        <v>54192</v>
      </c>
      <c r="H3385" s="1" t="s">
        <v>54193</v>
      </c>
      <c r="I3385" s="1" t="s">
        <v>54194</v>
      </c>
      <c r="J3385" s="1">
        <v>9695526847</v>
      </c>
      <c r="K3385" s="1" t="s">
        <v>84</v>
      </c>
      <c r="L3385" s="1" t="s">
        <v>9501</v>
      </c>
      <c r="M3385" s="1" t="s">
        <v>86</v>
      </c>
      <c r="N3385" s="1" t="s">
        <v>246</v>
      </c>
      <c r="O3385" s="1"/>
      <c r="P3385" s="1" t="s">
        <v>455</v>
      </c>
      <c r="Q3385" s="1" t="s">
        <v>54195</v>
      </c>
      <c r="R3385" s="1" t="s">
        <v>54196</v>
      </c>
      <c r="S3385" s="1">
        <v>9450386481</v>
      </c>
      <c r="T3385" s="1" t="s">
        <v>3396</v>
      </c>
      <c r="U3385" s="1" t="s">
        <v>54197</v>
      </c>
      <c r="V3385" s="1">
        <v>9415117481</v>
      </c>
      <c r="W3385" s="1" t="s">
        <v>94</v>
      </c>
      <c r="X3385" s="1" t="s">
        <v>54198</v>
      </c>
      <c r="Y3385" s="1" t="s">
        <v>1059</v>
      </c>
      <c r="Z3385" s="1" t="s">
        <v>544</v>
      </c>
      <c r="AA3385" s="1" t="s">
        <v>54198</v>
      </c>
      <c r="AB3385" s="1" t="s">
        <v>1059</v>
      </c>
      <c r="AC3385" s="1" t="s">
        <v>544</v>
      </c>
      <c r="AD3385" s="1" t="s">
        <v>98</v>
      </c>
      <c r="AE3385" s="1" t="s">
        <v>98</v>
      </c>
      <c r="AF3385" s="1" t="s">
        <v>54199</v>
      </c>
      <c r="AG3385" s="1" t="s">
        <v>54200</v>
      </c>
      <c r="AH3385" s="1" t="s">
        <v>3770</v>
      </c>
      <c r="AI3385" s="1" t="s">
        <v>134</v>
      </c>
      <c r="AJ3385" s="1">
        <v>76.2</v>
      </c>
      <c r="AK3385" s="1">
        <v>0</v>
      </c>
      <c r="AL3385" s="1" t="s">
        <v>54199</v>
      </c>
      <c r="AM3385" s="1" t="s">
        <v>54200</v>
      </c>
      <c r="AN3385" s="1"/>
      <c r="AO3385" s="1" t="s">
        <v>1214</v>
      </c>
      <c r="AP3385" s="1" t="s">
        <v>136</v>
      </c>
      <c r="AQ3385" s="1">
        <v>87.2</v>
      </c>
      <c r="AR3385" s="1">
        <v>0</v>
      </c>
      <c r="AS3385" s="1"/>
      <c r="AT3385" s="1"/>
      <c r="AU3385" s="1" t="s">
        <v>98</v>
      </c>
      <c r="AV3385" s="1" t="s">
        <v>98</v>
      </c>
      <c r="AW3385" s="1"/>
      <c r="AX3385" s="1"/>
      <c r="AY3385" s="1" t="s">
        <v>54201</v>
      </c>
      <c r="AZ3385" s="1" t="s">
        <v>54201</v>
      </c>
      <c r="BA3385" s="1"/>
      <c r="BB3385" s="1"/>
      <c r="BC3385" s="1" t="s">
        <v>105</v>
      </c>
      <c r="BD3385" s="1" t="s">
        <v>313</v>
      </c>
      <c r="BE3385" s="1">
        <v>90.5</v>
      </c>
      <c r="BF3385" s="1">
        <v>9.05</v>
      </c>
      <c r="BG3385" s="1"/>
      <c r="BH3385" s="1"/>
      <c r="BI3385" s="1"/>
      <c r="BJ3385" s="1"/>
      <c r="BK3385" s="1" t="s">
        <v>98</v>
      </c>
      <c r="BL3385" s="1" t="s">
        <v>98</v>
      </c>
      <c r="BM3385" s="1" t="s">
        <v>98</v>
      </c>
      <c r="BN3385" s="1" t="s">
        <v>98</v>
      </c>
      <c r="BO3385" s="1" t="s">
        <v>54202</v>
      </c>
      <c r="BP3385" s="1"/>
      <c r="BQ3385" s="1"/>
      <c r="BR3385" s="1" t="s">
        <v>54203</v>
      </c>
      <c r="BS3385" s="1">
        <v>21</v>
      </c>
      <c r="BT3385" s="1"/>
      <c r="BU3385" s="1" t="str">
        <f>HYPERLINK("https://nconnect.nicmar.ac.in/storage/profile/2021-2023_AP21172_678391.jpg","Download")</f>
        <v>0</v>
      </c>
      <c r="BV3385" s="3"/>
      <c r="BW3385" s="3"/>
    </row>
    <row r="3386" spans="1:75">
      <c r="A3386" s="1" t="s">
        <v>51340</v>
      </c>
      <c r="B3386" s="1" t="s">
        <v>51341</v>
      </c>
      <c r="C3386" s="1" t="s">
        <v>54204</v>
      </c>
      <c r="D3386" s="1" t="s">
        <v>54205</v>
      </c>
      <c r="E3386" s="1"/>
      <c r="F3386" s="1" t="s">
        <v>54206</v>
      </c>
      <c r="G3386" s="1" t="s">
        <v>54207</v>
      </c>
      <c r="H3386" s="1" t="s">
        <v>54208</v>
      </c>
      <c r="I3386" s="1" t="s">
        <v>54209</v>
      </c>
      <c r="J3386" s="1">
        <v>9571121156</v>
      </c>
      <c r="K3386" s="1" t="s">
        <v>153</v>
      </c>
      <c r="L3386" s="1" t="s">
        <v>54210</v>
      </c>
      <c r="M3386" s="1" t="s">
        <v>86</v>
      </c>
      <c r="N3386" s="1" t="s">
        <v>246</v>
      </c>
      <c r="O3386" s="1"/>
      <c r="P3386" s="1" t="s">
        <v>455</v>
      </c>
      <c r="Q3386" s="1" t="s">
        <v>54211</v>
      </c>
      <c r="R3386" s="1" t="s">
        <v>54212</v>
      </c>
      <c r="S3386" s="1">
        <v>9823658537</v>
      </c>
      <c r="T3386" s="1" t="s">
        <v>382</v>
      </c>
      <c r="U3386" s="1" t="s">
        <v>54213</v>
      </c>
      <c r="V3386" s="1">
        <v>9460182974</v>
      </c>
      <c r="W3386" s="1" t="s">
        <v>127</v>
      </c>
      <c r="X3386" s="1" t="s">
        <v>54214</v>
      </c>
      <c r="Y3386" s="1" t="s">
        <v>8184</v>
      </c>
      <c r="Z3386" s="1" t="s">
        <v>2153</v>
      </c>
      <c r="AA3386" s="1" t="s">
        <v>54215</v>
      </c>
      <c r="AB3386" s="1" t="s">
        <v>8184</v>
      </c>
      <c r="AC3386" s="1" t="s">
        <v>2153</v>
      </c>
      <c r="AD3386" s="1" t="s">
        <v>98</v>
      </c>
      <c r="AE3386" s="1" t="s">
        <v>98</v>
      </c>
      <c r="AF3386" s="1" t="s">
        <v>54216</v>
      </c>
      <c r="AG3386" s="1" t="s">
        <v>312</v>
      </c>
      <c r="AH3386" s="1" t="s">
        <v>3421</v>
      </c>
      <c r="AI3386" s="1" t="s">
        <v>1262</v>
      </c>
      <c r="AJ3386" s="1">
        <v>79.8</v>
      </c>
      <c r="AK3386" s="1">
        <v>8.4</v>
      </c>
      <c r="AL3386" s="1" t="s">
        <v>54216</v>
      </c>
      <c r="AM3386" s="1" t="s">
        <v>312</v>
      </c>
      <c r="AN3386" s="1"/>
      <c r="AO3386" s="1" t="s">
        <v>1396</v>
      </c>
      <c r="AP3386" s="1" t="s">
        <v>573</v>
      </c>
      <c r="AQ3386" s="1">
        <v>71</v>
      </c>
      <c r="AR3386" s="1"/>
      <c r="AS3386" s="1"/>
      <c r="AT3386" s="1"/>
      <c r="AU3386" s="1" t="s">
        <v>98</v>
      </c>
      <c r="AV3386" s="1" t="s">
        <v>98</v>
      </c>
      <c r="AW3386" s="1" t="s">
        <v>98</v>
      </c>
      <c r="AX3386" s="1" t="s">
        <v>98</v>
      </c>
      <c r="AY3386" s="1" t="s">
        <v>51412</v>
      </c>
      <c r="AZ3386" s="1" t="s">
        <v>54217</v>
      </c>
      <c r="BA3386" s="1"/>
      <c r="BB3386" s="1"/>
      <c r="BC3386" s="1" t="s">
        <v>230</v>
      </c>
      <c r="BD3386" s="1" t="s">
        <v>606</v>
      </c>
      <c r="BE3386" s="1">
        <v>73.1</v>
      </c>
      <c r="BF3386" s="1">
        <v>8.06</v>
      </c>
      <c r="BG3386" s="1"/>
      <c r="BH3386" s="1"/>
      <c r="BI3386" s="1"/>
      <c r="BJ3386" s="1"/>
      <c r="BK3386" s="1" t="s">
        <v>98</v>
      </c>
      <c r="BL3386" s="1" t="s">
        <v>98</v>
      </c>
      <c r="BM3386" s="1" t="s">
        <v>98</v>
      </c>
      <c r="BN3386" s="1" t="s">
        <v>98</v>
      </c>
      <c r="BO3386" s="1" t="s">
        <v>1114</v>
      </c>
      <c r="BP3386" s="1"/>
      <c r="BQ3386" s="1"/>
      <c r="BR3386" s="1" t="s">
        <v>54218</v>
      </c>
      <c r="BS3386" s="1">
        <v>35</v>
      </c>
      <c r="BT3386" s="1"/>
      <c r="BU3386" s="1" t="str">
        <f>HYPERLINK("https://nconnect.nicmar.ac.in/storage/profile/2021-2023_AP21173_561879.JPG","Download")</f>
        <v>0</v>
      </c>
      <c r="BV3386" s="3"/>
      <c r="BW3386" s="3"/>
    </row>
    <row r="3387" spans="1:75">
      <c r="A3387" s="1" t="s">
        <v>51340</v>
      </c>
      <c r="B3387" s="1" t="s">
        <v>51341</v>
      </c>
      <c r="C3387" s="1" t="s">
        <v>54219</v>
      </c>
      <c r="D3387" s="1" t="s">
        <v>5418</v>
      </c>
      <c r="E3387" s="1" t="s">
        <v>54220</v>
      </c>
      <c r="F3387" s="1" t="s">
        <v>41168</v>
      </c>
      <c r="G3387" s="1" t="s">
        <v>54221</v>
      </c>
      <c r="H3387" s="1" t="s">
        <v>54222</v>
      </c>
      <c r="I3387" s="1" t="s">
        <v>54223</v>
      </c>
      <c r="J3387" s="1">
        <v>8551839585</v>
      </c>
      <c r="K3387" s="1" t="s">
        <v>153</v>
      </c>
      <c r="L3387" s="1" t="s">
        <v>54224</v>
      </c>
      <c r="M3387" s="1" t="s">
        <v>86</v>
      </c>
      <c r="N3387" s="1" t="s">
        <v>1163</v>
      </c>
      <c r="O3387" s="1"/>
      <c r="P3387" s="1" t="s">
        <v>481</v>
      </c>
      <c r="Q3387" s="1" t="s">
        <v>54225</v>
      </c>
      <c r="R3387" s="1" t="s">
        <v>54226</v>
      </c>
      <c r="S3387" s="1">
        <v>9892386759</v>
      </c>
      <c r="T3387" s="1" t="s">
        <v>54227</v>
      </c>
      <c r="U3387" s="1" t="s">
        <v>54228</v>
      </c>
      <c r="V3387" s="1">
        <v>9892386759</v>
      </c>
      <c r="W3387" s="1" t="s">
        <v>161</v>
      </c>
      <c r="X3387" s="1" t="s">
        <v>54229</v>
      </c>
      <c r="Y3387" s="1" t="s">
        <v>4302</v>
      </c>
      <c r="Z3387" s="1" t="s">
        <v>97</v>
      </c>
      <c r="AA3387" s="1" t="s">
        <v>98</v>
      </c>
      <c r="AB3387" s="1" t="s">
        <v>4302</v>
      </c>
      <c r="AC3387" s="1" t="s">
        <v>97</v>
      </c>
      <c r="AD3387" s="1" t="s">
        <v>98</v>
      </c>
      <c r="AE3387" s="1" t="s">
        <v>98</v>
      </c>
      <c r="AF3387" s="1" t="s">
        <v>36721</v>
      </c>
      <c r="AG3387" s="1" t="s">
        <v>51712</v>
      </c>
      <c r="AH3387" s="1">
        <v>41440</v>
      </c>
      <c r="AI3387" s="1">
        <v>41807</v>
      </c>
      <c r="AJ3387" s="1">
        <v>85.6</v>
      </c>
      <c r="AK3387" s="1">
        <v>0</v>
      </c>
      <c r="AL3387" s="1" t="s">
        <v>54230</v>
      </c>
      <c r="AM3387" s="1" t="s">
        <v>51712</v>
      </c>
      <c r="AN3387" s="1"/>
      <c r="AO3387" s="1">
        <v>42195</v>
      </c>
      <c r="AP3387" s="1">
        <v>42515</v>
      </c>
      <c r="AQ3387" s="1">
        <v>63.85</v>
      </c>
      <c r="AR3387" s="1">
        <v>0</v>
      </c>
      <c r="AS3387" s="1"/>
      <c r="AT3387" s="1"/>
      <c r="AU3387" s="1" t="s">
        <v>98</v>
      </c>
      <c r="AV3387" s="1" t="s">
        <v>98</v>
      </c>
      <c r="AW3387" s="1" t="s">
        <v>98</v>
      </c>
      <c r="AX3387" s="1" t="s">
        <v>98</v>
      </c>
      <c r="AY3387" s="1" t="s">
        <v>258</v>
      </c>
      <c r="AZ3387" s="1" t="s">
        <v>54231</v>
      </c>
      <c r="BA3387" s="1"/>
      <c r="BB3387" s="1"/>
      <c r="BC3387" s="1">
        <v>42587</v>
      </c>
      <c r="BD3387" s="1">
        <v>44155</v>
      </c>
      <c r="BE3387" s="1">
        <v>69.78</v>
      </c>
      <c r="BF3387" s="1">
        <v>7.91</v>
      </c>
      <c r="BG3387" s="1"/>
      <c r="BH3387" s="1"/>
      <c r="BI3387" s="1"/>
      <c r="BJ3387" s="1"/>
      <c r="BK3387" s="1" t="s">
        <v>98</v>
      </c>
      <c r="BL3387" s="1" t="s">
        <v>98</v>
      </c>
      <c r="BM3387" s="1" t="s">
        <v>98</v>
      </c>
      <c r="BN3387" s="1" t="s">
        <v>98</v>
      </c>
      <c r="BO3387" s="1" t="s">
        <v>369</v>
      </c>
      <c r="BP3387" s="1"/>
      <c r="BQ3387" s="1"/>
      <c r="BR3387" s="1" t="s">
        <v>54232</v>
      </c>
      <c r="BS3387" s="1">
        <v>8</v>
      </c>
      <c r="BT3387" s="1"/>
      <c r="BU3387" s="1" t="str">
        <f>HYPERLINK("https://nconnect.nicmar.ac.in/storage/profile/2021-2023_AP21174_263475.jpg","Download")</f>
        <v>0</v>
      </c>
      <c r="BV3387" s="3"/>
      <c r="BW3387" s="3"/>
    </row>
    <row r="3388" spans="1:75">
      <c r="A3388" s="1" t="s">
        <v>51340</v>
      </c>
      <c r="B3388" s="1" t="s">
        <v>51341</v>
      </c>
      <c r="C3388" s="1" t="s">
        <v>54233</v>
      </c>
      <c r="D3388" s="1" t="s">
        <v>3493</v>
      </c>
      <c r="E3388" s="1" t="s">
        <v>186</v>
      </c>
      <c r="F3388" s="1" t="s">
        <v>41168</v>
      </c>
      <c r="G3388" s="1" t="s">
        <v>54234</v>
      </c>
      <c r="H3388" s="1" t="s">
        <v>54235</v>
      </c>
      <c r="I3388" s="1" t="s">
        <v>54236</v>
      </c>
      <c r="J3388" s="1">
        <v>8484002006</v>
      </c>
      <c r="K3388" s="1" t="s">
        <v>84</v>
      </c>
      <c r="L3388" s="1" t="s">
        <v>31428</v>
      </c>
      <c r="M3388" s="1" t="s">
        <v>86</v>
      </c>
      <c r="N3388" s="1" t="s">
        <v>2433</v>
      </c>
      <c r="O3388" s="1"/>
      <c r="P3388" s="1" t="s">
        <v>455</v>
      </c>
      <c r="Q3388" s="1" t="s">
        <v>54237</v>
      </c>
      <c r="R3388" s="1" t="s">
        <v>54238</v>
      </c>
      <c r="S3388" s="1">
        <v>7798449281</v>
      </c>
      <c r="T3388" s="1" t="s">
        <v>6019</v>
      </c>
      <c r="U3388" s="1" t="s">
        <v>54239</v>
      </c>
      <c r="V3388" s="1">
        <v>9324699444</v>
      </c>
      <c r="W3388" s="1" t="s">
        <v>161</v>
      </c>
      <c r="X3388" s="1" t="s">
        <v>54240</v>
      </c>
      <c r="Y3388" s="1" t="s">
        <v>4302</v>
      </c>
      <c r="Z3388" s="1" t="s">
        <v>97</v>
      </c>
      <c r="AA3388" s="1" t="s">
        <v>54240</v>
      </c>
      <c r="AB3388" s="1" t="s">
        <v>4302</v>
      </c>
      <c r="AC3388" s="1" t="s">
        <v>97</v>
      </c>
      <c r="AD3388" s="1" t="s">
        <v>98</v>
      </c>
      <c r="AE3388" s="1" t="s">
        <v>98</v>
      </c>
      <c r="AF3388" s="1" t="s">
        <v>54241</v>
      </c>
      <c r="AG3388" s="1" t="s">
        <v>51712</v>
      </c>
      <c r="AH3388" s="1">
        <v>41440</v>
      </c>
      <c r="AI3388" s="1">
        <v>41807</v>
      </c>
      <c r="AJ3388" s="1">
        <v>85.2</v>
      </c>
      <c r="AK3388" s="1"/>
      <c r="AL3388" s="1" t="s">
        <v>54242</v>
      </c>
      <c r="AM3388" s="1" t="s">
        <v>51712</v>
      </c>
      <c r="AN3388" s="1"/>
      <c r="AO3388" s="1">
        <v>42195</v>
      </c>
      <c r="AP3388" s="1">
        <v>42515</v>
      </c>
      <c r="AQ3388" s="1">
        <v>52.62</v>
      </c>
      <c r="AR3388" s="1"/>
      <c r="AS3388" s="1"/>
      <c r="AT3388" s="1"/>
      <c r="AU3388" s="1" t="s">
        <v>98</v>
      </c>
      <c r="AV3388" s="1" t="s">
        <v>98</v>
      </c>
      <c r="AW3388" s="1" t="s">
        <v>98</v>
      </c>
      <c r="AX3388" s="1" t="s">
        <v>98</v>
      </c>
      <c r="AY3388" s="1" t="s">
        <v>258</v>
      </c>
      <c r="AZ3388" s="1" t="s">
        <v>54243</v>
      </c>
      <c r="BA3388" s="1"/>
      <c r="BB3388" s="1"/>
      <c r="BC3388" s="1">
        <v>42587</v>
      </c>
      <c r="BD3388" s="1">
        <v>44155</v>
      </c>
      <c r="BE3388" s="1">
        <v>61.02</v>
      </c>
      <c r="BF3388" s="1">
        <v>6.9</v>
      </c>
      <c r="BG3388" s="1"/>
      <c r="BH3388" s="1"/>
      <c r="BI3388" s="1"/>
      <c r="BJ3388" s="1"/>
      <c r="BK3388" s="1" t="s">
        <v>98</v>
      </c>
      <c r="BL3388" s="1" t="s">
        <v>98</v>
      </c>
      <c r="BM3388" s="1" t="s">
        <v>98</v>
      </c>
      <c r="BN3388" s="1" t="s">
        <v>98</v>
      </c>
      <c r="BO3388" s="1" t="s">
        <v>369</v>
      </c>
      <c r="BP3388" s="1"/>
      <c r="BQ3388" s="1"/>
      <c r="BR3388" s="1" t="s">
        <v>54244</v>
      </c>
      <c r="BS3388" s="1">
        <v>8</v>
      </c>
      <c r="BT3388" s="1"/>
      <c r="BU3388" s="1" t="str">
        <f>HYPERLINK("https://nconnect.nicmar.ac.in/storage/profile/2021-2023_AP21175_467531.jpg","Download")</f>
        <v>0</v>
      </c>
      <c r="BV3388" s="3"/>
      <c r="BW3388" s="3"/>
    </row>
    <row r="3389" spans="1:75">
      <c r="A3389" s="1" t="s">
        <v>51340</v>
      </c>
      <c r="B3389" s="1" t="s">
        <v>51341</v>
      </c>
      <c r="C3389" s="1" t="s">
        <v>54245</v>
      </c>
      <c r="D3389" s="1" t="s">
        <v>3684</v>
      </c>
      <c r="E3389" s="1" t="s">
        <v>53764</v>
      </c>
      <c r="F3389" s="1" t="s">
        <v>54246</v>
      </c>
      <c r="G3389" s="1" t="s">
        <v>54247</v>
      </c>
      <c r="H3389" s="1" t="s">
        <v>54248</v>
      </c>
      <c r="I3389" s="1" t="s">
        <v>54249</v>
      </c>
      <c r="J3389" s="1">
        <v>9594610809</v>
      </c>
      <c r="K3389" s="1" t="s">
        <v>84</v>
      </c>
      <c r="L3389" s="1" t="s">
        <v>54250</v>
      </c>
      <c r="M3389" s="1" t="s">
        <v>86</v>
      </c>
      <c r="N3389" s="1" t="s">
        <v>1163</v>
      </c>
      <c r="O3389" s="1"/>
      <c r="P3389" s="1" t="s">
        <v>507</v>
      </c>
      <c r="Q3389" s="1" t="s">
        <v>54251</v>
      </c>
      <c r="R3389" s="1" t="s">
        <v>54252</v>
      </c>
      <c r="S3389" s="1">
        <v>8454025942</v>
      </c>
      <c r="T3389" s="1" t="s">
        <v>5027</v>
      </c>
      <c r="U3389" s="1" t="s">
        <v>54253</v>
      </c>
      <c r="V3389" s="1">
        <v>8419973217</v>
      </c>
      <c r="W3389" s="1" t="s">
        <v>94</v>
      </c>
      <c r="X3389" s="1" t="s">
        <v>54254</v>
      </c>
      <c r="Y3389" s="1" t="s">
        <v>1012</v>
      </c>
      <c r="Z3389" s="1" t="s">
        <v>97</v>
      </c>
      <c r="AA3389" s="1" t="s">
        <v>54254</v>
      </c>
      <c r="AB3389" s="1" t="s">
        <v>1012</v>
      </c>
      <c r="AC3389" s="1" t="s">
        <v>97</v>
      </c>
      <c r="AD3389" s="1" t="s">
        <v>98</v>
      </c>
      <c r="AE3389" s="1" t="s">
        <v>98</v>
      </c>
      <c r="AF3389" s="1" t="s">
        <v>54255</v>
      </c>
      <c r="AG3389" s="1" t="s">
        <v>51712</v>
      </c>
      <c r="AH3389" s="1" t="s">
        <v>133</v>
      </c>
      <c r="AI3389" s="1" t="s">
        <v>1213</v>
      </c>
      <c r="AJ3389" s="1">
        <v>83.26</v>
      </c>
      <c r="AK3389" s="1"/>
      <c r="AL3389" s="1" t="s">
        <v>98</v>
      </c>
      <c r="AM3389" s="1"/>
      <c r="AN3389" s="1"/>
      <c r="AO3389" s="1" t="s">
        <v>98</v>
      </c>
      <c r="AP3389" s="1" t="s">
        <v>98</v>
      </c>
      <c r="AQ3389" s="1"/>
      <c r="AR3389" s="1"/>
      <c r="AS3389" s="1" t="s">
        <v>439</v>
      </c>
      <c r="AT3389" s="1" t="s">
        <v>54256</v>
      </c>
      <c r="AU3389" s="1" t="s">
        <v>48268</v>
      </c>
      <c r="AV3389" s="1" t="s">
        <v>167</v>
      </c>
      <c r="AW3389" s="1">
        <v>80.55</v>
      </c>
      <c r="AX3389" s="1"/>
      <c r="AY3389" s="1" t="s">
        <v>258</v>
      </c>
      <c r="AZ3389" s="1" t="s">
        <v>9721</v>
      </c>
      <c r="BA3389" s="1"/>
      <c r="BB3389" s="1"/>
      <c r="BC3389" s="1" t="s">
        <v>14379</v>
      </c>
      <c r="BD3389" s="1" t="s">
        <v>13133</v>
      </c>
      <c r="BE3389" s="1">
        <v>65.13</v>
      </c>
      <c r="BF3389" s="1">
        <v>7.18</v>
      </c>
      <c r="BG3389" s="1"/>
      <c r="BH3389" s="1"/>
      <c r="BI3389" s="1"/>
      <c r="BJ3389" s="1"/>
      <c r="BK3389" s="1" t="s">
        <v>98</v>
      </c>
      <c r="BL3389" s="1" t="s">
        <v>98</v>
      </c>
      <c r="BM3389" s="1" t="s">
        <v>98</v>
      </c>
      <c r="BN3389" s="1" t="s">
        <v>98</v>
      </c>
      <c r="BO3389" s="1" t="s">
        <v>1114</v>
      </c>
      <c r="BP3389" s="1" t="s">
        <v>54257</v>
      </c>
      <c r="BQ3389" s="1" t="s">
        <v>20984</v>
      </c>
      <c r="BR3389" s="1" t="s">
        <v>54258</v>
      </c>
      <c r="BS3389" s="1">
        <v>13</v>
      </c>
      <c r="BT3389" s="1"/>
      <c r="BU3389" s="1" t="str">
        <f>HYPERLINK("https://nconnect.nicmar.ac.in/storage/profile/2021-2023_AP21176_972183.JPG","Download")</f>
        <v>0</v>
      </c>
      <c r="BV3389" s="3"/>
      <c r="BW3389" s="3"/>
    </row>
    <row r="3390" spans="1:75">
      <c r="A3390" s="1" t="s">
        <v>51340</v>
      </c>
      <c r="B3390" s="1" t="s">
        <v>51341</v>
      </c>
      <c r="C3390" s="1" t="s">
        <v>54259</v>
      </c>
      <c r="D3390" s="1" t="s">
        <v>7545</v>
      </c>
      <c r="E3390" s="1" t="s">
        <v>54260</v>
      </c>
      <c r="F3390" s="1" t="s">
        <v>2447</v>
      </c>
      <c r="G3390" s="1" t="s">
        <v>54261</v>
      </c>
      <c r="H3390" s="1" t="s">
        <v>54262</v>
      </c>
      <c r="I3390" s="1" t="s">
        <v>54263</v>
      </c>
      <c r="J3390" s="1">
        <v>8805465891</v>
      </c>
      <c r="K3390" s="1" t="s">
        <v>84</v>
      </c>
      <c r="L3390" s="1" t="s">
        <v>22798</v>
      </c>
      <c r="M3390" s="1" t="s">
        <v>86</v>
      </c>
      <c r="N3390" s="1" t="s">
        <v>6052</v>
      </c>
      <c r="O3390" s="1"/>
      <c r="P3390" s="1" t="s">
        <v>455</v>
      </c>
      <c r="Q3390" s="1" t="s">
        <v>54264</v>
      </c>
      <c r="R3390" s="1" t="s">
        <v>54265</v>
      </c>
      <c r="S3390" s="1">
        <v>9423494791</v>
      </c>
      <c r="T3390" s="1" t="s">
        <v>926</v>
      </c>
      <c r="U3390" s="1" t="s">
        <v>54266</v>
      </c>
      <c r="V3390" s="1">
        <v>9403087093</v>
      </c>
      <c r="W3390" s="1" t="s">
        <v>94</v>
      </c>
      <c r="X3390" s="1" t="s">
        <v>54267</v>
      </c>
      <c r="Y3390" s="1" t="s">
        <v>54268</v>
      </c>
      <c r="Z3390" s="1" t="s">
        <v>97</v>
      </c>
      <c r="AA3390" s="1" t="s">
        <v>54269</v>
      </c>
      <c r="AB3390" s="1" t="s">
        <v>54268</v>
      </c>
      <c r="AC3390" s="1" t="s">
        <v>97</v>
      </c>
      <c r="AD3390" s="1" t="s">
        <v>98</v>
      </c>
      <c r="AE3390" s="1" t="s">
        <v>98</v>
      </c>
      <c r="AF3390" s="1" t="s">
        <v>54270</v>
      </c>
      <c r="AG3390" s="1" t="s">
        <v>775</v>
      </c>
      <c r="AH3390" s="1">
        <v>41805</v>
      </c>
      <c r="AI3390" s="1">
        <v>42144</v>
      </c>
      <c r="AJ3390" s="1">
        <v>89.3</v>
      </c>
      <c r="AK3390" s="1">
        <v>9.4</v>
      </c>
      <c r="AL3390" s="1" t="s">
        <v>54271</v>
      </c>
      <c r="AM3390" s="1" t="s">
        <v>629</v>
      </c>
      <c r="AN3390" s="1"/>
      <c r="AO3390" s="1">
        <v>42536</v>
      </c>
      <c r="AP3390" s="1">
        <v>42870</v>
      </c>
      <c r="AQ3390" s="1">
        <v>78</v>
      </c>
      <c r="AR3390" s="1"/>
      <c r="AS3390" s="1"/>
      <c r="AT3390" s="1"/>
      <c r="AU3390" s="1" t="s">
        <v>98</v>
      </c>
      <c r="AV3390" s="1" t="s">
        <v>98</v>
      </c>
      <c r="AW3390" s="1" t="s">
        <v>98</v>
      </c>
      <c r="AX3390" s="1" t="s">
        <v>98</v>
      </c>
      <c r="AY3390" s="1" t="s">
        <v>2614</v>
      </c>
      <c r="AZ3390" s="1" t="s">
        <v>2614</v>
      </c>
      <c r="BA3390" s="1"/>
      <c r="BB3390" s="1"/>
      <c r="BC3390" s="1">
        <v>42911</v>
      </c>
      <c r="BD3390" s="1" t="s">
        <v>54272</v>
      </c>
      <c r="BE3390" s="1">
        <v>78.08</v>
      </c>
      <c r="BF3390" s="1">
        <v>6.97</v>
      </c>
      <c r="BG3390" s="1"/>
      <c r="BH3390" s="1"/>
      <c r="BI3390" s="1"/>
      <c r="BJ3390" s="1"/>
      <c r="BK3390" s="1" t="s">
        <v>98</v>
      </c>
      <c r="BL3390" s="1" t="s">
        <v>98</v>
      </c>
      <c r="BM3390" s="1" t="s">
        <v>98</v>
      </c>
      <c r="BN3390" s="1" t="s">
        <v>98</v>
      </c>
      <c r="BO3390" s="1" t="s">
        <v>53226</v>
      </c>
      <c r="BP3390" s="1"/>
      <c r="BQ3390" s="1"/>
      <c r="BR3390" s="1" t="s">
        <v>54273</v>
      </c>
      <c r="BS3390" s="1">
        <v>9</v>
      </c>
      <c r="BT3390" s="1"/>
      <c r="BU3390" s="1" t="str">
        <f>HYPERLINK("https://nconnect.nicmar.ac.in/storage/profile/2021-2023_AP21177_912836.jpg","Download")</f>
        <v>0</v>
      </c>
      <c r="BV3390" s="3"/>
      <c r="BW3390" s="3"/>
    </row>
    <row r="3391" spans="1:75">
      <c r="A3391" s="1" t="s">
        <v>51340</v>
      </c>
      <c r="B3391" s="1" t="s">
        <v>51341</v>
      </c>
      <c r="C3391" s="1" t="s">
        <v>54274</v>
      </c>
      <c r="D3391" s="1" t="s">
        <v>12637</v>
      </c>
      <c r="E3391" s="1"/>
      <c r="F3391" s="1" t="s">
        <v>54275</v>
      </c>
      <c r="G3391" s="1" t="s">
        <v>54276</v>
      </c>
      <c r="H3391" s="1" t="s">
        <v>54277</v>
      </c>
      <c r="I3391" s="1" t="s">
        <v>54278</v>
      </c>
      <c r="J3391" s="1">
        <v>9148346900</v>
      </c>
      <c r="K3391" s="1" t="s">
        <v>84</v>
      </c>
      <c r="L3391" s="1" t="s">
        <v>26979</v>
      </c>
      <c r="M3391" s="1" t="s">
        <v>86</v>
      </c>
      <c r="N3391" s="1" t="s">
        <v>54279</v>
      </c>
      <c r="O3391" s="1"/>
      <c r="P3391" s="1" t="s">
        <v>1028</v>
      </c>
      <c r="Q3391" s="1" t="s">
        <v>54280</v>
      </c>
      <c r="R3391" s="1" t="s">
        <v>54281</v>
      </c>
      <c r="S3391" s="1">
        <v>9148876669</v>
      </c>
      <c r="T3391" s="1" t="s">
        <v>382</v>
      </c>
      <c r="U3391" s="1" t="s">
        <v>7622</v>
      </c>
      <c r="V3391" s="1">
        <v>9606758207</v>
      </c>
      <c r="W3391" s="1" t="s">
        <v>94</v>
      </c>
      <c r="X3391" s="1" t="s">
        <v>54282</v>
      </c>
      <c r="Y3391" s="1" t="s">
        <v>54283</v>
      </c>
      <c r="Z3391" s="1" t="s">
        <v>1210</v>
      </c>
      <c r="AA3391" s="1" t="s">
        <v>54282</v>
      </c>
      <c r="AB3391" s="1" t="s">
        <v>54283</v>
      </c>
      <c r="AC3391" s="1" t="s">
        <v>1210</v>
      </c>
      <c r="AD3391" s="1" t="s">
        <v>98</v>
      </c>
      <c r="AE3391" s="1" t="s">
        <v>98</v>
      </c>
      <c r="AF3391" s="1" t="s">
        <v>54284</v>
      </c>
      <c r="AG3391" s="1" t="s">
        <v>312</v>
      </c>
      <c r="AH3391" s="1" t="s">
        <v>101</v>
      </c>
      <c r="AI3391" s="1" t="s">
        <v>136</v>
      </c>
      <c r="AJ3391" s="1">
        <v>89.3</v>
      </c>
      <c r="AK3391" s="1">
        <v>9.4</v>
      </c>
      <c r="AL3391" s="1" t="s">
        <v>54285</v>
      </c>
      <c r="AM3391" s="1" t="s">
        <v>312</v>
      </c>
      <c r="AN3391" s="1"/>
      <c r="AO3391" s="1" t="s">
        <v>627</v>
      </c>
      <c r="AP3391" s="1" t="s">
        <v>200</v>
      </c>
      <c r="AQ3391" s="1">
        <v>72</v>
      </c>
      <c r="AR3391" s="1">
        <v>0</v>
      </c>
      <c r="AS3391" s="1"/>
      <c r="AT3391" s="1"/>
      <c r="AU3391" s="1" t="s">
        <v>98</v>
      </c>
      <c r="AV3391" s="1" t="s">
        <v>98</v>
      </c>
      <c r="AW3391" s="1"/>
      <c r="AX3391" s="1"/>
      <c r="AY3391" s="1" t="s">
        <v>54286</v>
      </c>
      <c r="AZ3391" s="1" t="s">
        <v>54287</v>
      </c>
      <c r="BA3391" s="1"/>
      <c r="BB3391" s="1"/>
      <c r="BC3391" s="1" t="s">
        <v>230</v>
      </c>
      <c r="BD3391" s="1" t="s">
        <v>845</v>
      </c>
      <c r="BE3391" s="1">
        <v>68.7</v>
      </c>
      <c r="BF3391" s="1">
        <v>7.62</v>
      </c>
      <c r="BG3391" s="1"/>
      <c r="BH3391" s="1"/>
      <c r="BI3391" s="1"/>
      <c r="BJ3391" s="1"/>
      <c r="BK3391" s="1" t="s">
        <v>98</v>
      </c>
      <c r="BL3391" s="1" t="s">
        <v>98</v>
      </c>
      <c r="BM3391" s="1" t="s">
        <v>98</v>
      </c>
      <c r="BN3391" s="1" t="s">
        <v>98</v>
      </c>
      <c r="BO3391" s="1" t="s">
        <v>1114</v>
      </c>
      <c r="BP3391" s="1"/>
      <c r="BQ3391" s="1"/>
      <c r="BR3391" s="1" t="s">
        <v>54288</v>
      </c>
      <c r="BS3391" s="1">
        <v>13</v>
      </c>
      <c r="BT3391" s="1"/>
      <c r="BU3391" s="1" t="str">
        <f>HYPERLINK("https://nconnect.nicmar.ac.in/storage/profile/2021-2023_AP21178_869541.jpg","Download")</f>
        <v>0</v>
      </c>
      <c r="BV3391" s="3"/>
      <c r="BW3391" s="3"/>
    </row>
    <row r="3392" spans="1:75">
      <c r="A3392" s="1" t="s">
        <v>51340</v>
      </c>
      <c r="B3392" s="1" t="s">
        <v>51341</v>
      </c>
      <c r="C3392" s="1" t="s">
        <v>54289</v>
      </c>
      <c r="D3392" s="1" t="s">
        <v>54290</v>
      </c>
      <c r="E3392" s="1" t="s">
        <v>30791</v>
      </c>
      <c r="F3392" s="1" t="s">
        <v>54291</v>
      </c>
      <c r="G3392" s="1" t="s">
        <v>54292</v>
      </c>
      <c r="H3392" s="1" t="s">
        <v>54293</v>
      </c>
      <c r="I3392" s="1" t="s">
        <v>54294</v>
      </c>
      <c r="J3392" s="1">
        <v>9573322255</v>
      </c>
      <c r="K3392" s="1" t="s">
        <v>84</v>
      </c>
      <c r="L3392" s="1" t="s">
        <v>17281</v>
      </c>
      <c r="M3392" s="1" t="s">
        <v>86</v>
      </c>
      <c r="N3392" s="1" t="s">
        <v>8699</v>
      </c>
      <c r="O3392" s="1"/>
      <c r="P3392" s="1" t="s">
        <v>507</v>
      </c>
      <c r="Q3392" s="1" t="s">
        <v>54295</v>
      </c>
      <c r="R3392" s="1" t="s">
        <v>54296</v>
      </c>
      <c r="S3392" s="1">
        <v>9246747425</v>
      </c>
      <c r="T3392" s="1" t="s">
        <v>839</v>
      </c>
      <c r="U3392" s="1" t="s">
        <v>54297</v>
      </c>
      <c r="V3392" s="1">
        <v>9246747424</v>
      </c>
      <c r="W3392" s="1" t="s">
        <v>541</v>
      </c>
      <c r="X3392" s="1" t="s">
        <v>54298</v>
      </c>
      <c r="Y3392" s="1" t="s">
        <v>53707</v>
      </c>
      <c r="Z3392" s="1" t="s">
        <v>281</v>
      </c>
      <c r="AA3392" s="1" t="s">
        <v>54298</v>
      </c>
      <c r="AB3392" s="1" t="s">
        <v>53707</v>
      </c>
      <c r="AC3392" s="1" t="s">
        <v>281</v>
      </c>
      <c r="AD3392" s="1" t="s">
        <v>98</v>
      </c>
      <c r="AE3392" s="1" t="s">
        <v>98</v>
      </c>
      <c r="AF3392" s="1" t="s">
        <v>54299</v>
      </c>
      <c r="AG3392" s="1" t="s">
        <v>312</v>
      </c>
      <c r="AH3392" s="1" t="s">
        <v>1213</v>
      </c>
      <c r="AI3392" s="1" t="s">
        <v>515</v>
      </c>
      <c r="AJ3392" s="1">
        <v>85.5</v>
      </c>
      <c r="AK3392" s="1">
        <v>9</v>
      </c>
      <c r="AL3392" s="1" t="s">
        <v>3033</v>
      </c>
      <c r="AM3392" s="1" t="s">
        <v>312</v>
      </c>
      <c r="AN3392" s="1"/>
      <c r="AO3392" s="1" t="s">
        <v>101</v>
      </c>
      <c r="AP3392" s="1" t="s">
        <v>284</v>
      </c>
      <c r="AQ3392" s="1">
        <v>83.3</v>
      </c>
      <c r="AR3392" s="1"/>
      <c r="AS3392" s="1"/>
      <c r="AT3392" s="1"/>
      <c r="AU3392" s="1" t="s">
        <v>98</v>
      </c>
      <c r="AV3392" s="1" t="s">
        <v>98</v>
      </c>
      <c r="AW3392" s="1" t="s">
        <v>98</v>
      </c>
      <c r="AX3392" s="1" t="s">
        <v>98</v>
      </c>
      <c r="AY3392" s="1" t="s">
        <v>2654</v>
      </c>
      <c r="AZ3392" s="1" t="s">
        <v>18827</v>
      </c>
      <c r="BA3392" s="1"/>
      <c r="BB3392" s="1"/>
      <c r="BC3392" s="1" t="s">
        <v>1396</v>
      </c>
      <c r="BD3392" s="1" t="s">
        <v>1647</v>
      </c>
      <c r="BE3392" s="1">
        <v>64.4</v>
      </c>
      <c r="BF3392" s="1">
        <v>6.44</v>
      </c>
      <c r="BG3392" s="1"/>
      <c r="BH3392" s="1"/>
      <c r="BI3392" s="1"/>
      <c r="BJ3392" s="1"/>
      <c r="BK3392" s="1" t="s">
        <v>98</v>
      </c>
      <c r="BL3392" s="1" t="s">
        <v>98</v>
      </c>
      <c r="BM3392" s="1" t="s">
        <v>98</v>
      </c>
      <c r="BN3392" s="1" t="s">
        <v>98</v>
      </c>
      <c r="BO3392" s="1" t="s">
        <v>28364</v>
      </c>
      <c r="BP3392" s="1"/>
      <c r="BQ3392" s="1"/>
      <c r="BR3392" s="1" t="s">
        <v>54300</v>
      </c>
      <c r="BS3392" s="1">
        <v>46</v>
      </c>
      <c r="BT3392" s="1"/>
      <c r="BU3392" s="1" t="str">
        <f>HYPERLINK("https://nconnect.nicmar.ac.in/storage/profile/2021-2023_AP21179_495837.jpeg","Download")</f>
        <v>0</v>
      </c>
      <c r="BV3392" s="3"/>
      <c r="BW3392" s="3"/>
    </row>
    <row r="3393" spans="1:75">
      <c r="A3393" s="1" t="s">
        <v>51340</v>
      </c>
      <c r="B3393" s="1" t="s">
        <v>51341</v>
      </c>
      <c r="C3393" s="1" t="s">
        <v>54301</v>
      </c>
      <c r="D3393" s="1" t="s">
        <v>54302</v>
      </c>
      <c r="E3393" s="1"/>
      <c r="F3393" s="1" t="s">
        <v>54303</v>
      </c>
      <c r="G3393" s="1" t="s">
        <v>54304</v>
      </c>
      <c r="H3393" s="1" t="s">
        <v>54305</v>
      </c>
      <c r="I3393" s="1" t="s">
        <v>54306</v>
      </c>
      <c r="J3393" s="1">
        <v>7720076000</v>
      </c>
      <c r="K3393" s="1" t="s">
        <v>84</v>
      </c>
      <c r="L3393" s="1" t="s">
        <v>54307</v>
      </c>
      <c r="M3393" s="1" t="s">
        <v>86</v>
      </c>
      <c r="N3393" s="1" t="s">
        <v>246</v>
      </c>
      <c r="O3393" s="1"/>
      <c r="P3393" s="1" t="s">
        <v>507</v>
      </c>
      <c r="Q3393" s="1" t="s">
        <v>54308</v>
      </c>
      <c r="R3393" s="1" t="s">
        <v>54309</v>
      </c>
      <c r="S3393" s="1">
        <v>9960166000</v>
      </c>
      <c r="T3393" s="1" t="s">
        <v>2128</v>
      </c>
      <c r="U3393" s="1" t="s">
        <v>54310</v>
      </c>
      <c r="V3393" s="1">
        <v>9960099390</v>
      </c>
      <c r="W3393" s="1" t="s">
        <v>541</v>
      </c>
      <c r="X3393" s="1" t="s">
        <v>54311</v>
      </c>
      <c r="Y3393" s="1" t="s">
        <v>410</v>
      </c>
      <c r="Z3393" s="1" t="s">
        <v>97</v>
      </c>
      <c r="AA3393" s="1" t="s">
        <v>54311</v>
      </c>
      <c r="AB3393" s="1" t="s">
        <v>410</v>
      </c>
      <c r="AC3393" s="1" t="s">
        <v>97</v>
      </c>
      <c r="AD3393" s="1" t="s">
        <v>98</v>
      </c>
      <c r="AE3393" s="1" t="s">
        <v>98</v>
      </c>
      <c r="AF3393" s="1" t="s">
        <v>26837</v>
      </c>
      <c r="AG3393" s="1" t="s">
        <v>312</v>
      </c>
      <c r="AH3393" s="1" t="s">
        <v>54312</v>
      </c>
      <c r="AI3393" s="1" t="s">
        <v>54155</v>
      </c>
      <c r="AJ3393" s="1">
        <v>77.9</v>
      </c>
      <c r="AK3393" s="1">
        <v>8.2</v>
      </c>
      <c r="AL3393" s="1" t="s">
        <v>54313</v>
      </c>
      <c r="AM3393" s="1" t="s">
        <v>312</v>
      </c>
      <c r="AN3393" s="1"/>
      <c r="AO3393" s="1" t="s">
        <v>54314</v>
      </c>
      <c r="AP3393" s="1" t="s">
        <v>54315</v>
      </c>
      <c r="AQ3393" s="1">
        <v>73.69</v>
      </c>
      <c r="AR3393" s="1"/>
      <c r="AS3393" s="1"/>
      <c r="AT3393" s="1"/>
      <c r="AU3393" s="1" t="s">
        <v>98</v>
      </c>
      <c r="AV3393" s="1" t="s">
        <v>98</v>
      </c>
      <c r="AW3393" s="1" t="s">
        <v>98</v>
      </c>
      <c r="AX3393" s="1" t="s">
        <v>98</v>
      </c>
      <c r="AY3393" s="1" t="s">
        <v>54316</v>
      </c>
      <c r="AZ3393" s="1" t="s">
        <v>54317</v>
      </c>
      <c r="BA3393" s="1"/>
      <c r="BB3393" s="1"/>
      <c r="BC3393" s="1" t="s">
        <v>54318</v>
      </c>
      <c r="BD3393" s="1" t="s">
        <v>54319</v>
      </c>
      <c r="BE3393" s="1">
        <v>77.23</v>
      </c>
      <c r="BF3393" s="1">
        <v>6.86</v>
      </c>
      <c r="BG3393" s="1"/>
      <c r="BH3393" s="1"/>
      <c r="BI3393" s="1"/>
      <c r="BJ3393" s="1"/>
      <c r="BK3393" s="1" t="s">
        <v>98</v>
      </c>
      <c r="BL3393" s="1" t="s">
        <v>98</v>
      </c>
      <c r="BM3393" s="1" t="s">
        <v>98</v>
      </c>
      <c r="BN3393" s="1" t="s">
        <v>98</v>
      </c>
      <c r="BO3393" s="1" t="s">
        <v>260</v>
      </c>
      <c r="BP3393" s="1"/>
      <c r="BQ3393" s="1"/>
      <c r="BR3393" s="1" t="s">
        <v>54320</v>
      </c>
      <c r="BS3393" s="1">
        <v>8</v>
      </c>
      <c r="BT3393" s="1"/>
      <c r="BU3393" s="1" t="str">
        <f>HYPERLINK("https://nconnect.nicmar.ac.in/storage/profile/2021-2023_AP21180_925871.jpg","Download")</f>
        <v>0</v>
      </c>
      <c r="BV3393" s="3"/>
      <c r="BW3393" s="3"/>
    </row>
    <row r="3394" spans="1:75">
      <c r="A3394" s="1" t="s">
        <v>51340</v>
      </c>
      <c r="B3394" s="1" t="s">
        <v>51341</v>
      </c>
      <c r="C3394" s="1" t="s">
        <v>54321</v>
      </c>
      <c r="D3394" s="1" t="s">
        <v>54322</v>
      </c>
      <c r="E3394" s="1"/>
      <c r="F3394" s="1" t="s">
        <v>3313</v>
      </c>
      <c r="G3394" s="1" t="s">
        <v>54323</v>
      </c>
      <c r="H3394" s="1" t="s">
        <v>54324</v>
      </c>
      <c r="I3394" s="1" t="s">
        <v>54325</v>
      </c>
      <c r="J3394" s="1">
        <v>7509577017</v>
      </c>
      <c r="K3394" s="1" t="s">
        <v>153</v>
      </c>
      <c r="L3394" s="1" t="s">
        <v>54326</v>
      </c>
      <c r="M3394" s="1" t="s">
        <v>86</v>
      </c>
      <c r="N3394" s="1" t="s">
        <v>246</v>
      </c>
      <c r="O3394" s="1"/>
      <c r="P3394" s="1" t="s">
        <v>507</v>
      </c>
      <c r="Q3394" s="1" t="s">
        <v>54327</v>
      </c>
      <c r="R3394" s="1" t="s">
        <v>54328</v>
      </c>
      <c r="S3394" s="1">
        <v>9425007091</v>
      </c>
      <c r="T3394" s="1" t="s">
        <v>839</v>
      </c>
      <c r="U3394" s="1" t="s">
        <v>54329</v>
      </c>
      <c r="V3394" s="1">
        <v>9340507439</v>
      </c>
      <c r="W3394" s="1" t="s">
        <v>94</v>
      </c>
      <c r="X3394" s="1" t="s">
        <v>54330</v>
      </c>
      <c r="Y3394" s="1" t="s">
        <v>7949</v>
      </c>
      <c r="Z3394" s="1" t="s">
        <v>3419</v>
      </c>
      <c r="AA3394" s="1" t="s">
        <v>54330</v>
      </c>
      <c r="AB3394" s="1" t="s">
        <v>7949</v>
      </c>
      <c r="AC3394" s="1" t="s">
        <v>3419</v>
      </c>
      <c r="AD3394" s="1" t="s">
        <v>98</v>
      </c>
      <c r="AE3394" s="1" t="s">
        <v>98</v>
      </c>
      <c r="AF3394" s="1" t="s">
        <v>54331</v>
      </c>
      <c r="AG3394" s="1" t="s">
        <v>54332</v>
      </c>
      <c r="AH3394" s="1">
        <v>40634</v>
      </c>
      <c r="AI3394" s="1">
        <v>41053</v>
      </c>
      <c r="AJ3394" s="1">
        <v>62.7</v>
      </c>
      <c r="AK3394" s="1">
        <v>6.6</v>
      </c>
      <c r="AL3394" s="1" t="s">
        <v>98</v>
      </c>
      <c r="AM3394" s="1" t="s">
        <v>98</v>
      </c>
      <c r="AN3394" s="1"/>
      <c r="AO3394" s="1" t="s">
        <v>98</v>
      </c>
      <c r="AP3394" s="1" t="s">
        <v>98</v>
      </c>
      <c r="AQ3394" s="1"/>
      <c r="AR3394" s="1"/>
      <c r="AS3394" s="1" t="s">
        <v>439</v>
      </c>
      <c r="AT3394" s="1" t="s">
        <v>54333</v>
      </c>
      <c r="AU3394" s="1">
        <v>41487</v>
      </c>
      <c r="AV3394" s="1">
        <v>42524</v>
      </c>
      <c r="AW3394" s="1">
        <v>67.4</v>
      </c>
      <c r="AX3394" s="1">
        <v>6.74</v>
      </c>
      <c r="AY3394" s="1" t="s">
        <v>2206</v>
      </c>
      <c r="AZ3394" s="1" t="s">
        <v>54334</v>
      </c>
      <c r="BA3394" s="1"/>
      <c r="BB3394" s="1"/>
      <c r="BC3394" s="1">
        <v>42590</v>
      </c>
      <c r="BD3394" s="1">
        <v>43622</v>
      </c>
      <c r="BE3394" s="1">
        <v>73.8</v>
      </c>
      <c r="BF3394" s="1">
        <v>7.38</v>
      </c>
      <c r="BG3394" s="1"/>
      <c r="BH3394" s="1"/>
      <c r="BI3394" s="1"/>
      <c r="BJ3394" s="1"/>
      <c r="BK3394" s="1" t="s">
        <v>98</v>
      </c>
      <c r="BL3394" s="1" t="s">
        <v>98</v>
      </c>
      <c r="BM3394" s="1" t="s">
        <v>98</v>
      </c>
      <c r="BN3394" s="1" t="s">
        <v>98</v>
      </c>
      <c r="BO3394" s="1" t="s">
        <v>369</v>
      </c>
      <c r="BP3394" s="1"/>
      <c r="BQ3394" s="1"/>
      <c r="BR3394" s="1" t="s">
        <v>54335</v>
      </c>
      <c r="BS3394" s="1">
        <v>14</v>
      </c>
      <c r="BT3394" s="1"/>
      <c r="BU3394" s="1" t="s">
        <v>9653</v>
      </c>
      <c r="BV3394" s="3"/>
      <c r="BW3394" s="3"/>
    </row>
    <row r="3395" spans="1:75">
      <c r="A3395" s="1" t="s">
        <v>51340</v>
      </c>
      <c r="B3395" s="1" t="s">
        <v>51341</v>
      </c>
      <c r="C3395" s="1" t="s">
        <v>54336</v>
      </c>
      <c r="D3395" s="1" t="s">
        <v>1487</v>
      </c>
      <c r="E3395" s="1" t="s">
        <v>116</v>
      </c>
      <c r="F3395" s="1" t="s">
        <v>25375</v>
      </c>
      <c r="G3395" s="1" t="s">
        <v>54337</v>
      </c>
      <c r="H3395" s="1" t="s">
        <v>54338</v>
      </c>
      <c r="I3395" s="1" t="s">
        <v>54339</v>
      </c>
      <c r="J3395" s="1">
        <v>9496217622</v>
      </c>
      <c r="K3395" s="1" t="s">
        <v>84</v>
      </c>
      <c r="L3395" s="1" t="s">
        <v>54340</v>
      </c>
      <c r="M3395" s="1" t="s">
        <v>86</v>
      </c>
      <c r="N3395" s="1" t="s">
        <v>2699</v>
      </c>
      <c r="O3395" s="1"/>
      <c r="P3395" s="1" t="s">
        <v>1028</v>
      </c>
      <c r="Q3395" s="1" t="s">
        <v>54341</v>
      </c>
      <c r="R3395" s="1" t="s">
        <v>54342</v>
      </c>
      <c r="S3395" s="1">
        <v>9447172622</v>
      </c>
      <c r="T3395" s="1" t="s">
        <v>839</v>
      </c>
      <c r="U3395" s="1" t="s">
        <v>54343</v>
      </c>
      <c r="V3395" s="1">
        <v>8848545738</v>
      </c>
      <c r="W3395" s="1" t="s">
        <v>94</v>
      </c>
      <c r="X3395" s="1" t="s">
        <v>54344</v>
      </c>
      <c r="Y3395" s="1" t="s">
        <v>3190</v>
      </c>
      <c r="Z3395" s="1" t="s">
        <v>130</v>
      </c>
      <c r="AA3395" s="1" t="s">
        <v>54344</v>
      </c>
      <c r="AB3395" s="1" t="s">
        <v>3190</v>
      </c>
      <c r="AC3395" s="1" t="s">
        <v>130</v>
      </c>
      <c r="AD3395" s="1" t="s">
        <v>98</v>
      </c>
      <c r="AE3395" s="1" t="s">
        <v>98</v>
      </c>
      <c r="AF3395" s="1" t="s">
        <v>54345</v>
      </c>
      <c r="AG3395" s="1" t="s">
        <v>312</v>
      </c>
      <c r="AH3395" s="1">
        <v>41396</v>
      </c>
      <c r="AI3395" s="1">
        <v>41778</v>
      </c>
      <c r="AJ3395" s="1">
        <v>81.7</v>
      </c>
      <c r="AK3395" s="1">
        <v>8.6</v>
      </c>
      <c r="AL3395" s="1" t="s">
        <v>54346</v>
      </c>
      <c r="AM3395" s="1" t="s">
        <v>54347</v>
      </c>
      <c r="AN3395" s="1"/>
      <c r="AO3395" s="1">
        <v>42125</v>
      </c>
      <c r="AP3395" s="1">
        <v>42500</v>
      </c>
      <c r="AQ3395" s="1">
        <v>78.08</v>
      </c>
      <c r="AR3395" s="1">
        <v>8.21</v>
      </c>
      <c r="AS3395" s="1"/>
      <c r="AT3395" s="1"/>
      <c r="AU3395" s="1" t="s">
        <v>98</v>
      </c>
      <c r="AV3395" s="1" t="s">
        <v>98</v>
      </c>
      <c r="AW3395" s="1" t="s">
        <v>98</v>
      </c>
      <c r="AX3395" s="1" t="s">
        <v>98</v>
      </c>
      <c r="AY3395" s="1" t="s">
        <v>137</v>
      </c>
      <c r="AZ3395" s="1" t="s">
        <v>22841</v>
      </c>
      <c r="BA3395" s="1"/>
      <c r="BB3395" s="1"/>
      <c r="BC3395" s="1">
        <v>42583</v>
      </c>
      <c r="BD3395" s="1">
        <v>44075</v>
      </c>
      <c r="BE3395" s="1">
        <v>65.15</v>
      </c>
      <c r="BF3395" s="1">
        <v>6.89</v>
      </c>
      <c r="BG3395" s="1"/>
      <c r="BH3395" s="1"/>
      <c r="BI3395" s="1"/>
      <c r="BJ3395" s="1"/>
      <c r="BK3395" s="1" t="s">
        <v>98</v>
      </c>
      <c r="BL3395" s="1" t="s">
        <v>98</v>
      </c>
      <c r="BM3395" s="1" t="s">
        <v>98</v>
      </c>
      <c r="BN3395" s="1" t="s">
        <v>98</v>
      </c>
      <c r="BO3395" s="1" t="s">
        <v>369</v>
      </c>
      <c r="BP3395" s="1" t="s">
        <v>54348</v>
      </c>
      <c r="BQ3395" s="1" t="s">
        <v>2116</v>
      </c>
      <c r="BR3395" s="1" t="s">
        <v>54349</v>
      </c>
      <c r="BS3395" s="1">
        <v>22</v>
      </c>
      <c r="BT3395" s="1"/>
      <c r="BU3395" s="1" t="str">
        <f>HYPERLINK("https://nconnect.nicmar.ac.in/storage/profile/2021-2023_AP21182_592613.jpg","Download")</f>
        <v>0</v>
      </c>
      <c r="BV3395" s="3"/>
      <c r="BW3395" s="3"/>
    </row>
    <row r="3396" spans="1:75">
      <c r="A3396" s="1" t="s">
        <v>51340</v>
      </c>
      <c r="B3396" s="1" t="s">
        <v>51341</v>
      </c>
      <c r="C3396" s="1" t="s">
        <v>54350</v>
      </c>
      <c r="D3396" s="1" t="s">
        <v>4852</v>
      </c>
      <c r="E3396" s="1"/>
      <c r="F3396" s="1" t="s">
        <v>1464</v>
      </c>
      <c r="G3396" s="1" t="s">
        <v>54351</v>
      </c>
      <c r="H3396" s="1" t="s">
        <v>54352</v>
      </c>
      <c r="I3396" s="1" t="s">
        <v>54353</v>
      </c>
      <c r="J3396" s="1">
        <v>9939930949</v>
      </c>
      <c r="K3396" s="1" t="s">
        <v>84</v>
      </c>
      <c r="L3396" s="1" t="s">
        <v>9501</v>
      </c>
      <c r="M3396" s="1" t="s">
        <v>86</v>
      </c>
      <c r="N3396" s="1" t="s">
        <v>246</v>
      </c>
      <c r="O3396" s="1"/>
      <c r="P3396" s="1" t="s">
        <v>481</v>
      </c>
      <c r="Q3396" s="1" t="s">
        <v>54354</v>
      </c>
      <c r="R3396" s="1" t="s">
        <v>54355</v>
      </c>
      <c r="S3396" s="1">
        <v>7397315049</v>
      </c>
      <c r="T3396" s="1" t="s">
        <v>9700</v>
      </c>
      <c r="U3396" s="1" t="s">
        <v>54356</v>
      </c>
      <c r="V3396" s="1">
        <v>9705365865</v>
      </c>
      <c r="W3396" s="1" t="s">
        <v>541</v>
      </c>
      <c r="X3396" s="1" t="s">
        <v>54357</v>
      </c>
      <c r="Y3396" s="1" t="s">
        <v>2954</v>
      </c>
      <c r="Z3396" s="1" t="s">
        <v>2955</v>
      </c>
      <c r="AA3396" s="1" t="s">
        <v>54358</v>
      </c>
      <c r="AB3396" s="1" t="s">
        <v>196</v>
      </c>
      <c r="AC3396" s="1" t="s">
        <v>97</v>
      </c>
      <c r="AD3396" s="1" t="s">
        <v>98</v>
      </c>
      <c r="AE3396" s="1" t="s">
        <v>98</v>
      </c>
      <c r="AF3396" s="1" t="s">
        <v>54359</v>
      </c>
      <c r="AG3396" s="1" t="s">
        <v>52554</v>
      </c>
      <c r="AH3396" s="1">
        <v>41791</v>
      </c>
      <c r="AI3396" s="1">
        <v>42156</v>
      </c>
      <c r="AJ3396" s="1">
        <v>56.5</v>
      </c>
      <c r="AK3396" s="1"/>
      <c r="AL3396" s="1" t="s">
        <v>54360</v>
      </c>
      <c r="AM3396" s="1" t="s">
        <v>52554</v>
      </c>
      <c r="AN3396" s="1"/>
      <c r="AO3396" s="1">
        <v>42491</v>
      </c>
      <c r="AP3396" s="1">
        <v>42927</v>
      </c>
      <c r="AQ3396" s="1">
        <v>77.14</v>
      </c>
      <c r="AR3396" s="1"/>
      <c r="AS3396" s="1"/>
      <c r="AT3396" s="1"/>
      <c r="AU3396" s="1" t="s">
        <v>98</v>
      </c>
      <c r="AV3396" s="1" t="s">
        <v>98</v>
      </c>
      <c r="AW3396" s="1" t="s">
        <v>98</v>
      </c>
      <c r="AX3396" s="1" t="s">
        <v>98</v>
      </c>
      <c r="AY3396" s="1" t="s">
        <v>53028</v>
      </c>
      <c r="AZ3396" s="1" t="s">
        <v>53028</v>
      </c>
      <c r="BA3396" s="1"/>
      <c r="BB3396" s="1"/>
      <c r="BC3396" s="1">
        <v>42887</v>
      </c>
      <c r="BD3396" s="1">
        <v>44348</v>
      </c>
      <c r="BE3396" s="1">
        <v>77.83</v>
      </c>
      <c r="BF3396" s="1">
        <v>7.04</v>
      </c>
      <c r="BG3396" s="1"/>
      <c r="BH3396" s="1"/>
      <c r="BI3396" s="1"/>
      <c r="BJ3396" s="1"/>
      <c r="BK3396" s="1" t="s">
        <v>98</v>
      </c>
      <c r="BL3396" s="1" t="s">
        <v>98</v>
      </c>
      <c r="BM3396" s="1" t="s">
        <v>98</v>
      </c>
      <c r="BN3396" s="1" t="s">
        <v>98</v>
      </c>
      <c r="BO3396" s="1" t="s">
        <v>260</v>
      </c>
      <c r="BP3396" s="1"/>
      <c r="BQ3396" s="1"/>
      <c r="BR3396" s="1" t="s">
        <v>54361</v>
      </c>
      <c r="BS3396" s="1">
        <v>23</v>
      </c>
      <c r="BT3396" s="1"/>
      <c r="BU3396" s="1" t="str">
        <f>HYPERLINK("https://nconnect.nicmar.ac.in/storage/profile/2021-2023_AP21183_342569.jpg","Download")</f>
        <v>0</v>
      </c>
      <c r="BV3396" s="3"/>
      <c r="BW3396" s="3"/>
    </row>
    <row r="3397" spans="1:75">
      <c r="A3397" s="1" t="s">
        <v>51340</v>
      </c>
      <c r="B3397" s="1" t="s">
        <v>51341</v>
      </c>
      <c r="C3397" s="1" t="s">
        <v>54362</v>
      </c>
      <c r="D3397" s="1" t="s">
        <v>54363</v>
      </c>
      <c r="E3397" s="1" t="s">
        <v>27362</v>
      </c>
      <c r="F3397" s="1" t="s">
        <v>54364</v>
      </c>
      <c r="G3397" s="1" t="s">
        <v>54365</v>
      </c>
      <c r="H3397" s="1" t="s">
        <v>54366</v>
      </c>
      <c r="I3397" s="1" t="s">
        <v>54367</v>
      </c>
      <c r="J3397" s="1">
        <v>7744019421</v>
      </c>
      <c r="K3397" s="1" t="s">
        <v>84</v>
      </c>
      <c r="L3397" s="1" t="s">
        <v>28187</v>
      </c>
      <c r="M3397" s="1" t="s">
        <v>86</v>
      </c>
      <c r="N3397" s="1" t="s">
        <v>903</v>
      </c>
      <c r="O3397" s="1"/>
      <c r="P3397" s="1" t="s">
        <v>507</v>
      </c>
      <c r="Q3397" s="1" t="s">
        <v>54368</v>
      </c>
      <c r="R3397" s="1" t="s">
        <v>54369</v>
      </c>
      <c r="S3397" s="1">
        <v>9511277399</v>
      </c>
      <c r="T3397" s="1" t="s">
        <v>276</v>
      </c>
      <c r="U3397" s="1" t="s">
        <v>54370</v>
      </c>
      <c r="V3397" s="1">
        <v>8329578112</v>
      </c>
      <c r="W3397" s="1" t="s">
        <v>278</v>
      </c>
      <c r="X3397" s="1" t="s">
        <v>54371</v>
      </c>
      <c r="Y3397" s="1" t="s">
        <v>196</v>
      </c>
      <c r="Z3397" s="1" t="s">
        <v>97</v>
      </c>
      <c r="AA3397" s="1" t="s">
        <v>54371</v>
      </c>
      <c r="AB3397" s="1" t="s">
        <v>196</v>
      </c>
      <c r="AC3397" s="1" t="s">
        <v>97</v>
      </c>
      <c r="AD3397" s="1" t="s">
        <v>98</v>
      </c>
      <c r="AE3397" s="1" t="s">
        <v>98</v>
      </c>
      <c r="AF3397" s="1" t="s">
        <v>54372</v>
      </c>
      <c r="AG3397" s="1" t="s">
        <v>2745</v>
      </c>
      <c r="AH3397" s="1" t="s">
        <v>339</v>
      </c>
      <c r="AI3397" s="1" t="s">
        <v>133</v>
      </c>
      <c r="AJ3397" s="1">
        <v>62.2</v>
      </c>
      <c r="AK3397" s="1"/>
      <c r="AL3397" s="1"/>
      <c r="AM3397" s="1"/>
      <c r="AN3397" s="1"/>
      <c r="AO3397" s="1">
        <v>41436</v>
      </c>
      <c r="AP3397" s="1">
        <v>41680</v>
      </c>
      <c r="AQ3397" s="1"/>
      <c r="AR3397" s="1"/>
      <c r="AS3397" s="1" t="s">
        <v>439</v>
      </c>
      <c r="AT3397" s="1" t="s">
        <v>54373</v>
      </c>
      <c r="AU3397" s="1" t="s">
        <v>135</v>
      </c>
      <c r="AV3397" s="1" t="s">
        <v>170</v>
      </c>
      <c r="AW3397" s="1">
        <v>73.27</v>
      </c>
      <c r="AX3397" s="1"/>
      <c r="AY3397" s="1" t="s">
        <v>366</v>
      </c>
      <c r="AZ3397" s="1" t="s">
        <v>54374</v>
      </c>
      <c r="BA3397" s="1"/>
      <c r="BB3397" s="1"/>
      <c r="BC3397" s="1" t="s">
        <v>230</v>
      </c>
      <c r="BD3397" s="1" t="s">
        <v>175</v>
      </c>
      <c r="BE3397" s="1">
        <v>67.92</v>
      </c>
      <c r="BF3397" s="1">
        <v>7.15</v>
      </c>
      <c r="BG3397" s="1"/>
      <c r="BH3397" s="1"/>
      <c r="BI3397" s="1"/>
      <c r="BJ3397" s="1"/>
      <c r="BK3397" s="1" t="s">
        <v>98</v>
      </c>
      <c r="BL3397" s="1" t="s">
        <v>98</v>
      </c>
      <c r="BM3397" s="1" t="s">
        <v>98</v>
      </c>
      <c r="BN3397" s="1" t="s">
        <v>98</v>
      </c>
      <c r="BO3397" s="1" t="s">
        <v>25630</v>
      </c>
      <c r="BP3397" s="1"/>
      <c r="BQ3397" s="1"/>
      <c r="BR3397" s="1" t="s">
        <v>52815</v>
      </c>
      <c r="BS3397" s="1">
        <v>8</v>
      </c>
      <c r="BT3397" s="1"/>
      <c r="BU3397" s="1" t="str">
        <f>HYPERLINK("https://nconnect.nicmar.ac.in/storage/profile/2021-2023_AP21184_437695.jpg","Download")</f>
        <v>0</v>
      </c>
      <c r="BV3397" s="3"/>
      <c r="BW3397" s="3"/>
    </row>
    <row r="3398" spans="1:75">
      <c r="A3398" s="1" t="s">
        <v>51340</v>
      </c>
      <c r="B3398" s="1" t="s">
        <v>51341</v>
      </c>
      <c r="C3398" s="1" t="s">
        <v>54375</v>
      </c>
      <c r="D3398" s="1" t="s">
        <v>54376</v>
      </c>
      <c r="E3398" s="1"/>
      <c r="F3398" s="1" t="s">
        <v>54376</v>
      </c>
      <c r="G3398" s="1" t="s">
        <v>54377</v>
      </c>
      <c r="H3398" s="1" t="s">
        <v>54378</v>
      </c>
      <c r="I3398" s="1" t="s">
        <v>54379</v>
      </c>
      <c r="J3398" s="1">
        <v>8447002812</v>
      </c>
      <c r="K3398" s="1" t="s">
        <v>84</v>
      </c>
      <c r="L3398" s="1" t="s">
        <v>28289</v>
      </c>
      <c r="M3398" s="1" t="s">
        <v>86</v>
      </c>
      <c r="N3398" s="1" t="s">
        <v>246</v>
      </c>
      <c r="O3398" s="1"/>
      <c r="P3398" s="1" t="s">
        <v>481</v>
      </c>
      <c r="Q3398" s="1" t="s">
        <v>54380</v>
      </c>
      <c r="R3398" s="1" t="s">
        <v>54381</v>
      </c>
      <c r="S3398" s="1">
        <v>9971860581</v>
      </c>
      <c r="T3398" s="1" t="s">
        <v>29982</v>
      </c>
      <c r="U3398" s="1" t="s">
        <v>54382</v>
      </c>
      <c r="V3398" s="1">
        <v>9910276977</v>
      </c>
      <c r="W3398" s="1" t="s">
        <v>94</v>
      </c>
      <c r="X3398" s="1" t="s">
        <v>54383</v>
      </c>
      <c r="Y3398" s="1" t="s">
        <v>1739</v>
      </c>
      <c r="Z3398" s="1" t="s">
        <v>1739</v>
      </c>
      <c r="AA3398" s="1" t="s">
        <v>54384</v>
      </c>
      <c r="AB3398" s="1" t="s">
        <v>196</v>
      </c>
      <c r="AC3398" s="1" t="s">
        <v>97</v>
      </c>
      <c r="AD3398" s="1" t="s">
        <v>98</v>
      </c>
      <c r="AE3398" s="1" t="s">
        <v>98</v>
      </c>
      <c r="AF3398" s="1" t="s">
        <v>54385</v>
      </c>
      <c r="AG3398" s="1" t="s">
        <v>312</v>
      </c>
      <c r="AH3398" s="1">
        <v>41365</v>
      </c>
      <c r="AI3398" s="1">
        <v>41779</v>
      </c>
      <c r="AJ3398" s="1">
        <v>77.9</v>
      </c>
      <c r="AK3398" s="1">
        <v>8.2</v>
      </c>
      <c r="AL3398" s="1" t="s">
        <v>11412</v>
      </c>
      <c r="AM3398" s="1" t="s">
        <v>312</v>
      </c>
      <c r="AN3398" s="1"/>
      <c r="AO3398" s="1">
        <v>42100</v>
      </c>
      <c r="AP3398" s="1">
        <v>42511</v>
      </c>
      <c r="AQ3398" s="1">
        <v>77.6</v>
      </c>
      <c r="AR3398" s="1"/>
      <c r="AS3398" s="1"/>
      <c r="AT3398" s="1"/>
      <c r="AU3398" s="1" t="s">
        <v>98</v>
      </c>
      <c r="AV3398" s="1" t="s">
        <v>98</v>
      </c>
      <c r="AW3398" s="1" t="s">
        <v>98</v>
      </c>
      <c r="AX3398" s="1" t="s">
        <v>98</v>
      </c>
      <c r="AY3398" s="1" t="s">
        <v>53028</v>
      </c>
      <c r="AZ3398" s="1" t="s">
        <v>53028</v>
      </c>
      <c r="BA3398" s="1"/>
      <c r="BB3398" s="1"/>
      <c r="BC3398" s="1">
        <v>42937</v>
      </c>
      <c r="BD3398" s="1">
        <v>44364</v>
      </c>
      <c r="BE3398" s="1">
        <v>78.16</v>
      </c>
      <c r="BF3398" s="1">
        <v>6.98</v>
      </c>
      <c r="BG3398" s="1"/>
      <c r="BH3398" s="1"/>
      <c r="BI3398" s="1"/>
      <c r="BJ3398" s="1"/>
      <c r="BK3398" s="1" t="s">
        <v>98</v>
      </c>
      <c r="BL3398" s="1" t="s">
        <v>98</v>
      </c>
      <c r="BM3398" s="1" t="s">
        <v>98</v>
      </c>
      <c r="BN3398" s="1" t="s">
        <v>98</v>
      </c>
      <c r="BO3398" s="1" t="s">
        <v>28364</v>
      </c>
      <c r="BP3398" s="1"/>
      <c r="BQ3398" s="1"/>
      <c r="BR3398" s="1" t="s">
        <v>54386</v>
      </c>
      <c r="BS3398" s="1">
        <v>10</v>
      </c>
      <c r="BT3398" s="1"/>
      <c r="BU3398" s="1" t="s">
        <v>9653</v>
      </c>
      <c r="BV3398" s="3"/>
      <c r="BW3398" s="3"/>
    </row>
    <row r="3399" spans="1:75">
      <c r="A3399" s="1" t="s">
        <v>51340</v>
      </c>
      <c r="B3399" s="1" t="s">
        <v>51341</v>
      </c>
      <c r="C3399" s="1" t="s">
        <v>54387</v>
      </c>
      <c r="D3399" s="1" t="s">
        <v>54388</v>
      </c>
      <c r="E3399" s="1"/>
      <c r="F3399" s="1" t="s">
        <v>54389</v>
      </c>
      <c r="G3399" s="1" t="s">
        <v>54390</v>
      </c>
      <c r="H3399" s="1" t="s">
        <v>54391</v>
      </c>
      <c r="I3399" s="1" t="s">
        <v>54392</v>
      </c>
      <c r="J3399" s="1">
        <v>9051675775</v>
      </c>
      <c r="K3399" s="1" t="s">
        <v>84</v>
      </c>
      <c r="L3399" s="1" t="s">
        <v>54393</v>
      </c>
      <c r="M3399" s="1" t="s">
        <v>86</v>
      </c>
      <c r="N3399" s="1" t="s">
        <v>54394</v>
      </c>
      <c r="O3399" s="1"/>
      <c r="P3399" s="1" t="s">
        <v>455</v>
      </c>
      <c r="Q3399" s="1" t="s">
        <v>54395</v>
      </c>
      <c r="R3399" s="1" t="s">
        <v>54396</v>
      </c>
      <c r="S3399" s="1">
        <v>9831152890</v>
      </c>
      <c r="T3399" s="1" t="s">
        <v>54397</v>
      </c>
      <c r="U3399" s="1" t="s">
        <v>54398</v>
      </c>
      <c r="V3399" s="1">
        <v>9903566086</v>
      </c>
      <c r="W3399" s="1" t="s">
        <v>127</v>
      </c>
      <c r="X3399" s="1" t="s">
        <v>54399</v>
      </c>
      <c r="Y3399" s="1" t="s">
        <v>31207</v>
      </c>
      <c r="Z3399" s="1" t="s">
        <v>1234</v>
      </c>
      <c r="AA3399" s="1" t="s">
        <v>54400</v>
      </c>
      <c r="AB3399" s="1" t="s">
        <v>196</v>
      </c>
      <c r="AC3399" s="1" t="s">
        <v>97</v>
      </c>
      <c r="AD3399" s="1" t="s">
        <v>98</v>
      </c>
      <c r="AE3399" s="1" t="s">
        <v>98</v>
      </c>
      <c r="AF3399" s="1" t="s">
        <v>54401</v>
      </c>
      <c r="AG3399" s="1" t="s">
        <v>6474</v>
      </c>
      <c r="AH3399" s="1">
        <v>41732</v>
      </c>
      <c r="AI3399" s="1">
        <v>42142</v>
      </c>
      <c r="AJ3399" s="1">
        <v>83.8</v>
      </c>
      <c r="AK3399" s="1"/>
      <c r="AL3399" s="1" t="s">
        <v>54402</v>
      </c>
      <c r="AM3399" s="1" t="s">
        <v>6474</v>
      </c>
      <c r="AN3399" s="1"/>
      <c r="AO3399" s="1">
        <v>42466</v>
      </c>
      <c r="AP3399" s="1">
        <v>42883</v>
      </c>
      <c r="AQ3399" s="1">
        <v>79.2</v>
      </c>
      <c r="AR3399" s="1"/>
      <c r="AS3399" s="1"/>
      <c r="AT3399" s="1"/>
      <c r="AU3399" s="1" t="s">
        <v>98</v>
      </c>
      <c r="AV3399" s="1" t="s">
        <v>98</v>
      </c>
      <c r="AW3399" s="1" t="s">
        <v>98</v>
      </c>
      <c r="AX3399" s="1" t="s">
        <v>98</v>
      </c>
      <c r="AY3399" s="1" t="s">
        <v>1217</v>
      </c>
      <c r="AZ3399" s="1" t="s">
        <v>54403</v>
      </c>
      <c r="BA3399" s="1"/>
      <c r="BB3399" s="1"/>
      <c r="BC3399" s="1">
        <v>42947</v>
      </c>
      <c r="BD3399" s="1">
        <v>44412</v>
      </c>
      <c r="BE3399" s="1">
        <v>66.9</v>
      </c>
      <c r="BF3399" s="1">
        <v>7.44</v>
      </c>
      <c r="BG3399" s="1"/>
      <c r="BH3399" s="1"/>
      <c r="BI3399" s="1"/>
      <c r="BJ3399" s="1"/>
      <c r="BK3399" s="1" t="s">
        <v>98</v>
      </c>
      <c r="BL3399" s="1" t="s">
        <v>98</v>
      </c>
      <c r="BM3399" s="1" t="s">
        <v>98</v>
      </c>
      <c r="BN3399" s="1" t="s">
        <v>98</v>
      </c>
      <c r="BO3399" s="1" t="s">
        <v>54404</v>
      </c>
      <c r="BP3399" s="1"/>
      <c r="BQ3399" s="1"/>
      <c r="BR3399" s="1" t="s">
        <v>54405</v>
      </c>
      <c r="BS3399" s="1">
        <v>19</v>
      </c>
      <c r="BT3399" s="1"/>
      <c r="BU3399" s="1" t="str">
        <f>HYPERLINK("https://nconnect.nicmar.ac.in/storage/profile/2021-2023_AP21186_632985.jpg","Download")</f>
        <v>0</v>
      </c>
      <c r="BV3399" s="3"/>
      <c r="BW3399" s="3"/>
    </row>
    <row r="3400" spans="1:75">
      <c r="A3400" s="1" t="s">
        <v>51340</v>
      </c>
      <c r="B3400" s="1" t="s">
        <v>51341</v>
      </c>
      <c r="C3400" s="1" t="s">
        <v>54406</v>
      </c>
      <c r="D3400" s="1" t="s">
        <v>32566</v>
      </c>
      <c r="E3400" s="1" t="s">
        <v>32725</v>
      </c>
      <c r="F3400" s="1" t="s">
        <v>12454</v>
      </c>
      <c r="G3400" s="1" t="s">
        <v>54407</v>
      </c>
      <c r="H3400" s="1" t="s">
        <v>54408</v>
      </c>
      <c r="I3400" s="1" t="s">
        <v>54409</v>
      </c>
      <c r="J3400" s="1">
        <v>9881899909</v>
      </c>
      <c r="K3400" s="1" t="s">
        <v>84</v>
      </c>
      <c r="L3400" s="1" t="s">
        <v>54410</v>
      </c>
      <c r="M3400" s="1" t="s">
        <v>86</v>
      </c>
      <c r="N3400" s="1" t="s">
        <v>54411</v>
      </c>
      <c r="O3400" s="1"/>
      <c r="P3400" s="1" t="s">
        <v>481</v>
      </c>
      <c r="Q3400" s="1" t="s">
        <v>54412</v>
      </c>
      <c r="R3400" s="1" t="s">
        <v>54413</v>
      </c>
      <c r="S3400" s="1">
        <v>8275276101</v>
      </c>
      <c r="T3400" s="1" t="s">
        <v>771</v>
      </c>
      <c r="U3400" s="1" t="s">
        <v>54414</v>
      </c>
      <c r="V3400" s="1">
        <v>8275276102</v>
      </c>
      <c r="W3400" s="1" t="s">
        <v>161</v>
      </c>
      <c r="X3400" s="1" t="s">
        <v>54415</v>
      </c>
      <c r="Y3400" s="1" t="s">
        <v>5181</v>
      </c>
      <c r="Z3400" s="1" t="s">
        <v>97</v>
      </c>
      <c r="AA3400" s="1" t="s">
        <v>54416</v>
      </c>
      <c r="AB3400" s="1" t="s">
        <v>196</v>
      </c>
      <c r="AC3400" s="1" t="s">
        <v>97</v>
      </c>
      <c r="AD3400" s="1" t="s">
        <v>98</v>
      </c>
      <c r="AE3400" s="1" t="s">
        <v>98</v>
      </c>
      <c r="AF3400" s="1" t="s">
        <v>54417</v>
      </c>
      <c r="AG3400" s="1" t="s">
        <v>1968</v>
      </c>
      <c r="AH3400" s="1">
        <v>41440</v>
      </c>
      <c r="AI3400" s="1">
        <v>41767</v>
      </c>
      <c r="AJ3400" s="1">
        <v>81</v>
      </c>
      <c r="AK3400" s="1"/>
      <c r="AL3400" s="1" t="s">
        <v>98</v>
      </c>
      <c r="AM3400" s="1" t="s">
        <v>1968</v>
      </c>
      <c r="AN3400" s="1"/>
      <c r="AO3400" s="1" t="s">
        <v>98</v>
      </c>
      <c r="AP3400" s="1" t="s">
        <v>98</v>
      </c>
      <c r="AQ3400" s="1"/>
      <c r="AR3400" s="1"/>
      <c r="AS3400" s="1" t="s">
        <v>439</v>
      </c>
      <c r="AT3400" s="1" t="s">
        <v>54418</v>
      </c>
      <c r="AU3400" s="1">
        <v>41849</v>
      </c>
      <c r="AV3400" s="1">
        <v>42923</v>
      </c>
      <c r="AW3400" s="1">
        <v>77.21</v>
      </c>
      <c r="AX3400" s="1"/>
      <c r="AY3400" s="1" t="s">
        <v>4548</v>
      </c>
      <c r="AZ3400" s="1" t="s">
        <v>11093</v>
      </c>
      <c r="BA3400" s="1"/>
      <c r="BB3400" s="1"/>
      <c r="BC3400" s="1">
        <v>42958</v>
      </c>
      <c r="BD3400" s="1">
        <v>44150</v>
      </c>
      <c r="BE3400" s="1">
        <v>73.98</v>
      </c>
      <c r="BF3400" s="1">
        <v>8.68</v>
      </c>
      <c r="BG3400" s="1"/>
      <c r="BH3400" s="1"/>
      <c r="BI3400" s="1"/>
      <c r="BJ3400" s="1"/>
      <c r="BK3400" s="1" t="s">
        <v>98</v>
      </c>
      <c r="BL3400" s="1" t="s">
        <v>98</v>
      </c>
      <c r="BM3400" s="1" t="s">
        <v>98</v>
      </c>
      <c r="BN3400" s="1" t="s">
        <v>98</v>
      </c>
      <c r="BO3400" s="1" t="s">
        <v>369</v>
      </c>
      <c r="BP3400" s="1" t="s">
        <v>54419</v>
      </c>
      <c r="BQ3400" s="1" t="s">
        <v>2245</v>
      </c>
      <c r="BR3400" s="1" t="s">
        <v>54420</v>
      </c>
      <c r="BS3400" s="1">
        <v>14</v>
      </c>
      <c r="BT3400" s="1"/>
      <c r="BU3400" s="1" t="str">
        <f>HYPERLINK("https://nconnect.nicmar.ac.in/storage/profile/2021-2023_AP21187_527619.jpg","Download")</f>
        <v>0</v>
      </c>
      <c r="BV3400" s="3"/>
      <c r="BW3400" s="3"/>
    </row>
    <row r="3401" spans="1:75">
      <c r="A3401" s="1" t="s">
        <v>51340</v>
      </c>
      <c r="B3401" s="1" t="s">
        <v>51341</v>
      </c>
      <c r="C3401" s="1" t="s">
        <v>54421</v>
      </c>
      <c r="D3401" s="1" t="s">
        <v>54422</v>
      </c>
      <c r="E3401" s="1"/>
      <c r="F3401" s="1" t="s">
        <v>30716</v>
      </c>
      <c r="G3401" s="1" t="s">
        <v>54423</v>
      </c>
      <c r="H3401" s="1" t="s">
        <v>54424</v>
      </c>
      <c r="I3401" s="1" t="s">
        <v>54425</v>
      </c>
      <c r="J3401" s="1">
        <v>9790066300</v>
      </c>
      <c r="K3401" s="1" t="s">
        <v>84</v>
      </c>
      <c r="L3401" s="1" t="s">
        <v>10814</v>
      </c>
      <c r="M3401" s="1" t="s">
        <v>86</v>
      </c>
      <c r="N3401" s="1" t="s">
        <v>54426</v>
      </c>
      <c r="O3401" s="1"/>
      <c r="P3401" s="1" t="s">
        <v>670</v>
      </c>
      <c r="Q3401" s="1" t="s">
        <v>54427</v>
      </c>
      <c r="R3401" s="1" t="s">
        <v>54428</v>
      </c>
      <c r="S3401" s="1">
        <v>9677556689</v>
      </c>
      <c r="T3401" s="1" t="s">
        <v>54429</v>
      </c>
      <c r="U3401" s="1" t="s">
        <v>54430</v>
      </c>
      <c r="V3401" s="1">
        <v>9677556689</v>
      </c>
      <c r="W3401" s="1" t="s">
        <v>94</v>
      </c>
      <c r="X3401" s="1" t="s">
        <v>54431</v>
      </c>
      <c r="Y3401" s="1" t="s">
        <v>54432</v>
      </c>
      <c r="Z3401" s="1" t="s">
        <v>570</v>
      </c>
      <c r="AA3401" s="1" t="s">
        <v>54431</v>
      </c>
      <c r="AB3401" s="1" t="s">
        <v>54432</v>
      </c>
      <c r="AC3401" s="1" t="s">
        <v>570</v>
      </c>
      <c r="AD3401" s="1" t="s">
        <v>98</v>
      </c>
      <c r="AE3401" s="1" t="s">
        <v>98</v>
      </c>
      <c r="AF3401" s="1" t="s">
        <v>54433</v>
      </c>
      <c r="AG3401" s="1" t="s">
        <v>54434</v>
      </c>
      <c r="AH3401" s="1">
        <v>41792</v>
      </c>
      <c r="AI3401" s="1">
        <v>42145</v>
      </c>
      <c r="AJ3401" s="1">
        <v>87.8</v>
      </c>
      <c r="AK3401" s="1"/>
      <c r="AL3401" s="1" t="s">
        <v>54435</v>
      </c>
      <c r="AM3401" s="1" t="s">
        <v>54434</v>
      </c>
      <c r="AN3401" s="1"/>
      <c r="AO3401" s="1">
        <v>42527</v>
      </c>
      <c r="AP3401" s="1">
        <v>42867</v>
      </c>
      <c r="AQ3401" s="1">
        <v>67.33</v>
      </c>
      <c r="AR3401" s="1"/>
      <c r="AS3401" s="1"/>
      <c r="AT3401" s="1"/>
      <c r="AU3401" s="1" t="s">
        <v>98</v>
      </c>
      <c r="AV3401" s="1" t="s">
        <v>98</v>
      </c>
      <c r="AW3401" s="1" t="s">
        <v>98</v>
      </c>
      <c r="AX3401" s="1" t="s">
        <v>98</v>
      </c>
      <c r="AY3401" s="1" t="s">
        <v>54436</v>
      </c>
      <c r="AZ3401" s="1" t="s">
        <v>54437</v>
      </c>
      <c r="BA3401" s="1"/>
      <c r="BB3401" s="1"/>
      <c r="BC3401" s="1">
        <v>42948</v>
      </c>
      <c r="BD3401" s="1">
        <v>44298</v>
      </c>
      <c r="BE3401" s="1">
        <v>74.6</v>
      </c>
      <c r="BF3401" s="1">
        <v>7.46</v>
      </c>
      <c r="BG3401" s="1"/>
      <c r="BH3401" s="1"/>
      <c r="BI3401" s="1"/>
      <c r="BJ3401" s="1"/>
      <c r="BK3401" s="1" t="s">
        <v>98</v>
      </c>
      <c r="BL3401" s="1" t="s">
        <v>98</v>
      </c>
      <c r="BM3401" s="1" t="s">
        <v>98</v>
      </c>
      <c r="BN3401" s="1" t="s">
        <v>98</v>
      </c>
      <c r="BO3401" s="1" t="s">
        <v>28364</v>
      </c>
      <c r="BP3401" s="1"/>
      <c r="BQ3401" s="1"/>
      <c r="BR3401" s="1" t="s">
        <v>54438</v>
      </c>
      <c r="BS3401" s="1">
        <v>122</v>
      </c>
      <c r="BT3401" s="1"/>
      <c r="BU3401" s="1" t="str">
        <f>HYPERLINK("https://nconnect.nicmar.ac.in/storage/profile/2021-2023_AP21188_247856.jpg","Download")</f>
        <v>0</v>
      </c>
      <c r="BV3401" s="3"/>
      <c r="BW3401" s="3"/>
    </row>
    <row r="3402" spans="1:75">
      <c r="A3402" s="1" t="s">
        <v>51340</v>
      </c>
      <c r="B3402" s="1" t="s">
        <v>51341</v>
      </c>
      <c r="C3402" s="1" t="s">
        <v>54439</v>
      </c>
      <c r="D3402" s="1" t="s">
        <v>54440</v>
      </c>
      <c r="E3402" s="1" t="s">
        <v>6136</v>
      </c>
      <c r="F3402" s="1" t="s">
        <v>54441</v>
      </c>
      <c r="G3402" s="1" t="s">
        <v>54442</v>
      </c>
      <c r="H3402" s="1" t="s">
        <v>54443</v>
      </c>
      <c r="I3402" s="1" t="s">
        <v>54444</v>
      </c>
      <c r="J3402" s="1">
        <v>9429964029</v>
      </c>
      <c r="K3402" s="1" t="s">
        <v>84</v>
      </c>
      <c r="L3402" s="1" t="s">
        <v>27640</v>
      </c>
      <c r="M3402" s="1" t="s">
        <v>86</v>
      </c>
      <c r="N3402" s="1" t="s">
        <v>54445</v>
      </c>
      <c r="O3402" s="1"/>
      <c r="P3402" s="1" t="s">
        <v>507</v>
      </c>
      <c r="Q3402" s="1" t="s">
        <v>54446</v>
      </c>
      <c r="R3402" s="1" t="s">
        <v>54447</v>
      </c>
      <c r="S3402" s="1">
        <v>9925200362</v>
      </c>
      <c r="T3402" s="1" t="s">
        <v>40927</v>
      </c>
      <c r="U3402" s="1" t="s">
        <v>54448</v>
      </c>
      <c r="V3402" s="1">
        <v>9898389319</v>
      </c>
      <c r="W3402" s="1" t="s">
        <v>94</v>
      </c>
      <c r="X3402" s="1" t="s">
        <v>54449</v>
      </c>
      <c r="Y3402" s="1" t="s">
        <v>8166</v>
      </c>
      <c r="Z3402" s="1" t="s">
        <v>676</v>
      </c>
      <c r="AA3402" s="1" t="s">
        <v>54449</v>
      </c>
      <c r="AB3402" s="1" t="s">
        <v>8166</v>
      </c>
      <c r="AC3402" s="1" t="s">
        <v>676</v>
      </c>
      <c r="AD3402" s="1" t="s">
        <v>98</v>
      </c>
      <c r="AE3402" s="1" t="s">
        <v>98</v>
      </c>
      <c r="AF3402" s="1" t="s">
        <v>54450</v>
      </c>
      <c r="AG3402" s="1" t="s">
        <v>8746</v>
      </c>
      <c r="AH3402" s="1" t="s">
        <v>54451</v>
      </c>
      <c r="AI3402" s="1" t="s">
        <v>54452</v>
      </c>
      <c r="AJ3402" s="1">
        <v>84.66</v>
      </c>
      <c r="AK3402" s="1">
        <v>0</v>
      </c>
      <c r="AL3402" s="1" t="s">
        <v>54450</v>
      </c>
      <c r="AM3402" s="1" t="s">
        <v>8746</v>
      </c>
      <c r="AN3402" s="1"/>
      <c r="AO3402" s="1" t="s">
        <v>54453</v>
      </c>
      <c r="AP3402" s="1" t="s">
        <v>54454</v>
      </c>
      <c r="AQ3402" s="1">
        <v>68.15</v>
      </c>
      <c r="AR3402" s="1">
        <v>0</v>
      </c>
      <c r="AS3402" s="1"/>
      <c r="AT3402" s="1"/>
      <c r="AU3402" s="1" t="s">
        <v>98</v>
      </c>
      <c r="AV3402" s="1" t="s">
        <v>98</v>
      </c>
      <c r="AW3402" s="1" t="s">
        <v>98</v>
      </c>
      <c r="AX3402" s="1" t="s">
        <v>98</v>
      </c>
      <c r="AY3402" s="1" t="s">
        <v>5241</v>
      </c>
      <c r="AZ3402" s="1" t="s">
        <v>54455</v>
      </c>
      <c r="BA3402" s="1"/>
      <c r="BB3402" s="1"/>
      <c r="BC3402" s="1" t="s">
        <v>54456</v>
      </c>
      <c r="BD3402" s="1" t="s">
        <v>54457</v>
      </c>
      <c r="BE3402" s="1">
        <v>77.5</v>
      </c>
      <c r="BF3402" s="1">
        <v>8.25</v>
      </c>
      <c r="BG3402" s="1"/>
      <c r="BH3402" s="1"/>
      <c r="BI3402" s="1"/>
      <c r="BJ3402" s="1"/>
      <c r="BK3402" s="1" t="s">
        <v>98</v>
      </c>
      <c r="BL3402" s="1" t="s">
        <v>98</v>
      </c>
      <c r="BM3402" s="1" t="s">
        <v>98</v>
      </c>
      <c r="BN3402" s="1" t="s">
        <v>98</v>
      </c>
      <c r="BO3402" s="1" t="s">
        <v>369</v>
      </c>
      <c r="BP3402" s="1" t="s">
        <v>54458</v>
      </c>
      <c r="BQ3402" s="1" t="s">
        <v>736</v>
      </c>
      <c r="BR3402" s="1" t="s">
        <v>54459</v>
      </c>
      <c r="BS3402" s="1">
        <v>8</v>
      </c>
      <c r="BT3402" s="1"/>
      <c r="BU3402" s="1" t="str">
        <f>HYPERLINK("https://nconnect.nicmar.ac.in/storage/profile/2021-2023_AP21189_791634.jpg","Download")</f>
        <v>0</v>
      </c>
      <c r="BV3402" s="3"/>
      <c r="BW3402" s="3"/>
    </row>
    <row r="3403" spans="1:75">
      <c r="A3403" s="1" t="s">
        <v>51340</v>
      </c>
      <c r="B3403" s="1" t="s">
        <v>51341</v>
      </c>
      <c r="C3403" s="1" t="s">
        <v>54460</v>
      </c>
      <c r="D3403" s="1" t="s">
        <v>5230</v>
      </c>
      <c r="E3403" s="1" t="s">
        <v>54461</v>
      </c>
      <c r="F3403" s="1" t="s">
        <v>54462</v>
      </c>
      <c r="G3403" s="1" t="s">
        <v>54463</v>
      </c>
      <c r="H3403" s="1" t="s">
        <v>54464</v>
      </c>
      <c r="I3403" s="1" t="s">
        <v>54465</v>
      </c>
      <c r="J3403" s="1">
        <v>7795505402</v>
      </c>
      <c r="K3403" s="1" t="s">
        <v>84</v>
      </c>
      <c r="L3403" s="1" t="s">
        <v>54466</v>
      </c>
      <c r="M3403" s="1" t="s">
        <v>86</v>
      </c>
      <c r="N3403" s="1" t="s">
        <v>54467</v>
      </c>
      <c r="O3403" s="1"/>
      <c r="P3403" s="1" t="s">
        <v>455</v>
      </c>
      <c r="Q3403" s="1" t="s">
        <v>54468</v>
      </c>
      <c r="R3403" s="1" t="s">
        <v>54461</v>
      </c>
      <c r="S3403" s="1">
        <v>9448138471</v>
      </c>
      <c r="T3403" s="1" t="s">
        <v>382</v>
      </c>
      <c r="U3403" s="1" t="s">
        <v>54469</v>
      </c>
      <c r="V3403" s="1">
        <v>8050019471</v>
      </c>
      <c r="W3403" s="1" t="s">
        <v>278</v>
      </c>
      <c r="X3403" s="1" t="s">
        <v>54470</v>
      </c>
      <c r="Y3403" s="1" t="s">
        <v>54471</v>
      </c>
      <c r="Z3403" s="1" t="s">
        <v>1210</v>
      </c>
      <c r="AA3403" s="1" t="s">
        <v>54470</v>
      </c>
      <c r="AB3403" s="1" t="s">
        <v>54471</v>
      </c>
      <c r="AC3403" s="1" t="s">
        <v>1210</v>
      </c>
      <c r="AD3403" s="1" t="s">
        <v>98</v>
      </c>
      <c r="AE3403" s="1" t="s">
        <v>98</v>
      </c>
      <c r="AF3403" s="1" t="s">
        <v>54472</v>
      </c>
      <c r="AG3403" s="1" t="s">
        <v>1946</v>
      </c>
      <c r="AH3403" s="1" t="s">
        <v>3285</v>
      </c>
      <c r="AI3403" s="1" t="s">
        <v>2726</v>
      </c>
      <c r="AJ3403" s="1">
        <v>73.44</v>
      </c>
      <c r="AK3403" s="1">
        <v>0</v>
      </c>
      <c r="AL3403" s="1" t="s">
        <v>54473</v>
      </c>
      <c r="AM3403" s="1" t="s">
        <v>1946</v>
      </c>
      <c r="AN3403" s="1"/>
      <c r="AO3403" s="1" t="s">
        <v>134</v>
      </c>
      <c r="AP3403" s="1" t="s">
        <v>1262</v>
      </c>
      <c r="AQ3403" s="1">
        <v>81.5</v>
      </c>
      <c r="AR3403" s="1">
        <v>0</v>
      </c>
      <c r="AS3403" s="1"/>
      <c r="AT3403" s="1"/>
      <c r="AU3403" s="1" t="s">
        <v>98</v>
      </c>
      <c r="AV3403" s="1" t="s">
        <v>98</v>
      </c>
      <c r="AW3403" s="1"/>
      <c r="AX3403" s="1"/>
      <c r="AY3403" s="1" t="s">
        <v>6669</v>
      </c>
      <c r="AZ3403" s="1" t="s">
        <v>35041</v>
      </c>
      <c r="BA3403" s="1"/>
      <c r="BB3403" s="1"/>
      <c r="BC3403" s="1" t="s">
        <v>257</v>
      </c>
      <c r="BD3403" s="1" t="s">
        <v>490</v>
      </c>
      <c r="BE3403" s="1">
        <v>73.4</v>
      </c>
      <c r="BF3403" s="1">
        <v>8.09</v>
      </c>
      <c r="BG3403" s="1"/>
      <c r="BH3403" s="1"/>
      <c r="BI3403" s="1"/>
      <c r="BJ3403" s="1"/>
      <c r="BK3403" s="1" t="s">
        <v>98</v>
      </c>
      <c r="BL3403" s="1" t="s">
        <v>98</v>
      </c>
      <c r="BM3403" s="1" t="s">
        <v>98</v>
      </c>
      <c r="BN3403" s="1" t="s">
        <v>98</v>
      </c>
      <c r="BO3403" s="1" t="s">
        <v>1114</v>
      </c>
      <c r="BP3403" s="1" t="s">
        <v>54474</v>
      </c>
      <c r="BQ3403" s="1" t="s">
        <v>52281</v>
      </c>
      <c r="BR3403" s="1" t="s">
        <v>54475</v>
      </c>
      <c r="BS3403" s="1">
        <v>15</v>
      </c>
      <c r="BT3403" s="1"/>
      <c r="BU3403" s="1" t="str">
        <f>HYPERLINK("https://nconnect.nicmar.ac.in/storage/profile/2021-2023_AP21190_275839.jpg","Download")</f>
        <v>0</v>
      </c>
      <c r="BV3403" s="3"/>
      <c r="BW3403" s="3"/>
    </row>
    <row r="3404" spans="1:75">
      <c r="A3404" s="1" t="s">
        <v>51340</v>
      </c>
      <c r="B3404" s="1" t="s">
        <v>51341</v>
      </c>
      <c r="C3404" s="1" t="s">
        <v>54476</v>
      </c>
      <c r="D3404" s="1" t="s">
        <v>4852</v>
      </c>
      <c r="E3404" s="1" t="s">
        <v>5005</v>
      </c>
      <c r="F3404" s="1" t="s">
        <v>6759</v>
      </c>
      <c r="G3404" s="1" t="s">
        <v>54477</v>
      </c>
      <c r="H3404" s="1" t="s">
        <v>54478</v>
      </c>
      <c r="I3404" s="1" t="s">
        <v>54479</v>
      </c>
      <c r="J3404" s="1">
        <v>9604299174</v>
      </c>
      <c r="K3404" s="1" t="s">
        <v>84</v>
      </c>
      <c r="L3404" s="1" t="s">
        <v>54480</v>
      </c>
      <c r="M3404" s="1" t="s">
        <v>86</v>
      </c>
      <c r="N3404" s="1" t="s">
        <v>903</v>
      </c>
      <c r="O3404" s="1"/>
      <c r="P3404" s="1" t="s">
        <v>455</v>
      </c>
      <c r="Q3404" s="1" t="s">
        <v>54481</v>
      </c>
      <c r="R3404" s="1" t="s">
        <v>54482</v>
      </c>
      <c r="S3404" s="1">
        <v>9422743572</v>
      </c>
      <c r="T3404" s="1" t="s">
        <v>54483</v>
      </c>
      <c r="U3404" s="1" t="s">
        <v>54484</v>
      </c>
      <c r="V3404" s="1">
        <v>9822514353</v>
      </c>
      <c r="W3404" s="1" t="s">
        <v>54485</v>
      </c>
      <c r="X3404" s="1" t="s">
        <v>54486</v>
      </c>
      <c r="Y3404" s="1" t="s">
        <v>2668</v>
      </c>
      <c r="Z3404" s="1" t="s">
        <v>97</v>
      </c>
      <c r="AA3404" s="1" t="s">
        <v>54486</v>
      </c>
      <c r="AB3404" s="1" t="s">
        <v>2668</v>
      </c>
      <c r="AC3404" s="1" t="s">
        <v>97</v>
      </c>
      <c r="AD3404" s="1" t="s">
        <v>98</v>
      </c>
      <c r="AE3404" s="1" t="s">
        <v>98</v>
      </c>
      <c r="AF3404" s="1" t="s">
        <v>54487</v>
      </c>
      <c r="AG3404" s="1" t="s">
        <v>51712</v>
      </c>
      <c r="AH3404" s="1" t="s">
        <v>1213</v>
      </c>
      <c r="AI3404" s="1" t="s">
        <v>101</v>
      </c>
      <c r="AJ3404" s="1">
        <v>92.6</v>
      </c>
      <c r="AK3404" s="1">
        <v>9.74</v>
      </c>
      <c r="AL3404" s="1" t="s">
        <v>54488</v>
      </c>
      <c r="AM3404" s="1" t="s">
        <v>51712</v>
      </c>
      <c r="AN3404" s="1"/>
      <c r="AO3404" s="1" t="s">
        <v>105</v>
      </c>
      <c r="AP3404" s="1" t="s">
        <v>627</v>
      </c>
      <c r="AQ3404" s="1">
        <v>85.69</v>
      </c>
      <c r="AR3404" s="1">
        <v>9.02</v>
      </c>
      <c r="AS3404" s="1"/>
      <c r="AT3404" s="1"/>
      <c r="AU3404" s="1" t="s">
        <v>98</v>
      </c>
      <c r="AV3404" s="1" t="s">
        <v>98</v>
      </c>
      <c r="AW3404" s="1"/>
      <c r="AX3404" s="1"/>
      <c r="AY3404" s="1" t="s">
        <v>366</v>
      </c>
      <c r="AZ3404" s="1" t="s">
        <v>54489</v>
      </c>
      <c r="BA3404" s="1"/>
      <c r="BB3404" s="1"/>
      <c r="BC3404" s="1" t="s">
        <v>139</v>
      </c>
      <c r="BD3404" s="1" t="s">
        <v>175</v>
      </c>
      <c r="BE3404" s="1">
        <v>64.88</v>
      </c>
      <c r="BF3404" s="1">
        <v>6.83</v>
      </c>
      <c r="BG3404" s="1"/>
      <c r="BH3404" s="1"/>
      <c r="BI3404" s="1"/>
      <c r="BJ3404" s="1"/>
      <c r="BK3404" s="1" t="s">
        <v>98</v>
      </c>
      <c r="BL3404" s="1" t="s">
        <v>98</v>
      </c>
      <c r="BM3404" s="1" t="s">
        <v>98</v>
      </c>
      <c r="BN3404" s="1" t="s">
        <v>98</v>
      </c>
      <c r="BO3404" s="1" t="s">
        <v>1114</v>
      </c>
      <c r="BP3404" s="1"/>
      <c r="BQ3404" s="1"/>
      <c r="BR3404" s="1" t="s">
        <v>54490</v>
      </c>
      <c r="BS3404" s="1">
        <v>36</v>
      </c>
      <c r="BT3404" s="1"/>
      <c r="BU3404" s="1" t="str">
        <f>HYPERLINK("https://nconnect.nicmar.ac.in/storage/profile/ProfilePhoto_AP21191_612357.jpg","Download")</f>
        <v>0</v>
      </c>
      <c r="BV3404" s="3"/>
      <c r="BW3404" s="3"/>
    </row>
    <row r="3405" spans="1:75">
      <c r="A3405" s="1" t="s">
        <v>51340</v>
      </c>
      <c r="B3405" s="1" t="s">
        <v>51341</v>
      </c>
      <c r="C3405" s="1" t="s">
        <v>54491</v>
      </c>
      <c r="D3405" s="1" t="s">
        <v>43901</v>
      </c>
      <c r="E3405" s="1"/>
      <c r="F3405" s="1" t="s">
        <v>54492</v>
      </c>
      <c r="G3405" s="1" t="s">
        <v>54493</v>
      </c>
      <c r="H3405" s="1" t="s">
        <v>54494</v>
      </c>
      <c r="I3405" s="1" t="s">
        <v>54495</v>
      </c>
      <c r="J3405" s="1">
        <v>9439073416</v>
      </c>
      <c r="K3405" s="1" t="s">
        <v>84</v>
      </c>
      <c r="L3405" s="1" t="s">
        <v>28448</v>
      </c>
      <c r="M3405" s="1" t="s">
        <v>86</v>
      </c>
      <c r="N3405" s="1" t="s">
        <v>881</v>
      </c>
      <c r="O3405" s="1"/>
      <c r="P3405" s="1" t="s">
        <v>481</v>
      </c>
      <c r="Q3405" s="1" t="s">
        <v>54496</v>
      </c>
      <c r="R3405" s="1" t="s">
        <v>54497</v>
      </c>
      <c r="S3405" s="1">
        <v>9437052643</v>
      </c>
      <c r="T3405" s="1" t="s">
        <v>926</v>
      </c>
      <c r="U3405" s="1" t="s">
        <v>54498</v>
      </c>
      <c r="V3405" s="1">
        <v>9437362020</v>
      </c>
      <c r="W3405" s="1" t="s">
        <v>94</v>
      </c>
      <c r="X3405" s="1" t="s">
        <v>54499</v>
      </c>
      <c r="Y3405" s="1" t="s">
        <v>886</v>
      </c>
      <c r="Z3405" s="1" t="s">
        <v>865</v>
      </c>
      <c r="AA3405" s="1" t="s">
        <v>54499</v>
      </c>
      <c r="AB3405" s="1" t="s">
        <v>886</v>
      </c>
      <c r="AC3405" s="1" t="s">
        <v>865</v>
      </c>
      <c r="AD3405" s="1" t="s">
        <v>98</v>
      </c>
      <c r="AE3405" s="1" t="s">
        <v>98</v>
      </c>
      <c r="AF3405" s="1" t="s">
        <v>54500</v>
      </c>
      <c r="AG3405" s="1" t="s">
        <v>54501</v>
      </c>
      <c r="AH3405" s="1">
        <v>41730</v>
      </c>
      <c r="AI3405" s="1">
        <v>42142</v>
      </c>
      <c r="AJ3405" s="1">
        <v>83.33</v>
      </c>
      <c r="AK3405" s="1"/>
      <c r="AL3405" s="1" t="s">
        <v>2653</v>
      </c>
      <c r="AM3405" s="1" t="s">
        <v>54502</v>
      </c>
      <c r="AN3405" s="1"/>
      <c r="AO3405" s="1">
        <v>42461</v>
      </c>
      <c r="AP3405" s="1">
        <v>42883</v>
      </c>
      <c r="AQ3405" s="1">
        <v>81.2</v>
      </c>
      <c r="AR3405" s="1"/>
      <c r="AS3405" s="1"/>
      <c r="AT3405" s="1"/>
      <c r="AU3405" s="1" t="s">
        <v>98</v>
      </c>
      <c r="AV3405" s="1" t="s">
        <v>98</v>
      </c>
      <c r="AW3405" s="1" t="s">
        <v>98</v>
      </c>
      <c r="AX3405" s="1" t="s">
        <v>98</v>
      </c>
      <c r="AY3405" s="1" t="s">
        <v>4441</v>
      </c>
      <c r="AZ3405" s="1" t="s">
        <v>25796</v>
      </c>
      <c r="BA3405" s="1"/>
      <c r="BB3405" s="1"/>
      <c r="BC3405" s="1">
        <v>42970</v>
      </c>
      <c r="BD3405" s="1">
        <v>44391</v>
      </c>
      <c r="BE3405" s="1">
        <v>67</v>
      </c>
      <c r="BF3405" s="1">
        <v>7.2</v>
      </c>
      <c r="BG3405" s="1"/>
      <c r="BH3405" s="1"/>
      <c r="BI3405" s="1"/>
      <c r="BJ3405" s="1"/>
      <c r="BK3405" s="1" t="s">
        <v>98</v>
      </c>
      <c r="BL3405" s="1" t="s">
        <v>98</v>
      </c>
      <c r="BM3405" s="1" t="s">
        <v>98</v>
      </c>
      <c r="BN3405" s="1" t="s">
        <v>98</v>
      </c>
      <c r="BO3405" s="1" t="s">
        <v>369</v>
      </c>
      <c r="BP3405" s="1"/>
      <c r="BQ3405" s="1"/>
      <c r="BR3405" s="1" t="s">
        <v>54503</v>
      </c>
      <c r="BS3405" s="1">
        <v>14</v>
      </c>
      <c r="BT3405" s="1"/>
      <c r="BU3405" s="1" t="str">
        <f>HYPERLINK("https://nconnect.nicmar.ac.in/storage/profile/2021-2023_AP21192_186795.jpg","Download")</f>
        <v>0</v>
      </c>
      <c r="BV3405" s="3"/>
      <c r="BW3405" s="3"/>
    </row>
    <row r="3406" spans="1:75">
      <c r="A3406" s="1" t="s">
        <v>51340</v>
      </c>
      <c r="B3406" s="1" t="s">
        <v>51341</v>
      </c>
      <c r="C3406" s="1" t="s">
        <v>54504</v>
      </c>
      <c r="D3406" s="1" t="s">
        <v>17336</v>
      </c>
      <c r="E3406" s="1"/>
      <c r="F3406" s="1" t="s">
        <v>54505</v>
      </c>
      <c r="G3406" s="1" t="s">
        <v>54506</v>
      </c>
      <c r="H3406" s="1" t="s">
        <v>54507</v>
      </c>
      <c r="I3406" s="1" t="s">
        <v>54508</v>
      </c>
      <c r="J3406" s="1">
        <v>8484992221</v>
      </c>
      <c r="K3406" s="1" t="s">
        <v>153</v>
      </c>
      <c r="L3406" s="1" t="s">
        <v>33350</v>
      </c>
      <c r="M3406" s="1" t="s">
        <v>86</v>
      </c>
      <c r="N3406" s="1" t="s">
        <v>903</v>
      </c>
      <c r="O3406" s="1"/>
      <c r="P3406" s="1" t="s">
        <v>455</v>
      </c>
      <c r="Q3406" s="1" t="s">
        <v>54509</v>
      </c>
      <c r="R3406" s="1" t="s">
        <v>54510</v>
      </c>
      <c r="S3406" s="1">
        <v>9822692339</v>
      </c>
      <c r="T3406" s="1" t="s">
        <v>926</v>
      </c>
      <c r="U3406" s="1" t="s">
        <v>54511</v>
      </c>
      <c r="V3406" s="1">
        <v>9175178035</v>
      </c>
      <c r="W3406" s="1" t="s">
        <v>94</v>
      </c>
      <c r="X3406" s="1" t="s">
        <v>54512</v>
      </c>
      <c r="Y3406" s="1" t="s">
        <v>410</v>
      </c>
      <c r="Z3406" s="1" t="s">
        <v>97</v>
      </c>
      <c r="AA3406" s="1" t="s">
        <v>54512</v>
      </c>
      <c r="AB3406" s="1" t="s">
        <v>410</v>
      </c>
      <c r="AC3406" s="1" t="s">
        <v>97</v>
      </c>
      <c r="AD3406" s="1" t="s">
        <v>98</v>
      </c>
      <c r="AE3406" s="1" t="s">
        <v>98</v>
      </c>
      <c r="AF3406" s="1" t="s">
        <v>54513</v>
      </c>
      <c r="AG3406" s="1" t="s">
        <v>312</v>
      </c>
      <c r="AH3406" s="1">
        <v>41395</v>
      </c>
      <c r="AI3406" s="1">
        <v>41778</v>
      </c>
      <c r="AJ3406" s="1">
        <v>89.3</v>
      </c>
      <c r="AK3406" s="1">
        <v>9.4</v>
      </c>
      <c r="AL3406" s="1" t="s">
        <v>54514</v>
      </c>
      <c r="AM3406" s="1" t="s">
        <v>312</v>
      </c>
      <c r="AN3406" s="1"/>
      <c r="AO3406" s="1">
        <v>42184</v>
      </c>
      <c r="AP3406" s="1">
        <v>42517</v>
      </c>
      <c r="AQ3406" s="1">
        <v>80.15</v>
      </c>
      <c r="AR3406" s="1"/>
      <c r="AS3406" s="1"/>
      <c r="AT3406" s="1"/>
      <c r="AU3406" s="1" t="s">
        <v>98</v>
      </c>
      <c r="AV3406" s="1" t="s">
        <v>98</v>
      </c>
      <c r="AW3406" s="1" t="s">
        <v>98</v>
      </c>
      <c r="AX3406" s="1" t="s">
        <v>98</v>
      </c>
      <c r="AY3406" s="1" t="s">
        <v>997</v>
      </c>
      <c r="AZ3406" s="1" t="s">
        <v>54515</v>
      </c>
      <c r="BA3406" s="1"/>
      <c r="BB3406" s="1"/>
      <c r="BC3406" s="1">
        <v>42604</v>
      </c>
      <c r="BD3406" s="1">
        <v>44418</v>
      </c>
      <c r="BE3406" s="1">
        <v>68.1</v>
      </c>
      <c r="BF3406" s="1">
        <v>7.56</v>
      </c>
      <c r="BG3406" s="1"/>
      <c r="BH3406" s="1"/>
      <c r="BI3406" s="1"/>
      <c r="BJ3406" s="1"/>
      <c r="BK3406" s="1" t="s">
        <v>98</v>
      </c>
      <c r="BL3406" s="1" t="s">
        <v>98</v>
      </c>
      <c r="BM3406" s="1" t="s">
        <v>98</v>
      </c>
      <c r="BN3406" s="1" t="s">
        <v>98</v>
      </c>
      <c r="BO3406" s="1" t="s">
        <v>54516</v>
      </c>
      <c r="BP3406" s="1"/>
      <c r="BQ3406" s="1"/>
      <c r="BR3406" s="1" t="s">
        <v>54517</v>
      </c>
      <c r="BS3406" s="1">
        <v>22</v>
      </c>
      <c r="BT3406" s="1"/>
      <c r="BU3406" s="1" t="str">
        <f>HYPERLINK("https://nconnect.nicmar.ac.in/storage/profile/2021-2023_AP21193_198357.jpg","Download")</f>
        <v>0</v>
      </c>
      <c r="BV3406" s="3"/>
      <c r="BW3406" s="3"/>
    </row>
    <row r="3407" spans="1:75">
      <c r="A3407" s="1" t="s">
        <v>51340</v>
      </c>
      <c r="B3407" s="1" t="s">
        <v>51341</v>
      </c>
      <c r="C3407" s="1" t="s">
        <v>54518</v>
      </c>
      <c r="D3407" s="1" t="s">
        <v>54519</v>
      </c>
      <c r="E3407" s="1"/>
      <c r="F3407" s="1" t="s">
        <v>54520</v>
      </c>
      <c r="G3407" s="1" t="s">
        <v>54521</v>
      </c>
      <c r="H3407" s="1" t="s">
        <v>54522</v>
      </c>
      <c r="I3407" s="1" t="s">
        <v>54523</v>
      </c>
      <c r="J3407" s="1">
        <v>7869844227</v>
      </c>
      <c r="K3407" s="1" t="s">
        <v>153</v>
      </c>
      <c r="L3407" s="1" t="s">
        <v>4930</v>
      </c>
      <c r="M3407" s="1" t="s">
        <v>86</v>
      </c>
      <c r="N3407" s="1" t="s">
        <v>246</v>
      </c>
      <c r="O3407" s="1"/>
      <c r="P3407" s="1" t="s">
        <v>455</v>
      </c>
      <c r="Q3407" s="1" t="s">
        <v>54524</v>
      </c>
      <c r="R3407" s="1" t="s">
        <v>54525</v>
      </c>
      <c r="S3407" s="1">
        <v>9407986461</v>
      </c>
      <c r="T3407" s="1" t="s">
        <v>539</v>
      </c>
      <c r="U3407" s="1" t="s">
        <v>54526</v>
      </c>
      <c r="V3407" s="1">
        <v>8349726999</v>
      </c>
      <c r="W3407" s="1" t="s">
        <v>94</v>
      </c>
      <c r="X3407" s="1" t="s">
        <v>54527</v>
      </c>
      <c r="Y3407" s="1" t="s">
        <v>21597</v>
      </c>
      <c r="Z3407" s="1" t="s">
        <v>2933</v>
      </c>
      <c r="AA3407" s="1" t="s">
        <v>54528</v>
      </c>
      <c r="AB3407" s="1" t="s">
        <v>21597</v>
      </c>
      <c r="AC3407" s="1" t="s">
        <v>2933</v>
      </c>
      <c r="AD3407" s="1" t="s">
        <v>98</v>
      </c>
      <c r="AE3407" s="1" t="s">
        <v>98</v>
      </c>
      <c r="AF3407" s="1" t="s">
        <v>54529</v>
      </c>
      <c r="AG3407" s="1" t="s">
        <v>312</v>
      </c>
      <c r="AH3407" s="1">
        <v>41369</v>
      </c>
      <c r="AI3407" s="1">
        <v>41779</v>
      </c>
      <c r="AJ3407" s="1">
        <v>68.4</v>
      </c>
      <c r="AK3407" s="1">
        <v>7.2</v>
      </c>
      <c r="AL3407" s="1" t="s">
        <v>54530</v>
      </c>
      <c r="AM3407" s="1" t="s">
        <v>312</v>
      </c>
      <c r="AN3407" s="1"/>
      <c r="AO3407" s="1">
        <v>42096</v>
      </c>
      <c r="AP3407" s="1">
        <v>42511</v>
      </c>
      <c r="AQ3407" s="1">
        <v>76.4</v>
      </c>
      <c r="AR3407" s="1">
        <v>8.04</v>
      </c>
      <c r="AS3407" s="1"/>
      <c r="AT3407" s="1"/>
      <c r="AU3407" s="1" t="s">
        <v>98</v>
      </c>
      <c r="AV3407" s="1" t="s">
        <v>98</v>
      </c>
      <c r="AW3407" s="1" t="s">
        <v>98</v>
      </c>
      <c r="AX3407" s="1" t="s">
        <v>98</v>
      </c>
      <c r="AY3407" s="1" t="s">
        <v>5338</v>
      </c>
      <c r="AZ3407" s="1" t="s">
        <v>54531</v>
      </c>
      <c r="BA3407" s="1"/>
      <c r="BB3407" s="1"/>
      <c r="BC3407" s="1">
        <v>42589</v>
      </c>
      <c r="BD3407" s="1">
        <v>44144</v>
      </c>
      <c r="BE3407" s="1">
        <v>75.76</v>
      </c>
      <c r="BF3407" s="1">
        <v>7.97</v>
      </c>
      <c r="BG3407" s="1"/>
      <c r="BH3407" s="1"/>
      <c r="BI3407" s="1"/>
      <c r="BJ3407" s="1"/>
      <c r="BK3407" s="1" t="s">
        <v>98</v>
      </c>
      <c r="BL3407" s="1" t="s">
        <v>98</v>
      </c>
      <c r="BM3407" s="1" t="s">
        <v>98</v>
      </c>
      <c r="BN3407" s="1" t="s">
        <v>98</v>
      </c>
      <c r="BO3407" s="1" t="s">
        <v>54532</v>
      </c>
      <c r="BP3407" s="1"/>
      <c r="BQ3407" s="1"/>
      <c r="BR3407" s="1" t="s">
        <v>54533</v>
      </c>
      <c r="BS3407" s="1">
        <v>26</v>
      </c>
      <c r="BT3407" s="1"/>
      <c r="BU3407" s="1" t="str">
        <f>HYPERLINK("https://nconnect.nicmar.ac.in/storage/profile/2021-2023_AP21194_458731.jpg","Download")</f>
        <v>0</v>
      </c>
      <c r="BV3407" s="3"/>
      <c r="BW3407" s="3"/>
    </row>
    <row r="3408" spans="1:75">
      <c r="A3408" s="1" t="s">
        <v>51340</v>
      </c>
      <c r="B3408" s="1" t="s">
        <v>51341</v>
      </c>
      <c r="C3408" s="1" t="s">
        <v>54534</v>
      </c>
      <c r="D3408" s="1" t="s">
        <v>11469</v>
      </c>
      <c r="E3408" s="1"/>
      <c r="F3408" s="1" t="s">
        <v>11469</v>
      </c>
      <c r="G3408" s="1" t="s">
        <v>54535</v>
      </c>
      <c r="H3408" s="1" t="s">
        <v>54536</v>
      </c>
      <c r="I3408" s="1" t="s">
        <v>54537</v>
      </c>
      <c r="J3408" s="1"/>
      <c r="K3408" s="1" t="s">
        <v>84</v>
      </c>
      <c r="L3408" s="1" t="s">
        <v>51429</v>
      </c>
      <c r="M3408" s="1" t="s">
        <v>86</v>
      </c>
      <c r="N3408" s="1" t="s">
        <v>6833</v>
      </c>
      <c r="O3408" s="1"/>
      <c r="P3408" s="1" t="s">
        <v>507</v>
      </c>
      <c r="Q3408" s="1" t="s">
        <v>54538</v>
      </c>
      <c r="R3408" s="1" t="s">
        <v>54539</v>
      </c>
      <c r="S3408" s="1">
        <v>9431115950</v>
      </c>
      <c r="T3408" s="1" t="s">
        <v>51798</v>
      </c>
      <c r="U3408" s="1" t="s">
        <v>54540</v>
      </c>
      <c r="V3408" s="1">
        <v>9199983537</v>
      </c>
      <c r="W3408" s="1" t="s">
        <v>127</v>
      </c>
      <c r="X3408" s="1" t="s">
        <v>54541</v>
      </c>
      <c r="Y3408" s="1" t="s">
        <v>2954</v>
      </c>
      <c r="Z3408" s="1" t="s">
        <v>2955</v>
      </c>
      <c r="AA3408" s="1" t="s">
        <v>54541</v>
      </c>
      <c r="AB3408" s="1" t="s">
        <v>2954</v>
      </c>
      <c r="AC3408" s="1" t="s">
        <v>2955</v>
      </c>
      <c r="AD3408" s="1" t="s">
        <v>98</v>
      </c>
      <c r="AE3408" s="1" t="s">
        <v>98</v>
      </c>
      <c r="AF3408" s="1" t="s">
        <v>973</v>
      </c>
      <c r="AG3408" s="1" t="s">
        <v>54542</v>
      </c>
      <c r="AH3408" s="1" t="s">
        <v>3770</v>
      </c>
      <c r="AI3408" s="1" t="s">
        <v>134</v>
      </c>
      <c r="AJ3408" s="1">
        <v>77.9</v>
      </c>
      <c r="AK3408" s="1">
        <v>8.2</v>
      </c>
      <c r="AL3408" s="1" t="s">
        <v>54543</v>
      </c>
      <c r="AM3408" s="1" t="s">
        <v>54544</v>
      </c>
      <c r="AN3408" s="1"/>
      <c r="AO3408" s="1" t="s">
        <v>1110</v>
      </c>
      <c r="AP3408" s="1" t="s">
        <v>627</v>
      </c>
      <c r="AQ3408" s="1">
        <v>49</v>
      </c>
      <c r="AR3408" s="1">
        <v>0</v>
      </c>
      <c r="AS3408" s="1"/>
      <c r="AT3408" s="1"/>
      <c r="AU3408" s="1"/>
      <c r="AV3408" s="1"/>
      <c r="AW3408" s="1"/>
      <c r="AX3408" s="1"/>
      <c r="AY3408" s="1" t="s">
        <v>25302</v>
      </c>
      <c r="AZ3408" s="1" t="s">
        <v>25629</v>
      </c>
      <c r="BA3408" s="1"/>
      <c r="BB3408" s="1"/>
      <c r="BC3408" s="1" t="s">
        <v>139</v>
      </c>
      <c r="BD3408" s="1" t="s">
        <v>441</v>
      </c>
      <c r="BE3408" s="1">
        <v>70.2</v>
      </c>
      <c r="BF3408" s="1">
        <v>7.02</v>
      </c>
      <c r="BG3408" s="1"/>
      <c r="BH3408" s="1"/>
      <c r="BI3408" s="1"/>
      <c r="BJ3408" s="1"/>
      <c r="BK3408" s="1"/>
      <c r="BL3408" s="1"/>
      <c r="BM3408" s="1"/>
      <c r="BN3408" s="1"/>
      <c r="BO3408" s="1" t="s">
        <v>54545</v>
      </c>
      <c r="BP3408" s="1"/>
      <c r="BQ3408" s="1"/>
      <c r="BR3408" s="1" t="s">
        <v>54546</v>
      </c>
      <c r="BS3408" s="1">
        <v>9</v>
      </c>
      <c r="BT3408" s="1"/>
      <c r="BU3408" s="1" t="str">
        <f>HYPERLINK("https://nconnect.nicmar.ac.in/storage/profile/2021-2023_AP21195_851632.jpg","Download")</f>
        <v>0</v>
      </c>
      <c r="BV3408" s="3"/>
      <c r="BW3408" s="3"/>
    </row>
    <row r="3409" spans="1:75">
      <c r="A3409" s="1" t="s">
        <v>51340</v>
      </c>
      <c r="B3409" s="1" t="s">
        <v>51341</v>
      </c>
      <c r="C3409" s="1" t="s">
        <v>54547</v>
      </c>
      <c r="D3409" s="1" t="s">
        <v>54548</v>
      </c>
      <c r="E3409" s="1" t="s">
        <v>5771</v>
      </c>
      <c r="F3409" s="1" t="s">
        <v>4037</v>
      </c>
      <c r="G3409" s="1" t="s">
        <v>54549</v>
      </c>
      <c r="H3409" s="1" t="s">
        <v>54550</v>
      </c>
      <c r="I3409" s="1" t="s">
        <v>54551</v>
      </c>
      <c r="J3409" s="1">
        <v>9908987891</v>
      </c>
      <c r="K3409" s="1" t="s">
        <v>84</v>
      </c>
      <c r="L3409" s="1" t="s">
        <v>54552</v>
      </c>
      <c r="M3409" s="1" t="s">
        <v>86</v>
      </c>
      <c r="N3409" s="1" t="s">
        <v>3083</v>
      </c>
      <c r="O3409" s="1"/>
      <c r="P3409" s="1" t="s">
        <v>455</v>
      </c>
      <c r="Q3409" s="1" t="s">
        <v>54553</v>
      </c>
      <c r="R3409" s="1" t="s">
        <v>54554</v>
      </c>
      <c r="S3409" s="1">
        <v>9701962661</v>
      </c>
      <c r="T3409" s="1" t="s">
        <v>596</v>
      </c>
      <c r="U3409" s="1" t="s">
        <v>54555</v>
      </c>
      <c r="V3409" s="1">
        <v>8179454432</v>
      </c>
      <c r="W3409" s="1" t="s">
        <v>94</v>
      </c>
      <c r="X3409" s="1" t="s">
        <v>54556</v>
      </c>
      <c r="Y3409" s="1" t="s">
        <v>54557</v>
      </c>
      <c r="Z3409" s="1" t="s">
        <v>461</v>
      </c>
      <c r="AA3409" s="1" t="s">
        <v>98</v>
      </c>
      <c r="AB3409" s="1" t="s">
        <v>54558</v>
      </c>
      <c r="AC3409" s="1" t="s">
        <v>2933</v>
      </c>
      <c r="AD3409" s="1" t="s">
        <v>98</v>
      </c>
      <c r="AE3409" s="1" t="s">
        <v>98</v>
      </c>
      <c r="AF3409" s="1" t="s">
        <v>54559</v>
      </c>
      <c r="AG3409" s="1" t="s">
        <v>52434</v>
      </c>
      <c r="AH3409" s="1">
        <v>41442</v>
      </c>
      <c r="AI3409" s="1">
        <v>41774</v>
      </c>
      <c r="AJ3409" s="1">
        <v>76</v>
      </c>
      <c r="AK3409" s="1">
        <v>8</v>
      </c>
      <c r="AL3409" s="1" t="s">
        <v>54560</v>
      </c>
      <c r="AM3409" s="1" t="s">
        <v>52434</v>
      </c>
      <c r="AN3409" s="1"/>
      <c r="AO3409" s="1">
        <v>41805</v>
      </c>
      <c r="AP3409" s="1">
        <v>42482</v>
      </c>
      <c r="AQ3409" s="1">
        <v>90.8</v>
      </c>
      <c r="AR3409" s="1"/>
      <c r="AS3409" s="1"/>
      <c r="AT3409" s="1"/>
      <c r="AU3409" s="1" t="s">
        <v>98</v>
      </c>
      <c r="AV3409" s="1" t="s">
        <v>98</v>
      </c>
      <c r="AW3409" s="1" t="s">
        <v>98</v>
      </c>
      <c r="AX3409" s="1" t="s">
        <v>98</v>
      </c>
      <c r="AY3409" s="1" t="s">
        <v>54561</v>
      </c>
      <c r="AZ3409" s="1" t="s">
        <v>54562</v>
      </c>
      <c r="BA3409" s="1"/>
      <c r="BB3409" s="1"/>
      <c r="BC3409" s="1">
        <v>42590</v>
      </c>
      <c r="BD3409" s="1">
        <v>44136</v>
      </c>
      <c r="BE3409" s="1">
        <v>63.1</v>
      </c>
      <c r="BF3409" s="1">
        <v>6.81</v>
      </c>
      <c r="BG3409" s="1"/>
      <c r="BH3409" s="1"/>
      <c r="BI3409" s="1"/>
      <c r="BJ3409" s="1"/>
      <c r="BK3409" s="1" t="s">
        <v>98</v>
      </c>
      <c r="BL3409" s="1" t="s">
        <v>98</v>
      </c>
      <c r="BM3409" s="1" t="s">
        <v>98</v>
      </c>
      <c r="BN3409" s="1" t="s">
        <v>98</v>
      </c>
      <c r="BO3409" s="1" t="s">
        <v>849</v>
      </c>
      <c r="BP3409" s="1"/>
      <c r="BQ3409" s="1"/>
      <c r="BR3409" s="1" t="s">
        <v>54563</v>
      </c>
      <c r="BS3409" s="1">
        <v>12</v>
      </c>
      <c r="BT3409" s="1"/>
      <c r="BU3409" s="1" t="str">
        <f>HYPERLINK("https://nconnect.nicmar.ac.in/storage/profile/2021-2023_AP21196_654789.png","Download")</f>
        <v>0</v>
      </c>
      <c r="BV3409" s="3"/>
      <c r="BW3409" s="3"/>
    </row>
    <row r="3410" spans="1:75">
      <c r="A3410" s="1" t="s">
        <v>51340</v>
      </c>
      <c r="B3410" s="1" t="s">
        <v>51341</v>
      </c>
      <c r="C3410" s="1" t="s">
        <v>54564</v>
      </c>
      <c r="D3410" s="1" t="s">
        <v>54565</v>
      </c>
      <c r="E3410" s="1" t="s">
        <v>7073</v>
      </c>
      <c r="F3410" s="1" t="s">
        <v>4019</v>
      </c>
      <c r="G3410" s="1" t="s">
        <v>54566</v>
      </c>
      <c r="H3410" s="1" t="s">
        <v>54567</v>
      </c>
      <c r="I3410" s="1" t="s">
        <v>54568</v>
      </c>
      <c r="J3410" s="1">
        <v>8275594118</v>
      </c>
      <c r="K3410" s="1" t="s">
        <v>153</v>
      </c>
      <c r="L3410" s="1" t="s">
        <v>34557</v>
      </c>
      <c r="M3410" s="1" t="s">
        <v>86</v>
      </c>
      <c r="N3410" s="1" t="s">
        <v>54569</v>
      </c>
      <c r="O3410" s="1"/>
      <c r="P3410" s="1" t="s">
        <v>455</v>
      </c>
      <c r="Q3410" s="1" t="s">
        <v>54570</v>
      </c>
      <c r="R3410" s="1" t="s">
        <v>54571</v>
      </c>
      <c r="S3410" s="1">
        <v>9422400548</v>
      </c>
      <c r="T3410" s="1" t="s">
        <v>54572</v>
      </c>
      <c r="U3410" s="1" t="s">
        <v>54573</v>
      </c>
      <c r="V3410" s="1">
        <v>9420633845</v>
      </c>
      <c r="W3410" s="1" t="s">
        <v>54574</v>
      </c>
      <c r="X3410" s="1" t="s">
        <v>54575</v>
      </c>
      <c r="Y3410" s="1" t="s">
        <v>54576</v>
      </c>
      <c r="Z3410" s="1" t="s">
        <v>97</v>
      </c>
      <c r="AA3410" s="1" t="s">
        <v>54575</v>
      </c>
      <c r="AB3410" s="1" t="s">
        <v>54576</v>
      </c>
      <c r="AC3410" s="1" t="s">
        <v>97</v>
      </c>
      <c r="AD3410" s="1" t="s">
        <v>98</v>
      </c>
      <c r="AE3410" s="1" t="s">
        <v>98</v>
      </c>
      <c r="AF3410" s="1" t="s">
        <v>33492</v>
      </c>
      <c r="AG3410" s="1" t="s">
        <v>1968</v>
      </c>
      <c r="AH3410" s="1" t="s">
        <v>1213</v>
      </c>
      <c r="AI3410" s="1" t="s">
        <v>515</v>
      </c>
      <c r="AJ3410" s="1">
        <v>93.8</v>
      </c>
      <c r="AK3410" s="1"/>
      <c r="AL3410" s="1" t="s">
        <v>4164</v>
      </c>
      <c r="AM3410" s="1" t="s">
        <v>1968</v>
      </c>
      <c r="AN3410" s="1"/>
      <c r="AO3410" s="1" t="s">
        <v>342</v>
      </c>
      <c r="AP3410" s="1" t="s">
        <v>517</v>
      </c>
      <c r="AQ3410" s="1">
        <v>75.38</v>
      </c>
      <c r="AR3410" s="1"/>
      <c r="AS3410" s="1"/>
      <c r="AT3410" s="1"/>
      <c r="AU3410" s="1" t="s">
        <v>98</v>
      </c>
      <c r="AV3410" s="1" t="s">
        <v>98</v>
      </c>
      <c r="AW3410" s="1" t="s">
        <v>98</v>
      </c>
      <c r="AX3410" s="1" t="s">
        <v>98</v>
      </c>
      <c r="AY3410" s="1" t="s">
        <v>1887</v>
      </c>
      <c r="AZ3410" s="1" t="s">
        <v>54577</v>
      </c>
      <c r="BA3410" s="1"/>
      <c r="BB3410" s="1"/>
      <c r="BC3410" s="1" t="s">
        <v>1396</v>
      </c>
      <c r="BD3410" s="1" t="s">
        <v>1647</v>
      </c>
      <c r="BE3410" s="1">
        <v>70.8</v>
      </c>
      <c r="BF3410" s="1">
        <v>7.83</v>
      </c>
      <c r="BG3410" s="1"/>
      <c r="BH3410" s="1"/>
      <c r="BI3410" s="1"/>
      <c r="BJ3410" s="1"/>
      <c r="BK3410" s="1" t="s">
        <v>98</v>
      </c>
      <c r="BL3410" s="1" t="s">
        <v>98</v>
      </c>
      <c r="BM3410" s="1" t="s">
        <v>98</v>
      </c>
      <c r="BN3410" s="1" t="s">
        <v>98</v>
      </c>
      <c r="BO3410" s="1" t="s">
        <v>54578</v>
      </c>
      <c r="BP3410" s="1" t="s">
        <v>54579</v>
      </c>
      <c r="BQ3410" s="1" t="s">
        <v>2245</v>
      </c>
      <c r="BR3410" s="1" t="s">
        <v>54580</v>
      </c>
      <c r="BS3410" s="1">
        <v>91</v>
      </c>
      <c r="BT3410" s="1"/>
      <c r="BU3410" s="1" t="str">
        <f>HYPERLINK("https://nconnect.nicmar.ac.in/storage/profile/2021-2023_AP21197_348752.jpg","Download")</f>
        <v>0</v>
      </c>
      <c r="BV3410" s="3"/>
      <c r="BW3410" s="3"/>
    </row>
    <row r="3411" spans="1:75">
      <c r="A3411" s="1" t="s">
        <v>51340</v>
      </c>
      <c r="B3411" s="1" t="s">
        <v>51341</v>
      </c>
      <c r="C3411" s="1" t="s">
        <v>54581</v>
      </c>
      <c r="D3411" s="1" t="s">
        <v>2097</v>
      </c>
      <c r="E3411" s="1"/>
      <c r="F3411" s="1" t="s">
        <v>12166</v>
      </c>
      <c r="G3411" s="1" t="s">
        <v>54582</v>
      </c>
      <c r="H3411" s="1" t="s">
        <v>54583</v>
      </c>
      <c r="I3411" s="1" t="s">
        <v>54584</v>
      </c>
      <c r="J3411" s="1">
        <v>9425140597</v>
      </c>
      <c r="K3411" s="1" t="s">
        <v>84</v>
      </c>
      <c r="L3411" s="1" t="s">
        <v>505</v>
      </c>
      <c r="M3411" s="1" t="s">
        <v>86</v>
      </c>
      <c r="N3411" s="1" t="s">
        <v>87</v>
      </c>
      <c r="O3411" s="1"/>
      <c r="P3411" s="1" t="s">
        <v>455</v>
      </c>
      <c r="Q3411" s="1" t="s">
        <v>54585</v>
      </c>
      <c r="R3411" s="1" t="s">
        <v>54586</v>
      </c>
      <c r="S3411" s="1">
        <v>9425304397</v>
      </c>
      <c r="T3411" s="1" t="s">
        <v>3188</v>
      </c>
      <c r="U3411" s="1" t="s">
        <v>54587</v>
      </c>
      <c r="V3411" s="1">
        <v>9827320063</v>
      </c>
      <c r="W3411" s="1" t="s">
        <v>54588</v>
      </c>
      <c r="X3411" s="1" t="s">
        <v>54589</v>
      </c>
      <c r="Y3411" s="1" t="s">
        <v>11445</v>
      </c>
      <c r="Z3411" s="1" t="s">
        <v>3419</v>
      </c>
      <c r="AA3411" s="1" t="s">
        <v>54590</v>
      </c>
      <c r="AB3411" s="1" t="s">
        <v>54591</v>
      </c>
      <c r="AC3411" s="1" t="s">
        <v>3419</v>
      </c>
      <c r="AD3411" s="1" t="s">
        <v>98</v>
      </c>
      <c r="AE3411" s="1" t="s">
        <v>98</v>
      </c>
      <c r="AF3411" s="1" t="s">
        <v>25881</v>
      </c>
      <c r="AG3411" s="1" t="s">
        <v>312</v>
      </c>
      <c r="AH3411" s="1">
        <v>41735</v>
      </c>
      <c r="AI3411" s="1">
        <v>42150</v>
      </c>
      <c r="AJ3411" s="1">
        <v>77.9</v>
      </c>
      <c r="AK3411" s="1">
        <v>8.2</v>
      </c>
      <c r="AL3411" s="1" t="s">
        <v>54592</v>
      </c>
      <c r="AM3411" s="1" t="s">
        <v>312</v>
      </c>
      <c r="AN3411" s="1"/>
      <c r="AO3411" s="1">
        <v>42476</v>
      </c>
      <c r="AP3411" s="1">
        <v>42827</v>
      </c>
      <c r="AQ3411" s="1">
        <v>62.4</v>
      </c>
      <c r="AR3411" s="1"/>
      <c r="AS3411" s="1"/>
      <c r="AT3411" s="1"/>
      <c r="AU3411" s="1" t="s">
        <v>98</v>
      </c>
      <c r="AV3411" s="1" t="s">
        <v>98</v>
      </c>
      <c r="AW3411" s="1" t="s">
        <v>98</v>
      </c>
      <c r="AX3411" s="1" t="s">
        <v>98</v>
      </c>
      <c r="AY3411" s="1" t="s">
        <v>54593</v>
      </c>
      <c r="AZ3411" s="1" t="s">
        <v>54594</v>
      </c>
      <c r="BA3411" s="1"/>
      <c r="BB3411" s="1"/>
      <c r="BC3411" s="1">
        <v>42964</v>
      </c>
      <c r="BD3411" s="1">
        <v>44425</v>
      </c>
      <c r="BE3411" s="1">
        <v>81</v>
      </c>
      <c r="BF3411" s="1">
        <v>8.1</v>
      </c>
      <c r="BG3411" s="1"/>
      <c r="BH3411" s="1"/>
      <c r="BI3411" s="1"/>
      <c r="BJ3411" s="1"/>
      <c r="BK3411" s="1" t="s">
        <v>98</v>
      </c>
      <c r="BL3411" s="1" t="s">
        <v>98</v>
      </c>
      <c r="BM3411" s="1" t="s">
        <v>98</v>
      </c>
      <c r="BN3411" s="1" t="s">
        <v>98</v>
      </c>
      <c r="BO3411" s="1" t="s">
        <v>369</v>
      </c>
      <c r="BP3411" s="1"/>
      <c r="BQ3411" s="1"/>
      <c r="BR3411" s="1" t="s">
        <v>54595</v>
      </c>
      <c r="BS3411" s="1">
        <v>15</v>
      </c>
      <c r="BT3411" s="1"/>
      <c r="BU3411" s="1" t="str">
        <f>HYPERLINK("https://nconnect.nicmar.ac.in/storage/profile/2021-2023_AP21198_594816.jpg","Download")</f>
        <v>0</v>
      </c>
      <c r="BV3411" s="3"/>
      <c r="BW3411" s="3"/>
    </row>
    <row r="3412" spans="1:75">
      <c r="A3412" s="1" t="s">
        <v>51340</v>
      </c>
      <c r="B3412" s="1" t="s">
        <v>51341</v>
      </c>
      <c r="C3412" s="1" t="s">
        <v>54596</v>
      </c>
      <c r="D3412" s="1" t="s">
        <v>54597</v>
      </c>
      <c r="E3412" s="1" t="s">
        <v>897</v>
      </c>
      <c r="F3412" s="1" t="s">
        <v>54598</v>
      </c>
      <c r="G3412" s="1" t="s">
        <v>54599</v>
      </c>
      <c r="H3412" s="1" t="s">
        <v>54600</v>
      </c>
      <c r="I3412" s="1" t="s">
        <v>54601</v>
      </c>
      <c r="J3412" s="1">
        <v>8999004668</v>
      </c>
      <c r="K3412" s="1" t="s">
        <v>84</v>
      </c>
      <c r="L3412" s="1" t="s">
        <v>54602</v>
      </c>
      <c r="M3412" s="1" t="s">
        <v>86</v>
      </c>
      <c r="N3412" s="1" t="s">
        <v>903</v>
      </c>
      <c r="O3412" s="1"/>
      <c r="P3412" s="1" t="s">
        <v>1028</v>
      </c>
      <c r="Q3412" s="1" t="s">
        <v>54603</v>
      </c>
      <c r="R3412" s="1" t="s">
        <v>54604</v>
      </c>
      <c r="S3412" s="1">
        <v>9890921215</v>
      </c>
      <c r="T3412" s="1" t="s">
        <v>539</v>
      </c>
      <c r="U3412" s="1" t="s">
        <v>54605</v>
      </c>
      <c r="V3412" s="1">
        <v>8888574087</v>
      </c>
      <c r="W3412" s="1" t="s">
        <v>94</v>
      </c>
      <c r="X3412" s="1" t="s">
        <v>54606</v>
      </c>
      <c r="Y3412" s="1" t="s">
        <v>5030</v>
      </c>
      <c r="Z3412" s="1" t="s">
        <v>97</v>
      </c>
      <c r="AA3412" s="1" t="s">
        <v>54607</v>
      </c>
      <c r="AB3412" s="1" t="s">
        <v>196</v>
      </c>
      <c r="AC3412" s="1" t="s">
        <v>97</v>
      </c>
      <c r="AD3412" s="1" t="s">
        <v>98</v>
      </c>
      <c r="AE3412" s="1" t="s">
        <v>98</v>
      </c>
      <c r="AF3412" s="1" t="s">
        <v>54608</v>
      </c>
      <c r="AG3412" s="1" t="s">
        <v>1968</v>
      </c>
      <c r="AH3412" s="1" t="s">
        <v>133</v>
      </c>
      <c r="AI3412" s="1" t="s">
        <v>1213</v>
      </c>
      <c r="AJ3412" s="1">
        <v>93.27</v>
      </c>
      <c r="AK3412" s="1"/>
      <c r="AL3412" s="1" t="s">
        <v>54609</v>
      </c>
      <c r="AM3412" s="1" t="s">
        <v>1968</v>
      </c>
      <c r="AN3412" s="1"/>
      <c r="AO3412" s="1" t="s">
        <v>101</v>
      </c>
      <c r="AP3412" s="1" t="s">
        <v>166</v>
      </c>
      <c r="AQ3412" s="1">
        <v>60</v>
      </c>
      <c r="AR3412" s="1"/>
      <c r="AS3412" s="1"/>
      <c r="AT3412" s="1"/>
      <c r="AU3412" s="1" t="s">
        <v>98</v>
      </c>
      <c r="AV3412" s="1" t="s">
        <v>98</v>
      </c>
      <c r="AW3412" s="1" t="s">
        <v>98</v>
      </c>
      <c r="AX3412" s="1" t="s">
        <v>98</v>
      </c>
      <c r="AY3412" s="1" t="s">
        <v>366</v>
      </c>
      <c r="AZ3412" s="1" t="s">
        <v>54610</v>
      </c>
      <c r="BA3412" s="1"/>
      <c r="BB3412" s="1"/>
      <c r="BC3412" s="1" t="s">
        <v>342</v>
      </c>
      <c r="BD3412" s="1" t="s">
        <v>315</v>
      </c>
      <c r="BE3412" s="1">
        <v>64.68</v>
      </c>
      <c r="BF3412" s="1">
        <v>7.35</v>
      </c>
      <c r="BG3412" s="1"/>
      <c r="BH3412" s="1"/>
      <c r="BI3412" s="1"/>
      <c r="BJ3412" s="1"/>
      <c r="BK3412" s="1" t="s">
        <v>98</v>
      </c>
      <c r="BL3412" s="1" t="s">
        <v>98</v>
      </c>
      <c r="BM3412" s="1" t="s">
        <v>98</v>
      </c>
      <c r="BN3412" s="1" t="s">
        <v>98</v>
      </c>
      <c r="BO3412" s="1" t="s">
        <v>54611</v>
      </c>
      <c r="BP3412" s="1"/>
      <c r="BQ3412" s="1"/>
      <c r="BR3412" s="1" t="s">
        <v>54612</v>
      </c>
      <c r="BS3412" s="1">
        <v>16</v>
      </c>
      <c r="BT3412" s="1"/>
      <c r="BU3412" s="1" t="str">
        <f>HYPERLINK("https://nconnect.nicmar.ac.in/storage/profile/2021-2023_AP21199_394675.jpg","Download")</f>
        <v>0</v>
      </c>
      <c r="BV3412" s="3"/>
      <c r="BW3412" s="3"/>
    </row>
    <row r="3413" spans="1:75">
      <c r="A3413" s="1" t="s">
        <v>51340</v>
      </c>
      <c r="B3413" s="1" t="s">
        <v>51341</v>
      </c>
      <c r="C3413" s="1" t="s">
        <v>54613</v>
      </c>
      <c r="D3413" s="1" t="s">
        <v>54614</v>
      </c>
      <c r="E3413" s="1"/>
      <c r="F3413" s="1" t="s">
        <v>11351</v>
      </c>
      <c r="G3413" s="1" t="s">
        <v>54615</v>
      </c>
      <c r="H3413" s="1" t="s">
        <v>54616</v>
      </c>
      <c r="I3413" s="1" t="s">
        <v>54617</v>
      </c>
      <c r="J3413" s="1">
        <v>9988372754</v>
      </c>
      <c r="K3413" s="1" t="s">
        <v>84</v>
      </c>
      <c r="L3413" s="1" t="s">
        <v>54618</v>
      </c>
      <c r="M3413" s="1" t="s">
        <v>86</v>
      </c>
      <c r="N3413" s="1" t="s">
        <v>1385</v>
      </c>
      <c r="O3413" s="1"/>
      <c r="P3413" s="1" t="s">
        <v>507</v>
      </c>
      <c r="Q3413" s="1" t="s">
        <v>54619</v>
      </c>
      <c r="R3413" s="1" t="s">
        <v>54620</v>
      </c>
      <c r="S3413" s="1">
        <v>9988272767</v>
      </c>
      <c r="T3413" s="1" t="s">
        <v>926</v>
      </c>
      <c r="U3413" s="1" t="s">
        <v>54621</v>
      </c>
      <c r="V3413" s="1">
        <v>9988272767</v>
      </c>
      <c r="W3413" s="1" t="s">
        <v>54622</v>
      </c>
      <c r="X3413" s="1" t="s">
        <v>54623</v>
      </c>
      <c r="Y3413" s="1" t="s">
        <v>54624</v>
      </c>
      <c r="Z3413" s="1" t="s">
        <v>972</v>
      </c>
      <c r="AA3413" s="1" t="s">
        <v>54623</v>
      </c>
      <c r="AB3413" s="1" t="s">
        <v>54624</v>
      </c>
      <c r="AC3413" s="1" t="s">
        <v>972</v>
      </c>
      <c r="AD3413" s="1" t="s">
        <v>98</v>
      </c>
      <c r="AE3413" s="1" t="s">
        <v>98</v>
      </c>
      <c r="AF3413" s="1" t="s">
        <v>54625</v>
      </c>
      <c r="AG3413" s="1" t="s">
        <v>6474</v>
      </c>
      <c r="AH3413" s="1" t="s">
        <v>3965</v>
      </c>
      <c r="AI3413" s="1" t="s">
        <v>30100</v>
      </c>
      <c r="AJ3413" s="1">
        <v>92.66</v>
      </c>
      <c r="AK3413" s="1">
        <v>0</v>
      </c>
      <c r="AL3413" s="1" t="s">
        <v>54626</v>
      </c>
      <c r="AM3413" s="1" t="s">
        <v>54627</v>
      </c>
      <c r="AN3413" s="1"/>
      <c r="AO3413" s="1" t="s">
        <v>515</v>
      </c>
      <c r="AP3413" s="1" t="s">
        <v>136</v>
      </c>
      <c r="AQ3413" s="1">
        <v>88.88</v>
      </c>
      <c r="AR3413" s="1">
        <v>0</v>
      </c>
      <c r="AS3413" s="1"/>
      <c r="AT3413" s="1"/>
      <c r="AU3413" s="1" t="s">
        <v>98</v>
      </c>
      <c r="AV3413" s="1" t="s">
        <v>98</v>
      </c>
      <c r="AW3413" s="1" t="s">
        <v>98</v>
      </c>
      <c r="AX3413" s="1" t="s">
        <v>98</v>
      </c>
      <c r="AY3413" s="1" t="s">
        <v>42327</v>
      </c>
      <c r="AZ3413" s="1" t="s">
        <v>42327</v>
      </c>
      <c r="BA3413" s="1"/>
      <c r="BB3413" s="1"/>
      <c r="BC3413" s="1">
        <v>42241</v>
      </c>
      <c r="BD3413" s="1">
        <v>43998</v>
      </c>
      <c r="BE3413" s="1">
        <v>78.7</v>
      </c>
      <c r="BF3413" s="1">
        <v>7.87</v>
      </c>
      <c r="BG3413" s="1"/>
      <c r="BH3413" s="1"/>
      <c r="BI3413" s="1"/>
      <c r="BJ3413" s="1"/>
      <c r="BK3413" s="1" t="s">
        <v>98</v>
      </c>
      <c r="BL3413" s="1" t="s">
        <v>98</v>
      </c>
      <c r="BM3413" s="1" t="s">
        <v>98</v>
      </c>
      <c r="BN3413" s="1" t="s">
        <v>98</v>
      </c>
      <c r="BO3413" s="1" t="s">
        <v>1826</v>
      </c>
      <c r="BP3413" s="1"/>
      <c r="BQ3413" s="1"/>
      <c r="BR3413" s="1" t="s">
        <v>54628</v>
      </c>
      <c r="BS3413" s="1">
        <v>30</v>
      </c>
      <c r="BT3413" s="1"/>
      <c r="BU3413" s="1" t="str">
        <f>HYPERLINK("https://nconnect.nicmar.ac.in/storage/profile/2021-2023_AP21200_296453.jpg","Download")</f>
        <v>0</v>
      </c>
      <c r="BV3413" s="3"/>
      <c r="BW3413" s="3"/>
    </row>
    <row r="3414" spans="1:75">
      <c r="A3414" s="1" t="s">
        <v>51340</v>
      </c>
      <c r="B3414" s="1" t="s">
        <v>51341</v>
      </c>
      <c r="C3414" s="1" t="s">
        <v>54629</v>
      </c>
      <c r="D3414" s="1" t="s">
        <v>54630</v>
      </c>
      <c r="E3414" s="1" t="s">
        <v>54631</v>
      </c>
      <c r="F3414" s="1" t="s">
        <v>20600</v>
      </c>
      <c r="G3414" s="1" t="s">
        <v>54632</v>
      </c>
      <c r="H3414" s="1" t="s">
        <v>54633</v>
      </c>
      <c r="I3414" s="1" t="s">
        <v>54634</v>
      </c>
      <c r="J3414" s="1">
        <v>7902201284</v>
      </c>
      <c r="K3414" s="1" t="s">
        <v>153</v>
      </c>
      <c r="L3414" s="1" t="s">
        <v>54635</v>
      </c>
      <c r="M3414" s="1" t="s">
        <v>86</v>
      </c>
      <c r="N3414" s="1" t="s">
        <v>2699</v>
      </c>
      <c r="O3414" s="1"/>
      <c r="P3414" s="1" t="s">
        <v>481</v>
      </c>
      <c r="Q3414" s="1" t="s">
        <v>54636</v>
      </c>
      <c r="R3414" s="1" t="s">
        <v>54637</v>
      </c>
      <c r="S3414" s="1">
        <v>9847665689</v>
      </c>
      <c r="T3414" s="1" t="s">
        <v>2950</v>
      </c>
      <c r="U3414" s="1" t="s">
        <v>54638</v>
      </c>
      <c r="V3414" s="1">
        <v>9446190413</v>
      </c>
      <c r="W3414" s="1" t="s">
        <v>127</v>
      </c>
      <c r="X3414" s="1" t="s">
        <v>54639</v>
      </c>
      <c r="Y3414" s="1" t="s">
        <v>19921</v>
      </c>
      <c r="Z3414" s="1" t="s">
        <v>130</v>
      </c>
      <c r="AA3414" s="1" t="s">
        <v>54639</v>
      </c>
      <c r="AB3414" s="1" t="s">
        <v>19921</v>
      </c>
      <c r="AC3414" s="1" t="s">
        <v>130</v>
      </c>
      <c r="AD3414" s="1" t="s">
        <v>98</v>
      </c>
      <c r="AE3414" s="1" t="s">
        <v>98</v>
      </c>
      <c r="AF3414" s="1" t="s">
        <v>54640</v>
      </c>
      <c r="AG3414" s="1" t="s">
        <v>312</v>
      </c>
      <c r="AH3414" s="1">
        <v>41760</v>
      </c>
      <c r="AI3414" s="1">
        <v>42151</v>
      </c>
      <c r="AJ3414" s="1">
        <v>77.9</v>
      </c>
      <c r="AK3414" s="1">
        <v>8.2</v>
      </c>
      <c r="AL3414" s="1" t="s">
        <v>54641</v>
      </c>
      <c r="AM3414" s="1" t="s">
        <v>312</v>
      </c>
      <c r="AN3414" s="1"/>
      <c r="AO3414" s="1">
        <v>42491</v>
      </c>
      <c r="AP3414" s="1">
        <v>42883</v>
      </c>
      <c r="AQ3414" s="1">
        <v>74.6</v>
      </c>
      <c r="AR3414" s="1"/>
      <c r="AS3414" s="1"/>
      <c r="AT3414" s="1"/>
      <c r="AU3414" s="1" t="s">
        <v>98</v>
      </c>
      <c r="AV3414" s="1" t="s">
        <v>98</v>
      </c>
      <c r="AW3414" s="1" t="s">
        <v>98</v>
      </c>
      <c r="AX3414" s="1" t="s">
        <v>98</v>
      </c>
      <c r="AY3414" s="1" t="s">
        <v>137</v>
      </c>
      <c r="AZ3414" s="1" t="s">
        <v>15665</v>
      </c>
      <c r="BA3414" s="1"/>
      <c r="BB3414" s="1"/>
      <c r="BC3414" s="1">
        <v>42948</v>
      </c>
      <c r="BD3414" s="1">
        <v>44408</v>
      </c>
      <c r="BE3414" s="1">
        <v>74.05</v>
      </c>
      <c r="BF3414" s="1">
        <v>7.78</v>
      </c>
      <c r="BG3414" s="1"/>
      <c r="BH3414" s="1"/>
      <c r="BI3414" s="1"/>
      <c r="BJ3414" s="1"/>
      <c r="BK3414" s="1" t="s">
        <v>98</v>
      </c>
      <c r="BL3414" s="1" t="s">
        <v>98</v>
      </c>
      <c r="BM3414" s="1" t="s">
        <v>98</v>
      </c>
      <c r="BN3414" s="1" t="s">
        <v>98</v>
      </c>
      <c r="BO3414" s="1" t="s">
        <v>369</v>
      </c>
      <c r="BP3414" s="1"/>
      <c r="BQ3414" s="1"/>
      <c r="BR3414" s="1" t="s">
        <v>54642</v>
      </c>
      <c r="BS3414" s="1">
        <v>16</v>
      </c>
      <c r="BT3414" s="1"/>
      <c r="BU3414" s="1" t="str">
        <f>HYPERLINK("https://nconnect.nicmar.ac.in/storage/profile/2021-2023_AP21201_496513.jpg","Download")</f>
        <v>0</v>
      </c>
      <c r="BV3414" s="3"/>
      <c r="BW3414" s="3"/>
    </row>
    <row r="3415" spans="1:75">
      <c r="A3415" s="1" t="s">
        <v>51340</v>
      </c>
      <c r="B3415" s="1" t="s">
        <v>51341</v>
      </c>
      <c r="C3415" s="1" t="s">
        <v>54643</v>
      </c>
      <c r="D3415" s="1" t="s">
        <v>5118</v>
      </c>
      <c r="E3415" s="1"/>
      <c r="F3415" s="1" t="s">
        <v>961</v>
      </c>
      <c r="G3415" s="1" t="s">
        <v>54644</v>
      </c>
      <c r="H3415" s="1" t="s">
        <v>54645</v>
      </c>
      <c r="I3415" s="1" t="s">
        <v>54646</v>
      </c>
      <c r="J3415" s="1">
        <v>8435089606</v>
      </c>
      <c r="K3415" s="1" t="s">
        <v>153</v>
      </c>
      <c r="L3415" s="1" t="s">
        <v>54647</v>
      </c>
      <c r="M3415" s="1" t="s">
        <v>86</v>
      </c>
      <c r="N3415" s="1" t="s">
        <v>87</v>
      </c>
      <c r="O3415" s="1"/>
      <c r="P3415" s="1" t="s">
        <v>481</v>
      </c>
      <c r="Q3415" s="1" t="s">
        <v>54648</v>
      </c>
      <c r="R3415" s="1" t="s">
        <v>54649</v>
      </c>
      <c r="S3415" s="1">
        <v>9425207282</v>
      </c>
      <c r="T3415" s="1" t="s">
        <v>54650</v>
      </c>
      <c r="U3415" s="1" t="s">
        <v>54651</v>
      </c>
      <c r="V3415" s="1">
        <v>9425527377</v>
      </c>
      <c r="W3415" s="1" t="s">
        <v>54652</v>
      </c>
      <c r="X3415" s="1" t="s">
        <v>54653</v>
      </c>
      <c r="Y3415" s="1" t="s">
        <v>32410</v>
      </c>
      <c r="Z3415" s="1" t="s">
        <v>2933</v>
      </c>
      <c r="AA3415" s="1" t="s">
        <v>98</v>
      </c>
      <c r="AB3415" s="1" t="s">
        <v>2932</v>
      </c>
      <c r="AC3415" s="1" t="s">
        <v>2933</v>
      </c>
      <c r="AD3415" s="1" t="s">
        <v>98</v>
      </c>
      <c r="AE3415" s="1" t="s">
        <v>98</v>
      </c>
      <c r="AF3415" s="1" t="s">
        <v>54654</v>
      </c>
      <c r="AG3415" s="1" t="s">
        <v>312</v>
      </c>
      <c r="AH3415" s="1" t="s">
        <v>3923</v>
      </c>
      <c r="AI3415" s="1" t="s">
        <v>2726</v>
      </c>
      <c r="AJ3415" s="1">
        <v>74.1</v>
      </c>
      <c r="AK3415" s="1">
        <v>7.8</v>
      </c>
      <c r="AL3415" s="1" t="s">
        <v>54154</v>
      </c>
      <c r="AM3415" s="1" t="s">
        <v>312</v>
      </c>
      <c r="AN3415" s="1"/>
      <c r="AO3415" s="1" t="s">
        <v>3421</v>
      </c>
      <c r="AP3415" s="1" t="s">
        <v>1262</v>
      </c>
      <c r="AQ3415" s="1">
        <v>68.16</v>
      </c>
      <c r="AR3415" s="1">
        <v>7.2</v>
      </c>
      <c r="AS3415" s="1"/>
      <c r="AT3415" s="1"/>
      <c r="AU3415" s="1" t="s">
        <v>98</v>
      </c>
      <c r="AV3415" s="1" t="s">
        <v>98</v>
      </c>
      <c r="AW3415" s="1"/>
      <c r="AX3415" s="1"/>
      <c r="AY3415" s="1" t="s">
        <v>2553</v>
      </c>
      <c r="AZ3415" s="1" t="s">
        <v>41033</v>
      </c>
      <c r="BA3415" s="1"/>
      <c r="BB3415" s="1"/>
      <c r="BC3415" s="1" t="s">
        <v>257</v>
      </c>
      <c r="BD3415" s="1" t="s">
        <v>313</v>
      </c>
      <c r="BE3415" s="1">
        <v>67.8</v>
      </c>
      <c r="BF3415" s="1">
        <v>6.78</v>
      </c>
      <c r="BG3415" s="1"/>
      <c r="BH3415" s="1"/>
      <c r="BI3415" s="1"/>
      <c r="BJ3415" s="1"/>
      <c r="BK3415" s="1" t="s">
        <v>98</v>
      </c>
      <c r="BL3415" s="1" t="s">
        <v>98</v>
      </c>
      <c r="BM3415" s="1" t="s">
        <v>98</v>
      </c>
      <c r="BN3415" s="1" t="s">
        <v>98</v>
      </c>
      <c r="BO3415" s="1" t="s">
        <v>54655</v>
      </c>
      <c r="BP3415" s="1" t="s">
        <v>54656</v>
      </c>
      <c r="BQ3415" s="1" t="s">
        <v>7647</v>
      </c>
      <c r="BR3415" s="1" t="s">
        <v>54657</v>
      </c>
      <c r="BS3415" s="1">
        <v>58</v>
      </c>
      <c r="BT3415" s="1"/>
      <c r="BU3415" s="1" t="str">
        <f>HYPERLINK("https://nconnect.nicmar.ac.in/storage/profile/2021-2023_AP21202_391427.jpg","Download")</f>
        <v>0</v>
      </c>
      <c r="BV3415" s="3"/>
      <c r="BW3415" s="3"/>
    </row>
    <row r="3416" spans="1:75">
      <c r="A3416" s="1" t="s">
        <v>51340</v>
      </c>
      <c r="B3416" s="1" t="s">
        <v>51341</v>
      </c>
      <c r="C3416" s="1" t="s">
        <v>54658</v>
      </c>
      <c r="D3416" s="1" t="s">
        <v>2991</v>
      </c>
      <c r="E3416" s="1" t="s">
        <v>54659</v>
      </c>
      <c r="F3416" s="1" t="s">
        <v>54660</v>
      </c>
      <c r="G3416" s="1" t="s">
        <v>54661</v>
      </c>
      <c r="H3416" s="1" t="s">
        <v>54662</v>
      </c>
      <c r="I3416" s="1" t="s">
        <v>54663</v>
      </c>
      <c r="J3416" s="1">
        <v>8308308486</v>
      </c>
      <c r="K3416" s="1" t="s">
        <v>153</v>
      </c>
      <c r="L3416" s="1" t="s">
        <v>54664</v>
      </c>
      <c r="M3416" s="1" t="s">
        <v>86</v>
      </c>
      <c r="N3416" s="1" t="s">
        <v>54665</v>
      </c>
      <c r="O3416" s="1"/>
      <c r="P3416" s="1" t="s">
        <v>481</v>
      </c>
      <c r="Q3416" s="1" t="s">
        <v>54666</v>
      </c>
      <c r="R3416" s="1" t="s">
        <v>54667</v>
      </c>
      <c r="S3416" s="1">
        <v>9011831139</v>
      </c>
      <c r="T3416" s="1" t="s">
        <v>54668</v>
      </c>
      <c r="U3416" s="1" t="s">
        <v>54669</v>
      </c>
      <c r="V3416" s="1">
        <v>9011831139</v>
      </c>
      <c r="W3416" s="1" t="s">
        <v>94</v>
      </c>
      <c r="X3416" s="1" t="s">
        <v>54670</v>
      </c>
      <c r="Y3416" s="1" t="s">
        <v>196</v>
      </c>
      <c r="Z3416" s="1" t="s">
        <v>97</v>
      </c>
      <c r="AA3416" s="1" t="s">
        <v>54671</v>
      </c>
      <c r="AB3416" s="1" t="s">
        <v>196</v>
      </c>
      <c r="AC3416" s="1" t="s">
        <v>97</v>
      </c>
      <c r="AD3416" s="1" t="s">
        <v>98</v>
      </c>
      <c r="AE3416" s="1" t="s">
        <v>98</v>
      </c>
      <c r="AF3416" s="1" t="s">
        <v>54672</v>
      </c>
      <c r="AG3416" s="1" t="s">
        <v>34121</v>
      </c>
      <c r="AH3416" s="1" t="s">
        <v>4593</v>
      </c>
      <c r="AI3416" s="1" t="s">
        <v>801</v>
      </c>
      <c r="AJ3416" s="1">
        <v>69</v>
      </c>
      <c r="AK3416" s="1">
        <v>0</v>
      </c>
      <c r="AL3416" s="1" t="s">
        <v>54673</v>
      </c>
      <c r="AM3416" s="1" t="s">
        <v>34121</v>
      </c>
      <c r="AN3416" s="1"/>
      <c r="AO3416" s="1" t="s">
        <v>29187</v>
      </c>
      <c r="AP3416" s="1" t="s">
        <v>134</v>
      </c>
      <c r="AQ3416" s="1">
        <v>51.33</v>
      </c>
      <c r="AR3416" s="1"/>
      <c r="AS3416" s="1"/>
      <c r="AT3416" s="1"/>
      <c r="AU3416" s="1"/>
      <c r="AV3416" s="1"/>
      <c r="AW3416" s="1"/>
      <c r="AX3416" s="1"/>
      <c r="AY3416" s="1" t="s">
        <v>9545</v>
      </c>
      <c r="AZ3416" s="1" t="s">
        <v>43896</v>
      </c>
      <c r="BA3416" s="1"/>
      <c r="BB3416" s="1"/>
      <c r="BC3416" s="1" t="s">
        <v>1213</v>
      </c>
      <c r="BD3416" s="1" t="s">
        <v>233</v>
      </c>
      <c r="BE3416" s="1">
        <v>64.06</v>
      </c>
      <c r="BF3416" s="1">
        <v>6.74</v>
      </c>
      <c r="BG3416" s="1"/>
      <c r="BH3416" s="1"/>
      <c r="BI3416" s="1"/>
      <c r="BJ3416" s="1"/>
      <c r="BK3416" s="1"/>
      <c r="BL3416" s="1"/>
      <c r="BM3416" s="1"/>
      <c r="BN3416" s="1"/>
      <c r="BO3416" s="1" t="s">
        <v>54674</v>
      </c>
      <c r="BP3416" s="1"/>
      <c r="BQ3416" s="1"/>
      <c r="BR3416" s="1" t="s">
        <v>54675</v>
      </c>
      <c r="BS3416" s="1">
        <v>26</v>
      </c>
      <c r="BT3416" s="1"/>
      <c r="BU3416" s="1" t="str">
        <f>HYPERLINK("https://nconnect.nicmar.ac.in/storage/profile/2021-2023_AP21203_285473.jpg","Download")</f>
        <v>0</v>
      </c>
      <c r="BV3416" s="3"/>
      <c r="BW3416" s="3"/>
    </row>
    <row r="3417" spans="1:75">
      <c r="A3417" s="1" t="s">
        <v>51340</v>
      </c>
      <c r="B3417" s="1" t="s">
        <v>51341</v>
      </c>
      <c r="C3417" s="1" t="s">
        <v>54676</v>
      </c>
      <c r="D3417" s="1" t="s">
        <v>12804</v>
      </c>
      <c r="E3417" s="1" t="s">
        <v>7461</v>
      </c>
      <c r="F3417" s="1" t="s">
        <v>30472</v>
      </c>
      <c r="G3417" s="1" t="s">
        <v>54677</v>
      </c>
      <c r="H3417" s="1" t="s">
        <v>54678</v>
      </c>
      <c r="I3417" s="1" t="s">
        <v>54679</v>
      </c>
      <c r="J3417" s="1">
        <v>9224319933</v>
      </c>
      <c r="K3417" s="1" t="s">
        <v>84</v>
      </c>
      <c r="L3417" s="1" t="s">
        <v>54680</v>
      </c>
      <c r="M3417" s="1" t="s">
        <v>86</v>
      </c>
      <c r="N3417" s="1" t="s">
        <v>2433</v>
      </c>
      <c r="O3417" s="1"/>
      <c r="P3417" s="1" t="s">
        <v>1028</v>
      </c>
      <c r="Q3417" s="1" t="s">
        <v>54681</v>
      </c>
      <c r="R3417" s="1" t="s">
        <v>54682</v>
      </c>
      <c r="S3417" s="1">
        <v>9224319936</v>
      </c>
      <c r="T3417" s="1" t="s">
        <v>127</v>
      </c>
      <c r="U3417" s="1" t="s">
        <v>54683</v>
      </c>
      <c r="V3417" s="1">
        <v>9819034249</v>
      </c>
      <c r="W3417" s="1" t="s">
        <v>94</v>
      </c>
      <c r="X3417" s="1" t="s">
        <v>54684</v>
      </c>
      <c r="Y3417" s="1" t="s">
        <v>44645</v>
      </c>
      <c r="Z3417" s="1" t="s">
        <v>97</v>
      </c>
      <c r="AA3417" s="1" t="s">
        <v>54684</v>
      </c>
      <c r="AB3417" s="1" t="s">
        <v>44645</v>
      </c>
      <c r="AC3417" s="1" t="s">
        <v>97</v>
      </c>
      <c r="AD3417" s="1" t="s">
        <v>98</v>
      </c>
      <c r="AE3417" s="1" t="s">
        <v>98</v>
      </c>
      <c r="AF3417" s="1" t="s">
        <v>54685</v>
      </c>
      <c r="AG3417" s="1" t="s">
        <v>1968</v>
      </c>
      <c r="AH3417" s="1" t="s">
        <v>2726</v>
      </c>
      <c r="AI3417" s="1" t="s">
        <v>1213</v>
      </c>
      <c r="AJ3417" s="1">
        <v>92.36</v>
      </c>
      <c r="AK3417" s="1"/>
      <c r="AL3417" s="1" t="s">
        <v>54686</v>
      </c>
      <c r="AM3417" s="1" t="s">
        <v>1968</v>
      </c>
      <c r="AN3417" s="1"/>
      <c r="AO3417" s="1" t="s">
        <v>1262</v>
      </c>
      <c r="AP3417" s="1" t="s">
        <v>136</v>
      </c>
      <c r="AQ3417" s="1">
        <v>85.85</v>
      </c>
      <c r="AR3417" s="1"/>
      <c r="AS3417" s="1"/>
      <c r="AT3417" s="1"/>
      <c r="AU3417" s="1" t="s">
        <v>98</v>
      </c>
      <c r="AV3417" s="1" t="s">
        <v>98</v>
      </c>
      <c r="AW3417" s="1" t="s">
        <v>98</v>
      </c>
      <c r="AX3417" s="1" t="s">
        <v>98</v>
      </c>
      <c r="AY3417" s="1" t="s">
        <v>258</v>
      </c>
      <c r="AZ3417" s="1" t="s">
        <v>26614</v>
      </c>
      <c r="BA3417" s="1"/>
      <c r="BB3417" s="1"/>
      <c r="BC3417" s="1" t="s">
        <v>105</v>
      </c>
      <c r="BD3417" s="1" t="s">
        <v>315</v>
      </c>
      <c r="BE3417" s="1">
        <v>75.86</v>
      </c>
      <c r="BF3417" s="1">
        <v>8.63</v>
      </c>
      <c r="BG3417" s="1"/>
      <c r="BH3417" s="1"/>
      <c r="BI3417" s="1"/>
      <c r="BJ3417" s="1"/>
      <c r="BK3417" s="1" t="s">
        <v>98</v>
      </c>
      <c r="BL3417" s="1" t="s">
        <v>98</v>
      </c>
      <c r="BM3417" s="1" t="s">
        <v>98</v>
      </c>
      <c r="BN3417" s="1" t="s">
        <v>98</v>
      </c>
      <c r="BO3417" s="1" t="s">
        <v>54687</v>
      </c>
      <c r="BP3417" s="1"/>
      <c r="BQ3417" s="1"/>
      <c r="BR3417" s="1" t="s">
        <v>54688</v>
      </c>
      <c r="BS3417" s="1">
        <v>25</v>
      </c>
      <c r="BT3417" s="1"/>
      <c r="BU3417" s="1" t="str">
        <f>HYPERLINK("https://nconnect.nicmar.ac.in/storage/profile/2021-2023_AP21204_329476.jpg","Download")</f>
        <v>0</v>
      </c>
      <c r="BV3417" s="3"/>
      <c r="BW3417" s="3"/>
    </row>
    <row r="3418" spans="1:75">
      <c r="A3418" s="1" t="s">
        <v>51340</v>
      </c>
      <c r="B3418" s="1" t="s">
        <v>51341</v>
      </c>
      <c r="C3418" s="1" t="s">
        <v>54689</v>
      </c>
      <c r="D3418" s="1" t="s">
        <v>241</v>
      </c>
      <c r="E3418" s="1" t="s">
        <v>54690</v>
      </c>
      <c r="F3418" s="1" t="s">
        <v>54691</v>
      </c>
      <c r="G3418" s="1" t="s">
        <v>54692</v>
      </c>
      <c r="H3418" s="1" t="s">
        <v>54693</v>
      </c>
      <c r="I3418" s="1" t="s">
        <v>54694</v>
      </c>
      <c r="J3418" s="1">
        <v>9130113315</v>
      </c>
      <c r="K3418" s="1" t="s">
        <v>84</v>
      </c>
      <c r="L3418" s="1" t="s">
        <v>28853</v>
      </c>
      <c r="M3418" s="1" t="s">
        <v>86</v>
      </c>
      <c r="N3418" s="1" t="s">
        <v>2174</v>
      </c>
      <c r="O3418" s="1"/>
      <c r="P3418" s="1" t="s">
        <v>455</v>
      </c>
      <c r="Q3418" s="1" t="s">
        <v>54695</v>
      </c>
      <c r="R3418" s="1" t="s">
        <v>54696</v>
      </c>
      <c r="S3418" s="1">
        <v>8888829724</v>
      </c>
      <c r="T3418" s="1" t="s">
        <v>54697</v>
      </c>
      <c r="U3418" s="1" t="s">
        <v>54698</v>
      </c>
      <c r="V3418" s="1">
        <v>9890348534</v>
      </c>
      <c r="W3418" s="1" t="s">
        <v>94</v>
      </c>
      <c r="X3418" s="1" t="s">
        <v>54699</v>
      </c>
      <c r="Y3418" s="1" t="s">
        <v>910</v>
      </c>
      <c r="Z3418" s="1" t="s">
        <v>97</v>
      </c>
      <c r="AA3418" s="1" t="s">
        <v>54700</v>
      </c>
      <c r="AB3418" s="1" t="s">
        <v>14079</v>
      </c>
      <c r="AC3418" s="1" t="s">
        <v>97</v>
      </c>
      <c r="AD3418" s="1" t="s">
        <v>98</v>
      </c>
      <c r="AE3418" s="1" t="s">
        <v>98</v>
      </c>
      <c r="AF3418" s="1" t="s">
        <v>54701</v>
      </c>
      <c r="AG3418" s="1" t="s">
        <v>51712</v>
      </c>
      <c r="AH3418" s="1">
        <v>41382</v>
      </c>
      <c r="AI3418" s="1">
        <v>41797</v>
      </c>
      <c r="AJ3418" s="1">
        <v>81</v>
      </c>
      <c r="AK3418" s="1">
        <v>0</v>
      </c>
      <c r="AL3418" s="1" t="s">
        <v>98</v>
      </c>
      <c r="AM3418" s="1" t="s">
        <v>98</v>
      </c>
      <c r="AN3418" s="1"/>
      <c r="AO3418" s="1" t="s">
        <v>98</v>
      </c>
      <c r="AP3418" s="1" t="s">
        <v>98</v>
      </c>
      <c r="AQ3418" s="1"/>
      <c r="AR3418" s="1"/>
      <c r="AS3418" s="1" t="s">
        <v>439</v>
      </c>
      <c r="AT3418" s="1" t="s">
        <v>54702</v>
      </c>
      <c r="AU3418" s="1">
        <v>41863</v>
      </c>
      <c r="AV3418" s="1">
        <v>42894</v>
      </c>
      <c r="AW3418" s="1">
        <v>75.27</v>
      </c>
      <c r="AX3418" s="1">
        <v>0</v>
      </c>
      <c r="AY3418" s="1" t="s">
        <v>366</v>
      </c>
      <c r="AZ3418" s="1" t="s">
        <v>33883</v>
      </c>
      <c r="BA3418" s="1"/>
      <c r="BB3418" s="1"/>
      <c r="BC3418" s="1">
        <v>42969</v>
      </c>
      <c r="BD3418" s="1">
        <v>44146</v>
      </c>
      <c r="BE3418" s="1">
        <v>63.54</v>
      </c>
      <c r="BF3418" s="1">
        <v>7.22</v>
      </c>
      <c r="BG3418" s="1"/>
      <c r="BH3418" s="1"/>
      <c r="BI3418" s="1"/>
      <c r="BJ3418" s="1"/>
      <c r="BK3418" s="1" t="s">
        <v>98</v>
      </c>
      <c r="BL3418" s="1" t="s">
        <v>98</v>
      </c>
      <c r="BM3418" s="1" t="s">
        <v>98</v>
      </c>
      <c r="BN3418" s="1" t="s">
        <v>98</v>
      </c>
      <c r="BO3418" s="1" t="s">
        <v>369</v>
      </c>
      <c r="BP3418" s="1"/>
      <c r="BQ3418" s="1"/>
      <c r="BR3418" s="1" t="s">
        <v>54703</v>
      </c>
      <c r="BS3418" s="1">
        <v>12</v>
      </c>
      <c r="BT3418" s="1"/>
      <c r="BU3418" s="1" t="str">
        <f>HYPERLINK("https://nconnect.nicmar.ac.in/storage/profile/2021-2023_AP21205_879514.jpg","Download")</f>
        <v>0</v>
      </c>
      <c r="BV3418" s="3"/>
      <c r="BW3418" s="3"/>
    </row>
    <row r="3419" spans="1:75">
      <c r="A3419" s="1" t="s">
        <v>51340</v>
      </c>
      <c r="B3419" s="1" t="s">
        <v>51341</v>
      </c>
      <c r="C3419" s="1" t="s">
        <v>54704</v>
      </c>
      <c r="D3419" s="1" t="s">
        <v>54705</v>
      </c>
      <c r="E3419" s="1"/>
      <c r="F3419" s="1" t="s">
        <v>54706</v>
      </c>
      <c r="G3419" s="1" t="s">
        <v>54707</v>
      </c>
      <c r="H3419" s="1" t="s">
        <v>54708</v>
      </c>
      <c r="I3419" s="1" t="s">
        <v>54709</v>
      </c>
      <c r="J3419" s="1">
        <v>8979455145</v>
      </c>
      <c r="K3419" s="1" t="s">
        <v>84</v>
      </c>
      <c r="L3419" s="1" t="s">
        <v>11030</v>
      </c>
      <c r="M3419" s="1" t="s">
        <v>86</v>
      </c>
      <c r="N3419" s="1" t="s">
        <v>246</v>
      </c>
      <c r="O3419" s="1"/>
      <c r="P3419" s="1" t="s">
        <v>455</v>
      </c>
      <c r="Q3419" s="1" t="s">
        <v>54710</v>
      </c>
      <c r="R3419" s="1" t="s">
        <v>54711</v>
      </c>
      <c r="S3419" s="1">
        <v>9411396991</v>
      </c>
      <c r="T3419" s="1" t="s">
        <v>539</v>
      </c>
      <c r="U3419" s="1" t="s">
        <v>54712</v>
      </c>
      <c r="V3419" s="1">
        <v>9410744727</v>
      </c>
      <c r="W3419" s="1" t="s">
        <v>539</v>
      </c>
      <c r="X3419" s="1" t="s">
        <v>54713</v>
      </c>
      <c r="Y3419" s="1" t="s">
        <v>54714</v>
      </c>
      <c r="Z3419" s="1" t="s">
        <v>7930</v>
      </c>
      <c r="AA3419" s="1" t="s">
        <v>54713</v>
      </c>
      <c r="AB3419" s="1" t="s">
        <v>54714</v>
      </c>
      <c r="AC3419" s="1" t="s">
        <v>7930</v>
      </c>
      <c r="AD3419" s="1" t="s">
        <v>98</v>
      </c>
      <c r="AE3419" s="1" t="s">
        <v>98</v>
      </c>
      <c r="AF3419" s="1" t="s">
        <v>54715</v>
      </c>
      <c r="AG3419" s="1" t="s">
        <v>312</v>
      </c>
      <c r="AH3419" s="1">
        <v>41001</v>
      </c>
      <c r="AI3419" s="1">
        <v>41424</v>
      </c>
      <c r="AJ3419" s="1">
        <v>64.6</v>
      </c>
      <c r="AK3419" s="1">
        <v>6.8</v>
      </c>
      <c r="AL3419" s="1" t="s">
        <v>32818</v>
      </c>
      <c r="AM3419" s="1" t="s">
        <v>312</v>
      </c>
      <c r="AN3419" s="1"/>
      <c r="AO3419" s="1">
        <v>41730</v>
      </c>
      <c r="AP3419" s="1">
        <v>42149</v>
      </c>
      <c r="AQ3419" s="1">
        <v>65.2</v>
      </c>
      <c r="AR3419" s="1"/>
      <c r="AS3419" s="1"/>
      <c r="AT3419" s="1"/>
      <c r="AU3419" s="1" t="s">
        <v>98</v>
      </c>
      <c r="AV3419" s="1" t="s">
        <v>98</v>
      </c>
      <c r="AW3419" s="1" t="s">
        <v>98</v>
      </c>
      <c r="AX3419" s="1" t="s">
        <v>98</v>
      </c>
      <c r="AY3419" s="1" t="s">
        <v>54716</v>
      </c>
      <c r="AZ3419" s="1" t="s">
        <v>54716</v>
      </c>
      <c r="BA3419" s="1"/>
      <c r="BB3419" s="1"/>
      <c r="BC3419" s="1">
        <v>42219</v>
      </c>
      <c r="BD3419" s="1">
        <v>43646</v>
      </c>
      <c r="BE3419" s="1">
        <v>62.8</v>
      </c>
      <c r="BF3419" s="1">
        <v>6.28</v>
      </c>
      <c r="BG3419" s="1"/>
      <c r="BH3419" s="1"/>
      <c r="BI3419" s="1"/>
      <c r="BJ3419" s="1"/>
      <c r="BK3419" s="1" t="s">
        <v>98</v>
      </c>
      <c r="BL3419" s="1" t="s">
        <v>98</v>
      </c>
      <c r="BM3419" s="1" t="s">
        <v>98</v>
      </c>
      <c r="BN3419" s="1" t="s">
        <v>98</v>
      </c>
      <c r="BO3419" s="1" t="s">
        <v>369</v>
      </c>
      <c r="BP3419" s="1"/>
      <c r="BQ3419" s="1"/>
      <c r="BR3419" s="1" t="s">
        <v>54717</v>
      </c>
      <c r="BS3419" s="1">
        <v>15</v>
      </c>
      <c r="BT3419" s="1"/>
      <c r="BU3419" s="1" t="str">
        <f>HYPERLINK("https://nconnect.nicmar.ac.in/storage/profile/2021-2023_AP21206_439278.jpg","Download")</f>
        <v>0</v>
      </c>
      <c r="BV3419" s="3"/>
      <c r="BW3419" s="3"/>
    </row>
    <row r="3420" spans="1:75">
      <c r="A3420" s="1" t="s">
        <v>51340</v>
      </c>
      <c r="B3420" s="1" t="s">
        <v>51341</v>
      </c>
      <c r="C3420" s="1" t="s">
        <v>54718</v>
      </c>
      <c r="D3420" s="1" t="s">
        <v>54719</v>
      </c>
      <c r="E3420" s="1" t="s">
        <v>54720</v>
      </c>
      <c r="F3420" s="1" t="s">
        <v>54721</v>
      </c>
      <c r="G3420" s="1" t="s">
        <v>54722</v>
      </c>
      <c r="H3420" s="1" t="s">
        <v>54723</v>
      </c>
      <c r="I3420" s="1" t="s">
        <v>54724</v>
      </c>
      <c r="J3420" s="1">
        <v>9447928939</v>
      </c>
      <c r="K3420" s="1" t="s">
        <v>84</v>
      </c>
      <c r="L3420" s="1" t="s">
        <v>54725</v>
      </c>
      <c r="M3420" s="1" t="s">
        <v>86</v>
      </c>
      <c r="N3420" s="1" t="s">
        <v>54726</v>
      </c>
      <c r="O3420" s="1"/>
      <c r="P3420" s="1" t="s">
        <v>507</v>
      </c>
      <c r="Q3420" s="1" t="s">
        <v>54727</v>
      </c>
      <c r="R3420" s="1" t="s">
        <v>54728</v>
      </c>
      <c r="S3420" s="1">
        <v>8086388008</v>
      </c>
      <c r="T3420" s="1" t="s">
        <v>29982</v>
      </c>
      <c r="U3420" s="1" t="s">
        <v>54729</v>
      </c>
      <c r="V3420" s="1">
        <v>9567873970</v>
      </c>
      <c r="W3420" s="1" t="s">
        <v>94</v>
      </c>
      <c r="X3420" s="1" t="s">
        <v>54730</v>
      </c>
      <c r="Y3420" s="1" t="s">
        <v>1283</v>
      </c>
      <c r="Z3420" s="1" t="s">
        <v>130</v>
      </c>
      <c r="AA3420" s="1" t="s">
        <v>54730</v>
      </c>
      <c r="AB3420" s="1" t="s">
        <v>129</v>
      </c>
      <c r="AC3420" s="1" t="s">
        <v>130</v>
      </c>
      <c r="AD3420" s="1" t="s">
        <v>98</v>
      </c>
      <c r="AE3420" s="1" t="s">
        <v>98</v>
      </c>
      <c r="AF3420" s="1" t="s">
        <v>54731</v>
      </c>
      <c r="AG3420" s="1" t="s">
        <v>312</v>
      </c>
      <c r="AH3420" s="1" t="s">
        <v>1262</v>
      </c>
      <c r="AI3420" s="1" t="s">
        <v>136</v>
      </c>
      <c r="AJ3420" s="1">
        <v>95</v>
      </c>
      <c r="AK3420" s="1">
        <v>10</v>
      </c>
      <c r="AL3420" s="1" t="s">
        <v>54731</v>
      </c>
      <c r="AM3420" s="1" t="s">
        <v>312</v>
      </c>
      <c r="AN3420" s="1"/>
      <c r="AO3420" s="1" t="s">
        <v>627</v>
      </c>
      <c r="AP3420" s="1" t="s">
        <v>573</v>
      </c>
      <c r="AQ3420" s="1">
        <v>78.2</v>
      </c>
      <c r="AR3420" s="1"/>
      <c r="AS3420" s="1"/>
      <c r="AT3420" s="1"/>
      <c r="AU3420" s="1" t="s">
        <v>98</v>
      </c>
      <c r="AV3420" s="1" t="s">
        <v>98</v>
      </c>
      <c r="AW3420" s="1"/>
      <c r="AX3420" s="1"/>
      <c r="AY3420" s="1" t="s">
        <v>7207</v>
      </c>
      <c r="AZ3420" s="1" t="s">
        <v>54732</v>
      </c>
      <c r="BA3420" s="1"/>
      <c r="BB3420" s="1"/>
      <c r="BC3420" s="1" t="s">
        <v>388</v>
      </c>
      <c r="BD3420" s="1" t="s">
        <v>845</v>
      </c>
      <c r="BE3420" s="1">
        <v>73.7</v>
      </c>
      <c r="BF3420" s="1">
        <v>8.17</v>
      </c>
      <c r="BG3420" s="1"/>
      <c r="BH3420" s="1"/>
      <c r="BI3420" s="1"/>
      <c r="BJ3420" s="1"/>
      <c r="BK3420" s="1" t="s">
        <v>98</v>
      </c>
      <c r="BL3420" s="1" t="s">
        <v>98</v>
      </c>
      <c r="BM3420" s="1" t="s">
        <v>98</v>
      </c>
      <c r="BN3420" s="1" t="s">
        <v>98</v>
      </c>
      <c r="BO3420" s="1" t="s">
        <v>1114</v>
      </c>
      <c r="BP3420" s="1"/>
      <c r="BQ3420" s="1"/>
      <c r="BR3420" s="1" t="s">
        <v>54733</v>
      </c>
      <c r="BS3420" s="1">
        <v>14</v>
      </c>
      <c r="BT3420" s="1"/>
      <c r="BU3420" s="1" t="str">
        <f>HYPERLINK("https://nconnect.nicmar.ac.in/storage/profile/2021-2023_AP21207_513276.jpg","Download")</f>
        <v>0</v>
      </c>
      <c r="BV3420" s="3"/>
      <c r="BW3420" s="3"/>
    </row>
    <row r="3421" spans="1:75">
      <c r="A3421" s="1" t="s">
        <v>51340</v>
      </c>
      <c r="B3421" s="1" t="s">
        <v>51341</v>
      </c>
      <c r="C3421" s="1" t="s">
        <v>54734</v>
      </c>
      <c r="D3421" s="1" t="s">
        <v>6896</v>
      </c>
      <c r="E3421" s="1" t="s">
        <v>213</v>
      </c>
      <c r="F3421" s="1" t="s">
        <v>13015</v>
      </c>
      <c r="G3421" s="1" t="s">
        <v>54735</v>
      </c>
      <c r="H3421" s="1" t="s">
        <v>54736</v>
      </c>
      <c r="I3421" s="1" t="s">
        <v>54737</v>
      </c>
      <c r="J3421" s="1">
        <v>8379847918</v>
      </c>
      <c r="K3421" s="1" t="s">
        <v>84</v>
      </c>
      <c r="L3421" s="1" t="s">
        <v>54738</v>
      </c>
      <c r="M3421" s="1" t="s">
        <v>86</v>
      </c>
      <c r="N3421" s="1" t="s">
        <v>1184</v>
      </c>
      <c r="O3421" s="1"/>
      <c r="P3421" s="1" t="s">
        <v>481</v>
      </c>
      <c r="Q3421" s="1" t="s">
        <v>54739</v>
      </c>
      <c r="R3421" s="1" t="s">
        <v>54740</v>
      </c>
      <c r="S3421" s="1">
        <v>9922754503</v>
      </c>
      <c r="T3421" s="1" t="s">
        <v>92</v>
      </c>
      <c r="U3421" s="1" t="s">
        <v>54741</v>
      </c>
      <c r="V3421" s="1">
        <v>9921498314</v>
      </c>
      <c r="W3421" s="1" t="s">
        <v>94</v>
      </c>
      <c r="X3421" s="1" t="s">
        <v>54742</v>
      </c>
      <c r="Y3421" s="1" t="s">
        <v>196</v>
      </c>
      <c r="Z3421" s="1" t="s">
        <v>97</v>
      </c>
      <c r="AA3421" s="1" t="s">
        <v>54742</v>
      </c>
      <c r="AB3421" s="1" t="s">
        <v>196</v>
      </c>
      <c r="AC3421" s="1" t="s">
        <v>97</v>
      </c>
      <c r="AD3421" s="1" t="s">
        <v>98</v>
      </c>
      <c r="AE3421" s="1" t="s">
        <v>98</v>
      </c>
      <c r="AF3421" s="1" t="s">
        <v>54743</v>
      </c>
      <c r="AG3421" s="1" t="s">
        <v>54744</v>
      </c>
      <c r="AH3421" s="1">
        <v>41075</v>
      </c>
      <c r="AI3421" s="1">
        <v>41452</v>
      </c>
      <c r="AJ3421" s="1">
        <v>88.55</v>
      </c>
      <c r="AK3421" s="1"/>
      <c r="AL3421" s="1" t="s">
        <v>54745</v>
      </c>
      <c r="AM3421" s="1" t="s">
        <v>54744</v>
      </c>
      <c r="AN3421" s="1"/>
      <c r="AO3421" s="1">
        <v>41797</v>
      </c>
      <c r="AP3421" s="1">
        <v>42201</v>
      </c>
      <c r="AQ3421" s="1">
        <v>63.69</v>
      </c>
      <c r="AR3421" s="1"/>
      <c r="AS3421" s="1"/>
      <c r="AT3421" s="1"/>
      <c r="AU3421" s="1" t="s">
        <v>98</v>
      </c>
      <c r="AV3421" s="1" t="s">
        <v>98</v>
      </c>
      <c r="AW3421" s="1" t="s">
        <v>98</v>
      </c>
      <c r="AX3421" s="1" t="s">
        <v>98</v>
      </c>
      <c r="AY3421" s="1" t="s">
        <v>366</v>
      </c>
      <c r="AZ3421" s="1" t="s">
        <v>54746</v>
      </c>
      <c r="BA3421" s="1"/>
      <c r="BB3421" s="1"/>
      <c r="BC3421" s="1">
        <v>42213</v>
      </c>
      <c r="BD3421" s="1">
        <v>44091</v>
      </c>
      <c r="BE3421" s="1">
        <v>81.44</v>
      </c>
      <c r="BF3421" s="1">
        <v>8.87</v>
      </c>
      <c r="BG3421" s="1"/>
      <c r="BH3421" s="1"/>
      <c r="BI3421" s="1"/>
      <c r="BJ3421" s="1"/>
      <c r="BK3421" s="1" t="s">
        <v>98</v>
      </c>
      <c r="BL3421" s="1" t="s">
        <v>98</v>
      </c>
      <c r="BM3421" s="1" t="s">
        <v>98</v>
      </c>
      <c r="BN3421" s="1" t="s">
        <v>98</v>
      </c>
      <c r="BO3421" s="1" t="s">
        <v>54747</v>
      </c>
      <c r="BP3421" s="1" t="s">
        <v>54748</v>
      </c>
      <c r="BQ3421" s="1" t="s">
        <v>2213</v>
      </c>
      <c r="BR3421" s="1" t="s">
        <v>54749</v>
      </c>
      <c r="BS3421" s="1">
        <v>31</v>
      </c>
      <c r="BT3421" s="1"/>
      <c r="BU3421" s="1" t="str">
        <f>HYPERLINK("https://nconnect.nicmar.ac.in/storage/profile/2021-2023_AP21208_653719.jpg","Download")</f>
        <v>0</v>
      </c>
      <c r="BV3421" s="3"/>
      <c r="BW3421" s="3"/>
    </row>
    <row r="3422" spans="1:75">
      <c r="A3422" s="1" t="s">
        <v>51340</v>
      </c>
      <c r="B3422" s="1" t="s">
        <v>51341</v>
      </c>
      <c r="C3422" s="1" t="s">
        <v>54750</v>
      </c>
      <c r="D3422" s="1" t="s">
        <v>54751</v>
      </c>
      <c r="E3422" s="1" t="s">
        <v>4646</v>
      </c>
      <c r="F3422" s="1" t="s">
        <v>12401</v>
      </c>
      <c r="G3422" s="1" t="s">
        <v>54752</v>
      </c>
      <c r="H3422" s="1" t="s">
        <v>54753</v>
      </c>
      <c r="I3422" s="1" t="s">
        <v>54754</v>
      </c>
      <c r="J3422" s="1">
        <v>8369676559</v>
      </c>
      <c r="K3422" s="1" t="s">
        <v>84</v>
      </c>
      <c r="L3422" s="1" t="s">
        <v>30076</v>
      </c>
      <c r="M3422" s="1" t="s">
        <v>86</v>
      </c>
      <c r="N3422" s="1" t="s">
        <v>1163</v>
      </c>
      <c r="O3422" s="1"/>
      <c r="P3422" s="1" t="s">
        <v>507</v>
      </c>
      <c r="Q3422" s="1" t="s">
        <v>54755</v>
      </c>
      <c r="R3422" s="1" t="s">
        <v>54756</v>
      </c>
      <c r="S3422" s="1">
        <v>9833008132</v>
      </c>
      <c r="T3422" s="1" t="s">
        <v>839</v>
      </c>
      <c r="U3422" s="1" t="s">
        <v>54757</v>
      </c>
      <c r="V3422" s="1">
        <v>9833990480</v>
      </c>
      <c r="W3422" s="1" t="s">
        <v>127</v>
      </c>
      <c r="X3422" s="1" t="s">
        <v>54758</v>
      </c>
      <c r="Y3422" s="1" t="s">
        <v>53166</v>
      </c>
      <c r="Z3422" s="1" t="s">
        <v>97</v>
      </c>
      <c r="AA3422" s="1" t="s">
        <v>54758</v>
      </c>
      <c r="AB3422" s="1" t="s">
        <v>53166</v>
      </c>
      <c r="AC3422" s="1" t="s">
        <v>97</v>
      </c>
      <c r="AD3422" s="1" t="s">
        <v>98</v>
      </c>
      <c r="AE3422" s="1" t="s">
        <v>98</v>
      </c>
      <c r="AF3422" s="1" t="s">
        <v>54759</v>
      </c>
      <c r="AG3422" s="1" t="s">
        <v>1968</v>
      </c>
      <c r="AH3422" s="1">
        <v>41440</v>
      </c>
      <c r="AI3422" s="1">
        <v>41807</v>
      </c>
      <c r="AJ3422" s="1">
        <v>85.4</v>
      </c>
      <c r="AK3422" s="1"/>
      <c r="AL3422" s="1" t="s">
        <v>98</v>
      </c>
      <c r="AM3422" s="1" t="s">
        <v>1968</v>
      </c>
      <c r="AN3422" s="1"/>
      <c r="AO3422" s="1" t="s">
        <v>98</v>
      </c>
      <c r="AP3422" s="1" t="s">
        <v>98</v>
      </c>
      <c r="AQ3422" s="1"/>
      <c r="AR3422" s="1"/>
      <c r="AS3422" s="1" t="s">
        <v>439</v>
      </c>
      <c r="AT3422" s="1" t="s">
        <v>54760</v>
      </c>
      <c r="AU3422" s="1">
        <v>41855</v>
      </c>
      <c r="AV3422" s="1">
        <v>42894</v>
      </c>
      <c r="AW3422" s="1">
        <v>68.61</v>
      </c>
      <c r="AX3422" s="1"/>
      <c r="AY3422" s="1" t="s">
        <v>258</v>
      </c>
      <c r="AZ3422" s="1" t="s">
        <v>54761</v>
      </c>
      <c r="BA3422" s="1"/>
      <c r="BB3422" s="1"/>
      <c r="BC3422" s="1">
        <v>42954</v>
      </c>
      <c r="BD3422" s="1">
        <v>44155</v>
      </c>
      <c r="BE3422" s="1">
        <v>65.5</v>
      </c>
      <c r="BF3422" s="1">
        <v>7.23</v>
      </c>
      <c r="BG3422" s="1"/>
      <c r="BH3422" s="1"/>
      <c r="BI3422" s="1"/>
      <c r="BJ3422" s="1"/>
      <c r="BK3422" s="1" t="s">
        <v>98</v>
      </c>
      <c r="BL3422" s="1" t="s">
        <v>98</v>
      </c>
      <c r="BM3422" s="1" t="s">
        <v>98</v>
      </c>
      <c r="BN3422" s="1" t="s">
        <v>98</v>
      </c>
      <c r="BO3422" s="1"/>
      <c r="BP3422" s="1"/>
      <c r="BQ3422" s="1"/>
      <c r="BR3422" s="1" t="s">
        <v>54762</v>
      </c>
      <c r="BS3422" s="1">
        <v>9</v>
      </c>
      <c r="BT3422" s="1"/>
      <c r="BU3422" s="1" t="str">
        <f>HYPERLINK("https://nconnect.nicmar.ac.in/storage/profile/2021-2023_AP21209_127394.jpg","Download")</f>
        <v>0</v>
      </c>
      <c r="BV3422" s="3"/>
      <c r="BW3422" s="3"/>
    </row>
    <row r="3423" spans="1:75">
      <c r="A3423" s="1" t="s">
        <v>51340</v>
      </c>
      <c r="B3423" s="1" t="s">
        <v>51341</v>
      </c>
      <c r="C3423" s="1" t="s">
        <v>54763</v>
      </c>
      <c r="D3423" s="1" t="s">
        <v>54764</v>
      </c>
      <c r="E3423" s="1"/>
      <c r="F3423" s="1" t="s">
        <v>54765</v>
      </c>
      <c r="G3423" s="1" t="s">
        <v>54766</v>
      </c>
      <c r="H3423" s="1" t="s">
        <v>54767</v>
      </c>
      <c r="I3423" s="1" t="s">
        <v>54768</v>
      </c>
      <c r="J3423" s="1">
        <v>8547894924</v>
      </c>
      <c r="K3423" s="1" t="s">
        <v>84</v>
      </c>
      <c r="L3423" s="1" t="s">
        <v>25567</v>
      </c>
      <c r="M3423" s="1" t="s">
        <v>86</v>
      </c>
      <c r="N3423" s="1" t="s">
        <v>33739</v>
      </c>
      <c r="O3423" s="1"/>
      <c r="P3423" s="1" t="s">
        <v>507</v>
      </c>
      <c r="Q3423" s="1" t="s">
        <v>54769</v>
      </c>
      <c r="R3423" s="1" t="s">
        <v>54770</v>
      </c>
      <c r="S3423" s="1">
        <v>9846470901</v>
      </c>
      <c r="T3423" s="1" t="s">
        <v>839</v>
      </c>
      <c r="U3423" s="1" t="s">
        <v>54771</v>
      </c>
      <c r="V3423" s="1">
        <v>9447350901</v>
      </c>
      <c r="W3423" s="1" t="s">
        <v>94</v>
      </c>
      <c r="X3423" s="1" t="s">
        <v>54772</v>
      </c>
      <c r="Y3423" s="1"/>
      <c r="Z3423" s="1" t="s">
        <v>130</v>
      </c>
      <c r="AA3423" s="1" t="s">
        <v>54772</v>
      </c>
      <c r="AB3423" s="1"/>
      <c r="AC3423" s="1" t="s">
        <v>130</v>
      </c>
      <c r="AD3423" s="1" t="s">
        <v>98</v>
      </c>
      <c r="AE3423" s="1" t="s">
        <v>98</v>
      </c>
      <c r="AF3423" s="1" t="s">
        <v>54773</v>
      </c>
      <c r="AG3423" s="1" t="s">
        <v>312</v>
      </c>
      <c r="AH3423" s="1" t="s">
        <v>54774</v>
      </c>
      <c r="AI3423" s="1" t="s">
        <v>53806</v>
      </c>
      <c r="AJ3423" s="1">
        <v>89.3</v>
      </c>
      <c r="AK3423" s="1">
        <v>9.4</v>
      </c>
      <c r="AL3423" s="1" t="s">
        <v>54773</v>
      </c>
      <c r="AM3423" s="1" t="s">
        <v>312</v>
      </c>
      <c r="AN3423" s="1"/>
      <c r="AO3423" s="1" t="s">
        <v>54775</v>
      </c>
      <c r="AP3423" s="1" t="s">
        <v>53808</v>
      </c>
      <c r="AQ3423" s="1">
        <v>66</v>
      </c>
      <c r="AR3423" s="1"/>
      <c r="AS3423" s="1"/>
      <c r="AT3423" s="1"/>
      <c r="AU3423" s="1" t="s">
        <v>98</v>
      </c>
      <c r="AV3423" s="1" t="s">
        <v>98</v>
      </c>
      <c r="AW3423" s="1" t="s">
        <v>98</v>
      </c>
      <c r="AX3423" s="1" t="s">
        <v>98</v>
      </c>
      <c r="AY3423" s="1" t="s">
        <v>137</v>
      </c>
      <c r="AZ3423" s="1" t="s">
        <v>54776</v>
      </c>
      <c r="BA3423" s="1"/>
      <c r="BB3423" s="1"/>
      <c r="BC3423" s="1">
        <v>42544</v>
      </c>
      <c r="BD3423" s="1">
        <v>44030</v>
      </c>
      <c r="BE3423" s="1">
        <v>69.85</v>
      </c>
      <c r="BF3423" s="1">
        <v>7.36</v>
      </c>
      <c r="BG3423" s="1"/>
      <c r="BH3423" s="1"/>
      <c r="BI3423" s="1"/>
      <c r="BJ3423" s="1"/>
      <c r="BK3423" s="1" t="s">
        <v>98</v>
      </c>
      <c r="BL3423" s="1" t="s">
        <v>98</v>
      </c>
      <c r="BM3423" s="1" t="s">
        <v>98</v>
      </c>
      <c r="BN3423" s="1" t="s">
        <v>98</v>
      </c>
      <c r="BO3423" s="1" t="s">
        <v>369</v>
      </c>
      <c r="BP3423" s="1"/>
      <c r="BQ3423" s="1"/>
      <c r="BR3423" s="1" t="s">
        <v>54777</v>
      </c>
      <c r="BS3423" s="1">
        <v>9</v>
      </c>
      <c r="BT3423" s="1"/>
      <c r="BU3423" s="1" t="str">
        <f>HYPERLINK("https://nconnect.nicmar.ac.in/storage/profile/2021-2023_AP21210_137548.jpg","Download")</f>
        <v>0</v>
      </c>
      <c r="BV3423" s="3"/>
      <c r="BW3423" s="3"/>
    </row>
    <row r="3424" spans="1:75">
      <c r="A3424" s="1" t="s">
        <v>51340</v>
      </c>
      <c r="B3424" s="1" t="s">
        <v>51341</v>
      </c>
      <c r="C3424" s="1" t="s">
        <v>54778</v>
      </c>
      <c r="D3424" s="1" t="s">
        <v>2272</v>
      </c>
      <c r="E3424" s="1"/>
      <c r="F3424" s="1" t="s">
        <v>11401</v>
      </c>
      <c r="G3424" s="1" t="s">
        <v>54779</v>
      </c>
      <c r="H3424" s="1" t="s">
        <v>54780</v>
      </c>
      <c r="I3424" s="1" t="s">
        <v>54781</v>
      </c>
      <c r="J3424" s="1">
        <v>9918644525</v>
      </c>
      <c r="K3424" s="1" t="s">
        <v>84</v>
      </c>
      <c r="L3424" s="1" t="s">
        <v>30977</v>
      </c>
      <c r="M3424" s="1" t="s">
        <v>86</v>
      </c>
      <c r="N3424" s="1" t="s">
        <v>54782</v>
      </c>
      <c r="O3424" s="1"/>
      <c r="P3424" s="1" t="s">
        <v>481</v>
      </c>
      <c r="Q3424" s="1" t="s">
        <v>54783</v>
      </c>
      <c r="R3424" s="1" t="s">
        <v>54784</v>
      </c>
      <c r="S3424" s="1">
        <v>9721455614</v>
      </c>
      <c r="T3424" s="1" t="s">
        <v>5027</v>
      </c>
      <c r="U3424" s="1" t="s">
        <v>54785</v>
      </c>
      <c r="V3424" s="1">
        <v>9792550022</v>
      </c>
      <c r="W3424" s="1" t="s">
        <v>94</v>
      </c>
      <c r="X3424" s="1" t="s">
        <v>54786</v>
      </c>
      <c r="Y3424" s="1" t="s">
        <v>54787</v>
      </c>
      <c r="Z3424" s="1" t="s">
        <v>1700</v>
      </c>
      <c r="AA3424" s="1" t="s">
        <v>54788</v>
      </c>
      <c r="AB3424" s="1" t="s">
        <v>54789</v>
      </c>
      <c r="AC3424" s="1" t="s">
        <v>544</v>
      </c>
      <c r="AD3424" s="1" t="s">
        <v>98</v>
      </c>
      <c r="AE3424" s="1" t="s">
        <v>98</v>
      </c>
      <c r="AF3424" s="1" t="s">
        <v>54790</v>
      </c>
      <c r="AG3424" s="1" t="s">
        <v>312</v>
      </c>
      <c r="AH3424" s="1">
        <v>41736</v>
      </c>
      <c r="AI3424" s="1">
        <v>42152</v>
      </c>
      <c r="AJ3424" s="1">
        <v>87.4</v>
      </c>
      <c r="AK3424" s="1">
        <v>9.2</v>
      </c>
      <c r="AL3424" s="1" t="s">
        <v>53266</v>
      </c>
      <c r="AM3424" s="1" t="s">
        <v>312</v>
      </c>
      <c r="AN3424" s="1"/>
      <c r="AO3424" s="1">
        <v>42450</v>
      </c>
      <c r="AP3424" s="1">
        <v>42883</v>
      </c>
      <c r="AQ3424" s="1">
        <v>66</v>
      </c>
      <c r="AR3424" s="1"/>
      <c r="AS3424" s="1"/>
      <c r="AT3424" s="1"/>
      <c r="AU3424" s="1" t="s">
        <v>98</v>
      </c>
      <c r="AV3424" s="1" t="s">
        <v>98</v>
      </c>
      <c r="AW3424" s="1" t="s">
        <v>98</v>
      </c>
      <c r="AX3424" s="1" t="s">
        <v>98</v>
      </c>
      <c r="AY3424" s="1" t="s">
        <v>25612</v>
      </c>
      <c r="AZ3424" s="1" t="s">
        <v>23425</v>
      </c>
      <c r="BA3424" s="1"/>
      <c r="BB3424" s="1"/>
      <c r="BC3424" s="1">
        <v>42963</v>
      </c>
      <c r="BD3424" s="1">
        <v>44393</v>
      </c>
      <c r="BE3424" s="1">
        <v>85.1</v>
      </c>
      <c r="BF3424" s="1">
        <v>8.51</v>
      </c>
      <c r="BG3424" s="1"/>
      <c r="BH3424" s="1"/>
      <c r="BI3424" s="1"/>
      <c r="BJ3424" s="1"/>
      <c r="BK3424" s="1" t="s">
        <v>98</v>
      </c>
      <c r="BL3424" s="1" t="s">
        <v>98</v>
      </c>
      <c r="BM3424" s="1" t="s">
        <v>98</v>
      </c>
      <c r="BN3424" s="1" t="s">
        <v>98</v>
      </c>
      <c r="BO3424" s="1" t="s">
        <v>3308</v>
      </c>
      <c r="BP3424" s="1"/>
      <c r="BQ3424" s="1"/>
      <c r="BR3424" s="1" t="s">
        <v>54791</v>
      </c>
      <c r="BS3424" s="1">
        <v>19</v>
      </c>
      <c r="BT3424" s="1"/>
      <c r="BU3424" s="1" t="str">
        <f>HYPERLINK("https://nconnect.nicmar.ac.in/storage/profile/2021-2023_AP21211_627143.JPG","Download")</f>
        <v>0</v>
      </c>
      <c r="BV3424" s="3"/>
      <c r="BW3424" s="3"/>
    </row>
    <row r="3425" spans="1:75">
      <c r="A3425" s="1" t="s">
        <v>51340</v>
      </c>
      <c r="B3425" s="1" t="s">
        <v>51341</v>
      </c>
      <c r="C3425" s="1" t="s">
        <v>54792</v>
      </c>
      <c r="D3425" s="1" t="s">
        <v>54793</v>
      </c>
      <c r="E3425" s="1"/>
      <c r="F3425" s="1" t="s">
        <v>54794</v>
      </c>
      <c r="G3425" s="1" t="s">
        <v>54795</v>
      </c>
      <c r="H3425" s="1" t="s">
        <v>54796</v>
      </c>
      <c r="I3425" s="1" t="s">
        <v>54797</v>
      </c>
      <c r="J3425" s="1">
        <v>8348272584</v>
      </c>
      <c r="K3425" s="1" t="s">
        <v>153</v>
      </c>
      <c r="L3425" s="1" t="s">
        <v>26712</v>
      </c>
      <c r="M3425" s="1" t="s">
        <v>86</v>
      </c>
      <c r="N3425" s="1" t="s">
        <v>27171</v>
      </c>
      <c r="O3425" s="1"/>
      <c r="P3425" s="1" t="s">
        <v>481</v>
      </c>
      <c r="Q3425" s="1" t="s">
        <v>54798</v>
      </c>
      <c r="R3425" s="1" t="s">
        <v>54799</v>
      </c>
      <c r="S3425" s="1">
        <v>9735970842</v>
      </c>
      <c r="T3425" s="1" t="s">
        <v>54800</v>
      </c>
      <c r="U3425" s="1" t="s">
        <v>54801</v>
      </c>
      <c r="V3425" s="1">
        <v>9593188496</v>
      </c>
      <c r="W3425" s="1" t="s">
        <v>278</v>
      </c>
      <c r="X3425" s="1" t="s">
        <v>54802</v>
      </c>
      <c r="Y3425" s="1" t="s">
        <v>54803</v>
      </c>
      <c r="Z3425" s="1" t="s">
        <v>1234</v>
      </c>
      <c r="AA3425" s="1" t="s">
        <v>54802</v>
      </c>
      <c r="AB3425" s="1" t="s">
        <v>54803</v>
      </c>
      <c r="AC3425" s="1" t="s">
        <v>1234</v>
      </c>
      <c r="AD3425" s="1" t="s">
        <v>98</v>
      </c>
      <c r="AE3425" s="1" t="s">
        <v>98</v>
      </c>
      <c r="AF3425" s="1" t="s">
        <v>54804</v>
      </c>
      <c r="AG3425" s="1" t="s">
        <v>312</v>
      </c>
      <c r="AH3425" s="1">
        <v>41699</v>
      </c>
      <c r="AI3425" s="1">
        <v>42152</v>
      </c>
      <c r="AJ3425" s="1">
        <v>77.9</v>
      </c>
      <c r="AK3425" s="1">
        <v>8.2</v>
      </c>
      <c r="AL3425" s="1" t="s">
        <v>54804</v>
      </c>
      <c r="AM3425" s="1" t="s">
        <v>312</v>
      </c>
      <c r="AN3425" s="1"/>
      <c r="AO3425" s="1">
        <v>42430</v>
      </c>
      <c r="AP3425" s="1">
        <v>42883</v>
      </c>
      <c r="AQ3425" s="1">
        <v>65.2</v>
      </c>
      <c r="AR3425" s="1"/>
      <c r="AS3425" s="1"/>
      <c r="AT3425" s="1"/>
      <c r="AU3425" s="1" t="s">
        <v>98</v>
      </c>
      <c r="AV3425" s="1" t="s">
        <v>98</v>
      </c>
      <c r="AW3425" s="1" t="s">
        <v>98</v>
      </c>
      <c r="AX3425" s="1" t="s">
        <v>98</v>
      </c>
      <c r="AY3425" s="1" t="s">
        <v>25745</v>
      </c>
      <c r="AZ3425" s="1" t="s">
        <v>25745</v>
      </c>
      <c r="BA3425" s="1"/>
      <c r="BB3425" s="1"/>
      <c r="BC3425" s="1">
        <v>42948</v>
      </c>
      <c r="BD3425" s="1">
        <v>44411</v>
      </c>
      <c r="BE3425" s="1">
        <v>79.1</v>
      </c>
      <c r="BF3425" s="1">
        <v>8.66</v>
      </c>
      <c r="BG3425" s="1"/>
      <c r="BH3425" s="1"/>
      <c r="BI3425" s="1"/>
      <c r="BJ3425" s="1"/>
      <c r="BK3425" s="1" t="s">
        <v>98</v>
      </c>
      <c r="BL3425" s="1" t="s">
        <v>98</v>
      </c>
      <c r="BM3425" s="1" t="s">
        <v>98</v>
      </c>
      <c r="BN3425" s="1" t="s">
        <v>98</v>
      </c>
      <c r="BO3425" s="1" t="s">
        <v>28530</v>
      </c>
      <c r="BP3425" s="1"/>
      <c r="BQ3425" s="1"/>
      <c r="BR3425" s="1" t="s">
        <v>54805</v>
      </c>
      <c r="BS3425" s="1">
        <v>10</v>
      </c>
      <c r="BT3425" s="1"/>
      <c r="BU3425" s="1" t="str">
        <f>HYPERLINK("https://nconnect.nicmar.ac.in/storage/profile/2021-2023_AP21212_465319.jpg","Download")</f>
        <v>0</v>
      </c>
      <c r="BV3425" s="3"/>
      <c r="BW3425" s="3"/>
    </row>
    <row r="3426" spans="1:75">
      <c r="A3426" s="1" t="s">
        <v>51340</v>
      </c>
      <c r="B3426" s="1" t="s">
        <v>51341</v>
      </c>
      <c r="C3426" s="1" t="s">
        <v>54806</v>
      </c>
      <c r="D3426" s="1" t="s">
        <v>1787</v>
      </c>
      <c r="E3426" s="1"/>
      <c r="F3426" s="1" t="s">
        <v>54807</v>
      </c>
      <c r="G3426" s="1" t="s">
        <v>54808</v>
      </c>
      <c r="H3426" s="1" t="s">
        <v>54809</v>
      </c>
      <c r="I3426" s="1" t="s">
        <v>54810</v>
      </c>
      <c r="J3426" s="1">
        <v>9767642531</v>
      </c>
      <c r="K3426" s="1" t="s">
        <v>84</v>
      </c>
      <c r="L3426" s="1" t="s">
        <v>26849</v>
      </c>
      <c r="M3426" s="1" t="s">
        <v>86</v>
      </c>
      <c r="N3426" s="1" t="s">
        <v>2926</v>
      </c>
      <c r="O3426" s="1"/>
      <c r="P3426" s="1" t="s">
        <v>455</v>
      </c>
      <c r="Q3426" s="1" t="s">
        <v>54811</v>
      </c>
      <c r="R3426" s="1" t="s">
        <v>54812</v>
      </c>
      <c r="S3426" s="1">
        <v>9373102880</v>
      </c>
      <c r="T3426" s="1" t="s">
        <v>54813</v>
      </c>
      <c r="U3426" s="1" t="s">
        <v>54814</v>
      </c>
      <c r="V3426" s="1">
        <v>7798860505</v>
      </c>
      <c r="W3426" s="1" t="s">
        <v>9700</v>
      </c>
      <c r="X3426" s="1" t="s">
        <v>54815</v>
      </c>
      <c r="Y3426" s="1" t="s">
        <v>410</v>
      </c>
      <c r="Z3426" s="1" t="s">
        <v>97</v>
      </c>
      <c r="AA3426" s="1" t="s">
        <v>54815</v>
      </c>
      <c r="AB3426" s="1" t="s">
        <v>410</v>
      </c>
      <c r="AC3426" s="1" t="s">
        <v>97</v>
      </c>
      <c r="AD3426" s="1" t="s">
        <v>98</v>
      </c>
      <c r="AE3426" s="1" t="s">
        <v>98</v>
      </c>
      <c r="AF3426" s="1"/>
      <c r="AG3426" s="1"/>
      <c r="AH3426" s="1"/>
      <c r="AI3426" s="1"/>
      <c r="AJ3426" s="1"/>
      <c r="AK3426" s="1"/>
      <c r="AL3426" s="1"/>
      <c r="AM3426" s="1"/>
      <c r="AN3426" s="1"/>
      <c r="AO3426" s="1"/>
      <c r="AP3426" s="1"/>
      <c r="AQ3426" s="1"/>
      <c r="AR3426" s="1"/>
      <c r="AS3426" s="1"/>
      <c r="AT3426" s="1"/>
      <c r="AU3426" s="1"/>
      <c r="AV3426" s="1"/>
      <c r="AW3426" s="1"/>
      <c r="AX3426" s="1"/>
      <c r="AY3426" s="1"/>
      <c r="AZ3426" s="1"/>
      <c r="BA3426" s="1"/>
      <c r="BB3426" s="1"/>
      <c r="BC3426" s="1"/>
      <c r="BD3426" s="1"/>
      <c r="BE3426" s="1"/>
      <c r="BF3426" s="1"/>
      <c r="BG3426" s="1"/>
      <c r="BH3426" s="1"/>
      <c r="BI3426" s="1"/>
      <c r="BJ3426" s="1"/>
      <c r="BK3426" s="1"/>
      <c r="BL3426" s="1"/>
      <c r="BM3426" s="1"/>
      <c r="BN3426" s="1"/>
      <c r="BO3426" s="1"/>
      <c r="BP3426" s="1"/>
      <c r="BQ3426" s="1"/>
      <c r="BR3426" s="1" t="s">
        <v>54816</v>
      </c>
      <c r="BS3426" s="1">
        <v>13</v>
      </c>
      <c r="BT3426" s="1"/>
      <c r="BU3426" s="1" t="str">
        <f>HYPERLINK("https://nconnect.nicmar.ac.in/storage/profile/2021-2023_AP21213_456871.jpg","Download")</f>
        <v>0</v>
      </c>
      <c r="BV3426" s="3"/>
      <c r="BW3426" s="3"/>
    </row>
    <row r="3427" spans="1:75">
      <c r="A3427" s="1" t="s">
        <v>51340</v>
      </c>
      <c r="B3427" s="1" t="s">
        <v>51341</v>
      </c>
      <c r="C3427" s="1" t="s">
        <v>54817</v>
      </c>
      <c r="D3427" s="1" t="s">
        <v>41246</v>
      </c>
      <c r="E3427" s="1" t="s">
        <v>54818</v>
      </c>
      <c r="F3427" s="1" t="s">
        <v>54819</v>
      </c>
      <c r="G3427" s="1" t="s">
        <v>54820</v>
      </c>
      <c r="H3427" s="1" t="s">
        <v>54821</v>
      </c>
      <c r="I3427" s="1" t="s">
        <v>54822</v>
      </c>
      <c r="J3427" s="1">
        <v>8698584551</v>
      </c>
      <c r="K3427" s="1" t="s">
        <v>84</v>
      </c>
      <c r="L3427" s="1" t="s">
        <v>54823</v>
      </c>
      <c r="M3427" s="1" t="s">
        <v>86</v>
      </c>
      <c r="N3427" s="1" t="s">
        <v>13516</v>
      </c>
      <c r="O3427" s="1"/>
      <c r="P3427" s="1" t="s">
        <v>507</v>
      </c>
      <c r="Q3427" s="1" t="s">
        <v>54824</v>
      </c>
      <c r="R3427" s="1" t="s">
        <v>54825</v>
      </c>
      <c r="S3427" s="1">
        <v>8698584551</v>
      </c>
      <c r="T3427" s="1" t="s">
        <v>5270</v>
      </c>
      <c r="U3427" s="1" t="s">
        <v>54826</v>
      </c>
      <c r="V3427" s="1">
        <v>9623854250</v>
      </c>
      <c r="W3427" s="1" t="s">
        <v>278</v>
      </c>
      <c r="X3427" s="1" t="s">
        <v>54827</v>
      </c>
      <c r="Y3427" s="1" t="s">
        <v>1779</v>
      </c>
      <c r="Z3427" s="1" t="s">
        <v>97</v>
      </c>
      <c r="AA3427" s="1" t="s">
        <v>54828</v>
      </c>
      <c r="AB3427" s="1" t="s">
        <v>196</v>
      </c>
      <c r="AC3427" s="1" t="s">
        <v>97</v>
      </c>
      <c r="AD3427" s="1" t="s">
        <v>98</v>
      </c>
      <c r="AE3427" s="1" t="s">
        <v>98</v>
      </c>
      <c r="AF3427" s="1" t="s">
        <v>54829</v>
      </c>
      <c r="AG3427" s="1" t="s">
        <v>39305</v>
      </c>
      <c r="AH3427" s="1" t="s">
        <v>1214</v>
      </c>
      <c r="AI3427" s="1" t="s">
        <v>136</v>
      </c>
      <c r="AJ3427" s="1">
        <v>81.7</v>
      </c>
      <c r="AK3427" s="1">
        <v>8.6</v>
      </c>
      <c r="AL3427" s="1" t="s">
        <v>54830</v>
      </c>
      <c r="AM3427" s="1" t="s">
        <v>39305</v>
      </c>
      <c r="AN3427" s="1"/>
      <c r="AO3427" s="1" t="s">
        <v>1111</v>
      </c>
      <c r="AP3427" s="1" t="s">
        <v>518</v>
      </c>
      <c r="AQ3427" s="1">
        <v>72.77</v>
      </c>
      <c r="AR3427" s="1">
        <v>7.7</v>
      </c>
      <c r="AS3427" s="1"/>
      <c r="AT3427" s="1"/>
      <c r="AU3427" s="1"/>
      <c r="AV3427" s="1"/>
      <c r="AW3427" s="1"/>
      <c r="AX3427" s="1"/>
      <c r="AY3427" s="1" t="s">
        <v>54831</v>
      </c>
      <c r="AZ3427" s="1" t="s">
        <v>54832</v>
      </c>
      <c r="BA3427" s="1"/>
      <c r="BB3427" s="1"/>
      <c r="BC3427" s="1" t="s">
        <v>206</v>
      </c>
      <c r="BD3427" s="1" t="s">
        <v>441</v>
      </c>
      <c r="BE3427" s="1">
        <v>65.64</v>
      </c>
      <c r="BF3427" s="1">
        <v>6.91</v>
      </c>
      <c r="BG3427" s="1"/>
      <c r="BH3427" s="1"/>
      <c r="BI3427" s="1"/>
      <c r="BJ3427" s="1"/>
      <c r="BK3427" s="1"/>
      <c r="BL3427" s="1"/>
      <c r="BM3427" s="1"/>
      <c r="BN3427" s="1"/>
      <c r="BO3427" s="1"/>
      <c r="BP3427" s="1"/>
      <c r="BQ3427" s="1"/>
      <c r="BR3427" s="1" t="s">
        <v>54833</v>
      </c>
      <c r="BS3427" s="1">
        <v>10</v>
      </c>
      <c r="BT3427" s="1"/>
      <c r="BU3427" s="1" t="str">
        <f>HYPERLINK("https://nconnect.nicmar.ac.in/storage/profile/2021-2023_AP21214_147258.jpg","Download")</f>
        <v>0</v>
      </c>
      <c r="BV3427" s="3"/>
      <c r="BW3427" s="3"/>
    </row>
    <row r="3428" spans="1:75">
      <c r="A3428" s="1" t="s">
        <v>51340</v>
      </c>
      <c r="B3428" s="1" t="s">
        <v>51341</v>
      </c>
      <c r="C3428" s="1" t="s">
        <v>54834</v>
      </c>
      <c r="D3428" s="1" t="s">
        <v>54835</v>
      </c>
      <c r="E3428" s="1"/>
      <c r="F3428" s="1" t="s">
        <v>54836</v>
      </c>
      <c r="G3428" s="1" t="s">
        <v>54837</v>
      </c>
      <c r="H3428" s="1" t="s">
        <v>54838</v>
      </c>
      <c r="I3428" s="1" t="s">
        <v>54839</v>
      </c>
      <c r="J3428" s="1">
        <v>8056289936</v>
      </c>
      <c r="K3428" s="1" t="s">
        <v>84</v>
      </c>
      <c r="L3428" s="1" t="s">
        <v>54840</v>
      </c>
      <c r="M3428" s="1" t="s">
        <v>86</v>
      </c>
      <c r="N3428" s="1" t="s">
        <v>54841</v>
      </c>
      <c r="O3428" s="1"/>
      <c r="P3428" s="1" t="s">
        <v>507</v>
      </c>
      <c r="Q3428" s="1" t="s">
        <v>54842</v>
      </c>
      <c r="R3428" s="1" t="s">
        <v>54843</v>
      </c>
      <c r="S3428" s="1">
        <v>8688332727</v>
      </c>
      <c r="T3428" s="1" t="s">
        <v>98</v>
      </c>
      <c r="U3428" s="1" t="s">
        <v>54844</v>
      </c>
      <c r="V3428" s="1">
        <v>8688332727</v>
      </c>
      <c r="W3428" s="1" t="s">
        <v>94</v>
      </c>
      <c r="X3428" s="1" t="s">
        <v>54845</v>
      </c>
      <c r="Y3428" s="1" t="s">
        <v>3031</v>
      </c>
      <c r="Z3428" s="1" t="s">
        <v>461</v>
      </c>
      <c r="AA3428" s="1" t="s">
        <v>54845</v>
      </c>
      <c r="AB3428" s="1" t="s">
        <v>3031</v>
      </c>
      <c r="AC3428" s="1" t="s">
        <v>461</v>
      </c>
      <c r="AD3428" s="1" t="s">
        <v>98</v>
      </c>
      <c r="AE3428" s="1" t="s">
        <v>98</v>
      </c>
      <c r="AF3428" s="1" t="s">
        <v>25918</v>
      </c>
      <c r="AG3428" s="1" t="s">
        <v>312</v>
      </c>
      <c r="AH3428" s="1">
        <v>40374</v>
      </c>
      <c r="AI3428" s="1">
        <v>40694</v>
      </c>
      <c r="AJ3428" s="1">
        <v>70.3</v>
      </c>
      <c r="AK3428" s="1">
        <v>7.4</v>
      </c>
      <c r="AL3428" s="1" t="s">
        <v>3033</v>
      </c>
      <c r="AM3428" s="1" t="s">
        <v>312</v>
      </c>
      <c r="AN3428" s="1"/>
      <c r="AO3428" s="1">
        <v>40704</v>
      </c>
      <c r="AP3428" s="1">
        <v>41390</v>
      </c>
      <c r="AQ3428" s="1">
        <v>85.7</v>
      </c>
      <c r="AR3428" s="1"/>
      <c r="AS3428" s="1"/>
      <c r="AT3428" s="1"/>
      <c r="AU3428" s="1" t="s">
        <v>98</v>
      </c>
      <c r="AV3428" s="1" t="s">
        <v>98</v>
      </c>
      <c r="AW3428" s="1" t="s">
        <v>98</v>
      </c>
      <c r="AX3428" s="1" t="s">
        <v>98</v>
      </c>
      <c r="AY3428" s="1" t="s">
        <v>54846</v>
      </c>
      <c r="AZ3428" s="1" t="s">
        <v>54846</v>
      </c>
      <c r="BA3428" s="1"/>
      <c r="BB3428" s="1"/>
      <c r="BC3428" s="1">
        <v>41470</v>
      </c>
      <c r="BD3428" s="1">
        <v>42888</v>
      </c>
      <c r="BE3428" s="1">
        <v>71.4</v>
      </c>
      <c r="BF3428" s="1">
        <v>7.14</v>
      </c>
      <c r="BG3428" s="1"/>
      <c r="BH3428" s="1"/>
      <c r="BI3428" s="1"/>
      <c r="BJ3428" s="1"/>
      <c r="BK3428" s="1" t="s">
        <v>98</v>
      </c>
      <c r="BL3428" s="1" t="s">
        <v>98</v>
      </c>
      <c r="BM3428" s="1" t="s">
        <v>98</v>
      </c>
      <c r="BN3428" s="1" t="s">
        <v>98</v>
      </c>
      <c r="BO3428" s="1" t="s">
        <v>54847</v>
      </c>
      <c r="BP3428" s="1" t="s">
        <v>54848</v>
      </c>
      <c r="BQ3428" s="1" t="s">
        <v>53732</v>
      </c>
      <c r="BR3428" s="1" t="s">
        <v>54849</v>
      </c>
      <c r="BS3428" s="1">
        <v>29</v>
      </c>
      <c r="BT3428" s="1"/>
      <c r="BU3428" s="1" t="str">
        <f>HYPERLINK("https://nconnect.nicmar.ac.in/storage/profile/2021-2023_AP21215_462391.jpeg","Download")</f>
        <v>0</v>
      </c>
      <c r="BV3428" s="3"/>
      <c r="BW3428" s="3"/>
    </row>
    <row r="3429" spans="1:75">
      <c r="A3429" s="1" t="s">
        <v>51340</v>
      </c>
      <c r="B3429" s="1" t="s">
        <v>51341</v>
      </c>
      <c r="C3429" s="1" t="s">
        <v>54850</v>
      </c>
      <c r="D3429" s="1" t="s">
        <v>25561</v>
      </c>
      <c r="E3429" s="1" t="s">
        <v>54851</v>
      </c>
      <c r="F3429" s="1" t="s">
        <v>2538</v>
      </c>
      <c r="G3429" s="1" t="s">
        <v>54852</v>
      </c>
      <c r="H3429" s="1" t="s">
        <v>54853</v>
      </c>
      <c r="I3429" s="1" t="s">
        <v>54854</v>
      </c>
      <c r="J3429" s="1">
        <v>9479377786</v>
      </c>
      <c r="K3429" s="1" t="s">
        <v>84</v>
      </c>
      <c r="L3429" s="1" t="s">
        <v>54855</v>
      </c>
      <c r="M3429" s="1" t="s">
        <v>86</v>
      </c>
      <c r="N3429" s="1" t="s">
        <v>11423</v>
      </c>
      <c r="O3429" s="1"/>
      <c r="P3429" s="1" t="s">
        <v>481</v>
      </c>
      <c r="Q3429" s="1" t="s">
        <v>54856</v>
      </c>
      <c r="R3429" s="1" t="s">
        <v>54857</v>
      </c>
      <c r="S3429" s="1">
        <v>9827053463</v>
      </c>
      <c r="T3429" s="1" t="s">
        <v>98</v>
      </c>
      <c r="U3429" s="1" t="s">
        <v>54858</v>
      </c>
      <c r="V3429" s="1">
        <v>9303533786</v>
      </c>
      <c r="W3429" s="1" t="s">
        <v>94</v>
      </c>
      <c r="X3429" s="1" t="s">
        <v>54859</v>
      </c>
      <c r="Y3429" s="1" t="s">
        <v>7949</v>
      </c>
      <c r="Z3429" s="1" t="s">
        <v>3419</v>
      </c>
      <c r="AA3429" s="1" t="s">
        <v>54859</v>
      </c>
      <c r="AB3429" s="1" t="s">
        <v>7949</v>
      </c>
      <c r="AC3429" s="1" t="s">
        <v>3419</v>
      </c>
      <c r="AD3429" s="1" t="s">
        <v>98</v>
      </c>
      <c r="AE3429" s="1" t="s">
        <v>98</v>
      </c>
      <c r="AF3429" s="1" t="s">
        <v>54860</v>
      </c>
      <c r="AG3429" s="1" t="s">
        <v>312</v>
      </c>
      <c r="AH3429" s="1" t="s">
        <v>23371</v>
      </c>
      <c r="AI3429" s="1" t="s">
        <v>801</v>
      </c>
      <c r="AJ3429" s="1">
        <v>77.9</v>
      </c>
      <c r="AK3429" s="1">
        <v>8.2</v>
      </c>
      <c r="AL3429" s="1" t="s">
        <v>54860</v>
      </c>
      <c r="AM3429" s="1" t="s">
        <v>312</v>
      </c>
      <c r="AN3429" s="1"/>
      <c r="AO3429" s="1" t="s">
        <v>3770</v>
      </c>
      <c r="AP3429" s="1" t="s">
        <v>134</v>
      </c>
      <c r="AQ3429" s="1">
        <v>64.4</v>
      </c>
      <c r="AR3429" s="1">
        <v>0</v>
      </c>
      <c r="AS3429" s="1"/>
      <c r="AT3429" s="1"/>
      <c r="AU3429" s="1"/>
      <c r="AV3429" s="1"/>
      <c r="AW3429" s="1"/>
      <c r="AX3429" s="1"/>
      <c r="AY3429" s="1" t="s">
        <v>5224</v>
      </c>
      <c r="AZ3429" s="1" t="s">
        <v>54861</v>
      </c>
      <c r="BA3429" s="1"/>
      <c r="BB3429" s="1"/>
      <c r="BC3429" s="1" t="s">
        <v>804</v>
      </c>
      <c r="BD3429" s="1" t="s">
        <v>388</v>
      </c>
      <c r="BE3429" s="1">
        <v>72.1</v>
      </c>
      <c r="BF3429" s="1">
        <v>7.21</v>
      </c>
      <c r="BG3429" s="1" t="s">
        <v>5224</v>
      </c>
      <c r="BH3429" s="1" t="s">
        <v>1586</v>
      </c>
      <c r="BI3429" s="1"/>
      <c r="BJ3429" s="1"/>
      <c r="BK3429" s="1" t="s">
        <v>206</v>
      </c>
      <c r="BL3429" s="1" t="s">
        <v>871</v>
      </c>
      <c r="BM3429" s="1">
        <v>93.7</v>
      </c>
      <c r="BN3429" s="1">
        <v>9.37</v>
      </c>
      <c r="BO3429" s="1" t="s">
        <v>1114</v>
      </c>
      <c r="BP3429" s="1" t="s">
        <v>54862</v>
      </c>
      <c r="BQ3429" s="1" t="s">
        <v>1849</v>
      </c>
      <c r="BR3429" s="1" t="s">
        <v>54863</v>
      </c>
      <c r="BS3429" s="1">
        <v>12</v>
      </c>
      <c r="BT3429" s="1"/>
      <c r="BU3429" s="1" t="str">
        <f>HYPERLINK("https://nconnect.nicmar.ac.in/storage/profile/ProfilePhoto_AP21216_537142.jpg","Download")</f>
        <v>0</v>
      </c>
      <c r="BV3429" s="3"/>
      <c r="BW3429" s="3"/>
    </row>
    <row r="3430" spans="1:75">
      <c r="A3430" s="1" t="s">
        <v>51340</v>
      </c>
      <c r="B3430" s="1" t="s">
        <v>51341</v>
      </c>
      <c r="C3430" s="1" t="s">
        <v>54864</v>
      </c>
      <c r="D3430" s="1" t="s">
        <v>30381</v>
      </c>
      <c r="E3430" s="1" t="s">
        <v>3998</v>
      </c>
      <c r="F3430" s="1" t="s">
        <v>54865</v>
      </c>
      <c r="G3430" s="1" t="s">
        <v>54866</v>
      </c>
      <c r="H3430" s="1" t="s">
        <v>54867</v>
      </c>
      <c r="I3430" s="1" t="s">
        <v>54868</v>
      </c>
      <c r="J3430" s="1">
        <v>9171910091</v>
      </c>
      <c r="K3430" s="1" t="s">
        <v>84</v>
      </c>
      <c r="L3430" s="1" t="s">
        <v>54869</v>
      </c>
      <c r="M3430" s="1" t="s">
        <v>86</v>
      </c>
      <c r="N3430" s="1" t="s">
        <v>54870</v>
      </c>
      <c r="O3430" s="1"/>
      <c r="P3430" s="1" t="s">
        <v>507</v>
      </c>
      <c r="Q3430" s="1" t="s">
        <v>54871</v>
      </c>
      <c r="R3430" s="1" t="s">
        <v>54872</v>
      </c>
      <c r="S3430" s="1">
        <v>9840910091</v>
      </c>
      <c r="T3430" s="1" t="s">
        <v>839</v>
      </c>
      <c r="U3430" s="1" t="s">
        <v>54873</v>
      </c>
      <c r="V3430" s="1">
        <v>9360910091</v>
      </c>
      <c r="W3430" s="1" t="s">
        <v>94</v>
      </c>
      <c r="X3430" s="1" t="s">
        <v>54874</v>
      </c>
      <c r="Y3430" s="1" t="s">
        <v>1498</v>
      </c>
      <c r="Z3430" s="1" t="s">
        <v>570</v>
      </c>
      <c r="AA3430" s="1" t="s">
        <v>54874</v>
      </c>
      <c r="AB3430" s="1" t="s">
        <v>1498</v>
      </c>
      <c r="AC3430" s="1" t="s">
        <v>570</v>
      </c>
      <c r="AD3430" s="1" t="s">
        <v>98</v>
      </c>
      <c r="AE3430" s="1" t="s">
        <v>98</v>
      </c>
      <c r="AF3430" s="1" t="s">
        <v>54875</v>
      </c>
      <c r="AG3430" s="1" t="s">
        <v>52902</v>
      </c>
      <c r="AH3430" s="1">
        <v>40336</v>
      </c>
      <c r="AI3430" s="1">
        <v>40690</v>
      </c>
      <c r="AJ3430" s="1">
        <v>87.4</v>
      </c>
      <c r="AK3430" s="1">
        <v>0</v>
      </c>
      <c r="AL3430" s="1" t="s">
        <v>54875</v>
      </c>
      <c r="AM3430" s="1" t="s">
        <v>52902</v>
      </c>
      <c r="AN3430" s="1"/>
      <c r="AO3430" s="1">
        <v>41061</v>
      </c>
      <c r="AP3430" s="1">
        <v>41403</v>
      </c>
      <c r="AQ3430" s="1">
        <v>74.08</v>
      </c>
      <c r="AR3430" s="1">
        <v>0</v>
      </c>
      <c r="AS3430" s="1"/>
      <c r="AT3430" s="1"/>
      <c r="AU3430" s="1" t="s">
        <v>98</v>
      </c>
      <c r="AV3430" s="1" t="s">
        <v>98</v>
      </c>
      <c r="AW3430" s="1" t="s">
        <v>98</v>
      </c>
      <c r="AX3430" s="1" t="s">
        <v>98</v>
      </c>
      <c r="AY3430" s="1" t="s">
        <v>576</v>
      </c>
      <c r="AZ3430" s="1" t="s">
        <v>53462</v>
      </c>
      <c r="BA3430" s="1"/>
      <c r="BB3430" s="1"/>
      <c r="BC3430" s="1">
        <v>41505</v>
      </c>
      <c r="BD3430" s="1">
        <v>42846</v>
      </c>
      <c r="BE3430" s="1">
        <v>68.8</v>
      </c>
      <c r="BF3430" s="1">
        <v>6.88</v>
      </c>
      <c r="BG3430" s="1"/>
      <c r="BH3430" s="1"/>
      <c r="BI3430" s="1"/>
      <c r="BJ3430" s="1"/>
      <c r="BK3430" s="1" t="s">
        <v>98</v>
      </c>
      <c r="BL3430" s="1" t="s">
        <v>98</v>
      </c>
      <c r="BM3430" s="1" t="s">
        <v>98</v>
      </c>
      <c r="BN3430" s="1" t="s">
        <v>98</v>
      </c>
      <c r="BO3430" s="1" t="s">
        <v>369</v>
      </c>
      <c r="BP3430" s="1"/>
      <c r="BQ3430" s="1"/>
      <c r="BR3430" s="1" t="s">
        <v>54876</v>
      </c>
      <c r="BS3430" s="1">
        <v>7</v>
      </c>
      <c r="BT3430" s="1"/>
      <c r="BU3430" s="1" t="str">
        <f>HYPERLINK("https://nconnect.nicmar.ac.in/storage/profile/2021-2023_AP21217_914237.jpg","Download")</f>
        <v>0</v>
      </c>
      <c r="BV3430" s="3"/>
      <c r="BW3430" s="3"/>
    </row>
    <row r="3431" spans="1:75">
      <c r="A3431" s="1" t="s">
        <v>51340</v>
      </c>
      <c r="B3431" s="1" t="s">
        <v>51341</v>
      </c>
      <c r="C3431" s="1" t="s">
        <v>54877</v>
      </c>
      <c r="D3431" s="1" t="s">
        <v>54878</v>
      </c>
      <c r="E3431" s="1" t="s">
        <v>54879</v>
      </c>
      <c r="F3431" s="1" t="s">
        <v>38269</v>
      </c>
      <c r="G3431" s="1" t="s">
        <v>54880</v>
      </c>
      <c r="H3431" s="1" t="s">
        <v>54881</v>
      </c>
      <c r="I3431" s="1" t="s">
        <v>54882</v>
      </c>
      <c r="J3431" s="1">
        <v>7989259789</v>
      </c>
      <c r="K3431" s="1" t="s">
        <v>84</v>
      </c>
      <c r="L3431" s="1" t="s">
        <v>42335</v>
      </c>
      <c r="M3431" s="1" t="s">
        <v>86</v>
      </c>
      <c r="N3431" s="1" t="s">
        <v>3026</v>
      </c>
      <c r="O3431" s="1"/>
      <c r="P3431" s="1" t="s">
        <v>455</v>
      </c>
      <c r="Q3431" s="1" t="s">
        <v>54883</v>
      </c>
      <c r="R3431" s="1" t="s">
        <v>54884</v>
      </c>
      <c r="S3431" s="1">
        <v>9440821986</v>
      </c>
      <c r="T3431" s="1" t="s">
        <v>159</v>
      </c>
      <c r="U3431" s="1" t="s">
        <v>54885</v>
      </c>
      <c r="V3431" s="1">
        <v>8008530154</v>
      </c>
      <c r="W3431" s="1" t="s">
        <v>94</v>
      </c>
      <c r="X3431" s="1" t="s">
        <v>54886</v>
      </c>
      <c r="Y3431" s="1" t="s">
        <v>725</v>
      </c>
      <c r="Z3431" s="1" t="s">
        <v>281</v>
      </c>
      <c r="AA3431" s="1" t="s">
        <v>54886</v>
      </c>
      <c r="AB3431" s="1" t="s">
        <v>725</v>
      </c>
      <c r="AC3431" s="1" t="s">
        <v>281</v>
      </c>
      <c r="AD3431" s="1" t="s">
        <v>98</v>
      </c>
      <c r="AE3431" s="1" t="s">
        <v>98</v>
      </c>
      <c r="AF3431" s="1" t="s">
        <v>34087</v>
      </c>
      <c r="AG3431" s="1" t="s">
        <v>312</v>
      </c>
      <c r="AH3431" s="1">
        <v>41763</v>
      </c>
      <c r="AI3431" s="1">
        <v>42152</v>
      </c>
      <c r="AJ3431" s="1">
        <v>83.6</v>
      </c>
      <c r="AK3431" s="1">
        <v>8.8</v>
      </c>
      <c r="AL3431" s="1" t="s">
        <v>3033</v>
      </c>
      <c r="AM3431" s="1" t="s">
        <v>312</v>
      </c>
      <c r="AN3431" s="1"/>
      <c r="AO3431" s="1">
        <v>42128</v>
      </c>
      <c r="AP3431" s="1">
        <v>42838</v>
      </c>
      <c r="AQ3431" s="1">
        <v>84.3</v>
      </c>
      <c r="AR3431" s="1"/>
      <c r="AS3431" s="1"/>
      <c r="AT3431" s="1"/>
      <c r="AU3431" s="1" t="s">
        <v>98</v>
      </c>
      <c r="AV3431" s="1" t="s">
        <v>98</v>
      </c>
      <c r="AW3431" s="1" t="s">
        <v>98</v>
      </c>
      <c r="AX3431" s="1" t="s">
        <v>98</v>
      </c>
      <c r="AY3431" s="1" t="s">
        <v>550</v>
      </c>
      <c r="AZ3431" s="1" t="s">
        <v>550</v>
      </c>
      <c r="BA3431" s="1"/>
      <c r="BB3431" s="1"/>
      <c r="BC3431" s="1">
        <v>42923</v>
      </c>
      <c r="BD3431" s="1">
        <v>44427</v>
      </c>
      <c r="BE3431" s="1">
        <v>71.5</v>
      </c>
      <c r="BF3431" s="1">
        <v>7.15</v>
      </c>
      <c r="BG3431" s="1"/>
      <c r="BH3431" s="1"/>
      <c r="BI3431" s="1"/>
      <c r="BJ3431" s="1"/>
      <c r="BK3431" s="1" t="s">
        <v>98</v>
      </c>
      <c r="BL3431" s="1" t="s">
        <v>98</v>
      </c>
      <c r="BM3431" s="1" t="s">
        <v>98</v>
      </c>
      <c r="BN3431" s="1" t="s">
        <v>98</v>
      </c>
      <c r="BO3431" s="1" t="s">
        <v>369</v>
      </c>
      <c r="BP3431" s="1"/>
      <c r="BQ3431" s="1"/>
      <c r="BR3431" s="1" t="s">
        <v>54887</v>
      </c>
      <c r="BS3431" s="1">
        <v>39</v>
      </c>
      <c r="BT3431" s="1"/>
      <c r="BU3431" s="1" t="str">
        <f>HYPERLINK("https://nconnect.nicmar.ac.in/storage/profile/2021-2023_AP21218_562348.jpeg","Download")</f>
        <v>0</v>
      </c>
      <c r="BV3431" s="3"/>
      <c r="BW3431" s="3"/>
    </row>
    <row r="3432" spans="1:75">
      <c r="A3432" s="1" t="s">
        <v>51340</v>
      </c>
      <c r="B3432" s="1" t="s">
        <v>51341</v>
      </c>
      <c r="C3432" s="1" t="s">
        <v>54888</v>
      </c>
      <c r="D3432" s="1" t="s">
        <v>54889</v>
      </c>
      <c r="E3432" s="1"/>
      <c r="F3432" s="1" t="s">
        <v>33132</v>
      </c>
      <c r="G3432" s="1" t="s">
        <v>54890</v>
      </c>
      <c r="H3432" s="1" t="s">
        <v>54891</v>
      </c>
      <c r="I3432" s="1" t="s">
        <v>54892</v>
      </c>
      <c r="J3432" s="1">
        <v>8178730128</v>
      </c>
      <c r="K3432" s="1" t="s">
        <v>153</v>
      </c>
      <c r="L3432" s="1" t="s">
        <v>43145</v>
      </c>
      <c r="M3432" s="1" t="s">
        <v>86</v>
      </c>
      <c r="N3432" s="1" t="s">
        <v>27171</v>
      </c>
      <c r="O3432" s="1"/>
      <c r="P3432" s="1" t="s">
        <v>507</v>
      </c>
      <c r="Q3432" s="1" t="s">
        <v>54893</v>
      </c>
      <c r="R3432" s="1" t="s">
        <v>54894</v>
      </c>
      <c r="S3432" s="1">
        <v>8800962004</v>
      </c>
      <c r="T3432" s="1" t="s">
        <v>125</v>
      </c>
      <c r="U3432" s="1" t="s">
        <v>54895</v>
      </c>
      <c r="V3432" s="1">
        <v>9717204315</v>
      </c>
      <c r="W3432" s="1" t="s">
        <v>94</v>
      </c>
      <c r="X3432" s="1" t="s">
        <v>54896</v>
      </c>
      <c r="Y3432" s="1" t="s">
        <v>54789</v>
      </c>
      <c r="Z3432" s="1" t="s">
        <v>544</v>
      </c>
      <c r="AA3432" s="1" t="s">
        <v>54896</v>
      </c>
      <c r="AB3432" s="1" t="s">
        <v>54789</v>
      </c>
      <c r="AC3432" s="1" t="s">
        <v>544</v>
      </c>
      <c r="AD3432" s="1" t="s">
        <v>98</v>
      </c>
      <c r="AE3432" s="1" t="s">
        <v>98</v>
      </c>
      <c r="AF3432" s="1" t="s">
        <v>51551</v>
      </c>
      <c r="AG3432" s="1" t="s">
        <v>312</v>
      </c>
      <c r="AH3432" s="1">
        <v>41365</v>
      </c>
      <c r="AI3432" s="1">
        <v>41779</v>
      </c>
      <c r="AJ3432" s="1">
        <v>85.5</v>
      </c>
      <c r="AK3432" s="1">
        <v>9</v>
      </c>
      <c r="AL3432" s="1" t="s">
        <v>51551</v>
      </c>
      <c r="AM3432" s="1" t="s">
        <v>312</v>
      </c>
      <c r="AN3432" s="1"/>
      <c r="AO3432" s="1">
        <v>42100</v>
      </c>
      <c r="AP3432" s="1">
        <v>42511</v>
      </c>
      <c r="AQ3432" s="1">
        <v>70</v>
      </c>
      <c r="AR3432" s="1"/>
      <c r="AS3432" s="1"/>
      <c r="AT3432" s="1"/>
      <c r="AU3432" s="1" t="s">
        <v>98</v>
      </c>
      <c r="AV3432" s="1" t="s">
        <v>98</v>
      </c>
      <c r="AW3432" s="1" t="s">
        <v>98</v>
      </c>
      <c r="AX3432" s="1" t="s">
        <v>98</v>
      </c>
      <c r="AY3432" s="1" t="s">
        <v>54897</v>
      </c>
      <c r="AZ3432" s="1" t="s">
        <v>54898</v>
      </c>
      <c r="BA3432" s="1"/>
      <c r="BB3432" s="1"/>
      <c r="BC3432" s="1">
        <v>42621</v>
      </c>
      <c r="BD3432" s="1">
        <v>44097</v>
      </c>
      <c r="BE3432" s="1">
        <v>82.96</v>
      </c>
      <c r="BF3432" s="1">
        <v>8.36</v>
      </c>
      <c r="BG3432" s="1"/>
      <c r="BH3432" s="1"/>
      <c r="BI3432" s="1"/>
      <c r="BJ3432" s="1"/>
      <c r="BK3432" s="1" t="s">
        <v>98</v>
      </c>
      <c r="BL3432" s="1" t="s">
        <v>98</v>
      </c>
      <c r="BM3432" s="1" t="s">
        <v>98</v>
      </c>
      <c r="BN3432" s="1" t="s">
        <v>98</v>
      </c>
      <c r="BO3432" s="1" t="s">
        <v>54899</v>
      </c>
      <c r="BP3432" s="1" t="s">
        <v>54900</v>
      </c>
      <c r="BQ3432" s="1" t="s">
        <v>4149</v>
      </c>
      <c r="BR3432" s="1" t="s">
        <v>54901</v>
      </c>
      <c r="BS3432" s="1">
        <v>19</v>
      </c>
      <c r="BT3432" s="1"/>
      <c r="BU3432" s="1" t="str">
        <f>HYPERLINK("https://nconnect.nicmar.ac.in/storage/profile/2021-2023_AP21219_295783.jpg","Download")</f>
        <v>0</v>
      </c>
      <c r="BV3432" s="3"/>
      <c r="BW3432" s="3"/>
    </row>
    <row r="3433" spans="1:75">
      <c r="A3433" s="1" t="s">
        <v>51340</v>
      </c>
      <c r="B3433" s="1" t="s">
        <v>51341</v>
      </c>
      <c r="C3433" s="1" t="s">
        <v>54902</v>
      </c>
      <c r="D3433" s="1" t="s">
        <v>13668</v>
      </c>
      <c r="E3433" s="1"/>
      <c r="F3433" s="1" t="s">
        <v>8195</v>
      </c>
      <c r="G3433" s="1" t="s">
        <v>54903</v>
      </c>
      <c r="H3433" s="1" t="s">
        <v>54904</v>
      </c>
      <c r="I3433" s="1" t="s">
        <v>54905</v>
      </c>
      <c r="J3433" s="1">
        <v>8446999703</v>
      </c>
      <c r="K3433" s="1" t="s">
        <v>84</v>
      </c>
      <c r="L3433" s="1" t="s">
        <v>54906</v>
      </c>
      <c r="M3433" s="1" t="s">
        <v>86</v>
      </c>
      <c r="N3433" s="1" t="s">
        <v>54907</v>
      </c>
      <c r="O3433" s="1"/>
      <c r="P3433" s="1" t="s">
        <v>507</v>
      </c>
      <c r="Q3433" s="1" t="s">
        <v>54908</v>
      </c>
      <c r="R3433" s="1" t="s">
        <v>54909</v>
      </c>
      <c r="S3433" s="1">
        <v>9422324227</v>
      </c>
      <c r="T3433" s="1" t="s">
        <v>698</v>
      </c>
      <c r="U3433" s="1" t="s">
        <v>54910</v>
      </c>
      <c r="V3433" s="1">
        <v>8975030228</v>
      </c>
      <c r="W3433" s="1" t="s">
        <v>94</v>
      </c>
      <c r="X3433" s="1" t="s">
        <v>54911</v>
      </c>
      <c r="Y3433" s="1" t="s">
        <v>196</v>
      </c>
      <c r="Z3433" s="1" t="s">
        <v>97</v>
      </c>
      <c r="AA3433" s="1" t="s">
        <v>54911</v>
      </c>
      <c r="AB3433" s="1" t="s">
        <v>196</v>
      </c>
      <c r="AC3433" s="1" t="s">
        <v>97</v>
      </c>
      <c r="AD3433" s="1" t="s">
        <v>98</v>
      </c>
      <c r="AE3433" s="1" t="s">
        <v>98</v>
      </c>
      <c r="AF3433" s="1" t="s">
        <v>54912</v>
      </c>
      <c r="AG3433" s="1" t="s">
        <v>1968</v>
      </c>
      <c r="AH3433" s="1">
        <v>41066</v>
      </c>
      <c r="AI3433" s="1">
        <v>41432</v>
      </c>
      <c r="AJ3433" s="1">
        <v>68.4</v>
      </c>
      <c r="AK3433" s="1"/>
      <c r="AL3433" s="1" t="s">
        <v>98</v>
      </c>
      <c r="AM3433" s="1" t="s">
        <v>98</v>
      </c>
      <c r="AN3433" s="1"/>
      <c r="AO3433" s="1" t="s">
        <v>98</v>
      </c>
      <c r="AP3433" s="1" t="s">
        <v>98</v>
      </c>
      <c r="AQ3433" s="1"/>
      <c r="AR3433" s="1"/>
      <c r="AS3433" s="1" t="s">
        <v>439</v>
      </c>
      <c r="AT3433" s="1" t="s">
        <v>54913</v>
      </c>
      <c r="AU3433" s="1">
        <v>41492</v>
      </c>
      <c r="AV3433" s="1">
        <v>42530</v>
      </c>
      <c r="AW3433" s="1">
        <v>69.45</v>
      </c>
      <c r="AX3433" s="1"/>
      <c r="AY3433" s="1" t="s">
        <v>366</v>
      </c>
      <c r="AZ3433" s="1" t="s">
        <v>54914</v>
      </c>
      <c r="BA3433" s="1"/>
      <c r="BB3433" s="1"/>
      <c r="BC3433" s="1">
        <v>42650</v>
      </c>
      <c r="BD3433" s="1">
        <v>43858</v>
      </c>
      <c r="BE3433" s="1">
        <v>60.03</v>
      </c>
      <c r="BF3433" s="1">
        <v>6.28</v>
      </c>
      <c r="BG3433" s="1"/>
      <c r="BH3433" s="1"/>
      <c r="BI3433" s="1"/>
      <c r="BJ3433" s="1"/>
      <c r="BK3433" s="1" t="s">
        <v>98</v>
      </c>
      <c r="BL3433" s="1" t="s">
        <v>98</v>
      </c>
      <c r="BM3433" s="1" t="s">
        <v>98</v>
      </c>
      <c r="BN3433" s="1" t="s">
        <v>98</v>
      </c>
      <c r="BO3433" s="1" t="s">
        <v>369</v>
      </c>
      <c r="BP3433" s="1" t="s">
        <v>54915</v>
      </c>
      <c r="BQ3433" s="1" t="s">
        <v>7701</v>
      </c>
      <c r="BR3433" s="1" t="s">
        <v>54916</v>
      </c>
      <c r="BS3433" s="1">
        <v>12</v>
      </c>
      <c r="BT3433" s="1"/>
      <c r="BU3433" s="1" t="str">
        <f>HYPERLINK("https://nconnect.nicmar.ac.in/storage/profile/2021-2023_AP21220_134976.jpg","Download")</f>
        <v>0</v>
      </c>
      <c r="BV3433" s="3"/>
      <c r="BW3433" s="3"/>
    </row>
    <row r="3434" spans="1:75">
      <c r="A3434" s="1" t="s">
        <v>51340</v>
      </c>
      <c r="B3434" s="1" t="s">
        <v>51341</v>
      </c>
      <c r="C3434" s="1" t="s">
        <v>54917</v>
      </c>
      <c r="D3434" s="1" t="s">
        <v>116</v>
      </c>
      <c r="E3434" s="1" t="s">
        <v>54918</v>
      </c>
      <c r="F3434" s="1" t="s">
        <v>4037</v>
      </c>
      <c r="G3434" s="1" t="s">
        <v>54919</v>
      </c>
      <c r="H3434" s="1" t="s">
        <v>54920</v>
      </c>
      <c r="I3434" s="1" t="s">
        <v>54921</v>
      </c>
      <c r="J3434" s="1">
        <v>9480531099</v>
      </c>
      <c r="K3434" s="1" t="s">
        <v>84</v>
      </c>
      <c r="L3434" s="1" t="s">
        <v>54922</v>
      </c>
      <c r="M3434" s="1" t="s">
        <v>86</v>
      </c>
      <c r="N3434" s="1" t="s">
        <v>54923</v>
      </c>
      <c r="O3434" s="1"/>
      <c r="P3434" s="1" t="s">
        <v>455</v>
      </c>
      <c r="Q3434" s="1" t="s">
        <v>54924</v>
      </c>
      <c r="R3434" s="1" t="s">
        <v>54925</v>
      </c>
      <c r="S3434" s="1">
        <v>9448141967</v>
      </c>
      <c r="T3434" s="1" t="s">
        <v>54926</v>
      </c>
      <c r="U3434" s="1" t="s">
        <v>54927</v>
      </c>
      <c r="V3434" s="1">
        <v>9449043967</v>
      </c>
      <c r="W3434" s="1" t="s">
        <v>94</v>
      </c>
      <c r="X3434" s="1" t="s">
        <v>54928</v>
      </c>
      <c r="Y3434" s="1" t="s">
        <v>54929</v>
      </c>
      <c r="Z3434" s="1" t="s">
        <v>1210</v>
      </c>
      <c r="AA3434" s="1" t="s">
        <v>54930</v>
      </c>
      <c r="AB3434" s="1" t="s">
        <v>54929</v>
      </c>
      <c r="AC3434" s="1" t="s">
        <v>1210</v>
      </c>
      <c r="AD3434" s="1" t="s">
        <v>98</v>
      </c>
      <c r="AE3434" s="1" t="s">
        <v>98</v>
      </c>
      <c r="AF3434" s="1" t="s">
        <v>54931</v>
      </c>
      <c r="AG3434" s="1" t="s">
        <v>312</v>
      </c>
      <c r="AH3434" s="1">
        <v>41426</v>
      </c>
      <c r="AI3434" s="1">
        <v>41778</v>
      </c>
      <c r="AJ3434" s="1">
        <v>57</v>
      </c>
      <c r="AK3434" s="1">
        <v>6</v>
      </c>
      <c r="AL3434" s="1" t="s">
        <v>98</v>
      </c>
      <c r="AM3434" s="1" t="s">
        <v>98</v>
      </c>
      <c r="AN3434" s="1"/>
      <c r="AO3434" s="1" t="s">
        <v>98</v>
      </c>
      <c r="AP3434" s="1" t="s">
        <v>98</v>
      </c>
      <c r="AQ3434" s="1"/>
      <c r="AR3434" s="1"/>
      <c r="AS3434" s="1" t="s">
        <v>439</v>
      </c>
      <c r="AT3434" s="1" t="s">
        <v>54932</v>
      </c>
      <c r="AU3434" s="1">
        <v>41791</v>
      </c>
      <c r="AV3434" s="1">
        <v>42907</v>
      </c>
      <c r="AW3434" s="1">
        <v>66.62</v>
      </c>
      <c r="AX3434" s="1"/>
      <c r="AY3434" s="1" t="s">
        <v>1627</v>
      </c>
      <c r="AZ3434" s="1" t="s">
        <v>1627</v>
      </c>
      <c r="BA3434" s="1"/>
      <c r="BB3434" s="1"/>
      <c r="BC3434" s="1">
        <v>42963</v>
      </c>
      <c r="BD3434" s="1">
        <v>43979</v>
      </c>
      <c r="BE3434" s="1">
        <v>62.6</v>
      </c>
      <c r="BF3434" s="1">
        <v>7.01</v>
      </c>
      <c r="BG3434" s="1"/>
      <c r="BH3434" s="1"/>
      <c r="BI3434" s="1"/>
      <c r="BJ3434" s="1"/>
      <c r="BK3434" s="1" t="s">
        <v>98</v>
      </c>
      <c r="BL3434" s="1" t="s">
        <v>98</v>
      </c>
      <c r="BM3434" s="1" t="s">
        <v>98</v>
      </c>
      <c r="BN3434" s="1" t="s">
        <v>98</v>
      </c>
      <c r="BO3434" s="1" t="s">
        <v>369</v>
      </c>
      <c r="BP3434" s="1" t="s">
        <v>54933</v>
      </c>
      <c r="BQ3434" s="1" t="s">
        <v>7647</v>
      </c>
      <c r="BR3434" s="1" t="s">
        <v>54934</v>
      </c>
      <c r="BS3434" s="1">
        <v>23</v>
      </c>
      <c r="BT3434" s="1"/>
      <c r="BU3434" s="1" t="str">
        <f>HYPERLINK("https://nconnect.nicmar.ac.in/storage/profile/2021-2023_AP21221_567324.jpg","Download")</f>
        <v>0</v>
      </c>
      <c r="BV3434" s="3"/>
      <c r="BW3434" s="3"/>
    </row>
    <row r="3435" spans="1:75">
      <c r="A3435" s="1" t="s">
        <v>51340</v>
      </c>
      <c r="B3435" s="1" t="s">
        <v>51341</v>
      </c>
      <c r="C3435" s="1" t="s">
        <v>54935</v>
      </c>
      <c r="D3435" s="1" t="s">
        <v>54936</v>
      </c>
      <c r="E3435" s="1"/>
      <c r="F3435" s="1" t="s">
        <v>54937</v>
      </c>
      <c r="G3435" s="1" t="s">
        <v>54938</v>
      </c>
      <c r="H3435" s="1" t="s">
        <v>54939</v>
      </c>
      <c r="I3435" s="1" t="s">
        <v>54940</v>
      </c>
      <c r="J3435" s="1">
        <v>9981352112</v>
      </c>
      <c r="K3435" s="1" t="s">
        <v>84</v>
      </c>
      <c r="L3435" s="1" t="s">
        <v>51676</v>
      </c>
      <c r="M3435" s="1" t="s">
        <v>86</v>
      </c>
      <c r="N3435" s="1" t="s">
        <v>54941</v>
      </c>
      <c r="O3435" s="1"/>
      <c r="P3435" s="1" t="s">
        <v>507</v>
      </c>
      <c r="Q3435" s="1" t="s">
        <v>54942</v>
      </c>
      <c r="R3435" s="1" t="s">
        <v>54943</v>
      </c>
      <c r="S3435" s="1">
        <v>6261012914</v>
      </c>
      <c r="T3435" s="1" t="s">
        <v>839</v>
      </c>
      <c r="U3435" s="1" t="s">
        <v>54944</v>
      </c>
      <c r="V3435" s="1">
        <v>9098704121</v>
      </c>
      <c r="W3435" s="1" t="s">
        <v>127</v>
      </c>
      <c r="X3435" s="1" t="s">
        <v>54945</v>
      </c>
      <c r="Y3435" s="1" t="s">
        <v>2932</v>
      </c>
      <c r="Z3435" s="1" t="s">
        <v>2933</v>
      </c>
      <c r="AA3435" s="1" t="s">
        <v>54945</v>
      </c>
      <c r="AB3435" s="1" t="s">
        <v>2932</v>
      </c>
      <c r="AC3435" s="1" t="s">
        <v>2933</v>
      </c>
      <c r="AD3435" s="1" t="s">
        <v>98</v>
      </c>
      <c r="AE3435" s="1" t="s">
        <v>98</v>
      </c>
      <c r="AF3435" s="1" t="s">
        <v>54946</v>
      </c>
      <c r="AG3435" s="1" t="s">
        <v>54947</v>
      </c>
      <c r="AH3435" s="1">
        <v>41080</v>
      </c>
      <c r="AI3435" s="1">
        <v>41394</v>
      </c>
      <c r="AJ3435" s="1">
        <v>74.5</v>
      </c>
      <c r="AK3435" s="1"/>
      <c r="AL3435" s="1" t="s">
        <v>54948</v>
      </c>
      <c r="AM3435" s="1" t="s">
        <v>54947</v>
      </c>
      <c r="AN3435" s="1"/>
      <c r="AO3435" s="1">
        <v>41821</v>
      </c>
      <c r="AP3435" s="1">
        <v>42124</v>
      </c>
      <c r="AQ3435" s="1">
        <v>68.4</v>
      </c>
      <c r="AR3435" s="1"/>
      <c r="AS3435" s="1"/>
      <c r="AT3435" s="1"/>
      <c r="AU3435" s="1" t="s">
        <v>98</v>
      </c>
      <c r="AV3435" s="1" t="s">
        <v>98</v>
      </c>
      <c r="AW3435" s="1" t="s">
        <v>98</v>
      </c>
      <c r="AX3435" s="1" t="s">
        <v>98</v>
      </c>
      <c r="AY3435" s="1" t="s">
        <v>54949</v>
      </c>
      <c r="AZ3435" s="1" t="s">
        <v>40772</v>
      </c>
      <c r="BA3435" s="1"/>
      <c r="BB3435" s="1"/>
      <c r="BC3435" s="1">
        <v>42200</v>
      </c>
      <c r="BD3435" s="1">
        <v>43799</v>
      </c>
      <c r="BE3435" s="1">
        <v>63.54</v>
      </c>
      <c r="BF3435" s="1"/>
      <c r="BG3435" s="1"/>
      <c r="BH3435" s="1"/>
      <c r="BI3435" s="1"/>
      <c r="BJ3435" s="1"/>
      <c r="BK3435" s="1" t="s">
        <v>98</v>
      </c>
      <c r="BL3435" s="1" t="s">
        <v>98</v>
      </c>
      <c r="BM3435" s="1" t="s">
        <v>98</v>
      </c>
      <c r="BN3435" s="1" t="s">
        <v>98</v>
      </c>
      <c r="BO3435" s="1" t="s">
        <v>369</v>
      </c>
      <c r="BP3435" s="1"/>
      <c r="BQ3435" s="1"/>
      <c r="BR3435" s="1" t="s">
        <v>54950</v>
      </c>
      <c r="BS3435" s="1">
        <v>17</v>
      </c>
      <c r="BT3435" s="1"/>
      <c r="BU3435" s="1" t="str">
        <f>HYPERLINK("https://nconnect.nicmar.ac.in/storage/profile/2021-2023_AP21222_857694.jpg","Download")</f>
        <v>0</v>
      </c>
      <c r="BV3435" s="3"/>
      <c r="BW3435" s="3"/>
    </row>
    <row r="3436" spans="1:75">
      <c r="A3436" s="1" t="s">
        <v>51340</v>
      </c>
      <c r="B3436" s="1" t="s">
        <v>51341</v>
      </c>
      <c r="C3436" s="1" t="s">
        <v>54951</v>
      </c>
      <c r="D3436" s="1" t="s">
        <v>48239</v>
      </c>
      <c r="E3436" s="1" t="s">
        <v>116</v>
      </c>
      <c r="F3436" s="1" t="s">
        <v>1223</v>
      </c>
      <c r="G3436" s="1" t="s">
        <v>54952</v>
      </c>
      <c r="H3436" s="1" t="s">
        <v>54953</v>
      </c>
      <c r="I3436" s="1" t="s">
        <v>54954</v>
      </c>
      <c r="J3436" s="1">
        <v>9072446664</v>
      </c>
      <c r="K3436" s="1" t="s">
        <v>84</v>
      </c>
      <c r="L3436" s="1" t="s">
        <v>26742</v>
      </c>
      <c r="M3436" s="1" t="s">
        <v>86</v>
      </c>
      <c r="N3436" s="1" t="s">
        <v>33739</v>
      </c>
      <c r="O3436" s="1"/>
      <c r="P3436" s="1" t="s">
        <v>507</v>
      </c>
      <c r="Q3436" s="1" t="s">
        <v>54955</v>
      </c>
      <c r="R3436" s="1" t="s">
        <v>54956</v>
      </c>
      <c r="S3436" s="1">
        <v>9447811625</v>
      </c>
      <c r="T3436" s="1" t="s">
        <v>159</v>
      </c>
      <c r="U3436" s="1" t="s">
        <v>54957</v>
      </c>
      <c r="V3436" s="1">
        <v>9496960975</v>
      </c>
      <c r="W3436" s="1" t="s">
        <v>839</v>
      </c>
      <c r="X3436" s="1" t="s">
        <v>54958</v>
      </c>
      <c r="Y3436" s="1" t="s">
        <v>54959</v>
      </c>
      <c r="Z3436" s="1" t="s">
        <v>130</v>
      </c>
      <c r="AA3436" s="1" t="s">
        <v>54958</v>
      </c>
      <c r="AB3436" s="1" t="s">
        <v>54959</v>
      </c>
      <c r="AC3436" s="1" t="s">
        <v>130</v>
      </c>
      <c r="AD3436" s="1" t="s">
        <v>98</v>
      </c>
      <c r="AE3436" s="1" t="s">
        <v>98</v>
      </c>
      <c r="AF3436" s="1" t="s">
        <v>54960</v>
      </c>
      <c r="AG3436" s="1" t="s">
        <v>312</v>
      </c>
      <c r="AH3436" s="1">
        <v>41791</v>
      </c>
      <c r="AI3436" s="1">
        <v>42152</v>
      </c>
      <c r="AJ3436" s="1">
        <v>89.3</v>
      </c>
      <c r="AK3436" s="1">
        <v>9.4</v>
      </c>
      <c r="AL3436" s="1" t="s">
        <v>54960</v>
      </c>
      <c r="AM3436" s="1" t="s">
        <v>312</v>
      </c>
      <c r="AN3436" s="1"/>
      <c r="AO3436" s="1">
        <v>42527</v>
      </c>
      <c r="AP3436" s="1">
        <v>42883</v>
      </c>
      <c r="AQ3436" s="1">
        <v>85.4</v>
      </c>
      <c r="AR3436" s="1"/>
      <c r="AS3436" s="1"/>
      <c r="AT3436" s="1"/>
      <c r="AU3436" s="1" t="s">
        <v>98</v>
      </c>
      <c r="AV3436" s="1" t="s">
        <v>98</v>
      </c>
      <c r="AW3436" s="1" t="s">
        <v>98</v>
      </c>
      <c r="AX3436" s="1" t="s">
        <v>98</v>
      </c>
      <c r="AY3436" s="1" t="s">
        <v>137</v>
      </c>
      <c r="AZ3436" s="1" t="s">
        <v>12082</v>
      </c>
      <c r="BA3436" s="1"/>
      <c r="BB3436" s="1"/>
      <c r="BC3436" s="1">
        <v>42968</v>
      </c>
      <c r="BD3436" s="1">
        <v>44407</v>
      </c>
      <c r="BE3436" s="1">
        <v>76.85</v>
      </c>
      <c r="BF3436" s="1">
        <v>8.06</v>
      </c>
      <c r="BG3436" s="1"/>
      <c r="BH3436" s="1"/>
      <c r="BI3436" s="1"/>
      <c r="BJ3436" s="1"/>
      <c r="BK3436" s="1" t="s">
        <v>98</v>
      </c>
      <c r="BL3436" s="1" t="s">
        <v>98</v>
      </c>
      <c r="BM3436" s="1" t="s">
        <v>98</v>
      </c>
      <c r="BN3436" s="1" t="s">
        <v>98</v>
      </c>
      <c r="BO3436" s="1" t="s">
        <v>54961</v>
      </c>
      <c r="BP3436" s="1"/>
      <c r="BQ3436" s="1"/>
      <c r="BR3436" s="1" t="s">
        <v>54962</v>
      </c>
      <c r="BS3436" s="1">
        <v>8</v>
      </c>
      <c r="BT3436" s="1"/>
      <c r="BU3436" s="1" t="str">
        <f>HYPERLINK("https://nconnect.nicmar.ac.in/storage/profile/2021-2023_AP21223_681945.jpg","Download")</f>
        <v>0</v>
      </c>
      <c r="BV3436" s="3"/>
      <c r="BW3436" s="3"/>
    </row>
    <row r="3437" spans="1:75">
      <c r="A3437" s="1" t="s">
        <v>51340</v>
      </c>
      <c r="B3437" s="1" t="s">
        <v>51341</v>
      </c>
      <c r="C3437" s="1" t="s">
        <v>54963</v>
      </c>
      <c r="D3437" s="1" t="s">
        <v>2829</v>
      </c>
      <c r="E3437" s="1" t="s">
        <v>6292</v>
      </c>
      <c r="F3437" s="1" t="s">
        <v>54964</v>
      </c>
      <c r="G3437" s="1" t="s">
        <v>54965</v>
      </c>
      <c r="H3437" s="1" t="s">
        <v>54966</v>
      </c>
      <c r="I3437" s="1" t="s">
        <v>54966</v>
      </c>
      <c r="J3437" s="1">
        <v>8624075733</v>
      </c>
      <c r="K3437" s="1" t="s">
        <v>84</v>
      </c>
      <c r="L3437" s="1" t="s">
        <v>54967</v>
      </c>
      <c r="M3437" s="1" t="s">
        <v>86</v>
      </c>
      <c r="N3437" s="1" t="s">
        <v>4972</v>
      </c>
      <c r="O3437" s="1"/>
      <c r="P3437" s="1" t="s">
        <v>2062</v>
      </c>
      <c r="Q3437" s="1" t="s">
        <v>54968</v>
      </c>
      <c r="R3437" s="1" t="s">
        <v>54969</v>
      </c>
      <c r="S3437" s="1">
        <v>7045616593</v>
      </c>
      <c r="T3437" s="1" t="s">
        <v>645</v>
      </c>
      <c r="U3437" s="1" t="s">
        <v>54970</v>
      </c>
      <c r="V3437" s="1">
        <v>8624075726</v>
      </c>
      <c r="W3437" s="1" t="s">
        <v>161</v>
      </c>
      <c r="X3437" s="1" t="s">
        <v>54971</v>
      </c>
      <c r="Y3437" s="1" t="s">
        <v>196</v>
      </c>
      <c r="Z3437" s="1" t="s">
        <v>97</v>
      </c>
      <c r="AA3437" s="1" t="s">
        <v>54972</v>
      </c>
      <c r="AB3437" s="1" t="s">
        <v>196</v>
      </c>
      <c r="AC3437" s="1" t="s">
        <v>97</v>
      </c>
      <c r="AD3437" s="1" t="s">
        <v>98</v>
      </c>
      <c r="AE3437" s="1" t="s">
        <v>98</v>
      </c>
      <c r="AF3437" s="1" t="s">
        <v>3012</v>
      </c>
      <c r="AG3437" s="1" t="s">
        <v>54973</v>
      </c>
      <c r="AH3437" s="1" t="s">
        <v>2726</v>
      </c>
      <c r="AI3437" s="1" t="s">
        <v>134</v>
      </c>
      <c r="AJ3437" s="1">
        <v>77.9</v>
      </c>
      <c r="AK3437" s="1">
        <v>8.2</v>
      </c>
      <c r="AL3437" s="1" t="s">
        <v>3012</v>
      </c>
      <c r="AM3437" s="1" t="s">
        <v>54973</v>
      </c>
      <c r="AN3437" s="1"/>
      <c r="AO3437" s="1" t="s">
        <v>1262</v>
      </c>
      <c r="AP3437" s="1" t="s">
        <v>136</v>
      </c>
      <c r="AQ3437" s="1">
        <v>60</v>
      </c>
      <c r="AR3437" s="1">
        <v>6.31</v>
      </c>
      <c r="AS3437" s="1"/>
      <c r="AT3437" s="1"/>
      <c r="AU3437" s="1"/>
      <c r="AV3437" s="1"/>
      <c r="AW3437" s="1"/>
      <c r="AX3437" s="1"/>
      <c r="AY3437" s="1" t="s">
        <v>366</v>
      </c>
      <c r="AZ3437" s="1" t="s">
        <v>30006</v>
      </c>
      <c r="BA3437" s="1"/>
      <c r="BB3437" s="1"/>
      <c r="BC3437" s="1" t="s">
        <v>139</v>
      </c>
      <c r="BD3437" s="1" t="s">
        <v>549</v>
      </c>
      <c r="BE3437" s="1">
        <v>61.68</v>
      </c>
      <c r="BF3437" s="1">
        <v>7.01</v>
      </c>
      <c r="BG3437" s="1"/>
      <c r="BH3437" s="1"/>
      <c r="BI3437" s="1"/>
      <c r="BJ3437" s="1"/>
      <c r="BK3437" s="1"/>
      <c r="BL3437" s="1"/>
      <c r="BM3437" s="1"/>
      <c r="BN3437" s="1"/>
      <c r="BO3437" s="1" t="s">
        <v>54974</v>
      </c>
      <c r="BP3437" s="1"/>
      <c r="BQ3437" s="1"/>
      <c r="BR3437" s="1" t="s">
        <v>54975</v>
      </c>
      <c r="BS3437" s="1">
        <v>8</v>
      </c>
      <c r="BT3437" s="1"/>
      <c r="BU3437" s="1" t="str">
        <f>HYPERLINK("https://nconnect.nicmar.ac.in/storage/profile/2021-2023_AP21224_756248.jpg","Download")</f>
        <v>0</v>
      </c>
      <c r="BV3437" s="3"/>
      <c r="BW3437" s="3"/>
    </row>
    <row r="3438" spans="1:75">
      <c r="A3438" s="1" t="s">
        <v>51340</v>
      </c>
      <c r="B3438" s="1" t="s">
        <v>51341</v>
      </c>
      <c r="C3438" s="1" t="s">
        <v>54976</v>
      </c>
      <c r="D3438" s="1" t="s">
        <v>54977</v>
      </c>
      <c r="E3438" s="1"/>
      <c r="F3438" s="1" t="s">
        <v>5558</v>
      </c>
      <c r="G3438" s="1" t="s">
        <v>54978</v>
      </c>
      <c r="H3438" s="1" t="s">
        <v>54979</v>
      </c>
      <c r="I3438" s="1" t="s">
        <v>54979</v>
      </c>
      <c r="J3438" s="1">
        <v>7709596019</v>
      </c>
      <c r="K3438" s="1" t="s">
        <v>84</v>
      </c>
      <c r="L3438" s="1" t="s">
        <v>54980</v>
      </c>
      <c r="M3438" s="1" t="s">
        <v>86</v>
      </c>
      <c r="N3438" s="1" t="s">
        <v>246</v>
      </c>
      <c r="O3438" s="1"/>
      <c r="P3438" s="1" t="s">
        <v>455</v>
      </c>
      <c r="Q3438" s="1" t="s">
        <v>54981</v>
      </c>
      <c r="R3438" s="1" t="s">
        <v>3602</v>
      </c>
      <c r="S3438" s="1">
        <v>9835903848</v>
      </c>
      <c r="T3438" s="1" t="s">
        <v>2950</v>
      </c>
      <c r="U3438" s="1" t="s">
        <v>54982</v>
      </c>
      <c r="V3438" s="1">
        <v>9835918311</v>
      </c>
      <c r="W3438" s="1" t="s">
        <v>2547</v>
      </c>
      <c r="X3438" s="1" t="s">
        <v>54983</v>
      </c>
      <c r="Y3438" s="1" t="s">
        <v>19651</v>
      </c>
      <c r="Z3438" s="1" t="s">
        <v>649</v>
      </c>
      <c r="AA3438" s="1" t="s">
        <v>54983</v>
      </c>
      <c r="AB3438" s="1" t="s">
        <v>19651</v>
      </c>
      <c r="AC3438" s="1" t="s">
        <v>649</v>
      </c>
      <c r="AD3438" s="1" t="s">
        <v>98</v>
      </c>
      <c r="AE3438" s="1" t="s">
        <v>98</v>
      </c>
      <c r="AF3438" s="1" t="s">
        <v>54984</v>
      </c>
      <c r="AG3438" s="1" t="s">
        <v>54985</v>
      </c>
      <c r="AH3438" s="1" t="s">
        <v>337</v>
      </c>
      <c r="AI3438" s="1" t="s">
        <v>2726</v>
      </c>
      <c r="AJ3438" s="1">
        <v>77.9</v>
      </c>
      <c r="AK3438" s="1">
        <v>8.2</v>
      </c>
      <c r="AL3438" s="1" t="s">
        <v>54986</v>
      </c>
      <c r="AM3438" s="1" t="s">
        <v>54985</v>
      </c>
      <c r="AN3438" s="1"/>
      <c r="AO3438" s="1" t="s">
        <v>1214</v>
      </c>
      <c r="AP3438" s="1" t="s">
        <v>136</v>
      </c>
      <c r="AQ3438" s="1">
        <v>77.8</v>
      </c>
      <c r="AR3438" s="1">
        <v>0</v>
      </c>
      <c r="AS3438" s="1"/>
      <c r="AT3438" s="1"/>
      <c r="AU3438" s="1"/>
      <c r="AV3438" s="1"/>
      <c r="AW3438" s="1"/>
      <c r="AX3438" s="1"/>
      <c r="AY3438" s="1" t="s">
        <v>54987</v>
      </c>
      <c r="AZ3438" s="1" t="s">
        <v>54988</v>
      </c>
      <c r="BA3438" s="1"/>
      <c r="BB3438" s="1"/>
      <c r="BC3438" s="1" t="s">
        <v>342</v>
      </c>
      <c r="BD3438" s="1" t="s">
        <v>549</v>
      </c>
      <c r="BE3438" s="1">
        <v>61.07</v>
      </c>
      <c r="BF3438" s="1">
        <v>6.94</v>
      </c>
      <c r="BG3438" s="1"/>
      <c r="BH3438" s="1"/>
      <c r="BI3438" s="1"/>
      <c r="BJ3438" s="1"/>
      <c r="BK3438" s="1"/>
      <c r="BL3438" s="1"/>
      <c r="BM3438" s="1"/>
      <c r="BN3438" s="1"/>
      <c r="BO3438" s="1" t="s">
        <v>54989</v>
      </c>
      <c r="BP3438" s="1"/>
      <c r="BQ3438" s="1"/>
      <c r="BR3438" s="1" t="s">
        <v>54990</v>
      </c>
      <c r="BS3438" s="1">
        <v>42</v>
      </c>
      <c r="BT3438" s="1"/>
      <c r="BU3438" s="1" t="str">
        <f>HYPERLINK("https://nconnect.nicmar.ac.in/storage/profile/2021-2023_AP21241_359146.jpg","Download")</f>
        <v>0</v>
      </c>
      <c r="BV3438" s="3"/>
      <c r="BW3438" s="3"/>
    </row>
    <row r="3439" spans="1:75">
      <c r="A3439" s="1" t="s">
        <v>51340</v>
      </c>
      <c r="B3439" s="1" t="s">
        <v>51341</v>
      </c>
      <c r="C3439" s="1" t="s">
        <v>54991</v>
      </c>
      <c r="D3439" s="1" t="s">
        <v>54992</v>
      </c>
      <c r="E3439" s="1" t="s">
        <v>54993</v>
      </c>
      <c r="F3439" s="1" t="s">
        <v>19498</v>
      </c>
      <c r="G3439" s="1" t="s">
        <v>54994</v>
      </c>
      <c r="H3439" s="1" t="s">
        <v>54995</v>
      </c>
      <c r="I3439" s="1" t="s">
        <v>54995</v>
      </c>
      <c r="J3439" s="1"/>
      <c r="K3439" s="1" t="s">
        <v>84</v>
      </c>
      <c r="L3439" s="1" t="s">
        <v>54996</v>
      </c>
      <c r="M3439" s="1" t="s">
        <v>86</v>
      </c>
      <c r="N3439" s="1" t="s">
        <v>54997</v>
      </c>
      <c r="O3439" s="1"/>
      <c r="P3439" s="1" t="s">
        <v>507</v>
      </c>
      <c r="Q3439" s="1" t="s">
        <v>54998</v>
      </c>
      <c r="R3439" s="1" t="s">
        <v>54999</v>
      </c>
      <c r="S3439" s="1">
        <v>9912129312</v>
      </c>
      <c r="T3439" s="1" t="s">
        <v>839</v>
      </c>
      <c r="U3439" s="1" t="s">
        <v>55000</v>
      </c>
      <c r="V3439" s="1">
        <v>9912129312</v>
      </c>
      <c r="W3439" s="1" t="s">
        <v>839</v>
      </c>
      <c r="X3439" s="1" t="s">
        <v>55001</v>
      </c>
      <c r="Y3439" s="1" t="s">
        <v>3090</v>
      </c>
      <c r="Z3439" s="1" t="s">
        <v>281</v>
      </c>
      <c r="AA3439" s="1" t="s">
        <v>55001</v>
      </c>
      <c r="AB3439" s="1" t="s">
        <v>3090</v>
      </c>
      <c r="AC3439" s="1" t="s">
        <v>281</v>
      </c>
      <c r="AD3439" s="1" t="s">
        <v>98</v>
      </c>
      <c r="AE3439" s="1" t="s">
        <v>98</v>
      </c>
      <c r="AF3439" s="1" t="s">
        <v>55002</v>
      </c>
      <c r="AG3439" s="1" t="s">
        <v>1418</v>
      </c>
      <c r="AH3439" s="1" t="s">
        <v>55003</v>
      </c>
      <c r="AI3439" s="1" t="s">
        <v>55004</v>
      </c>
      <c r="AJ3439" s="1">
        <v>71.25</v>
      </c>
      <c r="AK3439" s="1"/>
      <c r="AL3439" s="1" t="s">
        <v>55005</v>
      </c>
      <c r="AM3439" s="1" t="s">
        <v>1420</v>
      </c>
      <c r="AN3439" s="1"/>
      <c r="AO3439" s="1" t="s">
        <v>55006</v>
      </c>
      <c r="AP3439" s="1" t="s">
        <v>55007</v>
      </c>
      <c r="AQ3439" s="1">
        <v>81.2</v>
      </c>
      <c r="AR3439" s="1"/>
      <c r="AS3439" s="1"/>
      <c r="AT3439" s="1"/>
      <c r="AU3439" s="1"/>
      <c r="AV3439" s="1"/>
      <c r="AW3439" s="1"/>
      <c r="AX3439" s="1"/>
      <c r="AY3439" s="1" t="s">
        <v>55008</v>
      </c>
      <c r="AZ3439" s="1" t="s">
        <v>55009</v>
      </c>
      <c r="BA3439" s="1"/>
      <c r="BB3439" s="1"/>
      <c r="BC3439" s="1" t="s">
        <v>55010</v>
      </c>
      <c r="BD3439" s="1" t="s">
        <v>55011</v>
      </c>
      <c r="BE3439" s="1">
        <v>57.1</v>
      </c>
      <c r="BF3439" s="1"/>
      <c r="BG3439" s="1"/>
      <c r="BH3439" s="1"/>
      <c r="BI3439" s="1"/>
      <c r="BJ3439" s="1"/>
      <c r="BK3439" s="1"/>
      <c r="BL3439" s="1"/>
      <c r="BM3439" s="1"/>
      <c r="BN3439" s="1"/>
      <c r="BO3439" s="1" t="s">
        <v>260</v>
      </c>
      <c r="BP3439" s="1"/>
      <c r="BQ3439" s="1"/>
      <c r="BR3439" s="1" t="s">
        <v>55012</v>
      </c>
      <c r="BS3439" s="1">
        <v>19</v>
      </c>
      <c r="BT3439" s="1"/>
      <c r="BU3439" s="1" t="str">
        <f>HYPERLINK("https://nconnect.nicmar.ac.in/storage/profile/2021-2023_AP21340_326459.jpeg","Download")</f>
        <v>0</v>
      </c>
      <c r="BV3439" s="3"/>
      <c r="BW3439" s="3"/>
    </row>
    <row r="3440" spans="1:75">
      <c r="A3440" s="1" t="s">
        <v>51340</v>
      </c>
      <c r="B3440" s="1" t="s">
        <v>51341</v>
      </c>
      <c r="C3440" s="1" t="s">
        <v>55013</v>
      </c>
      <c r="D3440" s="1" t="s">
        <v>55014</v>
      </c>
      <c r="E3440" s="1"/>
      <c r="F3440" s="1" t="s">
        <v>55015</v>
      </c>
      <c r="G3440" s="1" t="s">
        <v>55016</v>
      </c>
      <c r="H3440" s="1" t="s">
        <v>55017</v>
      </c>
      <c r="I3440" s="1" t="s">
        <v>55017</v>
      </c>
      <c r="J3440" s="1"/>
      <c r="K3440" s="1" t="s">
        <v>153</v>
      </c>
      <c r="L3440" s="1" t="s">
        <v>55018</v>
      </c>
      <c r="M3440" s="1" t="s">
        <v>86</v>
      </c>
      <c r="N3440" s="1" t="s">
        <v>55019</v>
      </c>
      <c r="O3440" s="1"/>
      <c r="P3440" s="1" t="s">
        <v>2021</v>
      </c>
      <c r="Q3440" s="1" t="s">
        <v>55020</v>
      </c>
      <c r="R3440" s="1" t="s">
        <v>55021</v>
      </c>
      <c r="S3440" s="1">
        <v>9434624104</v>
      </c>
      <c r="T3440" s="1" t="s">
        <v>26854</v>
      </c>
      <c r="U3440" s="1" t="s">
        <v>55022</v>
      </c>
      <c r="V3440" s="1">
        <v>7318958947</v>
      </c>
      <c r="W3440" s="1" t="s">
        <v>94</v>
      </c>
      <c r="X3440" s="1" t="s">
        <v>55023</v>
      </c>
      <c r="Y3440" s="1" t="s">
        <v>51635</v>
      </c>
      <c r="Z3440" s="1" t="s">
        <v>1234</v>
      </c>
      <c r="AA3440" s="1" t="s">
        <v>55023</v>
      </c>
      <c r="AB3440" s="1" t="s">
        <v>51635</v>
      </c>
      <c r="AC3440" s="1" t="s">
        <v>1234</v>
      </c>
      <c r="AD3440" s="1" t="s">
        <v>98</v>
      </c>
      <c r="AE3440" s="1" t="s">
        <v>98</v>
      </c>
      <c r="AF3440" s="1" t="s">
        <v>55024</v>
      </c>
      <c r="AG3440" s="1" t="s">
        <v>55025</v>
      </c>
      <c r="AH3440" s="1" t="s">
        <v>2157</v>
      </c>
      <c r="AI3440" s="1" t="s">
        <v>2203</v>
      </c>
      <c r="AJ3440" s="1">
        <v>67.25</v>
      </c>
      <c r="AK3440" s="1">
        <v>0</v>
      </c>
      <c r="AL3440" s="1" t="s">
        <v>55026</v>
      </c>
      <c r="AM3440" s="1" t="s">
        <v>55025</v>
      </c>
      <c r="AN3440" s="1"/>
      <c r="AO3440" s="1" t="s">
        <v>134</v>
      </c>
      <c r="AP3440" s="1" t="s">
        <v>1262</v>
      </c>
      <c r="AQ3440" s="1">
        <v>60.8</v>
      </c>
      <c r="AR3440" s="1">
        <v>0</v>
      </c>
      <c r="AS3440" s="1"/>
      <c r="AT3440" s="1"/>
      <c r="AU3440" s="1"/>
      <c r="AV3440" s="1"/>
      <c r="AW3440" s="1"/>
      <c r="AX3440" s="1"/>
      <c r="AY3440" s="1" t="s">
        <v>55027</v>
      </c>
      <c r="AZ3440" s="1" t="s">
        <v>55028</v>
      </c>
      <c r="BA3440" s="1"/>
      <c r="BB3440" s="1"/>
      <c r="BC3440" s="1" t="s">
        <v>257</v>
      </c>
      <c r="BD3440" s="1" t="s">
        <v>13749</v>
      </c>
      <c r="BE3440" s="1">
        <v>69.2</v>
      </c>
      <c r="BF3440" s="1">
        <v>7.67</v>
      </c>
      <c r="BG3440" s="1"/>
      <c r="BH3440" s="1"/>
      <c r="BI3440" s="1"/>
      <c r="BJ3440" s="1"/>
      <c r="BK3440" s="1"/>
      <c r="BL3440" s="1"/>
      <c r="BM3440" s="1"/>
      <c r="BN3440" s="1"/>
      <c r="BO3440" s="1" t="s">
        <v>34668</v>
      </c>
      <c r="BP3440" s="1" t="s">
        <v>55029</v>
      </c>
      <c r="BQ3440" s="1" t="s">
        <v>30696</v>
      </c>
      <c r="BR3440" s="1" t="s">
        <v>55030</v>
      </c>
      <c r="BS3440" s="1">
        <v>9</v>
      </c>
      <c r="BT3440" s="1"/>
      <c r="BU3440" s="1" t="str">
        <f>HYPERLINK("https://nconnect.nicmar.ac.in/storage/profile/2021-2023_AP21346_516489.jpg","Download")</f>
        <v>0</v>
      </c>
      <c r="BV3440" s="3"/>
      <c r="BW3440" s="3"/>
    </row>
    <row r="3441" spans="1:75">
      <c r="A3441" s="1" t="s">
        <v>51340</v>
      </c>
      <c r="B3441" s="1" t="s">
        <v>51341</v>
      </c>
      <c r="C3441" s="1" t="s">
        <v>55031</v>
      </c>
      <c r="D3441" s="1" t="s">
        <v>55032</v>
      </c>
      <c r="E3441" s="1" t="s">
        <v>397</v>
      </c>
      <c r="F3441" s="1" t="s">
        <v>28607</v>
      </c>
      <c r="G3441" s="1" t="s">
        <v>55033</v>
      </c>
      <c r="H3441" s="1" t="s">
        <v>55034</v>
      </c>
      <c r="I3441" s="1" t="s">
        <v>55034</v>
      </c>
      <c r="J3441" s="1"/>
      <c r="K3441" s="1" t="s">
        <v>84</v>
      </c>
      <c r="L3441" s="1" t="s">
        <v>44489</v>
      </c>
      <c r="M3441" s="1" t="s">
        <v>86</v>
      </c>
      <c r="N3441" s="1" t="s">
        <v>1163</v>
      </c>
      <c r="O3441" s="1"/>
      <c r="P3441" s="1" t="s">
        <v>507</v>
      </c>
      <c r="Q3441" s="1" t="s">
        <v>55035</v>
      </c>
      <c r="R3441" s="1" t="s">
        <v>397</v>
      </c>
      <c r="S3441" s="1">
        <v>8805281111</v>
      </c>
      <c r="T3441" s="1" t="s">
        <v>127</v>
      </c>
      <c r="U3441" s="1" t="s">
        <v>2567</v>
      </c>
      <c r="V3441" s="1">
        <v>9881168804</v>
      </c>
      <c r="W3441" s="1" t="s">
        <v>127</v>
      </c>
      <c r="X3441" s="1" t="s">
        <v>55036</v>
      </c>
      <c r="Y3441" s="1" t="s">
        <v>55037</v>
      </c>
      <c r="Z3441" s="1" t="s">
        <v>97</v>
      </c>
      <c r="AA3441" s="1" t="s">
        <v>55036</v>
      </c>
      <c r="AB3441" s="1" t="s">
        <v>55037</v>
      </c>
      <c r="AC3441" s="1" t="s">
        <v>97</v>
      </c>
      <c r="AD3441" s="1" t="s">
        <v>98</v>
      </c>
      <c r="AE3441" s="1" t="s">
        <v>98</v>
      </c>
      <c r="AF3441" s="1" t="s">
        <v>55038</v>
      </c>
      <c r="AG3441" s="1" t="s">
        <v>55039</v>
      </c>
      <c r="AH3441" s="1" t="s">
        <v>55040</v>
      </c>
      <c r="AI3441" s="1" t="s">
        <v>55041</v>
      </c>
      <c r="AJ3441" s="1">
        <v>84.8</v>
      </c>
      <c r="AK3441" s="1"/>
      <c r="AL3441" s="1" t="s">
        <v>98</v>
      </c>
      <c r="AM3441" s="1" t="s">
        <v>98</v>
      </c>
      <c r="AN3441" s="1"/>
      <c r="AO3441" s="1"/>
      <c r="AP3441" s="1"/>
      <c r="AQ3441" s="1"/>
      <c r="AR3441" s="1"/>
      <c r="AS3441" s="1" t="s">
        <v>103</v>
      </c>
      <c r="AT3441" s="1" t="s">
        <v>3644</v>
      </c>
      <c r="AU3441" s="1" t="s">
        <v>55042</v>
      </c>
      <c r="AV3441" s="1" t="s">
        <v>55043</v>
      </c>
      <c r="AW3441" s="1">
        <v>50.84</v>
      </c>
      <c r="AX3441" s="1"/>
      <c r="AY3441" s="1" t="s">
        <v>10273</v>
      </c>
      <c r="AZ3441" s="1" t="s">
        <v>27217</v>
      </c>
      <c r="BA3441" s="1"/>
      <c r="BB3441" s="1"/>
      <c r="BC3441" s="1" t="s">
        <v>55044</v>
      </c>
      <c r="BD3441" s="1" t="s">
        <v>55045</v>
      </c>
      <c r="BE3441" s="1">
        <v>60.01</v>
      </c>
      <c r="BF3441" s="1">
        <v>6.82</v>
      </c>
      <c r="BG3441" s="1"/>
      <c r="BH3441" s="1"/>
      <c r="BI3441" s="1"/>
      <c r="BJ3441" s="1"/>
      <c r="BK3441" s="1"/>
      <c r="BL3441" s="1"/>
      <c r="BM3441" s="1"/>
      <c r="BN3441" s="1"/>
      <c r="BO3441" s="1" t="s">
        <v>369</v>
      </c>
      <c r="BP3441" s="1" t="s">
        <v>55046</v>
      </c>
      <c r="BQ3441" s="1" t="s">
        <v>6365</v>
      </c>
      <c r="BR3441" s="1" t="s">
        <v>52815</v>
      </c>
      <c r="BS3441" s="1">
        <v>8</v>
      </c>
      <c r="BT3441" s="1"/>
      <c r="BU3441" s="1" t="str">
        <f>HYPERLINK("https://nconnect.nicmar.ac.in/storage/profile/2021-2023_AP21350_658792.jpg","Download")</f>
        <v>0</v>
      </c>
      <c r="BV3441" s="3"/>
      <c r="BW3441" s="3"/>
    </row>
    <row r="3442" spans="1:75">
      <c r="A3442" s="1" t="s">
        <v>51340</v>
      </c>
      <c r="B3442" s="1" t="s">
        <v>51341</v>
      </c>
      <c r="C3442" s="1" t="s">
        <v>55047</v>
      </c>
      <c r="D3442" s="1" t="s">
        <v>3493</v>
      </c>
      <c r="E3442" s="1"/>
      <c r="F3442" s="1" t="s">
        <v>38944</v>
      </c>
      <c r="G3442" s="1" t="s">
        <v>55048</v>
      </c>
      <c r="H3442" s="1" t="s">
        <v>55049</v>
      </c>
      <c r="I3442" s="1" t="s">
        <v>55049</v>
      </c>
      <c r="J3442" s="1"/>
      <c r="K3442" s="1" t="s">
        <v>84</v>
      </c>
      <c r="L3442" s="1" t="s">
        <v>55050</v>
      </c>
      <c r="M3442" s="1" t="s">
        <v>155</v>
      </c>
      <c r="N3442" s="1" t="s">
        <v>11423</v>
      </c>
      <c r="O3442" s="1"/>
      <c r="P3442" s="1" t="s">
        <v>2062</v>
      </c>
      <c r="Q3442" s="1" t="s">
        <v>55051</v>
      </c>
      <c r="R3442" s="1" t="s">
        <v>55052</v>
      </c>
      <c r="S3442" s="1">
        <v>9827648649</v>
      </c>
      <c r="T3442" s="1" t="s">
        <v>55053</v>
      </c>
      <c r="U3442" s="1" t="s">
        <v>55054</v>
      </c>
      <c r="V3442" s="1">
        <v>7771050309</v>
      </c>
      <c r="W3442" s="1" t="s">
        <v>1257</v>
      </c>
      <c r="X3442" s="1" t="s">
        <v>55055</v>
      </c>
      <c r="Y3442" s="1" t="s">
        <v>3418</v>
      </c>
      <c r="Z3442" s="1" t="s">
        <v>3419</v>
      </c>
      <c r="AA3442" s="1" t="s">
        <v>55055</v>
      </c>
      <c r="AB3442" s="1" t="s">
        <v>3418</v>
      </c>
      <c r="AC3442" s="1" t="s">
        <v>3419</v>
      </c>
      <c r="AD3442" s="1" t="s">
        <v>98</v>
      </c>
      <c r="AE3442" s="1" t="s">
        <v>98</v>
      </c>
      <c r="AF3442" s="1" t="s">
        <v>55056</v>
      </c>
      <c r="AG3442" s="1" t="s">
        <v>31244</v>
      </c>
      <c r="AH3442" s="1" t="s">
        <v>55057</v>
      </c>
      <c r="AI3442" s="1" t="s">
        <v>55058</v>
      </c>
      <c r="AJ3442" s="1">
        <v>86.4</v>
      </c>
      <c r="AK3442" s="1"/>
      <c r="AL3442" s="1" t="s">
        <v>55056</v>
      </c>
      <c r="AM3442" s="1" t="s">
        <v>31244</v>
      </c>
      <c r="AN3442" s="1"/>
      <c r="AO3442" s="1" t="s">
        <v>55059</v>
      </c>
      <c r="AP3442" s="1" t="s">
        <v>55060</v>
      </c>
      <c r="AQ3442" s="1">
        <v>89.2</v>
      </c>
      <c r="AR3442" s="1"/>
      <c r="AS3442" s="1"/>
      <c r="AT3442" s="1"/>
      <c r="AU3442" s="1"/>
      <c r="AV3442" s="1"/>
      <c r="AW3442" s="1"/>
      <c r="AX3442" s="1"/>
      <c r="AY3442" s="1" t="s">
        <v>11637</v>
      </c>
      <c r="AZ3442" s="1" t="s">
        <v>55061</v>
      </c>
      <c r="BA3442" s="1"/>
      <c r="BB3442" s="1"/>
      <c r="BC3442" s="1" t="s">
        <v>55062</v>
      </c>
      <c r="BD3442" s="1" t="s">
        <v>55063</v>
      </c>
      <c r="BE3442" s="1">
        <v>80.6</v>
      </c>
      <c r="BF3442" s="1">
        <v>8.06</v>
      </c>
      <c r="BG3442" s="1" t="s">
        <v>11637</v>
      </c>
      <c r="BH3442" s="1" t="s">
        <v>1586</v>
      </c>
      <c r="BI3442" s="1"/>
      <c r="BJ3442" s="1"/>
      <c r="BK3442" s="1" t="s">
        <v>55064</v>
      </c>
      <c r="BL3442" s="1" t="s">
        <v>55065</v>
      </c>
      <c r="BM3442" s="1">
        <v>82.9</v>
      </c>
      <c r="BN3442" s="1">
        <v>8.29</v>
      </c>
      <c r="BO3442" s="1" t="s">
        <v>369</v>
      </c>
      <c r="BP3442" s="1" t="s">
        <v>55066</v>
      </c>
      <c r="BQ3442" s="1" t="s">
        <v>55067</v>
      </c>
      <c r="BR3442" s="1" t="s">
        <v>55068</v>
      </c>
      <c r="BS3442" s="1">
        <v>17</v>
      </c>
      <c r="BT3442" s="1"/>
      <c r="BU3442" s="1" t="str">
        <f>HYPERLINK("https://nconnect.nicmar.ac.in/storage/profile/2021-2023_AP21385_382971.jpg","Download")</f>
        <v>0</v>
      </c>
      <c r="BV3442" s="3"/>
      <c r="BW3442" s="3"/>
    </row>
    <row r="3443" spans="1:75">
      <c r="A3443" s="1" t="s">
        <v>51340</v>
      </c>
      <c r="B3443" s="1" t="s">
        <v>51341</v>
      </c>
      <c r="C3443" s="1" t="s">
        <v>55069</v>
      </c>
      <c r="D3443" s="1" t="s">
        <v>26108</v>
      </c>
      <c r="E3443" s="1" t="s">
        <v>25583</v>
      </c>
      <c r="F3443" s="1" t="s">
        <v>6030</v>
      </c>
      <c r="G3443" s="1" t="s">
        <v>55070</v>
      </c>
      <c r="H3443" s="1" t="s">
        <v>55071</v>
      </c>
      <c r="I3443" s="1" t="s">
        <v>55071</v>
      </c>
      <c r="J3443" s="1">
        <v>8484985085</v>
      </c>
      <c r="K3443" s="1" t="s">
        <v>153</v>
      </c>
      <c r="L3443" s="1" t="s">
        <v>10167</v>
      </c>
      <c r="M3443" s="1" t="s">
        <v>86</v>
      </c>
      <c r="N3443" s="1" t="s">
        <v>4972</v>
      </c>
      <c r="O3443" s="1"/>
      <c r="P3443" s="1" t="s">
        <v>455</v>
      </c>
      <c r="Q3443" s="1" t="s">
        <v>55072</v>
      </c>
      <c r="R3443" s="1" t="s">
        <v>55073</v>
      </c>
      <c r="S3443" s="1">
        <v>7066208636</v>
      </c>
      <c r="T3443" s="1" t="s">
        <v>2375</v>
      </c>
      <c r="U3443" s="1" t="s">
        <v>55074</v>
      </c>
      <c r="V3443" s="1">
        <v>8459829315</v>
      </c>
      <c r="W3443" s="1" t="s">
        <v>278</v>
      </c>
      <c r="X3443" s="1" t="s">
        <v>55075</v>
      </c>
      <c r="Y3443" s="1" t="s">
        <v>1779</v>
      </c>
      <c r="Z3443" s="1" t="s">
        <v>97</v>
      </c>
      <c r="AA3443" s="1" t="s">
        <v>55076</v>
      </c>
      <c r="AB3443" s="1" t="s">
        <v>410</v>
      </c>
      <c r="AC3443" s="1" t="s">
        <v>97</v>
      </c>
      <c r="AD3443" s="1" t="s">
        <v>98</v>
      </c>
      <c r="AE3443" s="1" t="s">
        <v>98</v>
      </c>
      <c r="AF3443" s="1" t="s">
        <v>55077</v>
      </c>
      <c r="AG3443" s="1" t="s">
        <v>165</v>
      </c>
      <c r="AH3443" s="1" t="s">
        <v>1213</v>
      </c>
      <c r="AI3443" s="1" t="s">
        <v>515</v>
      </c>
      <c r="AJ3443" s="1">
        <v>90.6</v>
      </c>
      <c r="AK3443" s="1">
        <v>0</v>
      </c>
      <c r="AL3443" s="1" t="s">
        <v>6023</v>
      </c>
      <c r="AM3443" s="1" t="s">
        <v>165</v>
      </c>
      <c r="AN3443" s="1"/>
      <c r="AO3443" s="1" t="s">
        <v>166</v>
      </c>
      <c r="AP3443" s="1" t="s">
        <v>517</v>
      </c>
      <c r="AQ3443" s="1">
        <v>65.54</v>
      </c>
      <c r="AR3443" s="1">
        <v>0</v>
      </c>
      <c r="AS3443" s="1"/>
      <c r="AT3443" s="1"/>
      <c r="AU3443" s="1"/>
      <c r="AV3443" s="1"/>
      <c r="AW3443" s="1"/>
      <c r="AX3443" s="1"/>
      <c r="AY3443" s="1" t="s">
        <v>10380</v>
      </c>
      <c r="AZ3443" s="1" t="s">
        <v>5460</v>
      </c>
      <c r="BA3443" s="1"/>
      <c r="BB3443" s="1"/>
      <c r="BC3443" s="1" t="s">
        <v>139</v>
      </c>
      <c r="BD3443" s="1" t="s">
        <v>1647</v>
      </c>
      <c r="BE3443" s="1">
        <v>60</v>
      </c>
      <c r="BF3443" s="1">
        <v>6.75</v>
      </c>
      <c r="BG3443" s="1"/>
      <c r="BH3443" s="1"/>
      <c r="BI3443" s="1"/>
      <c r="BJ3443" s="1"/>
      <c r="BK3443" s="1"/>
      <c r="BL3443" s="1"/>
      <c r="BM3443" s="1"/>
      <c r="BN3443" s="1"/>
      <c r="BO3443" s="1" t="s">
        <v>369</v>
      </c>
      <c r="BP3443" s="1"/>
      <c r="BQ3443" s="1"/>
      <c r="BR3443" s="1" t="s">
        <v>55078</v>
      </c>
      <c r="BS3443" s="1">
        <v>7</v>
      </c>
      <c r="BT3443" s="1"/>
      <c r="BU3443" s="1" t="str">
        <f>HYPERLINK("https://nconnect.nicmar.ac.in/storage/profile/2021-2023_AP21230_427891.jpg","Download")</f>
        <v>0</v>
      </c>
      <c r="BV3443" s="3"/>
      <c r="BW3443" s="3"/>
    </row>
    <row r="3444" spans="1:75">
      <c r="A3444" s="1" t="s">
        <v>51340</v>
      </c>
      <c r="B3444" s="1" t="s">
        <v>51341</v>
      </c>
      <c r="C3444" s="1" t="s">
        <v>55079</v>
      </c>
      <c r="D3444" s="1" t="s">
        <v>55080</v>
      </c>
      <c r="E3444" s="1" t="s">
        <v>13527</v>
      </c>
      <c r="F3444" s="1" t="s">
        <v>55081</v>
      </c>
      <c r="G3444" s="1" t="s">
        <v>55082</v>
      </c>
      <c r="H3444" s="1" t="s">
        <v>55083</v>
      </c>
      <c r="I3444" s="1" t="s">
        <v>55083</v>
      </c>
      <c r="J3444" s="1"/>
      <c r="K3444" s="1" t="s">
        <v>84</v>
      </c>
      <c r="L3444" s="1" t="s">
        <v>12509</v>
      </c>
      <c r="M3444" s="1" t="s">
        <v>86</v>
      </c>
      <c r="N3444" s="1" t="s">
        <v>55084</v>
      </c>
      <c r="O3444" s="1"/>
      <c r="P3444" s="1" t="s">
        <v>455</v>
      </c>
      <c r="Q3444" s="1" t="s">
        <v>55085</v>
      </c>
      <c r="R3444" s="1" t="s">
        <v>55086</v>
      </c>
      <c r="S3444" s="1">
        <v>9652036524</v>
      </c>
      <c r="T3444" s="1" t="s">
        <v>55087</v>
      </c>
      <c r="U3444" s="1" t="s">
        <v>55088</v>
      </c>
      <c r="V3444" s="1">
        <v>7093637799</v>
      </c>
      <c r="W3444" s="1" t="s">
        <v>541</v>
      </c>
      <c r="X3444" s="1" t="s">
        <v>55089</v>
      </c>
      <c r="Y3444" s="1" t="s">
        <v>55090</v>
      </c>
      <c r="Z3444" s="1" t="s">
        <v>281</v>
      </c>
      <c r="AA3444" s="1" t="s">
        <v>55091</v>
      </c>
      <c r="AB3444" s="1" t="s">
        <v>55090</v>
      </c>
      <c r="AC3444" s="1" t="s">
        <v>281</v>
      </c>
      <c r="AD3444" s="1" t="s">
        <v>98</v>
      </c>
      <c r="AE3444" s="1" t="s">
        <v>98</v>
      </c>
      <c r="AF3444" s="1" t="s">
        <v>2653</v>
      </c>
      <c r="AG3444" s="1" t="s">
        <v>55092</v>
      </c>
      <c r="AH3444" s="1" t="s">
        <v>55093</v>
      </c>
      <c r="AI3444" s="1" t="s">
        <v>55094</v>
      </c>
      <c r="AJ3444" s="1">
        <v>98</v>
      </c>
      <c r="AK3444" s="1">
        <v>9.8</v>
      </c>
      <c r="AL3444" s="1" t="s">
        <v>55095</v>
      </c>
      <c r="AM3444" s="1" t="s">
        <v>55096</v>
      </c>
      <c r="AN3444" s="1"/>
      <c r="AO3444" s="1" t="s">
        <v>55097</v>
      </c>
      <c r="AP3444" s="1" t="s">
        <v>55098</v>
      </c>
      <c r="AQ3444" s="1">
        <v>82</v>
      </c>
      <c r="AR3444" s="1">
        <v>8.21</v>
      </c>
      <c r="AS3444" s="1"/>
      <c r="AT3444" s="1"/>
      <c r="AU3444" s="1"/>
      <c r="AV3444" s="1"/>
      <c r="AW3444" s="1"/>
      <c r="AX3444" s="1"/>
      <c r="AY3444" s="1" t="s">
        <v>1217</v>
      </c>
      <c r="AZ3444" s="1" t="s">
        <v>55099</v>
      </c>
      <c r="BA3444" s="1"/>
      <c r="BB3444" s="1"/>
      <c r="BC3444" s="1" t="s">
        <v>54159</v>
      </c>
      <c r="BD3444" s="1" t="s">
        <v>51845</v>
      </c>
      <c r="BE3444" s="1">
        <v>78</v>
      </c>
      <c r="BF3444" s="1">
        <v>7.8</v>
      </c>
      <c r="BG3444" s="1"/>
      <c r="BH3444" s="1"/>
      <c r="BI3444" s="1"/>
      <c r="BJ3444" s="1"/>
      <c r="BK3444" s="1"/>
      <c r="BL3444" s="1"/>
      <c r="BM3444" s="1"/>
      <c r="BN3444" s="1"/>
      <c r="BO3444" s="1" t="s">
        <v>369</v>
      </c>
      <c r="BP3444" s="1"/>
      <c r="BQ3444" s="1"/>
      <c r="BR3444" s="1" t="s">
        <v>55100</v>
      </c>
      <c r="BS3444" s="1">
        <v>8</v>
      </c>
      <c r="BT3444" s="1"/>
      <c r="BU3444" s="1" t="str">
        <f>HYPERLINK("https://nconnect.nicmar.ac.in/storage/profile/2021-2023_AP21507_963451.jpg","Download")</f>
        <v>0</v>
      </c>
      <c r="BV3444" s="3"/>
      <c r="BW3444" s="3"/>
    </row>
    <row r="3445" spans="1:75">
      <c r="A3445" s="1" t="s">
        <v>51340</v>
      </c>
      <c r="B3445" s="1" t="s">
        <v>51341</v>
      </c>
      <c r="C3445" s="1" t="s">
        <v>55101</v>
      </c>
      <c r="D3445" s="1" t="s">
        <v>42316</v>
      </c>
      <c r="E3445" s="1"/>
      <c r="F3445" s="1" t="s">
        <v>30424</v>
      </c>
      <c r="G3445" s="1" t="s">
        <v>55102</v>
      </c>
      <c r="H3445" s="1" t="s">
        <v>55103</v>
      </c>
      <c r="I3445" s="1" t="s">
        <v>55104</v>
      </c>
      <c r="J3445" s="1">
        <v>7902983431</v>
      </c>
      <c r="K3445" s="1" t="s">
        <v>84</v>
      </c>
      <c r="L3445" s="1" t="s">
        <v>28354</v>
      </c>
      <c r="M3445" s="1" t="s">
        <v>86</v>
      </c>
      <c r="N3445" s="1" t="s">
        <v>33739</v>
      </c>
      <c r="O3445" s="1"/>
      <c r="P3445" s="1" t="s">
        <v>455</v>
      </c>
      <c r="Q3445" s="1" t="s">
        <v>55105</v>
      </c>
      <c r="R3445" s="1" t="s">
        <v>55106</v>
      </c>
      <c r="S3445" s="1">
        <v>9495874917</v>
      </c>
      <c r="T3445" s="1" t="s">
        <v>539</v>
      </c>
      <c r="U3445" s="1" t="s">
        <v>55107</v>
      </c>
      <c r="V3445" s="1">
        <v>9495395972</v>
      </c>
      <c r="W3445" s="1" t="s">
        <v>127</v>
      </c>
      <c r="X3445" s="1" t="s">
        <v>55108</v>
      </c>
      <c r="Y3445" s="1" t="s">
        <v>701</v>
      </c>
      <c r="Z3445" s="1" t="s">
        <v>130</v>
      </c>
      <c r="AA3445" s="1" t="s">
        <v>55108</v>
      </c>
      <c r="AB3445" s="1" t="s">
        <v>701</v>
      </c>
      <c r="AC3445" s="1" t="s">
        <v>130</v>
      </c>
      <c r="AD3445" s="1" t="s">
        <v>98</v>
      </c>
      <c r="AE3445" s="1" t="s">
        <v>98</v>
      </c>
      <c r="AF3445" s="1" t="s">
        <v>55109</v>
      </c>
      <c r="AG3445" s="1" t="s">
        <v>775</v>
      </c>
      <c r="AH3445" s="1">
        <v>41760</v>
      </c>
      <c r="AI3445" s="1">
        <v>42124</v>
      </c>
      <c r="AJ3445" s="1">
        <v>79.8</v>
      </c>
      <c r="AK3445" s="1">
        <v>8.4</v>
      </c>
      <c r="AL3445" s="1" t="s">
        <v>55110</v>
      </c>
      <c r="AM3445" s="1" t="s">
        <v>55111</v>
      </c>
      <c r="AN3445" s="1"/>
      <c r="AO3445" s="1">
        <v>42461</v>
      </c>
      <c r="AP3445" s="1">
        <v>42816</v>
      </c>
      <c r="AQ3445" s="1">
        <v>85.33</v>
      </c>
      <c r="AR3445" s="1"/>
      <c r="AS3445" s="1"/>
      <c r="AT3445" s="1"/>
      <c r="AU3445" s="1" t="s">
        <v>98</v>
      </c>
      <c r="AV3445" s="1" t="s">
        <v>98</v>
      </c>
      <c r="AW3445" s="1" t="s">
        <v>98</v>
      </c>
      <c r="AX3445" s="1" t="s">
        <v>98</v>
      </c>
      <c r="AY3445" s="1" t="s">
        <v>137</v>
      </c>
      <c r="AZ3445" s="1" t="s">
        <v>55112</v>
      </c>
      <c r="BA3445" s="1"/>
      <c r="BB3445" s="1"/>
      <c r="BC3445" s="1">
        <v>42949</v>
      </c>
      <c r="BD3445" s="1">
        <v>44377</v>
      </c>
      <c r="BE3445" s="1">
        <v>78.05</v>
      </c>
      <c r="BF3445" s="1">
        <v>8.18</v>
      </c>
      <c r="BG3445" s="1"/>
      <c r="BH3445" s="1"/>
      <c r="BI3445" s="1"/>
      <c r="BJ3445" s="1"/>
      <c r="BK3445" s="1" t="s">
        <v>98</v>
      </c>
      <c r="BL3445" s="1" t="s">
        <v>98</v>
      </c>
      <c r="BM3445" s="1" t="s">
        <v>98</v>
      </c>
      <c r="BN3445" s="1" t="s">
        <v>98</v>
      </c>
      <c r="BO3445" s="1" t="s">
        <v>1114</v>
      </c>
      <c r="BP3445" s="1"/>
      <c r="BQ3445" s="1"/>
      <c r="BR3445" s="1" t="s">
        <v>55113</v>
      </c>
      <c r="BS3445" s="1">
        <v>14</v>
      </c>
      <c r="BT3445" s="1"/>
      <c r="BU3445" s="1" t="str">
        <f>HYPERLINK("https://nconnect.nicmar.ac.in/storage/profile/2021-2023_AP21232_137295.jpg","Download")</f>
        <v>0</v>
      </c>
      <c r="BV3445" s="3"/>
      <c r="BW3445" s="3"/>
    </row>
    <row r="3446" spans="1:75">
      <c r="A3446" s="1" t="s">
        <v>51340</v>
      </c>
      <c r="B3446" s="1" t="s">
        <v>51341</v>
      </c>
      <c r="C3446" s="1" t="s">
        <v>55114</v>
      </c>
      <c r="D3446" s="1" t="s">
        <v>39400</v>
      </c>
      <c r="E3446" s="1"/>
      <c r="F3446" s="1" t="s">
        <v>55115</v>
      </c>
      <c r="G3446" s="1" t="s">
        <v>55116</v>
      </c>
      <c r="H3446" s="1" t="s">
        <v>55117</v>
      </c>
      <c r="I3446" s="1" t="s">
        <v>55118</v>
      </c>
      <c r="J3446" s="1">
        <v>8600305057</v>
      </c>
      <c r="K3446" s="1" t="s">
        <v>153</v>
      </c>
      <c r="L3446" s="1" t="s">
        <v>28766</v>
      </c>
      <c r="M3446" s="1" t="s">
        <v>86</v>
      </c>
      <c r="N3446" s="1" t="s">
        <v>246</v>
      </c>
      <c r="O3446" s="1"/>
      <c r="P3446" s="1" t="s">
        <v>481</v>
      </c>
      <c r="Q3446" s="1" t="s">
        <v>55119</v>
      </c>
      <c r="R3446" s="1" t="s">
        <v>55120</v>
      </c>
      <c r="S3446" s="1">
        <v>7597724779</v>
      </c>
      <c r="T3446" s="1" t="s">
        <v>26388</v>
      </c>
      <c r="U3446" s="1" t="s">
        <v>55121</v>
      </c>
      <c r="V3446" s="1">
        <v>9414678874</v>
      </c>
      <c r="W3446" s="1" t="s">
        <v>908</v>
      </c>
      <c r="X3446" s="1" t="s">
        <v>55122</v>
      </c>
      <c r="Y3446" s="1" t="s">
        <v>196</v>
      </c>
      <c r="Z3446" s="1" t="s">
        <v>97</v>
      </c>
      <c r="AA3446" s="1" t="s">
        <v>55122</v>
      </c>
      <c r="AB3446" s="1" t="s">
        <v>196</v>
      </c>
      <c r="AC3446" s="1" t="s">
        <v>97</v>
      </c>
      <c r="AD3446" s="1" t="s">
        <v>98</v>
      </c>
      <c r="AE3446" s="1" t="s">
        <v>98</v>
      </c>
      <c r="AF3446" s="1" t="s">
        <v>55123</v>
      </c>
      <c r="AG3446" s="1" t="s">
        <v>312</v>
      </c>
      <c r="AH3446" s="1">
        <v>41000</v>
      </c>
      <c r="AI3446" s="1" t="s">
        <v>55124</v>
      </c>
      <c r="AJ3446" s="1">
        <v>77.9</v>
      </c>
      <c r="AK3446" s="1">
        <v>8.2</v>
      </c>
      <c r="AL3446" s="1" t="s">
        <v>55123</v>
      </c>
      <c r="AM3446" s="1" t="s">
        <v>312</v>
      </c>
      <c r="AN3446" s="1"/>
      <c r="AO3446" s="1">
        <v>41730</v>
      </c>
      <c r="AP3446" s="1" t="s">
        <v>55125</v>
      </c>
      <c r="AQ3446" s="1">
        <v>67.2</v>
      </c>
      <c r="AR3446" s="1"/>
      <c r="AS3446" s="1"/>
      <c r="AT3446" s="1"/>
      <c r="AU3446" s="1" t="s">
        <v>98</v>
      </c>
      <c r="AV3446" s="1" t="s">
        <v>98</v>
      </c>
      <c r="AW3446" s="1" t="s">
        <v>98</v>
      </c>
      <c r="AX3446" s="1" t="s">
        <v>98</v>
      </c>
      <c r="AY3446" s="1" t="s">
        <v>55126</v>
      </c>
      <c r="AZ3446" s="1" t="s">
        <v>55127</v>
      </c>
      <c r="BA3446" s="1"/>
      <c r="BB3446" s="1"/>
      <c r="BC3446" s="1">
        <v>42217</v>
      </c>
      <c r="BD3446" s="1">
        <v>44104</v>
      </c>
      <c r="BE3446" s="1">
        <v>66</v>
      </c>
      <c r="BF3446" s="1"/>
      <c r="BG3446" s="1"/>
      <c r="BH3446" s="1"/>
      <c r="BI3446" s="1"/>
      <c r="BJ3446" s="1"/>
      <c r="BK3446" s="1" t="s">
        <v>98</v>
      </c>
      <c r="BL3446" s="1" t="s">
        <v>98</v>
      </c>
      <c r="BM3446" s="1" t="s">
        <v>98</v>
      </c>
      <c r="BN3446" s="1" t="s">
        <v>98</v>
      </c>
      <c r="BO3446" s="1" t="s">
        <v>55128</v>
      </c>
      <c r="BP3446" s="1" t="s">
        <v>55129</v>
      </c>
      <c r="BQ3446" s="1" t="s">
        <v>1043</v>
      </c>
      <c r="BR3446" s="1" t="s">
        <v>55130</v>
      </c>
      <c r="BS3446" s="1">
        <v>53</v>
      </c>
      <c r="BT3446" s="1"/>
      <c r="BU3446" s="1" t="str">
        <f>HYPERLINK("https://nconnect.nicmar.ac.in/storage/profile/2021-2023_AP21233_784623.jpg","Download")</f>
        <v>0</v>
      </c>
      <c r="BV3446" s="3"/>
      <c r="BW3446" s="3"/>
    </row>
    <row r="3447" spans="1:75">
      <c r="A3447" s="1" t="s">
        <v>51340</v>
      </c>
      <c r="B3447" s="1" t="s">
        <v>51341</v>
      </c>
      <c r="C3447" s="1" t="s">
        <v>55131</v>
      </c>
      <c r="D3447" s="1" t="s">
        <v>7668</v>
      </c>
      <c r="E3447" s="1"/>
      <c r="F3447" s="1" t="s">
        <v>11754</v>
      </c>
      <c r="G3447" s="1" t="s">
        <v>55132</v>
      </c>
      <c r="H3447" s="1" t="s">
        <v>55133</v>
      </c>
      <c r="I3447" s="1" t="s">
        <v>55134</v>
      </c>
      <c r="J3447" s="1">
        <v>7000210336</v>
      </c>
      <c r="K3447" s="1" t="s">
        <v>84</v>
      </c>
      <c r="L3447" s="1" t="s">
        <v>55135</v>
      </c>
      <c r="M3447" s="1" t="s">
        <v>86</v>
      </c>
      <c r="N3447" s="1" t="s">
        <v>379</v>
      </c>
      <c r="O3447" s="1"/>
      <c r="P3447" s="1" t="s">
        <v>481</v>
      </c>
      <c r="Q3447" s="1" t="s">
        <v>55136</v>
      </c>
      <c r="R3447" s="1" t="s">
        <v>55137</v>
      </c>
      <c r="S3447" s="1">
        <v>9424256380</v>
      </c>
      <c r="T3447" s="1" t="s">
        <v>539</v>
      </c>
      <c r="U3447" s="1" t="s">
        <v>55138</v>
      </c>
      <c r="V3447" s="1">
        <v>9584939212</v>
      </c>
      <c r="W3447" s="1" t="s">
        <v>94</v>
      </c>
      <c r="X3447" s="1" t="s">
        <v>55139</v>
      </c>
      <c r="Y3447" s="1" t="s">
        <v>55140</v>
      </c>
      <c r="Z3447" s="1" t="s">
        <v>2933</v>
      </c>
      <c r="AA3447" s="1" t="s">
        <v>55141</v>
      </c>
      <c r="AB3447" s="1" t="s">
        <v>55140</v>
      </c>
      <c r="AC3447" s="1" t="s">
        <v>2933</v>
      </c>
      <c r="AD3447" s="1" t="s">
        <v>98</v>
      </c>
      <c r="AE3447" s="1" t="s">
        <v>98</v>
      </c>
      <c r="AF3447" s="1" t="s">
        <v>42722</v>
      </c>
      <c r="AG3447" s="1" t="s">
        <v>55142</v>
      </c>
      <c r="AH3447" s="1">
        <v>40345</v>
      </c>
      <c r="AI3447" s="1">
        <v>40694</v>
      </c>
      <c r="AJ3447" s="1">
        <v>59.66</v>
      </c>
      <c r="AK3447" s="1"/>
      <c r="AL3447" s="1" t="s">
        <v>42722</v>
      </c>
      <c r="AM3447" s="1" t="s">
        <v>55142</v>
      </c>
      <c r="AN3447" s="1"/>
      <c r="AO3447" s="1">
        <v>41076</v>
      </c>
      <c r="AP3447" s="1">
        <v>41425</v>
      </c>
      <c r="AQ3447" s="1">
        <v>62.6</v>
      </c>
      <c r="AR3447" s="1"/>
      <c r="AS3447" s="1"/>
      <c r="AT3447" s="1"/>
      <c r="AU3447" s="1" t="s">
        <v>98</v>
      </c>
      <c r="AV3447" s="1" t="s">
        <v>98</v>
      </c>
      <c r="AW3447" s="1" t="s">
        <v>98</v>
      </c>
      <c r="AX3447" s="1" t="s">
        <v>98</v>
      </c>
      <c r="AY3447" s="1" t="s">
        <v>5224</v>
      </c>
      <c r="AZ3447" s="1" t="s">
        <v>55143</v>
      </c>
      <c r="BA3447" s="1"/>
      <c r="BB3447" s="1"/>
      <c r="BC3447" s="1">
        <v>41487</v>
      </c>
      <c r="BD3447" s="1" t="s">
        <v>55144</v>
      </c>
      <c r="BE3447" s="1">
        <v>62.7</v>
      </c>
      <c r="BF3447" s="1">
        <v>6.27</v>
      </c>
      <c r="BG3447" s="1"/>
      <c r="BH3447" s="1"/>
      <c r="BI3447" s="1"/>
      <c r="BJ3447" s="1"/>
      <c r="BK3447" s="1" t="s">
        <v>98</v>
      </c>
      <c r="BL3447" s="1" t="s">
        <v>98</v>
      </c>
      <c r="BM3447" s="1" t="s">
        <v>98</v>
      </c>
      <c r="BN3447" s="1" t="s">
        <v>98</v>
      </c>
      <c r="BO3447" s="1" t="s">
        <v>1315</v>
      </c>
      <c r="BP3447" s="1"/>
      <c r="BQ3447" s="1"/>
      <c r="BR3447" s="1" t="s">
        <v>55145</v>
      </c>
      <c r="BS3447" s="1">
        <v>48</v>
      </c>
      <c r="BT3447" s="1"/>
      <c r="BU3447" s="1" t="str">
        <f>HYPERLINK("https://nconnect.nicmar.ac.in/storage/profile/2021-2023_AP21234_379216.jpg","Download")</f>
        <v>0</v>
      </c>
      <c r="BV3447" s="3"/>
      <c r="BW3447" s="3"/>
    </row>
    <row r="3448" spans="1:75">
      <c r="A3448" s="1" t="s">
        <v>51340</v>
      </c>
      <c r="B3448" s="1" t="s">
        <v>51341</v>
      </c>
      <c r="C3448" s="1" t="s">
        <v>55146</v>
      </c>
      <c r="D3448" s="1" t="s">
        <v>55147</v>
      </c>
      <c r="E3448" s="1"/>
      <c r="F3448" s="1" t="s">
        <v>55148</v>
      </c>
      <c r="G3448" s="1" t="s">
        <v>55149</v>
      </c>
      <c r="H3448" s="1" t="s">
        <v>55150</v>
      </c>
      <c r="I3448" s="1" t="s">
        <v>55151</v>
      </c>
      <c r="J3448" s="1">
        <v>9951678238</v>
      </c>
      <c r="K3448" s="1" t="s">
        <v>84</v>
      </c>
      <c r="L3448" s="1" t="s">
        <v>10300</v>
      </c>
      <c r="M3448" s="1" t="s">
        <v>86</v>
      </c>
      <c r="N3448" s="1" t="s">
        <v>3026</v>
      </c>
      <c r="O3448" s="1"/>
      <c r="P3448" s="1" t="s">
        <v>481</v>
      </c>
      <c r="Q3448" s="1" t="s">
        <v>55152</v>
      </c>
      <c r="R3448" s="1" t="s">
        <v>55153</v>
      </c>
      <c r="S3448" s="1">
        <v>9652672248</v>
      </c>
      <c r="T3448" s="1" t="s">
        <v>55154</v>
      </c>
      <c r="U3448" s="1" t="s">
        <v>55155</v>
      </c>
      <c r="V3448" s="1">
        <v>6302897495</v>
      </c>
      <c r="W3448" s="1" t="s">
        <v>94</v>
      </c>
      <c r="X3448" s="1" t="s">
        <v>55156</v>
      </c>
      <c r="Y3448" s="1" t="s">
        <v>1454</v>
      </c>
      <c r="Z3448" s="1" t="s">
        <v>281</v>
      </c>
      <c r="AA3448" s="1" t="s">
        <v>55157</v>
      </c>
      <c r="AB3448" s="1" t="s">
        <v>1454</v>
      </c>
      <c r="AC3448" s="1" t="s">
        <v>281</v>
      </c>
      <c r="AD3448" s="1" t="s">
        <v>98</v>
      </c>
      <c r="AE3448" s="1" t="s">
        <v>98</v>
      </c>
      <c r="AF3448" s="1" t="s">
        <v>55158</v>
      </c>
      <c r="AG3448" s="1" t="s">
        <v>32067</v>
      </c>
      <c r="AH3448" s="1">
        <v>40695</v>
      </c>
      <c r="AI3448" s="1">
        <v>41053</v>
      </c>
      <c r="AJ3448" s="1">
        <v>85.5</v>
      </c>
      <c r="AK3448" s="1">
        <v>9</v>
      </c>
      <c r="AL3448" s="1" t="s">
        <v>98</v>
      </c>
      <c r="AM3448" s="1" t="s">
        <v>98</v>
      </c>
      <c r="AN3448" s="1"/>
      <c r="AO3448" s="1" t="s">
        <v>98</v>
      </c>
      <c r="AP3448" s="1" t="s">
        <v>98</v>
      </c>
      <c r="AQ3448" s="1"/>
      <c r="AR3448" s="1"/>
      <c r="AS3448" s="1" t="s">
        <v>439</v>
      </c>
      <c r="AT3448" s="1" t="s">
        <v>55159</v>
      </c>
      <c r="AU3448" s="1">
        <v>41091</v>
      </c>
      <c r="AV3448" s="1">
        <v>42125</v>
      </c>
      <c r="AW3448" s="1">
        <v>87.75</v>
      </c>
      <c r="AX3448" s="1"/>
      <c r="AY3448" s="1" t="s">
        <v>11536</v>
      </c>
      <c r="AZ3448" s="1" t="s">
        <v>55160</v>
      </c>
      <c r="BA3448" s="1"/>
      <c r="BB3448" s="1"/>
      <c r="BC3448" s="1">
        <v>42208</v>
      </c>
      <c r="BD3448" s="1">
        <v>43220</v>
      </c>
      <c r="BE3448" s="1">
        <v>84.6</v>
      </c>
      <c r="BF3448" s="1">
        <v>8.46</v>
      </c>
      <c r="BG3448" s="1"/>
      <c r="BH3448" s="1"/>
      <c r="BI3448" s="1"/>
      <c r="BJ3448" s="1"/>
      <c r="BK3448" s="1" t="s">
        <v>98</v>
      </c>
      <c r="BL3448" s="1" t="s">
        <v>98</v>
      </c>
      <c r="BM3448" s="1" t="s">
        <v>98</v>
      </c>
      <c r="BN3448" s="1" t="s">
        <v>98</v>
      </c>
      <c r="BO3448" s="1" t="s">
        <v>55161</v>
      </c>
      <c r="BP3448" s="1" t="s">
        <v>55162</v>
      </c>
      <c r="BQ3448" s="1" t="s">
        <v>55163</v>
      </c>
      <c r="BR3448" s="1" t="s">
        <v>55164</v>
      </c>
      <c r="BS3448" s="1">
        <v>38</v>
      </c>
      <c r="BT3448" s="1"/>
      <c r="BU3448" s="1" t="str">
        <f>HYPERLINK("https://nconnect.nicmar.ac.in/storage/profile/2021-2023_AP21235_561749.JPG","Download")</f>
        <v>0</v>
      </c>
      <c r="BV3448" s="3"/>
      <c r="BW3448" s="3"/>
    </row>
    <row r="3449" spans="1:75">
      <c r="A3449" s="1" t="s">
        <v>51340</v>
      </c>
      <c r="B3449" s="1" t="s">
        <v>51341</v>
      </c>
      <c r="C3449" s="1" t="s">
        <v>55165</v>
      </c>
      <c r="D3449" s="1" t="s">
        <v>11350</v>
      </c>
      <c r="E3449" s="1"/>
      <c r="F3449" s="1" t="s">
        <v>55166</v>
      </c>
      <c r="G3449" s="1" t="s">
        <v>55167</v>
      </c>
      <c r="H3449" s="1" t="s">
        <v>55168</v>
      </c>
      <c r="I3449" s="1" t="s">
        <v>55169</v>
      </c>
      <c r="J3449" s="1">
        <v>9799265224</v>
      </c>
      <c r="K3449" s="1" t="s">
        <v>84</v>
      </c>
      <c r="L3449" s="1" t="s">
        <v>25379</v>
      </c>
      <c r="M3449" s="1" t="s">
        <v>86</v>
      </c>
      <c r="N3449" s="1" t="s">
        <v>13274</v>
      </c>
      <c r="O3449" s="1"/>
      <c r="P3449" s="1" t="s">
        <v>2062</v>
      </c>
      <c r="Q3449" s="1" t="s">
        <v>55170</v>
      </c>
      <c r="R3449" s="1" t="s">
        <v>55171</v>
      </c>
      <c r="S3449" s="1">
        <v>9001820303</v>
      </c>
      <c r="T3449" s="1" t="s">
        <v>839</v>
      </c>
      <c r="U3449" s="1" t="s">
        <v>55172</v>
      </c>
      <c r="V3449" s="1">
        <v>7297042293</v>
      </c>
      <c r="W3449" s="1" t="s">
        <v>94</v>
      </c>
      <c r="X3449" s="1" t="s">
        <v>55173</v>
      </c>
      <c r="Y3449" s="1" t="s">
        <v>21151</v>
      </c>
      <c r="Z3449" s="1" t="s">
        <v>2153</v>
      </c>
      <c r="AA3449" s="1" t="s">
        <v>55174</v>
      </c>
      <c r="AB3449" s="1" t="s">
        <v>21151</v>
      </c>
      <c r="AC3449" s="1" t="s">
        <v>2153</v>
      </c>
      <c r="AD3449" s="1" t="s">
        <v>98</v>
      </c>
      <c r="AE3449" s="1" t="s">
        <v>98</v>
      </c>
      <c r="AF3449" s="1" t="s">
        <v>37117</v>
      </c>
      <c r="AG3449" s="1" t="s">
        <v>312</v>
      </c>
      <c r="AH3449" s="1" t="s">
        <v>254</v>
      </c>
      <c r="AI3449" s="1" t="s">
        <v>134</v>
      </c>
      <c r="AJ3449" s="1">
        <v>81.7</v>
      </c>
      <c r="AK3449" s="1">
        <v>8.6</v>
      </c>
      <c r="AL3449" s="1" t="s">
        <v>55175</v>
      </c>
      <c r="AM3449" s="1" t="s">
        <v>38536</v>
      </c>
      <c r="AN3449" s="1"/>
      <c r="AO3449" s="1" t="s">
        <v>342</v>
      </c>
      <c r="AP3449" s="1" t="s">
        <v>627</v>
      </c>
      <c r="AQ3449" s="1">
        <v>71.8</v>
      </c>
      <c r="AR3449" s="1">
        <v>7.56</v>
      </c>
      <c r="AS3449" s="1"/>
      <c r="AT3449" s="1"/>
      <c r="AU3449" s="1" t="s">
        <v>98</v>
      </c>
      <c r="AV3449" s="1" t="s">
        <v>98</v>
      </c>
      <c r="AW3449" s="1" t="s">
        <v>98</v>
      </c>
      <c r="AX3449" s="1" t="s">
        <v>98</v>
      </c>
      <c r="AY3449" s="1" t="s">
        <v>51412</v>
      </c>
      <c r="AZ3449" s="1" t="s">
        <v>55176</v>
      </c>
      <c r="BA3449" s="1"/>
      <c r="BB3449" s="1"/>
      <c r="BC3449" s="1" t="s">
        <v>139</v>
      </c>
      <c r="BD3449" s="1" t="s">
        <v>233</v>
      </c>
      <c r="BE3449" s="1">
        <v>61.44</v>
      </c>
      <c r="BF3449" s="1">
        <v>6.89</v>
      </c>
      <c r="BG3449" s="1"/>
      <c r="BH3449" s="1"/>
      <c r="BI3449" s="1"/>
      <c r="BJ3449" s="1"/>
      <c r="BK3449" s="1" t="s">
        <v>98</v>
      </c>
      <c r="BL3449" s="1" t="s">
        <v>98</v>
      </c>
      <c r="BM3449" s="1" t="s">
        <v>98</v>
      </c>
      <c r="BN3449" s="1" t="s">
        <v>98</v>
      </c>
      <c r="BO3449" s="1" t="s">
        <v>55177</v>
      </c>
      <c r="BP3449" s="1"/>
      <c r="BQ3449" s="1"/>
      <c r="BR3449" s="1" t="s">
        <v>55178</v>
      </c>
      <c r="BS3449" s="1">
        <v>22</v>
      </c>
      <c r="BT3449" s="1"/>
      <c r="BU3449" s="1" t="str">
        <f>HYPERLINK("https://nconnect.nicmar.ac.in/storage/profile/2021-2023_AP21236_578326.jpg","Download")</f>
        <v>0</v>
      </c>
      <c r="BV3449" s="3"/>
      <c r="BW3449" s="3"/>
    </row>
    <row r="3450" spans="1:75">
      <c r="A3450" s="1" t="s">
        <v>51340</v>
      </c>
      <c r="B3450" s="1" t="s">
        <v>51341</v>
      </c>
      <c r="C3450" s="1" t="s">
        <v>55179</v>
      </c>
      <c r="D3450" s="1" t="s">
        <v>55180</v>
      </c>
      <c r="E3450" s="1" t="s">
        <v>2098</v>
      </c>
      <c r="F3450" s="1" t="s">
        <v>55181</v>
      </c>
      <c r="G3450" s="1" t="s">
        <v>55182</v>
      </c>
      <c r="H3450" s="1" t="s">
        <v>55183</v>
      </c>
      <c r="I3450" s="1" t="s">
        <v>55184</v>
      </c>
      <c r="J3450" s="1">
        <v>8469127694</v>
      </c>
      <c r="K3450" s="1" t="s">
        <v>84</v>
      </c>
      <c r="L3450" s="1" t="s">
        <v>17281</v>
      </c>
      <c r="M3450" s="1" t="s">
        <v>86</v>
      </c>
      <c r="N3450" s="1" t="s">
        <v>6641</v>
      </c>
      <c r="O3450" s="1"/>
      <c r="P3450" s="1" t="s">
        <v>507</v>
      </c>
      <c r="Q3450" s="1" t="s">
        <v>55185</v>
      </c>
      <c r="R3450" s="1" t="s">
        <v>55186</v>
      </c>
      <c r="S3450" s="1">
        <v>9825076999</v>
      </c>
      <c r="T3450" s="1" t="s">
        <v>55187</v>
      </c>
      <c r="U3450" s="1" t="s">
        <v>55188</v>
      </c>
      <c r="V3450" s="1">
        <v>9727863658</v>
      </c>
      <c r="W3450" s="1" t="s">
        <v>161</v>
      </c>
      <c r="X3450" s="1" t="s">
        <v>55189</v>
      </c>
      <c r="Y3450" s="1" t="s">
        <v>14319</v>
      </c>
      <c r="Z3450" s="1" t="s">
        <v>676</v>
      </c>
      <c r="AA3450" s="1" t="s">
        <v>55189</v>
      </c>
      <c r="AB3450" s="1" t="s">
        <v>14319</v>
      </c>
      <c r="AC3450" s="1" t="s">
        <v>676</v>
      </c>
      <c r="AD3450" s="1" t="s">
        <v>98</v>
      </c>
      <c r="AE3450" s="1" t="s">
        <v>98</v>
      </c>
      <c r="AF3450" s="1" t="s">
        <v>52811</v>
      </c>
      <c r="AG3450" s="1" t="s">
        <v>8746</v>
      </c>
      <c r="AH3450" s="1">
        <v>41438</v>
      </c>
      <c r="AI3450" s="1">
        <v>41713</v>
      </c>
      <c r="AJ3450" s="1">
        <v>82.33</v>
      </c>
      <c r="AK3450" s="1"/>
      <c r="AL3450" s="1" t="s">
        <v>28058</v>
      </c>
      <c r="AM3450" s="1" t="s">
        <v>8746</v>
      </c>
      <c r="AN3450" s="1"/>
      <c r="AO3450" s="1">
        <v>41797</v>
      </c>
      <c r="AP3450" s="1">
        <v>42447</v>
      </c>
      <c r="AQ3450" s="1">
        <v>85.23</v>
      </c>
      <c r="AR3450" s="1"/>
      <c r="AS3450" s="1"/>
      <c r="AT3450" s="1"/>
      <c r="AU3450" s="1" t="s">
        <v>98</v>
      </c>
      <c r="AV3450" s="1" t="s">
        <v>98</v>
      </c>
      <c r="AW3450" s="1" t="s">
        <v>98</v>
      </c>
      <c r="AX3450" s="1" t="s">
        <v>98</v>
      </c>
      <c r="AY3450" s="1" t="s">
        <v>55190</v>
      </c>
      <c r="AZ3450" s="1" t="s">
        <v>55191</v>
      </c>
      <c r="BA3450" s="1"/>
      <c r="BB3450" s="1"/>
      <c r="BC3450" s="1">
        <v>42588</v>
      </c>
      <c r="BD3450" s="1">
        <v>44032</v>
      </c>
      <c r="BE3450" s="1">
        <v>75.1</v>
      </c>
      <c r="BF3450" s="1">
        <v>8.01</v>
      </c>
      <c r="BG3450" s="1"/>
      <c r="BH3450" s="1"/>
      <c r="BI3450" s="1"/>
      <c r="BJ3450" s="1"/>
      <c r="BK3450" s="1" t="s">
        <v>98</v>
      </c>
      <c r="BL3450" s="1" t="s">
        <v>98</v>
      </c>
      <c r="BM3450" s="1" t="s">
        <v>98</v>
      </c>
      <c r="BN3450" s="1" t="s">
        <v>98</v>
      </c>
      <c r="BO3450" s="1" t="s">
        <v>260</v>
      </c>
      <c r="BP3450" s="1"/>
      <c r="BQ3450" s="1"/>
      <c r="BR3450" s="1" t="s">
        <v>55192</v>
      </c>
      <c r="BS3450" s="1">
        <v>21</v>
      </c>
      <c r="BT3450" s="1"/>
      <c r="BU3450" s="1" t="str">
        <f>HYPERLINK("https://nconnect.nicmar.ac.in/storage/profile/2021-2023_AP21237_931427.png","Download")</f>
        <v>0</v>
      </c>
      <c r="BV3450" s="3"/>
      <c r="BW3450" s="3"/>
    </row>
    <row r="3451" spans="1:75">
      <c r="A3451" s="1" t="s">
        <v>51340</v>
      </c>
      <c r="B3451" s="1" t="s">
        <v>51341</v>
      </c>
      <c r="C3451" s="1" t="s">
        <v>55193</v>
      </c>
      <c r="D3451" s="1" t="s">
        <v>3101</v>
      </c>
      <c r="E3451" s="1" t="s">
        <v>9234</v>
      </c>
      <c r="F3451" s="1" t="s">
        <v>31718</v>
      </c>
      <c r="G3451" s="1" t="s">
        <v>55194</v>
      </c>
      <c r="H3451" s="1" t="s">
        <v>55195</v>
      </c>
      <c r="I3451" s="1" t="s">
        <v>55196</v>
      </c>
      <c r="J3451" s="1">
        <v>8454960535</v>
      </c>
      <c r="K3451" s="1" t="s">
        <v>84</v>
      </c>
      <c r="L3451" s="1" t="s">
        <v>26281</v>
      </c>
      <c r="M3451" s="1" t="s">
        <v>86</v>
      </c>
      <c r="N3451" s="1" t="s">
        <v>1163</v>
      </c>
      <c r="O3451" s="1"/>
      <c r="P3451" s="1" t="s">
        <v>481</v>
      </c>
      <c r="Q3451" s="1" t="s">
        <v>55197</v>
      </c>
      <c r="R3451" s="1" t="s">
        <v>55198</v>
      </c>
      <c r="S3451" s="1">
        <v>9821853693</v>
      </c>
      <c r="T3451" s="1" t="s">
        <v>55199</v>
      </c>
      <c r="U3451" s="1" t="s">
        <v>55200</v>
      </c>
      <c r="V3451" s="1">
        <v>9820256994</v>
      </c>
      <c r="W3451" s="1" t="s">
        <v>276</v>
      </c>
      <c r="X3451" s="1" t="s">
        <v>55201</v>
      </c>
      <c r="Y3451" s="1" t="s">
        <v>44645</v>
      </c>
      <c r="Z3451" s="1" t="s">
        <v>97</v>
      </c>
      <c r="AA3451" s="1" t="s">
        <v>55201</v>
      </c>
      <c r="AB3451" s="1" t="s">
        <v>44645</v>
      </c>
      <c r="AC3451" s="1" t="s">
        <v>97</v>
      </c>
      <c r="AD3451" s="1" t="s">
        <v>98</v>
      </c>
      <c r="AE3451" s="1" t="s">
        <v>98</v>
      </c>
      <c r="AF3451" s="1" t="s">
        <v>55202</v>
      </c>
      <c r="AG3451" s="1" t="s">
        <v>2745</v>
      </c>
      <c r="AH3451" s="1" t="s">
        <v>101</v>
      </c>
      <c r="AI3451" s="1" t="s">
        <v>166</v>
      </c>
      <c r="AJ3451" s="1">
        <v>74.2</v>
      </c>
      <c r="AK3451" s="1"/>
      <c r="AL3451" s="1" t="s">
        <v>98</v>
      </c>
      <c r="AM3451" s="1"/>
      <c r="AN3451" s="1"/>
      <c r="AO3451" s="1" t="s">
        <v>98</v>
      </c>
      <c r="AP3451" s="1" t="s">
        <v>98</v>
      </c>
      <c r="AQ3451" s="1"/>
      <c r="AR3451" s="1"/>
      <c r="AS3451" s="1" t="s">
        <v>439</v>
      </c>
      <c r="AT3451" s="1" t="s">
        <v>55203</v>
      </c>
      <c r="AU3451" s="1" t="s">
        <v>105</v>
      </c>
      <c r="AV3451" s="1" t="s">
        <v>106</v>
      </c>
      <c r="AW3451" s="1">
        <v>79.09</v>
      </c>
      <c r="AX3451" s="1"/>
      <c r="AY3451" s="1" t="s">
        <v>258</v>
      </c>
      <c r="AZ3451" s="1" t="s">
        <v>55204</v>
      </c>
      <c r="BA3451" s="1"/>
      <c r="BB3451" s="1"/>
      <c r="BC3451" s="1" t="s">
        <v>1065</v>
      </c>
      <c r="BD3451" s="1" t="s">
        <v>549</v>
      </c>
      <c r="BE3451" s="1">
        <v>68.24</v>
      </c>
      <c r="BF3451" s="1">
        <v>7.75</v>
      </c>
      <c r="BG3451" s="1"/>
      <c r="BH3451" s="1"/>
      <c r="BI3451" s="1"/>
      <c r="BJ3451" s="1"/>
      <c r="BK3451" s="1" t="s">
        <v>98</v>
      </c>
      <c r="BL3451" s="1" t="s">
        <v>98</v>
      </c>
      <c r="BM3451" s="1" t="s">
        <v>98</v>
      </c>
      <c r="BN3451" s="1" t="s">
        <v>98</v>
      </c>
      <c r="BO3451" s="1" t="s">
        <v>55205</v>
      </c>
      <c r="BP3451" s="1"/>
      <c r="BQ3451" s="1"/>
      <c r="BR3451" s="1" t="s">
        <v>55206</v>
      </c>
      <c r="BS3451" s="1">
        <v>26</v>
      </c>
      <c r="BT3451" s="1"/>
      <c r="BU3451" s="1" t="str">
        <f>HYPERLINK("https://nconnect.nicmar.ac.in/storage/profile/2021-2023_AP21238_125738.jpg","Download")</f>
        <v>0</v>
      </c>
      <c r="BV3451" s="3"/>
      <c r="BW3451" s="3"/>
    </row>
    <row r="3452" spans="1:75">
      <c r="A3452" s="1" t="s">
        <v>51340</v>
      </c>
      <c r="B3452" s="1" t="s">
        <v>51341</v>
      </c>
      <c r="C3452" s="1" t="s">
        <v>55207</v>
      </c>
      <c r="D3452" s="1" t="s">
        <v>8904</v>
      </c>
      <c r="E3452" s="1"/>
      <c r="F3452" s="1" t="s">
        <v>55208</v>
      </c>
      <c r="G3452" s="1" t="s">
        <v>55209</v>
      </c>
      <c r="H3452" s="1" t="s">
        <v>55210</v>
      </c>
      <c r="I3452" s="1" t="s">
        <v>55211</v>
      </c>
      <c r="J3452" s="1">
        <v>8885974371</v>
      </c>
      <c r="K3452" s="1" t="s">
        <v>84</v>
      </c>
      <c r="L3452" s="1" t="s">
        <v>53003</v>
      </c>
      <c r="M3452" s="1" t="s">
        <v>86</v>
      </c>
      <c r="N3452" s="1" t="s">
        <v>3083</v>
      </c>
      <c r="O3452" s="1"/>
      <c r="P3452" s="1" t="s">
        <v>481</v>
      </c>
      <c r="Q3452" s="1" t="s">
        <v>55212</v>
      </c>
      <c r="R3452" s="1" t="s">
        <v>55213</v>
      </c>
      <c r="S3452" s="1">
        <v>7337011101</v>
      </c>
      <c r="T3452" s="1" t="s">
        <v>3693</v>
      </c>
      <c r="U3452" s="1" t="s">
        <v>55214</v>
      </c>
      <c r="V3452" s="1">
        <v>9949170105</v>
      </c>
      <c r="W3452" s="1" t="s">
        <v>3693</v>
      </c>
      <c r="X3452" s="1" t="s">
        <v>55215</v>
      </c>
      <c r="Y3452" s="1" t="s">
        <v>3031</v>
      </c>
      <c r="Z3452" s="1" t="s">
        <v>461</v>
      </c>
      <c r="AA3452" s="1" t="s">
        <v>98</v>
      </c>
      <c r="AB3452" s="1" t="s">
        <v>3031</v>
      </c>
      <c r="AC3452" s="1" t="s">
        <v>461</v>
      </c>
      <c r="AD3452" s="1" t="s">
        <v>98</v>
      </c>
      <c r="AE3452" s="1" t="s">
        <v>98</v>
      </c>
      <c r="AF3452" s="1" t="s">
        <v>55216</v>
      </c>
      <c r="AG3452" s="1" t="s">
        <v>312</v>
      </c>
      <c r="AH3452" s="1" t="s">
        <v>133</v>
      </c>
      <c r="AI3452" s="1" t="s">
        <v>134</v>
      </c>
      <c r="AJ3452" s="1">
        <v>79.8</v>
      </c>
      <c r="AK3452" s="1">
        <v>8.4</v>
      </c>
      <c r="AL3452" s="1" t="s">
        <v>3033</v>
      </c>
      <c r="AM3452" s="1" t="s">
        <v>312</v>
      </c>
      <c r="AN3452" s="1"/>
      <c r="AO3452" s="1" t="s">
        <v>101</v>
      </c>
      <c r="AP3452" s="1" t="s">
        <v>1110</v>
      </c>
      <c r="AQ3452" s="1">
        <v>76.4</v>
      </c>
      <c r="AR3452" s="1">
        <v>0</v>
      </c>
      <c r="AS3452" s="1"/>
      <c r="AT3452" s="1"/>
      <c r="AU3452" s="1" t="s">
        <v>98</v>
      </c>
      <c r="AV3452" s="1" t="s">
        <v>98</v>
      </c>
      <c r="AW3452" s="1" t="s">
        <v>98</v>
      </c>
      <c r="AX3452" s="1" t="s">
        <v>98</v>
      </c>
      <c r="AY3452" s="1" t="s">
        <v>55217</v>
      </c>
      <c r="AZ3452" s="1" t="s">
        <v>55218</v>
      </c>
      <c r="BA3452" s="1"/>
      <c r="BB3452" s="1"/>
      <c r="BC3452" s="1" t="s">
        <v>105</v>
      </c>
      <c r="BD3452" s="1" t="s">
        <v>315</v>
      </c>
      <c r="BE3452" s="1">
        <v>82.1</v>
      </c>
      <c r="BF3452" s="1">
        <v>8.71</v>
      </c>
      <c r="BG3452" s="1"/>
      <c r="BH3452" s="1"/>
      <c r="BI3452" s="1"/>
      <c r="BJ3452" s="1"/>
      <c r="BK3452" s="1" t="s">
        <v>98</v>
      </c>
      <c r="BL3452" s="1" t="s">
        <v>98</v>
      </c>
      <c r="BM3452" s="1" t="s">
        <v>98</v>
      </c>
      <c r="BN3452" s="1" t="s">
        <v>98</v>
      </c>
      <c r="BO3452" s="1" t="s">
        <v>369</v>
      </c>
      <c r="BP3452" s="1" t="s">
        <v>55219</v>
      </c>
      <c r="BQ3452" s="1" t="s">
        <v>6365</v>
      </c>
      <c r="BR3452" s="1" t="s">
        <v>55220</v>
      </c>
      <c r="BS3452" s="1">
        <v>12</v>
      </c>
      <c r="BT3452" s="1"/>
      <c r="BU3452" s="1" t="str">
        <f>HYPERLINK("https://nconnect.nicmar.ac.in/storage/profile/2021-2023_AP21239_192584.jpg","Download")</f>
        <v>0</v>
      </c>
      <c r="BV3452" s="3"/>
      <c r="BW3452" s="3"/>
    </row>
    <row r="3453" spans="1:75">
      <c r="A3453" s="1" t="s">
        <v>51340</v>
      </c>
      <c r="B3453" s="1" t="s">
        <v>51341</v>
      </c>
      <c r="C3453" s="1" t="s">
        <v>55221</v>
      </c>
      <c r="D3453" s="1" t="s">
        <v>6879</v>
      </c>
      <c r="E3453" s="1"/>
      <c r="F3453" s="1" t="s">
        <v>55222</v>
      </c>
      <c r="G3453" s="1" t="s">
        <v>55223</v>
      </c>
      <c r="H3453" s="1" t="s">
        <v>55224</v>
      </c>
      <c r="I3453" s="1" t="s">
        <v>55225</v>
      </c>
      <c r="J3453" s="1">
        <v>8917473185</v>
      </c>
      <c r="K3453" s="1" t="s">
        <v>84</v>
      </c>
      <c r="L3453" s="1" t="s">
        <v>55226</v>
      </c>
      <c r="M3453" s="1" t="s">
        <v>86</v>
      </c>
      <c r="N3453" s="1" t="s">
        <v>881</v>
      </c>
      <c r="O3453" s="1"/>
      <c r="P3453" s="1" t="s">
        <v>507</v>
      </c>
      <c r="Q3453" s="1" t="s">
        <v>55227</v>
      </c>
      <c r="R3453" s="1" t="s">
        <v>55228</v>
      </c>
      <c r="S3453" s="1">
        <v>9437050571</v>
      </c>
      <c r="T3453" s="1" t="s">
        <v>382</v>
      </c>
      <c r="U3453" s="1" t="s">
        <v>55229</v>
      </c>
      <c r="V3453" s="1">
        <v>9438386222</v>
      </c>
      <c r="W3453" s="1" t="s">
        <v>94</v>
      </c>
      <c r="X3453" s="1" t="s">
        <v>55230</v>
      </c>
      <c r="Y3453" s="1" t="s">
        <v>864</v>
      </c>
      <c r="Z3453" s="1" t="s">
        <v>865</v>
      </c>
      <c r="AA3453" s="1" t="s">
        <v>55231</v>
      </c>
      <c r="AB3453" s="1" t="s">
        <v>886</v>
      </c>
      <c r="AC3453" s="1" t="s">
        <v>865</v>
      </c>
      <c r="AD3453" s="1" t="s">
        <v>98</v>
      </c>
      <c r="AE3453" s="1" t="s">
        <v>98</v>
      </c>
      <c r="AF3453" s="1" t="s">
        <v>22725</v>
      </c>
      <c r="AG3453" s="1" t="s">
        <v>312</v>
      </c>
      <c r="AH3453" s="1" t="s">
        <v>1214</v>
      </c>
      <c r="AI3453" s="1" t="s">
        <v>136</v>
      </c>
      <c r="AJ3453" s="1">
        <v>95</v>
      </c>
      <c r="AK3453" s="1">
        <v>10</v>
      </c>
      <c r="AL3453" s="1" t="s">
        <v>22725</v>
      </c>
      <c r="AM3453" s="1" t="s">
        <v>312</v>
      </c>
      <c r="AN3453" s="1"/>
      <c r="AO3453" s="1" t="s">
        <v>284</v>
      </c>
      <c r="AP3453" s="1" t="s">
        <v>573</v>
      </c>
      <c r="AQ3453" s="1">
        <v>79.5</v>
      </c>
      <c r="AR3453" s="1"/>
      <c r="AS3453" s="1"/>
      <c r="AT3453" s="1"/>
      <c r="AU3453" s="1" t="s">
        <v>98</v>
      </c>
      <c r="AV3453" s="1" t="s">
        <v>98</v>
      </c>
      <c r="AW3453" s="1" t="s">
        <v>98</v>
      </c>
      <c r="AX3453" s="1" t="s">
        <v>98</v>
      </c>
      <c r="AY3453" s="1" t="s">
        <v>6995</v>
      </c>
      <c r="AZ3453" s="1" t="s">
        <v>55232</v>
      </c>
      <c r="BA3453" s="1"/>
      <c r="BB3453" s="1"/>
      <c r="BC3453" s="1" t="s">
        <v>230</v>
      </c>
      <c r="BD3453" s="1" t="s">
        <v>552</v>
      </c>
      <c r="BE3453" s="1">
        <v>72.5</v>
      </c>
      <c r="BF3453" s="1">
        <v>7.25</v>
      </c>
      <c r="BG3453" s="1"/>
      <c r="BH3453" s="1"/>
      <c r="BI3453" s="1"/>
      <c r="BJ3453" s="1"/>
      <c r="BK3453" s="1" t="s">
        <v>98</v>
      </c>
      <c r="BL3453" s="1" t="s">
        <v>98</v>
      </c>
      <c r="BM3453" s="1" t="s">
        <v>98</v>
      </c>
      <c r="BN3453" s="1" t="s">
        <v>98</v>
      </c>
      <c r="BO3453" s="1" t="s">
        <v>55233</v>
      </c>
      <c r="BP3453" s="1"/>
      <c r="BQ3453" s="1"/>
      <c r="BR3453" s="1" t="s">
        <v>55234</v>
      </c>
      <c r="BS3453" s="1">
        <v>10</v>
      </c>
      <c r="BT3453" s="1"/>
      <c r="BU3453" s="1" t="str">
        <f>HYPERLINK("https://nconnect.nicmar.ac.in/storage/profile/2021-2023_AP21242_654183.jpg","Download")</f>
        <v>0</v>
      </c>
      <c r="BV3453" s="3"/>
      <c r="BW3453" s="3"/>
    </row>
    <row r="3454" spans="1:75">
      <c r="A3454" s="1" t="s">
        <v>51340</v>
      </c>
      <c r="B3454" s="1" t="s">
        <v>51341</v>
      </c>
      <c r="C3454" s="1" t="s">
        <v>55235</v>
      </c>
      <c r="D3454" s="1" t="s">
        <v>55236</v>
      </c>
      <c r="E3454" s="1"/>
      <c r="F3454" s="1" t="s">
        <v>812</v>
      </c>
      <c r="G3454" s="1" t="s">
        <v>55237</v>
      </c>
      <c r="H3454" s="1" t="s">
        <v>55238</v>
      </c>
      <c r="I3454" s="1" t="s">
        <v>55239</v>
      </c>
      <c r="J3454" s="1">
        <v>9543113651</v>
      </c>
      <c r="K3454" s="1" t="s">
        <v>84</v>
      </c>
      <c r="L3454" s="1" t="s">
        <v>53999</v>
      </c>
      <c r="M3454" s="1" t="s">
        <v>86</v>
      </c>
      <c r="N3454" s="1" t="s">
        <v>41910</v>
      </c>
      <c r="O3454" s="1"/>
      <c r="P3454" s="1" t="s">
        <v>670</v>
      </c>
      <c r="Q3454" s="1" t="s">
        <v>55240</v>
      </c>
      <c r="R3454" s="1" t="s">
        <v>55241</v>
      </c>
      <c r="S3454" s="1">
        <v>9380080604</v>
      </c>
      <c r="T3454" s="1" t="s">
        <v>539</v>
      </c>
      <c r="U3454" s="1" t="s">
        <v>55242</v>
      </c>
      <c r="V3454" s="1">
        <v>9380151677</v>
      </c>
      <c r="W3454" s="1" t="s">
        <v>539</v>
      </c>
      <c r="X3454" s="1" t="s">
        <v>55243</v>
      </c>
      <c r="Y3454" s="1" t="s">
        <v>1498</v>
      </c>
      <c r="Z3454" s="1" t="s">
        <v>570</v>
      </c>
      <c r="AA3454" s="1" t="s">
        <v>55243</v>
      </c>
      <c r="AB3454" s="1" t="s">
        <v>1498</v>
      </c>
      <c r="AC3454" s="1" t="s">
        <v>570</v>
      </c>
      <c r="AD3454" s="1" t="s">
        <v>98</v>
      </c>
      <c r="AE3454" s="1" t="s">
        <v>98</v>
      </c>
      <c r="AF3454" s="1" t="s">
        <v>55244</v>
      </c>
      <c r="AG3454" s="1" t="s">
        <v>312</v>
      </c>
      <c r="AH3454" s="1">
        <v>41064</v>
      </c>
      <c r="AI3454" s="1">
        <v>41420</v>
      </c>
      <c r="AJ3454" s="1">
        <v>95</v>
      </c>
      <c r="AK3454" s="1">
        <v>10</v>
      </c>
      <c r="AL3454" s="1" t="s">
        <v>55245</v>
      </c>
      <c r="AM3454" s="1" t="s">
        <v>312</v>
      </c>
      <c r="AN3454" s="1"/>
      <c r="AO3454" s="1">
        <v>41799</v>
      </c>
      <c r="AP3454" s="1">
        <v>42149</v>
      </c>
      <c r="AQ3454" s="1">
        <v>94.4</v>
      </c>
      <c r="AR3454" s="1"/>
      <c r="AS3454" s="1"/>
      <c r="AT3454" s="1"/>
      <c r="AU3454" s="1" t="s">
        <v>98</v>
      </c>
      <c r="AV3454" s="1" t="s">
        <v>98</v>
      </c>
      <c r="AW3454" s="1" t="s">
        <v>98</v>
      </c>
      <c r="AX3454" s="1" t="s">
        <v>98</v>
      </c>
      <c r="AY3454" s="1" t="s">
        <v>576</v>
      </c>
      <c r="AZ3454" s="1" t="s">
        <v>31385</v>
      </c>
      <c r="BA3454" s="1"/>
      <c r="BB3454" s="1"/>
      <c r="BC3454" s="1">
        <v>42618</v>
      </c>
      <c r="BD3454" s="1">
        <v>43944</v>
      </c>
      <c r="BE3454" s="1">
        <v>78.8</v>
      </c>
      <c r="BF3454" s="1">
        <v>7.88</v>
      </c>
      <c r="BG3454" s="1"/>
      <c r="BH3454" s="1"/>
      <c r="BI3454" s="1"/>
      <c r="BJ3454" s="1"/>
      <c r="BK3454" s="1" t="s">
        <v>98</v>
      </c>
      <c r="BL3454" s="1" t="s">
        <v>98</v>
      </c>
      <c r="BM3454" s="1" t="s">
        <v>98</v>
      </c>
      <c r="BN3454" s="1" t="s">
        <v>98</v>
      </c>
      <c r="BO3454" s="1" t="s">
        <v>55246</v>
      </c>
      <c r="BP3454" s="1"/>
      <c r="BQ3454" s="1"/>
      <c r="BR3454" s="1" t="s">
        <v>55247</v>
      </c>
      <c r="BS3454" s="1">
        <v>7</v>
      </c>
      <c r="BT3454" s="1"/>
      <c r="BU3454" s="1" t="str">
        <f>HYPERLINK("https://nconnect.nicmar.ac.in/storage/profile/2021-2023_AP21243_251637.jpg","Download")</f>
        <v>0</v>
      </c>
      <c r="BV3454" s="3"/>
      <c r="BW3454" s="3"/>
    </row>
    <row r="3455" spans="1:75">
      <c r="A3455" s="1" t="s">
        <v>51340</v>
      </c>
      <c r="B3455" s="1" t="s">
        <v>51341</v>
      </c>
      <c r="C3455" s="1" t="s">
        <v>55248</v>
      </c>
      <c r="D3455" s="1" t="s">
        <v>55249</v>
      </c>
      <c r="E3455" s="1"/>
      <c r="F3455" s="1" t="s">
        <v>55250</v>
      </c>
      <c r="G3455" s="1" t="s">
        <v>55251</v>
      </c>
      <c r="H3455" s="1" t="s">
        <v>55252</v>
      </c>
      <c r="I3455" s="1" t="s">
        <v>55253</v>
      </c>
      <c r="J3455" s="1">
        <v>7019175156</v>
      </c>
      <c r="K3455" s="1" t="s">
        <v>84</v>
      </c>
      <c r="L3455" s="1" t="s">
        <v>55254</v>
      </c>
      <c r="M3455" s="1" t="s">
        <v>86</v>
      </c>
      <c r="N3455" s="1" t="s">
        <v>246</v>
      </c>
      <c r="O3455" s="1"/>
      <c r="P3455" s="1" t="s">
        <v>670</v>
      </c>
      <c r="Q3455" s="1" t="s">
        <v>55255</v>
      </c>
      <c r="R3455" s="1" t="s">
        <v>55256</v>
      </c>
      <c r="S3455" s="1">
        <v>9934762256</v>
      </c>
      <c r="T3455" s="1" t="s">
        <v>55257</v>
      </c>
      <c r="U3455" s="1" t="s">
        <v>55258</v>
      </c>
      <c r="V3455" s="1">
        <v>9308712881</v>
      </c>
      <c r="W3455" s="1" t="s">
        <v>94</v>
      </c>
      <c r="X3455" s="1" t="s">
        <v>55259</v>
      </c>
      <c r="Y3455" s="1" t="s">
        <v>648</v>
      </c>
      <c r="Z3455" s="1" t="s">
        <v>649</v>
      </c>
      <c r="AA3455" s="1" t="s">
        <v>55259</v>
      </c>
      <c r="AB3455" s="1" t="s">
        <v>648</v>
      </c>
      <c r="AC3455" s="1" t="s">
        <v>649</v>
      </c>
      <c r="AD3455" s="1" t="s">
        <v>98</v>
      </c>
      <c r="AE3455" s="1" t="s">
        <v>98</v>
      </c>
      <c r="AF3455" s="1" t="s">
        <v>55260</v>
      </c>
      <c r="AG3455" s="1" t="s">
        <v>312</v>
      </c>
      <c r="AH3455" s="1">
        <v>40637</v>
      </c>
      <c r="AI3455" s="1">
        <v>41053</v>
      </c>
      <c r="AJ3455" s="1">
        <v>95</v>
      </c>
      <c r="AK3455" s="1">
        <v>10</v>
      </c>
      <c r="AL3455" s="1" t="s">
        <v>55260</v>
      </c>
      <c r="AM3455" s="1" t="s">
        <v>312</v>
      </c>
      <c r="AN3455" s="1"/>
      <c r="AO3455" s="1">
        <v>41373</v>
      </c>
      <c r="AP3455" s="1">
        <v>41787</v>
      </c>
      <c r="AQ3455" s="1">
        <v>73.8</v>
      </c>
      <c r="AR3455" s="1"/>
      <c r="AS3455" s="1"/>
      <c r="AT3455" s="1"/>
      <c r="AU3455" s="1" t="s">
        <v>98</v>
      </c>
      <c r="AV3455" s="1" t="s">
        <v>98</v>
      </c>
      <c r="AW3455" s="1" t="s">
        <v>98</v>
      </c>
      <c r="AX3455" s="1" t="s">
        <v>98</v>
      </c>
      <c r="AY3455" s="1" t="s">
        <v>6995</v>
      </c>
      <c r="AZ3455" s="1" t="s">
        <v>22727</v>
      </c>
      <c r="BA3455" s="1"/>
      <c r="BB3455" s="1"/>
      <c r="BC3455" s="1">
        <v>42219</v>
      </c>
      <c r="BD3455" s="1">
        <v>43616</v>
      </c>
      <c r="BE3455" s="1">
        <v>76.4</v>
      </c>
      <c r="BF3455" s="1">
        <v>7.64</v>
      </c>
      <c r="BG3455" s="1"/>
      <c r="BH3455" s="1"/>
      <c r="BI3455" s="1"/>
      <c r="BJ3455" s="1"/>
      <c r="BK3455" s="1" t="s">
        <v>98</v>
      </c>
      <c r="BL3455" s="1" t="s">
        <v>98</v>
      </c>
      <c r="BM3455" s="1" t="s">
        <v>98</v>
      </c>
      <c r="BN3455" s="1" t="s">
        <v>98</v>
      </c>
      <c r="BO3455" s="1" t="s">
        <v>1114</v>
      </c>
      <c r="BP3455" s="1" t="s">
        <v>55261</v>
      </c>
      <c r="BQ3455" s="1" t="s">
        <v>471</v>
      </c>
      <c r="BR3455" s="1" t="s">
        <v>55262</v>
      </c>
      <c r="BS3455" s="1">
        <v>19</v>
      </c>
      <c r="BT3455" s="1"/>
      <c r="BU3455" s="1" t="str">
        <f>HYPERLINK("https://nconnect.nicmar.ac.in/storage/profile/2021-2023_AP21244_851936.jpg","Download")</f>
        <v>0</v>
      </c>
      <c r="BV3455" s="3"/>
      <c r="BW3455" s="3"/>
    </row>
    <row r="3456" spans="1:75">
      <c r="A3456" s="1" t="s">
        <v>51340</v>
      </c>
      <c r="B3456" s="1" t="s">
        <v>51341</v>
      </c>
      <c r="C3456" s="1" t="s">
        <v>55263</v>
      </c>
      <c r="D3456" s="1" t="s">
        <v>10216</v>
      </c>
      <c r="E3456" s="1"/>
      <c r="F3456" s="1" t="s">
        <v>55264</v>
      </c>
      <c r="G3456" s="1" t="s">
        <v>55265</v>
      </c>
      <c r="H3456" s="1" t="s">
        <v>55266</v>
      </c>
      <c r="I3456" s="1" t="s">
        <v>55267</v>
      </c>
      <c r="J3456" s="1">
        <v>9962380294</v>
      </c>
      <c r="K3456" s="1" t="s">
        <v>84</v>
      </c>
      <c r="L3456" s="1" t="s">
        <v>11845</v>
      </c>
      <c r="M3456" s="1" t="s">
        <v>86</v>
      </c>
      <c r="N3456" s="1" t="s">
        <v>12624</v>
      </c>
      <c r="O3456" s="1"/>
      <c r="P3456" s="1" t="s">
        <v>1028</v>
      </c>
      <c r="Q3456" s="1" t="s">
        <v>55268</v>
      </c>
      <c r="R3456" s="1" t="s">
        <v>55269</v>
      </c>
      <c r="S3456" s="1">
        <v>9965579000</v>
      </c>
      <c r="T3456" s="1" t="s">
        <v>926</v>
      </c>
      <c r="U3456" s="1" t="s">
        <v>43697</v>
      </c>
      <c r="V3456" s="1">
        <v>9842347900</v>
      </c>
      <c r="W3456" s="1" t="s">
        <v>94</v>
      </c>
      <c r="X3456" s="1" t="s">
        <v>55270</v>
      </c>
      <c r="Y3456" s="1" t="s">
        <v>1498</v>
      </c>
      <c r="Z3456" s="1" t="s">
        <v>570</v>
      </c>
      <c r="AA3456" s="1" t="s">
        <v>55270</v>
      </c>
      <c r="AB3456" s="1" t="s">
        <v>1498</v>
      </c>
      <c r="AC3456" s="1" t="s">
        <v>570</v>
      </c>
      <c r="AD3456" s="1" t="s">
        <v>98</v>
      </c>
      <c r="AE3456" s="1" t="s">
        <v>98</v>
      </c>
      <c r="AF3456" s="1" t="s">
        <v>55271</v>
      </c>
      <c r="AG3456" s="1" t="s">
        <v>312</v>
      </c>
      <c r="AH3456" s="1" t="s">
        <v>53443</v>
      </c>
      <c r="AI3456" s="1" t="s">
        <v>54155</v>
      </c>
      <c r="AJ3456" s="1">
        <v>89.3</v>
      </c>
      <c r="AK3456" s="1">
        <v>9.4</v>
      </c>
      <c r="AL3456" s="1" t="s">
        <v>55271</v>
      </c>
      <c r="AM3456" s="1" t="s">
        <v>312</v>
      </c>
      <c r="AN3456" s="1"/>
      <c r="AO3456" s="1" t="s">
        <v>55272</v>
      </c>
      <c r="AP3456" s="1" t="s">
        <v>54158</v>
      </c>
      <c r="AQ3456" s="1">
        <v>81.2</v>
      </c>
      <c r="AR3456" s="1"/>
      <c r="AS3456" s="1"/>
      <c r="AT3456" s="1"/>
      <c r="AU3456" s="1" t="s">
        <v>98</v>
      </c>
      <c r="AV3456" s="1" t="s">
        <v>98</v>
      </c>
      <c r="AW3456" s="1" t="s">
        <v>98</v>
      </c>
      <c r="AX3456" s="1" t="s">
        <v>98</v>
      </c>
      <c r="AY3456" s="1" t="s">
        <v>576</v>
      </c>
      <c r="AZ3456" s="1" t="s">
        <v>8825</v>
      </c>
      <c r="BA3456" s="1"/>
      <c r="BB3456" s="1"/>
      <c r="BC3456" s="1" t="s">
        <v>55273</v>
      </c>
      <c r="BD3456" s="1" t="s">
        <v>55274</v>
      </c>
      <c r="BE3456" s="1">
        <v>84.5</v>
      </c>
      <c r="BF3456" s="1">
        <v>8.45</v>
      </c>
      <c r="BG3456" s="1"/>
      <c r="BH3456" s="1"/>
      <c r="BI3456" s="1"/>
      <c r="BJ3456" s="1"/>
      <c r="BK3456" s="1" t="s">
        <v>98</v>
      </c>
      <c r="BL3456" s="1" t="s">
        <v>98</v>
      </c>
      <c r="BM3456" s="1" t="s">
        <v>98</v>
      </c>
      <c r="BN3456" s="1" t="s">
        <v>98</v>
      </c>
      <c r="BO3456" s="1" t="s">
        <v>25985</v>
      </c>
      <c r="BP3456" s="1"/>
      <c r="BQ3456" s="1"/>
      <c r="BR3456" s="1" t="s">
        <v>55275</v>
      </c>
      <c r="BS3456" s="1">
        <v>22</v>
      </c>
      <c r="BT3456" s="1"/>
      <c r="BU3456" s="1" t="str">
        <f>HYPERLINK("https://nconnect.nicmar.ac.in/storage/profile/2021-2023_AP21245_198654.jpeg","Download")</f>
        <v>0</v>
      </c>
      <c r="BV3456" s="3"/>
      <c r="BW3456" s="3"/>
    </row>
    <row r="3457" spans="1:75">
      <c r="A3457" s="1" t="s">
        <v>51340</v>
      </c>
      <c r="B3457" s="1" t="s">
        <v>51341</v>
      </c>
      <c r="C3457" s="1" t="s">
        <v>55276</v>
      </c>
      <c r="D3457" s="1" t="s">
        <v>4852</v>
      </c>
      <c r="E3457" s="1" t="s">
        <v>1021</v>
      </c>
      <c r="F3457" s="1" t="s">
        <v>55277</v>
      </c>
      <c r="G3457" s="1" t="s">
        <v>55278</v>
      </c>
      <c r="H3457" s="1" t="s">
        <v>55279</v>
      </c>
      <c r="I3457" s="1" t="s">
        <v>55280</v>
      </c>
      <c r="J3457" s="1">
        <v>8855852300</v>
      </c>
      <c r="K3457" s="1" t="s">
        <v>84</v>
      </c>
      <c r="L3457" s="1" t="s">
        <v>30945</v>
      </c>
      <c r="M3457" s="1" t="s">
        <v>86</v>
      </c>
      <c r="N3457" s="1" t="s">
        <v>55281</v>
      </c>
      <c r="O3457" s="1"/>
      <c r="P3457" s="1" t="s">
        <v>481</v>
      </c>
      <c r="Q3457" s="1" t="s">
        <v>55282</v>
      </c>
      <c r="R3457" s="1" t="s">
        <v>55283</v>
      </c>
      <c r="S3457" s="1">
        <v>9890332121</v>
      </c>
      <c r="T3457" s="1" t="s">
        <v>839</v>
      </c>
      <c r="U3457" s="1" t="s">
        <v>55284</v>
      </c>
      <c r="V3457" s="1">
        <v>9890659890</v>
      </c>
      <c r="W3457" s="1" t="s">
        <v>55285</v>
      </c>
      <c r="X3457" s="1" t="s">
        <v>55286</v>
      </c>
      <c r="Y3457" s="1" t="s">
        <v>1989</v>
      </c>
      <c r="Z3457" s="1" t="s">
        <v>97</v>
      </c>
      <c r="AA3457" s="1" t="s">
        <v>55287</v>
      </c>
      <c r="AB3457" s="1" t="s">
        <v>14079</v>
      </c>
      <c r="AC3457" s="1" t="s">
        <v>97</v>
      </c>
      <c r="AD3457" s="1" t="s">
        <v>98</v>
      </c>
      <c r="AE3457" s="1" t="s">
        <v>98</v>
      </c>
      <c r="AF3457" s="1" t="s">
        <v>55288</v>
      </c>
      <c r="AG3457" s="1" t="s">
        <v>312</v>
      </c>
      <c r="AH3457" s="1">
        <v>41399</v>
      </c>
      <c r="AI3457" s="1">
        <v>41778</v>
      </c>
      <c r="AJ3457" s="1">
        <v>91.2</v>
      </c>
      <c r="AK3457" s="1">
        <v>9.6</v>
      </c>
      <c r="AL3457" s="1" t="s">
        <v>98</v>
      </c>
      <c r="AM3457" s="1" t="s">
        <v>98</v>
      </c>
      <c r="AN3457" s="1"/>
      <c r="AO3457" s="1" t="s">
        <v>98</v>
      </c>
      <c r="AP3457" s="1" t="s">
        <v>98</v>
      </c>
      <c r="AQ3457" s="1"/>
      <c r="AR3457" s="1">
        <v>0</v>
      </c>
      <c r="AS3457" s="1" t="s">
        <v>439</v>
      </c>
      <c r="AT3457" s="1" t="s">
        <v>55289</v>
      </c>
      <c r="AU3457" s="1">
        <v>41797</v>
      </c>
      <c r="AV3457" s="1">
        <v>42984</v>
      </c>
      <c r="AW3457" s="1">
        <v>89.1</v>
      </c>
      <c r="AX3457" s="1"/>
      <c r="AY3457" s="1" t="s">
        <v>258</v>
      </c>
      <c r="AZ3457" s="1" t="s">
        <v>26614</v>
      </c>
      <c r="BA3457" s="1"/>
      <c r="BB3457" s="1"/>
      <c r="BC3457" s="1">
        <v>42923</v>
      </c>
      <c r="BD3457" s="1">
        <v>44155</v>
      </c>
      <c r="BE3457" s="1">
        <v>75.59</v>
      </c>
      <c r="BF3457" s="1">
        <v>8.58</v>
      </c>
      <c r="BG3457" s="1"/>
      <c r="BH3457" s="1"/>
      <c r="BI3457" s="1"/>
      <c r="BJ3457" s="1"/>
      <c r="BK3457" s="1" t="s">
        <v>98</v>
      </c>
      <c r="BL3457" s="1" t="s">
        <v>98</v>
      </c>
      <c r="BM3457" s="1" t="s">
        <v>98</v>
      </c>
      <c r="BN3457" s="1" t="s">
        <v>98</v>
      </c>
      <c r="BO3457" s="1" t="s">
        <v>3508</v>
      </c>
      <c r="BP3457" s="1" t="s">
        <v>55290</v>
      </c>
      <c r="BQ3457" s="1" t="s">
        <v>658</v>
      </c>
      <c r="BR3457" s="1" t="s">
        <v>55291</v>
      </c>
      <c r="BS3457" s="1">
        <v>21</v>
      </c>
      <c r="BT3457" s="1"/>
      <c r="BU3457" s="1" t="str">
        <f>HYPERLINK("https://nconnect.nicmar.ac.in/storage/profile/2021-2023_AP21246_576432.JPG","Download")</f>
        <v>0</v>
      </c>
      <c r="BV3457" s="3"/>
      <c r="BW3457" s="3"/>
    </row>
    <row r="3458" spans="1:75">
      <c r="A3458" s="1" t="s">
        <v>51340</v>
      </c>
      <c r="B3458" s="1" t="s">
        <v>51341</v>
      </c>
      <c r="C3458" s="1" t="s">
        <v>55292</v>
      </c>
      <c r="D3458" s="1" t="s">
        <v>10432</v>
      </c>
      <c r="E3458" s="1"/>
      <c r="F3458" s="1" t="s">
        <v>530</v>
      </c>
      <c r="G3458" s="1" t="s">
        <v>55293</v>
      </c>
      <c r="H3458" s="1" t="s">
        <v>55294</v>
      </c>
      <c r="I3458" s="1" t="s">
        <v>55295</v>
      </c>
      <c r="J3458" s="1">
        <v>8005638497</v>
      </c>
      <c r="K3458" s="1" t="s">
        <v>84</v>
      </c>
      <c r="L3458" s="1" t="s">
        <v>34077</v>
      </c>
      <c r="M3458" s="1" t="s">
        <v>86</v>
      </c>
      <c r="N3458" s="1" t="s">
        <v>379</v>
      </c>
      <c r="O3458" s="1"/>
      <c r="P3458" s="1" t="s">
        <v>507</v>
      </c>
      <c r="Q3458" s="1" t="s">
        <v>55296</v>
      </c>
      <c r="R3458" s="1" t="s">
        <v>55297</v>
      </c>
      <c r="S3458" s="1">
        <v>9415065460</v>
      </c>
      <c r="T3458" s="1" t="s">
        <v>55298</v>
      </c>
      <c r="U3458" s="1" t="s">
        <v>26835</v>
      </c>
      <c r="V3458" s="1">
        <v>9454837411</v>
      </c>
      <c r="W3458" s="1" t="s">
        <v>94</v>
      </c>
      <c r="X3458" s="1" t="s">
        <v>55299</v>
      </c>
      <c r="Y3458" s="1" t="s">
        <v>53053</v>
      </c>
      <c r="Z3458" s="1" t="s">
        <v>544</v>
      </c>
      <c r="AA3458" s="1" t="s">
        <v>55299</v>
      </c>
      <c r="AB3458" s="1" t="s">
        <v>53053</v>
      </c>
      <c r="AC3458" s="1" t="s">
        <v>544</v>
      </c>
      <c r="AD3458" s="1" t="s">
        <v>98</v>
      </c>
      <c r="AE3458" s="1" t="s">
        <v>98</v>
      </c>
      <c r="AF3458" s="1" t="s">
        <v>1060</v>
      </c>
      <c r="AG3458" s="1" t="s">
        <v>312</v>
      </c>
      <c r="AH3458" s="1">
        <v>41414</v>
      </c>
      <c r="AI3458" s="1">
        <v>41779</v>
      </c>
      <c r="AJ3458" s="1">
        <v>79.8</v>
      </c>
      <c r="AK3458" s="1">
        <v>8.4</v>
      </c>
      <c r="AL3458" s="1" t="s">
        <v>1060</v>
      </c>
      <c r="AM3458" s="1" t="s">
        <v>312</v>
      </c>
      <c r="AN3458" s="1"/>
      <c r="AO3458" s="1">
        <v>42144</v>
      </c>
      <c r="AP3458" s="1">
        <v>42883</v>
      </c>
      <c r="AQ3458" s="1">
        <v>69.6</v>
      </c>
      <c r="AR3458" s="1"/>
      <c r="AS3458" s="1"/>
      <c r="AT3458" s="1"/>
      <c r="AU3458" s="1" t="s">
        <v>98</v>
      </c>
      <c r="AV3458" s="1" t="s">
        <v>98</v>
      </c>
      <c r="AW3458" s="1" t="s">
        <v>98</v>
      </c>
      <c r="AX3458" s="1" t="s">
        <v>98</v>
      </c>
      <c r="AY3458" s="1" t="s">
        <v>6995</v>
      </c>
      <c r="AZ3458" s="1" t="s">
        <v>22727</v>
      </c>
      <c r="BA3458" s="1"/>
      <c r="BB3458" s="1"/>
      <c r="BC3458" s="1">
        <v>42932</v>
      </c>
      <c r="BD3458" s="1">
        <v>44449</v>
      </c>
      <c r="BE3458" s="1">
        <v>66.4</v>
      </c>
      <c r="BF3458" s="1">
        <v>6.64</v>
      </c>
      <c r="BG3458" s="1"/>
      <c r="BH3458" s="1"/>
      <c r="BI3458" s="1"/>
      <c r="BJ3458" s="1"/>
      <c r="BK3458" s="1" t="s">
        <v>98</v>
      </c>
      <c r="BL3458" s="1" t="s">
        <v>98</v>
      </c>
      <c r="BM3458" s="1" t="s">
        <v>98</v>
      </c>
      <c r="BN3458" s="1" t="s">
        <v>98</v>
      </c>
      <c r="BO3458" s="1" t="s">
        <v>369</v>
      </c>
      <c r="BP3458" s="1"/>
      <c r="BQ3458" s="1"/>
      <c r="BR3458" s="1" t="s">
        <v>55300</v>
      </c>
      <c r="BS3458" s="1">
        <v>19</v>
      </c>
      <c r="BT3458" s="1"/>
      <c r="BU3458" s="1" t="str">
        <f>HYPERLINK("https://nconnect.nicmar.ac.in/storage/profile/2021-2023_AP21247_739246.jpg","Download")</f>
        <v>0</v>
      </c>
      <c r="BV3458" s="3"/>
      <c r="BW3458" s="3"/>
    </row>
    <row r="3459" spans="1:75">
      <c r="A3459" s="1" t="s">
        <v>51340</v>
      </c>
      <c r="B3459" s="1" t="s">
        <v>51341</v>
      </c>
      <c r="C3459" s="1" t="s">
        <v>55301</v>
      </c>
      <c r="D3459" s="1" t="s">
        <v>3350</v>
      </c>
      <c r="E3459" s="1" t="s">
        <v>6012</v>
      </c>
      <c r="F3459" s="1" t="s">
        <v>55302</v>
      </c>
      <c r="G3459" s="1" t="s">
        <v>55303</v>
      </c>
      <c r="H3459" s="1" t="s">
        <v>55304</v>
      </c>
      <c r="I3459" s="1" t="s">
        <v>55305</v>
      </c>
      <c r="J3459" s="1">
        <v>7058099811</v>
      </c>
      <c r="K3459" s="1" t="s">
        <v>84</v>
      </c>
      <c r="L3459" s="1" t="s">
        <v>55306</v>
      </c>
      <c r="M3459" s="1" t="s">
        <v>86</v>
      </c>
      <c r="N3459" s="1" t="s">
        <v>1163</v>
      </c>
      <c r="O3459" s="1"/>
      <c r="P3459" s="1" t="s">
        <v>1028</v>
      </c>
      <c r="Q3459" s="1" t="s">
        <v>55307</v>
      </c>
      <c r="R3459" s="1" t="s">
        <v>55308</v>
      </c>
      <c r="S3459" s="1">
        <v>9423424432</v>
      </c>
      <c r="T3459" s="1" t="s">
        <v>8423</v>
      </c>
      <c r="U3459" s="1" t="s">
        <v>55309</v>
      </c>
      <c r="V3459" s="1">
        <v>9420719693</v>
      </c>
      <c r="W3459" s="1" t="s">
        <v>94</v>
      </c>
      <c r="X3459" s="1" t="s">
        <v>55310</v>
      </c>
      <c r="Y3459" s="1" t="s">
        <v>224</v>
      </c>
      <c r="Z3459" s="1" t="s">
        <v>97</v>
      </c>
      <c r="AA3459" s="1" t="s">
        <v>98</v>
      </c>
      <c r="AB3459" s="1" t="s">
        <v>224</v>
      </c>
      <c r="AC3459" s="1" t="s">
        <v>97</v>
      </c>
      <c r="AD3459" s="1" t="s">
        <v>98</v>
      </c>
      <c r="AE3459" s="1" t="s">
        <v>98</v>
      </c>
      <c r="AF3459" s="1" t="s">
        <v>55311</v>
      </c>
      <c r="AG3459" s="1" t="s">
        <v>1968</v>
      </c>
      <c r="AH3459" s="1" t="s">
        <v>1213</v>
      </c>
      <c r="AI3459" s="1" t="s">
        <v>101</v>
      </c>
      <c r="AJ3459" s="1">
        <v>62.6</v>
      </c>
      <c r="AK3459" s="1"/>
      <c r="AL3459" s="1" t="s">
        <v>55312</v>
      </c>
      <c r="AM3459" s="1" t="s">
        <v>1968</v>
      </c>
      <c r="AN3459" s="1"/>
      <c r="AO3459" s="1" t="s">
        <v>166</v>
      </c>
      <c r="AP3459" s="1" t="s">
        <v>167</v>
      </c>
      <c r="AQ3459" s="1">
        <v>65.08</v>
      </c>
      <c r="AR3459" s="1"/>
      <c r="AS3459" s="1"/>
      <c r="AT3459" s="1"/>
      <c r="AU3459" s="1" t="s">
        <v>98</v>
      </c>
      <c r="AV3459" s="1" t="s">
        <v>98</v>
      </c>
      <c r="AW3459" s="1" t="s">
        <v>98</v>
      </c>
      <c r="AX3459" s="1" t="s">
        <v>98</v>
      </c>
      <c r="AY3459" s="1" t="s">
        <v>997</v>
      </c>
      <c r="AZ3459" s="1" t="s">
        <v>55313</v>
      </c>
      <c r="BA3459" s="1"/>
      <c r="BB3459" s="1"/>
      <c r="BC3459" s="1" t="s">
        <v>139</v>
      </c>
      <c r="BD3459" s="1" t="s">
        <v>441</v>
      </c>
      <c r="BE3459" s="1">
        <v>68.8</v>
      </c>
      <c r="BF3459" s="1">
        <v>7.06</v>
      </c>
      <c r="BG3459" s="1"/>
      <c r="BH3459" s="1"/>
      <c r="BI3459" s="1"/>
      <c r="BJ3459" s="1"/>
      <c r="BK3459" s="1" t="s">
        <v>98</v>
      </c>
      <c r="BL3459" s="1" t="s">
        <v>98</v>
      </c>
      <c r="BM3459" s="1" t="s">
        <v>98</v>
      </c>
      <c r="BN3459" s="1" t="s">
        <v>98</v>
      </c>
      <c r="BO3459" s="1" t="s">
        <v>55314</v>
      </c>
      <c r="BP3459" s="1"/>
      <c r="BQ3459" s="1"/>
      <c r="BR3459" s="1" t="s">
        <v>55315</v>
      </c>
      <c r="BS3459" s="1">
        <v>41</v>
      </c>
      <c r="BT3459" s="1"/>
      <c r="BU3459" s="1" t="str">
        <f>HYPERLINK("https://nconnect.nicmar.ac.in/storage/profile/2021-2023_AP21248_781359.jpg","Download")</f>
        <v>0</v>
      </c>
      <c r="BV3459" s="3"/>
      <c r="BW3459" s="3"/>
    </row>
    <row r="3460" spans="1:75">
      <c r="A3460" s="1" t="s">
        <v>51340</v>
      </c>
      <c r="B3460" s="1" t="s">
        <v>51341</v>
      </c>
      <c r="C3460" s="1" t="s">
        <v>55316</v>
      </c>
      <c r="D3460" s="1" t="s">
        <v>30381</v>
      </c>
      <c r="E3460" s="1"/>
      <c r="F3460" s="1" t="s">
        <v>51252</v>
      </c>
      <c r="G3460" s="1" t="s">
        <v>55317</v>
      </c>
      <c r="H3460" s="1" t="s">
        <v>55318</v>
      </c>
      <c r="I3460" s="1" t="s">
        <v>55319</v>
      </c>
      <c r="J3460" s="1">
        <v>8507450392</v>
      </c>
      <c r="K3460" s="1" t="s">
        <v>84</v>
      </c>
      <c r="L3460" s="1" t="s">
        <v>55320</v>
      </c>
      <c r="M3460" s="1" t="s">
        <v>86</v>
      </c>
      <c r="N3460" s="1" t="s">
        <v>87</v>
      </c>
      <c r="O3460" s="1"/>
      <c r="P3460" s="1" t="s">
        <v>481</v>
      </c>
      <c r="Q3460" s="1" t="s">
        <v>55321</v>
      </c>
      <c r="R3460" s="1" t="s">
        <v>55322</v>
      </c>
      <c r="S3460" s="1">
        <v>9852368878</v>
      </c>
      <c r="T3460" s="1" t="s">
        <v>55323</v>
      </c>
      <c r="U3460" s="1" t="s">
        <v>55324</v>
      </c>
      <c r="V3460" s="1">
        <v>9852368878</v>
      </c>
      <c r="W3460" s="1" t="s">
        <v>94</v>
      </c>
      <c r="X3460" s="1" t="s">
        <v>55325</v>
      </c>
      <c r="Y3460" s="1" t="s">
        <v>18264</v>
      </c>
      <c r="Z3460" s="1" t="s">
        <v>649</v>
      </c>
      <c r="AA3460" s="1" t="s">
        <v>55326</v>
      </c>
      <c r="AB3460" s="1" t="s">
        <v>648</v>
      </c>
      <c r="AC3460" s="1" t="s">
        <v>649</v>
      </c>
      <c r="AD3460" s="1" t="s">
        <v>98</v>
      </c>
      <c r="AE3460" s="1" t="s">
        <v>98</v>
      </c>
      <c r="AF3460" s="1" t="s">
        <v>55327</v>
      </c>
      <c r="AG3460" s="1" t="s">
        <v>312</v>
      </c>
      <c r="AH3460" s="1" t="s">
        <v>23371</v>
      </c>
      <c r="AI3460" s="1" t="s">
        <v>3285</v>
      </c>
      <c r="AJ3460" s="1">
        <v>74.1</v>
      </c>
      <c r="AK3460" s="1">
        <v>7.8</v>
      </c>
      <c r="AL3460" s="1" t="s">
        <v>55327</v>
      </c>
      <c r="AM3460" s="1" t="s">
        <v>312</v>
      </c>
      <c r="AN3460" s="1"/>
      <c r="AO3460" s="1" t="s">
        <v>337</v>
      </c>
      <c r="AP3460" s="1" t="s">
        <v>804</v>
      </c>
      <c r="AQ3460" s="1">
        <v>56.8</v>
      </c>
      <c r="AR3460" s="1">
        <v>0</v>
      </c>
      <c r="AS3460" s="1"/>
      <c r="AT3460" s="1"/>
      <c r="AU3460" s="1" t="s">
        <v>98</v>
      </c>
      <c r="AV3460" s="1" t="s">
        <v>98</v>
      </c>
      <c r="AW3460" s="1" t="s">
        <v>98</v>
      </c>
      <c r="AX3460" s="1" t="s">
        <v>98</v>
      </c>
      <c r="AY3460" s="1" t="s">
        <v>44605</v>
      </c>
      <c r="AZ3460" s="1" t="s">
        <v>55328</v>
      </c>
      <c r="BA3460" s="1"/>
      <c r="BB3460" s="1"/>
      <c r="BC3460" s="1" t="s">
        <v>1457</v>
      </c>
      <c r="BD3460" s="1" t="s">
        <v>1477</v>
      </c>
      <c r="BE3460" s="1">
        <v>74.58</v>
      </c>
      <c r="BF3460" s="1">
        <v>0</v>
      </c>
      <c r="BG3460" s="1"/>
      <c r="BH3460" s="1"/>
      <c r="BI3460" s="1"/>
      <c r="BJ3460" s="1"/>
      <c r="BK3460" s="1" t="s">
        <v>98</v>
      </c>
      <c r="BL3460" s="1" t="s">
        <v>98</v>
      </c>
      <c r="BM3460" s="1" t="s">
        <v>98</v>
      </c>
      <c r="BN3460" s="1" t="s">
        <v>98</v>
      </c>
      <c r="BO3460" s="1" t="s">
        <v>55329</v>
      </c>
      <c r="BP3460" s="1" t="s">
        <v>55330</v>
      </c>
      <c r="BQ3460" s="1" t="s">
        <v>4944</v>
      </c>
      <c r="BR3460" s="1" t="s">
        <v>55331</v>
      </c>
      <c r="BS3460" s="1">
        <v>17</v>
      </c>
      <c r="BT3460" s="1"/>
      <c r="BU3460" s="1" t="str">
        <f>HYPERLINK("https://nconnect.nicmar.ac.in/storage/profile/2021-2023_AP21249_684127.jpeg","Download")</f>
        <v>0</v>
      </c>
      <c r="BV3460" s="3"/>
      <c r="BW3460" s="3"/>
    </row>
    <row r="3461" spans="1:75">
      <c r="A3461" s="1" t="s">
        <v>51340</v>
      </c>
      <c r="B3461" s="1" t="s">
        <v>51341</v>
      </c>
      <c r="C3461" s="1" t="s">
        <v>55332</v>
      </c>
      <c r="D3461" s="1" t="s">
        <v>55333</v>
      </c>
      <c r="E3461" s="1"/>
      <c r="F3461" s="1" t="s">
        <v>1380</v>
      </c>
      <c r="G3461" s="1" t="s">
        <v>55334</v>
      </c>
      <c r="H3461" s="1" t="s">
        <v>55335</v>
      </c>
      <c r="I3461" s="1" t="s">
        <v>55336</v>
      </c>
      <c r="J3461" s="1">
        <v>9474986823</v>
      </c>
      <c r="K3461" s="1" t="s">
        <v>84</v>
      </c>
      <c r="L3461" s="1" t="s">
        <v>27469</v>
      </c>
      <c r="M3461" s="1" t="s">
        <v>86</v>
      </c>
      <c r="N3461" s="1" t="s">
        <v>55337</v>
      </c>
      <c r="O3461" s="1"/>
      <c r="P3461" s="1" t="s">
        <v>455</v>
      </c>
      <c r="Q3461" s="1" t="s">
        <v>55338</v>
      </c>
      <c r="R3461" s="1" t="s">
        <v>55339</v>
      </c>
      <c r="S3461" s="1">
        <v>9475333735</v>
      </c>
      <c r="T3461" s="1" t="s">
        <v>3396</v>
      </c>
      <c r="U3461" s="1" t="s">
        <v>55340</v>
      </c>
      <c r="V3461" s="1">
        <v>9749872447</v>
      </c>
      <c r="W3461" s="1" t="s">
        <v>161</v>
      </c>
      <c r="X3461" s="1" t="s">
        <v>55341</v>
      </c>
      <c r="Y3461" s="1" t="s">
        <v>55342</v>
      </c>
      <c r="Z3461" s="1" t="s">
        <v>1234</v>
      </c>
      <c r="AA3461" s="1" t="s">
        <v>55341</v>
      </c>
      <c r="AB3461" s="1" t="s">
        <v>55342</v>
      </c>
      <c r="AC3461" s="1" t="s">
        <v>1234</v>
      </c>
      <c r="AD3461" s="1" t="s">
        <v>98</v>
      </c>
      <c r="AE3461" s="1" t="s">
        <v>98</v>
      </c>
      <c r="AF3461" s="1" t="s">
        <v>55343</v>
      </c>
      <c r="AG3461" s="1" t="s">
        <v>6474</v>
      </c>
      <c r="AH3461" s="1" t="s">
        <v>55344</v>
      </c>
      <c r="AI3461" s="1" t="s">
        <v>55345</v>
      </c>
      <c r="AJ3461" s="1">
        <v>81.16</v>
      </c>
      <c r="AK3461" s="1"/>
      <c r="AL3461" s="1" t="s">
        <v>11376</v>
      </c>
      <c r="AM3461" s="1" t="s">
        <v>6474</v>
      </c>
      <c r="AN3461" s="1"/>
      <c r="AO3461" s="1" t="s">
        <v>55346</v>
      </c>
      <c r="AP3461" s="1" t="s">
        <v>54158</v>
      </c>
      <c r="AQ3461" s="1">
        <v>68.16</v>
      </c>
      <c r="AR3461" s="1"/>
      <c r="AS3461" s="1"/>
      <c r="AT3461" s="1"/>
      <c r="AU3461" s="1" t="s">
        <v>98</v>
      </c>
      <c r="AV3461" s="1" t="s">
        <v>98</v>
      </c>
      <c r="AW3461" s="1" t="s">
        <v>98</v>
      </c>
      <c r="AX3461" s="1" t="s">
        <v>98</v>
      </c>
      <c r="AY3461" s="1" t="s">
        <v>1240</v>
      </c>
      <c r="AZ3461" s="1" t="s">
        <v>55347</v>
      </c>
      <c r="BA3461" s="1"/>
      <c r="BB3461" s="1"/>
      <c r="BC3461" s="1" t="s">
        <v>55064</v>
      </c>
      <c r="BD3461" s="1" t="s">
        <v>52477</v>
      </c>
      <c r="BE3461" s="1">
        <v>80.5</v>
      </c>
      <c r="BF3461" s="1">
        <v>8.75</v>
      </c>
      <c r="BG3461" s="1"/>
      <c r="BH3461" s="1"/>
      <c r="BI3461" s="1"/>
      <c r="BJ3461" s="1"/>
      <c r="BK3461" s="1" t="s">
        <v>98</v>
      </c>
      <c r="BL3461" s="1" t="s">
        <v>98</v>
      </c>
      <c r="BM3461" s="1" t="s">
        <v>98</v>
      </c>
      <c r="BN3461" s="1" t="s">
        <v>98</v>
      </c>
      <c r="BO3461" s="1" t="s">
        <v>369</v>
      </c>
      <c r="BP3461" s="1"/>
      <c r="BQ3461" s="1"/>
      <c r="BR3461" s="1" t="s">
        <v>55348</v>
      </c>
      <c r="BS3461" s="1">
        <v>10</v>
      </c>
      <c r="BT3461" s="1"/>
      <c r="BU3461" s="1" t="str">
        <f>HYPERLINK("https://nconnect.nicmar.ac.in/storage/profile/2021-2023_AP21250_614785.jpg","Download")</f>
        <v>0</v>
      </c>
      <c r="BV3461" s="3"/>
      <c r="BW3461" s="3"/>
    </row>
    <row r="3462" spans="1:75">
      <c r="A3462" s="1" t="s">
        <v>51340</v>
      </c>
      <c r="B3462" s="1" t="s">
        <v>51341</v>
      </c>
      <c r="C3462" s="1" t="s">
        <v>55349</v>
      </c>
      <c r="D3462" s="1" t="s">
        <v>55350</v>
      </c>
      <c r="E3462" s="1"/>
      <c r="F3462" s="1" t="s">
        <v>27118</v>
      </c>
      <c r="G3462" s="1" t="s">
        <v>55351</v>
      </c>
      <c r="H3462" s="1" t="s">
        <v>55352</v>
      </c>
      <c r="I3462" s="1" t="s">
        <v>55353</v>
      </c>
      <c r="J3462" s="1">
        <v>7550142403</v>
      </c>
      <c r="K3462" s="1" t="s">
        <v>84</v>
      </c>
      <c r="L3462" s="1" t="s">
        <v>55354</v>
      </c>
      <c r="M3462" s="1" t="s">
        <v>86</v>
      </c>
      <c r="N3462" s="1" t="s">
        <v>8699</v>
      </c>
      <c r="O3462" s="1"/>
      <c r="P3462" s="1" t="s">
        <v>481</v>
      </c>
      <c r="Q3462" s="1" t="s">
        <v>55355</v>
      </c>
      <c r="R3462" s="1" t="s">
        <v>55356</v>
      </c>
      <c r="S3462" s="1">
        <v>7702704076</v>
      </c>
      <c r="T3462" s="1" t="s">
        <v>539</v>
      </c>
      <c r="U3462" s="1" t="s">
        <v>55357</v>
      </c>
      <c r="V3462" s="1">
        <v>9640440766</v>
      </c>
      <c r="W3462" s="1" t="s">
        <v>94</v>
      </c>
      <c r="X3462" s="1" t="s">
        <v>55358</v>
      </c>
      <c r="Y3462" s="1" t="s">
        <v>487</v>
      </c>
      <c r="Z3462" s="1" t="s">
        <v>281</v>
      </c>
      <c r="AA3462" s="1" t="s">
        <v>55358</v>
      </c>
      <c r="AB3462" s="1" t="s">
        <v>487</v>
      </c>
      <c r="AC3462" s="1" t="s">
        <v>281</v>
      </c>
      <c r="AD3462" s="1" t="s">
        <v>98</v>
      </c>
      <c r="AE3462" s="1" t="s">
        <v>98</v>
      </c>
      <c r="AF3462" s="1" t="s">
        <v>54154</v>
      </c>
      <c r="AG3462" s="1" t="s">
        <v>312</v>
      </c>
      <c r="AH3462" s="1" t="s">
        <v>53443</v>
      </c>
      <c r="AI3462" s="1" t="s">
        <v>54155</v>
      </c>
      <c r="AJ3462" s="1">
        <v>87.4</v>
      </c>
      <c r="AK3462" s="1">
        <v>9.2</v>
      </c>
      <c r="AL3462" s="1" t="s">
        <v>54154</v>
      </c>
      <c r="AM3462" s="1" t="s">
        <v>312</v>
      </c>
      <c r="AN3462" s="1"/>
      <c r="AO3462" s="1" t="s">
        <v>55272</v>
      </c>
      <c r="AP3462" s="1" t="s">
        <v>54158</v>
      </c>
      <c r="AQ3462" s="1">
        <v>88.6</v>
      </c>
      <c r="AR3462" s="1">
        <v>0</v>
      </c>
      <c r="AS3462" s="1"/>
      <c r="AT3462" s="1"/>
      <c r="AU3462" s="1" t="s">
        <v>98</v>
      </c>
      <c r="AV3462" s="1" t="s">
        <v>98</v>
      </c>
      <c r="AW3462" s="1" t="s">
        <v>98</v>
      </c>
      <c r="AX3462" s="1" t="s">
        <v>98</v>
      </c>
      <c r="AY3462" s="1" t="s">
        <v>576</v>
      </c>
      <c r="AZ3462" s="1" t="s">
        <v>24206</v>
      </c>
      <c r="BA3462" s="1"/>
      <c r="BB3462" s="1"/>
      <c r="BC3462" s="1" t="s">
        <v>55359</v>
      </c>
      <c r="BD3462" s="1" t="s">
        <v>55274</v>
      </c>
      <c r="BE3462" s="1">
        <v>88.2</v>
      </c>
      <c r="BF3462" s="1">
        <v>8.82</v>
      </c>
      <c r="BG3462" s="1"/>
      <c r="BH3462" s="1"/>
      <c r="BI3462" s="1"/>
      <c r="BJ3462" s="1"/>
      <c r="BK3462" s="1" t="s">
        <v>98</v>
      </c>
      <c r="BL3462" s="1" t="s">
        <v>98</v>
      </c>
      <c r="BM3462" s="1" t="s">
        <v>98</v>
      </c>
      <c r="BN3462" s="1" t="s">
        <v>98</v>
      </c>
      <c r="BO3462" s="1" t="s">
        <v>3508</v>
      </c>
      <c r="BP3462" s="1"/>
      <c r="BQ3462" s="1"/>
      <c r="BR3462" s="1" t="s">
        <v>55360</v>
      </c>
      <c r="BS3462" s="1">
        <v>17</v>
      </c>
      <c r="BT3462" s="1"/>
      <c r="BU3462" s="1" t="str">
        <f>HYPERLINK("https://nconnect.nicmar.ac.in/storage/profile/2021-2023_AP21251_546891.jpg","Download")</f>
        <v>0</v>
      </c>
      <c r="BV3462" s="3"/>
      <c r="BW3462" s="3"/>
    </row>
    <row r="3463" spans="1:75">
      <c r="A3463" s="1" t="s">
        <v>51340</v>
      </c>
      <c r="B3463" s="1" t="s">
        <v>51341</v>
      </c>
      <c r="C3463" s="1" t="s">
        <v>55361</v>
      </c>
      <c r="D3463" s="1" t="s">
        <v>55362</v>
      </c>
      <c r="E3463" s="1" t="s">
        <v>5073</v>
      </c>
      <c r="F3463" s="1" t="s">
        <v>1179</v>
      </c>
      <c r="G3463" s="1" t="s">
        <v>55363</v>
      </c>
      <c r="H3463" s="1" t="s">
        <v>55364</v>
      </c>
      <c r="I3463" s="1" t="s">
        <v>55365</v>
      </c>
      <c r="J3463" s="1">
        <v>9518920015</v>
      </c>
      <c r="K3463" s="1" t="s">
        <v>153</v>
      </c>
      <c r="L3463" s="1" t="s">
        <v>55366</v>
      </c>
      <c r="M3463" s="1" t="s">
        <v>86</v>
      </c>
      <c r="N3463" s="1" t="s">
        <v>55367</v>
      </c>
      <c r="O3463" s="1"/>
      <c r="P3463" s="1" t="s">
        <v>507</v>
      </c>
      <c r="Q3463" s="1" t="s">
        <v>55368</v>
      </c>
      <c r="R3463" s="1" t="s">
        <v>55369</v>
      </c>
      <c r="S3463" s="1">
        <v>8668342288</v>
      </c>
      <c r="T3463" s="1" t="s">
        <v>926</v>
      </c>
      <c r="U3463" s="1" t="s">
        <v>55370</v>
      </c>
      <c r="V3463" s="1">
        <v>7057954575</v>
      </c>
      <c r="W3463" s="1" t="s">
        <v>94</v>
      </c>
      <c r="X3463" s="1" t="s">
        <v>55371</v>
      </c>
      <c r="Y3463" s="1" t="s">
        <v>55372</v>
      </c>
      <c r="Z3463" s="1" t="s">
        <v>97</v>
      </c>
      <c r="AA3463" s="1" t="s">
        <v>98</v>
      </c>
      <c r="AB3463" s="1" t="s">
        <v>55372</v>
      </c>
      <c r="AC3463" s="1" t="s">
        <v>97</v>
      </c>
      <c r="AD3463" s="1" t="s">
        <v>98</v>
      </c>
      <c r="AE3463" s="1" t="s">
        <v>98</v>
      </c>
      <c r="AF3463" s="1" t="s">
        <v>27805</v>
      </c>
      <c r="AG3463" s="1" t="s">
        <v>775</v>
      </c>
      <c r="AH3463" s="1" t="s">
        <v>3421</v>
      </c>
      <c r="AI3463" s="1" t="s">
        <v>1262</v>
      </c>
      <c r="AJ3463" s="1">
        <v>76</v>
      </c>
      <c r="AK3463" s="1">
        <v>8.2</v>
      </c>
      <c r="AL3463" s="1" t="s">
        <v>55373</v>
      </c>
      <c r="AM3463" s="1" t="s">
        <v>775</v>
      </c>
      <c r="AN3463" s="1"/>
      <c r="AO3463" s="1" t="s">
        <v>166</v>
      </c>
      <c r="AP3463" s="1" t="s">
        <v>167</v>
      </c>
      <c r="AQ3463" s="1">
        <v>67.85</v>
      </c>
      <c r="AR3463" s="1">
        <v>0</v>
      </c>
      <c r="AS3463" s="1"/>
      <c r="AT3463" s="1"/>
      <c r="AU3463" s="1" t="s">
        <v>98</v>
      </c>
      <c r="AV3463" s="1" t="s">
        <v>98</v>
      </c>
      <c r="AW3463" s="1" t="s">
        <v>98</v>
      </c>
      <c r="AX3463" s="1" t="s">
        <v>98</v>
      </c>
      <c r="AY3463" s="1" t="s">
        <v>26339</v>
      </c>
      <c r="AZ3463" s="1" t="s">
        <v>55374</v>
      </c>
      <c r="BA3463" s="1"/>
      <c r="BB3463" s="1"/>
      <c r="BC3463" s="1" t="s">
        <v>139</v>
      </c>
      <c r="BD3463" s="1" t="s">
        <v>441</v>
      </c>
      <c r="BE3463" s="1">
        <v>75</v>
      </c>
      <c r="BF3463" s="1">
        <v>8.25</v>
      </c>
      <c r="BG3463" s="1"/>
      <c r="BH3463" s="1"/>
      <c r="BI3463" s="1"/>
      <c r="BJ3463" s="1"/>
      <c r="BK3463" s="1" t="s">
        <v>98</v>
      </c>
      <c r="BL3463" s="1" t="s">
        <v>98</v>
      </c>
      <c r="BM3463" s="1" t="s">
        <v>98</v>
      </c>
      <c r="BN3463" s="1" t="s">
        <v>98</v>
      </c>
      <c r="BO3463" s="1" t="s">
        <v>55375</v>
      </c>
      <c r="BP3463" s="1"/>
      <c r="BQ3463" s="1"/>
      <c r="BR3463" s="1" t="s">
        <v>55376</v>
      </c>
      <c r="BS3463" s="1">
        <v>49</v>
      </c>
      <c r="BT3463" s="1"/>
      <c r="BU3463" s="1" t="str">
        <f>HYPERLINK("https://nconnect.nicmar.ac.in/storage/profile/2021-2023_AP21252_457916.jpg","Download")</f>
        <v>0</v>
      </c>
      <c r="BV3463" s="3"/>
      <c r="BW3463" s="3"/>
    </row>
    <row r="3464" spans="1:75">
      <c r="A3464" s="1" t="s">
        <v>51340</v>
      </c>
      <c r="B3464" s="1" t="s">
        <v>51341</v>
      </c>
      <c r="C3464" s="1" t="s">
        <v>55377</v>
      </c>
      <c r="D3464" s="1" t="s">
        <v>897</v>
      </c>
      <c r="E3464" s="1" t="s">
        <v>319</v>
      </c>
      <c r="F3464" s="1" t="s">
        <v>55378</v>
      </c>
      <c r="G3464" s="1" t="s">
        <v>55379</v>
      </c>
      <c r="H3464" s="1" t="s">
        <v>55380</v>
      </c>
      <c r="I3464" s="1" t="s">
        <v>55381</v>
      </c>
      <c r="J3464" s="1">
        <v>7776977771</v>
      </c>
      <c r="K3464" s="1" t="s">
        <v>84</v>
      </c>
      <c r="L3464" s="1" t="s">
        <v>33311</v>
      </c>
      <c r="M3464" s="1" t="s">
        <v>86</v>
      </c>
      <c r="N3464" s="1" t="s">
        <v>1163</v>
      </c>
      <c r="O3464" s="1"/>
      <c r="P3464" s="1" t="s">
        <v>455</v>
      </c>
      <c r="Q3464" s="1" t="s">
        <v>55382</v>
      </c>
      <c r="R3464" s="1" t="s">
        <v>55383</v>
      </c>
      <c r="S3464" s="1">
        <v>9833662085</v>
      </c>
      <c r="T3464" s="1" t="s">
        <v>539</v>
      </c>
      <c r="U3464" s="1" t="s">
        <v>55384</v>
      </c>
      <c r="V3464" s="1">
        <v>9850123022</v>
      </c>
      <c r="W3464" s="1" t="s">
        <v>1552</v>
      </c>
      <c r="X3464" s="1" t="s">
        <v>55385</v>
      </c>
      <c r="Y3464" s="1" t="s">
        <v>163</v>
      </c>
      <c r="Z3464" s="1" t="s">
        <v>97</v>
      </c>
      <c r="AA3464" s="1" t="s">
        <v>98</v>
      </c>
      <c r="AB3464" s="1" t="s">
        <v>163</v>
      </c>
      <c r="AC3464" s="1" t="s">
        <v>97</v>
      </c>
      <c r="AD3464" s="1" t="s">
        <v>98</v>
      </c>
      <c r="AE3464" s="1" t="s">
        <v>98</v>
      </c>
      <c r="AF3464" s="1" t="s">
        <v>4738</v>
      </c>
      <c r="AG3464" s="1" t="s">
        <v>51712</v>
      </c>
      <c r="AH3464" s="1">
        <v>41440</v>
      </c>
      <c r="AI3464" s="1">
        <v>41713</v>
      </c>
      <c r="AJ3464" s="1">
        <v>83.8</v>
      </c>
      <c r="AK3464" s="1"/>
      <c r="AL3464" s="1" t="s">
        <v>53636</v>
      </c>
      <c r="AM3464" s="1" t="s">
        <v>51712</v>
      </c>
      <c r="AN3464" s="1"/>
      <c r="AO3464" s="1">
        <v>42526</v>
      </c>
      <c r="AP3464" s="1">
        <v>42770</v>
      </c>
      <c r="AQ3464" s="1">
        <v>67.08</v>
      </c>
      <c r="AR3464" s="1"/>
      <c r="AS3464" s="1"/>
      <c r="AT3464" s="1"/>
      <c r="AU3464" s="1" t="s">
        <v>98</v>
      </c>
      <c r="AV3464" s="1" t="s">
        <v>98</v>
      </c>
      <c r="AW3464" s="1" t="s">
        <v>98</v>
      </c>
      <c r="AX3464" s="1" t="s">
        <v>98</v>
      </c>
      <c r="AY3464" s="1" t="s">
        <v>4548</v>
      </c>
      <c r="AZ3464" s="1" t="s">
        <v>11093</v>
      </c>
      <c r="BA3464" s="1"/>
      <c r="BB3464" s="1"/>
      <c r="BC3464" s="1">
        <v>42896</v>
      </c>
      <c r="BD3464" s="1">
        <v>44265</v>
      </c>
      <c r="BE3464" s="1">
        <v>69.57</v>
      </c>
      <c r="BF3464" s="1">
        <v>8.07</v>
      </c>
      <c r="BG3464" s="1"/>
      <c r="BH3464" s="1"/>
      <c r="BI3464" s="1"/>
      <c r="BJ3464" s="1"/>
      <c r="BK3464" s="1" t="s">
        <v>98</v>
      </c>
      <c r="BL3464" s="1" t="s">
        <v>98</v>
      </c>
      <c r="BM3464" s="1" t="s">
        <v>98</v>
      </c>
      <c r="BN3464" s="1" t="s">
        <v>98</v>
      </c>
      <c r="BO3464" s="1" t="s">
        <v>369</v>
      </c>
      <c r="BP3464" s="1"/>
      <c r="BQ3464" s="1"/>
      <c r="BR3464" s="1" t="s">
        <v>55386</v>
      </c>
      <c r="BS3464" s="1">
        <v>13</v>
      </c>
      <c r="BT3464" s="1"/>
      <c r="BU3464" s="1" t="str">
        <f>HYPERLINK("https://nconnect.nicmar.ac.in/storage/profile/2021-2023_AP21253_278145.jpg","Download")</f>
        <v>0</v>
      </c>
      <c r="BV3464" s="3"/>
      <c r="BW3464" s="3"/>
    </row>
    <row r="3465" spans="1:75">
      <c r="A3465" s="1" t="s">
        <v>51340</v>
      </c>
      <c r="B3465" s="1" t="s">
        <v>51341</v>
      </c>
      <c r="C3465" s="1" t="s">
        <v>55387</v>
      </c>
      <c r="D3465" s="1" t="s">
        <v>5466</v>
      </c>
      <c r="E3465" s="1"/>
      <c r="F3465" s="1" t="s">
        <v>2099</v>
      </c>
      <c r="G3465" s="1" t="s">
        <v>55388</v>
      </c>
      <c r="H3465" s="1" t="s">
        <v>55389</v>
      </c>
      <c r="I3465" s="1" t="s">
        <v>55390</v>
      </c>
      <c r="J3465" s="1">
        <v>9657083609</v>
      </c>
      <c r="K3465" s="1" t="s">
        <v>84</v>
      </c>
      <c r="L3465" s="1" t="s">
        <v>55391</v>
      </c>
      <c r="M3465" s="1" t="s">
        <v>86</v>
      </c>
      <c r="N3465" s="1" t="s">
        <v>55392</v>
      </c>
      <c r="O3465" s="1"/>
      <c r="P3465" s="1" t="s">
        <v>481</v>
      </c>
      <c r="Q3465" s="1" t="s">
        <v>55393</v>
      </c>
      <c r="R3465" s="1" t="s">
        <v>55394</v>
      </c>
      <c r="S3465" s="1">
        <v>9834029050</v>
      </c>
      <c r="T3465" s="1" t="s">
        <v>55395</v>
      </c>
      <c r="U3465" s="1" t="s">
        <v>55396</v>
      </c>
      <c r="V3465" s="1">
        <v>9960244170</v>
      </c>
      <c r="W3465" s="1" t="s">
        <v>161</v>
      </c>
      <c r="X3465" s="1" t="s">
        <v>55397</v>
      </c>
      <c r="Y3465" s="1" t="s">
        <v>5910</v>
      </c>
      <c r="Z3465" s="1" t="s">
        <v>97</v>
      </c>
      <c r="AA3465" s="1" t="s">
        <v>55398</v>
      </c>
      <c r="AB3465" s="1" t="s">
        <v>5910</v>
      </c>
      <c r="AC3465" s="1" t="s">
        <v>97</v>
      </c>
      <c r="AD3465" s="1" t="s">
        <v>98</v>
      </c>
      <c r="AE3465" s="1" t="s">
        <v>98</v>
      </c>
      <c r="AF3465" s="1" t="s">
        <v>55399</v>
      </c>
      <c r="AG3465" s="1" t="s">
        <v>2745</v>
      </c>
      <c r="AH3465" s="1">
        <v>41075</v>
      </c>
      <c r="AI3465" s="1">
        <v>41432</v>
      </c>
      <c r="AJ3465" s="1">
        <v>90.91</v>
      </c>
      <c r="AK3465" s="1"/>
      <c r="AL3465" s="1" t="s">
        <v>55400</v>
      </c>
      <c r="AM3465" s="1" t="s">
        <v>2745</v>
      </c>
      <c r="AN3465" s="1"/>
      <c r="AO3465" s="1">
        <v>41835</v>
      </c>
      <c r="AP3465" s="1">
        <v>42170</v>
      </c>
      <c r="AQ3465" s="1">
        <v>70.15</v>
      </c>
      <c r="AR3465" s="1"/>
      <c r="AS3465" s="1"/>
      <c r="AT3465" s="1"/>
      <c r="AU3465" s="1" t="s">
        <v>98</v>
      </c>
      <c r="AV3465" s="1" t="s">
        <v>98</v>
      </c>
      <c r="AW3465" s="1" t="s">
        <v>98</v>
      </c>
      <c r="AX3465" s="1" t="s">
        <v>98</v>
      </c>
      <c r="AY3465" s="1" t="s">
        <v>5803</v>
      </c>
      <c r="AZ3465" s="1" t="s">
        <v>5803</v>
      </c>
      <c r="BA3465" s="1"/>
      <c r="BB3465" s="1"/>
      <c r="BC3465" s="1">
        <v>42198</v>
      </c>
      <c r="BD3465" s="1">
        <v>43637</v>
      </c>
      <c r="BE3465" s="1">
        <v>60.55</v>
      </c>
      <c r="BF3465" s="1">
        <v>6.56</v>
      </c>
      <c r="BG3465" s="1"/>
      <c r="BH3465" s="1"/>
      <c r="BI3465" s="1"/>
      <c r="BJ3465" s="1"/>
      <c r="BK3465" s="1" t="s">
        <v>98</v>
      </c>
      <c r="BL3465" s="1" t="s">
        <v>98</v>
      </c>
      <c r="BM3465" s="1" t="s">
        <v>98</v>
      </c>
      <c r="BN3465" s="1" t="s">
        <v>98</v>
      </c>
      <c r="BO3465" s="1" t="s">
        <v>55401</v>
      </c>
      <c r="BP3465" s="1"/>
      <c r="BQ3465" s="1"/>
      <c r="BR3465" s="1" t="s">
        <v>55402</v>
      </c>
      <c r="BS3465" s="1">
        <v>2</v>
      </c>
      <c r="BT3465" s="1"/>
      <c r="BU3465" s="1" t="str">
        <f>HYPERLINK("https://nconnect.nicmar.ac.in/storage/profile/2021-2023_AP21254_561932.jpg","Download")</f>
        <v>0</v>
      </c>
      <c r="BV3465" s="3"/>
      <c r="BW3465" s="3"/>
    </row>
    <row r="3466" spans="1:75">
      <c r="A3466" s="1" t="s">
        <v>51340</v>
      </c>
      <c r="B3466" s="1" t="s">
        <v>51341</v>
      </c>
      <c r="C3466" s="1" t="s">
        <v>55403</v>
      </c>
      <c r="D3466" s="1" t="s">
        <v>5430</v>
      </c>
      <c r="E3466" s="1" t="s">
        <v>33718</v>
      </c>
      <c r="F3466" s="1" t="s">
        <v>55404</v>
      </c>
      <c r="G3466" s="1" t="s">
        <v>55405</v>
      </c>
      <c r="H3466" s="1" t="s">
        <v>55406</v>
      </c>
      <c r="I3466" s="1" t="s">
        <v>55407</v>
      </c>
      <c r="J3466" s="1">
        <v>8074212681</v>
      </c>
      <c r="K3466" s="1" t="s">
        <v>84</v>
      </c>
      <c r="L3466" s="1" t="s">
        <v>37129</v>
      </c>
      <c r="M3466" s="1" t="s">
        <v>86</v>
      </c>
      <c r="N3466" s="1" t="s">
        <v>55408</v>
      </c>
      <c r="O3466" s="1"/>
      <c r="P3466" s="1" t="s">
        <v>481</v>
      </c>
      <c r="Q3466" s="1" t="s">
        <v>55409</v>
      </c>
      <c r="R3466" s="1" t="s">
        <v>55410</v>
      </c>
      <c r="S3466" s="1">
        <v>7036253891</v>
      </c>
      <c r="T3466" s="1" t="s">
        <v>55411</v>
      </c>
      <c r="U3466" s="1" t="s">
        <v>55412</v>
      </c>
      <c r="V3466" s="1">
        <v>8801865170</v>
      </c>
      <c r="W3466" s="1" t="s">
        <v>5620</v>
      </c>
      <c r="X3466" s="1" t="s">
        <v>55413</v>
      </c>
      <c r="Y3466" s="1" t="s">
        <v>3031</v>
      </c>
      <c r="Z3466" s="1" t="s">
        <v>461</v>
      </c>
      <c r="AA3466" s="1" t="s">
        <v>55413</v>
      </c>
      <c r="AB3466" s="1" t="s">
        <v>3031</v>
      </c>
      <c r="AC3466" s="1" t="s">
        <v>461</v>
      </c>
      <c r="AD3466" s="1" t="s">
        <v>98</v>
      </c>
      <c r="AE3466" s="1" t="s">
        <v>98</v>
      </c>
      <c r="AF3466" s="1" t="s">
        <v>55414</v>
      </c>
      <c r="AG3466" s="1" t="s">
        <v>55415</v>
      </c>
      <c r="AH3466" s="1">
        <v>41761</v>
      </c>
      <c r="AI3466" s="1">
        <v>42152</v>
      </c>
      <c r="AJ3466" s="1">
        <v>85.5</v>
      </c>
      <c r="AK3466" s="1">
        <v>9</v>
      </c>
      <c r="AL3466" s="1" t="s">
        <v>1603</v>
      </c>
      <c r="AM3466" s="1" t="s">
        <v>55415</v>
      </c>
      <c r="AN3466" s="1"/>
      <c r="AO3466" s="1">
        <v>42100</v>
      </c>
      <c r="AP3466" s="1">
        <v>42841</v>
      </c>
      <c r="AQ3466" s="1">
        <v>96.1</v>
      </c>
      <c r="AR3466" s="1">
        <v>9.61</v>
      </c>
      <c r="AS3466" s="1"/>
      <c r="AT3466" s="1"/>
      <c r="AU3466" s="1" t="s">
        <v>98</v>
      </c>
      <c r="AV3466" s="1" t="s">
        <v>98</v>
      </c>
      <c r="AW3466" s="1" t="s">
        <v>98</v>
      </c>
      <c r="AX3466" s="1" t="s">
        <v>98</v>
      </c>
      <c r="AY3466" s="1" t="s">
        <v>1823</v>
      </c>
      <c r="AZ3466" s="1" t="s">
        <v>52627</v>
      </c>
      <c r="BA3466" s="1"/>
      <c r="BB3466" s="1"/>
      <c r="BC3466" s="1">
        <v>42948</v>
      </c>
      <c r="BD3466" s="1">
        <v>44418</v>
      </c>
      <c r="BE3466" s="1">
        <v>84.2</v>
      </c>
      <c r="BF3466" s="1">
        <v>8.92</v>
      </c>
      <c r="BG3466" s="1"/>
      <c r="BH3466" s="1"/>
      <c r="BI3466" s="1"/>
      <c r="BJ3466" s="1"/>
      <c r="BK3466" s="1" t="s">
        <v>98</v>
      </c>
      <c r="BL3466" s="1" t="s">
        <v>98</v>
      </c>
      <c r="BM3466" s="1" t="s">
        <v>98</v>
      </c>
      <c r="BN3466" s="1" t="s">
        <v>98</v>
      </c>
      <c r="BO3466" s="1" t="s">
        <v>1705</v>
      </c>
      <c r="BP3466" s="1"/>
      <c r="BQ3466" s="1"/>
      <c r="BR3466" s="1" t="s">
        <v>55416</v>
      </c>
      <c r="BS3466" s="1">
        <v>159</v>
      </c>
      <c r="BT3466" s="1"/>
      <c r="BU3466" s="1" t="str">
        <f>HYPERLINK("https://nconnect.nicmar.ac.in/storage/profile/2021-2023_AP21255_264837.jpg","Download")</f>
        <v>0</v>
      </c>
      <c r="BV3466" s="3"/>
      <c r="BW3466" s="3"/>
    </row>
    <row r="3467" spans="1:75">
      <c r="A3467" s="1" t="s">
        <v>51340</v>
      </c>
      <c r="B3467" s="1" t="s">
        <v>51341</v>
      </c>
      <c r="C3467" s="1" t="s">
        <v>55417</v>
      </c>
      <c r="D3467" s="1" t="s">
        <v>1179</v>
      </c>
      <c r="E3467" s="1" t="s">
        <v>55418</v>
      </c>
      <c r="F3467" s="1" t="s">
        <v>55419</v>
      </c>
      <c r="G3467" s="1" t="s">
        <v>55420</v>
      </c>
      <c r="H3467" s="1" t="s">
        <v>55421</v>
      </c>
      <c r="I3467" s="1" t="s">
        <v>55422</v>
      </c>
      <c r="J3467" s="1">
        <v>8668420452</v>
      </c>
      <c r="K3467" s="1" t="s">
        <v>84</v>
      </c>
      <c r="L3467" s="1" t="s">
        <v>55423</v>
      </c>
      <c r="M3467" s="1" t="s">
        <v>86</v>
      </c>
      <c r="N3467" s="1" t="s">
        <v>903</v>
      </c>
      <c r="O3467" s="1"/>
      <c r="P3467" s="1" t="s">
        <v>455</v>
      </c>
      <c r="Q3467" s="1" t="s">
        <v>55424</v>
      </c>
      <c r="R3467" s="1" t="s">
        <v>55425</v>
      </c>
      <c r="S3467" s="1">
        <v>8275510248</v>
      </c>
      <c r="T3467" s="1" t="s">
        <v>127</v>
      </c>
      <c r="U3467" s="1" t="s">
        <v>55426</v>
      </c>
      <c r="V3467" s="1">
        <v>9579652501</v>
      </c>
      <c r="W3467" s="1" t="s">
        <v>908</v>
      </c>
      <c r="X3467" s="1" t="s">
        <v>55427</v>
      </c>
      <c r="Y3467" s="1" t="s">
        <v>1779</v>
      </c>
      <c r="Z3467" s="1" t="s">
        <v>97</v>
      </c>
      <c r="AA3467" s="1" t="s">
        <v>55427</v>
      </c>
      <c r="AB3467" s="1" t="s">
        <v>7911</v>
      </c>
      <c r="AC3467" s="1" t="s">
        <v>97</v>
      </c>
      <c r="AD3467" s="1" t="s">
        <v>98</v>
      </c>
      <c r="AE3467" s="1" t="s">
        <v>98</v>
      </c>
      <c r="AF3467" s="1" t="s">
        <v>55428</v>
      </c>
      <c r="AG3467" s="1" t="s">
        <v>1968</v>
      </c>
      <c r="AH3467" s="1" t="s">
        <v>133</v>
      </c>
      <c r="AI3467" s="1" t="s">
        <v>1583</v>
      </c>
      <c r="AJ3467" s="1">
        <v>71.6</v>
      </c>
      <c r="AK3467" s="1"/>
      <c r="AL3467" s="1" t="s">
        <v>55429</v>
      </c>
      <c r="AM3467" s="1" t="s">
        <v>1968</v>
      </c>
      <c r="AN3467" s="1"/>
      <c r="AO3467" s="1" t="s">
        <v>257</v>
      </c>
      <c r="AP3467" s="1" t="s">
        <v>136</v>
      </c>
      <c r="AQ3467" s="1">
        <v>66.31</v>
      </c>
      <c r="AR3467" s="1"/>
      <c r="AS3467" s="1"/>
      <c r="AT3467" s="1"/>
      <c r="AU3467" s="1" t="s">
        <v>98</v>
      </c>
      <c r="AV3467" s="1" t="s">
        <v>98</v>
      </c>
      <c r="AW3467" s="1"/>
      <c r="AX3467" s="1"/>
      <c r="AY3467" s="1" t="s">
        <v>366</v>
      </c>
      <c r="AZ3467" s="1" t="s">
        <v>55430</v>
      </c>
      <c r="BA3467" s="1"/>
      <c r="BB3467" s="1"/>
      <c r="BC3467" s="1" t="s">
        <v>105</v>
      </c>
      <c r="BD3467" s="1" t="s">
        <v>468</v>
      </c>
      <c r="BE3467" s="1">
        <v>58.34</v>
      </c>
      <c r="BF3467" s="1">
        <v>6.63</v>
      </c>
      <c r="BG3467" s="1"/>
      <c r="BH3467" s="1"/>
      <c r="BI3467" s="1"/>
      <c r="BJ3467" s="1"/>
      <c r="BK3467" s="1" t="s">
        <v>98</v>
      </c>
      <c r="BL3467" s="1" t="s">
        <v>98</v>
      </c>
      <c r="BM3467" s="1" t="s">
        <v>98</v>
      </c>
      <c r="BN3467" s="1" t="s">
        <v>98</v>
      </c>
      <c r="BO3467" s="1" t="s">
        <v>1114</v>
      </c>
      <c r="BP3467" s="1"/>
      <c r="BQ3467" s="1"/>
      <c r="BR3467" s="1" t="s">
        <v>55431</v>
      </c>
      <c r="BS3467" s="1">
        <v>31</v>
      </c>
      <c r="BT3467" s="1"/>
      <c r="BU3467" s="1" t="str">
        <f>HYPERLINK("https://nconnect.nicmar.ac.in/storage/profile/2021-2023_AP21256_254136.jpg","Download")</f>
        <v>0</v>
      </c>
      <c r="BV3467" s="3"/>
      <c r="BW3467" s="3"/>
    </row>
    <row r="3468" spans="1:75">
      <c r="A3468" s="1" t="s">
        <v>51340</v>
      </c>
      <c r="B3468" s="1" t="s">
        <v>51341</v>
      </c>
      <c r="C3468" s="1" t="s">
        <v>55432</v>
      </c>
      <c r="D3468" s="1" t="s">
        <v>9296</v>
      </c>
      <c r="E3468" s="1" t="s">
        <v>55433</v>
      </c>
      <c r="F3468" s="1" t="s">
        <v>10580</v>
      </c>
      <c r="G3468" s="1" t="s">
        <v>55434</v>
      </c>
      <c r="H3468" s="1" t="s">
        <v>55435</v>
      </c>
      <c r="I3468" s="1" t="s">
        <v>55436</v>
      </c>
      <c r="J3468" s="1">
        <v>9420204381</v>
      </c>
      <c r="K3468" s="1" t="s">
        <v>84</v>
      </c>
      <c r="L3468" s="1" t="s">
        <v>53754</v>
      </c>
      <c r="M3468" s="1" t="s">
        <v>86</v>
      </c>
      <c r="N3468" s="1" t="s">
        <v>2298</v>
      </c>
      <c r="O3468" s="1"/>
      <c r="P3468" s="1" t="s">
        <v>455</v>
      </c>
      <c r="Q3468" s="1" t="s">
        <v>55437</v>
      </c>
      <c r="R3468" s="1" t="s">
        <v>55438</v>
      </c>
      <c r="S3468" s="1">
        <v>9420203789</v>
      </c>
      <c r="T3468" s="1" t="s">
        <v>127</v>
      </c>
      <c r="U3468" s="1" t="s">
        <v>55439</v>
      </c>
      <c r="V3468" s="1">
        <v>9420203790</v>
      </c>
      <c r="W3468" s="1" t="s">
        <v>127</v>
      </c>
      <c r="X3468" s="1" t="s">
        <v>55440</v>
      </c>
      <c r="Y3468" s="1" t="s">
        <v>1779</v>
      </c>
      <c r="Z3468" s="1" t="s">
        <v>97</v>
      </c>
      <c r="AA3468" s="1" t="s">
        <v>55440</v>
      </c>
      <c r="AB3468" s="1" t="s">
        <v>1779</v>
      </c>
      <c r="AC3468" s="1" t="s">
        <v>97</v>
      </c>
      <c r="AD3468" s="1" t="s">
        <v>98</v>
      </c>
      <c r="AE3468" s="1" t="s">
        <v>98</v>
      </c>
      <c r="AF3468" s="1" t="s">
        <v>55441</v>
      </c>
      <c r="AG3468" s="1" t="s">
        <v>51712</v>
      </c>
      <c r="AH3468" s="1">
        <v>41075</v>
      </c>
      <c r="AI3468" s="1">
        <v>41419</v>
      </c>
      <c r="AJ3468" s="1">
        <v>80.8</v>
      </c>
      <c r="AK3468" s="1"/>
      <c r="AL3468" s="1" t="s">
        <v>55442</v>
      </c>
      <c r="AM3468" s="1" t="s">
        <v>51712</v>
      </c>
      <c r="AN3468" s="1"/>
      <c r="AO3468" s="1">
        <v>41805</v>
      </c>
      <c r="AP3468" s="1">
        <v>42063</v>
      </c>
      <c r="AQ3468" s="1">
        <v>50</v>
      </c>
      <c r="AR3468" s="1"/>
      <c r="AS3468" s="1"/>
      <c r="AT3468" s="1"/>
      <c r="AU3468" s="1" t="s">
        <v>98</v>
      </c>
      <c r="AV3468" s="1" t="s">
        <v>98</v>
      </c>
      <c r="AW3468" s="1" t="s">
        <v>98</v>
      </c>
      <c r="AX3468" s="1" t="s">
        <v>98</v>
      </c>
      <c r="AY3468" s="1" t="s">
        <v>366</v>
      </c>
      <c r="AZ3468" s="1" t="s">
        <v>55443</v>
      </c>
      <c r="BA3468" s="1"/>
      <c r="BB3468" s="1"/>
      <c r="BC3468" s="1">
        <v>42193</v>
      </c>
      <c r="BD3468" s="1">
        <v>44146</v>
      </c>
      <c r="BE3468" s="1">
        <v>59.57</v>
      </c>
      <c r="BF3468" s="1">
        <v>6.77</v>
      </c>
      <c r="BG3468" s="1"/>
      <c r="BH3468" s="1"/>
      <c r="BI3468" s="1"/>
      <c r="BJ3468" s="1"/>
      <c r="BK3468" s="1" t="s">
        <v>98</v>
      </c>
      <c r="BL3468" s="1" t="s">
        <v>98</v>
      </c>
      <c r="BM3468" s="1" t="s">
        <v>98</v>
      </c>
      <c r="BN3468" s="1" t="s">
        <v>98</v>
      </c>
      <c r="BO3468" s="1" t="s">
        <v>369</v>
      </c>
      <c r="BP3468" s="1"/>
      <c r="BQ3468" s="1"/>
      <c r="BR3468" s="1" t="s">
        <v>55444</v>
      </c>
      <c r="BS3468" s="1">
        <v>8</v>
      </c>
      <c r="BT3468" s="1"/>
      <c r="BU3468" s="1" t="str">
        <f>HYPERLINK("https://nconnect.nicmar.ac.in/storage/profile/2021-2023_AP21257_639157.jpg","Download")</f>
        <v>0</v>
      </c>
      <c r="BV3468" s="3"/>
      <c r="BW3468" s="3"/>
    </row>
    <row r="3469" spans="1:75">
      <c r="A3469" s="1" t="s">
        <v>51340</v>
      </c>
      <c r="B3469" s="1" t="s">
        <v>51341</v>
      </c>
      <c r="C3469" s="1" t="s">
        <v>55445</v>
      </c>
      <c r="D3469" s="1" t="s">
        <v>55446</v>
      </c>
      <c r="E3469" s="1"/>
      <c r="F3469" s="1" t="s">
        <v>2250</v>
      </c>
      <c r="G3469" s="1" t="s">
        <v>55447</v>
      </c>
      <c r="H3469" s="1" t="s">
        <v>55448</v>
      </c>
      <c r="I3469" s="1" t="s">
        <v>55449</v>
      </c>
      <c r="J3469" s="1">
        <v>9012317476</v>
      </c>
      <c r="K3469" s="1" t="s">
        <v>84</v>
      </c>
      <c r="L3469" s="1" t="s">
        <v>51515</v>
      </c>
      <c r="M3469" s="1" t="s">
        <v>86</v>
      </c>
      <c r="N3469" s="1" t="s">
        <v>246</v>
      </c>
      <c r="O3469" s="1"/>
      <c r="P3469" s="1" t="s">
        <v>1028</v>
      </c>
      <c r="Q3469" s="1" t="s">
        <v>55450</v>
      </c>
      <c r="R3469" s="1" t="s">
        <v>55451</v>
      </c>
      <c r="S3469" s="1">
        <v>7774870507</v>
      </c>
      <c r="T3469" s="1" t="s">
        <v>1495</v>
      </c>
      <c r="U3469" s="1" t="s">
        <v>55452</v>
      </c>
      <c r="V3469" s="1">
        <v>9997384694</v>
      </c>
      <c r="W3469" s="1" t="s">
        <v>94</v>
      </c>
      <c r="X3469" s="1" t="s">
        <v>55453</v>
      </c>
      <c r="Y3469" s="1" t="s">
        <v>55454</v>
      </c>
      <c r="Z3469" s="1" t="s">
        <v>544</v>
      </c>
      <c r="AA3469" s="1" t="s">
        <v>55453</v>
      </c>
      <c r="AB3469" s="1" t="s">
        <v>55454</v>
      </c>
      <c r="AC3469" s="1" t="s">
        <v>544</v>
      </c>
      <c r="AD3469" s="1" t="s">
        <v>98</v>
      </c>
      <c r="AE3469" s="1" t="s">
        <v>98</v>
      </c>
      <c r="AF3469" s="1" t="s">
        <v>55455</v>
      </c>
      <c r="AG3469" s="1" t="s">
        <v>312</v>
      </c>
      <c r="AH3469" s="1">
        <v>40637</v>
      </c>
      <c r="AI3469" s="1">
        <v>41053</v>
      </c>
      <c r="AJ3469" s="1">
        <v>62.7</v>
      </c>
      <c r="AK3469" s="1">
        <v>6.6</v>
      </c>
      <c r="AL3469" s="1" t="s">
        <v>55456</v>
      </c>
      <c r="AM3469" s="1" t="s">
        <v>312</v>
      </c>
      <c r="AN3469" s="1"/>
      <c r="AO3469" s="1">
        <v>41365</v>
      </c>
      <c r="AP3469" s="1">
        <v>41787</v>
      </c>
      <c r="AQ3469" s="1">
        <v>68</v>
      </c>
      <c r="AR3469" s="1"/>
      <c r="AS3469" s="1"/>
      <c r="AT3469" s="1"/>
      <c r="AU3469" s="1" t="s">
        <v>98</v>
      </c>
      <c r="AV3469" s="1" t="s">
        <v>98</v>
      </c>
      <c r="AW3469" s="1" t="s">
        <v>98</v>
      </c>
      <c r="AX3469" s="1" t="s">
        <v>98</v>
      </c>
      <c r="AY3469" s="1" t="s">
        <v>5106</v>
      </c>
      <c r="AZ3469" s="1" t="s">
        <v>5106</v>
      </c>
      <c r="BA3469" s="1"/>
      <c r="BB3469" s="1"/>
      <c r="BC3469" s="1">
        <v>42204</v>
      </c>
      <c r="BD3469" s="1">
        <v>43587</v>
      </c>
      <c r="BE3469" s="1">
        <v>76.1</v>
      </c>
      <c r="BF3469" s="1">
        <v>7.61</v>
      </c>
      <c r="BG3469" s="1"/>
      <c r="BH3469" s="1"/>
      <c r="BI3469" s="1"/>
      <c r="BJ3469" s="1"/>
      <c r="BK3469" s="1" t="s">
        <v>98</v>
      </c>
      <c r="BL3469" s="1" t="s">
        <v>98</v>
      </c>
      <c r="BM3469" s="1" t="s">
        <v>98</v>
      </c>
      <c r="BN3469" s="1" t="s">
        <v>98</v>
      </c>
      <c r="BO3469" s="1" t="s">
        <v>55457</v>
      </c>
      <c r="BP3469" s="1" t="s">
        <v>55458</v>
      </c>
      <c r="BQ3469" s="1" t="s">
        <v>292</v>
      </c>
      <c r="BR3469" s="1" t="s">
        <v>55459</v>
      </c>
      <c r="BS3469" s="1">
        <v>22</v>
      </c>
      <c r="BT3469" s="1"/>
      <c r="BU3469" s="1" t="str">
        <f>HYPERLINK("https://nconnect.nicmar.ac.in/storage/profile/2021-2023_AP21258_893761.jpg","Download")</f>
        <v>0</v>
      </c>
      <c r="BV3469" s="3"/>
      <c r="BW3469" s="3"/>
    </row>
    <row r="3470" spans="1:75">
      <c r="A3470" s="1" t="s">
        <v>51340</v>
      </c>
      <c r="B3470" s="1" t="s">
        <v>51341</v>
      </c>
      <c r="C3470" s="1" t="s">
        <v>55460</v>
      </c>
      <c r="D3470" s="1" t="s">
        <v>55461</v>
      </c>
      <c r="E3470" s="1"/>
      <c r="F3470" s="1" t="s">
        <v>28367</v>
      </c>
      <c r="G3470" s="1" t="s">
        <v>55462</v>
      </c>
      <c r="H3470" s="1" t="s">
        <v>55463</v>
      </c>
      <c r="I3470" s="1" t="s">
        <v>55464</v>
      </c>
      <c r="J3470" s="1">
        <v>9430347023</v>
      </c>
      <c r="K3470" s="1" t="s">
        <v>84</v>
      </c>
      <c r="L3470" s="1" t="s">
        <v>55465</v>
      </c>
      <c r="M3470" s="1" t="s">
        <v>86</v>
      </c>
      <c r="N3470" s="1" t="s">
        <v>33137</v>
      </c>
      <c r="O3470" s="1"/>
      <c r="P3470" s="1" t="s">
        <v>481</v>
      </c>
      <c r="Q3470" s="1" t="s">
        <v>55466</v>
      </c>
      <c r="R3470" s="1" t="s">
        <v>55467</v>
      </c>
      <c r="S3470" s="1">
        <v>8709329120</v>
      </c>
      <c r="T3470" s="1" t="s">
        <v>645</v>
      </c>
      <c r="U3470" s="1" t="s">
        <v>55468</v>
      </c>
      <c r="V3470" s="1">
        <v>9907734331</v>
      </c>
      <c r="W3470" s="1" t="s">
        <v>94</v>
      </c>
      <c r="X3470" s="1" t="s">
        <v>55469</v>
      </c>
      <c r="Y3470" s="1" t="s">
        <v>8299</v>
      </c>
      <c r="Z3470" s="1" t="s">
        <v>2955</v>
      </c>
      <c r="AA3470" s="1" t="s">
        <v>55469</v>
      </c>
      <c r="AB3470" s="1" t="s">
        <v>8299</v>
      </c>
      <c r="AC3470" s="1" t="s">
        <v>2955</v>
      </c>
      <c r="AD3470" s="1" t="s">
        <v>98</v>
      </c>
      <c r="AE3470" s="1" t="s">
        <v>98</v>
      </c>
      <c r="AF3470" s="1" t="s">
        <v>26428</v>
      </c>
      <c r="AG3470" s="1" t="s">
        <v>312</v>
      </c>
      <c r="AH3470" s="1">
        <v>41001</v>
      </c>
      <c r="AI3470" s="1">
        <v>41424</v>
      </c>
      <c r="AJ3470" s="1">
        <v>89.3</v>
      </c>
      <c r="AK3470" s="1">
        <v>9.4</v>
      </c>
      <c r="AL3470" s="1" t="s">
        <v>26428</v>
      </c>
      <c r="AM3470" s="1" t="s">
        <v>312</v>
      </c>
      <c r="AN3470" s="1"/>
      <c r="AO3470" s="1">
        <v>41730</v>
      </c>
      <c r="AP3470" s="1">
        <v>42149</v>
      </c>
      <c r="AQ3470" s="1">
        <v>74.6</v>
      </c>
      <c r="AR3470" s="1">
        <v>0</v>
      </c>
      <c r="AS3470" s="1"/>
      <c r="AT3470" s="1"/>
      <c r="AU3470" s="1" t="s">
        <v>98</v>
      </c>
      <c r="AV3470" s="1" t="s">
        <v>98</v>
      </c>
      <c r="AW3470" s="1" t="s">
        <v>98</v>
      </c>
      <c r="AX3470" s="1" t="s">
        <v>98</v>
      </c>
      <c r="AY3470" s="1" t="s">
        <v>1240</v>
      </c>
      <c r="AZ3470" s="1" t="s">
        <v>55470</v>
      </c>
      <c r="BA3470" s="1"/>
      <c r="BB3470" s="1"/>
      <c r="BC3470" s="1">
        <v>42226</v>
      </c>
      <c r="BD3470" s="1">
        <v>43665</v>
      </c>
      <c r="BE3470" s="1">
        <v>74</v>
      </c>
      <c r="BF3470" s="1">
        <v>8.15</v>
      </c>
      <c r="BG3470" s="1"/>
      <c r="BH3470" s="1"/>
      <c r="BI3470" s="1"/>
      <c r="BJ3470" s="1"/>
      <c r="BK3470" s="1" t="s">
        <v>98</v>
      </c>
      <c r="BL3470" s="1" t="s">
        <v>98</v>
      </c>
      <c r="BM3470" s="1" t="s">
        <v>98</v>
      </c>
      <c r="BN3470" s="1" t="s">
        <v>98</v>
      </c>
      <c r="BO3470" s="1" t="s">
        <v>369</v>
      </c>
      <c r="BP3470" s="1"/>
      <c r="BQ3470" s="1"/>
      <c r="BR3470" s="1" t="s">
        <v>55471</v>
      </c>
      <c r="BS3470" s="1">
        <v>11</v>
      </c>
      <c r="BT3470" s="1"/>
      <c r="BU3470" s="1" t="str">
        <f>HYPERLINK("https://nconnect.nicmar.ac.in/storage/profile/2021-2023_AP21259_816352.jpg","Download")</f>
        <v>0</v>
      </c>
      <c r="BV3470" s="3"/>
      <c r="BW3470" s="3"/>
    </row>
    <row r="3471" spans="1:75">
      <c r="A3471" s="1" t="s">
        <v>51340</v>
      </c>
      <c r="B3471" s="1" t="s">
        <v>51341</v>
      </c>
      <c r="C3471" s="1" t="s">
        <v>55472</v>
      </c>
      <c r="D3471" s="1" t="s">
        <v>27235</v>
      </c>
      <c r="E3471" s="1" t="s">
        <v>9691</v>
      </c>
      <c r="F3471" s="1" t="s">
        <v>2233</v>
      </c>
      <c r="G3471" s="1" t="s">
        <v>55473</v>
      </c>
      <c r="H3471" s="1" t="s">
        <v>55474</v>
      </c>
      <c r="I3471" s="1" t="s">
        <v>55475</v>
      </c>
      <c r="J3471" s="1">
        <v>9834006935</v>
      </c>
      <c r="K3471" s="1" t="s">
        <v>84</v>
      </c>
      <c r="L3471" s="1" t="s">
        <v>245</v>
      </c>
      <c r="M3471" s="1" t="s">
        <v>86</v>
      </c>
      <c r="N3471" s="1" t="s">
        <v>903</v>
      </c>
      <c r="O3471" s="1"/>
      <c r="P3471" s="1" t="s">
        <v>455</v>
      </c>
      <c r="Q3471" s="1" t="s">
        <v>55476</v>
      </c>
      <c r="R3471" s="1" t="s">
        <v>55477</v>
      </c>
      <c r="S3471" s="1">
        <v>9834714839</v>
      </c>
      <c r="T3471" s="1" t="s">
        <v>539</v>
      </c>
      <c r="U3471" s="1" t="s">
        <v>55478</v>
      </c>
      <c r="V3471" s="1">
        <v>8668992147</v>
      </c>
      <c r="W3471" s="1" t="s">
        <v>539</v>
      </c>
      <c r="X3471" s="1" t="s">
        <v>55479</v>
      </c>
      <c r="Y3471" s="1" t="s">
        <v>55480</v>
      </c>
      <c r="Z3471" s="1" t="s">
        <v>97</v>
      </c>
      <c r="AA3471" s="1" t="s">
        <v>55481</v>
      </c>
      <c r="AB3471" s="1" t="s">
        <v>196</v>
      </c>
      <c r="AC3471" s="1" t="s">
        <v>97</v>
      </c>
      <c r="AD3471" s="1" t="s">
        <v>98</v>
      </c>
      <c r="AE3471" s="1" t="s">
        <v>98</v>
      </c>
      <c r="AF3471" s="1" t="s">
        <v>49889</v>
      </c>
      <c r="AG3471" s="1" t="s">
        <v>55482</v>
      </c>
      <c r="AH3471" s="1">
        <v>41374</v>
      </c>
      <c r="AI3471" s="1">
        <v>41778</v>
      </c>
      <c r="AJ3471" s="1">
        <v>89.3</v>
      </c>
      <c r="AK3471" s="1">
        <v>9.4</v>
      </c>
      <c r="AL3471" s="1" t="s">
        <v>3033</v>
      </c>
      <c r="AM3471" s="1" t="s">
        <v>55482</v>
      </c>
      <c r="AN3471" s="1"/>
      <c r="AO3471" s="1" t="s">
        <v>55483</v>
      </c>
      <c r="AP3471" s="1" t="s">
        <v>55484</v>
      </c>
      <c r="AQ3471" s="1">
        <v>91.3</v>
      </c>
      <c r="AR3471" s="1"/>
      <c r="AS3471" s="1"/>
      <c r="AT3471" s="1"/>
      <c r="AU3471" s="1" t="s">
        <v>98</v>
      </c>
      <c r="AV3471" s="1" t="s">
        <v>98</v>
      </c>
      <c r="AW3471" s="1" t="s">
        <v>98</v>
      </c>
      <c r="AX3471" s="1" t="s">
        <v>98</v>
      </c>
      <c r="AY3471" s="1" t="s">
        <v>366</v>
      </c>
      <c r="AZ3471" s="1" t="s">
        <v>55485</v>
      </c>
      <c r="BA3471" s="1"/>
      <c r="BB3471" s="1"/>
      <c r="BC3471" s="1">
        <v>42583</v>
      </c>
      <c r="BD3471" s="1">
        <v>44146</v>
      </c>
      <c r="BE3471" s="1">
        <v>72.24</v>
      </c>
      <c r="BF3471" s="1">
        <v>8.21</v>
      </c>
      <c r="BG3471" s="1"/>
      <c r="BH3471" s="1"/>
      <c r="BI3471" s="1"/>
      <c r="BJ3471" s="1"/>
      <c r="BK3471" s="1" t="s">
        <v>98</v>
      </c>
      <c r="BL3471" s="1" t="s">
        <v>98</v>
      </c>
      <c r="BM3471" s="1" t="s">
        <v>98</v>
      </c>
      <c r="BN3471" s="1" t="s">
        <v>98</v>
      </c>
      <c r="BO3471" s="1" t="s">
        <v>369</v>
      </c>
      <c r="BP3471" s="1"/>
      <c r="BQ3471" s="1"/>
      <c r="BR3471" s="1" t="s">
        <v>55486</v>
      </c>
      <c r="BS3471" s="1">
        <v>9</v>
      </c>
      <c r="BT3471" s="1"/>
      <c r="BU3471" s="1" t="str">
        <f>HYPERLINK("https://nconnect.nicmar.ac.in/storage/profile/2021-2023_AP21260_976842.jpg","Download")</f>
        <v>0</v>
      </c>
      <c r="BV3471" s="3"/>
      <c r="BW3471" s="3"/>
    </row>
    <row r="3472" spans="1:75">
      <c r="A3472" s="1" t="s">
        <v>51340</v>
      </c>
      <c r="B3472" s="1" t="s">
        <v>51341</v>
      </c>
      <c r="C3472" s="1" t="s">
        <v>55487</v>
      </c>
      <c r="D3472" s="1" t="s">
        <v>55488</v>
      </c>
      <c r="E3472" s="1"/>
      <c r="F3472" s="1" t="s">
        <v>1361</v>
      </c>
      <c r="G3472" s="1" t="s">
        <v>55489</v>
      </c>
      <c r="H3472" s="1" t="s">
        <v>55490</v>
      </c>
      <c r="I3472" s="1" t="s">
        <v>55491</v>
      </c>
      <c r="J3472" s="1">
        <v>9597481614</v>
      </c>
      <c r="K3472" s="1" t="s">
        <v>153</v>
      </c>
      <c r="L3472" s="1" t="s">
        <v>6353</v>
      </c>
      <c r="M3472" s="1" t="s">
        <v>86</v>
      </c>
      <c r="N3472" s="1" t="s">
        <v>12624</v>
      </c>
      <c r="O3472" s="1"/>
      <c r="P3472" s="1" t="s">
        <v>507</v>
      </c>
      <c r="Q3472" s="1" t="s">
        <v>55492</v>
      </c>
      <c r="R3472" s="1" t="s">
        <v>55493</v>
      </c>
      <c r="S3472" s="1">
        <v>9842244314</v>
      </c>
      <c r="T3472" s="1" t="s">
        <v>8819</v>
      </c>
      <c r="U3472" s="1" t="s">
        <v>55494</v>
      </c>
      <c r="V3472" s="1">
        <v>9842244139</v>
      </c>
      <c r="W3472" s="1" t="s">
        <v>94</v>
      </c>
      <c r="X3472" s="1" t="s">
        <v>55495</v>
      </c>
      <c r="Y3472" s="1" t="s">
        <v>2131</v>
      </c>
      <c r="Z3472" s="1" t="s">
        <v>570</v>
      </c>
      <c r="AA3472" s="1" t="s">
        <v>55495</v>
      </c>
      <c r="AB3472" s="1" t="s">
        <v>2131</v>
      </c>
      <c r="AC3472" s="1" t="s">
        <v>570</v>
      </c>
      <c r="AD3472" s="1" t="s">
        <v>98</v>
      </c>
      <c r="AE3472" s="1" t="s">
        <v>98</v>
      </c>
      <c r="AF3472" s="1" t="s">
        <v>55496</v>
      </c>
      <c r="AG3472" s="1" t="s">
        <v>55497</v>
      </c>
      <c r="AH3472" s="1">
        <v>41792</v>
      </c>
      <c r="AI3472" s="1">
        <v>42145</v>
      </c>
      <c r="AJ3472" s="1">
        <v>96.6</v>
      </c>
      <c r="AK3472" s="1"/>
      <c r="AL3472" s="1" t="s">
        <v>55496</v>
      </c>
      <c r="AM3472" s="1" t="s">
        <v>55497</v>
      </c>
      <c r="AN3472" s="1"/>
      <c r="AO3472" s="1">
        <v>42522</v>
      </c>
      <c r="AP3472" s="1">
        <v>42867</v>
      </c>
      <c r="AQ3472" s="1">
        <v>93.58</v>
      </c>
      <c r="AR3472" s="1"/>
      <c r="AS3472" s="1"/>
      <c r="AT3472" s="1"/>
      <c r="AU3472" s="1" t="s">
        <v>98</v>
      </c>
      <c r="AV3472" s="1" t="s">
        <v>98</v>
      </c>
      <c r="AW3472" s="1" t="s">
        <v>98</v>
      </c>
      <c r="AX3472" s="1" t="s">
        <v>98</v>
      </c>
      <c r="AY3472" s="1" t="s">
        <v>576</v>
      </c>
      <c r="AZ3472" s="1" t="s">
        <v>8028</v>
      </c>
      <c r="BA3472" s="1"/>
      <c r="BB3472" s="1"/>
      <c r="BC3472" s="1">
        <v>42955</v>
      </c>
      <c r="BD3472" s="1">
        <v>44462</v>
      </c>
      <c r="BE3472" s="1">
        <v>84.6</v>
      </c>
      <c r="BF3472" s="1">
        <v>8.46</v>
      </c>
      <c r="BG3472" s="1"/>
      <c r="BH3472" s="1"/>
      <c r="BI3472" s="1"/>
      <c r="BJ3472" s="1"/>
      <c r="BK3472" s="1" t="s">
        <v>98</v>
      </c>
      <c r="BL3472" s="1" t="s">
        <v>98</v>
      </c>
      <c r="BM3472" s="1" t="s">
        <v>98</v>
      </c>
      <c r="BN3472" s="1" t="s">
        <v>98</v>
      </c>
      <c r="BO3472" s="1" t="s">
        <v>55498</v>
      </c>
      <c r="BP3472" s="1"/>
      <c r="BQ3472" s="1"/>
      <c r="BR3472" s="1" t="s">
        <v>55499</v>
      </c>
      <c r="BS3472" s="1">
        <v>50</v>
      </c>
      <c r="BT3472" s="1"/>
      <c r="BU3472" s="1" t="str">
        <f>HYPERLINK("https://nconnect.nicmar.ac.in/storage/profile/2021-2023_AP21261_396241.jpg","Download")</f>
        <v>0</v>
      </c>
      <c r="BV3472" s="3"/>
      <c r="BW3472" s="3"/>
    </row>
    <row r="3473" spans="1:75">
      <c r="A3473" s="1" t="s">
        <v>51340</v>
      </c>
      <c r="B3473" s="1" t="s">
        <v>51341</v>
      </c>
      <c r="C3473" s="1" t="s">
        <v>55500</v>
      </c>
      <c r="D3473" s="1" t="s">
        <v>28676</v>
      </c>
      <c r="E3473" s="1"/>
      <c r="F3473" s="1" t="s">
        <v>55501</v>
      </c>
      <c r="G3473" s="1" t="s">
        <v>55502</v>
      </c>
      <c r="H3473" s="1" t="s">
        <v>55503</v>
      </c>
      <c r="I3473" s="1" t="s">
        <v>55504</v>
      </c>
      <c r="J3473" s="1">
        <v>8600043070</v>
      </c>
      <c r="K3473" s="1" t="s">
        <v>153</v>
      </c>
      <c r="L3473" s="1" t="s">
        <v>24576</v>
      </c>
      <c r="M3473" s="1" t="s">
        <v>86</v>
      </c>
      <c r="N3473" s="1" t="s">
        <v>1163</v>
      </c>
      <c r="O3473" s="1"/>
      <c r="P3473" s="1" t="s">
        <v>481</v>
      </c>
      <c r="Q3473" s="1" t="s">
        <v>55505</v>
      </c>
      <c r="R3473" s="1" t="s">
        <v>55506</v>
      </c>
      <c r="S3473" s="1">
        <v>9826117203</v>
      </c>
      <c r="T3473" s="1" t="s">
        <v>839</v>
      </c>
      <c r="U3473" s="1" t="s">
        <v>55507</v>
      </c>
      <c r="V3473" s="1">
        <v>9407698134</v>
      </c>
      <c r="W3473" s="1" t="s">
        <v>127</v>
      </c>
      <c r="X3473" s="1" t="s">
        <v>55508</v>
      </c>
      <c r="Y3473" s="1" t="s">
        <v>11762</v>
      </c>
      <c r="Z3473" s="1" t="s">
        <v>2933</v>
      </c>
      <c r="AA3473" s="1" t="s">
        <v>55508</v>
      </c>
      <c r="AB3473" s="1" t="s">
        <v>11762</v>
      </c>
      <c r="AC3473" s="1" t="s">
        <v>2933</v>
      </c>
      <c r="AD3473" s="1" t="s">
        <v>98</v>
      </c>
      <c r="AE3473" s="1" t="s">
        <v>98</v>
      </c>
      <c r="AF3473" s="1" t="s">
        <v>55509</v>
      </c>
      <c r="AG3473" s="1" t="s">
        <v>312</v>
      </c>
      <c r="AH3473" s="1">
        <v>41365</v>
      </c>
      <c r="AI3473" s="1">
        <v>41779</v>
      </c>
      <c r="AJ3473" s="1">
        <v>85.5</v>
      </c>
      <c r="AK3473" s="1">
        <v>9</v>
      </c>
      <c r="AL3473" s="1" t="s">
        <v>55509</v>
      </c>
      <c r="AM3473" s="1" t="s">
        <v>312</v>
      </c>
      <c r="AN3473" s="1"/>
      <c r="AO3473" s="1">
        <v>42095</v>
      </c>
      <c r="AP3473" s="1">
        <v>42511</v>
      </c>
      <c r="AQ3473" s="1">
        <v>84</v>
      </c>
      <c r="AR3473" s="1"/>
      <c r="AS3473" s="1"/>
      <c r="AT3473" s="1"/>
      <c r="AU3473" s="1" t="s">
        <v>98</v>
      </c>
      <c r="AV3473" s="1" t="s">
        <v>98</v>
      </c>
      <c r="AW3473" s="1" t="s">
        <v>98</v>
      </c>
      <c r="AX3473" s="1" t="s">
        <v>98</v>
      </c>
      <c r="AY3473" s="1" t="s">
        <v>55510</v>
      </c>
      <c r="AZ3473" s="1" t="s">
        <v>33993</v>
      </c>
      <c r="BA3473" s="1"/>
      <c r="BB3473" s="1"/>
      <c r="BC3473" s="1">
        <v>42604</v>
      </c>
      <c r="BD3473" s="1">
        <v>44426</v>
      </c>
      <c r="BE3473" s="1">
        <v>70.5</v>
      </c>
      <c r="BF3473" s="1">
        <v>7.8</v>
      </c>
      <c r="BG3473" s="1"/>
      <c r="BH3473" s="1"/>
      <c r="BI3473" s="1"/>
      <c r="BJ3473" s="1"/>
      <c r="BK3473" s="1" t="s">
        <v>98</v>
      </c>
      <c r="BL3473" s="1" t="s">
        <v>98</v>
      </c>
      <c r="BM3473" s="1" t="s">
        <v>98</v>
      </c>
      <c r="BN3473" s="1" t="s">
        <v>98</v>
      </c>
      <c r="BO3473" s="1" t="s">
        <v>369</v>
      </c>
      <c r="BP3473" s="1"/>
      <c r="BQ3473" s="1"/>
      <c r="BR3473" s="1" t="s">
        <v>55511</v>
      </c>
      <c r="BS3473" s="1">
        <v>60</v>
      </c>
      <c r="BT3473" s="1"/>
      <c r="BU3473" s="1" t="str">
        <f>HYPERLINK("https://nconnect.nicmar.ac.in/storage/profile/2021-2023_AP21262_146537.jpg","Download")</f>
        <v>0</v>
      </c>
      <c r="BV3473" s="3"/>
      <c r="BW3473" s="3"/>
    </row>
    <row r="3474" spans="1:75">
      <c r="A3474" s="1" t="s">
        <v>51340</v>
      </c>
      <c r="B3474" s="1" t="s">
        <v>51341</v>
      </c>
      <c r="C3474" s="1" t="s">
        <v>55512</v>
      </c>
      <c r="D3474" s="1" t="s">
        <v>8714</v>
      </c>
      <c r="E3474" s="1" t="s">
        <v>2560</v>
      </c>
      <c r="F3474" s="1" t="s">
        <v>55513</v>
      </c>
      <c r="G3474" s="1" t="s">
        <v>55514</v>
      </c>
      <c r="H3474" s="1" t="s">
        <v>55515</v>
      </c>
      <c r="I3474" s="1" t="s">
        <v>55516</v>
      </c>
      <c r="J3474" s="1">
        <v>9762939796</v>
      </c>
      <c r="K3474" s="1" t="s">
        <v>84</v>
      </c>
      <c r="L3474" s="1" t="s">
        <v>55517</v>
      </c>
      <c r="M3474" s="1" t="s">
        <v>86</v>
      </c>
      <c r="N3474" s="1" t="s">
        <v>990</v>
      </c>
      <c r="O3474" s="1"/>
      <c r="P3474" s="1" t="s">
        <v>481</v>
      </c>
      <c r="Q3474" s="1" t="s">
        <v>55518</v>
      </c>
      <c r="R3474" s="1" t="s">
        <v>55519</v>
      </c>
      <c r="S3474" s="1">
        <v>9421239509</v>
      </c>
      <c r="T3474" s="1" t="s">
        <v>55520</v>
      </c>
      <c r="U3474" s="1" t="s">
        <v>55521</v>
      </c>
      <c r="V3474" s="1">
        <v>9421605788</v>
      </c>
      <c r="W3474" s="1" t="s">
        <v>94</v>
      </c>
      <c r="X3474" s="1" t="s">
        <v>55522</v>
      </c>
      <c r="Y3474" s="1" t="s">
        <v>910</v>
      </c>
      <c r="Z3474" s="1" t="s">
        <v>97</v>
      </c>
      <c r="AA3474" s="1" t="s">
        <v>55523</v>
      </c>
      <c r="AB3474" s="1" t="s">
        <v>196</v>
      </c>
      <c r="AC3474" s="1" t="s">
        <v>97</v>
      </c>
      <c r="AD3474" s="1" t="s">
        <v>98</v>
      </c>
      <c r="AE3474" s="1" t="s">
        <v>98</v>
      </c>
      <c r="AF3474" s="1" t="s">
        <v>38791</v>
      </c>
      <c r="AG3474" s="1" t="s">
        <v>2745</v>
      </c>
      <c r="AH3474" s="1">
        <v>41086</v>
      </c>
      <c r="AI3474" s="1">
        <v>41442</v>
      </c>
      <c r="AJ3474" s="1">
        <v>81</v>
      </c>
      <c r="AK3474" s="1"/>
      <c r="AL3474" s="1" t="s">
        <v>55524</v>
      </c>
      <c r="AM3474" s="1" t="s">
        <v>2745</v>
      </c>
      <c r="AN3474" s="1"/>
      <c r="AO3474" s="1">
        <v>41822</v>
      </c>
      <c r="AP3474" s="1">
        <v>42155</v>
      </c>
      <c r="AQ3474" s="1">
        <v>54.62</v>
      </c>
      <c r="AR3474" s="1"/>
      <c r="AS3474" s="1"/>
      <c r="AT3474" s="1"/>
      <c r="AU3474" s="1" t="s">
        <v>98</v>
      </c>
      <c r="AV3474" s="1" t="s">
        <v>98</v>
      </c>
      <c r="AW3474" s="1" t="s">
        <v>98</v>
      </c>
      <c r="AX3474" s="1" t="s">
        <v>98</v>
      </c>
      <c r="AY3474" s="1" t="s">
        <v>366</v>
      </c>
      <c r="AZ3474" s="1" t="s">
        <v>37479</v>
      </c>
      <c r="BA3474" s="1"/>
      <c r="BB3474" s="1"/>
      <c r="BC3474" s="1">
        <v>42212</v>
      </c>
      <c r="BD3474" s="1">
        <v>43816</v>
      </c>
      <c r="BE3474" s="1">
        <v>63.8</v>
      </c>
      <c r="BF3474" s="1">
        <v>7.25</v>
      </c>
      <c r="BG3474" s="1"/>
      <c r="BH3474" s="1"/>
      <c r="BI3474" s="1"/>
      <c r="BJ3474" s="1"/>
      <c r="BK3474" s="1" t="s">
        <v>98</v>
      </c>
      <c r="BL3474" s="1" t="s">
        <v>98</v>
      </c>
      <c r="BM3474" s="1" t="s">
        <v>98</v>
      </c>
      <c r="BN3474" s="1" t="s">
        <v>98</v>
      </c>
      <c r="BO3474" s="1" t="s">
        <v>369</v>
      </c>
      <c r="BP3474" s="1"/>
      <c r="BQ3474" s="1"/>
      <c r="BR3474" s="1" t="s">
        <v>55525</v>
      </c>
      <c r="BS3474" s="1">
        <v>12</v>
      </c>
      <c r="BT3474" s="1"/>
      <c r="BU3474" s="1" t="str">
        <f>HYPERLINK("https://nconnect.nicmar.ac.in/storage/profile/2021-2023_AP21263_579614.JPG","Download")</f>
        <v>0</v>
      </c>
      <c r="BV3474" s="3"/>
      <c r="BW3474" s="3"/>
    </row>
    <row r="3475" spans="1:75">
      <c r="A3475" s="1" t="s">
        <v>51340</v>
      </c>
      <c r="B3475" s="1" t="s">
        <v>51341</v>
      </c>
      <c r="C3475" s="1" t="s">
        <v>55526</v>
      </c>
      <c r="D3475" s="1" t="s">
        <v>4036</v>
      </c>
      <c r="E3475" s="1" t="s">
        <v>2273</v>
      </c>
      <c r="F3475" s="1" t="s">
        <v>55527</v>
      </c>
      <c r="G3475" s="1" t="s">
        <v>55528</v>
      </c>
      <c r="H3475" s="1" t="s">
        <v>55529</v>
      </c>
      <c r="I3475" s="1" t="s">
        <v>55530</v>
      </c>
      <c r="J3475" s="1">
        <v>8421522681</v>
      </c>
      <c r="K3475" s="1" t="s">
        <v>84</v>
      </c>
      <c r="L3475" s="1" t="s">
        <v>55531</v>
      </c>
      <c r="M3475" s="1" t="s">
        <v>86</v>
      </c>
      <c r="N3475" s="1" t="s">
        <v>2433</v>
      </c>
      <c r="O3475" s="1"/>
      <c r="P3475" s="1" t="s">
        <v>455</v>
      </c>
      <c r="Q3475" s="1" t="s">
        <v>55532</v>
      </c>
      <c r="R3475" s="1" t="s">
        <v>55533</v>
      </c>
      <c r="S3475" s="1">
        <v>8888503255</v>
      </c>
      <c r="T3475" s="1" t="s">
        <v>839</v>
      </c>
      <c r="U3475" s="1" t="s">
        <v>55534</v>
      </c>
      <c r="V3475" s="1">
        <v>9822704225</v>
      </c>
      <c r="W3475" s="1" t="s">
        <v>55535</v>
      </c>
      <c r="X3475" s="1" t="s">
        <v>55536</v>
      </c>
      <c r="Y3475" s="1" t="s">
        <v>52796</v>
      </c>
      <c r="Z3475" s="1" t="s">
        <v>97</v>
      </c>
      <c r="AA3475" s="1" t="s">
        <v>55536</v>
      </c>
      <c r="AB3475" s="1" t="s">
        <v>52796</v>
      </c>
      <c r="AC3475" s="1" t="s">
        <v>97</v>
      </c>
      <c r="AD3475" s="1" t="s">
        <v>98</v>
      </c>
      <c r="AE3475" s="1" t="s">
        <v>98</v>
      </c>
      <c r="AF3475" s="1" t="s">
        <v>52797</v>
      </c>
      <c r="AG3475" s="1" t="s">
        <v>1968</v>
      </c>
      <c r="AH3475" s="1">
        <v>40720</v>
      </c>
      <c r="AI3475" s="1">
        <v>41073</v>
      </c>
      <c r="AJ3475" s="1">
        <v>87.64</v>
      </c>
      <c r="AK3475" s="1"/>
      <c r="AL3475" s="1" t="s">
        <v>55537</v>
      </c>
      <c r="AM3475" s="1" t="s">
        <v>1968</v>
      </c>
      <c r="AN3475" s="1"/>
      <c r="AO3475" s="1">
        <v>41451</v>
      </c>
      <c r="AP3475" s="1">
        <v>41792</v>
      </c>
      <c r="AQ3475" s="1">
        <v>73.08</v>
      </c>
      <c r="AR3475" s="1"/>
      <c r="AS3475" s="1"/>
      <c r="AT3475" s="1"/>
      <c r="AU3475" s="1" t="s">
        <v>98</v>
      </c>
      <c r="AV3475" s="1" t="s">
        <v>98</v>
      </c>
      <c r="AW3475" s="1" t="s">
        <v>98</v>
      </c>
      <c r="AX3475" s="1" t="s">
        <v>98</v>
      </c>
      <c r="AY3475" s="1" t="s">
        <v>997</v>
      </c>
      <c r="AZ3475" s="1" t="s">
        <v>55538</v>
      </c>
      <c r="BA3475" s="1"/>
      <c r="BB3475" s="1"/>
      <c r="BC3475" s="1">
        <v>41855</v>
      </c>
      <c r="BD3475" s="1">
        <v>43249</v>
      </c>
      <c r="BE3475" s="1">
        <v>77.08</v>
      </c>
      <c r="BF3475" s="1">
        <v>8.48</v>
      </c>
      <c r="BG3475" s="1"/>
      <c r="BH3475" s="1"/>
      <c r="BI3475" s="1"/>
      <c r="BJ3475" s="1"/>
      <c r="BK3475" s="1" t="s">
        <v>98</v>
      </c>
      <c r="BL3475" s="1" t="s">
        <v>98</v>
      </c>
      <c r="BM3475" s="1" t="s">
        <v>98</v>
      </c>
      <c r="BN3475" s="1" t="s">
        <v>98</v>
      </c>
      <c r="BO3475" s="1" t="s">
        <v>3308</v>
      </c>
      <c r="BP3475" s="1" t="s">
        <v>55539</v>
      </c>
      <c r="BQ3475" s="1" t="s">
        <v>55540</v>
      </c>
      <c r="BR3475" s="1" t="s">
        <v>55541</v>
      </c>
      <c r="BS3475" s="1">
        <v>36</v>
      </c>
      <c r="BT3475" s="1"/>
      <c r="BU3475" s="1" t="str">
        <f>HYPERLINK("https://nconnect.nicmar.ac.in/storage/profile/2021-2023_AP21264_725689.jpg","Download")</f>
        <v>0</v>
      </c>
      <c r="BV3475" s="3"/>
      <c r="BW3475" s="3"/>
    </row>
    <row r="3476" spans="1:75">
      <c r="A3476" s="1" t="s">
        <v>51340</v>
      </c>
      <c r="B3476" s="1" t="s">
        <v>51341</v>
      </c>
      <c r="C3476" s="1" t="s">
        <v>55542</v>
      </c>
      <c r="D3476" s="1" t="s">
        <v>55543</v>
      </c>
      <c r="E3476" s="1" t="s">
        <v>12752</v>
      </c>
      <c r="F3476" s="1" t="s">
        <v>55544</v>
      </c>
      <c r="G3476" s="1" t="s">
        <v>55545</v>
      </c>
      <c r="H3476" s="1" t="s">
        <v>55546</v>
      </c>
      <c r="I3476" s="1" t="s">
        <v>55547</v>
      </c>
      <c r="J3476" s="1">
        <v>9922167890</v>
      </c>
      <c r="K3476" s="1" t="s">
        <v>84</v>
      </c>
      <c r="L3476" s="1" t="s">
        <v>55548</v>
      </c>
      <c r="M3476" s="1" t="s">
        <v>86</v>
      </c>
      <c r="N3476" s="1" t="s">
        <v>2433</v>
      </c>
      <c r="O3476" s="1"/>
      <c r="P3476" s="1" t="s">
        <v>481</v>
      </c>
      <c r="Q3476" s="1" t="s">
        <v>55549</v>
      </c>
      <c r="R3476" s="1" t="s">
        <v>55550</v>
      </c>
      <c r="S3476" s="1">
        <v>7028629944</v>
      </c>
      <c r="T3476" s="1" t="s">
        <v>1577</v>
      </c>
      <c r="U3476" s="1" t="s">
        <v>55551</v>
      </c>
      <c r="V3476" s="1">
        <v>7020453590</v>
      </c>
      <c r="W3476" s="1" t="s">
        <v>55552</v>
      </c>
      <c r="X3476" s="1" t="s">
        <v>55553</v>
      </c>
      <c r="Y3476" s="1" t="s">
        <v>410</v>
      </c>
      <c r="Z3476" s="1" t="s">
        <v>97</v>
      </c>
      <c r="AA3476" s="1" t="s">
        <v>55553</v>
      </c>
      <c r="AB3476" s="1" t="s">
        <v>410</v>
      </c>
      <c r="AC3476" s="1" t="s">
        <v>97</v>
      </c>
      <c r="AD3476" s="1" t="s">
        <v>98</v>
      </c>
      <c r="AE3476" s="1" t="s">
        <v>98</v>
      </c>
      <c r="AF3476" s="1" t="s">
        <v>55554</v>
      </c>
      <c r="AG3476" s="1" t="s">
        <v>2745</v>
      </c>
      <c r="AH3476" s="1">
        <v>41451</v>
      </c>
      <c r="AI3476" s="1">
        <v>41699</v>
      </c>
      <c r="AJ3476" s="1">
        <v>93.4</v>
      </c>
      <c r="AK3476" s="1"/>
      <c r="AL3476" s="1" t="s">
        <v>55555</v>
      </c>
      <c r="AM3476" s="1" t="s">
        <v>2745</v>
      </c>
      <c r="AN3476" s="1"/>
      <c r="AO3476" s="1">
        <v>42170</v>
      </c>
      <c r="AP3476" s="1">
        <v>42401</v>
      </c>
      <c r="AQ3476" s="1">
        <v>79.85</v>
      </c>
      <c r="AR3476" s="1"/>
      <c r="AS3476" s="1"/>
      <c r="AT3476" s="1"/>
      <c r="AU3476" s="1" t="s">
        <v>98</v>
      </c>
      <c r="AV3476" s="1" t="s">
        <v>98</v>
      </c>
      <c r="AW3476" s="1" t="s">
        <v>98</v>
      </c>
      <c r="AX3476" s="1" t="s">
        <v>98</v>
      </c>
      <c r="AY3476" s="1" t="s">
        <v>55556</v>
      </c>
      <c r="AZ3476" s="1" t="s">
        <v>26393</v>
      </c>
      <c r="BA3476" s="1"/>
      <c r="BB3476" s="1"/>
      <c r="BC3476" s="1">
        <v>42583</v>
      </c>
      <c r="BD3476" s="1">
        <v>44267</v>
      </c>
      <c r="BE3476" s="1">
        <v>63.3</v>
      </c>
      <c r="BF3476" s="1">
        <v>7.08</v>
      </c>
      <c r="BG3476" s="1"/>
      <c r="BH3476" s="1"/>
      <c r="BI3476" s="1"/>
      <c r="BJ3476" s="1"/>
      <c r="BK3476" s="1" t="s">
        <v>98</v>
      </c>
      <c r="BL3476" s="1" t="s">
        <v>98</v>
      </c>
      <c r="BM3476" s="1" t="s">
        <v>98</v>
      </c>
      <c r="BN3476" s="1" t="s">
        <v>98</v>
      </c>
      <c r="BO3476" s="1" t="s">
        <v>369</v>
      </c>
      <c r="BP3476" s="1"/>
      <c r="BQ3476" s="1"/>
      <c r="BR3476" s="1" t="s">
        <v>55557</v>
      </c>
      <c r="BS3476" s="1">
        <v>47</v>
      </c>
      <c r="BT3476" s="1"/>
      <c r="BU3476" s="1" t="str">
        <f>HYPERLINK("https://nconnect.nicmar.ac.in/storage/profile/2021-2023_AP21265_743985.jpg","Download")</f>
        <v>0</v>
      </c>
      <c r="BV3476" s="3"/>
      <c r="BW3476" s="3"/>
    </row>
    <row r="3477" spans="1:75">
      <c r="A3477" s="1" t="s">
        <v>51340</v>
      </c>
      <c r="B3477" s="1" t="s">
        <v>51341</v>
      </c>
      <c r="C3477" s="1" t="s">
        <v>55558</v>
      </c>
      <c r="D3477" s="1" t="s">
        <v>1119</v>
      </c>
      <c r="E3477" s="1"/>
      <c r="F3477" s="1" t="s">
        <v>25907</v>
      </c>
      <c r="G3477" s="1" t="s">
        <v>55559</v>
      </c>
      <c r="H3477" s="1" t="s">
        <v>55560</v>
      </c>
      <c r="I3477" s="1" t="s">
        <v>55561</v>
      </c>
      <c r="J3477" s="1">
        <v>7358478419</v>
      </c>
      <c r="K3477" s="1" t="s">
        <v>84</v>
      </c>
      <c r="L3477" s="1" t="s">
        <v>53899</v>
      </c>
      <c r="M3477" s="1" t="s">
        <v>86</v>
      </c>
      <c r="N3477" s="1" t="s">
        <v>379</v>
      </c>
      <c r="O3477" s="1"/>
      <c r="P3477" s="1" t="s">
        <v>507</v>
      </c>
      <c r="Q3477" s="1" t="s">
        <v>55562</v>
      </c>
      <c r="R3477" s="1" t="s">
        <v>55563</v>
      </c>
      <c r="S3477" s="1">
        <v>9335912821</v>
      </c>
      <c r="T3477" s="1" t="s">
        <v>672</v>
      </c>
      <c r="U3477" s="1" t="s">
        <v>55564</v>
      </c>
      <c r="V3477" s="1">
        <v>7408140004</v>
      </c>
      <c r="W3477" s="1" t="s">
        <v>94</v>
      </c>
      <c r="X3477" s="1" t="s">
        <v>55565</v>
      </c>
      <c r="Y3477" s="1" t="s">
        <v>1059</v>
      </c>
      <c r="Z3477" s="1" t="s">
        <v>544</v>
      </c>
      <c r="AA3477" s="1" t="s">
        <v>55565</v>
      </c>
      <c r="AB3477" s="1" t="s">
        <v>1059</v>
      </c>
      <c r="AC3477" s="1" t="s">
        <v>544</v>
      </c>
      <c r="AD3477" s="1" t="s">
        <v>98</v>
      </c>
      <c r="AE3477" s="1" t="s">
        <v>98</v>
      </c>
      <c r="AF3477" s="1" t="s">
        <v>1060</v>
      </c>
      <c r="AG3477" s="1" t="s">
        <v>312</v>
      </c>
      <c r="AH3477" s="1" t="s">
        <v>1214</v>
      </c>
      <c r="AI3477" s="1" t="s">
        <v>1262</v>
      </c>
      <c r="AJ3477" s="1">
        <v>81.7</v>
      </c>
      <c r="AK3477" s="1">
        <v>8.6</v>
      </c>
      <c r="AL3477" s="1" t="s">
        <v>55566</v>
      </c>
      <c r="AM3477" s="1" t="s">
        <v>312</v>
      </c>
      <c r="AN3477" s="1"/>
      <c r="AO3477" s="1" t="s">
        <v>102</v>
      </c>
      <c r="AP3477" s="1" t="s">
        <v>627</v>
      </c>
      <c r="AQ3477" s="1">
        <v>81.6</v>
      </c>
      <c r="AR3477" s="1"/>
      <c r="AS3477" s="1"/>
      <c r="AT3477" s="1"/>
      <c r="AU3477" s="1" t="s">
        <v>98</v>
      </c>
      <c r="AV3477" s="1" t="s">
        <v>98</v>
      </c>
      <c r="AW3477" s="1" t="s">
        <v>98</v>
      </c>
      <c r="AX3477" s="1" t="s">
        <v>98</v>
      </c>
      <c r="AY3477" s="1" t="s">
        <v>6995</v>
      </c>
      <c r="AZ3477" s="1" t="s">
        <v>22727</v>
      </c>
      <c r="BA3477" s="1"/>
      <c r="BB3477" s="1"/>
      <c r="BC3477" s="1" t="s">
        <v>388</v>
      </c>
      <c r="BD3477" s="1" t="s">
        <v>606</v>
      </c>
      <c r="BE3477" s="1">
        <v>67.9</v>
      </c>
      <c r="BF3477" s="1">
        <v>6.79</v>
      </c>
      <c r="BG3477" s="1"/>
      <c r="BH3477" s="1"/>
      <c r="BI3477" s="1"/>
      <c r="BJ3477" s="1"/>
      <c r="BK3477" s="1" t="s">
        <v>98</v>
      </c>
      <c r="BL3477" s="1" t="s">
        <v>98</v>
      </c>
      <c r="BM3477" s="1" t="s">
        <v>98</v>
      </c>
      <c r="BN3477" s="1" t="s">
        <v>98</v>
      </c>
      <c r="BO3477" s="1" t="s">
        <v>55567</v>
      </c>
      <c r="BP3477" s="1"/>
      <c r="BQ3477" s="1"/>
      <c r="BR3477" s="1" t="s">
        <v>55568</v>
      </c>
      <c r="BS3477" s="1">
        <v>22</v>
      </c>
      <c r="BT3477" s="1"/>
      <c r="BU3477" s="1" t="str">
        <f>HYPERLINK("https://nconnect.nicmar.ac.in/storage/profile/2021-2023_AP21266_269785.jpg","Download")</f>
        <v>0</v>
      </c>
      <c r="BV3477" s="3"/>
      <c r="BW3477" s="3"/>
    </row>
    <row r="3478" spans="1:75">
      <c r="A3478" s="1" t="s">
        <v>51340</v>
      </c>
      <c r="B3478" s="1" t="s">
        <v>51341</v>
      </c>
      <c r="C3478" s="1" t="s">
        <v>55569</v>
      </c>
      <c r="D3478" s="1" t="s">
        <v>11882</v>
      </c>
      <c r="E3478" s="1"/>
      <c r="F3478" s="1" t="s">
        <v>30424</v>
      </c>
      <c r="G3478" s="1" t="s">
        <v>55570</v>
      </c>
      <c r="H3478" s="1" t="s">
        <v>55571</v>
      </c>
      <c r="I3478" s="1" t="s">
        <v>55572</v>
      </c>
      <c r="J3478" s="1">
        <v>9066262822</v>
      </c>
      <c r="K3478" s="1" t="s">
        <v>84</v>
      </c>
      <c r="L3478" s="1" t="s">
        <v>30076</v>
      </c>
      <c r="M3478" s="1" t="s">
        <v>86</v>
      </c>
      <c r="N3478" s="1" t="s">
        <v>12741</v>
      </c>
      <c r="O3478" s="1"/>
      <c r="P3478" s="1" t="s">
        <v>507</v>
      </c>
      <c r="Q3478" s="1" t="s">
        <v>55573</v>
      </c>
      <c r="R3478" s="1" t="s">
        <v>55574</v>
      </c>
      <c r="S3478" s="1">
        <v>7022431416</v>
      </c>
      <c r="T3478" s="1" t="s">
        <v>382</v>
      </c>
      <c r="U3478" s="1" t="s">
        <v>55575</v>
      </c>
      <c r="V3478" s="1">
        <v>8971793373</v>
      </c>
      <c r="W3478" s="1" t="s">
        <v>278</v>
      </c>
      <c r="X3478" s="1" t="s">
        <v>55576</v>
      </c>
      <c r="Y3478" s="1" t="s">
        <v>55577</v>
      </c>
      <c r="Z3478" s="1" t="s">
        <v>1210</v>
      </c>
      <c r="AA3478" s="1" t="s">
        <v>55578</v>
      </c>
      <c r="AB3478" s="1" t="s">
        <v>55577</v>
      </c>
      <c r="AC3478" s="1" t="s">
        <v>1210</v>
      </c>
      <c r="AD3478" s="1" t="s">
        <v>98</v>
      </c>
      <c r="AE3478" s="1" t="s">
        <v>98</v>
      </c>
      <c r="AF3478" s="1" t="s">
        <v>55579</v>
      </c>
      <c r="AG3478" s="1" t="s">
        <v>1946</v>
      </c>
      <c r="AH3478" s="1" t="s">
        <v>134</v>
      </c>
      <c r="AI3478" s="1" t="s">
        <v>1262</v>
      </c>
      <c r="AJ3478" s="1">
        <v>78.24</v>
      </c>
      <c r="AK3478" s="1"/>
      <c r="AL3478" s="1" t="s">
        <v>55580</v>
      </c>
      <c r="AM3478" s="1" t="s">
        <v>1946</v>
      </c>
      <c r="AN3478" s="1"/>
      <c r="AO3478" s="1" t="s">
        <v>136</v>
      </c>
      <c r="AP3478" s="1" t="s">
        <v>627</v>
      </c>
      <c r="AQ3478" s="1">
        <v>77</v>
      </c>
      <c r="AR3478" s="1"/>
      <c r="AS3478" s="1"/>
      <c r="AT3478" s="1"/>
      <c r="AU3478" s="1" t="s">
        <v>98</v>
      </c>
      <c r="AV3478" s="1" t="s">
        <v>98</v>
      </c>
      <c r="AW3478" s="1" t="s">
        <v>98</v>
      </c>
      <c r="AX3478" s="1" t="s">
        <v>98</v>
      </c>
      <c r="AY3478" s="1" t="s">
        <v>1217</v>
      </c>
      <c r="AZ3478" s="1" t="s">
        <v>55581</v>
      </c>
      <c r="BA3478" s="1"/>
      <c r="BB3478" s="1"/>
      <c r="BC3478" s="1" t="s">
        <v>139</v>
      </c>
      <c r="BD3478" s="1" t="s">
        <v>1040</v>
      </c>
      <c r="BE3478" s="1">
        <v>64.4</v>
      </c>
      <c r="BF3478" s="1">
        <v>7.19</v>
      </c>
      <c r="BG3478" s="1"/>
      <c r="BH3478" s="1"/>
      <c r="BI3478" s="1"/>
      <c r="BJ3478" s="1"/>
      <c r="BK3478" s="1" t="s">
        <v>98</v>
      </c>
      <c r="BL3478" s="1" t="s">
        <v>98</v>
      </c>
      <c r="BM3478" s="1" t="s">
        <v>98</v>
      </c>
      <c r="BN3478" s="1" t="s">
        <v>98</v>
      </c>
      <c r="BO3478" s="1" t="s">
        <v>1705</v>
      </c>
      <c r="BP3478" s="1"/>
      <c r="BQ3478" s="1"/>
      <c r="BR3478" s="1" t="s">
        <v>55582</v>
      </c>
      <c r="BS3478" s="1">
        <v>12</v>
      </c>
      <c r="BT3478" s="1"/>
      <c r="BU3478" s="1" t="str">
        <f>HYPERLINK("https://nconnect.nicmar.ac.in/storage/profile/2021-2023_AP21267_481592.jpg","Download")</f>
        <v>0</v>
      </c>
      <c r="BV3478" s="3"/>
      <c r="BW3478" s="3"/>
    </row>
    <row r="3479" spans="1:75">
      <c r="A3479" s="1" t="s">
        <v>51340</v>
      </c>
      <c r="B3479" s="1" t="s">
        <v>51341</v>
      </c>
      <c r="C3479" s="1" t="s">
        <v>55583</v>
      </c>
      <c r="D3479" s="1" t="s">
        <v>55584</v>
      </c>
      <c r="E3479" s="1"/>
      <c r="F3479" s="1" t="s">
        <v>1853</v>
      </c>
      <c r="G3479" s="1" t="s">
        <v>55585</v>
      </c>
      <c r="H3479" s="1" t="s">
        <v>55586</v>
      </c>
      <c r="I3479" s="1" t="s">
        <v>55587</v>
      </c>
      <c r="J3479" s="1">
        <v>9094442797</v>
      </c>
      <c r="K3479" s="1" t="s">
        <v>84</v>
      </c>
      <c r="L3479" s="1" t="s">
        <v>55588</v>
      </c>
      <c r="M3479" s="1" t="s">
        <v>86</v>
      </c>
      <c r="N3479" s="1" t="s">
        <v>55589</v>
      </c>
      <c r="O3479" s="1"/>
      <c r="P3479" s="1" t="s">
        <v>507</v>
      </c>
      <c r="Q3479" s="1" t="s">
        <v>55590</v>
      </c>
      <c r="R3479" s="1" t="s">
        <v>55591</v>
      </c>
      <c r="S3479" s="1">
        <v>9840343872</v>
      </c>
      <c r="T3479" s="1" t="s">
        <v>55592</v>
      </c>
      <c r="U3479" s="1" t="s">
        <v>25625</v>
      </c>
      <c r="V3479" s="1">
        <v>8610242699</v>
      </c>
      <c r="W3479" s="1" t="s">
        <v>94</v>
      </c>
      <c r="X3479" s="1" t="s">
        <v>55593</v>
      </c>
      <c r="Y3479" s="1" t="s">
        <v>55594</v>
      </c>
      <c r="Z3479" s="1" t="s">
        <v>570</v>
      </c>
      <c r="AA3479" s="1" t="s">
        <v>55593</v>
      </c>
      <c r="AB3479" s="1" t="s">
        <v>55594</v>
      </c>
      <c r="AC3479" s="1" t="s">
        <v>570</v>
      </c>
      <c r="AD3479" s="1" t="s">
        <v>98</v>
      </c>
      <c r="AE3479" s="1" t="s">
        <v>98</v>
      </c>
      <c r="AF3479" s="1" t="s">
        <v>55595</v>
      </c>
      <c r="AG3479" s="1" t="s">
        <v>53461</v>
      </c>
      <c r="AH3479" s="1">
        <v>40179</v>
      </c>
      <c r="AI3479" s="1">
        <v>40690</v>
      </c>
      <c r="AJ3479" s="1">
        <v>74.6</v>
      </c>
      <c r="AK3479" s="1">
        <v>0</v>
      </c>
      <c r="AL3479" s="1" t="s">
        <v>55596</v>
      </c>
      <c r="AM3479" s="1" t="s">
        <v>53461</v>
      </c>
      <c r="AN3479" s="1"/>
      <c r="AO3479" s="1">
        <v>41064</v>
      </c>
      <c r="AP3479" s="1">
        <v>41403</v>
      </c>
      <c r="AQ3479" s="1">
        <v>66.75</v>
      </c>
      <c r="AR3479" s="1">
        <v>0</v>
      </c>
      <c r="AS3479" s="1"/>
      <c r="AT3479" s="1"/>
      <c r="AU3479" s="1" t="s">
        <v>98</v>
      </c>
      <c r="AV3479" s="1" t="s">
        <v>98</v>
      </c>
      <c r="AW3479" s="1" t="s">
        <v>98</v>
      </c>
      <c r="AX3479" s="1" t="s">
        <v>98</v>
      </c>
      <c r="AY3479" s="1" t="s">
        <v>576</v>
      </c>
      <c r="AZ3479" s="1" t="s">
        <v>55597</v>
      </c>
      <c r="BA3479" s="1"/>
      <c r="BB3479" s="1"/>
      <c r="BC3479" s="1">
        <v>41487</v>
      </c>
      <c r="BD3479" s="1">
        <v>42895</v>
      </c>
      <c r="BE3479" s="1">
        <v>68.4</v>
      </c>
      <c r="BF3479" s="1">
        <v>6.84</v>
      </c>
      <c r="BG3479" s="1"/>
      <c r="BH3479" s="1"/>
      <c r="BI3479" s="1"/>
      <c r="BJ3479" s="1"/>
      <c r="BK3479" s="1" t="s">
        <v>98</v>
      </c>
      <c r="BL3479" s="1" t="s">
        <v>98</v>
      </c>
      <c r="BM3479" s="1" t="s">
        <v>98</v>
      </c>
      <c r="BN3479" s="1" t="s">
        <v>98</v>
      </c>
      <c r="BO3479" s="1" t="s">
        <v>55598</v>
      </c>
      <c r="BP3479" s="1" t="s">
        <v>55599</v>
      </c>
      <c r="BQ3479" s="1" t="s">
        <v>893</v>
      </c>
      <c r="BR3479" s="1" t="s">
        <v>55600</v>
      </c>
      <c r="BS3479" s="1">
        <v>7</v>
      </c>
      <c r="BT3479" s="1"/>
      <c r="BU3479" s="1" t="str">
        <f>HYPERLINK("https://nconnect.nicmar.ac.in/storage/profile/ProfilePhoto_AP21268_538421.jpg","Download")</f>
        <v>0</v>
      </c>
      <c r="BV3479" s="3"/>
      <c r="BW3479" s="3"/>
    </row>
    <row r="3480" spans="1:75">
      <c r="A3480" s="1" t="s">
        <v>51340</v>
      </c>
      <c r="B3480" s="1" t="s">
        <v>51341</v>
      </c>
      <c r="C3480" s="1" t="s">
        <v>55601</v>
      </c>
      <c r="D3480" s="1" t="s">
        <v>5365</v>
      </c>
      <c r="E3480" s="1"/>
      <c r="F3480" s="1" t="s">
        <v>1321</v>
      </c>
      <c r="G3480" s="1" t="s">
        <v>55602</v>
      </c>
      <c r="H3480" s="1" t="s">
        <v>55603</v>
      </c>
      <c r="I3480" s="1" t="s">
        <v>55604</v>
      </c>
      <c r="J3480" s="1">
        <v>9801124527</v>
      </c>
      <c r="K3480" s="1" t="s">
        <v>153</v>
      </c>
      <c r="L3480" s="1" t="s">
        <v>55605</v>
      </c>
      <c r="M3480" s="1" t="s">
        <v>86</v>
      </c>
      <c r="N3480" s="1" t="s">
        <v>246</v>
      </c>
      <c r="O3480" s="1"/>
      <c r="P3480" s="1" t="s">
        <v>507</v>
      </c>
      <c r="Q3480" s="1" t="s">
        <v>55606</v>
      </c>
      <c r="R3480" s="1" t="s">
        <v>55607</v>
      </c>
      <c r="S3480" s="1">
        <v>9430964549</v>
      </c>
      <c r="T3480" s="1" t="s">
        <v>839</v>
      </c>
      <c r="U3480" s="1" t="s">
        <v>55608</v>
      </c>
      <c r="V3480" s="1">
        <v>8521843216</v>
      </c>
      <c r="W3480" s="1" t="s">
        <v>127</v>
      </c>
      <c r="X3480" s="1" t="s">
        <v>55609</v>
      </c>
      <c r="Y3480" s="1" t="s">
        <v>648</v>
      </c>
      <c r="Z3480" s="1" t="s">
        <v>649</v>
      </c>
      <c r="AA3480" s="1" t="s">
        <v>55609</v>
      </c>
      <c r="AB3480" s="1" t="s">
        <v>648</v>
      </c>
      <c r="AC3480" s="1" t="s">
        <v>649</v>
      </c>
      <c r="AD3480" s="1" t="s">
        <v>98</v>
      </c>
      <c r="AE3480" s="1" t="s">
        <v>98</v>
      </c>
      <c r="AF3480" s="1" t="s">
        <v>55610</v>
      </c>
      <c r="AG3480" s="1" t="s">
        <v>55611</v>
      </c>
      <c r="AH3480" s="1" t="s">
        <v>23371</v>
      </c>
      <c r="AI3480" s="1" t="s">
        <v>801</v>
      </c>
      <c r="AJ3480" s="1">
        <v>86</v>
      </c>
      <c r="AK3480" s="1"/>
      <c r="AL3480" s="1" t="s">
        <v>55612</v>
      </c>
      <c r="AM3480" s="1" t="s">
        <v>55611</v>
      </c>
      <c r="AN3480" s="1"/>
      <c r="AO3480" s="1" t="s">
        <v>133</v>
      </c>
      <c r="AP3480" s="1" t="s">
        <v>1262</v>
      </c>
      <c r="AQ3480" s="1">
        <v>73</v>
      </c>
      <c r="AR3480" s="1"/>
      <c r="AS3480" s="1"/>
      <c r="AT3480" s="1"/>
      <c r="AU3480" s="1" t="s">
        <v>98</v>
      </c>
      <c r="AV3480" s="1" t="s">
        <v>98</v>
      </c>
      <c r="AW3480" s="1" t="s">
        <v>98</v>
      </c>
      <c r="AX3480" s="1" t="s">
        <v>98</v>
      </c>
      <c r="AY3480" s="1" t="s">
        <v>55613</v>
      </c>
      <c r="AZ3480" s="1" t="s">
        <v>55613</v>
      </c>
      <c r="BA3480" s="1"/>
      <c r="BB3480" s="1"/>
      <c r="BC3480" s="1" t="s">
        <v>135</v>
      </c>
      <c r="BD3480" s="1" t="s">
        <v>313</v>
      </c>
      <c r="BE3480" s="1">
        <v>73.9</v>
      </c>
      <c r="BF3480" s="1">
        <v>7.39</v>
      </c>
      <c r="BG3480" s="1"/>
      <c r="BH3480" s="1"/>
      <c r="BI3480" s="1"/>
      <c r="BJ3480" s="1"/>
      <c r="BK3480" s="1" t="s">
        <v>98</v>
      </c>
      <c r="BL3480" s="1" t="s">
        <v>98</v>
      </c>
      <c r="BM3480" s="1" t="s">
        <v>98</v>
      </c>
      <c r="BN3480" s="1" t="s">
        <v>98</v>
      </c>
      <c r="BO3480" s="1" t="s">
        <v>55614</v>
      </c>
      <c r="BP3480" s="1" t="s">
        <v>55615</v>
      </c>
      <c r="BQ3480" s="1" t="s">
        <v>18863</v>
      </c>
      <c r="BR3480" s="1" t="s">
        <v>55616</v>
      </c>
      <c r="BS3480" s="1">
        <v>41</v>
      </c>
      <c r="BT3480" s="1"/>
      <c r="BU3480" s="1" t="str">
        <f>HYPERLINK("https://nconnect.nicmar.ac.in/storage/profile/2021-2023_AP21269_846135.jpg","Download")</f>
        <v>0</v>
      </c>
      <c r="BV3480" s="3"/>
      <c r="BW3480" s="3"/>
    </row>
    <row r="3481" spans="1:75">
      <c r="A3481" s="1" t="s">
        <v>51340</v>
      </c>
      <c r="B3481" s="1" t="s">
        <v>51341</v>
      </c>
      <c r="C3481" s="1" t="s">
        <v>55617</v>
      </c>
      <c r="D3481" s="1" t="s">
        <v>5752</v>
      </c>
      <c r="E3481" s="1"/>
      <c r="F3481" s="1" t="s">
        <v>55618</v>
      </c>
      <c r="G3481" s="1" t="s">
        <v>55619</v>
      </c>
      <c r="H3481" s="1" t="s">
        <v>55620</v>
      </c>
      <c r="I3481" s="1" t="s">
        <v>55621</v>
      </c>
      <c r="J3481" s="1">
        <v>9874690677</v>
      </c>
      <c r="K3481" s="1" t="s">
        <v>84</v>
      </c>
      <c r="L3481" s="1" t="s">
        <v>55622</v>
      </c>
      <c r="M3481" s="1" t="s">
        <v>86</v>
      </c>
      <c r="N3481" s="1" t="s">
        <v>27171</v>
      </c>
      <c r="O3481" s="1"/>
      <c r="P3481" s="1" t="s">
        <v>455</v>
      </c>
      <c r="Q3481" s="1" t="s">
        <v>55623</v>
      </c>
      <c r="R3481" s="1" t="s">
        <v>55624</v>
      </c>
      <c r="S3481" s="1">
        <v>9874248339</v>
      </c>
      <c r="T3481" s="1" t="s">
        <v>3396</v>
      </c>
      <c r="U3481" s="1" t="s">
        <v>55625</v>
      </c>
      <c r="V3481" s="1">
        <v>8910770819</v>
      </c>
      <c r="W3481" s="1" t="s">
        <v>94</v>
      </c>
      <c r="X3481" s="1" t="s">
        <v>55626</v>
      </c>
      <c r="Y3481" s="1" t="s">
        <v>3282</v>
      </c>
      <c r="Z3481" s="1" t="s">
        <v>1234</v>
      </c>
      <c r="AA3481" s="1" t="s">
        <v>55626</v>
      </c>
      <c r="AB3481" s="1" t="s">
        <v>3282</v>
      </c>
      <c r="AC3481" s="1" t="s">
        <v>1234</v>
      </c>
      <c r="AD3481" s="1" t="s">
        <v>98</v>
      </c>
      <c r="AE3481" s="1" t="s">
        <v>98</v>
      </c>
      <c r="AF3481" s="1" t="s">
        <v>32271</v>
      </c>
      <c r="AG3481" s="1" t="s">
        <v>52026</v>
      </c>
      <c r="AH3481" s="1">
        <v>39539</v>
      </c>
      <c r="AI3481" s="1">
        <v>39903</v>
      </c>
      <c r="AJ3481" s="1">
        <v>85.42</v>
      </c>
      <c r="AK3481" s="1"/>
      <c r="AL3481" s="1" t="s">
        <v>32271</v>
      </c>
      <c r="AM3481" s="1" t="s">
        <v>52026</v>
      </c>
      <c r="AN3481" s="1"/>
      <c r="AO3481" s="1">
        <v>40269</v>
      </c>
      <c r="AP3481" s="1">
        <v>40633</v>
      </c>
      <c r="AQ3481" s="1">
        <v>78.33</v>
      </c>
      <c r="AR3481" s="1"/>
      <c r="AS3481" s="1"/>
      <c r="AT3481" s="1"/>
      <c r="AU3481" s="1" t="s">
        <v>98</v>
      </c>
      <c r="AV3481" s="1" t="s">
        <v>98</v>
      </c>
      <c r="AW3481" s="1" t="s">
        <v>98</v>
      </c>
      <c r="AX3481" s="1" t="s">
        <v>98</v>
      </c>
      <c r="AY3481" s="1" t="s">
        <v>55627</v>
      </c>
      <c r="AZ3481" s="1" t="s">
        <v>33165</v>
      </c>
      <c r="BA3481" s="1"/>
      <c r="BB3481" s="1"/>
      <c r="BC3481" s="1">
        <v>40756</v>
      </c>
      <c r="BD3481" s="1">
        <v>42196</v>
      </c>
      <c r="BE3481" s="1">
        <v>70.8</v>
      </c>
      <c r="BF3481" s="1">
        <v>7.08</v>
      </c>
      <c r="BG3481" s="1"/>
      <c r="BH3481" s="1"/>
      <c r="BI3481" s="1"/>
      <c r="BJ3481" s="1"/>
      <c r="BK3481" s="1" t="s">
        <v>98</v>
      </c>
      <c r="BL3481" s="1" t="s">
        <v>98</v>
      </c>
      <c r="BM3481" s="1" t="s">
        <v>98</v>
      </c>
      <c r="BN3481" s="1" t="s">
        <v>98</v>
      </c>
      <c r="BO3481" s="1" t="s">
        <v>369</v>
      </c>
      <c r="BP3481" s="1" t="s">
        <v>55628</v>
      </c>
      <c r="BQ3481" s="1" t="s">
        <v>38544</v>
      </c>
      <c r="BR3481" s="1" t="s">
        <v>55629</v>
      </c>
      <c r="BS3481" s="1">
        <v>14</v>
      </c>
      <c r="BT3481" s="1"/>
      <c r="BU3481" s="1" t="str">
        <f>HYPERLINK("https://nconnect.nicmar.ac.in/storage/profile/2021-2023_AP21270_396278.jpg","Download")</f>
        <v>0</v>
      </c>
      <c r="BV3481" s="3"/>
      <c r="BW3481" s="3"/>
    </row>
    <row r="3482" spans="1:75">
      <c r="A3482" s="1" t="s">
        <v>51340</v>
      </c>
      <c r="B3482" s="1" t="s">
        <v>51341</v>
      </c>
      <c r="C3482" s="1" t="s">
        <v>55630</v>
      </c>
      <c r="D3482" s="1" t="s">
        <v>55631</v>
      </c>
      <c r="E3482" s="1"/>
      <c r="F3482" s="1" t="s">
        <v>26646</v>
      </c>
      <c r="G3482" s="1" t="s">
        <v>55632</v>
      </c>
      <c r="H3482" s="1" t="s">
        <v>55633</v>
      </c>
      <c r="I3482" s="1" t="s">
        <v>55634</v>
      </c>
      <c r="J3482" s="1">
        <v>7901019963</v>
      </c>
      <c r="K3482" s="1" t="s">
        <v>84</v>
      </c>
      <c r="L3482" s="1" t="s">
        <v>10049</v>
      </c>
      <c r="M3482" s="1" t="s">
        <v>86</v>
      </c>
      <c r="N3482" s="1" t="s">
        <v>3083</v>
      </c>
      <c r="O3482" s="1"/>
      <c r="P3482" s="1" t="s">
        <v>455</v>
      </c>
      <c r="Q3482" s="1" t="s">
        <v>55635</v>
      </c>
      <c r="R3482" s="1" t="s">
        <v>55636</v>
      </c>
      <c r="S3482" s="1">
        <v>9963556760</v>
      </c>
      <c r="T3482" s="1" t="s">
        <v>539</v>
      </c>
      <c r="U3482" s="1" t="s">
        <v>55637</v>
      </c>
      <c r="V3482" s="1">
        <v>9494983949</v>
      </c>
      <c r="W3482" s="1" t="s">
        <v>539</v>
      </c>
      <c r="X3482" s="1" t="s">
        <v>55638</v>
      </c>
      <c r="Y3482" s="1" t="s">
        <v>3031</v>
      </c>
      <c r="Z3482" s="1" t="s">
        <v>461</v>
      </c>
      <c r="AA3482" s="1" t="s">
        <v>55638</v>
      </c>
      <c r="AB3482" s="1" t="s">
        <v>3031</v>
      </c>
      <c r="AC3482" s="1" t="s">
        <v>461</v>
      </c>
      <c r="AD3482" s="1" t="s">
        <v>98</v>
      </c>
      <c r="AE3482" s="1" t="s">
        <v>98</v>
      </c>
      <c r="AF3482" s="1" t="s">
        <v>55639</v>
      </c>
      <c r="AG3482" s="1" t="s">
        <v>4050</v>
      </c>
      <c r="AH3482" s="1" t="s">
        <v>55640</v>
      </c>
      <c r="AI3482" s="1" t="s">
        <v>53012</v>
      </c>
      <c r="AJ3482" s="1">
        <v>92.15</v>
      </c>
      <c r="AK3482" s="1">
        <v>9.7</v>
      </c>
      <c r="AL3482" s="1" t="s">
        <v>3033</v>
      </c>
      <c r="AM3482" s="1" t="s">
        <v>4050</v>
      </c>
      <c r="AN3482" s="1"/>
      <c r="AO3482" s="1" t="s">
        <v>55345</v>
      </c>
      <c r="AP3482" s="1" t="s">
        <v>55641</v>
      </c>
      <c r="AQ3482" s="1">
        <v>93.4</v>
      </c>
      <c r="AR3482" s="1"/>
      <c r="AS3482" s="1"/>
      <c r="AT3482" s="1"/>
      <c r="AU3482" s="1" t="s">
        <v>98</v>
      </c>
      <c r="AV3482" s="1" t="s">
        <v>98</v>
      </c>
      <c r="AW3482" s="1" t="s">
        <v>98</v>
      </c>
      <c r="AX3482" s="1" t="s">
        <v>98</v>
      </c>
      <c r="AY3482" s="1" t="s">
        <v>1823</v>
      </c>
      <c r="AZ3482" s="1" t="s">
        <v>55642</v>
      </c>
      <c r="BA3482" s="1"/>
      <c r="BB3482" s="1"/>
      <c r="BC3482" s="1" t="s">
        <v>55064</v>
      </c>
      <c r="BD3482" s="1" t="s">
        <v>55643</v>
      </c>
      <c r="BE3482" s="1">
        <v>81.2</v>
      </c>
      <c r="BF3482" s="1">
        <v>8.62</v>
      </c>
      <c r="BG3482" s="1"/>
      <c r="BH3482" s="1"/>
      <c r="BI3482" s="1"/>
      <c r="BJ3482" s="1"/>
      <c r="BK3482" s="1" t="s">
        <v>98</v>
      </c>
      <c r="BL3482" s="1" t="s">
        <v>98</v>
      </c>
      <c r="BM3482" s="1" t="s">
        <v>98</v>
      </c>
      <c r="BN3482" s="1" t="s">
        <v>98</v>
      </c>
      <c r="BO3482" s="1" t="s">
        <v>1705</v>
      </c>
      <c r="BP3482" s="1"/>
      <c r="BQ3482" s="1"/>
      <c r="BR3482" s="1" t="s">
        <v>55644</v>
      </c>
      <c r="BS3482" s="1">
        <v>9</v>
      </c>
      <c r="BT3482" s="1"/>
      <c r="BU3482" s="1" t="str">
        <f>HYPERLINK("https://nconnect.nicmar.ac.in/storage/profile/2021-2023_AP21271_475826.jpg","Download")</f>
        <v>0</v>
      </c>
      <c r="BV3482" s="3"/>
      <c r="BW3482" s="3"/>
    </row>
    <row r="3483" spans="1:75">
      <c r="A3483" s="1" t="s">
        <v>51340</v>
      </c>
      <c r="B3483" s="1" t="s">
        <v>51341</v>
      </c>
      <c r="C3483" s="1" t="s">
        <v>55645</v>
      </c>
      <c r="D3483" s="1" t="s">
        <v>55646</v>
      </c>
      <c r="E3483" s="1"/>
      <c r="F3483" s="1" t="s">
        <v>27166</v>
      </c>
      <c r="G3483" s="1" t="s">
        <v>55647</v>
      </c>
      <c r="H3483" s="1" t="s">
        <v>55648</v>
      </c>
      <c r="I3483" s="1" t="s">
        <v>55649</v>
      </c>
      <c r="J3483" s="1">
        <v>8001521428</v>
      </c>
      <c r="K3483" s="1" t="s">
        <v>84</v>
      </c>
      <c r="L3483" s="1" t="s">
        <v>55650</v>
      </c>
      <c r="M3483" s="1" t="s">
        <v>86</v>
      </c>
      <c r="N3483" s="1" t="s">
        <v>27171</v>
      </c>
      <c r="O3483" s="1"/>
      <c r="P3483" s="1" t="s">
        <v>507</v>
      </c>
      <c r="Q3483" s="1" t="s">
        <v>55651</v>
      </c>
      <c r="R3483" s="1" t="s">
        <v>55652</v>
      </c>
      <c r="S3483" s="1">
        <v>9475413447</v>
      </c>
      <c r="T3483" s="1" t="s">
        <v>55653</v>
      </c>
      <c r="U3483" s="1" t="s">
        <v>55654</v>
      </c>
      <c r="V3483" s="1">
        <v>9476425510</v>
      </c>
      <c r="W3483" s="1" t="s">
        <v>94</v>
      </c>
      <c r="X3483" s="1" t="s">
        <v>55655</v>
      </c>
      <c r="Y3483" s="1" t="s">
        <v>55656</v>
      </c>
      <c r="Z3483" s="1" t="s">
        <v>1234</v>
      </c>
      <c r="AA3483" s="1" t="s">
        <v>55655</v>
      </c>
      <c r="AB3483" s="1" t="s">
        <v>55656</v>
      </c>
      <c r="AC3483" s="1" t="s">
        <v>1234</v>
      </c>
      <c r="AD3483" s="1" t="s">
        <v>98</v>
      </c>
      <c r="AE3483" s="1" t="s">
        <v>98</v>
      </c>
      <c r="AF3483" s="1" t="s">
        <v>55657</v>
      </c>
      <c r="AG3483" s="1" t="s">
        <v>55658</v>
      </c>
      <c r="AH3483" s="1">
        <v>39904</v>
      </c>
      <c r="AI3483" s="1">
        <v>40326</v>
      </c>
      <c r="AJ3483" s="1">
        <v>87.4</v>
      </c>
      <c r="AK3483" s="1">
        <v>9.2</v>
      </c>
      <c r="AL3483" s="1" t="s">
        <v>55657</v>
      </c>
      <c r="AM3483" s="1" t="s">
        <v>55658</v>
      </c>
      <c r="AN3483" s="1"/>
      <c r="AO3483" s="1">
        <v>40634</v>
      </c>
      <c r="AP3483" s="1">
        <v>41057</v>
      </c>
      <c r="AQ3483" s="1">
        <v>80.2</v>
      </c>
      <c r="AR3483" s="1"/>
      <c r="AS3483" s="1"/>
      <c r="AT3483" s="1"/>
      <c r="AU3483" s="1" t="s">
        <v>98</v>
      </c>
      <c r="AV3483" s="1" t="s">
        <v>98</v>
      </c>
      <c r="AW3483" s="1" t="s">
        <v>98</v>
      </c>
      <c r="AX3483" s="1" t="s">
        <v>98</v>
      </c>
      <c r="AY3483" s="1" t="s">
        <v>1240</v>
      </c>
      <c r="AZ3483" s="1" t="s">
        <v>55659</v>
      </c>
      <c r="BA3483" s="1"/>
      <c r="BB3483" s="1"/>
      <c r="BC3483" s="1">
        <v>41137</v>
      </c>
      <c r="BD3483" s="1">
        <v>42584</v>
      </c>
      <c r="BE3483" s="1">
        <v>67.8</v>
      </c>
      <c r="BF3483" s="1">
        <v>7.53</v>
      </c>
      <c r="BG3483" s="1"/>
      <c r="BH3483" s="1"/>
      <c r="BI3483" s="1"/>
      <c r="BJ3483" s="1"/>
      <c r="BK3483" s="1" t="s">
        <v>98</v>
      </c>
      <c r="BL3483" s="1" t="s">
        <v>98</v>
      </c>
      <c r="BM3483" s="1" t="s">
        <v>98</v>
      </c>
      <c r="BN3483" s="1" t="s">
        <v>98</v>
      </c>
      <c r="BO3483" s="1" t="s">
        <v>369</v>
      </c>
      <c r="BP3483" s="1" t="s">
        <v>55660</v>
      </c>
      <c r="BQ3483" s="1" t="s">
        <v>55661</v>
      </c>
      <c r="BR3483" s="1" t="s">
        <v>55662</v>
      </c>
      <c r="BS3483" s="1">
        <v>20</v>
      </c>
      <c r="BT3483" s="1"/>
      <c r="BU3483" s="1" t="str">
        <f>HYPERLINK("https://nconnect.nicmar.ac.in/storage/profile/2021-2023_AP21272_521689.jpg","Download")</f>
        <v>0</v>
      </c>
      <c r="BV3483" s="3"/>
      <c r="BW3483" s="3"/>
    </row>
    <row r="3484" spans="1:75">
      <c r="A3484" s="1" t="s">
        <v>51340</v>
      </c>
      <c r="B3484" s="1" t="s">
        <v>51341</v>
      </c>
      <c r="C3484" s="1" t="s">
        <v>55663</v>
      </c>
      <c r="D3484" s="1" t="s">
        <v>8157</v>
      </c>
      <c r="E3484" s="1"/>
      <c r="F3484" s="1" t="s">
        <v>5482</v>
      </c>
      <c r="G3484" s="1" t="s">
        <v>55664</v>
      </c>
      <c r="H3484" s="1" t="s">
        <v>55665</v>
      </c>
      <c r="I3484" s="1" t="s">
        <v>55666</v>
      </c>
      <c r="J3484" s="1">
        <v>7879868177</v>
      </c>
      <c r="K3484" s="1" t="s">
        <v>84</v>
      </c>
      <c r="L3484" s="1" t="s">
        <v>55667</v>
      </c>
      <c r="M3484" s="1" t="s">
        <v>86</v>
      </c>
      <c r="N3484" s="1" t="s">
        <v>246</v>
      </c>
      <c r="O3484" s="1"/>
      <c r="P3484" s="1" t="s">
        <v>455</v>
      </c>
      <c r="Q3484" s="1" t="s">
        <v>55668</v>
      </c>
      <c r="R3484" s="1" t="s">
        <v>55669</v>
      </c>
      <c r="S3484" s="1">
        <v>9827161207</v>
      </c>
      <c r="T3484" s="1" t="s">
        <v>926</v>
      </c>
      <c r="U3484" s="1" t="s">
        <v>55670</v>
      </c>
      <c r="V3484" s="1">
        <v>7879273790</v>
      </c>
      <c r="W3484" s="1" t="s">
        <v>161</v>
      </c>
      <c r="X3484" s="1" t="s">
        <v>55671</v>
      </c>
      <c r="Y3484" s="1" t="s">
        <v>11285</v>
      </c>
      <c r="Z3484" s="1" t="s">
        <v>2933</v>
      </c>
      <c r="AA3484" s="1" t="s">
        <v>55671</v>
      </c>
      <c r="AB3484" s="1" t="s">
        <v>11285</v>
      </c>
      <c r="AC3484" s="1" t="s">
        <v>2933</v>
      </c>
      <c r="AD3484" s="1" t="s">
        <v>98</v>
      </c>
      <c r="AE3484" s="1" t="s">
        <v>98</v>
      </c>
      <c r="AF3484" s="1" t="s">
        <v>55672</v>
      </c>
      <c r="AG3484" s="1" t="s">
        <v>312</v>
      </c>
      <c r="AH3484" s="1">
        <v>41000</v>
      </c>
      <c r="AI3484" s="1">
        <v>41424</v>
      </c>
      <c r="AJ3484" s="1">
        <v>72.2</v>
      </c>
      <c r="AK3484" s="1">
        <v>7.6</v>
      </c>
      <c r="AL3484" s="1" t="s">
        <v>55673</v>
      </c>
      <c r="AM3484" s="1" t="s">
        <v>55674</v>
      </c>
      <c r="AN3484" s="1"/>
      <c r="AO3484" s="1">
        <v>41821</v>
      </c>
      <c r="AP3484" s="1">
        <v>42122</v>
      </c>
      <c r="AQ3484" s="1">
        <v>89.7</v>
      </c>
      <c r="AR3484" s="1"/>
      <c r="AS3484" s="1"/>
      <c r="AT3484" s="1"/>
      <c r="AU3484" s="1" t="s">
        <v>98</v>
      </c>
      <c r="AV3484" s="1" t="s">
        <v>98</v>
      </c>
      <c r="AW3484" s="1" t="s">
        <v>98</v>
      </c>
      <c r="AX3484" s="1" t="s">
        <v>98</v>
      </c>
      <c r="AY3484" s="1" t="s">
        <v>55675</v>
      </c>
      <c r="AZ3484" s="1" t="s">
        <v>55676</v>
      </c>
      <c r="BA3484" s="1"/>
      <c r="BB3484" s="1"/>
      <c r="BC3484" s="1">
        <v>42583</v>
      </c>
      <c r="BD3484" s="1">
        <v>44144</v>
      </c>
      <c r="BE3484" s="1">
        <v>71.64</v>
      </c>
      <c r="BF3484" s="1"/>
      <c r="BG3484" s="1"/>
      <c r="BH3484" s="1"/>
      <c r="BI3484" s="1"/>
      <c r="BJ3484" s="1"/>
      <c r="BK3484" s="1" t="s">
        <v>98</v>
      </c>
      <c r="BL3484" s="1" t="s">
        <v>98</v>
      </c>
      <c r="BM3484" s="1" t="s">
        <v>98</v>
      </c>
      <c r="BN3484" s="1" t="s">
        <v>98</v>
      </c>
      <c r="BO3484" s="1" t="s">
        <v>55677</v>
      </c>
      <c r="BP3484" s="1"/>
      <c r="BQ3484" s="1"/>
      <c r="BR3484" s="1" t="s">
        <v>55678</v>
      </c>
      <c r="BS3484" s="1">
        <v>17</v>
      </c>
      <c r="BT3484" s="1"/>
      <c r="BU3484" s="1" t="str">
        <f>HYPERLINK("https://nconnect.nicmar.ac.in/storage/profile/2021-2023_AP21273_278519.jpg","Download")</f>
        <v>0</v>
      </c>
      <c r="BV3484" s="3"/>
      <c r="BW3484" s="3"/>
    </row>
    <row r="3485" spans="1:75">
      <c r="A3485" s="1" t="s">
        <v>51340</v>
      </c>
      <c r="B3485" s="1" t="s">
        <v>51341</v>
      </c>
      <c r="C3485" s="1" t="s">
        <v>55679</v>
      </c>
      <c r="D3485" s="1" t="s">
        <v>55680</v>
      </c>
      <c r="E3485" s="1" t="s">
        <v>33718</v>
      </c>
      <c r="F3485" s="1" t="s">
        <v>55681</v>
      </c>
      <c r="G3485" s="1" t="s">
        <v>55682</v>
      </c>
      <c r="H3485" s="1" t="s">
        <v>55683</v>
      </c>
      <c r="I3485" s="1" t="s">
        <v>55684</v>
      </c>
      <c r="J3485" s="1">
        <v>8655859902</v>
      </c>
      <c r="K3485" s="1" t="s">
        <v>84</v>
      </c>
      <c r="L3485" s="1" t="s">
        <v>55685</v>
      </c>
      <c r="M3485" s="1" t="s">
        <v>86</v>
      </c>
      <c r="N3485" s="1" t="s">
        <v>903</v>
      </c>
      <c r="O3485" s="1"/>
      <c r="P3485" s="1" t="s">
        <v>455</v>
      </c>
      <c r="Q3485" s="1" t="s">
        <v>55686</v>
      </c>
      <c r="R3485" s="1" t="s">
        <v>55687</v>
      </c>
      <c r="S3485" s="1">
        <v>9223413558</v>
      </c>
      <c r="T3485" s="1" t="s">
        <v>839</v>
      </c>
      <c r="U3485" s="1" t="s">
        <v>55688</v>
      </c>
      <c r="V3485" s="1">
        <v>7021770865</v>
      </c>
      <c r="W3485" s="1" t="s">
        <v>5620</v>
      </c>
      <c r="X3485" s="1" t="s">
        <v>55689</v>
      </c>
      <c r="Y3485" s="1" t="s">
        <v>14079</v>
      </c>
      <c r="Z3485" s="1" t="s">
        <v>97</v>
      </c>
      <c r="AA3485" s="1" t="s">
        <v>55690</v>
      </c>
      <c r="AB3485" s="1" t="s">
        <v>14079</v>
      </c>
      <c r="AC3485" s="1" t="s">
        <v>97</v>
      </c>
      <c r="AD3485" s="1" t="s">
        <v>98</v>
      </c>
      <c r="AE3485" s="1" t="s">
        <v>98</v>
      </c>
      <c r="AF3485" s="1" t="s">
        <v>36642</v>
      </c>
      <c r="AG3485" s="1" t="s">
        <v>55691</v>
      </c>
      <c r="AH3485" s="1">
        <v>40707</v>
      </c>
      <c r="AI3485" s="1">
        <v>41073</v>
      </c>
      <c r="AJ3485" s="1">
        <v>86.18</v>
      </c>
      <c r="AK3485" s="1"/>
      <c r="AL3485" s="1" t="s">
        <v>36731</v>
      </c>
      <c r="AM3485" s="1" t="s">
        <v>55691</v>
      </c>
      <c r="AN3485" s="1"/>
      <c r="AO3485" s="1">
        <v>41435</v>
      </c>
      <c r="AP3485" s="1">
        <v>41803</v>
      </c>
      <c r="AQ3485" s="1">
        <v>72.31</v>
      </c>
      <c r="AR3485" s="1"/>
      <c r="AS3485" s="1"/>
      <c r="AT3485" s="1"/>
      <c r="AU3485" s="1" t="s">
        <v>98</v>
      </c>
      <c r="AV3485" s="1" t="s">
        <v>98</v>
      </c>
      <c r="AW3485" s="1" t="s">
        <v>98</v>
      </c>
      <c r="AX3485" s="1" t="s">
        <v>98</v>
      </c>
      <c r="AY3485" s="1" t="s">
        <v>258</v>
      </c>
      <c r="AZ3485" s="1" t="s">
        <v>26157</v>
      </c>
      <c r="BA3485" s="1"/>
      <c r="BB3485" s="1"/>
      <c r="BC3485" s="1">
        <v>41855</v>
      </c>
      <c r="BD3485" s="1">
        <v>43611</v>
      </c>
      <c r="BE3485" s="1">
        <v>57.57</v>
      </c>
      <c r="BF3485" s="1">
        <v>6.56</v>
      </c>
      <c r="BG3485" s="1"/>
      <c r="BH3485" s="1"/>
      <c r="BI3485" s="1"/>
      <c r="BJ3485" s="1"/>
      <c r="BK3485" s="1" t="s">
        <v>98</v>
      </c>
      <c r="BL3485" s="1" t="s">
        <v>98</v>
      </c>
      <c r="BM3485" s="1" t="s">
        <v>98</v>
      </c>
      <c r="BN3485" s="1" t="s">
        <v>98</v>
      </c>
      <c r="BO3485" s="1" t="s">
        <v>369</v>
      </c>
      <c r="BP3485" s="1" t="s">
        <v>55692</v>
      </c>
      <c r="BQ3485" s="1" t="s">
        <v>29415</v>
      </c>
      <c r="BR3485" s="1" t="s">
        <v>55693</v>
      </c>
      <c r="BS3485" s="1">
        <v>11</v>
      </c>
      <c r="BT3485" s="1"/>
      <c r="BU3485" s="1" t="str">
        <f>HYPERLINK("https://nconnect.nicmar.ac.in/storage/profile/2021-2023_AP21274_281493.JPG","Download")</f>
        <v>0</v>
      </c>
      <c r="BV3485" s="3"/>
      <c r="BW3485" s="3"/>
    </row>
    <row r="3486" spans="1:75">
      <c r="A3486" s="1" t="s">
        <v>51340</v>
      </c>
      <c r="B3486" s="1" t="s">
        <v>51341</v>
      </c>
      <c r="C3486" s="1" t="s">
        <v>55694</v>
      </c>
      <c r="D3486" s="1" t="s">
        <v>1136</v>
      </c>
      <c r="E3486" s="1" t="s">
        <v>530</v>
      </c>
      <c r="F3486" s="1" t="s">
        <v>55695</v>
      </c>
      <c r="G3486" s="1" t="s">
        <v>55696</v>
      </c>
      <c r="H3486" s="1" t="s">
        <v>55697</v>
      </c>
      <c r="I3486" s="1" t="s">
        <v>55698</v>
      </c>
      <c r="J3486" s="1">
        <v>7747872723</v>
      </c>
      <c r="K3486" s="1" t="s">
        <v>84</v>
      </c>
      <c r="L3486" s="1" t="s">
        <v>55699</v>
      </c>
      <c r="M3486" s="1" t="s">
        <v>86</v>
      </c>
      <c r="N3486" s="1" t="s">
        <v>379</v>
      </c>
      <c r="O3486" s="1"/>
      <c r="P3486" s="1" t="s">
        <v>507</v>
      </c>
      <c r="Q3486" s="1" t="s">
        <v>55700</v>
      </c>
      <c r="R3486" s="1" t="s">
        <v>55701</v>
      </c>
      <c r="S3486" s="1">
        <v>7000521193</v>
      </c>
      <c r="T3486" s="1" t="s">
        <v>5027</v>
      </c>
      <c r="U3486" s="1" t="s">
        <v>55702</v>
      </c>
      <c r="V3486" s="1">
        <v>9131882207</v>
      </c>
      <c r="W3486" s="1" t="s">
        <v>539</v>
      </c>
      <c r="X3486" s="1" t="s">
        <v>55703</v>
      </c>
      <c r="Y3486" s="1" t="s">
        <v>29113</v>
      </c>
      <c r="Z3486" s="1" t="s">
        <v>3419</v>
      </c>
      <c r="AA3486" s="1" t="s">
        <v>55703</v>
      </c>
      <c r="AB3486" s="1" t="s">
        <v>29113</v>
      </c>
      <c r="AC3486" s="1" t="s">
        <v>3419</v>
      </c>
      <c r="AD3486" s="1" t="s">
        <v>98</v>
      </c>
      <c r="AE3486" s="1" t="s">
        <v>98</v>
      </c>
      <c r="AF3486" s="1" t="s">
        <v>55704</v>
      </c>
      <c r="AG3486" s="1" t="s">
        <v>31244</v>
      </c>
      <c r="AH3486" s="1">
        <v>41091</v>
      </c>
      <c r="AI3486" s="1">
        <v>41415</v>
      </c>
      <c r="AJ3486" s="1">
        <v>64.5</v>
      </c>
      <c r="AK3486" s="1">
        <v>0</v>
      </c>
      <c r="AL3486" s="1" t="s">
        <v>55705</v>
      </c>
      <c r="AM3486" s="1" t="s">
        <v>31244</v>
      </c>
      <c r="AN3486" s="1"/>
      <c r="AO3486" s="1">
        <v>42186</v>
      </c>
      <c r="AP3486" s="1">
        <v>42527</v>
      </c>
      <c r="AQ3486" s="1">
        <v>51</v>
      </c>
      <c r="AR3486" s="1">
        <v>0</v>
      </c>
      <c r="AS3486" s="1"/>
      <c r="AT3486" s="1"/>
      <c r="AU3486" s="1" t="s">
        <v>98</v>
      </c>
      <c r="AV3486" s="1" t="s">
        <v>98</v>
      </c>
      <c r="AW3486" s="1" t="s">
        <v>98</v>
      </c>
      <c r="AX3486" s="1" t="s">
        <v>98</v>
      </c>
      <c r="AY3486" s="1" t="s">
        <v>11637</v>
      </c>
      <c r="AZ3486" s="1" t="s">
        <v>55706</v>
      </c>
      <c r="BA3486" s="1"/>
      <c r="BB3486" s="1"/>
      <c r="BC3486" s="1">
        <v>42556</v>
      </c>
      <c r="BD3486" s="1">
        <v>44085</v>
      </c>
      <c r="BE3486" s="1">
        <v>76.2</v>
      </c>
      <c r="BF3486" s="1">
        <v>7.62</v>
      </c>
      <c r="BG3486" s="1"/>
      <c r="BH3486" s="1"/>
      <c r="BI3486" s="1"/>
      <c r="BJ3486" s="1"/>
      <c r="BK3486" s="1" t="s">
        <v>98</v>
      </c>
      <c r="BL3486" s="1" t="s">
        <v>98</v>
      </c>
      <c r="BM3486" s="1" t="s">
        <v>98</v>
      </c>
      <c r="BN3486" s="1" t="s">
        <v>98</v>
      </c>
      <c r="BO3486" s="1" t="s">
        <v>369</v>
      </c>
      <c r="BP3486" s="1"/>
      <c r="BQ3486" s="1"/>
      <c r="BR3486" s="1" t="s">
        <v>55707</v>
      </c>
      <c r="BS3486" s="1">
        <v>19</v>
      </c>
      <c r="BT3486" s="1"/>
      <c r="BU3486" s="1" t="str">
        <f>HYPERLINK("https://nconnect.nicmar.ac.in/storage/profile/2021-2023_AP21275_158749.jpg","Download")</f>
        <v>0</v>
      </c>
      <c r="BV3486" s="3"/>
      <c r="BW3486" s="3"/>
    </row>
    <row r="3487" spans="1:75">
      <c r="A3487" s="1" t="s">
        <v>51340</v>
      </c>
      <c r="B3487" s="1" t="s">
        <v>51341</v>
      </c>
      <c r="C3487" s="1" t="s">
        <v>55708</v>
      </c>
      <c r="D3487" s="1" t="s">
        <v>55709</v>
      </c>
      <c r="E3487" s="1"/>
      <c r="F3487" s="1" t="s">
        <v>6636</v>
      </c>
      <c r="G3487" s="1" t="s">
        <v>55710</v>
      </c>
      <c r="H3487" s="1" t="s">
        <v>55711</v>
      </c>
      <c r="I3487" s="1" t="s">
        <v>55712</v>
      </c>
      <c r="J3487" s="1">
        <v>9407694510</v>
      </c>
      <c r="K3487" s="1" t="s">
        <v>84</v>
      </c>
      <c r="L3487" s="1" t="s">
        <v>27085</v>
      </c>
      <c r="M3487" s="1" t="s">
        <v>86</v>
      </c>
      <c r="N3487" s="1" t="s">
        <v>55713</v>
      </c>
      <c r="O3487" s="1"/>
      <c r="P3487" s="1" t="s">
        <v>455</v>
      </c>
      <c r="Q3487" s="1" t="s">
        <v>55714</v>
      </c>
      <c r="R3487" s="1" t="s">
        <v>55715</v>
      </c>
      <c r="S3487" s="1">
        <v>9425213206</v>
      </c>
      <c r="T3487" s="1" t="s">
        <v>98</v>
      </c>
      <c r="U3487" s="1" t="s">
        <v>55716</v>
      </c>
      <c r="V3487" s="1">
        <v>9425585145</v>
      </c>
      <c r="W3487" s="1" t="s">
        <v>161</v>
      </c>
      <c r="X3487" s="1" t="s">
        <v>55717</v>
      </c>
      <c r="Y3487" s="1" t="s">
        <v>55718</v>
      </c>
      <c r="Z3487" s="1" t="s">
        <v>2933</v>
      </c>
      <c r="AA3487" s="1" t="s">
        <v>55719</v>
      </c>
      <c r="AB3487" s="1" t="s">
        <v>2932</v>
      </c>
      <c r="AC3487" s="1" t="s">
        <v>2933</v>
      </c>
      <c r="AD3487" s="1" t="s">
        <v>98</v>
      </c>
      <c r="AE3487" s="1" t="s">
        <v>98</v>
      </c>
      <c r="AF3487" s="1" t="s">
        <v>55720</v>
      </c>
      <c r="AG3487" s="1" t="s">
        <v>1968</v>
      </c>
      <c r="AH3487" s="1">
        <v>41456</v>
      </c>
      <c r="AI3487" s="1">
        <v>41702</v>
      </c>
      <c r="AJ3487" s="1">
        <v>83.2</v>
      </c>
      <c r="AK3487" s="1"/>
      <c r="AL3487" s="1" t="s">
        <v>55721</v>
      </c>
      <c r="AM3487" s="1" t="s">
        <v>1968</v>
      </c>
      <c r="AN3487" s="1"/>
      <c r="AO3487" s="1">
        <v>42188</v>
      </c>
      <c r="AP3487" s="1">
        <v>42401</v>
      </c>
      <c r="AQ3487" s="1">
        <v>71.08</v>
      </c>
      <c r="AR3487" s="1"/>
      <c r="AS3487" s="1"/>
      <c r="AT3487" s="1"/>
      <c r="AU3487" s="1" t="s">
        <v>98</v>
      </c>
      <c r="AV3487" s="1" t="s">
        <v>98</v>
      </c>
      <c r="AW3487" s="1" t="s">
        <v>98</v>
      </c>
      <c r="AX3487" s="1" t="s">
        <v>98</v>
      </c>
      <c r="AY3487" s="1" t="s">
        <v>5338</v>
      </c>
      <c r="AZ3487" s="1" t="s">
        <v>55722</v>
      </c>
      <c r="BA3487" s="1"/>
      <c r="BB3487" s="1"/>
      <c r="BC3487" s="1">
        <v>42583</v>
      </c>
      <c r="BD3487" s="1">
        <v>44144</v>
      </c>
      <c r="BE3487" s="1">
        <v>71.15</v>
      </c>
      <c r="BF3487" s="1">
        <v>7.88</v>
      </c>
      <c r="BG3487" s="1"/>
      <c r="BH3487" s="1"/>
      <c r="BI3487" s="1"/>
      <c r="BJ3487" s="1"/>
      <c r="BK3487" s="1" t="s">
        <v>98</v>
      </c>
      <c r="BL3487" s="1" t="s">
        <v>98</v>
      </c>
      <c r="BM3487" s="1" t="s">
        <v>98</v>
      </c>
      <c r="BN3487" s="1" t="s">
        <v>98</v>
      </c>
      <c r="BO3487" s="1" t="s">
        <v>369</v>
      </c>
      <c r="BP3487" s="1"/>
      <c r="BQ3487" s="1"/>
      <c r="BR3487" s="1" t="s">
        <v>55723</v>
      </c>
      <c r="BS3487" s="1">
        <v>17</v>
      </c>
      <c r="BT3487" s="1"/>
      <c r="BU3487" s="1" t="str">
        <f>HYPERLINK("https://nconnect.nicmar.ac.in/storage/profile/2021-2023_AP21276_179428.jpeg","Download")</f>
        <v>0</v>
      </c>
      <c r="BV3487" s="3"/>
      <c r="BW3487" s="3"/>
    </row>
    <row r="3488" spans="1:75">
      <c r="A3488" s="1" t="s">
        <v>51340</v>
      </c>
      <c r="B3488" s="1" t="s">
        <v>51341</v>
      </c>
      <c r="C3488" s="1" t="s">
        <v>55724</v>
      </c>
      <c r="D3488" s="1" t="s">
        <v>4214</v>
      </c>
      <c r="E3488" s="1" t="s">
        <v>7510</v>
      </c>
      <c r="F3488" s="1" t="s">
        <v>29313</v>
      </c>
      <c r="G3488" s="1" t="s">
        <v>55725</v>
      </c>
      <c r="H3488" s="1" t="s">
        <v>55726</v>
      </c>
      <c r="I3488" s="1" t="s">
        <v>55727</v>
      </c>
      <c r="J3488" s="1">
        <v>8983679150</v>
      </c>
      <c r="K3488" s="1" t="s">
        <v>84</v>
      </c>
      <c r="L3488" s="1" t="s">
        <v>55728</v>
      </c>
      <c r="M3488" s="1" t="s">
        <v>86</v>
      </c>
      <c r="N3488" s="1" t="s">
        <v>2988</v>
      </c>
      <c r="O3488" s="1"/>
      <c r="P3488" s="1" t="s">
        <v>455</v>
      </c>
      <c r="Q3488" s="1" t="s">
        <v>55729</v>
      </c>
      <c r="R3488" s="1" t="s">
        <v>55730</v>
      </c>
      <c r="S3488" s="1">
        <v>9421613031</v>
      </c>
      <c r="T3488" s="1" t="s">
        <v>127</v>
      </c>
      <c r="U3488" s="1" t="s">
        <v>55731</v>
      </c>
      <c r="V3488" s="1">
        <v>9421691054</v>
      </c>
      <c r="W3488" s="1" t="s">
        <v>127</v>
      </c>
      <c r="X3488" s="1" t="s">
        <v>55732</v>
      </c>
      <c r="Y3488" s="1" t="s">
        <v>55733</v>
      </c>
      <c r="Z3488" s="1" t="s">
        <v>97</v>
      </c>
      <c r="AA3488" s="1" t="s">
        <v>55734</v>
      </c>
      <c r="AB3488" s="1" t="s">
        <v>196</v>
      </c>
      <c r="AC3488" s="1" t="s">
        <v>97</v>
      </c>
      <c r="AD3488" s="1" t="s">
        <v>98</v>
      </c>
      <c r="AE3488" s="1" t="s">
        <v>98</v>
      </c>
      <c r="AF3488" s="1" t="s">
        <v>55735</v>
      </c>
      <c r="AG3488" s="1" t="s">
        <v>55691</v>
      </c>
      <c r="AH3488" s="1" t="s">
        <v>133</v>
      </c>
      <c r="AI3488" s="1" t="s">
        <v>1213</v>
      </c>
      <c r="AJ3488" s="1">
        <v>70.4</v>
      </c>
      <c r="AK3488" s="1">
        <v>7.4</v>
      </c>
      <c r="AL3488" s="1"/>
      <c r="AM3488" s="1"/>
      <c r="AN3488" s="1"/>
      <c r="AO3488" s="1">
        <v>41501</v>
      </c>
      <c r="AP3488" s="1">
        <v>42152</v>
      </c>
      <c r="AQ3488" s="1"/>
      <c r="AR3488" s="1"/>
      <c r="AS3488" s="1" t="s">
        <v>439</v>
      </c>
      <c r="AT3488" s="1" t="s">
        <v>55736</v>
      </c>
      <c r="AU3488" s="1" t="s">
        <v>342</v>
      </c>
      <c r="AV3488" s="1" t="s">
        <v>171</v>
      </c>
      <c r="AW3488" s="1">
        <v>65.03</v>
      </c>
      <c r="AX3488" s="1">
        <v>0</v>
      </c>
      <c r="AY3488" s="1" t="s">
        <v>30170</v>
      </c>
      <c r="AZ3488" s="1" t="s">
        <v>55737</v>
      </c>
      <c r="BA3488" s="1"/>
      <c r="BB3488" s="1"/>
      <c r="BC3488" s="1" t="s">
        <v>174</v>
      </c>
      <c r="BD3488" s="1" t="s">
        <v>549</v>
      </c>
      <c r="BE3488" s="1">
        <v>81.8</v>
      </c>
      <c r="BF3488" s="1">
        <v>7.45</v>
      </c>
      <c r="BG3488" s="1"/>
      <c r="BH3488" s="1"/>
      <c r="BI3488" s="1"/>
      <c r="BJ3488" s="1"/>
      <c r="BK3488" s="1" t="s">
        <v>98</v>
      </c>
      <c r="BL3488" s="1" t="s">
        <v>98</v>
      </c>
      <c r="BM3488" s="1" t="s">
        <v>98</v>
      </c>
      <c r="BN3488" s="1" t="s">
        <v>98</v>
      </c>
      <c r="BO3488" s="1" t="s">
        <v>1705</v>
      </c>
      <c r="BP3488" s="1"/>
      <c r="BQ3488" s="1"/>
      <c r="BR3488" s="1" t="s">
        <v>55738</v>
      </c>
      <c r="BS3488" s="1">
        <v>18</v>
      </c>
      <c r="BT3488" s="1"/>
      <c r="BU3488" s="1" t="str">
        <f>HYPERLINK("https://nconnect.nicmar.ac.in/storage/profile/2021-2023_AP21277_913467.jpg","Download")</f>
        <v>0</v>
      </c>
      <c r="BV3488" s="3"/>
      <c r="BW3488" s="3"/>
    </row>
    <row r="3489" spans="1:75">
      <c r="A3489" s="1" t="s">
        <v>51340</v>
      </c>
      <c r="B3489" s="1" t="s">
        <v>51341</v>
      </c>
      <c r="C3489" s="1" t="s">
        <v>55739</v>
      </c>
      <c r="D3489" s="1" t="s">
        <v>2097</v>
      </c>
      <c r="E3489" s="1"/>
      <c r="F3489" s="1" t="s">
        <v>1321</v>
      </c>
      <c r="G3489" s="1" t="s">
        <v>55740</v>
      </c>
      <c r="H3489" s="1" t="s">
        <v>55741</v>
      </c>
      <c r="I3489" s="1" t="s">
        <v>55742</v>
      </c>
      <c r="J3489" s="1">
        <v>8250698101</v>
      </c>
      <c r="K3489" s="1" t="s">
        <v>84</v>
      </c>
      <c r="L3489" s="1" t="s">
        <v>55743</v>
      </c>
      <c r="M3489" s="1" t="s">
        <v>86</v>
      </c>
      <c r="N3489" s="1" t="s">
        <v>27171</v>
      </c>
      <c r="O3489" s="1"/>
      <c r="P3489" s="1" t="s">
        <v>455</v>
      </c>
      <c r="Q3489" s="1" t="s">
        <v>55744</v>
      </c>
      <c r="R3489" s="1" t="s">
        <v>55745</v>
      </c>
      <c r="S3489" s="1">
        <v>9434961420</v>
      </c>
      <c r="T3489" s="1" t="s">
        <v>539</v>
      </c>
      <c r="U3489" s="1" t="s">
        <v>55746</v>
      </c>
      <c r="V3489" s="1">
        <v>9475718613</v>
      </c>
      <c r="W3489" s="1" t="s">
        <v>94</v>
      </c>
      <c r="X3489" s="1" t="s">
        <v>55747</v>
      </c>
      <c r="Y3489" s="1" t="s">
        <v>55748</v>
      </c>
      <c r="Z3489" s="1" t="s">
        <v>1234</v>
      </c>
      <c r="AA3489" s="1" t="s">
        <v>55749</v>
      </c>
      <c r="AB3489" s="1" t="s">
        <v>196</v>
      </c>
      <c r="AC3489" s="1" t="s">
        <v>97</v>
      </c>
      <c r="AD3489" s="1" t="s">
        <v>98</v>
      </c>
      <c r="AE3489" s="1" t="s">
        <v>98</v>
      </c>
      <c r="AF3489" s="1" t="s">
        <v>31003</v>
      </c>
      <c r="AG3489" s="1" t="s">
        <v>3284</v>
      </c>
      <c r="AH3489" s="1" t="s">
        <v>55344</v>
      </c>
      <c r="AI3489" s="1" t="s">
        <v>55750</v>
      </c>
      <c r="AJ3489" s="1">
        <v>79.66</v>
      </c>
      <c r="AK3489" s="1">
        <v>8.38</v>
      </c>
      <c r="AL3489" s="1" t="s">
        <v>31003</v>
      </c>
      <c r="AM3489" s="1" t="s">
        <v>3284</v>
      </c>
      <c r="AN3489" s="1"/>
      <c r="AO3489" s="1" t="s">
        <v>55751</v>
      </c>
      <c r="AP3489" s="1" t="s">
        <v>55752</v>
      </c>
      <c r="AQ3489" s="1">
        <v>58.33</v>
      </c>
      <c r="AR3489" s="1">
        <v>6.14</v>
      </c>
      <c r="AS3489" s="1"/>
      <c r="AT3489" s="1"/>
      <c r="AU3489" s="1" t="s">
        <v>98</v>
      </c>
      <c r="AV3489" s="1" t="s">
        <v>98</v>
      </c>
      <c r="AW3489" s="1" t="s">
        <v>98</v>
      </c>
      <c r="AX3489" s="1" t="s">
        <v>98</v>
      </c>
      <c r="AY3489" s="1" t="s">
        <v>53028</v>
      </c>
      <c r="AZ3489" s="1" t="s">
        <v>53028</v>
      </c>
      <c r="BA3489" s="1"/>
      <c r="BB3489" s="1"/>
      <c r="BC3489" s="1" t="s">
        <v>55753</v>
      </c>
      <c r="BD3489" s="1" t="s">
        <v>55754</v>
      </c>
      <c r="BE3489" s="1">
        <v>73.12</v>
      </c>
      <c r="BF3489" s="1">
        <v>6.39</v>
      </c>
      <c r="BG3489" s="1"/>
      <c r="BH3489" s="1"/>
      <c r="BI3489" s="1"/>
      <c r="BJ3489" s="1"/>
      <c r="BK3489" s="1" t="s">
        <v>98</v>
      </c>
      <c r="BL3489" s="1" t="s">
        <v>98</v>
      </c>
      <c r="BM3489" s="1" t="s">
        <v>98</v>
      </c>
      <c r="BN3489" s="1" t="s">
        <v>98</v>
      </c>
      <c r="BO3489" s="1" t="s">
        <v>3308</v>
      </c>
      <c r="BP3489" s="1"/>
      <c r="BQ3489" s="1"/>
      <c r="BR3489" s="1" t="s">
        <v>55755</v>
      </c>
      <c r="BS3489" s="1">
        <v>17</v>
      </c>
      <c r="BT3489" s="1"/>
      <c r="BU3489" s="1" t="str">
        <f>HYPERLINK("https://nconnect.nicmar.ac.in/storage/profile/2021-2023_AP21278_257843.jpg","Download")</f>
        <v>0</v>
      </c>
      <c r="BV3489" s="3"/>
      <c r="BW3489" s="3"/>
    </row>
    <row r="3490" spans="1:75">
      <c r="A3490" s="1" t="s">
        <v>51340</v>
      </c>
      <c r="B3490" s="1" t="s">
        <v>51341</v>
      </c>
      <c r="C3490" s="1" t="s">
        <v>55756</v>
      </c>
      <c r="D3490" s="1" t="s">
        <v>55757</v>
      </c>
      <c r="E3490" s="1" t="s">
        <v>55758</v>
      </c>
      <c r="F3490" s="1" t="s">
        <v>55759</v>
      </c>
      <c r="G3490" s="1" t="s">
        <v>55760</v>
      </c>
      <c r="H3490" s="1" t="s">
        <v>55761</v>
      </c>
      <c r="I3490" s="1" t="s">
        <v>55762</v>
      </c>
      <c r="J3490" s="1">
        <v>8758840601</v>
      </c>
      <c r="K3490" s="1" t="s">
        <v>84</v>
      </c>
      <c r="L3490" s="1" t="s">
        <v>28371</v>
      </c>
      <c r="M3490" s="1" t="s">
        <v>86</v>
      </c>
      <c r="N3490" s="1" t="s">
        <v>6641</v>
      </c>
      <c r="O3490" s="1"/>
      <c r="P3490" s="1" t="s">
        <v>507</v>
      </c>
      <c r="Q3490" s="1" t="s">
        <v>55763</v>
      </c>
      <c r="R3490" s="1" t="s">
        <v>55764</v>
      </c>
      <c r="S3490" s="1">
        <v>9375610122</v>
      </c>
      <c r="T3490" s="1" t="s">
        <v>11408</v>
      </c>
      <c r="U3490" s="1" t="s">
        <v>55765</v>
      </c>
      <c r="V3490" s="1">
        <v>9081558457</v>
      </c>
      <c r="W3490" s="1" t="s">
        <v>94</v>
      </c>
      <c r="X3490" s="1" t="s">
        <v>55766</v>
      </c>
      <c r="Y3490" s="1" t="s">
        <v>55767</v>
      </c>
      <c r="Z3490" s="1" t="s">
        <v>676</v>
      </c>
      <c r="AA3490" s="1" t="s">
        <v>55766</v>
      </c>
      <c r="AB3490" s="1" t="s">
        <v>55767</v>
      </c>
      <c r="AC3490" s="1" t="s">
        <v>676</v>
      </c>
      <c r="AD3490" s="1" t="s">
        <v>98</v>
      </c>
      <c r="AE3490" s="1" t="s">
        <v>98</v>
      </c>
      <c r="AF3490" s="1" t="s">
        <v>55768</v>
      </c>
      <c r="AG3490" s="1" t="s">
        <v>8746</v>
      </c>
      <c r="AH3490" s="1">
        <v>41435</v>
      </c>
      <c r="AI3490" s="1">
        <v>41749</v>
      </c>
      <c r="AJ3490" s="1">
        <v>74.33</v>
      </c>
      <c r="AK3490" s="1"/>
      <c r="AL3490" s="1" t="s">
        <v>55769</v>
      </c>
      <c r="AM3490" s="1" t="s">
        <v>8746</v>
      </c>
      <c r="AN3490" s="1"/>
      <c r="AO3490" s="1">
        <v>42100</v>
      </c>
      <c r="AP3490" s="1">
        <v>42484</v>
      </c>
      <c r="AQ3490" s="1">
        <v>59.38</v>
      </c>
      <c r="AR3490" s="1"/>
      <c r="AS3490" s="1"/>
      <c r="AT3490" s="1"/>
      <c r="AU3490" s="1" t="s">
        <v>98</v>
      </c>
      <c r="AV3490" s="1" t="s">
        <v>98</v>
      </c>
      <c r="AW3490" s="1" t="s">
        <v>98</v>
      </c>
      <c r="AX3490" s="1" t="s">
        <v>98</v>
      </c>
      <c r="AY3490" s="1" t="s">
        <v>5241</v>
      </c>
      <c r="AZ3490" s="1" t="s">
        <v>55770</v>
      </c>
      <c r="BA3490" s="1"/>
      <c r="BB3490" s="1"/>
      <c r="BC3490" s="1">
        <v>42586</v>
      </c>
      <c r="BD3490" s="1">
        <v>44071</v>
      </c>
      <c r="BE3490" s="1">
        <v>70.4</v>
      </c>
      <c r="BF3490" s="1">
        <v>7.54</v>
      </c>
      <c r="BG3490" s="1"/>
      <c r="BH3490" s="1"/>
      <c r="BI3490" s="1"/>
      <c r="BJ3490" s="1"/>
      <c r="BK3490" s="1" t="s">
        <v>98</v>
      </c>
      <c r="BL3490" s="1" t="s">
        <v>98</v>
      </c>
      <c r="BM3490" s="1" t="s">
        <v>98</v>
      </c>
      <c r="BN3490" s="1" t="s">
        <v>98</v>
      </c>
      <c r="BO3490" s="1" t="s">
        <v>55771</v>
      </c>
      <c r="BP3490" s="1"/>
      <c r="BQ3490" s="1"/>
      <c r="BR3490" s="1" t="s">
        <v>55772</v>
      </c>
      <c r="BS3490" s="1">
        <v>14</v>
      </c>
      <c r="BT3490" s="1"/>
      <c r="BU3490" s="1" t="str">
        <f>HYPERLINK("https://nconnect.nicmar.ac.in/storage/profile/2021-2023_AP21279_425798.jpg","Download")</f>
        <v>0</v>
      </c>
      <c r="BV3490" s="3"/>
      <c r="BW3490" s="3"/>
    </row>
    <row r="3491" spans="1:75">
      <c r="A3491" s="1" t="s">
        <v>51340</v>
      </c>
      <c r="B3491" s="1" t="s">
        <v>51341</v>
      </c>
      <c r="C3491" s="1" t="s">
        <v>55773</v>
      </c>
      <c r="D3491" s="1" t="s">
        <v>31717</v>
      </c>
      <c r="E3491" s="1"/>
      <c r="F3491" s="1" t="s">
        <v>530</v>
      </c>
      <c r="G3491" s="1" t="s">
        <v>55774</v>
      </c>
      <c r="H3491" s="1" t="s">
        <v>55775</v>
      </c>
      <c r="I3491" s="1" t="s">
        <v>55776</v>
      </c>
      <c r="J3491" s="1">
        <v>6262625811</v>
      </c>
      <c r="K3491" s="1" t="s">
        <v>84</v>
      </c>
      <c r="L3491" s="1" t="s">
        <v>55777</v>
      </c>
      <c r="M3491" s="1" t="s">
        <v>86</v>
      </c>
      <c r="N3491" s="1" t="s">
        <v>246</v>
      </c>
      <c r="O3491" s="1"/>
      <c r="P3491" s="1" t="s">
        <v>481</v>
      </c>
      <c r="Q3491" s="1" t="s">
        <v>55778</v>
      </c>
      <c r="R3491" s="1" t="s">
        <v>55779</v>
      </c>
      <c r="S3491" s="1">
        <v>7806073084</v>
      </c>
      <c r="T3491" s="1" t="s">
        <v>1620</v>
      </c>
      <c r="U3491" s="1" t="s">
        <v>55780</v>
      </c>
      <c r="V3491" s="1">
        <v>8349895419</v>
      </c>
      <c r="W3491" s="1" t="s">
        <v>278</v>
      </c>
      <c r="X3491" s="1" t="s">
        <v>55781</v>
      </c>
      <c r="Y3491" s="1" t="s">
        <v>11285</v>
      </c>
      <c r="Z3491" s="1" t="s">
        <v>2933</v>
      </c>
      <c r="AA3491" s="1" t="s">
        <v>55782</v>
      </c>
      <c r="AB3491" s="1" t="s">
        <v>11285</v>
      </c>
      <c r="AC3491" s="1" t="s">
        <v>2933</v>
      </c>
      <c r="AD3491" s="1" t="s">
        <v>98</v>
      </c>
      <c r="AE3491" s="1" t="s">
        <v>98</v>
      </c>
      <c r="AF3491" s="1" t="s">
        <v>55783</v>
      </c>
      <c r="AG3491" s="1" t="s">
        <v>312</v>
      </c>
      <c r="AH3491" s="1">
        <v>41375</v>
      </c>
      <c r="AI3491" s="1">
        <v>41779</v>
      </c>
      <c r="AJ3491" s="1">
        <v>77.9</v>
      </c>
      <c r="AK3491" s="1">
        <v>8.2</v>
      </c>
      <c r="AL3491" s="1" t="s">
        <v>55784</v>
      </c>
      <c r="AM3491" s="1" t="s">
        <v>312</v>
      </c>
      <c r="AN3491" s="1"/>
      <c r="AO3491" s="1">
        <v>42105</v>
      </c>
      <c r="AP3491" s="1">
        <v>42511</v>
      </c>
      <c r="AQ3491" s="1">
        <v>68</v>
      </c>
      <c r="AR3491" s="1" t="s">
        <v>98</v>
      </c>
      <c r="AS3491" s="1" t="s">
        <v>98</v>
      </c>
      <c r="AT3491" s="1" t="s">
        <v>98</v>
      </c>
      <c r="AU3491" s="1" t="s">
        <v>98</v>
      </c>
      <c r="AV3491" s="1" t="s">
        <v>98</v>
      </c>
      <c r="AW3491" s="1" t="s">
        <v>98</v>
      </c>
      <c r="AX3491" s="1" t="s">
        <v>98</v>
      </c>
      <c r="AY3491" s="1" t="s">
        <v>5224</v>
      </c>
      <c r="AZ3491" s="1" t="s">
        <v>55785</v>
      </c>
      <c r="BA3491" s="1"/>
      <c r="BB3491" s="1"/>
      <c r="BC3491" s="1">
        <v>42561</v>
      </c>
      <c r="BD3491" s="1">
        <v>44089</v>
      </c>
      <c r="BE3491" s="1">
        <v>71.8</v>
      </c>
      <c r="BF3491" s="1">
        <v>7.18</v>
      </c>
      <c r="BG3491" s="1" t="s">
        <v>98</v>
      </c>
      <c r="BH3491" s="1"/>
      <c r="BI3491" s="1"/>
      <c r="BJ3491" s="1"/>
      <c r="BK3491" s="1" t="s">
        <v>98</v>
      </c>
      <c r="BL3491" s="1" t="s">
        <v>98</v>
      </c>
      <c r="BM3491" s="1" t="s">
        <v>98</v>
      </c>
      <c r="BN3491" s="1" t="s">
        <v>98</v>
      </c>
      <c r="BO3491" s="1"/>
      <c r="BP3491" s="1"/>
      <c r="BQ3491" s="1"/>
      <c r="BR3491" s="1" t="s">
        <v>55786</v>
      </c>
      <c r="BS3491" s="1">
        <v>13</v>
      </c>
      <c r="BT3491" s="1"/>
      <c r="BU3491" s="1" t="str">
        <f>HYPERLINK("https://nconnect.nicmar.ac.in/storage/profile/2021-2023_AP21280_437819.jpg","Download")</f>
        <v>0</v>
      </c>
      <c r="BV3491" s="3"/>
      <c r="BW3491" s="3"/>
    </row>
    <row r="3492" spans="1:75">
      <c r="A3492" s="1" t="s">
        <v>51340</v>
      </c>
      <c r="B3492" s="1" t="s">
        <v>51341</v>
      </c>
      <c r="C3492" s="1" t="s">
        <v>55787</v>
      </c>
      <c r="D3492" s="1" t="s">
        <v>55788</v>
      </c>
      <c r="E3492" s="1" t="s">
        <v>2560</v>
      </c>
      <c r="F3492" s="1" t="s">
        <v>4886</v>
      </c>
      <c r="G3492" s="1" t="s">
        <v>55789</v>
      </c>
      <c r="H3492" s="1" t="s">
        <v>55790</v>
      </c>
      <c r="I3492" s="1" t="s">
        <v>55791</v>
      </c>
      <c r="J3492" s="1">
        <v>9834294449</v>
      </c>
      <c r="K3492" s="1" t="s">
        <v>153</v>
      </c>
      <c r="L3492" s="1" t="s">
        <v>37504</v>
      </c>
      <c r="M3492" s="1" t="s">
        <v>86</v>
      </c>
      <c r="N3492" s="1" t="s">
        <v>1163</v>
      </c>
      <c r="O3492" s="1"/>
      <c r="P3492" s="1" t="s">
        <v>455</v>
      </c>
      <c r="Q3492" s="1" t="s">
        <v>55792</v>
      </c>
      <c r="R3492" s="1" t="s">
        <v>55793</v>
      </c>
      <c r="S3492" s="1">
        <v>9975107799</v>
      </c>
      <c r="T3492" s="1" t="s">
        <v>1577</v>
      </c>
      <c r="U3492" s="1" t="s">
        <v>55794</v>
      </c>
      <c r="V3492" s="1">
        <v>9579781195</v>
      </c>
      <c r="W3492" s="1" t="s">
        <v>127</v>
      </c>
      <c r="X3492" s="1" t="s">
        <v>55795</v>
      </c>
      <c r="Y3492" s="1" t="s">
        <v>624</v>
      </c>
      <c r="Z3492" s="1" t="s">
        <v>97</v>
      </c>
      <c r="AA3492" s="1" t="s">
        <v>55796</v>
      </c>
      <c r="AB3492" s="1" t="s">
        <v>624</v>
      </c>
      <c r="AC3492" s="1" t="s">
        <v>97</v>
      </c>
      <c r="AD3492" s="1" t="s">
        <v>98</v>
      </c>
      <c r="AE3492" s="1" t="s">
        <v>98</v>
      </c>
      <c r="AF3492" s="1" t="s">
        <v>55797</v>
      </c>
      <c r="AG3492" s="1" t="s">
        <v>312</v>
      </c>
      <c r="AH3492" s="1">
        <v>41372</v>
      </c>
      <c r="AI3492" s="1">
        <v>41719</v>
      </c>
      <c r="AJ3492" s="1">
        <v>87.4</v>
      </c>
      <c r="AK3492" s="1">
        <v>9.2</v>
      </c>
      <c r="AL3492" s="1" t="s">
        <v>55798</v>
      </c>
      <c r="AM3492" s="1" t="s">
        <v>312</v>
      </c>
      <c r="AN3492" s="1"/>
      <c r="AO3492" s="1">
        <v>42100</v>
      </c>
      <c r="AP3492" s="1">
        <v>42455</v>
      </c>
      <c r="AQ3492" s="1">
        <v>66.66</v>
      </c>
      <c r="AR3492" s="1"/>
      <c r="AS3492" s="1"/>
      <c r="AT3492" s="1"/>
      <c r="AU3492" s="1" t="s">
        <v>98</v>
      </c>
      <c r="AV3492" s="1" t="s">
        <v>98</v>
      </c>
      <c r="AW3492" s="1" t="s">
        <v>98</v>
      </c>
      <c r="AX3492" s="1" t="s">
        <v>98</v>
      </c>
      <c r="AY3492" s="1" t="s">
        <v>9026</v>
      </c>
      <c r="AZ3492" s="1" t="s">
        <v>55799</v>
      </c>
      <c r="BA3492" s="1"/>
      <c r="BB3492" s="1"/>
      <c r="BC3492" s="1" t="s">
        <v>55800</v>
      </c>
      <c r="BD3492" s="1" t="s">
        <v>55801</v>
      </c>
      <c r="BE3492" s="1">
        <v>84.43</v>
      </c>
      <c r="BF3492" s="1">
        <v>7.83</v>
      </c>
      <c r="BG3492" s="1"/>
      <c r="BH3492" s="1"/>
      <c r="BI3492" s="1"/>
      <c r="BJ3492" s="1"/>
      <c r="BK3492" s="1" t="s">
        <v>98</v>
      </c>
      <c r="BL3492" s="1" t="s">
        <v>98</v>
      </c>
      <c r="BM3492" s="1" t="s">
        <v>98</v>
      </c>
      <c r="BN3492" s="1" t="s">
        <v>98</v>
      </c>
      <c r="BO3492" s="1" t="s">
        <v>25985</v>
      </c>
      <c r="BP3492" s="1"/>
      <c r="BQ3492" s="1"/>
      <c r="BR3492" s="1" t="s">
        <v>55802</v>
      </c>
      <c r="BS3492" s="1">
        <v>23</v>
      </c>
      <c r="BT3492" s="1"/>
      <c r="BU3492" s="1" t="str">
        <f>HYPERLINK("https://nconnect.nicmar.ac.in/storage/profile/2021-2023_AP21281_352417.jpg","Download")</f>
        <v>0</v>
      </c>
      <c r="BV3492" s="3"/>
      <c r="BW3492" s="3"/>
    </row>
    <row r="3493" spans="1:75">
      <c r="A3493" s="1" t="s">
        <v>51340</v>
      </c>
      <c r="B3493" s="1" t="s">
        <v>51341</v>
      </c>
      <c r="C3493" s="1" t="s">
        <v>55803</v>
      </c>
      <c r="D3493" s="1" t="s">
        <v>5752</v>
      </c>
      <c r="E3493" s="1" t="s">
        <v>5073</v>
      </c>
      <c r="F3493" s="1" t="s">
        <v>55804</v>
      </c>
      <c r="G3493" s="1" t="s">
        <v>55805</v>
      </c>
      <c r="H3493" s="1" t="s">
        <v>55806</v>
      </c>
      <c r="I3493" s="1" t="s">
        <v>55807</v>
      </c>
      <c r="J3493" s="1">
        <v>8975734978</v>
      </c>
      <c r="K3493" s="1" t="s">
        <v>84</v>
      </c>
      <c r="L3493" s="1" t="s">
        <v>55808</v>
      </c>
      <c r="M3493" s="1" t="s">
        <v>86</v>
      </c>
      <c r="N3493" s="1" t="s">
        <v>55809</v>
      </c>
      <c r="O3493" s="1"/>
      <c r="P3493" s="1" t="s">
        <v>455</v>
      </c>
      <c r="Q3493" s="1" t="s">
        <v>55810</v>
      </c>
      <c r="R3493" s="1" t="s">
        <v>55811</v>
      </c>
      <c r="S3493" s="1">
        <v>8830704683</v>
      </c>
      <c r="T3493" s="1" t="s">
        <v>127</v>
      </c>
      <c r="U3493" s="1" t="s">
        <v>55812</v>
      </c>
      <c r="V3493" s="1">
        <v>9665745955</v>
      </c>
      <c r="W3493" s="1" t="s">
        <v>94</v>
      </c>
      <c r="X3493" s="1" t="s">
        <v>55813</v>
      </c>
      <c r="Y3493" s="1" t="s">
        <v>55814</v>
      </c>
      <c r="Z3493" s="1" t="s">
        <v>97</v>
      </c>
      <c r="AA3493" s="1" t="s">
        <v>55815</v>
      </c>
      <c r="AB3493" s="1" t="s">
        <v>55814</v>
      </c>
      <c r="AC3493" s="1" t="s">
        <v>97</v>
      </c>
      <c r="AD3493" s="1" t="s">
        <v>98</v>
      </c>
      <c r="AE3493" s="1" t="s">
        <v>98</v>
      </c>
      <c r="AF3493" s="1" t="s">
        <v>55816</v>
      </c>
      <c r="AG3493" s="1" t="s">
        <v>55817</v>
      </c>
      <c r="AH3493" s="1" t="s">
        <v>1214</v>
      </c>
      <c r="AI3493" s="1" t="s">
        <v>166</v>
      </c>
      <c r="AJ3493" s="1">
        <v>92.8</v>
      </c>
      <c r="AK3493" s="1"/>
      <c r="AL3493" s="1" t="s">
        <v>55818</v>
      </c>
      <c r="AM3493" s="1" t="s">
        <v>55817</v>
      </c>
      <c r="AN3493" s="1"/>
      <c r="AO3493" s="1" t="s">
        <v>167</v>
      </c>
      <c r="AP3493" s="1" t="s">
        <v>573</v>
      </c>
      <c r="AQ3493" s="1">
        <v>81.69</v>
      </c>
      <c r="AR3493" s="1"/>
      <c r="AS3493" s="1"/>
      <c r="AT3493" s="1"/>
      <c r="AU3493" s="1" t="s">
        <v>98</v>
      </c>
      <c r="AV3493" s="1" t="s">
        <v>98</v>
      </c>
      <c r="AW3493" s="1"/>
      <c r="AX3493" s="1"/>
      <c r="AY3493" s="1" t="s">
        <v>55819</v>
      </c>
      <c r="AZ3493" s="1" t="s">
        <v>55820</v>
      </c>
      <c r="BA3493" s="1"/>
      <c r="BB3493" s="1"/>
      <c r="BC3493" s="1" t="s">
        <v>230</v>
      </c>
      <c r="BD3493" s="1" t="s">
        <v>847</v>
      </c>
      <c r="BE3493" s="1">
        <v>80.9</v>
      </c>
      <c r="BF3493" s="1">
        <v>8.09</v>
      </c>
      <c r="BG3493" s="1"/>
      <c r="BH3493" s="1"/>
      <c r="BI3493" s="1"/>
      <c r="BJ3493" s="1"/>
      <c r="BK3493" s="1" t="s">
        <v>98</v>
      </c>
      <c r="BL3493" s="1" t="s">
        <v>98</v>
      </c>
      <c r="BM3493" s="1" t="s">
        <v>98</v>
      </c>
      <c r="BN3493" s="1" t="s">
        <v>98</v>
      </c>
      <c r="BO3493" s="1" t="s">
        <v>55821</v>
      </c>
      <c r="BP3493" s="1"/>
      <c r="BQ3493" s="1"/>
      <c r="BR3493" s="1" t="s">
        <v>55822</v>
      </c>
      <c r="BS3493" s="1">
        <v>23</v>
      </c>
      <c r="BT3493" s="1"/>
      <c r="BU3493" s="1" t="str">
        <f>HYPERLINK("https://nconnect.nicmar.ac.in/storage/profile/2021-2023_AP21282_145287.jpg","Download")</f>
        <v>0</v>
      </c>
      <c r="BV3493" s="3"/>
      <c r="BW3493" s="3"/>
    </row>
    <row r="3494" spans="1:75">
      <c r="A3494" s="1" t="s">
        <v>51340</v>
      </c>
      <c r="B3494" s="1" t="s">
        <v>51341</v>
      </c>
      <c r="C3494" s="1" t="s">
        <v>55823</v>
      </c>
      <c r="D3494" s="1" t="s">
        <v>1337</v>
      </c>
      <c r="E3494" s="1" t="s">
        <v>55824</v>
      </c>
      <c r="F3494" s="1" t="s">
        <v>55825</v>
      </c>
      <c r="G3494" s="1" t="s">
        <v>55826</v>
      </c>
      <c r="H3494" s="1" t="s">
        <v>55827</v>
      </c>
      <c r="I3494" s="1" t="s">
        <v>55828</v>
      </c>
      <c r="J3494" s="1">
        <v>8149902464</v>
      </c>
      <c r="K3494" s="1" t="s">
        <v>84</v>
      </c>
      <c r="L3494" s="1" t="s">
        <v>8179</v>
      </c>
      <c r="M3494" s="1" t="s">
        <v>86</v>
      </c>
      <c r="N3494" s="1" t="s">
        <v>246</v>
      </c>
      <c r="O3494" s="1"/>
      <c r="P3494" s="1" t="s">
        <v>481</v>
      </c>
      <c r="Q3494" s="1" t="s">
        <v>55829</v>
      </c>
      <c r="R3494" s="1" t="s">
        <v>55830</v>
      </c>
      <c r="S3494" s="1">
        <v>9970955178</v>
      </c>
      <c r="T3494" s="1" t="s">
        <v>539</v>
      </c>
      <c r="U3494" s="1" t="s">
        <v>55831</v>
      </c>
      <c r="V3494" s="1">
        <v>9766067207</v>
      </c>
      <c r="W3494" s="1" t="s">
        <v>161</v>
      </c>
      <c r="X3494" s="1" t="s">
        <v>55832</v>
      </c>
      <c r="Y3494" s="1" t="s">
        <v>410</v>
      </c>
      <c r="Z3494" s="1" t="s">
        <v>97</v>
      </c>
      <c r="AA3494" s="1" t="s">
        <v>55832</v>
      </c>
      <c r="AB3494" s="1" t="s">
        <v>410</v>
      </c>
      <c r="AC3494" s="1" t="s">
        <v>97</v>
      </c>
      <c r="AD3494" s="1" t="s">
        <v>98</v>
      </c>
      <c r="AE3494" s="1" t="s">
        <v>98</v>
      </c>
      <c r="AF3494" s="1" t="s">
        <v>55833</v>
      </c>
      <c r="AG3494" s="1" t="s">
        <v>1968</v>
      </c>
      <c r="AH3494" s="1">
        <v>41215</v>
      </c>
      <c r="AI3494" s="1">
        <v>41432</v>
      </c>
      <c r="AJ3494" s="1">
        <v>83.27</v>
      </c>
      <c r="AK3494" s="1"/>
      <c r="AL3494" s="1" t="s">
        <v>3677</v>
      </c>
      <c r="AM3494" s="1" t="s">
        <v>1968</v>
      </c>
      <c r="AN3494" s="1"/>
      <c r="AO3494" s="1">
        <v>41843</v>
      </c>
      <c r="AP3494" s="1">
        <v>42151</v>
      </c>
      <c r="AQ3494" s="1">
        <v>75.85</v>
      </c>
      <c r="AR3494" s="1"/>
      <c r="AS3494" s="1"/>
      <c r="AT3494" s="1"/>
      <c r="AU3494" s="1" t="s">
        <v>98</v>
      </c>
      <c r="AV3494" s="1" t="s">
        <v>98</v>
      </c>
      <c r="AW3494" s="1" t="s">
        <v>98</v>
      </c>
      <c r="AX3494" s="1" t="s">
        <v>98</v>
      </c>
      <c r="AY3494" s="1" t="s">
        <v>26393</v>
      </c>
      <c r="AZ3494" s="1" t="s">
        <v>26393</v>
      </c>
      <c r="BA3494" s="1"/>
      <c r="BB3494" s="1"/>
      <c r="BC3494" s="1">
        <v>42588</v>
      </c>
      <c r="BD3494" s="1">
        <v>44378</v>
      </c>
      <c r="BE3494" s="1">
        <v>63</v>
      </c>
      <c r="BF3494" s="1">
        <v>7.05</v>
      </c>
      <c r="BG3494" s="1"/>
      <c r="BH3494" s="1"/>
      <c r="BI3494" s="1"/>
      <c r="BJ3494" s="1"/>
      <c r="BK3494" s="1" t="s">
        <v>98</v>
      </c>
      <c r="BL3494" s="1" t="s">
        <v>98</v>
      </c>
      <c r="BM3494" s="1" t="s">
        <v>98</v>
      </c>
      <c r="BN3494" s="1" t="s">
        <v>98</v>
      </c>
      <c r="BO3494" s="1" t="s">
        <v>369</v>
      </c>
      <c r="BP3494" s="1"/>
      <c r="BQ3494" s="1"/>
      <c r="BR3494" s="1" t="s">
        <v>55834</v>
      </c>
      <c r="BS3494" s="1">
        <v>8</v>
      </c>
      <c r="BT3494" s="1"/>
      <c r="BU3494" s="1" t="str">
        <f>HYPERLINK("https://nconnect.nicmar.ac.in/storage/profile/2021-2023_AP21283_381952.jpg","Download")</f>
        <v>0</v>
      </c>
      <c r="BV3494" s="3"/>
      <c r="BW3494" s="3"/>
    </row>
    <row r="3495" spans="1:75">
      <c r="A3495" s="1" t="s">
        <v>51340</v>
      </c>
      <c r="B3495" s="1" t="s">
        <v>51341</v>
      </c>
      <c r="C3495" s="1" t="s">
        <v>55835</v>
      </c>
      <c r="D3495" s="1" t="s">
        <v>33980</v>
      </c>
      <c r="E3495" s="1" t="s">
        <v>7510</v>
      </c>
      <c r="F3495" s="1" t="s">
        <v>13015</v>
      </c>
      <c r="G3495" s="1" t="s">
        <v>55836</v>
      </c>
      <c r="H3495" s="1" t="s">
        <v>55837</v>
      </c>
      <c r="I3495" s="1" t="s">
        <v>55838</v>
      </c>
      <c r="J3495" s="1">
        <v>9284607158</v>
      </c>
      <c r="K3495" s="1" t="s">
        <v>153</v>
      </c>
      <c r="L3495" s="1" t="s">
        <v>55839</v>
      </c>
      <c r="M3495" s="1" t="s">
        <v>86</v>
      </c>
      <c r="N3495" s="1" t="s">
        <v>55840</v>
      </c>
      <c r="O3495" s="1"/>
      <c r="P3495" s="1" t="s">
        <v>481</v>
      </c>
      <c r="Q3495" s="1" t="s">
        <v>55841</v>
      </c>
      <c r="R3495" s="1" t="s">
        <v>55842</v>
      </c>
      <c r="S3495" s="1">
        <v>9370996800</v>
      </c>
      <c r="T3495" s="1" t="s">
        <v>98</v>
      </c>
      <c r="U3495" s="1" t="s">
        <v>55843</v>
      </c>
      <c r="V3495" s="1">
        <v>9890131073</v>
      </c>
      <c r="W3495" s="1" t="s">
        <v>539</v>
      </c>
      <c r="X3495" s="1" t="s">
        <v>55844</v>
      </c>
      <c r="Y3495" s="1" t="s">
        <v>410</v>
      </c>
      <c r="Z3495" s="1" t="s">
        <v>97</v>
      </c>
      <c r="AA3495" s="1" t="s">
        <v>55844</v>
      </c>
      <c r="AB3495" s="1" t="s">
        <v>410</v>
      </c>
      <c r="AC3495" s="1" t="s">
        <v>97</v>
      </c>
      <c r="AD3495" s="1" t="s">
        <v>98</v>
      </c>
      <c r="AE3495" s="1" t="s">
        <v>98</v>
      </c>
      <c r="AF3495" s="1" t="s">
        <v>55845</v>
      </c>
      <c r="AG3495" s="1" t="s">
        <v>1968</v>
      </c>
      <c r="AH3495" s="1">
        <v>41426</v>
      </c>
      <c r="AI3495" s="1">
        <v>41807</v>
      </c>
      <c r="AJ3495" s="1">
        <v>94.4</v>
      </c>
      <c r="AK3495" s="1"/>
      <c r="AL3495" s="1" t="s">
        <v>55846</v>
      </c>
      <c r="AM3495" s="1" t="s">
        <v>1968</v>
      </c>
      <c r="AN3495" s="1"/>
      <c r="AO3495" s="1">
        <v>42186</v>
      </c>
      <c r="AP3495" s="1">
        <v>42520</v>
      </c>
      <c r="AQ3495" s="1">
        <v>78</v>
      </c>
      <c r="AR3495" s="1"/>
      <c r="AS3495" s="1"/>
      <c r="AT3495" s="1"/>
      <c r="AU3495" s="1" t="s">
        <v>98</v>
      </c>
      <c r="AV3495" s="1" t="s">
        <v>98</v>
      </c>
      <c r="AW3495" s="1" t="s">
        <v>98</v>
      </c>
      <c r="AX3495" s="1" t="s">
        <v>98</v>
      </c>
      <c r="AY3495" s="1" t="s">
        <v>415</v>
      </c>
      <c r="AZ3495" s="1" t="s">
        <v>20667</v>
      </c>
      <c r="BA3495" s="1"/>
      <c r="BB3495" s="1"/>
      <c r="BC3495" s="1">
        <v>42554</v>
      </c>
      <c r="BD3495" s="1">
        <v>44109</v>
      </c>
      <c r="BE3495" s="1">
        <v>85.4</v>
      </c>
      <c r="BF3495" s="1">
        <v>8.54</v>
      </c>
      <c r="BG3495" s="1"/>
      <c r="BH3495" s="1"/>
      <c r="BI3495" s="1"/>
      <c r="BJ3495" s="1"/>
      <c r="BK3495" s="1" t="s">
        <v>98</v>
      </c>
      <c r="BL3495" s="1" t="s">
        <v>98</v>
      </c>
      <c r="BM3495" s="1" t="s">
        <v>98</v>
      </c>
      <c r="BN3495" s="1" t="s">
        <v>98</v>
      </c>
      <c r="BO3495" s="1" t="s">
        <v>260</v>
      </c>
      <c r="BP3495" s="1" t="s">
        <v>55847</v>
      </c>
      <c r="BQ3495" s="1" t="s">
        <v>1152</v>
      </c>
      <c r="BR3495" s="1" t="s">
        <v>55848</v>
      </c>
      <c r="BS3495" s="1">
        <v>21</v>
      </c>
      <c r="BT3495" s="1"/>
      <c r="BU3495" s="1" t="str">
        <f>HYPERLINK("https://nconnect.nicmar.ac.in/storage/profile/2021-2023_AP21284_796341.JPG","Download")</f>
        <v>0</v>
      </c>
      <c r="BV3495" s="3"/>
      <c r="BW3495" s="3"/>
    </row>
    <row r="3496" spans="1:75">
      <c r="A3496" s="1" t="s">
        <v>51340</v>
      </c>
      <c r="B3496" s="1" t="s">
        <v>51341</v>
      </c>
      <c r="C3496" s="1" t="s">
        <v>55849</v>
      </c>
      <c r="D3496" s="1" t="s">
        <v>55850</v>
      </c>
      <c r="E3496" s="1"/>
      <c r="F3496" s="1" t="s">
        <v>1320</v>
      </c>
      <c r="G3496" s="1" t="s">
        <v>55851</v>
      </c>
      <c r="H3496" s="1" t="s">
        <v>55852</v>
      </c>
      <c r="I3496" s="1" t="s">
        <v>55853</v>
      </c>
      <c r="J3496" s="1">
        <v>9583241615</v>
      </c>
      <c r="K3496" s="1" t="s">
        <v>84</v>
      </c>
      <c r="L3496" s="1" t="s">
        <v>55854</v>
      </c>
      <c r="M3496" s="1" t="s">
        <v>86</v>
      </c>
      <c r="N3496" s="1" t="s">
        <v>87</v>
      </c>
      <c r="O3496" s="1"/>
      <c r="P3496" s="1" t="s">
        <v>481</v>
      </c>
      <c r="Q3496" s="1" t="s">
        <v>55855</v>
      </c>
      <c r="R3496" s="1" t="s">
        <v>55856</v>
      </c>
      <c r="S3496" s="1">
        <v>8873891618</v>
      </c>
      <c r="T3496" s="1" t="s">
        <v>539</v>
      </c>
      <c r="U3496" s="1" t="s">
        <v>55857</v>
      </c>
      <c r="V3496" s="1">
        <v>9102206492</v>
      </c>
      <c r="W3496" s="1" t="s">
        <v>94</v>
      </c>
      <c r="X3496" s="1" t="s">
        <v>55858</v>
      </c>
      <c r="Y3496" s="1" t="s">
        <v>2954</v>
      </c>
      <c r="Z3496" s="1" t="s">
        <v>2955</v>
      </c>
      <c r="AA3496" s="1" t="s">
        <v>55858</v>
      </c>
      <c r="AB3496" s="1" t="s">
        <v>2954</v>
      </c>
      <c r="AC3496" s="1" t="s">
        <v>2955</v>
      </c>
      <c r="AD3496" s="1" t="s">
        <v>98</v>
      </c>
      <c r="AE3496" s="1" t="s">
        <v>98</v>
      </c>
      <c r="AF3496" s="1" t="s">
        <v>55859</v>
      </c>
      <c r="AG3496" s="1" t="s">
        <v>54200</v>
      </c>
      <c r="AH3496" s="1">
        <v>38432</v>
      </c>
      <c r="AI3496" s="1">
        <v>38801</v>
      </c>
      <c r="AJ3496" s="1">
        <v>72.83</v>
      </c>
      <c r="AK3496" s="1"/>
      <c r="AL3496" s="1" t="s">
        <v>55860</v>
      </c>
      <c r="AM3496" s="1" t="s">
        <v>54200</v>
      </c>
      <c r="AN3496" s="1"/>
      <c r="AO3496" s="1">
        <v>39251</v>
      </c>
      <c r="AP3496" s="1">
        <v>39591</v>
      </c>
      <c r="AQ3496" s="1">
        <v>70</v>
      </c>
      <c r="AR3496" s="1"/>
      <c r="AS3496" s="1"/>
      <c r="AT3496" s="1"/>
      <c r="AU3496" s="1" t="s">
        <v>98</v>
      </c>
      <c r="AV3496" s="1" t="s">
        <v>98</v>
      </c>
      <c r="AW3496" s="1" t="s">
        <v>98</v>
      </c>
      <c r="AX3496" s="1" t="s">
        <v>98</v>
      </c>
      <c r="AY3496" s="1" t="s">
        <v>55861</v>
      </c>
      <c r="AZ3496" s="1" t="s">
        <v>55862</v>
      </c>
      <c r="BA3496" s="1"/>
      <c r="BB3496" s="1"/>
      <c r="BC3496" s="1">
        <v>39979</v>
      </c>
      <c r="BD3496" s="1">
        <v>41430</v>
      </c>
      <c r="BE3496" s="1">
        <v>71.1</v>
      </c>
      <c r="BF3496" s="1">
        <v>7.61</v>
      </c>
      <c r="BG3496" s="1"/>
      <c r="BH3496" s="1"/>
      <c r="BI3496" s="1"/>
      <c r="BJ3496" s="1"/>
      <c r="BK3496" s="1" t="s">
        <v>98</v>
      </c>
      <c r="BL3496" s="1" t="s">
        <v>98</v>
      </c>
      <c r="BM3496" s="1" t="s">
        <v>98</v>
      </c>
      <c r="BN3496" s="1" t="s">
        <v>98</v>
      </c>
      <c r="BO3496" s="1" t="s">
        <v>849</v>
      </c>
      <c r="BP3496" s="1" t="s">
        <v>55863</v>
      </c>
      <c r="BQ3496" s="1" t="s">
        <v>7108</v>
      </c>
      <c r="BR3496" s="1" t="s">
        <v>55864</v>
      </c>
      <c r="BS3496" s="1">
        <v>11</v>
      </c>
      <c r="BT3496" s="1"/>
      <c r="BU3496" s="1" t="str">
        <f>HYPERLINK("https://nconnect.nicmar.ac.in/storage/profile/2021-2023_AP21285_581376.jpg","Download")</f>
        <v>0</v>
      </c>
      <c r="BV3496" s="3"/>
      <c r="BW3496" s="3"/>
    </row>
    <row r="3497" spans="1:75">
      <c r="A3497" s="1" t="s">
        <v>51340</v>
      </c>
      <c r="B3497" s="1" t="s">
        <v>51341</v>
      </c>
      <c r="C3497" s="1" t="s">
        <v>55865</v>
      </c>
      <c r="D3497" s="1" t="s">
        <v>6946</v>
      </c>
      <c r="E3497" s="1" t="s">
        <v>397</v>
      </c>
      <c r="F3497" s="1" t="s">
        <v>1179</v>
      </c>
      <c r="G3497" s="1" t="s">
        <v>55866</v>
      </c>
      <c r="H3497" s="1" t="s">
        <v>55867</v>
      </c>
      <c r="I3497" s="1" t="s">
        <v>55868</v>
      </c>
      <c r="J3497" s="1">
        <v>8208465541</v>
      </c>
      <c r="K3497" s="1" t="s">
        <v>84</v>
      </c>
      <c r="L3497" s="1" t="s">
        <v>55869</v>
      </c>
      <c r="M3497" s="1" t="s">
        <v>86</v>
      </c>
      <c r="N3497" s="1" t="s">
        <v>55870</v>
      </c>
      <c r="O3497" s="1"/>
      <c r="P3497" s="1" t="s">
        <v>481</v>
      </c>
      <c r="Q3497" s="1" t="s">
        <v>55871</v>
      </c>
      <c r="R3497" s="1" t="s">
        <v>55872</v>
      </c>
      <c r="S3497" s="1">
        <v>9284743796</v>
      </c>
      <c r="T3497" s="1" t="s">
        <v>539</v>
      </c>
      <c r="U3497" s="1" t="s">
        <v>55873</v>
      </c>
      <c r="V3497" s="1">
        <v>7666596564</v>
      </c>
      <c r="W3497" s="1" t="s">
        <v>94</v>
      </c>
      <c r="X3497" s="1" t="s">
        <v>55874</v>
      </c>
      <c r="Y3497" s="1" t="s">
        <v>96</v>
      </c>
      <c r="Z3497" s="1" t="s">
        <v>97</v>
      </c>
      <c r="AA3497" s="1" t="s">
        <v>55874</v>
      </c>
      <c r="AB3497" s="1" t="s">
        <v>96</v>
      </c>
      <c r="AC3497" s="1" t="s">
        <v>97</v>
      </c>
      <c r="AD3497" s="1" t="s">
        <v>98</v>
      </c>
      <c r="AE3497" s="1" t="s">
        <v>98</v>
      </c>
      <c r="AF3497" s="1" t="s">
        <v>9789</v>
      </c>
      <c r="AG3497" s="1" t="s">
        <v>1968</v>
      </c>
      <c r="AH3497" s="1">
        <v>41428</v>
      </c>
      <c r="AI3497" s="1">
        <v>41707</v>
      </c>
      <c r="AJ3497" s="1">
        <v>83.6</v>
      </c>
      <c r="AK3497" s="1"/>
      <c r="AL3497" s="1" t="s">
        <v>55875</v>
      </c>
      <c r="AM3497" s="1" t="s">
        <v>1968</v>
      </c>
      <c r="AN3497" s="1"/>
      <c r="AO3497" s="1" t="s">
        <v>54453</v>
      </c>
      <c r="AP3497" s="1" t="s">
        <v>55876</v>
      </c>
      <c r="AQ3497" s="1">
        <v>55.85</v>
      </c>
      <c r="AR3497" s="1"/>
      <c r="AS3497" s="1"/>
      <c r="AT3497" s="1"/>
      <c r="AU3497" s="1" t="s">
        <v>98</v>
      </c>
      <c r="AV3497" s="1" t="s">
        <v>98</v>
      </c>
      <c r="AW3497" s="1" t="s">
        <v>98</v>
      </c>
      <c r="AX3497" s="1" t="s">
        <v>98</v>
      </c>
      <c r="AY3497" s="1" t="s">
        <v>4270</v>
      </c>
      <c r="AZ3497" s="1" t="s">
        <v>39053</v>
      </c>
      <c r="BA3497" s="1"/>
      <c r="BB3497" s="1"/>
      <c r="BC3497" s="1">
        <v>42583</v>
      </c>
      <c r="BD3497" s="1">
        <v>44180</v>
      </c>
      <c r="BE3497" s="1">
        <v>64.4</v>
      </c>
      <c r="BF3497" s="1">
        <v>6.44</v>
      </c>
      <c r="BG3497" s="1"/>
      <c r="BH3497" s="1"/>
      <c r="BI3497" s="1"/>
      <c r="BJ3497" s="1"/>
      <c r="BK3497" s="1" t="s">
        <v>98</v>
      </c>
      <c r="BL3497" s="1" t="s">
        <v>98</v>
      </c>
      <c r="BM3497" s="1" t="s">
        <v>98</v>
      </c>
      <c r="BN3497" s="1" t="s">
        <v>98</v>
      </c>
      <c r="BO3497" s="1" t="s">
        <v>55877</v>
      </c>
      <c r="BP3497" s="1"/>
      <c r="BQ3497" s="1"/>
      <c r="BR3497" s="1" t="s">
        <v>55878</v>
      </c>
      <c r="BS3497" s="1">
        <v>10</v>
      </c>
      <c r="BT3497" s="1"/>
      <c r="BU3497" s="1" t="str">
        <f>HYPERLINK("https://nconnect.nicmar.ac.in/storage/profile/2021-2023_AP21286_569482.jpg","Download")</f>
        <v>0</v>
      </c>
      <c r="BV3497" s="3"/>
      <c r="BW3497" s="3"/>
    </row>
    <row r="3498" spans="1:75">
      <c r="A3498" s="1" t="s">
        <v>51340</v>
      </c>
      <c r="B3498" s="1" t="s">
        <v>51341</v>
      </c>
      <c r="C3498" s="1" t="s">
        <v>55879</v>
      </c>
      <c r="D3498" s="1" t="s">
        <v>5466</v>
      </c>
      <c r="E3498" s="1" t="s">
        <v>3351</v>
      </c>
      <c r="F3498" s="1" t="s">
        <v>43500</v>
      </c>
      <c r="G3498" s="1" t="s">
        <v>55880</v>
      </c>
      <c r="H3498" s="1" t="s">
        <v>55881</v>
      </c>
      <c r="I3498" s="1" t="s">
        <v>55882</v>
      </c>
      <c r="J3498" s="1">
        <v>9890284054</v>
      </c>
      <c r="K3498" s="1" t="s">
        <v>84</v>
      </c>
      <c r="L3498" s="1"/>
      <c r="M3498" s="1" t="s">
        <v>86</v>
      </c>
      <c r="N3498" s="1" t="s">
        <v>1163</v>
      </c>
      <c r="O3498" s="1"/>
      <c r="P3498" s="1" t="s">
        <v>481</v>
      </c>
      <c r="Q3498" s="1">
        <v>559000000000</v>
      </c>
      <c r="R3498" s="1" t="s">
        <v>55883</v>
      </c>
      <c r="S3498" s="1">
        <v>9665232434</v>
      </c>
      <c r="T3498" s="1" t="s">
        <v>539</v>
      </c>
      <c r="U3498" s="1" t="s">
        <v>55884</v>
      </c>
      <c r="V3498" s="1">
        <v>9822829866</v>
      </c>
      <c r="W3498" s="1" t="s">
        <v>94</v>
      </c>
      <c r="X3498" s="1" t="s">
        <v>55885</v>
      </c>
      <c r="Y3498" s="1"/>
      <c r="Z3498" s="1"/>
      <c r="AA3498" s="1" t="s">
        <v>98</v>
      </c>
      <c r="AB3498" s="1"/>
      <c r="AC3498" s="1"/>
      <c r="AD3498" s="1" t="s">
        <v>98</v>
      </c>
      <c r="AE3498" s="1" t="s">
        <v>98</v>
      </c>
      <c r="AF3498" s="1" t="s">
        <v>55886</v>
      </c>
      <c r="AG3498" s="1" t="s">
        <v>1968</v>
      </c>
      <c r="AH3498" s="1">
        <v>41442</v>
      </c>
      <c r="AI3498" s="1">
        <v>41807</v>
      </c>
      <c r="AJ3498" s="1">
        <v>92.8</v>
      </c>
      <c r="AK3498" s="1" t="s">
        <v>98</v>
      </c>
      <c r="AL3498" s="1" t="s">
        <v>55887</v>
      </c>
      <c r="AM3498" s="1" t="s">
        <v>1968</v>
      </c>
      <c r="AN3498" s="1"/>
      <c r="AO3498" s="1">
        <v>42181</v>
      </c>
      <c r="AP3498" s="1">
        <v>42515</v>
      </c>
      <c r="AQ3498" s="1">
        <v>70.31</v>
      </c>
      <c r="AR3498" s="1" t="s">
        <v>98</v>
      </c>
      <c r="AS3498" s="1" t="s">
        <v>98</v>
      </c>
      <c r="AT3498" s="1" t="s">
        <v>98</v>
      </c>
      <c r="AU3498" s="1" t="s">
        <v>98</v>
      </c>
      <c r="AV3498" s="1" t="s">
        <v>98</v>
      </c>
      <c r="AW3498" s="1" t="s">
        <v>98</v>
      </c>
      <c r="AX3498" s="1" t="s">
        <v>98</v>
      </c>
      <c r="AY3498" s="1" t="s">
        <v>366</v>
      </c>
      <c r="AZ3498" s="1" t="s">
        <v>55888</v>
      </c>
      <c r="BA3498" s="1"/>
      <c r="BB3498" s="1"/>
      <c r="BC3498" s="1">
        <v>42584</v>
      </c>
      <c r="BD3498" s="1">
        <v>44146</v>
      </c>
      <c r="BE3498" s="1">
        <v>64.15</v>
      </c>
      <c r="BF3498" s="1">
        <v>7.29</v>
      </c>
      <c r="BG3498" s="1" t="s">
        <v>98</v>
      </c>
      <c r="BH3498" s="1"/>
      <c r="BI3498" s="1"/>
      <c r="BJ3498" s="1"/>
      <c r="BK3498" s="1" t="s">
        <v>98</v>
      </c>
      <c r="BL3498" s="1" t="s">
        <v>98</v>
      </c>
      <c r="BM3498" s="1" t="s">
        <v>98</v>
      </c>
      <c r="BN3498" s="1" t="s">
        <v>98</v>
      </c>
      <c r="BO3498" s="1"/>
      <c r="BP3498" s="1"/>
      <c r="BQ3498" s="1"/>
      <c r="BR3498" s="1"/>
      <c r="BS3498" s="1"/>
      <c r="BT3498" s="1"/>
      <c r="BU3498" s="1" t="s">
        <v>9653</v>
      </c>
      <c r="BV3498" s="3"/>
      <c r="BW3498" s="3"/>
    </row>
    <row r="3499" spans="1:75">
      <c r="A3499" s="1" t="s">
        <v>51340</v>
      </c>
      <c r="B3499" s="1" t="s">
        <v>51341</v>
      </c>
      <c r="C3499" s="1" t="s">
        <v>55889</v>
      </c>
      <c r="D3499" s="1" t="s">
        <v>8342</v>
      </c>
      <c r="E3499" s="1"/>
      <c r="F3499" s="1" t="s">
        <v>55890</v>
      </c>
      <c r="G3499" s="1" t="s">
        <v>55891</v>
      </c>
      <c r="H3499" s="1" t="s">
        <v>55892</v>
      </c>
      <c r="I3499" s="1" t="s">
        <v>55893</v>
      </c>
      <c r="J3499" s="1">
        <v>9912592191</v>
      </c>
      <c r="K3499" s="1" t="s">
        <v>84</v>
      </c>
      <c r="L3499" s="1"/>
      <c r="M3499" s="1" t="s">
        <v>86</v>
      </c>
      <c r="N3499" s="1" t="s">
        <v>19114</v>
      </c>
      <c r="O3499" s="1"/>
      <c r="P3499" s="1" t="s">
        <v>455</v>
      </c>
      <c r="Q3499" s="1">
        <v>673000000000</v>
      </c>
      <c r="R3499" s="1" t="s">
        <v>55894</v>
      </c>
      <c r="S3499" s="1">
        <v>9493445941</v>
      </c>
      <c r="T3499" s="1" t="s">
        <v>159</v>
      </c>
      <c r="U3499" s="1" t="s">
        <v>55895</v>
      </c>
      <c r="V3499" s="1">
        <v>9440269405</v>
      </c>
      <c r="W3499" s="1" t="s">
        <v>94</v>
      </c>
      <c r="X3499" s="1" t="s">
        <v>55896</v>
      </c>
      <c r="Y3499" s="1"/>
      <c r="Z3499" s="1"/>
      <c r="AA3499" s="1" t="s">
        <v>98</v>
      </c>
      <c r="AB3499" s="1"/>
      <c r="AC3499" s="1"/>
      <c r="AD3499" s="1" t="s">
        <v>98</v>
      </c>
      <c r="AE3499" s="1" t="s">
        <v>98</v>
      </c>
      <c r="AF3499" s="1" t="s">
        <v>55897</v>
      </c>
      <c r="AG3499" s="1" t="s">
        <v>1418</v>
      </c>
      <c r="AH3499" s="1">
        <v>41799</v>
      </c>
      <c r="AI3499" s="1">
        <v>42144</v>
      </c>
      <c r="AJ3499" s="1">
        <v>78.85</v>
      </c>
      <c r="AK3499" s="1">
        <v>8.3</v>
      </c>
      <c r="AL3499" s="1" t="s">
        <v>3033</v>
      </c>
      <c r="AM3499" s="1" t="s">
        <v>1420</v>
      </c>
      <c r="AN3499" s="1"/>
      <c r="AO3499" s="1">
        <v>42191</v>
      </c>
      <c r="AP3499" s="1">
        <v>42838</v>
      </c>
      <c r="AQ3499" s="1">
        <v>95.9</v>
      </c>
      <c r="AR3499" s="1" t="s">
        <v>98</v>
      </c>
      <c r="AS3499" s="1" t="s">
        <v>98</v>
      </c>
      <c r="AT3499" s="1" t="s">
        <v>98</v>
      </c>
      <c r="AU3499" s="1" t="s">
        <v>98</v>
      </c>
      <c r="AV3499" s="1" t="s">
        <v>98</v>
      </c>
      <c r="AW3499" s="1" t="s">
        <v>98</v>
      </c>
      <c r="AX3499" s="1" t="s">
        <v>98</v>
      </c>
      <c r="AY3499" s="1" t="s">
        <v>493</v>
      </c>
      <c r="AZ3499" s="1" t="s">
        <v>55898</v>
      </c>
      <c r="BA3499" s="1"/>
      <c r="BB3499" s="1"/>
      <c r="BC3499" s="1">
        <v>42940</v>
      </c>
      <c r="BD3499" s="1">
        <v>44427</v>
      </c>
      <c r="BE3499" s="1">
        <v>74.74</v>
      </c>
      <c r="BF3499" s="1">
        <v>8.08</v>
      </c>
      <c r="BG3499" s="1" t="s">
        <v>98</v>
      </c>
      <c r="BH3499" s="1"/>
      <c r="BI3499" s="1"/>
      <c r="BJ3499" s="1"/>
      <c r="BK3499" s="1" t="s">
        <v>98</v>
      </c>
      <c r="BL3499" s="1" t="s">
        <v>98</v>
      </c>
      <c r="BM3499" s="1" t="s">
        <v>98</v>
      </c>
      <c r="BN3499" s="1" t="s">
        <v>98</v>
      </c>
      <c r="BO3499" s="1"/>
      <c r="BP3499" s="1"/>
      <c r="BQ3499" s="1"/>
      <c r="BR3499" s="1"/>
      <c r="BS3499" s="1"/>
      <c r="BT3499" s="1"/>
      <c r="BU3499" s="1" t="s">
        <v>9653</v>
      </c>
      <c r="BV3499" s="3"/>
      <c r="BW3499" s="3"/>
    </row>
    <row r="3500" spans="1:75">
      <c r="A3500" s="1" t="s">
        <v>51340</v>
      </c>
      <c r="B3500" s="1" t="s">
        <v>51341</v>
      </c>
      <c r="C3500" s="1" t="s">
        <v>55899</v>
      </c>
      <c r="D3500" s="1" t="s">
        <v>55900</v>
      </c>
      <c r="E3500" s="1" t="s">
        <v>4802</v>
      </c>
      <c r="F3500" s="1" t="s">
        <v>8253</v>
      </c>
      <c r="G3500" s="1" t="s">
        <v>55901</v>
      </c>
      <c r="H3500" s="1" t="s">
        <v>55902</v>
      </c>
      <c r="I3500" s="1" t="s">
        <v>55903</v>
      </c>
      <c r="J3500" s="1">
        <v>9148406026</v>
      </c>
      <c r="K3500" s="1" t="s">
        <v>84</v>
      </c>
      <c r="L3500" s="1"/>
      <c r="M3500" s="1" t="s">
        <v>86</v>
      </c>
      <c r="N3500" s="1" t="s">
        <v>55904</v>
      </c>
      <c r="O3500" s="1"/>
      <c r="P3500" s="1" t="s">
        <v>1028</v>
      </c>
      <c r="Q3500" s="1">
        <v>566000000000</v>
      </c>
      <c r="R3500" s="1" t="s">
        <v>55905</v>
      </c>
      <c r="S3500" s="1">
        <v>9448192603</v>
      </c>
      <c r="T3500" s="1" t="s">
        <v>839</v>
      </c>
      <c r="U3500" s="1" t="s">
        <v>55906</v>
      </c>
      <c r="V3500" s="1" t="s">
        <v>98</v>
      </c>
      <c r="W3500" s="1" t="s">
        <v>98</v>
      </c>
      <c r="X3500" s="1" t="s">
        <v>55907</v>
      </c>
      <c r="Y3500" s="1"/>
      <c r="Z3500" s="1"/>
      <c r="AA3500" s="1" t="s">
        <v>98</v>
      </c>
      <c r="AB3500" s="1"/>
      <c r="AC3500" s="1"/>
      <c r="AD3500" s="1" t="s">
        <v>98</v>
      </c>
      <c r="AE3500" s="1" t="s">
        <v>98</v>
      </c>
      <c r="AF3500" s="1" t="s">
        <v>35544</v>
      </c>
      <c r="AG3500" s="1" t="s">
        <v>796</v>
      </c>
      <c r="AH3500" s="1">
        <v>41699</v>
      </c>
      <c r="AI3500" s="1">
        <v>42152</v>
      </c>
      <c r="AJ3500" s="1">
        <v>79.8</v>
      </c>
      <c r="AK3500" s="1">
        <v>8.4</v>
      </c>
      <c r="AL3500" s="1" t="s">
        <v>55908</v>
      </c>
      <c r="AM3500" s="1" t="s">
        <v>55909</v>
      </c>
      <c r="AN3500" s="1"/>
      <c r="AO3500" s="1">
        <v>42502</v>
      </c>
      <c r="AP3500" s="1">
        <v>42867</v>
      </c>
      <c r="AQ3500" s="1">
        <v>75</v>
      </c>
      <c r="AR3500" s="1">
        <v>0</v>
      </c>
      <c r="AS3500" s="1" t="s">
        <v>98</v>
      </c>
      <c r="AT3500" s="1" t="s">
        <v>98</v>
      </c>
      <c r="AU3500" s="1" t="s">
        <v>98</v>
      </c>
      <c r="AV3500" s="1" t="s">
        <v>98</v>
      </c>
      <c r="AW3500" s="1" t="s">
        <v>98</v>
      </c>
      <c r="AX3500" s="1" t="s">
        <v>98</v>
      </c>
      <c r="AY3500" s="1" t="s">
        <v>32669</v>
      </c>
      <c r="AZ3500" s="1" t="s">
        <v>32669</v>
      </c>
      <c r="BA3500" s="1"/>
      <c r="BB3500" s="1"/>
      <c r="BC3500" s="1">
        <v>42963</v>
      </c>
      <c r="BD3500" s="1">
        <v>44407</v>
      </c>
      <c r="BE3500" s="1">
        <v>61.6</v>
      </c>
      <c r="BF3500" s="1">
        <v>6.91</v>
      </c>
      <c r="BG3500" s="1" t="s">
        <v>98</v>
      </c>
      <c r="BH3500" s="1"/>
      <c r="BI3500" s="1"/>
      <c r="BJ3500" s="1"/>
      <c r="BK3500" s="1" t="s">
        <v>98</v>
      </c>
      <c r="BL3500" s="1" t="s">
        <v>98</v>
      </c>
      <c r="BM3500" s="1" t="s">
        <v>98</v>
      </c>
      <c r="BN3500" s="1" t="s">
        <v>98</v>
      </c>
      <c r="BO3500" s="1"/>
      <c r="BP3500" s="1"/>
      <c r="BQ3500" s="1"/>
      <c r="BR3500" s="1" t="s">
        <v>55910</v>
      </c>
      <c r="BS3500" s="1">
        <v>8</v>
      </c>
      <c r="BT3500" s="1"/>
      <c r="BU3500" s="1" t="s">
        <v>9653</v>
      </c>
      <c r="BV3500" s="3"/>
      <c r="BW3500" s="3"/>
    </row>
    <row r="3501" spans="1:75">
      <c r="A3501" s="1" t="s">
        <v>51340</v>
      </c>
      <c r="B3501" s="1" t="s">
        <v>51341</v>
      </c>
      <c r="C3501" s="1" t="s">
        <v>55911</v>
      </c>
      <c r="D3501" s="1" t="s">
        <v>55912</v>
      </c>
      <c r="E3501" s="1" t="s">
        <v>529</v>
      </c>
      <c r="F3501" s="1" t="s">
        <v>530</v>
      </c>
      <c r="G3501" s="1" t="s">
        <v>55913</v>
      </c>
      <c r="H3501" s="1" t="s">
        <v>55914</v>
      </c>
      <c r="I3501" s="1" t="s">
        <v>55915</v>
      </c>
      <c r="J3501" s="1">
        <v>7017273005</v>
      </c>
      <c r="K3501" s="1" t="s">
        <v>84</v>
      </c>
      <c r="L3501" s="1"/>
      <c r="M3501" s="1" t="s">
        <v>86</v>
      </c>
      <c r="N3501" s="1" t="s">
        <v>55916</v>
      </c>
      <c r="O3501" s="1"/>
      <c r="P3501" s="1" t="s">
        <v>1028</v>
      </c>
      <c r="Q3501" s="1">
        <v>436000000000</v>
      </c>
      <c r="R3501" s="1" t="s">
        <v>55917</v>
      </c>
      <c r="S3501" s="1">
        <v>8954555905</v>
      </c>
      <c r="T3501" s="1" t="s">
        <v>55918</v>
      </c>
      <c r="U3501" s="1" t="s">
        <v>55919</v>
      </c>
      <c r="V3501" s="1" t="s">
        <v>98</v>
      </c>
      <c r="W3501" s="1" t="s">
        <v>278</v>
      </c>
      <c r="X3501" s="1" t="s">
        <v>55920</v>
      </c>
      <c r="Y3501" s="1"/>
      <c r="Z3501" s="1"/>
      <c r="AA3501" s="1" t="s">
        <v>98</v>
      </c>
      <c r="AB3501" s="1"/>
      <c r="AC3501" s="1"/>
      <c r="AD3501" s="1" t="s">
        <v>98</v>
      </c>
      <c r="AE3501" s="1" t="s">
        <v>98</v>
      </c>
      <c r="AF3501" s="1" t="s">
        <v>55921</v>
      </c>
      <c r="AG3501" s="1" t="s">
        <v>55922</v>
      </c>
      <c r="AH3501" s="1">
        <v>40272</v>
      </c>
      <c r="AI3501" s="1">
        <v>40700</v>
      </c>
      <c r="AJ3501" s="1">
        <v>68.81</v>
      </c>
      <c r="AK3501" s="1" t="s">
        <v>98</v>
      </c>
      <c r="AL3501" s="1" t="s">
        <v>55921</v>
      </c>
      <c r="AM3501" s="1" t="s">
        <v>55922</v>
      </c>
      <c r="AN3501" s="1"/>
      <c r="AO3501" s="1">
        <v>41009</v>
      </c>
      <c r="AP3501" s="1">
        <v>41420</v>
      </c>
      <c r="AQ3501" s="1">
        <v>59.2</v>
      </c>
      <c r="AR3501" s="1" t="s">
        <v>98</v>
      </c>
      <c r="AS3501" s="1" t="s">
        <v>98</v>
      </c>
      <c r="AT3501" s="1" t="s">
        <v>98</v>
      </c>
      <c r="AU3501" s="1" t="s">
        <v>98</v>
      </c>
      <c r="AV3501" s="1" t="s">
        <v>98</v>
      </c>
      <c r="AW3501" s="1" t="s">
        <v>98</v>
      </c>
      <c r="AX3501" s="1" t="s">
        <v>98</v>
      </c>
      <c r="AY3501" s="1" t="s">
        <v>30357</v>
      </c>
      <c r="AZ3501" s="1" t="s">
        <v>55923</v>
      </c>
      <c r="BA3501" s="1"/>
      <c r="BB3501" s="1"/>
      <c r="BC3501" s="1">
        <v>41459</v>
      </c>
      <c r="BD3501" s="1">
        <v>42940</v>
      </c>
      <c r="BE3501" s="1">
        <v>65.67</v>
      </c>
      <c r="BF3501" s="1">
        <v>7.11</v>
      </c>
      <c r="BG3501" s="1" t="s">
        <v>98</v>
      </c>
      <c r="BH3501" s="1"/>
      <c r="BI3501" s="1"/>
      <c r="BJ3501" s="1"/>
      <c r="BK3501" s="1" t="s">
        <v>98</v>
      </c>
      <c r="BL3501" s="1" t="s">
        <v>98</v>
      </c>
      <c r="BM3501" s="1" t="s">
        <v>98</v>
      </c>
      <c r="BN3501" s="1" t="s">
        <v>98</v>
      </c>
      <c r="BO3501" s="1"/>
      <c r="BP3501" s="1"/>
      <c r="BQ3501" s="1"/>
      <c r="BR3501" s="1"/>
      <c r="BS3501" s="1"/>
      <c r="BT3501" s="1"/>
      <c r="BU3501" s="1" t="s">
        <v>9653</v>
      </c>
      <c r="BV3501" s="3"/>
      <c r="BW3501" s="3"/>
    </row>
    <row r="3502" spans="1:75">
      <c r="A3502" s="1" t="s">
        <v>51340</v>
      </c>
      <c r="B3502" s="1" t="s">
        <v>51341</v>
      </c>
      <c r="C3502" s="1" t="s">
        <v>55924</v>
      </c>
      <c r="D3502" s="1" t="s">
        <v>422</v>
      </c>
      <c r="E3502" s="1" t="s">
        <v>7638</v>
      </c>
      <c r="F3502" s="1" t="s">
        <v>55925</v>
      </c>
      <c r="G3502" s="1" t="s">
        <v>55926</v>
      </c>
      <c r="H3502" s="1" t="s">
        <v>55927</v>
      </c>
      <c r="I3502" s="1" t="s">
        <v>55928</v>
      </c>
      <c r="J3502" s="1">
        <v>9998833973</v>
      </c>
      <c r="K3502" s="1" t="s">
        <v>153</v>
      </c>
      <c r="L3502" s="1" t="s">
        <v>32982</v>
      </c>
      <c r="M3502" s="1" t="s">
        <v>86</v>
      </c>
      <c r="N3502" s="1" t="s">
        <v>6641</v>
      </c>
      <c r="O3502" s="1"/>
      <c r="P3502" s="1" t="s">
        <v>507</v>
      </c>
      <c r="Q3502" s="1" t="s">
        <v>55929</v>
      </c>
      <c r="R3502" s="1" t="s">
        <v>55930</v>
      </c>
      <c r="S3502" s="1">
        <v>9879689405</v>
      </c>
      <c r="T3502" s="1" t="s">
        <v>382</v>
      </c>
      <c r="U3502" s="1" t="s">
        <v>55931</v>
      </c>
      <c r="V3502" s="1">
        <v>9712732340</v>
      </c>
      <c r="W3502" s="1" t="s">
        <v>541</v>
      </c>
      <c r="X3502" s="1" t="s">
        <v>55932</v>
      </c>
      <c r="Y3502" s="1" t="s">
        <v>11706</v>
      </c>
      <c r="Z3502" s="1" t="s">
        <v>676</v>
      </c>
      <c r="AA3502" s="1" t="s">
        <v>55932</v>
      </c>
      <c r="AB3502" s="1" t="s">
        <v>11706</v>
      </c>
      <c r="AC3502" s="1" t="s">
        <v>676</v>
      </c>
      <c r="AD3502" s="1" t="s">
        <v>98</v>
      </c>
      <c r="AE3502" s="1" t="s">
        <v>98</v>
      </c>
      <c r="AF3502" s="1" t="s">
        <v>11707</v>
      </c>
      <c r="AG3502" s="1" t="s">
        <v>312</v>
      </c>
      <c r="AH3502" s="1">
        <v>41730</v>
      </c>
      <c r="AI3502" s="1">
        <v>42152</v>
      </c>
      <c r="AJ3502" s="1">
        <v>93.1</v>
      </c>
      <c r="AK3502" s="1">
        <v>9.8</v>
      </c>
      <c r="AL3502" s="1" t="s">
        <v>11707</v>
      </c>
      <c r="AM3502" s="1" t="s">
        <v>312</v>
      </c>
      <c r="AN3502" s="1"/>
      <c r="AO3502" s="1">
        <v>42470</v>
      </c>
      <c r="AP3502" s="1">
        <v>42883</v>
      </c>
      <c r="AQ3502" s="1">
        <v>75.8</v>
      </c>
      <c r="AR3502" s="1"/>
      <c r="AS3502" s="1"/>
      <c r="AT3502" s="1"/>
      <c r="AU3502" s="1" t="s">
        <v>98</v>
      </c>
      <c r="AV3502" s="1" t="s">
        <v>98</v>
      </c>
      <c r="AW3502" s="1" t="s">
        <v>98</v>
      </c>
      <c r="AX3502" s="1" t="s">
        <v>98</v>
      </c>
      <c r="AY3502" s="1" t="s">
        <v>55190</v>
      </c>
      <c r="AZ3502" s="1" t="s">
        <v>55190</v>
      </c>
      <c r="BA3502" s="1"/>
      <c r="BB3502" s="1"/>
      <c r="BC3502" s="1">
        <v>42931</v>
      </c>
      <c r="BD3502" s="1">
        <v>44362</v>
      </c>
      <c r="BE3502" s="1">
        <v>83.7</v>
      </c>
      <c r="BF3502" s="1">
        <v>8.87</v>
      </c>
      <c r="BG3502" s="1"/>
      <c r="BH3502" s="1"/>
      <c r="BI3502" s="1"/>
      <c r="BJ3502" s="1"/>
      <c r="BK3502" s="1" t="s">
        <v>98</v>
      </c>
      <c r="BL3502" s="1" t="s">
        <v>98</v>
      </c>
      <c r="BM3502" s="1" t="s">
        <v>98</v>
      </c>
      <c r="BN3502" s="1" t="s">
        <v>98</v>
      </c>
      <c r="BO3502" s="1" t="s">
        <v>3308</v>
      </c>
      <c r="BP3502" s="1"/>
      <c r="BQ3502" s="1"/>
      <c r="BR3502" s="1" t="s">
        <v>55933</v>
      </c>
      <c r="BS3502" s="1">
        <v>32</v>
      </c>
      <c r="BT3502" s="1"/>
      <c r="BU3502" s="1" t="str">
        <f>HYPERLINK("https://nconnect.nicmar.ac.in/storage/profile/2021-2023_AP21287_654279.jpg","Download")</f>
        <v>0</v>
      </c>
      <c r="BV3502" s="3"/>
      <c r="BW3502" s="3"/>
    </row>
    <row r="3503" spans="1:75">
      <c r="A3503" s="1" t="s">
        <v>51340</v>
      </c>
      <c r="B3503" s="1" t="s">
        <v>51341</v>
      </c>
      <c r="C3503" s="1" t="s">
        <v>55934</v>
      </c>
      <c r="D3503" s="1" t="s">
        <v>12315</v>
      </c>
      <c r="E3503" s="1" t="s">
        <v>4966</v>
      </c>
      <c r="F3503" s="1" t="s">
        <v>55935</v>
      </c>
      <c r="G3503" s="1" t="s">
        <v>55936</v>
      </c>
      <c r="H3503" s="1" t="s">
        <v>55937</v>
      </c>
      <c r="I3503" s="1" t="s">
        <v>55938</v>
      </c>
      <c r="J3503" s="1">
        <v>8275555351</v>
      </c>
      <c r="K3503" s="1" t="s">
        <v>84</v>
      </c>
      <c r="L3503" s="1" t="s">
        <v>51771</v>
      </c>
      <c r="M3503" s="1" t="s">
        <v>86</v>
      </c>
      <c r="N3503" s="1" t="s">
        <v>1163</v>
      </c>
      <c r="O3503" s="1"/>
      <c r="P3503" s="1" t="s">
        <v>481</v>
      </c>
      <c r="Q3503" s="1" t="s">
        <v>55939</v>
      </c>
      <c r="R3503" s="1" t="s">
        <v>55940</v>
      </c>
      <c r="S3503" s="1">
        <v>9822727843</v>
      </c>
      <c r="T3503" s="1" t="s">
        <v>926</v>
      </c>
      <c r="U3503" s="1" t="s">
        <v>55941</v>
      </c>
      <c r="V3503" s="1">
        <v>9404464238</v>
      </c>
      <c r="W3503" s="1" t="s">
        <v>94</v>
      </c>
      <c r="X3503" s="1" t="s">
        <v>55942</v>
      </c>
      <c r="Y3503" s="1" t="s">
        <v>410</v>
      </c>
      <c r="Z3503" s="1" t="s">
        <v>97</v>
      </c>
      <c r="AA3503" s="1" t="s">
        <v>55942</v>
      </c>
      <c r="AB3503" s="1" t="s">
        <v>410</v>
      </c>
      <c r="AC3503" s="1" t="s">
        <v>97</v>
      </c>
      <c r="AD3503" s="1" t="s">
        <v>98</v>
      </c>
      <c r="AE3503" s="1" t="s">
        <v>98</v>
      </c>
      <c r="AF3503" s="1" t="s">
        <v>55943</v>
      </c>
      <c r="AG3503" s="1" t="s">
        <v>1968</v>
      </c>
      <c r="AH3503" s="1">
        <v>41813</v>
      </c>
      <c r="AI3503" s="1">
        <v>42163</v>
      </c>
      <c r="AJ3503" s="1">
        <v>83.2</v>
      </c>
      <c r="AK3503" s="1">
        <v>0</v>
      </c>
      <c r="AL3503" s="1" t="s">
        <v>55944</v>
      </c>
      <c r="AM3503" s="1" t="s">
        <v>1968</v>
      </c>
      <c r="AN3503" s="1"/>
      <c r="AO3503" s="1" t="s">
        <v>55945</v>
      </c>
      <c r="AP3503" s="1" t="s">
        <v>52475</v>
      </c>
      <c r="AQ3503" s="1">
        <v>65.54</v>
      </c>
      <c r="AR3503" s="1">
        <v>0</v>
      </c>
      <c r="AS3503" s="1"/>
      <c r="AT3503" s="1"/>
      <c r="AU3503" s="1" t="s">
        <v>98</v>
      </c>
      <c r="AV3503" s="1" t="s">
        <v>98</v>
      </c>
      <c r="AW3503" s="1" t="s">
        <v>98</v>
      </c>
      <c r="AX3503" s="1" t="s">
        <v>98</v>
      </c>
      <c r="AY3503" s="1" t="s">
        <v>26393</v>
      </c>
      <c r="AZ3503" s="1" t="s">
        <v>26393</v>
      </c>
      <c r="BA3503" s="1"/>
      <c r="BB3503" s="1"/>
      <c r="BC3503" s="1">
        <v>42948</v>
      </c>
      <c r="BD3503" s="1">
        <v>44379</v>
      </c>
      <c r="BE3503" s="1">
        <v>58.4</v>
      </c>
      <c r="BF3503" s="1">
        <v>6.59</v>
      </c>
      <c r="BG3503" s="1"/>
      <c r="BH3503" s="1"/>
      <c r="BI3503" s="1"/>
      <c r="BJ3503" s="1"/>
      <c r="BK3503" s="1" t="s">
        <v>98</v>
      </c>
      <c r="BL3503" s="1" t="s">
        <v>98</v>
      </c>
      <c r="BM3503" s="1" t="s">
        <v>98</v>
      </c>
      <c r="BN3503" s="1" t="s">
        <v>98</v>
      </c>
      <c r="BO3503" s="1" t="s">
        <v>55946</v>
      </c>
      <c r="BP3503" s="1"/>
      <c r="BQ3503" s="1"/>
      <c r="BR3503" s="1" t="s">
        <v>55947</v>
      </c>
      <c r="BS3503" s="1">
        <v>22</v>
      </c>
      <c r="BT3503" s="1"/>
      <c r="BU3503" s="1" t="str">
        <f>HYPERLINK("https://nconnect.nicmar.ac.in/storage/profile/2021-2023_AP21288_742396.jpg","Download")</f>
        <v>0</v>
      </c>
      <c r="BV3503" s="3"/>
      <c r="BW3503" s="3"/>
    </row>
    <row r="3504" spans="1:75">
      <c r="A3504" s="1" t="s">
        <v>51340</v>
      </c>
      <c r="B3504" s="1" t="s">
        <v>51341</v>
      </c>
      <c r="C3504" s="1" t="s">
        <v>55948</v>
      </c>
      <c r="D3504" s="1" t="s">
        <v>13668</v>
      </c>
      <c r="E3504" s="1" t="s">
        <v>47964</v>
      </c>
      <c r="F3504" s="1" t="s">
        <v>1872</v>
      </c>
      <c r="G3504" s="1" t="s">
        <v>55949</v>
      </c>
      <c r="H3504" s="1" t="s">
        <v>55950</v>
      </c>
      <c r="I3504" s="1" t="s">
        <v>55951</v>
      </c>
      <c r="J3504" s="1">
        <v>7972808504</v>
      </c>
      <c r="K3504" s="1" t="s">
        <v>84</v>
      </c>
      <c r="L3504" s="1" t="s">
        <v>3412</v>
      </c>
      <c r="M3504" s="1" t="s">
        <v>86</v>
      </c>
      <c r="N3504" s="1" t="s">
        <v>1163</v>
      </c>
      <c r="O3504" s="1"/>
      <c r="P3504" s="1" t="s">
        <v>481</v>
      </c>
      <c r="Q3504" s="1" t="s">
        <v>55952</v>
      </c>
      <c r="R3504" s="1" t="s">
        <v>55953</v>
      </c>
      <c r="S3504" s="1">
        <v>9860641277</v>
      </c>
      <c r="T3504" s="1" t="s">
        <v>127</v>
      </c>
      <c r="U3504" s="1" t="s">
        <v>55954</v>
      </c>
      <c r="V3504" s="1">
        <v>8208183517</v>
      </c>
      <c r="W3504" s="1" t="s">
        <v>127</v>
      </c>
      <c r="X3504" s="1" t="s">
        <v>55955</v>
      </c>
      <c r="Y3504" s="1" t="s">
        <v>1779</v>
      </c>
      <c r="Z3504" s="1" t="s">
        <v>97</v>
      </c>
      <c r="AA3504" s="1" t="s">
        <v>55956</v>
      </c>
      <c r="AB3504" s="1" t="s">
        <v>196</v>
      </c>
      <c r="AC3504" s="1" t="s">
        <v>97</v>
      </c>
      <c r="AD3504" s="1" t="s">
        <v>98</v>
      </c>
      <c r="AE3504" s="1" t="s">
        <v>98</v>
      </c>
      <c r="AF3504" s="1" t="s">
        <v>55957</v>
      </c>
      <c r="AG3504" s="1" t="s">
        <v>2745</v>
      </c>
      <c r="AH3504" s="1" t="s">
        <v>1213</v>
      </c>
      <c r="AI3504" s="1" t="s">
        <v>101</v>
      </c>
      <c r="AJ3504" s="1">
        <v>78.6</v>
      </c>
      <c r="AK3504" s="1"/>
      <c r="AL3504" s="1" t="s">
        <v>55958</v>
      </c>
      <c r="AM3504" s="1" t="s">
        <v>2745</v>
      </c>
      <c r="AN3504" s="1"/>
      <c r="AO3504" s="1" t="s">
        <v>166</v>
      </c>
      <c r="AP3504" s="1" t="s">
        <v>627</v>
      </c>
      <c r="AQ3504" s="1">
        <v>70.77</v>
      </c>
      <c r="AR3504" s="1"/>
      <c r="AS3504" s="1"/>
      <c r="AT3504" s="1"/>
      <c r="AU3504" s="1" t="s">
        <v>98</v>
      </c>
      <c r="AV3504" s="1" t="s">
        <v>98</v>
      </c>
      <c r="AW3504" s="1" t="s">
        <v>98</v>
      </c>
      <c r="AX3504" s="1" t="s">
        <v>98</v>
      </c>
      <c r="AY3504" s="1" t="s">
        <v>366</v>
      </c>
      <c r="AZ3504" s="1" t="s">
        <v>25760</v>
      </c>
      <c r="BA3504" s="1"/>
      <c r="BB3504" s="1"/>
      <c r="BC3504" s="1" t="s">
        <v>1111</v>
      </c>
      <c r="BD3504" s="1" t="s">
        <v>175</v>
      </c>
      <c r="BE3504" s="1">
        <v>64.41</v>
      </c>
      <c r="BF3504" s="1">
        <v>7.32</v>
      </c>
      <c r="BG3504" s="1"/>
      <c r="BH3504" s="1"/>
      <c r="BI3504" s="1"/>
      <c r="BJ3504" s="1"/>
      <c r="BK3504" s="1" t="s">
        <v>98</v>
      </c>
      <c r="BL3504" s="1" t="s">
        <v>98</v>
      </c>
      <c r="BM3504" s="1" t="s">
        <v>98</v>
      </c>
      <c r="BN3504" s="1" t="s">
        <v>98</v>
      </c>
      <c r="BO3504" s="1" t="s">
        <v>55959</v>
      </c>
      <c r="BP3504" s="1"/>
      <c r="BQ3504" s="1"/>
      <c r="BR3504" s="1" t="s">
        <v>55960</v>
      </c>
      <c r="BS3504" s="1">
        <v>11</v>
      </c>
      <c r="BT3504" s="1"/>
      <c r="BU3504" s="1" t="str">
        <f>HYPERLINK("https://nconnect.nicmar.ac.in/storage/profile/2021-2023_AP21289_231786.jpeg","Download")</f>
        <v>0</v>
      </c>
      <c r="BV3504" s="3"/>
      <c r="BW3504" s="3"/>
    </row>
    <row r="3505" spans="1:75">
      <c r="A3505" s="1" t="s">
        <v>51340</v>
      </c>
      <c r="B3505" s="1" t="s">
        <v>51341</v>
      </c>
      <c r="C3505" s="1" t="s">
        <v>55961</v>
      </c>
      <c r="D3505" s="1" t="s">
        <v>55962</v>
      </c>
      <c r="E3505" s="1" t="s">
        <v>55963</v>
      </c>
      <c r="F3505" s="1" t="s">
        <v>55964</v>
      </c>
      <c r="G3505" s="1" t="s">
        <v>55965</v>
      </c>
      <c r="H3505" s="1" t="s">
        <v>55966</v>
      </c>
      <c r="I3505" s="1" t="s">
        <v>55967</v>
      </c>
      <c r="J3505" s="1">
        <v>8806767790</v>
      </c>
      <c r="K3505" s="1" t="s">
        <v>84</v>
      </c>
      <c r="L3505" s="1" t="s">
        <v>10585</v>
      </c>
      <c r="M3505" s="1" t="s">
        <v>86</v>
      </c>
      <c r="N3505" s="1" t="s">
        <v>1163</v>
      </c>
      <c r="O3505" s="1"/>
      <c r="P3505" s="1" t="s">
        <v>481</v>
      </c>
      <c r="Q3505" s="1" t="s">
        <v>55968</v>
      </c>
      <c r="R3505" s="1" t="s">
        <v>55969</v>
      </c>
      <c r="S3505" s="1">
        <v>9422101875</v>
      </c>
      <c r="T3505" s="1" t="s">
        <v>3693</v>
      </c>
      <c r="U3505" s="1" t="s">
        <v>55970</v>
      </c>
      <c r="V3505" s="1">
        <v>9422438056</v>
      </c>
      <c r="W3505" s="1" t="s">
        <v>94</v>
      </c>
      <c r="X3505" s="1" t="s">
        <v>55971</v>
      </c>
      <c r="Y3505" s="1" t="s">
        <v>410</v>
      </c>
      <c r="Z3505" s="1" t="s">
        <v>97</v>
      </c>
      <c r="AA3505" s="1" t="s">
        <v>55971</v>
      </c>
      <c r="AB3505" s="1" t="s">
        <v>410</v>
      </c>
      <c r="AC3505" s="1" t="s">
        <v>97</v>
      </c>
      <c r="AD3505" s="1" t="s">
        <v>98</v>
      </c>
      <c r="AE3505" s="1" t="s">
        <v>98</v>
      </c>
      <c r="AF3505" s="1" t="s">
        <v>55972</v>
      </c>
      <c r="AG3505" s="1" t="s">
        <v>312</v>
      </c>
      <c r="AH3505" s="1">
        <v>41431</v>
      </c>
      <c r="AI3505" s="1">
        <v>41778</v>
      </c>
      <c r="AJ3505" s="1">
        <v>76</v>
      </c>
      <c r="AK3505" s="1">
        <v>8</v>
      </c>
      <c r="AL3505" s="1" t="s">
        <v>14882</v>
      </c>
      <c r="AM3505" s="1" t="s">
        <v>312</v>
      </c>
      <c r="AN3505" s="1"/>
      <c r="AO3505" s="1">
        <v>42165</v>
      </c>
      <c r="AP3505" s="1">
        <v>42511</v>
      </c>
      <c r="AQ3505" s="1">
        <v>62.8</v>
      </c>
      <c r="AR3505" s="1"/>
      <c r="AS3505" s="1"/>
      <c r="AT3505" s="1"/>
      <c r="AU3505" s="1" t="s">
        <v>98</v>
      </c>
      <c r="AV3505" s="1" t="s">
        <v>98</v>
      </c>
      <c r="AW3505" s="1" t="s">
        <v>98</v>
      </c>
      <c r="AX3505" s="1" t="s">
        <v>98</v>
      </c>
      <c r="AY3505" s="1" t="s">
        <v>4780</v>
      </c>
      <c r="AZ3505" s="1" t="s">
        <v>28636</v>
      </c>
      <c r="BA3505" s="1"/>
      <c r="BB3505" s="1"/>
      <c r="BC3505" s="1">
        <v>42586</v>
      </c>
      <c r="BD3505" s="1">
        <v>44043</v>
      </c>
      <c r="BE3505" s="1">
        <v>73.1</v>
      </c>
      <c r="BF3505" s="1">
        <v>8.06</v>
      </c>
      <c r="BG3505" s="1"/>
      <c r="BH3505" s="1"/>
      <c r="BI3505" s="1"/>
      <c r="BJ3505" s="1"/>
      <c r="BK3505" s="1" t="s">
        <v>98</v>
      </c>
      <c r="BL3505" s="1" t="s">
        <v>98</v>
      </c>
      <c r="BM3505" s="1" t="s">
        <v>98</v>
      </c>
      <c r="BN3505" s="1" t="s">
        <v>98</v>
      </c>
      <c r="BO3505" s="1" t="s">
        <v>55973</v>
      </c>
      <c r="BP3505" s="1"/>
      <c r="BQ3505" s="1"/>
      <c r="BR3505" s="1" t="s">
        <v>55974</v>
      </c>
      <c r="BS3505" s="1">
        <v>61</v>
      </c>
      <c r="BT3505" s="1"/>
      <c r="BU3505" s="1" t="str">
        <f>HYPERLINK("https://nconnect.nicmar.ac.in/storage/profile/2021-2023_AP21290_534672.jpg","Download")</f>
        <v>0</v>
      </c>
      <c r="BV3505" s="3"/>
      <c r="BW3505" s="3"/>
    </row>
    <row r="3506" spans="1:75">
      <c r="A3506" s="1" t="s">
        <v>51340</v>
      </c>
      <c r="B3506" s="1" t="s">
        <v>51341</v>
      </c>
      <c r="C3506" s="1" t="s">
        <v>55975</v>
      </c>
      <c r="D3506" s="1" t="s">
        <v>55976</v>
      </c>
      <c r="E3506" s="1" t="s">
        <v>55977</v>
      </c>
      <c r="F3506" s="1" t="s">
        <v>55978</v>
      </c>
      <c r="G3506" s="1" t="s">
        <v>55979</v>
      </c>
      <c r="H3506" s="1" t="s">
        <v>55980</v>
      </c>
      <c r="I3506" s="1" t="s">
        <v>55981</v>
      </c>
      <c r="J3506" s="1">
        <v>8959163809</v>
      </c>
      <c r="K3506" s="1" t="s">
        <v>84</v>
      </c>
      <c r="L3506" s="1" t="s">
        <v>12774</v>
      </c>
      <c r="M3506" s="1" t="s">
        <v>86</v>
      </c>
      <c r="N3506" s="1" t="s">
        <v>55982</v>
      </c>
      <c r="O3506" s="1"/>
      <c r="P3506" s="1" t="s">
        <v>481</v>
      </c>
      <c r="Q3506" s="1" t="s">
        <v>55983</v>
      </c>
      <c r="R3506" s="1" t="s">
        <v>55984</v>
      </c>
      <c r="S3506" s="1">
        <v>8821866666</v>
      </c>
      <c r="T3506" s="1" t="s">
        <v>159</v>
      </c>
      <c r="U3506" s="1" t="s">
        <v>55985</v>
      </c>
      <c r="V3506" s="1">
        <v>7747029073</v>
      </c>
      <c r="W3506" s="1" t="s">
        <v>94</v>
      </c>
      <c r="X3506" s="1" t="s">
        <v>55986</v>
      </c>
      <c r="Y3506" s="1" t="s">
        <v>55987</v>
      </c>
      <c r="Z3506" s="1" t="s">
        <v>3419</v>
      </c>
      <c r="AA3506" s="1" t="s">
        <v>55988</v>
      </c>
      <c r="AB3506" s="1" t="s">
        <v>55987</v>
      </c>
      <c r="AC3506" s="1" t="s">
        <v>3419</v>
      </c>
      <c r="AD3506" s="1" t="s">
        <v>98</v>
      </c>
      <c r="AE3506" s="1" t="s">
        <v>98</v>
      </c>
      <c r="AF3506" s="1" t="s">
        <v>55989</v>
      </c>
      <c r="AG3506" s="1" t="s">
        <v>52554</v>
      </c>
      <c r="AH3506" s="1" t="s">
        <v>52590</v>
      </c>
      <c r="AI3506" s="1" t="s">
        <v>55990</v>
      </c>
      <c r="AJ3506" s="1">
        <v>60.42</v>
      </c>
      <c r="AK3506" s="1">
        <v>0</v>
      </c>
      <c r="AL3506" s="1" t="s">
        <v>55991</v>
      </c>
      <c r="AM3506" s="1" t="s">
        <v>52554</v>
      </c>
      <c r="AN3506" s="1"/>
      <c r="AO3506" s="1" t="s">
        <v>54314</v>
      </c>
      <c r="AP3506" s="1" t="s">
        <v>54158</v>
      </c>
      <c r="AQ3506" s="1">
        <v>58.4</v>
      </c>
      <c r="AR3506" s="1">
        <v>0</v>
      </c>
      <c r="AS3506" s="1"/>
      <c r="AT3506" s="1"/>
      <c r="AU3506" s="1" t="s">
        <v>98</v>
      </c>
      <c r="AV3506" s="1" t="s">
        <v>98</v>
      </c>
      <c r="AW3506" s="1" t="s">
        <v>98</v>
      </c>
      <c r="AX3506" s="1" t="s">
        <v>98</v>
      </c>
      <c r="AY3506" s="1" t="s">
        <v>5224</v>
      </c>
      <c r="AZ3506" s="1" t="s">
        <v>55992</v>
      </c>
      <c r="BA3506" s="1"/>
      <c r="BB3506" s="1"/>
      <c r="BC3506" s="1" t="s">
        <v>55993</v>
      </c>
      <c r="BD3506" s="1" t="s">
        <v>55994</v>
      </c>
      <c r="BE3506" s="1">
        <v>67.9</v>
      </c>
      <c r="BF3506" s="1">
        <v>6.79</v>
      </c>
      <c r="BG3506" s="1"/>
      <c r="BH3506" s="1"/>
      <c r="BI3506" s="1"/>
      <c r="BJ3506" s="1"/>
      <c r="BK3506" s="1" t="s">
        <v>98</v>
      </c>
      <c r="BL3506" s="1" t="s">
        <v>98</v>
      </c>
      <c r="BM3506" s="1" t="s">
        <v>98</v>
      </c>
      <c r="BN3506" s="1" t="s">
        <v>98</v>
      </c>
      <c r="BO3506" s="1" t="s">
        <v>369</v>
      </c>
      <c r="BP3506" s="1"/>
      <c r="BQ3506" s="1"/>
      <c r="BR3506" s="1" t="s">
        <v>55995</v>
      </c>
      <c r="BS3506" s="1">
        <v>22</v>
      </c>
      <c r="BT3506" s="1"/>
      <c r="BU3506" s="1" t="str">
        <f>HYPERLINK("https://nconnect.nicmar.ac.in/storage/profile/2021-2023_AP21291_967328.jpg","Download")</f>
        <v>0</v>
      </c>
      <c r="BV3506" s="3"/>
      <c r="BW3506" s="3"/>
    </row>
    <row r="3507" spans="1:75">
      <c r="A3507" s="1" t="s">
        <v>51340</v>
      </c>
      <c r="B3507" s="1" t="s">
        <v>51341</v>
      </c>
      <c r="C3507" s="1" t="s">
        <v>55996</v>
      </c>
      <c r="D3507" s="1" t="s">
        <v>55997</v>
      </c>
      <c r="E3507" s="1" t="s">
        <v>39044</v>
      </c>
      <c r="F3507" s="1" t="s">
        <v>55998</v>
      </c>
      <c r="G3507" s="1" t="s">
        <v>55999</v>
      </c>
      <c r="H3507" s="1" t="s">
        <v>56000</v>
      </c>
      <c r="I3507" s="1" t="s">
        <v>56001</v>
      </c>
      <c r="J3507" s="1">
        <v>9657844875</v>
      </c>
      <c r="K3507" s="1" t="s">
        <v>84</v>
      </c>
      <c r="L3507" s="1" t="s">
        <v>56002</v>
      </c>
      <c r="M3507" s="1" t="s">
        <v>86</v>
      </c>
      <c r="N3507" s="1" t="s">
        <v>903</v>
      </c>
      <c r="O3507" s="1"/>
      <c r="P3507" s="1" t="s">
        <v>455</v>
      </c>
      <c r="Q3507" s="1" t="s">
        <v>56003</v>
      </c>
      <c r="R3507" s="1" t="s">
        <v>56004</v>
      </c>
      <c r="S3507" s="1">
        <v>7020140400</v>
      </c>
      <c r="T3507" s="1" t="s">
        <v>26388</v>
      </c>
      <c r="U3507" s="1" t="s">
        <v>56005</v>
      </c>
      <c r="V3507" s="1">
        <v>8879083427</v>
      </c>
      <c r="W3507" s="1" t="s">
        <v>161</v>
      </c>
      <c r="X3507" s="1" t="s">
        <v>56006</v>
      </c>
      <c r="Y3507" s="1" t="s">
        <v>5030</v>
      </c>
      <c r="Z3507" s="1" t="s">
        <v>97</v>
      </c>
      <c r="AA3507" s="1" t="s">
        <v>56007</v>
      </c>
      <c r="AB3507" s="1" t="s">
        <v>196</v>
      </c>
      <c r="AC3507" s="1" t="s">
        <v>97</v>
      </c>
      <c r="AD3507" s="1" t="s">
        <v>98</v>
      </c>
      <c r="AE3507" s="1" t="s">
        <v>98</v>
      </c>
      <c r="AF3507" s="1" t="s">
        <v>56008</v>
      </c>
      <c r="AG3507" s="1" t="s">
        <v>56009</v>
      </c>
      <c r="AH3507" s="1" t="s">
        <v>56010</v>
      </c>
      <c r="AI3507" s="1" t="s">
        <v>56011</v>
      </c>
      <c r="AJ3507" s="1">
        <v>76.33</v>
      </c>
      <c r="AK3507" s="1">
        <v>0</v>
      </c>
      <c r="AL3507" s="1" t="s">
        <v>42820</v>
      </c>
      <c r="AM3507" s="1" t="s">
        <v>312</v>
      </c>
      <c r="AN3507" s="1"/>
      <c r="AO3507" s="1" t="s">
        <v>56012</v>
      </c>
      <c r="AP3507" s="1" t="s">
        <v>55125</v>
      </c>
      <c r="AQ3507" s="1">
        <v>71.6</v>
      </c>
      <c r="AR3507" s="1">
        <v>0</v>
      </c>
      <c r="AS3507" s="1"/>
      <c r="AT3507" s="1"/>
      <c r="AU3507" s="1"/>
      <c r="AV3507" s="1"/>
      <c r="AW3507" s="1"/>
      <c r="AX3507" s="1"/>
      <c r="AY3507" s="1" t="s">
        <v>258</v>
      </c>
      <c r="AZ3507" s="1" t="s">
        <v>56013</v>
      </c>
      <c r="BA3507" s="1"/>
      <c r="BB3507" s="1"/>
      <c r="BC3507" s="1" t="s">
        <v>56014</v>
      </c>
      <c r="BD3507" s="1" t="s">
        <v>56015</v>
      </c>
      <c r="BE3507" s="1">
        <v>57.15</v>
      </c>
      <c r="BF3507" s="1">
        <v>6.54</v>
      </c>
      <c r="BG3507" s="1"/>
      <c r="BH3507" s="1"/>
      <c r="BI3507" s="1"/>
      <c r="BJ3507" s="1"/>
      <c r="BK3507" s="1"/>
      <c r="BL3507" s="1"/>
      <c r="BM3507" s="1"/>
      <c r="BN3507" s="1"/>
      <c r="BO3507" s="1" t="s">
        <v>260</v>
      </c>
      <c r="BP3507" s="1"/>
      <c r="BQ3507" s="1"/>
      <c r="BR3507" s="1" t="s">
        <v>56016</v>
      </c>
      <c r="BS3507" s="1">
        <v>9</v>
      </c>
      <c r="BT3507" s="1"/>
      <c r="BU3507" s="1" t="str">
        <f>HYPERLINK("https://nconnect.nicmar.ac.in/storage/profile/2021-2023_AP21292_743259.jpg","Download")</f>
        <v>0</v>
      </c>
      <c r="BV3507" s="3"/>
      <c r="BW3507" s="3"/>
    </row>
    <row r="3508" spans="1:75">
      <c r="A3508" s="1" t="s">
        <v>51340</v>
      </c>
      <c r="B3508" s="1" t="s">
        <v>51341</v>
      </c>
      <c r="C3508" s="1" t="s">
        <v>56017</v>
      </c>
      <c r="D3508" s="1" t="s">
        <v>4019</v>
      </c>
      <c r="E3508" s="1" t="s">
        <v>56018</v>
      </c>
      <c r="F3508" s="1" t="s">
        <v>56019</v>
      </c>
      <c r="G3508" s="1" t="s">
        <v>56020</v>
      </c>
      <c r="H3508" s="1" t="s">
        <v>56021</v>
      </c>
      <c r="I3508" s="1" t="s">
        <v>56022</v>
      </c>
      <c r="J3508" s="1">
        <v>9712949920</v>
      </c>
      <c r="K3508" s="1" t="s">
        <v>84</v>
      </c>
      <c r="L3508" s="1" t="s">
        <v>56023</v>
      </c>
      <c r="M3508" s="1" t="s">
        <v>86</v>
      </c>
      <c r="N3508" s="1" t="s">
        <v>6641</v>
      </c>
      <c r="O3508" s="1"/>
      <c r="P3508" s="1" t="s">
        <v>455</v>
      </c>
      <c r="Q3508" s="1" t="s">
        <v>56024</v>
      </c>
      <c r="R3508" s="1" t="s">
        <v>56025</v>
      </c>
      <c r="S3508" s="1">
        <v>9825049920</v>
      </c>
      <c r="T3508" s="1" t="s">
        <v>926</v>
      </c>
      <c r="U3508" s="1" t="s">
        <v>56026</v>
      </c>
      <c r="V3508" s="1">
        <v>9227226633</v>
      </c>
      <c r="W3508" s="1" t="s">
        <v>94</v>
      </c>
      <c r="X3508" s="1" t="s">
        <v>56027</v>
      </c>
      <c r="Y3508" s="1" t="s">
        <v>8166</v>
      </c>
      <c r="Z3508" s="1" t="s">
        <v>676</v>
      </c>
      <c r="AA3508" s="1" t="s">
        <v>56027</v>
      </c>
      <c r="AB3508" s="1" t="s">
        <v>8166</v>
      </c>
      <c r="AC3508" s="1" t="s">
        <v>676</v>
      </c>
      <c r="AD3508" s="1" t="s">
        <v>98</v>
      </c>
      <c r="AE3508" s="1" t="s">
        <v>98</v>
      </c>
      <c r="AF3508" s="1" t="s">
        <v>56028</v>
      </c>
      <c r="AG3508" s="1" t="s">
        <v>10192</v>
      </c>
      <c r="AH3508" s="1">
        <v>41456</v>
      </c>
      <c r="AI3508" s="1">
        <v>42094</v>
      </c>
      <c r="AJ3508" s="1">
        <v>83.16</v>
      </c>
      <c r="AK3508" s="1"/>
      <c r="AL3508" s="1" t="s">
        <v>56029</v>
      </c>
      <c r="AM3508" s="1" t="s">
        <v>10192</v>
      </c>
      <c r="AN3508" s="1"/>
      <c r="AO3508" s="1">
        <v>42543</v>
      </c>
      <c r="AP3508" s="1">
        <v>42866</v>
      </c>
      <c r="AQ3508" s="1">
        <v>78.15</v>
      </c>
      <c r="AR3508" s="1"/>
      <c r="AS3508" s="1"/>
      <c r="AT3508" s="1"/>
      <c r="AU3508" s="1" t="s">
        <v>98</v>
      </c>
      <c r="AV3508" s="1" t="s">
        <v>98</v>
      </c>
      <c r="AW3508" s="1" t="s">
        <v>98</v>
      </c>
      <c r="AX3508" s="1" t="s">
        <v>98</v>
      </c>
      <c r="AY3508" s="1" t="s">
        <v>35751</v>
      </c>
      <c r="AZ3508" s="1" t="s">
        <v>35751</v>
      </c>
      <c r="BA3508" s="1"/>
      <c r="BB3508" s="1"/>
      <c r="BC3508" s="1">
        <v>42948</v>
      </c>
      <c r="BD3508" s="1">
        <v>44378</v>
      </c>
      <c r="BE3508" s="1">
        <v>79.9</v>
      </c>
      <c r="BF3508" s="1">
        <v>8.49</v>
      </c>
      <c r="BG3508" s="1"/>
      <c r="BH3508" s="1"/>
      <c r="BI3508" s="1"/>
      <c r="BJ3508" s="1"/>
      <c r="BK3508" s="1" t="s">
        <v>98</v>
      </c>
      <c r="BL3508" s="1" t="s">
        <v>98</v>
      </c>
      <c r="BM3508" s="1" t="s">
        <v>98</v>
      </c>
      <c r="BN3508" s="1" t="s">
        <v>98</v>
      </c>
      <c r="BO3508" s="1" t="s">
        <v>56030</v>
      </c>
      <c r="BP3508" s="1"/>
      <c r="BQ3508" s="1"/>
      <c r="BR3508" s="1" t="s">
        <v>56031</v>
      </c>
      <c r="BS3508" s="1">
        <v>37</v>
      </c>
      <c r="BT3508" s="1"/>
      <c r="BU3508" s="1" t="str">
        <f>HYPERLINK("https://nconnect.nicmar.ac.in/storage/profile/2021-2023_AP21293_749531.jpg","Download")</f>
        <v>0</v>
      </c>
      <c r="BV3508" s="3"/>
      <c r="BW3508" s="3"/>
    </row>
    <row r="3509" spans="1:75">
      <c r="A3509" s="1" t="s">
        <v>51340</v>
      </c>
      <c r="B3509" s="1" t="s">
        <v>51341</v>
      </c>
      <c r="C3509" s="1" t="s">
        <v>56032</v>
      </c>
      <c r="D3509" s="1" t="s">
        <v>12573</v>
      </c>
      <c r="E3509" s="1"/>
      <c r="F3509" s="1" t="s">
        <v>27396</v>
      </c>
      <c r="G3509" s="1" t="s">
        <v>56033</v>
      </c>
      <c r="H3509" s="1" t="s">
        <v>56034</v>
      </c>
      <c r="I3509" s="1" t="s">
        <v>56035</v>
      </c>
      <c r="J3509" s="1">
        <v>9589361996</v>
      </c>
      <c r="K3509" s="1" t="s">
        <v>84</v>
      </c>
      <c r="L3509" s="1" t="s">
        <v>56036</v>
      </c>
      <c r="M3509" s="1" t="s">
        <v>86</v>
      </c>
      <c r="N3509" s="1" t="s">
        <v>246</v>
      </c>
      <c r="O3509" s="1"/>
      <c r="P3509" s="1" t="s">
        <v>507</v>
      </c>
      <c r="Q3509" s="1" t="s">
        <v>56037</v>
      </c>
      <c r="R3509" s="1" t="s">
        <v>56038</v>
      </c>
      <c r="S3509" s="1">
        <v>9425302669</v>
      </c>
      <c r="T3509" s="1" t="s">
        <v>539</v>
      </c>
      <c r="U3509" s="1" t="s">
        <v>56039</v>
      </c>
      <c r="V3509" s="1">
        <v>7898401975</v>
      </c>
      <c r="W3509" s="1" t="s">
        <v>94</v>
      </c>
      <c r="X3509" s="1" t="s">
        <v>56040</v>
      </c>
      <c r="Y3509" s="1" t="s">
        <v>7949</v>
      </c>
      <c r="Z3509" s="1" t="s">
        <v>3419</v>
      </c>
      <c r="AA3509" s="1" t="s">
        <v>56041</v>
      </c>
      <c r="AB3509" s="1" t="s">
        <v>3031</v>
      </c>
      <c r="AC3509" s="1" t="s">
        <v>461</v>
      </c>
      <c r="AD3509" s="1" t="s">
        <v>98</v>
      </c>
      <c r="AE3509" s="1" t="s">
        <v>98</v>
      </c>
      <c r="AF3509" s="1" t="s">
        <v>56042</v>
      </c>
      <c r="AG3509" s="1" t="s">
        <v>312</v>
      </c>
      <c r="AH3509" s="1" t="s">
        <v>134</v>
      </c>
      <c r="AI3509" s="1" t="s">
        <v>1262</v>
      </c>
      <c r="AJ3509" s="1">
        <v>76</v>
      </c>
      <c r="AK3509" s="1">
        <v>8</v>
      </c>
      <c r="AL3509" s="1" t="s">
        <v>56043</v>
      </c>
      <c r="AM3509" s="1" t="s">
        <v>312</v>
      </c>
      <c r="AN3509" s="1"/>
      <c r="AO3509" s="1" t="s">
        <v>136</v>
      </c>
      <c r="AP3509" s="1" t="s">
        <v>627</v>
      </c>
      <c r="AQ3509" s="1">
        <v>80.6</v>
      </c>
      <c r="AR3509" s="1"/>
      <c r="AS3509" s="1"/>
      <c r="AT3509" s="1"/>
      <c r="AU3509" s="1" t="s">
        <v>98</v>
      </c>
      <c r="AV3509" s="1" t="s">
        <v>98</v>
      </c>
      <c r="AW3509" s="1" t="s">
        <v>98</v>
      </c>
      <c r="AX3509" s="1" t="s">
        <v>98</v>
      </c>
      <c r="AY3509" s="1" t="s">
        <v>56044</v>
      </c>
      <c r="AZ3509" s="1" t="s">
        <v>56045</v>
      </c>
      <c r="BA3509" s="1"/>
      <c r="BB3509" s="1"/>
      <c r="BC3509" s="1" t="s">
        <v>13748</v>
      </c>
      <c r="BD3509" s="1" t="s">
        <v>468</v>
      </c>
      <c r="BE3509" s="1">
        <v>81.1</v>
      </c>
      <c r="BF3509" s="1">
        <v>8.11</v>
      </c>
      <c r="BG3509" s="1"/>
      <c r="BH3509" s="1"/>
      <c r="BI3509" s="1"/>
      <c r="BJ3509" s="1"/>
      <c r="BK3509" s="1" t="s">
        <v>98</v>
      </c>
      <c r="BL3509" s="1" t="s">
        <v>98</v>
      </c>
      <c r="BM3509" s="1" t="s">
        <v>98</v>
      </c>
      <c r="BN3509" s="1" t="s">
        <v>98</v>
      </c>
      <c r="BO3509" s="1" t="s">
        <v>6027</v>
      </c>
      <c r="BP3509" s="1" t="s">
        <v>56046</v>
      </c>
      <c r="BQ3509" s="1" t="s">
        <v>1357</v>
      </c>
      <c r="BR3509" s="1" t="s">
        <v>56047</v>
      </c>
      <c r="BS3509" s="1">
        <v>13</v>
      </c>
      <c r="BT3509" s="1"/>
      <c r="BU3509" s="1" t="str">
        <f>HYPERLINK("https://nconnect.nicmar.ac.in/storage/profile/2021-2023_AP21294_641375.jpg","Download")</f>
        <v>0</v>
      </c>
      <c r="BV3509" s="3"/>
      <c r="BW3509" s="3"/>
    </row>
    <row r="3510" spans="1:75">
      <c r="A3510" s="1" t="s">
        <v>51340</v>
      </c>
      <c r="B3510" s="1" t="s">
        <v>51341</v>
      </c>
      <c r="C3510" s="1" t="s">
        <v>56048</v>
      </c>
      <c r="D3510" s="1" t="s">
        <v>12752</v>
      </c>
      <c r="E3510" s="1" t="s">
        <v>1136</v>
      </c>
      <c r="F3510" s="1" t="s">
        <v>56049</v>
      </c>
      <c r="G3510" s="1" t="s">
        <v>56050</v>
      </c>
      <c r="H3510" s="1" t="s">
        <v>56051</v>
      </c>
      <c r="I3510" s="1" t="s">
        <v>56052</v>
      </c>
      <c r="J3510" s="1">
        <v>9689953404</v>
      </c>
      <c r="K3510" s="1" t="s">
        <v>84</v>
      </c>
      <c r="L3510" s="1" t="s">
        <v>56053</v>
      </c>
      <c r="M3510" s="1" t="s">
        <v>86</v>
      </c>
      <c r="N3510" s="1" t="s">
        <v>13689</v>
      </c>
      <c r="O3510" s="1"/>
      <c r="P3510" s="1" t="s">
        <v>507</v>
      </c>
      <c r="Q3510" s="1" t="s">
        <v>56054</v>
      </c>
      <c r="R3510" s="1" t="s">
        <v>56055</v>
      </c>
      <c r="S3510" s="1">
        <v>9921870342</v>
      </c>
      <c r="T3510" s="1" t="s">
        <v>839</v>
      </c>
      <c r="U3510" s="1" t="s">
        <v>56056</v>
      </c>
      <c r="V3510" s="1">
        <v>8793864252</v>
      </c>
      <c r="W3510" s="1" t="s">
        <v>278</v>
      </c>
      <c r="X3510" s="1" t="s">
        <v>56057</v>
      </c>
      <c r="Y3510" s="1" t="s">
        <v>333</v>
      </c>
      <c r="Z3510" s="1" t="s">
        <v>97</v>
      </c>
      <c r="AA3510" s="1" t="s">
        <v>56058</v>
      </c>
      <c r="AB3510" s="1" t="s">
        <v>196</v>
      </c>
      <c r="AC3510" s="1" t="s">
        <v>97</v>
      </c>
      <c r="AD3510" s="1" t="s">
        <v>98</v>
      </c>
      <c r="AE3510" s="1" t="s">
        <v>98</v>
      </c>
      <c r="AF3510" s="1" t="s">
        <v>56059</v>
      </c>
      <c r="AG3510" s="1" t="s">
        <v>51712</v>
      </c>
      <c r="AH3510" s="1">
        <v>40714</v>
      </c>
      <c r="AI3510" s="1">
        <v>40981</v>
      </c>
      <c r="AJ3510" s="1">
        <v>84.91</v>
      </c>
      <c r="AK3510" s="1"/>
      <c r="AL3510" s="1" t="s">
        <v>56060</v>
      </c>
      <c r="AM3510" s="1" t="s">
        <v>51712</v>
      </c>
      <c r="AN3510" s="1"/>
      <c r="AO3510" s="1">
        <v>41337</v>
      </c>
      <c r="AP3510" s="1">
        <v>41673</v>
      </c>
      <c r="AQ3510" s="1">
        <v>84.15</v>
      </c>
      <c r="AR3510" s="1"/>
      <c r="AS3510" s="1"/>
      <c r="AT3510" s="1"/>
      <c r="AU3510" s="1" t="s">
        <v>98</v>
      </c>
      <c r="AV3510" s="1" t="s">
        <v>98</v>
      </c>
      <c r="AW3510" s="1" t="s">
        <v>98</v>
      </c>
      <c r="AX3510" s="1" t="s">
        <v>98</v>
      </c>
      <c r="AY3510" s="1" t="s">
        <v>366</v>
      </c>
      <c r="AZ3510" s="1" t="s">
        <v>56061</v>
      </c>
      <c r="BA3510" s="1"/>
      <c r="BB3510" s="1"/>
      <c r="BC3510" s="1">
        <v>41799</v>
      </c>
      <c r="BD3510" s="1">
        <v>43234</v>
      </c>
      <c r="BE3510" s="1">
        <v>74.93</v>
      </c>
      <c r="BF3510" s="1"/>
      <c r="BG3510" s="1"/>
      <c r="BH3510" s="1"/>
      <c r="BI3510" s="1"/>
      <c r="BJ3510" s="1"/>
      <c r="BK3510" s="1" t="s">
        <v>98</v>
      </c>
      <c r="BL3510" s="1" t="s">
        <v>98</v>
      </c>
      <c r="BM3510" s="1" t="s">
        <v>98</v>
      </c>
      <c r="BN3510" s="1" t="s">
        <v>98</v>
      </c>
      <c r="BO3510" s="1" t="s">
        <v>56062</v>
      </c>
      <c r="BP3510" s="1" t="s">
        <v>56063</v>
      </c>
      <c r="BQ3510" s="1" t="s">
        <v>31161</v>
      </c>
      <c r="BR3510" s="1" t="s">
        <v>56064</v>
      </c>
      <c r="BS3510" s="1">
        <v>21</v>
      </c>
      <c r="BT3510" s="1"/>
      <c r="BU3510" s="1" t="str">
        <f>HYPERLINK("https://nconnect.nicmar.ac.in/storage/profile/2021-2023_AP21295_741539.jpg","Download")</f>
        <v>0</v>
      </c>
      <c r="BV3510" s="3"/>
      <c r="BW3510" s="3"/>
    </row>
    <row r="3511" spans="1:75">
      <c r="A3511" s="1" t="s">
        <v>51340</v>
      </c>
      <c r="B3511" s="1" t="s">
        <v>51341</v>
      </c>
      <c r="C3511" s="1" t="s">
        <v>56065</v>
      </c>
      <c r="D3511" s="1" t="s">
        <v>1525</v>
      </c>
      <c r="E3511" s="1" t="s">
        <v>2659</v>
      </c>
      <c r="F3511" s="1" t="s">
        <v>56066</v>
      </c>
      <c r="G3511" s="1" t="s">
        <v>56067</v>
      </c>
      <c r="H3511" s="1" t="s">
        <v>56068</v>
      </c>
      <c r="I3511" s="1" t="s">
        <v>56069</v>
      </c>
      <c r="J3511" s="1">
        <v>9730122602</v>
      </c>
      <c r="K3511" s="1" t="s">
        <v>84</v>
      </c>
      <c r="L3511" s="1" t="s">
        <v>17281</v>
      </c>
      <c r="M3511" s="1" t="s">
        <v>86</v>
      </c>
      <c r="N3511" s="1" t="s">
        <v>3064</v>
      </c>
      <c r="O3511" s="1"/>
      <c r="P3511" s="1" t="s">
        <v>455</v>
      </c>
      <c r="Q3511" s="1" t="s">
        <v>56070</v>
      </c>
      <c r="R3511" s="1" t="s">
        <v>56071</v>
      </c>
      <c r="S3511" s="1">
        <v>9359020443</v>
      </c>
      <c r="T3511" s="1" t="s">
        <v>5742</v>
      </c>
      <c r="U3511" s="1" t="s">
        <v>56072</v>
      </c>
      <c r="V3511" s="1">
        <v>7620527893</v>
      </c>
      <c r="W3511" s="1" t="s">
        <v>94</v>
      </c>
      <c r="X3511" s="1" t="s">
        <v>56073</v>
      </c>
      <c r="Y3511" s="1" t="s">
        <v>56074</v>
      </c>
      <c r="Z3511" s="1" t="s">
        <v>97</v>
      </c>
      <c r="AA3511" s="1" t="s">
        <v>56075</v>
      </c>
      <c r="AB3511" s="1" t="s">
        <v>196</v>
      </c>
      <c r="AC3511" s="1" t="s">
        <v>97</v>
      </c>
      <c r="AD3511" s="1" t="s">
        <v>98</v>
      </c>
      <c r="AE3511" s="1" t="s">
        <v>98</v>
      </c>
      <c r="AF3511" s="1" t="s">
        <v>56076</v>
      </c>
      <c r="AG3511" s="1" t="s">
        <v>2745</v>
      </c>
      <c r="AH3511" s="1" t="s">
        <v>1213</v>
      </c>
      <c r="AI3511" s="1" t="s">
        <v>170</v>
      </c>
      <c r="AJ3511" s="1">
        <v>87.4</v>
      </c>
      <c r="AK3511" s="1">
        <v>0</v>
      </c>
      <c r="AL3511" s="1" t="s">
        <v>98</v>
      </c>
      <c r="AM3511" s="1"/>
      <c r="AN3511" s="1"/>
      <c r="AO3511" s="1"/>
      <c r="AP3511" s="1"/>
      <c r="AQ3511" s="1"/>
      <c r="AR3511" s="1"/>
      <c r="AS3511" s="1" t="s">
        <v>439</v>
      </c>
      <c r="AT3511" s="1" t="s">
        <v>7863</v>
      </c>
      <c r="AU3511" s="1" t="s">
        <v>135</v>
      </c>
      <c r="AV3511" s="1" t="s">
        <v>573</v>
      </c>
      <c r="AW3511" s="1">
        <v>80.6</v>
      </c>
      <c r="AX3511" s="1">
        <v>0</v>
      </c>
      <c r="AY3511" s="1" t="s">
        <v>366</v>
      </c>
      <c r="AZ3511" s="1" t="s">
        <v>56077</v>
      </c>
      <c r="BA3511" s="1"/>
      <c r="BB3511" s="1"/>
      <c r="BC3511" s="1" t="s">
        <v>230</v>
      </c>
      <c r="BD3511" s="1" t="s">
        <v>175</v>
      </c>
      <c r="BE3511" s="1">
        <v>71.28</v>
      </c>
      <c r="BF3511" s="1">
        <v>8.1</v>
      </c>
      <c r="BG3511" s="1"/>
      <c r="BH3511" s="1"/>
      <c r="BI3511" s="1"/>
      <c r="BJ3511" s="1"/>
      <c r="BK3511" s="1" t="s">
        <v>98</v>
      </c>
      <c r="BL3511" s="1" t="s">
        <v>98</v>
      </c>
      <c r="BM3511" s="1" t="s">
        <v>98</v>
      </c>
      <c r="BN3511" s="1" t="s">
        <v>98</v>
      </c>
      <c r="BO3511" s="1" t="s">
        <v>56078</v>
      </c>
      <c r="BP3511" s="1"/>
      <c r="BQ3511" s="1"/>
      <c r="BR3511" s="1" t="s">
        <v>56079</v>
      </c>
      <c r="BS3511" s="1">
        <v>9</v>
      </c>
      <c r="BT3511" s="1"/>
      <c r="BU3511" s="1" t="str">
        <f>HYPERLINK("https://nconnect.nicmar.ac.in/storage/profile/2021-2023_AP21296_957243.jpg","Download")</f>
        <v>0</v>
      </c>
      <c r="BV3511" s="3"/>
      <c r="BW3511" s="3"/>
    </row>
    <row r="3512" spans="1:75">
      <c r="A3512" s="1" t="s">
        <v>51340</v>
      </c>
      <c r="B3512" s="1" t="s">
        <v>51341</v>
      </c>
      <c r="C3512" s="1" t="s">
        <v>56080</v>
      </c>
      <c r="D3512" s="1" t="s">
        <v>11148</v>
      </c>
      <c r="E3512" s="1" t="s">
        <v>4646</v>
      </c>
      <c r="F3512" s="1" t="s">
        <v>1872</v>
      </c>
      <c r="G3512" s="1" t="s">
        <v>56081</v>
      </c>
      <c r="H3512" s="1" t="s">
        <v>56082</v>
      </c>
      <c r="I3512" s="1" t="s">
        <v>56083</v>
      </c>
      <c r="J3512" s="1">
        <v>8087861346</v>
      </c>
      <c r="K3512" s="1" t="s">
        <v>84</v>
      </c>
      <c r="L3512" s="1" t="s">
        <v>28069</v>
      </c>
      <c r="M3512" s="1" t="s">
        <v>86</v>
      </c>
      <c r="N3512" s="1" t="s">
        <v>1163</v>
      </c>
      <c r="O3512" s="1"/>
      <c r="P3512" s="1" t="s">
        <v>2062</v>
      </c>
      <c r="Q3512" s="1" t="s">
        <v>56084</v>
      </c>
      <c r="R3512" s="1" t="s">
        <v>56085</v>
      </c>
      <c r="S3512" s="1">
        <v>9423470705</v>
      </c>
      <c r="T3512" s="1" t="s">
        <v>3188</v>
      </c>
      <c r="U3512" s="1" t="s">
        <v>56086</v>
      </c>
      <c r="V3512" s="1">
        <v>9423787511</v>
      </c>
      <c r="W3512" s="1" t="s">
        <v>34663</v>
      </c>
      <c r="X3512" s="1" t="s">
        <v>56087</v>
      </c>
      <c r="Y3512" s="1" t="s">
        <v>96</v>
      </c>
      <c r="Z3512" s="1" t="s">
        <v>97</v>
      </c>
      <c r="AA3512" s="1" t="s">
        <v>56087</v>
      </c>
      <c r="AB3512" s="1" t="s">
        <v>96</v>
      </c>
      <c r="AC3512" s="1" t="s">
        <v>97</v>
      </c>
      <c r="AD3512" s="1" t="s">
        <v>98</v>
      </c>
      <c r="AE3512" s="1" t="s">
        <v>98</v>
      </c>
      <c r="AF3512" s="1" t="s">
        <v>56088</v>
      </c>
      <c r="AG3512" s="1" t="s">
        <v>165</v>
      </c>
      <c r="AH3512" s="1" t="s">
        <v>101</v>
      </c>
      <c r="AI3512" s="1" t="s">
        <v>166</v>
      </c>
      <c r="AJ3512" s="1">
        <v>83.4</v>
      </c>
      <c r="AK3512" s="1">
        <v>8.77</v>
      </c>
      <c r="AL3512" s="1"/>
      <c r="AM3512" s="1"/>
      <c r="AN3512" s="1"/>
      <c r="AO3512" s="1" t="s">
        <v>56014</v>
      </c>
      <c r="AP3512" s="1" t="s">
        <v>56014</v>
      </c>
      <c r="AQ3512" s="1"/>
      <c r="AR3512" s="1"/>
      <c r="AS3512" s="1" t="s">
        <v>439</v>
      </c>
      <c r="AT3512" s="1" t="s">
        <v>56089</v>
      </c>
      <c r="AU3512" s="1" t="s">
        <v>342</v>
      </c>
      <c r="AV3512" s="1" t="s">
        <v>106</v>
      </c>
      <c r="AW3512" s="1">
        <v>79.58</v>
      </c>
      <c r="AX3512" s="1">
        <v>8.37</v>
      </c>
      <c r="AY3512" s="1" t="s">
        <v>5803</v>
      </c>
      <c r="AZ3512" s="1" t="s">
        <v>56090</v>
      </c>
      <c r="BA3512" s="1"/>
      <c r="BB3512" s="1"/>
      <c r="BC3512" s="1" t="s">
        <v>1065</v>
      </c>
      <c r="BD3512" s="1" t="s">
        <v>606</v>
      </c>
      <c r="BE3512" s="1">
        <v>83.4</v>
      </c>
      <c r="BF3512" s="1">
        <v>8.84</v>
      </c>
      <c r="BG3512" s="1"/>
      <c r="BH3512" s="1"/>
      <c r="BI3512" s="1"/>
      <c r="BJ3512" s="1"/>
      <c r="BK3512" s="1" t="s">
        <v>98</v>
      </c>
      <c r="BL3512" s="1" t="s">
        <v>98</v>
      </c>
      <c r="BM3512" s="1" t="s">
        <v>98</v>
      </c>
      <c r="BN3512" s="1" t="s">
        <v>98</v>
      </c>
      <c r="BO3512" s="1" t="s">
        <v>1114</v>
      </c>
      <c r="BP3512" s="1"/>
      <c r="BQ3512" s="1"/>
      <c r="BR3512" s="1" t="s">
        <v>56091</v>
      </c>
      <c r="BS3512" s="1">
        <v>39</v>
      </c>
      <c r="BT3512" s="1"/>
      <c r="BU3512" s="1" t="str">
        <f>HYPERLINK("https://nconnect.nicmar.ac.in/storage/profile/2021-2023_AP21297_283491.jpg","Download")</f>
        <v>0</v>
      </c>
      <c r="BV3512" s="3"/>
      <c r="BW3512" s="3"/>
    </row>
    <row r="3513" spans="1:75">
      <c r="A3513" s="1" t="s">
        <v>51340</v>
      </c>
      <c r="B3513" s="1" t="s">
        <v>51341</v>
      </c>
      <c r="C3513" s="1" t="s">
        <v>56092</v>
      </c>
      <c r="D3513" s="1" t="s">
        <v>56093</v>
      </c>
      <c r="E3513" s="1"/>
      <c r="F3513" s="1" t="s">
        <v>56094</v>
      </c>
      <c r="G3513" s="1" t="s">
        <v>56095</v>
      </c>
      <c r="H3513" s="1" t="s">
        <v>56096</v>
      </c>
      <c r="I3513" s="1" t="s">
        <v>56097</v>
      </c>
      <c r="J3513" s="1">
        <v>9497312310</v>
      </c>
      <c r="K3513" s="1" t="s">
        <v>84</v>
      </c>
      <c r="L3513" s="1" t="s">
        <v>56098</v>
      </c>
      <c r="M3513" s="1" t="s">
        <v>86</v>
      </c>
      <c r="N3513" s="1" t="s">
        <v>121</v>
      </c>
      <c r="O3513" s="1"/>
      <c r="P3513" s="1" t="s">
        <v>507</v>
      </c>
      <c r="Q3513" s="1" t="s">
        <v>56099</v>
      </c>
      <c r="R3513" s="1" t="s">
        <v>56100</v>
      </c>
      <c r="S3513" s="1">
        <v>8547850170</v>
      </c>
      <c r="T3513" s="1" t="s">
        <v>56101</v>
      </c>
      <c r="U3513" s="1" t="s">
        <v>56102</v>
      </c>
      <c r="V3513" s="1">
        <v>9446050170</v>
      </c>
      <c r="W3513" s="1" t="s">
        <v>94</v>
      </c>
      <c r="X3513" s="1" t="s">
        <v>56103</v>
      </c>
      <c r="Y3513" s="1" t="s">
        <v>1307</v>
      </c>
      <c r="Z3513" s="1" t="s">
        <v>130</v>
      </c>
      <c r="AA3513" s="1" t="s">
        <v>56103</v>
      </c>
      <c r="AB3513" s="1" t="s">
        <v>1307</v>
      </c>
      <c r="AC3513" s="1" t="s">
        <v>130</v>
      </c>
      <c r="AD3513" s="1" t="s">
        <v>98</v>
      </c>
      <c r="AE3513" s="1" t="s">
        <v>98</v>
      </c>
      <c r="AF3513" s="1" t="s">
        <v>56104</v>
      </c>
      <c r="AG3513" s="1" t="s">
        <v>56105</v>
      </c>
      <c r="AH3513" s="1">
        <v>39600</v>
      </c>
      <c r="AI3513" s="1">
        <v>39941</v>
      </c>
      <c r="AJ3513" s="1">
        <v>100</v>
      </c>
      <c r="AK3513" s="1">
        <v>0</v>
      </c>
      <c r="AL3513" s="1" t="s">
        <v>56106</v>
      </c>
      <c r="AM3513" s="1" t="s">
        <v>56105</v>
      </c>
      <c r="AN3513" s="1"/>
      <c r="AO3513" s="1">
        <v>40026</v>
      </c>
      <c r="AP3513" s="1">
        <v>40683</v>
      </c>
      <c r="AQ3513" s="1">
        <v>91.5</v>
      </c>
      <c r="AR3513" s="1">
        <v>0</v>
      </c>
      <c r="AS3513" s="1"/>
      <c r="AT3513" s="1"/>
      <c r="AU3513" s="1" t="s">
        <v>98</v>
      </c>
      <c r="AV3513" s="1" t="s">
        <v>98</v>
      </c>
      <c r="AW3513" s="1" t="s">
        <v>98</v>
      </c>
      <c r="AX3513" s="1" t="s">
        <v>98</v>
      </c>
      <c r="AY3513" s="1" t="s">
        <v>27523</v>
      </c>
      <c r="AZ3513" s="1" t="s">
        <v>56107</v>
      </c>
      <c r="BA3513" s="1"/>
      <c r="BB3513" s="1"/>
      <c r="BC3513" s="1">
        <v>41122</v>
      </c>
      <c r="BD3513" s="1">
        <v>43057</v>
      </c>
      <c r="BE3513" s="1">
        <v>64.71</v>
      </c>
      <c r="BF3513" s="1">
        <v>6.75</v>
      </c>
      <c r="BG3513" s="1"/>
      <c r="BH3513" s="1"/>
      <c r="BI3513" s="1"/>
      <c r="BJ3513" s="1"/>
      <c r="BK3513" s="1" t="s">
        <v>98</v>
      </c>
      <c r="BL3513" s="1" t="s">
        <v>98</v>
      </c>
      <c r="BM3513" s="1" t="s">
        <v>98</v>
      </c>
      <c r="BN3513" s="1" t="s">
        <v>98</v>
      </c>
      <c r="BO3513" s="1" t="s">
        <v>56108</v>
      </c>
      <c r="BP3513" s="1" t="s">
        <v>56109</v>
      </c>
      <c r="BQ3513" s="1" t="s">
        <v>39288</v>
      </c>
      <c r="BR3513" s="1" t="s">
        <v>56110</v>
      </c>
      <c r="BS3513" s="1">
        <v>31</v>
      </c>
      <c r="BT3513" s="1"/>
      <c r="BU3513" s="1" t="str">
        <f>HYPERLINK("https://nconnect.nicmar.ac.in/storage/profile/2021-2023_AP21298_985143.jpg","Download")</f>
        <v>0</v>
      </c>
      <c r="BV3513" s="3"/>
      <c r="BW3513" s="3"/>
    </row>
    <row r="3514" spans="1:75">
      <c r="A3514" s="1" t="s">
        <v>51340</v>
      </c>
      <c r="B3514" s="1" t="s">
        <v>51341</v>
      </c>
      <c r="C3514" s="1" t="s">
        <v>56111</v>
      </c>
      <c r="D3514" s="1" t="s">
        <v>8272</v>
      </c>
      <c r="E3514" s="1"/>
      <c r="F3514" s="1" t="s">
        <v>56112</v>
      </c>
      <c r="G3514" s="1" t="s">
        <v>56113</v>
      </c>
      <c r="H3514" s="1" t="s">
        <v>56114</v>
      </c>
      <c r="I3514" s="1" t="s">
        <v>56115</v>
      </c>
      <c r="J3514" s="1">
        <v>9826663270</v>
      </c>
      <c r="K3514" s="1" t="s">
        <v>84</v>
      </c>
      <c r="L3514" s="1" t="s">
        <v>51721</v>
      </c>
      <c r="M3514" s="1" t="s">
        <v>86</v>
      </c>
      <c r="N3514" s="1" t="s">
        <v>379</v>
      </c>
      <c r="O3514" s="1"/>
      <c r="P3514" s="1" t="s">
        <v>455</v>
      </c>
      <c r="Q3514" s="1" t="s">
        <v>56116</v>
      </c>
      <c r="R3514" s="1" t="s">
        <v>56117</v>
      </c>
      <c r="S3514" s="1">
        <v>9926473370</v>
      </c>
      <c r="T3514" s="1" t="s">
        <v>159</v>
      </c>
      <c r="U3514" s="1" t="s">
        <v>56118</v>
      </c>
      <c r="V3514" s="1">
        <v>9753121345</v>
      </c>
      <c r="W3514" s="1" t="s">
        <v>94</v>
      </c>
      <c r="X3514" s="1" t="s">
        <v>56119</v>
      </c>
      <c r="Y3514" s="1" t="s">
        <v>56120</v>
      </c>
      <c r="Z3514" s="1" t="s">
        <v>3419</v>
      </c>
      <c r="AA3514" s="1" t="s">
        <v>56119</v>
      </c>
      <c r="AB3514" s="1" t="s">
        <v>56120</v>
      </c>
      <c r="AC3514" s="1" t="s">
        <v>3419</v>
      </c>
      <c r="AD3514" s="1" t="s">
        <v>98</v>
      </c>
      <c r="AE3514" s="1" t="s">
        <v>98</v>
      </c>
      <c r="AF3514" s="1" t="s">
        <v>56121</v>
      </c>
      <c r="AG3514" s="1" t="s">
        <v>312</v>
      </c>
      <c r="AH3514" s="1">
        <v>41000</v>
      </c>
      <c r="AI3514" s="1">
        <v>41424</v>
      </c>
      <c r="AJ3514" s="1">
        <v>77.9</v>
      </c>
      <c r="AK3514" s="1">
        <v>8.2</v>
      </c>
      <c r="AL3514" s="1" t="s">
        <v>56122</v>
      </c>
      <c r="AM3514" s="1" t="s">
        <v>312</v>
      </c>
      <c r="AN3514" s="1"/>
      <c r="AO3514" s="1">
        <v>41730</v>
      </c>
      <c r="AP3514" s="1">
        <v>42149</v>
      </c>
      <c r="AQ3514" s="1">
        <v>74.4</v>
      </c>
      <c r="AR3514" s="1"/>
      <c r="AS3514" s="1"/>
      <c r="AT3514" s="1"/>
      <c r="AU3514" s="1" t="s">
        <v>98</v>
      </c>
      <c r="AV3514" s="1" t="s">
        <v>98</v>
      </c>
      <c r="AW3514" s="1" t="s">
        <v>98</v>
      </c>
      <c r="AX3514" s="1" t="s">
        <v>98</v>
      </c>
      <c r="AY3514" s="1" t="s">
        <v>5224</v>
      </c>
      <c r="AZ3514" s="1" t="s">
        <v>56123</v>
      </c>
      <c r="BA3514" s="1"/>
      <c r="BB3514" s="1"/>
      <c r="BC3514" s="1">
        <v>42217</v>
      </c>
      <c r="BD3514" s="1">
        <v>43640</v>
      </c>
      <c r="BE3514" s="1">
        <v>70.5</v>
      </c>
      <c r="BF3514" s="1">
        <v>7.05</v>
      </c>
      <c r="BG3514" s="1"/>
      <c r="BH3514" s="1"/>
      <c r="BI3514" s="1"/>
      <c r="BJ3514" s="1"/>
      <c r="BK3514" s="1" t="s">
        <v>98</v>
      </c>
      <c r="BL3514" s="1" t="s">
        <v>98</v>
      </c>
      <c r="BM3514" s="1" t="s">
        <v>98</v>
      </c>
      <c r="BN3514" s="1" t="s">
        <v>98</v>
      </c>
      <c r="BO3514" s="1" t="s">
        <v>52086</v>
      </c>
      <c r="BP3514" s="1"/>
      <c r="BQ3514" s="1"/>
      <c r="BR3514" s="1" t="s">
        <v>56124</v>
      </c>
      <c r="BS3514" s="1">
        <v>10</v>
      </c>
      <c r="BT3514" s="1"/>
      <c r="BU3514" s="1" t="str">
        <f>HYPERLINK("https://nconnect.nicmar.ac.in/storage/profile/2021-2023_AP21299_942357.jpg","Download")</f>
        <v>0</v>
      </c>
      <c r="BV3514" s="3"/>
      <c r="BW3514" s="3"/>
    </row>
    <row r="3515" spans="1:75">
      <c r="A3515" s="1" t="s">
        <v>51340</v>
      </c>
      <c r="B3515" s="1" t="s">
        <v>51341</v>
      </c>
      <c r="C3515" s="1" t="s">
        <v>56125</v>
      </c>
      <c r="D3515" s="1" t="s">
        <v>13333</v>
      </c>
      <c r="E3515" s="1" t="s">
        <v>4646</v>
      </c>
      <c r="F3515" s="1" t="s">
        <v>56126</v>
      </c>
      <c r="G3515" s="1" t="s">
        <v>56127</v>
      </c>
      <c r="H3515" s="1" t="s">
        <v>56128</v>
      </c>
      <c r="I3515" s="1" t="s">
        <v>56129</v>
      </c>
      <c r="J3515" s="1">
        <v>9503888919</v>
      </c>
      <c r="K3515" s="1" t="s">
        <v>153</v>
      </c>
      <c r="L3515" s="1" t="s">
        <v>13302</v>
      </c>
      <c r="M3515" s="1" t="s">
        <v>86</v>
      </c>
      <c r="N3515" s="1" t="s">
        <v>1163</v>
      </c>
      <c r="O3515" s="1"/>
      <c r="P3515" s="1" t="s">
        <v>481</v>
      </c>
      <c r="Q3515" s="1" t="s">
        <v>56130</v>
      </c>
      <c r="R3515" s="1" t="s">
        <v>56131</v>
      </c>
      <c r="S3515" s="1">
        <v>9561469068</v>
      </c>
      <c r="T3515" s="1" t="s">
        <v>159</v>
      </c>
      <c r="U3515" s="1" t="s">
        <v>56132</v>
      </c>
      <c r="V3515" s="1">
        <v>9561862448</v>
      </c>
      <c r="W3515" s="1" t="s">
        <v>94</v>
      </c>
      <c r="X3515" s="1" t="s">
        <v>56133</v>
      </c>
      <c r="Y3515" s="1" t="s">
        <v>910</v>
      </c>
      <c r="Z3515" s="1" t="s">
        <v>97</v>
      </c>
      <c r="AA3515" s="1" t="s">
        <v>56134</v>
      </c>
      <c r="AB3515" s="1" t="s">
        <v>910</v>
      </c>
      <c r="AC3515" s="1" t="s">
        <v>97</v>
      </c>
      <c r="AD3515" s="1" t="s">
        <v>98</v>
      </c>
      <c r="AE3515" s="1" t="s">
        <v>98</v>
      </c>
      <c r="AF3515" s="1" t="s">
        <v>56135</v>
      </c>
      <c r="AG3515" s="1" t="s">
        <v>51712</v>
      </c>
      <c r="AH3515" s="1">
        <v>41799</v>
      </c>
      <c r="AI3515" s="1">
        <v>42072</v>
      </c>
      <c r="AJ3515" s="1">
        <v>91</v>
      </c>
      <c r="AK3515" s="1"/>
      <c r="AL3515" s="1" t="s">
        <v>56136</v>
      </c>
      <c r="AM3515" s="1" t="s">
        <v>51712</v>
      </c>
      <c r="AN3515" s="1"/>
      <c r="AO3515" s="1">
        <v>42527</v>
      </c>
      <c r="AP3515" s="1">
        <v>42779</v>
      </c>
      <c r="AQ3515" s="1">
        <v>71.08</v>
      </c>
      <c r="AR3515" s="1"/>
      <c r="AS3515" s="1"/>
      <c r="AT3515" s="1"/>
      <c r="AU3515" s="1" t="s">
        <v>98</v>
      </c>
      <c r="AV3515" s="1" t="s">
        <v>98</v>
      </c>
      <c r="AW3515" s="1" t="s">
        <v>98</v>
      </c>
      <c r="AX3515" s="1" t="s">
        <v>98</v>
      </c>
      <c r="AY3515" s="1" t="s">
        <v>7595</v>
      </c>
      <c r="AZ3515" s="1" t="s">
        <v>4072</v>
      </c>
      <c r="BA3515" s="1"/>
      <c r="BB3515" s="1"/>
      <c r="BC3515" s="1">
        <v>42950</v>
      </c>
      <c r="BD3515" s="1">
        <v>44454</v>
      </c>
      <c r="BE3515" s="1">
        <v>88.8</v>
      </c>
      <c r="BF3515" s="1">
        <v>8.88</v>
      </c>
      <c r="BG3515" s="1"/>
      <c r="BH3515" s="1"/>
      <c r="BI3515" s="1"/>
      <c r="BJ3515" s="1"/>
      <c r="BK3515" s="1" t="s">
        <v>98</v>
      </c>
      <c r="BL3515" s="1" t="s">
        <v>98</v>
      </c>
      <c r="BM3515" s="1" t="s">
        <v>98</v>
      </c>
      <c r="BN3515" s="1" t="s">
        <v>98</v>
      </c>
      <c r="BO3515" s="1" t="s">
        <v>369</v>
      </c>
      <c r="BP3515" s="1"/>
      <c r="BQ3515" s="1"/>
      <c r="BR3515" s="1" t="s">
        <v>56137</v>
      </c>
      <c r="BS3515" s="1">
        <v>7</v>
      </c>
      <c r="BT3515" s="1"/>
      <c r="BU3515" s="1" t="str">
        <f>HYPERLINK("https://nconnect.nicmar.ac.in/storage/profile/2021-2023_AP21300_612587.jpeg","Download")</f>
        <v>0</v>
      </c>
      <c r="BV3515" s="3"/>
      <c r="BW3515" s="3"/>
    </row>
    <row r="3516" spans="1:75">
      <c r="A3516" s="1" t="s">
        <v>51340</v>
      </c>
      <c r="B3516" s="1" t="s">
        <v>51341</v>
      </c>
      <c r="C3516" s="1" t="s">
        <v>56138</v>
      </c>
      <c r="D3516" s="1" t="s">
        <v>56139</v>
      </c>
      <c r="E3516" s="1"/>
      <c r="F3516" s="1" t="s">
        <v>53680</v>
      </c>
      <c r="G3516" s="1" t="s">
        <v>56140</v>
      </c>
      <c r="H3516" s="1" t="s">
        <v>56141</v>
      </c>
      <c r="I3516" s="1" t="s">
        <v>56142</v>
      </c>
      <c r="J3516" s="1">
        <v>9591975659</v>
      </c>
      <c r="K3516" s="1" t="s">
        <v>153</v>
      </c>
      <c r="L3516" s="1" t="s">
        <v>7057</v>
      </c>
      <c r="M3516" s="1" t="s">
        <v>86</v>
      </c>
      <c r="N3516" s="1" t="s">
        <v>56143</v>
      </c>
      <c r="O3516" s="1"/>
      <c r="P3516" s="1" t="s">
        <v>455</v>
      </c>
      <c r="Q3516" s="1" t="s">
        <v>56144</v>
      </c>
      <c r="R3516" s="1" t="s">
        <v>56145</v>
      </c>
      <c r="S3516" s="1">
        <v>9591975656</v>
      </c>
      <c r="T3516" s="1" t="s">
        <v>1495</v>
      </c>
      <c r="U3516" s="1" t="s">
        <v>56146</v>
      </c>
      <c r="V3516" s="1">
        <v>9591975657</v>
      </c>
      <c r="W3516" s="1" t="s">
        <v>541</v>
      </c>
      <c r="X3516" s="1" t="s">
        <v>56147</v>
      </c>
      <c r="Y3516" s="1" t="s">
        <v>51747</v>
      </c>
      <c r="Z3516" s="1" t="s">
        <v>1210</v>
      </c>
      <c r="AA3516" s="1" t="s">
        <v>56148</v>
      </c>
      <c r="AB3516" s="1" t="s">
        <v>51747</v>
      </c>
      <c r="AC3516" s="1" t="s">
        <v>1210</v>
      </c>
      <c r="AD3516" s="1" t="s">
        <v>98</v>
      </c>
      <c r="AE3516" s="1" t="s">
        <v>98</v>
      </c>
      <c r="AF3516" s="1" t="s">
        <v>56149</v>
      </c>
      <c r="AG3516" s="1" t="s">
        <v>312</v>
      </c>
      <c r="AH3516" s="1">
        <v>41800</v>
      </c>
      <c r="AI3516" s="1">
        <v>42152</v>
      </c>
      <c r="AJ3516" s="1">
        <v>83.6</v>
      </c>
      <c r="AK3516" s="1">
        <v>8.88</v>
      </c>
      <c r="AL3516" s="1" t="s">
        <v>98</v>
      </c>
      <c r="AM3516" s="1" t="s">
        <v>98</v>
      </c>
      <c r="AN3516" s="1"/>
      <c r="AO3516" s="1" t="s">
        <v>98</v>
      </c>
      <c r="AP3516" s="1" t="s">
        <v>98</v>
      </c>
      <c r="AQ3516" s="1"/>
      <c r="AR3516" s="1"/>
      <c r="AS3516" s="1" t="s">
        <v>439</v>
      </c>
      <c r="AT3516" s="1" t="s">
        <v>56150</v>
      </c>
      <c r="AU3516" s="1">
        <v>42219</v>
      </c>
      <c r="AV3516" s="1">
        <v>43234</v>
      </c>
      <c r="AW3516" s="1">
        <v>84.85</v>
      </c>
      <c r="AX3516" s="1"/>
      <c r="AY3516" s="1" t="s">
        <v>7595</v>
      </c>
      <c r="AZ3516" s="1" t="s">
        <v>56151</v>
      </c>
      <c r="BA3516" s="1"/>
      <c r="BB3516" s="1"/>
      <c r="BC3516" s="1">
        <v>43314</v>
      </c>
      <c r="BD3516" s="1">
        <v>44454</v>
      </c>
      <c r="BE3516" s="1">
        <v>86.9</v>
      </c>
      <c r="BF3516" s="1">
        <v>8.69</v>
      </c>
      <c r="BG3516" s="1"/>
      <c r="BH3516" s="1"/>
      <c r="BI3516" s="1"/>
      <c r="BJ3516" s="1"/>
      <c r="BK3516" s="1" t="s">
        <v>98</v>
      </c>
      <c r="BL3516" s="1" t="s">
        <v>98</v>
      </c>
      <c r="BM3516" s="1" t="s">
        <v>98</v>
      </c>
      <c r="BN3516" s="1" t="s">
        <v>98</v>
      </c>
      <c r="BO3516" s="1" t="s">
        <v>369</v>
      </c>
      <c r="BP3516" s="1"/>
      <c r="BQ3516" s="1"/>
      <c r="BR3516" s="1" t="s">
        <v>56152</v>
      </c>
      <c r="BS3516" s="1">
        <v>7</v>
      </c>
      <c r="BT3516" s="1"/>
      <c r="BU3516" s="1" t="str">
        <f>HYPERLINK("https://nconnect.nicmar.ac.in/storage/profile/2021-2023_AP21301_385912.jpg","Download")</f>
        <v>0</v>
      </c>
      <c r="BV3516" s="3"/>
      <c r="BW3516" s="3"/>
    </row>
    <row r="3517" spans="1:75">
      <c r="A3517" s="1" t="s">
        <v>51340</v>
      </c>
      <c r="B3517" s="1" t="s">
        <v>51341</v>
      </c>
      <c r="C3517" s="1" t="s">
        <v>56153</v>
      </c>
      <c r="D3517" s="1" t="s">
        <v>43697</v>
      </c>
      <c r="E3517" s="1" t="s">
        <v>1075</v>
      </c>
      <c r="F3517" s="1" t="s">
        <v>56154</v>
      </c>
      <c r="G3517" s="1" t="s">
        <v>56155</v>
      </c>
      <c r="H3517" s="1" t="s">
        <v>56156</v>
      </c>
      <c r="I3517" s="1" t="s">
        <v>56157</v>
      </c>
      <c r="J3517" s="1">
        <v>9552255224</v>
      </c>
      <c r="K3517" s="1" t="s">
        <v>84</v>
      </c>
      <c r="L3517" s="1" t="s">
        <v>3671</v>
      </c>
      <c r="M3517" s="1" t="s">
        <v>86</v>
      </c>
      <c r="N3517" s="1" t="s">
        <v>6052</v>
      </c>
      <c r="O3517" s="1"/>
      <c r="P3517" s="1" t="s">
        <v>507</v>
      </c>
      <c r="Q3517" s="1" t="s">
        <v>56158</v>
      </c>
      <c r="R3517" s="1" t="s">
        <v>56159</v>
      </c>
      <c r="S3517" s="1">
        <v>9850100600</v>
      </c>
      <c r="T3517" s="1" t="s">
        <v>839</v>
      </c>
      <c r="U3517" s="1" t="s">
        <v>56160</v>
      </c>
      <c r="V3517" s="1">
        <v>9850929292</v>
      </c>
      <c r="W3517" s="1" t="s">
        <v>161</v>
      </c>
      <c r="X3517" s="1" t="s">
        <v>56161</v>
      </c>
      <c r="Y3517" s="1" t="s">
        <v>910</v>
      </c>
      <c r="Z3517" s="1" t="s">
        <v>97</v>
      </c>
      <c r="AA3517" s="1" t="s">
        <v>56162</v>
      </c>
      <c r="AB3517" s="1" t="s">
        <v>196</v>
      </c>
      <c r="AC3517" s="1" t="s">
        <v>97</v>
      </c>
      <c r="AD3517" s="1" t="s">
        <v>98</v>
      </c>
      <c r="AE3517" s="1" t="s">
        <v>98</v>
      </c>
      <c r="AF3517" s="1" t="s">
        <v>56163</v>
      </c>
      <c r="AG3517" s="1" t="s">
        <v>51712</v>
      </c>
      <c r="AH3517" s="1">
        <v>41000</v>
      </c>
      <c r="AI3517" s="1">
        <v>41333</v>
      </c>
      <c r="AJ3517" s="1">
        <v>81.27</v>
      </c>
      <c r="AK3517" s="1"/>
      <c r="AL3517" s="1" t="s">
        <v>56164</v>
      </c>
      <c r="AM3517" s="1" t="s">
        <v>51712</v>
      </c>
      <c r="AN3517" s="1"/>
      <c r="AO3517" s="1">
        <v>41491</v>
      </c>
      <c r="AP3517" s="1">
        <v>42055</v>
      </c>
      <c r="AQ3517" s="1">
        <v>66.92</v>
      </c>
      <c r="AR3517" s="1"/>
      <c r="AS3517" s="1"/>
      <c r="AT3517" s="1"/>
      <c r="AU3517" s="1" t="s">
        <v>98</v>
      </c>
      <c r="AV3517" s="1" t="s">
        <v>98</v>
      </c>
      <c r="AW3517" s="1" t="s">
        <v>98</v>
      </c>
      <c r="AX3517" s="1" t="s">
        <v>98</v>
      </c>
      <c r="AY3517" s="1" t="s">
        <v>366</v>
      </c>
      <c r="AZ3517" s="1" t="s">
        <v>56165</v>
      </c>
      <c r="BA3517" s="1"/>
      <c r="BB3517" s="1"/>
      <c r="BC3517" s="1">
        <v>42221</v>
      </c>
      <c r="BD3517" s="1">
        <v>43624</v>
      </c>
      <c r="BE3517" s="1">
        <v>57.75</v>
      </c>
      <c r="BF3517" s="1">
        <v>6.29</v>
      </c>
      <c r="BG3517" s="1"/>
      <c r="BH3517" s="1"/>
      <c r="BI3517" s="1"/>
      <c r="BJ3517" s="1"/>
      <c r="BK3517" s="1" t="s">
        <v>98</v>
      </c>
      <c r="BL3517" s="1" t="s">
        <v>98</v>
      </c>
      <c r="BM3517" s="1" t="s">
        <v>98</v>
      </c>
      <c r="BN3517" s="1" t="s">
        <v>98</v>
      </c>
      <c r="BO3517" s="1" t="s">
        <v>369</v>
      </c>
      <c r="BP3517" s="1" t="s">
        <v>56166</v>
      </c>
      <c r="BQ3517" s="1" t="s">
        <v>8862</v>
      </c>
      <c r="BR3517" s="1" t="s">
        <v>56167</v>
      </c>
      <c r="BS3517" s="1">
        <v>42</v>
      </c>
      <c r="BT3517" s="1"/>
      <c r="BU3517" s="1" t="str">
        <f>HYPERLINK("https://nconnect.nicmar.ac.in/storage/profile/2021-2023_AP21302_752381.jpg","Download")</f>
        <v>0</v>
      </c>
      <c r="BV3517" s="3"/>
      <c r="BW3517" s="3"/>
    </row>
    <row r="3518" spans="1:75">
      <c r="A3518" s="1" t="s">
        <v>51340</v>
      </c>
      <c r="B3518" s="1" t="s">
        <v>51341</v>
      </c>
      <c r="C3518" s="1" t="s">
        <v>56168</v>
      </c>
      <c r="D3518" s="1" t="s">
        <v>56169</v>
      </c>
      <c r="E3518" s="1"/>
      <c r="F3518" s="1" t="s">
        <v>5772</v>
      </c>
      <c r="G3518" s="1" t="s">
        <v>56170</v>
      </c>
      <c r="H3518" s="1" t="s">
        <v>56171</v>
      </c>
      <c r="I3518" s="1" t="s">
        <v>56172</v>
      </c>
      <c r="J3518" s="1">
        <v>9943803600</v>
      </c>
      <c r="K3518" s="1" t="s">
        <v>84</v>
      </c>
      <c r="L3518" s="1" t="s">
        <v>25637</v>
      </c>
      <c r="M3518" s="1" t="s">
        <v>86</v>
      </c>
      <c r="N3518" s="1" t="s">
        <v>11611</v>
      </c>
      <c r="O3518" s="1"/>
      <c r="P3518" s="1" t="s">
        <v>455</v>
      </c>
      <c r="Q3518" s="1" t="s">
        <v>56173</v>
      </c>
      <c r="R3518" s="1" t="s">
        <v>56174</v>
      </c>
      <c r="S3518" s="1">
        <v>9486042022</v>
      </c>
      <c r="T3518" s="1" t="s">
        <v>539</v>
      </c>
      <c r="U3518" s="1" t="s">
        <v>56175</v>
      </c>
      <c r="V3518" s="1">
        <v>9489327235</v>
      </c>
      <c r="W3518" s="1" t="s">
        <v>94</v>
      </c>
      <c r="X3518" s="1" t="s">
        <v>56176</v>
      </c>
      <c r="Y3518" s="1" t="s">
        <v>9174</v>
      </c>
      <c r="Z3518" s="1" t="s">
        <v>570</v>
      </c>
      <c r="AA3518" s="1" t="s">
        <v>56176</v>
      </c>
      <c r="AB3518" s="1" t="s">
        <v>9174</v>
      </c>
      <c r="AC3518" s="1" t="s">
        <v>570</v>
      </c>
      <c r="AD3518" s="1" t="s">
        <v>98</v>
      </c>
      <c r="AE3518" s="1" t="s">
        <v>98</v>
      </c>
      <c r="AF3518" s="1" t="s">
        <v>56177</v>
      </c>
      <c r="AG3518" s="1" t="s">
        <v>52902</v>
      </c>
      <c r="AH3518" s="1" t="s">
        <v>101</v>
      </c>
      <c r="AI3518" s="1" t="s">
        <v>136</v>
      </c>
      <c r="AJ3518" s="1">
        <v>95.6</v>
      </c>
      <c r="AK3518" s="1">
        <v>9.56</v>
      </c>
      <c r="AL3518" s="1" t="s">
        <v>56178</v>
      </c>
      <c r="AM3518" s="1" t="s">
        <v>52902</v>
      </c>
      <c r="AN3518" s="1"/>
      <c r="AO3518" s="1" t="s">
        <v>167</v>
      </c>
      <c r="AP3518" s="1" t="s">
        <v>573</v>
      </c>
      <c r="AQ3518" s="1">
        <v>91.75</v>
      </c>
      <c r="AR3518" s="1">
        <v>9.17</v>
      </c>
      <c r="AS3518" s="1"/>
      <c r="AT3518" s="1"/>
      <c r="AU3518" s="1" t="s">
        <v>98</v>
      </c>
      <c r="AV3518" s="1" t="s">
        <v>98</v>
      </c>
      <c r="AW3518" s="1"/>
      <c r="AX3518" s="1"/>
      <c r="AY3518" s="1" t="s">
        <v>576</v>
      </c>
      <c r="AZ3518" s="1" t="s">
        <v>56179</v>
      </c>
      <c r="BA3518" s="1"/>
      <c r="BB3518" s="1"/>
      <c r="BC3518" s="1">
        <v>42949</v>
      </c>
      <c r="BD3518" s="1">
        <v>44288</v>
      </c>
      <c r="BE3518" s="1">
        <v>72.6</v>
      </c>
      <c r="BF3518" s="1">
        <v>7.26</v>
      </c>
      <c r="BG3518" s="1"/>
      <c r="BH3518" s="1"/>
      <c r="BI3518" s="1"/>
      <c r="BJ3518" s="1"/>
      <c r="BK3518" s="1" t="s">
        <v>98</v>
      </c>
      <c r="BL3518" s="1" t="s">
        <v>98</v>
      </c>
      <c r="BM3518" s="1" t="s">
        <v>98</v>
      </c>
      <c r="BN3518" s="1" t="s">
        <v>98</v>
      </c>
      <c r="BO3518" s="1" t="s">
        <v>47897</v>
      </c>
      <c r="BP3518" s="1"/>
      <c r="BQ3518" s="1"/>
      <c r="BR3518" s="1" t="s">
        <v>56180</v>
      </c>
      <c r="BS3518" s="1">
        <v>15</v>
      </c>
      <c r="BT3518" s="1"/>
      <c r="BU3518" s="1" t="str">
        <f>HYPERLINK("https://nconnect.nicmar.ac.in/storage/profile/2021-2023_AP21303_271935.jpg","Download")</f>
        <v>0</v>
      </c>
      <c r="BV3518" s="3"/>
      <c r="BW3518" s="3"/>
    </row>
    <row r="3519" spans="1:75">
      <c r="A3519" s="1" t="s">
        <v>51340</v>
      </c>
      <c r="B3519" s="1" t="s">
        <v>51341</v>
      </c>
      <c r="C3519" s="1" t="s">
        <v>56181</v>
      </c>
      <c r="D3519" s="1" t="s">
        <v>960</v>
      </c>
      <c r="E3519" s="1"/>
      <c r="F3519" s="1" t="s">
        <v>961</v>
      </c>
      <c r="G3519" s="1" t="s">
        <v>962</v>
      </c>
      <c r="H3519" s="1" t="s">
        <v>56182</v>
      </c>
      <c r="I3519" s="1" t="s">
        <v>56183</v>
      </c>
      <c r="J3519" s="1">
        <v>9872575039</v>
      </c>
      <c r="K3519" s="1" t="s">
        <v>84</v>
      </c>
      <c r="L3519" s="1" t="s">
        <v>7039</v>
      </c>
      <c r="M3519" s="1" t="s">
        <v>86</v>
      </c>
      <c r="N3519" s="1" t="s">
        <v>246</v>
      </c>
      <c r="O3519" s="1"/>
      <c r="P3519" s="1" t="s">
        <v>507</v>
      </c>
      <c r="Q3519" s="1" t="s">
        <v>56184</v>
      </c>
      <c r="R3519" s="1" t="s">
        <v>56185</v>
      </c>
      <c r="S3519" s="1">
        <v>9818051232</v>
      </c>
      <c r="T3519" s="1" t="s">
        <v>1620</v>
      </c>
      <c r="U3519" s="1" t="s">
        <v>56186</v>
      </c>
      <c r="V3519" s="1">
        <v>9910655685</v>
      </c>
      <c r="W3519" s="1" t="s">
        <v>541</v>
      </c>
      <c r="X3519" s="1" t="s">
        <v>56187</v>
      </c>
      <c r="Y3519" s="1" t="s">
        <v>56188</v>
      </c>
      <c r="Z3519" s="1" t="s">
        <v>1700</v>
      </c>
      <c r="AA3519" s="1" t="s">
        <v>56187</v>
      </c>
      <c r="AB3519" s="1" t="s">
        <v>56188</v>
      </c>
      <c r="AC3519" s="1" t="s">
        <v>1700</v>
      </c>
      <c r="AD3519" s="1" t="s">
        <v>98</v>
      </c>
      <c r="AE3519" s="1" t="s">
        <v>98</v>
      </c>
      <c r="AF3519" s="1" t="s">
        <v>31436</v>
      </c>
      <c r="AG3519" s="1" t="s">
        <v>312</v>
      </c>
      <c r="AH3519" s="1" t="s">
        <v>3421</v>
      </c>
      <c r="AI3519" s="1" t="s">
        <v>1262</v>
      </c>
      <c r="AJ3519" s="1">
        <v>81.7</v>
      </c>
      <c r="AK3519" s="1">
        <v>8.6</v>
      </c>
      <c r="AL3519" s="1" t="s">
        <v>31436</v>
      </c>
      <c r="AM3519" s="1" t="s">
        <v>312</v>
      </c>
      <c r="AN3519" s="1"/>
      <c r="AO3519" s="1" t="s">
        <v>1110</v>
      </c>
      <c r="AP3519" s="1" t="s">
        <v>627</v>
      </c>
      <c r="AQ3519" s="1">
        <v>77.2</v>
      </c>
      <c r="AR3519" s="1">
        <v>0</v>
      </c>
      <c r="AS3519" s="1"/>
      <c r="AT3519" s="1"/>
      <c r="AU3519" s="1" t="s">
        <v>98</v>
      </c>
      <c r="AV3519" s="1" t="s">
        <v>98</v>
      </c>
      <c r="AW3519" s="1"/>
      <c r="AX3519" s="1"/>
      <c r="AY3519" s="1" t="s">
        <v>978</v>
      </c>
      <c r="AZ3519" s="1" t="s">
        <v>56189</v>
      </c>
      <c r="BA3519" s="1"/>
      <c r="BB3519" s="1"/>
      <c r="BC3519" s="1" t="s">
        <v>139</v>
      </c>
      <c r="BD3519" s="1" t="s">
        <v>1040</v>
      </c>
      <c r="BE3519" s="1">
        <v>76</v>
      </c>
      <c r="BF3519" s="1">
        <v>7.6</v>
      </c>
      <c r="BG3519" s="1"/>
      <c r="BH3519" s="1"/>
      <c r="BI3519" s="1"/>
      <c r="BJ3519" s="1"/>
      <c r="BK3519" s="1" t="s">
        <v>98</v>
      </c>
      <c r="BL3519" s="1" t="s">
        <v>98</v>
      </c>
      <c r="BM3519" s="1" t="s">
        <v>98</v>
      </c>
      <c r="BN3519" s="1" t="s">
        <v>98</v>
      </c>
      <c r="BO3519" s="1" t="s">
        <v>1114</v>
      </c>
      <c r="BP3519" s="1" t="s">
        <v>56190</v>
      </c>
      <c r="BQ3519" s="1" t="s">
        <v>3404</v>
      </c>
      <c r="BR3519" s="1" t="s">
        <v>56191</v>
      </c>
      <c r="BS3519" s="1">
        <v>10</v>
      </c>
      <c r="BT3519" s="1"/>
      <c r="BU3519" s="1" t="str">
        <f>HYPERLINK("https://nconnect.nicmar.ac.in/storage/profile/2021-2023_AP21304_843657.jpg","Download")</f>
        <v>0</v>
      </c>
      <c r="BV3519" s="3"/>
      <c r="BW3519" s="3"/>
    </row>
    <row r="3520" spans="1:75">
      <c r="A3520" s="1" t="s">
        <v>51340</v>
      </c>
      <c r="B3520" s="1" t="s">
        <v>51341</v>
      </c>
      <c r="C3520" s="1" t="s">
        <v>56192</v>
      </c>
      <c r="D3520" s="1" t="s">
        <v>56193</v>
      </c>
      <c r="E3520" s="1"/>
      <c r="F3520" s="1" t="s">
        <v>1964</v>
      </c>
      <c r="G3520" s="1" t="s">
        <v>56194</v>
      </c>
      <c r="H3520" s="1" t="s">
        <v>56195</v>
      </c>
      <c r="I3520" s="1" t="s">
        <v>56196</v>
      </c>
      <c r="J3520" s="1">
        <v>9438331828</v>
      </c>
      <c r="K3520" s="1" t="s">
        <v>153</v>
      </c>
      <c r="L3520" s="1" t="s">
        <v>56197</v>
      </c>
      <c r="M3520" s="1" t="s">
        <v>86</v>
      </c>
      <c r="N3520" s="1" t="s">
        <v>56198</v>
      </c>
      <c r="O3520" s="1"/>
      <c r="P3520" s="1" t="s">
        <v>455</v>
      </c>
      <c r="Q3520" s="1" t="s">
        <v>56199</v>
      </c>
      <c r="R3520" s="1" t="s">
        <v>56200</v>
      </c>
      <c r="S3520" s="1">
        <v>9040919686</v>
      </c>
      <c r="T3520" s="1" t="s">
        <v>56201</v>
      </c>
      <c r="U3520" s="1" t="s">
        <v>56202</v>
      </c>
      <c r="V3520" s="1">
        <v>8763311107</v>
      </c>
      <c r="W3520" s="1" t="s">
        <v>94</v>
      </c>
      <c r="X3520" s="1" t="s">
        <v>56203</v>
      </c>
      <c r="Y3520" s="1" t="s">
        <v>1259</v>
      </c>
      <c r="Z3520" s="1" t="s">
        <v>865</v>
      </c>
      <c r="AA3520" s="1" t="s">
        <v>56203</v>
      </c>
      <c r="AB3520" s="1" t="s">
        <v>1259</v>
      </c>
      <c r="AC3520" s="1" t="s">
        <v>865</v>
      </c>
      <c r="AD3520" s="1" t="s">
        <v>98</v>
      </c>
      <c r="AE3520" s="1" t="s">
        <v>98</v>
      </c>
      <c r="AF3520" s="1" t="s">
        <v>24232</v>
      </c>
      <c r="AG3520" s="1" t="s">
        <v>9583</v>
      </c>
      <c r="AH3520" s="1">
        <v>40695</v>
      </c>
      <c r="AI3520" s="1">
        <v>41053</v>
      </c>
      <c r="AJ3520" s="1">
        <v>89.3</v>
      </c>
      <c r="AK3520" s="1">
        <v>9.4</v>
      </c>
      <c r="AL3520" s="1" t="s">
        <v>24232</v>
      </c>
      <c r="AM3520" s="1" t="s">
        <v>9583</v>
      </c>
      <c r="AN3520" s="1"/>
      <c r="AO3520" s="1">
        <v>41365</v>
      </c>
      <c r="AP3520" s="1">
        <v>41787</v>
      </c>
      <c r="AQ3520" s="1">
        <v>67</v>
      </c>
      <c r="AR3520" s="1"/>
      <c r="AS3520" s="1"/>
      <c r="AT3520" s="1"/>
      <c r="AU3520" s="1" t="s">
        <v>98</v>
      </c>
      <c r="AV3520" s="1" t="s">
        <v>98</v>
      </c>
      <c r="AW3520" s="1" t="s">
        <v>98</v>
      </c>
      <c r="AX3520" s="1" t="s">
        <v>98</v>
      </c>
      <c r="AY3520" s="1" t="s">
        <v>1584</v>
      </c>
      <c r="AZ3520" s="1" t="s">
        <v>1584</v>
      </c>
      <c r="BA3520" s="1"/>
      <c r="BB3520" s="1"/>
      <c r="BC3520" s="1">
        <v>41883</v>
      </c>
      <c r="BD3520" s="1">
        <v>43628</v>
      </c>
      <c r="BE3520" s="1">
        <v>77.1</v>
      </c>
      <c r="BF3520" s="1">
        <v>8.21</v>
      </c>
      <c r="BG3520" s="1"/>
      <c r="BH3520" s="1"/>
      <c r="BI3520" s="1"/>
      <c r="BJ3520" s="1"/>
      <c r="BK3520" s="1" t="s">
        <v>98</v>
      </c>
      <c r="BL3520" s="1" t="s">
        <v>98</v>
      </c>
      <c r="BM3520" s="1" t="s">
        <v>98</v>
      </c>
      <c r="BN3520" s="1" t="s">
        <v>98</v>
      </c>
      <c r="BO3520" s="1" t="s">
        <v>369</v>
      </c>
      <c r="BP3520" s="1" t="s">
        <v>56204</v>
      </c>
      <c r="BQ3520" s="1" t="s">
        <v>9606</v>
      </c>
      <c r="BR3520" s="1" t="s">
        <v>56205</v>
      </c>
      <c r="BS3520" s="1">
        <v>57</v>
      </c>
      <c r="BT3520" s="1"/>
      <c r="BU3520" s="1" t="str">
        <f>HYPERLINK("https://nconnect.nicmar.ac.in/storage/profile/2021-2023_AP21305_413869.jpg","Download")</f>
        <v>0</v>
      </c>
      <c r="BV3520" s="3"/>
      <c r="BW3520" s="3"/>
    </row>
    <row r="3521" spans="1:75">
      <c r="A3521" s="1" t="s">
        <v>51340</v>
      </c>
      <c r="B3521" s="1" t="s">
        <v>51341</v>
      </c>
      <c r="C3521" s="1" t="s">
        <v>56206</v>
      </c>
      <c r="D3521" s="1" t="s">
        <v>1294</v>
      </c>
      <c r="E3521" s="1" t="s">
        <v>2098</v>
      </c>
      <c r="F3521" s="1" t="s">
        <v>56207</v>
      </c>
      <c r="G3521" s="1" t="s">
        <v>56208</v>
      </c>
      <c r="H3521" s="1" t="s">
        <v>56209</v>
      </c>
      <c r="I3521" s="1" t="s">
        <v>56210</v>
      </c>
      <c r="J3521" s="1">
        <v>8485079079</v>
      </c>
      <c r="K3521" s="1" t="s">
        <v>84</v>
      </c>
      <c r="L3521" s="1" t="s">
        <v>52339</v>
      </c>
      <c r="M3521" s="1" t="s">
        <v>86</v>
      </c>
      <c r="N3521" s="1" t="s">
        <v>1163</v>
      </c>
      <c r="O3521" s="1"/>
      <c r="P3521" s="1" t="s">
        <v>455</v>
      </c>
      <c r="Q3521" s="1" t="s">
        <v>56211</v>
      </c>
      <c r="R3521" s="1" t="s">
        <v>56212</v>
      </c>
      <c r="S3521" s="1">
        <v>9623330701</v>
      </c>
      <c r="T3521" s="1" t="s">
        <v>56213</v>
      </c>
      <c r="U3521" s="1" t="s">
        <v>56214</v>
      </c>
      <c r="V3521" s="1">
        <v>7588590034</v>
      </c>
      <c r="W3521" s="1" t="s">
        <v>94</v>
      </c>
      <c r="X3521" s="1" t="s">
        <v>56215</v>
      </c>
      <c r="Y3521" s="1" t="s">
        <v>56216</v>
      </c>
      <c r="Z3521" s="1" t="s">
        <v>97</v>
      </c>
      <c r="AA3521" s="1" t="s">
        <v>56217</v>
      </c>
      <c r="AB3521" s="1" t="s">
        <v>56216</v>
      </c>
      <c r="AC3521" s="1" t="s">
        <v>97</v>
      </c>
      <c r="AD3521" s="1" t="s">
        <v>98</v>
      </c>
      <c r="AE3521" s="1" t="s">
        <v>98</v>
      </c>
      <c r="AF3521" s="1" t="s">
        <v>56218</v>
      </c>
      <c r="AG3521" s="1" t="s">
        <v>2745</v>
      </c>
      <c r="AH3521" s="1">
        <v>40355</v>
      </c>
      <c r="AI3521" s="1">
        <v>40632</v>
      </c>
      <c r="AJ3521" s="1">
        <v>88.73</v>
      </c>
      <c r="AK3521" s="1"/>
      <c r="AL3521" s="1" t="s">
        <v>56219</v>
      </c>
      <c r="AM3521" s="1" t="s">
        <v>2745</v>
      </c>
      <c r="AN3521" s="1"/>
      <c r="AO3521" s="1">
        <v>41080</v>
      </c>
      <c r="AP3521" s="1">
        <v>41331</v>
      </c>
      <c r="AQ3521" s="1">
        <v>53.33</v>
      </c>
      <c r="AR3521" s="1"/>
      <c r="AS3521" s="1"/>
      <c r="AT3521" s="1"/>
      <c r="AU3521" s="1" t="s">
        <v>98</v>
      </c>
      <c r="AV3521" s="1" t="s">
        <v>98</v>
      </c>
      <c r="AW3521" s="1" t="s">
        <v>98</v>
      </c>
      <c r="AX3521" s="1" t="s">
        <v>98</v>
      </c>
      <c r="AY3521" s="1" t="s">
        <v>56220</v>
      </c>
      <c r="AZ3521" s="1" t="s">
        <v>30578</v>
      </c>
      <c r="BA3521" s="1"/>
      <c r="BB3521" s="1"/>
      <c r="BC3521" s="1">
        <v>41453</v>
      </c>
      <c r="BD3521" s="1">
        <v>43983</v>
      </c>
      <c r="BE3521" s="1">
        <v>60.4</v>
      </c>
      <c r="BF3521" s="1">
        <v>6.79</v>
      </c>
      <c r="BG3521" s="1"/>
      <c r="BH3521" s="1"/>
      <c r="BI3521" s="1"/>
      <c r="BJ3521" s="1"/>
      <c r="BK3521" s="1" t="s">
        <v>98</v>
      </c>
      <c r="BL3521" s="1" t="s">
        <v>98</v>
      </c>
      <c r="BM3521" s="1" t="s">
        <v>98</v>
      </c>
      <c r="BN3521" s="1" t="s">
        <v>98</v>
      </c>
      <c r="BO3521" s="1" t="s">
        <v>56221</v>
      </c>
      <c r="BP3521" s="1"/>
      <c r="BQ3521" s="1"/>
      <c r="BR3521" s="1" t="s">
        <v>56222</v>
      </c>
      <c r="BS3521" s="1">
        <v>39</v>
      </c>
      <c r="BT3521" s="1"/>
      <c r="BU3521" s="1" t="str">
        <f>HYPERLINK("https://nconnect.nicmar.ac.in/storage/profile/2021-2023_AP21306_892573.jpg","Download")</f>
        <v>0</v>
      </c>
      <c r="BV3521" s="3"/>
      <c r="BW3521" s="3"/>
    </row>
    <row r="3522" spans="1:75">
      <c r="A3522" s="1" t="s">
        <v>51340</v>
      </c>
      <c r="B3522" s="1" t="s">
        <v>51341</v>
      </c>
      <c r="C3522" s="1" t="s">
        <v>56223</v>
      </c>
      <c r="D3522" s="1" t="s">
        <v>960</v>
      </c>
      <c r="E3522" s="1" t="s">
        <v>35994</v>
      </c>
      <c r="F3522" s="1" t="s">
        <v>56224</v>
      </c>
      <c r="G3522" s="1" t="s">
        <v>56225</v>
      </c>
      <c r="H3522" s="1" t="s">
        <v>56226</v>
      </c>
      <c r="I3522" s="1" t="s">
        <v>56227</v>
      </c>
      <c r="J3522" s="1">
        <v>9822357595</v>
      </c>
      <c r="K3522" s="1" t="s">
        <v>84</v>
      </c>
      <c r="L3522" s="1" t="s">
        <v>56228</v>
      </c>
      <c r="M3522" s="1" t="s">
        <v>86</v>
      </c>
      <c r="N3522" s="1" t="s">
        <v>1163</v>
      </c>
      <c r="O3522" s="1"/>
      <c r="P3522" s="1" t="s">
        <v>507</v>
      </c>
      <c r="Q3522" s="1" t="s">
        <v>56229</v>
      </c>
      <c r="R3522" s="1" t="s">
        <v>56230</v>
      </c>
      <c r="S3522" s="1">
        <v>9420043880</v>
      </c>
      <c r="T3522" s="1" t="s">
        <v>926</v>
      </c>
      <c r="U3522" s="1" t="s">
        <v>56231</v>
      </c>
      <c r="V3522" s="1">
        <v>9881415800</v>
      </c>
      <c r="W3522" s="1" t="s">
        <v>94</v>
      </c>
      <c r="X3522" s="1" t="s">
        <v>56232</v>
      </c>
      <c r="Y3522" s="1" t="s">
        <v>55814</v>
      </c>
      <c r="Z3522" s="1" t="s">
        <v>97</v>
      </c>
      <c r="AA3522" s="1" t="s">
        <v>56232</v>
      </c>
      <c r="AB3522" s="1" t="s">
        <v>55814</v>
      </c>
      <c r="AC3522" s="1" t="s">
        <v>97</v>
      </c>
      <c r="AD3522" s="1" t="s">
        <v>98</v>
      </c>
      <c r="AE3522" s="1" t="s">
        <v>98</v>
      </c>
      <c r="AF3522" s="1" t="s">
        <v>56233</v>
      </c>
      <c r="AG3522" s="1" t="s">
        <v>1968</v>
      </c>
      <c r="AH3522" s="1" t="s">
        <v>1583</v>
      </c>
      <c r="AI3522" s="1" t="s">
        <v>101</v>
      </c>
      <c r="AJ3522" s="1">
        <v>80.6</v>
      </c>
      <c r="AK3522" s="1"/>
      <c r="AL3522" s="1"/>
      <c r="AM3522" s="1"/>
      <c r="AN3522" s="1"/>
      <c r="AO3522" s="1" t="s">
        <v>98</v>
      </c>
      <c r="AP3522" s="1" t="s">
        <v>98</v>
      </c>
      <c r="AQ3522" s="1"/>
      <c r="AR3522" s="1"/>
      <c r="AS3522" s="1" t="s">
        <v>439</v>
      </c>
      <c r="AT3522" s="1" t="s">
        <v>56234</v>
      </c>
      <c r="AU3522" s="1" t="s">
        <v>135</v>
      </c>
      <c r="AV3522" s="1" t="s">
        <v>106</v>
      </c>
      <c r="AW3522" s="1">
        <v>70.06</v>
      </c>
      <c r="AX3522" s="1"/>
      <c r="AY3522" s="1" t="s">
        <v>366</v>
      </c>
      <c r="AZ3522" s="1" t="s">
        <v>56235</v>
      </c>
      <c r="BA3522" s="1"/>
      <c r="BB3522" s="1"/>
      <c r="BC3522" s="1" t="s">
        <v>17163</v>
      </c>
      <c r="BD3522" s="1" t="s">
        <v>549</v>
      </c>
      <c r="BE3522" s="1">
        <v>70.2</v>
      </c>
      <c r="BF3522" s="1">
        <v>7.77</v>
      </c>
      <c r="BG3522" s="1"/>
      <c r="BH3522" s="1"/>
      <c r="BI3522" s="1"/>
      <c r="BJ3522" s="1"/>
      <c r="BK3522" s="1" t="s">
        <v>98</v>
      </c>
      <c r="BL3522" s="1" t="s">
        <v>98</v>
      </c>
      <c r="BM3522" s="1" t="s">
        <v>98</v>
      </c>
      <c r="BN3522" s="1" t="s">
        <v>98</v>
      </c>
      <c r="BO3522" s="1" t="s">
        <v>1114</v>
      </c>
      <c r="BP3522" s="1"/>
      <c r="BQ3522" s="1"/>
      <c r="BR3522" s="1" t="s">
        <v>56236</v>
      </c>
      <c r="BS3522" s="1">
        <v>18</v>
      </c>
      <c r="BT3522" s="1"/>
      <c r="BU3522" s="1" t="str">
        <f>HYPERLINK("https://nconnect.nicmar.ac.in/storage/profile/2021-2023_AP21307_562374.jpg","Download")</f>
        <v>0</v>
      </c>
      <c r="BV3522" s="3"/>
      <c r="BW3522" s="3"/>
    </row>
    <row r="3523" spans="1:75">
      <c r="A3523" s="1" t="s">
        <v>51340</v>
      </c>
      <c r="B3523" s="1" t="s">
        <v>51341</v>
      </c>
      <c r="C3523" s="1" t="s">
        <v>56237</v>
      </c>
      <c r="D3523" s="1" t="s">
        <v>348</v>
      </c>
      <c r="E3523" s="1"/>
      <c r="F3523" s="1" t="s">
        <v>29690</v>
      </c>
      <c r="G3523" s="1" t="s">
        <v>56238</v>
      </c>
      <c r="H3523" s="1" t="s">
        <v>56239</v>
      </c>
      <c r="I3523" s="1" t="s">
        <v>56240</v>
      </c>
      <c r="J3523" s="1">
        <v>8851611007</v>
      </c>
      <c r="K3523" s="1" t="s">
        <v>84</v>
      </c>
      <c r="L3523" s="1" t="s">
        <v>21027</v>
      </c>
      <c r="M3523" s="1" t="s">
        <v>86</v>
      </c>
      <c r="N3523" s="1" t="s">
        <v>56241</v>
      </c>
      <c r="O3523" s="1"/>
      <c r="P3523" s="1" t="s">
        <v>481</v>
      </c>
      <c r="Q3523" s="1" t="s">
        <v>56242</v>
      </c>
      <c r="R3523" s="1" t="s">
        <v>56243</v>
      </c>
      <c r="S3523" s="1">
        <v>9313421427</v>
      </c>
      <c r="T3523" s="1" t="s">
        <v>926</v>
      </c>
      <c r="U3523" s="1" t="s">
        <v>56244</v>
      </c>
      <c r="V3523" s="1">
        <v>9210876611</v>
      </c>
      <c r="W3523" s="1" t="s">
        <v>94</v>
      </c>
      <c r="X3523" s="1" t="s">
        <v>56245</v>
      </c>
      <c r="Y3523" s="1" t="s">
        <v>54789</v>
      </c>
      <c r="Z3523" s="1" t="s">
        <v>544</v>
      </c>
      <c r="AA3523" s="1" t="s">
        <v>56245</v>
      </c>
      <c r="AB3523" s="1" t="s">
        <v>54789</v>
      </c>
      <c r="AC3523" s="1" t="s">
        <v>544</v>
      </c>
      <c r="AD3523" s="1" t="s">
        <v>98</v>
      </c>
      <c r="AE3523" s="1" t="s">
        <v>98</v>
      </c>
      <c r="AF3523" s="1" t="s">
        <v>1740</v>
      </c>
      <c r="AG3523" s="1" t="s">
        <v>312</v>
      </c>
      <c r="AH3523" s="1">
        <v>41730</v>
      </c>
      <c r="AI3523" s="1">
        <v>42152</v>
      </c>
      <c r="AJ3523" s="1">
        <v>89.3</v>
      </c>
      <c r="AK3523" s="1">
        <v>9.4</v>
      </c>
      <c r="AL3523" s="1" t="s">
        <v>1740</v>
      </c>
      <c r="AM3523" s="1" t="s">
        <v>312</v>
      </c>
      <c r="AN3523" s="1"/>
      <c r="AO3523" s="1">
        <v>42461</v>
      </c>
      <c r="AP3523" s="1">
        <v>42883</v>
      </c>
      <c r="AQ3523" s="1">
        <v>67</v>
      </c>
      <c r="AR3523" s="1"/>
      <c r="AS3523" s="1"/>
      <c r="AT3523" s="1"/>
      <c r="AU3523" s="1" t="s">
        <v>98</v>
      </c>
      <c r="AV3523" s="1" t="s">
        <v>98</v>
      </c>
      <c r="AW3523" s="1" t="s">
        <v>98</v>
      </c>
      <c r="AX3523" s="1" t="s">
        <v>98</v>
      </c>
      <c r="AY3523" s="1" t="s">
        <v>23424</v>
      </c>
      <c r="AZ3523" s="1" t="s">
        <v>23425</v>
      </c>
      <c r="BA3523" s="1"/>
      <c r="BB3523" s="1"/>
      <c r="BC3523" s="1">
        <v>42941</v>
      </c>
      <c r="BD3523" s="1">
        <v>44393</v>
      </c>
      <c r="BE3523" s="1">
        <v>85.5</v>
      </c>
      <c r="BF3523" s="1">
        <v>8.55</v>
      </c>
      <c r="BG3523" s="1"/>
      <c r="BH3523" s="1"/>
      <c r="BI3523" s="1"/>
      <c r="BJ3523" s="1"/>
      <c r="BK3523" s="1" t="s">
        <v>98</v>
      </c>
      <c r="BL3523" s="1" t="s">
        <v>98</v>
      </c>
      <c r="BM3523" s="1" t="s">
        <v>98</v>
      </c>
      <c r="BN3523" s="1" t="s">
        <v>98</v>
      </c>
      <c r="BO3523" s="1" t="s">
        <v>3308</v>
      </c>
      <c r="BP3523" s="1"/>
      <c r="BQ3523" s="1"/>
      <c r="BR3523" s="1" t="s">
        <v>56246</v>
      </c>
      <c r="BS3523" s="1">
        <v>19</v>
      </c>
      <c r="BT3523" s="1"/>
      <c r="BU3523" s="1" t="str">
        <f>HYPERLINK("https://nconnect.nicmar.ac.in/storage/profile/2021-2023_AP21308_258791.jpg","Download")</f>
        <v>0</v>
      </c>
      <c r="BV3523" s="3"/>
      <c r="BW3523" s="3"/>
    </row>
    <row r="3524" spans="1:75">
      <c r="A3524" s="1" t="s">
        <v>51340</v>
      </c>
      <c r="B3524" s="1" t="s">
        <v>51341</v>
      </c>
      <c r="C3524" s="1" t="s">
        <v>56247</v>
      </c>
      <c r="D3524" s="1" t="s">
        <v>38734</v>
      </c>
      <c r="E3524" s="1" t="s">
        <v>186</v>
      </c>
      <c r="F3524" s="1" t="s">
        <v>8195</v>
      </c>
      <c r="G3524" s="1" t="s">
        <v>56248</v>
      </c>
      <c r="H3524" s="1" t="s">
        <v>56249</v>
      </c>
      <c r="I3524" s="1" t="s">
        <v>56250</v>
      </c>
      <c r="J3524" s="1">
        <v>8423464894</v>
      </c>
      <c r="K3524" s="1" t="s">
        <v>84</v>
      </c>
      <c r="L3524" s="1" t="s">
        <v>53869</v>
      </c>
      <c r="M3524" s="1" t="s">
        <v>86</v>
      </c>
      <c r="N3524" s="1" t="s">
        <v>379</v>
      </c>
      <c r="O3524" s="1"/>
      <c r="P3524" s="1" t="s">
        <v>507</v>
      </c>
      <c r="Q3524" s="1" t="s">
        <v>56251</v>
      </c>
      <c r="R3524" s="1" t="s">
        <v>56252</v>
      </c>
      <c r="S3524" s="1">
        <v>7738044254</v>
      </c>
      <c r="T3524" s="1" t="s">
        <v>5027</v>
      </c>
      <c r="U3524" s="1" t="s">
        <v>56253</v>
      </c>
      <c r="V3524" s="1">
        <v>7738334601</v>
      </c>
      <c r="W3524" s="1" t="s">
        <v>94</v>
      </c>
      <c r="X3524" s="1" t="s">
        <v>56254</v>
      </c>
      <c r="Y3524" s="1" t="s">
        <v>1779</v>
      </c>
      <c r="Z3524" s="1" t="s">
        <v>97</v>
      </c>
      <c r="AA3524" s="1" t="s">
        <v>56255</v>
      </c>
      <c r="AB3524" s="1" t="s">
        <v>1012</v>
      </c>
      <c r="AC3524" s="1" t="s">
        <v>97</v>
      </c>
      <c r="AD3524" s="1" t="s">
        <v>98</v>
      </c>
      <c r="AE3524" s="1" t="s">
        <v>98</v>
      </c>
      <c r="AF3524" s="1" t="s">
        <v>56256</v>
      </c>
      <c r="AG3524" s="1" t="s">
        <v>56257</v>
      </c>
      <c r="AH3524" s="1" t="s">
        <v>339</v>
      </c>
      <c r="AI3524" s="1" t="s">
        <v>133</v>
      </c>
      <c r="AJ3524" s="1">
        <v>82.83</v>
      </c>
      <c r="AK3524" s="1"/>
      <c r="AL3524" s="1" t="s">
        <v>56258</v>
      </c>
      <c r="AM3524" s="1" t="s">
        <v>56257</v>
      </c>
      <c r="AN3524" s="1"/>
      <c r="AO3524" s="1" t="s">
        <v>1583</v>
      </c>
      <c r="AP3524" s="1" t="s">
        <v>1262</v>
      </c>
      <c r="AQ3524" s="1">
        <v>73.8</v>
      </c>
      <c r="AR3524" s="1"/>
      <c r="AS3524" s="1"/>
      <c r="AT3524" s="1"/>
      <c r="AU3524" s="1" t="s">
        <v>98</v>
      </c>
      <c r="AV3524" s="1" t="s">
        <v>98</v>
      </c>
      <c r="AW3524" s="1" t="s">
        <v>98</v>
      </c>
      <c r="AX3524" s="1" t="s">
        <v>98</v>
      </c>
      <c r="AY3524" s="1" t="s">
        <v>56259</v>
      </c>
      <c r="AZ3524" s="1" t="s">
        <v>56260</v>
      </c>
      <c r="BA3524" s="1"/>
      <c r="BB3524" s="1"/>
      <c r="BC3524" s="1" t="s">
        <v>105</v>
      </c>
      <c r="BD3524" s="1" t="s">
        <v>438</v>
      </c>
      <c r="BE3524" s="1">
        <v>64.7</v>
      </c>
      <c r="BF3524" s="1"/>
      <c r="BG3524" s="1"/>
      <c r="BH3524" s="1"/>
      <c r="BI3524" s="1"/>
      <c r="BJ3524" s="1"/>
      <c r="BK3524" s="1" t="s">
        <v>98</v>
      </c>
      <c r="BL3524" s="1" t="s">
        <v>98</v>
      </c>
      <c r="BM3524" s="1" t="s">
        <v>98</v>
      </c>
      <c r="BN3524" s="1" t="s">
        <v>98</v>
      </c>
      <c r="BO3524" s="1" t="s">
        <v>1114</v>
      </c>
      <c r="BP3524" s="1" t="s">
        <v>56261</v>
      </c>
      <c r="BQ3524" s="1" t="s">
        <v>3971</v>
      </c>
      <c r="BR3524" s="1" t="s">
        <v>56262</v>
      </c>
      <c r="BS3524" s="1">
        <v>8</v>
      </c>
      <c r="BT3524" s="1"/>
      <c r="BU3524" s="1" t="str">
        <f>HYPERLINK("https://nconnect.nicmar.ac.in/storage/profile/2021-2023_AP21309_482957.jpg","Download")</f>
        <v>0</v>
      </c>
      <c r="BV3524" s="3"/>
      <c r="BW3524" s="3"/>
    </row>
    <row r="3525" spans="1:75">
      <c r="A3525" s="1" t="s">
        <v>51340</v>
      </c>
      <c r="B3525" s="1" t="s">
        <v>51341</v>
      </c>
      <c r="C3525" s="1" t="s">
        <v>56263</v>
      </c>
      <c r="D3525" s="1" t="s">
        <v>1525</v>
      </c>
      <c r="E3525" s="1" t="s">
        <v>56264</v>
      </c>
      <c r="F3525" s="1" t="s">
        <v>56265</v>
      </c>
      <c r="G3525" s="1" t="s">
        <v>56266</v>
      </c>
      <c r="H3525" s="1" t="s">
        <v>56267</v>
      </c>
      <c r="I3525" s="1" t="s">
        <v>56268</v>
      </c>
      <c r="J3525" s="1">
        <v>9512588607</v>
      </c>
      <c r="K3525" s="1" t="s">
        <v>84</v>
      </c>
      <c r="L3525" s="1" t="s">
        <v>26029</v>
      </c>
      <c r="M3525" s="1" t="s">
        <v>86</v>
      </c>
      <c r="N3525" s="1" t="s">
        <v>56269</v>
      </c>
      <c r="O3525" s="1"/>
      <c r="P3525" s="1" t="s">
        <v>507</v>
      </c>
      <c r="Q3525" s="1" t="s">
        <v>56270</v>
      </c>
      <c r="R3525" s="1" t="s">
        <v>56271</v>
      </c>
      <c r="S3525" s="1">
        <v>9824106189</v>
      </c>
      <c r="T3525" s="1" t="s">
        <v>6733</v>
      </c>
      <c r="U3525" s="1" t="s">
        <v>56272</v>
      </c>
      <c r="V3525" s="1">
        <v>8866637302</v>
      </c>
      <c r="W3525" s="1" t="s">
        <v>94</v>
      </c>
      <c r="X3525" s="1" t="s">
        <v>56273</v>
      </c>
      <c r="Y3525" s="1" t="s">
        <v>5138</v>
      </c>
      <c r="Z3525" s="1" t="s">
        <v>676</v>
      </c>
      <c r="AA3525" s="1" t="s">
        <v>56273</v>
      </c>
      <c r="AB3525" s="1" t="s">
        <v>5138</v>
      </c>
      <c r="AC3525" s="1" t="s">
        <v>676</v>
      </c>
      <c r="AD3525" s="1" t="s">
        <v>98</v>
      </c>
      <c r="AE3525" s="1" t="s">
        <v>98</v>
      </c>
      <c r="AF3525" s="1" t="s">
        <v>56274</v>
      </c>
      <c r="AG3525" s="1" t="s">
        <v>8746</v>
      </c>
      <c r="AH3525" s="1" t="s">
        <v>133</v>
      </c>
      <c r="AI3525" s="1" t="s">
        <v>134</v>
      </c>
      <c r="AJ3525" s="1">
        <v>78.5</v>
      </c>
      <c r="AK3525" s="1"/>
      <c r="AL3525" s="1" t="s">
        <v>56274</v>
      </c>
      <c r="AM3525" s="1" t="s">
        <v>8746</v>
      </c>
      <c r="AN3525" s="1"/>
      <c r="AO3525" s="1" t="s">
        <v>101</v>
      </c>
      <c r="AP3525" s="1" t="s">
        <v>136</v>
      </c>
      <c r="AQ3525" s="1">
        <v>75.2</v>
      </c>
      <c r="AR3525" s="1"/>
      <c r="AS3525" s="1"/>
      <c r="AT3525" s="1"/>
      <c r="AU3525" s="1" t="s">
        <v>98</v>
      </c>
      <c r="AV3525" s="1" t="s">
        <v>98</v>
      </c>
      <c r="AW3525" s="1" t="s">
        <v>98</v>
      </c>
      <c r="AX3525" s="1" t="s">
        <v>98</v>
      </c>
      <c r="AY3525" s="1" t="s">
        <v>36178</v>
      </c>
      <c r="AZ3525" s="1" t="s">
        <v>56275</v>
      </c>
      <c r="BA3525" s="1"/>
      <c r="BB3525" s="1"/>
      <c r="BC3525" s="1" t="s">
        <v>342</v>
      </c>
      <c r="BD3525" s="1" t="s">
        <v>313</v>
      </c>
      <c r="BE3525" s="1">
        <v>73.4</v>
      </c>
      <c r="BF3525" s="1">
        <v>8.09</v>
      </c>
      <c r="BG3525" s="1"/>
      <c r="BH3525" s="1"/>
      <c r="BI3525" s="1"/>
      <c r="BJ3525" s="1"/>
      <c r="BK3525" s="1" t="s">
        <v>98</v>
      </c>
      <c r="BL3525" s="1" t="s">
        <v>98</v>
      </c>
      <c r="BM3525" s="1" t="s">
        <v>98</v>
      </c>
      <c r="BN3525" s="1" t="s">
        <v>98</v>
      </c>
      <c r="BO3525" s="1" t="s">
        <v>56276</v>
      </c>
      <c r="BP3525" s="1" t="s">
        <v>56277</v>
      </c>
      <c r="BQ3525" s="1" t="s">
        <v>9606</v>
      </c>
      <c r="BR3525" s="1" t="s">
        <v>56278</v>
      </c>
      <c r="BS3525" s="1">
        <v>23</v>
      </c>
      <c r="BT3525" s="1"/>
      <c r="BU3525" s="1" t="str">
        <f>HYPERLINK("https://nconnect.nicmar.ac.in/storage/profile/2021-2023_AP21310_342518.jpg","Download")</f>
        <v>0</v>
      </c>
      <c r="BV3525" s="3"/>
      <c r="BW3525" s="3"/>
    </row>
    <row r="3526" spans="1:75">
      <c r="A3526" s="1" t="s">
        <v>51340</v>
      </c>
      <c r="B3526" s="1" t="s">
        <v>51341</v>
      </c>
      <c r="C3526" s="1" t="s">
        <v>56279</v>
      </c>
      <c r="D3526" s="1" t="s">
        <v>4019</v>
      </c>
      <c r="E3526" s="1" t="s">
        <v>56280</v>
      </c>
      <c r="F3526" s="1" t="s">
        <v>33549</v>
      </c>
      <c r="G3526" s="1" t="s">
        <v>56281</v>
      </c>
      <c r="H3526" s="1" t="s">
        <v>56282</v>
      </c>
      <c r="I3526" s="1" t="s">
        <v>56283</v>
      </c>
      <c r="J3526" s="1">
        <v>9867940599</v>
      </c>
      <c r="K3526" s="1" t="s">
        <v>84</v>
      </c>
      <c r="L3526" s="1" t="s">
        <v>56284</v>
      </c>
      <c r="M3526" s="1" t="s">
        <v>86</v>
      </c>
      <c r="N3526" s="1" t="s">
        <v>36133</v>
      </c>
      <c r="O3526" s="1"/>
      <c r="P3526" s="1" t="s">
        <v>507</v>
      </c>
      <c r="Q3526" s="1" t="s">
        <v>56285</v>
      </c>
      <c r="R3526" s="1" t="s">
        <v>56286</v>
      </c>
      <c r="S3526" s="1">
        <v>9821718206</v>
      </c>
      <c r="T3526" s="1" t="s">
        <v>56287</v>
      </c>
      <c r="U3526" s="1" t="s">
        <v>56288</v>
      </c>
      <c r="V3526" s="1">
        <v>9821718282</v>
      </c>
      <c r="W3526" s="1" t="s">
        <v>94</v>
      </c>
      <c r="X3526" s="1" t="s">
        <v>56289</v>
      </c>
      <c r="Y3526" s="1" t="s">
        <v>52420</v>
      </c>
      <c r="Z3526" s="1" t="s">
        <v>97</v>
      </c>
      <c r="AA3526" s="1" t="s">
        <v>56289</v>
      </c>
      <c r="AB3526" s="1" t="s">
        <v>52420</v>
      </c>
      <c r="AC3526" s="1" t="s">
        <v>97</v>
      </c>
      <c r="AD3526" s="1" t="s">
        <v>98</v>
      </c>
      <c r="AE3526" s="1" t="s">
        <v>98</v>
      </c>
      <c r="AF3526" s="1" t="s">
        <v>56290</v>
      </c>
      <c r="AG3526" s="1" t="s">
        <v>5912</v>
      </c>
      <c r="AH3526" s="1" t="s">
        <v>56291</v>
      </c>
      <c r="AI3526" s="1" t="s">
        <v>52453</v>
      </c>
      <c r="AJ3526" s="1">
        <v>76.91</v>
      </c>
      <c r="AK3526" s="1"/>
      <c r="AL3526" s="1" t="s">
        <v>98</v>
      </c>
      <c r="AM3526" s="1" t="s">
        <v>98</v>
      </c>
      <c r="AN3526" s="1"/>
      <c r="AO3526" s="1"/>
      <c r="AP3526" s="1"/>
      <c r="AQ3526" s="1"/>
      <c r="AR3526" s="1"/>
      <c r="AS3526" s="1" t="s">
        <v>103</v>
      </c>
      <c r="AT3526" s="1" t="s">
        <v>43274</v>
      </c>
      <c r="AU3526" s="1" t="s">
        <v>56292</v>
      </c>
      <c r="AV3526" s="1" t="s">
        <v>56293</v>
      </c>
      <c r="AW3526" s="1">
        <v>74</v>
      </c>
      <c r="AX3526" s="1"/>
      <c r="AY3526" s="1" t="s">
        <v>258</v>
      </c>
      <c r="AZ3526" s="1" t="s">
        <v>56294</v>
      </c>
      <c r="BA3526" s="1"/>
      <c r="BB3526" s="1"/>
      <c r="BC3526" s="1" t="s">
        <v>56295</v>
      </c>
      <c r="BD3526" s="1" t="s">
        <v>56296</v>
      </c>
      <c r="BE3526" s="1">
        <v>54.82</v>
      </c>
      <c r="BF3526" s="1"/>
      <c r="BG3526" s="1"/>
      <c r="BH3526" s="1"/>
      <c r="BI3526" s="1"/>
      <c r="BJ3526" s="1"/>
      <c r="BK3526" s="1"/>
      <c r="BL3526" s="1"/>
      <c r="BM3526" s="1"/>
      <c r="BN3526" s="1"/>
      <c r="BO3526" s="1" t="s">
        <v>1114</v>
      </c>
      <c r="BP3526" s="1"/>
      <c r="BQ3526" s="1"/>
      <c r="BR3526" s="1" t="s">
        <v>56297</v>
      </c>
      <c r="BS3526" s="1">
        <v>25</v>
      </c>
      <c r="BT3526" s="1"/>
      <c r="BU3526" s="1" t="str">
        <f>HYPERLINK("https://nconnect.nicmar.ac.in/storage/profile/2021-2023_AP21311_513789.jpg","Download")</f>
        <v>0</v>
      </c>
      <c r="BV3526" s="3"/>
      <c r="BW3526" s="3"/>
    </row>
    <row r="3527" spans="1:75">
      <c r="A3527" s="1" t="s">
        <v>51340</v>
      </c>
      <c r="B3527" s="1" t="s">
        <v>51341</v>
      </c>
      <c r="C3527" s="1" t="s">
        <v>56298</v>
      </c>
      <c r="D3527" s="1" t="s">
        <v>56299</v>
      </c>
      <c r="E3527" s="1"/>
      <c r="F3527" s="1" t="s">
        <v>56300</v>
      </c>
      <c r="G3527" s="1" t="s">
        <v>56301</v>
      </c>
      <c r="H3527" s="1" t="s">
        <v>56302</v>
      </c>
      <c r="I3527" s="1" t="s">
        <v>56303</v>
      </c>
      <c r="J3527" s="1">
        <v>7331107045</v>
      </c>
      <c r="K3527" s="1" t="s">
        <v>84</v>
      </c>
      <c r="L3527" s="1" t="s">
        <v>52146</v>
      </c>
      <c r="M3527" s="1" t="s">
        <v>86</v>
      </c>
      <c r="N3527" s="1" t="s">
        <v>3458</v>
      </c>
      <c r="O3527" s="1"/>
      <c r="P3527" s="1" t="s">
        <v>507</v>
      </c>
      <c r="Q3527" s="1" t="s">
        <v>56304</v>
      </c>
      <c r="R3527" s="1" t="s">
        <v>56305</v>
      </c>
      <c r="S3527" s="1">
        <v>9603457112</v>
      </c>
      <c r="T3527" s="1" t="s">
        <v>56306</v>
      </c>
      <c r="U3527" s="1" t="s">
        <v>56307</v>
      </c>
      <c r="V3527" s="1">
        <v>9885710060</v>
      </c>
      <c r="W3527" s="1" t="s">
        <v>94</v>
      </c>
      <c r="X3527" s="1" t="s">
        <v>56308</v>
      </c>
      <c r="Y3527" s="1" t="s">
        <v>3031</v>
      </c>
      <c r="Z3527" s="1" t="s">
        <v>461</v>
      </c>
      <c r="AA3527" s="1" t="s">
        <v>56308</v>
      </c>
      <c r="AB3527" s="1" t="s">
        <v>3031</v>
      </c>
      <c r="AC3527" s="1" t="s">
        <v>461</v>
      </c>
      <c r="AD3527" s="1" t="s">
        <v>98</v>
      </c>
      <c r="AE3527" s="1" t="s">
        <v>98</v>
      </c>
      <c r="AF3527" s="1" t="s">
        <v>56309</v>
      </c>
      <c r="AG3527" s="1" t="s">
        <v>56310</v>
      </c>
      <c r="AH3527" s="1">
        <v>41072</v>
      </c>
      <c r="AI3527" s="1">
        <v>41384</v>
      </c>
      <c r="AJ3527" s="1">
        <v>90.25</v>
      </c>
      <c r="AK3527" s="1">
        <v>9.5</v>
      </c>
      <c r="AL3527" s="1" t="s">
        <v>3033</v>
      </c>
      <c r="AM3527" s="1" t="s">
        <v>8355</v>
      </c>
      <c r="AN3527" s="1"/>
      <c r="AO3527" s="1">
        <v>41435</v>
      </c>
      <c r="AP3527" s="1">
        <v>42082</v>
      </c>
      <c r="AQ3527" s="1">
        <v>94.1</v>
      </c>
      <c r="AR3527" s="1">
        <v>0</v>
      </c>
      <c r="AS3527" s="1"/>
      <c r="AT3527" s="1"/>
      <c r="AU3527" s="1" t="s">
        <v>98</v>
      </c>
      <c r="AV3527" s="1" t="s">
        <v>98</v>
      </c>
      <c r="AW3527" s="1" t="s">
        <v>98</v>
      </c>
      <c r="AX3527" s="1" t="s">
        <v>98</v>
      </c>
      <c r="AY3527" s="1" t="s">
        <v>56311</v>
      </c>
      <c r="AZ3527" s="1" t="s">
        <v>56312</v>
      </c>
      <c r="BA3527" s="1"/>
      <c r="BB3527" s="1"/>
      <c r="BC3527" s="1">
        <v>42219</v>
      </c>
      <c r="BD3527" s="1">
        <v>43635</v>
      </c>
      <c r="BE3527" s="1">
        <v>67.92</v>
      </c>
      <c r="BF3527" s="1">
        <v>0</v>
      </c>
      <c r="BG3527" s="1"/>
      <c r="BH3527" s="1"/>
      <c r="BI3527" s="1"/>
      <c r="BJ3527" s="1"/>
      <c r="BK3527" s="1" t="s">
        <v>98</v>
      </c>
      <c r="BL3527" s="1" t="s">
        <v>98</v>
      </c>
      <c r="BM3527" s="1" t="s">
        <v>98</v>
      </c>
      <c r="BN3527" s="1" t="s">
        <v>98</v>
      </c>
      <c r="BO3527" s="1" t="s">
        <v>260</v>
      </c>
      <c r="BP3527" s="1" t="s">
        <v>56313</v>
      </c>
      <c r="BQ3527" s="1" t="s">
        <v>10925</v>
      </c>
      <c r="BR3527" s="1" t="s">
        <v>56314</v>
      </c>
      <c r="BS3527" s="1">
        <v>8</v>
      </c>
      <c r="BT3527" s="1"/>
      <c r="BU3527" s="1" t="str">
        <f>HYPERLINK("https://nconnect.nicmar.ac.in/storage/profile/2021-2023_AP21312_462579.jpg","Download")</f>
        <v>0</v>
      </c>
      <c r="BV3527" s="3"/>
      <c r="BW3527" s="3"/>
    </row>
    <row r="3528" spans="1:75">
      <c r="A3528" s="1" t="s">
        <v>51340</v>
      </c>
      <c r="B3528" s="1" t="s">
        <v>51341</v>
      </c>
      <c r="C3528" s="1" t="s">
        <v>56315</v>
      </c>
      <c r="D3528" s="1" t="s">
        <v>56316</v>
      </c>
      <c r="E3528" s="1"/>
      <c r="F3528" s="1" t="s">
        <v>56317</v>
      </c>
      <c r="G3528" s="1" t="s">
        <v>56318</v>
      </c>
      <c r="H3528" s="1" t="s">
        <v>56319</v>
      </c>
      <c r="I3528" s="1" t="s">
        <v>56320</v>
      </c>
      <c r="J3528" s="1">
        <v>9633102391</v>
      </c>
      <c r="K3528" s="1" t="s">
        <v>84</v>
      </c>
      <c r="L3528" s="1" t="s">
        <v>56321</v>
      </c>
      <c r="M3528" s="1" t="s">
        <v>86</v>
      </c>
      <c r="N3528" s="1" t="s">
        <v>695</v>
      </c>
      <c r="O3528" s="1"/>
      <c r="P3528" s="1" t="s">
        <v>455</v>
      </c>
      <c r="Q3528" s="1" t="s">
        <v>56322</v>
      </c>
      <c r="R3528" s="1" t="s">
        <v>56323</v>
      </c>
      <c r="S3528" s="1">
        <v>9980137104</v>
      </c>
      <c r="T3528" s="1" t="s">
        <v>56324</v>
      </c>
      <c r="U3528" s="1" t="s">
        <v>56325</v>
      </c>
      <c r="V3528" s="1">
        <v>9846577553</v>
      </c>
      <c r="W3528" s="1" t="s">
        <v>94</v>
      </c>
      <c r="X3528" s="1" t="s">
        <v>56326</v>
      </c>
      <c r="Y3528" s="1" t="s">
        <v>56327</v>
      </c>
      <c r="Z3528" s="1" t="s">
        <v>130</v>
      </c>
      <c r="AA3528" s="1" t="s">
        <v>56326</v>
      </c>
      <c r="AB3528" s="1" t="s">
        <v>56327</v>
      </c>
      <c r="AC3528" s="1" t="s">
        <v>130</v>
      </c>
      <c r="AD3528" s="1" t="s">
        <v>98</v>
      </c>
      <c r="AE3528" s="1" t="s">
        <v>98</v>
      </c>
      <c r="AF3528" s="1" t="s">
        <v>56328</v>
      </c>
      <c r="AG3528" s="1" t="s">
        <v>3155</v>
      </c>
      <c r="AH3528" s="1">
        <v>41065</v>
      </c>
      <c r="AI3528" s="1">
        <v>41420</v>
      </c>
      <c r="AJ3528" s="1">
        <v>95</v>
      </c>
      <c r="AK3528" s="1">
        <v>10</v>
      </c>
      <c r="AL3528" s="1" t="s">
        <v>48448</v>
      </c>
      <c r="AM3528" s="1" t="s">
        <v>56329</v>
      </c>
      <c r="AN3528" s="1"/>
      <c r="AO3528" s="1">
        <v>41428</v>
      </c>
      <c r="AP3528" s="1">
        <v>42145</v>
      </c>
      <c r="AQ3528" s="1">
        <v>95.1</v>
      </c>
      <c r="AR3528" s="1">
        <v>0</v>
      </c>
      <c r="AS3528" s="1"/>
      <c r="AT3528" s="1"/>
      <c r="AU3528" s="1" t="s">
        <v>98</v>
      </c>
      <c r="AV3528" s="1" t="s">
        <v>98</v>
      </c>
      <c r="AW3528" s="1" t="s">
        <v>98</v>
      </c>
      <c r="AX3528" s="1" t="s">
        <v>98</v>
      </c>
      <c r="AY3528" s="1" t="s">
        <v>137</v>
      </c>
      <c r="AZ3528" s="1" t="s">
        <v>56330</v>
      </c>
      <c r="BA3528" s="1"/>
      <c r="BB3528" s="1"/>
      <c r="BC3528" s="1">
        <v>42598</v>
      </c>
      <c r="BD3528" s="1">
        <v>44132</v>
      </c>
      <c r="BE3528" s="1">
        <v>78.65</v>
      </c>
      <c r="BF3528" s="1">
        <v>8.24</v>
      </c>
      <c r="BG3528" s="1"/>
      <c r="BH3528" s="1"/>
      <c r="BI3528" s="1"/>
      <c r="BJ3528" s="1"/>
      <c r="BK3528" s="1" t="s">
        <v>98</v>
      </c>
      <c r="BL3528" s="1" t="s">
        <v>98</v>
      </c>
      <c r="BM3528" s="1" t="s">
        <v>98</v>
      </c>
      <c r="BN3528" s="1" t="s">
        <v>98</v>
      </c>
      <c r="BO3528" s="1" t="s">
        <v>1826</v>
      </c>
      <c r="BP3528" s="1"/>
      <c r="BQ3528" s="1"/>
      <c r="BR3528" s="1" t="s">
        <v>56331</v>
      </c>
      <c r="BS3528" s="1">
        <v>8</v>
      </c>
      <c r="BT3528" s="1"/>
      <c r="BU3528" s="1" t="str">
        <f>HYPERLINK("https://nconnect.nicmar.ac.in/storage/profile/2021-2023_AP21313_741259.jpg","Download")</f>
        <v>0</v>
      </c>
      <c r="BV3528" s="3"/>
      <c r="BW3528" s="3"/>
    </row>
    <row r="3529" spans="1:75">
      <c r="A3529" s="1" t="s">
        <v>51340</v>
      </c>
      <c r="B3529" s="1" t="s">
        <v>51341</v>
      </c>
      <c r="C3529" s="1" t="s">
        <v>56332</v>
      </c>
      <c r="D3529" s="1" t="s">
        <v>56333</v>
      </c>
      <c r="E3529" s="1" t="s">
        <v>530</v>
      </c>
      <c r="F3529" s="1" t="s">
        <v>56334</v>
      </c>
      <c r="G3529" s="1" t="s">
        <v>56335</v>
      </c>
      <c r="H3529" s="1" t="s">
        <v>56336</v>
      </c>
      <c r="I3529" s="1" t="s">
        <v>56337</v>
      </c>
      <c r="J3529" s="1">
        <v>8669842849</v>
      </c>
      <c r="K3529" s="1" t="s">
        <v>84</v>
      </c>
      <c r="L3529" s="1" t="s">
        <v>56338</v>
      </c>
      <c r="M3529" s="1" t="s">
        <v>86</v>
      </c>
      <c r="N3529" s="1" t="s">
        <v>246</v>
      </c>
      <c r="O3529" s="1"/>
      <c r="P3529" s="1" t="s">
        <v>455</v>
      </c>
      <c r="Q3529" s="1" t="s">
        <v>56339</v>
      </c>
      <c r="R3529" s="1" t="s">
        <v>56340</v>
      </c>
      <c r="S3529" s="1">
        <v>9414178785</v>
      </c>
      <c r="T3529" s="1" t="s">
        <v>56324</v>
      </c>
      <c r="U3529" s="1" t="s">
        <v>56341</v>
      </c>
      <c r="V3529" s="1">
        <v>9413944148</v>
      </c>
      <c r="W3529" s="1" t="s">
        <v>5620</v>
      </c>
      <c r="X3529" s="1" t="s">
        <v>56342</v>
      </c>
      <c r="Y3529" s="1" t="s">
        <v>21151</v>
      </c>
      <c r="Z3529" s="1" t="s">
        <v>2153</v>
      </c>
      <c r="AA3529" s="1" t="s">
        <v>56343</v>
      </c>
      <c r="AB3529" s="1" t="s">
        <v>196</v>
      </c>
      <c r="AC3529" s="1" t="s">
        <v>97</v>
      </c>
      <c r="AD3529" s="1" t="s">
        <v>98</v>
      </c>
      <c r="AE3529" s="1" t="s">
        <v>98</v>
      </c>
      <c r="AF3529" s="1" t="s">
        <v>56344</v>
      </c>
      <c r="AG3529" s="1" t="s">
        <v>312</v>
      </c>
      <c r="AH3529" s="1">
        <v>41736</v>
      </c>
      <c r="AI3529" s="1">
        <v>42152</v>
      </c>
      <c r="AJ3529" s="1">
        <v>85.5</v>
      </c>
      <c r="AK3529" s="1">
        <v>9</v>
      </c>
      <c r="AL3529" s="1" t="s">
        <v>56345</v>
      </c>
      <c r="AM3529" s="1" t="s">
        <v>312</v>
      </c>
      <c r="AN3529" s="1"/>
      <c r="AO3529" s="1">
        <v>42464</v>
      </c>
      <c r="AP3529" s="1">
        <v>42870</v>
      </c>
      <c r="AQ3529" s="1">
        <v>70.4</v>
      </c>
      <c r="AR3529" s="1"/>
      <c r="AS3529" s="1"/>
      <c r="AT3529" s="1"/>
      <c r="AU3529" s="1" t="s">
        <v>98</v>
      </c>
      <c r="AV3529" s="1" t="s">
        <v>98</v>
      </c>
      <c r="AW3529" s="1" t="s">
        <v>98</v>
      </c>
      <c r="AX3529" s="1" t="s">
        <v>98</v>
      </c>
      <c r="AY3529" s="1" t="s">
        <v>7423</v>
      </c>
      <c r="AZ3529" s="1" t="s">
        <v>47991</v>
      </c>
      <c r="BA3529" s="1"/>
      <c r="BB3529" s="1"/>
      <c r="BC3529" s="1">
        <v>42919</v>
      </c>
      <c r="BD3529" s="1">
        <v>44398</v>
      </c>
      <c r="BE3529" s="1">
        <v>65</v>
      </c>
      <c r="BF3529" s="1">
        <v>6.5</v>
      </c>
      <c r="BG3529" s="1"/>
      <c r="BH3529" s="1"/>
      <c r="BI3529" s="1"/>
      <c r="BJ3529" s="1"/>
      <c r="BK3529" s="1" t="s">
        <v>98</v>
      </c>
      <c r="BL3529" s="1" t="s">
        <v>98</v>
      </c>
      <c r="BM3529" s="1" t="s">
        <v>98</v>
      </c>
      <c r="BN3529" s="1" t="s">
        <v>98</v>
      </c>
      <c r="BO3529" s="1" t="s">
        <v>56346</v>
      </c>
      <c r="BP3529" s="1"/>
      <c r="BQ3529" s="1"/>
      <c r="BR3529" s="1" t="s">
        <v>56347</v>
      </c>
      <c r="BS3529" s="1">
        <v>37</v>
      </c>
      <c r="BT3529" s="1"/>
      <c r="BU3529" s="1" t="str">
        <f>HYPERLINK("https://nconnect.nicmar.ac.in/storage/profile/2021-2023_AP21314_169243.jpg","Download")</f>
        <v>0</v>
      </c>
      <c r="BV3529" s="3"/>
      <c r="BW3529" s="3"/>
    </row>
    <row r="3530" spans="1:75">
      <c r="A3530" s="1" t="s">
        <v>51340</v>
      </c>
      <c r="B3530" s="1" t="s">
        <v>51341</v>
      </c>
      <c r="C3530" s="1" t="s">
        <v>56348</v>
      </c>
      <c r="D3530" s="1" t="s">
        <v>7180</v>
      </c>
      <c r="E3530" s="1" t="s">
        <v>11292</v>
      </c>
      <c r="F3530" s="1" t="s">
        <v>56349</v>
      </c>
      <c r="G3530" s="1" t="s">
        <v>56350</v>
      </c>
      <c r="H3530" s="1" t="s">
        <v>56351</v>
      </c>
      <c r="I3530" s="1" t="s">
        <v>56352</v>
      </c>
      <c r="J3530" s="1">
        <v>9426657025</v>
      </c>
      <c r="K3530" s="1" t="s">
        <v>153</v>
      </c>
      <c r="L3530" s="1" t="s">
        <v>56353</v>
      </c>
      <c r="M3530" s="1" t="s">
        <v>86</v>
      </c>
      <c r="N3530" s="1" t="s">
        <v>6641</v>
      </c>
      <c r="O3530" s="1"/>
      <c r="P3530" s="1" t="s">
        <v>507</v>
      </c>
      <c r="Q3530" s="1" t="s">
        <v>56354</v>
      </c>
      <c r="R3530" s="1" t="s">
        <v>56355</v>
      </c>
      <c r="S3530" s="1">
        <v>9825130759</v>
      </c>
      <c r="T3530" s="1" t="s">
        <v>41630</v>
      </c>
      <c r="U3530" s="1" t="s">
        <v>56356</v>
      </c>
      <c r="V3530" s="1">
        <v>9913567311</v>
      </c>
      <c r="W3530" s="1" t="s">
        <v>278</v>
      </c>
      <c r="X3530" s="1" t="s">
        <v>56357</v>
      </c>
      <c r="Y3530" s="1" t="s">
        <v>5138</v>
      </c>
      <c r="Z3530" s="1" t="s">
        <v>676</v>
      </c>
      <c r="AA3530" s="1" t="s">
        <v>56357</v>
      </c>
      <c r="AB3530" s="1" t="s">
        <v>5138</v>
      </c>
      <c r="AC3530" s="1" t="s">
        <v>676</v>
      </c>
      <c r="AD3530" s="1" t="s">
        <v>98</v>
      </c>
      <c r="AE3530" s="1" t="s">
        <v>98</v>
      </c>
      <c r="AF3530" s="1" t="s">
        <v>56358</v>
      </c>
      <c r="AG3530" s="1" t="s">
        <v>10192</v>
      </c>
      <c r="AH3530" s="1" t="s">
        <v>1213</v>
      </c>
      <c r="AI3530" s="1" t="s">
        <v>101</v>
      </c>
      <c r="AJ3530" s="1">
        <v>75</v>
      </c>
      <c r="AK3530" s="1">
        <v>0</v>
      </c>
      <c r="AL3530" s="1" t="s">
        <v>56358</v>
      </c>
      <c r="AM3530" s="1" t="s">
        <v>10192</v>
      </c>
      <c r="AN3530" s="1"/>
      <c r="AO3530" s="1" t="s">
        <v>166</v>
      </c>
      <c r="AP3530" s="1" t="s">
        <v>627</v>
      </c>
      <c r="AQ3530" s="1">
        <v>58.15</v>
      </c>
      <c r="AR3530" s="1">
        <v>0</v>
      </c>
      <c r="AS3530" s="1"/>
      <c r="AT3530" s="1"/>
      <c r="AU3530" s="1" t="s">
        <v>98</v>
      </c>
      <c r="AV3530" s="1" t="s">
        <v>98</v>
      </c>
      <c r="AW3530" s="1" t="s">
        <v>98</v>
      </c>
      <c r="AX3530" s="1" t="s">
        <v>98</v>
      </c>
      <c r="AY3530" s="1" t="s">
        <v>56359</v>
      </c>
      <c r="AZ3530" s="1" t="s">
        <v>56360</v>
      </c>
      <c r="BA3530" s="1"/>
      <c r="BB3530" s="1"/>
      <c r="BC3530" s="1" t="s">
        <v>139</v>
      </c>
      <c r="BD3530" s="1" t="s">
        <v>368</v>
      </c>
      <c r="BE3530" s="1">
        <v>64.4</v>
      </c>
      <c r="BF3530" s="1">
        <v>6.94</v>
      </c>
      <c r="BG3530" s="1"/>
      <c r="BH3530" s="1"/>
      <c r="BI3530" s="1"/>
      <c r="BJ3530" s="1"/>
      <c r="BK3530" s="1" t="s">
        <v>98</v>
      </c>
      <c r="BL3530" s="1" t="s">
        <v>98</v>
      </c>
      <c r="BM3530" s="1" t="s">
        <v>98</v>
      </c>
      <c r="BN3530" s="1" t="s">
        <v>98</v>
      </c>
      <c r="BO3530" s="1" t="s">
        <v>1114</v>
      </c>
      <c r="BP3530" s="1"/>
      <c r="BQ3530" s="1"/>
      <c r="BR3530" s="1" t="s">
        <v>56361</v>
      </c>
      <c r="BS3530" s="1">
        <v>15</v>
      </c>
      <c r="BT3530" s="1"/>
      <c r="BU3530" s="1" t="str">
        <f>HYPERLINK("https://nconnect.nicmar.ac.in/storage/profile/2021-2023_AP21315_298475.jpg","Download")</f>
        <v>0</v>
      </c>
      <c r="BV3530" s="3"/>
      <c r="BW3530" s="3"/>
    </row>
    <row r="3531" spans="1:75">
      <c r="A3531" s="1" t="s">
        <v>51340</v>
      </c>
      <c r="B3531" s="1" t="s">
        <v>51341</v>
      </c>
      <c r="C3531" s="1" t="s">
        <v>56362</v>
      </c>
      <c r="D3531" s="1" t="s">
        <v>3874</v>
      </c>
      <c r="E3531" s="1" t="s">
        <v>1020</v>
      </c>
      <c r="F3531" s="1" t="s">
        <v>2098</v>
      </c>
      <c r="G3531" s="1" t="s">
        <v>56363</v>
      </c>
      <c r="H3531" s="1" t="s">
        <v>56364</v>
      </c>
      <c r="I3531" s="1" t="s">
        <v>56365</v>
      </c>
      <c r="J3531" s="1">
        <v>9403855880</v>
      </c>
      <c r="K3531" s="1" t="s">
        <v>84</v>
      </c>
      <c r="L3531" s="1" t="s">
        <v>49961</v>
      </c>
      <c r="M3531" s="1" t="s">
        <v>86</v>
      </c>
      <c r="N3531" s="1" t="s">
        <v>1163</v>
      </c>
      <c r="O3531" s="1"/>
      <c r="P3531" s="1" t="s">
        <v>455</v>
      </c>
      <c r="Q3531" s="1" t="s">
        <v>56366</v>
      </c>
      <c r="R3531" s="1" t="s">
        <v>56367</v>
      </c>
      <c r="S3531" s="1">
        <v>9422176141</v>
      </c>
      <c r="T3531" s="1" t="s">
        <v>56368</v>
      </c>
      <c r="U3531" s="1" t="s">
        <v>56369</v>
      </c>
      <c r="V3531" s="1">
        <v>9422108377</v>
      </c>
      <c r="W3531" s="1" t="s">
        <v>94</v>
      </c>
      <c r="X3531" s="1" t="s">
        <v>56370</v>
      </c>
      <c r="Y3531" s="1" t="s">
        <v>14745</v>
      </c>
      <c r="Z3531" s="1" t="s">
        <v>97</v>
      </c>
      <c r="AA3531" s="1" t="s">
        <v>56370</v>
      </c>
      <c r="AB3531" s="1" t="s">
        <v>14745</v>
      </c>
      <c r="AC3531" s="1" t="s">
        <v>97</v>
      </c>
      <c r="AD3531" s="1" t="s">
        <v>98</v>
      </c>
      <c r="AE3531" s="1" t="s">
        <v>98</v>
      </c>
      <c r="AF3531" s="1" t="s">
        <v>56371</v>
      </c>
      <c r="AG3531" s="1" t="s">
        <v>1968</v>
      </c>
      <c r="AH3531" s="1" t="s">
        <v>101</v>
      </c>
      <c r="AI3531" s="1" t="s">
        <v>166</v>
      </c>
      <c r="AJ3531" s="1">
        <v>92</v>
      </c>
      <c r="AK3531" s="1"/>
      <c r="AL3531" s="1" t="s">
        <v>56372</v>
      </c>
      <c r="AM3531" s="1" t="s">
        <v>1968</v>
      </c>
      <c r="AN3531" s="1"/>
      <c r="AO3531" s="1" t="s">
        <v>517</v>
      </c>
      <c r="AP3531" s="1" t="s">
        <v>573</v>
      </c>
      <c r="AQ3531" s="1">
        <v>73.54</v>
      </c>
      <c r="AR3531" s="1"/>
      <c r="AS3531" s="1"/>
      <c r="AT3531" s="1"/>
      <c r="AU3531" s="1" t="s">
        <v>98</v>
      </c>
      <c r="AV3531" s="1" t="s">
        <v>98</v>
      </c>
      <c r="AW3531" s="1"/>
      <c r="AX3531" s="1"/>
      <c r="AY3531" s="1" t="s">
        <v>415</v>
      </c>
      <c r="AZ3531" s="1" t="s">
        <v>20667</v>
      </c>
      <c r="BA3531" s="1"/>
      <c r="BB3531" s="1"/>
      <c r="BC3531" s="1" t="s">
        <v>388</v>
      </c>
      <c r="BD3531" s="1" t="s">
        <v>549</v>
      </c>
      <c r="BE3531" s="1">
        <v>71.8</v>
      </c>
      <c r="BF3531" s="1">
        <v>7.18</v>
      </c>
      <c r="BG3531" s="1"/>
      <c r="BH3531" s="1"/>
      <c r="BI3531" s="1"/>
      <c r="BJ3531" s="1"/>
      <c r="BK3531" s="1" t="s">
        <v>98</v>
      </c>
      <c r="BL3531" s="1" t="s">
        <v>98</v>
      </c>
      <c r="BM3531" s="1" t="s">
        <v>98</v>
      </c>
      <c r="BN3531" s="1" t="s">
        <v>98</v>
      </c>
      <c r="BO3531" s="1" t="s">
        <v>1114</v>
      </c>
      <c r="BP3531" s="1"/>
      <c r="BQ3531" s="1"/>
      <c r="BR3531" s="1" t="s">
        <v>56373</v>
      </c>
      <c r="BS3531" s="1">
        <v>34</v>
      </c>
      <c r="BT3531" s="1"/>
      <c r="BU3531" s="1" t="str">
        <f>HYPERLINK("https://nconnect.nicmar.ac.in/storage/profile/2021-2023_AP21316_936471.jpg","Download")</f>
        <v>0</v>
      </c>
      <c r="BV3531" s="3"/>
      <c r="BW3531" s="3"/>
    </row>
    <row r="3532" spans="1:75">
      <c r="A3532" s="1" t="s">
        <v>51340</v>
      </c>
      <c r="B3532" s="1" t="s">
        <v>51341</v>
      </c>
      <c r="C3532" s="1" t="s">
        <v>56374</v>
      </c>
      <c r="D3532" s="1" t="s">
        <v>56375</v>
      </c>
      <c r="E3532" s="1" t="s">
        <v>1320</v>
      </c>
      <c r="F3532" s="1" t="s">
        <v>56376</v>
      </c>
      <c r="G3532" s="1" t="s">
        <v>56377</v>
      </c>
      <c r="H3532" s="1" t="s">
        <v>56378</v>
      </c>
      <c r="I3532" s="1" t="s">
        <v>56379</v>
      </c>
      <c r="J3532" s="1">
        <v>7097622709</v>
      </c>
      <c r="K3532" s="1" t="s">
        <v>84</v>
      </c>
      <c r="L3532" s="1" t="s">
        <v>31788</v>
      </c>
      <c r="M3532" s="1" t="s">
        <v>86</v>
      </c>
      <c r="N3532" s="1" t="s">
        <v>3458</v>
      </c>
      <c r="O3532" s="1"/>
      <c r="P3532" s="1" t="s">
        <v>1028</v>
      </c>
      <c r="Q3532" s="1" t="s">
        <v>56380</v>
      </c>
      <c r="R3532" s="1" t="s">
        <v>56381</v>
      </c>
      <c r="S3532" s="1">
        <v>9441849332</v>
      </c>
      <c r="T3532" s="1" t="s">
        <v>839</v>
      </c>
      <c r="U3532" s="1" t="s">
        <v>56382</v>
      </c>
      <c r="V3532" s="1">
        <v>9676779759</v>
      </c>
      <c r="W3532" s="1" t="s">
        <v>1257</v>
      </c>
      <c r="X3532" s="1" t="s">
        <v>56383</v>
      </c>
      <c r="Y3532" s="1" t="s">
        <v>10461</v>
      </c>
      <c r="Z3532" s="1" t="s">
        <v>281</v>
      </c>
      <c r="AA3532" s="1" t="s">
        <v>98</v>
      </c>
      <c r="AB3532" s="1" t="s">
        <v>10461</v>
      </c>
      <c r="AC3532" s="1" t="s">
        <v>281</v>
      </c>
      <c r="AD3532" s="1" t="s">
        <v>98</v>
      </c>
      <c r="AE3532" s="1" t="s">
        <v>98</v>
      </c>
      <c r="AF3532" s="1" t="s">
        <v>56384</v>
      </c>
      <c r="AG3532" s="1" t="s">
        <v>6474</v>
      </c>
      <c r="AH3532" s="1">
        <v>41437</v>
      </c>
      <c r="AI3532" s="1">
        <v>41718</v>
      </c>
      <c r="AJ3532" s="1">
        <v>72.83</v>
      </c>
      <c r="AK3532" s="1"/>
      <c r="AL3532" s="1" t="s">
        <v>1843</v>
      </c>
      <c r="AM3532" s="1" t="s">
        <v>6474</v>
      </c>
      <c r="AN3532" s="1"/>
      <c r="AO3532" s="1">
        <v>42163</v>
      </c>
      <c r="AP3532" s="1">
        <v>42479</v>
      </c>
      <c r="AQ3532" s="1">
        <v>90.9</v>
      </c>
      <c r="AR3532" s="1"/>
      <c r="AS3532" s="1"/>
      <c r="AT3532" s="1"/>
      <c r="AU3532" s="1" t="s">
        <v>98</v>
      </c>
      <c r="AV3532" s="1" t="s">
        <v>98</v>
      </c>
      <c r="AW3532" s="1" t="s">
        <v>98</v>
      </c>
      <c r="AX3532" s="1" t="s">
        <v>98</v>
      </c>
      <c r="AY3532" s="1" t="s">
        <v>2614</v>
      </c>
      <c r="AZ3532" s="1" t="s">
        <v>2614</v>
      </c>
      <c r="BA3532" s="1"/>
      <c r="BB3532" s="1"/>
      <c r="BC3532" s="1">
        <v>42561</v>
      </c>
      <c r="BD3532" s="1">
        <v>43992</v>
      </c>
      <c r="BE3532" s="1">
        <v>74.6</v>
      </c>
      <c r="BF3532" s="1">
        <v>6.61</v>
      </c>
      <c r="BG3532" s="1"/>
      <c r="BH3532" s="1"/>
      <c r="BI3532" s="1"/>
      <c r="BJ3532" s="1"/>
      <c r="BK3532" s="1" t="s">
        <v>98</v>
      </c>
      <c r="BL3532" s="1" t="s">
        <v>98</v>
      </c>
      <c r="BM3532" s="1" t="s">
        <v>98</v>
      </c>
      <c r="BN3532" s="1" t="s">
        <v>98</v>
      </c>
      <c r="BO3532" s="1" t="s">
        <v>56385</v>
      </c>
      <c r="BP3532" s="1" t="s">
        <v>56386</v>
      </c>
      <c r="BQ3532" s="1" t="s">
        <v>4149</v>
      </c>
      <c r="BR3532" s="1" t="s">
        <v>56387</v>
      </c>
      <c r="BS3532" s="1">
        <v>15</v>
      </c>
      <c r="BT3532" s="1"/>
      <c r="BU3532" s="1" t="str">
        <f>HYPERLINK("https://nconnect.nicmar.ac.in/storage/profile/2021-2023_AP21317_219354.jpg","Download")</f>
        <v>0</v>
      </c>
      <c r="BV3532" s="3"/>
      <c r="BW3532" s="3"/>
    </row>
    <row r="3533" spans="1:75">
      <c r="A3533" s="1" t="s">
        <v>51340</v>
      </c>
      <c r="B3533" s="1" t="s">
        <v>51341</v>
      </c>
      <c r="C3533" s="1" t="s">
        <v>56388</v>
      </c>
      <c r="D3533" s="1" t="s">
        <v>56389</v>
      </c>
      <c r="E3533" s="1" t="s">
        <v>530</v>
      </c>
      <c r="F3533" s="1" t="s">
        <v>28350</v>
      </c>
      <c r="G3533" s="1" t="s">
        <v>56390</v>
      </c>
      <c r="H3533" s="1" t="s">
        <v>56391</v>
      </c>
      <c r="I3533" s="1" t="s">
        <v>56392</v>
      </c>
      <c r="J3533" s="1">
        <v>7400777705</v>
      </c>
      <c r="K3533" s="1" t="s">
        <v>84</v>
      </c>
      <c r="L3533" s="1" t="s">
        <v>56393</v>
      </c>
      <c r="M3533" s="1" t="s">
        <v>86</v>
      </c>
      <c r="N3533" s="1" t="s">
        <v>246</v>
      </c>
      <c r="O3533" s="1"/>
      <c r="P3533" s="1" t="s">
        <v>507</v>
      </c>
      <c r="Q3533" s="1" t="s">
        <v>56394</v>
      </c>
      <c r="R3533" s="1" t="s">
        <v>56395</v>
      </c>
      <c r="S3533" s="1">
        <v>6260884411</v>
      </c>
      <c r="T3533" s="1" t="s">
        <v>539</v>
      </c>
      <c r="U3533" s="1" t="s">
        <v>56396</v>
      </c>
      <c r="V3533" s="1">
        <v>7000053268</v>
      </c>
      <c r="W3533" s="1" t="s">
        <v>539</v>
      </c>
      <c r="X3533" s="1" t="s">
        <v>56397</v>
      </c>
      <c r="Y3533" s="1" t="s">
        <v>27556</v>
      </c>
      <c r="Z3533" s="1" t="s">
        <v>3419</v>
      </c>
      <c r="AA3533" s="1" t="s">
        <v>56397</v>
      </c>
      <c r="AB3533" s="1" t="s">
        <v>5622</v>
      </c>
      <c r="AC3533" s="1" t="s">
        <v>3419</v>
      </c>
      <c r="AD3533" s="1" t="s">
        <v>98</v>
      </c>
      <c r="AE3533" s="1" t="s">
        <v>98</v>
      </c>
      <c r="AF3533" s="1" t="s">
        <v>56398</v>
      </c>
      <c r="AG3533" s="1" t="s">
        <v>2475</v>
      </c>
      <c r="AH3533" s="1">
        <v>41764</v>
      </c>
      <c r="AI3533" s="1">
        <v>42109</v>
      </c>
      <c r="AJ3533" s="1">
        <v>85.5</v>
      </c>
      <c r="AK3533" s="1">
        <v>9</v>
      </c>
      <c r="AL3533" s="1" t="s">
        <v>56398</v>
      </c>
      <c r="AM3533" s="1" t="s">
        <v>2475</v>
      </c>
      <c r="AN3533" s="1"/>
      <c r="AO3533" s="1">
        <v>42471</v>
      </c>
      <c r="AP3533" s="1">
        <v>42883</v>
      </c>
      <c r="AQ3533" s="1">
        <v>65.8</v>
      </c>
      <c r="AR3533" s="1"/>
      <c r="AS3533" s="1"/>
      <c r="AT3533" s="1"/>
      <c r="AU3533" s="1" t="s">
        <v>98</v>
      </c>
      <c r="AV3533" s="1" t="s">
        <v>98</v>
      </c>
      <c r="AW3533" s="1" t="s">
        <v>98</v>
      </c>
      <c r="AX3533" s="1" t="s">
        <v>98</v>
      </c>
      <c r="AY3533" s="1" t="s">
        <v>11637</v>
      </c>
      <c r="AZ3533" s="1" t="s">
        <v>56399</v>
      </c>
      <c r="BA3533" s="1"/>
      <c r="BB3533" s="1"/>
      <c r="BC3533" s="1">
        <v>42926</v>
      </c>
      <c r="BD3533" s="1">
        <v>44362</v>
      </c>
      <c r="BE3533" s="1">
        <v>82.6</v>
      </c>
      <c r="BF3533" s="1">
        <v>8.26</v>
      </c>
      <c r="BG3533" s="1"/>
      <c r="BH3533" s="1"/>
      <c r="BI3533" s="1"/>
      <c r="BJ3533" s="1"/>
      <c r="BK3533" s="1" t="s">
        <v>98</v>
      </c>
      <c r="BL3533" s="1" t="s">
        <v>98</v>
      </c>
      <c r="BM3533" s="1" t="s">
        <v>98</v>
      </c>
      <c r="BN3533" s="1" t="s">
        <v>98</v>
      </c>
      <c r="BO3533" s="1" t="s">
        <v>369</v>
      </c>
      <c r="BP3533" s="1"/>
      <c r="BQ3533" s="1"/>
      <c r="BR3533" s="1" t="s">
        <v>56400</v>
      </c>
      <c r="BS3533" s="1">
        <v>134</v>
      </c>
      <c r="BT3533" s="1"/>
      <c r="BU3533" s="1" t="str">
        <f>HYPERLINK("https://nconnect.nicmar.ac.in/storage/profile/2021-2023_AP21318_746952.jpeg","Download")</f>
        <v>0</v>
      </c>
      <c r="BV3533" s="3"/>
      <c r="BW3533" s="3"/>
    </row>
    <row r="3534" spans="1:75">
      <c r="A3534" s="1" t="s">
        <v>51340</v>
      </c>
      <c r="B3534" s="1" t="s">
        <v>51341</v>
      </c>
      <c r="C3534" s="1" t="s">
        <v>56401</v>
      </c>
      <c r="D3534" s="1" t="s">
        <v>3757</v>
      </c>
      <c r="E3534" s="1"/>
      <c r="F3534" s="1" t="s">
        <v>4926</v>
      </c>
      <c r="G3534" s="1" t="s">
        <v>56402</v>
      </c>
      <c r="H3534" s="1" t="s">
        <v>56403</v>
      </c>
      <c r="I3534" s="1" t="s">
        <v>56404</v>
      </c>
      <c r="J3534" s="1">
        <v>9937661729</v>
      </c>
      <c r="K3534" s="1" t="s">
        <v>153</v>
      </c>
      <c r="L3534" s="1" t="s">
        <v>56405</v>
      </c>
      <c r="M3534" s="1" t="s">
        <v>86</v>
      </c>
      <c r="N3534" s="1" t="s">
        <v>246</v>
      </c>
      <c r="O3534" s="1"/>
      <c r="P3534" s="1" t="s">
        <v>481</v>
      </c>
      <c r="Q3534" s="1" t="s">
        <v>56406</v>
      </c>
      <c r="R3534" s="1" t="s">
        <v>12058</v>
      </c>
      <c r="S3534" s="1">
        <v>9931802209</v>
      </c>
      <c r="T3534" s="1" t="s">
        <v>539</v>
      </c>
      <c r="U3534" s="1" t="s">
        <v>56407</v>
      </c>
      <c r="V3534" s="1">
        <v>8969260479</v>
      </c>
      <c r="W3534" s="1" t="s">
        <v>94</v>
      </c>
      <c r="X3534" s="1" t="s">
        <v>56408</v>
      </c>
      <c r="Y3534" s="1" t="s">
        <v>2954</v>
      </c>
      <c r="Z3534" s="1" t="s">
        <v>2955</v>
      </c>
      <c r="AA3534" s="1" t="s">
        <v>56408</v>
      </c>
      <c r="AB3534" s="1" t="s">
        <v>2954</v>
      </c>
      <c r="AC3534" s="1" t="s">
        <v>2955</v>
      </c>
      <c r="AD3534" s="1" t="s">
        <v>98</v>
      </c>
      <c r="AE3534" s="1" t="s">
        <v>98</v>
      </c>
      <c r="AF3534" s="1" t="s">
        <v>56409</v>
      </c>
      <c r="AG3534" s="1" t="s">
        <v>312</v>
      </c>
      <c r="AH3534" s="1" t="s">
        <v>134</v>
      </c>
      <c r="AI3534" s="1" t="s">
        <v>1262</v>
      </c>
      <c r="AJ3534" s="1">
        <v>81.7</v>
      </c>
      <c r="AK3534" s="1">
        <v>8.6</v>
      </c>
      <c r="AL3534" s="1" t="s">
        <v>56409</v>
      </c>
      <c r="AM3534" s="1" t="s">
        <v>312</v>
      </c>
      <c r="AN3534" s="1"/>
      <c r="AO3534" s="1" t="s">
        <v>136</v>
      </c>
      <c r="AP3534" s="1" t="s">
        <v>627</v>
      </c>
      <c r="AQ3534" s="1">
        <v>69.34</v>
      </c>
      <c r="AR3534" s="1">
        <v>0</v>
      </c>
      <c r="AS3534" s="1"/>
      <c r="AT3534" s="1"/>
      <c r="AU3534" s="1" t="s">
        <v>98</v>
      </c>
      <c r="AV3534" s="1" t="s">
        <v>98</v>
      </c>
      <c r="AW3534" s="1" t="s">
        <v>98</v>
      </c>
      <c r="AX3534" s="1" t="s">
        <v>98</v>
      </c>
      <c r="AY3534" s="1" t="s">
        <v>5106</v>
      </c>
      <c r="AZ3534" s="1" t="s">
        <v>5106</v>
      </c>
      <c r="BA3534" s="1"/>
      <c r="BB3534" s="1"/>
      <c r="BC3534" s="1" t="s">
        <v>1396</v>
      </c>
      <c r="BD3534" s="1" t="s">
        <v>977</v>
      </c>
      <c r="BE3534" s="1">
        <v>76.6</v>
      </c>
      <c r="BF3534" s="1">
        <v>7.66</v>
      </c>
      <c r="BG3534" s="1"/>
      <c r="BH3534" s="1"/>
      <c r="BI3534" s="1"/>
      <c r="BJ3534" s="1"/>
      <c r="BK3534" s="1" t="s">
        <v>98</v>
      </c>
      <c r="BL3534" s="1" t="s">
        <v>98</v>
      </c>
      <c r="BM3534" s="1" t="s">
        <v>98</v>
      </c>
      <c r="BN3534" s="1" t="s">
        <v>98</v>
      </c>
      <c r="BO3534" s="1" t="s">
        <v>56410</v>
      </c>
      <c r="BP3534" s="1"/>
      <c r="BQ3534" s="1"/>
      <c r="BR3534" s="1" t="s">
        <v>56411</v>
      </c>
      <c r="BS3534" s="1">
        <v>18</v>
      </c>
      <c r="BT3534" s="1"/>
      <c r="BU3534" s="1" t="str">
        <f>HYPERLINK("https://nconnect.nicmar.ac.in/storage/profile/2021-2023_AP21319_729316.jpg","Download")</f>
        <v>0</v>
      </c>
      <c r="BV3534" s="3"/>
      <c r="BW3534" s="3"/>
    </row>
    <row r="3535" spans="1:75">
      <c r="A3535" s="1" t="s">
        <v>51340</v>
      </c>
      <c r="B3535" s="1" t="s">
        <v>51341</v>
      </c>
      <c r="C3535" s="1" t="s">
        <v>56412</v>
      </c>
      <c r="D3535" s="1" t="s">
        <v>13757</v>
      </c>
      <c r="E3535" s="1" t="s">
        <v>397</v>
      </c>
      <c r="F3535" s="1" t="s">
        <v>2099</v>
      </c>
      <c r="G3535" s="1" t="s">
        <v>56413</v>
      </c>
      <c r="H3535" s="1" t="s">
        <v>56414</v>
      </c>
      <c r="I3535" s="1" t="s">
        <v>56415</v>
      </c>
      <c r="J3535" s="1">
        <v>8308219615</v>
      </c>
      <c r="K3535" s="1" t="s">
        <v>84</v>
      </c>
      <c r="L3535" s="1" t="s">
        <v>15877</v>
      </c>
      <c r="M3535" s="1" t="s">
        <v>86</v>
      </c>
      <c r="N3535" s="1" t="s">
        <v>903</v>
      </c>
      <c r="O3535" s="1"/>
      <c r="P3535" s="1" t="s">
        <v>481</v>
      </c>
      <c r="Q3535" s="1" t="s">
        <v>56416</v>
      </c>
      <c r="R3535" s="1" t="s">
        <v>56417</v>
      </c>
      <c r="S3535" s="1">
        <v>9689931341</v>
      </c>
      <c r="T3535" s="1" t="s">
        <v>539</v>
      </c>
      <c r="U3535" s="1" t="s">
        <v>56418</v>
      </c>
      <c r="V3535" s="1">
        <v>9011719668</v>
      </c>
      <c r="W3535" s="1" t="s">
        <v>94</v>
      </c>
      <c r="X3535" s="1" t="s">
        <v>56419</v>
      </c>
      <c r="Y3535" s="1" t="s">
        <v>196</v>
      </c>
      <c r="Z3535" s="1" t="s">
        <v>97</v>
      </c>
      <c r="AA3535" s="1" t="s">
        <v>56419</v>
      </c>
      <c r="AB3535" s="1" t="s">
        <v>196</v>
      </c>
      <c r="AC3535" s="1" t="s">
        <v>97</v>
      </c>
      <c r="AD3535" s="1" t="s">
        <v>98</v>
      </c>
      <c r="AE3535" s="1" t="s">
        <v>98</v>
      </c>
      <c r="AF3535" s="1" t="s">
        <v>56420</v>
      </c>
      <c r="AG3535" s="1" t="s">
        <v>51712</v>
      </c>
      <c r="AH3535" s="1">
        <v>41074</v>
      </c>
      <c r="AI3535" s="1" t="s">
        <v>56421</v>
      </c>
      <c r="AJ3535" s="1">
        <v>76.91</v>
      </c>
      <c r="AK3535" s="1"/>
      <c r="AL3535" s="1" t="s">
        <v>56422</v>
      </c>
      <c r="AM3535" s="1" t="s">
        <v>51712</v>
      </c>
      <c r="AN3535" s="1"/>
      <c r="AO3535" s="1">
        <v>41830</v>
      </c>
      <c r="AP3535" s="1" t="s">
        <v>56423</v>
      </c>
      <c r="AQ3535" s="1">
        <v>63.23</v>
      </c>
      <c r="AR3535" s="1"/>
      <c r="AS3535" s="1"/>
      <c r="AT3535" s="1"/>
      <c r="AU3535" s="1" t="s">
        <v>98</v>
      </c>
      <c r="AV3535" s="1" t="s">
        <v>98</v>
      </c>
      <c r="AW3535" s="1" t="s">
        <v>98</v>
      </c>
      <c r="AX3535" s="1" t="s">
        <v>98</v>
      </c>
      <c r="AY3535" s="1" t="s">
        <v>366</v>
      </c>
      <c r="AZ3535" s="1" t="s">
        <v>53506</v>
      </c>
      <c r="BA3535" s="1"/>
      <c r="BB3535" s="1"/>
      <c r="BC3535" s="1">
        <v>42212</v>
      </c>
      <c r="BD3535" s="1">
        <v>44407</v>
      </c>
      <c r="BE3535" s="1">
        <v>63.8</v>
      </c>
      <c r="BF3535" s="1">
        <v>7.25</v>
      </c>
      <c r="BG3535" s="1"/>
      <c r="BH3535" s="1"/>
      <c r="BI3535" s="1"/>
      <c r="BJ3535" s="1"/>
      <c r="BK3535" s="1" t="s">
        <v>98</v>
      </c>
      <c r="BL3535" s="1" t="s">
        <v>98</v>
      </c>
      <c r="BM3535" s="1" t="s">
        <v>98</v>
      </c>
      <c r="BN3535" s="1" t="s">
        <v>98</v>
      </c>
      <c r="BO3535" s="1" t="s">
        <v>369</v>
      </c>
      <c r="BP3535" s="1"/>
      <c r="BQ3535" s="1"/>
      <c r="BR3535" s="1" t="s">
        <v>56424</v>
      </c>
      <c r="BS3535" s="1">
        <v>22</v>
      </c>
      <c r="BT3535" s="1"/>
      <c r="BU3535" s="1" t="str">
        <f>HYPERLINK("https://nconnect.nicmar.ac.in/storage/profile/2021-2023_AP21320_234817.jpg","Download")</f>
        <v>0</v>
      </c>
      <c r="BV3535" s="3"/>
      <c r="BW3535" s="3"/>
    </row>
    <row r="3536" spans="1:75">
      <c r="A3536" s="1" t="s">
        <v>51340</v>
      </c>
      <c r="B3536" s="1" t="s">
        <v>51341</v>
      </c>
      <c r="C3536" s="1" t="s">
        <v>56425</v>
      </c>
      <c r="D3536" s="1" t="s">
        <v>1294</v>
      </c>
      <c r="E3536" s="1"/>
      <c r="F3536" s="1" t="s">
        <v>56426</v>
      </c>
      <c r="G3536" s="1" t="s">
        <v>56427</v>
      </c>
      <c r="H3536" s="1" t="s">
        <v>56428</v>
      </c>
      <c r="I3536" s="1" t="s">
        <v>56429</v>
      </c>
      <c r="J3536" s="1">
        <v>8059400039</v>
      </c>
      <c r="K3536" s="1" t="s">
        <v>84</v>
      </c>
      <c r="L3536" s="1" t="s">
        <v>56430</v>
      </c>
      <c r="M3536" s="1" t="s">
        <v>86</v>
      </c>
      <c r="N3536" s="1" t="s">
        <v>87</v>
      </c>
      <c r="O3536" s="1"/>
      <c r="P3536" s="1" t="s">
        <v>481</v>
      </c>
      <c r="Q3536" s="1" t="s">
        <v>56431</v>
      </c>
      <c r="R3536" s="1" t="s">
        <v>56432</v>
      </c>
      <c r="S3536" s="1">
        <v>9812022729</v>
      </c>
      <c r="T3536" s="1" t="s">
        <v>926</v>
      </c>
      <c r="U3536" s="1" t="s">
        <v>56433</v>
      </c>
      <c r="V3536" s="1">
        <v>9991000039</v>
      </c>
      <c r="W3536" s="1" t="s">
        <v>94</v>
      </c>
      <c r="X3536" s="1" t="s">
        <v>56434</v>
      </c>
      <c r="Y3536" s="1" t="s">
        <v>56435</v>
      </c>
      <c r="Z3536" s="1" t="s">
        <v>2153</v>
      </c>
      <c r="AA3536" s="1" t="s">
        <v>56436</v>
      </c>
      <c r="AB3536" s="1" t="s">
        <v>24484</v>
      </c>
      <c r="AC3536" s="1" t="s">
        <v>1700</v>
      </c>
      <c r="AD3536" s="1" t="s">
        <v>98</v>
      </c>
      <c r="AE3536" s="1" t="s">
        <v>98</v>
      </c>
      <c r="AF3536" s="1" t="s">
        <v>1060</v>
      </c>
      <c r="AG3536" s="1" t="s">
        <v>312</v>
      </c>
      <c r="AH3536" s="1">
        <v>41365</v>
      </c>
      <c r="AI3536" s="1">
        <v>41779</v>
      </c>
      <c r="AJ3536" s="1">
        <v>83.6</v>
      </c>
      <c r="AK3536" s="1">
        <v>8.8</v>
      </c>
      <c r="AL3536" s="1" t="s">
        <v>1060</v>
      </c>
      <c r="AM3536" s="1" t="s">
        <v>312</v>
      </c>
      <c r="AN3536" s="1"/>
      <c r="AO3536" s="1">
        <v>42095</v>
      </c>
      <c r="AP3536" s="1">
        <v>42511</v>
      </c>
      <c r="AQ3536" s="1">
        <v>76.8</v>
      </c>
      <c r="AR3536" s="1">
        <v>0</v>
      </c>
      <c r="AS3536" s="1"/>
      <c r="AT3536" s="1"/>
      <c r="AU3536" s="1" t="s">
        <v>98</v>
      </c>
      <c r="AV3536" s="1" t="s">
        <v>98</v>
      </c>
      <c r="AW3536" s="1" t="s">
        <v>98</v>
      </c>
      <c r="AX3536" s="1" t="s">
        <v>98</v>
      </c>
      <c r="AY3536" s="1" t="s">
        <v>56437</v>
      </c>
      <c r="AZ3536" s="1" t="s">
        <v>56437</v>
      </c>
      <c r="BA3536" s="1"/>
      <c r="BB3536" s="1"/>
      <c r="BC3536" s="1">
        <v>42611</v>
      </c>
      <c r="BD3536" s="1">
        <v>44077</v>
      </c>
      <c r="BE3536" s="1">
        <v>71.6</v>
      </c>
      <c r="BF3536" s="1">
        <v>7.16</v>
      </c>
      <c r="BG3536" s="1"/>
      <c r="BH3536" s="1"/>
      <c r="BI3536" s="1"/>
      <c r="BJ3536" s="1"/>
      <c r="BK3536" s="1" t="s">
        <v>98</v>
      </c>
      <c r="BL3536" s="1" t="s">
        <v>98</v>
      </c>
      <c r="BM3536" s="1" t="s">
        <v>98</v>
      </c>
      <c r="BN3536" s="1" t="s">
        <v>98</v>
      </c>
      <c r="BO3536" s="1" t="s">
        <v>260</v>
      </c>
      <c r="BP3536" s="1"/>
      <c r="BQ3536" s="1"/>
      <c r="BR3536" s="1" t="s">
        <v>56438</v>
      </c>
      <c r="BS3536" s="1">
        <v>16</v>
      </c>
      <c r="BT3536" s="1"/>
      <c r="BU3536" s="1" t="str">
        <f>HYPERLINK("https://nconnect.nicmar.ac.in/storage/profile/2021-2023_AP21321_429861.jpg","Download")</f>
        <v>0</v>
      </c>
      <c r="BV3536" s="3"/>
      <c r="BW3536" s="3"/>
    </row>
    <row r="3537" spans="1:75">
      <c r="A3537" s="1" t="s">
        <v>51340</v>
      </c>
      <c r="B3537" s="1" t="s">
        <v>51341</v>
      </c>
      <c r="C3537" s="1" t="s">
        <v>56439</v>
      </c>
      <c r="D3537" s="1" t="s">
        <v>25582</v>
      </c>
      <c r="E3537" s="1" t="s">
        <v>56440</v>
      </c>
      <c r="F3537" s="1" t="s">
        <v>56441</v>
      </c>
      <c r="G3537" s="1" t="s">
        <v>56442</v>
      </c>
      <c r="H3537" s="1" t="s">
        <v>56443</v>
      </c>
      <c r="I3537" s="1" t="s">
        <v>56444</v>
      </c>
      <c r="J3537" s="1">
        <v>8141564391</v>
      </c>
      <c r="K3537" s="1" t="s">
        <v>84</v>
      </c>
      <c r="L3537" s="1" t="s">
        <v>26349</v>
      </c>
      <c r="M3537" s="1" t="s">
        <v>86</v>
      </c>
      <c r="N3537" s="1" t="s">
        <v>6641</v>
      </c>
      <c r="O3537" s="1"/>
      <c r="P3537" s="1" t="s">
        <v>455</v>
      </c>
      <c r="Q3537" s="1" t="s">
        <v>56445</v>
      </c>
      <c r="R3537" s="1" t="s">
        <v>56446</v>
      </c>
      <c r="S3537" s="1">
        <v>9227909285</v>
      </c>
      <c r="T3537" s="1" t="s">
        <v>926</v>
      </c>
      <c r="U3537" s="1" t="s">
        <v>56447</v>
      </c>
      <c r="V3537" s="1">
        <v>9275048267</v>
      </c>
      <c r="W3537" s="1" t="s">
        <v>94</v>
      </c>
      <c r="X3537" s="1" t="s">
        <v>56448</v>
      </c>
      <c r="Y3537" s="1" t="s">
        <v>5138</v>
      </c>
      <c r="Z3537" s="1" t="s">
        <v>676</v>
      </c>
      <c r="AA3537" s="1" t="s">
        <v>56448</v>
      </c>
      <c r="AB3537" s="1" t="s">
        <v>5138</v>
      </c>
      <c r="AC3537" s="1" t="s">
        <v>676</v>
      </c>
      <c r="AD3537" s="1" t="s">
        <v>98</v>
      </c>
      <c r="AE3537" s="1" t="s">
        <v>98</v>
      </c>
      <c r="AF3537" s="1" t="s">
        <v>56449</v>
      </c>
      <c r="AG3537" s="1" t="s">
        <v>56450</v>
      </c>
      <c r="AH3537" s="1">
        <v>41061</v>
      </c>
      <c r="AI3537" s="1">
        <v>41424</v>
      </c>
      <c r="AJ3537" s="1">
        <v>93.1</v>
      </c>
      <c r="AK3537" s="1">
        <v>9.8</v>
      </c>
      <c r="AL3537" s="1" t="s">
        <v>56449</v>
      </c>
      <c r="AM3537" s="1" t="s">
        <v>56450</v>
      </c>
      <c r="AN3537" s="1"/>
      <c r="AO3537" s="1">
        <v>41730</v>
      </c>
      <c r="AP3537" s="1">
        <v>42149</v>
      </c>
      <c r="AQ3537" s="1">
        <v>90.2</v>
      </c>
      <c r="AR3537" s="1"/>
      <c r="AS3537" s="1"/>
      <c r="AT3537" s="1"/>
      <c r="AU3537" s="1" t="s">
        <v>98</v>
      </c>
      <c r="AV3537" s="1" t="s">
        <v>98</v>
      </c>
      <c r="AW3537" s="1" t="s">
        <v>98</v>
      </c>
      <c r="AX3537" s="1" t="s">
        <v>98</v>
      </c>
      <c r="AY3537" s="1" t="s">
        <v>34230</v>
      </c>
      <c r="AZ3537" s="1" t="s">
        <v>56451</v>
      </c>
      <c r="BA3537" s="1"/>
      <c r="BB3537" s="1"/>
      <c r="BC3537" s="1">
        <v>42217</v>
      </c>
      <c r="BD3537" s="1">
        <v>44227</v>
      </c>
      <c r="BE3537" s="1">
        <v>62</v>
      </c>
      <c r="BF3537" s="1"/>
      <c r="BG3537" s="1"/>
      <c r="BH3537" s="1"/>
      <c r="BI3537" s="1"/>
      <c r="BJ3537" s="1"/>
      <c r="BK3537" s="1" t="s">
        <v>98</v>
      </c>
      <c r="BL3537" s="1" t="s">
        <v>98</v>
      </c>
      <c r="BM3537" s="1" t="s">
        <v>98</v>
      </c>
      <c r="BN3537" s="1" t="s">
        <v>98</v>
      </c>
      <c r="BO3537" s="1" t="s">
        <v>369</v>
      </c>
      <c r="BP3537" s="1"/>
      <c r="BQ3537" s="1"/>
      <c r="BR3537" s="1" t="s">
        <v>56452</v>
      </c>
      <c r="BS3537" s="1">
        <v>32</v>
      </c>
      <c r="BT3537" s="1"/>
      <c r="BU3537" s="1" t="str">
        <f>HYPERLINK("https://nconnect.nicmar.ac.in/storage/profile/2021-2023_AP21322_684925.jpg","Download")</f>
        <v>0</v>
      </c>
      <c r="BV3537" s="3"/>
      <c r="BW3537" s="3"/>
    </row>
    <row r="3538" spans="1:75">
      <c r="A3538" s="1" t="s">
        <v>51340</v>
      </c>
      <c r="B3538" s="1" t="s">
        <v>51341</v>
      </c>
      <c r="C3538" s="1" t="s">
        <v>56453</v>
      </c>
      <c r="D3538" s="1" t="s">
        <v>10634</v>
      </c>
      <c r="E3538" s="1" t="s">
        <v>5171</v>
      </c>
      <c r="F3538" s="1" t="s">
        <v>6845</v>
      </c>
      <c r="G3538" s="1" t="s">
        <v>56454</v>
      </c>
      <c r="H3538" s="1" t="s">
        <v>56455</v>
      </c>
      <c r="I3538" s="1" t="s">
        <v>56456</v>
      </c>
      <c r="J3538" s="1">
        <v>9045802821</v>
      </c>
      <c r="K3538" s="1" t="s">
        <v>84</v>
      </c>
      <c r="L3538" s="1" t="s">
        <v>53914</v>
      </c>
      <c r="M3538" s="1" t="s">
        <v>86</v>
      </c>
      <c r="N3538" s="1" t="s">
        <v>246</v>
      </c>
      <c r="O3538" s="1"/>
      <c r="P3538" s="1" t="s">
        <v>481</v>
      </c>
      <c r="Q3538" s="1" t="s">
        <v>56457</v>
      </c>
      <c r="R3538" s="1" t="s">
        <v>56458</v>
      </c>
      <c r="S3538" s="1">
        <v>9412352453</v>
      </c>
      <c r="T3538" s="1" t="s">
        <v>32387</v>
      </c>
      <c r="U3538" s="1" t="s">
        <v>56459</v>
      </c>
      <c r="V3538" s="1">
        <v>9411039333</v>
      </c>
      <c r="W3538" s="1" t="s">
        <v>94</v>
      </c>
      <c r="X3538" s="1" t="s">
        <v>56460</v>
      </c>
      <c r="Y3538" s="1" t="s">
        <v>56461</v>
      </c>
      <c r="Z3538" s="1" t="s">
        <v>7930</v>
      </c>
      <c r="AA3538" s="1" t="s">
        <v>56460</v>
      </c>
      <c r="AB3538" s="1" t="s">
        <v>56461</v>
      </c>
      <c r="AC3538" s="1" t="s">
        <v>7930</v>
      </c>
      <c r="AD3538" s="1" t="s">
        <v>98</v>
      </c>
      <c r="AE3538" s="1" t="s">
        <v>98</v>
      </c>
      <c r="AF3538" s="1" t="s">
        <v>56462</v>
      </c>
      <c r="AG3538" s="1" t="s">
        <v>50017</v>
      </c>
      <c r="AH3538" s="1">
        <v>41337</v>
      </c>
      <c r="AI3538" s="1">
        <v>41700</v>
      </c>
      <c r="AJ3538" s="1">
        <v>64.7</v>
      </c>
      <c r="AK3538" s="1">
        <v>6.8</v>
      </c>
      <c r="AL3538" s="1" t="s">
        <v>56463</v>
      </c>
      <c r="AM3538" s="1" t="s">
        <v>50017</v>
      </c>
      <c r="AN3538" s="1"/>
      <c r="AO3538" s="1">
        <v>42065</v>
      </c>
      <c r="AP3538" s="1">
        <v>42434</v>
      </c>
      <c r="AQ3538" s="1">
        <v>60.6</v>
      </c>
      <c r="AR3538" s="1">
        <v>0</v>
      </c>
      <c r="AS3538" s="1"/>
      <c r="AT3538" s="1"/>
      <c r="AU3538" s="1" t="s">
        <v>98</v>
      </c>
      <c r="AV3538" s="1" t="s">
        <v>98</v>
      </c>
      <c r="AW3538" s="1" t="s">
        <v>98</v>
      </c>
      <c r="AX3538" s="1" t="s">
        <v>98</v>
      </c>
      <c r="AY3538" s="1" t="s">
        <v>7933</v>
      </c>
      <c r="AZ3538" s="1" t="s">
        <v>56464</v>
      </c>
      <c r="BA3538" s="1"/>
      <c r="BB3538" s="1"/>
      <c r="BC3538" s="1">
        <v>42584</v>
      </c>
      <c r="BD3538" s="1">
        <v>44135</v>
      </c>
      <c r="BE3538" s="1">
        <v>65.04</v>
      </c>
      <c r="BF3538" s="1">
        <v>0</v>
      </c>
      <c r="BG3538" s="1"/>
      <c r="BH3538" s="1"/>
      <c r="BI3538" s="1"/>
      <c r="BJ3538" s="1"/>
      <c r="BK3538" s="1" t="s">
        <v>98</v>
      </c>
      <c r="BL3538" s="1" t="s">
        <v>98</v>
      </c>
      <c r="BM3538" s="1" t="s">
        <v>98</v>
      </c>
      <c r="BN3538" s="1" t="s">
        <v>98</v>
      </c>
      <c r="BO3538" s="1" t="s">
        <v>56465</v>
      </c>
      <c r="BP3538" s="1" t="s">
        <v>56466</v>
      </c>
      <c r="BQ3538" s="1" t="s">
        <v>2326</v>
      </c>
      <c r="BR3538" s="1" t="s">
        <v>56467</v>
      </c>
      <c r="BS3538" s="1">
        <v>31</v>
      </c>
      <c r="BT3538" s="1"/>
      <c r="BU3538" s="1" t="str">
        <f>HYPERLINK("https://nconnect.nicmar.ac.in/storage/profile/2021-2023_AP21323_214536.jpg","Download")</f>
        <v>0</v>
      </c>
      <c r="BV3538" s="3"/>
      <c r="BW3538" s="3"/>
    </row>
    <row r="3539" spans="1:75">
      <c r="A3539" s="1" t="s">
        <v>51340</v>
      </c>
      <c r="B3539" s="1" t="s">
        <v>51341</v>
      </c>
      <c r="C3539" s="1" t="s">
        <v>56468</v>
      </c>
      <c r="D3539" s="1" t="s">
        <v>2099</v>
      </c>
      <c r="E3539" s="1" t="s">
        <v>56469</v>
      </c>
      <c r="F3539" s="1" t="s">
        <v>30565</v>
      </c>
      <c r="G3539" s="1" t="s">
        <v>56470</v>
      </c>
      <c r="H3539" s="1" t="s">
        <v>56471</v>
      </c>
      <c r="I3539" s="1" t="s">
        <v>56472</v>
      </c>
      <c r="J3539" s="1">
        <v>9604066981</v>
      </c>
      <c r="K3539" s="1" t="s">
        <v>153</v>
      </c>
      <c r="L3539" s="1" t="s">
        <v>56473</v>
      </c>
      <c r="M3539" s="1" t="s">
        <v>86</v>
      </c>
      <c r="N3539" s="1" t="s">
        <v>1184</v>
      </c>
      <c r="O3539" s="1"/>
      <c r="P3539" s="1" t="s">
        <v>1028</v>
      </c>
      <c r="Q3539" s="1" t="s">
        <v>56474</v>
      </c>
      <c r="R3539" s="1" t="s">
        <v>56475</v>
      </c>
      <c r="S3539" s="1">
        <v>7058796951</v>
      </c>
      <c r="T3539" s="1" t="s">
        <v>698</v>
      </c>
      <c r="U3539" s="1" t="s">
        <v>56476</v>
      </c>
      <c r="V3539" s="1">
        <v>7385602813</v>
      </c>
      <c r="W3539" s="1" t="s">
        <v>94</v>
      </c>
      <c r="X3539" s="1" t="s">
        <v>56477</v>
      </c>
      <c r="Y3539" s="1" t="s">
        <v>196</v>
      </c>
      <c r="Z3539" s="1" t="s">
        <v>97</v>
      </c>
      <c r="AA3539" s="1" t="s">
        <v>56478</v>
      </c>
      <c r="AB3539" s="1" t="s">
        <v>196</v>
      </c>
      <c r="AC3539" s="1" t="s">
        <v>97</v>
      </c>
      <c r="AD3539" s="1" t="s">
        <v>98</v>
      </c>
      <c r="AE3539" s="1" t="s">
        <v>98</v>
      </c>
      <c r="AF3539" s="1" t="s">
        <v>56479</v>
      </c>
      <c r="AG3539" s="1" t="s">
        <v>2745</v>
      </c>
      <c r="AH3539" s="1">
        <v>41072</v>
      </c>
      <c r="AI3539" s="1" t="s">
        <v>56480</v>
      </c>
      <c r="AJ3539" s="1">
        <v>77.09</v>
      </c>
      <c r="AK3539" s="1"/>
      <c r="AL3539" s="1" t="s">
        <v>56481</v>
      </c>
      <c r="AM3539" s="1" t="s">
        <v>2745</v>
      </c>
      <c r="AN3539" s="1"/>
      <c r="AO3539" s="1">
        <v>41793</v>
      </c>
      <c r="AP3539" s="1">
        <v>42041</v>
      </c>
      <c r="AQ3539" s="1">
        <v>71.08</v>
      </c>
      <c r="AR3539" s="1"/>
      <c r="AS3539" s="1"/>
      <c r="AT3539" s="1"/>
      <c r="AU3539" s="1" t="s">
        <v>98</v>
      </c>
      <c r="AV3539" s="1" t="s">
        <v>98</v>
      </c>
      <c r="AW3539" s="1" t="s">
        <v>98</v>
      </c>
      <c r="AX3539" s="1" t="s">
        <v>98</v>
      </c>
      <c r="AY3539" s="1" t="s">
        <v>366</v>
      </c>
      <c r="AZ3539" s="1" t="s">
        <v>56482</v>
      </c>
      <c r="BA3539" s="1"/>
      <c r="BB3539" s="1"/>
      <c r="BC3539" s="1">
        <v>42190</v>
      </c>
      <c r="BD3539" s="1">
        <v>43664</v>
      </c>
      <c r="BE3539" s="1">
        <v>66.97</v>
      </c>
      <c r="BF3539" s="1">
        <v>7.61</v>
      </c>
      <c r="BG3539" s="1"/>
      <c r="BH3539" s="1"/>
      <c r="BI3539" s="1"/>
      <c r="BJ3539" s="1"/>
      <c r="BK3539" s="1" t="s">
        <v>98</v>
      </c>
      <c r="BL3539" s="1" t="s">
        <v>98</v>
      </c>
      <c r="BM3539" s="1" t="s">
        <v>98</v>
      </c>
      <c r="BN3539" s="1" t="s">
        <v>98</v>
      </c>
      <c r="BO3539" s="1" t="s">
        <v>369</v>
      </c>
      <c r="BP3539" s="1" t="s">
        <v>56483</v>
      </c>
      <c r="BQ3539" s="1" t="s">
        <v>1070</v>
      </c>
      <c r="BR3539" s="1" t="s">
        <v>56484</v>
      </c>
      <c r="BS3539" s="1">
        <v>12</v>
      </c>
      <c r="BT3539" s="1"/>
      <c r="BU3539" s="1" t="str">
        <f>HYPERLINK("https://nconnect.nicmar.ac.in/storage/profile/2021-2023_AP21324_524867.jpg","Download")</f>
        <v>0</v>
      </c>
      <c r="BV3539" s="3"/>
      <c r="BW3539" s="3"/>
    </row>
    <row r="3540" spans="1:75">
      <c r="A3540" s="1" t="s">
        <v>51340</v>
      </c>
      <c r="B3540" s="1" t="s">
        <v>51341</v>
      </c>
      <c r="C3540" s="1" t="s">
        <v>56485</v>
      </c>
      <c r="D3540" s="1" t="s">
        <v>56486</v>
      </c>
      <c r="E3540" s="1"/>
      <c r="F3540" s="1" t="s">
        <v>4802</v>
      </c>
      <c r="G3540" s="1" t="s">
        <v>56487</v>
      </c>
      <c r="H3540" s="1" t="s">
        <v>56488</v>
      </c>
      <c r="I3540" s="1" t="s">
        <v>56489</v>
      </c>
      <c r="J3540" s="1">
        <v>9482540499</v>
      </c>
      <c r="K3540" s="1" t="s">
        <v>153</v>
      </c>
      <c r="L3540" s="1" t="s">
        <v>56490</v>
      </c>
      <c r="M3540" s="1" t="s">
        <v>86</v>
      </c>
      <c r="N3540" s="1" t="s">
        <v>56491</v>
      </c>
      <c r="O3540" s="1"/>
      <c r="P3540" s="1" t="s">
        <v>455</v>
      </c>
      <c r="Q3540" s="1" t="s">
        <v>56492</v>
      </c>
      <c r="R3540" s="1" t="s">
        <v>31353</v>
      </c>
      <c r="S3540" s="1">
        <v>7019543080</v>
      </c>
      <c r="T3540" s="1" t="s">
        <v>839</v>
      </c>
      <c r="U3540" s="1" t="s">
        <v>8341</v>
      </c>
      <c r="V3540" s="1">
        <v>9448909999</v>
      </c>
      <c r="W3540" s="1" t="s">
        <v>94</v>
      </c>
      <c r="X3540" s="1" t="s">
        <v>56493</v>
      </c>
      <c r="Y3540" s="1" t="s">
        <v>53823</v>
      </c>
      <c r="Z3540" s="1" t="s">
        <v>1210</v>
      </c>
      <c r="AA3540" s="1" t="s">
        <v>56494</v>
      </c>
      <c r="AB3540" s="1" t="s">
        <v>53823</v>
      </c>
      <c r="AC3540" s="1" t="s">
        <v>1210</v>
      </c>
      <c r="AD3540" s="1" t="s">
        <v>98</v>
      </c>
      <c r="AE3540" s="1" t="s">
        <v>98</v>
      </c>
      <c r="AF3540" s="1" t="s">
        <v>56495</v>
      </c>
      <c r="AG3540" s="1" t="s">
        <v>312</v>
      </c>
      <c r="AH3540" s="1">
        <v>41791</v>
      </c>
      <c r="AI3540" s="1">
        <v>42091</v>
      </c>
      <c r="AJ3540" s="1">
        <v>87.4</v>
      </c>
      <c r="AK3540" s="1">
        <v>9.2</v>
      </c>
      <c r="AL3540" s="1" t="s">
        <v>56496</v>
      </c>
      <c r="AM3540" s="1" t="s">
        <v>312</v>
      </c>
      <c r="AN3540" s="1"/>
      <c r="AO3540" s="1">
        <v>42156</v>
      </c>
      <c r="AP3540" s="1">
        <v>42822</v>
      </c>
      <c r="AQ3540" s="1">
        <v>85.16</v>
      </c>
      <c r="AR3540" s="1"/>
      <c r="AS3540" s="1"/>
      <c r="AT3540" s="1"/>
      <c r="AU3540" s="1" t="s">
        <v>98</v>
      </c>
      <c r="AV3540" s="1" t="s">
        <v>98</v>
      </c>
      <c r="AW3540" s="1" t="s">
        <v>98</v>
      </c>
      <c r="AX3540" s="1" t="s">
        <v>98</v>
      </c>
      <c r="AY3540" s="1" t="s">
        <v>56497</v>
      </c>
      <c r="AZ3540" s="1" t="s">
        <v>56498</v>
      </c>
      <c r="BA3540" s="1"/>
      <c r="BB3540" s="1"/>
      <c r="BC3540" s="1">
        <v>42963</v>
      </c>
      <c r="BD3540" s="1">
        <v>44437</v>
      </c>
      <c r="BE3540" s="1">
        <v>76.2</v>
      </c>
      <c r="BF3540" s="1">
        <v>8.37</v>
      </c>
      <c r="BG3540" s="1"/>
      <c r="BH3540" s="1"/>
      <c r="BI3540" s="1"/>
      <c r="BJ3540" s="1"/>
      <c r="BK3540" s="1" t="s">
        <v>98</v>
      </c>
      <c r="BL3540" s="1" t="s">
        <v>98</v>
      </c>
      <c r="BM3540" s="1" t="s">
        <v>98</v>
      </c>
      <c r="BN3540" s="1" t="s">
        <v>98</v>
      </c>
      <c r="BO3540" s="1" t="s">
        <v>56499</v>
      </c>
      <c r="BP3540" s="1"/>
      <c r="BQ3540" s="1"/>
      <c r="BR3540" s="1" t="s">
        <v>56500</v>
      </c>
      <c r="BS3540" s="1">
        <v>17</v>
      </c>
      <c r="BT3540" s="1"/>
      <c r="BU3540" s="1" t="str">
        <f>HYPERLINK("https://nconnect.nicmar.ac.in/storage/profile/2021-2023_AP21325_761948.jpg","Download")</f>
        <v>0</v>
      </c>
      <c r="BV3540" s="3"/>
      <c r="BW3540" s="3"/>
    </row>
    <row r="3541" spans="1:75">
      <c r="A3541" s="1" t="s">
        <v>51340</v>
      </c>
      <c r="B3541" s="1" t="s">
        <v>51341</v>
      </c>
      <c r="C3541" s="1" t="s">
        <v>56501</v>
      </c>
      <c r="D3541" s="1" t="s">
        <v>1118</v>
      </c>
      <c r="E3541" s="1"/>
      <c r="F3541" s="1" t="s">
        <v>350</v>
      </c>
      <c r="G3541" s="1" t="s">
        <v>56502</v>
      </c>
      <c r="H3541" s="1" t="s">
        <v>56503</v>
      </c>
      <c r="I3541" s="1" t="s">
        <v>56504</v>
      </c>
      <c r="J3541" s="1">
        <v>7503135471</v>
      </c>
      <c r="K3541" s="1" t="s">
        <v>84</v>
      </c>
      <c r="L3541" s="1" t="s">
        <v>56505</v>
      </c>
      <c r="M3541" s="1" t="s">
        <v>86</v>
      </c>
      <c r="N3541" s="1" t="s">
        <v>2081</v>
      </c>
      <c r="O3541" s="1"/>
      <c r="P3541" s="1" t="s">
        <v>455</v>
      </c>
      <c r="Q3541" s="1" t="s">
        <v>56506</v>
      </c>
      <c r="R3541" s="1" t="s">
        <v>56507</v>
      </c>
      <c r="S3541" s="1">
        <v>9653997855</v>
      </c>
      <c r="T3541" s="1" t="s">
        <v>56508</v>
      </c>
      <c r="U3541" s="1" t="s">
        <v>56509</v>
      </c>
      <c r="V3541" s="1">
        <v>9899913816</v>
      </c>
      <c r="W3541" s="1" t="s">
        <v>2547</v>
      </c>
      <c r="X3541" s="1" t="s">
        <v>56510</v>
      </c>
      <c r="Y3541" s="1" t="s">
        <v>49076</v>
      </c>
      <c r="Z3541" s="1" t="s">
        <v>1700</v>
      </c>
      <c r="AA3541" s="1" t="s">
        <v>56511</v>
      </c>
      <c r="AB3541" s="1" t="s">
        <v>24598</v>
      </c>
      <c r="AC3541" s="1" t="s">
        <v>1700</v>
      </c>
      <c r="AD3541" s="1" t="s">
        <v>98</v>
      </c>
      <c r="AE3541" s="1" t="s">
        <v>98</v>
      </c>
      <c r="AF3541" s="1" t="s">
        <v>32045</v>
      </c>
      <c r="AG3541" s="1" t="s">
        <v>56512</v>
      </c>
      <c r="AH3541" s="1" t="s">
        <v>3770</v>
      </c>
      <c r="AI3541" s="1" t="s">
        <v>1457</v>
      </c>
      <c r="AJ3541" s="1">
        <v>64.6</v>
      </c>
      <c r="AK3541" s="1">
        <v>6.8</v>
      </c>
      <c r="AL3541" s="1" t="s">
        <v>98</v>
      </c>
      <c r="AM3541" s="1"/>
      <c r="AN3541" s="1"/>
      <c r="AO3541" s="1" t="s">
        <v>56513</v>
      </c>
      <c r="AP3541" s="1" t="s">
        <v>56514</v>
      </c>
      <c r="AQ3541" s="1"/>
      <c r="AR3541" s="1"/>
      <c r="AS3541" s="1" t="s">
        <v>103</v>
      </c>
      <c r="AT3541" s="1" t="s">
        <v>56515</v>
      </c>
      <c r="AU3541" s="1" t="s">
        <v>1583</v>
      </c>
      <c r="AV3541" s="1" t="s">
        <v>167</v>
      </c>
      <c r="AW3541" s="1">
        <v>64.8</v>
      </c>
      <c r="AX3541" s="1"/>
      <c r="AY3541" s="1" t="s">
        <v>56516</v>
      </c>
      <c r="AZ3541" s="1" t="s">
        <v>56517</v>
      </c>
      <c r="BA3541" s="1"/>
      <c r="BB3541" s="1"/>
      <c r="BC3541" s="1" t="s">
        <v>139</v>
      </c>
      <c r="BD3541" s="1" t="s">
        <v>315</v>
      </c>
      <c r="BE3541" s="1">
        <v>63.27</v>
      </c>
      <c r="BF3541" s="1">
        <v>6.66</v>
      </c>
      <c r="BG3541" s="1"/>
      <c r="BH3541" s="1"/>
      <c r="BI3541" s="1"/>
      <c r="BJ3541" s="1"/>
      <c r="BK3541" s="1"/>
      <c r="BL3541" s="1"/>
      <c r="BM3541" s="1"/>
      <c r="BN3541" s="1"/>
      <c r="BO3541" s="1" t="s">
        <v>1826</v>
      </c>
      <c r="BP3541" s="1"/>
      <c r="BQ3541" s="1"/>
      <c r="BR3541" s="1" t="s">
        <v>56518</v>
      </c>
      <c r="BS3541" s="1">
        <v>9</v>
      </c>
      <c r="BT3541" s="1"/>
      <c r="BU3541" s="1" t="str">
        <f>HYPERLINK("https://nconnect.nicmar.ac.in/storage/profile/2021-2023_AP21326_241835.jpg","Download")</f>
        <v>0</v>
      </c>
      <c r="BV3541" s="3"/>
      <c r="BW3541" s="3"/>
    </row>
    <row r="3542" spans="1:75">
      <c r="A3542" s="1" t="s">
        <v>51340</v>
      </c>
      <c r="B3542" s="1" t="s">
        <v>51341</v>
      </c>
      <c r="C3542" s="1" t="s">
        <v>56519</v>
      </c>
      <c r="D3542" s="1" t="s">
        <v>56520</v>
      </c>
      <c r="E3542" s="1"/>
      <c r="F3542" s="1" t="s">
        <v>56521</v>
      </c>
      <c r="G3542" s="1" t="s">
        <v>56522</v>
      </c>
      <c r="H3542" s="1" t="s">
        <v>56523</v>
      </c>
      <c r="I3542" s="1" t="s">
        <v>56524</v>
      </c>
      <c r="J3542" s="1">
        <v>7415618210</v>
      </c>
      <c r="K3542" s="1" t="s">
        <v>84</v>
      </c>
      <c r="L3542" s="1" t="s">
        <v>25166</v>
      </c>
      <c r="M3542" s="1" t="s">
        <v>86</v>
      </c>
      <c r="N3542" s="1" t="s">
        <v>379</v>
      </c>
      <c r="O3542" s="1"/>
      <c r="P3542" s="1" t="s">
        <v>507</v>
      </c>
      <c r="Q3542" s="1" t="s">
        <v>56525</v>
      </c>
      <c r="R3542" s="1" t="s">
        <v>56526</v>
      </c>
      <c r="S3542" s="1">
        <v>9425120582</v>
      </c>
      <c r="T3542" s="1" t="s">
        <v>6971</v>
      </c>
      <c r="U3542" s="1" t="s">
        <v>56527</v>
      </c>
      <c r="V3542" s="1">
        <v>8839627615</v>
      </c>
      <c r="W3542" s="1" t="s">
        <v>94</v>
      </c>
      <c r="X3542" s="1" t="s">
        <v>56528</v>
      </c>
      <c r="Y3542" s="1" t="s">
        <v>34665</v>
      </c>
      <c r="Z3542" s="1" t="s">
        <v>3419</v>
      </c>
      <c r="AA3542" s="1" t="s">
        <v>56529</v>
      </c>
      <c r="AB3542" s="1" t="s">
        <v>196</v>
      </c>
      <c r="AC3542" s="1" t="s">
        <v>97</v>
      </c>
      <c r="AD3542" s="1" t="s">
        <v>98</v>
      </c>
      <c r="AE3542" s="1" t="s">
        <v>98</v>
      </c>
      <c r="AF3542" s="1" t="s">
        <v>26428</v>
      </c>
      <c r="AG3542" s="1" t="s">
        <v>312</v>
      </c>
      <c r="AH3542" s="1">
        <v>41001</v>
      </c>
      <c r="AI3542" s="1">
        <v>41424</v>
      </c>
      <c r="AJ3542" s="1">
        <v>91.2</v>
      </c>
      <c r="AK3542" s="1">
        <v>9.6</v>
      </c>
      <c r="AL3542" s="1" t="s">
        <v>26428</v>
      </c>
      <c r="AM3542" s="1" t="s">
        <v>312</v>
      </c>
      <c r="AN3542" s="1"/>
      <c r="AO3542" s="1">
        <v>41731</v>
      </c>
      <c r="AP3542" s="1">
        <v>42149</v>
      </c>
      <c r="AQ3542" s="1">
        <v>74.2</v>
      </c>
      <c r="AR3542" s="1">
        <v>0</v>
      </c>
      <c r="AS3542" s="1" t="s">
        <v>98</v>
      </c>
      <c r="AT3542" s="1" t="s">
        <v>98</v>
      </c>
      <c r="AU3542" s="1" t="s">
        <v>98</v>
      </c>
      <c r="AV3542" s="1" t="s">
        <v>98</v>
      </c>
      <c r="AW3542" s="1" t="s">
        <v>98</v>
      </c>
      <c r="AX3542" s="1" t="s">
        <v>98</v>
      </c>
      <c r="AY3542" s="1" t="s">
        <v>1217</v>
      </c>
      <c r="AZ3542" s="1" t="s">
        <v>4815</v>
      </c>
      <c r="BA3542" s="1"/>
      <c r="BB3542" s="1"/>
      <c r="BC3542" s="1">
        <v>42590</v>
      </c>
      <c r="BD3542" s="1">
        <v>44193</v>
      </c>
      <c r="BE3542" s="1">
        <v>70.68</v>
      </c>
      <c r="BF3542" s="1">
        <v>7.44</v>
      </c>
      <c r="BG3542" s="1" t="s">
        <v>98</v>
      </c>
      <c r="BH3542" s="1"/>
      <c r="BI3542" s="1"/>
      <c r="BJ3542" s="1"/>
      <c r="BK3542" s="1" t="s">
        <v>98</v>
      </c>
      <c r="BL3542" s="1" t="s">
        <v>98</v>
      </c>
      <c r="BM3542" s="1" t="s">
        <v>98</v>
      </c>
      <c r="BN3542" s="1" t="s">
        <v>98</v>
      </c>
      <c r="BO3542" s="1"/>
      <c r="BP3542" s="1"/>
      <c r="BQ3542" s="1"/>
      <c r="BR3542" s="1" t="s">
        <v>56530</v>
      </c>
      <c r="BS3542" s="1">
        <v>12</v>
      </c>
      <c r="BT3542" s="1"/>
      <c r="BU3542" s="1" t="str">
        <f>HYPERLINK("https://nconnect.nicmar.ac.in/storage/profile/2021-2023_AP21327_625183.jpg","Download")</f>
        <v>0</v>
      </c>
      <c r="BV3542" s="3"/>
      <c r="BW3542" s="3"/>
    </row>
    <row r="3543" spans="1:75">
      <c r="A3543" s="1" t="s">
        <v>51340</v>
      </c>
      <c r="B3543" s="1" t="s">
        <v>51341</v>
      </c>
      <c r="C3543" s="1" t="s">
        <v>56531</v>
      </c>
      <c r="D3543" s="1" t="s">
        <v>1295</v>
      </c>
      <c r="E3543" s="1" t="s">
        <v>39269</v>
      </c>
      <c r="F3543" s="1" t="s">
        <v>53680</v>
      </c>
      <c r="G3543" s="1" t="s">
        <v>56532</v>
      </c>
      <c r="H3543" s="1" t="s">
        <v>56533</v>
      </c>
      <c r="I3543" s="1" t="s">
        <v>56534</v>
      </c>
      <c r="J3543" s="1">
        <v>7077552223</v>
      </c>
      <c r="K3543" s="1" t="s">
        <v>84</v>
      </c>
      <c r="L3543" s="1" t="s">
        <v>28255</v>
      </c>
      <c r="M3543" s="1" t="s">
        <v>86</v>
      </c>
      <c r="N3543" s="1" t="s">
        <v>13318</v>
      </c>
      <c r="O3543" s="1"/>
      <c r="P3543" s="1" t="s">
        <v>670</v>
      </c>
      <c r="Q3543" s="1" t="s">
        <v>56535</v>
      </c>
      <c r="R3543" s="1" t="s">
        <v>56536</v>
      </c>
      <c r="S3543" s="1">
        <v>9861006518</v>
      </c>
      <c r="T3543" s="1" t="s">
        <v>839</v>
      </c>
      <c r="U3543" s="1" t="s">
        <v>56537</v>
      </c>
      <c r="V3543" s="1">
        <v>7873444442</v>
      </c>
      <c r="W3543" s="1" t="s">
        <v>161</v>
      </c>
      <c r="X3543" s="1" t="s">
        <v>56538</v>
      </c>
      <c r="Y3543" s="1"/>
      <c r="Z3543" s="1" t="s">
        <v>865</v>
      </c>
      <c r="AA3543" s="1" t="s">
        <v>56538</v>
      </c>
      <c r="AB3543" s="1"/>
      <c r="AC3543" s="1" t="s">
        <v>865</v>
      </c>
      <c r="AD3543" s="1" t="s">
        <v>98</v>
      </c>
      <c r="AE3543" s="1" t="s">
        <v>98</v>
      </c>
      <c r="AF3543" s="1" t="s">
        <v>24232</v>
      </c>
      <c r="AG3543" s="1" t="s">
        <v>796</v>
      </c>
      <c r="AH3543" s="1" t="s">
        <v>1214</v>
      </c>
      <c r="AI3543" s="1" t="s">
        <v>136</v>
      </c>
      <c r="AJ3543" s="1">
        <v>60</v>
      </c>
      <c r="AK3543" s="1">
        <v>6</v>
      </c>
      <c r="AL3543" s="1" t="s">
        <v>56539</v>
      </c>
      <c r="AM3543" s="1" t="s">
        <v>796</v>
      </c>
      <c r="AN3543" s="1"/>
      <c r="AO3543" s="1" t="s">
        <v>1110</v>
      </c>
      <c r="AP3543" s="1" t="s">
        <v>573</v>
      </c>
      <c r="AQ3543" s="1">
        <v>60</v>
      </c>
      <c r="AR3543" s="1">
        <v>6</v>
      </c>
      <c r="AS3543" s="1"/>
      <c r="AT3543" s="1"/>
      <c r="AU3543" s="1"/>
      <c r="AV3543" s="1"/>
      <c r="AW3543" s="1"/>
      <c r="AX3543" s="1"/>
      <c r="AY3543" s="1" t="s">
        <v>4962</v>
      </c>
      <c r="AZ3543" s="1" t="s">
        <v>56540</v>
      </c>
      <c r="BA3543" s="1"/>
      <c r="BB3543" s="1"/>
      <c r="BC3543" s="1" t="s">
        <v>388</v>
      </c>
      <c r="BD3543" s="1" t="s">
        <v>549</v>
      </c>
      <c r="BE3543" s="1">
        <v>68</v>
      </c>
      <c r="BF3543" s="1">
        <v>6.81</v>
      </c>
      <c r="BG3543" s="1"/>
      <c r="BH3543" s="1"/>
      <c r="BI3543" s="1"/>
      <c r="BJ3543" s="1"/>
      <c r="BK3543" s="1"/>
      <c r="BL3543" s="1"/>
      <c r="BM3543" s="1"/>
      <c r="BN3543" s="1"/>
      <c r="BO3543" s="1" t="s">
        <v>849</v>
      </c>
      <c r="BP3543" s="1"/>
      <c r="BQ3543" s="1"/>
      <c r="BR3543" s="1" t="s">
        <v>56541</v>
      </c>
      <c r="BS3543" s="1">
        <v>13</v>
      </c>
      <c r="BT3543" s="1"/>
      <c r="BU3543" s="1" t="str">
        <f>HYPERLINK("https://nconnect.nicmar.ac.in/storage/profile/ProfilePhoto_AP21329_936218.jpg","Download")</f>
        <v>0</v>
      </c>
      <c r="BV3543" s="3"/>
      <c r="BW3543" s="3"/>
    </row>
    <row r="3544" spans="1:75">
      <c r="A3544" s="1" t="s">
        <v>51340</v>
      </c>
      <c r="B3544" s="1" t="s">
        <v>51341</v>
      </c>
      <c r="C3544" s="1" t="s">
        <v>56542</v>
      </c>
      <c r="D3544" s="1" t="s">
        <v>9134</v>
      </c>
      <c r="E3544" s="1" t="s">
        <v>5753</v>
      </c>
      <c r="F3544" s="1" t="s">
        <v>7091</v>
      </c>
      <c r="G3544" s="1" t="s">
        <v>56543</v>
      </c>
      <c r="H3544" s="1" t="s">
        <v>56544</v>
      </c>
      <c r="I3544" s="1" t="s">
        <v>56545</v>
      </c>
      <c r="J3544" s="1">
        <v>7757072918</v>
      </c>
      <c r="K3544" s="1" t="s">
        <v>84</v>
      </c>
      <c r="L3544" s="1" t="s">
        <v>56546</v>
      </c>
      <c r="M3544" s="1" t="s">
        <v>86</v>
      </c>
      <c r="N3544" s="1" t="s">
        <v>990</v>
      </c>
      <c r="O3544" s="1"/>
      <c r="P3544" s="1" t="s">
        <v>507</v>
      </c>
      <c r="Q3544" s="1" t="s">
        <v>56547</v>
      </c>
      <c r="R3544" s="1" t="s">
        <v>56548</v>
      </c>
      <c r="S3544" s="1">
        <v>9970465315</v>
      </c>
      <c r="T3544" s="1" t="s">
        <v>839</v>
      </c>
      <c r="U3544" s="1" t="s">
        <v>56549</v>
      </c>
      <c r="V3544" s="1">
        <v>9922632139</v>
      </c>
      <c r="W3544" s="1" t="s">
        <v>161</v>
      </c>
      <c r="X3544" s="1" t="s">
        <v>56550</v>
      </c>
      <c r="Y3544" s="1" t="s">
        <v>333</v>
      </c>
      <c r="Z3544" s="1" t="s">
        <v>97</v>
      </c>
      <c r="AA3544" s="1" t="s">
        <v>56550</v>
      </c>
      <c r="AB3544" s="1" t="s">
        <v>333</v>
      </c>
      <c r="AC3544" s="1" t="s">
        <v>97</v>
      </c>
      <c r="AD3544" s="1" t="s">
        <v>98</v>
      </c>
      <c r="AE3544" s="1" t="s">
        <v>98</v>
      </c>
      <c r="AF3544" s="1" t="s">
        <v>56551</v>
      </c>
      <c r="AG3544" s="1" t="s">
        <v>51712</v>
      </c>
      <c r="AH3544" s="1">
        <v>41451</v>
      </c>
      <c r="AI3544" s="1">
        <v>41816</v>
      </c>
      <c r="AJ3544" s="1">
        <v>82.2</v>
      </c>
      <c r="AK3544" s="1">
        <v>0</v>
      </c>
      <c r="AL3544" s="1" t="s">
        <v>98</v>
      </c>
      <c r="AM3544" s="1" t="s">
        <v>98</v>
      </c>
      <c r="AN3544" s="1"/>
      <c r="AO3544" s="1" t="s">
        <v>98</v>
      </c>
      <c r="AP3544" s="1" t="s">
        <v>98</v>
      </c>
      <c r="AQ3544" s="1"/>
      <c r="AR3544" s="1">
        <v>0</v>
      </c>
      <c r="AS3544" s="1" t="s">
        <v>439</v>
      </c>
      <c r="AT3544" s="1" t="s">
        <v>56552</v>
      </c>
      <c r="AU3544" s="1">
        <v>41846</v>
      </c>
      <c r="AV3544" s="1">
        <v>42908</v>
      </c>
      <c r="AW3544" s="1">
        <v>74.83</v>
      </c>
      <c r="AX3544" s="1">
        <v>0</v>
      </c>
      <c r="AY3544" s="1" t="s">
        <v>366</v>
      </c>
      <c r="AZ3544" s="1" t="s">
        <v>56553</v>
      </c>
      <c r="BA3544" s="1"/>
      <c r="BB3544" s="1"/>
      <c r="BC3544" s="1">
        <v>42949</v>
      </c>
      <c r="BD3544" s="1">
        <v>44146</v>
      </c>
      <c r="BE3544" s="1">
        <v>76.47</v>
      </c>
      <c r="BF3544" s="1">
        <v>8.69</v>
      </c>
      <c r="BG3544" s="1"/>
      <c r="BH3544" s="1"/>
      <c r="BI3544" s="1"/>
      <c r="BJ3544" s="1"/>
      <c r="BK3544" s="1" t="s">
        <v>98</v>
      </c>
      <c r="BL3544" s="1" t="s">
        <v>98</v>
      </c>
      <c r="BM3544" s="1" t="s">
        <v>98</v>
      </c>
      <c r="BN3544" s="1" t="s">
        <v>98</v>
      </c>
      <c r="BO3544" s="1" t="s">
        <v>369</v>
      </c>
      <c r="BP3544" s="1" t="s">
        <v>56554</v>
      </c>
      <c r="BQ3544" s="1" t="s">
        <v>2213</v>
      </c>
      <c r="BR3544" s="1" t="s">
        <v>56555</v>
      </c>
      <c r="BS3544" s="1">
        <v>17</v>
      </c>
      <c r="BT3544" s="1"/>
      <c r="BU3544" s="1" t="str">
        <f>HYPERLINK("https://nconnect.nicmar.ac.in/storage/profile/2021-2023_AP21330_482769.jpg","Download")</f>
        <v>0</v>
      </c>
      <c r="BV3544" s="3"/>
      <c r="BW3544" s="3"/>
    </row>
    <row r="3545" spans="1:75">
      <c r="A3545" s="1" t="s">
        <v>51340</v>
      </c>
      <c r="B3545" s="1" t="s">
        <v>51341</v>
      </c>
      <c r="C3545" s="1" t="s">
        <v>56556</v>
      </c>
      <c r="D3545" s="1" t="s">
        <v>56557</v>
      </c>
      <c r="E3545" s="1" t="s">
        <v>1404</v>
      </c>
      <c r="F3545" s="1" t="s">
        <v>1320</v>
      </c>
      <c r="G3545" s="1" t="s">
        <v>56558</v>
      </c>
      <c r="H3545" s="1" t="s">
        <v>56559</v>
      </c>
      <c r="I3545" s="1" t="s">
        <v>56560</v>
      </c>
      <c r="J3545" s="1">
        <v>9542749439</v>
      </c>
      <c r="K3545" s="1" t="s">
        <v>84</v>
      </c>
      <c r="L3545" s="1" t="s">
        <v>56561</v>
      </c>
      <c r="M3545" s="1" t="s">
        <v>86</v>
      </c>
      <c r="N3545" s="1" t="s">
        <v>3083</v>
      </c>
      <c r="O3545" s="1"/>
      <c r="P3545" s="1" t="s">
        <v>481</v>
      </c>
      <c r="Q3545" s="1" t="s">
        <v>56562</v>
      </c>
      <c r="R3545" s="1" t="s">
        <v>56563</v>
      </c>
      <c r="S3545" s="1">
        <v>9705833878</v>
      </c>
      <c r="T3545" s="1" t="s">
        <v>159</v>
      </c>
      <c r="U3545" s="1" t="s">
        <v>56564</v>
      </c>
      <c r="V3545" s="1">
        <v>9550700891</v>
      </c>
      <c r="W3545" s="1" t="s">
        <v>94</v>
      </c>
      <c r="X3545" s="1" t="s">
        <v>56565</v>
      </c>
      <c r="Y3545" s="1" t="s">
        <v>56566</v>
      </c>
      <c r="Z3545" s="1" t="s">
        <v>461</v>
      </c>
      <c r="AA3545" s="1" t="s">
        <v>56567</v>
      </c>
      <c r="AB3545" s="1" t="s">
        <v>56566</v>
      </c>
      <c r="AC3545" s="1" t="s">
        <v>461</v>
      </c>
      <c r="AD3545" s="1" t="s">
        <v>98</v>
      </c>
      <c r="AE3545" s="1" t="s">
        <v>98</v>
      </c>
      <c r="AF3545" s="1" t="s">
        <v>56568</v>
      </c>
      <c r="AG3545" s="1" t="s">
        <v>2634</v>
      </c>
      <c r="AH3545" s="1">
        <v>41437</v>
      </c>
      <c r="AI3545" s="1">
        <v>41774</v>
      </c>
      <c r="AJ3545" s="1">
        <v>88.35</v>
      </c>
      <c r="AK3545" s="1">
        <v>9.3</v>
      </c>
      <c r="AL3545" s="1" t="s">
        <v>56569</v>
      </c>
      <c r="AM3545" s="1" t="s">
        <v>2634</v>
      </c>
      <c r="AN3545" s="1"/>
      <c r="AO3545" s="1">
        <v>42163</v>
      </c>
      <c r="AP3545" s="1">
        <v>42484</v>
      </c>
      <c r="AQ3545" s="1">
        <v>88</v>
      </c>
      <c r="AR3545" s="1"/>
      <c r="AS3545" s="1"/>
      <c r="AT3545" s="1"/>
      <c r="AU3545" s="1" t="s">
        <v>98</v>
      </c>
      <c r="AV3545" s="1" t="s">
        <v>98</v>
      </c>
      <c r="AW3545" s="1" t="s">
        <v>98</v>
      </c>
      <c r="AX3545" s="1" t="s">
        <v>98</v>
      </c>
      <c r="AY3545" s="1" t="s">
        <v>56570</v>
      </c>
      <c r="AZ3545" s="1" t="s">
        <v>56571</v>
      </c>
      <c r="BA3545" s="1"/>
      <c r="BB3545" s="1"/>
      <c r="BC3545" s="1">
        <v>42590</v>
      </c>
      <c r="BD3545" s="1">
        <v>44159</v>
      </c>
      <c r="BE3545" s="1">
        <v>81.7</v>
      </c>
      <c r="BF3545" s="1">
        <v>8.67</v>
      </c>
      <c r="BG3545" s="1"/>
      <c r="BH3545" s="1"/>
      <c r="BI3545" s="1"/>
      <c r="BJ3545" s="1"/>
      <c r="BK3545" s="1" t="s">
        <v>98</v>
      </c>
      <c r="BL3545" s="1" t="s">
        <v>98</v>
      </c>
      <c r="BM3545" s="1" t="s">
        <v>98</v>
      </c>
      <c r="BN3545" s="1" t="s">
        <v>98</v>
      </c>
      <c r="BO3545" s="1" t="s">
        <v>369</v>
      </c>
      <c r="BP3545" s="1" t="s">
        <v>56572</v>
      </c>
      <c r="BQ3545" s="1" t="s">
        <v>893</v>
      </c>
      <c r="BR3545" s="1" t="s">
        <v>56573</v>
      </c>
      <c r="BS3545" s="1">
        <v>17</v>
      </c>
      <c r="BT3545" s="1"/>
      <c r="BU3545" s="1" t="s">
        <v>9653</v>
      </c>
      <c r="BV3545" s="3"/>
      <c r="BW3545" s="3"/>
    </row>
    <row r="3546" spans="1:75">
      <c r="A3546" s="1" t="s">
        <v>51340</v>
      </c>
      <c r="B3546" s="1" t="s">
        <v>51341</v>
      </c>
      <c r="C3546" s="1" t="s">
        <v>56574</v>
      </c>
      <c r="D3546" s="1" t="s">
        <v>56575</v>
      </c>
      <c r="E3546" s="1"/>
      <c r="F3546" s="1" t="s">
        <v>56576</v>
      </c>
      <c r="G3546" s="1" t="s">
        <v>56577</v>
      </c>
      <c r="H3546" s="1" t="s">
        <v>56578</v>
      </c>
      <c r="I3546" s="1" t="s">
        <v>56579</v>
      </c>
      <c r="J3546" s="1">
        <v>9652995479</v>
      </c>
      <c r="K3546" s="1" t="s">
        <v>84</v>
      </c>
      <c r="L3546" s="1" t="s">
        <v>34754</v>
      </c>
      <c r="M3546" s="1" t="s">
        <v>86</v>
      </c>
      <c r="N3546" s="1" t="s">
        <v>11528</v>
      </c>
      <c r="O3546" s="1"/>
      <c r="P3546" s="1" t="s">
        <v>455</v>
      </c>
      <c r="Q3546" s="1" t="s">
        <v>56580</v>
      </c>
      <c r="R3546" s="1" t="s">
        <v>56581</v>
      </c>
      <c r="S3546" s="1">
        <v>9701834339</v>
      </c>
      <c r="T3546" s="1" t="s">
        <v>159</v>
      </c>
      <c r="U3546" s="1" t="s">
        <v>56582</v>
      </c>
      <c r="V3546" s="1">
        <v>9701834339</v>
      </c>
      <c r="W3546" s="1" t="s">
        <v>94</v>
      </c>
      <c r="X3546" s="1" t="s">
        <v>56583</v>
      </c>
      <c r="Y3546" s="1" t="s">
        <v>725</v>
      </c>
      <c r="Z3546" s="1" t="s">
        <v>281</v>
      </c>
      <c r="AA3546" s="1" t="s">
        <v>56583</v>
      </c>
      <c r="AB3546" s="1" t="s">
        <v>3090</v>
      </c>
      <c r="AC3546" s="1" t="s">
        <v>281</v>
      </c>
      <c r="AD3546" s="1" t="s">
        <v>98</v>
      </c>
      <c r="AE3546" s="1" t="s">
        <v>98</v>
      </c>
      <c r="AF3546" s="1" t="s">
        <v>56584</v>
      </c>
      <c r="AG3546" s="1" t="s">
        <v>31399</v>
      </c>
      <c r="AH3546" s="1" t="s">
        <v>56585</v>
      </c>
      <c r="AI3546" s="1" t="s">
        <v>53805</v>
      </c>
      <c r="AJ3546" s="1">
        <v>69.35</v>
      </c>
      <c r="AK3546" s="1">
        <v>7.3</v>
      </c>
      <c r="AL3546" s="1" t="s">
        <v>56586</v>
      </c>
      <c r="AM3546" s="1" t="s">
        <v>56587</v>
      </c>
      <c r="AN3546" s="1"/>
      <c r="AO3546" s="1" t="s">
        <v>56588</v>
      </c>
      <c r="AP3546" s="1" t="s">
        <v>56589</v>
      </c>
      <c r="AQ3546" s="1">
        <v>85.2</v>
      </c>
      <c r="AR3546" s="1"/>
      <c r="AS3546" s="1"/>
      <c r="AT3546" s="1"/>
      <c r="AU3546" s="1"/>
      <c r="AV3546" s="1"/>
      <c r="AW3546" s="1"/>
      <c r="AX3546" s="1"/>
      <c r="AY3546" s="1" t="s">
        <v>2654</v>
      </c>
      <c r="AZ3546" s="1" t="s">
        <v>56590</v>
      </c>
      <c r="BA3546" s="1"/>
      <c r="BB3546" s="1"/>
      <c r="BC3546" s="1" t="s">
        <v>56591</v>
      </c>
      <c r="BD3546" s="1" t="s">
        <v>53015</v>
      </c>
      <c r="BE3546" s="1">
        <v>63.38</v>
      </c>
      <c r="BF3546" s="1"/>
      <c r="BG3546" s="1"/>
      <c r="BH3546" s="1"/>
      <c r="BI3546" s="1"/>
      <c r="BJ3546" s="1"/>
      <c r="BK3546" s="1"/>
      <c r="BL3546" s="1"/>
      <c r="BM3546" s="1"/>
      <c r="BN3546" s="1"/>
      <c r="BO3546" s="1" t="s">
        <v>56592</v>
      </c>
      <c r="BP3546" s="1"/>
      <c r="BQ3546" s="1"/>
      <c r="BR3546" s="1" t="s">
        <v>56593</v>
      </c>
      <c r="BS3546" s="1">
        <v>8</v>
      </c>
      <c r="BT3546" s="1"/>
      <c r="BU3546" s="1" t="str">
        <f>HYPERLINK("https://nconnect.nicmar.ac.in/storage/profile/2021-2023_AP21332_519864.JPG","Download")</f>
        <v>0</v>
      </c>
      <c r="BV3546" s="3"/>
      <c r="BW3546" s="3"/>
    </row>
    <row r="3547" spans="1:75">
      <c r="A3547" s="1" t="s">
        <v>51340</v>
      </c>
      <c r="B3547" s="1" t="s">
        <v>51341</v>
      </c>
      <c r="C3547" s="1" t="s">
        <v>56594</v>
      </c>
      <c r="D3547" s="1" t="s">
        <v>56595</v>
      </c>
      <c r="E3547" s="1" t="s">
        <v>42187</v>
      </c>
      <c r="F3547" s="1" t="s">
        <v>30810</v>
      </c>
      <c r="G3547" s="1" t="s">
        <v>56596</v>
      </c>
      <c r="H3547" s="1" t="s">
        <v>56597</v>
      </c>
      <c r="I3547" s="1" t="s">
        <v>56598</v>
      </c>
      <c r="J3547" s="1">
        <v>9966337315</v>
      </c>
      <c r="K3547" s="1" t="s">
        <v>84</v>
      </c>
      <c r="L3547" s="1" t="s">
        <v>14539</v>
      </c>
      <c r="M3547" s="1" t="s">
        <v>86</v>
      </c>
      <c r="N3547" s="1" t="s">
        <v>56599</v>
      </c>
      <c r="O3547" s="1"/>
      <c r="P3547" s="1" t="s">
        <v>507</v>
      </c>
      <c r="Q3547" s="1" t="s">
        <v>56600</v>
      </c>
      <c r="R3547" s="1" t="s">
        <v>56601</v>
      </c>
      <c r="S3547" s="1">
        <v>9640768431</v>
      </c>
      <c r="T3547" s="1" t="s">
        <v>839</v>
      </c>
      <c r="U3547" s="1" t="s">
        <v>56602</v>
      </c>
      <c r="V3547" s="1">
        <v>9848762900</v>
      </c>
      <c r="W3547" s="1" t="s">
        <v>3188</v>
      </c>
      <c r="X3547" s="1" t="s">
        <v>56603</v>
      </c>
      <c r="Y3547" s="1" t="s">
        <v>56604</v>
      </c>
      <c r="Z3547" s="1" t="s">
        <v>461</v>
      </c>
      <c r="AA3547" s="1" t="s">
        <v>56603</v>
      </c>
      <c r="AB3547" s="1" t="s">
        <v>56604</v>
      </c>
      <c r="AC3547" s="1" t="s">
        <v>461</v>
      </c>
      <c r="AD3547" s="1" t="s">
        <v>98</v>
      </c>
      <c r="AE3547" s="1" t="s">
        <v>98</v>
      </c>
      <c r="AF3547" s="1" t="s">
        <v>56605</v>
      </c>
      <c r="AG3547" s="1" t="s">
        <v>1418</v>
      </c>
      <c r="AH3547" s="1" t="s">
        <v>254</v>
      </c>
      <c r="AI3547" s="1" t="s">
        <v>134</v>
      </c>
      <c r="AJ3547" s="1">
        <v>92</v>
      </c>
      <c r="AK3547" s="1">
        <v>9.2</v>
      </c>
      <c r="AL3547" s="1" t="s">
        <v>6288</v>
      </c>
      <c r="AM3547" s="1" t="s">
        <v>1418</v>
      </c>
      <c r="AN3547" s="1"/>
      <c r="AO3547" s="1" t="s">
        <v>1213</v>
      </c>
      <c r="AP3547" s="1" t="s">
        <v>1110</v>
      </c>
      <c r="AQ3547" s="1">
        <v>91.8</v>
      </c>
      <c r="AR3547" s="1">
        <v>0</v>
      </c>
      <c r="AS3547" s="1"/>
      <c r="AT3547" s="1"/>
      <c r="AU3547" s="1" t="s">
        <v>98</v>
      </c>
      <c r="AV3547" s="1" t="s">
        <v>98</v>
      </c>
      <c r="AW3547" s="1" t="s">
        <v>98</v>
      </c>
      <c r="AX3547" s="1" t="s">
        <v>98</v>
      </c>
      <c r="AY3547" s="1" t="s">
        <v>56606</v>
      </c>
      <c r="AZ3547" s="1" t="s">
        <v>56607</v>
      </c>
      <c r="BA3547" s="1"/>
      <c r="BB3547" s="1"/>
      <c r="BC3547" s="1" t="s">
        <v>105</v>
      </c>
      <c r="BD3547" s="1" t="s">
        <v>206</v>
      </c>
      <c r="BE3547" s="1">
        <v>61.7</v>
      </c>
      <c r="BF3547" s="1">
        <v>0</v>
      </c>
      <c r="BG3547" s="1"/>
      <c r="BH3547" s="1"/>
      <c r="BI3547" s="1"/>
      <c r="BJ3547" s="1"/>
      <c r="BK3547" s="1" t="s">
        <v>98</v>
      </c>
      <c r="BL3547" s="1" t="s">
        <v>98</v>
      </c>
      <c r="BM3547" s="1" t="s">
        <v>98</v>
      </c>
      <c r="BN3547" s="1" t="s">
        <v>98</v>
      </c>
      <c r="BO3547" s="1" t="s">
        <v>56608</v>
      </c>
      <c r="BP3547" s="1" t="s">
        <v>56609</v>
      </c>
      <c r="BQ3547" s="1" t="s">
        <v>3971</v>
      </c>
      <c r="BR3547" s="1" t="s">
        <v>56610</v>
      </c>
      <c r="BS3547" s="1">
        <v>37</v>
      </c>
      <c r="BT3547" s="1"/>
      <c r="BU3547" s="1" t="str">
        <f>HYPERLINK("https://nconnect.nicmar.ac.in/storage/profile/2021-2023_AP21333_715468.jpg","Download")</f>
        <v>0</v>
      </c>
      <c r="BV3547" s="3"/>
      <c r="BW3547" s="3"/>
    </row>
    <row r="3548" spans="1:75">
      <c r="A3548" s="1" t="s">
        <v>51340</v>
      </c>
      <c r="B3548" s="1" t="s">
        <v>51341</v>
      </c>
      <c r="C3548" s="1" t="s">
        <v>56611</v>
      </c>
      <c r="D3548" s="1" t="s">
        <v>37390</v>
      </c>
      <c r="E3548" s="1"/>
      <c r="F3548" s="1" t="s">
        <v>1964</v>
      </c>
      <c r="G3548" s="1" t="s">
        <v>56612</v>
      </c>
      <c r="H3548" s="1" t="s">
        <v>56613</v>
      </c>
      <c r="I3548" s="1" t="s">
        <v>56614</v>
      </c>
      <c r="J3548" s="1">
        <v>8762297971</v>
      </c>
      <c r="K3548" s="1" t="s">
        <v>153</v>
      </c>
      <c r="L3548" s="1" t="s">
        <v>56615</v>
      </c>
      <c r="M3548" s="1" t="s">
        <v>86</v>
      </c>
      <c r="N3548" s="1" t="s">
        <v>56616</v>
      </c>
      <c r="O3548" s="1"/>
      <c r="P3548" s="1" t="s">
        <v>507</v>
      </c>
      <c r="Q3548" s="1" t="s">
        <v>56617</v>
      </c>
      <c r="R3548" s="1" t="s">
        <v>56618</v>
      </c>
      <c r="S3548" s="1">
        <v>9448181690</v>
      </c>
      <c r="T3548" s="1" t="s">
        <v>9486</v>
      </c>
      <c r="U3548" s="1" t="s">
        <v>56619</v>
      </c>
      <c r="V3548" s="1">
        <v>9482286807</v>
      </c>
      <c r="W3548" s="1" t="s">
        <v>94</v>
      </c>
      <c r="X3548" s="1" t="s">
        <v>56620</v>
      </c>
      <c r="Y3548" s="1" t="s">
        <v>9074</v>
      </c>
      <c r="Z3548" s="1" t="s">
        <v>1210</v>
      </c>
      <c r="AA3548" s="1" t="s">
        <v>56620</v>
      </c>
      <c r="AB3548" s="1" t="s">
        <v>9074</v>
      </c>
      <c r="AC3548" s="1" t="s">
        <v>1210</v>
      </c>
      <c r="AD3548" s="1" t="s">
        <v>98</v>
      </c>
      <c r="AE3548" s="1" t="s">
        <v>98</v>
      </c>
      <c r="AF3548" s="1" t="s">
        <v>56621</v>
      </c>
      <c r="AG3548" s="1" t="s">
        <v>56622</v>
      </c>
      <c r="AH3548" s="1" t="s">
        <v>133</v>
      </c>
      <c r="AI3548" s="1" t="s">
        <v>3421</v>
      </c>
      <c r="AJ3548" s="1">
        <v>82.72</v>
      </c>
      <c r="AK3548" s="1">
        <v>0</v>
      </c>
      <c r="AL3548" s="1" t="s">
        <v>56623</v>
      </c>
      <c r="AM3548" s="1" t="s">
        <v>56622</v>
      </c>
      <c r="AN3548" s="1"/>
      <c r="AO3548" s="1" t="s">
        <v>101</v>
      </c>
      <c r="AP3548" s="1" t="s">
        <v>102</v>
      </c>
      <c r="AQ3548" s="1">
        <v>78.83</v>
      </c>
      <c r="AR3548" s="1">
        <v>0</v>
      </c>
      <c r="AS3548" s="1"/>
      <c r="AT3548" s="1"/>
      <c r="AU3548" s="1" t="s">
        <v>98</v>
      </c>
      <c r="AV3548" s="1" t="s">
        <v>98</v>
      </c>
      <c r="AW3548" s="1"/>
      <c r="AX3548" s="1"/>
      <c r="AY3548" s="1" t="s">
        <v>1217</v>
      </c>
      <c r="AZ3548" s="1" t="s">
        <v>7754</v>
      </c>
      <c r="BA3548" s="1"/>
      <c r="BB3548" s="1"/>
      <c r="BC3548" s="1" t="s">
        <v>105</v>
      </c>
      <c r="BD3548" s="1" t="s">
        <v>468</v>
      </c>
      <c r="BE3548" s="1">
        <v>60</v>
      </c>
      <c r="BF3548" s="1">
        <v>6.75</v>
      </c>
      <c r="BG3548" s="1"/>
      <c r="BH3548" s="1"/>
      <c r="BI3548" s="1"/>
      <c r="BJ3548" s="1"/>
      <c r="BK3548" s="1" t="s">
        <v>98</v>
      </c>
      <c r="BL3548" s="1" t="s">
        <v>98</v>
      </c>
      <c r="BM3548" s="1" t="s">
        <v>98</v>
      </c>
      <c r="BN3548" s="1" t="s">
        <v>98</v>
      </c>
      <c r="BO3548" s="1" t="s">
        <v>56624</v>
      </c>
      <c r="BP3548" s="1" t="s">
        <v>56625</v>
      </c>
      <c r="BQ3548" s="1" t="s">
        <v>893</v>
      </c>
      <c r="BR3548" s="1" t="s">
        <v>56626</v>
      </c>
      <c r="BS3548" s="1">
        <v>31</v>
      </c>
      <c r="BT3548" s="1"/>
      <c r="BU3548" s="1" t="str">
        <f>HYPERLINK("https://nconnect.nicmar.ac.in/storage/profile/2021-2023_AP21334_478521.jpg","Download")</f>
        <v>0</v>
      </c>
      <c r="BV3548" s="3"/>
      <c r="BW3548" s="3"/>
    </row>
    <row r="3549" spans="1:75">
      <c r="A3549" s="1" t="s">
        <v>51340</v>
      </c>
      <c r="B3549" s="1" t="s">
        <v>51341</v>
      </c>
      <c r="C3549" s="1" t="s">
        <v>56627</v>
      </c>
      <c r="D3549" s="1" t="s">
        <v>10414</v>
      </c>
      <c r="E3549" s="1" t="s">
        <v>40920</v>
      </c>
      <c r="F3549" s="1" t="s">
        <v>56628</v>
      </c>
      <c r="G3549" s="1" t="s">
        <v>56629</v>
      </c>
      <c r="H3549" s="1" t="s">
        <v>56630</v>
      </c>
      <c r="I3549" s="1" t="s">
        <v>56631</v>
      </c>
      <c r="J3549" s="1">
        <v>7828971095</v>
      </c>
      <c r="K3549" s="1" t="s">
        <v>84</v>
      </c>
      <c r="L3549" s="1" t="s">
        <v>56632</v>
      </c>
      <c r="M3549" s="1" t="s">
        <v>86</v>
      </c>
      <c r="N3549" s="1" t="s">
        <v>121</v>
      </c>
      <c r="O3549" s="1"/>
      <c r="P3549" s="1" t="s">
        <v>2062</v>
      </c>
      <c r="Q3549" s="1" t="s">
        <v>56633</v>
      </c>
      <c r="R3549" s="1" t="s">
        <v>56634</v>
      </c>
      <c r="S3549" s="1">
        <v>9406341095</v>
      </c>
      <c r="T3549" s="1" t="s">
        <v>56635</v>
      </c>
      <c r="U3549" s="1" t="s">
        <v>56636</v>
      </c>
      <c r="V3549" s="1">
        <v>8839696500</v>
      </c>
      <c r="W3549" s="1" t="s">
        <v>161</v>
      </c>
      <c r="X3549" s="1" t="s">
        <v>56637</v>
      </c>
      <c r="Y3549" s="1" t="s">
        <v>56638</v>
      </c>
      <c r="Z3549" s="1" t="s">
        <v>130</v>
      </c>
      <c r="AA3549" s="1" t="s">
        <v>56637</v>
      </c>
      <c r="AB3549" s="1" t="s">
        <v>56638</v>
      </c>
      <c r="AC3549" s="1" t="s">
        <v>130</v>
      </c>
      <c r="AD3549" s="1" t="s">
        <v>98</v>
      </c>
      <c r="AE3549" s="1" t="s">
        <v>98</v>
      </c>
      <c r="AF3549" s="1" t="s">
        <v>1624</v>
      </c>
      <c r="AG3549" s="1" t="s">
        <v>312</v>
      </c>
      <c r="AH3549" s="1">
        <v>40637</v>
      </c>
      <c r="AI3549" s="1">
        <v>41053</v>
      </c>
      <c r="AJ3549" s="1">
        <v>72.2</v>
      </c>
      <c r="AK3549" s="1">
        <v>7.6</v>
      </c>
      <c r="AL3549" s="1" t="s">
        <v>56639</v>
      </c>
      <c r="AM3549" s="1" t="s">
        <v>312</v>
      </c>
      <c r="AN3549" s="1"/>
      <c r="AO3549" s="1">
        <v>41429</v>
      </c>
      <c r="AP3549" s="1">
        <v>41785</v>
      </c>
      <c r="AQ3549" s="1">
        <v>72.4</v>
      </c>
      <c r="AR3549" s="1"/>
      <c r="AS3549" s="1"/>
      <c r="AT3549" s="1"/>
      <c r="AU3549" s="1" t="s">
        <v>98</v>
      </c>
      <c r="AV3549" s="1" t="s">
        <v>98</v>
      </c>
      <c r="AW3549" s="1" t="s">
        <v>98</v>
      </c>
      <c r="AX3549" s="1" t="s">
        <v>98</v>
      </c>
      <c r="AY3549" s="1" t="s">
        <v>32011</v>
      </c>
      <c r="AZ3549" s="1" t="s">
        <v>56640</v>
      </c>
      <c r="BA3549" s="1"/>
      <c r="BB3549" s="1"/>
      <c r="BC3549" s="1">
        <v>41831</v>
      </c>
      <c r="BD3549" s="1">
        <v>43505</v>
      </c>
      <c r="BE3549" s="1">
        <v>70.8</v>
      </c>
      <c r="BF3549" s="1">
        <v>7.58</v>
      </c>
      <c r="BG3549" s="1"/>
      <c r="BH3549" s="1"/>
      <c r="BI3549" s="1"/>
      <c r="BJ3549" s="1"/>
      <c r="BK3549" s="1" t="s">
        <v>98</v>
      </c>
      <c r="BL3549" s="1" t="s">
        <v>98</v>
      </c>
      <c r="BM3549" s="1" t="s">
        <v>98</v>
      </c>
      <c r="BN3549" s="1" t="s">
        <v>98</v>
      </c>
      <c r="BO3549" s="1" t="s">
        <v>56641</v>
      </c>
      <c r="BP3549" s="1"/>
      <c r="BQ3549" s="1"/>
      <c r="BR3549" s="1" t="s">
        <v>56642</v>
      </c>
      <c r="BS3549" s="1">
        <v>10</v>
      </c>
      <c r="BT3549" s="1"/>
      <c r="BU3549" s="1" t="str">
        <f>HYPERLINK("https://nconnect.nicmar.ac.in/storage/profile/2021-2023_AP21335_943625.jpg","Download")</f>
        <v>0</v>
      </c>
      <c r="BV3549" s="3"/>
      <c r="BW3549" s="3"/>
    </row>
    <row r="3550" spans="1:75">
      <c r="A3550" s="1" t="s">
        <v>51340</v>
      </c>
      <c r="B3550" s="1" t="s">
        <v>51341</v>
      </c>
      <c r="C3550" s="1" t="s">
        <v>56643</v>
      </c>
      <c r="D3550" s="1" t="s">
        <v>53538</v>
      </c>
      <c r="E3550" s="1"/>
      <c r="F3550" s="1" t="s">
        <v>31457</v>
      </c>
      <c r="G3550" s="1" t="s">
        <v>56644</v>
      </c>
      <c r="H3550" s="1" t="s">
        <v>56645</v>
      </c>
      <c r="I3550" s="1" t="s">
        <v>56646</v>
      </c>
      <c r="J3550" s="1">
        <v>8405811515</v>
      </c>
      <c r="K3550" s="1" t="s">
        <v>84</v>
      </c>
      <c r="L3550" s="1" t="s">
        <v>56647</v>
      </c>
      <c r="M3550" s="1" t="s">
        <v>86</v>
      </c>
      <c r="N3550" s="1" t="s">
        <v>33137</v>
      </c>
      <c r="O3550" s="1"/>
      <c r="P3550" s="1" t="s">
        <v>455</v>
      </c>
      <c r="Q3550" s="1" t="s">
        <v>56648</v>
      </c>
      <c r="R3550" s="1" t="s">
        <v>56649</v>
      </c>
      <c r="S3550" s="1">
        <v>6204152180</v>
      </c>
      <c r="T3550" s="1" t="s">
        <v>539</v>
      </c>
      <c r="U3550" s="1" t="s">
        <v>56650</v>
      </c>
      <c r="V3550" s="1">
        <v>6206954457</v>
      </c>
      <c r="W3550" s="1" t="s">
        <v>161</v>
      </c>
      <c r="X3550" s="1" t="s">
        <v>56651</v>
      </c>
      <c r="Y3550" s="1" t="s">
        <v>53362</v>
      </c>
      <c r="Z3550" s="1" t="s">
        <v>2955</v>
      </c>
      <c r="AA3550" s="1" t="s">
        <v>56651</v>
      </c>
      <c r="AB3550" s="1" t="s">
        <v>53362</v>
      </c>
      <c r="AC3550" s="1" t="s">
        <v>2955</v>
      </c>
      <c r="AD3550" s="1" t="s">
        <v>98</v>
      </c>
      <c r="AE3550" s="1" t="s">
        <v>98</v>
      </c>
      <c r="AF3550" s="1" t="s">
        <v>56652</v>
      </c>
      <c r="AG3550" s="1" t="s">
        <v>56653</v>
      </c>
      <c r="AH3550" s="1">
        <v>40366</v>
      </c>
      <c r="AI3550" s="1">
        <v>40704</v>
      </c>
      <c r="AJ3550" s="1">
        <v>81.7</v>
      </c>
      <c r="AK3550" s="1">
        <v>8.6</v>
      </c>
      <c r="AL3550" s="1" t="s">
        <v>56654</v>
      </c>
      <c r="AM3550" s="1" t="s">
        <v>56653</v>
      </c>
      <c r="AN3550" s="1"/>
      <c r="AO3550" s="1">
        <v>41073</v>
      </c>
      <c r="AP3550" s="1">
        <v>41421</v>
      </c>
      <c r="AQ3550" s="1">
        <v>58.4</v>
      </c>
      <c r="AR3550" s="1"/>
      <c r="AS3550" s="1"/>
      <c r="AT3550" s="1"/>
      <c r="AU3550" s="1" t="s">
        <v>98</v>
      </c>
      <c r="AV3550" s="1" t="s">
        <v>98</v>
      </c>
      <c r="AW3550" s="1" t="s">
        <v>98</v>
      </c>
      <c r="AX3550" s="1" t="s">
        <v>98</v>
      </c>
      <c r="AY3550" s="1" t="s">
        <v>56655</v>
      </c>
      <c r="AZ3550" s="1" t="s">
        <v>56656</v>
      </c>
      <c r="BA3550" s="1"/>
      <c r="BB3550" s="1"/>
      <c r="BC3550" s="1">
        <v>41491</v>
      </c>
      <c r="BD3550" s="1">
        <v>42933</v>
      </c>
      <c r="BE3550" s="1">
        <v>66.2</v>
      </c>
      <c r="BF3550" s="1">
        <v>6.62</v>
      </c>
      <c r="BG3550" s="1"/>
      <c r="BH3550" s="1"/>
      <c r="BI3550" s="1"/>
      <c r="BJ3550" s="1"/>
      <c r="BK3550" s="1" t="s">
        <v>98</v>
      </c>
      <c r="BL3550" s="1" t="s">
        <v>98</v>
      </c>
      <c r="BM3550" s="1" t="s">
        <v>98</v>
      </c>
      <c r="BN3550" s="1" t="s">
        <v>98</v>
      </c>
      <c r="BO3550" s="1" t="s">
        <v>56657</v>
      </c>
      <c r="BP3550" s="1" t="s">
        <v>56658</v>
      </c>
      <c r="BQ3550" s="1" t="s">
        <v>56659</v>
      </c>
      <c r="BR3550" s="1" t="s">
        <v>56660</v>
      </c>
      <c r="BS3550" s="1">
        <v>17</v>
      </c>
      <c r="BT3550" s="1"/>
      <c r="BU3550" s="1" t="str">
        <f>HYPERLINK("https://nconnect.nicmar.ac.in/storage/profile/2021-2023_AP21336_465719.jpg","Download")</f>
        <v>0</v>
      </c>
      <c r="BV3550" s="3"/>
      <c r="BW3550" s="3"/>
    </row>
    <row r="3551" spans="1:75">
      <c r="A3551" s="1" t="s">
        <v>51340</v>
      </c>
      <c r="B3551" s="1" t="s">
        <v>51341</v>
      </c>
      <c r="C3551" s="1" t="s">
        <v>56661</v>
      </c>
      <c r="D3551" s="1" t="s">
        <v>960</v>
      </c>
      <c r="E3551" s="1"/>
      <c r="F3551" s="1" t="s">
        <v>25600</v>
      </c>
      <c r="G3551" s="1" t="s">
        <v>56662</v>
      </c>
      <c r="H3551" s="1" t="s">
        <v>56663</v>
      </c>
      <c r="I3551" s="1" t="s">
        <v>56664</v>
      </c>
      <c r="J3551" s="1">
        <v>8109940625</v>
      </c>
      <c r="K3551" s="1" t="s">
        <v>84</v>
      </c>
      <c r="L3551" s="1" t="s">
        <v>56665</v>
      </c>
      <c r="M3551" s="1" t="s">
        <v>86</v>
      </c>
      <c r="N3551" s="1" t="s">
        <v>87</v>
      </c>
      <c r="O3551" s="1"/>
      <c r="P3551" s="1" t="s">
        <v>507</v>
      </c>
      <c r="Q3551" s="1" t="s">
        <v>56666</v>
      </c>
      <c r="R3551" s="1" t="s">
        <v>56667</v>
      </c>
      <c r="S3551" s="1">
        <v>9826041017</v>
      </c>
      <c r="T3551" s="1" t="s">
        <v>3188</v>
      </c>
      <c r="U3551" s="1" t="s">
        <v>56668</v>
      </c>
      <c r="V3551" s="1">
        <v>9669808855</v>
      </c>
      <c r="W3551" s="1" t="s">
        <v>94</v>
      </c>
      <c r="X3551" s="1" t="s">
        <v>56669</v>
      </c>
      <c r="Y3551" s="1" t="s">
        <v>5219</v>
      </c>
      <c r="Z3551" s="1" t="s">
        <v>3419</v>
      </c>
      <c r="AA3551" s="1" t="s">
        <v>56669</v>
      </c>
      <c r="AB3551" s="1" t="s">
        <v>5219</v>
      </c>
      <c r="AC3551" s="1" t="s">
        <v>3419</v>
      </c>
      <c r="AD3551" s="1" t="s">
        <v>98</v>
      </c>
      <c r="AE3551" s="1" t="s">
        <v>98</v>
      </c>
      <c r="AF3551" s="1" t="s">
        <v>56670</v>
      </c>
      <c r="AG3551" s="1" t="s">
        <v>312</v>
      </c>
      <c r="AH3551" s="1">
        <v>40637</v>
      </c>
      <c r="AI3551" s="1" t="s">
        <v>55004</v>
      </c>
      <c r="AJ3551" s="1">
        <v>64.6</v>
      </c>
      <c r="AK3551" s="1">
        <v>6.8</v>
      </c>
      <c r="AL3551" s="1" t="s">
        <v>56670</v>
      </c>
      <c r="AM3551" s="1" t="s">
        <v>312</v>
      </c>
      <c r="AN3551" s="1"/>
      <c r="AO3551" s="1">
        <v>41366</v>
      </c>
      <c r="AP3551" s="1">
        <v>41787</v>
      </c>
      <c r="AQ3551" s="1">
        <v>57</v>
      </c>
      <c r="AR3551" s="1"/>
      <c r="AS3551" s="1"/>
      <c r="AT3551" s="1"/>
      <c r="AU3551" s="1" t="s">
        <v>98</v>
      </c>
      <c r="AV3551" s="1" t="s">
        <v>98</v>
      </c>
      <c r="AW3551" s="1" t="s">
        <v>98</v>
      </c>
      <c r="AX3551" s="1" t="s">
        <v>98</v>
      </c>
      <c r="AY3551" s="1" t="s">
        <v>29449</v>
      </c>
      <c r="AZ3551" s="1" t="s">
        <v>56671</v>
      </c>
      <c r="BA3551" s="1"/>
      <c r="BB3551" s="1"/>
      <c r="BC3551" s="1">
        <v>42227</v>
      </c>
      <c r="BD3551" s="1">
        <v>43622</v>
      </c>
      <c r="BE3551" s="1">
        <v>76.2</v>
      </c>
      <c r="BF3551" s="1">
        <v>7.62</v>
      </c>
      <c r="BG3551" s="1"/>
      <c r="BH3551" s="1"/>
      <c r="BI3551" s="1"/>
      <c r="BJ3551" s="1"/>
      <c r="BK3551" s="1" t="s">
        <v>98</v>
      </c>
      <c r="BL3551" s="1" t="s">
        <v>98</v>
      </c>
      <c r="BM3551" s="1" t="s">
        <v>98</v>
      </c>
      <c r="BN3551" s="1" t="s">
        <v>98</v>
      </c>
      <c r="BO3551" s="1" t="s">
        <v>56672</v>
      </c>
      <c r="BP3551" s="1"/>
      <c r="BQ3551" s="1"/>
      <c r="BR3551" s="1" t="s">
        <v>56673</v>
      </c>
      <c r="BS3551" s="1">
        <v>32</v>
      </c>
      <c r="BT3551" s="1"/>
      <c r="BU3551" s="1" t="str">
        <f>HYPERLINK("https://nconnect.nicmar.ac.in/storage/profile/2021-2023_AP21337_841629.jpg","Download")</f>
        <v>0</v>
      </c>
      <c r="BV3551" s="3"/>
      <c r="BW3551" s="3"/>
    </row>
    <row r="3552" spans="1:75">
      <c r="A3552" s="1" t="s">
        <v>51340</v>
      </c>
      <c r="B3552" s="1" t="s">
        <v>51341</v>
      </c>
      <c r="C3552" s="1" t="s">
        <v>56674</v>
      </c>
      <c r="D3552" s="1" t="s">
        <v>8789</v>
      </c>
      <c r="E3552" s="1"/>
      <c r="F3552" s="1" t="s">
        <v>2867</v>
      </c>
      <c r="G3552" s="1" t="s">
        <v>56675</v>
      </c>
      <c r="H3552" s="1" t="s">
        <v>56676</v>
      </c>
      <c r="I3552" s="1" t="s">
        <v>56677</v>
      </c>
      <c r="J3552" s="1">
        <v>8962350005</v>
      </c>
      <c r="K3552" s="1" t="s">
        <v>84</v>
      </c>
      <c r="L3552" s="1" t="s">
        <v>56678</v>
      </c>
      <c r="M3552" s="1" t="s">
        <v>86</v>
      </c>
      <c r="N3552" s="1" t="s">
        <v>246</v>
      </c>
      <c r="O3552" s="1"/>
      <c r="P3552" s="1" t="s">
        <v>2021</v>
      </c>
      <c r="Q3552" s="1" t="s">
        <v>56679</v>
      </c>
      <c r="R3552" s="1" t="s">
        <v>56680</v>
      </c>
      <c r="S3552" s="1">
        <v>9406043344</v>
      </c>
      <c r="T3552" s="1" t="s">
        <v>539</v>
      </c>
      <c r="U3552" s="1" t="s">
        <v>56681</v>
      </c>
      <c r="V3552" s="1">
        <v>9893100306</v>
      </c>
      <c r="W3552" s="1" t="s">
        <v>94</v>
      </c>
      <c r="X3552" s="1" t="s">
        <v>56682</v>
      </c>
      <c r="Y3552" s="1" t="s">
        <v>2932</v>
      </c>
      <c r="Z3552" s="1" t="s">
        <v>2933</v>
      </c>
      <c r="AA3552" s="1" t="s">
        <v>56682</v>
      </c>
      <c r="AB3552" s="1" t="s">
        <v>2932</v>
      </c>
      <c r="AC3552" s="1" t="s">
        <v>2933</v>
      </c>
      <c r="AD3552" s="1" t="s">
        <v>98</v>
      </c>
      <c r="AE3552" s="1" t="s">
        <v>98</v>
      </c>
      <c r="AF3552" s="1" t="s">
        <v>56683</v>
      </c>
      <c r="AG3552" s="1" t="s">
        <v>312</v>
      </c>
      <c r="AH3552" s="1">
        <v>40648</v>
      </c>
      <c r="AI3552" s="1">
        <v>41053</v>
      </c>
      <c r="AJ3552" s="1">
        <v>68.4</v>
      </c>
      <c r="AK3552" s="1">
        <v>7.2</v>
      </c>
      <c r="AL3552" s="1" t="s">
        <v>56683</v>
      </c>
      <c r="AM3552" s="1" t="s">
        <v>312</v>
      </c>
      <c r="AN3552" s="1"/>
      <c r="AO3552" s="1">
        <v>41379</v>
      </c>
      <c r="AP3552" s="1">
        <v>41787</v>
      </c>
      <c r="AQ3552" s="1">
        <v>60.4</v>
      </c>
      <c r="AR3552" s="1"/>
      <c r="AS3552" s="1"/>
      <c r="AT3552" s="1"/>
      <c r="AU3552" s="1" t="s">
        <v>98</v>
      </c>
      <c r="AV3552" s="1" t="s">
        <v>98</v>
      </c>
      <c r="AW3552" s="1" t="s">
        <v>98</v>
      </c>
      <c r="AX3552" s="1" t="s">
        <v>98</v>
      </c>
      <c r="AY3552" s="1" t="s">
        <v>5338</v>
      </c>
      <c r="AZ3552" s="1" t="s">
        <v>56684</v>
      </c>
      <c r="BA3552" s="1"/>
      <c r="BB3552" s="1"/>
      <c r="BC3552" s="1">
        <v>41855</v>
      </c>
      <c r="BD3552" s="1">
        <v>43266</v>
      </c>
      <c r="BE3552" s="1">
        <v>72.5</v>
      </c>
      <c r="BF3552" s="1"/>
      <c r="BG3552" s="1"/>
      <c r="BH3552" s="1"/>
      <c r="BI3552" s="1"/>
      <c r="BJ3552" s="1"/>
      <c r="BK3552" s="1" t="s">
        <v>98</v>
      </c>
      <c r="BL3552" s="1" t="s">
        <v>98</v>
      </c>
      <c r="BM3552" s="1" t="s">
        <v>98</v>
      </c>
      <c r="BN3552" s="1" t="s">
        <v>98</v>
      </c>
      <c r="BO3552" s="1" t="s">
        <v>56685</v>
      </c>
      <c r="BP3552" s="1"/>
      <c r="BQ3552" s="1"/>
      <c r="BR3552" s="1" t="s">
        <v>56686</v>
      </c>
      <c r="BS3552" s="1">
        <v>21</v>
      </c>
      <c r="BT3552" s="1"/>
      <c r="BU3552" s="1" t="str">
        <f>HYPERLINK("https://nconnect.nicmar.ac.in/storage/profile/2021-2023_AP21338_514968.jpg","Download")</f>
        <v>0</v>
      </c>
      <c r="BV3552" s="3"/>
      <c r="BW3552" s="3"/>
    </row>
    <row r="3553" spans="1:75">
      <c r="A3553" s="1" t="s">
        <v>51340</v>
      </c>
      <c r="B3553" s="1" t="s">
        <v>51341</v>
      </c>
      <c r="C3553" s="1" t="s">
        <v>56687</v>
      </c>
      <c r="D3553" s="1" t="s">
        <v>56688</v>
      </c>
      <c r="E3553" s="1" t="s">
        <v>1404</v>
      </c>
      <c r="F3553" s="1" t="s">
        <v>56689</v>
      </c>
      <c r="G3553" s="1" t="s">
        <v>56690</v>
      </c>
      <c r="H3553" s="1" t="s">
        <v>56691</v>
      </c>
      <c r="I3553" s="1" t="s">
        <v>56692</v>
      </c>
      <c r="J3553" s="1">
        <v>7989771822</v>
      </c>
      <c r="K3553" s="1" t="s">
        <v>153</v>
      </c>
      <c r="L3553" s="1" t="s">
        <v>32694</v>
      </c>
      <c r="M3553" s="1" t="s">
        <v>86</v>
      </c>
      <c r="N3553" s="1" t="s">
        <v>54841</v>
      </c>
      <c r="O3553" s="1"/>
      <c r="P3553" s="1" t="s">
        <v>2021</v>
      </c>
      <c r="Q3553" s="1" t="s">
        <v>56693</v>
      </c>
      <c r="R3553" s="1" t="s">
        <v>56694</v>
      </c>
      <c r="S3553" s="1">
        <v>9848165570</v>
      </c>
      <c r="T3553" s="1" t="s">
        <v>5102</v>
      </c>
      <c r="U3553" s="1" t="s">
        <v>56695</v>
      </c>
      <c r="V3553" s="1">
        <v>7382676686</v>
      </c>
      <c r="W3553" s="1" t="s">
        <v>5102</v>
      </c>
      <c r="X3553" s="1" t="s">
        <v>56696</v>
      </c>
      <c r="Y3553" s="1" t="s">
        <v>3090</v>
      </c>
      <c r="Z3553" s="1" t="s">
        <v>281</v>
      </c>
      <c r="AA3553" s="1" t="s">
        <v>56696</v>
      </c>
      <c r="AB3553" s="1" t="s">
        <v>3090</v>
      </c>
      <c r="AC3553" s="1" t="s">
        <v>281</v>
      </c>
      <c r="AD3553" s="1" t="s">
        <v>98</v>
      </c>
      <c r="AE3553" s="1" t="s">
        <v>98</v>
      </c>
      <c r="AF3553" s="1" t="s">
        <v>56697</v>
      </c>
      <c r="AG3553" s="1" t="s">
        <v>56698</v>
      </c>
      <c r="AH3553" s="1">
        <v>41420</v>
      </c>
      <c r="AI3553" s="1">
        <v>41774</v>
      </c>
      <c r="AJ3553" s="1">
        <v>74.1</v>
      </c>
      <c r="AK3553" s="1">
        <v>7.8</v>
      </c>
      <c r="AL3553" s="1" t="s">
        <v>56699</v>
      </c>
      <c r="AM3553" s="1" t="s">
        <v>56698</v>
      </c>
      <c r="AN3553" s="1"/>
      <c r="AO3553" s="1">
        <v>41795</v>
      </c>
      <c r="AP3553" s="1">
        <v>42479</v>
      </c>
      <c r="AQ3553" s="1">
        <v>75.3</v>
      </c>
      <c r="AR3553" s="1"/>
      <c r="AS3553" s="1"/>
      <c r="AT3553" s="1"/>
      <c r="AU3553" s="1" t="s">
        <v>98</v>
      </c>
      <c r="AV3553" s="1" t="s">
        <v>98</v>
      </c>
      <c r="AW3553" s="1" t="s">
        <v>98</v>
      </c>
      <c r="AX3553" s="1" t="s">
        <v>98</v>
      </c>
      <c r="AY3553" s="1" t="s">
        <v>2654</v>
      </c>
      <c r="AZ3553" s="1" t="s">
        <v>55008</v>
      </c>
      <c r="BA3553" s="1"/>
      <c r="BB3553" s="1"/>
      <c r="BC3553" s="1">
        <v>42529</v>
      </c>
      <c r="BD3553" s="1">
        <v>44094</v>
      </c>
      <c r="BE3553" s="1">
        <v>75</v>
      </c>
      <c r="BF3553" s="1">
        <v>8.25</v>
      </c>
      <c r="BG3553" s="1"/>
      <c r="BH3553" s="1"/>
      <c r="BI3553" s="1"/>
      <c r="BJ3553" s="1"/>
      <c r="BK3553" s="1" t="s">
        <v>98</v>
      </c>
      <c r="BL3553" s="1" t="s">
        <v>98</v>
      </c>
      <c r="BM3553" s="1" t="s">
        <v>98</v>
      </c>
      <c r="BN3553" s="1" t="s">
        <v>98</v>
      </c>
      <c r="BO3553" s="1" t="s">
        <v>56700</v>
      </c>
      <c r="BP3553" s="1"/>
      <c r="BQ3553" s="1"/>
      <c r="BR3553" s="1" t="s">
        <v>56701</v>
      </c>
      <c r="BS3553" s="1">
        <v>13</v>
      </c>
      <c r="BT3553" s="1"/>
      <c r="BU3553" s="1" t="str">
        <f>HYPERLINK("https://nconnect.nicmar.ac.in/storage/profile/2021-2023_AP21339_739521.jpeg","Download")</f>
        <v>0</v>
      </c>
      <c r="BV3553" s="3"/>
      <c r="BW3553" s="3"/>
    </row>
    <row r="3554" spans="1:75">
      <c r="A3554" s="1" t="s">
        <v>51340</v>
      </c>
      <c r="B3554" s="1" t="s">
        <v>51341</v>
      </c>
      <c r="C3554" s="1" t="s">
        <v>56702</v>
      </c>
      <c r="D3554" s="1" t="s">
        <v>56703</v>
      </c>
      <c r="E3554" s="1" t="s">
        <v>529</v>
      </c>
      <c r="F3554" s="1" t="s">
        <v>530</v>
      </c>
      <c r="G3554" s="1" t="s">
        <v>56704</v>
      </c>
      <c r="H3554" s="1" t="s">
        <v>56705</v>
      </c>
      <c r="I3554" s="1" t="s">
        <v>56706</v>
      </c>
      <c r="J3554" s="1">
        <v>9407218421</v>
      </c>
      <c r="K3554" s="1" t="s">
        <v>84</v>
      </c>
      <c r="L3554" s="1" t="s">
        <v>54602</v>
      </c>
      <c r="M3554" s="1" t="s">
        <v>86</v>
      </c>
      <c r="N3554" s="1" t="s">
        <v>87</v>
      </c>
      <c r="O3554" s="1"/>
      <c r="P3554" s="1" t="s">
        <v>507</v>
      </c>
      <c r="Q3554" s="1" t="s">
        <v>56707</v>
      </c>
      <c r="R3554" s="1" t="s">
        <v>56708</v>
      </c>
      <c r="S3554" s="1">
        <v>9425180565</v>
      </c>
      <c r="T3554" s="1" t="s">
        <v>92</v>
      </c>
      <c r="U3554" s="1" t="s">
        <v>56709</v>
      </c>
      <c r="V3554" s="1">
        <v>9425344865</v>
      </c>
      <c r="W3554" s="1" t="s">
        <v>94</v>
      </c>
      <c r="X3554" s="1" t="s">
        <v>56710</v>
      </c>
      <c r="Y3554" s="1" t="s">
        <v>10359</v>
      </c>
      <c r="Z3554" s="1" t="s">
        <v>3419</v>
      </c>
      <c r="AA3554" s="1" t="s">
        <v>56711</v>
      </c>
      <c r="AB3554" s="1" t="s">
        <v>196</v>
      </c>
      <c r="AC3554" s="1" t="s">
        <v>97</v>
      </c>
      <c r="AD3554" s="1" t="s">
        <v>98</v>
      </c>
      <c r="AE3554" s="1" t="s">
        <v>98</v>
      </c>
      <c r="AF3554" s="1" t="s">
        <v>56712</v>
      </c>
      <c r="AG3554" s="1" t="s">
        <v>312</v>
      </c>
      <c r="AH3554" s="1" t="s">
        <v>3421</v>
      </c>
      <c r="AI3554" s="1" t="s">
        <v>1262</v>
      </c>
      <c r="AJ3554" s="1">
        <v>85.5</v>
      </c>
      <c r="AK3554" s="1">
        <v>9</v>
      </c>
      <c r="AL3554" s="1" t="s">
        <v>56713</v>
      </c>
      <c r="AM3554" s="1" t="s">
        <v>56714</v>
      </c>
      <c r="AN3554" s="1"/>
      <c r="AO3554" s="1" t="s">
        <v>136</v>
      </c>
      <c r="AP3554" s="1" t="s">
        <v>627</v>
      </c>
      <c r="AQ3554" s="1">
        <v>69.4</v>
      </c>
      <c r="AR3554" s="1"/>
      <c r="AS3554" s="1"/>
      <c r="AT3554" s="1"/>
      <c r="AU3554" s="1" t="s">
        <v>98</v>
      </c>
      <c r="AV3554" s="1" t="s">
        <v>98</v>
      </c>
      <c r="AW3554" s="1"/>
      <c r="AX3554" s="1"/>
      <c r="AY3554" s="1" t="s">
        <v>56715</v>
      </c>
      <c r="AZ3554" s="1" t="s">
        <v>56716</v>
      </c>
      <c r="BA3554" s="1"/>
      <c r="BB3554" s="1"/>
      <c r="BC3554" s="1" t="s">
        <v>139</v>
      </c>
      <c r="BD3554" s="1" t="s">
        <v>233</v>
      </c>
      <c r="BE3554" s="1">
        <v>69.2</v>
      </c>
      <c r="BF3554" s="1">
        <v>7.67</v>
      </c>
      <c r="BG3554" s="1"/>
      <c r="BH3554" s="1"/>
      <c r="BI3554" s="1"/>
      <c r="BJ3554" s="1"/>
      <c r="BK3554" s="1" t="s">
        <v>98</v>
      </c>
      <c r="BL3554" s="1" t="s">
        <v>98</v>
      </c>
      <c r="BM3554" s="1" t="s">
        <v>98</v>
      </c>
      <c r="BN3554" s="1" t="s">
        <v>98</v>
      </c>
      <c r="BO3554" s="1" t="s">
        <v>56717</v>
      </c>
      <c r="BP3554" s="1"/>
      <c r="BQ3554" s="1"/>
      <c r="BR3554" s="1" t="s">
        <v>56718</v>
      </c>
      <c r="BS3554" s="1">
        <v>24</v>
      </c>
      <c r="BT3554" s="1"/>
      <c r="BU3554" s="1" t="str">
        <f>HYPERLINK("https://nconnect.nicmar.ac.in/storage/profile/2021-2023_AP21341_253671.jpg","Download")</f>
        <v>0</v>
      </c>
      <c r="BV3554" s="3"/>
      <c r="BW3554" s="3"/>
    </row>
    <row r="3555" spans="1:75">
      <c r="A3555" s="1" t="s">
        <v>51340</v>
      </c>
      <c r="B3555" s="1" t="s">
        <v>51341</v>
      </c>
      <c r="C3555" s="1" t="s">
        <v>56719</v>
      </c>
      <c r="D3555" s="1" t="s">
        <v>56720</v>
      </c>
      <c r="E3555" s="1"/>
      <c r="F3555" s="1" t="s">
        <v>4748</v>
      </c>
      <c r="G3555" s="1" t="s">
        <v>56721</v>
      </c>
      <c r="H3555" s="1" t="s">
        <v>56722</v>
      </c>
      <c r="I3555" s="1" t="s">
        <v>56723</v>
      </c>
      <c r="J3555" s="1">
        <v>9940989470</v>
      </c>
      <c r="K3555" s="1" t="s">
        <v>84</v>
      </c>
      <c r="L3555" s="1" t="s">
        <v>22798</v>
      </c>
      <c r="M3555" s="1" t="s">
        <v>86</v>
      </c>
      <c r="N3555" s="1" t="s">
        <v>33137</v>
      </c>
      <c r="O3555" s="1"/>
      <c r="P3555" s="1" t="s">
        <v>507</v>
      </c>
      <c r="Q3555" s="1" t="s">
        <v>56724</v>
      </c>
      <c r="R3555" s="1" t="s">
        <v>56725</v>
      </c>
      <c r="S3555" s="1">
        <v>9474113250</v>
      </c>
      <c r="T3555" s="1" t="s">
        <v>839</v>
      </c>
      <c r="U3555" s="1" t="s">
        <v>56726</v>
      </c>
      <c r="V3555" s="1">
        <v>7908307354</v>
      </c>
      <c r="W3555" s="1" t="s">
        <v>94</v>
      </c>
      <c r="X3555" s="1" t="s">
        <v>56727</v>
      </c>
      <c r="Y3555" s="1" t="s">
        <v>55656</v>
      </c>
      <c r="Z3555" s="1" t="s">
        <v>1234</v>
      </c>
      <c r="AA3555" s="1" t="s">
        <v>56727</v>
      </c>
      <c r="AB3555" s="1" t="s">
        <v>55656</v>
      </c>
      <c r="AC3555" s="1" t="s">
        <v>1234</v>
      </c>
      <c r="AD3555" s="1" t="s">
        <v>98</v>
      </c>
      <c r="AE3555" s="1" t="s">
        <v>98</v>
      </c>
      <c r="AF3555" s="1" t="s">
        <v>56728</v>
      </c>
      <c r="AG3555" s="1" t="s">
        <v>6474</v>
      </c>
      <c r="AH3555" s="1">
        <v>38078</v>
      </c>
      <c r="AI3555" s="1">
        <v>42144</v>
      </c>
      <c r="AJ3555" s="1">
        <v>88.5</v>
      </c>
      <c r="AK3555" s="1"/>
      <c r="AL3555" s="1" t="s">
        <v>56729</v>
      </c>
      <c r="AM3555" s="1" t="s">
        <v>6474</v>
      </c>
      <c r="AN3555" s="1"/>
      <c r="AO3555" s="1">
        <v>42491</v>
      </c>
      <c r="AP3555" s="1">
        <v>42883</v>
      </c>
      <c r="AQ3555" s="1">
        <v>82.3</v>
      </c>
      <c r="AR3555" s="1"/>
      <c r="AS3555" s="1"/>
      <c r="AT3555" s="1"/>
      <c r="AU3555" s="1" t="s">
        <v>98</v>
      </c>
      <c r="AV3555" s="1" t="s">
        <v>98</v>
      </c>
      <c r="AW3555" s="1" t="s">
        <v>98</v>
      </c>
      <c r="AX3555" s="1" t="s">
        <v>98</v>
      </c>
      <c r="AY3555" s="1" t="s">
        <v>2614</v>
      </c>
      <c r="AZ3555" s="1" t="s">
        <v>2614</v>
      </c>
      <c r="BA3555" s="1"/>
      <c r="BB3555" s="1"/>
      <c r="BC3555" s="1">
        <v>42885</v>
      </c>
      <c r="BD3555" s="1">
        <v>44348</v>
      </c>
      <c r="BE3555" s="1">
        <v>91.21</v>
      </c>
      <c r="BF3555" s="1">
        <v>8.91</v>
      </c>
      <c r="BG3555" s="1"/>
      <c r="BH3555" s="1"/>
      <c r="BI3555" s="1"/>
      <c r="BJ3555" s="1"/>
      <c r="BK3555" s="1" t="s">
        <v>98</v>
      </c>
      <c r="BL3555" s="1" t="s">
        <v>98</v>
      </c>
      <c r="BM3555" s="1" t="s">
        <v>98</v>
      </c>
      <c r="BN3555" s="1" t="s">
        <v>98</v>
      </c>
      <c r="BO3555" s="1" t="s">
        <v>8688</v>
      </c>
      <c r="BP3555" s="1"/>
      <c r="BQ3555" s="1"/>
      <c r="BR3555" s="1" t="s">
        <v>56730</v>
      </c>
      <c r="BS3555" s="1">
        <v>15</v>
      </c>
      <c r="BT3555" s="1"/>
      <c r="BU3555" s="1" t="str">
        <f>HYPERLINK("https://nconnect.nicmar.ac.in/storage/profile/2021-2023_AP21342_976241.JPG","Download")</f>
        <v>0</v>
      </c>
      <c r="BV3555" s="3"/>
      <c r="BW3555" s="3"/>
    </row>
    <row r="3556" spans="1:75">
      <c r="A3556" s="1" t="s">
        <v>51340</v>
      </c>
      <c r="B3556" s="1" t="s">
        <v>51341</v>
      </c>
      <c r="C3556" s="1" t="s">
        <v>56731</v>
      </c>
      <c r="D3556" s="1" t="s">
        <v>56732</v>
      </c>
      <c r="E3556" s="1"/>
      <c r="F3556" s="1" t="s">
        <v>56733</v>
      </c>
      <c r="G3556" s="1" t="s">
        <v>56734</v>
      </c>
      <c r="H3556" s="1" t="s">
        <v>56735</v>
      </c>
      <c r="I3556" s="1" t="s">
        <v>56736</v>
      </c>
      <c r="J3556" s="1">
        <v>7550172830</v>
      </c>
      <c r="K3556" s="1" t="s">
        <v>153</v>
      </c>
      <c r="L3556" s="1" t="s">
        <v>34469</v>
      </c>
      <c r="M3556" s="1" t="s">
        <v>86</v>
      </c>
      <c r="N3556" s="1" t="s">
        <v>3026</v>
      </c>
      <c r="O3556" s="1"/>
      <c r="P3556" s="1" t="s">
        <v>507</v>
      </c>
      <c r="Q3556" s="1" t="s">
        <v>56737</v>
      </c>
      <c r="R3556" s="1" t="s">
        <v>56738</v>
      </c>
      <c r="S3556" s="1">
        <v>9440564800</v>
      </c>
      <c r="T3556" s="1" t="s">
        <v>539</v>
      </c>
      <c r="U3556" s="1" t="s">
        <v>56739</v>
      </c>
      <c r="V3556" s="1">
        <v>9966937289</v>
      </c>
      <c r="W3556" s="1" t="s">
        <v>94</v>
      </c>
      <c r="X3556" s="1" t="s">
        <v>56740</v>
      </c>
      <c r="Y3556" s="1" t="s">
        <v>1454</v>
      </c>
      <c r="Z3556" s="1" t="s">
        <v>281</v>
      </c>
      <c r="AA3556" s="1" t="s">
        <v>56740</v>
      </c>
      <c r="AB3556" s="1" t="s">
        <v>1454</v>
      </c>
      <c r="AC3556" s="1" t="s">
        <v>281</v>
      </c>
      <c r="AD3556" s="1" t="s">
        <v>98</v>
      </c>
      <c r="AE3556" s="1" t="s">
        <v>98</v>
      </c>
      <c r="AF3556" s="1" t="s">
        <v>2653</v>
      </c>
      <c r="AG3556" s="1" t="s">
        <v>21404</v>
      </c>
      <c r="AH3556" s="1">
        <v>41071</v>
      </c>
      <c r="AI3556" s="1">
        <v>41411</v>
      </c>
      <c r="AJ3556" s="1">
        <v>90.25</v>
      </c>
      <c r="AK3556" s="1">
        <v>9.5</v>
      </c>
      <c r="AL3556" s="1" t="s">
        <v>1843</v>
      </c>
      <c r="AM3556" s="1" t="s">
        <v>21404</v>
      </c>
      <c r="AN3556" s="1"/>
      <c r="AO3556" s="1">
        <v>41800</v>
      </c>
      <c r="AP3556" s="1">
        <v>42183</v>
      </c>
      <c r="AQ3556" s="1">
        <v>89.1</v>
      </c>
      <c r="AR3556" s="1"/>
      <c r="AS3556" s="1"/>
      <c r="AT3556" s="1"/>
      <c r="AU3556" s="1" t="s">
        <v>98</v>
      </c>
      <c r="AV3556" s="1" t="s">
        <v>98</v>
      </c>
      <c r="AW3556" s="1" t="s">
        <v>98</v>
      </c>
      <c r="AX3556" s="1" t="s">
        <v>98</v>
      </c>
      <c r="AY3556" s="1" t="s">
        <v>2614</v>
      </c>
      <c r="AZ3556" s="1" t="s">
        <v>2614</v>
      </c>
      <c r="BA3556" s="1"/>
      <c r="BB3556" s="1"/>
      <c r="BC3556" s="1">
        <v>42569</v>
      </c>
      <c r="BD3556" s="1">
        <v>44011</v>
      </c>
      <c r="BE3556" s="1">
        <v>90.69</v>
      </c>
      <c r="BF3556" s="1">
        <v>8.88</v>
      </c>
      <c r="BG3556" s="1"/>
      <c r="BH3556" s="1"/>
      <c r="BI3556" s="1"/>
      <c r="BJ3556" s="1"/>
      <c r="BK3556" s="1" t="s">
        <v>98</v>
      </c>
      <c r="BL3556" s="1" t="s">
        <v>98</v>
      </c>
      <c r="BM3556" s="1" t="s">
        <v>98</v>
      </c>
      <c r="BN3556" s="1" t="s">
        <v>98</v>
      </c>
      <c r="BO3556" s="1" t="s">
        <v>1826</v>
      </c>
      <c r="BP3556" s="1"/>
      <c r="BQ3556" s="1"/>
      <c r="BR3556" s="1" t="s">
        <v>56741</v>
      </c>
      <c r="BS3556" s="1">
        <v>15</v>
      </c>
      <c r="BT3556" s="1"/>
      <c r="BU3556" s="1" t="s">
        <v>9653</v>
      </c>
      <c r="BV3556" s="3"/>
      <c r="BW3556" s="3"/>
    </row>
    <row r="3557" spans="1:75">
      <c r="A3557" s="1" t="s">
        <v>51340</v>
      </c>
      <c r="B3557" s="1" t="s">
        <v>51341</v>
      </c>
      <c r="C3557" s="1" t="s">
        <v>56742</v>
      </c>
      <c r="D3557" s="1" t="s">
        <v>56743</v>
      </c>
      <c r="E3557" s="1" t="s">
        <v>812</v>
      </c>
      <c r="F3557" s="1" t="s">
        <v>56744</v>
      </c>
      <c r="G3557" s="1" t="s">
        <v>56745</v>
      </c>
      <c r="H3557" s="1" t="s">
        <v>56746</v>
      </c>
      <c r="I3557" s="1" t="s">
        <v>56747</v>
      </c>
      <c r="J3557" s="1">
        <v>8123078799</v>
      </c>
      <c r="K3557" s="1" t="s">
        <v>84</v>
      </c>
      <c r="L3557" s="1" t="s">
        <v>56748</v>
      </c>
      <c r="M3557" s="1" t="s">
        <v>86</v>
      </c>
      <c r="N3557" s="1" t="s">
        <v>52225</v>
      </c>
      <c r="O3557" s="1"/>
      <c r="P3557" s="1" t="s">
        <v>455</v>
      </c>
      <c r="Q3557" s="1" t="s">
        <v>56749</v>
      </c>
      <c r="R3557" s="1" t="s">
        <v>56750</v>
      </c>
      <c r="S3557" s="1">
        <v>9480127999</v>
      </c>
      <c r="T3557" s="1" t="s">
        <v>698</v>
      </c>
      <c r="U3557" s="1" t="s">
        <v>36624</v>
      </c>
      <c r="V3557" s="1">
        <v>9483934415</v>
      </c>
      <c r="W3557" s="1" t="s">
        <v>541</v>
      </c>
      <c r="X3557" s="1" t="s">
        <v>56751</v>
      </c>
      <c r="Y3557" s="1" t="s">
        <v>56752</v>
      </c>
      <c r="Z3557" s="1" t="s">
        <v>1210</v>
      </c>
      <c r="AA3557" s="1" t="s">
        <v>56751</v>
      </c>
      <c r="AB3557" s="1" t="s">
        <v>56752</v>
      </c>
      <c r="AC3557" s="1" t="s">
        <v>1210</v>
      </c>
      <c r="AD3557" s="1" t="s">
        <v>98</v>
      </c>
      <c r="AE3557" s="1" t="s">
        <v>98</v>
      </c>
      <c r="AF3557" s="1" t="s">
        <v>56753</v>
      </c>
      <c r="AG3557" s="1" t="s">
        <v>1946</v>
      </c>
      <c r="AH3557" s="1">
        <v>41365</v>
      </c>
      <c r="AI3557" s="1">
        <v>41730</v>
      </c>
      <c r="AJ3557" s="1">
        <v>63.84</v>
      </c>
      <c r="AK3557" s="1"/>
      <c r="AL3557" s="1" t="s">
        <v>4491</v>
      </c>
      <c r="AM3557" s="1" t="s">
        <v>1946</v>
      </c>
      <c r="AN3557" s="1"/>
      <c r="AO3557" s="1" t="s">
        <v>56754</v>
      </c>
      <c r="AP3557" s="1">
        <v>42430</v>
      </c>
      <c r="AQ3557" s="1">
        <v>67.83</v>
      </c>
      <c r="AR3557" s="1"/>
      <c r="AS3557" s="1"/>
      <c r="AT3557" s="1"/>
      <c r="AU3557" s="1" t="s">
        <v>98</v>
      </c>
      <c r="AV3557" s="1" t="s">
        <v>98</v>
      </c>
      <c r="AW3557" s="1" t="s">
        <v>98</v>
      </c>
      <c r="AX3557" s="1" t="s">
        <v>98</v>
      </c>
      <c r="AY3557" s="1" t="s">
        <v>15492</v>
      </c>
      <c r="AZ3557" s="1" t="s">
        <v>4815</v>
      </c>
      <c r="BA3557" s="1"/>
      <c r="BB3557" s="1"/>
      <c r="BC3557" s="1">
        <v>42583</v>
      </c>
      <c r="BD3557" s="1">
        <v>44075</v>
      </c>
      <c r="BE3557" s="1">
        <v>72.1</v>
      </c>
      <c r="BF3557" s="1">
        <v>7.96</v>
      </c>
      <c r="BG3557" s="1"/>
      <c r="BH3557" s="1"/>
      <c r="BI3557" s="1"/>
      <c r="BJ3557" s="1"/>
      <c r="BK3557" s="1" t="s">
        <v>98</v>
      </c>
      <c r="BL3557" s="1" t="s">
        <v>98</v>
      </c>
      <c r="BM3557" s="1" t="s">
        <v>98</v>
      </c>
      <c r="BN3557" s="1" t="s">
        <v>98</v>
      </c>
      <c r="BO3557" s="1" t="s">
        <v>56755</v>
      </c>
      <c r="BP3557" s="1"/>
      <c r="BQ3557" s="1"/>
      <c r="BR3557" s="1" t="s">
        <v>56756</v>
      </c>
      <c r="BS3557" s="1">
        <v>56</v>
      </c>
      <c r="BT3557" s="1"/>
      <c r="BU3557" s="1" t="str">
        <f>HYPERLINK("https://nconnect.nicmar.ac.in/storage/profile/2021-2023_AP21345_367482.jpg","Download")</f>
        <v>0</v>
      </c>
      <c r="BV3557" s="3"/>
      <c r="BW3557" s="3"/>
    </row>
    <row r="3558" spans="1:75">
      <c r="A3558" s="1" t="s">
        <v>51340</v>
      </c>
      <c r="B3558" s="1" t="s">
        <v>51341</v>
      </c>
      <c r="C3558" s="1" t="s">
        <v>56757</v>
      </c>
      <c r="D3558" s="1" t="s">
        <v>7146</v>
      </c>
      <c r="E3558" s="1"/>
      <c r="F3558" s="1" t="s">
        <v>1320</v>
      </c>
      <c r="G3558" s="1" t="s">
        <v>56758</v>
      </c>
      <c r="H3558" s="1" t="s">
        <v>56759</v>
      </c>
      <c r="I3558" s="1" t="s">
        <v>56760</v>
      </c>
      <c r="J3558" s="1">
        <v>8101010000</v>
      </c>
      <c r="K3558" s="1" t="s">
        <v>84</v>
      </c>
      <c r="L3558" s="1" t="s">
        <v>25545</v>
      </c>
      <c r="M3558" s="1" t="s">
        <v>86</v>
      </c>
      <c r="N3558" s="1" t="s">
        <v>87</v>
      </c>
      <c r="O3558" s="1"/>
      <c r="P3558" s="1" t="s">
        <v>507</v>
      </c>
      <c r="Q3558" s="1" t="s">
        <v>56761</v>
      </c>
      <c r="R3558" s="1" t="s">
        <v>35194</v>
      </c>
      <c r="S3558" s="1">
        <v>8222055666</v>
      </c>
      <c r="T3558" s="1" t="s">
        <v>926</v>
      </c>
      <c r="U3558" s="1" t="s">
        <v>56762</v>
      </c>
      <c r="V3558" s="1">
        <v>8222051666</v>
      </c>
      <c r="W3558" s="1" t="s">
        <v>541</v>
      </c>
      <c r="X3558" s="1" t="s">
        <v>56763</v>
      </c>
      <c r="Y3558" s="1" t="s">
        <v>56188</v>
      </c>
      <c r="Z3558" s="1" t="s">
        <v>1700</v>
      </c>
      <c r="AA3558" s="1" t="s">
        <v>56763</v>
      </c>
      <c r="AB3558" s="1" t="s">
        <v>56188</v>
      </c>
      <c r="AC3558" s="1" t="s">
        <v>1700</v>
      </c>
      <c r="AD3558" s="1" t="s">
        <v>98</v>
      </c>
      <c r="AE3558" s="1" t="s">
        <v>98</v>
      </c>
      <c r="AF3558" s="1" t="s">
        <v>56764</v>
      </c>
      <c r="AG3558" s="1" t="s">
        <v>775</v>
      </c>
      <c r="AH3558" s="1" t="s">
        <v>134</v>
      </c>
      <c r="AI3558" s="1" t="s">
        <v>1262</v>
      </c>
      <c r="AJ3558" s="1">
        <v>72.2</v>
      </c>
      <c r="AK3558" s="1">
        <v>7.6</v>
      </c>
      <c r="AL3558" s="1" t="s">
        <v>56764</v>
      </c>
      <c r="AM3558" s="1" t="s">
        <v>775</v>
      </c>
      <c r="AN3558" s="1"/>
      <c r="AO3558" s="1" t="s">
        <v>136</v>
      </c>
      <c r="AP3558" s="1" t="s">
        <v>627</v>
      </c>
      <c r="AQ3558" s="1">
        <v>57.2</v>
      </c>
      <c r="AR3558" s="1">
        <v>5.72</v>
      </c>
      <c r="AS3558" s="1"/>
      <c r="AT3558" s="1"/>
      <c r="AU3558" s="1"/>
      <c r="AV3558" s="1"/>
      <c r="AW3558" s="1"/>
      <c r="AX3558" s="1"/>
      <c r="AY3558" s="1" t="s">
        <v>56765</v>
      </c>
      <c r="AZ3558" s="1" t="s">
        <v>56765</v>
      </c>
      <c r="BA3558" s="1"/>
      <c r="BB3558" s="1"/>
      <c r="BC3558" s="1" t="s">
        <v>14379</v>
      </c>
      <c r="BD3558" s="1" t="s">
        <v>890</v>
      </c>
      <c r="BE3558" s="1">
        <v>60.8</v>
      </c>
      <c r="BF3558" s="1">
        <v>6.08</v>
      </c>
      <c r="BG3558" s="1"/>
      <c r="BH3558" s="1"/>
      <c r="BI3558" s="1"/>
      <c r="BJ3558" s="1"/>
      <c r="BK3558" s="1"/>
      <c r="BL3558" s="1"/>
      <c r="BM3558" s="1"/>
      <c r="BN3558" s="1"/>
      <c r="BO3558" s="1" t="s">
        <v>56766</v>
      </c>
      <c r="BP3558" s="1"/>
      <c r="BQ3558" s="1"/>
      <c r="BR3558" s="1" t="s">
        <v>56767</v>
      </c>
      <c r="BS3558" s="1">
        <v>11</v>
      </c>
      <c r="BT3558" s="1"/>
      <c r="BU3558" s="1" t="str">
        <f>HYPERLINK("https://nconnect.nicmar.ac.in/storage/profile/2021-2023_AP21347_486372.jpg","Download")</f>
        <v>0</v>
      </c>
      <c r="BV3558" s="3"/>
      <c r="BW3558" s="3"/>
    </row>
    <row r="3559" spans="1:75">
      <c r="A3559" s="1" t="s">
        <v>51340</v>
      </c>
      <c r="B3559" s="1" t="s">
        <v>51341</v>
      </c>
      <c r="C3559" s="1" t="s">
        <v>56768</v>
      </c>
      <c r="D3559" s="1" t="s">
        <v>56769</v>
      </c>
      <c r="E3559" s="1" t="s">
        <v>11642</v>
      </c>
      <c r="F3559" s="1" t="s">
        <v>22971</v>
      </c>
      <c r="G3559" s="1" t="s">
        <v>56770</v>
      </c>
      <c r="H3559" s="1" t="s">
        <v>56771</v>
      </c>
      <c r="I3559" s="1" t="s">
        <v>56772</v>
      </c>
      <c r="J3559" s="1">
        <v>8078462302</v>
      </c>
      <c r="K3559" s="1" t="s">
        <v>153</v>
      </c>
      <c r="L3559" s="1" t="s">
        <v>56773</v>
      </c>
      <c r="M3559" s="1" t="s">
        <v>86</v>
      </c>
      <c r="N3559" s="1" t="s">
        <v>2393</v>
      </c>
      <c r="O3559" s="1"/>
      <c r="P3559" s="1" t="s">
        <v>455</v>
      </c>
      <c r="Q3559" s="1" t="s">
        <v>56774</v>
      </c>
      <c r="R3559" s="1" t="s">
        <v>56775</v>
      </c>
      <c r="S3559" s="1">
        <v>9388272522</v>
      </c>
      <c r="T3559" s="1" t="s">
        <v>839</v>
      </c>
      <c r="U3559" s="1" t="s">
        <v>56776</v>
      </c>
      <c r="V3559" s="1">
        <v>9142302302</v>
      </c>
      <c r="W3559" s="1" t="s">
        <v>278</v>
      </c>
      <c r="X3559" s="1" t="s">
        <v>56777</v>
      </c>
      <c r="Y3559" s="1" t="s">
        <v>1283</v>
      </c>
      <c r="Z3559" s="1" t="s">
        <v>130</v>
      </c>
      <c r="AA3559" s="1" t="s">
        <v>56777</v>
      </c>
      <c r="AB3559" s="1" t="s">
        <v>1283</v>
      </c>
      <c r="AC3559" s="1" t="s">
        <v>130</v>
      </c>
      <c r="AD3559" s="1" t="s">
        <v>98</v>
      </c>
      <c r="AE3559" s="1" t="s">
        <v>98</v>
      </c>
      <c r="AF3559" s="1" t="s">
        <v>29465</v>
      </c>
      <c r="AG3559" s="1" t="s">
        <v>25387</v>
      </c>
      <c r="AH3559" s="1">
        <v>41426</v>
      </c>
      <c r="AI3559" s="1">
        <v>41699</v>
      </c>
      <c r="AJ3559" s="1">
        <v>88.83</v>
      </c>
      <c r="AK3559" s="1">
        <v>0</v>
      </c>
      <c r="AL3559" s="1" t="s">
        <v>56778</v>
      </c>
      <c r="AM3559" s="1" t="s">
        <v>56779</v>
      </c>
      <c r="AN3559" s="1"/>
      <c r="AO3559" s="1">
        <v>42156</v>
      </c>
      <c r="AP3559" s="1">
        <v>42500</v>
      </c>
      <c r="AQ3559" s="1">
        <v>98.25</v>
      </c>
      <c r="AR3559" s="1">
        <v>0</v>
      </c>
      <c r="AS3559" s="1"/>
      <c r="AT3559" s="1"/>
      <c r="AU3559" s="1" t="s">
        <v>98</v>
      </c>
      <c r="AV3559" s="1" t="s">
        <v>98</v>
      </c>
      <c r="AW3559" s="1" t="s">
        <v>98</v>
      </c>
      <c r="AX3559" s="1" t="s">
        <v>98</v>
      </c>
      <c r="AY3559" s="1" t="s">
        <v>137</v>
      </c>
      <c r="AZ3559" s="1" t="s">
        <v>56780</v>
      </c>
      <c r="BA3559" s="1"/>
      <c r="BB3559" s="1"/>
      <c r="BC3559" s="1">
        <v>42940</v>
      </c>
      <c r="BD3559" s="1">
        <v>44424</v>
      </c>
      <c r="BE3559" s="1">
        <v>87.35</v>
      </c>
      <c r="BF3559" s="1">
        <v>9.11</v>
      </c>
      <c r="BG3559" s="1"/>
      <c r="BH3559" s="1"/>
      <c r="BI3559" s="1"/>
      <c r="BJ3559" s="1"/>
      <c r="BK3559" s="1" t="s">
        <v>98</v>
      </c>
      <c r="BL3559" s="1" t="s">
        <v>98</v>
      </c>
      <c r="BM3559" s="1" t="s">
        <v>98</v>
      </c>
      <c r="BN3559" s="1" t="s">
        <v>98</v>
      </c>
      <c r="BO3559" s="1" t="s">
        <v>56781</v>
      </c>
      <c r="BP3559" s="1"/>
      <c r="BQ3559" s="1"/>
      <c r="BR3559" s="1" t="s">
        <v>56782</v>
      </c>
      <c r="BS3559" s="1">
        <v>8</v>
      </c>
      <c r="BT3559" s="1"/>
      <c r="BU3559" s="1" t="str">
        <f>HYPERLINK("https://nconnect.nicmar.ac.in/storage/profile/2021-2023_AP21348_594168.jpg","Download")</f>
        <v>0</v>
      </c>
      <c r="BV3559" s="3"/>
      <c r="BW3559" s="3"/>
    </row>
    <row r="3560" spans="1:75">
      <c r="A3560" s="1" t="s">
        <v>51340</v>
      </c>
      <c r="B3560" s="1" t="s">
        <v>51341</v>
      </c>
      <c r="C3560" s="1" t="s">
        <v>56783</v>
      </c>
      <c r="D3560" s="1" t="s">
        <v>56784</v>
      </c>
      <c r="E3560" s="1" t="s">
        <v>6537</v>
      </c>
      <c r="F3560" s="1" t="s">
        <v>56785</v>
      </c>
      <c r="G3560" s="1" t="s">
        <v>56786</v>
      </c>
      <c r="H3560" s="1" t="s">
        <v>56787</v>
      </c>
      <c r="I3560" s="1" t="s">
        <v>56788</v>
      </c>
      <c r="J3560" s="1">
        <v>8980077158</v>
      </c>
      <c r="K3560" s="1" t="s">
        <v>84</v>
      </c>
      <c r="L3560" s="1" t="s">
        <v>56789</v>
      </c>
      <c r="M3560" s="1" t="s">
        <v>155</v>
      </c>
      <c r="N3560" s="1" t="s">
        <v>3026</v>
      </c>
      <c r="O3560" s="1"/>
      <c r="P3560" s="1" t="s">
        <v>507</v>
      </c>
      <c r="Q3560" s="1" t="s">
        <v>56790</v>
      </c>
      <c r="R3560" s="1" t="s">
        <v>56791</v>
      </c>
      <c r="S3560" s="1">
        <v>8949298292</v>
      </c>
      <c r="T3560" s="1" t="s">
        <v>539</v>
      </c>
      <c r="U3560" s="1" t="s">
        <v>56792</v>
      </c>
      <c r="V3560" s="1">
        <v>8686527928</v>
      </c>
      <c r="W3560" s="1" t="s">
        <v>94</v>
      </c>
      <c r="X3560" s="1" t="s">
        <v>56793</v>
      </c>
      <c r="Y3560" s="1" t="s">
        <v>56794</v>
      </c>
      <c r="Z3560" s="1" t="s">
        <v>281</v>
      </c>
      <c r="AA3560" s="1" t="s">
        <v>56795</v>
      </c>
      <c r="AB3560" s="1" t="s">
        <v>51747</v>
      </c>
      <c r="AC3560" s="1" t="s">
        <v>1210</v>
      </c>
      <c r="AD3560" s="1" t="s">
        <v>98</v>
      </c>
      <c r="AE3560" s="1" t="s">
        <v>98</v>
      </c>
      <c r="AF3560" s="1" t="s">
        <v>56796</v>
      </c>
      <c r="AG3560" s="1" t="s">
        <v>312</v>
      </c>
      <c r="AH3560" s="1" t="s">
        <v>2156</v>
      </c>
      <c r="AI3560" s="1" t="s">
        <v>2157</v>
      </c>
      <c r="AJ3560" s="1">
        <v>81.8</v>
      </c>
      <c r="AK3560" s="1">
        <v>8.18</v>
      </c>
      <c r="AL3560" s="1" t="s">
        <v>3033</v>
      </c>
      <c r="AM3560" s="1" t="s">
        <v>312</v>
      </c>
      <c r="AN3560" s="1"/>
      <c r="AO3560" s="1" t="s">
        <v>1393</v>
      </c>
      <c r="AP3560" s="1" t="s">
        <v>23371</v>
      </c>
      <c r="AQ3560" s="1">
        <v>90</v>
      </c>
      <c r="AR3560" s="1">
        <v>9</v>
      </c>
      <c r="AS3560" s="1"/>
      <c r="AT3560" s="1"/>
      <c r="AU3560" s="1" t="s">
        <v>98</v>
      </c>
      <c r="AV3560" s="1" t="s">
        <v>98</v>
      </c>
      <c r="AW3560" s="1" t="s">
        <v>98</v>
      </c>
      <c r="AX3560" s="1" t="s">
        <v>98</v>
      </c>
      <c r="AY3560" s="1" t="s">
        <v>1440</v>
      </c>
      <c r="AZ3560" s="1" t="s">
        <v>56797</v>
      </c>
      <c r="BA3560" s="1"/>
      <c r="BB3560" s="1"/>
      <c r="BC3560" s="1" t="s">
        <v>4593</v>
      </c>
      <c r="BD3560" s="1" t="s">
        <v>1214</v>
      </c>
      <c r="BE3560" s="1">
        <v>80</v>
      </c>
      <c r="BF3560" s="1">
        <v>8</v>
      </c>
      <c r="BG3560" s="1"/>
      <c r="BH3560" s="1"/>
      <c r="BI3560" s="1"/>
      <c r="BJ3560" s="1"/>
      <c r="BK3560" s="1" t="s">
        <v>98</v>
      </c>
      <c r="BL3560" s="1" t="s">
        <v>98</v>
      </c>
      <c r="BM3560" s="1" t="s">
        <v>98</v>
      </c>
      <c r="BN3560" s="1" t="s">
        <v>98</v>
      </c>
      <c r="BO3560" s="1" t="s">
        <v>1114</v>
      </c>
      <c r="BP3560" s="1" t="s">
        <v>56798</v>
      </c>
      <c r="BQ3560" s="1" t="s">
        <v>56799</v>
      </c>
      <c r="BR3560" s="1" t="s">
        <v>56800</v>
      </c>
      <c r="BS3560" s="1">
        <v>46</v>
      </c>
      <c r="BT3560" s="1"/>
      <c r="BU3560" s="1" t="str">
        <f>HYPERLINK("https://nconnect.nicmar.ac.in/storage/profile/2021-2023_AP21349_713849.jpg","Download")</f>
        <v>0</v>
      </c>
      <c r="BV3560" s="3"/>
      <c r="BW3560" s="3"/>
    </row>
    <row r="3561" spans="1:75">
      <c r="A3561" s="1" t="s">
        <v>51340</v>
      </c>
      <c r="B3561" s="1" t="s">
        <v>51341</v>
      </c>
      <c r="C3561" s="1" t="s">
        <v>56801</v>
      </c>
      <c r="D3561" s="1" t="s">
        <v>9975</v>
      </c>
      <c r="E3561" s="1" t="s">
        <v>40782</v>
      </c>
      <c r="F3561" s="1" t="s">
        <v>11506</v>
      </c>
      <c r="G3561" s="1" t="s">
        <v>56802</v>
      </c>
      <c r="H3561" s="1" t="s">
        <v>56803</v>
      </c>
      <c r="I3561" s="1" t="s">
        <v>56804</v>
      </c>
      <c r="J3561" s="1">
        <v>9526097575</v>
      </c>
      <c r="K3561" s="1" t="s">
        <v>153</v>
      </c>
      <c r="L3561" s="1" t="s">
        <v>24479</v>
      </c>
      <c r="M3561" s="1" t="s">
        <v>86</v>
      </c>
      <c r="N3561" s="1" t="s">
        <v>3261</v>
      </c>
      <c r="O3561" s="1"/>
      <c r="P3561" s="1" t="s">
        <v>455</v>
      </c>
      <c r="Q3561" s="1" t="s">
        <v>56805</v>
      </c>
      <c r="R3561" s="1" t="s">
        <v>56806</v>
      </c>
      <c r="S3561" s="1">
        <v>9847047475</v>
      </c>
      <c r="T3561" s="1" t="s">
        <v>56807</v>
      </c>
      <c r="U3561" s="1" t="s">
        <v>56808</v>
      </c>
      <c r="V3561" s="1">
        <v>9388739295</v>
      </c>
      <c r="W3561" s="1" t="s">
        <v>94</v>
      </c>
      <c r="X3561" s="1" t="s">
        <v>56809</v>
      </c>
      <c r="Y3561" s="1" t="s">
        <v>54050</v>
      </c>
      <c r="Z3561" s="1" t="s">
        <v>130</v>
      </c>
      <c r="AA3561" s="1" t="s">
        <v>56810</v>
      </c>
      <c r="AB3561" s="1" t="s">
        <v>54050</v>
      </c>
      <c r="AC3561" s="1" t="s">
        <v>130</v>
      </c>
      <c r="AD3561" s="1" t="s">
        <v>98</v>
      </c>
      <c r="AE3561" s="1" t="s">
        <v>98</v>
      </c>
      <c r="AF3561" s="1" t="s">
        <v>56811</v>
      </c>
      <c r="AG3561" s="1" t="s">
        <v>312</v>
      </c>
      <c r="AH3561" s="1" t="s">
        <v>3285</v>
      </c>
      <c r="AI3561" s="1" t="s">
        <v>2726</v>
      </c>
      <c r="AJ3561" s="1">
        <v>85.5</v>
      </c>
      <c r="AK3561" s="1">
        <v>9</v>
      </c>
      <c r="AL3561" s="1" t="s">
        <v>56811</v>
      </c>
      <c r="AM3561" s="1" t="s">
        <v>312</v>
      </c>
      <c r="AN3561" s="1"/>
      <c r="AO3561" s="1" t="s">
        <v>1213</v>
      </c>
      <c r="AP3561" s="1" t="s">
        <v>1262</v>
      </c>
      <c r="AQ3561" s="1">
        <v>78.2</v>
      </c>
      <c r="AR3561" s="1">
        <v>7.8</v>
      </c>
      <c r="AS3561" s="1"/>
      <c r="AT3561" s="1"/>
      <c r="AU3561" s="1" t="s">
        <v>98</v>
      </c>
      <c r="AV3561" s="1" t="s">
        <v>98</v>
      </c>
      <c r="AW3561" s="1" t="s">
        <v>98</v>
      </c>
      <c r="AX3561" s="1" t="s">
        <v>98</v>
      </c>
      <c r="AY3561" s="1" t="s">
        <v>20215</v>
      </c>
      <c r="AZ3561" s="1" t="s">
        <v>56812</v>
      </c>
      <c r="BA3561" s="1"/>
      <c r="BB3561" s="1"/>
      <c r="BC3561" s="1" t="s">
        <v>135</v>
      </c>
      <c r="BD3561" s="1" t="s">
        <v>106</v>
      </c>
      <c r="BE3561" s="1">
        <v>66.6</v>
      </c>
      <c r="BF3561" s="1">
        <v>6.66</v>
      </c>
      <c r="BG3561" s="1"/>
      <c r="BH3561" s="1"/>
      <c r="BI3561" s="1"/>
      <c r="BJ3561" s="1"/>
      <c r="BK3561" s="1" t="s">
        <v>98</v>
      </c>
      <c r="BL3561" s="1" t="s">
        <v>98</v>
      </c>
      <c r="BM3561" s="1" t="s">
        <v>98</v>
      </c>
      <c r="BN3561" s="1" t="s">
        <v>98</v>
      </c>
      <c r="BO3561" s="1" t="s">
        <v>369</v>
      </c>
      <c r="BP3561" s="1" t="s">
        <v>56813</v>
      </c>
      <c r="BQ3561" s="1" t="s">
        <v>780</v>
      </c>
      <c r="BR3561" s="1" t="s">
        <v>56814</v>
      </c>
      <c r="BS3561" s="1">
        <v>14</v>
      </c>
      <c r="BT3561" s="1"/>
      <c r="BU3561" s="1" t="s">
        <v>9653</v>
      </c>
      <c r="BV3561" s="3"/>
      <c r="BW3561" s="3"/>
    </row>
    <row r="3562" spans="1:75">
      <c r="A3562" s="1" t="s">
        <v>51340</v>
      </c>
      <c r="B3562" s="1" t="s">
        <v>51341</v>
      </c>
      <c r="C3562" s="1" t="s">
        <v>56815</v>
      </c>
      <c r="D3562" s="1" t="s">
        <v>7510</v>
      </c>
      <c r="E3562" s="1" t="s">
        <v>2098</v>
      </c>
      <c r="F3562" s="1" t="s">
        <v>56816</v>
      </c>
      <c r="G3562" s="1" t="s">
        <v>56817</v>
      </c>
      <c r="H3562" s="1" t="s">
        <v>56818</v>
      </c>
      <c r="I3562" s="1" t="s">
        <v>56819</v>
      </c>
      <c r="J3562" s="1">
        <v>8087929205</v>
      </c>
      <c r="K3562" s="1" t="s">
        <v>84</v>
      </c>
      <c r="L3562" s="1" t="s">
        <v>10585</v>
      </c>
      <c r="M3562" s="1" t="s">
        <v>86</v>
      </c>
      <c r="N3562" s="1" t="s">
        <v>990</v>
      </c>
      <c r="O3562" s="1"/>
      <c r="P3562" s="1" t="s">
        <v>507</v>
      </c>
      <c r="Q3562" s="1" t="s">
        <v>56820</v>
      </c>
      <c r="R3562" s="1" t="s">
        <v>56821</v>
      </c>
      <c r="S3562" s="1">
        <v>9850408221</v>
      </c>
      <c r="T3562" s="1" t="s">
        <v>127</v>
      </c>
      <c r="U3562" s="1" t="s">
        <v>56822</v>
      </c>
      <c r="V3562" s="1">
        <v>9850541373</v>
      </c>
      <c r="W3562" s="1" t="s">
        <v>127</v>
      </c>
      <c r="X3562" s="1" t="s">
        <v>56823</v>
      </c>
      <c r="Y3562" s="1" t="s">
        <v>333</v>
      </c>
      <c r="Z3562" s="1" t="s">
        <v>97</v>
      </c>
      <c r="AA3562" s="1" t="s">
        <v>56823</v>
      </c>
      <c r="AB3562" s="1" t="s">
        <v>333</v>
      </c>
      <c r="AC3562" s="1" t="s">
        <v>97</v>
      </c>
      <c r="AD3562" s="1" t="s">
        <v>98</v>
      </c>
      <c r="AE3562" s="1" t="s">
        <v>98</v>
      </c>
      <c r="AF3562" s="1" t="s">
        <v>56824</v>
      </c>
      <c r="AG3562" s="1" t="s">
        <v>312</v>
      </c>
      <c r="AH3562" s="1" t="s">
        <v>56825</v>
      </c>
      <c r="AI3562" s="1" t="s">
        <v>51935</v>
      </c>
      <c r="AJ3562" s="1">
        <v>81.7</v>
      </c>
      <c r="AK3562" s="1">
        <v>8.6</v>
      </c>
      <c r="AL3562" s="1" t="s">
        <v>56826</v>
      </c>
      <c r="AM3562" s="1" t="s">
        <v>165</v>
      </c>
      <c r="AN3562" s="1"/>
      <c r="AO3562" s="1" t="s">
        <v>56827</v>
      </c>
      <c r="AP3562" s="1" t="s">
        <v>56828</v>
      </c>
      <c r="AQ3562" s="1">
        <v>72.46</v>
      </c>
      <c r="AR3562" s="1"/>
      <c r="AS3562" s="1"/>
      <c r="AT3562" s="1"/>
      <c r="AU3562" s="1" t="s">
        <v>98</v>
      </c>
      <c r="AV3562" s="1" t="s">
        <v>98</v>
      </c>
      <c r="AW3562" s="1" t="s">
        <v>98</v>
      </c>
      <c r="AX3562" s="1" t="s">
        <v>98</v>
      </c>
      <c r="AY3562" s="1" t="s">
        <v>56829</v>
      </c>
      <c r="AZ3562" s="1" t="s">
        <v>56830</v>
      </c>
      <c r="BA3562" s="1"/>
      <c r="BB3562" s="1"/>
      <c r="BC3562" s="1" t="s">
        <v>56831</v>
      </c>
      <c r="BD3562" s="1" t="s">
        <v>56832</v>
      </c>
      <c r="BE3562" s="1">
        <v>74.2</v>
      </c>
      <c r="BF3562" s="1">
        <v>8.17</v>
      </c>
      <c r="BG3562" s="1"/>
      <c r="BH3562" s="1"/>
      <c r="BI3562" s="1"/>
      <c r="BJ3562" s="1"/>
      <c r="BK3562" s="1" t="s">
        <v>98</v>
      </c>
      <c r="BL3562" s="1" t="s">
        <v>98</v>
      </c>
      <c r="BM3562" s="1" t="s">
        <v>98</v>
      </c>
      <c r="BN3562" s="1" t="s">
        <v>98</v>
      </c>
      <c r="BO3562" s="1" t="s">
        <v>369</v>
      </c>
      <c r="BP3562" s="1"/>
      <c r="BQ3562" s="1"/>
      <c r="BR3562" s="1" t="s">
        <v>56833</v>
      </c>
      <c r="BS3562" s="1">
        <v>8</v>
      </c>
      <c r="BT3562" s="1"/>
      <c r="BU3562" s="1" t="str">
        <f>HYPERLINK("https://nconnect.nicmar.ac.in/storage/profile/2021-2023_AP21352_463185.png","Download")</f>
        <v>0</v>
      </c>
      <c r="BV3562" s="3"/>
      <c r="BW3562" s="3"/>
    </row>
    <row r="3563" spans="1:75">
      <c r="A3563" s="1" t="s">
        <v>51340</v>
      </c>
      <c r="B3563" s="1" t="s">
        <v>51341</v>
      </c>
      <c r="C3563" s="1" t="s">
        <v>56834</v>
      </c>
      <c r="D3563" s="1" t="s">
        <v>56835</v>
      </c>
      <c r="E3563" s="1"/>
      <c r="F3563" s="1" t="s">
        <v>56836</v>
      </c>
      <c r="G3563" s="1" t="s">
        <v>56837</v>
      </c>
      <c r="H3563" s="1" t="s">
        <v>56838</v>
      </c>
      <c r="I3563" s="1" t="s">
        <v>56839</v>
      </c>
      <c r="J3563" s="1">
        <v>7692865987</v>
      </c>
      <c r="K3563" s="1" t="s">
        <v>84</v>
      </c>
      <c r="L3563" s="1" t="s">
        <v>32199</v>
      </c>
      <c r="M3563" s="1" t="s">
        <v>86</v>
      </c>
      <c r="N3563" s="1" t="s">
        <v>246</v>
      </c>
      <c r="O3563" s="1"/>
      <c r="P3563" s="1" t="s">
        <v>481</v>
      </c>
      <c r="Q3563" s="1" t="s">
        <v>56840</v>
      </c>
      <c r="R3563" s="1" t="s">
        <v>56841</v>
      </c>
      <c r="S3563" s="1">
        <v>8770050727</v>
      </c>
      <c r="T3563" s="1" t="s">
        <v>159</v>
      </c>
      <c r="U3563" s="1" t="s">
        <v>56842</v>
      </c>
      <c r="V3563" s="1">
        <v>9713143647</v>
      </c>
      <c r="W3563" s="1" t="s">
        <v>278</v>
      </c>
      <c r="X3563" s="1" t="s">
        <v>56843</v>
      </c>
      <c r="Y3563" s="1" t="s">
        <v>5641</v>
      </c>
      <c r="Z3563" s="1" t="s">
        <v>3419</v>
      </c>
      <c r="AA3563" s="1" t="s">
        <v>56843</v>
      </c>
      <c r="AB3563" s="1" t="s">
        <v>5641</v>
      </c>
      <c r="AC3563" s="1" t="s">
        <v>3419</v>
      </c>
      <c r="AD3563" s="1" t="s">
        <v>98</v>
      </c>
      <c r="AE3563" s="1" t="s">
        <v>98</v>
      </c>
      <c r="AF3563" s="1" t="s">
        <v>56844</v>
      </c>
      <c r="AG3563" s="1" t="s">
        <v>56845</v>
      </c>
      <c r="AH3563" s="1">
        <v>41805</v>
      </c>
      <c r="AI3563" s="1">
        <v>42139</v>
      </c>
      <c r="AJ3563" s="1">
        <v>66.5</v>
      </c>
      <c r="AK3563" s="1">
        <v>7</v>
      </c>
      <c r="AL3563" s="1" t="s">
        <v>56844</v>
      </c>
      <c r="AM3563" s="1" t="s">
        <v>56845</v>
      </c>
      <c r="AN3563" s="1"/>
      <c r="AO3563" s="1">
        <v>42536</v>
      </c>
      <c r="AP3563" s="1">
        <v>42870</v>
      </c>
      <c r="AQ3563" s="1">
        <v>60.8</v>
      </c>
      <c r="AR3563" s="1"/>
      <c r="AS3563" s="1"/>
      <c r="AT3563" s="1"/>
      <c r="AU3563" s="1" t="s">
        <v>98</v>
      </c>
      <c r="AV3563" s="1" t="s">
        <v>98</v>
      </c>
      <c r="AW3563" s="1" t="s">
        <v>98</v>
      </c>
      <c r="AX3563" s="1" t="s">
        <v>98</v>
      </c>
      <c r="AY3563" s="1" t="s">
        <v>11448</v>
      </c>
      <c r="AZ3563" s="1" t="s">
        <v>11448</v>
      </c>
      <c r="BA3563" s="1"/>
      <c r="BB3563" s="1"/>
      <c r="BC3563" s="1">
        <v>42968</v>
      </c>
      <c r="BD3563" s="1">
        <v>44392</v>
      </c>
      <c r="BE3563" s="1">
        <v>66</v>
      </c>
      <c r="BF3563" s="1">
        <v>6.3</v>
      </c>
      <c r="BG3563" s="1"/>
      <c r="BH3563" s="1"/>
      <c r="BI3563" s="1"/>
      <c r="BJ3563" s="1"/>
      <c r="BK3563" s="1" t="s">
        <v>98</v>
      </c>
      <c r="BL3563" s="1" t="s">
        <v>98</v>
      </c>
      <c r="BM3563" s="1" t="s">
        <v>98</v>
      </c>
      <c r="BN3563" s="1" t="s">
        <v>98</v>
      </c>
      <c r="BO3563" s="1" t="s">
        <v>369</v>
      </c>
      <c r="BP3563" s="1"/>
      <c r="BQ3563" s="1"/>
      <c r="BR3563" s="1" t="s">
        <v>56846</v>
      </c>
      <c r="BS3563" s="1">
        <v>30</v>
      </c>
      <c r="BT3563" s="1"/>
      <c r="BU3563" s="1" t="str">
        <f>HYPERLINK("https://nconnect.nicmar.ac.in/storage/profile/2021-2023_AP21353_964873.jpg","Download")</f>
        <v>0</v>
      </c>
      <c r="BV3563" s="3"/>
      <c r="BW3563" s="3"/>
    </row>
    <row r="3564" spans="1:75">
      <c r="A3564" s="1" t="s">
        <v>51340</v>
      </c>
      <c r="B3564" s="1" t="s">
        <v>51341</v>
      </c>
      <c r="C3564" s="1" t="s">
        <v>56847</v>
      </c>
      <c r="D3564" s="1" t="s">
        <v>396</v>
      </c>
      <c r="E3564" s="1" t="s">
        <v>35994</v>
      </c>
      <c r="F3564" s="1" t="s">
        <v>56848</v>
      </c>
      <c r="G3564" s="1" t="s">
        <v>56849</v>
      </c>
      <c r="H3564" s="1" t="s">
        <v>56850</v>
      </c>
      <c r="I3564" s="1" t="s">
        <v>56851</v>
      </c>
      <c r="J3564" s="1">
        <v>8421324089</v>
      </c>
      <c r="K3564" s="1" t="s">
        <v>84</v>
      </c>
      <c r="L3564" s="1" t="s">
        <v>13427</v>
      </c>
      <c r="M3564" s="1" t="s">
        <v>86</v>
      </c>
      <c r="N3564" s="1" t="s">
        <v>1163</v>
      </c>
      <c r="O3564" s="1"/>
      <c r="P3564" s="1" t="s">
        <v>507</v>
      </c>
      <c r="Q3564" s="1" t="s">
        <v>56852</v>
      </c>
      <c r="R3564" s="1" t="s">
        <v>56853</v>
      </c>
      <c r="S3564" s="1">
        <v>9881336626</v>
      </c>
      <c r="T3564" s="1" t="s">
        <v>839</v>
      </c>
      <c r="U3564" s="1" t="s">
        <v>56854</v>
      </c>
      <c r="V3564" s="1">
        <v>7030060336</v>
      </c>
      <c r="W3564" s="1" t="s">
        <v>94</v>
      </c>
      <c r="X3564" s="1" t="s">
        <v>56855</v>
      </c>
      <c r="Y3564" s="1" t="s">
        <v>196</v>
      </c>
      <c r="Z3564" s="1" t="s">
        <v>97</v>
      </c>
      <c r="AA3564" s="1" t="s">
        <v>56855</v>
      </c>
      <c r="AB3564" s="1" t="s">
        <v>196</v>
      </c>
      <c r="AC3564" s="1" t="s">
        <v>97</v>
      </c>
      <c r="AD3564" s="1" t="s">
        <v>98</v>
      </c>
      <c r="AE3564" s="1" t="s">
        <v>98</v>
      </c>
      <c r="AF3564" s="1" t="s">
        <v>56856</v>
      </c>
      <c r="AG3564" s="1" t="s">
        <v>51712</v>
      </c>
      <c r="AH3564" s="1">
        <v>41805</v>
      </c>
      <c r="AI3564" s="1">
        <v>42170</v>
      </c>
      <c r="AJ3564" s="1">
        <v>89.8</v>
      </c>
      <c r="AK3564" s="1"/>
      <c r="AL3564" s="1" t="s">
        <v>56857</v>
      </c>
      <c r="AM3564" s="1" t="s">
        <v>51712</v>
      </c>
      <c r="AN3564" s="1"/>
      <c r="AO3564" s="1">
        <v>42536</v>
      </c>
      <c r="AP3564" s="1">
        <v>42901</v>
      </c>
      <c r="AQ3564" s="1">
        <v>79.69</v>
      </c>
      <c r="AR3564" s="1"/>
      <c r="AS3564" s="1"/>
      <c r="AT3564" s="1"/>
      <c r="AU3564" s="1" t="s">
        <v>98</v>
      </c>
      <c r="AV3564" s="1" t="s">
        <v>98</v>
      </c>
      <c r="AW3564" s="1" t="s">
        <v>98</v>
      </c>
      <c r="AX3564" s="1" t="s">
        <v>98</v>
      </c>
      <c r="AY3564" s="1" t="s">
        <v>366</v>
      </c>
      <c r="AZ3564" s="1" t="s">
        <v>56858</v>
      </c>
      <c r="BA3564" s="1"/>
      <c r="BB3564" s="1"/>
      <c r="BC3564" s="1">
        <v>42979</v>
      </c>
      <c r="BD3564" s="1">
        <v>44408</v>
      </c>
      <c r="BE3564" s="1">
        <v>75.5</v>
      </c>
      <c r="BF3564" s="1">
        <v>8.58</v>
      </c>
      <c r="BG3564" s="1"/>
      <c r="BH3564" s="1"/>
      <c r="BI3564" s="1"/>
      <c r="BJ3564" s="1"/>
      <c r="BK3564" s="1" t="s">
        <v>98</v>
      </c>
      <c r="BL3564" s="1" t="s">
        <v>98</v>
      </c>
      <c r="BM3564" s="1" t="s">
        <v>98</v>
      </c>
      <c r="BN3564" s="1" t="s">
        <v>98</v>
      </c>
      <c r="BO3564" s="1" t="s">
        <v>369</v>
      </c>
      <c r="BP3564" s="1"/>
      <c r="BQ3564" s="1"/>
      <c r="BR3564" s="1" t="s">
        <v>56859</v>
      </c>
      <c r="BS3564" s="1">
        <v>27</v>
      </c>
      <c r="BT3564" s="1"/>
      <c r="BU3564" s="1" t="str">
        <f>HYPERLINK("https://nconnect.nicmar.ac.in/storage/profile/2021-2023_AP21354_827953.jpg","Download")</f>
        <v>0</v>
      </c>
      <c r="BV3564" s="3"/>
      <c r="BW3564" s="3"/>
    </row>
    <row r="3565" spans="1:75">
      <c r="A3565" s="1" t="s">
        <v>51340</v>
      </c>
      <c r="B3565" s="1" t="s">
        <v>51341</v>
      </c>
      <c r="C3565" s="1" t="s">
        <v>56860</v>
      </c>
      <c r="D3565" s="1" t="s">
        <v>12315</v>
      </c>
      <c r="E3565" s="1" t="s">
        <v>2273</v>
      </c>
      <c r="F3565" s="1" t="s">
        <v>241</v>
      </c>
      <c r="G3565" s="1" t="s">
        <v>56861</v>
      </c>
      <c r="H3565" s="1" t="s">
        <v>56862</v>
      </c>
      <c r="I3565" s="1" t="s">
        <v>56863</v>
      </c>
      <c r="J3565" s="1">
        <v>9665000883</v>
      </c>
      <c r="K3565" s="1" t="s">
        <v>84</v>
      </c>
      <c r="L3565" s="1" t="s">
        <v>21112</v>
      </c>
      <c r="M3565" s="1" t="s">
        <v>86</v>
      </c>
      <c r="N3565" s="1" t="s">
        <v>56864</v>
      </c>
      <c r="O3565" s="1"/>
      <c r="P3565" s="1" t="s">
        <v>507</v>
      </c>
      <c r="Q3565" s="1" t="s">
        <v>56865</v>
      </c>
      <c r="R3565" s="1" t="s">
        <v>56866</v>
      </c>
      <c r="S3565" s="1">
        <v>8999196796</v>
      </c>
      <c r="T3565" s="1" t="s">
        <v>56867</v>
      </c>
      <c r="U3565" s="1" t="s">
        <v>56868</v>
      </c>
      <c r="V3565" s="1">
        <v>9765034010</v>
      </c>
      <c r="W3565" s="1" t="s">
        <v>94</v>
      </c>
      <c r="X3565" s="1" t="s">
        <v>56869</v>
      </c>
      <c r="Y3565" s="1" t="s">
        <v>163</v>
      </c>
      <c r="Z3565" s="1" t="s">
        <v>97</v>
      </c>
      <c r="AA3565" s="1" t="s">
        <v>56870</v>
      </c>
      <c r="AB3565" s="1" t="s">
        <v>196</v>
      </c>
      <c r="AC3565" s="1" t="s">
        <v>97</v>
      </c>
      <c r="AD3565" s="1" t="s">
        <v>98</v>
      </c>
      <c r="AE3565" s="1" t="s">
        <v>98</v>
      </c>
      <c r="AF3565" s="1" t="s">
        <v>36883</v>
      </c>
      <c r="AG3565" s="1" t="s">
        <v>1968</v>
      </c>
      <c r="AH3565" s="1">
        <v>41097</v>
      </c>
      <c r="AI3565" s="1">
        <v>41432</v>
      </c>
      <c r="AJ3565" s="1">
        <v>81.6</v>
      </c>
      <c r="AK3565" s="1">
        <v>0</v>
      </c>
      <c r="AL3565" s="1" t="s">
        <v>98</v>
      </c>
      <c r="AM3565" s="1" t="s">
        <v>1968</v>
      </c>
      <c r="AN3565" s="1"/>
      <c r="AO3565" s="1" t="s">
        <v>98</v>
      </c>
      <c r="AP3565" s="1" t="s">
        <v>98</v>
      </c>
      <c r="AQ3565" s="1"/>
      <c r="AR3565" s="1"/>
      <c r="AS3565" s="1" t="s">
        <v>439</v>
      </c>
      <c r="AT3565" s="1" t="s">
        <v>56871</v>
      </c>
      <c r="AU3565" s="1">
        <v>41456</v>
      </c>
      <c r="AV3565" s="1">
        <v>42571</v>
      </c>
      <c r="AW3565" s="1">
        <v>71.15</v>
      </c>
      <c r="AX3565" s="1">
        <v>0</v>
      </c>
      <c r="AY3565" s="1" t="s">
        <v>4548</v>
      </c>
      <c r="AZ3565" s="1" t="s">
        <v>56872</v>
      </c>
      <c r="BA3565" s="1"/>
      <c r="BB3565" s="1"/>
      <c r="BC3565" s="1">
        <v>42613</v>
      </c>
      <c r="BD3565" s="1">
        <v>43637</v>
      </c>
      <c r="BE3565" s="1">
        <v>69.12</v>
      </c>
      <c r="BF3565" s="1">
        <v>8.21</v>
      </c>
      <c r="BG3565" s="1"/>
      <c r="BH3565" s="1"/>
      <c r="BI3565" s="1"/>
      <c r="BJ3565" s="1"/>
      <c r="BK3565" s="1" t="s">
        <v>98</v>
      </c>
      <c r="BL3565" s="1" t="s">
        <v>98</v>
      </c>
      <c r="BM3565" s="1" t="s">
        <v>98</v>
      </c>
      <c r="BN3565" s="1" t="s">
        <v>98</v>
      </c>
      <c r="BO3565" s="1" t="s">
        <v>369</v>
      </c>
      <c r="BP3565" s="1"/>
      <c r="BQ3565" s="1"/>
      <c r="BR3565" s="1" t="s">
        <v>56873</v>
      </c>
      <c r="BS3565" s="1">
        <v>12</v>
      </c>
      <c r="BT3565" s="1"/>
      <c r="BU3565" s="1" t="str">
        <f>HYPERLINK("https://nconnect.nicmar.ac.in/storage/profile/2021-2023_AP21355_298135.jpg","Download")</f>
        <v>0</v>
      </c>
      <c r="BV3565" s="3"/>
      <c r="BW3565" s="3"/>
    </row>
    <row r="3566" spans="1:75">
      <c r="A3566" s="1" t="s">
        <v>51340</v>
      </c>
      <c r="B3566" s="1" t="s">
        <v>51341</v>
      </c>
      <c r="C3566" s="1" t="s">
        <v>56874</v>
      </c>
      <c r="D3566" s="1" t="s">
        <v>10634</v>
      </c>
      <c r="E3566" s="1" t="s">
        <v>5668</v>
      </c>
      <c r="F3566" s="1" t="s">
        <v>241</v>
      </c>
      <c r="G3566" s="1" t="s">
        <v>56875</v>
      </c>
      <c r="H3566" s="1" t="s">
        <v>56876</v>
      </c>
      <c r="I3566" s="1" t="s">
        <v>56877</v>
      </c>
      <c r="J3566" s="1">
        <v>9767434131</v>
      </c>
      <c r="K3566" s="1" t="s">
        <v>84</v>
      </c>
      <c r="L3566" s="1" t="s">
        <v>56878</v>
      </c>
      <c r="M3566" s="1" t="s">
        <v>86</v>
      </c>
      <c r="N3566" s="1" t="s">
        <v>903</v>
      </c>
      <c r="O3566" s="1"/>
      <c r="P3566" s="1" t="s">
        <v>481</v>
      </c>
      <c r="Q3566" s="1" t="s">
        <v>56879</v>
      </c>
      <c r="R3566" s="1" t="s">
        <v>56880</v>
      </c>
      <c r="S3566" s="1">
        <v>9850555099</v>
      </c>
      <c r="T3566" s="1" t="s">
        <v>25996</v>
      </c>
      <c r="U3566" s="1" t="s">
        <v>56881</v>
      </c>
      <c r="V3566" s="1">
        <v>9922910801</v>
      </c>
      <c r="W3566" s="1" t="s">
        <v>94</v>
      </c>
      <c r="X3566" s="1" t="s">
        <v>56882</v>
      </c>
      <c r="Y3566" s="1" t="s">
        <v>196</v>
      </c>
      <c r="Z3566" s="1" t="s">
        <v>97</v>
      </c>
      <c r="AA3566" s="1" t="s">
        <v>56883</v>
      </c>
      <c r="AB3566" s="1" t="s">
        <v>196</v>
      </c>
      <c r="AC3566" s="1" t="s">
        <v>97</v>
      </c>
      <c r="AD3566" s="1" t="s">
        <v>98</v>
      </c>
      <c r="AE3566" s="1" t="s">
        <v>98</v>
      </c>
      <c r="AF3566" s="1" t="s">
        <v>56884</v>
      </c>
      <c r="AG3566" s="1" t="s">
        <v>51712</v>
      </c>
      <c r="AH3566" s="1" t="s">
        <v>133</v>
      </c>
      <c r="AI3566" s="1" t="s">
        <v>1213</v>
      </c>
      <c r="AJ3566" s="1">
        <v>62.91</v>
      </c>
      <c r="AK3566" s="1"/>
      <c r="AL3566" s="1" t="s">
        <v>98</v>
      </c>
      <c r="AM3566" s="1"/>
      <c r="AN3566" s="1"/>
      <c r="AO3566" s="1"/>
      <c r="AP3566" s="1"/>
      <c r="AQ3566" s="1"/>
      <c r="AR3566" s="1"/>
      <c r="AS3566" s="1" t="s">
        <v>26915</v>
      </c>
      <c r="AT3566" s="1" t="s">
        <v>56885</v>
      </c>
      <c r="AU3566" s="1" t="s">
        <v>4231</v>
      </c>
      <c r="AV3566" s="1" t="s">
        <v>170</v>
      </c>
      <c r="AW3566" s="1">
        <v>63.2</v>
      </c>
      <c r="AX3566" s="1"/>
      <c r="AY3566" s="1" t="s">
        <v>366</v>
      </c>
      <c r="AZ3566" s="1" t="s">
        <v>56886</v>
      </c>
      <c r="BA3566" s="1"/>
      <c r="BB3566" s="1"/>
      <c r="BC3566" s="1" t="s">
        <v>5535</v>
      </c>
      <c r="BD3566" s="1" t="s">
        <v>175</v>
      </c>
      <c r="BE3566" s="1">
        <v>53.42</v>
      </c>
      <c r="BF3566" s="1">
        <v>6.07</v>
      </c>
      <c r="BG3566" s="1"/>
      <c r="BH3566" s="1"/>
      <c r="BI3566" s="1"/>
      <c r="BJ3566" s="1"/>
      <c r="BK3566" s="1" t="s">
        <v>98</v>
      </c>
      <c r="BL3566" s="1" t="s">
        <v>98</v>
      </c>
      <c r="BM3566" s="1" t="s">
        <v>98</v>
      </c>
      <c r="BN3566" s="1" t="s">
        <v>98</v>
      </c>
      <c r="BO3566" s="1" t="s">
        <v>1114</v>
      </c>
      <c r="BP3566" s="1"/>
      <c r="BQ3566" s="1"/>
      <c r="BR3566" s="1" t="s">
        <v>56887</v>
      </c>
      <c r="BS3566" s="1">
        <v>32</v>
      </c>
      <c r="BT3566" s="1"/>
      <c r="BU3566" s="1" t="str">
        <f>HYPERLINK("https://nconnect.nicmar.ac.in/storage/profile/2021-2023_AP21356_528971.jpg","Download")</f>
        <v>0</v>
      </c>
      <c r="BV3566" s="3"/>
      <c r="BW3566" s="3"/>
    </row>
    <row r="3567" spans="1:75">
      <c r="A3567" s="1" t="s">
        <v>51340</v>
      </c>
      <c r="B3567" s="1" t="s">
        <v>51341</v>
      </c>
      <c r="C3567" s="1" t="s">
        <v>56888</v>
      </c>
      <c r="D3567" s="1" t="s">
        <v>56889</v>
      </c>
      <c r="E3567" s="1"/>
      <c r="F3567" s="1" t="s">
        <v>1320</v>
      </c>
      <c r="G3567" s="1" t="s">
        <v>56890</v>
      </c>
      <c r="H3567" s="1" t="s">
        <v>56891</v>
      </c>
      <c r="I3567" s="1" t="s">
        <v>56892</v>
      </c>
      <c r="J3567" s="1">
        <v>9887574733</v>
      </c>
      <c r="K3567" s="1" t="s">
        <v>84</v>
      </c>
      <c r="L3567" s="1" t="s">
        <v>29832</v>
      </c>
      <c r="M3567" s="1" t="s">
        <v>86</v>
      </c>
      <c r="N3567" s="1" t="s">
        <v>56893</v>
      </c>
      <c r="O3567" s="1"/>
      <c r="P3567" s="1" t="s">
        <v>507</v>
      </c>
      <c r="Q3567" s="1" t="s">
        <v>56894</v>
      </c>
      <c r="R3567" s="1" t="s">
        <v>56895</v>
      </c>
      <c r="S3567" s="1">
        <v>8789899551</v>
      </c>
      <c r="T3567" s="1" t="s">
        <v>98</v>
      </c>
      <c r="U3567" s="1" t="s">
        <v>56896</v>
      </c>
      <c r="V3567" s="1">
        <v>8002053845</v>
      </c>
      <c r="W3567" s="1" t="s">
        <v>94</v>
      </c>
      <c r="X3567" s="1" t="s">
        <v>56897</v>
      </c>
      <c r="Y3567" s="1" t="s">
        <v>56898</v>
      </c>
      <c r="Z3567" s="1" t="s">
        <v>649</v>
      </c>
      <c r="AA3567" s="1" t="s">
        <v>56899</v>
      </c>
      <c r="AB3567" s="1" t="s">
        <v>196</v>
      </c>
      <c r="AC3567" s="1" t="s">
        <v>97</v>
      </c>
      <c r="AD3567" s="1" t="s">
        <v>98</v>
      </c>
      <c r="AE3567" s="1" t="s">
        <v>98</v>
      </c>
      <c r="AF3567" s="1" t="s">
        <v>56900</v>
      </c>
      <c r="AG3567" s="1" t="s">
        <v>8746</v>
      </c>
      <c r="AH3567" s="1">
        <v>40634</v>
      </c>
      <c r="AI3567" s="1">
        <v>41036</v>
      </c>
      <c r="AJ3567" s="1">
        <v>77.8</v>
      </c>
      <c r="AK3567" s="1">
        <v>0</v>
      </c>
      <c r="AL3567" s="1" t="s">
        <v>56901</v>
      </c>
      <c r="AM3567" s="1" t="s">
        <v>2745</v>
      </c>
      <c r="AN3567" s="1"/>
      <c r="AO3567" s="1">
        <v>41394</v>
      </c>
      <c r="AP3567" s="1">
        <v>41774</v>
      </c>
      <c r="AQ3567" s="1">
        <v>52</v>
      </c>
      <c r="AR3567" s="1">
        <v>0</v>
      </c>
      <c r="AS3567" s="1"/>
      <c r="AT3567" s="1"/>
      <c r="AU3567" s="1" t="s">
        <v>98</v>
      </c>
      <c r="AV3567" s="1" t="s">
        <v>98</v>
      </c>
      <c r="AW3567" s="1" t="s">
        <v>98</v>
      </c>
      <c r="AX3567" s="1" t="s">
        <v>98</v>
      </c>
      <c r="AY3567" s="1" t="s">
        <v>56902</v>
      </c>
      <c r="AZ3567" s="1" t="s">
        <v>56902</v>
      </c>
      <c r="BA3567" s="1"/>
      <c r="BB3567" s="1"/>
      <c r="BC3567" s="1">
        <v>41861</v>
      </c>
      <c r="BD3567" s="1">
        <v>43260</v>
      </c>
      <c r="BE3567" s="1">
        <v>68.35</v>
      </c>
      <c r="BF3567" s="1">
        <v>7.35</v>
      </c>
      <c r="BG3567" s="1"/>
      <c r="BH3567" s="1"/>
      <c r="BI3567" s="1"/>
      <c r="BJ3567" s="1"/>
      <c r="BK3567" s="1" t="s">
        <v>98</v>
      </c>
      <c r="BL3567" s="1" t="s">
        <v>98</v>
      </c>
      <c r="BM3567" s="1" t="s">
        <v>98</v>
      </c>
      <c r="BN3567" s="1" t="s">
        <v>98</v>
      </c>
      <c r="BO3567" s="1" t="s">
        <v>28530</v>
      </c>
      <c r="BP3567" s="1" t="s">
        <v>56903</v>
      </c>
      <c r="BQ3567" s="1" t="s">
        <v>29553</v>
      </c>
      <c r="BR3567" s="1" t="s">
        <v>56904</v>
      </c>
      <c r="BS3567" s="1">
        <v>14</v>
      </c>
      <c r="BT3567" s="1"/>
      <c r="BU3567" s="1" t="str">
        <f>HYPERLINK("https://nconnect.nicmar.ac.in/storage/profile/2021-2023_AP21357_586492.jpg","Download")</f>
        <v>0</v>
      </c>
      <c r="BV3567" s="3"/>
      <c r="BW3567" s="3"/>
    </row>
    <row r="3568" spans="1:75">
      <c r="A3568" s="1" t="s">
        <v>51340</v>
      </c>
      <c r="B3568" s="1" t="s">
        <v>51341</v>
      </c>
      <c r="C3568" s="1" t="s">
        <v>56905</v>
      </c>
      <c r="D3568" s="1" t="s">
        <v>4820</v>
      </c>
      <c r="E3568" s="1" t="s">
        <v>41870</v>
      </c>
      <c r="F3568" s="1" t="s">
        <v>29994</v>
      </c>
      <c r="G3568" s="1" t="s">
        <v>56906</v>
      </c>
      <c r="H3568" s="1" t="s">
        <v>56907</v>
      </c>
      <c r="I3568" s="1" t="s">
        <v>56908</v>
      </c>
      <c r="J3568" s="1">
        <v>8275466641</v>
      </c>
      <c r="K3568" s="1" t="s">
        <v>84</v>
      </c>
      <c r="L3568" s="1" t="s">
        <v>48382</v>
      </c>
      <c r="M3568" s="1" t="s">
        <v>86</v>
      </c>
      <c r="N3568" s="1" t="s">
        <v>2433</v>
      </c>
      <c r="O3568" s="1"/>
      <c r="P3568" s="1" t="s">
        <v>1028</v>
      </c>
      <c r="Q3568" s="1" t="s">
        <v>56909</v>
      </c>
      <c r="R3568" s="1" t="s">
        <v>56910</v>
      </c>
      <c r="S3568" s="1">
        <v>8275466640</v>
      </c>
      <c r="T3568" s="1" t="s">
        <v>839</v>
      </c>
      <c r="U3568" s="1" t="s">
        <v>56911</v>
      </c>
      <c r="V3568" s="1">
        <v>8237225268</v>
      </c>
      <c r="W3568" s="1" t="s">
        <v>94</v>
      </c>
      <c r="X3568" s="1" t="s">
        <v>56912</v>
      </c>
      <c r="Y3568" s="1" t="s">
        <v>56913</v>
      </c>
      <c r="Z3568" s="1" t="s">
        <v>97</v>
      </c>
      <c r="AA3568" s="1" t="s">
        <v>56912</v>
      </c>
      <c r="AB3568" s="1" t="s">
        <v>56913</v>
      </c>
      <c r="AC3568" s="1" t="s">
        <v>97</v>
      </c>
      <c r="AD3568" s="1" t="s">
        <v>98</v>
      </c>
      <c r="AE3568" s="1" t="s">
        <v>98</v>
      </c>
      <c r="AF3568" s="1" t="s">
        <v>56914</v>
      </c>
      <c r="AG3568" s="1" t="s">
        <v>56915</v>
      </c>
      <c r="AH3568" s="1">
        <v>41078</v>
      </c>
      <c r="AI3568" s="1">
        <v>41453</v>
      </c>
      <c r="AJ3568" s="1">
        <v>80.36</v>
      </c>
      <c r="AK3568" s="1"/>
      <c r="AL3568" s="1" t="s">
        <v>56916</v>
      </c>
      <c r="AM3568" s="1" t="s">
        <v>56915</v>
      </c>
      <c r="AN3568" s="1"/>
      <c r="AO3568" s="1">
        <v>41806</v>
      </c>
      <c r="AP3568" s="1">
        <v>42155</v>
      </c>
      <c r="AQ3568" s="1">
        <v>66.15</v>
      </c>
      <c r="AR3568" s="1"/>
      <c r="AS3568" s="1"/>
      <c r="AT3568" s="1"/>
      <c r="AU3568" s="1" t="s">
        <v>98</v>
      </c>
      <c r="AV3568" s="1" t="s">
        <v>98</v>
      </c>
      <c r="AW3568" s="1" t="s">
        <v>98</v>
      </c>
      <c r="AX3568" s="1" t="s">
        <v>98</v>
      </c>
      <c r="AY3568" s="1" t="s">
        <v>366</v>
      </c>
      <c r="AZ3568" s="1" t="s">
        <v>56917</v>
      </c>
      <c r="BA3568" s="1"/>
      <c r="BB3568" s="1"/>
      <c r="BC3568" s="1">
        <v>42186</v>
      </c>
      <c r="BD3568" s="1">
        <v>44146</v>
      </c>
      <c r="BE3568" s="1">
        <v>54.65</v>
      </c>
      <c r="BF3568" s="1">
        <v>6.21</v>
      </c>
      <c r="BG3568" s="1"/>
      <c r="BH3568" s="1"/>
      <c r="BI3568" s="1"/>
      <c r="BJ3568" s="1"/>
      <c r="BK3568" s="1" t="s">
        <v>98</v>
      </c>
      <c r="BL3568" s="1" t="s">
        <v>98</v>
      </c>
      <c r="BM3568" s="1" t="s">
        <v>98</v>
      </c>
      <c r="BN3568" s="1" t="s">
        <v>98</v>
      </c>
      <c r="BO3568" s="1" t="s">
        <v>369</v>
      </c>
      <c r="BP3568" s="1"/>
      <c r="BQ3568" s="1"/>
      <c r="BR3568" s="1" t="s">
        <v>56918</v>
      </c>
      <c r="BS3568" s="1">
        <v>12</v>
      </c>
      <c r="BT3568" s="1"/>
      <c r="BU3568" s="1" t="str">
        <f>HYPERLINK("https://nconnect.nicmar.ac.in/storage/profile/2021-2023_AP21358_789536.jpg","Download")</f>
        <v>0</v>
      </c>
      <c r="BV3568" s="3"/>
      <c r="BW3568" s="3"/>
    </row>
    <row r="3569" spans="1:75">
      <c r="A3569" s="1" t="s">
        <v>51340</v>
      </c>
      <c r="B3569" s="1" t="s">
        <v>51341</v>
      </c>
      <c r="C3569" s="1" t="s">
        <v>56919</v>
      </c>
      <c r="D3569" s="1" t="s">
        <v>1787</v>
      </c>
      <c r="E3569" s="1" t="s">
        <v>3042</v>
      </c>
      <c r="F3569" s="1" t="s">
        <v>38668</v>
      </c>
      <c r="G3569" s="1" t="s">
        <v>56920</v>
      </c>
      <c r="H3569" s="1" t="s">
        <v>56921</v>
      </c>
      <c r="I3569" s="1" t="s">
        <v>56922</v>
      </c>
      <c r="J3569" s="1">
        <v>7028167222</v>
      </c>
      <c r="K3569" s="1" t="s">
        <v>84</v>
      </c>
      <c r="L3569" s="1" t="s">
        <v>56923</v>
      </c>
      <c r="M3569" s="1" t="s">
        <v>86</v>
      </c>
      <c r="N3569" s="1" t="s">
        <v>903</v>
      </c>
      <c r="O3569" s="1"/>
      <c r="P3569" s="1" t="s">
        <v>481</v>
      </c>
      <c r="Q3569" s="1" t="s">
        <v>56924</v>
      </c>
      <c r="R3569" s="1" t="s">
        <v>56925</v>
      </c>
      <c r="S3569" s="1">
        <v>9422754474</v>
      </c>
      <c r="T3569" s="1" t="s">
        <v>1620</v>
      </c>
      <c r="U3569" s="1" t="s">
        <v>56926</v>
      </c>
      <c r="V3569" s="1">
        <v>9423962588</v>
      </c>
      <c r="W3569" s="1" t="s">
        <v>2547</v>
      </c>
      <c r="X3569" s="1" t="s">
        <v>56927</v>
      </c>
      <c r="Y3569" s="1" t="s">
        <v>196</v>
      </c>
      <c r="Z3569" s="1" t="s">
        <v>97</v>
      </c>
      <c r="AA3569" s="1" t="s">
        <v>56927</v>
      </c>
      <c r="AB3569" s="1" t="s">
        <v>196</v>
      </c>
      <c r="AC3569" s="1" t="s">
        <v>97</v>
      </c>
      <c r="AD3569" s="1" t="s">
        <v>98</v>
      </c>
      <c r="AE3569" s="1" t="s">
        <v>98</v>
      </c>
      <c r="AF3569" s="1" t="s">
        <v>56928</v>
      </c>
      <c r="AG3569" s="1" t="s">
        <v>1968</v>
      </c>
      <c r="AH3569" s="1">
        <v>41435</v>
      </c>
      <c r="AI3569" s="1">
        <v>41807</v>
      </c>
      <c r="AJ3569" s="1">
        <v>87.4</v>
      </c>
      <c r="AK3569" s="1"/>
      <c r="AL3569" s="1" t="s">
        <v>56929</v>
      </c>
      <c r="AM3569" s="1" t="s">
        <v>1968</v>
      </c>
      <c r="AN3569" s="1"/>
      <c r="AO3569" s="1">
        <v>42076</v>
      </c>
      <c r="AP3569" s="1">
        <v>42537</v>
      </c>
      <c r="AQ3569" s="1">
        <v>56.31</v>
      </c>
      <c r="AR3569" s="1"/>
      <c r="AS3569" s="1"/>
      <c r="AT3569" s="1"/>
      <c r="AU3569" s="1" t="s">
        <v>98</v>
      </c>
      <c r="AV3569" s="1" t="s">
        <v>98</v>
      </c>
      <c r="AW3569" s="1" t="s">
        <v>98</v>
      </c>
      <c r="AX3569" s="1" t="s">
        <v>98</v>
      </c>
      <c r="AY3569" s="1" t="s">
        <v>366</v>
      </c>
      <c r="AZ3569" s="1" t="s">
        <v>56930</v>
      </c>
      <c r="BA3569" s="1"/>
      <c r="BB3569" s="1"/>
      <c r="BC3569" s="1">
        <v>42581</v>
      </c>
      <c r="BD3569" s="1">
        <v>44140</v>
      </c>
      <c r="BE3569" s="1">
        <v>54.56</v>
      </c>
      <c r="BF3569" s="1">
        <v>6.2</v>
      </c>
      <c r="BG3569" s="1"/>
      <c r="BH3569" s="1"/>
      <c r="BI3569" s="1"/>
      <c r="BJ3569" s="1"/>
      <c r="BK3569" s="1" t="s">
        <v>98</v>
      </c>
      <c r="BL3569" s="1" t="s">
        <v>98</v>
      </c>
      <c r="BM3569" s="1" t="s">
        <v>98</v>
      </c>
      <c r="BN3569" s="1" t="s">
        <v>98</v>
      </c>
      <c r="BO3569" s="1" t="s">
        <v>56931</v>
      </c>
      <c r="BP3569" s="1"/>
      <c r="BQ3569" s="1"/>
      <c r="BR3569" s="1" t="s">
        <v>56932</v>
      </c>
      <c r="BS3569" s="1">
        <v>12</v>
      </c>
      <c r="BT3569" s="1"/>
      <c r="BU3569" s="1" t="str">
        <f>HYPERLINK("https://nconnect.nicmar.ac.in/storage/profile/2021-2023_AP21359_158426.JPG","Download")</f>
        <v>0</v>
      </c>
      <c r="BV3569" s="3"/>
      <c r="BW3569" s="3"/>
    </row>
    <row r="3570" spans="1:75">
      <c r="A3570" s="1" t="s">
        <v>51340</v>
      </c>
      <c r="B3570" s="1" t="s">
        <v>51341</v>
      </c>
      <c r="C3570" s="1" t="s">
        <v>56933</v>
      </c>
      <c r="D3570" s="1" t="s">
        <v>56934</v>
      </c>
      <c r="E3570" s="1" t="s">
        <v>4215</v>
      </c>
      <c r="F3570" s="1" t="s">
        <v>1179</v>
      </c>
      <c r="G3570" s="1" t="s">
        <v>56935</v>
      </c>
      <c r="H3570" s="1" t="s">
        <v>56936</v>
      </c>
      <c r="I3570" s="1" t="s">
        <v>56937</v>
      </c>
      <c r="J3570" s="1">
        <v>8830917574</v>
      </c>
      <c r="K3570" s="1" t="s">
        <v>84</v>
      </c>
      <c r="L3570" s="1" t="s">
        <v>56938</v>
      </c>
      <c r="M3570" s="1" t="s">
        <v>86</v>
      </c>
      <c r="N3570" s="1" t="s">
        <v>990</v>
      </c>
      <c r="O3570" s="1"/>
      <c r="P3570" s="1" t="s">
        <v>455</v>
      </c>
      <c r="Q3570" s="1" t="s">
        <v>56939</v>
      </c>
      <c r="R3570" s="1" t="s">
        <v>56940</v>
      </c>
      <c r="S3570" s="1">
        <v>8888167472</v>
      </c>
      <c r="T3570" s="1" t="s">
        <v>159</v>
      </c>
      <c r="U3570" s="1" t="s">
        <v>36828</v>
      </c>
      <c r="V3570" s="1">
        <v>7028520307</v>
      </c>
      <c r="W3570" s="1" t="s">
        <v>94</v>
      </c>
      <c r="X3570" s="1" t="s">
        <v>56941</v>
      </c>
      <c r="Y3570" s="1" t="s">
        <v>163</v>
      </c>
      <c r="Z3570" s="1" t="s">
        <v>97</v>
      </c>
      <c r="AA3570" s="1" t="s">
        <v>56942</v>
      </c>
      <c r="AB3570" s="1" t="s">
        <v>196</v>
      </c>
      <c r="AC3570" s="1" t="s">
        <v>97</v>
      </c>
      <c r="AD3570" s="1" t="s">
        <v>98</v>
      </c>
      <c r="AE3570" s="1" t="s">
        <v>98</v>
      </c>
      <c r="AF3570" s="1" t="s">
        <v>38791</v>
      </c>
      <c r="AG3570" s="1" t="s">
        <v>56943</v>
      </c>
      <c r="AH3570" s="1">
        <v>40344</v>
      </c>
      <c r="AI3570" s="1">
        <v>40711</v>
      </c>
      <c r="AJ3570" s="1">
        <v>84.18</v>
      </c>
      <c r="AK3570" s="1"/>
      <c r="AL3570" s="1" t="s">
        <v>98</v>
      </c>
      <c r="AM3570" s="1" t="s">
        <v>98</v>
      </c>
      <c r="AN3570" s="1"/>
      <c r="AO3570" s="1" t="s">
        <v>98</v>
      </c>
      <c r="AP3570" s="1" t="s">
        <v>98</v>
      </c>
      <c r="AQ3570" s="1"/>
      <c r="AR3570" s="1"/>
      <c r="AS3570" s="1" t="s">
        <v>439</v>
      </c>
      <c r="AT3570" s="1" t="s">
        <v>56944</v>
      </c>
      <c r="AU3570" s="1">
        <v>41459</v>
      </c>
      <c r="AV3570" s="1">
        <v>42571</v>
      </c>
      <c r="AW3570" s="1">
        <v>76.73</v>
      </c>
      <c r="AX3570" s="1"/>
      <c r="AY3570" s="1" t="s">
        <v>3713</v>
      </c>
      <c r="AZ3570" s="1" t="s">
        <v>56945</v>
      </c>
      <c r="BA3570" s="1"/>
      <c r="BB3570" s="1"/>
      <c r="BC3570" s="1">
        <v>42614</v>
      </c>
      <c r="BD3570" s="1">
        <v>43719</v>
      </c>
      <c r="BE3570" s="1">
        <v>63.94</v>
      </c>
      <c r="BF3570" s="1"/>
      <c r="BG3570" s="1"/>
      <c r="BH3570" s="1"/>
      <c r="BI3570" s="1"/>
      <c r="BJ3570" s="1"/>
      <c r="BK3570" s="1" t="s">
        <v>98</v>
      </c>
      <c r="BL3570" s="1" t="s">
        <v>98</v>
      </c>
      <c r="BM3570" s="1" t="s">
        <v>98</v>
      </c>
      <c r="BN3570" s="1" t="s">
        <v>98</v>
      </c>
      <c r="BO3570" s="1" t="s">
        <v>25985</v>
      </c>
      <c r="BP3570" s="1" t="s">
        <v>56946</v>
      </c>
      <c r="BQ3570" s="1" t="s">
        <v>4552</v>
      </c>
      <c r="BR3570" s="1" t="s">
        <v>56947</v>
      </c>
      <c r="BS3570" s="1">
        <v>24</v>
      </c>
      <c r="BT3570" s="1"/>
      <c r="BU3570" s="1" t="str">
        <f>HYPERLINK("https://nconnect.nicmar.ac.in/storage/profile/2021-2023_AP21360_435927.jpg","Download")</f>
        <v>0</v>
      </c>
      <c r="BV3570" s="3"/>
      <c r="BW3570" s="3"/>
    </row>
    <row r="3571" spans="1:75">
      <c r="A3571" s="1" t="s">
        <v>51340</v>
      </c>
      <c r="B3571" s="1" t="s">
        <v>51341</v>
      </c>
      <c r="C3571" s="1" t="s">
        <v>56948</v>
      </c>
      <c r="D3571" s="1" t="s">
        <v>784</v>
      </c>
      <c r="E3571" s="1" t="s">
        <v>1294</v>
      </c>
      <c r="F3571" s="1" t="s">
        <v>3040</v>
      </c>
      <c r="G3571" s="1" t="s">
        <v>56949</v>
      </c>
      <c r="H3571" s="1" t="s">
        <v>56950</v>
      </c>
      <c r="I3571" s="1" t="s">
        <v>56951</v>
      </c>
      <c r="J3571" s="1">
        <v>8600894696</v>
      </c>
      <c r="K3571" s="1" t="s">
        <v>84</v>
      </c>
      <c r="L3571" s="1" t="s">
        <v>56952</v>
      </c>
      <c r="M3571" s="1" t="s">
        <v>86</v>
      </c>
      <c r="N3571" s="1" t="s">
        <v>1163</v>
      </c>
      <c r="O3571" s="1"/>
      <c r="P3571" s="1" t="s">
        <v>455</v>
      </c>
      <c r="Q3571" s="1" t="s">
        <v>56953</v>
      </c>
      <c r="R3571" s="1" t="s">
        <v>56954</v>
      </c>
      <c r="S3571" s="1">
        <v>9823066462</v>
      </c>
      <c r="T3571" s="1" t="s">
        <v>56955</v>
      </c>
      <c r="U3571" s="1" t="s">
        <v>56956</v>
      </c>
      <c r="V3571" s="1">
        <v>9423518310</v>
      </c>
      <c r="W3571" s="1" t="s">
        <v>278</v>
      </c>
      <c r="X3571" s="1" t="s">
        <v>56957</v>
      </c>
      <c r="Y3571" s="1" t="s">
        <v>5659</v>
      </c>
      <c r="Z3571" s="1" t="s">
        <v>97</v>
      </c>
      <c r="AA3571" s="1" t="s">
        <v>98</v>
      </c>
      <c r="AB3571" s="1" t="s">
        <v>196</v>
      </c>
      <c r="AC3571" s="1" t="s">
        <v>97</v>
      </c>
      <c r="AD3571" s="1" t="s">
        <v>98</v>
      </c>
      <c r="AE3571" s="1" t="s">
        <v>98</v>
      </c>
      <c r="AF3571" s="1" t="s">
        <v>56958</v>
      </c>
      <c r="AG3571" s="1" t="s">
        <v>51712</v>
      </c>
      <c r="AH3571" s="1">
        <v>41729</v>
      </c>
      <c r="AI3571" s="1">
        <v>42094</v>
      </c>
      <c r="AJ3571" s="1">
        <v>79.6</v>
      </c>
      <c r="AK3571" s="1">
        <v>0</v>
      </c>
      <c r="AL3571" s="1" t="s">
        <v>56959</v>
      </c>
      <c r="AM3571" s="1" t="s">
        <v>51712</v>
      </c>
      <c r="AN3571" s="1"/>
      <c r="AO3571" s="1">
        <v>42430</v>
      </c>
      <c r="AP3571" s="1">
        <v>42794</v>
      </c>
      <c r="AQ3571" s="1">
        <v>69.69</v>
      </c>
      <c r="AR3571" s="1">
        <v>0</v>
      </c>
      <c r="AS3571" s="1"/>
      <c r="AT3571" s="1"/>
      <c r="AU3571" s="1" t="s">
        <v>98</v>
      </c>
      <c r="AV3571" s="1" t="s">
        <v>98</v>
      </c>
      <c r="AW3571" s="1" t="s">
        <v>98</v>
      </c>
      <c r="AX3571" s="1" t="s">
        <v>98</v>
      </c>
      <c r="AY3571" s="1" t="s">
        <v>7557</v>
      </c>
      <c r="AZ3571" s="1" t="s">
        <v>35799</v>
      </c>
      <c r="BA3571" s="1"/>
      <c r="BB3571" s="1"/>
      <c r="BC3571" s="1">
        <v>42923</v>
      </c>
      <c r="BD3571" s="1">
        <v>44317</v>
      </c>
      <c r="BE3571" s="1">
        <v>75.5</v>
      </c>
      <c r="BF3571" s="1">
        <v>8.3</v>
      </c>
      <c r="BG3571" s="1"/>
      <c r="BH3571" s="1"/>
      <c r="BI3571" s="1"/>
      <c r="BJ3571" s="1"/>
      <c r="BK3571" s="1" t="s">
        <v>98</v>
      </c>
      <c r="BL3571" s="1" t="s">
        <v>98</v>
      </c>
      <c r="BM3571" s="1" t="s">
        <v>98</v>
      </c>
      <c r="BN3571" s="1" t="s">
        <v>98</v>
      </c>
      <c r="BO3571" s="1" t="s">
        <v>369</v>
      </c>
      <c r="BP3571" s="1"/>
      <c r="BQ3571" s="1"/>
      <c r="BR3571" s="1" t="s">
        <v>56960</v>
      </c>
      <c r="BS3571" s="1">
        <v>46</v>
      </c>
      <c r="BT3571" s="1"/>
      <c r="BU3571" s="1" t="str">
        <f>HYPERLINK("https://nconnect.nicmar.ac.in/storage/profile/2021-2023_AP21361_857291.jpg","Download")</f>
        <v>0</v>
      </c>
      <c r="BV3571" s="3"/>
      <c r="BW3571" s="3"/>
    </row>
    <row r="3572" spans="1:75">
      <c r="A3572" s="1" t="s">
        <v>51340</v>
      </c>
      <c r="B3572" s="1" t="s">
        <v>51341</v>
      </c>
      <c r="C3572" s="1" t="s">
        <v>56961</v>
      </c>
      <c r="D3572" s="1" t="s">
        <v>56962</v>
      </c>
      <c r="E3572" s="1" t="s">
        <v>56963</v>
      </c>
      <c r="F3572" s="1" t="s">
        <v>5650</v>
      </c>
      <c r="G3572" s="1" t="s">
        <v>56964</v>
      </c>
      <c r="H3572" s="1" t="s">
        <v>56965</v>
      </c>
      <c r="I3572" s="1" t="s">
        <v>56966</v>
      </c>
      <c r="J3572" s="1">
        <v>9561778377</v>
      </c>
      <c r="K3572" s="1" t="s">
        <v>84</v>
      </c>
      <c r="L3572" s="1" t="s">
        <v>27817</v>
      </c>
      <c r="M3572" s="1" t="s">
        <v>86</v>
      </c>
      <c r="N3572" s="1" t="s">
        <v>1163</v>
      </c>
      <c r="O3572" s="1"/>
      <c r="P3572" s="1" t="s">
        <v>481</v>
      </c>
      <c r="Q3572" s="1" t="s">
        <v>56967</v>
      </c>
      <c r="R3572" s="1" t="s">
        <v>56968</v>
      </c>
      <c r="S3572" s="1">
        <v>9822343545</v>
      </c>
      <c r="T3572" s="1" t="s">
        <v>159</v>
      </c>
      <c r="U3572" s="1" t="s">
        <v>56969</v>
      </c>
      <c r="V3572" s="1">
        <v>9561777715</v>
      </c>
      <c r="W3572" s="1" t="s">
        <v>94</v>
      </c>
      <c r="X3572" s="1" t="s">
        <v>56970</v>
      </c>
      <c r="Y3572" s="1" t="s">
        <v>56971</v>
      </c>
      <c r="Z3572" s="1" t="s">
        <v>97</v>
      </c>
      <c r="AA3572" s="1" t="s">
        <v>56972</v>
      </c>
      <c r="AB3572" s="1" t="s">
        <v>56971</v>
      </c>
      <c r="AC3572" s="1" t="s">
        <v>97</v>
      </c>
      <c r="AD3572" s="1" t="s">
        <v>98</v>
      </c>
      <c r="AE3572" s="1" t="s">
        <v>98</v>
      </c>
      <c r="AF3572" s="1" t="s">
        <v>56973</v>
      </c>
      <c r="AG3572" s="1" t="s">
        <v>53860</v>
      </c>
      <c r="AH3572" s="1" t="s">
        <v>1213</v>
      </c>
      <c r="AI3572" s="1" t="s">
        <v>515</v>
      </c>
      <c r="AJ3572" s="1">
        <v>76</v>
      </c>
      <c r="AK3572" s="1"/>
      <c r="AL3572" s="1" t="s">
        <v>56974</v>
      </c>
      <c r="AM3572" s="1" t="s">
        <v>53860</v>
      </c>
      <c r="AN3572" s="1"/>
      <c r="AO3572" s="1" t="s">
        <v>136</v>
      </c>
      <c r="AP3572" s="1" t="s">
        <v>627</v>
      </c>
      <c r="AQ3572" s="1">
        <v>64.77</v>
      </c>
      <c r="AR3572" s="1"/>
      <c r="AS3572" s="1"/>
      <c r="AT3572" s="1"/>
      <c r="AU3572" s="1" t="s">
        <v>98</v>
      </c>
      <c r="AV3572" s="1" t="s">
        <v>98</v>
      </c>
      <c r="AW3572" s="1"/>
      <c r="AX3572" s="1"/>
      <c r="AY3572" s="1" t="s">
        <v>366</v>
      </c>
      <c r="AZ3572" s="1" t="s">
        <v>36475</v>
      </c>
      <c r="BA3572" s="1"/>
      <c r="BB3572" s="1"/>
      <c r="BC3572" s="1" t="s">
        <v>14379</v>
      </c>
      <c r="BD3572" s="1" t="s">
        <v>175</v>
      </c>
      <c r="BE3572" s="1">
        <v>67.8</v>
      </c>
      <c r="BF3572" s="1">
        <v>6.78</v>
      </c>
      <c r="BG3572" s="1"/>
      <c r="BH3572" s="1"/>
      <c r="BI3572" s="1"/>
      <c r="BJ3572" s="1"/>
      <c r="BK3572" s="1" t="s">
        <v>98</v>
      </c>
      <c r="BL3572" s="1" t="s">
        <v>98</v>
      </c>
      <c r="BM3572" s="1" t="s">
        <v>98</v>
      </c>
      <c r="BN3572" s="1" t="s">
        <v>98</v>
      </c>
      <c r="BO3572" s="1" t="s">
        <v>25985</v>
      </c>
      <c r="BP3572" s="1" t="s">
        <v>56975</v>
      </c>
      <c r="BQ3572" s="1" t="s">
        <v>1070</v>
      </c>
      <c r="BR3572" s="1" t="s">
        <v>56976</v>
      </c>
      <c r="BS3572" s="1">
        <v>8</v>
      </c>
      <c r="BT3572" s="1"/>
      <c r="BU3572" s="1" t="str">
        <f>HYPERLINK("https://nconnect.nicmar.ac.in/storage/profile/2021-2023_AP21362_396485.jpeg","Download")</f>
        <v>0</v>
      </c>
      <c r="BV3572" s="3"/>
      <c r="BW3572" s="3"/>
    </row>
    <row r="3573" spans="1:75">
      <c r="A3573" s="1" t="s">
        <v>51340</v>
      </c>
      <c r="B3573" s="1" t="s">
        <v>51341</v>
      </c>
      <c r="C3573" s="1" t="s">
        <v>56977</v>
      </c>
      <c r="D3573" s="1" t="s">
        <v>6222</v>
      </c>
      <c r="E3573" s="1" t="s">
        <v>2098</v>
      </c>
      <c r="F3573" s="1" t="s">
        <v>47287</v>
      </c>
      <c r="G3573" s="1" t="s">
        <v>56978</v>
      </c>
      <c r="H3573" s="1" t="s">
        <v>56979</v>
      </c>
      <c r="I3573" s="1" t="s">
        <v>56980</v>
      </c>
      <c r="J3573" s="1">
        <v>9922857000</v>
      </c>
      <c r="K3573" s="1" t="s">
        <v>84</v>
      </c>
      <c r="L3573" s="1" t="s">
        <v>56981</v>
      </c>
      <c r="M3573" s="1" t="s">
        <v>86</v>
      </c>
      <c r="N3573" s="1" t="s">
        <v>1163</v>
      </c>
      <c r="O3573" s="1"/>
      <c r="P3573" s="1" t="s">
        <v>455</v>
      </c>
      <c r="Q3573" s="1" t="s">
        <v>56982</v>
      </c>
      <c r="R3573" s="1" t="s">
        <v>56983</v>
      </c>
      <c r="S3573" s="1">
        <v>9923857000</v>
      </c>
      <c r="T3573" s="1" t="s">
        <v>926</v>
      </c>
      <c r="U3573" s="1" t="s">
        <v>56984</v>
      </c>
      <c r="V3573" s="1">
        <v>9370408530</v>
      </c>
      <c r="W3573" s="1" t="s">
        <v>94</v>
      </c>
      <c r="X3573" s="1" t="s">
        <v>56985</v>
      </c>
      <c r="Y3573" s="1" t="s">
        <v>56986</v>
      </c>
      <c r="Z3573" s="1" t="s">
        <v>97</v>
      </c>
      <c r="AA3573" s="1" t="s">
        <v>56987</v>
      </c>
      <c r="AB3573" s="1" t="s">
        <v>196</v>
      </c>
      <c r="AC3573" s="1" t="s">
        <v>97</v>
      </c>
      <c r="AD3573" s="1" t="s">
        <v>98</v>
      </c>
      <c r="AE3573" s="1" t="s">
        <v>98</v>
      </c>
      <c r="AF3573" s="1" t="s">
        <v>56988</v>
      </c>
      <c r="AG3573" s="1" t="s">
        <v>56989</v>
      </c>
      <c r="AH3573" s="1">
        <v>41075</v>
      </c>
      <c r="AI3573" s="1">
        <v>41363</v>
      </c>
      <c r="AJ3573" s="1">
        <v>84.84</v>
      </c>
      <c r="AK3573" s="1"/>
      <c r="AL3573" s="1" t="s">
        <v>56990</v>
      </c>
      <c r="AM3573" s="1" t="s">
        <v>56989</v>
      </c>
      <c r="AN3573" s="1"/>
      <c r="AO3573" s="1">
        <v>41805</v>
      </c>
      <c r="AP3573" s="1">
        <v>42139</v>
      </c>
      <c r="AQ3573" s="1">
        <v>63.23</v>
      </c>
      <c r="AR3573" s="1"/>
      <c r="AS3573" s="1" t="s">
        <v>439</v>
      </c>
      <c r="AT3573" s="1" t="s">
        <v>56991</v>
      </c>
      <c r="AU3573" s="1">
        <v>42231</v>
      </c>
      <c r="AV3573" s="1">
        <v>42894</v>
      </c>
      <c r="AW3573" s="1">
        <v>80.85</v>
      </c>
      <c r="AX3573" s="1"/>
      <c r="AY3573" s="1" t="s">
        <v>366</v>
      </c>
      <c r="AZ3573" s="1" t="s">
        <v>56992</v>
      </c>
      <c r="BA3573" s="1"/>
      <c r="BB3573" s="1"/>
      <c r="BC3573" s="1">
        <v>42993</v>
      </c>
      <c r="BD3573" s="1">
        <v>44146</v>
      </c>
      <c r="BE3573" s="1">
        <v>65.64</v>
      </c>
      <c r="BF3573" s="1">
        <v>7.46</v>
      </c>
      <c r="BG3573" s="1"/>
      <c r="BH3573" s="1"/>
      <c r="BI3573" s="1"/>
      <c r="BJ3573" s="1"/>
      <c r="BK3573" s="1" t="s">
        <v>98</v>
      </c>
      <c r="BL3573" s="1" t="s">
        <v>98</v>
      </c>
      <c r="BM3573" s="1" t="s">
        <v>98</v>
      </c>
      <c r="BN3573" s="1" t="s">
        <v>98</v>
      </c>
      <c r="BO3573" s="1" t="s">
        <v>1114</v>
      </c>
      <c r="BP3573" s="1"/>
      <c r="BQ3573" s="1"/>
      <c r="BR3573" s="1" t="s">
        <v>56993</v>
      </c>
      <c r="BS3573" s="1">
        <v>32</v>
      </c>
      <c r="BT3573" s="1"/>
      <c r="BU3573" s="1" t="str">
        <f>HYPERLINK("https://nconnect.nicmar.ac.in/storage/profile/2021-2023_AP21363_429318.jpg","Download")</f>
        <v>0</v>
      </c>
      <c r="BV3573" s="3"/>
      <c r="BW3573" s="3"/>
    </row>
    <row r="3574" spans="1:75">
      <c r="A3574" s="1" t="s">
        <v>51340</v>
      </c>
      <c r="B3574" s="1" t="s">
        <v>51341</v>
      </c>
      <c r="C3574" s="1" t="s">
        <v>56994</v>
      </c>
      <c r="D3574" s="1" t="s">
        <v>56995</v>
      </c>
      <c r="E3574" s="1"/>
      <c r="F3574" s="1" t="s">
        <v>56996</v>
      </c>
      <c r="G3574" s="1" t="s">
        <v>56997</v>
      </c>
      <c r="H3574" s="1" t="s">
        <v>56998</v>
      </c>
      <c r="I3574" s="1" t="s">
        <v>56999</v>
      </c>
      <c r="J3574" s="1">
        <v>9603337121</v>
      </c>
      <c r="K3574" s="1" t="s">
        <v>84</v>
      </c>
      <c r="L3574" s="1" t="s">
        <v>57000</v>
      </c>
      <c r="M3574" s="1" t="s">
        <v>86</v>
      </c>
      <c r="N3574" s="1" t="s">
        <v>47843</v>
      </c>
      <c r="O3574" s="1"/>
      <c r="P3574" s="1" t="s">
        <v>507</v>
      </c>
      <c r="Q3574" s="1" t="s">
        <v>57001</v>
      </c>
      <c r="R3574" s="1" t="s">
        <v>57002</v>
      </c>
      <c r="S3574" s="1">
        <v>6300319226</v>
      </c>
      <c r="T3574" s="1" t="s">
        <v>771</v>
      </c>
      <c r="U3574" s="1" t="s">
        <v>57003</v>
      </c>
      <c r="V3574" s="1">
        <v>9640598875</v>
      </c>
      <c r="W3574" s="1" t="s">
        <v>94</v>
      </c>
      <c r="X3574" s="1" t="s">
        <v>57004</v>
      </c>
      <c r="Y3574" s="1" t="s">
        <v>57005</v>
      </c>
      <c r="Z3574" s="1" t="s">
        <v>281</v>
      </c>
      <c r="AA3574" s="1" t="s">
        <v>98</v>
      </c>
      <c r="AB3574" s="1" t="s">
        <v>57005</v>
      </c>
      <c r="AC3574" s="1" t="s">
        <v>281</v>
      </c>
      <c r="AD3574" s="1" t="s">
        <v>98</v>
      </c>
      <c r="AE3574" s="1" t="s">
        <v>98</v>
      </c>
      <c r="AF3574" s="1" t="s">
        <v>57006</v>
      </c>
      <c r="AG3574" s="1" t="s">
        <v>52041</v>
      </c>
      <c r="AH3574" s="1">
        <v>41801</v>
      </c>
      <c r="AI3574" s="1">
        <v>42104</v>
      </c>
      <c r="AJ3574" s="1">
        <v>90.25</v>
      </c>
      <c r="AK3574" s="1">
        <v>9.5</v>
      </c>
      <c r="AL3574" s="1" t="s">
        <v>57007</v>
      </c>
      <c r="AM3574" s="1" t="s">
        <v>52041</v>
      </c>
      <c r="AN3574" s="1"/>
      <c r="AO3574" s="1">
        <v>42167</v>
      </c>
      <c r="AP3574" s="1">
        <v>42866</v>
      </c>
      <c r="AQ3574" s="1">
        <v>92.1</v>
      </c>
      <c r="AR3574" s="1">
        <v>0</v>
      </c>
      <c r="AS3574" s="1"/>
      <c r="AT3574" s="1"/>
      <c r="AU3574" s="1" t="s">
        <v>98</v>
      </c>
      <c r="AV3574" s="1" t="s">
        <v>98</v>
      </c>
      <c r="AW3574" s="1" t="s">
        <v>98</v>
      </c>
      <c r="AX3574" s="1" t="s">
        <v>98</v>
      </c>
      <c r="AY3574" s="1" t="s">
        <v>57008</v>
      </c>
      <c r="AZ3574" s="1" t="s">
        <v>57008</v>
      </c>
      <c r="BA3574" s="1"/>
      <c r="BB3574" s="1"/>
      <c r="BC3574" s="1">
        <v>42949</v>
      </c>
      <c r="BD3574" s="1">
        <v>44331</v>
      </c>
      <c r="BE3574" s="1">
        <v>87.57</v>
      </c>
      <c r="BF3574" s="1">
        <v>9.13</v>
      </c>
      <c r="BG3574" s="1"/>
      <c r="BH3574" s="1"/>
      <c r="BI3574" s="1"/>
      <c r="BJ3574" s="1"/>
      <c r="BK3574" s="1" t="s">
        <v>98</v>
      </c>
      <c r="BL3574" s="1" t="s">
        <v>98</v>
      </c>
      <c r="BM3574" s="1" t="s">
        <v>98</v>
      </c>
      <c r="BN3574" s="1" t="s">
        <v>98</v>
      </c>
      <c r="BO3574" s="1" t="s">
        <v>57009</v>
      </c>
      <c r="BP3574" s="1"/>
      <c r="BQ3574" s="1"/>
      <c r="BR3574" s="1" t="s">
        <v>57010</v>
      </c>
      <c r="BS3574" s="1">
        <v>27</v>
      </c>
      <c r="BT3574" s="1"/>
      <c r="BU3574" s="1" t="str">
        <f>HYPERLINK("https://nconnect.nicmar.ac.in/storage/profile/2021-2023_AP21364_842673.jpg","Download")</f>
        <v>0</v>
      </c>
      <c r="BV3574" s="3"/>
      <c r="BW3574" s="3"/>
    </row>
    <row r="3575" spans="1:75">
      <c r="A3575" s="1" t="s">
        <v>51340</v>
      </c>
      <c r="B3575" s="1" t="s">
        <v>51341</v>
      </c>
      <c r="C3575" s="1" t="s">
        <v>57011</v>
      </c>
      <c r="D3575" s="1" t="s">
        <v>29329</v>
      </c>
      <c r="E3575" s="1"/>
      <c r="F3575" s="1" t="s">
        <v>57012</v>
      </c>
      <c r="G3575" s="1" t="s">
        <v>57013</v>
      </c>
      <c r="H3575" s="1" t="s">
        <v>57014</v>
      </c>
      <c r="I3575" s="1" t="s">
        <v>57015</v>
      </c>
      <c r="J3575" s="1">
        <v>9410146347</v>
      </c>
      <c r="K3575" s="1" t="s">
        <v>84</v>
      </c>
      <c r="L3575" s="1" t="s">
        <v>57016</v>
      </c>
      <c r="M3575" s="1" t="s">
        <v>86</v>
      </c>
      <c r="N3575" s="1" t="s">
        <v>13274</v>
      </c>
      <c r="O3575" s="1"/>
      <c r="P3575" s="1" t="s">
        <v>481</v>
      </c>
      <c r="Q3575" s="1" t="s">
        <v>57017</v>
      </c>
      <c r="R3575" s="1" t="s">
        <v>57018</v>
      </c>
      <c r="S3575" s="1">
        <v>9319911591</v>
      </c>
      <c r="T3575" s="1" t="s">
        <v>539</v>
      </c>
      <c r="U3575" s="1" t="s">
        <v>57019</v>
      </c>
      <c r="V3575" s="1">
        <v>7017789249</v>
      </c>
      <c r="W3575" s="1" t="s">
        <v>94</v>
      </c>
      <c r="X3575" s="1" t="s">
        <v>57020</v>
      </c>
      <c r="Y3575" s="1" t="s">
        <v>56461</v>
      </c>
      <c r="Z3575" s="1" t="s">
        <v>7930</v>
      </c>
      <c r="AA3575" s="1" t="s">
        <v>55481</v>
      </c>
      <c r="AB3575" s="1" t="s">
        <v>196</v>
      </c>
      <c r="AC3575" s="1" t="s">
        <v>97</v>
      </c>
      <c r="AD3575" s="1" t="s">
        <v>98</v>
      </c>
      <c r="AE3575" s="1" t="s">
        <v>98</v>
      </c>
      <c r="AF3575" s="1" t="s">
        <v>38249</v>
      </c>
      <c r="AG3575" s="1" t="s">
        <v>312</v>
      </c>
      <c r="AH3575" s="1" t="s">
        <v>3421</v>
      </c>
      <c r="AI3575" s="1" t="s">
        <v>1262</v>
      </c>
      <c r="AJ3575" s="1">
        <v>77.9</v>
      </c>
      <c r="AK3575" s="1">
        <v>8.2</v>
      </c>
      <c r="AL3575" s="1" t="s">
        <v>38249</v>
      </c>
      <c r="AM3575" s="1" t="s">
        <v>312</v>
      </c>
      <c r="AN3575" s="1"/>
      <c r="AO3575" s="1" t="s">
        <v>1110</v>
      </c>
      <c r="AP3575" s="1" t="s">
        <v>627</v>
      </c>
      <c r="AQ3575" s="1">
        <v>64</v>
      </c>
      <c r="AR3575" s="1"/>
      <c r="AS3575" s="1"/>
      <c r="AT3575" s="1"/>
      <c r="AU3575" s="1" t="s">
        <v>98</v>
      </c>
      <c r="AV3575" s="1" t="s">
        <v>98</v>
      </c>
      <c r="AW3575" s="1" t="s">
        <v>98</v>
      </c>
      <c r="AX3575" s="1" t="s">
        <v>98</v>
      </c>
      <c r="AY3575" s="1" t="s">
        <v>34318</v>
      </c>
      <c r="AZ3575" s="1" t="s">
        <v>57021</v>
      </c>
      <c r="BA3575" s="1"/>
      <c r="BB3575" s="1"/>
      <c r="BC3575" s="1" t="s">
        <v>5535</v>
      </c>
      <c r="BD3575" s="1" t="s">
        <v>845</v>
      </c>
      <c r="BE3575" s="1">
        <v>71</v>
      </c>
      <c r="BF3575" s="1">
        <v>7.1</v>
      </c>
      <c r="BG3575" s="1"/>
      <c r="BH3575" s="1"/>
      <c r="BI3575" s="1"/>
      <c r="BJ3575" s="1"/>
      <c r="BK3575" s="1" t="s">
        <v>98</v>
      </c>
      <c r="BL3575" s="1" t="s">
        <v>98</v>
      </c>
      <c r="BM3575" s="1" t="s">
        <v>98</v>
      </c>
      <c r="BN3575" s="1" t="s">
        <v>98</v>
      </c>
      <c r="BO3575" s="1" t="s">
        <v>57022</v>
      </c>
      <c r="BP3575" s="1"/>
      <c r="BQ3575" s="1"/>
      <c r="BR3575" s="1" t="s">
        <v>57023</v>
      </c>
      <c r="BS3575" s="1">
        <v>19</v>
      </c>
      <c r="BT3575" s="1"/>
      <c r="BU3575" s="1" t="str">
        <f>HYPERLINK("https://nconnect.nicmar.ac.in/storage/profile/2021-2023_AP21365_671235.jpg","Download")</f>
        <v>0</v>
      </c>
      <c r="BV3575" s="3"/>
      <c r="BW3575" s="3"/>
    </row>
    <row r="3576" spans="1:75">
      <c r="A3576" s="1" t="s">
        <v>51340</v>
      </c>
      <c r="B3576" s="1" t="s">
        <v>51341</v>
      </c>
      <c r="C3576" s="1" t="s">
        <v>57024</v>
      </c>
      <c r="D3576" s="1" t="s">
        <v>57025</v>
      </c>
      <c r="E3576" s="1" t="s">
        <v>57026</v>
      </c>
      <c r="F3576" s="1" t="s">
        <v>57027</v>
      </c>
      <c r="G3576" s="1" t="s">
        <v>57028</v>
      </c>
      <c r="H3576" s="1" t="s">
        <v>57029</v>
      </c>
      <c r="I3576" s="1" t="s">
        <v>57030</v>
      </c>
      <c r="J3576" s="1">
        <v>9908821814</v>
      </c>
      <c r="K3576" s="1" t="s">
        <v>84</v>
      </c>
      <c r="L3576" s="1" t="s">
        <v>8238</v>
      </c>
      <c r="M3576" s="1" t="s">
        <v>86</v>
      </c>
      <c r="N3576" s="1" t="s">
        <v>47843</v>
      </c>
      <c r="O3576" s="1"/>
      <c r="P3576" s="1" t="s">
        <v>507</v>
      </c>
      <c r="Q3576" s="1" t="s">
        <v>57031</v>
      </c>
      <c r="R3576" s="1" t="s">
        <v>57032</v>
      </c>
      <c r="S3576" s="1">
        <v>9059160631</v>
      </c>
      <c r="T3576" s="1" t="s">
        <v>839</v>
      </c>
      <c r="U3576" s="1" t="s">
        <v>57033</v>
      </c>
      <c r="V3576" s="1">
        <v>9032232486</v>
      </c>
      <c r="W3576" s="1" t="s">
        <v>94</v>
      </c>
      <c r="X3576" s="1" t="s">
        <v>57034</v>
      </c>
      <c r="Y3576" s="1" t="s">
        <v>57005</v>
      </c>
      <c r="Z3576" s="1" t="s">
        <v>281</v>
      </c>
      <c r="AA3576" s="1" t="s">
        <v>57034</v>
      </c>
      <c r="AB3576" s="1" t="s">
        <v>57005</v>
      </c>
      <c r="AC3576" s="1" t="s">
        <v>281</v>
      </c>
      <c r="AD3576" s="1" t="s">
        <v>98</v>
      </c>
      <c r="AE3576" s="1" t="s">
        <v>98</v>
      </c>
      <c r="AF3576" s="1" t="s">
        <v>57035</v>
      </c>
      <c r="AG3576" s="1" t="s">
        <v>56698</v>
      </c>
      <c r="AH3576" s="1">
        <v>38516</v>
      </c>
      <c r="AI3576" s="1">
        <v>42064</v>
      </c>
      <c r="AJ3576" s="1">
        <v>68.4</v>
      </c>
      <c r="AK3576" s="1">
        <v>7.2</v>
      </c>
      <c r="AL3576" s="1" t="s">
        <v>2342</v>
      </c>
      <c r="AM3576" s="1" t="s">
        <v>56698</v>
      </c>
      <c r="AN3576" s="1"/>
      <c r="AO3576" s="1">
        <v>42186</v>
      </c>
      <c r="AP3576" s="1">
        <v>42800</v>
      </c>
      <c r="AQ3576" s="1">
        <v>70.03</v>
      </c>
      <c r="AR3576" s="1">
        <v>0</v>
      </c>
      <c r="AS3576" s="1"/>
      <c r="AT3576" s="1"/>
      <c r="AU3576" s="1" t="s">
        <v>98</v>
      </c>
      <c r="AV3576" s="1" t="s">
        <v>98</v>
      </c>
      <c r="AW3576" s="1" t="s">
        <v>98</v>
      </c>
      <c r="AX3576" s="1" t="s">
        <v>98</v>
      </c>
      <c r="AY3576" s="1" t="s">
        <v>53128</v>
      </c>
      <c r="AZ3576" s="1" t="s">
        <v>53128</v>
      </c>
      <c r="BA3576" s="1"/>
      <c r="BB3576" s="1"/>
      <c r="BC3576" s="1">
        <v>42949</v>
      </c>
      <c r="BD3576" s="1">
        <v>44290</v>
      </c>
      <c r="BE3576" s="1">
        <v>73.45</v>
      </c>
      <c r="BF3576" s="1">
        <v>8.07</v>
      </c>
      <c r="BG3576" s="1"/>
      <c r="BH3576" s="1"/>
      <c r="BI3576" s="1"/>
      <c r="BJ3576" s="1"/>
      <c r="BK3576" s="1" t="s">
        <v>98</v>
      </c>
      <c r="BL3576" s="1" t="s">
        <v>98</v>
      </c>
      <c r="BM3576" s="1" t="s">
        <v>98</v>
      </c>
      <c r="BN3576" s="1" t="s">
        <v>98</v>
      </c>
      <c r="BO3576" s="1" t="s">
        <v>57009</v>
      </c>
      <c r="BP3576" s="1" t="s">
        <v>57036</v>
      </c>
      <c r="BQ3576" s="1" t="s">
        <v>1174</v>
      </c>
      <c r="BR3576" s="1" t="s">
        <v>57037</v>
      </c>
      <c r="BS3576" s="1">
        <v>26</v>
      </c>
      <c r="BT3576" s="1"/>
      <c r="BU3576" s="1" t="str">
        <f>HYPERLINK("https://nconnect.nicmar.ac.in/storage/profile/2021-2023_AP21366_918527.jpg","Download")</f>
        <v>0</v>
      </c>
      <c r="BV3576" s="3"/>
      <c r="BW3576" s="3"/>
    </row>
    <row r="3577" spans="1:75">
      <c r="A3577" s="1" t="s">
        <v>51340</v>
      </c>
      <c r="B3577" s="1" t="s">
        <v>51341</v>
      </c>
      <c r="C3577" s="1" t="s">
        <v>57038</v>
      </c>
      <c r="D3577" s="1" t="s">
        <v>9818</v>
      </c>
      <c r="E3577" s="1" t="s">
        <v>11149</v>
      </c>
      <c r="F3577" s="1" t="s">
        <v>57039</v>
      </c>
      <c r="G3577" s="1" t="s">
        <v>57040</v>
      </c>
      <c r="H3577" s="1" t="s">
        <v>57041</v>
      </c>
      <c r="I3577" s="1" t="s">
        <v>57042</v>
      </c>
      <c r="J3577" s="1">
        <v>9987757703</v>
      </c>
      <c r="K3577" s="1" t="s">
        <v>84</v>
      </c>
      <c r="L3577" s="1" t="s">
        <v>57043</v>
      </c>
      <c r="M3577" s="1" t="s">
        <v>86</v>
      </c>
      <c r="N3577" s="1" t="s">
        <v>36591</v>
      </c>
      <c r="O3577" s="1"/>
      <c r="P3577" s="1" t="s">
        <v>2062</v>
      </c>
      <c r="Q3577" s="1" t="s">
        <v>57044</v>
      </c>
      <c r="R3577" s="1" t="s">
        <v>57045</v>
      </c>
      <c r="S3577" s="1">
        <v>9987175052</v>
      </c>
      <c r="T3577" s="1" t="s">
        <v>57046</v>
      </c>
      <c r="U3577" s="1" t="s">
        <v>57047</v>
      </c>
      <c r="V3577" s="1">
        <v>9987140303</v>
      </c>
      <c r="W3577" s="1" t="s">
        <v>57048</v>
      </c>
      <c r="X3577" s="1" t="s">
        <v>57049</v>
      </c>
      <c r="Y3577" s="1" t="s">
        <v>1012</v>
      </c>
      <c r="Z3577" s="1" t="s">
        <v>97</v>
      </c>
      <c r="AA3577" s="1" t="s">
        <v>57049</v>
      </c>
      <c r="AB3577" s="1" t="s">
        <v>1012</v>
      </c>
      <c r="AC3577" s="1" t="s">
        <v>97</v>
      </c>
      <c r="AD3577" s="1" t="s">
        <v>98</v>
      </c>
      <c r="AE3577" s="1" t="s">
        <v>98</v>
      </c>
      <c r="AF3577" s="1" t="s">
        <v>43603</v>
      </c>
      <c r="AG3577" s="1" t="s">
        <v>4324</v>
      </c>
      <c r="AH3577" s="1" t="s">
        <v>101</v>
      </c>
      <c r="AI3577" s="1" t="s">
        <v>102</v>
      </c>
      <c r="AJ3577" s="1">
        <v>75.42</v>
      </c>
      <c r="AK3577" s="1"/>
      <c r="AL3577" s="1" t="s">
        <v>57050</v>
      </c>
      <c r="AM3577" s="1" t="s">
        <v>4324</v>
      </c>
      <c r="AN3577" s="1"/>
      <c r="AO3577" s="1" t="s">
        <v>167</v>
      </c>
      <c r="AP3577" s="1" t="s">
        <v>518</v>
      </c>
      <c r="AQ3577" s="1">
        <v>60.62</v>
      </c>
      <c r="AR3577" s="1"/>
      <c r="AS3577" s="1"/>
      <c r="AT3577" s="1"/>
      <c r="AU3577" s="1" t="s">
        <v>98</v>
      </c>
      <c r="AV3577" s="1" t="s">
        <v>98</v>
      </c>
      <c r="AW3577" s="1"/>
      <c r="AX3577" s="1"/>
      <c r="AY3577" s="1" t="s">
        <v>57051</v>
      </c>
      <c r="AZ3577" s="1" t="s">
        <v>3771</v>
      </c>
      <c r="BA3577" s="1"/>
      <c r="BB3577" s="1"/>
      <c r="BC3577" s="1" t="s">
        <v>388</v>
      </c>
      <c r="BD3577" s="1" t="s">
        <v>847</v>
      </c>
      <c r="BE3577" s="1">
        <v>72.2</v>
      </c>
      <c r="BF3577" s="1">
        <v>7.22</v>
      </c>
      <c r="BG3577" s="1"/>
      <c r="BH3577" s="1"/>
      <c r="BI3577" s="1"/>
      <c r="BJ3577" s="1"/>
      <c r="BK3577" s="1" t="s">
        <v>98</v>
      </c>
      <c r="BL3577" s="1" t="s">
        <v>98</v>
      </c>
      <c r="BM3577" s="1" t="s">
        <v>98</v>
      </c>
      <c r="BN3577" s="1" t="s">
        <v>98</v>
      </c>
      <c r="BO3577" s="1" t="s">
        <v>57052</v>
      </c>
      <c r="BP3577" s="1"/>
      <c r="BQ3577" s="1"/>
      <c r="BR3577" s="1" t="s">
        <v>57053</v>
      </c>
      <c r="BS3577" s="1">
        <v>30</v>
      </c>
      <c r="BT3577" s="1"/>
      <c r="BU3577" s="1" t="str">
        <f>HYPERLINK("https://nconnect.nicmar.ac.in/storage/profile/2021-2023_AP21367_124857.png","Download")</f>
        <v>0</v>
      </c>
      <c r="BV3577" s="3"/>
      <c r="BW3577" s="3"/>
    </row>
    <row r="3578" spans="1:75">
      <c r="A3578" s="1" t="s">
        <v>51340</v>
      </c>
      <c r="B3578" s="1" t="s">
        <v>51341</v>
      </c>
      <c r="C3578" s="1" t="s">
        <v>57054</v>
      </c>
      <c r="D3578" s="1" t="s">
        <v>57055</v>
      </c>
      <c r="E3578" s="1"/>
      <c r="F3578" s="1" t="s">
        <v>57056</v>
      </c>
      <c r="G3578" s="1" t="s">
        <v>57057</v>
      </c>
      <c r="H3578" s="1" t="s">
        <v>57058</v>
      </c>
      <c r="I3578" s="1" t="s">
        <v>57059</v>
      </c>
      <c r="J3578" s="1">
        <v>9396795559</v>
      </c>
      <c r="K3578" s="1" t="s">
        <v>84</v>
      </c>
      <c r="L3578" s="1" t="s">
        <v>57060</v>
      </c>
      <c r="M3578" s="1" t="s">
        <v>86</v>
      </c>
      <c r="N3578" s="1" t="s">
        <v>54841</v>
      </c>
      <c r="O3578" s="1"/>
      <c r="P3578" s="1" t="s">
        <v>481</v>
      </c>
      <c r="Q3578" s="1" t="s">
        <v>57061</v>
      </c>
      <c r="R3578" s="1" t="s">
        <v>57062</v>
      </c>
      <c r="S3578" s="1">
        <v>9948256633</v>
      </c>
      <c r="T3578" s="1" t="s">
        <v>57063</v>
      </c>
      <c r="U3578" s="1" t="s">
        <v>57064</v>
      </c>
      <c r="V3578" s="1">
        <v>9640298189</v>
      </c>
      <c r="W3578" s="1" t="s">
        <v>161</v>
      </c>
      <c r="X3578" s="1" t="s">
        <v>57065</v>
      </c>
      <c r="Y3578" s="1" t="s">
        <v>57066</v>
      </c>
      <c r="Z3578" s="1" t="s">
        <v>281</v>
      </c>
      <c r="AA3578" s="1" t="s">
        <v>57067</v>
      </c>
      <c r="AB3578" s="1" t="s">
        <v>57068</v>
      </c>
      <c r="AC3578" s="1" t="s">
        <v>281</v>
      </c>
      <c r="AD3578" s="1" t="s">
        <v>98</v>
      </c>
      <c r="AE3578" s="1" t="s">
        <v>98</v>
      </c>
      <c r="AF3578" s="1" t="s">
        <v>57069</v>
      </c>
      <c r="AG3578" s="1" t="s">
        <v>1418</v>
      </c>
      <c r="AH3578" s="1" t="s">
        <v>101</v>
      </c>
      <c r="AI3578" s="1" t="s">
        <v>136</v>
      </c>
      <c r="AJ3578" s="1">
        <v>88.35</v>
      </c>
      <c r="AK3578" s="1">
        <v>9.3</v>
      </c>
      <c r="AL3578" s="1" t="s">
        <v>1843</v>
      </c>
      <c r="AM3578" s="1" t="s">
        <v>1418</v>
      </c>
      <c r="AN3578" s="1"/>
      <c r="AO3578" s="1" t="s">
        <v>342</v>
      </c>
      <c r="AP3578" s="1" t="s">
        <v>704</v>
      </c>
      <c r="AQ3578" s="1">
        <v>97</v>
      </c>
      <c r="AR3578" s="1"/>
      <c r="AS3578" s="1"/>
      <c r="AT3578" s="1"/>
      <c r="AU3578" s="1" t="s">
        <v>98</v>
      </c>
      <c r="AV3578" s="1" t="s">
        <v>98</v>
      </c>
      <c r="AW3578" s="1" t="s">
        <v>98</v>
      </c>
      <c r="AX3578" s="1" t="s">
        <v>98</v>
      </c>
      <c r="AY3578" s="1" t="s">
        <v>57070</v>
      </c>
      <c r="AZ3578" s="1" t="s">
        <v>57070</v>
      </c>
      <c r="BA3578" s="1"/>
      <c r="BB3578" s="1"/>
      <c r="BC3578" s="1" t="s">
        <v>230</v>
      </c>
      <c r="BD3578" s="1" t="s">
        <v>552</v>
      </c>
      <c r="BE3578" s="1">
        <v>62.32</v>
      </c>
      <c r="BF3578" s="1">
        <v>6.46</v>
      </c>
      <c r="BG3578" s="1"/>
      <c r="BH3578" s="1"/>
      <c r="BI3578" s="1"/>
      <c r="BJ3578" s="1"/>
      <c r="BK3578" s="1" t="s">
        <v>98</v>
      </c>
      <c r="BL3578" s="1" t="s">
        <v>98</v>
      </c>
      <c r="BM3578" s="1" t="s">
        <v>98</v>
      </c>
      <c r="BN3578" s="1" t="s">
        <v>98</v>
      </c>
      <c r="BO3578" s="1" t="s">
        <v>57071</v>
      </c>
      <c r="BP3578" s="1"/>
      <c r="BQ3578" s="1"/>
      <c r="BR3578" s="1" t="s">
        <v>57072</v>
      </c>
      <c r="BS3578" s="1">
        <v>53</v>
      </c>
      <c r="BT3578" s="1"/>
      <c r="BU3578" s="1" t="s">
        <v>9653</v>
      </c>
      <c r="BV3578" s="3"/>
      <c r="BW3578" s="3"/>
    </row>
    <row r="3579" spans="1:75">
      <c r="A3579" s="1" t="s">
        <v>51340</v>
      </c>
      <c r="B3579" s="1" t="s">
        <v>51341</v>
      </c>
      <c r="C3579" s="1" t="s">
        <v>57073</v>
      </c>
      <c r="D3579" s="1" t="s">
        <v>37391</v>
      </c>
      <c r="E3579" s="1" t="s">
        <v>11218</v>
      </c>
      <c r="F3579" s="1" t="s">
        <v>57074</v>
      </c>
      <c r="G3579" s="1" t="s">
        <v>57075</v>
      </c>
      <c r="H3579" s="1" t="s">
        <v>57076</v>
      </c>
      <c r="I3579" s="1" t="s">
        <v>57077</v>
      </c>
      <c r="J3579" s="1">
        <v>9909944952</v>
      </c>
      <c r="K3579" s="1" t="s">
        <v>84</v>
      </c>
      <c r="L3579" s="1" t="s">
        <v>12527</v>
      </c>
      <c r="M3579" s="1" t="s">
        <v>86</v>
      </c>
      <c r="N3579" s="1" t="s">
        <v>17517</v>
      </c>
      <c r="O3579" s="1"/>
      <c r="P3579" s="1" t="s">
        <v>507</v>
      </c>
      <c r="Q3579" s="1" t="s">
        <v>57078</v>
      </c>
      <c r="R3579" s="1" t="s">
        <v>57079</v>
      </c>
      <c r="S3579" s="1">
        <v>9825625784</v>
      </c>
      <c r="T3579" s="1" t="s">
        <v>1620</v>
      </c>
      <c r="U3579" s="1" t="s">
        <v>57080</v>
      </c>
      <c r="V3579" s="1">
        <v>9978246688</v>
      </c>
      <c r="W3579" s="1" t="s">
        <v>94</v>
      </c>
      <c r="X3579" s="1" t="s">
        <v>57081</v>
      </c>
      <c r="Y3579" s="1" t="s">
        <v>57082</v>
      </c>
      <c r="Z3579" s="1" t="s">
        <v>676</v>
      </c>
      <c r="AA3579" s="1" t="s">
        <v>57081</v>
      </c>
      <c r="AB3579" s="1" t="s">
        <v>57082</v>
      </c>
      <c r="AC3579" s="1" t="s">
        <v>676</v>
      </c>
      <c r="AD3579" s="1" t="s">
        <v>98</v>
      </c>
      <c r="AE3579" s="1" t="s">
        <v>98</v>
      </c>
      <c r="AF3579" s="1" t="s">
        <v>57083</v>
      </c>
      <c r="AG3579" s="1" t="s">
        <v>8746</v>
      </c>
      <c r="AH3579" s="1">
        <v>41435</v>
      </c>
      <c r="AI3579" s="1">
        <v>41708</v>
      </c>
      <c r="AJ3579" s="1">
        <v>76.33</v>
      </c>
      <c r="AK3579" s="1"/>
      <c r="AL3579" s="1" t="s">
        <v>57084</v>
      </c>
      <c r="AM3579" s="1" t="s">
        <v>8746</v>
      </c>
      <c r="AN3579" s="1"/>
      <c r="AO3579" s="1">
        <v>41799</v>
      </c>
      <c r="AP3579" s="1">
        <v>42507</v>
      </c>
      <c r="AQ3579" s="1">
        <v>68.92</v>
      </c>
      <c r="AR3579" s="1"/>
      <c r="AS3579" s="1"/>
      <c r="AT3579" s="1"/>
      <c r="AU3579" s="1" t="s">
        <v>98</v>
      </c>
      <c r="AV3579" s="1" t="s">
        <v>98</v>
      </c>
      <c r="AW3579" s="1" t="s">
        <v>98</v>
      </c>
      <c r="AX3579" s="1" t="s">
        <v>98</v>
      </c>
      <c r="AY3579" s="1" t="s">
        <v>5241</v>
      </c>
      <c r="AZ3579" s="1" t="s">
        <v>57085</v>
      </c>
      <c r="BA3579" s="1"/>
      <c r="BB3579" s="1"/>
      <c r="BC3579" s="1">
        <v>42625</v>
      </c>
      <c r="BD3579" s="1">
        <v>44082</v>
      </c>
      <c r="BE3579" s="1">
        <v>76.8</v>
      </c>
      <c r="BF3579" s="1">
        <v>8.18</v>
      </c>
      <c r="BG3579" s="1"/>
      <c r="BH3579" s="1"/>
      <c r="BI3579" s="1"/>
      <c r="BJ3579" s="1"/>
      <c r="BK3579" s="1" t="s">
        <v>98</v>
      </c>
      <c r="BL3579" s="1" t="s">
        <v>98</v>
      </c>
      <c r="BM3579" s="1" t="s">
        <v>98</v>
      </c>
      <c r="BN3579" s="1" t="s">
        <v>98</v>
      </c>
      <c r="BO3579" s="1" t="s">
        <v>57086</v>
      </c>
      <c r="BP3579" s="1"/>
      <c r="BQ3579" s="1"/>
      <c r="BR3579" s="1" t="s">
        <v>57087</v>
      </c>
      <c r="BS3579" s="1">
        <v>9</v>
      </c>
      <c r="BT3579" s="1"/>
      <c r="BU3579" s="1" t="str">
        <f>HYPERLINK("https://nconnect.nicmar.ac.in/storage/profile/2021-2023_AP21370_753264.jpg","Download")</f>
        <v>0</v>
      </c>
      <c r="BV3579" s="3"/>
      <c r="BW3579" s="3"/>
    </row>
    <row r="3580" spans="1:75">
      <c r="A3580" s="1" t="s">
        <v>51340</v>
      </c>
      <c r="B3580" s="1" t="s">
        <v>51341</v>
      </c>
      <c r="C3580" s="1" t="s">
        <v>57088</v>
      </c>
      <c r="D3580" s="1" t="s">
        <v>32845</v>
      </c>
      <c r="E3580" s="1"/>
      <c r="F3580" s="1" t="s">
        <v>1295</v>
      </c>
      <c r="G3580" s="1" t="s">
        <v>57089</v>
      </c>
      <c r="H3580" s="1" t="s">
        <v>57090</v>
      </c>
      <c r="I3580" s="1" t="s">
        <v>57091</v>
      </c>
      <c r="J3580" s="1">
        <v>9400549451</v>
      </c>
      <c r="K3580" s="1" t="s">
        <v>84</v>
      </c>
      <c r="L3580" s="1" t="s">
        <v>57092</v>
      </c>
      <c r="M3580" s="1" t="s">
        <v>86</v>
      </c>
      <c r="N3580" s="1" t="s">
        <v>57093</v>
      </c>
      <c r="O3580" s="1"/>
      <c r="P3580" s="1" t="s">
        <v>2062</v>
      </c>
      <c r="Q3580" s="1" t="s">
        <v>57094</v>
      </c>
      <c r="R3580" s="1" t="s">
        <v>57095</v>
      </c>
      <c r="S3580" s="1">
        <v>9961545562</v>
      </c>
      <c r="T3580" s="1" t="s">
        <v>127</v>
      </c>
      <c r="U3580" s="1" t="s">
        <v>57096</v>
      </c>
      <c r="V3580" s="1">
        <v>9526621646</v>
      </c>
      <c r="W3580" s="1" t="s">
        <v>127</v>
      </c>
      <c r="X3580" s="1" t="s">
        <v>57097</v>
      </c>
      <c r="Y3580" s="1" t="s">
        <v>7679</v>
      </c>
      <c r="Z3580" s="1" t="s">
        <v>130</v>
      </c>
      <c r="AA3580" s="1" t="s">
        <v>57097</v>
      </c>
      <c r="AB3580" s="1" t="s">
        <v>7679</v>
      </c>
      <c r="AC3580" s="1" t="s">
        <v>130</v>
      </c>
      <c r="AD3580" s="1" t="s">
        <v>98</v>
      </c>
      <c r="AE3580" s="1" t="s">
        <v>98</v>
      </c>
      <c r="AF3580" s="1" t="s">
        <v>57098</v>
      </c>
      <c r="AG3580" s="1" t="s">
        <v>312</v>
      </c>
      <c r="AH3580" s="1">
        <v>40725</v>
      </c>
      <c r="AI3580" s="1">
        <v>41050</v>
      </c>
      <c r="AJ3580" s="1">
        <v>87.4</v>
      </c>
      <c r="AK3580" s="1">
        <v>9.2</v>
      </c>
      <c r="AL3580" s="1" t="s">
        <v>57099</v>
      </c>
      <c r="AM3580" s="1" t="s">
        <v>312</v>
      </c>
      <c r="AN3580" s="1"/>
      <c r="AO3580" s="1">
        <v>41091</v>
      </c>
      <c r="AP3580" s="1">
        <v>41713</v>
      </c>
      <c r="AQ3580" s="1">
        <v>90.6</v>
      </c>
      <c r="AR3580" s="1"/>
      <c r="AS3580" s="1"/>
      <c r="AT3580" s="1"/>
      <c r="AU3580" s="1" t="s">
        <v>98</v>
      </c>
      <c r="AV3580" s="1" t="s">
        <v>98</v>
      </c>
      <c r="AW3580" s="1" t="s">
        <v>98</v>
      </c>
      <c r="AX3580" s="1" t="s">
        <v>98</v>
      </c>
      <c r="AY3580" s="1" t="s">
        <v>20215</v>
      </c>
      <c r="AZ3580" s="1" t="s">
        <v>57100</v>
      </c>
      <c r="BA3580" s="1"/>
      <c r="BB3580" s="1"/>
      <c r="BC3580" s="1">
        <v>41852</v>
      </c>
      <c r="BD3580" s="1">
        <v>43235</v>
      </c>
      <c r="BE3580" s="1">
        <v>72.3</v>
      </c>
      <c r="BF3580" s="1">
        <v>7.28</v>
      </c>
      <c r="BG3580" s="1"/>
      <c r="BH3580" s="1"/>
      <c r="BI3580" s="1"/>
      <c r="BJ3580" s="1"/>
      <c r="BK3580" s="1" t="s">
        <v>98</v>
      </c>
      <c r="BL3580" s="1" t="s">
        <v>98</v>
      </c>
      <c r="BM3580" s="1" t="s">
        <v>98</v>
      </c>
      <c r="BN3580" s="1" t="s">
        <v>98</v>
      </c>
      <c r="BO3580" s="1" t="s">
        <v>53226</v>
      </c>
      <c r="BP3580" s="1" t="s">
        <v>57101</v>
      </c>
      <c r="BQ3580" s="1" t="s">
        <v>21121</v>
      </c>
      <c r="BR3580" s="1" t="s">
        <v>57102</v>
      </c>
      <c r="BS3580" s="1">
        <v>9</v>
      </c>
      <c r="BT3580" s="1"/>
      <c r="BU3580" s="1" t="str">
        <f>HYPERLINK("https://nconnect.nicmar.ac.in/storage/profile/2021-2023_AP21371_962583.jpg","Download")</f>
        <v>0</v>
      </c>
      <c r="BV3580" s="3"/>
      <c r="BW3580" s="3"/>
    </row>
    <row r="3581" spans="1:75">
      <c r="A3581" s="1" t="s">
        <v>51340</v>
      </c>
      <c r="B3581" s="1" t="s">
        <v>51341</v>
      </c>
      <c r="C3581" s="1" t="s">
        <v>57103</v>
      </c>
      <c r="D3581" s="1" t="s">
        <v>7146</v>
      </c>
      <c r="E3581" s="1" t="s">
        <v>57104</v>
      </c>
      <c r="F3581" s="1" t="s">
        <v>34553</v>
      </c>
      <c r="G3581" s="1" t="s">
        <v>57105</v>
      </c>
      <c r="H3581" s="1" t="s">
        <v>57106</v>
      </c>
      <c r="I3581" s="1" t="s">
        <v>57107</v>
      </c>
      <c r="J3581" s="1">
        <v>9168812408</v>
      </c>
      <c r="K3581" s="1" t="s">
        <v>84</v>
      </c>
      <c r="L3581" s="1" t="s">
        <v>57108</v>
      </c>
      <c r="M3581" s="1" t="s">
        <v>86</v>
      </c>
      <c r="N3581" s="1" t="s">
        <v>3478</v>
      </c>
      <c r="O3581" s="1"/>
      <c r="P3581" s="1" t="s">
        <v>455</v>
      </c>
      <c r="Q3581" s="1" t="s">
        <v>57109</v>
      </c>
      <c r="R3581" s="1" t="s">
        <v>57110</v>
      </c>
      <c r="S3581" s="1">
        <v>9822350467</v>
      </c>
      <c r="T3581" s="1" t="s">
        <v>539</v>
      </c>
      <c r="U3581" s="1" t="s">
        <v>57111</v>
      </c>
      <c r="V3581" s="1">
        <v>9834636358</v>
      </c>
      <c r="W3581" s="1" t="s">
        <v>94</v>
      </c>
      <c r="X3581" s="1" t="s">
        <v>57112</v>
      </c>
      <c r="Y3581" s="1" t="s">
        <v>57113</v>
      </c>
      <c r="Z3581" s="1" t="s">
        <v>6549</v>
      </c>
      <c r="AA3581" s="1" t="s">
        <v>57112</v>
      </c>
      <c r="AB3581" s="1" t="s">
        <v>57113</v>
      </c>
      <c r="AC3581" s="1" t="s">
        <v>6549</v>
      </c>
      <c r="AD3581" s="1" t="s">
        <v>98</v>
      </c>
      <c r="AE3581" s="1" t="s">
        <v>98</v>
      </c>
      <c r="AF3581" s="1" t="s">
        <v>57114</v>
      </c>
      <c r="AG3581" s="1" t="s">
        <v>312</v>
      </c>
      <c r="AH3581" s="1">
        <v>40634</v>
      </c>
      <c r="AI3581" s="1">
        <v>41050</v>
      </c>
      <c r="AJ3581" s="1">
        <v>87.4</v>
      </c>
      <c r="AK3581" s="1">
        <v>9.2</v>
      </c>
      <c r="AL3581" s="1" t="s">
        <v>3012</v>
      </c>
      <c r="AM3581" s="1" t="s">
        <v>312</v>
      </c>
      <c r="AN3581" s="1"/>
      <c r="AO3581" s="1">
        <v>41365</v>
      </c>
      <c r="AP3581" s="1">
        <v>41785</v>
      </c>
      <c r="AQ3581" s="1">
        <v>77.6</v>
      </c>
      <c r="AR3581" s="1"/>
      <c r="AS3581" s="1"/>
      <c r="AT3581" s="1"/>
      <c r="AU3581" s="1" t="s">
        <v>98</v>
      </c>
      <c r="AV3581" s="1" t="s">
        <v>98</v>
      </c>
      <c r="AW3581" s="1" t="s">
        <v>98</v>
      </c>
      <c r="AX3581" s="1" t="s">
        <v>98</v>
      </c>
      <c r="AY3581" s="1" t="s">
        <v>11306</v>
      </c>
      <c r="AZ3581" s="1" t="s">
        <v>6554</v>
      </c>
      <c r="BA3581" s="1"/>
      <c r="BB3581" s="1"/>
      <c r="BC3581" s="1">
        <v>41821</v>
      </c>
      <c r="BD3581" s="1">
        <v>43320</v>
      </c>
      <c r="BE3581" s="1">
        <v>70.16</v>
      </c>
      <c r="BF3581" s="1"/>
      <c r="BG3581" s="1"/>
      <c r="BH3581" s="1"/>
      <c r="BI3581" s="1"/>
      <c r="BJ3581" s="1"/>
      <c r="BK3581" s="1" t="s">
        <v>98</v>
      </c>
      <c r="BL3581" s="1" t="s">
        <v>98</v>
      </c>
      <c r="BM3581" s="1" t="s">
        <v>98</v>
      </c>
      <c r="BN3581" s="1" t="s">
        <v>98</v>
      </c>
      <c r="BO3581" s="1" t="s">
        <v>369</v>
      </c>
      <c r="BP3581" s="1" t="s">
        <v>57115</v>
      </c>
      <c r="BQ3581" s="1" t="s">
        <v>3927</v>
      </c>
      <c r="BR3581" s="1" t="s">
        <v>57116</v>
      </c>
      <c r="BS3581" s="1">
        <v>14</v>
      </c>
      <c r="BT3581" s="1"/>
      <c r="BU3581" s="1" t="str">
        <f>HYPERLINK("https://nconnect.nicmar.ac.in/storage/profile/2021-2023_AP21373_463789.jpg","Download")</f>
        <v>0</v>
      </c>
      <c r="BV3581" s="3"/>
      <c r="BW3581" s="3"/>
    </row>
    <row r="3582" spans="1:75">
      <c r="A3582" s="1" t="s">
        <v>51340</v>
      </c>
      <c r="B3582" s="1" t="s">
        <v>51341</v>
      </c>
      <c r="C3582" s="1" t="s">
        <v>57117</v>
      </c>
      <c r="D3582" s="1" t="s">
        <v>38368</v>
      </c>
      <c r="E3582" s="1" t="s">
        <v>530</v>
      </c>
      <c r="F3582" s="1" t="s">
        <v>51445</v>
      </c>
      <c r="G3582" s="1" t="s">
        <v>57118</v>
      </c>
      <c r="H3582" s="1" t="s">
        <v>57119</v>
      </c>
      <c r="I3582" s="1" t="s">
        <v>57120</v>
      </c>
      <c r="J3582" s="1">
        <v>9988844869</v>
      </c>
      <c r="K3582" s="1" t="s">
        <v>84</v>
      </c>
      <c r="L3582" s="1" t="s">
        <v>57121</v>
      </c>
      <c r="M3582" s="1" t="s">
        <v>86</v>
      </c>
      <c r="N3582" s="1" t="s">
        <v>246</v>
      </c>
      <c r="O3582" s="1"/>
      <c r="P3582" s="1" t="s">
        <v>455</v>
      </c>
      <c r="Q3582" s="1" t="s">
        <v>57122</v>
      </c>
      <c r="R3582" s="1" t="s">
        <v>57123</v>
      </c>
      <c r="S3582" s="1">
        <v>9468060034</v>
      </c>
      <c r="T3582" s="1" t="s">
        <v>698</v>
      </c>
      <c r="U3582" s="1" t="s">
        <v>57124</v>
      </c>
      <c r="V3582" s="1">
        <v>9416214326</v>
      </c>
      <c r="W3582" s="1" t="s">
        <v>94</v>
      </c>
      <c r="X3582" s="1" t="s">
        <v>57125</v>
      </c>
      <c r="Y3582" s="1" t="s">
        <v>57126</v>
      </c>
      <c r="Z3582" s="1" t="s">
        <v>1700</v>
      </c>
      <c r="AA3582" s="1" t="s">
        <v>57125</v>
      </c>
      <c r="AB3582" s="1" t="s">
        <v>57126</v>
      </c>
      <c r="AC3582" s="1" t="s">
        <v>1700</v>
      </c>
      <c r="AD3582" s="1" t="s">
        <v>98</v>
      </c>
      <c r="AE3582" s="1" t="s">
        <v>98</v>
      </c>
      <c r="AF3582" s="1" t="s">
        <v>57127</v>
      </c>
      <c r="AG3582" s="1" t="s">
        <v>312</v>
      </c>
      <c r="AH3582" s="1" t="s">
        <v>3770</v>
      </c>
      <c r="AI3582" s="1" t="s">
        <v>134</v>
      </c>
      <c r="AJ3582" s="1">
        <v>87.4</v>
      </c>
      <c r="AK3582" s="1">
        <v>9.2</v>
      </c>
      <c r="AL3582" s="1" t="s">
        <v>57127</v>
      </c>
      <c r="AM3582" s="1" t="s">
        <v>312</v>
      </c>
      <c r="AN3582" s="1"/>
      <c r="AO3582" s="1" t="s">
        <v>1214</v>
      </c>
      <c r="AP3582" s="1" t="s">
        <v>136</v>
      </c>
      <c r="AQ3582" s="1">
        <v>91.4</v>
      </c>
      <c r="AR3582" s="1"/>
      <c r="AS3582" s="1"/>
      <c r="AT3582" s="1"/>
      <c r="AU3582" s="1" t="s">
        <v>98</v>
      </c>
      <c r="AV3582" s="1" t="s">
        <v>98</v>
      </c>
      <c r="AW3582" s="1" t="s">
        <v>98</v>
      </c>
      <c r="AX3582" s="1" t="s">
        <v>98</v>
      </c>
      <c r="AY3582" s="1" t="s">
        <v>57128</v>
      </c>
      <c r="AZ3582" s="1" t="s">
        <v>57129</v>
      </c>
      <c r="BA3582" s="1"/>
      <c r="BB3582" s="1"/>
      <c r="BC3582" s="1" t="s">
        <v>105</v>
      </c>
      <c r="BD3582" s="1" t="s">
        <v>175</v>
      </c>
      <c r="BE3582" s="1">
        <v>62.79</v>
      </c>
      <c r="BF3582" s="1">
        <v>6.61</v>
      </c>
      <c r="BG3582" s="1"/>
      <c r="BH3582" s="1"/>
      <c r="BI3582" s="1"/>
      <c r="BJ3582" s="1"/>
      <c r="BK3582" s="1" t="s">
        <v>98</v>
      </c>
      <c r="BL3582" s="1" t="s">
        <v>98</v>
      </c>
      <c r="BM3582" s="1" t="s">
        <v>98</v>
      </c>
      <c r="BN3582" s="1" t="s">
        <v>98</v>
      </c>
      <c r="BO3582" s="1" t="s">
        <v>57130</v>
      </c>
      <c r="BP3582" s="1"/>
      <c r="BQ3582" s="1"/>
      <c r="BR3582" s="1" t="s">
        <v>57131</v>
      </c>
      <c r="BS3582" s="1">
        <v>36</v>
      </c>
      <c r="BT3582" s="1"/>
      <c r="BU3582" s="1" t="str">
        <f>HYPERLINK("https://nconnect.nicmar.ac.in/storage/profile/2021-2023_AP21374_975816.jpg","Download")</f>
        <v>0</v>
      </c>
      <c r="BV3582" s="3"/>
      <c r="BW3582" s="3"/>
    </row>
    <row r="3583" spans="1:75">
      <c r="A3583" s="1" t="s">
        <v>51340</v>
      </c>
      <c r="B3583" s="1" t="s">
        <v>51341</v>
      </c>
      <c r="C3583" s="1" t="s">
        <v>57132</v>
      </c>
      <c r="D3583" s="1" t="s">
        <v>57133</v>
      </c>
      <c r="E3583" s="1"/>
      <c r="F3583" s="1" t="s">
        <v>57133</v>
      </c>
      <c r="G3583" s="1" t="s">
        <v>57134</v>
      </c>
      <c r="H3583" s="1" t="s">
        <v>57135</v>
      </c>
      <c r="I3583" s="1" t="s">
        <v>57136</v>
      </c>
      <c r="J3583" s="1">
        <v>8448406440</v>
      </c>
      <c r="K3583" s="1" t="s">
        <v>153</v>
      </c>
      <c r="L3583" s="1" t="s">
        <v>8199</v>
      </c>
      <c r="M3583" s="1" t="s">
        <v>86</v>
      </c>
      <c r="N3583" s="1" t="s">
        <v>246</v>
      </c>
      <c r="O3583" s="1"/>
      <c r="P3583" s="1" t="s">
        <v>507</v>
      </c>
      <c r="Q3583" s="1" t="s">
        <v>57137</v>
      </c>
      <c r="R3583" s="1" t="s">
        <v>57138</v>
      </c>
      <c r="S3583" s="1">
        <v>9871560355</v>
      </c>
      <c r="T3583" s="1" t="s">
        <v>3396</v>
      </c>
      <c r="U3583" s="1" t="s">
        <v>57139</v>
      </c>
      <c r="V3583" s="1">
        <v>8826504276</v>
      </c>
      <c r="W3583" s="1" t="s">
        <v>94</v>
      </c>
      <c r="X3583" s="1" t="s">
        <v>57140</v>
      </c>
      <c r="Y3583" s="1" t="s">
        <v>6489</v>
      </c>
      <c r="Z3583" s="1" t="s">
        <v>1739</v>
      </c>
      <c r="AA3583" s="1" t="s">
        <v>57140</v>
      </c>
      <c r="AB3583" s="1" t="s">
        <v>6489</v>
      </c>
      <c r="AC3583" s="1" t="s">
        <v>1739</v>
      </c>
      <c r="AD3583" s="1" t="s">
        <v>98</v>
      </c>
      <c r="AE3583" s="1" t="s">
        <v>98</v>
      </c>
      <c r="AF3583" s="1" t="s">
        <v>57141</v>
      </c>
      <c r="AG3583" s="1" t="s">
        <v>312</v>
      </c>
      <c r="AH3583" s="1" t="s">
        <v>3421</v>
      </c>
      <c r="AI3583" s="1" t="s">
        <v>1262</v>
      </c>
      <c r="AJ3583" s="1">
        <v>83.6</v>
      </c>
      <c r="AK3583" s="1">
        <v>8.8</v>
      </c>
      <c r="AL3583" s="1" t="s">
        <v>57141</v>
      </c>
      <c r="AM3583" s="1" t="s">
        <v>312</v>
      </c>
      <c r="AN3583" s="1"/>
      <c r="AO3583" s="1" t="s">
        <v>1110</v>
      </c>
      <c r="AP3583" s="1" t="s">
        <v>627</v>
      </c>
      <c r="AQ3583" s="1">
        <v>64</v>
      </c>
      <c r="AR3583" s="1">
        <v>6.4</v>
      </c>
      <c r="AS3583" s="1"/>
      <c r="AT3583" s="1"/>
      <c r="AU3583" s="1" t="s">
        <v>98</v>
      </c>
      <c r="AV3583" s="1" t="s">
        <v>98</v>
      </c>
      <c r="AW3583" s="1"/>
      <c r="AX3583" s="1"/>
      <c r="AY3583" s="1" t="s">
        <v>6493</v>
      </c>
      <c r="AZ3583" s="1" t="s">
        <v>57142</v>
      </c>
      <c r="BA3583" s="1"/>
      <c r="BB3583" s="1"/>
      <c r="BC3583" s="1" t="s">
        <v>139</v>
      </c>
      <c r="BD3583" s="1" t="s">
        <v>847</v>
      </c>
      <c r="BE3583" s="1">
        <v>85.4</v>
      </c>
      <c r="BF3583" s="1">
        <v>8.54</v>
      </c>
      <c r="BG3583" s="1"/>
      <c r="BH3583" s="1"/>
      <c r="BI3583" s="1"/>
      <c r="BJ3583" s="1"/>
      <c r="BK3583" s="1" t="s">
        <v>98</v>
      </c>
      <c r="BL3583" s="1" t="s">
        <v>98</v>
      </c>
      <c r="BM3583" s="1" t="s">
        <v>98</v>
      </c>
      <c r="BN3583" s="1" t="s">
        <v>98</v>
      </c>
      <c r="BO3583" s="1" t="s">
        <v>57143</v>
      </c>
      <c r="BP3583" s="1"/>
      <c r="BQ3583" s="1"/>
      <c r="BR3583" s="1" t="s">
        <v>57144</v>
      </c>
      <c r="BS3583" s="1">
        <v>50</v>
      </c>
      <c r="BT3583" s="1"/>
      <c r="BU3583" s="1" t="str">
        <f>HYPERLINK("https://nconnect.nicmar.ac.in/storage/profile/2021-2023_AP21376_176349.jpg","Download")</f>
        <v>0</v>
      </c>
      <c r="BV3583" s="3"/>
      <c r="BW3583" s="3"/>
    </row>
    <row r="3584" spans="1:75">
      <c r="A3584" s="1" t="s">
        <v>51340</v>
      </c>
      <c r="B3584" s="1" t="s">
        <v>51341</v>
      </c>
      <c r="C3584" s="1" t="s">
        <v>57145</v>
      </c>
      <c r="D3584" s="1" t="s">
        <v>7668</v>
      </c>
      <c r="E3584" s="1"/>
      <c r="F3584" s="1" t="s">
        <v>30176</v>
      </c>
      <c r="G3584" s="1" t="s">
        <v>57146</v>
      </c>
      <c r="H3584" s="1" t="s">
        <v>57147</v>
      </c>
      <c r="I3584" s="1" t="s">
        <v>57148</v>
      </c>
      <c r="J3584" s="1">
        <v>8700411194</v>
      </c>
      <c r="K3584" s="1" t="s">
        <v>84</v>
      </c>
      <c r="L3584" s="1" t="s">
        <v>57149</v>
      </c>
      <c r="M3584" s="1" t="s">
        <v>86</v>
      </c>
      <c r="N3584" s="1" t="s">
        <v>87</v>
      </c>
      <c r="O3584" s="1"/>
      <c r="P3584" s="1" t="s">
        <v>481</v>
      </c>
      <c r="Q3584" s="1" t="s">
        <v>57150</v>
      </c>
      <c r="R3584" s="1" t="s">
        <v>57151</v>
      </c>
      <c r="S3584" s="1">
        <v>9654545253</v>
      </c>
      <c r="T3584" s="1" t="s">
        <v>1620</v>
      </c>
      <c r="U3584" s="1" t="s">
        <v>57152</v>
      </c>
      <c r="V3584" s="1">
        <v>9654545253</v>
      </c>
      <c r="W3584" s="1" t="s">
        <v>94</v>
      </c>
      <c r="X3584" s="1" t="s">
        <v>57153</v>
      </c>
      <c r="Y3584" s="1" t="s">
        <v>1739</v>
      </c>
      <c r="Z3584" s="1" t="s">
        <v>1739</v>
      </c>
      <c r="AA3584" s="1" t="s">
        <v>98</v>
      </c>
      <c r="AB3584" s="1" t="s">
        <v>1739</v>
      </c>
      <c r="AC3584" s="1" t="s">
        <v>1739</v>
      </c>
      <c r="AD3584" s="1" t="s">
        <v>98</v>
      </c>
      <c r="AE3584" s="1" t="s">
        <v>98</v>
      </c>
      <c r="AF3584" s="1" t="s">
        <v>57154</v>
      </c>
      <c r="AG3584" s="1" t="s">
        <v>312</v>
      </c>
      <c r="AH3584" s="1">
        <v>41008</v>
      </c>
      <c r="AI3584" s="1">
        <v>41424</v>
      </c>
      <c r="AJ3584" s="1">
        <v>89.3</v>
      </c>
      <c r="AK3584" s="1">
        <v>9.4</v>
      </c>
      <c r="AL3584" s="1" t="s">
        <v>57154</v>
      </c>
      <c r="AM3584" s="1" t="s">
        <v>312</v>
      </c>
      <c r="AN3584" s="1"/>
      <c r="AO3584" s="1">
        <v>41736</v>
      </c>
      <c r="AP3584" s="1">
        <v>42149</v>
      </c>
      <c r="AQ3584" s="1">
        <v>94.8</v>
      </c>
      <c r="AR3584" s="1"/>
      <c r="AS3584" s="1"/>
      <c r="AT3584" s="1"/>
      <c r="AU3584" s="1" t="s">
        <v>98</v>
      </c>
      <c r="AV3584" s="1" t="s">
        <v>98</v>
      </c>
      <c r="AW3584" s="1" t="s">
        <v>98</v>
      </c>
      <c r="AX3584" s="1" t="s">
        <v>98</v>
      </c>
      <c r="AY3584" s="1" t="s">
        <v>6493</v>
      </c>
      <c r="AZ3584" s="1" t="s">
        <v>57155</v>
      </c>
      <c r="BA3584" s="1"/>
      <c r="BB3584" s="1"/>
      <c r="BC3584" s="1">
        <v>42219</v>
      </c>
      <c r="BD3584" s="1">
        <v>44075</v>
      </c>
      <c r="BE3584" s="1">
        <v>80.3</v>
      </c>
      <c r="BF3584" s="1">
        <v>8.03</v>
      </c>
      <c r="BG3584" s="1"/>
      <c r="BH3584" s="1"/>
      <c r="BI3584" s="1"/>
      <c r="BJ3584" s="1"/>
      <c r="BK3584" s="1" t="s">
        <v>98</v>
      </c>
      <c r="BL3584" s="1" t="s">
        <v>98</v>
      </c>
      <c r="BM3584" s="1" t="s">
        <v>98</v>
      </c>
      <c r="BN3584" s="1" t="s">
        <v>98</v>
      </c>
      <c r="BO3584" s="1" t="s">
        <v>260</v>
      </c>
      <c r="BP3584" s="1"/>
      <c r="BQ3584" s="1"/>
      <c r="BR3584" s="1" t="s">
        <v>57156</v>
      </c>
      <c r="BS3584" s="1">
        <v>47</v>
      </c>
      <c r="BT3584" s="1"/>
      <c r="BU3584" s="1" t="str">
        <f>HYPERLINK("https://nconnect.nicmar.ac.in/storage/profile/2021-2023_AP21377_749825.jpg","Download")</f>
        <v>0</v>
      </c>
      <c r="BV3584" s="3"/>
      <c r="BW3584" s="3"/>
    </row>
    <row r="3585" spans="1:75">
      <c r="A3585" s="1" t="s">
        <v>51340</v>
      </c>
      <c r="B3585" s="1" t="s">
        <v>51341</v>
      </c>
      <c r="C3585" s="1" t="s">
        <v>57157</v>
      </c>
      <c r="D3585" s="1" t="s">
        <v>57158</v>
      </c>
      <c r="E3585" s="1"/>
      <c r="F3585" s="1" t="s">
        <v>57159</v>
      </c>
      <c r="G3585" s="1" t="s">
        <v>57160</v>
      </c>
      <c r="H3585" s="1" t="s">
        <v>57161</v>
      </c>
      <c r="I3585" s="1" t="s">
        <v>57162</v>
      </c>
      <c r="J3585" s="1">
        <v>9437739178</v>
      </c>
      <c r="K3585" s="1" t="s">
        <v>84</v>
      </c>
      <c r="L3585" s="1" t="s">
        <v>10814</v>
      </c>
      <c r="M3585" s="1" t="s">
        <v>86</v>
      </c>
      <c r="N3585" s="1" t="s">
        <v>57163</v>
      </c>
      <c r="O3585" s="1"/>
      <c r="P3585" s="1" t="s">
        <v>455</v>
      </c>
      <c r="Q3585" s="1" t="s">
        <v>57164</v>
      </c>
      <c r="R3585" s="1" t="s">
        <v>57165</v>
      </c>
      <c r="S3585" s="1">
        <v>7008381790</v>
      </c>
      <c r="T3585" s="1" t="s">
        <v>57166</v>
      </c>
      <c r="U3585" s="1" t="s">
        <v>57167</v>
      </c>
      <c r="V3585" s="1">
        <v>7978629692</v>
      </c>
      <c r="W3585" s="1" t="s">
        <v>541</v>
      </c>
      <c r="X3585" s="1" t="s">
        <v>57168</v>
      </c>
      <c r="Y3585" s="1" t="s">
        <v>49929</v>
      </c>
      <c r="Z3585" s="1" t="s">
        <v>865</v>
      </c>
      <c r="AA3585" s="1" t="s">
        <v>57168</v>
      </c>
      <c r="AB3585" s="1" t="s">
        <v>49929</v>
      </c>
      <c r="AC3585" s="1" t="s">
        <v>865</v>
      </c>
      <c r="AD3585" s="1" t="s">
        <v>98</v>
      </c>
      <c r="AE3585" s="1" t="s">
        <v>98</v>
      </c>
      <c r="AF3585" s="1" t="s">
        <v>57169</v>
      </c>
      <c r="AG3585" s="1" t="s">
        <v>6474</v>
      </c>
      <c r="AH3585" s="1">
        <v>41365</v>
      </c>
      <c r="AI3585" s="1">
        <v>41729</v>
      </c>
      <c r="AJ3585" s="1">
        <v>86.16</v>
      </c>
      <c r="AK3585" s="1" t="s">
        <v>98</v>
      </c>
      <c r="AL3585" s="1" t="s">
        <v>24232</v>
      </c>
      <c r="AM3585" s="1" t="s">
        <v>312</v>
      </c>
      <c r="AN3585" s="1"/>
      <c r="AO3585" s="1">
        <v>42109</v>
      </c>
      <c r="AP3585" s="1">
        <v>42460</v>
      </c>
      <c r="AQ3585" s="1">
        <v>86.6</v>
      </c>
      <c r="AR3585" s="1" t="s">
        <v>98</v>
      </c>
      <c r="AS3585" s="1" t="s">
        <v>98</v>
      </c>
      <c r="AT3585" s="1" t="s">
        <v>98</v>
      </c>
      <c r="AU3585" s="1" t="s">
        <v>98</v>
      </c>
      <c r="AV3585" s="1" t="s">
        <v>98</v>
      </c>
      <c r="AW3585" s="1" t="s">
        <v>98</v>
      </c>
      <c r="AX3585" s="1" t="s">
        <v>98</v>
      </c>
      <c r="AY3585" s="1" t="s">
        <v>57170</v>
      </c>
      <c r="AZ3585" s="1" t="s">
        <v>53313</v>
      </c>
      <c r="BA3585" s="1"/>
      <c r="BB3585" s="1"/>
      <c r="BC3585" s="1">
        <v>42649</v>
      </c>
      <c r="BD3585" s="1">
        <v>43915</v>
      </c>
      <c r="BE3585" s="1">
        <v>82</v>
      </c>
      <c r="BF3585" s="1">
        <v>8.7</v>
      </c>
      <c r="BG3585" s="1" t="s">
        <v>98</v>
      </c>
      <c r="BH3585" s="1"/>
      <c r="BI3585" s="1"/>
      <c r="BJ3585" s="1"/>
      <c r="BK3585" s="1" t="s">
        <v>98</v>
      </c>
      <c r="BL3585" s="1" t="s">
        <v>98</v>
      </c>
      <c r="BM3585" s="1" t="s">
        <v>98</v>
      </c>
      <c r="BN3585" s="1" t="s">
        <v>98</v>
      </c>
      <c r="BO3585" s="1"/>
      <c r="BP3585" s="1" t="s">
        <v>57171</v>
      </c>
      <c r="BQ3585" s="1" t="s">
        <v>292</v>
      </c>
      <c r="BR3585" s="1" t="s">
        <v>57172</v>
      </c>
      <c r="BS3585" s="1">
        <v>9</v>
      </c>
      <c r="BT3585" s="1"/>
      <c r="BU3585" s="1" t="str">
        <f>HYPERLINK("https://nconnect.nicmar.ac.in/storage/profile/2021-2023_AP21379_571246.jpg","Download")</f>
        <v>0</v>
      </c>
      <c r="BV3585" s="3"/>
      <c r="BW3585" s="3"/>
    </row>
    <row r="3586" spans="1:75">
      <c r="A3586" s="1" t="s">
        <v>51340</v>
      </c>
      <c r="B3586" s="1" t="s">
        <v>51341</v>
      </c>
      <c r="C3586" s="1" t="s">
        <v>57173</v>
      </c>
      <c r="D3586" s="1" t="s">
        <v>25906</v>
      </c>
      <c r="E3586" s="1" t="s">
        <v>57174</v>
      </c>
      <c r="F3586" s="1" t="s">
        <v>4019</v>
      </c>
      <c r="G3586" s="1" t="s">
        <v>57175</v>
      </c>
      <c r="H3586" s="1" t="s">
        <v>57176</v>
      </c>
      <c r="I3586" s="1" t="s">
        <v>57177</v>
      </c>
      <c r="J3586" s="1">
        <v>9145207470</v>
      </c>
      <c r="K3586" s="1" t="s">
        <v>84</v>
      </c>
      <c r="L3586" s="1" t="s">
        <v>57178</v>
      </c>
      <c r="M3586" s="1" t="s">
        <v>86</v>
      </c>
      <c r="N3586" s="1" t="s">
        <v>57179</v>
      </c>
      <c r="O3586" s="1"/>
      <c r="P3586" s="1" t="s">
        <v>507</v>
      </c>
      <c r="Q3586" s="1" t="s">
        <v>57180</v>
      </c>
      <c r="R3586" s="1" t="s">
        <v>57181</v>
      </c>
      <c r="S3586" s="1">
        <v>9423193708</v>
      </c>
      <c r="T3586" s="1" t="s">
        <v>926</v>
      </c>
      <c r="U3586" s="1" t="s">
        <v>57182</v>
      </c>
      <c r="V3586" s="1">
        <v>8007674870</v>
      </c>
      <c r="W3586" s="1" t="s">
        <v>94</v>
      </c>
      <c r="X3586" s="1" t="s">
        <v>57183</v>
      </c>
      <c r="Y3586" s="1" t="s">
        <v>7911</v>
      </c>
      <c r="Z3586" s="1" t="s">
        <v>97</v>
      </c>
      <c r="AA3586" s="1" t="s">
        <v>57184</v>
      </c>
      <c r="AB3586" s="1" t="s">
        <v>7911</v>
      </c>
      <c r="AC3586" s="1" t="s">
        <v>97</v>
      </c>
      <c r="AD3586" s="1" t="s">
        <v>98</v>
      </c>
      <c r="AE3586" s="1" t="s">
        <v>98</v>
      </c>
      <c r="AF3586" s="1" t="s">
        <v>35953</v>
      </c>
      <c r="AG3586" s="1" t="s">
        <v>30241</v>
      </c>
      <c r="AH3586" s="1">
        <v>41821</v>
      </c>
      <c r="AI3586" s="1">
        <v>42086</v>
      </c>
      <c r="AJ3586" s="1">
        <v>87.2</v>
      </c>
      <c r="AK3586" s="1">
        <v>0</v>
      </c>
      <c r="AL3586" s="1" t="s">
        <v>57185</v>
      </c>
      <c r="AM3586" s="1" t="s">
        <v>3829</v>
      </c>
      <c r="AN3586" s="1"/>
      <c r="AO3586" s="1">
        <v>42491</v>
      </c>
      <c r="AP3586" s="1">
        <v>42796</v>
      </c>
      <c r="AQ3586" s="1">
        <v>65.69</v>
      </c>
      <c r="AR3586" s="1">
        <v>0</v>
      </c>
      <c r="AS3586" s="1" t="s">
        <v>98</v>
      </c>
      <c r="AT3586" s="1" t="s">
        <v>98</v>
      </c>
      <c r="AU3586" s="1" t="s">
        <v>98</v>
      </c>
      <c r="AV3586" s="1" t="s">
        <v>98</v>
      </c>
      <c r="AW3586" s="1" t="s">
        <v>98</v>
      </c>
      <c r="AX3586" s="1" t="s">
        <v>98</v>
      </c>
      <c r="AY3586" s="1" t="s">
        <v>4232</v>
      </c>
      <c r="AZ3586" s="1" t="s">
        <v>57186</v>
      </c>
      <c r="BA3586" s="1"/>
      <c r="BB3586" s="1"/>
      <c r="BC3586" s="1">
        <v>42956</v>
      </c>
      <c r="BD3586" s="1">
        <v>44347</v>
      </c>
      <c r="BE3586" s="1">
        <v>74.8</v>
      </c>
      <c r="BF3586" s="1">
        <v>8.23</v>
      </c>
      <c r="BG3586" s="1" t="s">
        <v>98</v>
      </c>
      <c r="BH3586" s="1"/>
      <c r="BI3586" s="1"/>
      <c r="BJ3586" s="1"/>
      <c r="BK3586" s="1" t="s">
        <v>98</v>
      </c>
      <c r="BL3586" s="1" t="s">
        <v>98</v>
      </c>
      <c r="BM3586" s="1" t="s">
        <v>98</v>
      </c>
      <c r="BN3586" s="1" t="s">
        <v>98</v>
      </c>
      <c r="BO3586" s="1"/>
      <c r="BP3586" s="1"/>
      <c r="BQ3586" s="1"/>
      <c r="BR3586" s="1" t="s">
        <v>57187</v>
      </c>
      <c r="BS3586" s="1">
        <v>12</v>
      </c>
      <c r="BT3586" s="1"/>
      <c r="BU3586" s="1" t="str">
        <f>HYPERLINK("https://nconnect.nicmar.ac.in/storage/profile/2021-2023_AP21381_436795.jpg","Download")</f>
        <v>0</v>
      </c>
      <c r="BV3586" s="3"/>
      <c r="BW3586" s="3"/>
    </row>
    <row r="3587" spans="1:75">
      <c r="A3587" s="1" t="s">
        <v>51340</v>
      </c>
      <c r="B3587" s="1" t="s">
        <v>51341</v>
      </c>
      <c r="C3587" s="1" t="s">
        <v>57188</v>
      </c>
      <c r="D3587" s="1" t="s">
        <v>422</v>
      </c>
      <c r="E3587" s="1"/>
      <c r="F3587" s="1" t="s">
        <v>13015</v>
      </c>
      <c r="G3587" s="1" t="s">
        <v>57189</v>
      </c>
      <c r="H3587" s="1" t="s">
        <v>57190</v>
      </c>
      <c r="I3587" s="1" t="s">
        <v>57191</v>
      </c>
      <c r="J3587" s="1">
        <v>8989460366</v>
      </c>
      <c r="K3587" s="1" t="s">
        <v>153</v>
      </c>
      <c r="L3587" s="1" t="s">
        <v>28187</v>
      </c>
      <c r="M3587" s="1" t="s">
        <v>86</v>
      </c>
      <c r="N3587" s="1" t="s">
        <v>246</v>
      </c>
      <c r="O3587" s="1"/>
      <c r="P3587" s="1" t="s">
        <v>455</v>
      </c>
      <c r="Q3587" s="1" t="s">
        <v>57192</v>
      </c>
      <c r="R3587" s="1" t="s">
        <v>57193</v>
      </c>
      <c r="S3587" s="1">
        <v>9479723465</v>
      </c>
      <c r="T3587" s="1" t="s">
        <v>57194</v>
      </c>
      <c r="U3587" s="1" t="s">
        <v>57195</v>
      </c>
      <c r="V3587" s="1">
        <v>6264382421</v>
      </c>
      <c r="W3587" s="1" t="s">
        <v>57196</v>
      </c>
      <c r="X3587" s="1" t="s">
        <v>57197</v>
      </c>
      <c r="Y3587" s="1" t="s">
        <v>5641</v>
      </c>
      <c r="Z3587" s="1" t="s">
        <v>3419</v>
      </c>
      <c r="AA3587" s="1" t="s">
        <v>57197</v>
      </c>
      <c r="AB3587" s="1" t="s">
        <v>5641</v>
      </c>
      <c r="AC3587" s="1" t="s">
        <v>3419</v>
      </c>
      <c r="AD3587" s="1" t="s">
        <v>98</v>
      </c>
      <c r="AE3587" s="1" t="s">
        <v>98</v>
      </c>
      <c r="AF3587" s="1" t="s">
        <v>57198</v>
      </c>
      <c r="AG3587" s="1" t="s">
        <v>312</v>
      </c>
      <c r="AH3587" s="1">
        <v>40687</v>
      </c>
      <c r="AI3587" s="1">
        <v>41053</v>
      </c>
      <c r="AJ3587" s="1">
        <v>70.3</v>
      </c>
      <c r="AK3587" s="1">
        <v>7.4</v>
      </c>
      <c r="AL3587" s="1" t="s">
        <v>57198</v>
      </c>
      <c r="AM3587" s="1" t="s">
        <v>312</v>
      </c>
      <c r="AN3587" s="1"/>
      <c r="AO3587" s="1">
        <v>41422</v>
      </c>
      <c r="AP3587" s="1">
        <v>41787</v>
      </c>
      <c r="AQ3587" s="1">
        <v>72.8</v>
      </c>
      <c r="AR3587" s="1"/>
      <c r="AS3587" s="1"/>
      <c r="AT3587" s="1"/>
      <c r="AU3587" s="1" t="s">
        <v>98</v>
      </c>
      <c r="AV3587" s="1" t="s">
        <v>98</v>
      </c>
      <c r="AW3587" s="1" t="s">
        <v>98</v>
      </c>
      <c r="AX3587" s="1" t="s">
        <v>98</v>
      </c>
      <c r="AY3587" s="1" t="s">
        <v>2206</v>
      </c>
      <c r="AZ3587" s="1" t="s">
        <v>57199</v>
      </c>
      <c r="BA3587" s="1"/>
      <c r="BB3587" s="1"/>
      <c r="BC3587" s="1">
        <v>41874</v>
      </c>
      <c r="BD3587" s="1">
        <v>43251</v>
      </c>
      <c r="BE3587" s="1">
        <v>75.7</v>
      </c>
      <c r="BF3587" s="1">
        <v>7.57</v>
      </c>
      <c r="BG3587" s="1"/>
      <c r="BH3587" s="1"/>
      <c r="BI3587" s="1"/>
      <c r="BJ3587" s="1"/>
      <c r="BK3587" s="1" t="s">
        <v>98</v>
      </c>
      <c r="BL3587" s="1" t="s">
        <v>98</v>
      </c>
      <c r="BM3587" s="1" t="s">
        <v>98</v>
      </c>
      <c r="BN3587" s="1" t="s">
        <v>98</v>
      </c>
      <c r="BO3587" s="1" t="s">
        <v>260</v>
      </c>
      <c r="BP3587" s="1" t="s">
        <v>57200</v>
      </c>
      <c r="BQ3587" s="1" t="s">
        <v>29415</v>
      </c>
      <c r="BR3587" s="1" t="s">
        <v>57201</v>
      </c>
      <c r="BS3587" s="1">
        <v>11</v>
      </c>
      <c r="BT3587" s="1"/>
      <c r="BU3587" s="1" t="str">
        <f>HYPERLINK("https://nconnect.nicmar.ac.in/storage/profile/2021-2023_AP21382_194572.jpeg","Download")</f>
        <v>0</v>
      </c>
      <c r="BV3587" s="3"/>
      <c r="BW3587" s="3"/>
    </row>
    <row r="3588" spans="1:75">
      <c r="A3588" s="1" t="s">
        <v>51340</v>
      </c>
      <c r="B3588" s="1" t="s">
        <v>51341</v>
      </c>
      <c r="C3588" s="1" t="s">
        <v>57202</v>
      </c>
      <c r="D3588" s="1" t="s">
        <v>57203</v>
      </c>
      <c r="E3588" s="1"/>
      <c r="F3588" s="1" t="s">
        <v>20206</v>
      </c>
      <c r="G3588" s="1" t="s">
        <v>57204</v>
      </c>
      <c r="H3588" s="1" t="s">
        <v>57205</v>
      </c>
      <c r="I3588" s="1" t="s">
        <v>57206</v>
      </c>
      <c r="J3588" s="1">
        <v>9448687932</v>
      </c>
      <c r="K3588" s="1" t="s">
        <v>84</v>
      </c>
      <c r="L3588" s="1" t="s">
        <v>33519</v>
      </c>
      <c r="M3588" s="1" t="s">
        <v>86</v>
      </c>
      <c r="N3588" s="1" t="s">
        <v>57207</v>
      </c>
      <c r="O3588" s="1"/>
      <c r="P3588" s="1" t="s">
        <v>455</v>
      </c>
      <c r="Q3588" s="1" t="s">
        <v>57208</v>
      </c>
      <c r="R3588" s="1" t="s">
        <v>57209</v>
      </c>
      <c r="S3588" s="1">
        <v>9845145932</v>
      </c>
      <c r="T3588" s="1" t="s">
        <v>1552</v>
      </c>
      <c r="U3588" s="1" t="s">
        <v>57210</v>
      </c>
      <c r="V3588" s="1">
        <v>9980460410</v>
      </c>
      <c r="W3588" s="1" t="s">
        <v>541</v>
      </c>
      <c r="X3588" s="1" t="s">
        <v>57211</v>
      </c>
      <c r="Y3588" s="1" t="s">
        <v>51727</v>
      </c>
      <c r="Z3588" s="1" t="s">
        <v>1210</v>
      </c>
      <c r="AA3588" s="1" t="s">
        <v>57211</v>
      </c>
      <c r="AB3588" s="1" t="s">
        <v>51727</v>
      </c>
      <c r="AC3588" s="1" t="s">
        <v>1210</v>
      </c>
      <c r="AD3588" s="1" t="s">
        <v>98</v>
      </c>
      <c r="AE3588" s="1" t="s">
        <v>98</v>
      </c>
      <c r="AF3588" s="1" t="s">
        <v>26408</v>
      </c>
      <c r="AG3588" s="1" t="s">
        <v>1946</v>
      </c>
      <c r="AH3588" s="1">
        <v>41426</v>
      </c>
      <c r="AI3588" s="1">
        <v>41739</v>
      </c>
      <c r="AJ3588" s="1">
        <v>78.24</v>
      </c>
      <c r="AK3588" s="1">
        <v>0</v>
      </c>
      <c r="AL3588" s="1" t="s">
        <v>57212</v>
      </c>
      <c r="AM3588" s="1" t="s">
        <v>1946</v>
      </c>
      <c r="AN3588" s="1"/>
      <c r="AO3588" s="1">
        <v>42096</v>
      </c>
      <c r="AP3588" s="1">
        <v>42431</v>
      </c>
      <c r="AQ3588" s="1">
        <v>80.16</v>
      </c>
      <c r="AR3588" s="1">
        <v>0</v>
      </c>
      <c r="AS3588" s="1"/>
      <c r="AT3588" s="1"/>
      <c r="AU3588" s="1" t="s">
        <v>98</v>
      </c>
      <c r="AV3588" s="1" t="s">
        <v>98</v>
      </c>
      <c r="AW3588" s="1" t="s">
        <v>98</v>
      </c>
      <c r="AX3588" s="1" t="s">
        <v>98</v>
      </c>
      <c r="AY3588" s="1" t="s">
        <v>1217</v>
      </c>
      <c r="AZ3588" s="1" t="s">
        <v>51733</v>
      </c>
      <c r="BA3588" s="1"/>
      <c r="BB3588" s="1"/>
      <c r="BC3588" s="1">
        <v>42583</v>
      </c>
      <c r="BD3588" s="1">
        <v>44063</v>
      </c>
      <c r="BE3588" s="1">
        <v>57.2</v>
      </c>
      <c r="BF3588" s="1">
        <v>6.47</v>
      </c>
      <c r="BG3588" s="1"/>
      <c r="BH3588" s="1"/>
      <c r="BI3588" s="1"/>
      <c r="BJ3588" s="1"/>
      <c r="BK3588" s="1" t="s">
        <v>98</v>
      </c>
      <c r="BL3588" s="1" t="s">
        <v>98</v>
      </c>
      <c r="BM3588" s="1" t="s">
        <v>98</v>
      </c>
      <c r="BN3588" s="1" t="s">
        <v>98</v>
      </c>
      <c r="BO3588" s="1" t="s">
        <v>1114</v>
      </c>
      <c r="BP3588" s="1"/>
      <c r="BQ3588" s="1"/>
      <c r="BR3588" s="1" t="s">
        <v>57213</v>
      </c>
      <c r="BS3588" s="1">
        <v>20</v>
      </c>
      <c r="BT3588" s="1"/>
      <c r="BU3588" s="1" t="str">
        <f>HYPERLINK("https://nconnect.nicmar.ac.in/storage/profile/2021-2023_AP21383_653971.jpg","Download")</f>
        <v>0</v>
      </c>
      <c r="BV3588" s="3"/>
      <c r="BW3588" s="3"/>
    </row>
    <row r="3589" spans="1:75">
      <c r="A3589" s="1" t="s">
        <v>51340</v>
      </c>
      <c r="B3589" s="1" t="s">
        <v>51341</v>
      </c>
      <c r="C3589" s="1" t="s">
        <v>57214</v>
      </c>
      <c r="D3589" s="1" t="s">
        <v>30025</v>
      </c>
      <c r="E3589" s="1" t="s">
        <v>500</v>
      </c>
      <c r="F3589" s="1" t="s">
        <v>57215</v>
      </c>
      <c r="G3589" s="1" t="s">
        <v>57216</v>
      </c>
      <c r="H3589" s="1" t="s">
        <v>57217</v>
      </c>
      <c r="I3589" s="1" t="s">
        <v>57218</v>
      </c>
      <c r="J3589" s="1">
        <v>9421569280</v>
      </c>
      <c r="K3589" s="1" t="s">
        <v>84</v>
      </c>
      <c r="L3589" s="1" t="s">
        <v>57219</v>
      </c>
      <c r="M3589" s="1" t="s">
        <v>86</v>
      </c>
      <c r="N3589" s="1" t="s">
        <v>12120</v>
      </c>
      <c r="O3589" s="1"/>
      <c r="P3589" s="1" t="s">
        <v>455</v>
      </c>
      <c r="Q3589" s="1" t="s">
        <v>57220</v>
      </c>
      <c r="R3589" s="1" t="s">
        <v>57221</v>
      </c>
      <c r="S3589" s="1">
        <v>9421834080</v>
      </c>
      <c r="T3589" s="1" t="s">
        <v>926</v>
      </c>
      <c r="U3589" s="1" t="s">
        <v>57222</v>
      </c>
      <c r="V3589" s="1">
        <v>9860210297</v>
      </c>
      <c r="W3589" s="1" t="s">
        <v>161</v>
      </c>
      <c r="X3589" s="1" t="s">
        <v>57223</v>
      </c>
      <c r="Y3589" s="1" t="s">
        <v>52796</v>
      </c>
      <c r="Z3589" s="1" t="s">
        <v>97</v>
      </c>
      <c r="AA3589" s="1" t="s">
        <v>57224</v>
      </c>
      <c r="AB3589" s="1" t="s">
        <v>196</v>
      </c>
      <c r="AC3589" s="1" t="s">
        <v>97</v>
      </c>
      <c r="AD3589" s="1" t="s">
        <v>98</v>
      </c>
      <c r="AE3589" s="1" t="s">
        <v>98</v>
      </c>
      <c r="AF3589" s="1" t="s">
        <v>57225</v>
      </c>
      <c r="AG3589" s="1" t="s">
        <v>10015</v>
      </c>
      <c r="AH3589" s="1">
        <v>41816</v>
      </c>
      <c r="AI3589" s="1">
        <v>42064</v>
      </c>
      <c r="AJ3589" s="1">
        <v>80.8</v>
      </c>
      <c r="AK3589" s="1">
        <v>0</v>
      </c>
      <c r="AL3589" s="1" t="s">
        <v>57226</v>
      </c>
      <c r="AM3589" s="1" t="s">
        <v>10015</v>
      </c>
      <c r="AN3589" s="1"/>
      <c r="AO3589" s="1">
        <v>42461</v>
      </c>
      <c r="AP3589" s="1">
        <v>42786</v>
      </c>
      <c r="AQ3589" s="1">
        <v>57.85</v>
      </c>
      <c r="AR3589" s="1">
        <v>0</v>
      </c>
      <c r="AS3589" s="1"/>
      <c r="AT3589" s="1"/>
      <c r="AU3589" s="1" t="s">
        <v>98</v>
      </c>
      <c r="AV3589" s="1" t="s">
        <v>98</v>
      </c>
      <c r="AW3589" s="1" t="s">
        <v>98</v>
      </c>
      <c r="AX3589" s="1" t="s">
        <v>98</v>
      </c>
      <c r="AY3589" s="1" t="s">
        <v>366</v>
      </c>
      <c r="AZ3589" s="1" t="s">
        <v>57227</v>
      </c>
      <c r="BA3589" s="1"/>
      <c r="BB3589" s="1"/>
      <c r="BC3589" s="1">
        <v>42948</v>
      </c>
      <c r="BD3589" s="1">
        <v>44408</v>
      </c>
      <c r="BE3589" s="1">
        <v>64.5</v>
      </c>
      <c r="BF3589" s="1">
        <v>7.33</v>
      </c>
      <c r="BG3589" s="1"/>
      <c r="BH3589" s="1"/>
      <c r="BI3589" s="1"/>
      <c r="BJ3589" s="1"/>
      <c r="BK3589" s="1" t="s">
        <v>98</v>
      </c>
      <c r="BL3589" s="1" t="s">
        <v>98</v>
      </c>
      <c r="BM3589" s="1" t="s">
        <v>98</v>
      </c>
      <c r="BN3589" s="1" t="s">
        <v>98</v>
      </c>
      <c r="BO3589" s="1" t="s">
        <v>369</v>
      </c>
      <c r="BP3589" s="1"/>
      <c r="BQ3589" s="1"/>
      <c r="BR3589" s="1" t="s">
        <v>57228</v>
      </c>
      <c r="BS3589" s="1">
        <v>8</v>
      </c>
      <c r="BT3589" s="1"/>
      <c r="BU3589" s="1" t="str">
        <f>HYPERLINK("https://nconnect.nicmar.ac.in/storage/profile/2021-2023_AP21384_759681.jpg","Download")</f>
        <v>0</v>
      </c>
      <c r="BV3589" s="3"/>
      <c r="BW3589" s="3"/>
    </row>
    <row r="3590" spans="1:75">
      <c r="A3590" s="1" t="s">
        <v>51340</v>
      </c>
      <c r="B3590" s="1" t="s">
        <v>51341</v>
      </c>
      <c r="C3590" s="1" t="s">
        <v>57229</v>
      </c>
      <c r="D3590" s="1" t="s">
        <v>2249</v>
      </c>
      <c r="E3590" s="1" t="s">
        <v>34768</v>
      </c>
      <c r="F3590" s="1" t="s">
        <v>10118</v>
      </c>
      <c r="G3590" s="1" t="s">
        <v>57230</v>
      </c>
      <c r="H3590" s="1" t="s">
        <v>57231</v>
      </c>
      <c r="I3590" s="1" t="s">
        <v>57232</v>
      </c>
      <c r="J3590" s="1">
        <v>9420706173</v>
      </c>
      <c r="K3590" s="1" t="s">
        <v>84</v>
      </c>
      <c r="L3590" s="1" t="s">
        <v>57233</v>
      </c>
      <c r="M3590" s="1" t="s">
        <v>86</v>
      </c>
      <c r="N3590" s="1" t="s">
        <v>903</v>
      </c>
      <c r="O3590" s="1"/>
      <c r="P3590" s="1" t="s">
        <v>1028</v>
      </c>
      <c r="Q3590" s="1" t="s">
        <v>57234</v>
      </c>
      <c r="R3590" s="1" t="s">
        <v>57235</v>
      </c>
      <c r="S3590" s="1">
        <v>9423689123</v>
      </c>
      <c r="T3590" s="1" t="s">
        <v>57236</v>
      </c>
      <c r="U3590" s="1" t="s">
        <v>57237</v>
      </c>
      <c r="V3590" s="1">
        <v>9422832100</v>
      </c>
      <c r="W3590" s="1" t="s">
        <v>94</v>
      </c>
      <c r="X3590" s="1" t="s">
        <v>57238</v>
      </c>
      <c r="Y3590" s="1" t="s">
        <v>410</v>
      </c>
      <c r="Z3590" s="1" t="s">
        <v>97</v>
      </c>
      <c r="AA3590" s="1" t="s">
        <v>57238</v>
      </c>
      <c r="AB3590" s="1" t="s">
        <v>410</v>
      </c>
      <c r="AC3590" s="1" t="s">
        <v>97</v>
      </c>
      <c r="AD3590" s="1" t="s">
        <v>98</v>
      </c>
      <c r="AE3590" s="1" t="s">
        <v>98</v>
      </c>
      <c r="AF3590" s="1" t="s">
        <v>57239</v>
      </c>
      <c r="AG3590" s="1" t="s">
        <v>312</v>
      </c>
      <c r="AH3590" s="1">
        <v>40330</v>
      </c>
      <c r="AI3590" s="1">
        <v>40694</v>
      </c>
      <c r="AJ3590" s="1">
        <v>58.9</v>
      </c>
      <c r="AK3590" s="1">
        <v>6.2</v>
      </c>
      <c r="AL3590" s="1" t="s">
        <v>57240</v>
      </c>
      <c r="AM3590" s="1" t="s">
        <v>2745</v>
      </c>
      <c r="AN3590" s="1"/>
      <c r="AO3590" s="1">
        <v>41061</v>
      </c>
      <c r="AP3590" s="1">
        <v>41424</v>
      </c>
      <c r="AQ3590" s="1">
        <v>61.33</v>
      </c>
      <c r="AR3590" s="1"/>
      <c r="AS3590" s="1"/>
      <c r="AT3590" s="1"/>
      <c r="AU3590" s="1" t="s">
        <v>98</v>
      </c>
      <c r="AV3590" s="1" t="s">
        <v>98</v>
      </c>
      <c r="AW3590" s="1" t="s">
        <v>98</v>
      </c>
      <c r="AX3590" s="1" t="s">
        <v>98</v>
      </c>
      <c r="AY3590" s="1" t="s">
        <v>57241</v>
      </c>
      <c r="AZ3590" s="1" t="s">
        <v>57242</v>
      </c>
      <c r="BA3590" s="1"/>
      <c r="BB3590" s="1"/>
      <c r="BC3590" s="1">
        <v>41502</v>
      </c>
      <c r="BD3590" s="1">
        <v>42930</v>
      </c>
      <c r="BE3590" s="1">
        <v>74.6</v>
      </c>
      <c r="BF3590" s="1"/>
      <c r="BG3590" s="1" t="s">
        <v>366</v>
      </c>
      <c r="BH3590" s="1" t="s">
        <v>1586</v>
      </c>
      <c r="BI3590" s="1"/>
      <c r="BJ3590" s="1"/>
      <c r="BK3590" s="1">
        <v>43328</v>
      </c>
      <c r="BL3590" s="1">
        <v>44145</v>
      </c>
      <c r="BM3590" s="1">
        <v>78.92</v>
      </c>
      <c r="BN3590" s="1">
        <v>8.66</v>
      </c>
      <c r="BO3590" s="1" t="s">
        <v>1114</v>
      </c>
      <c r="BP3590" s="1"/>
      <c r="BQ3590" s="1"/>
      <c r="BR3590" s="1" t="s">
        <v>57243</v>
      </c>
      <c r="BS3590" s="1">
        <v>198</v>
      </c>
      <c r="BT3590" s="1"/>
      <c r="BU3590" s="1" t="str">
        <f>HYPERLINK("https://nconnect.nicmar.ac.in/storage/profile/2021-2023_AP21387_418693.jpg","Download")</f>
        <v>0</v>
      </c>
      <c r="BV3590" s="3"/>
      <c r="BW3590" s="3"/>
    </row>
    <row r="3591" spans="1:75">
      <c r="A3591" s="1" t="s">
        <v>51340</v>
      </c>
      <c r="B3591" s="1" t="s">
        <v>51341</v>
      </c>
      <c r="C3591" s="1" t="s">
        <v>57244</v>
      </c>
      <c r="D3591" s="1" t="s">
        <v>3545</v>
      </c>
      <c r="E3591" s="1"/>
      <c r="F3591" s="1" t="s">
        <v>1320</v>
      </c>
      <c r="G3591" s="1" t="s">
        <v>57245</v>
      </c>
      <c r="H3591" s="1" t="s">
        <v>57246</v>
      </c>
      <c r="I3591" s="1" t="s">
        <v>57247</v>
      </c>
      <c r="J3591" s="1">
        <v>8076935807</v>
      </c>
      <c r="K3591" s="1" t="s">
        <v>84</v>
      </c>
      <c r="L3591" s="1" t="s">
        <v>57248</v>
      </c>
      <c r="M3591" s="1" t="s">
        <v>86</v>
      </c>
      <c r="N3591" s="1" t="s">
        <v>2969</v>
      </c>
      <c r="O3591" s="1"/>
      <c r="P3591" s="1" t="s">
        <v>507</v>
      </c>
      <c r="Q3591" s="1" t="s">
        <v>57249</v>
      </c>
      <c r="R3591" s="1" t="s">
        <v>57250</v>
      </c>
      <c r="S3591" s="1">
        <v>9608976626</v>
      </c>
      <c r="T3591" s="1" t="s">
        <v>57251</v>
      </c>
      <c r="U3591" s="1" t="s">
        <v>57252</v>
      </c>
      <c r="V3591" s="1">
        <v>8809652222</v>
      </c>
      <c r="W3591" s="1" t="s">
        <v>908</v>
      </c>
      <c r="X3591" s="1" t="s">
        <v>57253</v>
      </c>
      <c r="Y3591" s="1" t="s">
        <v>57254</v>
      </c>
      <c r="Z3591" s="1" t="s">
        <v>649</v>
      </c>
      <c r="AA3591" s="1" t="s">
        <v>57255</v>
      </c>
      <c r="AB3591" s="1" t="s">
        <v>196</v>
      </c>
      <c r="AC3591" s="1" t="s">
        <v>97</v>
      </c>
      <c r="AD3591" s="1" t="s">
        <v>98</v>
      </c>
      <c r="AE3591" s="1" t="s">
        <v>98</v>
      </c>
      <c r="AF3591" s="1" t="s">
        <v>57256</v>
      </c>
      <c r="AG3591" s="1" t="s">
        <v>2475</v>
      </c>
      <c r="AH3591" s="1" t="s">
        <v>57257</v>
      </c>
      <c r="AI3591" s="1" t="s">
        <v>57258</v>
      </c>
      <c r="AJ3591" s="1">
        <v>95</v>
      </c>
      <c r="AK3591" s="1">
        <v>10</v>
      </c>
      <c r="AL3591" s="1" t="s">
        <v>1060</v>
      </c>
      <c r="AM3591" s="1" t="s">
        <v>2475</v>
      </c>
      <c r="AN3591" s="1"/>
      <c r="AO3591" s="1" t="s">
        <v>56513</v>
      </c>
      <c r="AP3591" s="1" t="s">
        <v>57259</v>
      </c>
      <c r="AQ3591" s="1">
        <v>79.6</v>
      </c>
      <c r="AR3591" s="1"/>
      <c r="AS3591" s="1"/>
      <c r="AT3591" s="1"/>
      <c r="AU3591" s="1" t="s">
        <v>98</v>
      </c>
      <c r="AV3591" s="1" t="s">
        <v>98</v>
      </c>
      <c r="AW3591" s="1" t="s">
        <v>98</v>
      </c>
      <c r="AX3591" s="1" t="s">
        <v>98</v>
      </c>
      <c r="AY3591" s="1" t="s">
        <v>57260</v>
      </c>
      <c r="AZ3591" s="1" t="s">
        <v>57260</v>
      </c>
      <c r="BA3591" s="1"/>
      <c r="BB3591" s="1"/>
      <c r="BC3591" s="1" t="s">
        <v>57261</v>
      </c>
      <c r="BD3591" s="1" t="s">
        <v>57262</v>
      </c>
      <c r="BE3591" s="1">
        <v>71.5</v>
      </c>
      <c r="BF3591" s="1">
        <v>7.15</v>
      </c>
      <c r="BG3591" s="1"/>
      <c r="BH3591" s="1"/>
      <c r="BI3591" s="1"/>
      <c r="BJ3591" s="1"/>
      <c r="BK3591" s="1" t="s">
        <v>98</v>
      </c>
      <c r="BL3591" s="1" t="s">
        <v>98</v>
      </c>
      <c r="BM3591" s="1" t="s">
        <v>98</v>
      </c>
      <c r="BN3591" s="1" t="s">
        <v>98</v>
      </c>
      <c r="BO3591" s="1" t="s">
        <v>8688</v>
      </c>
      <c r="BP3591" s="1"/>
      <c r="BQ3591" s="1"/>
      <c r="BR3591" s="1" t="s">
        <v>57263</v>
      </c>
      <c r="BS3591" s="1">
        <v>15</v>
      </c>
      <c r="BT3591" s="1"/>
      <c r="BU3591" s="1" t="str">
        <f>HYPERLINK("https://nconnect.nicmar.ac.in/storage/profile/2021-2023_AP21388_635819.jpg","Download")</f>
        <v>0</v>
      </c>
      <c r="BV3591" s="3"/>
      <c r="BW3591" s="3"/>
    </row>
    <row r="3592" spans="1:75">
      <c r="A3592" s="1" t="s">
        <v>51340</v>
      </c>
      <c r="B3592" s="1" t="s">
        <v>51341</v>
      </c>
      <c r="C3592" s="1" t="s">
        <v>57264</v>
      </c>
      <c r="D3592" s="1" t="s">
        <v>57265</v>
      </c>
      <c r="E3592" s="1"/>
      <c r="F3592" s="1" t="s">
        <v>57266</v>
      </c>
      <c r="G3592" s="1" t="s">
        <v>57267</v>
      </c>
      <c r="H3592" s="1" t="s">
        <v>57268</v>
      </c>
      <c r="I3592" s="1" t="s">
        <v>57269</v>
      </c>
      <c r="J3592" s="1">
        <v>8289836806</v>
      </c>
      <c r="K3592" s="1" t="s">
        <v>84</v>
      </c>
      <c r="L3592" s="1" t="s">
        <v>57270</v>
      </c>
      <c r="M3592" s="1" t="s">
        <v>86</v>
      </c>
      <c r="N3592" s="1" t="s">
        <v>3147</v>
      </c>
      <c r="O3592" s="1"/>
      <c r="P3592" s="1" t="s">
        <v>481</v>
      </c>
      <c r="Q3592" s="1" t="s">
        <v>57271</v>
      </c>
      <c r="R3592" s="1" t="s">
        <v>57272</v>
      </c>
      <c r="S3592" s="1">
        <v>9446051821</v>
      </c>
      <c r="T3592" s="1" t="s">
        <v>57273</v>
      </c>
      <c r="U3592" s="1" t="s">
        <v>57274</v>
      </c>
      <c r="V3592" s="1">
        <v>9495703793</v>
      </c>
      <c r="W3592" s="1" t="s">
        <v>57275</v>
      </c>
      <c r="X3592" s="1" t="s">
        <v>57276</v>
      </c>
      <c r="Y3592" s="1" t="s">
        <v>5313</v>
      </c>
      <c r="Z3592" s="1" t="s">
        <v>130</v>
      </c>
      <c r="AA3592" s="1" t="s">
        <v>57276</v>
      </c>
      <c r="AB3592" s="1" t="s">
        <v>5313</v>
      </c>
      <c r="AC3592" s="1" t="s">
        <v>130</v>
      </c>
      <c r="AD3592" s="1" t="s">
        <v>98</v>
      </c>
      <c r="AE3592" s="1" t="s">
        <v>98</v>
      </c>
      <c r="AF3592" s="1" t="s">
        <v>57277</v>
      </c>
      <c r="AG3592" s="1" t="s">
        <v>2475</v>
      </c>
      <c r="AH3592" s="1">
        <v>41428</v>
      </c>
      <c r="AI3592" s="1">
        <v>41778</v>
      </c>
      <c r="AJ3592" s="1">
        <v>95</v>
      </c>
      <c r="AK3592" s="1">
        <v>10</v>
      </c>
      <c r="AL3592" s="1" t="s">
        <v>18038</v>
      </c>
      <c r="AM3592" s="1" t="s">
        <v>2475</v>
      </c>
      <c r="AN3592" s="1"/>
      <c r="AO3592" s="1">
        <v>42156</v>
      </c>
      <c r="AP3592" s="1">
        <v>42511</v>
      </c>
      <c r="AQ3592" s="1">
        <v>78.2</v>
      </c>
      <c r="AR3592" s="1"/>
      <c r="AS3592" s="1"/>
      <c r="AT3592" s="1"/>
      <c r="AU3592" s="1" t="s">
        <v>98</v>
      </c>
      <c r="AV3592" s="1" t="s">
        <v>98</v>
      </c>
      <c r="AW3592" s="1" t="s">
        <v>98</v>
      </c>
      <c r="AX3592" s="1" t="s">
        <v>98</v>
      </c>
      <c r="AY3592" s="1" t="s">
        <v>137</v>
      </c>
      <c r="AZ3592" s="1" t="s">
        <v>48101</v>
      </c>
      <c r="BA3592" s="1"/>
      <c r="BB3592" s="1"/>
      <c r="BC3592" s="1">
        <v>42583</v>
      </c>
      <c r="BD3592" s="1">
        <v>43982</v>
      </c>
      <c r="BE3592" s="1">
        <v>73.15</v>
      </c>
      <c r="BF3592" s="1">
        <v>7.69</v>
      </c>
      <c r="BG3592" s="1"/>
      <c r="BH3592" s="1"/>
      <c r="BI3592" s="1"/>
      <c r="BJ3592" s="1"/>
      <c r="BK3592" s="1" t="s">
        <v>98</v>
      </c>
      <c r="BL3592" s="1" t="s">
        <v>98</v>
      </c>
      <c r="BM3592" s="1" t="s">
        <v>98</v>
      </c>
      <c r="BN3592" s="1" t="s">
        <v>98</v>
      </c>
      <c r="BO3592" s="1" t="s">
        <v>369</v>
      </c>
      <c r="BP3592" s="1"/>
      <c r="BQ3592" s="1"/>
      <c r="BR3592" s="1" t="s">
        <v>57278</v>
      </c>
      <c r="BS3592" s="1">
        <v>7</v>
      </c>
      <c r="BT3592" s="1"/>
      <c r="BU3592" s="1" t="s">
        <v>9653</v>
      </c>
      <c r="BV3592" s="3"/>
      <c r="BW3592" s="3"/>
    </row>
    <row r="3593" spans="1:75">
      <c r="A3593" s="1" t="s">
        <v>51340</v>
      </c>
      <c r="B3593" s="1" t="s">
        <v>51341</v>
      </c>
      <c r="C3593" s="1" t="s">
        <v>57279</v>
      </c>
      <c r="D3593" s="1" t="s">
        <v>57280</v>
      </c>
      <c r="E3593" s="1"/>
      <c r="F3593" s="1" t="s">
        <v>57281</v>
      </c>
      <c r="G3593" s="1" t="s">
        <v>57282</v>
      </c>
      <c r="H3593" s="1" t="s">
        <v>57283</v>
      </c>
      <c r="I3593" s="1" t="s">
        <v>57284</v>
      </c>
      <c r="J3593" s="1">
        <v>8801755605</v>
      </c>
      <c r="K3593" s="1" t="s">
        <v>84</v>
      </c>
      <c r="L3593" s="1" t="s">
        <v>30109</v>
      </c>
      <c r="M3593" s="1" t="s">
        <v>86</v>
      </c>
      <c r="N3593" s="1" t="s">
        <v>3026</v>
      </c>
      <c r="O3593" s="1"/>
      <c r="P3593" s="1" t="s">
        <v>507</v>
      </c>
      <c r="Q3593" s="1" t="s">
        <v>57285</v>
      </c>
      <c r="R3593" s="1" t="s">
        <v>57286</v>
      </c>
      <c r="S3593" s="1">
        <v>8801506895</v>
      </c>
      <c r="T3593" s="1" t="s">
        <v>4776</v>
      </c>
      <c r="U3593" s="1" t="s">
        <v>57287</v>
      </c>
      <c r="V3593" s="1">
        <v>9000430286</v>
      </c>
      <c r="W3593" s="1" t="s">
        <v>94</v>
      </c>
      <c r="X3593" s="1" t="s">
        <v>57288</v>
      </c>
      <c r="Y3593" s="1" t="s">
        <v>3031</v>
      </c>
      <c r="Z3593" s="1" t="s">
        <v>461</v>
      </c>
      <c r="AA3593" s="1" t="s">
        <v>57289</v>
      </c>
      <c r="AB3593" s="1" t="s">
        <v>3031</v>
      </c>
      <c r="AC3593" s="1" t="s">
        <v>461</v>
      </c>
      <c r="AD3593" s="1" t="s">
        <v>98</v>
      </c>
      <c r="AE3593" s="1" t="s">
        <v>98</v>
      </c>
      <c r="AF3593" s="1" t="s">
        <v>57290</v>
      </c>
      <c r="AG3593" s="1" t="s">
        <v>1418</v>
      </c>
      <c r="AH3593" s="1">
        <v>41061</v>
      </c>
      <c r="AI3593" s="1">
        <v>41411</v>
      </c>
      <c r="AJ3593" s="1">
        <v>78.85</v>
      </c>
      <c r="AK3593" s="1">
        <v>8.3</v>
      </c>
      <c r="AL3593" s="1" t="s">
        <v>1843</v>
      </c>
      <c r="AM3593" s="1" t="s">
        <v>1418</v>
      </c>
      <c r="AN3593" s="1"/>
      <c r="AO3593" s="1">
        <v>41756</v>
      </c>
      <c r="AP3593" s="1">
        <v>42121</v>
      </c>
      <c r="AQ3593" s="1">
        <v>78.3</v>
      </c>
      <c r="AR3593" s="1"/>
      <c r="AS3593" s="1"/>
      <c r="AT3593" s="1"/>
      <c r="AU3593" s="1" t="s">
        <v>98</v>
      </c>
      <c r="AV3593" s="1" t="s">
        <v>98</v>
      </c>
      <c r="AW3593" s="1" t="s">
        <v>98</v>
      </c>
      <c r="AX3593" s="1" t="s">
        <v>98</v>
      </c>
      <c r="AY3593" s="1" t="s">
        <v>1823</v>
      </c>
      <c r="AZ3593" s="1" t="s">
        <v>57291</v>
      </c>
      <c r="BA3593" s="1"/>
      <c r="BB3593" s="1"/>
      <c r="BC3593" s="1">
        <v>42217</v>
      </c>
      <c r="BD3593" s="1">
        <v>43626</v>
      </c>
      <c r="BE3593" s="1">
        <v>63.14</v>
      </c>
      <c r="BF3593" s="1"/>
      <c r="BG3593" s="1"/>
      <c r="BH3593" s="1"/>
      <c r="BI3593" s="1"/>
      <c r="BJ3593" s="1"/>
      <c r="BK3593" s="1" t="s">
        <v>98</v>
      </c>
      <c r="BL3593" s="1" t="s">
        <v>98</v>
      </c>
      <c r="BM3593" s="1" t="s">
        <v>98</v>
      </c>
      <c r="BN3593" s="1" t="s">
        <v>98</v>
      </c>
      <c r="BO3593" s="1" t="s">
        <v>369</v>
      </c>
      <c r="BP3593" s="1" t="s">
        <v>57292</v>
      </c>
      <c r="BQ3593" s="1" t="s">
        <v>18863</v>
      </c>
      <c r="BR3593" s="1" t="s">
        <v>57293</v>
      </c>
      <c r="BS3593" s="1">
        <v>34</v>
      </c>
      <c r="BT3593" s="1"/>
      <c r="BU3593" s="1" t="str">
        <f>HYPERLINK("https://nconnect.nicmar.ac.in/storage/profile/2021-2023_AP21391_683524.jpg","Download")</f>
        <v>0</v>
      </c>
      <c r="BV3593" s="3"/>
      <c r="BW3593" s="3"/>
    </row>
    <row r="3594" spans="1:75">
      <c r="A3594" s="1" t="s">
        <v>51340</v>
      </c>
      <c r="B3594" s="1" t="s">
        <v>51341</v>
      </c>
      <c r="C3594" s="1" t="s">
        <v>57294</v>
      </c>
      <c r="D3594" s="1" t="s">
        <v>2829</v>
      </c>
      <c r="E3594" s="1"/>
      <c r="F3594" s="1" t="s">
        <v>57295</v>
      </c>
      <c r="G3594" s="1" t="s">
        <v>57296</v>
      </c>
      <c r="H3594" s="1" t="s">
        <v>57297</v>
      </c>
      <c r="I3594" s="1" t="s">
        <v>57298</v>
      </c>
      <c r="J3594" s="1">
        <v>9000303595</v>
      </c>
      <c r="K3594" s="1" t="s">
        <v>84</v>
      </c>
      <c r="L3594" s="1" t="s">
        <v>31322</v>
      </c>
      <c r="M3594" s="1" t="s">
        <v>86</v>
      </c>
      <c r="N3594" s="1" t="s">
        <v>57299</v>
      </c>
      <c r="O3594" s="1"/>
      <c r="P3594" s="1" t="s">
        <v>507</v>
      </c>
      <c r="Q3594" s="1" t="s">
        <v>57300</v>
      </c>
      <c r="R3594" s="1" t="s">
        <v>57301</v>
      </c>
      <c r="S3594" s="1">
        <v>9346238108</v>
      </c>
      <c r="T3594" s="1" t="s">
        <v>56324</v>
      </c>
      <c r="U3594" s="1" t="s">
        <v>57302</v>
      </c>
      <c r="V3594" s="1">
        <v>9440286535</v>
      </c>
      <c r="W3594" s="1" t="s">
        <v>94</v>
      </c>
      <c r="X3594" s="1" t="s">
        <v>57303</v>
      </c>
      <c r="Y3594" s="1" t="s">
        <v>3031</v>
      </c>
      <c r="Z3594" s="1" t="s">
        <v>461</v>
      </c>
      <c r="AA3594" s="1" t="s">
        <v>57303</v>
      </c>
      <c r="AB3594" s="1" t="s">
        <v>3031</v>
      </c>
      <c r="AC3594" s="1" t="s">
        <v>461</v>
      </c>
      <c r="AD3594" s="1" t="s">
        <v>98</v>
      </c>
      <c r="AE3594" s="1" t="s">
        <v>98</v>
      </c>
      <c r="AF3594" s="1" t="s">
        <v>57304</v>
      </c>
      <c r="AG3594" s="1" t="s">
        <v>52721</v>
      </c>
      <c r="AH3594" s="1">
        <v>41426</v>
      </c>
      <c r="AI3594" s="1">
        <v>41778</v>
      </c>
      <c r="AJ3594" s="1">
        <v>79.8</v>
      </c>
      <c r="AK3594" s="1">
        <v>8.4</v>
      </c>
      <c r="AL3594" s="1" t="s">
        <v>57305</v>
      </c>
      <c r="AM3594" s="1" t="s">
        <v>3034</v>
      </c>
      <c r="AN3594" s="1"/>
      <c r="AO3594" s="1">
        <v>42156</v>
      </c>
      <c r="AP3594" s="1">
        <v>42482</v>
      </c>
      <c r="AQ3594" s="1">
        <v>91.6</v>
      </c>
      <c r="AR3594" s="1" t="s">
        <v>98</v>
      </c>
      <c r="AS3594" s="1" t="s">
        <v>98</v>
      </c>
      <c r="AT3594" s="1" t="s">
        <v>98</v>
      </c>
      <c r="AU3594" s="1" t="s">
        <v>98</v>
      </c>
      <c r="AV3594" s="1" t="s">
        <v>98</v>
      </c>
      <c r="AW3594" s="1" t="s">
        <v>98</v>
      </c>
      <c r="AX3594" s="1" t="s">
        <v>98</v>
      </c>
      <c r="AY3594" s="1" t="s">
        <v>287</v>
      </c>
      <c r="AZ3594" s="1" t="s">
        <v>57306</v>
      </c>
      <c r="BA3594" s="1"/>
      <c r="BB3594" s="1"/>
      <c r="BC3594" s="1">
        <v>42583</v>
      </c>
      <c r="BD3594" s="1">
        <v>44062</v>
      </c>
      <c r="BE3594" s="1">
        <v>62.89</v>
      </c>
      <c r="BF3594" s="1">
        <v>6.62</v>
      </c>
      <c r="BG3594" s="1" t="s">
        <v>98</v>
      </c>
      <c r="BH3594" s="1"/>
      <c r="BI3594" s="1"/>
      <c r="BJ3594" s="1"/>
      <c r="BK3594" s="1" t="s">
        <v>98</v>
      </c>
      <c r="BL3594" s="1" t="s">
        <v>98</v>
      </c>
      <c r="BM3594" s="1" t="s">
        <v>98</v>
      </c>
      <c r="BN3594" s="1" t="s">
        <v>98</v>
      </c>
      <c r="BO3594" s="1"/>
      <c r="BP3594" s="1" t="s">
        <v>57307</v>
      </c>
      <c r="BQ3594" s="1" t="s">
        <v>1564</v>
      </c>
      <c r="BR3594" s="1" t="s">
        <v>57308</v>
      </c>
      <c r="BS3594" s="1">
        <v>17</v>
      </c>
      <c r="BT3594" s="1"/>
      <c r="BU3594" s="1" t="str">
        <f>HYPERLINK("https://nconnect.nicmar.ac.in/storage/profile/2021-2023_AP21392_482967.jpg","Download")</f>
        <v>0</v>
      </c>
      <c r="BV3594" s="3"/>
      <c r="BW3594" s="3"/>
    </row>
    <row r="3595" spans="1:75">
      <c r="A3595" s="1" t="s">
        <v>51340</v>
      </c>
      <c r="B3595" s="1" t="s">
        <v>51341</v>
      </c>
      <c r="C3595" s="1" t="s">
        <v>57309</v>
      </c>
      <c r="D3595" s="1" t="s">
        <v>57310</v>
      </c>
      <c r="E3595" s="1"/>
      <c r="F3595" s="1" t="s">
        <v>57311</v>
      </c>
      <c r="G3595" s="1" t="s">
        <v>57312</v>
      </c>
      <c r="H3595" s="1" t="s">
        <v>57313</v>
      </c>
      <c r="I3595" s="1" t="s">
        <v>57314</v>
      </c>
      <c r="J3595" s="1">
        <v>9487467301</v>
      </c>
      <c r="K3595" s="1" t="s">
        <v>84</v>
      </c>
      <c r="L3595" s="1" t="s">
        <v>52695</v>
      </c>
      <c r="M3595" s="1" t="s">
        <v>86</v>
      </c>
      <c r="N3595" s="1" t="s">
        <v>12624</v>
      </c>
      <c r="O3595" s="1"/>
      <c r="P3595" s="1" t="s">
        <v>481</v>
      </c>
      <c r="Q3595" s="1" t="s">
        <v>57315</v>
      </c>
      <c r="R3595" s="1" t="s">
        <v>57316</v>
      </c>
      <c r="S3595" s="1">
        <v>9842167301</v>
      </c>
      <c r="T3595" s="1" t="s">
        <v>839</v>
      </c>
      <c r="U3595" s="1" t="s">
        <v>57317</v>
      </c>
      <c r="V3595" s="1">
        <v>9751376851</v>
      </c>
      <c r="W3595" s="1" t="s">
        <v>94</v>
      </c>
      <c r="X3595" s="1" t="s">
        <v>57318</v>
      </c>
      <c r="Y3595" s="1" t="s">
        <v>1864</v>
      </c>
      <c r="Z3595" s="1" t="s">
        <v>570</v>
      </c>
      <c r="AA3595" s="1" t="s">
        <v>57318</v>
      </c>
      <c r="AB3595" s="1" t="s">
        <v>1864</v>
      </c>
      <c r="AC3595" s="1" t="s">
        <v>570</v>
      </c>
      <c r="AD3595" s="1" t="s">
        <v>98</v>
      </c>
      <c r="AE3595" s="1" t="s">
        <v>98</v>
      </c>
      <c r="AF3595" s="1" t="s">
        <v>57319</v>
      </c>
      <c r="AG3595" s="1" t="s">
        <v>53461</v>
      </c>
      <c r="AH3595" s="1">
        <v>41792</v>
      </c>
      <c r="AI3595" s="1">
        <v>42145</v>
      </c>
      <c r="AJ3595" s="1">
        <v>96.6</v>
      </c>
      <c r="AK3595" s="1"/>
      <c r="AL3595" s="1" t="s">
        <v>57319</v>
      </c>
      <c r="AM3595" s="1" t="s">
        <v>53461</v>
      </c>
      <c r="AN3595" s="1"/>
      <c r="AO3595" s="1">
        <v>42522</v>
      </c>
      <c r="AP3595" s="1">
        <v>42867</v>
      </c>
      <c r="AQ3595" s="1">
        <v>84.5</v>
      </c>
      <c r="AR3595" s="1"/>
      <c r="AS3595" s="1"/>
      <c r="AT3595" s="1"/>
      <c r="AU3595" s="1" t="s">
        <v>98</v>
      </c>
      <c r="AV3595" s="1" t="s">
        <v>98</v>
      </c>
      <c r="AW3595" s="1" t="s">
        <v>98</v>
      </c>
      <c r="AX3595" s="1" t="s">
        <v>98</v>
      </c>
      <c r="AY3595" s="1" t="s">
        <v>576</v>
      </c>
      <c r="AZ3595" s="1" t="s">
        <v>57320</v>
      </c>
      <c r="BA3595" s="1"/>
      <c r="BB3595" s="1"/>
      <c r="BC3595" s="1">
        <v>42954</v>
      </c>
      <c r="BD3595" s="1">
        <v>44407</v>
      </c>
      <c r="BE3595" s="1">
        <v>84.7</v>
      </c>
      <c r="BF3595" s="1">
        <v>8.47</v>
      </c>
      <c r="BG3595" s="1"/>
      <c r="BH3595" s="1"/>
      <c r="BI3595" s="1"/>
      <c r="BJ3595" s="1"/>
      <c r="BK3595" s="1" t="s">
        <v>98</v>
      </c>
      <c r="BL3595" s="1" t="s">
        <v>98</v>
      </c>
      <c r="BM3595" s="1" t="s">
        <v>98</v>
      </c>
      <c r="BN3595" s="1" t="s">
        <v>98</v>
      </c>
      <c r="BO3595" s="1" t="s">
        <v>369</v>
      </c>
      <c r="BP3595" s="1"/>
      <c r="BQ3595" s="1"/>
      <c r="BR3595" s="1" t="s">
        <v>57321</v>
      </c>
      <c r="BS3595" s="1">
        <v>24</v>
      </c>
      <c r="BT3595" s="1"/>
      <c r="BU3595" s="1" t="str">
        <f>HYPERLINK("https://nconnect.nicmar.ac.in/storage/profile/2021-2023_AP21393_291485.jpg","Download")</f>
        <v>0</v>
      </c>
      <c r="BV3595" s="3"/>
      <c r="BW3595" s="3"/>
    </row>
    <row r="3596" spans="1:75">
      <c r="A3596" s="1" t="s">
        <v>51340</v>
      </c>
      <c r="B3596" s="1" t="s">
        <v>51341</v>
      </c>
      <c r="C3596" s="1" t="s">
        <v>57322</v>
      </c>
      <c r="D3596" s="1" t="s">
        <v>13757</v>
      </c>
      <c r="E3596" s="1" t="s">
        <v>4707</v>
      </c>
      <c r="F3596" s="1" t="s">
        <v>147</v>
      </c>
      <c r="G3596" s="1" t="s">
        <v>57323</v>
      </c>
      <c r="H3596" s="1" t="s">
        <v>57324</v>
      </c>
      <c r="I3596" s="1" t="s">
        <v>57325</v>
      </c>
      <c r="J3596" s="1">
        <v>9975296430</v>
      </c>
      <c r="K3596" s="1" t="s">
        <v>84</v>
      </c>
      <c r="L3596" s="1" t="s">
        <v>48382</v>
      </c>
      <c r="M3596" s="1" t="s">
        <v>86</v>
      </c>
      <c r="N3596" s="1" t="s">
        <v>990</v>
      </c>
      <c r="O3596" s="1"/>
      <c r="P3596" s="1" t="s">
        <v>670</v>
      </c>
      <c r="Q3596" s="1" t="s">
        <v>57326</v>
      </c>
      <c r="R3596" s="1" t="s">
        <v>57327</v>
      </c>
      <c r="S3596" s="1">
        <v>9960482694</v>
      </c>
      <c r="T3596" s="1" t="s">
        <v>57328</v>
      </c>
      <c r="U3596" s="1" t="s">
        <v>57329</v>
      </c>
      <c r="V3596" s="1">
        <v>9960482964</v>
      </c>
      <c r="W3596" s="1" t="s">
        <v>278</v>
      </c>
      <c r="X3596" s="1" t="s">
        <v>57330</v>
      </c>
      <c r="Y3596" s="1" t="s">
        <v>196</v>
      </c>
      <c r="Z3596" s="1" t="s">
        <v>97</v>
      </c>
      <c r="AA3596" s="1" t="s">
        <v>57330</v>
      </c>
      <c r="AB3596" s="1" t="s">
        <v>196</v>
      </c>
      <c r="AC3596" s="1" t="s">
        <v>97</v>
      </c>
      <c r="AD3596" s="1" t="s">
        <v>98</v>
      </c>
      <c r="AE3596" s="1" t="s">
        <v>98</v>
      </c>
      <c r="AF3596" s="1" t="s">
        <v>57331</v>
      </c>
      <c r="AG3596" s="1" t="s">
        <v>2745</v>
      </c>
      <c r="AH3596" s="1">
        <v>41066</v>
      </c>
      <c r="AI3596" s="1">
        <v>41432</v>
      </c>
      <c r="AJ3596" s="1">
        <v>75.27</v>
      </c>
      <c r="AK3596" s="1"/>
      <c r="AL3596" s="1" t="s">
        <v>57332</v>
      </c>
      <c r="AM3596" s="1" t="s">
        <v>2745</v>
      </c>
      <c r="AN3596" s="1"/>
      <c r="AO3596" s="1">
        <v>42163</v>
      </c>
      <c r="AP3596" s="1">
        <v>42515</v>
      </c>
      <c r="AQ3596" s="1">
        <v>60</v>
      </c>
      <c r="AR3596" s="1"/>
      <c r="AS3596" s="1"/>
      <c r="AT3596" s="1"/>
      <c r="AU3596" s="1" t="s">
        <v>98</v>
      </c>
      <c r="AV3596" s="1" t="s">
        <v>98</v>
      </c>
      <c r="AW3596" s="1" t="s">
        <v>98</v>
      </c>
      <c r="AX3596" s="1" t="s">
        <v>98</v>
      </c>
      <c r="AY3596" s="1" t="s">
        <v>57333</v>
      </c>
      <c r="AZ3596" s="1" t="s">
        <v>56830</v>
      </c>
      <c r="BA3596" s="1"/>
      <c r="BB3596" s="1"/>
      <c r="BC3596" s="1">
        <v>42537</v>
      </c>
      <c r="BD3596" s="1">
        <v>44407</v>
      </c>
      <c r="BE3596" s="1">
        <v>74.8</v>
      </c>
      <c r="BF3596" s="1">
        <v>7.48</v>
      </c>
      <c r="BG3596" s="1"/>
      <c r="BH3596" s="1"/>
      <c r="BI3596" s="1"/>
      <c r="BJ3596" s="1"/>
      <c r="BK3596" s="1" t="s">
        <v>98</v>
      </c>
      <c r="BL3596" s="1" t="s">
        <v>98</v>
      </c>
      <c r="BM3596" s="1" t="s">
        <v>98</v>
      </c>
      <c r="BN3596" s="1" t="s">
        <v>98</v>
      </c>
      <c r="BO3596" s="1" t="s">
        <v>3308</v>
      </c>
      <c r="BP3596" s="1"/>
      <c r="BQ3596" s="1"/>
      <c r="BR3596" s="1" t="s">
        <v>57334</v>
      </c>
      <c r="BS3596" s="1">
        <v>8</v>
      </c>
      <c r="BT3596" s="1"/>
      <c r="BU3596" s="1" t="s">
        <v>9653</v>
      </c>
      <c r="BV3596" s="3"/>
      <c r="BW3596" s="3"/>
    </row>
    <row r="3597" spans="1:75">
      <c r="A3597" s="1" t="s">
        <v>51340</v>
      </c>
      <c r="B3597" s="1" t="s">
        <v>51341</v>
      </c>
      <c r="C3597" s="1" t="s">
        <v>57335</v>
      </c>
      <c r="D3597" s="1" t="s">
        <v>20601</v>
      </c>
      <c r="E3597" s="1" t="s">
        <v>57336</v>
      </c>
      <c r="F3597" s="1" t="s">
        <v>48239</v>
      </c>
      <c r="G3597" s="1" t="s">
        <v>57337</v>
      </c>
      <c r="H3597" s="1" t="s">
        <v>57338</v>
      </c>
      <c r="I3597" s="1" t="s">
        <v>57339</v>
      </c>
      <c r="J3597" s="1">
        <v>9567508377</v>
      </c>
      <c r="K3597" s="1" t="s">
        <v>84</v>
      </c>
      <c r="L3597" s="1" t="s">
        <v>57340</v>
      </c>
      <c r="M3597" s="1" t="s">
        <v>86</v>
      </c>
      <c r="N3597" s="1" t="s">
        <v>5194</v>
      </c>
      <c r="O3597" s="1"/>
      <c r="P3597" s="1" t="s">
        <v>455</v>
      </c>
      <c r="Q3597" s="1" t="s">
        <v>57341</v>
      </c>
      <c r="R3597" s="1" t="s">
        <v>57342</v>
      </c>
      <c r="S3597" s="1">
        <v>9746957848</v>
      </c>
      <c r="T3597" s="1" t="s">
        <v>5065</v>
      </c>
      <c r="U3597" s="1" t="s">
        <v>57343</v>
      </c>
      <c r="V3597" s="1">
        <v>9633026295</v>
      </c>
      <c r="W3597" s="1" t="s">
        <v>92</v>
      </c>
      <c r="X3597" s="1" t="s">
        <v>57344</v>
      </c>
      <c r="Y3597" s="1" t="s">
        <v>3190</v>
      </c>
      <c r="Z3597" s="1" t="s">
        <v>130</v>
      </c>
      <c r="AA3597" s="1" t="s">
        <v>57345</v>
      </c>
      <c r="AB3597" s="1" t="s">
        <v>3190</v>
      </c>
      <c r="AC3597" s="1" t="s">
        <v>130</v>
      </c>
      <c r="AD3597" s="1" t="s">
        <v>98</v>
      </c>
      <c r="AE3597" s="1" t="s">
        <v>98</v>
      </c>
      <c r="AF3597" s="1" t="s">
        <v>57346</v>
      </c>
      <c r="AG3597" s="1" t="s">
        <v>57347</v>
      </c>
      <c r="AH3597" s="1" t="s">
        <v>1393</v>
      </c>
      <c r="AI3597" s="1" t="s">
        <v>336</v>
      </c>
      <c r="AJ3597" s="1">
        <v>85.5</v>
      </c>
      <c r="AK3597" s="1">
        <v>9</v>
      </c>
      <c r="AL3597" s="1" t="s">
        <v>57346</v>
      </c>
      <c r="AM3597" s="1" t="s">
        <v>57347</v>
      </c>
      <c r="AN3597" s="1"/>
      <c r="AO3597" s="1" t="s">
        <v>3923</v>
      </c>
      <c r="AP3597" s="1" t="s">
        <v>2726</v>
      </c>
      <c r="AQ3597" s="1">
        <v>80.8</v>
      </c>
      <c r="AR3597" s="1">
        <v>8.5</v>
      </c>
      <c r="AS3597" s="1"/>
      <c r="AT3597" s="1"/>
      <c r="AU3597" s="1"/>
      <c r="AV3597" s="1"/>
      <c r="AW3597" s="1"/>
      <c r="AX3597" s="1"/>
      <c r="AY3597" s="1" t="s">
        <v>53152</v>
      </c>
      <c r="AZ3597" s="1" t="s">
        <v>57348</v>
      </c>
      <c r="BA3597" s="1"/>
      <c r="BB3597" s="1"/>
      <c r="BC3597" s="1" t="s">
        <v>25321</v>
      </c>
      <c r="BD3597" s="1" t="s">
        <v>170</v>
      </c>
      <c r="BE3597" s="1">
        <v>60</v>
      </c>
      <c r="BF3597" s="1">
        <v>6.01</v>
      </c>
      <c r="BG3597" s="1"/>
      <c r="BH3597" s="1"/>
      <c r="BI3597" s="1"/>
      <c r="BJ3597" s="1"/>
      <c r="BK3597" s="1"/>
      <c r="BL3597" s="1"/>
      <c r="BM3597" s="1"/>
      <c r="BN3597" s="1"/>
      <c r="BO3597" s="1" t="s">
        <v>1114</v>
      </c>
      <c r="BP3597" s="1" t="s">
        <v>57349</v>
      </c>
      <c r="BQ3597" s="1" t="s">
        <v>49377</v>
      </c>
      <c r="BR3597" s="1" t="s">
        <v>57350</v>
      </c>
      <c r="BS3597" s="1">
        <v>8</v>
      </c>
      <c r="BT3597" s="1"/>
      <c r="BU3597" s="1" t="str">
        <f>HYPERLINK("https://nconnect.nicmar.ac.in/storage/profile/2021-2023_AP21397_513298.jpg","Download")</f>
        <v>0</v>
      </c>
      <c r="BV3597" s="3"/>
      <c r="BW3597" s="3"/>
    </row>
    <row r="3598" spans="1:75">
      <c r="A3598" s="1" t="s">
        <v>51340</v>
      </c>
      <c r="B3598" s="1" t="s">
        <v>51341</v>
      </c>
      <c r="C3598" s="1" t="s">
        <v>57351</v>
      </c>
      <c r="D3598" s="1" t="s">
        <v>57352</v>
      </c>
      <c r="E3598" s="1"/>
      <c r="F3598" s="1" t="s">
        <v>57353</v>
      </c>
      <c r="G3598" s="1" t="s">
        <v>57354</v>
      </c>
      <c r="H3598" s="1" t="s">
        <v>57355</v>
      </c>
      <c r="I3598" s="1" t="s">
        <v>57356</v>
      </c>
      <c r="J3598" s="1">
        <v>9121657270</v>
      </c>
      <c r="K3598" s="1" t="s">
        <v>84</v>
      </c>
      <c r="L3598" s="1" t="s">
        <v>33083</v>
      </c>
      <c r="M3598" s="1" t="s">
        <v>86</v>
      </c>
      <c r="N3598" s="1" t="s">
        <v>57357</v>
      </c>
      <c r="O3598" s="1"/>
      <c r="P3598" s="1" t="s">
        <v>455</v>
      </c>
      <c r="Q3598" s="1" t="s">
        <v>57358</v>
      </c>
      <c r="R3598" s="1" t="s">
        <v>57359</v>
      </c>
      <c r="S3598" s="1">
        <v>9000901777</v>
      </c>
      <c r="T3598" s="1" t="s">
        <v>57360</v>
      </c>
      <c r="U3598" s="1" t="s">
        <v>57361</v>
      </c>
      <c r="V3598" s="1">
        <v>9177415165</v>
      </c>
      <c r="W3598" s="1" t="s">
        <v>57362</v>
      </c>
      <c r="X3598" s="1" t="s">
        <v>57363</v>
      </c>
      <c r="Y3598" s="1" t="s">
        <v>3031</v>
      </c>
      <c r="Z3598" s="1" t="s">
        <v>461</v>
      </c>
      <c r="AA3598" s="1" t="s">
        <v>57363</v>
      </c>
      <c r="AB3598" s="1" t="s">
        <v>3031</v>
      </c>
      <c r="AC3598" s="1" t="s">
        <v>461</v>
      </c>
      <c r="AD3598" s="1" t="s">
        <v>98</v>
      </c>
      <c r="AE3598" s="1" t="s">
        <v>98</v>
      </c>
      <c r="AF3598" s="1" t="s">
        <v>27265</v>
      </c>
      <c r="AG3598" s="1" t="s">
        <v>57364</v>
      </c>
      <c r="AH3598" s="1">
        <v>41795</v>
      </c>
      <c r="AI3598" s="1">
        <v>42141</v>
      </c>
      <c r="AJ3598" s="1">
        <v>87.4</v>
      </c>
      <c r="AK3598" s="1">
        <v>9.2</v>
      </c>
      <c r="AL3598" s="1" t="s">
        <v>3033</v>
      </c>
      <c r="AM3598" s="1" t="s">
        <v>57364</v>
      </c>
      <c r="AN3598" s="1"/>
      <c r="AO3598" s="1">
        <v>42564</v>
      </c>
      <c r="AP3598" s="1">
        <v>42841</v>
      </c>
      <c r="AQ3598" s="1">
        <v>97.7</v>
      </c>
      <c r="AR3598" s="1"/>
      <c r="AS3598" s="1"/>
      <c r="AT3598" s="1"/>
      <c r="AU3598" s="1" t="s">
        <v>98</v>
      </c>
      <c r="AV3598" s="1" t="s">
        <v>98</v>
      </c>
      <c r="AW3598" s="1" t="s">
        <v>98</v>
      </c>
      <c r="AX3598" s="1" t="s">
        <v>98</v>
      </c>
      <c r="AY3598" s="1" t="s">
        <v>57365</v>
      </c>
      <c r="AZ3598" s="1" t="s">
        <v>57366</v>
      </c>
      <c r="BA3598" s="1"/>
      <c r="BB3598" s="1"/>
      <c r="BC3598" s="1">
        <v>42933</v>
      </c>
      <c r="BD3598" s="1">
        <v>44387</v>
      </c>
      <c r="BE3598" s="1">
        <v>87.02</v>
      </c>
      <c r="BF3598" s="1">
        <v>9.16</v>
      </c>
      <c r="BG3598" s="1"/>
      <c r="BH3598" s="1"/>
      <c r="BI3598" s="1"/>
      <c r="BJ3598" s="1"/>
      <c r="BK3598" s="1" t="s">
        <v>98</v>
      </c>
      <c r="BL3598" s="1" t="s">
        <v>98</v>
      </c>
      <c r="BM3598" s="1" t="s">
        <v>98</v>
      </c>
      <c r="BN3598" s="1" t="s">
        <v>98</v>
      </c>
      <c r="BO3598" s="1" t="s">
        <v>369</v>
      </c>
      <c r="BP3598" s="1"/>
      <c r="BQ3598" s="1"/>
      <c r="BR3598" s="1" t="s">
        <v>57367</v>
      </c>
      <c r="BS3598" s="1">
        <v>7</v>
      </c>
      <c r="BT3598" s="1"/>
      <c r="BU3598" s="1" t="str">
        <f>HYPERLINK("https://nconnect.nicmar.ac.in/storage/profile/2021-2023_AP21398_854926.jpg","Download")</f>
        <v>0</v>
      </c>
      <c r="BV3598" s="3"/>
      <c r="BW3598" s="3"/>
    </row>
    <row r="3599" spans="1:75">
      <c r="A3599" s="1" t="s">
        <v>51340</v>
      </c>
      <c r="B3599" s="1" t="s">
        <v>51341</v>
      </c>
      <c r="C3599" s="1" t="s">
        <v>57368</v>
      </c>
      <c r="D3599" s="1" t="s">
        <v>10216</v>
      </c>
      <c r="E3599" s="1" t="s">
        <v>1487</v>
      </c>
      <c r="F3599" s="1" t="s">
        <v>6101</v>
      </c>
      <c r="G3599" s="1" t="s">
        <v>57369</v>
      </c>
      <c r="H3599" s="1" t="s">
        <v>57370</v>
      </c>
      <c r="I3599" s="1" t="s">
        <v>57371</v>
      </c>
      <c r="J3599" s="1">
        <v>9941781688</v>
      </c>
      <c r="K3599" s="1" t="s">
        <v>84</v>
      </c>
      <c r="L3599" s="1" t="s">
        <v>57372</v>
      </c>
      <c r="M3599" s="1" t="s">
        <v>86</v>
      </c>
      <c r="N3599" s="1" t="s">
        <v>41910</v>
      </c>
      <c r="O3599" s="1"/>
      <c r="P3599" s="1" t="s">
        <v>507</v>
      </c>
      <c r="Q3599" s="1" t="s">
        <v>57373</v>
      </c>
      <c r="R3599" s="1" t="s">
        <v>57374</v>
      </c>
      <c r="S3599" s="1">
        <v>9940660688</v>
      </c>
      <c r="T3599" s="1" t="s">
        <v>16830</v>
      </c>
      <c r="U3599" s="1" t="s">
        <v>57375</v>
      </c>
      <c r="V3599" s="1">
        <v>9444260688</v>
      </c>
      <c r="W3599" s="1" t="s">
        <v>94</v>
      </c>
      <c r="X3599" s="1" t="s">
        <v>57376</v>
      </c>
      <c r="Y3599" s="1" t="s">
        <v>1498</v>
      </c>
      <c r="Z3599" s="1" t="s">
        <v>570</v>
      </c>
      <c r="AA3599" s="1" t="s">
        <v>57376</v>
      </c>
      <c r="AB3599" s="1" t="s">
        <v>1498</v>
      </c>
      <c r="AC3599" s="1" t="s">
        <v>570</v>
      </c>
      <c r="AD3599" s="1" t="s">
        <v>98</v>
      </c>
      <c r="AE3599" s="1" t="s">
        <v>98</v>
      </c>
      <c r="AF3599" s="1" t="s">
        <v>57377</v>
      </c>
      <c r="AG3599" s="1" t="s">
        <v>312</v>
      </c>
      <c r="AH3599" s="1" t="s">
        <v>3421</v>
      </c>
      <c r="AI3599" s="1" t="s">
        <v>134</v>
      </c>
      <c r="AJ3599" s="1">
        <v>74.1</v>
      </c>
      <c r="AK3599" s="1">
        <v>7.8</v>
      </c>
      <c r="AL3599" s="1" t="s">
        <v>57378</v>
      </c>
      <c r="AM3599" s="1" t="s">
        <v>312</v>
      </c>
      <c r="AN3599" s="1"/>
      <c r="AO3599" s="1" t="s">
        <v>1214</v>
      </c>
      <c r="AP3599" s="1" t="s">
        <v>136</v>
      </c>
      <c r="AQ3599" s="1">
        <v>71.4</v>
      </c>
      <c r="AR3599" s="1"/>
      <c r="AS3599" s="1"/>
      <c r="AT3599" s="1"/>
      <c r="AU3599" s="1" t="s">
        <v>98</v>
      </c>
      <c r="AV3599" s="1" t="s">
        <v>98</v>
      </c>
      <c r="AW3599" s="1" t="s">
        <v>98</v>
      </c>
      <c r="AX3599" s="1" t="s">
        <v>98</v>
      </c>
      <c r="AY3599" s="1" t="s">
        <v>576</v>
      </c>
      <c r="AZ3599" s="1" t="s">
        <v>57379</v>
      </c>
      <c r="BA3599" s="1"/>
      <c r="BB3599" s="1"/>
      <c r="BC3599" s="1" t="s">
        <v>105</v>
      </c>
      <c r="BD3599" s="1" t="s">
        <v>890</v>
      </c>
      <c r="BE3599" s="1">
        <v>73.8</v>
      </c>
      <c r="BF3599" s="1">
        <v>7.38</v>
      </c>
      <c r="BG3599" s="1"/>
      <c r="BH3599" s="1"/>
      <c r="BI3599" s="1"/>
      <c r="BJ3599" s="1"/>
      <c r="BK3599" s="1" t="s">
        <v>98</v>
      </c>
      <c r="BL3599" s="1" t="s">
        <v>98</v>
      </c>
      <c r="BM3599" s="1" t="s">
        <v>98</v>
      </c>
      <c r="BN3599" s="1" t="s">
        <v>98</v>
      </c>
      <c r="BO3599" s="1" t="s">
        <v>57380</v>
      </c>
      <c r="BP3599" s="1"/>
      <c r="BQ3599" s="1"/>
      <c r="BR3599" s="1" t="s">
        <v>57381</v>
      </c>
      <c r="BS3599" s="1">
        <v>46</v>
      </c>
      <c r="BT3599" s="1"/>
      <c r="BU3599" s="1" t="str">
        <f>HYPERLINK("https://nconnect.nicmar.ac.in/storage/profile/2021-2023_AP21399_156392.jpg","Download")</f>
        <v>0</v>
      </c>
      <c r="BV3599" s="3"/>
      <c r="BW3599" s="3"/>
    </row>
    <row r="3600" spans="1:75">
      <c r="A3600" s="1" t="s">
        <v>51340</v>
      </c>
      <c r="B3600" s="1" t="s">
        <v>51341</v>
      </c>
      <c r="C3600" s="1" t="s">
        <v>57382</v>
      </c>
      <c r="D3600" s="1" t="s">
        <v>5612</v>
      </c>
      <c r="E3600" s="1"/>
      <c r="F3600" s="1" t="s">
        <v>7814</v>
      </c>
      <c r="G3600" s="1" t="s">
        <v>57383</v>
      </c>
      <c r="H3600" s="1" t="s">
        <v>57384</v>
      </c>
      <c r="I3600" s="1" t="s">
        <v>57385</v>
      </c>
      <c r="J3600" s="1">
        <v>7020562129</v>
      </c>
      <c r="K3600" s="1" t="s">
        <v>153</v>
      </c>
      <c r="L3600" s="1" t="s">
        <v>57386</v>
      </c>
      <c r="M3600" s="1" t="s">
        <v>86</v>
      </c>
      <c r="N3600" s="1" t="s">
        <v>2969</v>
      </c>
      <c r="O3600" s="1"/>
      <c r="P3600" s="1" t="s">
        <v>507</v>
      </c>
      <c r="Q3600" s="1" t="s">
        <v>57387</v>
      </c>
      <c r="R3600" s="1" t="s">
        <v>57388</v>
      </c>
      <c r="S3600" s="1">
        <v>7974400906</v>
      </c>
      <c r="T3600" s="1" t="s">
        <v>382</v>
      </c>
      <c r="U3600" s="1" t="s">
        <v>57389</v>
      </c>
      <c r="V3600" s="1">
        <v>7354690000</v>
      </c>
      <c r="W3600" s="1" t="s">
        <v>94</v>
      </c>
      <c r="X3600" s="1" t="s">
        <v>57390</v>
      </c>
      <c r="Y3600" s="1" t="s">
        <v>11762</v>
      </c>
      <c r="Z3600" s="1" t="s">
        <v>2933</v>
      </c>
      <c r="AA3600" s="1" t="s">
        <v>98</v>
      </c>
      <c r="AB3600" s="1" t="s">
        <v>11762</v>
      </c>
      <c r="AC3600" s="1" t="s">
        <v>2933</v>
      </c>
      <c r="AD3600" s="1" t="s">
        <v>98</v>
      </c>
      <c r="AE3600" s="1" t="s">
        <v>98</v>
      </c>
      <c r="AF3600" s="1" t="s">
        <v>57391</v>
      </c>
      <c r="AG3600" s="1" t="s">
        <v>312</v>
      </c>
      <c r="AH3600" s="1" t="s">
        <v>1213</v>
      </c>
      <c r="AI3600" s="1" t="s">
        <v>1262</v>
      </c>
      <c r="AJ3600" s="1">
        <v>83.6</v>
      </c>
      <c r="AK3600" s="1">
        <v>8.8</v>
      </c>
      <c r="AL3600" s="1" t="s">
        <v>57392</v>
      </c>
      <c r="AM3600" s="1" t="s">
        <v>312</v>
      </c>
      <c r="AN3600" s="1"/>
      <c r="AO3600" s="1" t="s">
        <v>166</v>
      </c>
      <c r="AP3600" s="1" t="s">
        <v>627</v>
      </c>
      <c r="AQ3600" s="1">
        <v>89</v>
      </c>
      <c r="AR3600" s="1"/>
      <c r="AS3600" s="1"/>
      <c r="AT3600" s="1"/>
      <c r="AU3600" s="1" t="s">
        <v>98</v>
      </c>
      <c r="AV3600" s="1" t="s">
        <v>98</v>
      </c>
      <c r="AW3600" s="1" t="s">
        <v>98</v>
      </c>
      <c r="AX3600" s="1" t="s">
        <v>98</v>
      </c>
      <c r="AY3600" s="1" t="s">
        <v>415</v>
      </c>
      <c r="AZ3600" s="1" t="s">
        <v>33993</v>
      </c>
      <c r="BA3600" s="1"/>
      <c r="BB3600" s="1"/>
      <c r="BC3600" s="1" t="s">
        <v>139</v>
      </c>
      <c r="BD3600" s="1" t="s">
        <v>441</v>
      </c>
      <c r="BE3600" s="1">
        <v>75.6</v>
      </c>
      <c r="BF3600" s="1">
        <v>8.31</v>
      </c>
      <c r="BG3600" s="1"/>
      <c r="BH3600" s="1"/>
      <c r="BI3600" s="1"/>
      <c r="BJ3600" s="1"/>
      <c r="BK3600" s="1" t="s">
        <v>98</v>
      </c>
      <c r="BL3600" s="1" t="s">
        <v>98</v>
      </c>
      <c r="BM3600" s="1" t="s">
        <v>98</v>
      </c>
      <c r="BN3600" s="1" t="s">
        <v>98</v>
      </c>
      <c r="BO3600" s="1" t="s">
        <v>57393</v>
      </c>
      <c r="BP3600" s="1"/>
      <c r="BQ3600" s="1"/>
      <c r="BR3600" s="1" t="s">
        <v>57394</v>
      </c>
      <c r="BS3600" s="1">
        <v>43</v>
      </c>
      <c r="BT3600" s="1"/>
      <c r="BU3600" s="1" t="str">
        <f>HYPERLINK("https://nconnect.nicmar.ac.in/storage/profile/2021-2023_AP21400_864917.jpg","Download")</f>
        <v>0</v>
      </c>
      <c r="BV3600" s="3"/>
      <c r="BW3600" s="3"/>
    </row>
    <row r="3601" spans="1:75">
      <c r="A3601" s="1" t="s">
        <v>51340</v>
      </c>
      <c r="B3601" s="1" t="s">
        <v>51341</v>
      </c>
      <c r="C3601" s="1" t="s">
        <v>57395</v>
      </c>
      <c r="D3601" s="1" t="s">
        <v>12804</v>
      </c>
      <c r="E3601" s="1" t="s">
        <v>4707</v>
      </c>
      <c r="F3601" s="1" t="s">
        <v>57396</v>
      </c>
      <c r="G3601" s="1" t="s">
        <v>57397</v>
      </c>
      <c r="H3601" s="1" t="s">
        <v>57398</v>
      </c>
      <c r="I3601" s="1" t="s">
        <v>57399</v>
      </c>
      <c r="J3601" s="1">
        <v>9552116040</v>
      </c>
      <c r="K3601" s="1" t="s">
        <v>84</v>
      </c>
      <c r="L3601" s="1" t="s">
        <v>6484</v>
      </c>
      <c r="M3601" s="1" t="s">
        <v>86</v>
      </c>
      <c r="N3601" s="1" t="s">
        <v>56864</v>
      </c>
      <c r="O3601" s="1"/>
      <c r="P3601" s="1" t="s">
        <v>507</v>
      </c>
      <c r="Q3601" s="1" t="s">
        <v>57400</v>
      </c>
      <c r="R3601" s="1" t="s">
        <v>57401</v>
      </c>
      <c r="S3601" s="1">
        <v>9423203390</v>
      </c>
      <c r="T3601" s="1" t="s">
        <v>645</v>
      </c>
      <c r="U3601" s="1" t="s">
        <v>57402</v>
      </c>
      <c r="V3601" s="1">
        <v>8830296016</v>
      </c>
      <c r="W3601" s="1" t="s">
        <v>94</v>
      </c>
      <c r="X3601" s="1" t="s">
        <v>57403</v>
      </c>
      <c r="Y3601" s="1" t="s">
        <v>196</v>
      </c>
      <c r="Z3601" s="1" t="s">
        <v>97</v>
      </c>
      <c r="AA3601" s="1" t="s">
        <v>57403</v>
      </c>
      <c r="AB3601" s="1" t="s">
        <v>196</v>
      </c>
      <c r="AC3601" s="1" t="s">
        <v>97</v>
      </c>
      <c r="AD3601" s="1" t="s">
        <v>98</v>
      </c>
      <c r="AE3601" s="1" t="s">
        <v>98</v>
      </c>
      <c r="AF3601" s="1" t="s">
        <v>57404</v>
      </c>
      <c r="AG3601" s="1" t="s">
        <v>312</v>
      </c>
      <c r="AH3601" s="1">
        <v>41732</v>
      </c>
      <c r="AI3601" s="1">
        <v>42152</v>
      </c>
      <c r="AJ3601" s="1">
        <v>89.3</v>
      </c>
      <c r="AK3601" s="1">
        <v>9.4</v>
      </c>
      <c r="AL3601" s="1" t="s">
        <v>57404</v>
      </c>
      <c r="AM3601" s="1" t="s">
        <v>312</v>
      </c>
      <c r="AN3601" s="1"/>
      <c r="AO3601" s="1">
        <v>42464</v>
      </c>
      <c r="AP3601" s="1">
        <v>42883</v>
      </c>
      <c r="AQ3601" s="1">
        <v>67.8</v>
      </c>
      <c r="AR3601" s="1">
        <v>0</v>
      </c>
      <c r="AS3601" s="1"/>
      <c r="AT3601" s="1"/>
      <c r="AU3601" s="1" t="s">
        <v>98</v>
      </c>
      <c r="AV3601" s="1" t="s">
        <v>98</v>
      </c>
      <c r="AW3601" s="1" t="s">
        <v>98</v>
      </c>
      <c r="AX3601" s="1" t="s">
        <v>98</v>
      </c>
      <c r="AY3601" s="1" t="s">
        <v>366</v>
      </c>
      <c r="AZ3601" s="1" t="s">
        <v>57405</v>
      </c>
      <c r="BA3601" s="1"/>
      <c r="BB3601" s="1"/>
      <c r="BC3601" s="1">
        <v>42961</v>
      </c>
      <c r="BD3601" s="1">
        <v>44408</v>
      </c>
      <c r="BE3601" s="1">
        <v>70.66</v>
      </c>
      <c r="BF3601" s="1">
        <v>8.03</v>
      </c>
      <c r="BG3601" s="1"/>
      <c r="BH3601" s="1"/>
      <c r="BI3601" s="1"/>
      <c r="BJ3601" s="1"/>
      <c r="BK3601" s="1" t="s">
        <v>98</v>
      </c>
      <c r="BL3601" s="1" t="s">
        <v>98</v>
      </c>
      <c r="BM3601" s="1" t="s">
        <v>98</v>
      </c>
      <c r="BN3601" s="1" t="s">
        <v>98</v>
      </c>
      <c r="BO3601" s="1" t="s">
        <v>872</v>
      </c>
      <c r="BP3601" s="1"/>
      <c r="BQ3601" s="1"/>
      <c r="BR3601" s="1" t="s">
        <v>57406</v>
      </c>
      <c r="BS3601" s="1">
        <v>8</v>
      </c>
      <c r="BT3601" s="1"/>
      <c r="BU3601" s="1" t="str">
        <f>HYPERLINK("https://nconnect.nicmar.ac.in/storage/profile/2021-2023_AP21401_729413.jpg","Download")</f>
        <v>0</v>
      </c>
      <c r="BV3601" s="3"/>
      <c r="BW3601" s="3"/>
    </row>
    <row r="3602" spans="1:75">
      <c r="A3602" s="1" t="s">
        <v>51340</v>
      </c>
      <c r="B3602" s="1" t="s">
        <v>51341</v>
      </c>
      <c r="C3602" s="1" t="s">
        <v>57407</v>
      </c>
      <c r="D3602" s="1" t="s">
        <v>6726</v>
      </c>
      <c r="E3602" s="1"/>
      <c r="F3602" s="1" t="s">
        <v>57408</v>
      </c>
      <c r="G3602" s="1" t="s">
        <v>57409</v>
      </c>
      <c r="H3602" s="1" t="s">
        <v>57410</v>
      </c>
      <c r="I3602" s="1" t="s">
        <v>57411</v>
      </c>
      <c r="J3602" s="1">
        <v>7774935822</v>
      </c>
      <c r="K3602" s="1" t="s">
        <v>153</v>
      </c>
      <c r="L3602" s="1" t="s">
        <v>53062</v>
      </c>
      <c r="M3602" s="1" t="s">
        <v>86</v>
      </c>
      <c r="N3602" s="1" t="s">
        <v>246</v>
      </c>
      <c r="O3602" s="1"/>
      <c r="P3602" s="1" t="s">
        <v>507</v>
      </c>
      <c r="Q3602" s="1" t="s">
        <v>57412</v>
      </c>
      <c r="R3602" s="1" t="s">
        <v>57413</v>
      </c>
      <c r="S3602" s="1">
        <v>9370767647</v>
      </c>
      <c r="T3602" s="1" t="s">
        <v>926</v>
      </c>
      <c r="U3602" s="1" t="s">
        <v>57414</v>
      </c>
      <c r="V3602" s="1">
        <v>8208289217</v>
      </c>
      <c r="W3602" s="1" t="s">
        <v>94</v>
      </c>
      <c r="X3602" s="1" t="s">
        <v>57415</v>
      </c>
      <c r="Y3602" s="1" t="s">
        <v>410</v>
      </c>
      <c r="Z3602" s="1" t="s">
        <v>97</v>
      </c>
      <c r="AA3602" s="1" t="s">
        <v>57416</v>
      </c>
      <c r="AB3602" s="1" t="s">
        <v>410</v>
      </c>
      <c r="AC3602" s="1" t="s">
        <v>97</v>
      </c>
      <c r="AD3602" s="1" t="s">
        <v>98</v>
      </c>
      <c r="AE3602" s="1" t="s">
        <v>98</v>
      </c>
      <c r="AF3602" s="1" t="s">
        <v>52025</v>
      </c>
      <c r="AG3602" s="1" t="s">
        <v>312</v>
      </c>
      <c r="AH3602" s="1" t="s">
        <v>1213</v>
      </c>
      <c r="AI3602" s="1" t="s">
        <v>1262</v>
      </c>
      <c r="AJ3602" s="1">
        <v>77.9</v>
      </c>
      <c r="AK3602" s="1">
        <v>8.2</v>
      </c>
      <c r="AL3602" s="1" t="s">
        <v>52025</v>
      </c>
      <c r="AM3602" s="1" t="s">
        <v>312</v>
      </c>
      <c r="AN3602" s="1"/>
      <c r="AO3602" s="1" t="s">
        <v>101</v>
      </c>
      <c r="AP3602" s="1" t="s">
        <v>627</v>
      </c>
      <c r="AQ3602" s="1">
        <v>68.6</v>
      </c>
      <c r="AR3602" s="1">
        <v>0</v>
      </c>
      <c r="AS3602" s="1"/>
      <c r="AT3602" s="1"/>
      <c r="AU3602" s="1" t="s">
        <v>98</v>
      </c>
      <c r="AV3602" s="1" t="s">
        <v>98</v>
      </c>
      <c r="AW3602" s="1" t="s">
        <v>98</v>
      </c>
      <c r="AX3602" s="1" t="s">
        <v>98</v>
      </c>
      <c r="AY3602" s="1" t="s">
        <v>415</v>
      </c>
      <c r="AZ3602" s="1" t="s">
        <v>33993</v>
      </c>
      <c r="BA3602" s="1"/>
      <c r="BB3602" s="1"/>
      <c r="BC3602" s="1" t="s">
        <v>139</v>
      </c>
      <c r="BD3602" s="1" t="s">
        <v>441</v>
      </c>
      <c r="BE3602" s="1">
        <v>67.7</v>
      </c>
      <c r="BF3602" s="1">
        <v>7.52</v>
      </c>
      <c r="BG3602" s="1"/>
      <c r="BH3602" s="1"/>
      <c r="BI3602" s="1"/>
      <c r="BJ3602" s="1"/>
      <c r="BK3602" s="1" t="s">
        <v>98</v>
      </c>
      <c r="BL3602" s="1" t="s">
        <v>98</v>
      </c>
      <c r="BM3602" s="1" t="s">
        <v>98</v>
      </c>
      <c r="BN3602" s="1" t="s">
        <v>98</v>
      </c>
      <c r="BO3602" s="1" t="s">
        <v>57417</v>
      </c>
      <c r="BP3602" s="1"/>
      <c r="BQ3602" s="1"/>
      <c r="BR3602" s="1" t="s">
        <v>57418</v>
      </c>
      <c r="BS3602" s="1">
        <v>41</v>
      </c>
      <c r="BT3602" s="1"/>
      <c r="BU3602" s="1" t="str">
        <f>HYPERLINK("https://nconnect.nicmar.ac.in/storage/profile/2021-2023_AP21402_931254.jpg","Download")</f>
        <v>0</v>
      </c>
      <c r="BV3602" s="3"/>
      <c r="BW3602" s="3"/>
    </row>
    <row r="3603" spans="1:75">
      <c r="A3603" s="1" t="s">
        <v>51340</v>
      </c>
      <c r="B3603" s="1" t="s">
        <v>51341</v>
      </c>
      <c r="C3603" s="1" t="s">
        <v>57419</v>
      </c>
      <c r="D3603" s="1" t="s">
        <v>6136</v>
      </c>
      <c r="E3603" s="1"/>
      <c r="F3603" s="1" t="s">
        <v>350</v>
      </c>
      <c r="G3603" s="1" t="s">
        <v>57420</v>
      </c>
      <c r="H3603" s="1" t="s">
        <v>57421</v>
      </c>
      <c r="I3603" s="1" t="s">
        <v>57422</v>
      </c>
      <c r="J3603" s="1">
        <v>8824885694</v>
      </c>
      <c r="K3603" s="1" t="s">
        <v>84</v>
      </c>
      <c r="L3603" s="1" t="s">
        <v>27416</v>
      </c>
      <c r="M3603" s="1" t="s">
        <v>86</v>
      </c>
      <c r="N3603" s="1" t="s">
        <v>87</v>
      </c>
      <c r="O3603" s="1"/>
      <c r="P3603" s="1" t="s">
        <v>507</v>
      </c>
      <c r="Q3603" s="1" t="s">
        <v>57423</v>
      </c>
      <c r="R3603" s="1" t="s">
        <v>57424</v>
      </c>
      <c r="S3603" s="1">
        <v>9214000136</v>
      </c>
      <c r="T3603" s="1" t="s">
        <v>3788</v>
      </c>
      <c r="U3603" s="1" t="s">
        <v>13908</v>
      </c>
      <c r="V3603" s="1">
        <v>9983790710</v>
      </c>
      <c r="W3603" s="1" t="s">
        <v>2547</v>
      </c>
      <c r="X3603" s="1" t="s">
        <v>57425</v>
      </c>
      <c r="Y3603" s="1" t="s">
        <v>57426</v>
      </c>
      <c r="Z3603" s="1" t="s">
        <v>2153</v>
      </c>
      <c r="AA3603" s="1" t="s">
        <v>57425</v>
      </c>
      <c r="AB3603" s="1" t="s">
        <v>57426</v>
      </c>
      <c r="AC3603" s="1" t="s">
        <v>2153</v>
      </c>
      <c r="AD3603" s="1" t="s">
        <v>98</v>
      </c>
      <c r="AE3603" s="1" t="s">
        <v>98</v>
      </c>
      <c r="AF3603" s="1" t="s">
        <v>30671</v>
      </c>
      <c r="AG3603" s="1" t="s">
        <v>312</v>
      </c>
      <c r="AH3603" s="1" t="s">
        <v>3770</v>
      </c>
      <c r="AI3603" s="1" t="s">
        <v>134</v>
      </c>
      <c r="AJ3603" s="1">
        <v>85.5</v>
      </c>
      <c r="AK3603" s="1">
        <v>9</v>
      </c>
      <c r="AL3603" s="1" t="s">
        <v>30671</v>
      </c>
      <c r="AM3603" s="1" t="s">
        <v>312</v>
      </c>
      <c r="AN3603" s="1"/>
      <c r="AO3603" s="1" t="s">
        <v>166</v>
      </c>
      <c r="AP3603" s="1" t="s">
        <v>627</v>
      </c>
      <c r="AQ3603" s="1">
        <v>74</v>
      </c>
      <c r="AR3603" s="1"/>
      <c r="AS3603" s="1"/>
      <c r="AT3603" s="1"/>
      <c r="AU3603" s="1" t="s">
        <v>98</v>
      </c>
      <c r="AV3603" s="1" t="s">
        <v>98</v>
      </c>
      <c r="AW3603" s="1"/>
      <c r="AX3603" s="1"/>
      <c r="AY3603" s="1"/>
      <c r="AZ3603" s="1"/>
      <c r="BA3603" s="1"/>
      <c r="BB3603" s="1"/>
      <c r="BC3603" s="1">
        <v>42535</v>
      </c>
      <c r="BD3603" s="1">
        <v>44103</v>
      </c>
      <c r="BE3603" s="1">
        <v>69.67</v>
      </c>
      <c r="BF3603" s="1">
        <v>6.05</v>
      </c>
      <c r="BG3603" s="1"/>
      <c r="BH3603" s="1"/>
      <c r="BI3603" s="1"/>
      <c r="BJ3603" s="1"/>
      <c r="BK3603" s="1" t="s">
        <v>98</v>
      </c>
      <c r="BL3603" s="1" t="s">
        <v>98</v>
      </c>
      <c r="BM3603" s="1" t="s">
        <v>98</v>
      </c>
      <c r="BN3603" s="1" t="s">
        <v>98</v>
      </c>
      <c r="BO3603" s="1" t="s">
        <v>1114</v>
      </c>
      <c r="BP3603" s="1"/>
      <c r="BQ3603" s="1"/>
      <c r="BR3603" s="1" t="s">
        <v>57427</v>
      </c>
      <c r="BS3603" s="1">
        <v>18</v>
      </c>
      <c r="BT3603" s="1"/>
      <c r="BU3603" s="1" t="str">
        <f>HYPERLINK("https://nconnect.nicmar.ac.in/storage/profile/2021-2023_AP21403_347625.jpeg","Download")</f>
        <v>0</v>
      </c>
      <c r="BV3603" s="3"/>
      <c r="BW3603" s="3"/>
    </row>
    <row r="3604" spans="1:75">
      <c r="A3604" s="1" t="s">
        <v>51340</v>
      </c>
      <c r="B3604" s="1" t="s">
        <v>51341</v>
      </c>
      <c r="C3604" s="1" t="s">
        <v>57428</v>
      </c>
      <c r="D3604" s="1" t="s">
        <v>32181</v>
      </c>
      <c r="E3604" s="1"/>
      <c r="F3604" s="1" t="s">
        <v>1997</v>
      </c>
      <c r="G3604" s="1" t="s">
        <v>57429</v>
      </c>
      <c r="H3604" s="1" t="s">
        <v>57430</v>
      </c>
      <c r="I3604" s="1" t="s">
        <v>57431</v>
      </c>
      <c r="J3604" s="1">
        <v>8217249941</v>
      </c>
      <c r="K3604" s="1" t="s">
        <v>84</v>
      </c>
      <c r="L3604" s="1" t="s">
        <v>1572</v>
      </c>
      <c r="M3604" s="1" t="s">
        <v>86</v>
      </c>
      <c r="N3604" s="1" t="s">
        <v>11117</v>
      </c>
      <c r="O3604" s="1"/>
      <c r="P3604" s="1" t="s">
        <v>507</v>
      </c>
      <c r="Q3604" s="1" t="s">
        <v>57432</v>
      </c>
      <c r="R3604" s="1" t="s">
        <v>57433</v>
      </c>
      <c r="S3604" s="1">
        <v>8762065322</v>
      </c>
      <c r="T3604" s="1" t="s">
        <v>159</v>
      </c>
      <c r="U3604" s="1" t="s">
        <v>57434</v>
      </c>
      <c r="V3604" s="1">
        <v>8762064510</v>
      </c>
      <c r="W3604" s="1" t="s">
        <v>94</v>
      </c>
      <c r="X3604" s="1" t="s">
        <v>57435</v>
      </c>
      <c r="Y3604" s="1" t="s">
        <v>57436</v>
      </c>
      <c r="Z3604" s="1" t="s">
        <v>1210</v>
      </c>
      <c r="AA3604" s="1" t="s">
        <v>57435</v>
      </c>
      <c r="AB3604" s="1" t="s">
        <v>57436</v>
      </c>
      <c r="AC3604" s="1" t="s">
        <v>1210</v>
      </c>
      <c r="AD3604" s="1" t="s">
        <v>98</v>
      </c>
      <c r="AE3604" s="1" t="s">
        <v>98</v>
      </c>
      <c r="AF3604" s="1" t="s">
        <v>57437</v>
      </c>
      <c r="AG3604" s="1" t="s">
        <v>1946</v>
      </c>
      <c r="AH3604" s="1" t="s">
        <v>134</v>
      </c>
      <c r="AI3604" s="1" t="s">
        <v>1262</v>
      </c>
      <c r="AJ3604" s="1">
        <v>78.72</v>
      </c>
      <c r="AK3604" s="1"/>
      <c r="AL3604" s="1" t="s">
        <v>57438</v>
      </c>
      <c r="AM3604" s="1" t="s">
        <v>1946</v>
      </c>
      <c r="AN3604" s="1"/>
      <c r="AO3604" s="1" t="s">
        <v>136</v>
      </c>
      <c r="AP3604" s="1" t="s">
        <v>627</v>
      </c>
      <c r="AQ3604" s="1">
        <v>68</v>
      </c>
      <c r="AR3604" s="1"/>
      <c r="AS3604" s="1"/>
      <c r="AT3604" s="1"/>
      <c r="AU3604" s="1" t="s">
        <v>98</v>
      </c>
      <c r="AV3604" s="1" t="s">
        <v>98</v>
      </c>
      <c r="AW3604" s="1" t="s">
        <v>98</v>
      </c>
      <c r="AX3604" s="1" t="s">
        <v>98</v>
      </c>
      <c r="AY3604" s="1" t="s">
        <v>1217</v>
      </c>
      <c r="AZ3604" s="1" t="s">
        <v>57439</v>
      </c>
      <c r="BA3604" s="1"/>
      <c r="BB3604" s="1"/>
      <c r="BC3604" s="1" t="s">
        <v>139</v>
      </c>
      <c r="BD3604" s="1" t="s">
        <v>1040</v>
      </c>
      <c r="BE3604" s="1">
        <v>66</v>
      </c>
      <c r="BF3604" s="1">
        <v>7.35</v>
      </c>
      <c r="BG3604" s="1"/>
      <c r="BH3604" s="1"/>
      <c r="BI3604" s="1"/>
      <c r="BJ3604" s="1"/>
      <c r="BK3604" s="1" t="s">
        <v>98</v>
      </c>
      <c r="BL3604" s="1" t="s">
        <v>98</v>
      </c>
      <c r="BM3604" s="1" t="s">
        <v>98</v>
      </c>
      <c r="BN3604" s="1" t="s">
        <v>98</v>
      </c>
      <c r="BO3604" s="1" t="s">
        <v>57440</v>
      </c>
      <c r="BP3604" s="1" t="s">
        <v>57441</v>
      </c>
      <c r="BQ3604" s="1" t="s">
        <v>4149</v>
      </c>
      <c r="BR3604" s="1" t="s">
        <v>57442</v>
      </c>
      <c r="BS3604" s="1">
        <v>17</v>
      </c>
      <c r="BT3604" s="1"/>
      <c r="BU3604" s="1" t="str">
        <f>HYPERLINK("https://nconnect.nicmar.ac.in/storage/profile/2021-2023_AP21404_986235.jpg","Download")</f>
        <v>0</v>
      </c>
      <c r="BV3604" s="3"/>
      <c r="BW3604" s="3"/>
    </row>
    <row r="3605" spans="1:75">
      <c r="A3605" s="1" t="s">
        <v>51340</v>
      </c>
      <c r="B3605" s="1" t="s">
        <v>51341</v>
      </c>
      <c r="C3605" s="1" t="s">
        <v>57443</v>
      </c>
      <c r="D3605" s="1" t="s">
        <v>8674</v>
      </c>
      <c r="E3605" s="1"/>
      <c r="F3605" s="1" t="s">
        <v>2250</v>
      </c>
      <c r="G3605" s="1" t="s">
        <v>57444</v>
      </c>
      <c r="H3605" s="1" t="s">
        <v>57445</v>
      </c>
      <c r="I3605" s="1" t="s">
        <v>57446</v>
      </c>
      <c r="J3605" s="1">
        <v>9161407555</v>
      </c>
      <c r="K3605" s="1" t="s">
        <v>153</v>
      </c>
      <c r="L3605" s="1" t="s">
        <v>27486</v>
      </c>
      <c r="M3605" s="1" t="s">
        <v>86</v>
      </c>
      <c r="N3605" s="1" t="s">
        <v>246</v>
      </c>
      <c r="O3605" s="1"/>
      <c r="P3605" s="1" t="s">
        <v>455</v>
      </c>
      <c r="Q3605" s="1" t="s">
        <v>57447</v>
      </c>
      <c r="R3605" s="1" t="s">
        <v>57448</v>
      </c>
      <c r="S3605" s="1">
        <v>9455923340</v>
      </c>
      <c r="T3605" s="1" t="s">
        <v>926</v>
      </c>
      <c r="U3605" s="1" t="s">
        <v>57449</v>
      </c>
      <c r="V3605" s="1">
        <v>9451827888</v>
      </c>
      <c r="W3605" s="1" t="s">
        <v>94</v>
      </c>
      <c r="X3605" s="1" t="s">
        <v>57450</v>
      </c>
      <c r="Y3605" s="1" t="s">
        <v>1059</v>
      </c>
      <c r="Z3605" s="1" t="s">
        <v>544</v>
      </c>
      <c r="AA3605" s="1" t="s">
        <v>57450</v>
      </c>
      <c r="AB3605" s="1" t="s">
        <v>1059</v>
      </c>
      <c r="AC3605" s="1" t="s">
        <v>544</v>
      </c>
      <c r="AD3605" s="1" t="s">
        <v>98</v>
      </c>
      <c r="AE3605" s="1" t="s">
        <v>98</v>
      </c>
      <c r="AF3605" s="1" t="s">
        <v>57451</v>
      </c>
      <c r="AG3605" s="1" t="s">
        <v>6474</v>
      </c>
      <c r="AH3605" s="1">
        <v>41365</v>
      </c>
      <c r="AI3605" s="1">
        <v>41729</v>
      </c>
      <c r="AJ3605" s="1">
        <v>83.16</v>
      </c>
      <c r="AK3605" s="1"/>
      <c r="AL3605" s="1" t="s">
        <v>57451</v>
      </c>
      <c r="AM3605" s="1" t="s">
        <v>6474</v>
      </c>
      <c r="AN3605" s="1"/>
      <c r="AO3605" s="1">
        <v>42095</v>
      </c>
      <c r="AP3605" s="1">
        <v>42496</v>
      </c>
      <c r="AQ3605" s="1">
        <v>80.83</v>
      </c>
      <c r="AR3605" s="1"/>
      <c r="AS3605" s="1"/>
      <c r="AT3605" s="1"/>
      <c r="AU3605" s="1" t="s">
        <v>98</v>
      </c>
      <c r="AV3605" s="1" t="s">
        <v>98</v>
      </c>
      <c r="AW3605" s="1" t="s">
        <v>98</v>
      </c>
      <c r="AX3605" s="1" t="s">
        <v>98</v>
      </c>
      <c r="AY3605" s="1" t="s">
        <v>53028</v>
      </c>
      <c r="AZ3605" s="1" t="s">
        <v>53028</v>
      </c>
      <c r="BA3605" s="1"/>
      <c r="BB3605" s="1"/>
      <c r="BC3605" s="1">
        <v>42552</v>
      </c>
      <c r="BD3605" s="1">
        <v>43981</v>
      </c>
      <c r="BE3605" s="1">
        <v>79.63</v>
      </c>
      <c r="BF3605" s="1">
        <v>7.18</v>
      </c>
      <c r="BG3605" s="1"/>
      <c r="BH3605" s="1"/>
      <c r="BI3605" s="1"/>
      <c r="BJ3605" s="1"/>
      <c r="BK3605" s="1" t="s">
        <v>98</v>
      </c>
      <c r="BL3605" s="1" t="s">
        <v>98</v>
      </c>
      <c r="BM3605" s="1" t="s">
        <v>98</v>
      </c>
      <c r="BN3605" s="1" t="s">
        <v>98</v>
      </c>
      <c r="BO3605" s="1" t="s">
        <v>57452</v>
      </c>
      <c r="BP3605" s="1"/>
      <c r="BQ3605" s="1"/>
      <c r="BR3605" s="1" t="s">
        <v>57453</v>
      </c>
      <c r="BS3605" s="1">
        <v>12</v>
      </c>
      <c r="BT3605" s="1"/>
      <c r="BU3605" s="1" t="str">
        <f>HYPERLINK("https://nconnect.nicmar.ac.in/storage/profile/2021-2023_AP21405_413526.jpeg","Download")</f>
        <v>0</v>
      </c>
      <c r="BV3605" s="3"/>
      <c r="BW3605" s="3"/>
    </row>
    <row r="3606" spans="1:75">
      <c r="A3606" s="1" t="s">
        <v>51340</v>
      </c>
      <c r="B3606" s="1" t="s">
        <v>51341</v>
      </c>
      <c r="C3606" s="1" t="s">
        <v>57454</v>
      </c>
      <c r="D3606" s="1" t="s">
        <v>31768</v>
      </c>
      <c r="E3606" s="1"/>
      <c r="F3606" s="1" t="s">
        <v>5558</v>
      </c>
      <c r="G3606" s="1" t="s">
        <v>57455</v>
      </c>
      <c r="H3606" s="1" t="s">
        <v>57456</v>
      </c>
      <c r="I3606" s="1" t="s">
        <v>57457</v>
      </c>
      <c r="J3606" s="1">
        <v>8190860184</v>
      </c>
      <c r="K3606" s="1" t="s">
        <v>84</v>
      </c>
      <c r="L3606" s="1" t="s">
        <v>57458</v>
      </c>
      <c r="M3606" s="1" t="s">
        <v>86</v>
      </c>
      <c r="N3606" s="1" t="s">
        <v>246</v>
      </c>
      <c r="O3606" s="1"/>
      <c r="P3606" s="1" t="s">
        <v>455</v>
      </c>
      <c r="Q3606" s="1" t="s">
        <v>57459</v>
      </c>
      <c r="R3606" s="1" t="s">
        <v>57460</v>
      </c>
      <c r="S3606" s="1">
        <v>9415140487</v>
      </c>
      <c r="T3606" s="1" t="s">
        <v>3188</v>
      </c>
      <c r="U3606" s="1" t="s">
        <v>57461</v>
      </c>
      <c r="V3606" s="1">
        <v>9415140604</v>
      </c>
      <c r="W3606" s="1" t="s">
        <v>94</v>
      </c>
      <c r="X3606" s="1" t="s">
        <v>57462</v>
      </c>
      <c r="Y3606" s="1" t="s">
        <v>57463</v>
      </c>
      <c r="Z3606" s="1" t="s">
        <v>544</v>
      </c>
      <c r="AA3606" s="1" t="s">
        <v>57464</v>
      </c>
      <c r="AB3606" s="1" t="s">
        <v>21987</v>
      </c>
      <c r="AC3606" s="1" t="s">
        <v>544</v>
      </c>
      <c r="AD3606" s="1" t="s">
        <v>98</v>
      </c>
      <c r="AE3606" s="1" t="s">
        <v>98</v>
      </c>
      <c r="AF3606" s="1" t="s">
        <v>57465</v>
      </c>
      <c r="AG3606" s="1" t="s">
        <v>312</v>
      </c>
      <c r="AH3606" s="1" t="s">
        <v>3421</v>
      </c>
      <c r="AI3606" s="1" t="s">
        <v>1262</v>
      </c>
      <c r="AJ3606" s="1">
        <v>95</v>
      </c>
      <c r="AK3606" s="1">
        <v>10</v>
      </c>
      <c r="AL3606" s="1" t="s">
        <v>652</v>
      </c>
      <c r="AM3606" s="1" t="s">
        <v>312</v>
      </c>
      <c r="AN3606" s="1"/>
      <c r="AO3606" s="1" t="s">
        <v>627</v>
      </c>
      <c r="AP3606" s="1" t="s">
        <v>573</v>
      </c>
      <c r="AQ3606" s="1">
        <v>64</v>
      </c>
      <c r="AR3606" s="1"/>
      <c r="AS3606" s="1"/>
      <c r="AT3606" s="1"/>
      <c r="AU3606" s="1" t="s">
        <v>98</v>
      </c>
      <c r="AV3606" s="1" t="s">
        <v>98</v>
      </c>
      <c r="AW3606" s="1" t="s">
        <v>98</v>
      </c>
      <c r="AX3606" s="1" t="s">
        <v>98</v>
      </c>
      <c r="AY3606" s="1" t="s">
        <v>8336</v>
      </c>
      <c r="AZ3606" s="1" t="s">
        <v>8336</v>
      </c>
      <c r="BA3606" s="1"/>
      <c r="BB3606" s="1"/>
      <c r="BC3606" s="1" t="s">
        <v>388</v>
      </c>
      <c r="BD3606" s="1" t="s">
        <v>847</v>
      </c>
      <c r="BE3606" s="1">
        <v>83.8</v>
      </c>
      <c r="BF3606" s="1">
        <v>8.38</v>
      </c>
      <c r="BG3606" s="1"/>
      <c r="BH3606" s="1"/>
      <c r="BI3606" s="1"/>
      <c r="BJ3606" s="1"/>
      <c r="BK3606" s="1" t="s">
        <v>98</v>
      </c>
      <c r="BL3606" s="1" t="s">
        <v>98</v>
      </c>
      <c r="BM3606" s="1" t="s">
        <v>98</v>
      </c>
      <c r="BN3606" s="1" t="s">
        <v>98</v>
      </c>
      <c r="BO3606" s="1" t="s">
        <v>1114</v>
      </c>
      <c r="BP3606" s="1"/>
      <c r="BQ3606" s="1"/>
      <c r="BR3606" s="1" t="s">
        <v>57466</v>
      </c>
      <c r="BS3606" s="1">
        <v>16</v>
      </c>
      <c r="BT3606" s="1"/>
      <c r="BU3606" s="1" t="str">
        <f>HYPERLINK("https://nconnect.nicmar.ac.in/storage/profile/2021-2023_AP21406_147523.jpg","Download")</f>
        <v>0</v>
      </c>
      <c r="BV3606" s="3"/>
      <c r="BW3606" s="3"/>
    </row>
    <row r="3607" spans="1:75">
      <c r="A3607" s="1" t="s">
        <v>51340</v>
      </c>
      <c r="B3607" s="1" t="s">
        <v>51341</v>
      </c>
      <c r="C3607" s="1" t="s">
        <v>57467</v>
      </c>
      <c r="D3607" s="1" t="s">
        <v>57468</v>
      </c>
      <c r="E3607" s="1" t="s">
        <v>57469</v>
      </c>
      <c r="F3607" s="1" t="s">
        <v>57470</v>
      </c>
      <c r="G3607" s="1" t="s">
        <v>57471</v>
      </c>
      <c r="H3607" s="1" t="s">
        <v>57472</v>
      </c>
      <c r="I3607" s="1" t="s">
        <v>57473</v>
      </c>
      <c r="J3607" s="1">
        <v>8275535120</v>
      </c>
      <c r="K3607" s="1" t="s">
        <v>84</v>
      </c>
      <c r="L3607" s="1" t="s">
        <v>29270</v>
      </c>
      <c r="M3607" s="1" t="s">
        <v>86</v>
      </c>
      <c r="N3607" s="1" t="s">
        <v>57474</v>
      </c>
      <c r="O3607" s="1"/>
      <c r="P3607" s="1" t="s">
        <v>507</v>
      </c>
      <c r="Q3607" s="1" t="s">
        <v>57475</v>
      </c>
      <c r="R3607" s="1" t="s">
        <v>57476</v>
      </c>
      <c r="S3607" s="1">
        <v>9373106438</v>
      </c>
      <c r="T3607" s="1" t="s">
        <v>839</v>
      </c>
      <c r="U3607" s="1" t="s">
        <v>57477</v>
      </c>
      <c r="V3607" s="1">
        <v>9326904704</v>
      </c>
      <c r="W3607" s="1" t="s">
        <v>94</v>
      </c>
      <c r="X3607" s="1" t="s">
        <v>57478</v>
      </c>
      <c r="Y3607" s="1" t="s">
        <v>410</v>
      </c>
      <c r="Z3607" s="1" t="s">
        <v>97</v>
      </c>
      <c r="AA3607" s="1" t="s">
        <v>57479</v>
      </c>
      <c r="AB3607" s="1" t="s">
        <v>410</v>
      </c>
      <c r="AC3607" s="1" t="s">
        <v>97</v>
      </c>
      <c r="AD3607" s="1" t="s">
        <v>98</v>
      </c>
      <c r="AE3607" s="1" t="s">
        <v>98</v>
      </c>
      <c r="AF3607" s="1" t="s">
        <v>52025</v>
      </c>
      <c r="AG3607" s="1" t="s">
        <v>312</v>
      </c>
      <c r="AH3607" s="1" t="s">
        <v>1262</v>
      </c>
      <c r="AI3607" s="1" t="s">
        <v>136</v>
      </c>
      <c r="AJ3607" s="1">
        <v>51.3</v>
      </c>
      <c r="AK3607" s="1">
        <v>5.4</v>
      </c>
      <c r="AL3607" s="1" t="s">
        <v>98</v>
      </c>
      <c r="AM3607" s="1"/>
      <c r="AN3607" s="1"/>
      <c r="AO3607" s="1" t="s">
        <v>98</v>
      </c>
      <c r="AP3607" s="1" t="s">
        <v>98</v>
      </c>
      <c r="AQ3607" s="1"/>
      <c r="AR3607" s="1"/>
      <c r="AS3607" s="1" t="s">
        <v>439</v>
      </c>
      <c r="AT3607" s="1" t="s">
        <v>57480</v>
      </c>
      <c r="AU3607" s="1" t="s">
        <v>166</v>
      </c>
      <c r="AV3607" s="1" t="s">
        <v>106</v>
      </c>
      <c r="AW3607" s="1">
        <v>70.67</v>
      </c>
      <c r="AX3607" s="1"/>
      <c r="AY3607" s="1" t="s">
        <v>415</v>
      </c>
      <c r="AZ3607" s="1" t="s">
        <v>57481</v>
      </c>
      <c r="BA3607" s="1"/>
      <c r="BB3607" s="1"/>
      <c r="BC3607" s="1" t="s">
        <v>174</v>
      </c>
      <c r="BD3607" s="1" t="s">
        <v>845</v>
      </c>
      <c r="BE3607" s="1">
        <v>65.5</v>
      </c>
      <c r="BF3607" s="1">
        <v>6.55</v>
      </c>
      <c r="BG3607" s="1"/>
      <c r="BH3607" s="1"/>
      <c r="BI3607" s="1"/>
      <c r="BJ3607" s="1"/>
      <c r="BK3607" s="1" t="s">
        <v>98</v>
      </c>
      <c r="BL3607" s="1" t="s">
        <v>98</v>
      </c>
      <c r="BM3607" s="1" t="s">
        <v>98</v>
      </c>
      <c r="BN3607" s="1" t="s">
        <v>98</v>
      </c>
      <c r="BO3607" s="1" t="s">
        <v>57482</v>
      </c>
      <c r="BP3607" s="1"/>
      <c r="BQ3607" s="1"/>
      <c r="BR3607" s="1" t="s">
        <v>57483</v>
      </c>
      <c r="BS3607" s="1">
        <v>27</v>
      </c>
      <c r="BT3607" s="1"/>
      <c r="BU3607" s="1" t="str">
        <f>HYPERLINK("https://nconnect.nicmar.ac.in/storage/profile/2021-2023_AP21407_491286.jpg","Download")</f>
        <v>0</v>
      </c>
      <c r="BV3607" s="3"/>
      <c r="BW3607" s="3"/>
    </row>
    <row r="3608" spans="1:75">
      <c r="A3608" s="1" t="s">
        <v>51340</v>
      </c>
      <c r="B3608" s="1" t="s">
        <v>51341</v>
      </c>
      <c r="C3608" s="1" t="s">
        <v>57484</v>
      </c>
      <c r="D3608" s="1" t="s">
        <v>5482</v>
      </c>
      <c r="E3608" s="1" t="s">
        <v>35994</v>
      </c>
      <c r="F3608" s="1" t="s">
        <v>57485</v>
      </c>
      <c r="G3608" s="1" t="s">
        <v>57486</v>
      </c>
      <c r="H3608" s="1" t="s">
        <v>57487</v>
      </c>
      <c r="I3608" s="1" t="s">
        <v>57487</v>
      </c>
      <c r="J3608" s="1">
        <v>8805905454</v>
      </c>
      <c r="K3608" s="1" t="s">
        <v>84</v>
      </c>
      <c r="L3608" s="1" t="s">
        <v>32280</v>
      </c>
      <c r="M3608" s="1" t="s">
        <v>86</v>
      </c>
      <c r="N3608" s="1" t="s">
        <v>1163</v>
      </c>
      <c r="O3608" s="1"/>
      <c r="P3608" s="1" t="s">
        <v>507</v>
      </c>
      <c r="Q3608" s="1" t="s">
        <v>57488</v>
      </c>
      <c r="R3608" s="1" t="s">
        <v>35994</v>
      </c>
      <c r="S3608" s="1">
        <v>9823350403</v>
      </c>
      <c r="T3608" s="1" t="s">
        <v>645</v>
      </c>
      <c r="U3608" s="1" t="s">
        <v>8522</v>
      </c>
      <c r="V3608" s="1">
        <v>9421013956</v>
      </c>
      <c r="W3608" s="1" t="s">
        <v>94</v>
      </c>
      <c r="X3608" s="1" t="s">
        <v>57489</v>
      </c>
      <c r="Y3608" s="1" t="s">
        <v>1779</v>
      </c>
      <c r="Z3608" s="1" t="s">
        <v>97</v>
      </c>
      <c r="AA3608" s="1" t="s">
        <v>57489</v>
      </c>
      <c r="AB3608" s="1" t="s">
        <v>196</v>
      </c>
      <c r="AC3608" s="1" t="s">
        <v>97</v>
      </c>
      <c r="AD3608" s="1" t="s">
        <v>98</v>
      </c>
      <c r="AE3608" s="1" t="s">
        <v>98</v>
      </c>
      <c r="AF3608" s="1" t="s">
        <v>36520</v>
      </c>
      <c r="AG3608" s="1" t="s">
        <v>2379</v>
      </c>
      <c r="AH3608" s="1" t="s">
        <v>57490</v>
      </c>
      <c r="AI3608" s="1" t="s">
        <v>29081</v>
      </c>
      <c r="AJ3608" s="1">
        <v>71.09</v>
      </c>
      <c r="AK3608" s="1">
        <v>0</v>
      </c>
      <c r="AL3608" s="1"/>
      <c r="AM3608" s="1"/>
      <c r="AN3608" s="1"/>
      <c r="AO3608" s="1" t="s">
        <v>55006</v>
      </c>
      <c r="AP3608" s="1" t="s">
        <v>57491</v>
      </c>
      <c r="AQ3608" s="1"/>
      <c r="AR3608" s="1"/>
      <c r="AS3608" s="1" t="s">
        <v>103</v>
      </c>
      <c r="AT3608" s="1" t="s">
        <v>57492</v>
      </c>
      <c r="AU3608" s="1" t="s">
        <v>135</v>
      </c>
      <c r="AV3608" s="1" t="s">
        <v>167</v>
      </c>
      <c r="AW3608" s="1">
        <v>59.15</v>
      </c>
      <c r="AX3608" s="1"/>
      <c r="AY3608" s="1" t="s">
        <v>366</v>
      </c>
      <c r="AZ3608" s="1" t="s">
        <v>57493</v>
      </c>
      <c r="BA3608" s="1"/>
      <c r="BB3608" s="1"/>
      <c r="BC3608" s="1" t="s">
        <v>257</v>
      </c>
      <c r="BD3608" s="1" t="s">
        <v>175</v>
      </c>
      <c r="BE3608" s="1">
        <v>57.02</v>
      </c>
      <c r="BF3608" s="1">
        <v>6.48</v>
      </c>
      <c r="BG3608" s="1"/>
      <c r="BH3608" s="1"/>
      <c r="BI3608" s="1"/>
      <c r="BJ3608" s="1"/>
      <c r="BK3608" s="1"/>
      <c r="BL3608" s="1"/>
      <c r="BM3608" s="1"/>
      <c r="BN3608" s="1"/>
      <c r="BO3608" s="1" t="s">
        <v>369</v>
      </c>
      <c r="BP3608" s="1"/>
      <c r="BQ3608" s="1"/>
      <c r="BR3608" s="1" t="s">
        <v>57494</v>
      </c>
      <c r="BS3608" s="1">
        <v>8</v>
      </c>
      <c r="BT3608" s="1"/>
      <c r="BU3608" s="1" t="str">
        <f>HYPERLINK("https://nconnect.nicmar.ac.in/storage/profile/2021-2023_AP21408_625783.jpg","Download")</f>
        <v>0</v>
      </c>
      <c r="BV3608" s="3"/>
      <c r="BW3608" s="3"/>
    </row>
    <row r="3609" spans="1:75">
      <c r="A3609" s="1" t="s">
        <v>51340</v>
      </c>
      <c r="B3609" s="1" t="s">
        <v>51341</v>
      </c>
      <c r="C3609" s="1" t="s">
        <v>57495</v>
      </c>
      <c r="D3609" s="1" t="s">
        <v>57496</v>
      </c>
      <c r="E3609" s="1" t="s">
        <v>2447</v>
      </c>
      <c r="F3609" s="1" t="s">
        <v>41774</v>
      </c>
      <c r="G3609" s="1" t="s">
        <v>57497</v>
      </c>
      <c r="H3609" s="1" t="s">
        <v>57498</v>
      </c>
      <c r="I3609" s="1" t="s">
        <v>57499</v>
      </c>
      <c r="J3609" s="1">
        <v>7798088110</v>
      </c>
      <c r="K3609" s="1" t="s">
        <v>84</v>
      </c>
      <c r="L3609" s="1" t="s">
        <v>28371</v>
      </c>
      <c r="M3609" s="1" t="s">
        <v>86</v>
      </c>
      <c r="N3609" s="1" t="s">
        <v>1163</v>
      </c>
      <c r="O3609" s="1"/>
      <c r="P3609" s="1" t="s">
        <v>481</v>
      </c>
      <c r="Q3609" s="1" t="s">
        <v>57500</v>
      </c>
      <c r="R3609" s="1" t="s">
        <v>57501</v>
      </c>
      <c r="S3609" s="1">
        <v>9422305184</v>
      </c>
      <c r="T3609" s="1" t="s">
        <v>57502</v>
      </c>
      <c r="U3609" s="1" t="s">
        <v>57503</v>
      </c>
      <c r="V3609" s="1">
        <v>9422188985</v>
      </c>
      <c r="W3609" s="1" t="s">
        <v>161</v>
      </c>
      <c r="X3609" s="1" t="s">
        <v>57504</v>
      </c>
      <c r="Y3609" s="1" t="s">
        <v>410</v>
      </c>
      <c r="Z3609" s="1" t="s">
        <v>97</v>
      </c>
      <c r="AA3609" s="1" t="s">
        <v>98</v>
      </c>
      <c r="AB3609" s="1" t="s">
        <v>410</v>
      </c>
      <c r="AC3609" s="1" t="s">
        <v>97</v>
      </c>
      <c r="AD3609" s="1" t="s">
        <v>98</v>
      </c>
      <c r="AE3609" s="1" t="s">
        <v>98</v>
      </c>
      <c r="AF3609" s="1" t="s">
        <v>57505</v>
      </c>
      <c r="AG3609" s="1" t="s">
        <v>996</v>
      </c>
      <c r="AH3609" s="1" t="s">
        <v>1583</v>
      </c>
      <c r="AI3609" s="1" t="s">
        <v>101</v>
      </c>
      <c r="AJ3609" s="1">
        <v>77.8</v>
      </c>
      <c r="AK3609" s="1">
        <v>7.78</v>
      </c>
      <c r="AL3609" s="1" t="s">
        <v>57506</v>
      </c>
      <c r="AM3609" s="1" t="s">
        <v>996</v>
      </c>
      <c r="AN3609" s="1"/>
      <c r="AO3609" s="1" t="s">
        <v>166</v>
      </c>
      <c r="AP3609" s="1" t="s">
        <v>627</v>
      </c>
      <c r="AQ3609" s="1">
        <v>56.15</v>
      </c>
      <c r="AR3609" s="1">
        <v>5.61</v>
      </c>
      <c r="AS3609" s="1"/>
      <c r="AT3609" s="1"/>
      <c r="AU3609" s="1" t="s">
        <v>98</v>
      </c>
      <c r="AV3609" s="1" t="s">
        <v>98</v>
      </c>
      <c r="AW3609" s="1"/>
      <c r="AX3609" s="1"/>
      <c r="AY3609" s="1" t="s">
        <v>415</v>
      </c>
      <c r="AZ3609" s="1" t="s">
        <v>57507</v>
      </c>
      <c r="BA3609" s="1"/>
      <c r="BB3609" s="1"/>
      <c r="BC3609" s="1" t="s">
        <v>139</v>
      </c>
      <c r="BD3609" s="1" t="s">
        <v>441</v>
      </c>
      <c r="BE3609" s="1">
        <v>67.6</v>
      </c>
      <c r="BF3609" s="1">
        <v>7.51</v>
      </c>
      <c r="BG3609" s="1"/>
      <c r="BH3609" s="1"/>
      <c r="BI3609" s="1"/>
      <c r="BJ3609" s="1"/>
      <c r="BK3609" s="1" t="s">
        <v>98</v>
      </c>
      <c r="BL3609" s="1" t="s">
        <v>98</v>
      </c>
      <c r="BM3609" s="1" t="s">
        <v>98</v>
      </c>
      <c r="BN3609" s="1" t="s">
        <v>98</v>
      </c>
      <c r="BO3609" s="1" t="s">
        <v>57508</v>
      </c>
      <c r="BP3609" s="1"/>
      <c r="BQ3609" s="1"/>
      <c r="BR3609" s="1" t="s">
        <v>57509</v>
      </c>
      <c r="BS3609" s="1">
        <v>46</v>
      </c>
      <c r="BT3609" s="1"/>
      <c r="BU3609" s="1" t="str">
        <f>HYPERLINK("https://nconnect.nicmar.ac.in/storage/profile/2021-2023_AP21409_683415.jpeg","Download")</f>
        <v>0</v>
      </c>
      <c r="BV3609" s="3"/>
      <c r="BW3609" s="3"/>
    </row>
    <row r="3610" spans="1:75">
      <c r="A3610" s="1" t="s">
        <v>51340</v>
      </c>
      <c r="B3610" s="1" t="s">
        <v>51341</v>
      </c>
      <c r="C3610" s="1" t="s">
        <v>57510</v>
      </c>
      <c r="D3610" s="1" t="s">
        <v>31768</v>
      </c>
      <c r="E3610" s="1" t="s">
        <v>149</v>
      </c>
      <c r="F3610" s="1" t="s">
        <v>1179</v>
      </c>
      <c r="G3610" s="1" t="s">
        <v>57511</v>
      </c>
      <c r="H3610" s="1" t="s">
        <v>57512</v>
      </c>
      <c r="I3610" s="1" t="s">
        <v>57513</v>
      </c>
      <c r="J3610" s="1">
        <v>9448391914</v>
      </c>
      <c r="K3610" s="1" t="s">
        <v>84</v>
      </c>
      <c r="L3610" s="1" t="s">
        <v>57514</v>
      </c>
      <c r="M3610" s="1" t="s">
        <v>86</v>
      </c>
      <c r="N3610" s="1" t="s">
        <v>11117</v>
      </c>
      <c r="O3610" s="1"/>
      <c r="P3610" s="1" t="s">
        <v>507</v>
      </c>
      <c r="Q3610" s="1" t="s">
        <v>57515</v>
      </c>
      <c r="R3610" s="1" t="s">
        <v>5287</v>
      </c>
      <c r="S3610" s="1">
        <v>8762617783</v>
      </c>
      <c r="T3610" s="1" t="s">
        <v>57516</v>
      </c>
      <c r="U3610" s="1" t="s">
        <v>57517</v>
      </c>
      <c r="V3610" s="1">
        <v>8867189227</v>
      </c>
      <c r="W3610" s="1" t="s">
        <v>2547</v>
      </c>
      <c r="X3610" s="1" t="s">
        <v>57518</v>
      </c>
      <c r="Y3610" s="1" t="s">
        <v>51871</v>
      </c>
      <c r="Z3610" s="1" t="s">
        <v>1210</v>
      </c>
      <c r="AA3610" s="1" t="s">
        <v>57519</v>
      </c>
      <c r="AB3610" s="1" t="s">
        <v>51871</v>
      </c>
      <c r="AC3610" s="1" t="s">
        <v>1210</v>
      </c>
      <c r="AD3610" s="1" t="s">
        <v>98</v>
      </c>
      <c r="AE3610" s="1" t="s">
        <v>98</v>
      </c>
      <c r="AF3610" s="1" t="s">
        <v>57520</v>
      </c>
      <c r="AG3610" s="1" t="s">
        <v>312</v>
      </c>
      <c r="AH3610" s="1">
        <v>41791</v>
      </c>
      <c r="AI3610" s="1">
        <v>42152</v>
      </c>
      <c r="AJ3610" s="1">
        <v>93.1</v>
      </c>
      <c r="AK3610" s="1">
        <v>9.8</v>
      </c>
      <c r="AL3610" s="1" t="s">
        <v>4614</v>
      </c>
      <c r="AM3610" s="1" t="s">
        <v>312</v>
      </c>
      <c r="AN3610" s="1"/>
      <c r="AO3610" s="1">
        <v>42491</v>
      </c>
      <c r="AP3610" s="1">
        <v>42867</v>
      </c>
      <c r="AQ3610" s="1">
        <v>83.66</v>
      </c>
      <c r="AR3610" s="1"/>
      <c r="AS3610" s="1"/>
      <c r="AT3610" s="1"/>
      <c r="AU3610" s="1" t="s">
        <v>98</v>
      </c>
      <c r="AV3610" s="1" t="s">
        <v>98</v>
      </c>
      <c r="AW3610" s="1" t="s">
        <v>98</v>
      </c>
      <c r="AX3610" s="1" t="s">
        <v>98</v>
      </c>
      <c r="AY3610" s="1" t="s">
        <v>1627</v>
      </c>
      <c r="AZ3610" s="1" t="s">
        <v>57521</v>
      </c>
      <c r="BA3610" s="1"/>
      <c r="BB3610" s="1"/>
      <c r="BC3610" s="1">
        <v>42958</v>
      </c>
      <c r="BD3610" s="1">
        <v>44413</v>
      </c>
      <c r="BE3610" s="1">
        <v>68</v>
      </c>
      <c r="BF3610" s="1">
        <v>7.54</v>
      </c>
      <c r="BG3610" s="1"/>
      <c r="BH3610" s="1"/>
      <c r="BI3610" s="1"/>
      <c r="BJ3610" s="1"/>
      <c r="BK3610" s="1" t="s">
        <v>98</v>
      </c>
      <c r="BL3610" s="1" t="s">
        <v>98</v>
      </c>
      <c r="BM3610" s="1" t="s">
        <v>98</v>
      </c>
      <c r="BN3610" s="1" t="s">
        <v>98</v>
      </c>
      <c r="BO3610" s="1" t="s">
        <v>1114</v>
      </c>
      <c r="BP3610" s="1"/>
      <c r="BQ3610" s="1"/>
      <c r="BR3610" s="1" t="s">
        <v>57522</v>
      </c>
      <c r="BS3610" s="1">
        <v>9</v>
      </c>
      <c r="BT3610" s="1"/>
      <c r="BU3610" s="1" t="s">
        <v>9653</v>
      </c>
      <c r="BV3610" s="3"/>
      <c r="BW3610" s="3"/>
    </row>
    <row r="3611" spans="1:75">
      <c r="A3611" s="1" t="s">
        <v>51340</v>
      </c>
      <c r="B3611" s="1" t="s">
        <v>51341</v>
      </c>
      <c r="C3611" s="1" t="s">
        <v>57523</v>
      </c>
      <c r="D3611" s="1" t="s">
        <v>43372</v>
      </c>
      <c r="E3611" s="1"/>
      <c r="F3611" s="1" t="s">
        <v>57524</v>
      </c>
      <c r="G3611" s="1" t="s">
        <v>57525</v>
      </c>
      <c r="H3611" s="1" t="s">
        <v>57526</v>
      </c>
      <c r="I3611" s="1" t="s">
        <v>57527</v>
      </c>
      <c r="J3611" s="1">
        <v>8921045951</v>
      </c>
      <c r="K3611" s="1" t="s">
        <v>153</v>
      </c>
      <c r="L3611" s="1" t="s">
        <v>57528</v>
      </c>
      <c r="M3611" s="1" t="s">
        <v>86</v>
      </c>
      <c r="N3611" s="1" t="s">
        <v>695</v>
      </c>
      <c r="O3611" s="1"/>
      <c r="P3611" s="1" t="s">
        <v>455</v>
      </c>
      <c r="Q3611" s="1" t="s">
        <v>57529</v>
      </c>
      <c r="R3611" s="1" t="s">
        <v>57530</v>
      </c>
      <c r="S3611" s="1">
        <v>9387800409</v>
      </c>
      <c r="T3611" s="1" t="s">
        <v>7840</v>
      </c>
      <c r="U3611" s="1" t="s">
        <v>57531</v>
      </c>
      <c r="V3611" s="1">
        <v>9387814589</v>
      </c>
      <c r="W3611" s="1" t="s">
        <v>57532</v>
      </c>
      <c r="X3611" s="1" t="s">
        <v>57533</v>
      </c>
      <c r="Y3611" s="1" t="s">
        <v>54050</v>
      </c>
      <c r="Z3611" s="1" t="s">
        <v>130</v>
      </c>
      <c r="AA3611" s="1" t="s">
        <v>57533</v>
      </c>
      <c r="AB3611" s="1" t="s">
        <v>54050</v>
      </c>
      <c r="AC3611" s="1" t="s">
        <v>130</v>
      </c>
      <c r="AD3611" s="1" t="s">
        <v>98</v>
      </c>
      <c r="AE3611" s="1" t="s">
        <v>98</v>
      </c>
      <c r="AF3611" s="1" t="s">
        <v>57534</v>
      </c>
      <c r="AG3611" s="1" t="s">
        <v>775</v>
      </c>
      <c r="AH3611" s="1">
        <v>41785</v>
      </c>
      <c r="AI3611" s="1">
        <v>42152</v>
      </c>
      <c r="AJ3611" s="1">
        <v>95</v>
      </c>
      <c r="AK3611" s="1">
        <v>10</v>
      </c>
      <c r="AL3611" s="1" t="s">
        <v>57535</v>
      </c>
      <c r="AM3611" s="1" t="s">
        <v>775</v>
      </c>
      <c r="AN3611" s="1"/>
      <c r="AO3611" s="1">
        <v>42513</v>
      </c>
      <c r="AP3611" s="1">
        <v>42911</v>
      </c>
      <c r="AQ3611" s="1">
        <v>89.8</v>
      </c>
      <c r="AR3611" s="1">
        <v>0</v>
      </c>
      <c r="AS3611" s="1"/>
      <c r="AT3611" s="1"/>
      <c r="AU3611" s="1" t="s">
        <v>98</v>
      </c>
      <c r="AV3611" s="1" t="s">
        <v>98</v>
      </c>
      <c r="AW3611" s="1" t="s">
        <v>98</v>
      </c>
      <c r="AX3611" s="1" t="s">
        <v>98</v>
      </c>
      <c r="AY3611" s="1" t="s">
        <v>137</v>
      </c>
      <c r="AZ3611" s="1" t="s">
        <v>3753</v>
      </c>
      <c r="BA3611" s="1"/>
      <c r="BB3611" s="1"/>
      <c r="BC3611" s="1">
        <v>42922</v>
      </c>
      <c r="BD3611" s="1">
        <v>44377</v>
      </c>
      <c r="BE3611" s="1">
        <v>79.05</v>
      </c>
      <c r="BF3611" s="1">
        <v>8.28</v>
      </c>
      <c r="BG3611" s="1"/>
      <c r="BH3611" s="1"/>
      <c r="BI3611" s="1"/>
      <c r="BJ3611" s="1"/>
      <c r="BK3611" s="1" t="s">
        <v>98</v>
      </c>
      <c r="BL3611" s="1" t="s">
        <v>98</v>
      </c>
      <c r="BM3611" s="1" t="s">
        <v>98</v>
      </c>
      <c r="BN3611" s="1" t="s">
        <v>98</v>
      </c>
      <c r="BO3611" s="1" t="s">
        <v>57536</v>
      </c>
      <c r="BP3611" s="1"/>
      <c r="BQ3611" s="1"/>
      <c r="BR3611" s="1" t="s">
        <v>57537</v>
      </c>
      <c r="BS3611" s="1">
        <v>10</v>
      </c>
      <c r="BT3611" s="1"/>
      <c r="BU3611" s="1" t="str">
        <f>HYPERLINK("https://nconnect.nicmar.ac.in/storage/profile/2021-2023_AP21412_321846.jpg","Download")</f>
        <v>0</v>
      </c>
      <c r="BV3611" s="3"/>
      <c r="BW3611" s="3"/>
    </row>
    <row r="3612" spans="1:75">
      <c r="A3612" s="1" t="s">
        <v>51340</v>
      </c>
      <c r="B3612" s="1" t="s">
        <v>51341</v>
      </c>
      <c r="C3612" s="1" t="s">
        <v>57538</v>
      </c>
      <c r="D3612" s="1" t="s">
        <v>9531</v>
      </c>
      <c r="E3612" s="1"/>
      <c r="F3612" s="1" t="s">
        <v>57539</v>
      </c>
      <c r="G3612" s="1" t="s">
        <v>57540</v>
      </c>
      <c r="H3612" s="1" t="s">
        <v>57541</v>
      </c>
      <c r="I3612" s="1" t="s">
        <v>57542</v>
      </c>
      <c r="J3612" s="1">
        <v>8435833111</v>
      </c>
      <c r="K3612" s="1" t="s">
        <v>84</v>
      </c>
      <c r="L3612" s="1" t="s">
        <v>44119</v>
      </c>
      <c r="M3612" s="1" t="s">
        <v>86</v>
      </c>
      <c r="N3612" s="1" t="s">
        <v>246</v>
      </c>
      <c r="O3612" s="1"/>
      <c r="P3612" s="1" t="s">
        <v>507</v>
      </c>
      <c r="Q3612" s="1" t="s">
        <v>57543</v>
      </c>
      <c r="R3612" s="1" t="s">
        <v>57544</v>
      </c>
      <c r="S3612" s="1">
        <v>9993577177</v>
      </c>
      <c r="T3612" s="1" t="s">
        <v>839</v>
      </c>
      <c r="U3612" s="1" t="s">
        <v>57545</v>
      </c>
      <c r="V3612" s="1">
        <v>7999390005</v>
      </c>
      <c r="W3612" s="1" t="s">
        <v>278</v>
      </c>
      <c r="X3612" s="1" t="s">
        <v>57546</v>
      </c>
      <c r="Y3612" s="1" t="s">
        <v>28213</v>
      </c>
      <c r="Z3612" s="1" t="s">
        <v>3419</v>
      </c>
      <c r="AA3612" s="1" t="s">
        <v>98</v>
      </c>
      <c r="AB3612" s="1" t="s">
        <v>196</v>
      </c>
      <c r="AC3612" s="1" t="s">
        <v>97</v>
      </c>
      <c r="AD3612" s="1" t="s">
        <v>98</v>
      </c>
      <c r="AE3612" s="1" t="s">
        <v>98</v>
      </c>
      <c r="AF3612" s="1" t="s">
        <v>57547</v>
      </c>
      <c r="AG3612" s="1" t="s">
        <v>35416</v>
      </c>
      <c r="AH3612" s="1">
        <v>41736</v>
      </c>
      <c r="AI3612" s="1">
        <v>42187</v>
      </c>
      <c r="AJ3612" s="1">
        <v>74.1</v>
      </c>
      <c r="AK3612" s="1">
        <v>7.8</v>
      </c>
      <c r="AL3612" s="1" t="s">
        <v>57547</v>
      </c>
      <c r="AM3612" s="1" t="s">
        <v>35416</v>
      </c>
      <c r="AN3612" s="1"/>
      <c r="AO3612" s="1">
        <v>42466</v>
      </c>
      <c r="AP3612" s="1">
        <v>42919</v>
      </c>
      <c r="AQ3612" s="1">
        <v>60.4</v>
      </c>
      <c r="AR3612" s="1"/>
      <c r="AS3612" s="1"/>
      <c r="AT3612" s="1"/>
      <c r="AU3612" s="1" t="s">
        <v>98</v>
      </c>
      <c r="AV3612" s="1" t="s">
        <v>98</v>
      </c>
      <c r="AW3612" s="1" t="s">
        <v>98</v>
      </c>
      <c r="AX3612" s="1" t="s">
        <v>98</v>
      </c>
      <c r="AY3612" s="1" t="s">
        <v>57548</v>
      </c>
      <c r="AZ3612" s="1" t="s">
        <v>57548</v>
      </c>
      <c r="BA3612" s="1"/>
      <c r="BB3612" s="1"/>
      <c r="BC3612" s="1">
        <v>42968</v>
      </c>
      <c r="BD3612" s="1">
        <v>44379</v>
      </c>
      <c r="BE3612" s="1">
        <v>63.5</v>
      </c>
      <c r="BF3612" s="1">
        <v>6.35</v>
      </c>
      <c r="BG3612" s="1"/>
      <c r="BH3612" s="1"/>
      <c r="BI3612" s="1"/>
      <c r="BJ3612" s="1"/>
      <c r="BK3612" s="1" t="s">
        <v>98</v>
      </c>
      <c r="BL3612" s="1" t="s">
        <v>98</v>
      </c>
      <c r="BM3612" s="1" t="s">
        <v>98</v>
      </c>
      <c r="BN3612" s="1" t="s">
        <v>98</v>
      </c>
      <c r="BO3612" s="1" t="s">
        <v>369</v>
      </c>
      <c r="BP3612" s="1"/>
      <c r="BQ3612" s="1"/>
      <c r="BR3612" s="1" t="s">
        <v>57549</v>
      </c>
      <c r="BS3612" s="1">
        <v>21</v>
      </c>
      <c r="BT3612" s="1"/>
      <c r="BU3612" s="1" t="str">
        <f>HYPERLINK("https://nconnect.nicmar.ac.in/storage/profile/2021-2023_AP21413_721439.jpg","Download")</f>
        <v>0</v>
      </c>
      <c r="BV3612" s="3"/>
      <c r="BW3612" s="3"/>
    </row>
    <row r="3613" spans="1:75">
      <c r="A3613" s="1" t="s">
        <v>51340</v>
      </c>
      <c r="B3613" s="1" t="s">
        <v>51341</v>
      </c>
      <c r="C3613" s="1" t="s">
        <v>57550</v>
      </c>
      <c r="D3613" s="1" t="s">
        <v>57551</v>
      </c>
      <c r="E3613" s="1"/>
      <c r="F3613" s="1" t="s">
        <v>34589</v>
      </c>
      <c r="G3613" s="1" t="s">
        <v>57552</v>
      </c>
      <c r="H3613" s="1" t="s">
        <v>57553</v>
      </c>
      <c r="I3613" s="1" t="s">
        <v>57554</v>
      </c>
      <c r="J3613" s="1">
        <v>9216815590</v>
      </c>
      <c r="K3613" s="1" t="s">
        <v>84</v>
      </c>
      <c r="L3613" s="1" t="s">
        <v>26906</v>
      </c>
      <c r="M3613" s="1" t="s">
        <v>86</v>
      </c>
      <c r="N3613" s="1" t="s">
        <v>87</v>
      </c>
      <c r="O3613" s="1"/>
      <c r="P3613" s="1" t="s">
        <v>455</v>
      </c>
      <c r="Q3613" s="1" t="s">
        <v>57555</v>
      </c>
      <c r="R3613" s="1" t="s">
        <v>57556</v>
      </c>
      <c r="S3613" s="1">
        <v>9814115590</v>
      </c>
      <c r="T3613" s="1" t="s">
        <v>1620</v>
      </c>
      <c r="U3613" s="1" t="s">
        <v>57557</v>
      </c>
      <c r="V3613" s="1">
        <v>9216516590</v>
      </c>
      <c r="W3613" s="1" t="s">
        <v>57558</v>
      </c>
      <c r="X3613" s="1" t="s">
        <v>57559</v>
      </c>
      <c r="Y3613" s="1" t="s">
        <v>57560</v>
      </c>
      <c r="Z3613" s="1" t="s">
        <v>57560</v>
      </c>
      <c r="AA3613" s="1" t="s">
        <v>57561</v>
      </c>
      <c r="AB3613" s="1" t="s">
        <v>57560</v>
      </c>
      <c r="AC3613" s="1" t="s">
        <v>57560</v>
      </c>
      <c r="AD3613" s="1" t="s">
        <v>98</v>
      </c>
      <c r="AE3613" s="1" t="s">
        <v>98</v>
      </c>
      <c r="AF3613" s="1" t="s">
        <v>31436</v>
      </c>
      <c r="AG3613" s="1" t="s">
        <v>312</v>
      </c>
      <c r="AH3613" s="1">
        <v>41730</v>
      </c>
      <c r="AI3613" s="1">
        <v>42094</v>
      </c>
      <c r="AJ3613" s="1">
        <v>91.2</v>
      </c>
      <c r="AK3613" s="1">
        <v>9.6</v>
      </c>
      <c r="AL3613" s="1" t="s">
        <v>57562</v>
      </c>
      <c r="AM3613" s="1" t="s">
        <v>312</v>
      </c>
      <c r="AN3613" s="1"/>
      <c r="AO3613" s="1">
        <v>42461</v>
      </c>
      <c r="AP3613" s="1">
        <v>42883</v>
      </c>
      <c r="AQ3613" s="1">
        <v>91.2</v>
      </c>
      <c r="AR3613" s="1"/>
      <c r="AS3613" s="1"/>
      <c r="AT3613" s="1"/>
      <c r="AU3613" s="1" t="s">
        <v>98</v>
      </c>
      <c r="AV3613" s="1" t="s">
        <v>98</v>
      </c>
      <c r="AW3613" s="1" t="s">
        <v>98</v>
      </c>
      <c r="AX3613" s="1" t="s">
        <v>98</v>
      </c>
      <c r="AY3613" s="1" t="s">
        <v>57563</v>
      </c>
      <c r="AZ3613" s="1" t="s">
        <v>57563</v>
      </c>
      <c r="BA3613" s="1"/>
      <c r="BB3613" s="1"/>
      <c r="BC3613" s="1">
        <v>42941</v>
      </c>
      <c r="BD3613" s="1">
        <v>44397</v>
      </c>
      <c r="BE3613" s="1">
        <v>73.08</v>
      </c>
      <c r="BF3613" s="1">
        <v>8.12</v>
      </c>
      <c r="BG3613" s="1"/>
      <c r="BH3613" s="1"/>
      <c r="BI3613" s="1"/>
      <c r="BJ3613" s="1"/>
      <c r="BK3613" s="1" t="s">
        <v>98</v>
      </c>
      <c r="BL3613" s="1" t="s">
        <v>98</v>
      </c>
      <c r="BM3613" s="1" t="s">
        <v>98</v>
      </c>
      <c r="BN3613" s="1" t="s">
        <v>98</v>
      </c>
      <c r="BO3613" s="1" t="s">
        <v>57564</v>
      </c>
      <c r="BP3613" s="1"/>
      <c r="BQ3613" s="1"/>
      <c r="BR3613" s="1" t="s">
        <v>57565</v>
      </c>
      <c r="BS3613" s="1">
        <v>48</v>
      </c>
      <c r="BT3613" s="1"/>
      <c r="BU3613" s="1" t="s">
        <v>9653</v>
      </c>
      <c r="BV3613" s="3"/>
      <c r="BW3613" s="3"/>
    </row>
    <row r="3614" spans="1:75">
      <c r="A3614" s="1" t="s">
        <v>51340</v>
      </c>
      <c r="B3614" s="1" t="s">
        <v>51341</v>
      </c>
      <c r="C3614" s="1" t="s">
        <v>57566</v>
      </c>
      <c r="D3614" s="1" t="s">
        <v>2097</v>
      </c>
      <c r="E3614" s="1" t="s">
        <v>4646</v>
      </c>
      <c r="F3614" s="1" t="s">
        <v>57567</v>
      </c>
      <c r="G3614" s="1" t="s">
        <v>57568</v>
      </c>
      <c r="H3614" s="1" t="s">
        <v>57569</v>
      </c>
      <c r="I3614" s="1" t="s">
        <v>57570</v>
      </c>
      <c r="J3614" s="1">
        <v>7276093237</v>
      </c>
      <c r="K3614" s="1" t="s">
        <v>84</v>
      </c>
      <c r="L3614" s="1" t="s">
        <v>40778</v>
      </c>
      <c r="M3614" s="1" t="s">
        <v>86</v>
      </c>
      <c r="N3614" s="1" t="s">
        <v>57571</v>
      </c>
      <c r="O3614" s="1"/>
      <c r="P3614" s="1" t="s">
        <v>507</v>
      </c>
      <c r="Q3614" s="1" t="s">
        <v>57572</v>
      </c>
      <c r="R3614" s="1" t="s">
        <v>57573</v>
      </c>
      <c r="S3614" s="1">
        <v>7057945151</v>
      </c>
      <c r="T3614" s="1" t="s">
        <v>539</v>
      </c>
      <c r="U3614" s="1" t="s">
        <v>57574</v>
      </c>
      <c r="V3614" s="1">
        <v>7057641234</v>
      </c>
      <c r="W3614" s="1" t="s">
        <v>94</v>
      </c>
      <c r="X3614" s="1" t="s">
        <v>57575</v>
      </c>
      <c r="Y3614" s="1" t="s">
        <v>54576</v>
      </c>
      <c r="Z3614" s="1" t="s">
        <v>97</v>
      </c>
      <c r="AA3614" s="1" t="s">
        <v>98</v>
      </c>
      <c r="AB3614" s="1" t="s">
        <v>54576</v>
      </c>
      <c r="AC3614" s="1" t="s">
        <v>97</v>
      </c>
      <c r="AD3614" s="1" t="s">
        <v>98</v>
      </c>
      <c r="AE3614" s="1" t="s">
        <v>98</v>
      </c>
      <c r="AF3614" s="1" t="s">
        <v>57576</v>
      </c>
      <c r="AG3614" s="1" t="s">
        <v>2745</v>
      </c>
      <c r="AH3614" s="1">
        <v>41426</v>
      </c>
      <c r="AI3614" s="1">
        <v>41807</v>
      </c>
      <c r="AJ3614" s="1">
        <v>80.2</v>
      </c>
      <c r="AK3614" s="1"/>
      <c r="AL3614" s="1" t="s">
        <v>57577</v>
      </c>
      <c r="AM3614" s="1" t="s">
        <v>2745</v>
      </c>
      <c r="AN3614" s="1"/>
      <c r="AO3614" s="1">
        <v>42095</v>
      </c>
      <c r="AP3614" s="1">
        <v>42521</v>
      </c>
      <c r="AQ3614" s="1">
        <v>61.69</v>
      </c>
      <c r="AR3614" s="1"/>
      <c r="AS3614" s="1"/>
      <c r="AT3614" s="1"/>
      <c r="AU3614" s="1" t="s">
        <v>98</v>
      </c>
      <c r="AV3614" s="1" t="s">
        <v>98</v>
      </c>
      <c r="AW3614" s="1" t="s">
        <v>98</v>
      </c>
      <c r="AX3614" s="1" t="s">
        <v>98</v>
      </c>
      <c r="AY3614" s="1" t="s">
        <v>3713</v>
      </c>
      <c r="AZ3614" s="1" t="s">
        <v>57578</v>
      </c>
      <c r="BA3614" s="1"/>
      <c r="BB3614" s="1"/>
      <c r="BC3614" s="1">
        <v>42591</v>
      </c>
      <c r="BD3614" s="1">
        <v>44347</v>
      </c>
      <c r="BE3614" s="1">
        <v>67.1</v>
      </c>
      <c r="BF3614" s="1">
        <v>7.21</v>
      </c>
      <c r="BG3614" s="1"/>
      <c r="BH3614" s="1"/>
      <c r="BI3614" s="1"/>
      <c r="BJ3614" s="1"/>
      <c r="BK3614" s="1" t="s">
        <v>98</v>
      </c>
      <c r="BL3614" s="1" t="s">
        <v>98</v>
      </c>
      <c r="BM3614" s="1" t="s">
        <v>98</v>
      </c>
      <c r="BN3614" s="1" t="s">
        <v>98</v>
      </c>
      <c r="BO3614" s="1" t="s">
        <v>57579</v>
      </c>
      <c r="BP3614" s="1"/>
      <c r="BQ3614" s="1"/>
      <c r="BR3614" s="1" t="s">
        <v>57580</v>
      </c>
      <c r="BS3614" s="1">
        <v>30</v>
      </c>
      <c r="BT3614" s="1"/>
      <c r="BU3614" s="1" t="str">
        <f>HYPERLINK("https://nconnect.nicmar.ac.in/storage/profile/2021-2023_AP21415_429315.jpg","Download")</f>
        <v>0</v>
      </c>
      <c r="BV3614" s="3"/>
      <c r="BW3614" s="3"/>
    </row>
    <row r="3615" spans="1:75">
      <c r="A3615" s="1" t="s">
        <v>51340</v>
      </c>
      <c r="B3615" s="1" t="s">
        <v>51341</v>
      </c>
      <c r="C3615" s="1" t="s">
        <v>57581</v>
      </c>
      <c r="D3615" s="1" t="s">
        <v>2991</v>
      </c>
      <c r="E3615" s="1" t="s">
        <v>762</v>
      </c>
      <c r="F3615" s="1" t="s">
        <v>57582</v>
      </c>
      <c r="G3615" s="1" t="s">
        <v>57583</v>
      </c>
      <c r="H3615" s="1" t="s">
        <v>57584</v>
      </c>
      <c r="I3615" s="1" t="s">
        <v>57585</v>
      </c>
      <c r="J3615" s="1">
        <v>7020475875</v>
      </c>
      <c r="K3615" s="1" t="s">
        <v>153</v>
      </c>
      <c r="L3615" s="1" t="s">
        <v>57586</v>
      </c>
      <c r="M3615" s="1" t="s">
        <v>86</v>
      </c>
      <c r="N3615" s="1" t="s">
        <v>11647</v>
      </c>
      <c r="O3615" s="1"/>
      <c r="P3615" s="1" t="s">
        <v>507</v>
      </c>
      <c r="Q3615" s="1" t="s">
        <v>57587</v>
      </c>
      <c r="R3615" s="1" t="s">
        <v>57588</v>
      </c>
      <c r="S3615" s="1">
        <v>9890071868</v>
      </c>
      <c r="T3615" s="1" t="s">
        <v>4486</v>
      </c>
      <c r="U3615" s="1" t="s">
        <v>57589</v>
      </c>
      <c r="V3615" s="1">
        <v>9922290301</v>
      </c>
      <c r="W3615" s="1" t="s">
        <v>94</v>
      </c>
      <c r="X3615" s="1" t="s">
        <v>57590</v>
      </c>
      <c r="Y3615" s="1" t="s">
        <v>57591</v>
      </c>
      <c r="Z3615" s="1" t="s">
        <v>97</v>
      </c>
      <c r="AA3615" s="1" t="s">
        <v>57590</v>
      </c>
      <c r="AB3615" s="1" t="s">
        <v>57591</v>
      </c>
      <c r="AC3615" s="1" t="s">
        <v>97</v>
      </c>
      <c r="AD3615" s="1" t="s">
        <v>98</v>
      </c>
      <c r="AE3615" s="1" t="s">
        <v>98</v>
      </c>
      <c r="AF3615" s="1" t="s">
        <v>12225</v>
      </c>
      <c r="AG3615" s="1" t="s">
        <v>51712</v>
      </c>
      <c r="AH3615" s="1">
        <v>41805</v>
      </c>
      <c r="AI3615" s="1">
        <v>42094</v>
      </c>
      <c r="AJ3615" s="1">
        <v>87.2</v>
      </c>
      <c r="AK3615" s="1"/>
      <c r="AL3615" s="1" t="s">
        <v>844</v>
      </c>
      <c r="AM3615" s="1" t="s">
        <v>51712</v>
      </c>
      <c r="AN3615" s="1"/>
      <c r="AO3615" s="1">
        <v>42583</v>
      </c>
      <c r="AP3615" s="1">
        <v>42793</v>
      </c>
      <c r="AQ3615" s="1">
        <v>67.08</v>
      </c>
      <c r="AR3615" s="1"/>
      <c r="AS3615" s="1"/>
      <c r="AT3615" s="1"/>
      <c r="AU3615" s="1" t="s">
        <v>98</v>
      </c>
      <c r="AV3615" s="1" t="s">
        <v>98</v>
      </c>
      <c r="AW3615" s="1" t="s">
        <v>98</v>
      </c>
      <c r="AX3615" s="1" t="s">
        <v>98</v>
      </c>
      <c r="AY3615" s="1" t="s">
        <v>366</v>
      </c>
      <c r="AZ3615" s="1" t="s">
        <v>57592</v>
      </c>
      <c r="BA3615" s="1"/>
      <c r="BB3615" s="1"/>
      <c r="BC3615" s="1">
        <v>42948</v>
      </c>
      <c r="BD3615" s="1">
        <v>44408</v>
      </c>
      <c r="BE3615" s="1">
        <v>68.73</v>
      </c>
      <c r="BF3615" s="1">
        <v>7.81</v>
      </c>
      <c r="BG3615" s="1"/>
      <c r="BH3615" s="1"/>
      <c r="BI3615" s="1"/>
      <c r="BJ3615" s="1"/>
      <c r="BK3615" s="1" t="s">
        <v>98</v>
      </c>
      <c r="BL3615" s="1" t="s">
        <v>98</v>
      </c>
      <c r="BM3615" s="1" t="s">
        <v>98</v>
      </c>
      <c r="BN3615" s="1" t="s">
        <v>98</v>
      </c>
      <c r="BO3615" s="1" t="s">
        <v>369</v>
      </c>
      <c r="BP3615" s="1"/>
      <c r="BQ3615" s="1"/>
      <c r="BR3615" s="1" t="s">
        <v>57593</v>
      </c>
      <c r="BS3615" s="1">
        <v>7</v>
      </c>
      <c r="BT3615" s="1"/>
      <c r="BU3615" s="1" t="str">
        <f>HYPERLINK("https://nconnect.nicmar.ac.in/storage/profile/2021-2023_AP21416_289631.jpg","Download")</f>
        <v>0</v>
      </c>
      <c r="BV3615" s="3"/>
      <c r="BW3615" s="3"/>
    </row>
    <row r="3616" spans="1:75">
      <c r="A3616" s="1" t="s">
        <v>51340</v>
      </c>
      <c r="B3616" s="1" t="s">
        <v>51341</v>
      </c>
      <c r="C3616" s="1" t="s">
        <v>57594</v>
      </c>
      <c r="D3616" s="1" t="s">
        <v>2829</v>
      </c>
      <c r="E3616" s="1"/>
      <c r="F3616" s="1" t="s">
        <v>5171</v>
      </c>
      <c r="G3616" s="1" t="s">
        <v>57595</v>
      </c>
      <c r="H3616" s="1" t="s">
        <v>57596</v>
      </c>
      <c r="I3616" s="1" t="s">
        <v>57597</v>
      </c>
      <c r="J3616" s="1">
        <v>7299248349</v>
      </c>
      <c r="K3616" s="1" t="s">
        <v>84</v>
      </c>
      <c r="L3616" s="1" t="s">
        <v>57598</v>
      </c>
      <c r="M3616" s="1" t="s">
        <v>86</v>
      </c>
      <c r="N3616" s="1" t="s">
        <v>12624</v>
      </c>
      <c r="O3616" s="1"/>
      <c r="P3616" s="1" t="s">
        <v>481</v>
      </c>
      <c r="Q3616" s="1" t="s">
        <v>57599</v>
      </c>
      <c r="R3616" s="1" t="s">
        <v>57600</v>
      </c>
      <c r="S3616" s="1">
        <v>9940039573</v>
      </c>
      <c r="T3616" s="1" t="s">
        <v>12597</v>
      </c>
      <c r="U3616" s="1" t="s">
        <v>57601</v>
      </c>
      <c r="V3616" s="1">
        <v>9445953347</v>
      </c>
      <c r="W3616" s="1" t="s">
        <v>12597</v>
      </c>
      <c r="X3616" s="1" t="s">
        <v>57602</v>
      </c>
      <c r="Y3616" s="1" t="s">
        <v>1498</v>
      </c>
      <c r="Z3616" s="1" t="s">
        <v>570</v>
      </c>
      <c r="AA3616" s="1" t="s">
        <v>57602</v>
      </c>
      <c r="AB3616" s="1" t="s">
        <v>1498</v>
      </c>
      <c r="AC3616" s="1" t="s">
        <v>570</v>
      </c>
      <c r="AD3616" s="1" t="s">
        <v>98</v>
      </c>
      <c r="AE3616" s="1" t="s">
        <v>98</v>
      </c>
      <c r="AF3616" s="1" t="s">
        <v>57603</v>
      </c>
      <c r="AG3616" s="1" t="s">
        <v>57604</v>
      </c>
      <c r="AH3616" s="1" t="s">
        <v>133</v>
      </c>
      <c r="AI3616" s="1" t="s">
        <v>134</v>
      </c>
      <c r="AJ3616" s="1">
        <v>89.2</v>
      </c>
      <c r="AK3616" s="1">
        <v>0</v>
      </c>
      <c r="AL3616" s="1" t="s">
        <v>57605</v>
      </c>
      <c r="AM3616" s="1" t="s">
        <v>57604</v>
      </c>
      <c r="AN3616" s="1"/>
      <c r="AO3616" s="1" t="s">
        <v>101</v>
      </c>
      <c r="AP3616" s="1" t="s">
        <v>342</v>
      </c>
      <c r="AQ3616" s="1">
        <v>66.16</v>
      </c>
      <c r="AR3616" s="1">
        <v>0</v>
      </c>
      <c r="AS3616" s="1"/>
      <c r="AT3616" s="1"/>
      <c r="AU3616" s="1" t="s">
        <v>98</v>
      </c>
      <c r="AV3616" s="1" t="s">
        <v>98</v>
      </c>
      <c r="AW3616" s="1" t="s">
        <v>98</v>
      </c>
      <c r="AX3616" s="1" t="s">
        <v>98</v>
      </c>
      <c r="AY3616" s="1" t="s">
        <v>5570</v>
      </c>
      <c r="AZ3616" s="1" t="s">
        <v>2614</v>
      </c>
      <c r="BA3616" s="1"/>
      <c r="BB3616" s="1"/>
      <c r="BC3616" s="1" t="s">
        <v>342</v>
      </c>
      <c r="BD3616" s="1" t="s">
        <v>468</v>
      </c>
      <c r="BE3616" s="1">
        <v>68.2</v>
      </c>
      <c r="BF3616" s="1">
        <v>6.82</v>
      </c>
      <c r="BG3616" s="1"/>
      <c r="BH3616" s="1"/>
      <c r="BI3616" s="1"/>
      <c r="BJ3616" s="1"/>
      <c r="BK3616" s="1" t="s">
        <v>98</v>
      </c>
      <c r="BL3616" s="1" t="s">
        <v>98</v>
      </c>
      <c r="BM3616" s="1" t="s">
        <v>98</v>
      </c>
      <c r="BN3616" s="1" t="s">
        <v>98</v>
      </c>
      <c r="BO3616" s="1" t="s">
        <v>57606</v>
      </c>
      <c r="BP3616" s="1"/>
      <c r="BQ3616" s="1"/>
      <c r="BR3616" s="1" t="s">
        <v>57607</v>
      </c>
      <c r="BS3616" s="1">
        <v>27</v>
      </c>
      <c r="BT3616" s="1"/>
      <c r="BU3616" s="1" t="str">
        <f>HYPERLINK("https://nconnect.nicmar.ac.in/storage/profile/2021-2023_AP21417_835729.jpg","Download")</f>
        <v>0</v>
      </c>
      <c r="BV3616" s="3"/>
      <c r="BW3616" s="3"/>
    </row>
    <row r="3617" spans="1:75">
      <c r="A3617" s="1" t="s">
        <v>51340</v>
      </c>
      <c r="B3617" s="1" t="s">
        <v>51341</v>
      </c>
      <c r="C3617" s="1" t="s">
        <v>57608</v>
      </c>
      <c r="D3617" s="1" t="s">
        <v>9889</v>
      </c>
      <c r="E3617" s="1" t="s">
        <v>5940</v>
      </c>
      <c r="F3617" s="1" t="s">
        <v>57609</v>
      </c>
      <c r="G3617" s="1" t="s">
        <v>57610</v>
      </c>
      <c r="H3617" s="1" t="s">
        <v>57611</v>
      </c>
      <c r="I3617" s="1" t="s">
        <v>57612</v>
      </c>
      <c r="J3617" s="1">
        <v>8180888900</v>
      </c>
      <c r="K3617" s="1" t="s">
        <v>84</v>
      </c>
      <c r="L3617" s="1" t="s">
        <v>17949</v>
      </c>
      <c r="M3617" s="1" t="s">
        <v>86</v>
      </c>
      <c r="N3617" s="1" t="s">
        <v>903</v>
      </c>
      <c r="O3617" s="1"/>
      <c r="P3617" s="1" t="s">
        <v>455</v>
      </c>
      <c r="Q3617" s="1" t="s">
        <v>57613</v>
      </c>
      <c r="R3617" s="1" t="s">
        <v>57614</v>
      </c>
      <c r="S3617" s="1">
        <v>9975777350</v>
      </c>
      <c r="T3617" s="1" t="s">
        <v>3303</v>
      </c>
      <c r="U3617" s="1" t="s">
        <v>57615</v>
      </c>
      <c r="V3617" s="1">
        <v>9881535183</v>
      </c>
      <c r="W3617" s="1" t="s">
        <v>906</v>
      </c>
      <c r="X3617" s="1" t="s">
        <v>57616</v>
      </c>
      <c r="Y3617" s="1" t="s">
        <v>57617</v>
      </c>
      <c r="Z3617" s="1" t="s">
        <v>97</v>
      </c>
      <c r="AA3617" s="1" t="s">
        <v>57616</v>
      </c>
      <c r="AB3617" s="1" t="s">
        <v>57617</v>
      </c>
      <c r="AC3617" s="1" t="s">
        <v>97</v>
      </c>
      <c r="AD3617" s="1" t="s">
        <v>98</v>
      </c>
      <c r="AE3617" s="1" t="s">
        <v>98</v>
      </c>
      <c r="AF3617" s="1" t="s">
        <v>57618</v>
      </c>
      <c r="AG3617" s="1" t="s">
        <v>312</v>
      </c>
      <c r="AH3617" s="1">
        <v>41762</v>
      </c>
      <c r="AI3617" s="1">
        <v>42152</v>
      </c>
      <c r="AJ3617" s="1">
        <v>81.7</v>
      </c>
      <c r="AK3617" s="1">
        <v>8.6</v>
      </c>
      <c r="AL3617" s="1" t="s">
        <v>57619</v>
      </c>
      <c r="AM3617" s="1" t="s">
        <v>57620</v>
      </c>
      <c r="AN3617" s="1"/>
      <c r="AO3617" s="1">
        <v>42584</v>
      </c>
      <c r="AP3617" s="1">
        <v>42885</v>
      </c>
      <c r="AQ3617" s="1">
        <v>60</v>
      </c>
      <c r="AR3617" s="1">
        <v>0</v>
      </c>
      <c r="AS3617" s="1"/>
      <c r="AT3617" s="1"/>
      <c r="AU3617" s="1" t="s">
        <v>98</v>
      </c>
      <c r="AV3617" s="1" t="s">
        <v>98</v>
      </c>
      <c r="AW3617" s="1" t="s">
        <v>98</v>
      </c>
      <c r="AX3617" s="1" t="s">
        <v>98</v>
      </c>
      <c r="AY3617" s="1" t="s">
        <v>36446</v>
      </c>
      <c r="AZ3617" s="1" t="s">
        <v>36446</v>
      </c>
      <c r="BA3617" s="1"/>
      <c r="BB3617" s="1"/>
      <c r="BC3617" s="1">
        <v>42949</v>
      </c>
      <c r="BD3617" s="1">
        <v>44371</v>
      </c>
      <c r="BE3617" s="1">
        <v>81.12</v>
      </c>
      <c r="BF3617" s="1">
        <v>8.11</v>
      </c>
      <c r="BG3617" s="1"/>
      <c r="BH3617" s="1"/>
      <c r="BI3617" s="1"/>
      <c r="BJ3617" s="1"/>
      <c r="BK3617" s="1" t="s">
        <v>98</v>
      </c>
      <c r="BL3617" s="1" t="s">
        <v>98</v>
      </c>
      <c r="BM3617" s="1" t="s">
        <v>98</v>
      </c>
      <c r="BN3617" s="1" t="s">
        <v>98</v>
      </c>
      <c r="BO3617" s="1" t="s">
        <v>369</v>
      </c>
      <c r="BP3617" s="1"/>
      <c r="BQ3617" s="1"/>
      <c r="BR3617" s="1" t="s">
        <v>57621</v>
      </c>
      <c r="BS3617" s="1">
        <v>13</v>
      </c>
      <c r="BT3617" s="1"/>
      <c r="BU3617" s="1" t="str">
        <f>HYPERLINK("https://nconnect.nicmar.ac.in/storage/profile/2021-2023_AP21418_143875.jpg","Download")</f>
        <v>0</v>
      </c>
      <c r="BV3617" s="3"/>
      <c r="BW3617" s="3"/>
    </row>
    <row r="3618" spans="1:75">
      <c r="A3618" s="1" t="s">
        <v>51340</v>
      </c>
      <c r="B3618" s="1" t="s">
        <v>51341</v>
      </c>
      <c r="C3618" s="1" t="s">
        <v>57622</v>
      </c>
      <c r="D3618" s="1" t="s">
        <v>5752</v>
      </c>
      <c r="E3618" s="1" t="s">
        <v>3649</v>
      </c>
      <c r="F3618" s="1" t="s">
        <v>57623</v>
      </c>
      <c r="G3618" s="1" t="s">
        <v>57624</v>
      </c>
      <c r="H3618" s="1" t="s">
        <v>57625</v>
      </c>
      <c r="I3618" s="1" t="s">
        <v>57626</v>
      </c>
      <c r="J3618" s="1">
        <v>9082866649</v>
      </c>
      <c r="K3618" s="1" t="s">
        <v>84</v>
      </c>
      <c r="L3618" s="1" t="s">
        <v>30740</v>
      </c>
      <c r="M3618" s="1" t="s">
        <v>86</v>
      </c>
      <c r="N3618" s="1" t="s">
        <v>1163</v>
      </c>
      <c r="O3618" s="1"/>
      <c r="P3618" s="1" t="s">
        <v>507</v>
      </c>
      <c r="Q3618" s="1" t="s">
        <v>57627</v>
      </c>
      <c r="R3618" s="1" t="s">
        <v>57628</v>
      </c>
      <c r="S3618" s="1">
        <v>8369606766</v>
      </c>
      <c r="T3618" s="1" t="s">
        <v>839</v>
      </c>
      <c r="U3618" s="1" t="s">
        <v>57629</v>
      </c>
      <c r="V3618" s="1">
        <v>9833926050</v>
      </c>
      <c r="W3618" s="1" t="s">
        <v>94</v>
      </c>
      <c r="X3618" s="1" t="s">
        <v>57630</v>
      </c>
      <c r="Y3618" s="1" t="s">
        <v>14079</v>
      </c>
      <c r="Z3618" s="1" t="s">
        <v>97</v>
      </c>
      <c r="AA3618" s="1" t="s">
        <v>98</v>
      </c>
      <c r="AB3618" s="1" t="s">
        <v>14079</v>
      </c>
      <c r="AC3618" s="1" t="s">
        <v>97</v>
      </c>
      <c r="AD3618" s="1" t="s">
        <v>98</v>
      </c>
      <c r="AE3618" s="1" t="s">
        <v>98</v>
      </c>
      <c r="AF3618" s="1" t="s">
        <v>57631</v>
      </c>
      <c r="AG3618" s="1" t="s">
        <v>2745</v>
      </c>
      <c r="AH3618" s="1" t="s">
        <v>101</v>
      </c>
      <c r="AI3618" s="1" t="s">
        <v>166</v>
      </c>
      <c r="AJ3618" s="1">
        <v>90</v>
      </c>
      <c r="AK3618" s="1"/>
      <c r="AL3618" s="1" t="s">
        <v>57632</v>
      </c>
      <c r="AM3618" s="1" t="s">
        <v>2745</v>
      </c>
      <c r="AN3618" s="1"/>
      <c r="AO3618" s="1" t="s">
        <v>167</v>
      </c>
      <c r="AP3618" s="1" t="s">
        <v>170</v>
      </c>
      <c r="AQ3618" s="1">
        <v>75.69</v>
      </c>
      <c r="AR3618" s="1"/>
      <c r="AS3618" s="1"/>
      <c r="AT3618" s="1"/>
      <c r="AU3618" s="1" t="s">
        <v>98</v>
      </c>
      <c r="AV3618" s="1" t="s">
        <v>98</v>
      </c>
      <c r="AW3618" s="1"/>
      <c r="AX3618" s="1"/>
      <c r="AY3618" s="1" t="s">
        <v>258</v>
      </c>
      <c r="AZ3618" s="1" t="s">
        <v>1973</v>
      </c>
      <c r="BA3618" s="1"/>
      <c r="BB3618" s="1"/>
      <c r="BC3618" s="1" t="s">
        <v>230</v>
      </c>
      <c r="BD3618" s="1" t="s">
        <v>845</v>
      </c>
      <c r="BE3618" s="1">
        <v>64.02</v>
      </c>
      <c r="BF3618" s="1">
        <v>7.03</v>
      </c>
      <c r="BG3618" s="1"/>
      <c r="BH3618" s="1"/>
      <c r="BI3618" s="1"/>
      <c r="BJ3618" s="1"/>
      <c r="BK3618" s="1" t="s">
        <v>98</v>
      </c>
      <c r="BL3618" s="1" t="s">
        <v>98</v>
      </c>
      <c r="BM3618" s="1" t="s">
        <v>98</v>
      </c>
      <c r="BN3618" s="1" t="s">
        <v>98</v>
      </c>
      <c r="BO3618" s="1" t="s">
        <v>57633</v>
      </c>
      <c r="BP3618" s="1"/>
      <c r="BQ3618" s="1"/>
      <c r="BR3618" s="1" t="s">
        <v>57634</v>
      </c>
      <c r="BS3618" s="1">
        <v>49</v>
      </c>
      <c r="BT3618" s="1"/>
      <c r="BU3618" s="1" t="str">
        <f>HYPERLINK("https://nconnect.nicmar.ac.in/storage/profile/2021-2023_AP21420_731589.jpg","Download")</f>
        <v>0</v>
      </c>
      <c r="BV3618" s="3"/>
      <c r="BW3618" s="3"/>
    </row>
    <row r="3619" spans="1:75">
      <c r="A3619" s="1" t="s">
        <v>51340</v>
      </c>
      <c r="B3619" s="1" t="s">
        <v>51341</v>
      </c>
      <c r="C3619" s="1" t="s">
        <v>57635</v>
      </c>
      <c r="D3619" s="1" t="s">
        <v>2435</v>
      </c>
      <c r="E3619" s="1"/>
      <c r="F3619" s="1" t="s">
        <v>7814</v>
      </c>
      <c r="G3619" s="1" t="s">
        <v>57636</v>
      </c>
      <c r="H3619" s="1" t="s">
        <v>57637</v>
      </c>
      <c r="I3619" s="1" t="s">
        <v>57638</v>
      </c>
      <c r="J3619" s="1">
        <v>9725049711</v>
      </c>
      <c r="K3619" s="1" t="s">
        <v>153</v>
      </c>
      <c r="L3619" s="1" t="s">
        <v>57639</v>
      </c>
      <c r="M3619" s="1" t="s">
        <v>86</v>
      </c>
      <c r="N3619" s="1" t="s">
        <v>379</v>
      </c>
      <c r="O3619" s="1"/>
      <c r="P3619" s="1" t="s">
        <v>455</v>
      </c>
      <c r="Q3619" s="1" t="s">
        <v>57640</v>
      </c>
      <c r="R3619" s="1" t="s">
        <v>57641</v>
      </c>
      <c r="S3619" s="1">
        <v>7733023806</v>
      </c>
      <c r="T3619" s="1" t="s">
        <v>33023</v>
      </c>
      <c r="U3619" s="1" t="s">
        <v>57642</v>
      </c>
      <c r="V3619" s="1">
        <v>9799099201</v>
      </c>
      <c r="W3619" s="1" t="s">
        <v>94</v>
      </c>
      <c r="X3619" s="1" t="s">
        <v>57643</v>
      </c>
      <c r="Y3619" s="1" t="s">
        <v>47941</v>
      </c>
      <c r="Z3619" s="1" t="s">
        <v>2153</v>
      </c>
      <c r="AA3619" s="1" t="s">
        <v>57644</v>
      </c>
      <c r="AB3619" s="1" t="s">
        <v>196</v>
      </c>
      <c r="AC3619" s="1" t="s">
        <v>97</v>
      </c>
      <c r="AD3619" s="1" t="s">
        <v>98</v>
      </c>
      <c r="AE3619" s="1" t="s">
        <v>98</v>
      </c>
      <c r="AF3619" s="1" t="s">
        <v>52025</v>
      </c>
      <c r="AG3619" s="1" t="s">
        <v>312</v>
      </c>
      <c r="AH3619" s="1">
        <v>41365</v>
      </c>
      <c r="AI3619" s="1">
        <v>41779</v>
      </c>
      <c r="AJ3619" s="1">
        <v>93.1</v>
      </c>
      <c r="AK3619" s="1">
        <v>9.8</v>
      </c>
      <c r="AL3619" s="1" t="s">
        <v>52025</v>
      </c>
      <c r="AM3619" s="1" t="s">
        <v>312</v>
      </c>
      <c r="AN3619" s="1"/>
      <c r="AO3619" s="1">
        <v>42095</v>
      </c>
      <c r="AP3619" s="1">
        <v>42511</v>
      </c>
      <c r="AQ3619" s="1">
        <v>81.8</v>
      </c>
      <c r="AR3619" s="1"/>
      <c r="AS3619" s="1"/>
      <c r="AT3619" s="1"/>
      <c r="AU3619" s="1" t="s">
        <v>98</v>
      </c>
      <c r="AV3619" s="1" t="s">
        <v>98</v>
      </c>
      <c r="AW3619" s="1" t="s">
        <v>98</v>
      </c>
      <c r="AX3619" s="1" t="s">
        <v>98</v>
      </c>
      <c r="AY3619" s="1" t="s">
        <v>5241</v>
      </c>
      <c r="AZ3619" s="1" t="s">
        <v>57645</v>
      </c>
      <c r="BA3619" s="1"/>
      <c r="BB3619" s="1"/>
      <c r="BC3619" s="1">
        <v>42552</v>
      </c>
      <c r="BD3619" s="1">
        <v>44104</v>
      </c>
      <c r="BE3619" s="1">
        <v>82.7</v>
      </c>
      <c r="BF3619" s="1">
        <v>8.77</v>
      </c>
      <c r="BG3619" s="1"/>
      <c r="BH3619" s="1"/>
      <c r="BI3619" s="1"/>
      <c r="BJ3619" s="1"/>
      <c r="BK3619" s="1" t="s">
        <v>98</v>
      </c>
      <c r="BL3619" s="1" t="s">
        <v>98</v>
      </c>
      <c r="BM3619" s="1" t="s">
        <v>98</v>
      </c>
      <c r="BN3619" s="1" t="s">
        <v>98</v>
      </c>
      <c r="BO3619" s="1" t="s">
        <v>1114</v>
      </c>
      <c r="BP3619" s="1"/>
      <c r="BQ3619" s="1"/>
      <c r="BR3619" s="1" t="s">
        <v>57646</v>
      </c>
      <c r="BS3619" s="1">
        <v>10</v>
      </c>
      <c r="BT3619" s="1"/>
      <c r="BU3619" s="1" t="str">
        <f>HYPERLINK("https://nconnect.nicmar.ac.in/storage/profile/2021-2023_AP21421_463289.jpg","Download")</f>
        <v>0</v>
      </c>
      <c r="BV3619" s="3"/>
      <c r="BW3619" s="3"/>
    </row>
    <row r="3620" spans="1:75">
      <c r="A3620" s="1" t="s">
        <v>51340</v>
      </c>
      <c r="B3620" s="1" t="s">
        <v>51341</v>
      </c>
      <c r="C3620" s="1" t="s">
        <v>57647</v>
      </c>
      <c r="D3620" s="1" t="s">
        <v>42974</v>
      </c>
      <c r="E3620" s="1"/>
      <c r="F3620" s="1" t="s">
        <v>7760</v>
      </c>
      <c r="G3620" s="1" t="s">
        <v>57648</v>
      </c>
      <c r="H3620" s="1" t="s">
        <v>57649</v>
      </c>
      <c r="I3620" s="1" t="s">
        <v>57650</v>
      </c>
      <c r="J3620" s="1">
        <v>9884699367</v>
      </c>
      <c r="K3620" s="1" t="s">
        <v>84</v>
      </c>
      <c r="L3620" s="1" t="s">
        <v>52960</v>
      </c>
      <c r="M3620" s="1" t="s">
        <v>86</v>
      </c>
      <c r="N3620" s="1" t="s">
        <v>57651</v>
      </c>
      <c r="O3620" s="1"/>
      <c r="P3620" s="1" t="s">
        <v>481</v>
      </c>
      <c r="Q3620" s="1" t="s">
        <v>57652</v>
      </c>
      <c r="R3620" s="1" t="s">
        <v>57653</v>
      </c>
      <c r="S3620" s="1">
        <v>9840986490</v>
      </c>
      <c r="T3620" s="1" t="s">
        <v>57654</v>
      </c>
      <c r="U3620" s="1" t="s">
        <v>57003</v>
      </c>
      <c r="V3620" s="1">
        <v>9884772282</v>
      </c>
      <c r="W3620" s="1" t="s">
        <v>94</v>
      </c>
      <c r="X3620" s="1" t="s">
        <v>57655</v>
      </c>
      <c r="Y3620" s="1" t="s">
        <v>1498</v>
      </c>
      <c r="Z3620" s="1" t="s">
        <v>570</v>
      </c>
      <c r="AA3620" s="1" t="s">
        <v>57655</v>
      </c>
      <c r="AB3620" s="1" t="s">
        <v>1498</v>
      </c>
      <c r="AC3620" s="1" t="s">
        <v>570</v>
      </c>
      <c r="AD3620" s="1" t="s">
        <v>98</v>
      </c>
      <c r="AE3620" s="1" t="s">
        <v>98</v>
      </c>
      <c r="AF3620" s="1" t="s">
        <v>57656</v>
      </c>
      <c r="AG3620" s="1" t="s">
        <v>53461</v>
      </c>
      <c r="AH3620" s="1">
        <v>40696</v>
      </c>
      <c r="AI3620" s="1" t="s">
        <v>57657</v>
      </c>
      <c r="AJ3620" s="1">
        <v>77.4</v>
      </c>
      <c r="AK3620" s="1"/>
      <c r="AL3620" s="1" t="s">
        <v>57658</v>
      </c>
      <c r="AM3620" s="1" t="s">
        <v>53461</v>
      </c>
      <c r="AN3620" s="1"/>
      <c r="AO3620" s="1">
        <v>41396</v>
      </c>
      <c r="AP3620" s="1">
        <v>41768</v>
      </c>
      <c r="AQ3620" s="1">
        <v>65.91</v>
      </c>
      <c r="AR3620" s="1"/>
      <c r="AS3620" s="1"/>
      <c r="AT3620" s="1"/>
      <c r="AU3620" s="1" t="s">
        <v>98</v>
      </c>
      <c r="AV3620" s="1" t="s">
        <v>98</v>
      </c>
      <c r="AW3620" s="1" t="s">
        <v>98</v>
      </c>
      <c r="AX3620" s="1" t="s">
        <v>98</v>
      </c>
      <c r="AY3620" s="1" t="s">
        <v>576</v>
      </c>
      <c r="AZ3620" s="1" t="s">
        <v>53462</v>
      </c>
      <c r="BA3620" s="1"/>
      <c r="BB3620" s="1"/>
      <c r="BC3620" s="1">
        <v>41809</v>
      </c>
      <c r="BD3620" s="1">
        <v>43354</v>
      </c>
      <c r="BE3620" s="1">
        <v>66.7</v>
      </c>
      <c r="BF3620" s="1">
        <v>6.67</v>
      </c>
      <c r="BG3620" s="1"/>
      <c r="BH3620" s="1"/>
      <c r="BI3620" s="1"/>
      <c r="BJ3620" s="1"/>
      <c r="BK3620" s="1" t="s">
        <v>98</v>
      </c>
      <c r="BL3620" s="1" t="s">
        <v>98</v>
      </c>
      <c r="BM3620" s="1" t="s">
        <v>98</v>
      </c>
      <c r="BN3620" s="1" t="s">
        <v>98</v>
      </c>
      <c r="BO3620" s="1" t="s">
        <v>33783</v>
      </c>
      <c r="BP3620" s="1" t="s">
        <v>57659</v>
      </c>
      <c r="BQ3620" s="1" t="s">
        <v>22407</v>
      </c>
      <c r="BR3620" s="1" t="s">
        <v>57660</v>
      </c>
      <c r="BS3620" s="1">
        <v>19</v>
      </c>
      <c r="BT3620" s="1"/>
      <c r="BU3620" s="1" t="str">
        <f>HYPERLINK("https://nconnect.nicmar.ac.in/storage/profile/2021-2023_AP21422_635497.jpg","Download")</f>
        <v>0</v>
      </c>
      <c r="BV3620" s="3"/>
      <c r="BW3620" s="3"/>
    </row>
    <row r="3621" spans="1:75">
      <c r="A3621" s="1" t="s">
        <v>51340</v>
      </c>
      <c r="B3621" s="1" t="s">
        <v>51341</v>
      </c>
      <c r="C3621" s="1" t="s">
        <v>57661</v>
      </c>
      <c r="D3621" s="1" t="s">
        <v>9818</v>
      </c>
      <c r="E3621" s="1"/>
      <c r="F3621" s="1" t="s">
        <v>17782</v>
      </c>
      <c r="G3621" s="1" t="s">
        <v>57662</v>
      </c>
      <c r="H3621" s="1" t="s">
        <v>57663</v>
      </c>
      <c r="I3621" s="1" t="s">
        <v>57664</v>
      </c>
      <c r="J3621" s="1">
        <v>9337825335</v>
      </c>
      <c r="K3621" s="1" t="s">
        <v>84</v>
      </c>
      <c r="L3621" s="1" t="s">
        <v>57665</v>
      </c>
      <c r="M3621" s="1" t="s">
        <v>86</v>
      </c>
      <c r="N3621" s="1" t="s">
        <v>246</v>
      </c>
      <c r="O3621" s="1"/>
      <c r="P3621" s="1" t="s">
        <v>455</v>
      </c>
      <c r="Q3621" s="1" t="s">
        <v>57666</v>
      </c>
      <c r="R3621" s="1" t="s">
        <v>57667</v>
      </c>
      <c r="S3621" s="1">
        <v>9939431311</v>
      </c>
      <c r="T3621" s="1" t="s">
        <v>839</v>
      </c>
      <c r="U3621" s="1" t="s">
        <v>47024</v>
      </c>
      <c r="V3621" s="1">
        <v>7004186949</v>
      </c>
      <c r="W3621" s="1" t="s">
        <v>57668</v>
      </c>
      <c r="X3621" s="1" t="s">
        <v>57669</v>
      </c>
      <c r="Y3621" s="1" t="s">
        <v>57670</v>
      </c>
      <c r="Z3621" s="1" t="s">
        <v>649</v>
      </c>
      <c r="AA3621" s="1" t="s">
        <v>57671</v>
      </c>
      <c r="AB3621" s="1" t="s">
        <v>196</v>
      </c>
      <c r="AC3621" s="1" t="s">
        <v>97</v>
      </c>
      <c r="AD3621" s="1" t="s">
        <v>98</v>
      </c>
      <c r="AE3621" s="1" t="s">
        <v>98</v>
      </c>
      <c r="AF3621" s="1" t="s">
        <v>57672</v>
      </c>
      <c r="AG3621" s="1" t="s">
        <v>312</v>
      </c>
      <c r="AH3621" s="1">
        <v>40637</v>
      </c>
      <c r="AI3621" s="1">
        <v>41053</v>
      </c>
      <c r="AJ3621" s="1">
        <v>85.5</v>
      </c>
      <c r="AK3621" s="1">
        <v>9</v>
      </c>
      <c r="AL3621" s="1" t="s">
        <v>57673</v>
      </c>
      <c r="AM3621" s="1" t="s">
        <v>312</v>
      </c>
      <c r="AN3621" s="1"/>
      <c r="AO3621" s="1">
        <v>41733</v>
      </c>
      <c r="AP3621" s="1">
        <v>42160</v>
      </c>
      <c r="AQ3621" s="1">
        <v>70.4</v>
      </c>
      <c r="AR3621" s="1"/>
      <c r="AS3621" s="1"/>
      <c r="AT3621" s="1"/>
      <c r="AU3621" s="1" t="s">
        <v>98</v>
      </c>
      <c r="AV3621" s="1" t="s">
        <v>98</v>
      </c>
      <c r="AW3621" s="1" t="s">
        <v>98</v>
      </c>
      <c r="AX3621" s="1" t="s">
        <v>98</v>
      </c>
      <c r="AY3621" s="1" t="s">
        <v>5106</v>
      </c>
      <c r="AZ3621" s="1" t="s">
        <v>57674</v>
      </c>
      <c r="BA3621" s="1"/>
      <c r="BB3621" s="1"/>
      <c r="BC3621" s="1">
        <v>42207</v>
      </c>
      <c r="BD3621" s="1">
        <v>43610</v>
      </c>
      <c r="BE3621" s="1">
        <v>62.2</v>
      </c>
      <c r="BF3621" s="1">
        <v>6.22</v>
      </c>
      <c r="BG3621" s="1"/>
      <c r="BH3621" s="1"/>
      <c r="BI3621" s="1"/>
      <c r="BJ3621" s="1"/>
      <c r="BK3621" s="1" t="s">
        <v>98</v>
      </c>
      <c r="BL3621" s="1" t="s">
        <v>98</v>
      </c>
      <c r="BM3621" s="1" t="s">
        <v>98</v>
      </c>
      <c r="BN3621" s="1" t="s">
        <v>98</v>
      </c>
      <c r="BO3621" s="1" t="s">
        <v>16194</v>
      </c>
      <c r="BP3621" s="1"/>
      <c r="BQ3621" s="1"/>
      <c r="BR3621" s="1" t="s">
        <v>57675</v>
      </c>
      <c r="BS3621" s="1">
        <v>13</v>
      </c>
      <c r="BT3621" s="1"/>
      <c r="BU3621" s="1" t="str">
        <f>HYPERLINK("https://nconnect.nicmar.ac.in/storage/profile/2021-2023_AP21423_192658.jpg","Download")</f>
        <v>0</v>
      </c>
      <c r="BV3621" s="3"/>
      <c r="BW3621" s="3"/>
    </row>
    <row r="3622" spans="1:75">
      <c r="A3622" s="1" t="s">
        <v>51340</v>
      </c>
      <c r="B3622" s="1" t="s">
        <v>51341</v>
      </c>
      <c r="C3622" s="1" t="s">
        <v>57676</v>
      </c>
      <c r="D3622" s="1" t="s">
        <v>2465</v>
      </c>
      <c r="E3622" s="1" t="s">
        <v>1020</v>
      </c>
      <c r="F3622" s="1" t="s">
        <v>17338</v>
      </c>
      <c r="G3622" s="1" t="s">
        <v>57677</v>
      </c>
      <c r="H3622" s="1" t="s">
        <v>57678</v>
      </c>
      <c r="I3622" s="1" t="s">
        <v>57679</v>
      </c>
      <c r="J3622" s="1">
        <v>8108888918</v>
      </c>
      <c r="K3622" s="1" t="s">
        <v>84</v>
      </c>
      <c r="L3622" s="1" t="s">
        <v>57680</v>
      </c>
      <c r="M3622" s="1" t="s">
        <v>86</v>
      </c>
      <c r="N3622" s="1" t="s">
        <v>903</v>
      </c>
      <c r="O3622" s="1"/>
      <c r="P3622" s="1" t="s">
        <v>507</v>
      </c>
      <c r="Q3622" s="1" t="s">
        <v>57681</v>
      </c>
      <c r="R3622" s="1" t="s">
        <v>57682</v>
      </c>
      <c r="S3622" s="1">
        <v>9987686668</v>
      </c>
      <c r="T3622" s="1" t="s">
        <v>4486</v>
      </c>
      <c r="U3622" s="1" t="s">
        <v>57683</v>
      </c>
      <c r="V3622" s="1">
        <v>7715019594</v>
      </c>
      <c r="W3622" s="1" t="s">
        <v>278</v>
      </c>
      <c r="X3622" s="1" t="s">
        <v>57684</v>
      </c>
      <c r="Y3622" s="1" t="s">
        <v>14079</v>
      </c>
      <c r="Z3622" s="1" t="s">
        <v>97</v>
      </c>
      <c r="AA3622" s="1" t="s">
        <v>57684</v>
      </c>
      <c r="AB3622" s="1" t="s">
        <v>14079</v>
      </c>
      <c r="AC3622" s="1" t="s">
        <v>97</v>
      </c>
      <c r="AD3622" s="1" t="s">
        <v>98</v>
      </c>
      <c r="AE3622" s="1" t="s">
        <v>98</v>
      </c>
      <c r="AF3622" s="1" t="s">
        <v>57685</v>
      </c>
      <c r="AG3622" s="1" t="s">
        <v>2745</v>
      </c>
      <c r="AH3622" s="1">
        <v>40708</v>
      </c>
      <c r="AI3622" s="1">
        <v>40988</v>
      </c>
      <c r="AJ3622" s="1">
        <v>66.2</v>
      </c>
      <c r="AK3622" s="1"/>
      <c r="AL3622" s="1" t="s">
        <v>57686</v>
      </c>
      <c r="AM3622" s="1" t="s">
        <v>2745</v>
      </c>
      <c r="AN3622" s="1"/>
      <c r="AO3622" s="1">
        <v>41428</v>
      </c>
      <c r="AP3622" s="1">
        <v>41681</v>
      </c>
      <c r="AQ3622" s="1">
        <v>62.15</v>
      </c>
      <c r="AR3622" s="1"/>
      <c r="AS3622" s="1"/>
      <c r="AT3622" s="1"/>
      <c r="AU3622" s="1" t="s">
        <v>98</v>
      </c>
      <c r="AV3622" s="1" t="s">
        <v>98</v>
      </c>
      <c r="AW3622" s="1" t="s">
        <v>98</v>
      </c>
      <c r="AX3622" s="1" t="s">
        <v>98</v>
      </c>
      <c r="AY3622" s="1" t="s">
        <v>258</v>
      </c>
      <c r="AZ3622" s="1" t="s">
        <v>57687</v>
      </c>
      <c r="BA3622" s="1"/>
      <c r="BB3622" s="1"/>
      <c r="BC3622" s="1">
        <v>41792</v>
      </c>
      <c r="BD3622" s="1">
        <v>43771</v>
      </c>
      <c r="BE3622" s="1">
        <v>69.35</v>
      </c>
      <c r="BF3622" s="1">
        <v>7.75</v>
      </c>
      <c r="BG3622" s="1"/>
      <c r="BH3622" s="1"/>
      <c r="BI3622" s="1"/>
      <c r="BJ3622" s="1"/>
      <c r="BK3622" s="1" t="s">
        <v>98</v>
      </c>
      <c r="BL3622" s="1" t="s">
        <v>98</v>
      </c>
      <c r="BM3622" s="1" t="s">
        <v>98</v>
      </c>
      <c r="BN3622" s="1" t="s">
        <v>98</v>
      </c>
      <c r="BO3622" s="1" t="s">
        <v>369</v>
      </c>
      <c r="BP3622" s="1" t="s">
        <v>57688</v>
      </c>
      <c r="BQ3622" s="1" t="s">
        <v>2245</v>
      </c>
      <c r="BR3622" s="1" t="s">
        <v>57689</v>
      </c>
      <c r="BS3622" s="1">
        <v>30</v>
      </c>
      <c r="BT3622" s="1"/>
      <c r="BU3622" s="1" t="str">
        <f>HYPERLINK("https://nconnect.nicmar.ac.in/storage/profile/2021-2023_AP21424_937521.jpg","Download")</f>
        <v>0</v>
      </c>
      <c r="BV3622" s="3"/>
      <c r="BW3622" s="3"/>
    </row>
    <row r="3623" spans="1:75">
      <c r="A3623" s="1" t="s">
        <v>51340</v>
      </c>
      <c r="B3623" s="1" t="s">
        <v>51341</v>
      </c>
      <c r="C3623" s="1" t="s">
        <v>57690</v>
      </c>
      <c r="D3623" s="1" t="s">
        <v>57691</v>
      </c>
      <c r="E3623" s="1" t="s">
        <v>57692</v>
      </c>
      <c r="F3623" s="1" t="s">
        <v>2538</v>
      </c>
      <c r="G3623" s="1" t="s">
        <v>57693</v>
      </c>
      <c r="H3623" s="1" t="s">
        <v>57694</v>
      </c>
      <c r="I3623" s="1" t="s">
        <v>57695</v>
      </c>
      <c r="J3623" s="1">
        <v>8888083622</v>
      </c>
      <c r="K3623" s="1" t="s">
        <v>84</v>
      </c>
      <c r="L3623" s="1" t="s">
        <v>57696</v>
      </c>
      <c r="M3623" s="1" t="s">
        <v>86</v>
      </c>
      <c r="N3623" s="1" t="s">
        <v>379</v>
      </c>
      <c r="O3623" s="1"/>
      <c r="P3623" s="1" t="s">
        <v>455</v>
      </c>
      <c r="Q3623" s="1" t="s">
        <v>57697</v>
      </c>
      <c r="R3623" s="1" t="s">
        <v>57698</v>
      </c>
      <c r="S3623" s="1">
        <v>9820561108</v>
      </c>
      <c r="T3623" s="1" t="s">
        <v>159</v>
      </c>
      <c r="U3623" s="1" t="s">
        <v>57699</v>
      </c>
      <c r="V3623" s="1">
        <v>9607083622</v>
      </c>
      <c r="W3623" s="1" t="s">
        <v>94</v>
      </c>
      <c r="X3623" s="1" t="s">
        <v>57700</v>
      </c>
      <c r="Y3623" s="1" t="s">
        <v>196</v>
      </c>
      <c r="Z3623" s="1" t="s">
        <v>97</v>
      </c>
      <c r="AA3623" s="1" t="s">
        <v>57701</v>
      </c>
      <c r="AB3623" s="1" t="s">
        <v>196</v>
      </c>
      <c r="AC3623" s="1" t="s">
        <v>97</v>
      </c>
      <c r="AD3623" s="1" t="s">
        <v>98</v>
      </c>
      <c r="AE3623" s="1" t="s">
        <v>98</v>
      </c>
      <c r="AF3623" s="1" t="s">
        <v>57702</v>
      </c>
      <c r="AG3623" s="1" t="s">
        <v>312</v>
      </c>
      <c r="AH3623" s="1" t="s">
        <v>2726</v>
      </c>
      <c r="AI3623" s="1" t="s">
        <v>134</v>
      </c>
      <c r="AJ3623" s="1">
        <v>70.3</v>
      </c>
      <c r="AK3623" s="1">
        <v>7.4</v>
      </c>
      <c r="AL3623" s="1" t="s">
        <v>57703</v>
      </c>
      <c r="AM3623" s="1" t="s">
        <v>312</v>
      </c>
      <c r="AN3623" s="1"/>
      <c r="AO3623" s="1" t="s">
        <v>134</v>
      </c>
      <c r="AP3623" s="1" t="s">
        <v>136</v>
      </c>
      <c r="AQ3623" s="1">
        <v>71.2</v>
      </c>
      <c r="AR3623" s="1">
        <v>7.5</v>
      </c>
      <c r="AS3623" s="1"/>
      <c r="AT3623" s="1"/>
      <c r="AU3623" s="1" t="s">
        <v>98</v>
      </c>
      <c r="AV3623" s="1" t="s">
        <v>98</v>
      </c>
      <c r="AW3623" s="1" t="s">
        <v>98</v>
      </c>
      <c r="AX3623" s="1" t="s">
        <v>98</v>
      </c>
      <c r="AY3623" s="1" t="s">
        <v>366</v>
      </c>
      <c r="AZ3623" s="1" t="s">
        <v>57704</v>
      </c>
      <c r="BA3623" s="1"/>
      <c r="BB3623" s="1"/>
      <c r="BC3623" s="1" t="s">
        <v>136</v>
      </c>
      <c r="BD3623" s="1" t="s">
        <v>2863</v>
      </c>
      <c r="BE3623" s="1">
        <v>70.01</v>
      </c>
      <c r="BF3623" s="1">
        <v>7.84</v>
      </c>
      <c r="BG3623" s="1"/>
      <c r="BH3623" s="1"/>
      <c r="BI3623" s="1"/>
      <c r="BJ3623" s="1"/>
      <c r="BK3623" s="1" t="s">
        <v>98</v>
      </c>
      <c r="BL3623" s="1" t="s">
        <v>98</v>
      </c>
      <c r="BM3623" s="1" t="s">
        <v>98</v>
      </c>
      <c r="BN3623" s="1" t="s">
        <v>98</v>
      </c>
      <c r="BO3623" s="1" t="s">
        <v>369</v>
      </c>
      <c r="BP3623" s="1" t="s">
        <v>57705</v>
      </c>
      <c r="BQ3623" s="1" t="s">
        <v>4149</v>
      </c>
      <c r="BR3623" s="1" t="s">
        <v>57706</v>
      </c>
      <c r="BS3623" s="1">
        <v>21</v>
      </c>
      <c r="BT3623" s="1"/>
      <c r="BU3623" s="1" t="str">
        <f>HYPERLINK("https://nconnect.nicmar.ac.in/storage/profile/2021-2023_AP21425_823491.jpg","Download")</f>
        <v>0</v>
      </c>
      <c r="BV3623" s="3"/>
      <c r="BW3623" s="3"/>
    </row>
    <row r="3624" spans="1:75">
      <c r="A3624" s="1" t="s">
        <v>51340</v>
      </c>
      <c r="B3624" s="1" t="s">
        <v>51341</v>
      </c>
      <c r="C3624" s="1" t="s">
        <v>57707</v>
      </c>
      <c r="D3624" s="1" t="s">
        <v>4519</v>
      </c>
      <c r="E3624" s="1"/>
      <c r="F3624" s="1" t="s">
        <v>31769</v>
      </c>
      <c r="G3624" s="1" t="s">
        <v>57708</v>
      </c>
      <c r="H3624" s="1" t="s">
        <v>57709</v>
      </c>
      <c r="I3624" s="1" t="s">
        <v>57710</v>
      </c>
      <c r="J3624" s="1">
        <v>6295415116</v>
      </c>
      <c r="K3624" s="1" t="s">
        <v>84</v>
      </c>
      <c r="L3624" s="1" t="s">
        <v>57711</v>
      </c>
      <c r="M3624" s="1" t="s">
        <v>86</v>
      </c>
      <c r="N3624" s="1" t="s">
        <v>246</v>
      </c>
      <c r="O3624" s="1"/>
      <c r="P3624" s="1" t="s">
        <v>507</v>
      </c>
      <c r="Q3624" s="1" t="s">
        <v>57712</v>
      </c>
      <c r="R3624" s="1" t="s">
        <v>57713</v>
      </c>
      <c r="S3624" s="1">
        <v>9412744881</v>
      </c>
      <c r="T3624" s="1" t="s">
        <v>92</v>
      </c>
      <c r="U3624" s="1" t="s">
        <v>57714</v>
      </c>
      <c r="V3624" s="1">
        <v>8273751651</v>
      </c>
      <c r="W3624" s="1" t="s">
        <v>94</v>
      </c>
      <c r="X3624" s="1" t="s">
        <v>57715</v>
      </c>
      <c r="Y3624" s="1" t="s">
        <v>57716</v>
      </c>
      <c r="Z3624" s="1" t="s">
        <v>544</v>
      </c>
      <c r="AA3624" s="1" t="s">
        <v>57717</v>
      </c>
      <c r="AB3624" s="1" t="s">
        <v>910</v>
      </c>
      <c r="AC3624" s="1" t="s">
        <v>97</v>
      </c>
      <c r="AD3624" s="1" t="s">
        <v>98</v>
      </c>
      <c r="AE3624" s="1" t="s">
        <v>98</v>
      </c>
      <c r="AF3624" s="1" t="s">
        <v>1060</v>
      </c>
      <c r="AG3624" s="1" t="s">
        <v>312</v>
      </c>
      <c r="AH3624" s="1">
        <v>41502</v>
      </c>
      <c r="AI3624" s="1">
        <v>41779</v>
      </c>
      <c r="AJ3624" s="1">
        <v>74.1</v>
      </c>
      <c r="AK3624" s="1">
        <v>7.8</v>
      </c>
      <c r="AL3624" s="1" t="s">
        <v>1060</v>
      </c>
      <c r="AM3624" s="1" t="s">
        <v>312</v>
      </c>
      <c r="AN3624" s="1"/>
      <c r="AO3624" s="1">
        <v>42081</v>
      </c>
      <c r="AP3624" s="1">
        <v>42511</v>
      </c>
      <c r="AQ3624" s="1">
        <v>60.2</v>
      </c>
      <c r="AR3624" s="1"/>
      <c r="AS3624" s="1"/>
      <c r="AT3624" s="1"/>
      <c r="AU3624" s="1" t="s">
        <v>98</v>
      </c>
      <c r="AV3624" s="1" t="s">
        <v>98</v>
      </c>
      <c r="AW3624" s="1" t="s">
        <v>98</v>
      </c>
      <c r="AX3624" s="1" t="s">
        <v>98</v>
      </c>
      <c r="AY3624" s="1" t="s">
        <v>8605</v>
      </c>
      <c r="AZ3624" s="1" t="s">
        <v>34266</v>
      </c>
      <c r="BA3624" s="1"/>
      <c r="BB3624" s="1"/>
      <c r="BC3624" s="1">
        <v>42591</v>
      </c>
      <c r="BD3624" s="1">
        <v>44082</v>
      </c>
      <c r="BE3624" s="1">
        <v>65.8</v>
      </c>
      <c r="BF3624" s="1">
        <v>6.58</v>
      </c>
      <c r="BG3624" s="1"/>
      <c r="BH3624" s="1"/>
      <c r="BI3624" s="1"/>
      <c r="BJ3624" s="1"/>
      <c r="BK3624" s="1" t="s">
        <v>98</v>
      </c>
      <c r="BL3624" s="1" t="s">
        <v>98</v>
      </c>
      <c r="BM3624" s="1" t="s">
        <v>98</v>
      </c>
      <c r="BN3624" s="1" t="s">
        <v>98</v>
      </c>
      <c r="BO3624" s="1" t="s">
        <v>1705</v>
      </c>
      <c r="BP3624" s="1"/>
      <c r="BQ3624" s="1"/>
      <c r="BR3624" s="1" t="s">
        <v>57718</v>
      </c>
      <c r="BS3624" s="1">
        <v>9</v>
      </c>
      <c r="BT3624" s="1"/>
      <c r="BU3624" s="1" t="str">
        <f>HYPERLINK("https://nconnect.nicmar.ac.in/storage/profile/2021-2023_AP21426_924137.jpg","Download")</f>
        <v>0</v>
      </c>
      <c r="BV3624" s="3"/>
      <c r="BW3624" s="3"/>
    </row>
    <row r="3625" spans="1:75">
      <c r="A3625" s="1" t="s">
        <v>51340</v>
      </c>
      <c r="B3625" s="1" t="s">
        <v>51341</v>
      </c>
      <c r="C3625" s="1" t="s">
        <v>57719</v>
      </c>
      <c r="D3625" s="1" t="s">
        <v>6222</v>
      </c>
      <c r="E3625" s="1" t="s">
        <v>5171</v>
      </c>
      <c r="F3625" s="1" t="s">
        <v>57720</v>
      </c>
      <c r="G3625" s="1" t="s">
        <v>57721</v>
      </c>
      <c r="H3625" s="1" t="s">
        <v>57722</v>
      </c>
      <c r="I3625" s="1" t="s">
        <v>57723</v>
      </c>
      <c r="J3625" s="1">
        <v>8097521600</v>
      </c>
      <c r="K3625" s="1" t="s">
        <v>84</v>
      </c>
      <c r="L3625" s="1" t="s">
        <v>57724</v>
      </c>
      <c r="M3625" s="1" t="s">
        <v>86</v>
      </c>
      <c r="N3625" s="1" t="s">
        <v>1163</v>
      </c>
      <c r="O3625" s="1"/>
      <c r="P3625" s="1" t="s">
        <v>455</v>
      </c>
      <c r="Q3625" s="1" t="s">
        <v>57725</v>
      </c>
      <c r="R3625" s="1" t="s">
        <v>57726</v>
      </c>
      <c r="S3625" s="1">
        <v>9969186199</v>
      </c>
      <c r="T3625" s="1" t="s">
        <v>645</v>
      </c>
      <c r="U3625" s="1" t="s">
        <v>57727</v>
      </c>
      <c r="V3625" s="1">
        <v>9892030621</v>
      </c>
      <c r="W3625" s="1" t="s">
        <v>645</v>
      </c>
      <c r="X3625" s="1" t="s">
        <v>57728</v>
      </c>
      <c r="Y3625" s="1" t="s">
        <v>52420</v>
      </c>
      <c r="Z3625" s="1" t="s">
        <v>97</v>
      </c>
      <c r="AA3625" s="1" t="s">
        <v>57728</v>
      </c>
      <c r="AB3625" s="1" t="s">
        <v>52420</v>
      </c>
      <c r="AC3625" s="1" t="s">
        <v>97</v>
      </c>
      <c r="AD3625" s="1" t="s">
        <v>98</v>
      </c>
      <c r="AE3625" s="1" t="s">
        <v>98</v>
      </c>
      <c r="AF3625" s="1" t="s">
        <v>41270</v>
      </c>
      <c r="AG3625" s="1" t="s">
        <v>775</v>
      </c>
      <c r="AH3625" s="1" t="s">
        <v>3421</v>
      </c>
      <c r="AI3625" s="1" t="s">
        <v>1214</v>
      </c>
      <c r="AJ3625" s="1">
        <v>64.2</v>
      </c>
      <c r="AK3625" s="1">
        <v>7.2</v>
      </c>
      <c r="AL3625" s="1"/>
      <c r="AM3625" s="1"/>
      <c r="AN3625" s="1"/>
      <c r="AO3625" s="1">
        <v>42036</v>
      </c>
      <c r="AP3625" s="1">
        <v>42401</v>
      </c>
      <c r="AQ3625" s="1"/>
      <c r="AR3625" s="1"/>
      <c r="AS3625" s="1" t="s">
        <v>103</v>
      </c>
      <c r="AT3625" s="1" t="s">
        <v>57729</v>
      </c>
      <c r="AU3625" s="1" t="s">
        <v>139</v>
      </c>
      <c r="AV3625" s="1" t="s">
        <v>106</v>
      </c>
      <c r="AW3625" s="1">
        <v>72.36</v>
      </c>
      <c r="AX3625" s="1"/>
      <c r="AY3625" s="1" t="s">
        <v>258</v>
      </c>
      <c r="AZ3625" s="1" t="s">
        <v>57730</v>
      </c>
      <c r="BA3625" s="1"/>
      <c r="BB3625" s="1"/>
      <c r="BC3625" s="1" t="s">
        <v>1065</v>
      </c>
      <c r="BD3625" s="1" t="s">
        <v>845</v>
      </c>
      <c r="BE3625" s="1">
        <v>69.52</v>
      </c>
      <c r="BF3625" s="1">
        <v>7.78</v>
      </c>
      <c r="BG3625" s="1"/>
      <c r="BH3625" s="1"/>
      <c r="BI3625" s="1"/>
      <c r="BJ3625" s="1"/>
      <c r="BK3625" s="1" t="s">
        <v>98</v>
      </c>
      <c r="BL3625" s="1" t="s">
        <v>98</v>
      </c>
      <c r="BM3625" s="1" t="s">
        <v>98</v>
      </c>
      <c r="BN3625" s="1" t="s">
        <v>98</v>
      </c>
      <c r="BO3625" s="1" t="s">
        <v>1705</v>
      </c>
      <c r="BP3625" s="1"/>
      <c r="BQ3625" s="1"/>
      <c r="BR3625" s="1" t="s">
        <v>57731</v>
      </c>
      <c r="BS3625" s="1">
        <v>13</v>
      </c>
      <c r="BT3625" s="1"/>
      <c r="BU3625" s="1" t="str">
        <f>HYPERLINK("https://nconnect.nicmar.ac.in/storage/profile/2021-2023_AP21427_762413.jpeg","Download")</f>
        <v>0</v>
      </c>
      <c r="BV3625" s="3"/>
      <c r="BW3625" s="3"/>
    </row>
    <row r="3626" spans="1:75">
      <c r="A3626" s="1" t="s">
        <v>51340</v>
      </c>
      <c r="B3626" s="1" t="s">
        <v>51341</v>
      </c>
      <c r="C3626" s="1" t="s">
        <v>57732</v>
      </c>
      <c r="D3626" s="1" t="s">
        <v>57733</v>
      </c>
      <c r="E3626" s="1"/>
      <c r="F3626" s="1" t="s">
        <v>32073</v>
      </c>
      <c r="G3626" s="1" t="s">
        <v>57734</v>
      </c>
      <c r="H3626" s="1" t="s">
        <v>57735</v>
      </c>
      <c r="I3626" s="1" t="s">
        <v>57736</v>
      </c>
      <c r="J3626" s="1">
        <v>8937855265</v>
      </c>
      <c r="K3626" s="1" t="s">
        <v>84</v>
      </c>
      <c r="L3626" s="1" t="s">
        <v>57724</v>
      </c>
      <c r="M3626" s="1" t="s">
        <v>86</v>
      </c>
      <c r="N3626" s="1" t="s">
        <v>57737</v>
      </c>
      <c r="O3626" s="1"/>
      <c r="P3626" s="1" t="s">
        <v>455</v>
      </c>
      <c r="Q3626" s="1" t="s">
        <v>57738</v>
      </c>
      <c r="R3626" s="1" t="s">
        <v>57739</v>
      </c>
      <c r="S3626" s="1">
        <v>9045001841</v>
      </c>
      <c r="T3626" s="1" t="s">
        <v>926</v>
      </c>
      <c r="U3626" s="1" t="s">
        <v>57740</v>
      </c>
      <c r="V3626" s="1">
        <v>9690202408</v>
      </c>
      <c r="W3626" s="1" t="s">
        <v>94</v>
      </c>
      <c r="X3626" s="1" t="s">
        <v>57741</v>
      </c>
      <c r="Y3626" s="1" t="s">
        <v>14415</v>
      </c>
      <c r="Z3626" s="1" t="s">
        <v>544</v>
      </c>
      <c r="AA3626" s="1" t="s">
        <v>98</v>
      </c>
      <c r="AB3626" s="1" t="s">
        <v>196</v>
      </c>
      <c r="AC3626" s="1" t="s">
        <v>97</v>
      </c>
      <c r="AD3626" s="1" t="s">
        <v>98</v>
      </c>
      <c r="AE3626" s="1" t="s">
        <v>98</v>
      </c>
      <c r="AF3626" s="1" t="s">
        <v>57742</v>
      </c>
      <c r="AG3626" s="1" t="s">
        <v>52026</v>
      </c>
      <c r="AH3626" s="1">
        <v>41367</v>
      </c>
      <c r="AI3626" s="1">
        <v>41733</v>
      </c>
      <c r="AJ3626" s="1">
        <v>88.66</v>
      </c>
      <c r="AK3626" s="1"/>
      <c r="AL3626" s="1" t="s">
        <v>57743</v>
      </c>
      <c r="AM3626" s="1" t="s">
        <v>52026</v>
      </c>
      <c r="AN3626" s="1"/>
      <c r="AO3626" s="1">
        <v>42095</v>
      </c>
      <c r="AP3626" s="1">
        <v>42464</v>
      </c>
      <c r="AQ3626" s="1">
        <v>75.8</v>
      </c>
      <c r="AR3626" s="1"/>
      <c r="AS3626" s="1"/>
      <c r="AT3626" s="1"/>
      <c r="AU3626" s="1" t="s">
        <v>98</v>
      </c>
      <c r="AV3626" s="1" t="s">
        <v>98</v>
      </c>
      <c r="AW3626" s="1" t="s">
        <v>98</v>
      </c>
      <c r="AX3626" s="1" t="s">
        <v>98</v>
      </c>
      <c r="AY3626" s="1" t="s">
        <v>4569</v>
      </c>
      <c r="AZ3626" s="1" t="s">
        <v>57744</v>
      </c>
      <c r="BA3626" s="1"/>
      <c r="BB3626" s="1"/>
      <c r="BC3626" s="1">
        <v>42586</v>
      </c>
      <c r="BD3626" s="1">
        <v>44445</v>
      </c>
      <c r="BE3626" s="1">
        <v>76.6</v>
      </c>
      <c r="BF3626" s="1">
        <v>7.66</v>
      </c>
      <c r="BG3626" s="1"/>
      <c r="BH3626" s="1"/>
      <c r="BI3626" s="1"/>
      <c r="BJ3626" s="1"/>
      <c r="BK3626" s="1" t="s">
        <v>98</v>
      </c>
      <c r="BL3626" s="1" t="s">
        <v>98</v>
      </c>
      <c r="BM3626" s="1" t="s">
        <v>98</v>
      </c>
      <c r="BN3626" s="1" t="s">
        <v>98</v>
      </c>
      <c r="BO3626" s="1" t="s">
        <v>369</v>
      </c>
      <c r="BP3626" s="1"/>
      <c r="BQ3626" s="1"/>
      <c r="BR3626" s="1" t="s">
        <v>57745</v>
      </c>
      <c r="BS3626" s="1">
        <v>29</v>
      </c>
      <c r="BT3626" s="1"/>
      <c r="BU3626" s="1" t="str">
        <f>HYPERLINK("https://nconnect.nicmar.ac.in/storage/profile/2021-2023_AP21428_738941.jpg","Download")</f>
        <v>0</v>
      </c>
      <c r="BV3626" s="3"/>
      <c r="BW3626" s="3"/>
    </row>
    <row r="3627" spans="1:75">
      <c r="A3627" s="1" t="s">
        <v>51340</v>
      </c>
      <c r="B3627" s="1" t="s">
        <v>51341</v>
      </c>
      <c r="C3627" s="1" t="s">
        <v>57746</v>
      </c>
      <c r="D3627" s="1" t="s">
        <v>1404</v>
      </c>
      <c r="E3627" s="1" t="s">
        <v>41415</v>
      </c>
      <c r="F3627" s="1" t="s">
        <v>57747</v>
      </c>
      <c r="G3627" s="1" t="s">
        <v>57748</v>
      </c>
      <c r="H3627" s="1" t="s">
        <v>57749</v>
      </c>
      <c r="I3627" s="1" t="s">
        <v>57750</v>
      </c>
      <c r="J3627" s="1">
        <v>8639793090</v>
      </c>
      <c r="K3627" s="1" t="s">
        <v>84</v>
      </c>
      <c r="L3627" s="1" t="s">
        <v>2755</v>
      </c>
      <c r="M3627" s="1" t="s">
        <v>86</v>
      </c>
      <c r="N3627" s="1" t="s">
        <v>3458</v>
      </c>
      <c r="O3627" s="1"/>
      <c r="P3627" s="1" t="s">
        <v>507</v>
      </c>
      <c r="Q3627" s="1" t="s">
        <v>57751</v>
      </c>
      <c r="R3627" s="1" t="s">
        <v>57752</v>
      </c>
      <c r="S3627" s="1">
        <v>9866921122</v>
      </c>
      <c r="T3627" s="1" t="s">
        <v>539</v>
      </c>
      <c r="U3627" s="1" t="s">
        <v>57753</v>
      </c>
      <c r="V3627" s="1">
        <v>9949118877</v>
      </c>
      <c r="W3627" s="1" t="s">
        <v>127</v>
      </c>
      <c r="X3627" s="1" t="s">
        <v>57754</v>
      </c>
      <c r="Y3627" s="1" t="s">
        <v>1454</v>
      </c>
      <c r="Z3627" s="1" t="s">
        <v>281</v>
      </c>
      <c r="AA3627" s="1" t="s">
        <v>57754</v>
      </c>
      <c r="AB3627" s="1" t="s">
        <v>1454</v>
      </c>
      <c r="AC3627" s="1" t="s">
        <v>281</v>
      </c>
      <c r="AD3627" s="1" t="s">
        <v>98</v>
      </c>
      <c r="AE3627" s="1" t="s">
        <v>98</v>
      </c>
      <c r="AF3627" s="1" t="s">
        <v>57755</v>
      </c>
      <c r="AG3627" s="1" t="s">
        <v>6474</v>
      </c>
      <c r="AH3627" s="1">
        <v>41760</v>
      </c>
      <c r="AI3627" s="1">
        <v>42142</v>
      </c>
      <c r="AJ3627" s="1">
        <v>74.4</v>
      </c>
      <c r="AK3627" s="1">
        <v>7.44</v>
      </c>
      <c r="AL3627" s="1" t="s">
        <v>1843</v>
      </c>
      <c r="AM3627" s="1" t="s">
        <v>15114</v>
      </c>
      <c r="AN3627" s="1"/>
      <c r="AO3627" s="1">
        <v>42156</v>
      </c>
      <c r="AP3627" s="1">
        <v>42838</v>
      </c>
      <c r="AQ3627" s="1">
        <v>85.8</v>
      </c>
      <c r="AR3627" s="1">
        <v>8.58</v>
      </c>
      <c r="AS3627" s="1" t="s">
        <v>98</v>
      </c>
      <c r="AT3627" s="1" t="s">
        <v>98</v>
      </c>
      <c r="AU3627" s="1" t="s">
        <v>98</v>
      </c>
      <c r="AV3627" s="1" t="s">
        <v>98</v>
      </c>
      <c r="AW3627" s="1" t="s">
        <v>98</v>
      </c>
      <c r="AX3627" s="1" t="s">
        <v>98</v>
      </c>
      <c r="AY3627" s="1" t="s">
        <v>57756</v>
      </c>
      <c r="AZ3627" s="1" t="s">
        <v>57756</v>
      </c>
      <c r="BA3627" s="1"/>
      <c r="BB3627" s="1"/>
      <c r="BC3627" s="1">
        <v>42873</v>
      </c>
      <c r="BD3627" s="1">
        <v>44428</v>
      </c>
      <c r="BE3627" s="1">
        <v>67.9</v>
      </c>
      <c r="BF3627" s="1">
        <v>6.79</v>
      </c>
      <c r="BG3627" s="1" t="s">
        <v>98</v>
      </c>
      <c r="BH3627" s="1"/>
      <c r="BI3627" s="1"/>
      <c r="BJ3627" s="1"/>
      <c r="BK3627" s="1" t="s">
        <v>98</v>
      </c>
      <c r="BL3627" s="1" t="s">
        <v>98</v>
      </c>
      <c r="BM3627" s="1" t="s">
        <v>98</v>
      </c>
      <c r="BN3627" s="1" t="s">
        <v>98</v>
      </c>
      <c r="BO3627" s="1"/>
      <c r="BP3627" s="1"/>
      <c r="BQ3627" s="1"/>
      <c r="BR3627" s="1" t="s">
        <v>57757</v>
      </c>
      <c r="BS3627" s="1">
        <v>12</v>
      </c>
      <c r="BT3627" s="1"/>
      <c r="BU3627" s="1" t="str">
        <f>HYPERLINK("https://nconnect.nicmar.ac.in/storage/profile/2021-2023_AP21429_481356.jpg","Download")</f>
        <v>0</v>
      </c>
      <c r="BV3627" s="3"/>
      <c r="BW3627" s="3"/>
    </row>
    <row r="3628" spans="1:75">
      <c r="A3628" s="1" t="s">
        <v>51340</v>
      </c>
      <c r="B3628" s="1" t="s">
        <v>51341</v>
      </c>
      <c r="C3628" s="1" t="s">
        <v>57758</v>
      </c>
      <c r="D3628" s="1" t="s">
        <v>57759</v>
      </c>
      <c r="E3628" s="1"/>
      <c r="F3628" s="1" t="s">
        <v>32533</v>
      </c>
      <c r="G3628" s="1" t="s">
        <v>57760</v>
      </c>
      <c r="H3628" s="1" t="s">
        <v>57761</v>
      </c>
      <c r="I3628" s="1" t="s">
        <v>57762</v>
      </c>
      <c r="J3628" s="1">
        <v>9958387056</v>
      </c>
      <c r="K3628" s="1" t="s">
        <v>84</v>
      </c>
      <c r="L3628" s="1" t="s">
        <v>57763</v>
      </c>
      <c r="M3628" s="1" t="s">
        <v>86</v>
      </c>
      <c r="N3628" s="1" t="s">
        <v>57764</v>
      </c>
      <c r="O3628" s="1"/>
      <c r="P3628" s="1" t="s">
        <v>2062</v>
      </c>
      <c r="Q3628" s="1" t="s">
        <v>57765</v>
      </c>
      <c r="R3628" s="1" t="s">
        <v>57766</v>
      </c>
      <c r="S3628" s="1">
        <v>9868283099</v>
      </c>
      <c r="T3628" s="1" t="s">
        <v>57767</v>
      </c>
      <c r="U3628" s="1" t="s">
        <v>57768</v>
      </c>
      <c r="V3628" s="1">
        <v>9971626789</v>
      </c>
      <c r="W3628" s="1" t="s">
        <v>94</v>
      </c>
      <c r="X3628" s="1" t="s">
        <v>57769</v>
      </c>
      <c r="Y3628" s="1" t="s">
        <v>32752</v>
      </c>
      <c r="Z3628" s="1" t="s">
        <v>1739</v>
      </c>
      <c r="AA3628" s="1" t="s">
        <v>57769</v>
      </c>
      <c r="AB3628" s="1" t="s">
        <v>32752</v>
      </c>
      <c r="AC3628" s="1" t="s">
        <v>1739</v>
      </c>
      <c r="AD3628" s="1" t="s">
        <v>98</v>
      </c>
      <c r="AE3628" s="1" t="s">
        <v>98</v>
      </c>
      <c r="AF3628" s="1" t="s">
        <v>57770</v>
      </c>
      <c r="AG3628" s="1" t="s">
        <v>312</v>
      </c>
      <c r="AH3628" s="1">
        <v>40637</v>
      </c>
      <c r="AI3628" s="1">
        <v>41053</v>
      </c>
      <c r="AJ3628" s="1">
        <v>70.3</v>
      </c>
      <c r="AK3628" s="1">
        <v>7.4</v>
      </c>
      <c r="AL3628" s="1" t="s">
        <v>57770</v>
      </c>
      <c r="AM3628" s="1" t="s">
        <v>312</v>
      </c>
      <c r="AN3628" s="1"/>
      <c r="AO3628" s="1">
        <v>41365</v>
      </c>
      <c r="AP3628" s="1">
        <v>41788</v>
      </c>
      <c r="AQ3628" s="1">
        <v>79</v>
      </c>
      <c r="AR3628" s="1" t="s">
        <v>98</v>
      </c>
      <c r="AS3628" s="1" t="s">
        <v>98</v>
      </c>
      <c r="AT3628" s="1" t="s">
        <v>98</v>
      </c>
      <c r="AU3628" s="1" t="s">
        <v>98</v>
      </c>
      <c r="AV3628" s="1" t="s">
        <v>98</v>
      </c>
      <c r="AW3628" s="1" t="s">
        <v>98</v>
      </c>
      <c r="AX3628" s="1" t="s">
        <v>98</v>
      </c>
      <c r="AY3628" s="1" t="s">
        <v>25612</v>
      </c>
      <c r="AZ3628" s="1" t="s">
        <v>41033</v>
      </c>
      <c r="BA3628" s="1"/>
      <c r="BB3628" s="1"/>
      <c r="BC3628" s="1">
        <v>41830</v>
      </c>
      <c r="BD3628" s="1">
        <v>43778</v>
      </c>
      <c r="BE3628" s="1">
        <v>61</v>
      </c>
      <c r="BF3628" s="1">
        <v>6.1</v>
      </c>
      <c r="BG3628" s="1" t="s">
        <v>98</v>
      </c>
      <c r="BH3628" s="1"/>
      <c r="BI3628" s="1"/>
      <c r="BJ3628" s="1"/>
      <c r="BK3628" s="1" t="s">
        <v>98</v>
      </c>
      <c r="BL3628" s="1" t="s">
        <v>98</v>
      </c>
      <c r="BM3628" s="1" t="s">
        <v>98</v>
      </c>
      <c r="BN3628" s="1" t="s">
        <v>98</v>
      </c>
      <c r="BO3628" s="1"/>
      <c r="BP3628" s="1" t="s">
        <v>57771</v>
      </c>
      <c r="BQ3628" s="1" t="s">
        <v>4149</v>
      </c>
      <c r="BR3628" s="1" t="s">
        <v>57772</v>
      </c>
      <c r="BS3628" s="1">
        <v>233</v>
      </c>
      <c r="BT3628" s="1"/>
      <c r="BU3628" s="1" t="str">
        <f>HYPERLINK("https://nconnect.nicmar.ac.in/storage/profile/2021-2023_AP21430_125374.jpg","Download")</f>
        <v>0</v>
      </c>
      <c r="BV3628" s="3"/>
      <c r="BW3628" s="3"/>
    </row>
    <row r="3629" spans="1:75">
      <c r="A3629" s="1" t="s">
        <v>51340</v>
      </c>
      <c r="B3629" s="1" t="s">
        <v>51341</v>
      </c>
      <c r="C3629" s="1" t="s">
        <v>57773</v>
      </c>
      <c r="D3629" s="1" t="s">
        <v>7146</v>
      </c>
      <c r="E3629" s="1" t="s">
        <v>1320</v>
      </c>
      <c r="F3629" s="1" t="s">
        <v>57774</v>
      </c>
      <c r="G3629" s="1" t="s">
        <v>57775</v>
      </c>
      <c r="H3629" s="1" t="s">
        <v>57776</v>
      </c>
      <c r="I3629" s="1" t="s">
        <v>57777</v>
      </c>
      <c r="J3629" s="1">
        <v>8340043464</v>
      </c>
      <c r="K3629" s="1" t="s">
        <v>84</v>
      </c>
      <c r="L3629" s="1" t="s">
        <v>57778</v>
      </c>
      <c r="M3629" s="1" t="s">
        <v>86</v>
      </c>
      <c r="N3629" s="1" t="s">
        <v>57779</v>
      </c>
      <c r="O3629" s="1"/>
      <c r="P3629" s="1" t="s">
        <v>481</v>
      </c>
      <c r="Q3629" s="1" t="s">
        <v>57780</v>
      </c>
      <c r="R3629" s="1" t="s">
        <v>57781</v>
      </c>
      <c r="S3629" s="1">
        <v>9515758077</v>
      </c>
      <c r="T3629" s="1" t="s">
        <v>33448</v>
      </c>
      <c r="U3629" s="1" t="s">
        <v>57782</v>
      </c>
      <c r="V3629" s="1">
        <v>7995621150</v>
      </c>
      <c r="W3629" s="1" t="s">
        <v>94</v>
      </c>
      <c r="X3629" s="1" t="s">
        <v>57783</v>
      </c>
      <c r="Y3629" s="1" t="s">
        <v>1454</v>
      </c>
      <c r="Z3629" s="1" t="s">
        <v>281</v>
      </c>
      <c r="AA3629" s="1" t="s">
        <v>57783</v>
      </c>
      <c r="AB3629" s="1" t="s">
        <v>1454</v>
      </c>
      <c r="AC3629" s="1" t="s">
        <v>281</v>
      </c>
      <c r="AD3629" s="1" t="s">
        <v>98</v>
      </c>
      <c r="AE3629" s="1" t="s">
        <v>98</v>
      </c>
      <c r="AF3629" s="1" t="s">
        <v>57784</v>
      </c>
      <c r="AG3629" s="1" t="s">
        <v>2475</v>
      </c>
      <c r="AH3629" s="1" t="s">
        <v>56513</v>
      </c>
      <c r="AI3629" s="1" t="s">
        <v>53806</v>
      </c>
      <c r="AJ3629" s="1">
        <v>79.8</v>
      </c>
      <c r="AK3629" s="1">
        <v>8.4</v>
      </c>
      <c r="AL3629" s="1" t="s">
        <v>57785</v>
      </c>
      <c r="AM3629" s="1" t="s">
        <v>2475</v>
      </c>
      <c r="AN3629" s="1"/>
      <c r="AO3629" s="1" t="s">
        <v>55990</v>
      </c>
      <c r="AP3629" s="1" t="s">
        <v>53808</v>
      </c>
      <c r="AQ3629" s="1">
        <v>71.4</v>
      </c>
      <c r="AR3629" s="1">
        <v>0</v>
      </c>
      <c r="AS3629" s="1"/>
      <c r="AT3629" s="1"/>
      <c r="AU3629" s="1" t="s">
        <v>98</v>
      </c>
      <c r="AV3629" s="1" t="s">
        <v>98</v>
      </c>
      <c r="AW3629" s="1" t="s">
        <v>98</v>
      </c>
      <c r="AX3629" s="1" t="s">
        <v>98</v>
      </c>
      <c r="AY3629" s="1" t="s">
        <v>53028</v>
      </c>
      <c r="AZ3629" s="1" t="s">
        <v>53028</v>
      </c>
      <c r="BA3629" s="1"/>
      <c r="BB3629" s="1"/>
      <c r="BC3629" s="1" t="s">
        <v>57786</v>
      </c>
      <c r="BD3629" s="1" t="s">
        <v>57787</v>
      </c>
      <c r="BE3629" s="1">
        <v>77.77</v>
      </c>
      <c r="BF3629" s="1">
        <v>6.99</v>
      </c>
      <c r="BG3629" s="1"/>
      <c r="BH3629" s="1"/>
      <c r="BI3629" s="1"/>
      <c r="BJ3629" s="1"/>
      <c r="BK3629" s="1" t="s">
        <v>98</v>
      </c>
      <c r="BL3629" s="1" t="s">
        <v>98</v>
      </c>
      <c r="BM3629" s="1" t="s">
        <v>98</v>
      </c>
      <c r="BN3629" s="1" t="s">
        <v>98</v>
      </c>
      <c r="BO3629" s="1" t="s">
        <v>369</v>
      </c>
      <c r="BP3629" s="1"/>
      <c r="BQ3629" s="1"/>
      <c r="BR3629" s="1" t="s">
        <v>57788</v>
      </c>
      <c r="BS3629" s="1">
        <v>13</v>
      </c>
      <c r="BT3629" s="1"/>
      <c r="BU3629" s="1" t="str">
        <f>HYPERLINK("https://nconnect.nicmar.ac.in/storage/profile/2021-2023_AP21431_548739.jpg","Download")</f>
        <v>0</v>
      </c>
      <c r="BV3629" s="3"/>
      <c r="BW3629" s="3"/>
    </row>
    <row r="3630" spans="1:75">
      <c r="A3630" s="1" t="s">
        <v>51340</v>
      </c>
      <c r="B3630" s="1" t="s">
        <v>51341</v>
      </c>
      <c r="C3630" s="1" t="s">
        <v>57789</v>
      </c>
      <c r="D3630" s="1" t="s">
        <v>7018</v>
      </c>
      <c r="E3630" s="1" t="s">
        <v>4707</v>
      </c>
      <c r="F3630" s="1" t="s">
        <v>57790</v>
      </c>
      <c r="G3630" s="1" t="s">
        <v>57791</v>
      </c>
      <c r="H3630" s="1" t="s">
        <v>57792</v>
      </c>
      <c r="I3630" s="1" t="s">
        <v>57793</v>
      </c>
      <c r="J3630" s="1">
        <v>9075177375</v>
      </c>
      <c r="K3630" s="1" t="s">
        <v>84</v>
      </c>
      <c r="L3630" s="1" t="s">
        <v>57794</v>
      </c>
      <c r="M3630" s="1" t="s">
        <v>86</v>
      </c>
      <c r="N3630" s="1" t="s">
        <v>990</v>
      </c>
      <c r="O3630" s="1"/>
      <c r="P3630" s="1" t="s">
        <v>455</v>
      </c>
      <c r="Q3630" s="1" t="s">
        <v>57795</v>
      </c>
      <c r="R3630" s="1" t="s">
        <v>57796</v>
      </c>
      <c r="S3630" s="1">
        <v>9850829904</v>
      </c>
      <c r="T3630" s="1" t="s">
        <v>3693</v>
      </c>
      <c r="U3630" s="1" t="s">
        <v>57797</v>
      </c>
      <c r="V3630" s="1">
        <v>8788364385</v>
      </c>
      <c r="W3630" s="1" t="s">
        <v>94</v>
      </c>
      <c r="X3630" s="1" t="s">
        <v>57798</v>
      </c>
      <c r="Y3630" s="1" t="s">
        <v>196</v>
      </c>
      <c r="Z3630" s="1" t="s">
        <v>97</v>
      </c>
      <c r="AA3630" s="1" t="s">
        <v>98</v>
      </c>
      <c r="AB3630" s="1" t="s">
        <v>196</v>
      </c>
      <c r="AC3630" s="1" t="s">
        <v>97</v>
      </c>
      <c r="AD3630" s="1" t="s">
        <v>98</v>
      </c>
      <c r="AE3630" s="1" t="s">
        <v>98</v>
      </c>
      <c r="AF3630" s="1" t="s">
        <v>57799</v>
      </c>
      <c r="AG3630" s="1" t="s">
        <v>2745</v>
      </c>
      <c r="AH3630" s="1" t="s">
        <v>1213</v>
      </c>
      <c r="AI3630" s="1" t="s">
        <v>101</v>
      </c>
      <c r="AJ3630" s="1">
        <v>71.4</v>
      </c>
      <c r="AK3630" s="1">
        <v>0</v>
      </c>
      <c r="AL3630" s="1" t="s">
        <v>98</v>
      </c>
      <c r="AM3630" s="1"/>
      <c r="AN3630" s="1"/>
      <c r="AO3630" s="1" t="s">
        <v>98</v>
      </c>
      <c r="AP3630" s="1" t="s">
        <v>98</v>
      </c>
      <c r="AQ3630" s="1"/>
      <c r="AR3630" s="1"/>
      <c r="AS3630" s="1" t="s">
        <v>439</v>
      </c>
      <c r="AT3630" s="1" t="s">
        <v>57800</v>
      </c>
      <c r="AU3630" s="1" t="s">
        <v>257</v>
      </c>
      <c r="AV3630" s="1" t="s">
        <v>170</v>
      </c>
      <c r="AW3630" s="1">
        <v>63.94</v>
      </c>
      <c r="AX3630" s="1"/>
      <c r="AY3630" s="1" t="s">
        <v>366</v>
      </c>
      <c r="AZ3630" s="1" t="s">
        <v>57801</v>
      </c>
      <c r="BA3630" s="1"/>
      <c r="BB3630" s="1"/>
      <c r="BC3630" s="1" t="s">
        <v>200</v>
      </c>
      <c r="BD3630" s="1" t="s">
        <v>175</v>
      </c>
      <c r="BE3630" s="1">
        <v>52.44</v>
      </c>
      <c r="BF3630" s="1">
        <v>5.96</v>
      </c>
      <c r="BG3630" s="1"/>
      <c r="BH3630" s="1"/>
      <c r="BI3630" s="1"/>
      <c r="BJ3630" s="1"/>
      <c r="BK3630" s="1" t="s">
        <v>98</v>
      </c>
      <c r="BL3630" s="1" t="s">
        <v>98</v>
      </c>
      <c r="BM3630" s="1" t="s">
        <v>98</v>
      </c>
      <c r="BN3630" s="1" t="s">
        <v>98</v>
      </c>
      <c r="BO3630" s="1" t="s">
        <v>57802</v>
      </c>
      <c r="BP3630" s="1" t="s">
        <v>57803</v>
      </c>
      <c r="BQ3630" s="1" t="s">
        <v>1564</v>
      </c>
      <c r="BR3630" s="1" t="s">
        <v>57804</v>
      </c>
      <c r="BS3630" s="1">
        <v>11</v>
      </c>
      <c r="BT3630" s="1"/>
      <c r="BU3630" s="1" t="str">
        <f>HYPERLINK("https://nconnect.nicmar.ac.in/storage/profile/2021-2023_AP21432_428365.jpg","Download")</f>
        <v>0</v>
      </c>
      <c r="BV3630" s="3"/>
      <c r="BW3630" s="3"/>
    </row>
    <row r="3631" spans="1:75">
      <c r="A3631" s="1" t="s">
        <v>51340</v>
      </c>
      <c r="B3631" s="1" t="s">
        <v>51341</v>
      </c>
      <c r="C3631" s="1" t="s">
        <v>57805</v>
      </c>
      <c r="D3631" s="1" t="s">
        <v>6222</v>
      </c>
      <c r="E3631" s="1" t="s">
        <v>57806</v>
      </c>
      <c r="F3631" s="1" t="s">
        <v>57807</v>
      </c>
      <c r="G3631" s="1" t="s">
        <v>57808</v>
      </c>
      <c r="H3631" s="1" t="s">
        <v>57809</v>
      </c>
      <c r="I3631" s="1" t="s">
        <v>57810</v>
      </c>
      <c r="J3631" s="1">
        <v>9511863096</v>
      </c>
      <c r="K3631" s="1" t="s">
        <v>84</v>
      </c>
      <c r="L3631" s="1" t="s">
        <v>32199</v>
      </c>
      <c r="M3631" s="1" t="s">
        <v>86</v>
      </c>
      <c r="N3631" s="1" t="s">
        <v>57811</v>
      </c>
      <c r="O3631" s="1"/>
      <c r="P3631" s="1" t="s">
        <v>455</v>
      </c>
      <c r="Q3631" s="1" t="s">
        <v>57812</v>
      </c>
      <c r="R3631" s="1" t="s">
        <v>57813</v>
      </c>
      <c r="S3631" s="1">
        <v>9359671940</v>
      </c>
      <c r="T3631" s="1" t="s">
        <v>539</v>
      </c>
      <c r="U3631" s="1" t="s">
        <v>57814</v>
      </c>
      <c r="V3631" s="1">
        <v>8806519667</v>
      </c>
      <c r="W3631" s="1" t="s">
        <v>94</v>
      </c>
      <c r="X3631" s="1" t="s">
        <v>57815</v>
      </c>
      <c r="Y3631" s="1" t="s">
        <v>624</v>
      </c>
      <c r="Z3631" s="1" t="s">
        <v>97</v>
      </c>
      <c r="AA3631" s="1" t="s">
        <v>57816</v>
      </c>
      <c r="AB3631" s="1" t="s">
        <v>624</v>
      </c>
      <c r="AC3631" s="1" t="s">
        <v>97</v>
      </c>
      <c r="AD3631" s="1" t="s">
        <v>98</v>
      </c>
      <c r="AE3631" s="1" t="s">
        <v>98</v>
      </c>
      <c r="AF3631" s="1" t="s">
        <v>57817</v>
      </c>
      <c r="AG3631" s="1" t="s">
        <v>312</v>
      </c>
      <c r="AH3631" s="1">
        <v>41764</v>
      </c>
      <c r="AI3631" s="1">
        <v>42152</v>
      </c>
      <c r="AJ3631" s="1">
        <v>79.8</v>
      </c>
      <c r="AK3631" s="1">
        <v>8.4</v>
      </c>
      <c r="AL3631" s="1" t="s">
        <v>57817</v>
      </c>
      <c r="AM3631" s="1" t="s">
        <v>312</v>
      </c>
      <c r="AN3631" s="1"/>
      <c r="AO3631" s="1">
        <v>42444</v>
      </c>
      <c r="AP3631" s="1">
        <v>42794</v>
      </c>
      <c r="AQ3631" s="1">
        <v>72.92</v>
      </c>
      <c r="AR3631" s="1"/>
      <c r="AS3631" s="1"/>
      <c r="AT3631" s="1"/>
      <c r="AU3631" s="1" t="s">
        <v>98</v>
      </c>
      <c r="AV3631" s="1" t="s">
        <v>98</v>
      </c>
      <c r="AW3631" s="1" t="s">
        <v>98</v>
      </c>
      <c r="AX3631" s="1" t="s">
        <v>98</v>
      </c>
      <c r="AY3631" s="1" t="s">
        <v>415</v>
      </c>
      <c r="AZ3631" s="1" t="s">
        <v>57818</v>
      </c>
      <c r="BA3631" s="1"/>
      <c r="BB3631" s="1"/>
      <c r="BC3631" s="1">
        <v>42948</v>
      </c>
      <c r="BD3631" s="1">
        <v>44401</v>
      </c>
      <c r="BE3631" s="1">
        <v>71.1</v>
      </c>
      <c r="BF3631" s="1">
        <v>7.86</v>
      </c>
      <c r="BG3631" s="1"/>
      <c r="BH3631" s="1"/>
      <c r="BI3631" s="1"/>
      <c r="BJ3631" s="1"/>
      <c r="BK3631" s="1" t="s">
        <v>98</v>
      </c>
      <c r="BL3631" s="1" t="s">
        <v>98</v>
      </c>
      <c r="BM3631" s="1" t="s">
        <v>98</v>
      </c>
      <c r="BN3631" s="1" t="s">
        <v>98</v>
      </c>
      <c r="BO3631" s="1" t="s">
        <v>369</v>
      </c>
      <c r="BP3631" s="1"/>
      <c r="BQ3631" s="1"/>
      <c r="BR3631" s="1" t="s">
        <v>57819</v>
      </c>
      <c r="BS3631" s="1">
        <v>39</v>
      </c>
      <c r="BT3631" s="1"/>
      <c r="BU3631" s="1" t="str">
        <f>HYPERLINK("https://nconnect.nicmar.ac.in/storage/profile/2021-2023_AP21433_832941.jpg","Download")</f>
        <v>0</v>
      </c>
      <c r="BV3631" s="3"/>
      <c r="BW3631" s="3"/>
    </row>
    <row r="3632" spans="1:75">
      <c r="A3632" s="1" t="s">
        <v>51340</v>
      </c>
      <c r="B3632" s="1" t="s">
        <v>51341</v>
      </c>
      <c r="C3632" s="1" t="s">
        <v>57820</v>
      </c>
      <c r="D3632" s="1" t="s">
        <v>57821</v>
      </c>
      <c r="E3632" s="1"/>
      <c r="F3632" s="1" t="s">
        <v>1361</v>
      </c>
      <c r="G3632" s="1" t="s">
        <v>57822</v>
      </c>
      <c r="H3632" s="1" t="s">
        <v>57823</v>
      </c>
      <c r="I3632" s="1" t="s">
        <v>57824</v>
      </c>
      <c r="J3632" s="1">
        <v>9444868597</v>
      </c>
      <c r="K3632" s="1" t="s">
        <v>84</v>
      </c>
      <c r="L3632" s="1" t="s">
        <v>57825</v>
      </c>
      <c r="M3632" s="1" t="s">
        <v>86</v>
      </c>
      <c r="N3632" s="1" t="s">
        <v>12624</v>
      </c>
      <c r="O3632" s="1"/>
      <c r="P3632" s="1" t="s">
        <v>481</v>
      </c>
      <c r="Q3632" s="1" t="s">
        <v>57826</v>
      </c>
      <c r="R3632" s="1" t="s">
        <v>57827</v>
      </c>
      <c r="S3632" s="1">
        <v>9787831171</v>
      </c>
      <c r="T3632" s="1" t="s">
        <v>539</v>
      </c>
      <c r="U3632" s="1" t="s">
        <v>57828</v>
      </c>
      <c r="V3632" s="1">
        <v>9445955894</v>
      </c>
      <c r="W3632" s="1" t="s">
        <v>539</v>
      </c>
      <c r="X3632" s="1" t="s">
        <v>57829</v>
      </c>
      <c r="Y3632" s="1" t="s">
        <v>53459</v>
      </c>
      <c r="Z3632" s="1" t="s">
        <v>570</v>
      </c>
      <c r="AA3632" s="1" t="s">
        <v>57829</v>
      </c>
      <c r="AB3632" s="1" t="s">
        <v>53459</v>
      </c>
      <c r="AC3632" s="1" t="s">
        <v>570</v>
      </c>
      <c r="AD3632" s="1" t="s">
        <v>98</v>
      </c>
      <c r="AE3632" s="1" t="s">
        <v>98</v>
      </c>
      <c r="AF3632" s="1" t="s">
        <v>57830</v>
      </c>
      <c r="AG3632" s="1" t="s">
        <v>57831</v>
      </c>
      <c r="AH3632" s="1" t="s">
        <v>57832</v>
      </c>
      <c r="AI3632" s="1" t="s">
        <v>56291</v>
      </c>
      <c r="AJ3632" s="1">
        <v>95.6</v>
      </c>
      <c r="AK3632" s="1"/>
      <c r="AL3632" s="1" t="s">
        <v>57830</v>
      </c>
      <c r="AM3632" s="1" t="s">
        <v>57831</v>
      </c>
      <c r="AN3632" s="1"/>
      <c r="AO3632" s="1" t="s">
        <v>54774</v>
      </c>
      <c r="AP3632" s="1" t="s">
        <v>57833</v>
      </c>
      <c r="AQ3632" s="1">
        <v>92.4</v>
      </c>
      <c r="AR3632" s="1"/>
      <c r="AS3632" s="1"/>
      <c r="AT3632" s="1"/>
      <c r="AU3632" s="1" t="s">
        <v>98</v>
      </c>
      <c r="AV3632" s="1" t="s">
        <v>98</v>
      </c>
      <c r="AW3632" s="1" t="s">
        <v>98</v>
      </c>
      <c r="AX3632" s="1" t="s">
        <v>98</v>
      </c>
      <c r="AY3632" s="1" t="s">
        <v>576</v>
      </c>
      <c r="AZ3632" s="1" t="s">
        <v>4251</v>
      </c>
      <c r="BA3632" s="1"/>
      <c r="BB3632" s="1"/>
      <c r="BC3632" s="1" t="s">
        <v>57834</v>
      </c>
      <c r="BD3632" s="1" t="s">
        <v>57835</v>
      </c>
      <c r="BE3632" s="1">
        <v>73.4</v>
      </c>
      <c r="BF3632" s="1">
        <v>7.34</v>
      </c>
      <c r="BG3632" s="1"/>
      <c r="BH3632" s="1"/>
      <c r="BI3632" s="1"/>
      <c r="BJ3632" s="1"/>
      <c r="BK3632" s="1" t="s">
        <v>98</v>
      </c>
      <c r="BL3632" s="1" t="s">
        <v>98</v>
      </c>
      <c r="BM3632" s="1" t="s">
        <v>98</v>
      </c>
      <c r="BN3632" s="1" t="s">
        <v>98</v>
      </c>
      <c r="BO3632" s="1" t="s">
        <v>57836</v>
      </c>
      <c r="BP3632" s="1" t="s">
        <v>57837</v>
      </c>
      <c r="BQ3632" s="1" t="s">
        <v>29553</v>
      </c>
      <c r="BR3632" s="1" t="s">
        <v>57838</v>
      </c>
      <c r="BS3632" s="1">
        <v>11</v>
      </c>
      <c r="BT3632" s="1"/>
      <c r="BU3632" s="1" t="str">
        <f>HYPERLINK("https://nconnect.nicmar.ac.in/storage/profile/2021-2023_AP21434_584367.jpg","Download")</f>
        <v>0</v>
      </c>
      <c r="BV3632" s="3"/>
      <c r="BW3632" s="3"/>
    </row>
    <row r="3633" spans="1:75">
      <c r="A3633" s="1" t="s">
        <v>51340</v>
      </c>
      <c r="B3633" s="1" t="s">
        <v>51341</v>
      </c>
      <c r="C3633" s="1" t="s">
        <v>57839</v>
      </c>
      <c r="D3633" s="1" t="s">
        <v>7705</v>
      </c>
      <c r="E3633" s="1"/>
      <c r="F3633" s="1" t="s">
        <v>57840</v>
      </c>
      <c r="G3633" s="1" t="s">
        <v>57841</v>
      </c>
      <c r="H3633" s="1" t="s">
        <v>57842</v>
      </c>
      <c r="I3633" s="1" t="s">
        <v>57843</v>
      </c>
      <c r="J3633" s="1">
        <v>9100305110</v>
      </c>
      <c r="K3633" s="1" t="s">
        <v>84</v>
      </c>
      <c r="L3633" s="1" t="s">
        <v>23107</v>
      </c>
      <c r="M3633" s="1" t="s">
        <v>86</v>
      </c>
      <c r="N3633" s="1" t="s">
        <v>3026</v>
      </c>
      <c r="O3633" s="1"/>
      <c r="P3633" s="1" t="s">
        <v>455</v>
      </c>
      <c r="Q3633" s="1" t="s">
        <v>57844</v>
      </c>
      <c r="R3633" s="1" t="s">
        <v>57845</v>
      </c>
      <c r="S3633" s="1">
        <v>9347203205</v>
      </c>
      <c r="T3633" s="1" t="s">
        <v>926</v>
      </c>
      <c r="U3633" s="1" t="s">
        <v>57846</v>
      </c>
      <c r="V3633" s="1">
        <v>9515871610</v>
      </c>
      <c r="W3633" s="1" t="s">
        <v>94</v>
      </c>
      <c r="X3633" s="1" t="s">
        <v>57847</v>
      </c>
      <c r="Y3633" s="1" t="s">
        <v>57848</v>
      </c>
      <c r="Z3633" s="1" t="s">
        <v>461</v>
      </c>
      <c r="AA3633" s="1" t="s">
        <v>98</v>
      </c>
      <c r="AB3633" s="1" t="s">
        <v>57848</v>
      </c>
      <c r="AC3633" s="1" t="s">
        <v>461</v>
      </c>
      <c r="AD3633" s="1" t="s">
        <v>98</v>
      </c>
      <c r="AE3633" s="1" t="s">
        <v>98</v>
      </c>
      <c r="AF3633" s="1" t="s">
        <v>57849</v>
      </c>
      <c r="AG3633" s="1" t="s">
        <v>57850</v>
      </c>
      <c r="AH3633" s="1">
        <v>41794</v>
      </c>
      <c r="AI3633" s="1">
        <v>42141</v>
      </c>
      <c r="AJ3633" s="1">
        <v>82.65</v>
      </c>
      <c r="AK3633" s="1">
        <v>8.7</v>
      </c>
      <c r="AL3633" s="1" t="s">
        <v>3033</v>
      </c>
      <c r="AM3633" s="1" t="s">
        <v>57850</v>
      </c>
      <c r="AN3633" s="1"/>
      <c r="AO3633" s="1">
        <v>42465</v>
      </c>
      <c r="AP3633" s="1">
        <v>42841</v>
      </c>
      <c r="AQ3633" s="1">
        <v>92.1</v>
      </c>
      <c r="AR3633" s="1"/>
      <c r="AS3633" s="1"/>
      <c r="AT3633" s="1"/>
      <c r="AU3633" s="1" t="s">
        <v>98</v>
      </c>
      <c r="AV3633" s="1" t="s">
        <v>98</v>
      </c>
      <c r="AW3633" s="1" t="s">
        <v>98</v>
      </c>
      <c r="AX3633" s="1" t="s">
        <v>98</v>
      </c>
      <c r="AY3633" s="1" t="s">
        <v>27266</v>
      </c>
      <c r="AZ3633" s="1" t="s">
        <v>29431</v>
      </c>
      <c r="BA3633" s="1"/>
      <c r="BB3633" s="1"/>
      <c r="BC3633" s="1">
        <v>42922</v>
      </c>
      <c r="BD3633" s="1">
        <v>44390</v>
      </c>
      <c r="BE3633" s="1">
        <v>79.4</v>
      </c>
      <c r="BF3633" s="1">
        <v>8.44</v>
      </c>
      <c r="BG3633" s="1"/>
      <c r="BH3633" s="1"/>
      <c r="BI3633" s="1"/>
      <c r="BJ3633" s="1"/>
      <c r="BK3633" s="1" t="s">
        <v>98</v>
      </c>
      <c r="BL3633" s="1" t="s">
        <v>98</v>
      </c>
      <c r="BM3633" s="1" t="s">
        <v>98</v>
      </c>
      <c r="BN3633" s="1" t="s">
        <v>98</v>
      </c>
      <c r="BO3633" s="1" t="s">
        <v>369</v>
      </c>
      <c r="BP3633" s="1"/>
      <c r="BQ3633" s="1"/>
      <c r="BR3633" s="1" t="s">
        <v>57851</v>
      </c>
      <c r="BS3633" s="1">
        <v>7</v>
      </c>
      <c r="BT3633" s="1"/>
      <c r="BU3633" s="1" t="str">
        <f>HYPERLINK("https://nconnect.nicmar.ac.in/storage/profile/2021-2023_AP21435_138254.jpg","Download")</f>
        <v>0</v>
      </c>
      <c r="BV3633" s="3"/>
      <c r="BW3633" s="3"/>
    </row>
    <row r="3634" spans="1:75">
      <c r="A3634" s="1" t="s">
        <v>51340</v>
      </c>
      <c r="B3634" s="1" t="s">
        <v>51341</v>
      </c>
      <c r="C3634" s="1" t="s">
        <v>57852</v>
      </c>
      <c r="D3634" s="1" t="s">
        <v>13333</v>
      </c>
      <c r="E3634" s="1" t="s">
        <v>186</v>
      </c>
      <c r="F3634" s="1" t="s">
        <v>30472</v>
      </c>
      <c r="G3634" s="1" t="s">
        <v>57853</v>
      </c>
      <c r="H3634" s="1" t="s">
        <v>57854</v>
      </c>
      <c r="I3634" s="1" t="s">
        <v>57855</v>
      </c>
      <c r="J3634" s="1">
        <v>9702149996</v>
      </c>
      <c r="K3634" s="1" t="s">
        <v>153</v>
      </c>
      <c r="L3634" s="1" t="s">
        <v>57856</v>
      </c>
      <c r="M3634" s="1" t="s">
        <v>86</v>
      </c>
      <c r="N3634" s="1" t="s">
        <v>903</v>
      </c>
      <c r="O3634" s="1"/>
      <c r="P3634" s="1" t="s">
        <v>481</v>
      </c>
      <c r="Q3634" s="1" t="s">
        <v>57857</v>
      </c>
      <c r="R3634" s="1" t="s">
        <v>57858</v>
      </c>
      <c r="S3634" s="1">
        <v>9892939293</v>
      </c>
      <c r="T3634" s="1" t="s">
        <v>57859</v>
      </c>
      <c r="U3634" s="1" t="s">
        <v>57860</v>
      </c>
      <c r="V3634" s="1">
        <v>8779156158</v>
      </c>
      <c r="W3634" s="1" t="s">
        <v>161</v>
      </c>
      <c r="X3634" s="1" t="s">
        <v>57861</v>
      </c>
      <c r="Y3634" s="1" t="s">
        <v>1012</v>
      </c>
      <c r="Z3634" s="1" t="s">
        <v>97</v>
      </c>
      <c r="AA3634" s="1" t="s">
        <v>57862</v>
      </c>
      <c r="AB3634" s="1" t="s">
        <v>1012</v>
      </c>
      <c r="AC3634" s="1" t="s">
        <v>97</v>
      </c>
      <c r="AD3634" s="1" t="s">
        <v>98</v>
      </c>
      <c r="AE3634" s="1" t="s">
        <v>98</v>
      </c>
      <c r="AF3634" s="1" t="s">
        <v>57863</v>
      </c>
      <c r="AG3634" s="1" t="s">
        <v>1968</v>
      </c>
      <c r="AH3634" s="1" t="s">
        <v>48268</v>
      </c>
      <c r="AI3634" s="1" t="s">
        <v>515</v>
      </c>
      <c r="AJ3634" s="1">
        <v>84.4</v>
      </c>
      <c r="AK3634" s="1">
        <v>8.88</v>
      </c>
      <c r="AL3634" s="1"/>
      <c r="AM3634" s="1"/>
      <c r="AN3634" s="1"/>
      <c r="AO3634" s="1" t="s">
        <v>102</v>
      </c>
      <c r="AP3634" s="1" t="s">
        <v>517</v>
      </c>
      <c r="AQ3634" s="1"/>
      <c r="AR3634" s="1"/>
      <c r="AS3634" s="1" t="s">
        <v>439</v>
      </c>
      <c r="AT3634" s="1" t="s">
        <v>42641</v>
      </c>
      <c r="AU3634" s="1" t="s">
        <v>166</v>
      </c>
      <c r="AV3634" s="1" t="s">
        <v>106</v>
      </c>
      <c r="AW3634" s="1">
        <v>76.97</v>
      </c>
      <c r="AX3634" s="1">
        <v>8.1</v>
      </c>
      <c r="AY3634" s="1" t="s">
        <v>680</v>
      </c>
      <c r="AZ3634" s="1" t="s">
        <v>57864</v>
      </c>
      <c r="BA3634" s="1"/>
      <c r="BB3634" s="1"/>
      <c r="BC3634" s="1" t="s">
        <v>1065</v>
      </c>
      <c r="BD3634" s="1" t="s">
        <v>847</v>
      </c>
      <c r="BE3634" s="1">
        <v>68.95</v>
      </c>
      <c r="BF3634" s="1">
        <v>7.61</v>
      </c>
      <c r="BG3634" s="1"/>
      <c r="BH3634" s="1"/>
      <c r="BI3634" s="1"/>
      <c r="BJ3634" s="1"/>
      <c r="BK3634" s="1" t="s">
        <v>98</v>
      </c>
      <c r="BL3634" s="1" t="s">
        <v>98</v>
      </c>
      <c r="BM3634" s="1" t="s">
        <v>98</v>
      </c>
      <c r="BN3634" s="1" t="s">
        <v>98</v>
      </c>
      <c r="BO3634" s="1" t="s">
        <v>1114</v>
      </c>
      <c r="BP3634" s="1"/>
      <c r="BQ3634" s="1"/>
      <c r="BR3634" s="1" t="s">
        <v>57865</v>
      </c>
      <c r="BS3634" s="1">
        <v>15</v>
      </c>
      <c r="BT3634" s="1"/>
      <c r="BU3634" s="1" t="str">
        <f>HYPERLINK("https://nconnect.nicmar.ac.in/storage/profile/2021-2023_AP21436_497126.jpg","Download")</f>
        <v>0</v>
      </c>
      <c r="BV3634" s="3"/>
      <c r="BW3634" s="3"/>
    </row>
    <row r="3635" spans="1:75">
      <c r="A3635" s="1" t="s">
        <v>51340</v>
      </c>
      <c r="B3635" s="1" t="s">
        <v>51341</v>
      </c>
      <c r="C3635" s="1" t="s">
        <v>57866</v>
      </c>
      <c r="D3635" s="1" t="s">
        <v>148</v>
      </c>
      <c r="E3635" s="1" t="s">
        <v>11218</v>
      </c>
      <c r="F3635" s="1" t="s">
        <v>57867</v>
      </c>
      <c r="G3635" s="1" t="s">
        <v>57868</v>
      </c>
      <c r="H3635" s="1" t="s">
        <v>57869</v>
      </c>
      <c r="I3635" s="1" t="s">
        <v>57870</v>
      </c>
      <c r="J3635" s="1">
        <v>8182985985</v>
      </c>
      <c r="K3635" s="1" t="s">
        <v>153</v>
      </c>
      <c r="L3635" s="1" t="s">
        <v>29107</v>
      </c>
      <c r="M3635" s="1" t="s">
        <v>86</v>
      </c>
      <c r="N3635" s="1" t="s">
        <v>1163</v>
      </c>
      <c r="O3635" s="1"/>
      <c r="P3635" s="1" t="s">
        <v>507</v>
      </c>
      <c r="Q3635" s="1" t="s">
        <v>57871</v>
      </c>
      <c r="R3635" s="1" t="s">
        <v>57872</v>
      </c>
      <c r="S3635" s="1">
        <v>9850252511</v>
      </c>
      <c r="T3635" s="1" t="s">
        <v>57873</v>
      </c>
      <c r="U3635" s="1" t="s">
        <v>57874</v>
      </c>
      <c r="V3635" s="1">
        <v>8605000777</v>
      </c>
      <c r="W3635" s="1" t="s">
        <v>839</v>
      </c>
      <c r="X3635" s="1" t="s">
        <v>57875</v>
      </c>
      <c r="Y3635" s="1" t="s">
        <v>56971</v>
      </c>
      <c r="Z3635" s="1" t="s">
        <v>97</v>
      </c>
      <c r="AA3635" s="1" t="s">
        <v>57876</v>
      </c>
      <c r="AB3635" s="1" t="s">
        <v>56971</v>
      </c>
      <c r="AC3635" s="1" t="s">
        <v>97</v>
      </c>
      <c r="AD3635" s="1" t="s">
        <v>98</v>
      </c>
      <c r="AE3635" s="1" t="s">
        <v>98</v>
      </c>
      <c r="AF3635" s="1" t="s">
        <v>57877</v>
      </c>
      <c r="AG3635" s="1" t="s">
        <v>1968</v>
      </c>
      <c r="AH3635" s="1" t="s">
        <v>3285</v>
      </c>
      <c r="AI3635" s="1" t="s">
        <v>3965</v>
      </c>
      <c r="AJ3635" s="1">
        <v>92.36</v>
      </c>
      <c r="AK3635" s="1">
        <v>9.61</v>
      </c>
      <c r="AL3635" s="1" t="s">
        <v>57878</v>
      </c>
      <c r="AM3635" s="1" t="s">
        <v>1968</v>
      </c>
      <c r="AN3635" s="1"/>
      <c r="AO3635" s="1" t="s">
        <v>1213</v>
      </c>
      <c r="AP3635" s="1" t="s">
        <v>3967</v>
      </c>
      <c r="AQ3635" s="1">
        <v>66</v>
      </c>
      <c r="AR3635" s="1">
        <v>7.35</v>
      </c>
      <c r="AS3635" s="1"/>
      <c r="AT3635" s="1"/>
      <c r="AU3635" s="1" t="s">
        <v>98</v>
      </c>
      <c r="AV3635" s="1" t="s">
        <v>98</v>
      </c>
      <c r="AW3635" s="1" t="s">
        <v>98</v>
      </c>
      <c r="AX3635" s="1" t="s">
        <v>98</v>
      </c>
      <c r="AY3635" s="1" t="s">
        <v>366</v>
      </c>
      <c r="AZ3635" s="1" t="s">
        <v>57879</v>
      </c>
      <c r="BA3635" s="1"/>
      <c r="BB3635" s="1"/>
      <c r="BC3635" s="1" t="s">
        <v>257</v>
      </c>
      <c r="BD3635" s="1" t="s">
        <v>106</v>
      </c>
      <c r="BE3635" s="1">
        <v>66.67</v>
      </c>
      <c r="BF3635" s="1">
        <v>7.4</v>
      </c>
      <c r="BG3635" s="1" t="s">
        <v>366</v>
      </c>
      <c r="BH3635" s="1" t="s">
        <v>1586</v>
      </c>
      <c r="BI3635" s="1"/>
      <c r="BJ3635" s="1"/>
      <c r="BK3635" s="1" t="s">
        <v>206</v>
      </c>
      <c r="BL3635" s="1" t="s">
        <v>549</v>
      </c>
      <c r="BM3635" s="1">
        <v>75.68</v>
      </c>
      <c r="BN3635" s="1">
        <v>8.39</v>
      </c>
      <c r="BO3635" s="1" t="s">
        <v>57880</v>
      </c>
      <c r="BP3635" s="1" t="s">
        <v>57881</v>
      </c>
      <c r="BQ3635" s="1" t="s">
        <v>22407</v>
      </c>
      <c r="BR3635" s="1" t="s">
        <v>57882</v>
      </c>
      <c r="BS3635" s="1">
        <v>8</v>
      </c>
      <c r="BT3635" s="1"/>
      <c r="BU3635" s="1" t="str">
        <f>HYPERLINK("https://nconnect.nicmar.ac.in/storage/profile/2021-2023_AP21437_714596.jpg","Download")</f>
        <v>0</v>
      </c>
      <c r="BV3635" s="3"/>
      <c r="BW3635" s="3"/>
    </row>
    <row r="3636" spans="1:75">
      <c r="A3636" s="1" t="s">
        <v>51340</v>
      </c>
      <c r="B3636" s="1" t="s">
        <v>51341</v>
      </c>
      <c r="C3636" s="1" t="s">
        <v>57883</v>
      </c>
      <c r="D3636" s="1" t="s">
        <v>57884</v>
      </c>
      <c r="E3636" s="1"/>
      <c r="F3636" s="1" t="s">
        <v>57885</v>
      </c>
      <c r="G3636" s="1" t="s">
        <v>57886</v>
      </c>
      <c r="H3636" s="1" t="s">
        <v>57887</v>
      </c>
      <c r="I3636" s="1" t="s">
        <v>57888</v>
      </c>
      <c r="J3636" s="1">
        <v>7358756206</v>
      </c>
      <c r="K3636" s="1" t="s">
        <v>84</v>
      </c>
      <c r="L3636" s="1" t="s">
        <v>13302</v>
      </c>
      <c r="M3636" s="1" t="s">
        <v>86</v>
      </c>
      <c r="N3636" s="1" t="s">
        <v>12624</v>
      </c>
      <c r="O3636" s="1"/>
      <c r="P3636" s="1" t="s">
        <v>507</v>
      </c>
      <c r="Q3636" s="1" t="s">
        <v>57889</v>
      </c>
      <c r="R3636" s="1" t="s">
        <v>57890</v>
      </c>
      <c r="S3636" s="1">
        <v>9840618383</v>
      </c>
      <c r="T3636" s="1" t="s">
        <v>57891</v>
      </c>
      <c r="U3636" s="1" t="s">
        <v>57892</v>
      </c>
      <c r="V3636" s="1">
        <v>9940402511</v>
      </c>
      <c r="W3636" s="1" t="s">
        <v>94</v>
      </c>
      <c r="X3636" s="1" t="s">
        <v>57893</v>
      </c>
      <c r="Y3636" s="1" t="s">
        <v>1498</v>
      </c>
      <c r="Z3636" s="1" t="s">
        <v>570</v>
      </c>
      <c r="AA3636" s="1" t="s">
        <v>57893</v>
      </c>
      <c r="AB3636" s="1" t="s">
        <v>1498</v>
      </c>
      <c r="AC3636" s="1" t="s">
        <v>570</v>
      </c>
      <c r="AD3636" s="1" t="s">
        <v>98</v>
      </c>
      <c r="AE3636" s="1" t="s">
        <v>98</v>
      </c>
      <c r="AF3636" s="1" t="s">
        <v>57894</v>
      </c>
      <c r="AG3636" s="1" t="s">
        <v>55497</v>
      </c>
      <c r="AH3636" s="1" t="s">
        <v>54774</v>
      </c>
      <c r="AI3636" s="1" t="s">
        <v>57895</v>
      </c>
      <c r="AJ3636" s="1">
        <v>72.4</v>
      </c>
      <c r="AK3636" s="1">
        <v>0</v>
      </c>
      <c r="AL3636" s="1" t="s">
        <v>57894</v>
      </c>
      <c r="AM3636" s="1" t="s">
        <v>55497</v>
      </c>
      <c r="AN3636" s="1"/>
      <c r="AO3636" s="1" t="s">
        <v>54453</v>
      </c>
      <c r="AP3636" s="1" t="s">
        <v>57896</v>
      </c>
      <c r="AQ3636" s="1">
        <v>57.1</v>
      </c>
      <c r="AR3636" s="1">
        <v>0</v>
      </c>
      <c r="AS3636" s="1"/>
      <c r="AT3636" s="1"/>
      <c r="AU3636" s="1" t="s">
        <v>98</v>
      </c>
      <c r="AV3636" s="1" t="s">
        <v>98</v>
      </c>
      <c r="AW3636" s="1" t="s">
        <v>98</v>
      </c>
      <c r="AX3636" s="1" t="s">
        <v>98</v>
      </c>
      <c r="AY3636" s="1" t="s">
        <v>576</v>
      </c>
      <c r="AZ3636" s="1" t="s">
        <v>57897</v>
      </c>
      <c r="BA3636" s="1"/>
      <c r="BB3636" s="1"/>
      <c r="BC3636" s="1" t="s">
        <v>54456</v>
      </c>
      <c r="BD3636" s="1" t="s">
        <v>57898</v>
      </c>
      <c r="BE3636" s="1">
        <v>72.4</v>
      </c>
      <c r="BF3636" s="1">
        <v>7.24</v>
      </c>
      <c r="BG3636" s="1"/>
      <c r="BH3636" s="1"/>
      <c r="BI3636" s="1"/>
      <c r="BJ3636" s="1"/>
      <c r="BK3636" s="1" t="s">
        <v>98</v>
      </c>
      <c r="BL3636" s="1" t="s">
        <v>98</v>
      </c>
      <c r="BM3636" s="1" t="s">
        <v>98</v>
      </c>
      <c r="BN3636" s="1" t="s">
        <v>98</v>
      </c>
      <c r="BO3636" s="1" t="s">
        <v>57899</v>
      </c>
      <c r="BP3636" s="1"/>
      <c r="BQ3636" s="1"/>
      <c r="BR3636" s="1" t="s">
        <v>57900</v>
      </c>
      <c r="BS3636" s="1">
        <v>52</v>
      </c>
      <c r="BT3636" s="1"/>
      <c r="BU3636" s="1" t="str">
        <f>HYPERLINK("https://nconnect.nicmar.ac.in/storage/profile/2021-2023_AP21438_396214.jpg","Download")</f>
        <v>0</v>
      </c>
      <c r="BV3636" s="3"/>
      <c r="BW3636" s="3"/>
    </row>
    <row r="3637" spans="1:75">
      <c r="A3637" s="1" t="s">
        <v>51340</v>
      </c>
      <c r="B3637" s="1" t="s">
        <v>51341</v>
      </c>
      <c r="C3637" s="1" t="s">
        <v>57901</v>
      </c>
      <c r="D3637" s="1" t="s">
        <v>8272</v>
      </c>
      <c r="E3637" s="1" t="s">
        <v>3058</v>
      </c>
      <c r="F3637" s="1" t="s">
        <v>57902</v>
      </c>
      <c r="G3637" s="1" t="s">
        <v>57903</v>
      </c>
      <c r="H3637" s="1" t="s">
        <v>57904</v>
      </c>
      <c r="I3637" s="1" t="s">
        <v>57905</v>
      </c>
      <c r="J3637" s="1">
        <v>7038319598</v>
      </c>
      <c r="K3637" s="1" t="s">
        <v>84</v>
      </c>
      <c r="L3637" s="1" t="s">
        <v>13546</v>
      </c>
      <c r="M3637" s="1" t="s">
        <v>86</v>
      </c>
      <c r="N3637" s="1" t="s">
        <v>903</v>
      </c>
      <c r="O3637" s="1"/>
      <c r="P3637" s="1" t="s">
        <v>455</v>
      </c>
      <c r="Q3637" s="1" t="s">
        <v>57906</v>
      </c>
      <c r="R3637" s="1" t="s">
        <v>57907</v>
      </c>
      <c r="S3637" s="1">
        <v>8805987789</v>
      </c>
      <c r="T3637" s="1" t="s">
        <v>539</v>
      </c>
      <c r="U3637" s="1" t="s">
        <v>57908</v>
      </c>
      <c r="V3637" s="1">
        <v>9823104966</v>
      </c>
      <c r="W3637" s="1" t="s">
        <v>94</v>
      </c>
      <c r="X3637" s="1" t="s">
        <v>57909</v>
      </c>
      <c r="Y3637" s="1" t="s">
        <v>410</v>
      </c>
      <c r="Z3637" s="1" t="s">
        <v>97</v>
      </c>
      <c r="AA3637" s="1" t="s">
        <v>57910</v>
      </c>
      <c r="AB3637" s="1" t="s">
        <v>410</v>
      </c>
      <c r="AC3637" s="1" t="s">
        <v>97</v>
      </c>
      <c r="AD3637" s="1" t="s">
        <v>98</v>
      </c>
      <c r="AE3637" s="1" t="s">
        <v>98</v>
      </c>
      <c r="AF3637" s="1" t="s">
        <v>57911</v>
      </c>
      <c r="AG3637" s="1" t="s">
        <v>51712</v>
      </c>
      <c r="AH3637" s="1" t="s">
        <v>1213</v>
      </c>
      <c r="AI3637" s="1" t="s">
        <v>515</v>
      </c>
      <c r="AJ3637" s="1">
        <v>80.4</v>
      </c>
      <c r="AK3637" s="1">
        <v>0</v>
      </c>
      <c r="AL3637" s="1" t="s">
        <v>57912</v>
      </c>
      <c r="AM3637" s="1" t="s">
        <v>51712</v>
      </c>
      <c r="AN3637" s="1"/>
      <c r="AO3637" s="1" t="s">
        <v>166</v>
      </c>
      <c r="AP3637" s="1" t="s">
        <v>1111</v>
      </c>
      <c r="AQ3637" s="1">
        <v>53.85</v>
      </c>
      <c r="AR3637" s="1">
        <v>0</v>
      </c>
      <c r="AS3637" s="1"/>
      <c r="AT3637" s="1"/>
      <c r="AU3637" s="1" t="s">
        <v>98</v>
      </c>
      <c r="AV3637" s="1" t="s">
        <v>98</v>
      </c>
      <c r="AW3637" s="1" t="s">
        <v>98</v>
      </c>
      <c r="AX3637" s="1" t="s">
        <v>98</v>
      </c>
      <c r="AY3637" s="1" t="s">
        <v>415</v>
      </c>
      <c r="AZ3637" s="1" t="s">
        <v>57913</v>
      </c>
      <c r="BA3637" s="1"/>
      <c r="BB3637" s="1"/>
      <c r="BC3637" s="1" t="s">
        <v>139</v>
      </c>
      <c r="BD3637" s="1" t="s">
        <v>2304</v>
      </c>
      <c r="BE3637" s="1">
        <v>74.03</v>
      </c>
      <c r="BF3637" s="1">
        <v>0</v>
      </c>
      <c r="BG3637" s="1"/>
      <c r="BH3637" s="1"/>
      <c r="BI3637" s="1"/>
      <c r="BJ3637" s="1"/>
      <c r="BK3637" s="1" t="s">
        <v>98</v>
      </c>
      <c r="BL3637" s="1" t="s">
        <v>98</v>
      </c>
      <c r="BM3637" s="1" t="s">
        <v>98</v>
      </c>
      <c r="BN3637" s="1" t="s">
        <v>98</v>
      </c>
      <c r="BO3637" s="1" t="s">
        <v>1114</v>
      </c>
      <c r="BP3637" s="1"/>
      <c r="BQ3637" s="1"/>
      <c r="BR3637" s="1" t="s">
        <v>57914</v>
      </c>
      <c r="BS3637" s="1">
        <v>20</v>
      </c>
      <c r="BT3637" s="1"/>
      <c r="BU3637" s="1" t="str">
        <f>HYPERLINK("https://nconnect.nicmar.ac.in/storage/profile/2021-2023_AP21439_483927.jpg","Download")</f>
        <v>0</v>
      </c>
      <c r="BV3637" s="3"/>
      <c r="BW3637" s="3"/>
    </row>
    <row r="3638" spans="1:75">
      <c r="A3638" s="1" t="s">
        <v>51340</v>
      </c>
      <c r="B3638" s="1" t="s">
        <v>51341</v>
      </c>
      <c r="C3638" s="1" t="s">
        <v>57915</v>
      </c>
      <c r="D3638" s="1" t="s">
        <v>57916</v>
      </c>
      <c r="E3638" s="1"/>
      <c r="F3638" s="1" t="s">
        <v>57917</v>
      </c>
      <c r="G3638" s="1" t="s">
        <v>57918</v>
      </c>
      <c r="H3638" s="1" t="s">
        <v>57919</v>
      </c>
      <c r="I3638" s="1" t="s">
        <v>57920</v>
      </c>
      <c r="J3638" s="1">
        <v>8754928099</v>
      </c>
      <c r="K3638" s="1" t="s">
        <v>84</v>
      </c>
      <c r="L3638" s="1" t="s">
        <v>10419</v>
      </c>
      <c r="M3638" s="1" t="s">
        <v>86</v>
      </c>
      <c r="N3638" s="1" t="s">
        <v>21965</v>
      </c>
      <c r="O3638" s="1"/>
      <c r="P3638" s="1" t="s">
        <v>481</v>
      </c>
      <c r="Q3638" s="1" t="s">
        <v>57921</v>
      </c>
      <c r="R3638" s="1" t="s">
        <v>57922</v>
      </c>
      <c r="S3638" s="1">
        <v>9825591767</v>
      </c>
      <c r="T3638" s="1" t="s">
        <v>42654</v>
      </c>
      <c r="U3638" s="1" t="s">
        <v>57923</v>
      </c>
      <c r="V3638" s="1">
        <v>9500655254</v>
      </c>
      <c r="W3638" s="1" t="s">
        <v>94</v>
      </c>
      <c r="X3638" s="1" t="s">
        <v>57924</v>
      </c>
      <c r="Y3638" s="1" t="s">
        <v>54432</v>
      </c>
      <c r="Z3638" s="1" t="s">
        <v>570</v>
      </c>
      <c r="AA3638" s="1" t="s">
        <v>57925</v>
      </c>
      <c r="AB3638" s="1" t="s">
        <v>14079</v>
      </c>
      <c r="AC3638" s="1" t="s">
        <v>97</v>
      </c>
      <c r="AD3638" s="1" t="s">
        <v>98</v>
      </c>
      <c r="AE3638" s="1" t="s">
        <v>98</v>
      </c>
      <c r="AF3638" s="1" t="s">
        <v>57926</v>
      </c>
      <c r="AG3638" s="1" t="s">
        <v>24204</v>
      </c>
      <c r="AH3638" s="1">
        <v>41735</v>
      </c>
      <c r="AI3638" s="1">
        <v>42145</v>
      </c>
      <c r="AJ3638" s="1">
        <v>95.4</v>
      </c>
      <c r="AK3638" s="1" t="s">
        <v>98</v>
      </c>
      <c r="AL3638" s="1" t="s">
        <v>57927</v>
      </c>
      <c r="AM3638" s="1" t="s">
        <v>24204</v>
      </c>
      <c r="AN3638" s="1"/>
      <c r="AO3638" s="1">
        <v>42454</v>
      </c>
      <c r="AP3638" s="1">
        <v>42867</v>
      </c>
      <c r="AQ3638" s="1">
        <v>91.83</v>
      </c>
      <c r="AR3638" s="1" t="s">
        <v>98</v>
      </c>
      <c r="AS3638" s="1" t="s">
        <v>98</v>
      </c>
      <c r="AT3638" s="1" t="s">
        <v>98</v>
      </c>
      <c r="AU3638" s="1" t="s">
        <v>98</v>
      </c>
      <c r="AV3638" s="1" t="s">
        <v>98</v>
      </c>
      <c r="AW3638" s="1" t="s">
        <v>98</v>
      </c>
      <c r="AX3638" s="1" t="s">
        <v>98</v>
      </c>
      <c r="AY3638" s="1" t="s">
        <v>576</v>
      </c>
      <c r="AZ3638" s="1" t="s">
        <v>57320</v>
      </c>
      <c r="BA3638" s="1"/>
      <c r="BB3638" s="1"/>
      <c r="BC3638" s="1">
        <v>42972</v>
      </c>
      <c r="BD3638" s="1">
        <v>44346</v>
      </c>
      <c r="BE3638" s="1">
        <v>81</v>
      </c>
      <c r="BF3638" s="1">
        <v>8.05</v>
      </c>
      <c r="BG3638" s="1" t="s">
        <v>98</v>
      </c>
      <c r="BH3638" s="1"/>
      <c r="BI3638" s="1"/>
      <c r="BJ3638" s="1"/>
      <c r="BK3638" s="1" t="s">
        <v>98</v>
      </c>
      <c r="BL3638" s="1" t="s">
        <v>98</v>
      </c>
      <c r="BM3638" s="1" t="s">
        <v>98</v>
      </c>
      <c r="BN3638" s="1" t="s">
        <v>98</v>
      </c>
      <c r="BO3638" s="1"/>
      <c r="BP3638" s="1"/>
      <c r="BQ3638" s="1"/>
      <c r="BR3638" s="1" t="s">
        <v>57928</v>
      </c>
      <c r="BS3638" s="1">
        <v>11</v>
      </c>
      <c r="BT3638" s="1"/>
      <c r="BU3638" s="1" t="s">
        <v>9653</v>
      </c>
      <c r="BV3638" s="3"/>
      <c r="BW3638" s="3"/>
    </row>
    <row r="3639" spans="1:75">
      <c r="A3639" s="1" t="s">
        <v>51340</v>
      </c>
      <c r="B3639" s="1" t="s">
        <v>51341</v>
      </c>
      <c r="C3639" s="1" t="s">
        <v>57929</v>
      </c>
      <c r="D3639" s="1" t="s">
        <v>12702</v>
      </c>
      <c r="E3639" s="1" t="s">
        <v>10216</v>
      </c>
      <c r="F3639" s="1" t="s">
        <v>587</v>
      </c>
      <c r="G3639" s="1" t="s">
        <v>57930</v>
      </c>
      <c r="H3639" s="1" t="s">
        <v>57931</v>
      </c>
      <c r="I3639" s="1" t="s">
        <v>57932</v>
      </c>
      <c r="J3639" s="1">
        <v>8792244746</v>
      </c>
      <c r="K3639" s="1" t="s">
        <v>84</v>
      </c>
      <c r="L3639" s="1" t="s">
        <v>57933</v>
      </c>
      <c r="M3639" s="1" t="s">
        <v>86</v>
      </c>
      <c r="N3639" s="1" t="s">
        <v>13496</v>
      </c>
      <c r="O3639" s="1"/>
      <c r="P3639" s="1" t="s">
        <v>481</v>
      </c>
      <c r="Q3639" s="1" t="s">
        <v>57934</v>
      </c>
      <c r="R3639" s="1" t="s">
        <v>57935</v>
      </c>
      <c r="S3639" s="1">
        <v>9844092356</v>
      </c>
      <c r="T3639" s="1" t="s">
        <v>596</v>
      </c>
      <c r="U3639" s="1" t="s">
        <v>7232</v>
      </c>
      <c r="V3639" s="1">
        <v>9538228085</v>
      </c>
      <c r="W3639" s="1" t="s">
        <v>161</v>
      </c>
      <c r="X3639" s="1" t="s">
        <v>57936</v>
      </c>
      <c r="Y3639" s="1" t="s">
        <v>51727</v>
      </c>
      <c r="Z3639" s="1" t="s">
        <v>1210</v>
      </c>
      <c r="AA3639" s="1" t="s">
        <v>57936</v>
      </c>
      <c r="AB3639" s="1" t="s">
        <v>51727</v>
      </c>
      <c r="AC3639" s="1" t="s">
        <v>1210</v>
      </c>
      <c r="AD3639" s="1" t="s">
        <v>98</v>
      </c>
      <c r="AE3639" s="1" t="s">
        <v>98</v>
      </c>
      <c r="AF3639" s="1" t="s">
        <v>57937</v>
      </c>
      <c r="AG3639" s="1" t="s">
        <v>1946</v>
      </c>
      <c r="AH3639" s="1">
        <v>41770</v>
      </c>
      <c r="AI3639" s="1">
        <v>42137</v>
      </c>
      <c r="AJ3639" s="1">
        <v>70.08</v>
      </c>
      <c r="AK3639" s="1">
        <v>7.4</v>
      </c>
      <c r="AL3639" s="1" t="s">
        <v>4491</v>
      </c>
      <c r="AM3639" s="1" t="s">
        <v>1946</v>
      </c>
      <c r="AN3639" s="1"/>
      <c r="AO3639" s="1">
        <v>42505</v>
      </c>
      <c r="AP3639" s="1">
        <v>42942</v>
      </c>
      <c r="AQ3639" s="1">
        <v>51.83</v>
      </c>
      <c r="AR3639" s="1">
        <v>5.4</v>
      </c>
      <c r="AS3639" s="1"/>
      <c r="AT3639" s="1"/>
      <c r="AU3639" s="1" t="s">
        <v>98</v>
      </c>
      <c r="AV3639" s="1" t="s">
        <v>98</v>
      </c>
      <c r="AW3639" s="1" t="s">
        <v>98</v>
      </c>
      <c r="AX3639" s="1" t="s">
        <v>98</v>
      </c>
      <c r="AY3639" s="1" t="s">
        <v>1217</v>
      </c>
      <c r="AZ3639" s="1" t="s">
        <v>51733</v>
      </c>
      <c r="BA3639" s="1"/>
      <c r="BB3639" s="1"/>
      <c r="BC3639" s="1">
        <v>42954</v>
      </c>
      <c r="BD3639" s="1">
        <v>44407</v>
      </c>
      <c r="BE3639" s="1">
        <v>58.4</v>
      </c>
      <c r="BF3639" s="1">
        <v>6.59</v>
      </c>
      <c r="BG3639" s="1"/>
      <c r="BH3639" s="1"/>
      <c r="BI3639" s="1"/>
      <c r="BJ3639" s="1"/>
      <c r="BK3639" s="1" t="s">
        <v>98</v>
      </c>
      <c r="BL3639" s="1" t="s">
        <v>98</v>
      </c>
      <c r="BM3639" s="1" t="s">
        <v>98</v>
      </c>
      <c r="BN3639" s="1" t="s">
        <v>98</v>
      </c>
      <c r="BO3639" s="1" t="s">
        <v>1114</v>
      </c>
      <c r="BP3639" s="1"/>
      <c r="BQ3639" s="1"/>
      <c r="BR3639" s="1" t="s">
        <v>57938</v>
      </c>
      <c r="BS3639" s="1">
        <v>8</v>
      </c>
      <c r="BT3639" s="1"/>
      <c r="BU3639" s="1" t="s">
        <v>9653</v>
      </c>
      <c r="BV3639" s="3"/>
      <c r="BW3639" s="3"/>
    </row>
    <row r="3640" spans="1:75">
      <c r="A3640" s="1" t="s">
        <v>51340</v>
      </c>
      <c r="B3640" s="1" t="s">
        <v>51341</v>
      </c>
      <c r="C3640" s="1" t="s">
        <v>57939</v>
      </c>
      <c r="D3640" s="1" t="s">
        <v>9462</v>
      </c>
      <c r="E3640" s="1" t="s">
        <v>1404</v>
      </c>
      <c r="F3640" s="1" t="s">
        <v>57940</v>
      </c>
      <c r="G3640" s="1" t="s">
        <v>57941</v>
      </c>
      <c r="H3640" s="1" t="s">
        <v>57942</v>
      </c>
      <c r="I3640" s="1" t="s">
        <v>57943</v>
      </c>
      <c r="J3640" s="1">
        <v>8919359099</v>
      </c>
      <c r="K3640" s="1" t="s">
        <v>84</v>
      </c>
      <c r="L3640" s="1" t="s">
        <v>22249</v>
      </c>
      <c r="M3640" s="1" t="s">
        <v>86</v>
      </c>
      <c r="N3640" s="1" t="s">
        <v>3026</v>
      </c>
      <c r="O3640" s="1"/>
      <c r="P3640" s="1" t="s">
        <v>1028</v>
      </c>
      <c r="Q3640" s="1" t="s">
        <v>57944</v>
      </c>
      <c r="R3640" s="1" t="s">
        <v>57945</v>
      </c>
      <c r="S3640" s="1">
        <v>8886103333</v>
      </c>
      <c r="T3640" s="1" t="s">
        <v>539</v>
      </c>
      <c r="U3640" s="1" t="s">
        <v>57946</v>
      </c>
      <c r="V3640" s="1">
        <v>9849356495</v>
      </c>
      <c r="W3640" s="1" t="s">
        <v>94</v>
      </c>
      <c r="X3640" s="1" t="s">
        <v>57947</v>
      </c>
      <c r="Y3640" s="1" t="s">
        <v>56794</v>
      </c>
      <c r="Z3640" s="1" t="s">
        <v>281</v>
      </c>
      <c r="AA3640" s="1" t="s">
        <v>57947</v>
      </c>
      <c r="AB3640" s="1" t="s">
        <v>56794</v>
      </c>
      <c r="AC3640" s="1" t="s">
        <v>281</v>
      </c>
      <c r="AD3640" s="1" t="s">
        <v>98</v>
      </c>
      <c r="AE3640" s="1" t="s">
        <v>98</v>
      </c>
      <c r="AF3640" s="1" t="s">
        <v>55639</v>
      </c>
      <c r="AG3640" s="1" t="s">
        <v>1418</v>
      </c>
      <c r="AH3640" s="1">
        <v>41456</v>
      </c>
      <c r="AI3640" s="1">
        <v>41774</v>
      </c>
      <c r="AJ3640" s="1">
        <v>85.5</v>
      </c>
      <c r="AK3640" s="1">
        <v>9</v>
      </c>
      <c r="AL3640" s="1" t="s">
        <v>57948</v>
      </c>
      <c r="AM3640" s="1" t="s">
        <v>1418</v>
      </c>
      <c r="AN3640" s="1"/>
      <c r="AO3640" s="1">
        <v>42191</v>
      </c>
      <c r="AP3640" s="1">
        <v>42479</v>
      </c>
      <c r="AQ3640" s="1">
        <v>81.9</v>
      </c>
      <c r="AR3640" s="1"/>
      <c r="AS3640" s="1"/>
      <c r="AT3640" s="1"/>
      <c r="AU3640" s="1" t="s">
        <v>98</v>
      </c>
      <c r="AV3640" s="1" t="s">
        <v>98</v>
      </c>
      <c r="AW3640" s="1" t="s">
        <v>98</v>
      </c>
      <c r="AX3640" s="1" t="s">
        <v>98</v>
      </c>
      <c r="AY3640" s="1" t="s">
        <v>57949</v>
      </c>
      <c r="AZ3640" s="1" t="s">
        <v>57950</v>
      </c>
      <c r="BA3640" s="1"/>
      <c r="BB3640" s="1"/>
      <c r="BC3640" s="1">
        <v>42552</v>
      </c>
      <c r="BD3640" s="1">
        <v>44468</v>
      </c>
      <c r="BE3640" s="1">
        <v>79.8</v>
      </c>
      <c r="BF3640" s="1">
        <v>7.98</v>
      </c>
      <c r="BG3640" s="1"/>
      <c r="BH3640" s="1"/>
      <c r="BI3640" s="1"/>
      <c r="BJ3640" s="1"/>
      <c r="BK3640" s="1" t="s">
        <v>98</v>
      </c>
      <c r="BL3640" s="1" t="s">
        <v>98</v>
      </c>
      <c r="BM3640" s="1" t="s">
        <v>98</v>
      </c>
      <c r="BN3640" s="1" t="s">
        <v>98</v>
      </c>
      <c r="BO3640" s="1" t="s">
        <v>57951</v>
      </c>
      <c r="BP3640" s="1"/>
      <c r="BQ3640" s="1"/>
      <c r="BR3640" s="1" t="s">
        <v>57952</v>
      </c>
      <c r="BS3640" s="1">
        <v>43</v>
      </c>
      <c r="BT3640" s="1"/>
      <c r="BU3640" s="1" t="str">
        <f>HYPERLINK("https://nconnect.nicmar.ac.in/storage/profile/2021-2023_AP21442_295764.jpg","Download")</f>
        <v>0</v>
      </c>
      <c r="BV3640" s="3"/>
      <c r="BW3640" s="3"/>
    </row>
    <row r="3641" spans="1:75">
      <c r="A3641" s="1" t="s">
        <v>51340</v>
      </c>
      <c r="B3641" s="1" t="s">
        <v>51341</v>
      </c>
      <c r="C3641" s="1" t="s">
        <v>57953</v>
      </c>
      <c r="D3641" s="1" t="s">
        <v>57954</v>
      </c>
      <c r="E3641" s="1"/>
      <c r="F3641" s="1" t="s">
        <v>812</v>
      </c>
      <c r="G3641" s="1" t="s">
        <v>57955</v>
      </c>
      <c r="H3641" s="1" t="s">
        <v>57956</v>
      </c>
      <c r="I3641" s="1" t="s">
        <v>57957</v>
      </c>
      <c r="J3641" s="1">
        <v>7034300000</v>
      </c>
      <c r="K3641" s="1" t="s">
        <v>84</v>
      </c>
      <c r="L3641" s="1" t="s">
        <v>19016</v>
      </c>
      <c r="M3641" s="1" t="s">
        <v>86</v>
      </c>
      <c r="N3641" s="1" t="s">
        <v>57958</v>
      </c>
      <c r="O3641" s="1"/>
      <c r="P3641" s="1" t="s">
        <v>481</v>
      </c>
      <c r="Q3641" s="1" t="s">
        <v>57959</v>
      </c>
      <c r="R3641" s="1" t="s">
        <v>57960</v>
      </c>
      <c r="S3641" s="1">
        <v>9249500000</v>
      </c>
      <c r="T3641" s="1" t="s">
        <v>839</v>
      </c>
      <c r="U3641" s="1" t="s">
        <v>57961</v>
      </c>
      <c r="V3641" s="1">
        <v>9061300000</v>
      </c>
      <c r="W3641" s="1" t="s">
        <v>94</v>
      </c>
      <c r="X3641" s="1" t="s">
        <v>57962</v>
      </c>
      <c r="Y3641" s="1" t="s">
        <v>57963</v>
      </c>
      <c r="Z3641" s="1" t="s">
        <v>130</v>
      </c>
      <c r="AA3641" s="1" t="s">
        <v>57964</v>
      </c>
      <c r="AB3641" s="1" t="s">
        <v>57963</v>
      </c>
      <c r="AC3641" s="1" t="s">
        <v>130</v>
      </c>
      <c r="AD3641" s="1" t="s">
        <v>98</v>
      </c>
      <c r="AE3641" s="1" t="s">
        <v>98</v>
      </c>
      <c r="AF3641" s="1" t="s">
        <v>57965</v>
      </c>
      <c r="AG3641" s="1" t="s">
        <v>312</v>
      </c>
      <c r="AH3641" s="1">
        <v>41761</v>
      </c>
      <c r="AI3641" s="1">
        <v>42152</v>
      </c>
      <c r="AJ3641" s="1">
        <v>95</v>
      </c>
      <c r="AK3641" s="1">
        <v>10</v>
      </c>
      <c r="AL3641" s="1" t="s">
        <v>57966</v>
      </c>
      <c r="AM3641" s="1" t="s">
        <v>312</v>
      </c>
      <c r="AN3641" s="1"/>
      <c r="AO3641" s="1">
        <v>42553</v>
      </c>
      <c r="AP3641" s="1">
        <v>42870</v>
      </c>
      <c r="AQ3641" s="1">
        <v>97.5</v>
      </c>
      <c r="AR3641" s="1"/>
      <c r="AS3641" s="1"/>
      <c r="AT3641" s="1"/>
      <c r="AU3641" s="1" t="s">
        <v>98</v>
      </c>
      <c r="AV3641" s="1" t="s">
        <v>98</v>
      </c>
      <c r="AW3641" s="1" t="s">
        <v>98</v>
      </c>
      <c r="AX3641" s="1" t="s">
        <v>98</v>
      </c>
      <c r="AY3641" s="1" t="s">
        <v>706</v>
      </c>
      <c r="AZ3641" s="1" t="s">
        <v>57967</v>
      </c>
      <c r="BA3641" s="1"/>
      <c r="BB3641" s="1"/>
      <c r="BC3641" s="1">
        <v>42928</v>
      </c>
      <c r="BD3641" s="1">
        <v>44391</v>
      </c>
      <c r="BE3641" s="1">
        <v>88.65</v>
      </c>
      <c r="BF3641" s="1">
        <v>9.24</v>
      </c>
      <c r="BG3641" s="1"/>
      <c r="BH3641" s="1"/>
      <c r="BI3641" s="1"/>
      <c r="BJ3641" s="1"/>
      <c r="BK3641" s="1" t="s">
        <v>98</v>
      </c>
      <c r="BL3641" s="1" t="s">
        <v>98</v>
      </c>
      <c r="BM3641" s="1" t="s">
        <v>98</v>
      </c>
      <c r="BN3641" s="1" t="s">
        <v>98</v>
      </c>
      <c r="BO3641" s="1" t="s">
        <v>57968</v>
      </c>
      <c r="BP3641" s="1"/>
      <c r="BQ3641" s="1"/>
      <c r="BR3641" s="1" t="s">
        <v>57969</v>
      </c>
      <c r="BS3641" s="1">
        <v>8</v>
      </c>
      <c r="BT3641" s="1"/>
      <c r="BU3641" s="1" t="str">
        <f>HYPERLINK("https://nconnect.nicmar.ac.in/storage/profile/2021-2023_AP21443_172945.jpg","Download")</f>
        <v>0</v>
      </c>
      <c r="BV3641" s="3"/>
      <c r="BW3641" s="3"/>
    </row>
    <row r="3642" spans="1:75">
      <c r="A3642" s="1" t="s">
        <v>51340</v>
      </c>
      <c r="B3642" s="1" t="s">
        <v>51341</v>
      </c>
      <c r="C3642" s="1" t="s">
        <v>57970</v>
      </c>
      <c r="D3642" s="1" t="s">
        <v>57971</v>
      </c>
      <c r="E3642" s="1" t="s">
        <v>1505</v>
      </c>
      <c r="F3642" s="1" t="s">
        <v>57972</v>
      </c>
      <c r="G3642" s="1" t="s">
        <v>57973</v>
      </c>
      <c r="H3642" s="1" t="s">
        <v>57974</v>
      </c>
      <c r="I3642" s="1" t="s">
        <v>57975</v>
      </c>
      <c r="J3642" s="1">
        <v>8805470025</v>
      </c>
      <c r="K3642" s="1" t="s">
        <v>84</v>
      </c>
      <c r="L3642" s="1" t="s">
        <v>57976</v>
      </c>
      <c r="M3642" s="1" t="s">
        <v>86</v>
      </c>
      <c r="N3642" s="1" t="s">
        <v>1163</v>
      </c>
      <c r="O3642" s="1"/>
      <c r="P3642" s="1" t="s">
        <v>481</v>
      </c>
      <c r="Q3642" s="1" t="s">
        <v>57977</v>
      </c>
      <c r="R3642" s="1" t="s">
        <v>57978</v>
      </c>
      <c r="S3642" s="1">
        <v>9423326408</v>
      </c>
      <c r="T3642" s="1" t="s">
        <v>539</v>
      </c>
      <c r="U3642" s="1" t="s">
        <v>57979</v>
      </c>
      <c r="V3642" s="1">
        <v>8888055253</v>
      </c>
      <c r="W3642" s="1" t="s">
        <v>94</v>
      </c>
      <c r="X3642" s="1" t="s">
        <v>57980</v>
      </c>
      <c r="Y3642" s="1" t="s">
        <v>196</v>
      </c>
      <c r="Z3642" s="1" t="s">
        <v>97</v>
      </c>
      <c r="AA3642" s="1" t="s">
        <v>57980</v>
      </c>
      <c r="AB3642" s="1" t="s">
        <v>196</v>
      </c>
      <c r="AC3642" s="1" t="s">
        <v>97</v>
      </c>
      <c r="AD3642" s="1" t="s">
        <v>98</v>
      </c>
      <c r="AE3642" s="1" t="s">
        <v>98</v>
      </c>
      <c r="AF3642" s="1" t="s">
        <v>57981</v>
      </c>
      <c r="AG3642" s="1" t="s">
        <v>1968</v>
      </c>
      <c r="AH3642" s="1">
        <v>41067</v>
      </c>
      <c r="AI3642" s="1">
        <v>41432</v>
      </c>
      <c r="AJ3642" s="1">
        <v>58</v>
      </c>
      <c r="AK3642" s="1"/>
      <c r="AL3642" s="1" t="s">
        <v>98</v>
      </c>
      <c r="AM3642" s="1" t="s">
        <v>98</v>
      </c>
      <c r="AN3642" s="1"/>
      <c r="AO3642" s="1" t="s">
        <v>98</v>
      </c>
      <c r="AP3642" s="1" t="s">
        <v>98</v>
      </c>
      <c r="AQ3642" s="1"/>
      <c r="AR3642" s="1"/>
      <c r="AS3642" s="1" t="s">
        <v>37854</v>
      </c>
      <c r="AT3642" s="1" t="s">
        <v>57982</v>
      </c>
      <c r="AU3642" s="1">
        <v>41496</v>
      </c>
      <c r="AV3642" s="1">
        <v>42894</v>
      </c>
      <c r="AW3642" s="1">
        <v>54.24</v>
      </c>
      <c r="AX3642" s="1"/>
      <c r="AY3642" s="1" t="s">
        <v>57983</v>
      </c>
      <c r="AZ3642" s="1" t="s">
        <v>57984</v>
      </c>
      <c r="BA3642" s="1"/>
      <c r="BB3642" s="1"/>
      <c r="BC3642" s="1">
        <v>42957</v>
      </c>
      <c r="BD3642" s="1">
        <v>44131</v>
      </c>
      <c r="BE3642" s="1">
        <v>65.1</v>
      </c>
      <c r="BF3642" s="1">
        <v>6.51</v>
      </c>
      <c r="BG3642" s="1"/>
      <c r="BH3642" s="1"/>
      <c r="BI3642" s="1"/>
      <c r="BJ3642" s="1"/>
      <c r="BK3642" s="1" t="s">
        <v>98</v>
      </c>
      <c r="BL3642" s="1" t="s">
        <v>98</v>
      </c>
      <c r="BM3642" s="1" t="s">
        <v>98</v>
      </c>
      <c r="BN3642" s="1" t="s">
        <v>98</v>
      </c>
      <c r="BO3642" s="1" t="s">
        <v>369</v>
      </c>
      <c r="BP3642" s="1"/>
      <c r="BQ3642" s="1"/>
      <c r="BR3642" s="1" t="s">
        <v>57985</v>
      </c>
      <c r="BS3642" s="1">
        <v>22</v>
      </c>
      <c r="BT3642" s="1"/>
      <c r="BU3642" s="1" t="str">
        <f>HYPERLINK("https://nconnect.nicmar.ac.in/storage/profile/2021-2023_AP21444_567432.jpg","Download")</f>
        <v>0</v>
      </c>
      <c r="BV3642" s="3"/>
      <c r="BW3642" s="3"/>
    </row>
    <row r="3643" spans="1:75">
      <c r="A3643" s="1" t="s">
        <v>51340</v>
      </c>
      <c r="B3643" s="1" t="s">
        <v>51341</v>
      </c>
      <c r="C3643" s="1" t="s">
        <v>57986</v>
      </c>
      <c r="D3643" s="1" t="s">
        <v>5300</v>
      </c>
      <c r="E3643" s="1" t="s">
        <v>1997</v>
      </c>
      <c r="F3643" s="1" t="s">
        <v>116</v>
      </c>
      <c r="G3643" s="1" t="s">
        <v>57987</v>
      </c>
      <c r="H3643" s="1" t="s">
        <v>57988</v>
      </c>
      <c r="I3643" s="1" t="s">
        <v>57989</v>
      </c>
      <c r="J3643" s="1">
        <v>9605413116</v>
      </c>
      <c r="K3643" s="1" t="s">
        <v>153</v>
      </c>
      <c r="L3643" s="1" t="s">
        <v>32383</v>
      </c>
      <c r="M3643" s="1" t="s">
        <v>86</v>
      </c>
      <c r="N3643" s="1" t="s">
        <v>695</v>
      </c>
      <c r="O3643" s="1"/>
      <c r="P3643" s="1" t="s">
        <v>2021</v>
      </c>
      <c r="Q3643" s="1" t="s">
        <v>57990</v>
      </c>
      <c r="R3643" s="1" t="s">
        <v>57991</v>
      </c>
      <c r="S3643" s="1">
        <v>9446013977</v>
      </c>
      <c r="T3643" s="1" t="s">
        <v>57992</v>
      </c>
      <c r="U3643" s="1" t="s">
        <v>57993</v>
      </c>
      <c r="V3643" s="1">
        <v>9446077372</v>
      </c>
      <c r="W3643" s="1" t="s">
        <v>57994</v>
      </c>
      <c r="X3643" s="1" t="s">
        <v>57995</v>
      </c>
      <c r="Y3643" s="1" t="s">
        <v>701</v>
      </c>
      <c r="Z3643" s="1" t="s">
        <v>130</v>
      </c>
      <c r="AA3643" s="1" t="s">
        <v>57996</v>
      </c>
      <c r="AB3643" s="1" t="s">
        <v>701</v>
      </c>
      <c r="AC3643" s="1" t="s">
        <v>130</v>
      </c>
      <c r="AD3643" s="1" t="s">
        <v>98</v>
      </c>
      <c r="AE3643" s="1" t="s">
        <v>98</v>
      </c>
      <c r="AF3643" s="1" t="s">
        <v>1624</v>
      </c>
      <c r="AG3643" s="1" t="s">
        <v>2475</v>
      </c>
      <c r="AH3643" s="1">
        <v>41365</v>
      </c>
      <c r="AI3643" s="1">
        <v>41778</v>
      </c>
      <c r="AJ3643" s="1">
        <v>95</v>
      </c>
      <c r="AK3643" s="1">
        <v>10</v>
      </c>
      <c r="AL3643" s="1" t="s">
        <v>1624</v>
      </c>
      <c r="AM3643" s="1" t="s">
        <v>2475</v>
      </c>
      <c r="AN3643" s="1"/>
      <c r="AO3643" s="1">
        <v>42095</v>
      </c>
      <c r="AP3643" s="1">
        <v>42511</v>
      </c>
      <c r="AQ3643" s="1">
        <v>90.2</v>
      </c>
      <c r="AR3643" s="1">
        <v>9.2</v>
      </c>
      <c r="AS3643" s="1"/>
      <c r="AT3643" s="1"/>
      <c r="AU3643" s="1" t="s">
        <v>98</v>
      </c>
      <c r="AV3643" s="1" t="s">
        <v>98</v>
      </c>
      <c r="AW3643" s="1" t="s">
        <v>98</v>
      </c>
      <c r="AX3643" s="1" t="s">
        <v>98</v>
      </c>
      <c r="AY3643" s="1" t="s">
        <v>137</v>
      </c>
      <c r="AZ3643" s="1" t="s">
        <v>15665</v>
      </c>
      <c r="BA3643" s="1"/>
      <c r="BB3643" s="1"/>
      <c r="BC3643" s="1">
        <v>42583</v>
      </c>
      <c r="BD3643" s="1">
        <v>44132</v>
      </c>
      <c r="BE3643" s="1">
        <v>83.65</v>
      </c>
      <c r="BF3643" s="1">
        <v>8.74</v>
      </c>
      <c r="BG3643" s="1"/>
      <c r="BH3643" s="1"/>
      <c r="BI3643" s="1"/>
      <c r="BJ3643" s="1"/>
      <c r="BK3643" s="1" t="s">
        <v>98</v>
      </c>
      <c r="BL3643" s="1" t="s">
        <v>98</v>
      </c>
      <c r="BM3643" s="1" t="s">
        <v>98</v>
      </c>
      <c r="BN3643" s="1" t="s">
        <v>98</v>
      </c>
      <c r="BO3643" s="1" t="s">
        <v>369</v>
      </c>
      <c r="BP3643" s="1"/>
      <c r="BQ3643" s="1"/>
      <c r="BR3643" s="1" t="s">
        <v>57997</v>
      </c>
      <c r="BS3643" s="1">
        <v>9</v>
      </c>
      <c r="BT3643" s="1"/>
      <c r="BU3643" s="1" t="str">
        <f>HYPERLINK("https://nconnect.nicmar.ac.in/storage/profile/2021-2023_AP21445_358794.jpg","Download")</f>
        <v>0</v>
      </c>
      <c r="BV3643" s="3"/>
      <c r="BW3643" s="3"/>
    </row>
    <row r="3644" spans="1:75">
      <c r="A3644" s="1" t="s">
        <v>51340</v>
      </c>
      <c r="B3644" s="1" t="s">
        <v>51341</v>
      </c>
      <c r="C3644" s="1" t="s">
        <v>57998</v>
      </c>
      <c r="D3644" s="1" t="s">
        <v>57999</v>
      </c>
      <c r="E3644" s="1"/>
      <c r="F3644" s="1" t="s">
        <v>58000</v>
      </c>
      <c r="G3644" s="1" t="s">
        <v>58001</v>
      </c>
      <c r="H3644" s="1" t="s">
        <v>58002</v>
      </c>
      <c r="I3644" s="1" t="s">
        <v>58003</v>
      </c>
      <c r="J3644" s="1">
        <v>7995916719</v>
      </c>
      <c r="K3644" s="1" t="s">
        <v>84</v>
      </c>
      <c r="L3644" s="1" t="s">
        <v>32248</v>
      </c>
      <c r="M3644" s="1" t="s">
        <v>86</v>
      </c>
      <c r="N3644" s="1" t="s">
        <v>3083</v>
      </c>
      <c r="O3644" s="1"/>
      <c r="P3644" s="1" t="s">
        <v>455</v>
      </c>
      <c r="Q3644" s="1" t="s">
        <v>58004</v>
      </c>
      <c r="R3644" s="1" t="s">
        <v>58005</v>
      </c>
      <c r="S3644" s="1">
        <v>8019543096</v>
      </c>
      <c r="T3644" s="1" t="s">
        <v>539</v>
      </c>
      <c r="U3644" s="1" t="s">
        <v>58006</v>
      </c>
      <c r="V3644" s="1">
        <v>9248315579</v>
      </c>
      <c r="W3644" s="1" t="s">
        <v>94</v>
      </c>
      <c r="X3644" s="1" t="s">
        <v>58007</v>
      </c>
      <c r="Y3644" s="1" t="s">
        <v>3031</v>
      </c>
      <c r="Z3644" s="1" t="s">
        <v>461</v>
      </c>
      <c r="AA3644" s="1" t="s">
        <v>58008</v>
      </c>
      <c r="AB3644" s="1" t="s">
        <v>3031</v>
      </c>
      <c r="AC3644" s="1" t="s">
        <v>461</v>
      </c>
      <c r="AD3644" s="1" t="s">
        <v>98</v>
      </c>
      <c r="AE3644" s="1" t="s">
        <v>98</v>
      </c>
      <c r="AF3644" s="1" t="s">
        <v>2653</v>
      </c>
      <c r="AG3644" s="1" t="s">
        <v>58009</v>
      </c>
      <c r="AH3644" s="1">
        <v>41435</v>
      </c>
      <c r="AI3644" s="1">
        <v>41774</v>
      </c>
      <c r="AJ3644" s="1">
        <v>83.6</v>
      </c>
      <c r="AK3644" s="1">
        <v>8.8</v>
      </c>
      <c r="AL3644" s="1" t="s">
        <v>58010</v>
      </c>
      <c r="AM3644" s="1" t="s">
        <v>58011</v>
      </c>
      <c r="AN3644" s="1"/>
      <c r="AO3644" s="1">
        <v>42167</v>
      </c>
      <c r="AP3644" s="1">
        <v>42482</v>
      </c>
      <c r="AQ3644" s="1">
        <v>89.5</v>
      </c>
      <c r="AR3644" s="1"/>
      <c r="AS3644" s="1"/>
      <c r="AT3644" s="1"/>
      <c r="AU3644" s="1" t="s">
        <v>98</v>
      </c>
      <c r="AV3644" s="1" t="s">
        <v>98</v>
      </c>
      <c r="AW3644" s="1" t="s">
        <v>98</v>
      </c>
      <c r="AX3644" s="1" t="s">
        <v>98</v>
      </c>
      <c r="AY3644" s="1" t="s">
        <v>1823</v>
      </c>
      <c r="AZ3644" s="1" t="s">
        <v>58012</v>
      </c>
      <c r="BA3644" s="1"/>
      <c r="BB3644" s="1"/>
      <c r="BC3644" s="1">
        <v>42592</v>
      </c>
      <c r="BD3644" s="1">
        <v>44063</v>
      </c>
      <c r="BE3644" s="1">
        <v>74.67</v>
      </c>
      <c r="BF3644" s="1">
        <v>7.86</v>
      </c>
      <c r="BG3644" s="1"/>
      <c r="BH3644" s="1"/>
      <c r="BI3644" s="1"/>
      <c r="BJ3644" s="1"/>
      <c r="BK3644" s="1" t="s">
        <v>98</v>
      </c>
      <c r="BL3644" s="1" t="s">
        <v>98</v>
      </c>
      <c r="BM3644" s="1" t="s">
        <v>98</v>
      </c>
      <c r="BN3644" s="1" t="s">
        <v>98</v>
      </c>
      <c r="BO3644" s="1" t="s">
        <v>849</v>
      </c>
      <c r="BP3644" s="1"/>
      <c r="BQ3644" s="1"/>
      <c r="BR3644" s="1" t="s">
        <v>58013</v>
      </c>
      <c r="BS3644" s="1">
        <v>8</v>
      </c>
      <c r="BT3644" s="1"/>
      <c r="BU3644" s="1" t="str">
        <f>HYPERLINK("https://nconnect.nicmar.ac.in/storage/profile/2021-2023_AP21446_429185.jpg","Download")</f>
        <v>0</v>
      </c>
      <c r="BV3644" s="3"/>
      <c r="BW3644" s="3"/>
    </row>
    <row r="3645" spans="1:75">
      <c r="A3645" s="1" t="s">
        <v>51340</v>
      </c>
      <c r="B3645" s="1" t="s">
        <v>51341</v>
      </c>
      <c r="C3645" s="1" t="s">
        <v>58014</v>
      </c>
      <c r="D3645" s="1" t="s">
        <v>58015</v>
      </c>
      <c r="E3645" s="1"/>
      <c r="F3645" s="1" t="s">
        <v>30552</v>
      </c>
      <c r="G3645" s="1" t="s">
        <v>58016</v>
      </c>
      <c r="H3645" s="1" t="s">
        <v>58017</v>
      </c>
      <c r="I3645" s="1" t="s">
        <v>58018</v>
      </c>
      <c r="J3645" s="1">
        <v>9460856024</v>
      </c>
      <c r="K3645" s="1" t="s">
        <v>84</v>
      </c>
      <c r="L3645" s="1" t="s">
        <v>58019</v>
      </c>
      <c r="M3645" s="1" t="s">
        <v>86</v>
      </c>
      <c r="N3645" s="1" t="s">
        <v>4278</v>
      </c>
      <c r="O3645" s="1"/>
      <c r="P3645" s="1" t="s">
        <v>507</v>
      </c>
      <c r="Q3645" s="1" t="s">
        <v>58020</v>
      </c>
      <c r="R3645" s="1" t="s">
        <v>58021</v>
      </c>
      <c r="S3645" s="1">
        <v>9413013106</v>
      </c>
      <c r="T3645" s="1" t="s">
        <v>4415</v>
      </c>
      <c r="U3645" s="1" t="s">
        <v>58022</v>
      </c>
      <c r="V3645" s="1">
        <v>9461472465</v>
      </c>
      <c r="W3645" s="1" t="s">
        <v>161</v>
      </c>
      <c r="X3645" s="1" t="s">
        <v>58023</v>
      </c>
      <c r="Y3645" s="1" t="s">
        <v>29682</v>
      </c>
      <c r="Z3645" s="1" t="s">
        <v>2153</v>
      </c>
      <c r="AA3645" s="1" t="s">
        <v>58023</v>
      </c>
      <c r="AB3645" s="1" t="s">
        <v>29682</v>
      </c>
      <c r="AC3645" s="1" t="s">
        <v>2153</v>
      </c>
      <c r="AD3645" s="1" t="s">
        <v>98</v>
      </c>
      <c r="AE3645" s="1" t="s">
        <v>98</v>
      </c>
      <c r="AF3645" s="1" t="s">
        <v>58024</v>
      </c>
      <c r="AG3645" s="1" t="s">
        <v>58025</v>
      </c>
      <c r="AH3645" s="1" t="s">
        <v>23371</v>
      </c>
      <c r="AI3645" s="1" t="s">
        <v>801</v>
      </c>
      <c r="AJ3645" s="1">
        <v>55</v>
      </c>
      <c r="AK3645" s="1">
        <v>5.8</v>
      </c>
      <c r="AL3645" s="1" t="s">
        <v>58026</v>
      </c>
      <c r="AM3645" s="1" t="s">
        <v>58025</v>
      </c>
      <c r="AN3645" s="1"/>
      <c r="AO3645" s="1" t="s">
        <v>3770</v>
      </c>
      <c r="AP3645" s="1" t="s">
        <v>1262</v>
      </c>
      <c r="AQ3645" s="1">
        <v>56.2</v>
      </c>
      <c r="AR3645" s="1"/>
      <c r="AS3645" s="1"/>
      <c r="AT3645" s="1"/>
      <c r="AU3645" s="1"/>
      <c r="AV3645" s="1"/>
      <c r="AW3645" s="1"/>
      <c r="AX3645" s="1"/>
      <c r="AY3645" s="1" t="s">
        <v>28974</v>
      </c>
      <c r="AZ3645" s="1" t="s">
        <v>58027</v>
      </c>
      <c r="BA3645" s="1"/>
      <c r="BB3645" s="1"/>
      <c r="BC3645" s="1" t="s">
        <v>257</v>
      </c>
      <c r="BD3645" s="1" t="s">
        <v>977</v>
      </c>
      <c r="BE3645" s="1">
        <v>61</v>
      </c>
      <c r="BF3645" s="1"/>
      <c r="BG3645" s="1"/>
      <c r="BH3645" s="1"/>
      <c r="BI3645" s="1"/>
      <c r="BJ3645" s="1"/>
      <c r="BK3645" s="1"/>
      <c r="BL3645" s="1"/>
      <c r="BM3645" s="1"/>
      <c r="BN3645" s="1"/>
      <c r="BO3645" s="1" t="s">
        <v>28364</v>
      </c>
      <c r="BP3645" s="1"/>
      <c r="BQ3645" s="1"/>
      <c r="BR3645" s="1" t="s">
        <v>58028</v>
      </c>
      <c r="BS3645" s="1">
        <v>11</v>
      </c>
      <c r="BT3645" s="1"/>
      <c r="BU3645" s="1" t="str">
        <f>HYPERLINK("https://nconnect.nicmar.ac.in/storage/profile/2021-2023_AP21447_392415.jpg","Download")</f>
        <v>0</v>
      </c>
      <c r="BV3645" s="3"/>
      <c r="BW3645" s="3"/>
    </row>
    <row r="3646" spans="1:75">
      <c r="A3646" s="1" t="s">
        <v>51340</v>
      </c>
      <c r="B3646" s="1" t="s">
        <v>51341</v>
      </c>
      <c r="C3646" s="1" t="s">
        <v>58029</v>
      </c>
      <c r="D3646" s="1" t="s">
        <v>58030</v>
      </c>
      <c r="E3646" s="1" t="s">
        <v>58031</v>
      </c>
      <c r="F3646" s="1" t="s">
        <v>58032</v>
      </c>
      <c r="G3646" s="1" t="s">
        <v>58033</v>
      </c>
      <c r="H3646" s="1" t="s">
        <v>58034</v>
      </c>
      <c r="I3646" s="1" t="s">
        <v>58035</v>
      </c>
      <c r="J3646" s="1">
        <v>9168050336</v>
      </c>
      <c r="K3646" s="1" t="s">
        <v>153</v>
      </c>
      <c r="L3646" s="1" t="s">
        <v>15089</v>
      </c>
      <c r="M3646" s="1" t="s">
        <v>86</v>
      </c>
      <c r="N3646" s="1" t="s">
        <v>58036</v>
      </c>
      <c r="O3646" s="1"/>
      <c r="P3646" s="1" t="s">
        <v>481</v>
      </c>
      <c r="Q3646" s="1" t="s">
        <v>58037</v>
      </c>
      <c r="R3646" s="1" t="s">
        <v>58038</v>
      </c>
      <c r="S3646" s="1">
        <v>9373340789</v>
      </c>
      <c r="T3646" s="1" t="s">
        <v>3396</v>
      </c>
      <c r="U3646" s="1" t="s">
        <v>58039</v>
      </c>
      <c r="V3646" s="1">
        <v>8830514479</v>
      </c>
      <c r="W3646" s="1" t="s">
        <v>541</v>
      </c>
      <c r="X3646" s="1" t="s">
        <v>58040</v>
      </c>
      <c r="Y3646" s="1" t="s">
        <v>410</v>
      </c>
      <c r="Z3646" s="1" t="s">
        <v>97</v>
      </c>
      <c r="AA3646" s="1" t="s">
        <v>58041</v>
      </c>
      <c r="AB3646" s="1" t="s">
        <v>410</v>
      </c>
      <c r="AC3646" s="1" t="s">
        <v>97</v>
      </c>
      <c r="AD3646" s="1" t="s">
        <v>98</v>
      </c>
      <c r="AE3646" s="1" t="s">
        <v>98</v>
      </c>
      <c r="AF3646" s="1" t="s">
        <v>52936</v>
      </c>
      <c r="AG3646" s="1" t="s">
        <v>51712</v>
      </c>
      <c r="AH3646" s="1">
        <v>41365</v>
      </c>
      <c r="AI3646" s="1">
        <v>41807</v>
      </c>
      <c r="AJ3646" s="1">
        <v>93.8</v>
      </c>
      <c r="AK3646" s="1"/>
      <c r="AL3646" s="1" t="s">
        <v>3677</v>
      </c>
      <c r="AM3646" s="1" t="s">
        <v>51712</v>
      </c>
      <c r="AN3646" s="1"/>
      <c r="AO3646" s="1">
        <v>42095</v>
      </c>
      <c r="AP3646" s="1">
        <v>42515</v>
      </c>
      <c r="AQ3646" s="1">
        <v>80</v>
      </c>
      <c r="AR3646" s="1"/>
      <c r="AS3646" s="1"/>
      <c r="AT3646" s="1"/>
      <c r="AU3646" s="1" t="s">
        <v>98</v>
      </c>
      <c r="AV3646" s="1" t="s">
        <v>98</v>
      </c>
      <c r="AW3646" s="1" t="s">
        <v>98</v>
      </c>
      <c r="AX3646" s="1" t="s">
        <v>98</v>
      </c>
      <c r="AY3646" s="1" t="s">
        <v>8319</v>
      </c>
      <c r="AZ3646" s="1" t="s">
        <v>8319</v>
      </c>
      <c r="BA3646" s="1"/>
      <c r="BB3646" s="1"/>
      <c r="BC3646" s="1">
        <v>42587</v>
      </c>
      <c r="BD3646" s="1">
        <v>44113</v>
      </c>
      <c r="BE3646" s="1">
        <v>80.2</v>
      </c>
      <c r="BF3646" s="1">
        <v>8.52</v>
      </c>
      <c r="BG3646" s="1"/>
      <c r="BH3646" s="1"/>
      <c r="BI3646" s="1"/>
      <c r="BJ3646" s="1"/>
      <c r="BK3646" s="1" t="s">
        <v>98</v>
      </c>
      <c r="BL3646" s="1" t="s">
        <v>98</v>
      </c>
      <c r="BM3646" s="1" t="s">
        <v>98</v>
      </c>
      <c r="BN3646" s="1" t="s">
        <v>98</v>
      </c>
      <c r="BO3646" s="1" t="s">
        <v>369</v>
      </c>
      <c r="BP3646" s="1"/>
      <c r="BQ3646" s="1"/>
      <c r="BR3646" s="1" t="s">
        <v>58042</v>
      </c>
      <c r="BS3646" s="1">
        <v>7</v>
      </c>
      <c r="BT3646" s="1"/>
      <c r="BU3646" s="1" t="str">
        <f>HYPERLINK("https://nconnect.nicmar.ac.in/storage/profile/2021-2023_AP21448_186734.JPG","Download")</f>
        <v>0</v>
      </c>
      <c r="BV3646" s="3"/>
      <c r="BW3646" s="3"/>
    </row>
    <row r="3647" spans="1:75">
      <c r="A3647" s="1" t="s">
        <v>51340</v>
      </c>
      <c r="B3647" s="1" t="s">
        <v>51341</v>
      </c>
      <c r="C3647" s="1" t="s">
        <v>58043</v>
      </c>
      <c r="D3647" s="1" t="s">
        <v>7146</v>
      </c>
      <c r="E3647" s="1" t="s">
        <v>58044</v>
      </c>
      <c r="F3647" s="1" t="s">
        <v>58045</v>
      </c>
      <c r="G3647" s="1" t="s">
        <v>58046</v>
      </c>
      <c r="H3647" s="1" t="s">
        <v>58047</v>
      </c>
      <c r="I3647" s="1" t="s">
        <v>58048</v>
      </c>
      <c r="J3647" s="1">
        <v>7259269757</v>
      </c>
      <c r="K3647" s="1" t="s">
        <v>84</v>
      </c>
      <c r="L3647" s="1" t="s">
        <v>58049</v>
      </c>
      <c r="M3647" s="1" t="s">
        <v>86</v>
      </c>
      <c r="N3647" s="1" t="s">
        <v>58050</v>
      </c>
      <c r="O3647" s="1"/>
      <c r="P3647" s="1" t="s">
        <v>1028</v>
      </c>
      <c r="Q3647" s="1" t="s">
        <v>58051</v>
      </c>
      <c r="R3647" s="1" t="s">
        <v>58052</v>
      </c>
      <c r="S3647" s="1">
        <v>9979254540</v>
      </c>
      <c r="T3647" s="1" t="s">
        <v>45173</v>
      </c>
      <c r="U3647" s="1" t="s">
        <v>58053</v>
      </c>
      <c r="V3647" s="1">
        <v>9978864123</v>
      </c>
      <c r="W3647" s="1" t="s">
        <v>94</v>
      </c>
      <c r="X3647" s="1" t="s">
        <v>58054</v>
      </c>
      <c r="Y3647" s="1" t="s">
        <v>58055</v>
      </c>
      <c r="Z3647" s="1" t="s">
        <v>676</v>
      </c>
      <c r="AA3647" s="1" t="s">
        <v>58056</v>
      </c>
      <c r="AB3647" s="1" t="s">
        <v>58055</v>
      </c>
      <c r="AC3647" s="1" t="s">
        <v>676</v>
      </c>
      <c r="AD3647" s="1" t="s">
        <v>98</v>
      </c>
      <c r="AE3647" s="1" t="s">
        <v>98</v>
      </c>
      <c r="AF3647" s="1" t="s">
        <v>35907</v>
      </c>
      <c r="AG3647" s="1" t="s">
        <v>312</v>
      </c>
      <c r="AH3647" s="1">
        <v>41000</v>
      </c>
      <c r="AI3647" s="1">
        <v>41424</v>
      </c>
      <c r="AJ3647" s="1">
        <v>85.5</v>
      </c>
      <c r="AK3647" s="1">
        <v>9</v>
      </c>
      <c r="AL3647" s="1" t="s">
        <v>35907</v>
      </c>
      <c r="AM3647" s="1" t="s">
        <v>312</v>
      </c>
      <c r="AN3647" s="1"/>
      <c r="AO3647" s="1">
        <v>41730</v>
      </c>
      <c r="AP3647" s="1">
        <v>42149</v>
      </c>
      <c r="AQ3647" s="1">
        <v>82.4</v>
      </c>
      <c r="AR3647" s="1"/>
      <c r="AS3647" s="1"/>
      <c r="AT3647" s="1"/>
      <c r="AU3647" s="1" t="s">
        <v>98</v>
      </c>
      <c r="AV3647" s="1" t="s">
        <v>98</v>
      </c>
      <c r="AW3647" s="1" t="s">
        <v>98</v>
      </c>
      <c r="AX3647" s="1" t="s">
        <v>98</v>
      </c>
      <c r="AY3647" s="1" t="s">
        <v>1217</v>
      </c>
      <c r="AZ3647" s="1" t="s">
        <v>58057</v>
      </c>
      <c r="BA3647" s="1"/>
      <c r="BB3647" s="1"/>
      <c r="BC3647" s="1">
        <v>42218</v>
      </c>
      <c r="BD3647" s="1">
        <v>43627</v>
      </c>
      <c r="BE3647" s="1">
        <v>75.4</v>
      </c>
      <c r="BF3647" s="1">
        <v>8.29</v>
      </c>
      <c r="BG3647" s="1"/>
      <c r="BH3647" s="1"/>
      <c r="BI3647" s="1"/>
      <c r="BJ3647" s="1"/>
      <c r="BK3647" s="1" t="s">
        <v>98</v>
      </c>
      <c r="BL3647" s="1" t="s">
        <v>98</v>
      </c>
      <c r="BM3647" s="1" t="s">
        <v>98</v>
      </c>
      <c r="BN3647" s="1" t="s">
        <v>98</v>
      </c>
      <c r="BO3647" s="1" t="s">
        <v>369</v>
      </c>
      <c r="BP3647" s="1" t="s">
        <v>58058</v>
      </c>
      <c r="BQ3647" s="1" t="s">
        <v>19293</v>
      </c>
      <c r="BR3647" s="1" t="s">
        <v>58059</v>
      </c>
      <c r="BS3647" s="1">
        <v>20</v>
      </c>
      <c r="BT3647" s="1"/>
      <c r="BU3647" s="1" t="str">
        <f>HYPERLINK("https://nconnect.nicmar.ac.in/storage/profile/2021-2023_AP21449_316427.jpg","Download")</f>
        <v>0</v>
      </c>
      <c r="BV3647" s="3"/>
      <c r="BW3647" s="3"/>
    </row>
    <row r="3648" spans="1:75">
      <c r="A3648" s="1" t="s">
        <v>51340</v>
      </c>
      <c r="B3648" s="1" t="s">
        <v>51341</v>
      </c>
      <c r="C3648" s="1" t="s">
        <v>58060</v>
      </c>
      <c r="D3648" s="1" t="s">
        <v>2829</v>
      </c>
      <c r="E3648" s="1" t="s">
        <v>5668</v>
      </c>
      <c r="F3648" s="1" t="s">
        <v>32641</v>
      </c>
      <c r="G3648" s="1" t="s">
        <v>58061</v>
      </c>
      <c r="H3648" s="1" t="s">
        <v>58062</v>
      </c>
      <c r="I3648" s="1" t="s">
        <v>58063</v>
      </c>
      <c r="J3648" s="1">
        <v>9130136698</v>
      </c>
      <c r="K3648" s="1" t="s">
        <v>84</v>
      </c>
      <c r="L3648" s="1" t="s">
        <v>58064</v>
      </c>
      <c r="M3648" s="1" t="s">
        <v>86</v>
      </c>
      <c r="N3648" s="1" t="s">
        <v>1163</v>
      </c>
      <c r="O3648" s="1"/>
      <c r="P3648" s="1" t="s">
        <v>481</v>
      </c>
      <c r="Q3648" s="1" t="s">
        <v>58065</v>
      </c>
      <c r="R3648" s="1" t="s">
        <v>58066</v>
      </c>
      <c r="S3648" s="1">
        <v>9822341111</v>
      </c>
      <c r="T3648" s="1" t="s">
        <v>839</v>
      </c>
      <c r="U3648" s="1" t="s">
        <v>58067</v>
      </c>
      <c r="V3648" s="1">
        <v>9921340909</v>
      </c>
      <c r="W3648" s="1" t="s">
        <v>2547</v>
      </c>
      <c r="X3648" s="1" t="s">
        <v>58068</v>
      </c>
      <c r="Y3648" s="1" t="s">
        <v>58069</v>
      </c>
      <c r="Z3648" s="1" t="s">
        <v>97</v>
      </c>
      <c r="AA3648" s="1" t="s">
        <v>58068</v>
      </c>
      <c r="AB3648" s="1" t="s">
        <v>58069</v>
      </c>
      <c r="AC3648" s="1" t="s">
        <v>97</v>
      </c>
      <c r="AD3648" s="1" t="s">
        <v>98</v>
      </c>
      <c r="AE3648" s="1" t="s">
        <v>98</v>
      </c>
      <c r="AF3648" s="1" t="s">
        <v>58070</v>
      </c>
      <c r="AG3648" s="1" t="s">
        <v>51712</v>
      </c>
      <c r="AH3648" s="1">
        <v>41403</v>
      </c>
      <c r="AI3648" s="1">
        <v>41702</v>
      </c>
      <c r="AJ3648" s="1">
        <v>81</v>
      </c>
      <c r="AK3648" s="1"/>
      <c r="AL3648" s="1" t="s">
        <v>58071</v>
      </c>
      <c r="AM3648" s="1" t="s">
        <v>51712</v>
      </c>
      <c r="AN3648" s="1"/>
      <c r="AO3648" s="1">
        <v>42165</v>
      </c>
      <c r="AP3648" s="1">
        <v>42410</v>
      </c>
      <c r="AQ3648" s="1">
        <v>65.08</v>
      </c>
      <c r="AR3648" s="1"/>
      <c r="AS3648" s="1"/>
      <c r="AT3648" s="1"/>
      <c r="AU3648" s="1" t="s">
        <v>98</v>
      </c>
      <c r="AV3648" s="1" t="s">
        <v>98</v>
      </c>
      <c r="AW3648" s="1" t="s">
        <v>98</v>
      </c>
      <c r="AX3648" s="1" t="s">
        <v>98</v>
      </c>
      <c r="AY3648" s="1" t="s">
        <v>1887</v>
      </c>
      <c r="AZ3648" s="1" t="s">
        <v>58072</v>
      </c>
      <c r="BA3648" s="1"/>
      <c r="BB3648" s="1"/>
      <c r="BC3648" s="1">
        <v>42587</v>
      </c>
      <c r="BD3648" s="1">
        <v>44340</v>
      </c>
      <c r="BE3648" s="1">
        <v>77.22</v>
      </c>
      <c r="BF3648" s="1">
        <v>8.22</v>
      </c>
      <c r="BG3648" s="1"/>
      <c r="BH3648" s="1"/>
      <c r="BI3648" s="1"/>
      <c r="BJ3648" s="1"/>
      <c r="BK3648" s="1" t="s">
        <v>98</v>
      </c>
      <c r="BL3648" s="1" t="s">
        <v>98</v>
      </c>
      <c r="BM3648" s="1" t="s">
        <v>98</v>
      </c>
      <c r="BN3648" s="1" t="s">
        <v>98</v>
      </c>
      <c r="BO3648" s="1" t="s">
        <v>369</v>
      </c>
      <c r="BP3648" s="1"/>
      <c r="BQ3648" s="1"/>
      <c r="BR3648" s="1" t="s">
        <v>58073</v>
      </c>
      <c r="BS3648" s="1">
        <v>17</v>
      </c>
      <c r="BT3648" s="1"/>
      <c r="BU3648" s="1" t="str">
        <f>HYPERLINK("https://nconnect.nicmar.ac.in/storage/profile/2021-2023_AP21450_512386.jpg","Download")</f>
        <v>0</v>
      </c>
      <c r="BV3648" s="3"/>
      <c r="BW3648" s="3"/>
    </row>
    <row r="3649" spans="1:75">
      <c r="A3649" s="1" t="s">
        <v>51340</v>
      </c>
      <c r="B3649" s="1" t="s">
        <v>51341</v>
      </c>
      <c r="C3649" s="1" t="s">
        <v>58074</v>
      </c>
      <c r="D3649" s="1" t="s">
        <v>38368</v>
      </c>
      <c r="E3649" s="1" t="s">
        <v>8514</v>
      </c>
      <c r="F3649" s="1" t="s">
        <v>38367</v>
      </c>
      <c r="G3649" s="1" t="s">
        <v>58075</v>
      </c>
      <c r="H3649" s="1" t="s">
        <v>58076</v>
      </c>
      <c r="I3649" s="1" t="s">
        <v>58077</v>
      </c>
      <c r="J3649" s="1">
        <v>7020215123</v>
      </c>
      <c r="K3649" s="1" t="s">
        <v>84</v>
      </c>
      <c r="L3649" s="1" t="s">
        <v>58078</v>
      </c>
      <c r="M3649" s="1" t="s">
        <v>86</v>
      </c>
      <c r="N3649" s="1" t="s">
        <v>58079</v>
      </c>
      <c r="O3649" s="1"/>
      <c r="P3649" s="1" t="s">
        <v>481</v>
      </c>
      <c r="Q3649" s="1" t="s">
        <v>58080</v>
      </c>
      <c r="R3649" s="1" t="s">
        <v>58081</v>
      </c>
      <c r="S3649" s="1">
        <v>9422377019</v>
      </c>
      <c r="T3649" s="1" t="s">
        <v>10678</v>
      </c>
      <c r="U3649" s="1" t="s">
        <v>58082</v>
      </c>
      <c r="V3649" s="1">
        <v>9890661629</v>
      </c>
      <c r="W3649" s="1" t="s">
        <v>278</v>
      </c>
      <c r="X3649" s="1" t="s">
        <v>58083</v>
      </c>
      <c r="Y3649" s="1" t="s">
        <v>1033</v>
      </c>
      <c r="Z3649" s="1" t="s">
        <v>97</v>
      </c>
      <c r="AA3649" s="1" t="s">
        <v>58083</v>
      </c>
      <c r="AB3649" s="1" t="s">
        <v>1033</v>
      </c>
      <c r="AC3649" s="1" t="s">
        <v>97</v>
      </c>
      <c r="AD3649" s="1" t="s">
        <v>98</v>
      </c>
      <c r="AE3649" s="1" t="s">
        <v>98</v>
      </c>
      <c r="AF3649" s="1" t="s">
        <v>58084</v>
      </c>
      <c r="AG3649" s="1" t="s">
        <v>51712</v>
      </c>
      <c r="AH3649" s="1">
        <v>40334</v>
      </c>
      <c r="AI3649" s="1">
        <v>40711</v>
      </c>
      <c r="AJ3649" s="1">
        <v>81.82</v>
      </c>
      <c r="AK3649" s="1">
        <v>0</v>
      </c>
      <c r="AL3649" s="1" t="s">
        <v>58085</v>
      </c>
      <c r="AM3649" s="1" t="s">
        <v>51712</v>
      </c>
      <c r="AN3649" s="1"/>
      <c r="AO3649" s="1">
        <v>41061</v>
      </c>
      <c r="AP3649" s="1">
        <v>41424</v>
      </c>
      <c r="AQ3649" s="1">
        <v>64.33</v>
      </c>
      <c r="AR3649" s="1">
        <v>0</v>
      </c>
      <c r="AS3649" s="1"/>
      <c r="AT3649" s="1"/>
      <c r="AU3649" s="1" t="s">
        <v>98</v>
      </c>
      <c r="AV3649" s="1" t="s">
        <v>98</v>
      </c>
      <c r="AW3649" s="1" t="s">
        <v>98</v>
      </c>
      <c r="AX3649" s="1" t="s">
        <v>98</v>
      </c>
      <c r="AY3649" s="1" t="s">
        <v>1887</v>
      </c>
      <c r="AZ3649" s="1" t="s">
        <v>58086</v>
      </c>
      <c r="BA3649" s="1"/>
      <c r="BB3649" s="1"/>
      <c r="BC3649" s="1">
        <v>41453</v>
      </c>
      <c r="BD3649" s="1">
        <v>43064</v>
      </c>
      <c r="BE3649" s="1">
        <v>67.75</v>
      </c>
      <c r="BF3649" s="1">
        <v>0</v>
      </c>
      <c r="BG3649" s="1" t="s">
        <v>98</v>
      </c>
      <c r="BH3649" s="1" t="s">
        <v>1062</v>
      </c>
      <c r="BI3649" s="1"/>
      <c r="BJ3649" s="1"/>
      <c r="BK3649" s="1" t="s">
        <v>58087</v>
      </c>
      <c r="BL3649" s="1" t="s">
        <v>58087</v>
      </c>
      <c r="BM3649" s="1">
        <v>0</v>
      </c>
      <c r="BN3649" s="1">
        <v>0</v>
      </c>
      <c r="BO3649" s="1" t="s">
        <v>1114</v>
      </c>
      <c r="BP3649" s="1" t="s">
        <v>58088</v>
      </c>
      <c r="BQ3649" s="1" t="s">
        <v>22407</v>
      </c>
      <c r="BR3649" s="1" t="s">
        <v>58089</v>
      </c>
      <c r="BS3649" s="1">
        <v>12</v>
      </c>
      <c r="BT3649" s="1"/>
      <c r="BU3649" s="1" t="str">
        <f>HYPERLINK("https://nconnect.nicmar.ac.in/storage/profile/2021-2023_AP21451_218564.jpg","Download")</f>
        <v>0</v>
      </c>
      <c r="BV3649" s="3"/>
      <c r="BW3649" s="3"/>
    </row>
    <row r="3650" spans="1:75">
      <c r="A3650" s="1" t="s">
        <v>51340</v>
      </c>
      <c r="B3650" s="1" t="s">
        <v>51341</v>
      </c>
      <c r="C3650" s="1" t="s">
        <v>58090</v>
      </c>
      <c r="D3650" s="1" t="s">
        <v>58091</v>
      </c>
      <c r="E3650" s="1"/>
      <c r="F3650" s="1" t="s">
        <v>58092</v>
      </c>
      <c r="G3650" s="1" t="s">
        <v>58093</v>
      </c>
      <c r="H3650" s="1" t="s">
        <v>58094</v>
      </c>
      <c r="I3650" s="1" t="s">
        <v>58095</v>
      </c>
      <c r="J3650" s="1">
        <v>7397441219</v>
      </c>
      <c r="K3650" s="1" t="s">
        <v>153</v>
      </c>
      <c r="L3650" s="1" t="s">
        <v>55226</v>
      </c>
      <c r="M3650" s="1" t="s">
        <v>86</v>
      </c>
      <c r="N3650" s="1" t="s">
        <v>1813</v>
      </c>
      <c r="O3650" s="1"/>
      <c r="P3650" s="1" t="s">
        <v>455</v>
      </c>
      <c r="Q3650" s="1" t="s">
        <v>58096</v>
      </c>
      <c r="R3650" s="1" t="s">
        <v>58097</v>
      </c>
      <c r="S3650" s="1">
        <v>9849986655</v>
      </c>
      <c r="T3650" s="1" t="s">
        <v>55411</v>
      </c>
      <c r="U3650" s="1" t="s">
        <v>58098</v>
      </c>
      <c r="V3650" s="1">
        <v>9502248001</v>
      </c>
      <c r="W3650" s="1" t="s">
        <v>94</v>
      </c>
      <c r="X3650" s="1" t="s">
        <v>58099</v>
      </c>
      <c r="Y3650" s="1" t="s">
        <v>3031</v>
      </c>
      <c r="Z3650" s="1" t="s">
        <v>461</v>
      </c>
      <c r="AA3650" s="1" t="s">
        <v>58100</v>
      </c>
      <c r="AB3650" s="1" t="s">
        <v>3031</v>
      </c>
      <c r="AC3650" s="1" t="s">
        <v>461</v>
      </c>
      <c r="AD3650" s="1" t="s">
        <v>98</v>
      </c>
      <c r="AE3650" s="1" t="s">
        <v>98</v>
      </c>
      <c r="AF3650" s="1" t="s">
        <v>53027</v>
      </c>
      <c r="AG3650" s="1" t="s">
        <v>8801</v>
      </c>
      <c r="AH3650" s="1">
        <v>41792</v>
      </c>
      <c r="AI3650" s="1">
        <v>42152</v>
      </c>
      <c r="AJ3650" s="1">
        <v>85.5</v>
      </c>
      <c r="AK3650" s="1">
        <v>9</v>
      </c>
      <c r="AL3650" s="1" t="s">
        <v>1603</v>
      </c>
      <c r="AM3650" s="1" t="s">
        <v>5605</v>
      </c>
      <c r="AN3650" s="1"/>
      <c r="AO3650" s="1">
        <v>42527</v>
      </c>
      <c r="AP3650" s="1">
        <v>42841</v>
      </c>
      <c r="AQ3650" s="1">
        <v>92.7</v>
      </c>
      <c r="AR3650" s="1"/>
      <c r="AS3650" s="1"/>
      <c r="AT3650" s="1"/>
      <c r="AU3650" s="1" t="s">
        <v>98</v>
      </c>
      <c r="AV3650" s="1" t="s">
        <v>98</v>
      </c>
      <c r="AW3650" s="1" t="s">
        <v>98</v>
      </c>
      <c r="AX3650" s="1" t="s">
        <v>98</v>
      </c>
      <c r="AY3650" s="1" t="s">
        <v>550</v>
      </c>
      <c r="AZ3650" s="1" t="s">
        <v>6804</v>
      </c>
      <c r="BA3650" s="1"/>
      <c r="BB3650" s="1"/>
      <c r="BC3650" s="1">
        <v>42922</v>
      </c>
      <c r="BD3650" s="1">
        <v>44405</v>
      </c>
      <c r="BE3650" s="1">
        <v>92.2</v>
      </c>
      <c r="BF3650" s="1">
        <v>9.22</v>
      </c>
      <c r="BG3650" s="1"/>
      <c r="BH3650" s="1"/>
      <c r="BI3650" s="1"/>
      <c r="BJ3650" s="1"/>
      <c r="BK3650" s="1" t="s">
        <v>98</v>
      </c>
      <c r="BL3650" s="1" t="s">
        <v>98</v>
      </c>
      <c r="BM3650" s="1" t="s">
        <v>98</v>
      </c>
      <c r="BN3650" s="1" t="s">
        <v>98</v>
      </c>
      <c r="BO3650" s="1" t="s">
        <v>1114</v>
      </c>
      <c r="BP3650" s="1"/>
      <c r="BQ3650" s="1"/>
      <c r="BR3650" s="1" t="s">
        <v>58101</v>
      </c>
      <c r="BS3650" s="1">
        <v>30</v>
      </c>
      <c r="BT3650" s="1"/>
      <c r="BU3650" s="1" t="str">
        <f>HYPERLINK("https://nconnect.nicmar.ac.in/storage/profile/2021-2023_AP21452_729314.jpg","Download")</f>
        <v>0</v>
      </c>
      <c r="BV3650" s="3"/>
      <c r="BW3650" s="3"/>
    </row>
    <row r="3651" spans="1:75">
      <c r="A3651" s="1" t="s">
        <v>51340</v>
      </c>
      <c r="B3651" s="1" t="s">
        <v>51341</v>
      </c>
      <c r="C3651" s="1" t="s">
        <v>58102</v>
      </c>
      <c r="D3651" s="1" t="s">
        <v>25582</v>
      </c>
      <c r="E3651" s="1"/>
      <c r="F3651" s="1" t="s">
        <v>7992</v>
      </c>
      <c r="G3651" s="1" t="s">
        <v>58103</v>
      </c>
      <c r="H3651" s="1" t="s">
        <v>58104</v>
      </c>
      <c r="I3651" s="1" t="s">
        <v>58105</v>
      </c>
      <c r="J3651" s="1">
        <v>7023888984</v>
      </c>
      <c r="K3651" s="1" t="s">
        <v>84</v>
      </c>
      <c r="L3651" s="1" t="s">
        <v>58106</v>
      </c>
      <c r="M3651" s="1" t="s">
        <v>86</v>
      </c>
      <c r="N3651" s="1" t="s">
        <v>246</v>
      </c>
      <c r="O3651" s="1"/>
      <c r="P3651" s="1" t="s">
        <v>670</v>
      </c>
      <c r="Q3651" s="1" t="s">
        <v>58107</v>
      </c>
      <c r="R3651" s="1" t="s">
        <v>58108</v>
      </c>
      <c r="S3651" s="1">
        <v>9414543795</v>
      </c>
      <c r="T3651" s="1" t="s">
        <v>5065</v>
      </c>
      <c r="U3651" s="1" t="s">
        <v>58109</v>
      </c>
      <c r="V3651" s="1">
        <v>9414543795</v>
      </c>
      <c r="W3651" s="1" t="s">
        <v>51069</v>
      </c>
      <c r="X3651" s="1" t="s">
        <v>58110</v>
      </c>
      <c r="Y3651" s="1" t="s">
        <v>28970</v>
      </c>
      <c r="Z3651" s="1" t="s">
        <v>2153</v>
      </c>
      <c r="AA3651" s="1" t="s">
        <v>58110</v>
      </c>
      <c r="AB3651" s="1" t="s">
        <v>8184</v>
      </c>
      <c r="AC3651" s="1" t="s">
        <v>2153</v>
      </c>
      <c r="AD3651" s="1" t="s">
        <v>98</v>
      </c>
      <c r="AE3651" s="1" t="s">
        <v>98</v>
      </c>
      <c r="AF3651" s="1" t="s">
        <v>58111</v>
      </c>
      <c r="AG3651" s="1" t="s">
        <v>312</v>
      </c>
      <c r="AH3651" s="1" t="s">
        <v>135</v>
      </c>
      <c r="AI3651" s="1" t="s">
        <v>136</v>
      </c>
      <c r="AJ3651" s="1">
        <v>70.3</v>
      </c>
      <c r="AK3651" s="1">
        <v>7.4</v>
      </c>
      <c r="AL3651" s="1" t="s">
        <v>58112</v>
      </c>
      <c r="AM3651" s="1" t="s">
        <v>312</v>
      </c>
      <c r="AN3651" s="1"/>
      <c r="AO3651" s="1" t="s">
        <v>1396</v>
      </c>
      <c r="AP3651" s="1" t="s">
        <v>573</v>
      </c>
      <c r="AQ3651" s="1">
        <v>57.2</v>
      </c>
      <c r="AR3651" s="1"/>
      <c r="AS3651" s="1"/>
      <c r="AT3651" s="1"/>
      <c r="AU3651" s="1" t="s">
        <v>98</v>
      </c>
      <c r="AV3651" s="1" t="s">
        <v>98</v>
      </c>
      <c r="AW3651" s="1" t="s">
        <v>98</v>
      </c>
      <c r="AX3651" s="1" t="s">
        <v>98</v>
      </c>
      <c r="AY3651" s="1" t="s">
        <v>51412</v>
      </c>
      <c r="AZ3651" s="1" t="s">
        <v>58113</v>
      </c>
      <c r="BA3651" s="1"/>
      <c r="BB3651" s="1"/>
      <c r="BC3651" s="1" t="s">
        <v>388</v>
      </c>
      <c r="BD3651" s="1" t="s">
        <v>606</v>
      </c>
      <c r="BE3651" s="1">
        <v>71.34</v>
      </c>
      <c r="BF3651" s="1"/>
      <c r="BG3651" s="1"/>
      <c r="BH3651" s="1"/>
      <c r="BI3651" s="1"/>
      <c r="BJ3651" s="1"/>
      <c r="BK3651" s="1" t="s">
        <v>98</v>
      </c>
      <c r="BL3651" s="1" t="s">
        <v>98</v>
      </c>
      <c r="BM3651" s="1" t="s">
        <v>98</v>
      </c>
      <c r="BN3651" s="1" t="s">
        <v>98</v>
      </c>
      <c r="BO3651" s="1" t="s">
        <v>54023</v>
      </c>
      <c r="BP3651" s="1"/>
      <c r="BQ3651" s="1"/>
      <c r="BR3651" s="1" t="s">
        <v>58114</v>
      </c>
      <c r="BS3651" s="1">
        <v>16</v>
      </c>
      <c r="BT3651" s="1"/>
      <c r="BU3651" s="1" t="str">
        <f>HYPERLINK("https://nconnect.nicmar.ac.in/storage/profile/2021-2023_AP21453_593678.jpg","Download")</f>
        <v>0</v>
      </c>
      <c r="BV3651" s="3"/>
      <c r="BW3651" s="3"/>
    </row>
    <row r="3652" spans="1:75">
      <c r="A3652" s="1" t="s">
        <v>51340</v>
      </c>
      <c r="B3652" s="1" t="s">
        <v>51341</v>
      </c>
      <c r="C3652" s="1" t="s">
        <v>58115</v>
      </c>
      <c r="D3652" s="1" t="s">
        <v>27117</v>
      </c>
      <c r="E3652" s="1" t="s">
        <v>5171</v>
      </c>
      <c r="F3652" s="1" t="s">
        <v>13334</v>
      </c>
      <c r="G3652" s="1" t="s">
        <v>58116</v>
      </c>
      <c r="H3652" s="1" t="s">
        <v>58117</v>
      </c>
      <c r="I3652" s="1" t="s">
        <v>58118</v>
      </c>
      <c r="J3652" s="1">
        <v>9850852841</v>
      </c>
      <c r="K3652" s="1" t="s">
        <v>84</v>
      </c>
      <c r="L3652" s="1" t="s">
        <v>58119</v>
      </c>
      <c r="M3652" s="1" t="s">
        <v>86</v>
      </c>
      <c r="N3652" s="1" t="s">
        <v>1163</v>
      </c>
      <c r="O3652" s="1"/>
      <c r="P3652" s="1" t="s">
        <v>1028</v>
      </c>
      <c r="Q3652" s="1" t="s">
        <v>58120</v>
      </c>
      <c r="R3652" s="1" t="s">
        <v>58121</v>
      </c>
      <c r="S3652" s="1">
        <v>9552504468</v>
      </c>
      <c r="T3652" s="1" t="s">
        <v>98</v>
      </c>
      <c r="U3652" s="1" t="s">
        <v>58122</v>
      </c>
      <c r="V3652" s="1">
        <v>9552504467</v>
      </c>
      <c r="W3652" s="1" t="s">
        <v>161</v>
      </c>
      <c r="X3652" s="1" t="s">
        <v>58123</v>
      </c>
      <c r="Y3652" s="1" t="s">
        <v>196</v>
      </c>
      <c r="Z3652" s="1" t="s">
        <v>97</v>
      </c>
      <c r="AA3652" s="1" t="s">
        <v>58124</v>
      </c>
      <c r="AB3652" s="1" t="s">
        <v>196</v>
      </c>
      <c r="AC3652" s="1" t="s">
        <v>97</v>
      </c>
      <c r="AD3652" s="1" t="s">
        <v>98</v>
      </c>
      <c r="AE3652" s="1" t="s">
        <v>98</v>
      </c>
      <c r="AF3652" s="1" t="s">
        <v>58125</v>
      </c>
      <c r="AG3652" s="1" t="s">
        <v>5121</v>
      </c>
      <c r="AH3652" s="1" t="s">
        <v>101</v>
      </c>
      <c r="AI3652" s="1" t="s">
        <v>166</v>
      </c>
      <c r="AJ3652" s="1">
        <v>80</v>
      </c>
      <c r="AK3652" s="1"/>
      <c r="AL3652" s="1" t="s">
        <v>98</v>
      </c>
      <c r="AM3652" s="1"/>
      <c r="AN3652" s="1"/>
      <c r="AO3652" s="1"/>
      <c r="AP3652" s="1"/>
      <c r="AQ3652" s="1"/>
      <c r="AR3652" s="1"/>
      <c r="AS3652" s="1" t="s">
        <v>439</v>
      </c>
      <c r="AT3652" s="1" t="s">
        <v>58126</v>
      </c>
      <c r="AU3652" s="1" t="s">
        <v>105</v>
      </c>
      <c r="AV3652" s="1" t="s">
        <v>106</v>
      </c>
      <c r="AW3652" s="1">
        <v>55.03</v>
      </c>
      <c r="AX3652" s="1"/>
      <c r="AY3652" s="1" t="s">
        <v>366</v>
      </c>
      <c r="AZ3652" s="1" t="s">
        <v>58127</v>
      </c>
      <c r="BA3652" s="1"/>
      <c r="BB3652" s="1"/>
      <c r="BC3652" s="1" t="s">
        <v>17163</v>
      </c>
      <c r="BD3652" s="1" t="s">
        <v>549</v>
      </c>
      <c r="BE3652" s="1">
        <v>66.17</v>
      </c>
      <c r="BF3652" s="1">
        <v>7.52</v>
      </c>
      <c r="BG3652" s="1"/>
      <c r="BH3652" s="1"/>
      <c r="BI3652" s="1"/>
      <c r="BJ3652" s="1"/>
      <c r="BK3652" s="1" t="s">
        <v>98</v>
      </c>
      <c r="BL3652" s="1" t="s">
        <v>98</v>
      </c>
      <c r="BM3652" s="1" t="s">
        <v>98</v>
      </c>
      <c r="BN3652" s="1" t="s">
        <v>98</v>
      </c>
      <c r="BO3652" s="1" t="s">
        <v>369</v>
      </c>
      <c r="BP3652" s="1"/>
      <c r="BQ3652" s="1"/>
      <c r="BR3652" s="1" t="s">
        <v>58128</v>
      </c>
      <c r="BS3652" s="1">
        <v>12</v>
      </c>
      <c r="BT3652" s="1"/>
      <c r="BU3652" s="1" t="str">
        <f>HYPERLINK("https://nconnect.nicmar.ac.in/storage/profile/2021-2023_AP21454_654179.jpeg","Download")</f>
        <v>0</v>
      </c>
      <c r="BV3652" s="3"/>
      <c r="BW3652" s="3"/>
    </row>
    <row r="3653" spans="1:75">
      <c r="A3653" s="1" t="s">
        <v>51340</v>
      </c>
      <c r="B3653" s="1" t="s">
        <v>51341</v>
      </c>
      <c r="C3653" s="1" t="s">
        <v>58129</v>
      </c>
      <c r="D3653" s="1" t="s">
        <v>58130</v>
      </c>
      <c r="E3653" s="1" t="s">
        <v>5482</v>
      </c>
      <c r="F3653" s="1" t="s">
        <v>4966</v>
      </c>
      <c r="G3653" s="1" t="s">
        <v>58131</v>
      </c>
      <c r="H3653" s="1" t="s">
        <v>58132</v>
      </c>
      <c r="I3653" s="1" t="s">
        <v>58133</v>
      </c>
      <c r="J3653" s="1">
        <v>7447345839</v>
      </c>
      <c r="K3653" s="1" t="s">
        <v>84</v>
      </c>
      <c r="L3653" s="1" t="s">
        <v>58134</v>
      </c>
      <c r="M3653" s="1" t="s">
        <v>86</v>
      </c>
      <c r="N3653" s="1" t="s">
        <v>2433</v>
      </c>
      <c r="O3653" s="1"/>
      <c r="P3653" s="1" t="s">
        <v>481</v>
      </c>
      <c r="Q3653" s="1" t="s">
        <v>58135</v>
      </c>
      <c r="R3653" s="1" t="s">
        <v>58136</v>
      </c>
      <c r="S3653" s="1">
        <v>9881209447</v>
      </c>
      <c r="T3653" s="1" t="s">
        <v>5027</v>
      </c>
      <c r="U3653" s="1" t="s">
        <v>58137</v>
      </c>
      <c r="V3653" s="1">
        <v>9764190520</v>
      </c>
      <c r="W3653" s="1" t="s">
        <v>94</v>
      </c>
      <c r="X3653" s="1" t="s">
        <v>58138</v>
      </c>
      <c r="Y3653" s="1" t="s">
        <v>410</v>
      </c>
      <c r="Z3653" s="1" t="s">
        <v>97</v>
      </c>
      <c r="AA3653" s="1" t="s">
        <v>58138</v>
      </c>
      <c r="AB3653" s="1" t="s">
        <v>410</v>
      </c>
      <c r="AC3653" s="1" t="s">
        <v>97</v>
      </c>
      <c r="AD3653" s="1" t="s">
        <v>98</v>
      </c>
      <c r="AE3653" s="1" t="s">
        <v>98</v>
      </c>
      <c r="AF3653" s="1" t="s">
        <v>51649</v>
      </c>
      <c r="AG3653" s="1" t="s">
        <v>58139</v>
      </c>
      <c r="AH3653" s="1">
        <v>41076</v>
      </c>
      <c r="AI3653" s="1">
        <v>41432</v>
      </c>
      <c r="AJ3653" s="1">
        <v>68.4</v>
      </c>
      <c r="AK3653" s="1"/>
      <c r="AL3653" s="1" t="s">
        <v>98</v>
      </c>
      <c r="AM3653" s="1" t="s">
        <v>98</v>
      </c>
      <c r="AN3653" s="1"/>
      <c r="AO3653" s="1" t="s">
        <v>98</v>
      </c>
      <c r="AP3653" s="1" t="s">
        <v>98</v>
      </c>
      <c r="AQ3653" s="1"/>
      <c r="AR3653" s="1"/>
      <c r="AS3653" s="1" t="s">
        <v>439</v>
      </c>
      <c r="AT3653" s="1" t="s">
        <v>36784</v>
      </c>
      <c r="AU3653" s="1">
        <v>41467</v>
      </c>
      <c r="AV3653" s="1">
        <v>42530</v>
      </c>
      <c r="AW3653" s="1">
        <v>72.24</v>
      </c>
      <c r="AX3653" s="1"/>
      <c r="AY3653" s="1" t="s">
        <v>997</v>
      </c>
      <c r="AZ3653" s="1" t="s">
        <v>58140</v>
      </c>
      <c r="BA3653" s="1"/>
      <c r="BB3653" s="1"/>
      <c r="BC3653" s="1">
        <v>42614</v>
      </c>
      <c r="BD3653" s="1">
        <v>43623</v>
      </c>
      <c r="BE3653" s="1">
        <v>72</v>
      </c>
      <c r="BF3653" s="1">
        <v>7.98</v>
      </c>
      <c r="BG3653" s="1"/>
      <c r="BH3653" s="1"/>
      <c r="BI3653" s="1"/>
      <c r="BJ3653" s="1"/>
      <c r="BK3653" s="1" t="s">
        <v>98</v>
      </c>
      <c r="BL3653" s="1" t="s">
        <v>98</v>
      </c>
      <c r="BM3653" s="1" t="s">
        <v>98</v>
      </c>
      <c r="BN3653" s="1" t="s">
        <v>98</v>
      </c>
      <c r="BO3653" s="1" t="s">
        <v>58141</v>
      </c>
      <c r="BP3653" s="1"/>
      <c r="BQ3653" s="1"/>
      <c r="BR3653" s="1" t="s">
        <v>58142</v>
      </c>
      <c r="BS3653" s="1">
        <v>18</v>
      </c>
      <c r="BT3653" s="1"/>
      <c r="BU3653" s="1" t="str">
        <f>HYPERLINK("https://nconnect.nicmar.ac.in/storage/profile/2021-2023_AP21455_896413.jpg","Download")</f>
        <v>0</v>
      </c>
      <c r="BV3653" s="3"/>
      <c r="BW3653" s="3"/>
    </row>
    <row r="3654" spans="1:75">
      <c r="A3654" s="1" t="s">
        <v>51340</v>
      </c>
      <c r="B3654" s="1" t="s">
        <v>51341</v>
      </c>
      <c r="C3654" s="1" t="s">
        <v>58143</v>
      </c>
      <c r="D3654" s="1" t="s">
        <v>58144</v>
      </c>
      <c r="E3654" s="1"/>
      <c r="F3654" s="1" t="s">
        <v>58145</v>
      </c>
      <c r="G3654" s="1" t="s">
        <v>58146</v>
      </c>
      <c r="H3654" s="1" t="s">
        <v>58147</v>
      </c>
      <c r="I3654" s="1" t="s">
        <v>58148</v>
      </c>
      <c r="J3654" s="1">
        <v>7337041949</v>
      </c>
      <c r="K3654" s="1" t="s">
        <v>153</v>
      </c>
      <c r="L3654" s="1" t="s">
        <v>58149</v>
      </c>
      <c r="M3654" s="1" t="s">
        <v>86</v>
      </c>
      <c r="N3654" s="1" t="s">
        <v>3458</v>
      </c>
      <c r="O3654" s="1"/>
      <c r="P3654" s="1" t="s">
        <v>507</v>
      </c>
      <c r="Q3654" s="1" t="s">
        <v>58150</v>
      </c>
      <c r="R3654" s="1" t="s">
        <v>58151</v>
      </c>
      <c r="S3654" s="1">
        <v>9866146709</v>
      </c>
      <c r="T3654" s="1" t="s">
        <v>159</v>
      </c>
      <c r="U3654" s="1" t="s">
        <v>58152</v>
      </c>
      <c r="V3654" s="1">
        <v>9491476204</v>
      </c>
      <c r="W3654" s="1" t="s">
        <v>539</v>
      </c>
      <c r="X3654" s="1" t="s">
        <v>58153</v>
      </c>
      <c r="Y3654" s="1" t="s">
        <v>3090</v>
      </c>
      <c r="Z3654" s="1" t="s">
        <v>281</v>
      </c>
      <c r="AA3654" s="1" t="s">
        <v>58153</v>
      </c>
      <c r="AB3654" s="1" t="s">
        <v>3090</v>
      </c>
      <c r="AC3654" s="1" t="s">
        <v>281</v>
      </c>
      <c r="AD3654" s="1" t="s">
        <v>98</v>
      </c>
      <c r="AE3654" s="1" t="s">
        <v>98</v>
      </c>
      <c r="AF3654" s="1" t="s">
        <v>58154</v>
      </c>
      <c r="AG3654" s="1" t="s">
        <v>58155</v>
      </c>
      <c r="AH3654" s="1">
        <v>41799</v>
      </c>
      <c r="AI3654" s="1">
        <v>42144</v>
      </c>
      <c r="AJ3654" s="1">
        <v>90.25</v>
      </c>
      <c r="AK3654" s="1">
        <v>9.5</v>
      </c>
      <c r="AL3654" s="1" t="s">
        <v>58156</v>
      </c>
      <c r="AM3654" s="1" t="s">
        <v>58155</v>
      </c>
      <c r="AN3654" s="1"/>
      <c r="AO3654" s="1">
        <v>42530</v>
      </c>
      <c r="AP3654" s="1">
        <v>42838</v>
      </c>
      <c r="AQ3654" s="1">
        <v>95</v>
      </c>
      <c r="AR3654" s="1"/>
      <c r="AS3654" s="1"/>
      <c r="AT3654" s="1"/>
      <c r="AU3654" s="1" t="s">
        <v>98</v>
      </c>
      <c r="AV3654" s="1" t="s">
        <v>98</v>
      </c>
      <c r="AW3654" s="1" t="s">
        <v>98</v>
      </c>
      <c r="AX3654" s="1" t="s">
        <v>98</v>
      </c>
      <c r="AY3654" s="1" t="s">
        <v>18827</v>
      </c>
      <c r="AZ3654" s="1" t="s">
        <v>18827</v>
      </c>
      <c r="BA3654" s="1"/>
      <c r="BB3654" s="1"/>
      <c r="BC3654" s="1">
        <v>42941</v>
      </c>
      <c r="BD3654" s="1">
        <v>44431</v>
      </c>
      <c r="BE3654" s="1">
        <v>78.5</v>
      </c>
      <c r="BF3654" s="1">
        <v>8.35</v>
      </c>
      <c r="BG3654" s="1"/>
      <c r="BH3654" s="1"/>
      <c r="BI3654" s="1"/>
      <c r="BJ3654" s="1"/>
      <c r="BK3654" s="1" t="s">
        <v>98</v>
      </c>
      <c r="BL3654" s="1" t="s">
        <v>98</v>
      </c>
      <c r="BM3654" s="1" t="s">
        <v>98</v>
      </c>
      <c r="BN3654" s="1" t="s">
        <v>98</v>
      </c>
      <c r="BO3654" s="1" t="s">
        <v>58157</v>
      </c>
      <c r="BP3654" s="1"/>
      <c r="BQ3654" s="1"/>
      <c r="BR3654" s="1" t="s">
        <v>58158</v>
      </c>
      <c r="BS3654" s="1">
        <v>7</v>
      </c>
      <c r="BT3654" s="1"/>
      <c r="BU3654" s="1" t="str">
        <f>HYPERLINK("https://nconnect.nicmar.ac.in/storage/profile/2021-2023_AP21456_569137.jpg","Download")</f>
        <v>0</v>
      </c>
      <c r="BV3654" s="3"/>
      <c r="BW3654" s="3"/>
    </row>
    <row r="3655" spans="1:75">
      <c r="A3655" s="1" t="s">
        <v>51340</v>
      </c>
      <c r="B3655" s="1" t="s">
        <v>51341</v>
      </c>
      <c r="C3655" s="1" t="s">
        <v>58159</v>
      </c>
      <c r="D3655" s="1" t="s">
        <v>58160</v>
      </c>
      <c r="E3655" s="1"/>
      <c r="F3655" s="1" t="s">
        <v>58161</v>
      </c>
      <c r="G3655" s="1" t="s">
        <v>58162</v>
      </c>
      <c r="H3655" s="1" t="s">
        <v>58163</v>
      </c>
      <c r="I3655" s="1" t="s">
        <v>58164</v>
      </c>
      <c r="J3655" s="1">
        <v>9071945238</v>
      </c>
      <c r="K3655" s="1" t="s">
        <v>84</v>
      </c>
      <c r="L3655" s="1" t="s">
        <v>58165</v>
      </c>
      <c r="M3655" s="1" t="s">
        <v>86</v>
      </c>
      <c r="N3655" s="1" t="s">
        <v>58166</v>
      </c>
      <c r="O3655" s="1"/>
      <c r="P3655" s="1" t="s">
        <v>455</v>
      </c>
      <c r="Q3655" s="1" t="s">
        <v>58167</v>
      </c>
      <c r="R3655" s="1" t="s">
        <v>58168</v>
      </c>
      <c r="S3655" s="1">
        <v>9741154284</v>
      </c>
      <c r="T3655" s="1" t="s">
        <v>1577</v>
      </c>
      <c r="U3655" s="1" t="s">
        <v>58169</v>
      </c>
      <c r="V3655" s="1">
        <v>8310568227</v>
      </c>
      <c r="W3655" s="1" t="s">
        <v>161</v>
      </c>
      <c r="X3655" s="1" t="s">
        <v>58170</v>
      </c>
      <c r="Y3655" s="1" t="s">
        <v>58171</v>
      </c>
      <c r="Z3655" s="1" t="s">
        <v>1210</v>
      </c>
      <c r="AA3655" s="1" t="s">
        <v>58170</v>
      </c>
      <c r="AB3655" s="1" t="s">
        <v>58171</v>
      </c>
      <c r="AC3655" s="1" t="s">
        <v>1210</v>
      </c>
      <c r="AD3655" s="1" t="s">
        <v>98</v>
      </c>
      <c r="AE3655" s="1" t="s">
        <v>98</v>
      </c>
      <c r="AF3655" s="1" t="s">
        <v>58172</v>
      </c>
      <c r="AG3655" s="1" t="s">
        <v>58173</v>
      </c>
      <c r="AH3655" s="1">
        <v>41791</v>
      </c>
      <c r="AI3655" s="1">
        <v>42137</v>
      </c>
      <c r="AJ3655" s="1">
        <v>88.16</v>
      </c>
      <c r="AK3655" s="1"/>
      <c r="AL3655" s="1" t="s">
        <v>98</v>
      </c>
      <c r="AM3655" s="1" t="s">
        <v>58173</v>
      </c>
      <c r="AN3655" s="1"/>
      <c r="AO3655" s="1" t="s">
        <v>98</v>
      </c>
      <c r="AP3655" s="1" t="s">
        <v>98</v>
      </c>
      <c r="AQ3655" s="1"/>
      <c r="AR3655" s="1"/>
      <c r="AS3655" s="1" t="s">
        <v>439</v>
      </c>
      <c r="AT3655" s="1" t="s">
        <v>58174</v>
      </c>
      <c r="AU3655" s="1">
        <v>42175</v>
      </c>
      <c r="AV3655" s="1">
        <v>43286</v>
      </c>
      <c r="AW3655" s="1">
        <v>87.84</v>
      </c>
      <c r="AX3655" s="1"/>
      <c r="AY3655" s="1" t="s">
        <v>15492</v>
      </c>
      <c r="AZ3655" s="1" t="s">
        <v>58175</v>
      </c>
      <c r="BA3655" s="1"/>
      <c r="BB3655" s="1"/>
      <c r="BC3655" s="1">
        <v>43359</v>
      </c>
      <c r="BD3655" s="1">
        <v>44411</v>
      </c>
      <c r="BE3655" s="1">
        <v>72.9</v>
      </c>
      <c r="BF3655" s="1">
        <v>8.04</v>
      </c>
      <c r="BG3655" s="1"/>
      <c r="BH3655" s="1"/>
      <c r="BI3655" s="1"/>
      <c r="BJ3655" s="1"/>
      <c r="BK3655" s="1" t="s">
        <v>98</v>
      </c>
      <c r="BL3655" s="1" t="s">
        <v>98</v>
      </c>
      <c r="BM3655" s="1" t="s">
        <v>98</v>
      </c>
      <c r="BN3655" s="1" t="s">
        <v>98</v>
      </c>
      <c r="BO3655" s="1" t="s">
        <v>260</v>
      </c>
      <c r="BP3655" s="1"/>
      <c r="BQ3655" s="1"/>
      <c r="BR3655" s="1" t="s">
        <v>58176</v>
      </c>
      <c r="BS3655" s="1">
        <v>16</v>
      </c>
      <c r="BT3655" s="1"/>
      <c r="BU3655" s="1" t="str">
        <f>HYPERLINK("https://nconnect.nicmar.ac.in/storage/profile/2021-2023_AP21457_139876.JPG","Download")</f>
        <v>0</v>
      </c>
      <c r="BV3655" s="3"/>
      <c r="BW3655" s="3"/>
    </row>
    <row r="3656" spans="1:75">
      <c r="A3656" s="1" t="s">
        <v>51340</v>
      </c>
      <c r="B3656" s="1" t="s">
        <v>51341</v>
      </c>
      <c r="C3656" s="1" t="s">
        <v>58177</v>
      </c>
      <c r="D3656" s="1" t="s">
        <v>10043</v>
      </c>
      <c r="E3656" s="1" t="s">
        <v>58178</v>
      </c>
      <c r="F3656" s="1" t="s">
        <v>58179</v>
      </c>
      <c r="G3656" s="1" t="s">
        <v>58180</v>
      </c>
      <c r="H3656" s="1" t="s">
        <v>58181</v>
      </c>
      <c r="I3656" s="1" t="s">
        <v>58182</v>
      </c>
      <c r="J3656" s="1">
        <v>9511813028</v>
      </c>
      <c r="K3656" s="1" t="s">
        <v>84</v>
      </c>
      <c r="L3656" s="1" t="s">
        <v>7057</v>
      </c>
      <c r="M3656" s="1" t="s">
        <v>86</v>
      </c>
      <c r="N3656" s="1" t="s">
        <v>58183</v>
      </c>
      <c r="O3656" s="1"/>
      <c r="P3656" s="1" t="s">
        <v>455</v>
      </c>
      <c r="Q3656" s="1" t="s">
        <v>58184</v>
      </c>
      <c r="R3656" s="1" t="s">
        <v>58185</v>
      </c>
      <c r="S3656" s="1">
        <v>9422175192</v>
      </c>
      <c r="T3656" s="1" t="s">
        <v>926</v>
      </c>
      <c r="U3656" s="1" t="s">
        <v>58186</v>
      </c>
      <c r="V3656" s="1">
        <v>9421118000</v>
      </c>
      <c r="W3656" s="1" t="s">
        <v>94</v>
      </c>
      <c r="X3656" s="1" t="s">
        <v>58187</v>
      </c>
      <c r="Y3656" s="1" t="s">
        <v>14745</v>
      </c>
      <c r="Z3656" s="1" t="s">
        <v>97</v>
      </c>
      <c r="AA3656" s="1" t="s">
        <v>98</v>
      </c>
      <c r="AB3656" s="1" t="s">
        <v>14745</v>
      </c>
      <c r="AC3656" s="1" t="s">
        <v>97</v>
      </c>
      <c r="AD3656" s="1" t="s">
        <v>98</v>
      </c>
      <c r="AE3656" s="1" t="s">
        <v>98</v>
      </c>
      <c r="AF3656" s="1" t="s">
        <v>58188</v>
      </c>
      <c r="AG3656" s="1" t="s">
        <v>312</v>
      </c>
      <c r="AH3656" s="1">
        <v>41699</v>
      </c>
      <c r="AI3656" s="1">
        <v>41778</v>
      </c>
      <c r="AJ3656" s="1">
        <v>81.7</v>
      </c>
      <c r="AK3656" s="1">
        <v>8.6</v>
      </c>
      <c r="AL3656" s="1" t="s">
        <v>58189</v>
      </c>
      <c r="AM3656" s="1" t="s">
        <v>312</v>
      </c>
      <c r="AN3656" s="1"/>
      <c r="AO3656" s="1">
        <v>42018</v>
      </c>
      <c r="AP3656" s="1">
        <v>42440</v>
      </c>
      <c r="AQ3656" s="1">
        <v>59.23</v>
      </c>
      <c r="AR3656" s="1"/>
      <c r="AS3656" s="1"/>
      <c r="AT3656" s="1"/>
      <c r="AU3656" s="1" t="s">
        <v>98</v>
      </c>
      <c r="AV3656" s="1" t="s">
        <v>98</v>
      </c>
      <c r="AW3656" s="1" t="s">
        <v>98</v>
      </c>
      <c r="AX3656" s="1" t="s">
        <v>98</v>
      </c>
      <c r="AY3656" s="1" t="s">
        <v>4270</v>
      </c>
      <c r="AZ3656" s="1" t="s">
        <v>39053</v>
      </c>
      <c r="BA3656" s="1"/>
      <c r="BB3656" s="1"/>
      <c r="BC3656" s="1">
        <v>42539</v>
      </c>
      <c r="BD3656" s="1">
        <v>44207</v>
      </c>
      <c r="BE3656" s="1">
        <v>61.5</v>
      </c>
      <c r="BF3656" s="1">
        <v>6.15</v>
      </c>
      <c r="BG3656" s="1"/>
      <c r="BH3656" s="1"/>
      <c r="BI3656" s="1"/>
      <c r="BJ3656" s="1"/>
      <c r="BK3656" s="1" t="s">
        <v>98</v>
      </c>
      <c r="BL3656" s="1" t="s">
        <v>98</v>
      </c>
      <c r="BM3656" s="1" t="s">
        <v>98</v>
      </c>
      <c r="BN3656" s="1" t="s">
        <v>98</v>
      </c>
      <c r="BO3656" s="1" t="s">
        <v>369</v>
      </c>
      <c r="BP3656" s="1" t="s">
        <v>58190</v>
      </c>
      <c r="BQ3656" s="1" t="s">
        <v>6365</v>
      </c>
      <c r="BR3656" s="1" t="s">
        <v>58191</v>
      </c>
      <c r="BS3656" s="1">
        <v>9</v>
      </c>
      <c r="BT3656" s="1"/>
      <c r="BU3656" s="1" t="str">
        <f>HYPERLINK("https://nconnect.nicmar.ac.in/storage/profile/2021-2023_AP21459_467123.jpg","Download")</f>
        <v>0</v>
      </c>
      <c r="BV3656" s="3"/>
      <c r="BW3656" s="3"/>
    </row>
    <row r="3657" spans="1:75">
      <c r="A3657" s="1" t="s">
        <v>51340</v>
      </c>
      <c r="B3657" s="1" t="s">
        <v>51341</v>
      </c>
      <c r="C3657" s="1" t="s">
        <v>58192</v>
      </c>
      <c r="D3657" s="1" t="s">
        <v>58193</v>
      </c>
      <c r="E3657" s="1"/>
      <c r="F3657" s="1" t="s">
        <v>1853</v>
      </c>
      <c r="G3657" s="1" t="s">
        <v>58194</v>
      </c>
      <c r="H3657" s="1" t="s">
        <v>58195</v>
      </c>
      <c r="I3657" s="1" t="s">
        <v>58196</v>
      </c>
      <c r="J3657" s="1">
        <v>7530011221</v>
      </c>
      <c r="K3657" s="1" t="s">
        <v>84</v>
      </c>
      <c r="L3657" s="1" t="s">
        <v>58197</v>
      </c>
      <c r="M3657" s="1" t="s">
        <v>86</v>
      </c>
      <c r="N3657" s="1" t="s">
        <v>58198</v>
      </c>
      <c r="O3657" s="1"/>
      <c r="P3657" s="1" t="s">
        <v>455</v>
      </c>
      <c r="Q3657" s="1" t="s">
        <v>58199</v>
      </c>
      <c r="R3657" s="1" t="s">
        <v>58200</v>
      </c>
      <c r="S3657" s="1">
        <v>9842757172</v>
      </c>
      <c r="T3657" s="1" t="s">
        <v>839</v>
      </c>
      <c r="U3657" s="1" t="s">
        <v>58201</v>
      </c>
      <c r="V3657" s="1">
        <v>9443257912</v>
      </c>
      <c r="W3657" s="1" t="s">
        <v>541</v>
      </c>
      <c r="X3657" s="1" t="s">
        <v>58202</v>
      </c>
      <c r="Y3657" s="1" t="s">
        <v>28159</v>
      </c>
      <c r="Z3657" s="1" t="s">
        <v>570</v>
      </c>
      <c r="AA3657" s="1" t="s">
        <v>58203</v>
      </c>
      <c r="AB3657" s="1" t="s">
        <v>822</v>
      </c>
      <c r="AC3657" s="1" t="s">
        <v>570</v>
      </c>
      <c r="AD3657" s="1" t="s">
        <v>98</v>
      </c>
      <c r="AE3657" s="1" t="s">
        <v>98</v>
      </c>
      <c r="AF3657" s="1" t="s">
        <v>58204</v>
      </c>
      <c r="AG3657" s="1" t="s">
        <v>7028</v>
      </c>
      <c r="AH3657" s="1" t="s">
        <v>53443</v>
      </c>
      <c r="AI3657" s="1" t="s">
        <v>58205</v>
      </c>
      <c r="AJ3657" s="1">
        <v>90.6</v>
      </c>
      <c r="AK3657" s="1"/>
      <c r="AL3657" s="1" t="s">
        <v>58204</v>
      </c>
      <c r="AM3657" s="1" t="s">
        <v>7028</v>
      </c>
      <c r="AN3657" s="1"/>
      <c r="AO3657" s="1" t="s">
        <v>58206</v>
      </c>
      <c r="AP3657" s="1" t="s">
        <v>58207</v>
      </c>
      <c r="AQ3657" s="1">
        <v>70</v>
      </c>
      <c r="AR3657" s="1"/>
      <c r="AS3657" s="1"/>
      <c r="AT3657" s="1"/>
      <c r="AU3657" s="1"/>
      <c r="AV3657" s="1"/>
      <c r="AW3657" s="1"/>
      <c r="AX3657" s="1"/>
      <c r="AY3657" s="1" t="s">
        <v>576</v>
      </c>
      <c r="AZ3657" s="1" t="s">
        <v>58208</v>
      </c>
      <c r="BA3657" s="1"/>
      <c r="BB3657" s="1"/>
      <c r="BC3657" s="1" t="s">
        <v>58209</v>
      </c>
      <c r="BD3657" s="1" t="s">
        <v>58210</v>
      </c>
      <c r="BE3657" s="1">
        <v>75.3</v>
      </c>
      <c r="BF3657" s="1"/>
      <c r="BG3657" s="1"/>
      <c r="BH3657" s="1"/>
      <c r="BI3657" s="1"/>
      <c r="BJ3657" s="1"/>
      <c r="BK3657" s="1"/>
      <c r="BL3657" s="1"/>
      <c r="BM3657" s="1"/>
      <c r="BN3657" s="1"/>
      <c r="BO3657" s="1" t="s">
        <v>849</v>
      </c>
      <c r="BP3657" s="1"/>
      <c r="BQ3657" s="1"/>
      <c r="BR3657" s="1" t="s">
        <v>58211</v>
      </c>
      <c r="BS3657" s="1">
        <v>11</v>
      </c>
      <c r="BT3657" s="1"/>
      <c r="BU3657" s="1" t="str">
        <f>HYPERLINK("https://nconnect.nicmar.ac.in/storage/profile/2021-2023_AP21460_259617.jpg","Download")</f>
        <v>0</v>
      </c>
      <c r="BV3657" s="3"/>
      <c r="BW3657" s="3"/>
    </row>
    <row r="3658" spans="1:75">
      <c r="A3658" s="1" t="s">
        <v>51340</v>
      </c>
      <c r="B3658" s="1" t="s">
        <v>51341</v>
      </c>
      <c r="C3658" s="1" t="s">
        <v>58212</v>
      </c>
      <c r="D3658" s="1" t="s">
        <v>5466</v>
      </c>
      <c r="E3658" s="1" t="s">
        <v>47219</v>
      </c>
      <c r="F3658" s="1" t="s">
        <v>7446</v>
      </c>
      <c r="G3658" s="1" t="s">
        <v>58213</v>
      </c>
      <c r="H3658" s="1" t="s">
        <v>58214</v>
      </c>
      <c r="I3658" s="1" t="s">
        <v>58215</v>
      </c>
      <c r="J3658" s="1">
        <v>8806120180</v>
      </c>
      <c r="K3658" s="1" t="s">
        <v>84</v>
      </c>
      <c r="L3658" s="1" t="s">
        <v>58216</v>
      </c>
      <c r="M3658" s="1" t="s">
        <v>86</v>
      </c>
      <c r="N3658" s="1" t="s">
        <v>1163</v>
      </c>
      <c r="O3658" s="1"/>
      <c r="P3658" s="1" t="s">
        <v>455</v>
      </c>
      <c r="Q3658" s="1" t="s">
        <v>58217</v>
      </c>
      <c r="R3658" s="1" t="s">
        <v>58218</v>
      </c>
      <c r="S3658" s="1">
        <v>9890693051</v>
      </c>
      <c r="T3658" s="1" t="s">
        <v>539</v>
      </c>
      <c r="U3658" s="1" t="s">
        <v>58219</v>
      </c>
      <c r="V3658" s="1">
        <v>8830869492</v>
      </c>
      <c r="W3658" s="1" t="s">
        <v>94</v>
      </c>
      <c r="X3658" s="1" t="s">
        <v>58220</v>
      </c>
      <c r="Y3658" s="1" t="s">
        <v>1989</v>
      </c>
      <c r="Z3658" s="1" t="s">
        <v>97</v>
      </c>
      <c r="AA3658" s="1" t="s">
        <v>58221</v>
      </c>
      <c r="AB3658" s="1" t="s">
        <v>1989</v>
      </c>
      <c r="AC3658" s="1" t="s">
        <v>97</v>
      </c>
      <c r="AD3658" s="1" t="s">
        <v>98</v>
      </c>
      <c r="AE3658" s="1" t="s">
        <v>98</v>
      </c>
      <c r="AF3658" s="1" t="s">
        <v>42018</v>
      </c>
      <c r="AG3658" s="1" t="s">
        <v>1968</v>
      </c>
      <c r="AH3658" s="1">
        <v>40330</v>
      </c>
      <c r="AI3658" s="1">
        <v>40711</v>
      </c>
      <c r="AJ3658" s="1">
        <v>71.09</v>
      </c>
      <c r="AK3658" s="1"/>
      <c r="AL3658" s="1" t="s">
        <v>58222</v>
      </c>
      <c r="AM3658" s="1" t="s">
        <v>1968</v>
      </c>
      <c r="AN3658" s="1"/>
      <c r="AO3658" s="1">
        <v>41030</v>
      </c>
      <c r="AP3658" s="1">
        <v>41334</v>
      </c>
      <c r="AQ3658" s="1">
        <v>51.17</v>
      </c>
      <c r="AR3658" s="1"/>
      <c r="AS3658" s="1"/>
      <c r="AT3658" s="1"/>
      <c r="AU3658" s="1" t="s">
        <v>98</v>
      </c>
      <c r="AV3658" s="1" t="s">
        <v>98</v>
      </c>
      <c r="AW3658" s="1" t="s">
        <v>98</v>
      </c>
      <c r="AX3658" s="1" t="s">
        <v>98</v>
      </c>
      <c r="AY3658" s="1" t="s">
        <v>3713</v>
      </c>
      <c r="AZ3658" s="1" t="s">
        <v>26501</v>
      </c>
      <c r="BA3658" s="1"/>
      <c r="BB3658" s="1"/>
      <c r="BC3658" s="1">
        <v>41456</v>
      </c>
      <c r="BD3658" s="1">
        <v>44378</v>
      </c>
      <c r="BE3658" s="1">
        <v>75.3</v>
      </c>
      <c r="BF3658" s="1">
        <v>8.03</v>
      </c>
      <c r="BG3658" s="1"/>
      <c r="BH3658" s="1"/>
      <c r="BI3658" s="1"/>
      <c r="BJ3658" s="1"/>
      <c r="BK3658" s="1" t="s">
        <v>98</v>
      </c>
      <c r="BL3658" s="1" t="s">
        <v>98</v>
      </c>
      <c r="BM3658" s="1" t="s">
        <v>98</v>
      </c>
      <c r="BN3658" s="1" t="s">
        <v>98</v>
      </c>
      <c r="BO3658" s="1" t="s">
        <v>369</v>
      </c>
      <c r="BP3658" s="1"/>
      <c r="BQ3658" s="1"/>
      <c r="BR3658" s="1" t="s">
        <v>58223</v>
      </c>
      <c r="BS3658" s="1">
        <v>22</v>
      </c>
      <c r="BT3658" s="1"/>
      <c r="BU3658" s="1" t="s">
        <v>9653</v>
      </c>
      <c r="BV3658" s="3"/>
      <c r="BW3658" s="3"/>
    </row>
    <row r="3659" spans="1:75">
      <c r="A3659" s="1" t="s">
        <v>51340</v>
      </c>
      <c r="B3659" s="1" t="s">
        <v>51341</v>
      </c>
      <c r="C3659" s="1" t="s">
        <v>58224</v>
      </c>
      <c r="D3659" s="1" t="s">
        <v>10083</v>
      </c>
      <c r="E3659" s="1"/>
      <c r="F3659" s="1" t="s">
        <v>48239</v>
      </c>
      <c r="G3659" s="1" t="s">
        <v>58225</v>
      </c>
      <c r="H3659" s="1" t="s">
        <v>58226</v>
      </c>
      <c r="I3659" s="1" t="s">
        <v>58227</v>
      </c>
      <c r="J3659" s="1">
        <v>9744509550</v>
      </c>
      <c r="K3659" s="1" t="s">
        <v>84</v>
      </c>
      <c r="L3659" s="1" t="s">
        <v>55808</v>
      </c>
      <c r="M3659" s="1" t="s">
        <v>86</v>
      </c>
      <c r="N3659" s="1" t="s">
        <v>2393</v>
      </c>
      <c r="O3659" s="1"/>
      <c r="P3659" s="1" t="s">
        <v>455</v>
      </c>
      <c r="Q3659" s="1" t="s">
        <v>58228</v>
      </c>
      <c r="R3659" s="1" t="s">
        <v>58229</v>
      </c>
      <c r="S3659" s="1">
        <v>9645710580</v>
      </c>
      <c r="T3659" s="1" t="s">
        <v>92</v>
      </c>
      <c r="U3659" s="1" t="s">
        <v>58230</v>
      </c>
      <c r="V3659" s="1">
        <v>9645710580</v>
      </c>
      <c r="W3659" s="1" t="s">
        <v>94</v>
      </c>
      <c r="X3659" s="1" t="s">
        <v>58231</v>
      </c>
      <c r="Y3659" s="1" t="s">
        <v>58232</v>
      </c>
      <c r="Z3659" s="1" t="s">
        <v>130</v>
      </c>
      <c r="AA3659" s="1" t="s">
        <v>58231</v>
      </c>
      <c r="AB3659" s="1" t="s">
        <v>58232</v>
      </c>
      <c r="AC3659" s="1" t="s">
        <v>130</v>
      </c>
      <c r="AD3659" s="1" t="s">
        <v>98</v>
      </c>
      <c r="AE3659" s="1" t="s">
        <v>98</v>
      </c>
      <c r="AF3659" s="1" t="s">
        <v>58233</v>
      </c>
      <c r="AG3659" s="1" t="s">
        <v>312</v>
      </c>
      <c r="AH3659" s="1">
        <v>41369</v>
      </c>
      <c r="AI3659" s="1">
        <v>41779</v>
      </c>
      <c r="AJ3659" s="1">
        <v>89.3</v>
      </c>
      <c r="AK3659" s="1">
        <v>9.4</v>
      </c>
      <c r="AL3659" s="1" t="s">
        <v>58234</v>
      </c>
      <c r="AM3659" s="1" t="s">
        <v>312</v>
      </c>
      <c r="AN3659" s="1"/>
      <c r="AO3659" s="1">
        <v>42073</v>
      </c>
      <c r="AP3659" s="1">
        <v>42511</v>
      </c>
      <c r="AQ3659" s="1">
        <v>91.8</v>
      </c>
      <c r="AR3659" s="1"/>
      <c r="AS3659" s="1"/>
      <c r="AT3659" s="1"/>
      <c r="AU3659" s="1" t="s">
        <v>98</v>
      </c>
      <c r="AV3659" s="1" t="s">
        <v>98</v>
      </c>
      <c r="AW3659" s="1" t="s">
        <v>98</v>
      </c>
      <c r="AX3659" s="1" t="s">
        <v>98</v>
      </c>
      <c r="AY3659" s="1" t="s">
        <v>137</v>
      </c>
      <c r="AZ3659" s="1" t="s">
        <v>48101</v>
      </c>
      <c r="BA3659" s="1"/>
      <c r="BB3659" s="1"/>
      <c r="BC3659" s="1">
        <v>42585</v>
      </c>
      <c r="BD3659" s="1">
        <v>44099</v>
      </c>
      <c r="BE3659" s="1">
        <v>82.95</v>
      </c>
      <c r="BF3659" s="1">
        <v>8.67</v>
      </c>
      <c r="BG3659" s="1"/>
      <c r="BH3659" s="1"/>
      <c r="BI3659" s="1"/>
      <c r="BJ3659" s="1"/>
      <c r="BK3659" s="1" t="s">
        <v>98</v>
      </c>
      <c r="BL3659" s="1" t="s">
        <v>98</v>
      </c>
      <c r="BM3659" s="1" t="s">
        <v>98</v>
      </c>
      <c r="BN3659" s="1" t="s">
        <v>98</v>
      </c>
      <c r="BO3659" s="1" t="s">
        <v>58235</v>
      </c>
      <c r="BP3659" s="1"/>
      <c r="BQ3659" s="1"/>
      <c r="BR3659" s="1" t="s">
        <v>58236</v>
      </c>
      <c r="BS3659" s="1">
        <v>8</v>
      </c>
      <c r="BT3659" s="1"/>
      <c r="BU3659" s="1" t="str">
        <f>HYPERLINK("https://nconnect.nicmar.ac.in/storage/profile/2021-2023_AP21462_487129.jpg","Download")</f>
        <v>0</v>
      </c>
      <c r="BV3659" s="3"/>
      <c r="BW3659" s="3"/>
    </row>
    <row r="3660" spans="1:75">
      <c r="A3660" s="1" t="s">
        <v>51340</v>
      </c>
      <c r="B3660" s="1" t="s">
        <v>51341</v>
      </c>
      <c r="C3660" s="1" t="s">
        <v>58237</v>
      </c>
      <c r="D3660" s="1" t="s">
        <v>43998</v>
      </c>
      <c r="E3660" s="1"/>
      <c r="F3660" s="1" t="s">
        <v>2250</v>
      </c>
      <c r="G3660" s="1" t="s">
        <v>58238</v>
      </c>
      <c r="H3660" s="1" t="s">
        <v>58239</v>
      </c>
      <c r="I3660" s="1" t="s">
        <v>58240</v>
      </c>
      <c r="J3660" s="1">
        <v>8607125401</v>
      </c>
      <c r="K3660" s="1" t="s">
        <v>84</v>
      </c>
      <c r="L3660" s="1" t="s">
        <v>58241</v>
      </c>
      <c r="M3660" s="1" t="s">
        <v>86</v>
      </c>
      <c r="N3660" s="1" t="s">
        <v>246</v>
      </c>
      <c r="O3660" s="1"/>
      <c r="P3660" s="1" t="s">
        <v>507</v>
      </c>
      <c r="Q3660" s="1" t="s">
        <v>58242</v>
      </c>
      <c r="R3660" s="1" t="s">
        <v>58243</v>
      </c>
      <c r="S3660" s="1">
        <v>9416387435</v>
      </c>
      <c r="T3660" s="1" t="s">
        <v>926</v>
      </c>
      <c r="U3660" s="1" t="s">
        <v>58244</v>
      </c>
      <c r="V3660" s="1">
        <v>9466572425</v>
      </c>
      <c r="W3660" s="1" t="s">
        <v>94</v>
      </c>
      <c r="X3660" s="1" t="s">
        <v>58245</v>
      </c>
      <c r="Y3660" s="1" t="s">
        <v>58246</v>
      </c>
      <c r="Z3660" s="1" t="s">
        <v>1700</v>
      </c>
      <c r="AA3660" s="1" t="s">
        <v>58245</v>
      </c>
      <c r="AB3660" s="1" t="s">
        <v>58246</v>
      </c>
      <c r="AC3660" s="1" t="s">
        <v>1700</v>
      </c>
      <c r="AD3660" s="1" t="s">
        <v>98</v>
      </c>
      <c r="AE3660" s="1" t="s">
        <v>98</v>
      </c>
      <c r="AF3660" s="1" t="s">
        <v>58247</v>
      </c>
      <c r="AG3660" s="1" t="s">
        <v>2475</v>
      </c>
      <c r="AH3660" s="1">
        <v>41365</v>
      </c>
      <c r="AI3660" s="1">
        <v>41779</v>
      </c>
      <c r="AJ3660" s="1">
        <v>81.7</v>
      </c>
      <c r="AK3660" s="1">
        <v>8.6</v>
      </c>
      <c r="AL3660" s="1" t="s">
        <v>58248</v>
      </c>
      <c r="AM3660" s="1" t="s">
        <v>2475</v>
      </c>
      <c r="AN3660" s="1"/>
      <c r="AO3660" s="1">
        <v>42095</v>
      </c>
      <c r="AP3660" s="1">
        <v>42511</v>
      </c>
      <c r="AQ3660" s="1">
        <v>85.5</v>
      </c>
      <c r="AR3660" s="1"/>
      <c r="AS3660" s="1"/>
      <c r="AT3660" s="1"/>
      <c r="AU3660" s="1" t="s">
        <v>98</v>
      </c>
      <c r="AV3660" s="1" t="s">
        <v>98</v>
      </c>
      <c r="AW3660" s="1" t="s">
        <v>98</v>
      </c>
      <c r="AX3660" s="1" t="s">
        <v>98</v>
      </c>
      <c r="AY3660" s="1" t="s">
        <v>58249</v>
      </c>
      <c r="AZ3660" s="1" t="s">
        <v>58250</v>
      </c>
      <c r="BA3660" s="1"/>
      <c r="BB3660" s="1"/>
      <c r="BC3660" s="1">
        <v>42583</v>
      </c>
      <c r="BD3660" s="1">
        <v>44404</v>
      </c>
      <c r="BE3660" s="1">
        <v>69.72</v>
      </c>
      <c r="BF3660" s="1"/>
      <c r="BG3660" s="1"/>
      <c r="BH3660" s="1"/>
      <c r="BI3660" s="1"/>
      <c r="BJ3660" s="1"/>
      <c r="BK3660" s="1" t="s">
        <v>98</v>
      </c>
      <c r="BL3660" s="1" t="s">
        <v>98</v>
      </c>
      <c r="BM3660" s="1" t="s">
        <v>98</v>
      </c>
      <c r="BN3660" s="1" t="s">
        <v>98</v>
      </c>
      <c r="BO3660" s="1" t="s">
        <v>58251</v>
      </c>
      <c r="BP3660" s="1"/>
      <c r="BQ3660" s="1"/>
      <c r="BR3660" s="1" t="s">
        <v>58252</v>
      </c>
      <c r="BS3660" s="1">
        <v>54</v>
      </c>
      <c r="BT3660" s="1"/>
      <c r="BU3660" s="1" t="str">
        <f>HYPERLINK("https://nconnect.nicmar.ac.in/storage/profile/2021-2023_AP21463_682471.JPG","Download")</f>
        <v>0</v>
      </c>
      <c r="BV3660" s="3"/>
      <c r="BW3660" s="3"/>
    </row>
    <row r="3661" spans="1:75">
      <c r="A3661" s="1" t="s">
        <v>51340</v>
      </c>
      <c r="B3661" s="1" t="s">
        <v>51341</v>
      </c>
      <c r="C3661" s="1" t="s">
        <v>58253</v>
      </c>
      <c r="D3661" s="1" t="s">
        <v>3217</v>
      </c>
      <c r="E3661" s="1"/>
      <c r="F3661" s="1" t="s">
        <v>20298</v>
      </c>
      <c r="G3661" s="1" t="s">
        <v>58254</v>
      </c>
      <c r="H3661" s="1" t="s">
        <v>58255</v>
      </c>
      <c r="I3661" s="1" t="s">
        <v>58256</v>
      </c>
      <c r="J3661" s="1">
        <v>9131833732</v>
      </c>
      <c r="K3661" s="1" t="s">
        <v>84</v>
      </c>
      <c r="L3661" s="1" t="s">
        <v>58257</v>
      </c>
      <c r="M3661" s="1" t="s">
        <v>86</v>
      </c>
      <c r="N3661" s="1" t="s">
        <v>3026</v>
      </c>
      <c r="O3661" s="1"/>
      <c r="P3661" s="1" t="s">
        <v>455</v>
      </c>
      <c r="Q3661" s="1" t="s">
        <v>58258</v>
      </c>
      <c r="R3661" s="1" t="s">
        <v>58259</v>
      </c>
      <c r="S3661" s="1">
        <v>9425262661</v>
      </c>
      <c r="T3661" s="1" t="s">
        <v>539</v>
      </c>
      <c r="U3661" s="1" t="s">
        <v>58260</v>
      </c>
      <c r="V3661" s="1">
        <v>9425597302</v>
      </c>
      <c r="W3661" s="1" t="s">
        <v>539</v>
      </c>
      <c r="X3661" s="1" t="s">
        <v>58261</v>
      </c>
      <c r="Y3661" s="1" t="s">
        <v>55718</v>
      </c>
      <c r="Z3661" s="1" t="s">
        <v>2933</v>
      </c>
      <c r="AA3661" s="1" t="s">
        <v>58261</v>
      </c>
      <c r="AB3661" s="1" t="s">
        <v>55718</v>
      </c>
      <c r="AC3661" s="1" t="s">
        <v>2933</v>
      </c>
      <c r="AD3661" s="1" t="s">
        <v>98</v>
      </c>
      <c r="AE3661" s="1" t="s">
        <v>98</v>
      </c>
      <c r="AF3661" s="1" t="s">
        <v>58262</v>
      </c>
      <c r="AG3661" s="1" t="s">
        <v>312</v>
      </c>
      <c r="AH3661" s="1">
        <v>41365</v>
      </c>
      <c r="AI3661" s="1">
        <v>41778</v>
      </c>
      <c r="AJ3661" s="1">
        <v>87.4</v>
      </c>
      <c r="AK3661" s="1">
        <v>9.2</v>
      </c>
      <c r="AL3661" s="1" t="s">
        <v>58263</v>
      </c>
      <c r="AM3661" s="1" t="s">
        <v>19709</v>
      </c>
      <c r="AN3661" s="1"/>
      <c r="AO3661" s="1">
        <v>42125</v>
      </c>
      <c r="AP3661" s="1">
        <v>42479</v>
      </c>
      <c r="AQ3661" s="1">
        <v>96.3</v>
      </c>
      <c r="AR3661" s="1"/>
      <c r="AS3661" s="1"/>
      <c r="AT3661" s="1"/>
      <c r="AU3661" s="1" t="s">
        <v>98</v>
      </c>
      <c r="AV3661" s="1" t="s">
        <v>98</v>
      </c>
      <c r="AW3661" s="1" t="s">
        <v>98</v>
      </c>
      <c r="AX3661" s="1" t="s">
        <v>98</v>
      </c>
      <c r="AY3661" s="1" t="s">
        <v>2614</v>
      </c>
      <c r="AZ3661" s="1" t="s">
        <v>2614</v>
      </c>
      <c r="BA3661" s="1"/>
      <c r="BB3661" s="1"/>
      <c r="BC3661" s="1">
        <v>42887</v>
      </c>
      <c r="BD3661" s="1">
        <v>44364</v>
      </c>
      <c r="BE3661" s="1">
        <v>79.56</v>
      </c>
      <c r="BF3661" s="1">
        <v>7.25</v>
      </c>
      <c r="BG3661" s="1"/>
      <c r="BH3661" s="1"/>
      <c r="BI3661" s="1"/>
      <c r="BJ3661" s="1"/>
      <c r="BK3661" s="1" t="s">
        <v>98</v>
      </c>
      <c r="BL3661" s="1" t="s">
        <v>98</v>
      </c>
      <c r="BM3661" s="1" t="s">
        <v>98</v>
      </c>
      <c r="BN3661" s="1" t="s">
        <v>98</v>
      </c>
      <c r="BO3661" s="1" t="s">
        <v>1114</v>
      </c>
      <c r="BP3661" s="1"/>
      <c r="BQ3661" s="1"/>
      <c r="BR3661" s="1" t="s">
        <v>58264</v>
      </c>
      <c r="BS3661" s="1">
        <v>13</v>
      </c>
      <c r="BT3661" s="1"/>
      <c r="BU3661" s="1" t="str">
        <f>HYPERLINK("https://nconnect.nicmar.ac.in/storage/profile/2021-2023_AP21464_974352.jpg","Download")</f>
        <v>0</v>
      </c>
      <c r="BV3661" s="3"/>
      <c r="BW3661" s="3"/>
    </row>
    <row r="3662" spans="1:75">
      <c r="A3662" s="1" t="s">
        <v>51340</v>
      </c>
      <c r="B3662" s="1" t="s">
        <v>51341</v>
      </c>
      <c r="C3662" s="1" t="s">
        <v>58265</v>
      </c>
      <c r="D3662" s="1" t="s">
        <v>1525</v>
      </c>
      <c r="E3662" s="1" t="s">
        <v>2560</v>
      </c>
      <c r="F3662" s="1" t="s">
        <v>58266</v>
      </c>
      <c r="G3662" s="1" t="s">
        <v>58267</v>
      </c>
      <c r="H3662" s="1" t="s">
        <v>58268</v>
      </c>
      <c r="I3662" s="1" t="s">
        <v>58269</v>
      </c>
      <c r="J3662" s="1">
        <v>9730561028</v>
      </c>
      <c r="K3662" s="1" t="s">
        <v>84</v>
      </c>
      <c r="L3662" s="1" t="s">
        <v>29676</v>
      </c>
      <c r="M3662" s="1" t="s">
        <v>86</v>
      </c>
      <c r="N3662" s="1" t="s">
        <v>58270</v>
      </c>
      <c r="O3662" s="1"/>
      <c r="P3662" s="1" t="s">
        <v>507</v>
      </c>
      <c r="Q3662" s="1" t="s">
        <v>58271</v>
      </c>
      <c r="R3662" s="1" t="s">
        <v>58272</v>
      </c>
      <c r="S3662" s="1">
        <v>9766353564</v>
      </c>
      <c r="T3662" s="1" t="s">
        <v>127</v>
      </c>
      <c r="U3662" s="1" t="s">
        <v>58273</v>
      </c>
      <c r="V3662" s="1">
        <v>8329846005</v>
      </c>
      <c r="W3662" s="1" t="s">
        <v>127</v>
      </c>
      <c r="X3662" s="1" t="s">
        <v>58274</v>
      </c>
      <c r="Y3662" s="1" t="s">
        <v>53803</v>
      </c>
      <c r="Z3662" s="1" t="s">
        <v>97</v>
      </c>
      <c r="AA3662" s="1" t="s">
        <v>58275</v>
      </c>
      <c r="AB3662" s="1" t="s">
        <v>58276</v>
      </c>
      <c r="AC3662" s="1" t="s">
        <v>97</v>
      </c>
      <c r="AD3662" s="1" t="s">
        <v>98</v>
      </c>
      <c r="AE3662" s="1" t="s">
        <v>98</v>
      </c>
      <c r="AF3662" s="1" t="s">
        <v>58277</v>
      </c>
      <c r="AG3662" s="1" t="s">
        <v>2745</v>
      </c>
      <c r="AH3662" s="1">
        <v>41775</v>
      </c>
      <c r="AI3662" s="1">
        <v>42175</v>
      </c>
      <c r="AJ3662" s="1">
        <v>70.6</v>
      </c>
      <c r="AK3662" s="1" t="s">
        <v>98</v>
      </c>
      <c r="AL3662" s="1" t="s">
        <v>98</v>
      </c>
      <c r="AM3662" s="1" t="s">
        <v>98</v>
      </c>
      <c r="AN3662" s="1"/>
      <c r="AO3662" s="1" t="s">
        <v>98</v>
      </c>
      <c r="AP3662" s="1" t="s">
        <v>98</v>
      </c>
      <c r="AQ3662" s="1" t="s">
        <v>98</v>
      </c>
      <c r="AR3662" s="1" t="s">
        <v>98</v>
      </c>
      <c r="AS3662" s="1" t="s">
        <v>439</v>
      </c>
      <c r="AT3662" s="1" t="s">
        <v>58278</v>
      </c>
      <c r="AU3662" s="1">
        <v>42207</v>
      </c>
      <c r="AV3662" s="1">
        <v>43300</v>
      </c>
      <c r="AW3662" s="1">
        <v>77.03</v>
      </c>
      <c r="AX3662" s="1" t="s">
        <v>98</v>
      </c>
      <c r="AY3662" s="1" t="s">
        <v>1906</v>
      </c>
      <c r="AZ3662" s="1" t="s">
        <v>58279</v>
      </c>
      <c r="BA3662" s="1"/>
      <c r="BB3662" s="1"/>
      <c r="BC3662" s="1">
        <v>43322</v>
      </c>
      <c r="BD3662" s="1">
        <v>44380</v>
      </c>
      <c r="BE3662" s="1">
        <v>75.3</v>
      </c>
      <c r="BF3662" s="1">
        <v>8.28</v>
      </c>
      <c r="BG3662" s="1" t="s">
        <v>98</v>
      </c>
      <c r="BH3662" s="1"/>
      <c r="BI3662" s="1"/>
      <c r="BJ3662" s="1"/>
      <c r="BK3662" s="1" t="s">
        <v>98</v>
      </c>
      <c r="BL3662" s="1" t="s">
        <v>98</v>
      </c>
      <c r="BM3662" s="1" t="s">
        <v>98</v>
      </c>
      <c r="BN3662" s="1" t="s">
        <v>98</v>
      </c>
      <c r="BO3662" s="1"/>
      <c r="BP3662" s="1"/>
      <c r="BQ3662" s="1"/>
      <c r="BR3662" s="1" t="s">
        <v>58280</v>
      </c>
      <c r="BS3662" s="1">
        <v>37</v>
      </c>
      <c r="BT3662" s="1"/>
      <c r="BU3662" s="1" t="str">
        <f>HYPERLINK("https://nconnect.nicmar.ac.in/storage/profile/2021-2023_AP21465_372941.jpeg","Download")</f>
        <v>0</v>
      </c>
      <c r="BV3662" s="3"/>
      <c r="BW3662" s="3"/>
    </row>
    <row r="3663" spans="1:75">
      <c r="A3663" s="1" t="s">
        <v>51340</v>
      </c>
      <c r="B3663" s="1" t="s">
        <v>51341</v>
      </c>
      <c r="C3663" s="1" t="s">
        <v>58281</v>
      </c>
      <c r="D3663" s="1" t="s">
        <v>7798</v>
      </c>
      <c r="E3663" s="1"/>
      <c r="F3663" s="1" t="s">
        <v>530</v>
      </c>
      <c r="G3663" s="1" t="s">
        <v>58282</v>
      </c>
      <c r="H3663" s="1" t="s">
        <v>58283</v>
      </c>
      <c r="I3663" s="1" t="s">
        <v>58284</v>
      </c>
      <c r="J3663" s="1">
        <v>7903277738</v>
      </c>
      <c r="K3663" s="1" t="s">
        <v>84</v>
      </c>
      <c r="L3663" s="1" t="s">
        <v>58285</v>
      </c>
      <c r="M3663" s="1" t="s">
        <v>86</v>
      </c>
      <c r="N3663" s="1" t="s">
        <v>379</v>
      </c>
      <c r="O3663" s="1"/>
      <c r="P3663" s="1" t="s">
        <v>1028</v>
      </c>
      <c r="Q3663" s="1" t="s">
        <v>58286</v>
      </c>
      <c r="R3663" s="1" t="s">
        <v>58287</v>
      </c>
      <c r="S3663" s="1">
        <v>8340704683</v>
      </c>
      <c r="T3663" s="1" t="s">
        <v>98</v>
      </c>
      <c r="U3663" s="1" t="s">
        <v>58288</v>
      </c>
      <c r="V3663" s="1">
        <v>9304070258</v>
      </c>
      <c r="W3663" s="1" t="s">
        <v>161</v>
      </c>
      <c r="X3663" s="1" t="s">
        <v>58289</v>
      </c>
      <c r="Y3663" s="1" t="s">
        <v>58290</v>
      </c>
      <c r="Z3663" s="1" t="s">
        <v>649</v>
      </c>
      <c r="AA3663" s="1" t="s">
        <v>58291</v>
      </c>
      <c r="AB3663" s="1" t="s">
        <v>196</v>
      </c>
      <c r="AC3663" s="1" t="s">
        <v>97</v>
      </c>
      <c r="AD3663" s="1" t="s">
        <v>98</v>
      </c>
      <c r="AE3663" s="1" t="s">
        <v>98</v>
      </c>
      <c r="AF3663" s="1" t="s">
        <v>58292</v>
      </c>
      <c r="AG3663" s="1" t="s">
        <v>312</v>
      </c>
      <c r="AH3663" s="1" t="s">
        <v>3421</v>
      </c>
      <c r="AI3663" s="1" t="s">
        <v>1262</v>
      </c>
      <c r="AJ3663" s="1">
        <v>87.4</v>
      </c>
      <c r="AK3663" s="1">
        <v>9.2</v>
      </c>
      <c r="AL3663" s="1" t="s">
        <v>58292</v>
      </c>
      <c r="AM3663" s="1" t="s">
        <v>312</v>
      </c>
      <c r="AN3663" s="1"/>
      <c r="AO3663" s="1" t="s">
        <v>1110</v>
      </c>
      <c r="AP3663" s="1" t="s">
        <v>627</v>
      </c>
      <c r="AQ3663" s="1">
        <v>73.4</v>
      </c>
      <c r="AR3663" s="1"/>
      <c r="AS3663" s="1"/>
      <c r="AT3663" s="1"/>
      <c r="AU3663" s="1" t="s">
        <v>98</v>
      </c>
      <c r="AV3663" s="1" t="s">
        <v>98</v>
      </c>
      <c r="AW3663" s="1" t="s">
        <v>98</v>
      </c>
      <c r="AX3663" s="1" t="s">
        <v>98</v>
      </c>
      <c r="AY3663" s="1" t="s">
        <v>366</v>
      </c>
      <c r="AZ3663" s="1" t="s">
        <v>57227</v>
      </c>
      <c r="BA3663" s="1"/>
      <c r="BB3663" s="1"/>
      <c r="BC3663" s="1" t="s">
        <v>139</v>
      </c>
      <c r="BD3663" s="1" t="s">
        <v>175</v>
      </c>
      <c r="BE3663" s="1">
        <v>68.37</v>
      </c>
      <c r="BF3663" s="1">
        <v>7.77</v>
      </c>
      <c r="BG3663" s="1"/>
      <c r="BH3663" s="1"/>
      <c r="BI3663" s="1"/>
      <c r="BJ3663" s="1"/>
      <c r="BK3663" s="1" t="s">
        <v>98</v>
      </c>
      <c r="BL3663" s="1" t="s">
        <v>98</v>
      </c>
      <c r="BM3663" s="1" t="s">
        <v>98</v>
      </c>
      <c r="BN3663" s="1" t="s">
        <v>98</v>
      </c>
      <c r="BO3663" s="1" t="s">
        <v>1114</v>
      </c>
      <c r="BP3663" s="1"/>
      <c r="BQ3663" s="1"/>
      <c r="BR3663" s="1" t="s">
        <v>58293</v>
      </c>
      <c r="BS3663" s="1">
        <v>15</v>
      </c>
      <c r="BT3663" s="1"/>
      <c r="BU3663" s="1" t="str">
        <f>HYPERLINK("https://nconnect.nicmar.ac.in/storage/profile/2021-2023_AP21466_284637.jpg","Download")</f>
        <v>0</v>
      </c>
      <c r="BV3663" s="3"/>
      <c r="BW3663" s="3"/>
    </row>
    <row r="3664" spans="1:75">
      <c r="A3664" s="1" t="s">
        <v>51340</v>
      </c>
      <c r="B3664" s="1" t="s">
        <v>51341</v>
      </c>
      <c r="C3664" s="1" t="s">
        <v>58294</v>
      </c>
      <c r="D3664" s="1" t="s">
        <v>58295</v>
      </c>
      <c r="E3664" s="1" t="s">
        <v>5230</v>
      </c>
      <c r="F3664" s="1" t="s">
        <v>58296</v>
      </c>
      <c r="G3664" s="1" t="s">
        <v>58297</v>
      </c>
      <c r="H3664" s="1" t="s">
        <v>58298</v>
      </c>
      <c r="I3664" s="1" t="s">
        <v>58299</v>
      </c>
      <c r="J3664" s="1">
        <v>8879808217</v>
      </c>
      <c r="K3664" s="1" t="s">
        <v>84</v>
      </c>
      <c r="L3664" s="1" t="s">
        <v>58300</v>
      </c>
      <c r="M3664" s="1" t="s">
        <v>86</v>
      </c>
      <c r="N3664" s="1" t="s">
        <v>1163</v>
      </c>
      <c r="O3664" s="1"/>
      <c r="P3664" s="1" t="s">
        <v>455</v>
      </c>
      <c r="Q3664" s="1" t="s">
        <v>58301</v>
      </c>
      <c r="R3664" s="1" t="s">
        <v>58302</v>
      </c>
      <c r="S3664" s="1">
        <v>9869201120</v>
      </c>
      <c r="T3664" s="1" t="s">
        <v>539</v>
      </c>
      <c r="U3664" s="1" t="s">
        <v>5080</v>
      </c>
      <c r="V3664" s="1">
        <v>9833176988</v>
      </c>
      <c r="W3664" s="1" t="s">
        <v>94</v>
      </c>
      <c r="X3664" s="1" t="s">
        <v>58303</v>
      </c>
      <c r="Y3664" s="1" t="s">
        <v>53350</v>
      </c>
      <c r="Z3664" s="1" t="s">
        <v>97</v>
      </c>
      <c r="AA3664" s="1" t="s">
        <v>58303</v>
      </c>
      <c r="AB3664" s="1" t="s">
        <v>53350</v>
      </c>
      <c r="AC3664" s="1" t="s">
        <v>97</v>
      </c>
      <c r="AD3664" s="1" t="s">
        <v>98</v>
      </c>
      <c r="AE3664" s="1" t="s">
        <v>98</v>
      </c>
      <c r="AF3664" s="1" t="s">
        <v>58304</v>
      </c>
      <c r="AG3664" s="1" t="s">
        <v>51712</v>
      </c>
      <c r="AH3664" s="1">
        <v>41442</v>
      </c>
      <c r="AI3664" s="1">
        <v>41807</v>
      </c>
      <c r="AJ3664" s="1">
        <v>81.4</v>
      </c>
      <c r="AK3664" s="1"/>
      <c r="AL3664" s="1" t="s">
        <v>58305</v>
      </c>
      <c r="AM3664" s="1" t="s">
        <v>51712</v>
      </c>
      <c r="AN3664" s="1"/>
      <c r="AO3664" s="1">
        <v>42181</v>
      </c>
      <c r="AP3664" s="1">
        <v>42515</v>
      </c>
      <c r="AQ3664" s="1">
        <v>54.77</v>
      </c>
      <c r="AR3664" s="1"/>
      <c r="AS3664" s="1"/>
      <c r="AT3664" s="1"/>
      <c r="AU3664" s="1" t="s">
        <v>98</v>
      </c>
      <c r="AV3664" s="1" t="s">
        <v>98</v>
      </c>
      <c r="AW3664" s="1" t="s">
        <v>98</v>
      </c>
      <c r="AX3664" s="1" t="s">
        <v>98</v>
      </c>
      <c r="AY3664" s="1" t="s">
        <v>366</v>
      </c>
      <c r="AZ3664" s="1" t="s">
        <v>58306</v>
      </c>
      <c r="BA3664" s="1"/>
      <c r="BB3664" s="1"/>
      <c r="BC3664" s="1">
        <v>42584</v>
      </c>
      <c r="BD3664" s="1">
        <v>44146</v>
      </c>
      <c r="BE3664" s="1">
        <v>58.17</v>
      </c>
      <c r="BF3664" s="1">
        <v>6.61</v>
      </c>
      <c r="BG3664" s="1"/>
      <c r="BH3664" s="1"/>
      <c r="BI3664" s="1"/>
      <c r="BJ3664" s="1"/>
      <c r="BK3664" s="1" t="s">
        <v>98</v>
      </c>
      <c r="BL3664" s="1" t="s">
        <v>98</v>
      </c>
      <c r="BM3664" s="1" t="s">
        <v>98</v>
      </c>
      <c r="BN3664" s="1" t="s">
        <v>98</v>
      </c>
      <c r="BO3664" s="1" t="s">
        <v>369</v>
      </c>
      <c r="BP3664" s="1"/>
      <c r="BQ3664" s="1"/>
      <c r="BR3664" s="1" t="s">
        <v>58307</v>
      </c>
      <c r="BS3664" s="1">
        <v>18</v>
      </c>
      <c r="BT3664" s="1"/>
      <c r="BU3664" s="1" t="str">
        <f>HYPERLINK("https://nconnect.nicmar.ac.in/storage/profile/2021-2023_AP21467_514679.jpeg","Download")</f>
        <v>0</v>
      </c>
      <c r="BV3664" s="3"/>
      <c r="BW3664" s="3"/>
    </row>
    <row r="3665" spans="1:75">
      <c r="A3665" s="1" t="s">
        <v>51340</v>
      </c>
      <c r="B3665" s="1" t="s">
        <v>51341</v>
      </c>
      <c r="C3665" s="1" t="s">
        <v>58308</v>
      </c>
      <c r="D3665" s="1" t="s">
        <v>58309</v>
      </c>
      <c r="E3665" s="1"/>
      <c r="F3665" s="1" t="s">
        <v>1964</v>
      </c>
      <c r="G3665" s="1" t="s">
        <v>58310</v>
      </c>
      <c r="H3665" s="1" t="s">
        <v>58311</v>
      </c>
      <c r="I3665" s="1" t="s">
        <v>58312</v>
      </c>
      <c r="J3665" s="1">
        <v>9304163958</v>
      </c>
      <c r="K3665" s="1" t="s">
        <v>84</v>
      </c>
      <c r="L3665" s="1" t="s">
        <v>13302</v>
      </c>
      <c r="M3665" s="1" t="s">
        <v>86</v>
      </c>
      <c r="N3665" s="1" t="s">
        <v>246</v>
      </c>
      <c r="O3665" s="1"/>
      <c r="P3665" s="1" t="s">
        <v>455</v>
      </c>
      <c r="Q3665" s="1" t="s">
        <v>58313</v>
      </c>
      <c r="R3665" s="1" t="s">
        <v>58314</v>
      </c>
      <c r="S3665" s="1">
        <v>9771462025</v>
      </c>
      <c r="T3665" s="1" t="s">
        <v>3188</v>
      </c>
      <c r="U3665" s="1" t="s">
        <v>58315</v>
      </c>
      <c r="V3665" s="1">
        <v>7903560193</v>
      </c>
      <c r="W3665" s="1" t="s">
        <v>9451</v>
      </c>
      <c r="X3665" s="1" t="s">
        <v>58316</v>
      </c>
      <c r="Y3665" s="1" t="s">
        <v>57254</v>
      </c>
      <c r="Z3665" s="1" t="s">
        <v>649</v>
      </c>
      <c r="AA3665" s="1" t="s">
        <v>58316</v>
      </c>
      <c r="AB3665" s="1" t="s">
        <v>57254</v>
      </c>
      <c r="AC3665" s="1" t="s">
        <v>649</v>
      </c>
      <c r="AD3665" s="1" t="s">
        <v>98</v>
      </c>
      <c r="AE3665" s="1" t="s">
        <v>98</v>
      </c>
      <c r="AF3665" s="1" t="s">
        <v>58317</v>
      </c>
      <c r="AG3665" s="1" t="s">
        <v>312</v>
      </c>
      <c r="AH3665" s="1">
        <v>41414</v>
      </c>
      <c r="AI3665" s="1">
        <v>41779</v>
      </c>
      <c r="AJ3665" s="1">
        <v>87.4</v>
      </c>
      <c r="AK3665" s="1">
        <v>9.2</v>
      </c>
      <c r="AL3665" s="1" t="s">
        <v>58318</v>
      </c>
      <c r="AM3665" s="1" t="s">
        <v>312</v>
      </c>
      <c r="AN3665" s="1"/>
      <c r="AO3665" s="1">
        <v>42958</v>
      </c>
      <c r="AP3665" s="1">
        <v>42959</v>
      </c>
      <c r="AQ3665" s="1">
        <v>51.8</v>
      </c>
      <c r="AR3665" s="1">
        <v>5.18</v>
      </c>
      <c r="AS3665" s="1"/>
      <c r="AT3665" s="1"/>
      <c r="AU3665" s="1" t="s">
        <v>98</v>
      </c>
      <c r="AV3665" s="1" t="s">
        <v>98</v>
      </c>
      <c r="AW3665" s="1" t="s">
        <v>98</v>
      </c>
      <c r="AX3665" s="1" t="s">
        <v>98</v>
      </c>
      <c r="AY3665" s="1" t="s">
        <v>5821</v>
      </c>
      <c r="AZ3665" s="1" t="s">
        <v>58319</v>
      </c>
      <c r="BA3665" s="1"/>
      <c r="BB3665" s="1"/>
      <c r="BC3665" s="1">
        <v>42959</v>
      </c>
      <c r="BD3665" s="1">
        <v>44404</v>
      </c>
      <c r="BE3665" s="1">
        <v>67.8</v>
      </c>
      <c r="BF3665" s="1">
        <v>6.78</v>
      </c>
      <c r="BG3665" s="1"/>
      <c r="BH3665" s="1"/>
      <c r="BI3665" s="1"/>
      <c r="BJ3665" s="1"/>
      <c r="BK3665" s="1" t="s">
        <v>98</v>
      </c>
      <c r="BL3665" s="1" t="s">
        <v>98</v>
      </c>
      <c r="BM3665" s="1" t="s">
        <v>98</v>
      </c>
      <c r="BN3665" s="1" t="s">
        <v>98</v>
      </c>
      <c r="BO3665" s="1" t="s">
        <v>57009</v>
      </c>
      <c r="BP3665" s="1"/>
      <c r="BQ3665" s="1"/>
      <c r="BR3665" s="1" t="s">
        <v>58320</v>
      </c>
      <c r="BS3665" s="1">
        <v>43</v>
      </c>
      <c r="BT3665" s="1"/>
      <c r="BU3665" s="1" t="str">
        <f>HYPERLINK("https://nconnect.nicmar.ac.in/storage/profile/2021-2023_AP21468_431589.jpg","Download")</f>
        <v>0</v>
      </c>
      <c r="BV3665" s="3"/>
      <c r="BW3665" s="3"/>
    </row>
    <row r="3666" spans="1:75">
      <c r="A3666" s="1" t="s">
        <v>51340</v>
      </c>
      <c r="B3666" s="1" t="s">
        <v>51341</v>
      </c>
      <c r="C3666" s="1" t="s">
        <v>58321</v>
      </c>
      <c r="D3666" s="1" t="s">
        <v>58322</v>
      </c>
      <c r="E3666" s="1"/>
      <c r="F3666" s="1" t="s">
        <v>58323</v>
      </c>
      <c r="G3666" s="1" t="s">
        <v>58324</v>
      </c>
      <c r="H3666" s="1" t="s">
        <v>58325</v>
      </c>
      <c r="I3666" s="1" t="s">
        <v>58326</v>
      </c>
      <c r="J3666" s="1">
        <v>7086336522</v>
      </c>
      <c r="K3666" s="1" t="s">
        <v>153</v>
      </c>
      <c r="L3666" s="1" t="s">
        <v>58327</v>
      </c>
      <c r="M3666" s="1" t="s">
        <v>86</v>
      </c>
      <c r="N3666" s="1" t="s">
        <v>58328</v>
      </c>
      <c r="O3666" s="1"/>
      <c r="P3666" s="1" t="s">
        <v>481</v>
      </c>
      <c r="Q3666" s="1" t="s">
        <v>58329</v>
      </c>
      <c r="R3666" s="1" t="s">
        <v>58330</v>
      </c>
      <c r="S3666" s="1">
        <v>9864065625</v>
      </c>
      <c r="T3666" s="1" t="s">
        <v>539</v>
      </c>
      <c r="U3666" s="1" t="s">
        <v>58331</v>
      </c>
      <c r="V3666" s="1">
        <v>8486453061</v>
      </c>
      <c r="W3666" s="1" t="s">
        <v>94</v>
      </c>
      <c r="X3666" s="1" t="s">
        <v>58332</v>
      </c>
      <c r="Y3666" s="1" t="s">
        <v>58333</v>
      </c>
      <c r="Z3666" s="1" t="s">
        <v>1556</v>
      </c>
      <c r="AA3666" s="1" t="s">
        <v>58334</v>
      </c>
      <c r="AB3666" s="1" t="s">
        <v>196</v>
      </c>
      <c r="AC3666" s="1" t="s">
        <v>97</v>
      </c>
      <c r="AD3666" s="1" t="s">
        <v>98</v>
      </c>
      <c r="AE3666" s="1" t="s">
        <v>98</v>
      </c>
      <c r="AF3666" s="1" t="s">
        <v>58335</v>
      </c>
      <c r="AG3666" s="1" t="s">
        <v>312</v>
      </c>
      <c r="AH3666" s="1">
        <v>41059</v>
      </c>
      <c r="AI3666" s="1">
        <v>41424</v>
      </c>
      <c r="AJ3666" s="1">
        <v>74.1</v>
      </c>
      <c r="AK3666" s="1">
        <v>7.8</v>
      </c>
      <c r="AL3666" s="1" t="s">
        <v>58336</v>
      </c>
      <c r="AM3666" s="1" t="s">
        <v>312</v>
      </c>
      <c r="AN3666" s="1"/>
      <c r="AO3666" s="1">
        <v>41780</v>
      </c>
      <c r="AP3666" s="1">
        <v>42149</v>
      </c>
      <c r="AQ3666" s="1">
        <v>77.2</v>
      </c>
      <c r="AR3666" s="1"/>
      <c r="AS3666" s="1"/>
      <c r="AT3666" s="1"/>
      <c r="AU3666" s="1" t="s">
        <v>98</v>
      </c>
      <c r="AV3666" s="1" t="s">
        <v>98</v>
      </c>
      <c r="AW3666" s="1" t="s">
        <v>98</v>
      </c>
      <c r="AX3666" s="1" t="s">
        <v>98</v>
      </c>
      <c r="AY3666" s="1" t="s">
        <v>5106</v>
      </c>
      <c r="AZ3666" s="1" t="s">
        <v>5106</v>
      </c>
      <c r="BA3666" s="1"/>
      <c r="BB3666" s="1"/>
      <c r="BC3666" s="1">
        <v>42206</v>
      </c>
      <c r="BD3666" s="1">
        <v>43587</v>
      </c>
      <c r="BE3666" s="1">
        <v>71.1</v>
      </c>
      <c r="BF3666" s="1">
        <v>7.11</v>
      </c>
      <c r="BG3666" s="1"/>
      <c r="BH3666" s="1"/>
      <c r="BI3666" s="1"/>
      <c r="BJ3666" s="1"/>
      <c r="BK3666" s="1" t="s">
        <v>98</v>
      </c>
      <c r="BL3666" s="1" t="s">
        <v>98</v>
      </c>
      <c r="BM3666" s="1" t="s">
        <v>98</v>
      </c>
      <c r="BN3666" s="1" t="s">
        <v>98</v>
      </c>
      <c r="BO3666" s="1" t="s">
        <v>32374</v>
      </c>
      <c r="BP3666" s="1" t="s">
        <v>58337</v>
      </c>
      <c r="BQ3666" s="1" t="s">
        <v>9111</v>
      </c>
      <c r="BR3666" s="1" t="s">
        <v>58338</v>
      </c>
      <c r="BS3666" s="1">
        <v>15</v>
      </c>
      <c r="BT3666" s="1"/>
      <c r="BU3666" s="1" t="str">
        <f>HYPERLINK("https://nconnect.nicmar.ac.in/storage/profile/2021-2023_AP21469_278561.jpg","Download")</f>
        <v>0</v>
      </c>
      <c r="BV3666" s="3"/>
      <c r="BW3666" s="3"/>
    </row>
    <row r="3667" spans="1:75">
      <c r="A3667" s="1" t="s">
        <v>51340</v>
      </c>
      <c r="B3667" s="1" t="s">
        <v>51341</v>
      </c>
      <c r="C3667" s="1" t="s">
        <v>58339</v>
      </c>
      <c r="D3667" s="1" t="s">
        <v>58340</v>
      </c>
      <c r="E3667" s="1"/>
      <c r="F3667" s="1" t="s">
        <v>1320</v>
      </c>
      <c r="G3667" s="1" t="s">
        <v>58341</v>
      </c>
      <c r="H3667" s="1" t="s">
        <v>58342</v>
      </c>
      <c r="I3667" s="1" t="s">
        <v>58343</v>
      </c>
      <c r="J3667" s="1">
        <v>8544341254</v>
      </c>
      <c r="K3667" s="1" t="s">
        <v>84</v>
      </c>
      <c r="L3667" s="1" t="s">
        <v>15877</v>
      </c>
      <c r="M3667" s="1" t="s">
        <v>86</v>
      </c>
      <c r="N3667" s="1" t="s">
        <v>246</v>
      </c>
      <c r="O3667" s="1"/>
      <c r="P3667" s="1" t="s">
        <v>507</v>
      </c>
      <c r="Q3667" s="1" t="s">
        <v>58344</v>
      </c>
      <c r="R3667" s="1" t="s">
        <v>58345</v>
      </c>
      <c r="S3667" s="1">
        <v>9430061153</v>
      </c>
      <c r="T3667" s="1" t="s">
        <v>539</v>
      </c>
      <c r="U3667" s="1" t="s">
        <v>58346</v>
      </c>
      <c r="V3667" s="1">
        <v>9264203691</v>
      </c>
      <c r="W3667" s="1" t="s">
        <v>94</v>
      </c>
      <c r="X3667" s="1" t="s">
        <v>58347</v>
      </c>
      <c r="Y3667" s="1" t="s">
        <v>648</v>
      </c>
      <c r="Z3667" s="1" t="s">
        <v>649</v>
      </c>
      <c r="AA3667" s="1" t="s">
        <v>58347</v>
      </c>
      <c r="AB3667" s="1" t="s">
        <v>648</v>
      </c>
      <c r="AC3667" s="1" t="s">
        <v>649</v>
      </c>
      <c r="AD3667" s="1" t="s">
        <v>98</v>
      </c>
      <c r="AE3667" s="1" t="s">
        <v>98</v>
      </c>
      <c r="AF3667" s="1" t="s">
        <v>58348</v>
      </c>
      <c r="AG3667" s="1" t="s">
        <v>312</v>
      </c>
      <c r="AH3667" s="1" t="s">
        <v>58349</v>
      </c>
      <c r="AI3667" s="1" t="s">
        <v>55124</v>
      </c>
      <c r="AJ3667" s="1">
        <v>89.3</v>
      </c>
      <c r="AK3667" s="1">
        <v>9.4</v>
      </c>
      <c r="AL3667" s="1" t="s">
        <v>58348</v>
      </c>
      <c r="AM3667" s="1" t="s">
        <v>312</v>
      </c>
      <c r="AN3667" s="1"/>
      <c r="AO3667" s="1" t="s">
        <v>57491</v>
      </c>
      <c r="AP3667" s="1" t="s">
        <v>55125</v>
      </c>
      <c r="AQ3667" s="1">
        <v>80.4</v>
      </c>
      <c r="AR3667" s="1"/>
      <c r="AS3667" s="1"/>
      <c r="AT3667" s="1"/>
      <c r="AU3667" s="1" t="s">
        <v>98</v>
      </c>
      <c r="AV3667" s="1" t="s">
        <v>98</v>
      </c>
      <c r="AW3667" s="1" t="s">
        <v>98</v>
      </c>
      <c r="AX3667" s="1" t="s">
        <v>98</v>
      </c>
      <c r="AY3667" s="1" t="s">
        <v>57260</v>
      </c>
      <c r="AZ3667" s="1" t="s">
        <v>57260</v>
      </c>
      <c r="BA3667" s="1"/>
      <c r="BB3667" s="1"/>
      <c r="BC3667" s="1" t="s">
        <v>58350</v>
      </c>
      <c r="BD3667" s="1" t="s">
        <v>52707</v>
      </c>
      <c r="BE3667" s="1">
        <v>82.4</v>
      </c>
      <c r="BF3667" s="1">
        <v>8.24</v>
      </c>
      <c r="BG3667" s="1"/>
      <c r="BH3667" s="1"/>
      <c r="BI3667" s="1"/>
      <c r="BJ3667" s="1"/>
      <c r="BK3667" s="1" t="s">
        <v>98</v>
      </c>
      <c r="BL3667" s="1" t="s">
        <v>98</v>
      </c>
      <c r="BM3667" s="1" t="s">
        <v>98</v>
      </c>
      <c r="BN3667" s="1" t="s">
        <v>98</v>
      </c>
      <c r="BO3667" s="1" t="s">
        <v>1114</v>
      </c>
      <c r="BP3667" s="1"/>
      <c r="BQ3667" s="1"/>
      <c r="BR3667" s="1" t="s">
        <v>58351</v>
      </c>
      <c r="BS3667" s="1">
        <v>14</v>
      </c>
      <c r="BT3667" s="1"/>
      <c r="BU3667" s="1" t="str">
        <f>HYPERLINK("https://nconnect.nicmar.ac.in/storage/profile/2021-2023_AP21470_853961.jpg","Download")</f>
        <v>0</v>
      </c>
      <c r="BV3667" s="3"/>
      <c r="BW3667" s="3"/>
    </row>
    <row r="3668" spans="1:75">
      <c r="A3668" s="1" t="s">
        <v>51340</v>
      </c>
      <c r="B3668" s="1" t="s">
        <v>51341</v>
      </c>
      <c r="C3668" s="1" t="s">
        <v>58352</v>
      </c>
      <c r="D3668" s="1" t="s">
        <v>27135</v>
      </c>
      <c r="E3668" s="1"/>
      <c r="F3668" s="1" t="s">
        <v>28313</v>
      </c>
      <c r="G3668" s="1" t="s">
        <v>58353</v>
      </c>
      <c r="H3668" s="1" t="s">
        <v>58354</v>
      </c>
      <c r="I3668" s="1" t="s">
        <v>58355</v>
      </c>
      <c r="J3668" s="1">
        <v>7340886713</v>
      </c>
      <c r="K3668" s="1" t="s">
        <v>153</v>
      </c>
      <c r="L3668" s="1" t="s">
        <v>58356</v>
      </c>
      <c r="M3668" s="1" t="s">
        <v>86</v>
      </c>
      <c r="N3668" s="1" t="s">
        <v>1385</v>
      </c>
      <c r="O3668" s="1"/>
      <c r="P3668" s="1" t="s">
        <v>455</v>
      </c>
      <c r="Q3668" s="1" t="s">
        <v>58357</v>
      </c>
      <c r="R3668" s="1" t="s">
        <v>58358</v>
      </c>
      <c r="S3668" s="1">
        <v>9816007069</v>
      </c>
      <c r="T3668" s="1" t="s">
        <v>29982</v>
      </c>
      <c r="U3668" s="1" t="s">
        <v>58359</v>
      </c>
      <c r="V3668" s="1">
        <v>9882534523</v>
      </c>
      <c r="W3668" s="1" t="s">
        <v>541</v>
      </c>
      <c r="X3668" s="1" t="s">
        <v>58360</v>
      </c>
      <c r="Y3668" s="1" t="s">
        <v>1059</v>
      </c>
      <c r="Z3668" s="1" t="s">
        <v>544</v>
      </c>
      <c r="AA3668" s="1" t="s">
        <v>98</v>
      </c>
      <c r="AB3668" s="1" t="s">
        <v>1059</v>
      </c>
      <c r="AC3668" s="1" t="s">
        <v>544</v>
      </c>
      <c r="AD3668" s="1" t="s">
        <v>98</v>
      </c>
      <c r="AE3668" s="1" t="s">
        <v>98</v>
      </c>
      <c r="AF3668" s="1" t="s">
        <v>1060</v>
      </c>
      <c r="AG3668" s="1" t="s">
        <v>312</v>
      </c>
      <c r="AH3668" s="1" t="s">
        <v>1971</v>
      </c>
      <c r="AI3668" s="1" t="s">
        <v>136</v>
      </c>
      <c r="AJ3668" s="1">
        <v>91.2</v>
      </c>
      <c r="AK3668" s="1">
        <v>9.6</v>
      </c>
      <c r="AL3668" s="1" t="s">
        <v>1060</v>
      </c>
      <c r="AM3668" s="1" t="s">
        <v>312</v>
      </c>
      <c r="AN3668" s="1"/>
      <c r="AO3668" s="1" t="s">
        <v>284</v>
      </c>
      <c r="AP3668" s="1" t="s">
        <v>573</v>
      </c>
      <c r="AQ3668" s="1">
        <v>74.2</v>
      </c>
      <c r="AR3668" s="1">
        <v>0</v>
      </c>
      <c r="AS3668" s="1"/>
      <c r="AT3668" s="1"/>
      <c r="AU3668" s="1" t="s">
        <v>98</v>
      </c>
      <c r="AV3668" s="1" t="s">
        <v>98</v>
      </c>
      <c r="AW3668" s="1" t="s">
        <v>98</v>
      </c>
      <c r="AX3668" s="1" t="s">
        <v>98</v>
      </c>
      <c r="AY3668" s="1" t="s">
        <v>58361</v>
      </c>
      <c r="AZ3668" s="1" t="s">
        <v>58361</v>
      </c>
      <c r="BA3668" s="1"/>
      <c r="BB3668" s="1"/>
      <c r="BC3668" s="1" t="s">
        <v>230</v>
      </c>
      <c r="BD3668" s="1" t="s">
        <v>549</v>
      </c>
      <c r="BE3668" s="1">
        <v>80.6</v>
      </c>
      <c r="BF3668" s="1">
        <v>8.06</v>
      </c>
      <c r="BG3668" s="1"/>
      <c r="BH3668" s="1"/>
      <c r="BI3668" s="1"/>
      <c r="BJ3668" s="1"/>
      <c r="BK3668" s="1" t="s">
        <v>98</v>
      </c>
      <c r="BL3668" s="1" t="s">
        <v>98</v>
      </c>
      <c r="BM3668" s="1" t="s">
        <v>98</v>
      </c>
      <c r="BN3668" s="1" t="s">
        <v>98</v>
      </c>
      <c r="BO3668" s="1" t="s">
        <v>1114</v>
      </c>
      <c r="BP3668" s="1"/>
      <c r="BQ3668" s="1"/>
      <c r="BR3668" s="1" t="s">
        <v>58362</v>
      </c>
      <c r="BS3668" s="1">
        <v>47</v>
      </c>
      <c r="BT3668" s="1"/>
      <c r="BU3668" s="1" t="str">
        <f>HYPERLINK("https://nconnect.nicmar.ac.in/storage/profile/2021-2023_AP21471_428975.jpg","Download")</f>
        <v>0</v>
      </c>
      <c r="BV3668" s="3"/>
      <c r="BW3668" s="3"/>
    </row>
    <row r="3669" spans="1:75">
      <c r="A3669" s="1" t="s">
        <v>51340</v>
      </c>
      <c r="B3669" s="1" t="s">
        <v>51341</v>
      </c>
      <c r="C3669" s="1" t="s">
        <v>58363</v>
      </c>
      <c r="D3669" s="1" t="s">
        <v>58364</v>
      </c>
      <c r="E3669" s="1" t="s">
        <v>11275</v>
      </c>
      <c r="F3669" s="1" t="s">
        <v>51590</v>
      </c>
      <c r="G3669" s="1" t="s">
        <v>58365</v>
      </c>
      <c r="H3669" s="1" t="s">
        <v>58366</v>
      </c>
      <c r="I3669" s="1" t="s">
        <v>58367</v>
      </c>
      <c r="J3669" s="1">
        <v>7981951503</v>
      </c>
      <c r="K3669" s="1" t="s">
        <v>153</v>
      </c>
      <c r="L3669" s="1" t="s">
        <v>8738</v>
      </c>
      <c r="M3669" s="1" t="s">
        <v>86</v>
      </c>
      <c r="N3669" s="1" t="s">
        <v>1813</v>
      </c>
      <c r="O3669" s="1"/>
      <c r="P3669" s="1" t="s">
        <v>507</v>
      </c>
      <c r="Q3669" s="1" t="s">
        <v>58368</v>
      </c>
      <c r="R3669" s="1" t="s">
        <v>58369</v>
      </c>
      <c r="S3669" s="1">
        <v>9885303929</v>
      </c>
      <c r="T3669" s="1" t="s">
        <v>926</v>
      </c>
      <c r="U3669" s="1" t="s">
        <v>58370</v>
      </c>
      <c r="V3669" s="1">
        <v>9966221796</v>
      </c>
      <c r="W3669" s="1" t="s">
        <v>94</v>
      </c>
      <c r="X3669" s="1" t="s">
        <v>58371</v>
      </c>
      <c r="Y3669" s="1" t="s">
        <v>2632</v>
      </c>
      <c r="Z3669" s="1" t="s">
        <v>461</v>
      </c>
      <c r="AA3669" s="1" t="s">
        <v>58371</v>
      </c>
      <c r="AB3669" s="1" t="s">
        <v>2632</v>
      </c>
      <c r="AC3669" s="1" t="s">
        <v>461</v>
      </c>
      <c r="AD3669" s="1" t="s">
        <v>98</v>
      </c>
      <c r="AE3669" s="1" t="s">
        <v>98</v>
      </c>
      <c r="AF3669" s="1" t="s">
        <v>52294</v>
      </c>
      <c r="AG3669" s="1" t="s">
        <v>312</v>
      </c>
      <c r="AH3669" s="1">
        <v>41737</v>
      </c>
      <c r="AI3669" s="1">
        <v>42152</v>
      </c>
      <c r="AJ3669" s="1">
        <v>89.3</v>
      </c>
      <c r="AK3669" s="1">
        <v>9.4</v>
      </c>
      <c r="AL3669" s="1" t="s">
        <v>58372</v>
      </c>
      <c r="AM3669" s="1" t="s">
        <v>312</v>
      </c>
      <c r="AN3669" s="1"/>
      <c r="AO3669" s="1">
        <v>42464</v>
      </c>
      <c r="AP3669" s="1">
        <v>42841</v>
      </c>
      <c r="AQ3669" s="1">
        <v>93.4</v>
      </c>
      <c r="AR3669" s="1"/>
      <c r="AS3669" s="1"/>
      <c r="AT3669" s="1"/>
      <c r="AU3669" s="1" t="s">
        <v>98</v>
      </c>
      <c r="AV3669" s="1" t="s">
        <v>98</v>
      </c>
      <c r="AW3669" s="1" t="s">
        <v>98</v>
      </c>
      <c r="AX3669" s="1" t="s">
        <v>98</v>
      </c>
      <c r="AY3669" s="1" t="s">
        <v>1823</v>
      </c>
      <c r="AZ3669" s="1" t="s">
        <v>52627</v>
      </c>
      <c r="BA3669" s="1"/>
      <c r="BB3669" s="1"/>
      <c r="BC3669" s="1">
        <v>42948</v>
      </c>
      <c r="BD3669" s="1">
        <v>44418</v>
      </c>
      <c r="BE3669" s="1">
        <v>66.5</v>
      </c>
      <c r="BF3669" s="1">
        <v>7.15</v>
      </c>
      <c r="BG3669" s="1"/>
      <c r="BH3669" s="1"/>
      <c r="BI3669" s="1"/>
      <c r="BJ3669" s="1"/>
      <c r="BK3669" s="1" t="s">
        <v>98</v>
      </c>
      <c r="BL3669" s="1" t="s">
        <v>98</v>
      </c>
      <c r="BM3669" s="1" t="s">
        <v>98</v>
      </c>
      <c r="BN3669" s="1" t="s">
        <v>98</v>
      </c>
      <c r="BO3669" s="1" t="s">
        <v>58373</v>
      </c>
      <c r="BP3669" s="1"/>
      <c r="BQ3669" s="1"/>
      <c r="BR3669" s="1" t="s">
        <v>58374</v>
      </c>
      <c r="BS3669" s="1">
        <v>15</v>
      </c>
      <c r="BT3669" s="1"/>
      <c r="BU3669" s="1" t="str">
        <f>HYPERLINK("https://nconnect.nicmar.ac.in/storage/profile/2021-2023_AP21473_139568.jpeg","Download")</f>
        <v>0</v>
      </c>
      <c r="BV3669" s="3"/>
      <c r="BW3669" s="3"/>
    </row>
    <row r="3670" spans="1:75">
      <c r="A3670" s="1" t="s">
        <v>51340</v>
      </c>
      <c r="B3670" s="1" t="s">
        <v>51341</v>
      </c>
      <c r="C3670" s="1" t="s">
        <v>58375</v>
      </c>
      <c r="D3670" s="1" t="s">
        <v>5430</v>
      </c>
      <c r="E3670" s="1"/>
      <c r="F3670" s="1" t="s">
        <v>58376</v>
      </c>
      <c r="G3670" s="1" t="s">
        <v>58377</v>
      </c>
      <c r="H3670" s="1" t="s">
        <v>58378</v>
      </c>
      <c r="I3670" s="1" t="s">
        <v>58379</v>
      </c>
      <c r="J3670" s="1">
        <v>9490028030</v>
      </c>
      <c r="K3670" s="1" t="s">
        <v>84</v>
      </c>
      <c r="L3670" s="1" t="s">
        <v>58380</v>
      </c>
      <c r="M3670" s="1" t="s">
        <v>86</v>
      </c>
      <c r="N3670" s="1" t="s">
        <v>3083</v>
      </c>
      <c r="O3670" s="1"/>
      <c r="P3670" s="1" t="s">
        <v>455</v>
      </c>
      <c r="Q3670" s="1" t="s">
        <v>58381</v>
      </c>
      <c r="R3670" s="1" t="s">
        <v>58382</v>
      </c>
      <c r="S3670" s="1">
        <v>9030028030</v>
      </c>
      <c r="T3670" s="1" t="s">
        <v>839</v>
      </c>
      <c r="U3670" s="1" t="s">
        <v>58383</v>
      </c>
      <c r="V3670" s="1">
        <v>8919318393</v>
      </c>
      <c r="W3670" s="1" t="s">
        <v>94</v>
      </c>
      <c r="X3670" s="1" t="s">
        <v>58384</v>
      </c>
      <c r="Y3670" s="1" t="s">
        <v>3031</v>
      </c>
      <c r="Z3670" s="1" t="s">
        <v>461</v>
      </c>
      <c r="AA3670" s="1" t="s">
        <v>58384</v>
      </c>
      <c r="AB3670" s="1" t="s">
        <v>3031</v>
      </c>
      <c r="AC3670" s="1" t="s">
        <v>461</v>
      </c>
      <c r="AD3670" s="1" t="s">
        <v>98</v>
      </c>
      <c r="AE3670" s="1" t="s">
        <v>98</v>
      </c>
      <c r="AF3670" s="1" t="s">
        <v>55414</v>
      </c>
      <c r="AG3670" s="1" t="s">
        <v>312</v>
      </c>
      <c r="AH3670" s="1">
        <v>41785</v>
      </c>
      <c r="AI3670" s="1">
        <v>42152</v>
      </c>
      <c r="AJ3670" s="1">
        <v>83.6</v>
      </c>
      <c r="AK3670" s="1">
        <v>8.8</v>
      </c>
      <c r="AL3670" s="1" t="s">
        <v>1603</v>
      </c>
      <c r="AM3670" s="1" t="s">
        <v>312</v>
      </c>
      <c r="AN3670" s="1"/>
      <c r="AO3670" s="1">
        <v>42478</v>
      </c>
      <c r="AP3670" s="1">
        <v>42841</v>
      </c>
      <c r="AQ3670" s="1">
        <v>91.7</v>
      </c>
      <c r="AR3670" s="1"/>
      <c r="AS3670" s="1"/>
      <c r="AT3670" s="1"/>
      <c r="AU3670" s="1" t="s">
        <v>98</v>
      </c>
      <c r="AV3670" s="1" t="s">
        <v>98</v>
      </c>
      <c r="AW3670" s="1" t="s">
        <v>98</v>
      </c>
      <c r="AX3670" s="1" t="s">
        <v>98</v>
      </c>
      <c r="AY3670" s="1" t="s">
        <v>58385</v>
      </c>
      <c r="AZ3670" s="1" t="s">
        <v>53211</v>
      </c>
      <c r="BA3670" s="1"/>
      <c r="BB3670" s="1"/>
      <c r="BC3670" s="1">
        <v>42955</v>
      </c>
      <c r="BD3670" s="1">
        <v>44418</v>
      </c>
      <c r="BE3670" s="1">
        <v>71.17</v>
      </c>
      <c r="BF3670" s="1">
        <v>7.05</v>
      </c>
      <c r="BG3670" s="1"/>
      <c r="BH3670" s="1"/>
      <c r="BI3670" s="1"/>
      <c r="BJ3670" s="1"/>
      <c r="BK3670" s="1" t="s">
        <v>98</v>
      </c>
      <c r="BL3670" s="1" t="s">
        <v>98</v>
      </c>
      <c r="BM3670" s="1" t="s">
        <v>98</v>
      </c>
      <c r="BN3670" s="1" t="s">
        <v>98</v>
      </c>
      <c r="BO3670" s="1" t="s">
        <v>1114</v>
      </c>
      <c r="BP3670" s="1"/>
      <c r="BQ3670" s="1"/>
      <c r="BR3670" s="1" t="s">
        <v>58386</v>
      </c>
      <c r="BS3670" s="1">
        <v>52</v>
      </c>
      <c r="BT3670" s="1"/>
      <c r="BU3670" s="1" t="str">
        <f>HYPERLINK("https://nconnect.nicmar.ac.in/storage/profile/2021-2023_AP21474_267514.jpg","Download")</f>
        <v>0</v>
      </c>
      <c r="BV3670" s="3"/>
      <c r="BW3670" s="3"/>
    </row>
    <row r="3671" spans="1:75">
      <c r="A3671" s="1" t="s">
        <v>51340</v>
      </c>
      <c r="B3671" s="1" t="s">
        <v>51341</v>
      </c>
      <c r="C3671" s="1" t="s">
        <v>58387</v>
      </c>
      <c r="D3671" s="1" t="s">
        <v>58388</v>
      </c>
      <c r="E3671" s="1" t="s">
        <v>1361</v>
      </c>
      <c r="F3671" s="1" t="s">
        <v>7525</v>
      </c>
      <c r="G3671" s="1" t="s">
        <v>58389</v>
      </c>
      <c r="H3671" s="1" t="s">
        <v>58390</v>
      </c>
      <c r="I3671" s="1" t="s">
        <v>58391</v>
      </c>
      <c r="J3671" s="1">
        <v>8606043124</v>
      </c>
      <c r="K3671" s="1" t="s">
        <v>153</v>
      </c>
      <c r="L3671" s="1" t="s">
        <v>9318</v>
      </c>
      <c r="M3671" s="1" t="s">
        <v>86</v>
      </c>
      <c r="N3671" s="1" t="s">
        <v>121</v>
      </c>
      <c r="O3671" s="1"/>
      <c r="P3671" s="1" t="s">
        <v>1028</v>
      </c>
      <c r="Q3671" s="1" t="s">
        <v>58392</v>
      </c>
      <c r="R3671" s="1" t="s">
        <v>58393</v>
      </c>
      <c r="S3671" s="1">
        <v>9447790704</v>
      </c>
      <c r="T3671" s="1" t="s">
        <v>3788</v>
      </c>
      <c r="U3671" s="1" t="s">
        <v>58394</v>
      </c>
      <c r="V3671" s="1">
        <v>9495990704</v>
      </c>
      <c r="W3671" s="1" t="s">
        <v>94</v>
      </c>
      <c r="X3671" s="1" t="s">
        <v>58395</v>
      </c>
      <c r="Y3671" s="1" t="s">
        <v>701</v>
      </c>
      <c r="Z3671" s="1" t="s">
        <v>130</v>
      </c>
      <c r="AA3671" s="1" t="s">
        <v>58395</v>
      </c>
      <c r="AB3671" s="1" t="s">
        <v>701</v>
      </c>
      <c r="AC3671" s="1" t="s">
        <v>130</v>
      </c>
      <c r="AD3671" s="1" t="s">
        <v>98</v>
      </c>
      <c r="AE3671" s="1" t="s">
        <v>98</v>
      </c>
      <c r="AF3671" s="1" t="s">
        <v>58396</v>
      </c>
      <c r="AG3671" s="1" t="s">
        <v>312</v>
      </c>
      <c r="AH3671" s="1">
        <v>41764</v>
      </c>
      <c r="AI3671" s="1">
        <v>42152</v>
      </c>
      <c r="AJ3671" s="1">
        <v>87.4</v>
      </c>
      <c r="AK3671" s="1">
        <v>9.2</v>
      </c>
      <c r="AL3671" s="1" t="s">
        <v>58396</v>
      </c>
      <c r="AM3671" s="1" t="s">
        <v>312</v>
      </c>
      <c r="AN3671" s="1"/>
      <c r="AO3671" s="1">
        <v>42492</v>
      </c>
      <c r="AP3671" s="1">
        <v>42856</v>
      </c>
      <c r="AQ3671" s="1">
        <v>75</v>
      </c>
      <c r="AR3671" s="1"/>
      <c r="AS3671" s="1"/>
      <c r="AT3671" s="1"/>
      <c r="AU3671" s="1" t="s">
        <v>98</v>
      </c>
      <c r="AV3671" s="1" t="s">
        <v>98</v>
      </c>
      <c r="AW3671" s="1" t="s">
        <v>98</v>
      </c>
      <c r="AX3671" s="1" t="s">
        <v>98</v>
      </c>
      <c r="AY3671" s="1" t="s">
        <v>137</v>
      </c>
      <c r="AZ3671" s="1" t="s">
        <v>3753</v>
      </c>
      <c r="BA3671" s="1"/>
      <c r="BB3671" s="1"/>
      <c r="BC3671" s="1">
        <v>41804</v>
      </c>
      <c r="BD3671" s="1">
        <v>44377</v>
      </c>
      <c r="BE3671" s="1">
        <v>69.45</v>
      </c>
      <c r="BF3671" s="1">
        <v>7.32</v>
      </c>
      <c r="BG3671" s="1"/>
      <c r="BH3671" s="1"/>
      <c r="BI3671" s="1"/>
      <c r="BJ3671" s="1"/>
      <c r="BK3671" s="1" t="s">
        <v>98</v>
      </c>
      <c r="BL3671" s="1" t="s">
        <v>98</v>
      </c>
      <c r="BM3671" s="1" t="s">
        <v>98</v>
      </c>
      <c r="BN3671" s="1" t="s">
        <v>98</v>
      </c>
      <c r="BO3671" s="1" t="s">
        <v>58397</v>
      </c>
      <c r="BP3671" s="1"/>
      <c r="BQ3671" s="1"/>
      <c r="BR3671" s="1" t="s">
        <v>58398</v>
      </c>
      <c r="BS3671" s="1">
        <v>220</v>
      </c>
      <c r="BT3671" s="1"/>
      <c r="BU3671" s="1" t="str">
        <f>HYPERLINK("https://nconnect.nicmar.ac.in/storage/profile/2021-2023_AP21475_794312.jpg","Download")</f>
        <v>0</v>
      </c>
      <c r="BV3671" s="3"/>
      <c r="BW3671" s="3"/>
    </row>
    <row r="3672" spans="1:75">
      <c r="A3672" s="1" t="s">
        <v>51340</v>
      </c>
      <c r="B3672" s="1" t="s">
        <v>51341</v>
      </c>
      <c r="C3672" s="1" t="s">
        <v>58399</v>
      </c>
      <c r="D3672" s="1" t="s">
        <v>12018</v>
      </c>
      <c r="E3672" s="1" t="s">
        <v>30047</v>
      </c>
      <c r="F3672" s="1" t="s">
        <v>1872</v>
      </c>
      <c r="G3672" s="1" t="s">
        <v>58400</v>
      </c>
      <c r="H3672" s="1" t="s">
        <v>58401</v>
      </c>
      <c r="I3672" s="1" t="s">
        <v>58402</v>
      </c>
      <c r="J3672" s="1">
        <v>8605573555</v>
      </c>
      <c r="K3672" s="1" t="s">
        <v>84</v>
      </c>
      <c r="L3672" s="1" t="s">
        <v>32746</v>
      </c>
      <c r="M3672" s="1" t="s">
        <v>86</v>
      </c>
      <c r="N3672" s="1" t="s">
        <v>1163</v>
      </c>
      <c r="O3672" s="1"/>
      <c r="P3672" s="1" t="s">
        <v>1028</v>
      </c>
      <c r="Q3672" s="1" t="s">
        <v>58403</v>
      </c>
      <c r="R3672" s="1" t="s">
        <v>30047</v>
      </c>
      <c r="S3672" s="1">
        <v>8530166676</v>
      </c>
      <c r="T3672" s="1" t="s">
        <v>58404</v>
      </c>
      <c r="U3672" s="1" t="s">
        <v>8522</v>
      </c>
      <c r="V3672" s="1">
        <v>9356973440</v>
      </c>
      <c r="W3672" s="1" t="s">
        <v>278</v>
      </c>
      <c r="X3672" s="1" t="s">
        <v>58405</v>
      </c>
      <c r="Y3672" s="1" t="s">
        <v>434</v>
      </c>
      <c r="Z3672" s="1" t="s">
        <v>97</v>
      </c>
      <c r="AA3672" s="1" t="s">
        <v>58406</v>
      </c>
      <c r="AB3672" s="1" t="s">
        <v>196</v>
      </c>
      <c r="AC3672" s="1" t="s">
        <v>97</v>
      </c>
      <c r="AD3672" s="1" t="s">
        <v>98</v>
      </c>
      <c r="AE3672" s="1" t="s">
        <v>98</v>
      </c>
      <c r="AF3672" s="1" t="s">
        <v>58407</v>
      </c>
      <c r="AG3672" s="1" t="s">
        <v>5121</v>
      </c>
      <c r="AH3672" s="1" t="s">
        <v>1213</v>
      </c>
      <c r="AI3672" s="1" t="s">
        <v>101</v>
      </c>
      <c r="AJ3672" s="1">
        <v>88.4</v>
      </c>
      <c r="AK3672" s="1"/>
      <c r="AL3672" s="1" t="s">
        <v>98</v>
      </c>
      <c r="AM3672" s="1"/>
      <c r="AN3672" s="1"/>
      <c r="AO3672" s="1"/>
      <c r="AP3672" s="1"/>
      <c r="AQ3672" s="1"/>
      <c r="AR3672" s="1"/>
      <c r="AS3672" s="1" t="s">
        <v>439</v>
      </c>
      <c r="AT3672" s="1" t="s">
        <v>58408</v>
      </c>
      <c r="AU3672" s="1" t="s">
        <v>5515</v>
      </c>
      <c r="AV3672" s="1" t="s">
        <v>388</v>
      </c>
      <c r="AW3672" s="1">
        <v>66.79</v>
      </c>
      <c r="AX3672" s="1"/>
      <c r="AY3672" s="1" t="s">
        <v>58409</v>
      </c>
      <c r="AZ3672" s="1" t="s">
        <v>55430</v>
      </c>
      <c r="BA3672" s="1"/>
      <c r="BB3672" s="1"/>
      <c r="BC3672" s="1" t="s">
        <v>388</v>
      </c>
      <c r="BD3672" s="1" t="s">
        <v>890</v>
      </c>
      <c r="BE3672" s="1">
        <v>57.11</v>
      </c>
      <c r="BF3672" s="1">
        <v>6.49</v>
      </c>
      <c r="BG3672" s="1"/>
      <c r="BH3672" s="1"/>
      <c r="BI3672" s="1"/>
      <c r="BJ3672" s="1"/>
      <c r="BK3672" s="1"/>
      <c r="BL3672" s="1"/>
      <c r="BM3672" s="1"/>
      <c r="BN3672" s="1"/>
      <c r="BO3672" s="1" t="s">
        <v>58410</v>
      </c>
      <c r="BP3672" s="1"/>
      <c r="BQ3672" s="1"/>
      <c r="BR3672" s="1" t="s">
        <v>58411</v>
      </c>
      <c r="BS3672" s="1">
        <v>9</v>
      </c>
      <c r="BT3672" s="1"/>
      <c r="BU3672" s="1" t="str">
        <f>HYPERLINK("https://nconnect.nicmar.ac.in/storage/profile/2021-2023_AP21476_463758.jpg","Download")</f>
        <v>0</v>
      </c>
      <c r="BV3672" s="3"/>
      <c r="BW3672" s="3"/>
    </row>
    <row r="3673" spans="1:75">
      <c r="A3673" s="1" t="s">
        <v>51340</v>
      </c>
      <c r="B3673" s="1" t="s">
        <v>51341</v>
      </c>
      <c r="C3673" s="1" t="s">
        <v>58412</v>
      </c>
      <c r="D3673" s="1" t="s">
        <v>58413</v>
      </c>
      <c r="E3673" s="1"/>
      <c r="F3673" s="1" t="s">
        <v>27396</v>
      </c>
      <c r="G3673" s="1" t="s">
        <v>58414</v>
      </c>
      <c r="H3673" s="1" t="s">
        <v>58415</v>
      </c>
      <c r="I3673" s="1" t="s">
        <v>58416</v>
      </c>
      <c r="J3673" s="1">
        <v>8109342157</v>
      </c>
      <c r="K3673" s="1" t="s">
        <v>84</v>
      </c>
      <c r="L3673" s="1" t="s">
        <v>33722</v>
      </c>
      <c r="M3673" s="1" t="s">
        <v>86</v>
      </c>
      <c r="N3673" s="1" t="s">
        <v>87</v>
      </c>
      <c r="O3673" s="1"/>
      <c r="P3673" s="1" t="s">
        <v>507</v>
      </c>
      <c r="Q3673" s="1" t="s">
        <v>58417</v>
      </c>
      <c r="R3673" s="1" t="s">
        <v>58418</v>
      </c>
      <c r="S3673" s="1">
        <v>9407281966</v>
      </c>
      <c r="T3673" s="1" t="s">
        <v>539</v>
      </c>
      <c r="U3673" s="1" t="s">
        <v>58419</v>
      </c>
      <c r="V3673" s="1">
        <v>9424446833</v>
      </c>
      <c r="W3673" s="1" t="s">
        <v>94</v>
      </c>
      <c r="X3673" s="1" t="s">
        <v>58420</v>
      </c>
      <c r="Y3673" s="1" t="s">
        <v>27556</v>
      </c>
      <c r="Z3673" s="1" t="s">
        <v>3419</v>
      </c>
      <c r="AA3673" s="1" t="s">
        <v>58420</v>
      </c>
      <c r="AB3673" s="1" t="s">
        <v>7949</v>
      </c>
      <c r="AC3673" s="1" t="s">
        <v>3419</v>
      </c>
      <c r="AD3673" s="1" t="s">
        <v>98</v>
      </c>
      <c r="AE3673" s="1" t="s">
        <v>98</v>
      </c>
      <c r="AF3673" s="1" t="s">
        <v>58421</v>
      </c>
      <c r="AG3673" s="1" t="s">
        <v>312</v>
      </c>
      <c r="AH3673" s="1" t="s">
        <v>58422</v>
      </c>
      <c r="AI3673" s="1" t="s">
        <v>55004</v>
      </c>
      <c r="AJ3673" s="1">
        <v>58.9</v>
      </c>
      <c r="AK3673" s="1">
        <v>6.2</v>
      </c>
      <c r="AL3673" s="1" t="s">
        <v>58423</v>
      </c>
      <c r="AM3673" s="1" t="s">
        <v>312</v>
      </c>
      <c r="AN3673" s="1"/>
      <c r="AO3673" s="1" t="s">
        <v>58424</v>
      </c>
      <c r="AP3673" s="1" t="s">
        <v>58425</v>
      </c>
      <c r="AQ3673" s="1">
        <v>71.6</v>
      </c>
      <c r="AR3673" s="1"/>
      <c r="AS3673" s="1"/>
      <c r="AT3673" s="1"/>
      <c r="AU3673" s="1" t="s">
        <v>98</v>
      </c>
      <c r="AV3673" s="1" t="s">
        <v>98</v>
      </c>
      <c r="AW3673" s="1" t="s">
        <v>98</v>
      </c>
      <c r="AX3673" s="1" t="s">
        <v>98</v>
      </c>
      <c r="AY3673" s="1" t="s">
        <v>5224</v>
      </c>
      <c r="AZ3673" s="1" t="s">
        <v>58426</v>
      </c>
      <c r="BA3673" s="1"/>
      <c r="BB3673" s="1"/>
      <c r="BC3673" s="1" t="s">
        <v>58427</v>
      </c>
      <c r="BD3673" s="1" t="s">
        <v>58428</v>
      </c>
      <c r="BE3673" s="1">
        <v>72.7</v>
      </c>
      <c r="BF3673" s="1">
        <v>7.27</v>
      </c>
      <c r="BG3673" s="1"/>
      <c r="BH3673" s="1"/>
      <c r="BI3673" s="1"/>
      <c r="BJ3673" s="1"/>
      <c r="BK3673" s="1" t="s">
        <v>98</v>
      </c>
      <c r="BL3673" s="1" t="s">
        <v>98</v>
      </c>
      <c r="BM3673" s="1" t="s">
        <v>98</v>
      </c>
      <c r="BN3673" s="1" t="s">
        <v>98</v>
      </c>
      <c r="BO3673" s="1" t="s">
        <v>1114</v>
      </c>
      <c r="BP3673" s="1"/>
      <c r="BQ3673" s="1"/>
      <c r="BR3673" s="1" t="s">
        <v>58429</v>
      </c>
      <c r="BS3673" s="1">
        <v>38</v>
      </c>
      <c r="BT3673" s="1"/>
      <c r="BU3673" s="1" t="str">
        <f>HYPERLINK("https://nconnect.nicmar.ac.in/storage/profile/2021-2023_AP21477_594721.jpg","Download")</f>
        <v>0</v>
      </c>
      <c r="BV3673" s="3"/>
      <c r="BW3673" s="3"/>
    </row>
    <row r="3674" spans="1:75">
      <c r="A3674" s="1" t="s">
        <v>51340</v>
      </c>
      <c r="B3674" s="1" t="s">
        <v>51341</v>
      </c>
      <c r="C3674" s="1" t="s">
        <v>58430</v>
      </c>
      <c r="D3674" s="1" t="s">
        <v>20089</v>
      </c>
      <c r="E3674" s="1"/>
      <c r="F3674" s="1" t="s">
        <v>7760</v>
      </c>
      <c r="G3674" s="1" t="s">
        <v>58431</v>
      </c>
      <c r="H3674" s="1" t="s">
        <v>58432</v>
      </c>
      <c r="I3674" s="1" t="s">
        <v>58433</v>
      </c>
      <c r="J3674" s="1">
        <v>9965030721</v>
      </c>
      <c r="K3674" s="1" t="s">
        <v>84</v>
      </c>
      <c r="L3674" s="1" t="s">
        <v>42161</v>
      </c>
      <c r="M3674" s="1" t="s">
        <v>86</v>
      </c>
      <c r="N3674" s="1" t="s">
        <v>58434</v>
      </c>
      <c r="O3674" s="1"/>
      <c r="P3674" s="1" t="s">
        <v>507</v>
      </c>
      <c r="Q3674" s="1" t="s">
        <v>58435</v>
      </c>
      <c r="R3674" s="1" t="s">
        <v>58436</v>
      </c>
      <c r="S3674" s="1">
        <v>9865135353</v>
      </c>
      <c r="T3674" s="1" t="s">
        <v>58437</v>
      </c>
      <c r="U3674" s="1" t="s">
        <v>58438</v>
      </c>
      <c r="V3674" s="1">
        <v>9842935359</v>
      </c>
      <c r="W3674" s="1" t="s">
        <v>94</v>
      </c>
      <c r="X3674" s="1" t="s">
        <v>58439</v>
      </c>
      <c r="Y3674" s="1" t="s">
        <v>822</v>
      </c>
      <c r="Z3674" s="1" t="s">
        <v>570</v>
      </c>
      <c r="AA3674" s="1" t="s">
        <v>58439</v>
      </c>
      <c r="AB3674" s="1" t="s">
        <v>822</v>
      </c>
      <c r="AC3674" s="1" t="s">
        <v>570</v>
      </c>
      <c r="AD3674" s="1" t="s">
        <v>98</v>
      </c>
      <c r="AE3674" s="1" t="s">
        <v>98</v>
      </c>
      <c r="AF3674" s="1" t="s">
        <v>58440</v>
      </c>
      <c r="AG3674" s="1" t="s">
        <v>312</v>
      </c>
      <c r="AH3674" s="1">
        <v>41791</v>
      </c>
      <c r="AI3674" s="1">
        <v>42152</v>
      </c>
      <c r="AJ3674" s="1">
        <v>81.7</v>
      </c>
      <c r="AK3674" s="1">
        <v>8.6</v>
      </c>
      <c r="AL3674" s="1" t="s">
        <v>7284</v>
      </c>
      <c r="AM3674" s="1" t="s">
        <v>312</v>
      </c>
      <c r="AN3674" s="1"/>
      <c r="AO3674" s="1">
        <v>42535</v>
      </c>
      <c r="AP3674" s="1">
        <v>42883</v>
      </c>
      <c r="AQ3674" s="1">
        <v>78.4</v>
      </c>
      <c r="AR3674" s="1"/>
      <c r="AS3674" s="1"/>
      <c r="AT3674" s="1"/>
      <c r="AU3674" s="1" t="s">
        <v>98</v>
      </c>
      <c r="AV3674" s="1" t="s">
        <v>98</v>
      </c>
      <c r="AW3674" s="1" t="s">
        <v>98</v>
      </c>
      <c r="AX3674" s="1" t="s">
        <v>98</v>
      </c>
      <c r="AY3674" s="1" t="s">
        <v>576</v>
      </c>
      <c r="AZ3674" s="1" t="s">
        <v>17162</v>
      </c>
      <c r="BA3674" s="1"/>
      <c r="BB3674" s="1"/>
      <c r="BC3674" s="1">
        <v>42954</v>
      </c>
      <c r="BD3674" s="1">
        <v>44316</v>
      </c>
      <c r="BE3674" s="1">
        <v>83.1</v>
      </c>
      <c r="BF3674" s="1">
        <v>8.31</v>
      </c>
      <c r="BG3674" s="1"/>
      <c r="BH3674" s="1"/>
      <c r="BI3674" s="1"/>
      <c r="BJ3674" s="1"/>
      <c r="BK3674" s="1" t="s">
        <v>98</v>
      </c>
      <c r="BL3674" s="1" t="s">
        <v>98</v>
      </c>
      <c r="BM3674" s="1" t="s">
        <v>98</v>
      </c>
      <c r="BN3674" s="1" t="s">
        <v>98</v>
      </c>
      <c r="BO3674" s="1" t="s">
        <v>58441</v>
      </c>
      <c r="BP3674" s="1"/>
      <c r="BQ3674" s="1"/>
      <c r="BR3674" s="1" t="s">
        <v>58442</v>
      </c>
      <c r="BS3674" s="1">
        <v>16</v>
      </c>
      <c r="BT3674" s="1"/>
      <c r="BU3674" s="1" t="str">
        <f>HYPERLINK("https://nconnect.nicmar.ac.in/storage/profile/2021-2023_AP21478_154682.jpg","Download")</f>
        <v>0</v>
      </c>
      <c r="BV3674" s="3"/>
      <c r="BW3674" s="3"/>
    </row>
    <row r="3675" spans="1:75">
      <c r="A3675" s="1" t="s">
        <v>51340</v>
      </c>
      <c r="B3675" s="1" t="s">
        <v>51341</v>
      </c>
      <c r="C3675" s="1" t="s">
        <v>58443</v>
      </c>
      <c r="D3675" s="1" t="s">
        <v>3042</v>
      </c>
      <c r="E3675" s="1" t="s">
        <v>31718</v>
      </c>
      <c r="F3675" s="1" t="s">
        <v>5467</v>
      </c>
      <c r="G3675" s="1" t="s">
        <v>58444</v>
      </c>
      <c r="H3675" s="1" t="s">
        <v>58445</v>
      </c>
      <c r="I3675" s="1" t="s">
        <v>58446</v>
      </c>
      <c r="J3675" s="1">
        <v>9420613596</v>
      </c>
      <c r="K3675" s="1" t="s">
        <v>84</v>
      </c>
      <c r="L3675" s="1" t="s">
        <v>58447</v>
      </c>
      <c r="M3675" s="1" t="s">
        <v>86</v>
      </c>
      <c r="N3675" s="1" t="s">
        <v>2174</v>
      </c>
      <c r="O3675" s="1"/>
      <c r="P3675" s="1" t="s">
        <v>5904</v>
      </c>
      <c r="Q3675" s="1" t="s">
        <v>58448</v>
      </c>
      <c r="R3675" s="1" t="s">
        <v>58449</v>
      </c>
      <c r="S3675" s="1">
        <v>7588059076</v>
      </c>
      <c r="T3675" s="1" t="s">
        <v>539</v>
      </c>
      <c r="U3675" s="1" t="s">
        <v>58450</v>
      </c>
      <c r="V3675" s="1">
        <v>8329552075</v>
      </c>
      <c r="W3675" s="1" t="s">
        <v>539</v>
      </c>
      <c r="X3675" s="1" t="s">
        <v>58451</v>
      </c>
      <c r="Y3675" s="1" t="s">
        <v>5181</v>
      </c>
      <c r="Z3675" s="1" t="s">
        <v>97</v>
      </c>
      <c r="AA3675" s="1" t="s">
        <v>58452</v>
      </c>
      <c r="AB3675" s="1" t="s">
        <v>58453</v>
      </c>
      <c r="AC3675" s="1" t="s">
        <v>97</v>
      </c>
      <c r="AD3675" s="1" t="s">
        <v>98</v>
      </c>
      <c r="AE3675" s="1" t="s">
        <v>98</v>
      </c>
      <c r="AF3675" s="1" t="s">
        <v>58454</v>
      </c>
      <c r="AG3675" s="1" t="s">
        <v>2745</v>
      </c>
      <c r="AH3675" s="1">
        <v>41075</v>
      </c>
      <c r="AI3675" s="1">
        <v>41409</v>
      </c>
      <c r="AJ3675" s="1">
        <v>85.2</v>
      </c>
      <c r="AK3675" s="1" t="s">
        <v>98</v>
      </c>
      <c r="AL3675" s="1" t="s">
        <v>58455</v>
      </c>
      <c r="AM3675" s="1" t="s">
        <v>58456</v>
      </c>
      <c r="AN3675" s="1"/>
      <c r="AO3675" s="1">
        <v>41805</v>
      </c>
      <c r="AP3675" s="1">
        <v>42139</v>
      </c>
      <c r="AQ3675" s="1">
        <v>56.46</v>
      </c>
      <c r="AR3675" s="1" t="s">
        <v>98</v>
      </c>
      <c r="AS3675" s="1" t="s">
        <v>439</v>
      </c>
      <c r="AT3675" s="1" t="s">
        <v>58457</v>
      </c>
      <c r="AU3675" s="1">
        <v>42170</v>
      </c>
      <c r="AV3675" s="1">
        <v>42894</v>
      </c>
      <c r="AW3675" s="1">
        <v>65.7</v>
      </c>
      <c r="AX3675" s="1" t="s">
        <v>98</v>
      </c>
      <c r="AY3675" s="1" t="s">
        <v>366</v>
      </c>
      <c r="AZ3675" s="1" t="s">
        <v>32772</v>
      </c>
      <c r="BA3675" s="1"/>
      <c r="BB3675" s="1"/>
      <c r="BC3675" s="1">
        <v>42976</v>
      </c>
      <c r="BD3675" s="1">
        <v>44146</v>
      </c>
      <c r="BE3675" s="1">
        <v>59.05</v>
      </c>
      <c r="BF3675" s="1">
        <v>6.71</v>
      </c>
      <c r="BG3675" s="1" t="s">
        <v>98</v>
      </c>
      <c r="BH3675" s="1"/>
      <c r="BI3675" s="1"/>
      <c r="BJ3675" s="1"/>
      <c r="BK3675" s="1" t="s">
        <v>98</v>
      </c>
      <c r="BL3675" s="1" t="s">
        <v>98</v>
      </c>
      <c r="BM3675" s="1" t="s">
        <v>98</v>
      </c>
      <c r="BN3675" s="1" t="s">
        <v>98</v>
      </c>
      <c r="BO3675" s="1"/>
      <c r="BP3675" s="1"/>
      <c r="BQ3675" s="1"/>
      <c r="BR3675" s="1" t="s">
        <v>58458</v>
      </c>
      <c r="BS3675" s="1">
        <v>7</v>
      </c>
      <c r="BT3675" s="1"/>
      <c r="BU3675" s="1" t="str">
        <f>HYPERLINK("https://nconnect.nicmar.ac.in/storage/profile/2021-2023_AP21479_186479.jpeg","Download")</f>
        <v>0</v>
      </c>
      <c r="BV3675" s="3"/>
      <c r="BW3675" s="3"/>
    </row>
    <row r="3676" spans="1:75">
      <c r="A3676" s="1" t="s">
        <v>51340</v>
      </c>
      <c r="B3676" s="1" t="s">
        <v>51341</v>
      </c>
      <c r="C3676" s="1" t="s">
        <v>58459</v>
      </c>
      <c r="D3676" s="1" t="s">
        <v>35160</v>
      </c>
      <c r="E3676" s="1" t="s">
        <v>11111</v>
      </c>
      <c r="F3676" s="1" t="s">
        <v>58460</v>
      </c>
      <c r="G3676" s="1" t="s">
        <v>58461</v>
      </c>
      <c r="H3676" s="1" t="s">
        <v>58462</v>
      </c>
      <c r="I3676" s="1" t="s">
        <v>58463</v>
      </c>
      <c r="J3676" s="1">
        <v>7743994550</v>
      </c>
      <c r="K3676" s="1" t="s">
        <v>84</v>
      </c>
      <c r="L3676" s="1" t="s">
        <v>30995</v>
      </c>
      <c r="M3676" s="1" t="s">
        <v>86</v>
      </c>
      <c r="N3676" s="1" t="s">
        <v>1163</v>
      </c>
      <c r="O3676" s="1"/>
      <c r="P3676" s="1" t="s">
        <v>507</v>
      </c>
      <c r="Q3676" s="1" t="s">
        <v>58464</v>
      </c>
      <c r="R3676" s="1" t="s">
        <v>58465</v>
      </c>
      <c r="S3676" s="1">
        <v>9822364741</v>
      </c>
      <c r="T3676" s="1" t="s">
        <v>1552</v>
      </c>
      <c r="U3676" s="1" t="s">
        <v>58466</v>
      </c>
      <c r="V3676" s="1">
        <v>9850372821</v>
      </c>
      <c r="W3676" s="1" t="s">
        <v>1552</v>
      </c>
      <c r="X3676" s="1" t="s">
        <v>58467</v>
      </c>
      <c r="Y3676" s="1" t="s">
        <v>410</v>
      </c>
      <c r="Z3676" s="1" t="s">
        <v>97</v>
      </c>
      <c r="AA3676" s="1" t="s">
        <v>58467</v>
      </c>
      <c r="AB3676" s="1" t="s">
        <v>410</v>
      </c>
      <c r="AC3676" s="1" t="s">
        <v>97</v>
      </c>
      <c r="AD3676" s="1" t="s">
        <v>98</v>
      </c>
      <c r="AE3676" s="1" t="s">
        <v>98</v>
      </c>
      <c r="AF3676" s="1" t="s">
        <v>42277</v>
      </c>
      <c r="AG3676" s="1" t="s">
        <v>312</v>
      </c>
      <c r="AH3676" s="1">
        <v>41001</v>
      </c>
      <c r="AI3676" s="1">
        <v>41420</v>
      </c>
      <c r="AJ3676" s="1">
        <v>92.4</v>
      </c>
      <c r="AK3676" s="1">
        <v>10</v>
      </c>
      <c r="AL3676" s="1" t="s">
        <v>58468</v>
      </c>
      <c r="AM3676" s="1" t="s">
        <v>312</v>
      </c>
      <c r="AN3676" s="1"/>
      <c r="AO3676" s="1">
        <v>41730</v>
      </c>
      <c r="AP3676" s="1">
        <v>42149</v>
      </c>
      <c r="AQ3676" s="1">
        <v>71.4</v>
      </c>
      <c r="AR3676" s="1">
        <v>0</v>
      </c>
      <c r="AS3676" s="1"/>
      <c r="AT3676" s="1"/>
      <c r="AU3676" s="1" t="s">
        <v>98</v>
      </c>
      <c r="AV3676" s="1" t="s">
        <v>98</v>
      </c>
      <c r="AW3676" s="1" t="s">
        <v>98</v>
      </c>
      <c r="AX3676" s="1" t="s">
        <v>98</v>
      </c>
      <c r="AY3676" s="1" t="s">
        <v>997</v>
      </c>
      <c r="AZ3676" s="1" t="s">
        <v>11287</v>
      </c>
      <c r="BA3676" s="1"/>
      <c r="BB3676" s="1"/>
      <c r="BC3676" s="1">
        <v>42226</v>
      </c>
      <c r="BD3676" s="1">
        <v>44418</v>
      </c>
      <c r="BE3676" s="1">
        <v>64.4</v>
      </c>
      <c r="BF3676" s="1">
        <v>7.19</v>
      </c>
      <c r="BG3676" s="1"/>
      <c r="BH3676" s="1"/>
      <c r="BI3676" s="1"/>
      <c r="BJ3676" s="1"/>
      <c r="BK3676" s="1" t="s">
        <v>98</v>
      </c>
      <c r="BL3676" s="1" t="s">
        <v>98</v>
      </c>
      <c r="BM3676" s="1" t="s">
        <v>98</v>
      </c>
      <c r="BN3676" s="1" t="s">
        <v>98</v>
      </c>
      <c r="BO3676" s="1" t="s">
        <v>58469</v>
      </c>
      <c r="BP3676" s="1"/>
      <c r="BQ3676" s="1"/>
      <c r="BR3676" s="1" t="s">
        <v>58470</v>
      </c>
      <c r="BS3676" s="1">
        <v>57</v>
      </c>
      <c r="BT3676" s="1"/>
      <c r="BU3676" s="1" t="str">
        <f>HYPERLINK("https://nconnect.nicmar.ac.in/storage/profile/2021-2023_AP21480_164832.jpg","Download")</f>
        <v>0</v>
      </c>
      <c r="BV3676" s="3"/>
      <c r="BW3676" s="3"/>
    </row>
    <row r="3677" spans="1:75">
      <c r="A3677" s="1" t="s">
        <v>51340</v>
      </c>
      <c r="B3677" s="1" t="s">
        <v>51341</v>
      </c>
      <c r="C3677" s="1" t="s">
        <v>58471</v>
      </c>
      <c r="D3677" s="1" t="s">
        <v>58472</v>
      </c>
      <c r="E3677" s="1"/>
      <c r="F3677" s="1" t="s">
        <v>13236</v>
      </c>
      <c r="G3677" s="1" t="s">
        <v>58473</v>
      </c>
      <c r="H3677" s="1" t="s">
        <v>58474</v>
      </c>
      <c r="I3677" s="1" t="s">
        <v>58475</v>
      </c>
      <c r="J3677" s="1">
        <v>8978209001</v>
      </c>
      <c r="K3677" s="1" t="s">
        <v>84</v>
      </c>
      <c r="L3677" s="1" t="s">
        <v>25911</v>
      </c>
      <c r="M3677" s="1" t="s">
        <v>86</v>
      </c>
      <c r="N3677" s="1" t="s">
        <v>58476</v>
      </c>
      <c r="O3677" s="1"/>
      <c r="P3677" s="1" t="s">
        <v>455</v>
      </c>
      <c r="Q3677" s="1" t="s">
        <v>58477</v>
      </c>
      <c r="R3677" s="1" t="s">
        <v>58478</v>
      </c>
      <c r="S3677" s="1">
        <v>9177918844</v>
      </c>
      <c r="T3677" s="1" t="s">
        <v>3396</v>
      </c>
      <c r="U3677" s="1" t="s">
        <v>58479</v>
      </c>
      <c r="V3677" s="1">
        <v>7675953594</v>
      </c>
      <c r="W3677" s="1" t="s">
        <v>94</v>
      </c>
      <c r="X3677" s="1" t="s">
        <v>58480</v>
      </c>
      <c r="Y3677" s="1"/>
      <c r="Z3677" s="1" t="s">
        <v>281</v>
      </c>
      <c r="AA3677" s="1" t="s">
        <v>58481</v>
      </c>
      <c r="AB3677" s="1"/>
      <c r="AC3677" s="1" t="s">
        <v>281</v>
      </c>
      <c r="AD3677" s="1" t="s">
        <v>98</v>
      </c>
      <c r="AE3677" s="1" t="s">
        <v>98</v>
      </c>
      <c r="AF3677" s="1" t="s">
        <v>2653</v>
      </c>
      <c r="AG3677" s="1" t="s">
        <v>312</v>
      </c>
      <c r="AH3677" s="1">
        <v>41799</v>
      </c>
      <c r="AI3677" s="1">
        <v>42152</v>
      </c>
      <c r="AJ3677" s="1">
        <v>81.7</v>
      </c>
      <c r="AK3677" s="1">
        <v>8.6</v>
      </c>
      <c r="AL3677" s="1" t="s">
        <v>58482</v>
      </c>
      <c r="AM3677" s="1" t="s">
        <v>312</v>
      </c>
      <c r="AN3677" s="1"/>
      <c r="AO3677" s="1">
        <v>42527</v>
      </c>
      <c r="AP3677" s="1">
        <v>42838</v>
      </c>
      <c r="AQ3677" s="1">
        <v>76.4</v>
      </c>
      <c r="AR3677" s="1"/>
      <c r="AS3677" s="1"/>
      <c r="AT3677" s="1"/>
      <c r="AU3677" s="1" t="s">
        <v>98</v>
      </c>
      <c r="AV3677" s="1" t="s">
        <v>98</v>
      </c>
      <c r="AW3677" s="1" t="s">
        <v>98</v>
      </c>
      <c r="AX3677" s="1" t="s">
        <v>98</v>
      </c>
      <c r="AY3677" s="1" t="s">
        <v>58483</v>
      </c>
      <c r="AZ3677" s="1" t="s">
        <v>58484</v>
      </c>
      <c r="BA3677" s="1"/>
      <c r="BB3677" s="1"/>
      <c r="BC3677" s="1">
        <v>42940</v>
      </c>
      <c r="BD3677" s="1">
        <v>44397</v>
      </c>
      <c r="BE3677" s="1">
        <v>75.52</v>
      </c>
      <c r="BF3677" s="1">
        <v>7.95</v>
      </c>
      <c r="BG3677" s="1"/>
      <c r="BH3677" s="1"/>
      <c r="BI3677" s="1"/>
      <c r="BJ3677" s="1"/>
      <c r="BK3677" s="1" t="s">
        <v>98</v>
      </c>
      <c r="BL3677" s="1" t="s">
        <v>98</v>
      </c>
      <c r="BM3677" s="1" t="s">
        <v>98</v>
      </c>
      <c r="BN3677" s="1" t="s">
        <v>98</v>
      </c>
      <c r="BO3677" s="1" t="s">
        <v>16194</v>
      </c>
      <c r="BP3677" s="1"/>
      <c r="BQ3677" s="1"/>
      <c r="BR3677" s="1" t="s">
        <v>58485</v>
      </c>
      <c r="BS3677" s="1">
        <v>9</v>
      </c>
      <c r="BT3677" s="1"/>
      <c r="BU3677" s="1" t="str">
        <f>HYPERLINK("https://nconnect.nicmar.ac.in/storage/profile/2021-2023_AP21481_792468.jpg","Download")</f>
        <v>0</v>
      </c>
      <c r="BV3677" s="3"/>
      <c r="BW3677" s="3"/>
    </row>
    <row r="3678" spans="1:75">
      <c r="A3678" s="1" t="s">
        <v>51340</v>
      </c>
      <c r="B3678" s="1" t="s">
        <v>51341</v>
      </c>
      <c r="C3678" s="1" t="s">
        <v>58486</v>
      </c>
      <c r="D3678" s="1" t="s">
        <v>21094</v>
      </c>
      <c r="E3678" s="1" t="s">
        <v>116</v>
      </c>
      <c r="F3678" s="1" t="s">
        <v>58487</v>
      </c>
      <c r="G3678" s="1" t="s">
        <v>58488</v>
      </c>
      <c r="H3678" s="1" t="s">
        <v>58489</v>
      </c>
      <c r="I3678" s="1" t="s">
        <v>58490</v>
      </c>
      <c r="J3678" s="1">
        <v>9446207366</v>
      </c>
      <c r="K3678" s="1" t="s">
        <v>84</v>
      </c>
      <c r="L3678" s="1" t="s">
        <v>58491</v>
      </c>
      <c r="M3678" s="1" t="s">
        <v>86</v>
      </c>
      <c r="N3678" s="1" t="s">
        <v>58492</v>
      </c>
      <c r="O3678" s="1"/>
      <c r="P3678" s="1" t="s">
        <v>1028</v>
      </c>
      <c r="Q3678" s="1" t="s">
        <v>58493</v>
      </c>
      <c r="R3678" s="1" t="s">
        <v>58494</v>
      </c>
      <c r="S3678" s="1">
        <v>9447139366</v>
      </c>
      <c r="T3678" s="1" t="s">
        <v>58495</v>
      </c>
      <c r="U3678" s="1" t="s">
        <v>58496</v>
      </c>
      <c r="V3678" s="1">
        <v>9446459366</v>
      </c>
      <c r="W3678" s="1" t="s">
        <v>58497</v>
      </c>
      <c r="X3678" s="1" t="s">
        <v>58498</v>
      </c>
      <c r="Y3678" s="1" t="s">
        <v>3190</v>
      </c>
      <c r="Z3678" s="1" t="s">
        <v>130</v>
      </c>
      <c r="AA3678" s="1" t="s">
        <v>58498</v>
      </c>
      <c r="AB3678" s="1" t="s">
        <v>3190</v>
      </c>
      <c r="AC3678" s="1" t="s">
        <v>130</v>
      </c>
      <c r="AD3678" s="1" t="s">
        <v>98</v>
      </c>
      <c r="AE3678" s="1" t="s">
        <v>98</v>
      </c>
      <c r="AF3678" s="1" t="s">
        <v>43325</v>
      </c>
      <c r="AG3678" s="1" t="s">
        <v>312</v>
      </c>
      <c r="AH3678" s="1">
        <v>41061</v>
      </c>
      <c r="AI3678" s="1">
        <v>41420</v>
      </c>
      <c r="AJ3678" s="1">
        <v>81.7</v>
      </c>
      <c r="AK3678" s="1">
        <v>8.6</v>
      </c>
      <c r="AL3678" s="1" t="s">
        <v>43325</v>
      </c>
      <c r="AM3678" s="1" t="s">
        <v>312</v>
      </c>
      <c r="AN3678" s="1"/>
      <c r="AO3678" s="1">
        <v>41760</v>
      </c>
      <c r="AP3678" s="1">
        <v>42149</v>
      </c>
      <c r="AQ3678" s="1">
        <v>83.8</v>
      </c>
      <c r="AR3678" s="1">
        <v>8.82</v>
      </c>
      <c r="AS3678" s="1"/>
      <c r="AT3678" s="1"/>
      <c r="AU3678" s="1" t="s">
        <v>98</v>
      </c>
      <c r="AV3678" s="1" t="s">
        <v>98</v>
      </c>
      <c r="AW3678" s="1" t="s">
        <v>98</v>
      </c>
      <c r="AX3678" s="1" t="s">
        <v>98</v>
      </c>
      <c r="AY3678" s="1" t="s">
        <v>137</v>
      </c>
      <c r="AZ3678" s="1" t="s">
        <v>42380</v>
      </c>
      <c r="BA3678" s="1"/>
      <c r="BB3678" s="1"/>
      <c r="BC3678" s="1">
        <v>42217</v>
      </c>
      <c r="BD3678" s="1">
        <v>43806</v>
      </c>
      <c r="BE3678" s="1">
        <v>66.95</v>
      </c>
      <c r="BF3678" s="1">
        <v>7.07</v>
      </c>
      <c r="BG3678" s="1"/>
      <c r="BH3678" s="1"/>
      <c r="BI3678" s="1"/>
      <c r="BJ3678" s="1"/>
      <c r="BK3678" s="1" t="s">
        <v>98</v>
      </c>
      <c r="BL3678" s="1" t="s">
        <v>98</v>
      </c>
      <c r="BM3678" s="1" t="s">
        <v>98</v>
      </c>
      <c r="BN3678" s="1" t="s">
        <v>98</v>
      </c>
      <c r="BO3678" s="1" t="s">
        <v>260</v>
      </c>
      <c r="BP3678" s="1" t="s">
        <v>58499</v>
      </c>
      <c r="BQ3678" s="1" t="s">
        <v>1564</v>
      </c>
      <c r="BR3678" s="1" t="s">
        <v>58500</v>
      </c>
      <c r="BS3678" s="1">
        <v>8</v>
      </c>
      <c r="BT3678" s="1"/>
      <c r="BU3678" s="1" t="str">
        <f>HYPERLINK("https://nconnect.nicmar.ac.in/storage/profile/2021-2023_AP21482_719265.jpeg","Download")</f>
        <v>0</v>
      </c>
      <c r="BV3678" s="3"/>
      <c r="BW3678" s="3"/>
    </row>
    <row r="3679" spans="1:75">
      <c r="A3679" s="1" t="s">
        <v>51340</v>
      </c>
      <c r="B3679" s="1" t="s">
        <v>51341</v>
      </c>
      <c r="C3679" s="1" t="s">
        <v>58501</v>
      </c>
      <c r="D3679" s="1" t="s">
        <v>58502</v>
      </c>
      <c r="E3679" s="1" t="s">
        <v>43050</v>
      </c>
      <c r="F3679" s="1" t="s">
        <v>5668</v>
      </c>
      <c r="G3679" s="1" t="s">
        <v>58503</v>
      </c>
      <c r="H3679" s="1" t="s">
        <v>58504</v>
      </c>
      <c r="I3679" s="1" t="s">
        <v>58505</v>
      </c>
      <c r="J3679" s="1">
        <v>9769614865</v>
      </c>
      <c r="K3679" s="1" t="s">
        <v>84</v>
      </c>
      <c r="L3679" s="1" t="s">
        <v>58506</v>
      </c>
      <c r="M3679" s="1" t="s">
        <v>86</v>
      </c>
      <c r="N3679" s="1" t="s">
        <v>1163</v>
      </c>
      <c r="O3679" s="1"/>
      <c r="P3679" s="1" t="s">
        <v>507</v>
      </c>
      <c r="Q3679" s="1" t="s">
        <v>58507</v>
      </c>
      <c r="R3679" s="1" t="s">
        <v>58508</v>
      </c>
      <c r="S3679" s="1">
        <v>8422929697</v>
      </c>
      <c r="T3679" s="1" t="s">
        <v>539</v>
      </c>
      <c r="U3679" s="1" t="s">
        <v>58509</v>
      </c>
      <c r="V3679" s="1">
        <v>8850895633</v>
      </c>
      <c r="W3679" s="1" t="s">
        <v>3461</v>
      </c>
      <c r="X3679" s="1" t="s">
        <v>58510</v>
      </c>
      <c r="Y3679" s="1" t="s">
        <v>44645</v>
      </c>
      <c r="Z3679" s="1" t="s">
        <v>97</v>
      </c>
      <c r="AA3679" s="1" t="s">
        <v>58510</v>
      </c>
      <c r="AB3679" s="1" t="s">
        <v>44645</v>
      </c>
      <c r="AC3679" s="1" t="s">
        <v>97</v>
      </c>
      <c r="AD3679" s="1" t="s">
        <v>98</v>
      </c>
      <c r="AE3679" s="1" t="s">
        <v>98</v>
      </c>
      <c r="AF3679" s="1" t="s">
        <v>26118</v>
      </c>
      <c r="AG3679" s="1" t="s">
        <v>1968</v>
      </c>
      <c r="AH3679" s="1" t="s">
        <v>339</v>
      </c>
      <c r="AI3679" s="1" t="s">
        <v>133</v>
      </c>
      <c r="AJ3679" s="1">
        <v>90.18</v>
      </c>
      <c r="AK3679" s="1"/>
      <c r="AL3679" s="1" t="s">
        <v>58511</v>
      </c>
      <c r="AM3679" s="1" t="s">
        <v>1968</v>
      </c>
      <c r="AN3679" s="1"/>
      <c r="AO3679" s="1" t="s">
        <v>1583</v>
      </c>
      <c r="AP3679" s="1" t="s">
        <v>101</v>
      </c>
      <c r="AQ3679" s="1">
        <v>71.23</v>
      </c>
      <c r="AR3679" s="1"/>
      <c r="AS3679" s="1"/>
      <c r="AT3679" s="1"/>
      <c r="AU3679" s="1" t="s">
        <v>98</v>
      </c>
      <c r="AV3679" s="1" t="s">
        <v>98</v>
      </c>
      <c r="AW3679" s="1"/>
      <c r="AX3679" s="1"/>
      <c r="AY3679" s="1" t="s">
        <v>258</v>
      </c>
      <c r="AZ3679" s="1" t="s">
        <v>58512</v>
      </c>
      <c r="BA3679" s="1"/>
      <c r="BB3679" s="1"/>
      <c r="BC3679" s="1" t="s">
        <v>135</v>
      </c>
      <c r="BD3679" s="1" t="s">
        <v>315</v>
      </c>
      <c r="BE3679" s="1">
        <v>55.31</v>
      </c>
      <c r="BF3679" s="1">
        <v>6.24</v>
      </c>
      <c r="BG3679" s="1"/>
      <c r="BH3679" s="1"/>
      <c r="BI3679" s="1"/>
      <c r="BJ3679" s="1"/>
      <c r="BK3679" s="1" t="s">
        <v>98</v>
      </c>
      <c r="BL3679" s="1" t="s">
        <v>98</v>
      </c>
      <c r="BM3679" s="1" t="s">
        <v>98</v>
      </c>
      <c r="BN3679" s="1" t="s">
        <v>98</v>
      </c>
      <c r="BO3679" s="1" t="s">
        <v>25445</v>
      </c>
      <c r="BP3679" s="1" t="s">
        <v>58513</v>
      </c>
      <c r="BQ3679" s="1" t="s">
        <v>7108</v>
      </c>
      <c r="BR3679" s="1" t="s">
        <v>58514</v>
      </c>
      <c r="BS3679" s="1">
        <v>17</v>
      </c>
      <c r="BT3679" s="1"/>
      <c r="BU3679" s="1" t="str">
        <f>HYPERLINK("https://nconnect.nicmar.ac.in/storage/profile/2021-2023_AP21483_671432.jpg","Download")</f>
        <v>0</v>
      </c>
      <c r="BV3679" s="3"/>
      <c r="BW3679" s="3"/>
    </row>
    <row r="3680" spans="1:75">
      <c r="A3680" s="1" t="s">
        <v>51340</v>
      </c>
      <c r="B3680" s="1" t="s">
        <v>51341</v>
      </c>
      <c r="C3680" s="1" t="s">
        <v>58515</v>
      </c>
      <c r="D3680" s="1" t="s">
        <v>7958</v>
      </c>
      <c r="E3680" s="1" t="s">
        <v>58516</v>
      </c>
      <c r="F3680" s="1" t="s">
        <v>398</v>
      </c>
      <c r="G3680" s="1" t="s">
        <v>58517</v>
      </c>
      <c r="H3680" s="1" t="s">
        <v>58518</v>
      </c>
      <c r="I3680" s="1" t="s">
        <v>58519</v>
      </c>
      <c r="J3680" s="1">
        <v>8600711007</v>
      </c>
      <c r="K3680" s="1" t="s">
        <v>84</v>
      </c>
      <c r="L3680" s="1" t="s">
        <v>27381</v>
      </c>
      <c r="M3680" s="1" t="s">
        <v>86</v>
      </c>
      <c r="N3680" s="1" t="s">
        <v>990</v>
      </c>
      <c r="O3680" s="1"/>
      <c r="P3680" s="1" t="s">
        <v>481</v>
      </c>
      <c r="Q3680" s="1" t="s">
        <v>58520</v>
      </c>
      <c r="R3680" s="1" t="s">
        <v>58521</v>
      </c>
      <c r="S3680" s="1">
        <v>8485867999</v>
      </c>
      <c r="T3680" s="1" t="s">
        <v>2950</v>
      </c>
      <c r="U3680" s="1" t="s">
        <v>58522</v>
      </c>
      <c r="V3680" s="1">
        <v>7558216341</v>
      </c>
      <c r="W3680" s="1" t="s">
        <v>127</v>
      </c>
      <c r="X3680" s="1" t="s">
        <v>58523</v>
      </c>
      <c r="Y3680" s="1" t="s">
        <v>1033</v>
      </c>
      <c r="Z3680" s="1" t="s">
        <v>97</v>
      </c>
      <c r="AA3680" s="1" t="s">
        <v>58523</v>
      </c>
      <c r="AB3680" s="1" t="s">
        <v>1033</v>
      </c>
      <c r="AC3680" s="1" t="s">
        <v>97</v>
      </c>
      <c r="AD3680" s="1" t="s">
        <v>98</v>
      </c>
      <c r="AE3680" s="1" t="s">
        <v>98</v>
      </c>
      <c r="AF3680" s="1" t="s">
        <v>58524</v>
      </c>
      <c r="AG3680" s="1" t="s">
        <v>51712</v>
      </c>
      <c r="AH3680" s="1">
        <v>41791</v>
      </c>
      <c r="AI3680" s="1">
        <v>42094</v>
      </c>
      <c r="AJ3680" s="1">
        <v>91</v>
      </c>
      <c r="AK3680" s="1"/>
      <c r="AL3680" s="1" t="s">
        <v>58525</v>
      </c>
      <c r="AM3680" s="1" t="s">
        <v>51712</v>
      </c>
      <c r="AN3680" s="1"/>
      <c r="AO3680" s="1">
        <v>42186</v>
      </c>
      <c r="AP3680" s="1">
        <v>42794</v>
      </c>
      <c r="AQ3680" s="1">
        <v>71.69</v>
      </c>
      <c r="AR3680" s="1"/>
      <c r="AS3680" s="1"/>
      <c r="AT3680" s="1"/>
      <c r="AU3680" s="1" t="s">
        <v>98</v>
      </c>
      <c r="AV3680" s="1" t="s">
        <v>98</v>
      </c>
      <c r="AW3680" s="1" t="s">
        <v>98</v>
      </c>
      <c r="AX3680" s="1" t="s">
        <v>98</v>
      </c>
      <c r="AY3680" s="1" t="s">
        <v>6925</v>
      </c>
      <c r="AZ3680" s="1" t="s">
        <v>8320</v>
      </c>
      <c r="BA3680" s="1"/>
      <c r="BB3680" s="1"/>
      <c r="BC3680" s="1">
        <v>42948</v>
      </c>
      <c r="BD3680" s="1">
        <v>44439</v>
      </c>
      <c r="BE3680" s="1">
        <v>82.2</v>
      </c>
      <c r="BF3680" s="1">
        <v>8.72</v>
      </c>
      <c r="BG3680" s="1"/>
      <c r="BH3680" s="1"/>
      <c r="BI3680" s="1"/>
      <c r="BJ3680" s="1"/>
      <c r="BK3680" s="1" t="s">
        <v>98</v>
      </c>
      <c r="BL3680" s="1" t="s">
        <v>98</v>
      </c>
      <c r="BM3680" s="1" t="s">
        <v>98</v>
      </c>
      <c r="BN3680" s="1" t="s">
        <v>98</v>
      </c>
      <c r="BO3680" s="1" t="s">
        <v>58526</v>
      </c>
      <c r="BP3680" s="1"/>
      <c r="BQ3680" s="1"/>
      <c r="BR3680" s="1"/>
      <c r="BS3680" s="1">
        <v>-10</v>
      </c>
      <c r="BT3680" s="1"/>
      <c r="BU3680" s="1" t="str">
        <f>HYPERLINK("https://nconnect.nicmar.ac.in/storage/profile/2021-2023_AP21484_541628.jpg","Download")</f>
        <v>0</v>
      </c>
      <c r="BV3680" s="3"/>
      <c r="BW3680" s="3"/>
    </row>
    <row r="3681" spans="1:75">
      <c r="A3681" s="1" t="s">
        <v>51340</v>
      </c>
      <c r="B3681" s="1" t="s">
        <v>51341</v>
      </c>
      <c r="C3681" s="1" t="s">
        <v>58527</v>
      </c>
      <c r="D3681" s="1" t="s">
        <v>7197</v>
      </c>
      <c r="E3681" s="1"/>
      <c r="F3681" s="1" t="s">
        <v>961</v>
      </c>
      <c r="G3681" s="1" t="s">
        <v>58528</v>
      </c>
      <c r="H3681" s="1" t="s">
        <v>58529</v>
      </c>
      <c r="I3681" s="1" t="s">
        <v>58530</v>
      </c>
      <c r="J3681" s="1">
        <v>8107778792</v>
      </c>
      <c r="K3681" s="1" t="s">
        <v>153</v>
      </c>
      <c r="L3681" s="1" t="s">
        <v>58531</v>
      </c>
      <c r="M3681" s="1" t="s">
        <v>86</v>
      </c>
      <c r="N3681" s="1" t="s">
        <v>2969</v>
      </c>
      <c r="O3681" s="1"/>
      <c r="P3681" s="1" t="s">
        <v>1028</v>
      </c>
      <c r="Q3681" s="1" t="s">
        <v>58532</v>
      </c>
      <c r="R3681" s="1" t="s">
        <v>58533</v>
      </c>
      <c r="S3681" s="1">
        <v>9314078563</v>
      </c>
      <c r="T3681" s="1" t="s">
        <v>7822</v>
      </c>
      <c r="U3681" s="1" t="s">
        <v>58534</v>
      </c>
      <c r="V3681" s="1">
        <v>9314296680</v>
      </c>
      <c r="W3681" s="1" t="s">
        <v>94</v>
      </c>
      <c r="X3681" s="1" t="s">
        <v>58535</v>
      </c>
      <c r="Y3681" s="1" t="s">
        <v>8184</v>
      </c>
      <c r="Z3681" s="1" t="s">
        <v>2153</v>
      </c>
      <c r="AA3681" s="1" t="s">
        <v>58535</v>
      </c>
      <c r="AB3681" s="1" t="s">
        <v>8184</v>
      </c>
      <c r="AC3681" s="1" t="s">
        <v>2153</v>
      </c>
      <c r="AD3681" s="1" t="s">
        <v>98</v>
      </c>
      <c r="AE3681" s="1" t="s">
        <v>98</v>
      </c>
      <c r="AF3681" s="1" t="s">
        <v>58536</v>
      </c>
      <c r="AG3681" s="1" t="s">
        <v>312</v>
      </c>
      <c r="AH3681" s="1">
        <v>39540</v>
      </c>
      <c r="AI3681" s="1">
        <v>39959</v>
      </c>
      <c r="AJ3681" s="1">
        <v>89</v>
      </c>
      <c r="AK3681" s="1"/>
      <c r="AL3681" s="1" t="s">
        <v>58537</v>
      </c>
      <c r="AM3681" s="1" t="s">
        <v>312</v>
      </c>
      <c r="AN3681" s="1"/>
      <c r="AO3681" s="1">
        <v>40270</v>
      </c>
      <c r="AP3681" s="1">
        <v>40686</v>
      </c>
      <c r="AQ3681" s="1">
        <v>80.8</v>
      </c>
      <c r="AR3681" s="1"/>
      <c r="AS3681" s="1"/>
      <c r="AT3681" s="1"/>
      <c r="AU3681" s="1" t="s">
        <v>98</v>
      </c>
      <c r="AV3681" s="1" t="s">
        <v>98</v>
      </c>
      <c r="AW3681" s="1" t="s">
        <v>98</v>
      </c>
      <c r="AX3681" s="1" t="s">
        <v>98</v>
      </c>
      <c r="AY3681" s="1" t="s">
        <v>28974</v>
      </c>
      <c r="AZ3681" s="1" t="s">
        <v>54139</v>
      </c>
      <c r="BA3681" s="1"/>
      <c r="BB3681" s="1"/>
      <c r="BC3681" s="1">
        <v>41092</v>
      </c>
      <c r="BD3681" s="1">
        <v>42986</v>
      </c>
      <c r="BE3681" s="1">
        <v>62</v>
      </c>
      <c r="BF3681" s="1"/>
      <c r="BG3681" s="1"/>
      <c r="BH3681" s="1"/>
      <c r="BI3681" s="1"/>
      <c r="BJ3681" s="1"/>
      <c r="BK3681" s="1" t="s">
        <v>98</v>
      </c>
      <c r="BL3681" s="1" t="s">
        <v>98</v>
      </c>
      <c r="BM3681" s="1" t="s">
        <v>98</v>
      </c>
      <c r="BN3681" s="1" t="s">
        <v>98</v>
      </c>
      <c r="BO3681" s="1" t="s">
        <v>58538</v>
      </c>
      <c r="BP3681" s="1" t="s">
        <v>58539</v>
      </c>
      <c r="BQ3681" s="1" t="s">
        <v>44725</v>
      </c>
      <c r="BR3681" s="1" t="s">
        <v>58540</v>
      </c>
      <c r="BS3681" s="1">
        <v>32</v>
      </c>
      <c r="BT3681" s="1"/>
      <c r="BU3681" s="1" t="str">
        <f>HYPERLINK("https://nconnect.nicmar.ac.in/storage/profile/2021-2023_AP21485_954328.jpg","Download")</f>
        <v>0</v>
      </c>
      <c r="BV3681" s="3"/>
      <c r="BW3681" s="3"/>
    </row>
    <row r="3682" spans="1:75">
      <c r="A3682" s="1" t="s">
        <v>51340</v>
      </c>
      <c r="B3682" s="1" t="s">
        <v>51341</v>
      </c>
      <c r="C3682" s="1" t="s">
        <v>58541</v>
      </c>
      <c r="D3682" s="1" t="s">
        <v>58542</v>
      </c>
      <c r="E3682" s="1"/>
      <c r="F3682" s="1" t="s">
        <v>10216</v>
      </c>
      <c r="G3682" s="1" t="s">
        <v>58543</v>
      </c>
      <c r="H3682" s="1" t="s">
        <v>58544</v>
      </c>
      <c r="I3682" s="1" t="s">
        <v>58545</v>
      </c>
      <c r="J3682" s="1">
        <v>9677170072</v>
      </c>
      <c r="K3682" s="1" t="s">
        <v>84</v>
      </c>
      <c r="L3682" s="1" t="s">
        <v>58546</v>
      </c>
      <c r="M3682" s="1" t="s">
        <v>86</v>
      </c>
      <c r="N3682" s="1" t="s">
        <v>2356</v>
      </c>
      <c r="O3682" s="1"/>
      <c r="P3682" s="1" t="s">
        <v>455</v>
      </c>
      <c r="Q3682" s="1" t="s">
        <v>58547</v>
      </c>
      <c r="R3682" s="1" t="s">
        <v>58548</v>
      </c>
      <c r="S3682" s="1">
        <v>9445428470</v>
      </c>
      <c r="T3682" s="1" t="s">
        <v>5027</v>
      </c>
      <c r="U3682" s="1" t="s">
        <v>58549</v>
      </c>
      <c r="V3682" s="1">
        <v>9486139328</v>
      </c>
      <c r="W3682" s="1" t="s">
        <v>5620</v>
      </c>
      <c r="X3682" s="1" t="s">
        <v>58550</v>
      </c>
      <c r="Y3682" s="1" t="s">
        <v>1498</v>
      </c>
      <c r="Z3682" s="1" t="s">
        <v>570</v>
      </c>
      <c r="AA3682" s="1" t="s">
        <v>58550</v>
      </c>
      <c r="AB3682" s="1" t="s">
        <v>1498</v>
      </c>
      <c r="AC3682" s="1" t="s">
        <v>570</v>
      </c>
      <c r="AD3682" s="1" t="s">
        <v>98</v>
      </c>
      <c r="AE3682" s="1" t="s">
        <v>98</v>
      </c>
      <c r="AF3682" s="1" t="s">
        <v>58551</v>
      </c>
      <c r="AG3682" s="1" t="s">
        <v>24204</v>
      </c>
      <c r="AH3682" s="1">
        <v>41075</v>
      </c>
      <c r="AI3682" s="1">
        <v>41425</v>
      </c>
      <c r="AJ3682" s="1">
        <v>96.8</v>
      </c>
      <c r="AK3682" s="1">
        <v>0</v>
      </c>
      <c r="AL3682" s="1" t="s">
        <v>58551</v>
      </c>
      <c r="AM3682" s="1" t="s">
        <v>24204</v>
      </c>
      <c r="AN3682" s="1"/>
      <c r="AO3682" s="1">
        <v>41801</v>
      </c>
      <c r="AP3682" s="1">
        <v>42131</v>
      </c>
      <c r="AQ3682" s="1">
        <v>93.33</v>
      </c>
      <c r="AR3682" s="1">
        <v>0</v>
      </c>
      <c r="AS3682" s="1"/>
      <c r="AT3682" s="1"/>
      <c r="AU3682" s="1" t="s">
        <v>98</v>
      </c>
      <c r="AV3682" s="1" t="s">
        <v>98</v>
      </c>
      <c r="AW3682" s="1" t="s">
        <v>98</v>
      </c>
      <c r="AX3682" s="1" t="s">
        <v>98</v>
      </c>
      <c r="AY3682" s="1" t="s">
        <v>576</v>
      </c>
      <c r="AZ3682" s="1" t="s">
        <v>4251</v>
      </c>
      <c r="BA3682" s="1"/>
      <c r="BB3682" s="1"/>
      <c r="BC3682" s="1">
        <v>42199</v>
      </c>
      <c r="BD3682" s="1">
        <v>43682</v>
      </c>
      <c r="BE3682" s="1">
        <v>69.9</v>
      </c>
      <c r="BF3682" s="1">
        <v>6.99</v>
      </c>
      <c r="BG3682" s="1"/>
      <c r="BH3682" s="1"/>
      <c r="BI3682" s="1"/>
      <c r="BJ3682" s="1"/>
      <c r="BK3682" s="1" t="s">
        <v>98</v>
      </c>
      <c r="BL3682" s="1" t="s">
        <v>98</v>
      </c>
      <c r="BM3682" s="1" t="s">
        <v>98</v>
      </c>
      <c r="BN3682" s="1" t="s">
        <v>98</v>
      </c>
      <c r="BO3682" s="1" t="s">
        <v>1114</v>
      </c>
      <c r="BP3682" s="1" t="s">
        <v>58552</v>
      </c>
      <c r="BQ3682" s="1" t="s">
        <v>4149</v>
      </c>
      <c r="BR3682" s="1" t="s">
        <v>58553</v>
      </c>
      <c r="BS3682" s="1">
        <v>7</v>
      </c>
      <c r="BT3682" s="1"/>
      <c r="BU3682" s="1" t="str">
        <f>HYPERLINK("https://nconnect.nicmar.ac.in/storage/profile/2021-2023_AP21486_918574.jpg","Download")</f>
        <v>0</v>
      </c>
      <c r="BV3682" s="3"/>
      <c r="BW3682" s="3"/>
    </row>
    <row r="3683" spans="1:75">
      <c r="A3683" s="1" t="s">
        <v>51340</v>
      </c>
      <c r="B3683" s="1" t="s">
        <v>51341</v>
      </c>
      <c r="C3683" s="1" t="s">
        <v>58554</v>
      </c>
      <c r="D3683" s="1" t="s">
        <v>58555</v>
      </c>
      <c r="E3683" s="1"/>
      <c r="F3683" s="1" t="s">
        <v>58556</v>
      </c>
      <c r="G3683" s="1" t="s">
        <v>58557</v>
      </c>
      <c r="H3683" s="1" t="s">
        <v>58558</v>
      </c>
      <c r="I3683" s="1" t="s">
        <v>58559</v>
      </c>
      <c r="J3683" s="1">
        <v>7680011499</v>
      </c>
      <c r="K3683" s="1" t="s">
        <v>84</v>
      </c>
      <c r="L3683" s="1" t="s">
        <v>58560</v>
      </c>
      <c r="M3683" s="1" t="s">
        <v>86</v>
      </c>
      <c r="N3683" s="1" t="s">
        <v>1813</v>
      </c>
      <c r="O3683" s="1"/>
      <c r="P3683" s="1" t="s">
        <v>481</v>
      </c>
      <c r="Q3683" s="1" t="s">
        <v>58561</v>
      </c>
      <c r="R3683" s="1" t="s">
        <v>58562</v>
      </c>
      <c r="S3683" s="1">
        <v>9951896789</v>
      </c>
      <c r="T3683" s="1" t="s">
        <v>596</v>
      </c>
      <c r="U3683" s="1" t="s">
        <v>58563</v>
      </c>
      <c r="V3683" s="1">
        <v>9490365551</v>
      </c>
      <c r="W3683" s="1" t="s">
        <v>541</v>
      </c>
      <c r="X3683" s="1" t="s">
        <v>58564</v>
      </c>
      <c r="Y3683" s="1" t="s">
        <v>58565</v>
      </c>
      <c r="Z3683" s="1" t="s">
        <v>281</v>
      </c>
      <c r="AA3683" s="1" t="s">
        <v>58564</v>
      </c>
      <c r="AB3683" s="1" t="s">
        <v>58565</v>
      </c>
      <c r="AC3683" s="1" t="s">
        <v>281</v>
      </c>
      <c r="AD3683" s="1" t="s">
        <v>98</v>
      </c>
      <c r="AE3683" s="1" t="s">
        <v>98</v>
      </c>
      <c r="AF3683" s="1" t="s">
        <v>8353</v>
      </c>
      <c r="AG3683" s="1" t="s">
        <v>1418</v>
      </c>
      <c r="AH3683" s="1" t="s">
        <v>51932</v>
      </c>
      <c r="AI3683" s="1" t="s">
        <v>58566</v>
      </c>
      <c r="AJ3683" s="1">
        <v>93.1</v>
      </c>
      <c r="AK3683" s="1">
        <v>9.8</v>
      </c>
      <c r="AL3683" s="1" t="s">
        <v>1603</v>
      </c>
      <c r="AM3683" s="1" t="s">
        <v>1420</v>
      </c>
      <c r="AN3683" s="1"/>
      <c r="AO3683" s="1" t="s">
        <v>58567</v>
      </c>
      <c r="AP3683" s="1" t="s">
        <v>58568</v>
      </c>
      <c r="AQ3683" s="1">
        <v>93.5</v>
      </c>
      <c r="AR3683" s="1"/>
      <c r="AS3683" s="1"/>
      <c r="AT3683" s="1"/>
      <c r="AU3683" s="1"/>
      <c r="AV3683" s="1"/>
      <c r="AW3683" s="1"/>
      <c r="AX3683" s="1"/>
      <c r="AY3683" s="1" t="s">
        <v>56044</v>
      </c>
      <c r="AZ3683" s="1" t="s">
        <v>56044</v>
      </c>
      <c r="BA3683" s="1"/>
      <c r="BB3683" s="1"/>
      <c r="BC3683" s="1" t="s">
        <v>54159</v>
      </c>
      <c r="BD3683" s="1" t="s">
        <v>58569</v>
      </c>
      <c r="BE3683" s="1">
        <v>73.1</v>
      </c>
      <c r="BF3683" s="1">
        <v>7.31</v>
      </c>
      <c r="BG3683" s="1"/>
      <c r="BH3683" s="1"/>
      <c r="BI3683" s="1"/>
      <c r="BJ3683" s="1"/>
      <c r="BK3683" s="1"/>
      <c r="BL3683" s="1"/>
      <c r="BM3683" s="1"/>
      <c r="BN3683" s="1"/>
      <c r="BO3683" s="1" t="s">
        <v>369</v>
      </c>
      <c r="BP3683" s="1"/>
      <c r="BQ3683" s="1"/>
      <c r="BR3683" s="1" t="s">
        <v>58570</v>
      </c>
      <c r="BS3683" s="1">
        <v>9</v>
      </c>
      <c r="BT3683" s="1"/>
      <c r="BU3683" s="1" t="str">
        <f>HYPERLINK("https://nconnect.nicmar.ac.in/storage/profile/2021-2023_AP21487_643512.jpg","Download")</f>
        <v>0</v>
      </c>
      <c r="BV3683" s="3"/>
      <c r="BW3683" s="3"/>
    </row>
    <row r="3684" spans="1:75">
      <c r="A3684" s="1" t="s">
        <v>51340</v>
      </c>
      <c r="B3684" s="1" t="s">
        <v>51341</v>
      </c>
      <c r="C3684" s="1" t="s">
        <v>58571</v>
      </c>
      <c r="D3684" s="1" t="s">
        <v>58572</v>
      </c>
      <c r="E3684" s="1"/>
      <c r="F3684" s="1" t="s">
        <v>1853</v>
      </c>
      <c r="G3684" s="1" t="s">
        <v>58573</v>
      </c>
      <c r="H3684" s="1" t="s">
        <v>58574</v>
      </c>
      <c r="I3684" s="1" t="s">
        <v>58575</v>
      </c>
      <c r="J3684" s="1">
        <v>9148111415</v>
      </c>
      <c r="K3684" s="1" t="s">
        <v>84</v>
      </c>
      <c r="L3684" s="1" t="s">
        <v>14665</v>
      </c>
      <c r="M3684" s="1" t="s">
        <v>86</v>
      </c>
      <c r="N3684" s="1" t="s">
        <v>11117</v>
      </c>
      <c r="O3684" s="1"/>
      <c r="P3684" s="1" t="s">
        <v>455</v>
      </c>
      <c r="Q3684" s="1" t="s">
        <v>58576</v>
      </c>
      <c r="R3684" s="1" t="s">
        <v>58577</v>
      </c>
      <c r="S3684" s="1">
        <v>9448169797</v>
      </c>
      <c r="T3684" s="1" t="s">
        <v>58578</v>
      </c>
      <c r="U3684" s="1" t="s">
        <v>58579</v>
      </c>
      <c r="V3684" s="1">
        <v>9113909848</v>
      </c>
      <c r="W3684" s="1" t="s">
        <v>94</v>
      </c>
      <c r="X3684" s="1" t="s">
        <v>58580</v>
      </c>
      <c r="Y3684" s="1" t="s">
        <v>6453</v>
      </c>
      <c r="Z3684" s="1" t="s">
        <v>1210</v>
      </c>
      <c r="AA3684" s="1" t="s">
        <v>58580</v>
      </c>
      <c r="AB3684" s="1" t="s">
        <v>6453</v>
      </c>
      <c r="AC3684" s="1" t="s">
        <v>1210</v>
      </c>
      <c r="AD3684" s="1" t="s">
        <v>98</v>
      </c>
      <c r="AE3684" s="1" t="s">
        <v>98</v>
      </c>
      <c r="AF3684" s="1" t="s">
        <v>58581</v>
      </c>
      <c r="AG3684" s="1" t="s">
        <v>775</v>
      </c>
      <c r="AH3684" s="1">
        <v>40756</v>
      </c>
      <c r="AI3684" s="1">
        <v>42152</v>
      </c>
      <c r="AJ3684" s="1">
        <v>83.6</v>
      </c>
      <c r="AK3684" s="1">
        <v>8.8</v>
      </c>
      <c r="AL3684" s="1" t="s">
        <v>58582</v>
      </c>
      <c r="AM3684" s="1" t="s">
        <v>58583</v>
      </c>
      <c r="AN3684" s="1"/>
      <c r="AO3684" s="1">
        <v>42191</v>
      </c>
      <c r="AP3684" s="1">
        <v>42867</v>
      </c>
      <c r="AQ3684" s="1">
        <v>75.33</v>
      </c>
      <c r="AR3684" s="1">
        <v>0</v>
      </c>
      <c r="AS3684" s="1"/>
      <c r="AT3684" s="1"/>
      <c r="AU3684" s="1" t="s">
        <v>98</v>
      </c>
      <c r="AV3684" s="1" t="s">
        <v>98</v>
      </c>
      <c r="AW3684" s="1" t="s">
        <v>98</v>
      </c>
      <c r="AX3684" s="1" t="s">
        <v>98</v>
      </c>
      <c r="AY3684" s="1" t="s">
        <v>731</v>
      </c>
      <c r="AZ3684" s="1" t="s">
        <v>58584</v>
      </c>
      <c r="BA3684" s="1"/>
      <c r="BB3684" s="1"/>
      <c r="BC3684" s="1">
        <v>42948</v>
      </c>
      <c r="BD3684" s="1">
        <v>44440</v>
      </c>
      <c r="BE3684" s="1">
        <v>69.4</v>
      </c>
      <c r="BF3684" s="1">
        <v>7.69</v>
      </c>
      <c r="BG3684" s="1"/>
      <c r="BH3684" s="1"/>
      <c r="BI3684" s="1"/>
      <c r="BJ3684" s="1"/>
      <c r="BK3684" s="1" t="s">
        <v>98</v>
      </c>
      <c r="BL3684" s="1" t="s">
        <v>98</v>
      </c>
      <c r="BM3684" s="1" t="s">
        <v>98</v>
      </c>
      <c r="BN3684" s="1" t="s">
        <v>98</v>
      </c>
      <c r="BO3684" s="1" t="s">
        <v>58585</v>
      </c>
      <c r="BP3684" s="1"/>
      <c r="BQ3684" s="1"/>
      <c r="BR3684" s="1" t="s">
        <v>58586</v>
      </c>
      <c r="BS3684" s="1">
        <v>8</v>
      </c>
      <c r="BT3684" s="1"/>
      <c r="BU3684" s="1" t="str">
        <f>HYPERLINK("https://nconnect.nicmar.ac.in/storage/profile/2021-2023_AP21488_865379.jpg","Download")</f>
        <v>0</v>
      </c>
      <c r="BV3684" s="3"/>
      <c r="BW3684" s="3"/>
    </row>
    <row r="3685" spans="1:75">
      <c r="A3685" s="1" t="s">
        <v>51340</v>
      </c>
      <c r="B3685" s="1" t="s">
        <v>51341</v>
      </c>
      <c r="C3685" s="1" t="s">
        <v>58587</v>
      </c>
      <c r="D3685" s="1" t="s">
        <v>29122</v>
      </c>
      <c r="E3685" s="1" t="s">
        <v>58588</v>
      </c>
      <c r="F3685" s="1" t="s">
        <v>4708</v>
      </c>
      <c r="G3685" s="1" t="s">
        <v>58589</v>
      </c>
      <c r="H3685" s="1" t="s">
        <v>58590</v>
      </c>
      <c r="I3685" s="1" t="s">
        <v>58591</v>
      </c>
      <c r="J3685" s="1">
        <v>8698944598</v>
      </c>
      <c r="K3685" s="1" t="s">
        <v>84</v>
      </c>
      <c r="L3685" s="1" t="s">
        <v>25452</v>
      </c>
      <c r="M3685" s="1" t="s">
        <v>86</v>
      </c>
      <c r="N3685" s="1" t="s">
        <v>12459</v>
      </c>
      <c r="O3685" s="1"/>
      <c r="P3685" s="1" t="s">
        <v>507</v>
      </c>
      <c r="Q3685" s="1" t="s">
        <v>58592</v>
      </c>
      <c r="R3685" s="1" t="s">
        <v>58593</v>
      </c>
      <c r="S3685" s="1">
        <v>9225110166</v>
      </c>
      <c r="T3685" s="1" t="s">
        <v>4486</v>
      </c>
      <c r="U3685" s="1" t="s">
        <v>58594</v>
      </c>
      <c r="V3685" s="1">
        <v>9226988068</v>
      </c>
      <c r="W3685" s="1" t="s">
        <v>161</v>
      </c>
      <c r="X3685" s="1" t="s">
        <v>58595</v>
      </c>
      <c r="Y3685" s="1" t="s">
        <v>910</v>
      </c>
      <c r="Z3685" s="1" t="s">
        <v>97</v>
      </c>
      <c r="AA3685" s="1" t="s">
        <v>58595</v>
      </c>
      <c r="AB3685" s="1" t="s">
        <v>910</v>
      </c>
      <c r="AC3685" s="1" t="s">
        <v>97</v>
      </c>
      <c r="AD3685" s="1" t="s">
        <v>98</v>
      </c>
      <c r="AE3685" s="1" t="s">
        <v>98</v>
      </c>
      <c r="AF3685" s="1" t="s">
        <v>58596</v>
      </c>
      <c r="AG3685" s="1" t="s">
        <v>58597</v>
      </c>
      <c r="AH3685" s="1">
        <v>41805</v>
      </c>
      <c r="AI3685" s="1">
        <v>42163</v>
      </c>
      <c r="AJ3685" s="1">
        <v>81.2</v>
      </c>
      <c r="AK3685" s="1"/>
      <c r="AL3685" s="1" t="s">
        <v>58598</v>
      </c>
      <c r="AM3685" s="1" t="s">
        <v>58597</v>
      </c>
      <c r="AN3685" s="1"/>
      <c r="AO3685" s="1">
        <v>42536</v>
      </c>
      <c r="AP3685" s="1">
        <v>42885</v>
      </c>
      <c r="AQ3685" s="1">
        <v>69.38</v>
      </c>
      <c r="AR3685" s="1"/>
      <c r="AS3685" s="1"/>
      <c r="AT3685" s="1"/>
      <c r="AU3685" s="1" t="s">
        <v>98</v>
      </c>
      <c r="AV3685" s="1" t="s">
        <v>98</v>
      </c>
      <c r="AW3685" s="1" t="s">
        <v>98</v>
      </c>
      <c r="AX3685" s="1" t="s">
        <v>98</v>
      </c>
      <c r="AY3685" s="1" t="s">
        <v>366</v>
      </c>
      <c r="AZ3685" s="1" t="s">
        <v>58599</v>
      </c>
      <c r="BA3685" s="1"/>
      <c r="BB3685" s="1"/>
      <c r="BC3685" s="1">
        <v>42944</v>
      </c>
      <c r="BD3685" s="1">
        <v>44408</v>
      </c>
      <c r="BE3685" s="1">
        <v>68.55</v>
      </c>
      <c r="BF3685" s="1">
        <v>7.79</v>
      </c>
      <c r="BG3685" s="1"/>
      <c r="BH3685" s="1"/>
      <c r="BI3685" s="1"/>
      <c r="BJ3685" s="1"/>
      <c r="BK3685" s="1" t="s">
        <v>98</v>
      </c>
      <c r="BL3685" s="1" t="s">
        <v>98</v>
      </c>
      <c r="BM3685" s="1" t="s">
        <v>98</v>
      </c>
      <c r="BN3685" s="1" t="s">
        <v>98</v>
      </c>
      <c r="BO3685" s="1" t="s">
        <v>369</v>
      </c>
      <c r="BP3685" s="1"/>
      <c r="BQ3685" s="1"/>
      <c r="BR3685" s="1" t="s">
        <v>58600</v>
      </c>
      <c r="BS3685" s="1">
        <v>10</v>
      </c>
      <c r="BT3685" s="1"/>
      <c r="BU3685" s="1" t="str">
        <f>HYPERLINK("https://nconnect.nicmar.ac.in/storage/profile/2021-2023_AP21489_476921.jpeg","Download")</f>
        <v>0</v>
      </c>
      <c r="BV3685" s="3"/>
      <c r="BW3685" s="3"/>
    </row>
    <row r="3686" spans="1:75">
      <c r="A3686" s="1" t="s">
        <v>51340</v>
      </c>
      <c r="B3686" s="1" t="s">
        <v>51341</v>
      </c>
      <c r="C3686" s="1" t="s">
        <v>58601</v>
      </c>
      <c r="D3686" s="1" t="s">
        <v>58602</v>
      </c>
      <c r="E3686" s="1"/>
      <c r="F3686" s="1" t="s">
        <v>3546</v>
      </c>
      <c r="G3686" s="1" t="s">
        <v>58603</v>
      </c>
      <c r="H3686" s="1" t="s">
        <v>58604</v>
      </c>
      <c r="I3686" s="1" t="s">
        <v>58605</v>
      </c>
      <c r="J3686" s="1">
        <v>8982044553</v>
      </c>
      <c r="K3686" s="1" t="s">
        <v>84</v>
      </c>
      <c r="L3686" s="1" t="s">
        <v>58606</v>
      </c>
      <c r="M3686" s="1" t="s">
        <v>86</v>
      </c>
      <c r="N3686" s="1" t="s">
        <v>27171</v>
      </c>
      <c r="O3686" s="1"/>
      <c r="P3686" s="1" t="s">
        <v>507</v>
      </c>
      <c r="Q3686" s="1" t="s">
        <v>58607</v>
      </c>
      <c r="R3686" s="1" t="s">
        <v>58608</v>
      </c>
      <c r="S3686" s="1">
        <v>7999410078</v>
      </c>
      <c r="T3686" s="1" t="s">
        <v>58609</v>
      </c>
      <c r="U3686" s="1" t="s">
        <v>58610</v>
      </c>
      <c r="V3686" s="1">
        <v>9425647049</v>
      </c>
      <c r="W3686" s="1" t="s">
        <v>58611</v>
      </c>
      <c r="X3686" s="1" t="s">
        <v>58612</v>
      </c>
      <c r="Y3686" s="1" t="s">
        <v>7949</v>
      </c>
      <c r="Z3686" s="1" t="s">
        <v>3419</v>
      </c>
      <c r="AA3686" s="1" t="s">
        <v>58613</v>
      </c>
      <c r="AB3686" s="1" t="s">
        <v>196</v>
      </c>
      <c r="AC3686" s="1" t="s">
        <v>97</v>
      </c>
      <c r="AD3686" s="1" t="s">
        <v>98</v>
      </c>
      <c r="AE3686" s="1" t="s">
        <v>98</v>
      </c>
      <c r="AF3686" s="1" t="s">
        <v>8282</v>
      </c>
      <c r="AG3686" s="1" t="s">
        <v>312</v>
      </c>
      <c r="AH3686" s="1">
        <v>40462</v>
      </c>
      <c r="AI3686" s="1">
        <v>40695</v>
      </c>
      <c r="AJ3686" s="1">
        <v>53.2</v>
      </c>
      <c r="AK3686" s="1">
        <v>5.6</v>
      </c>
      <c r="AL3686" s="1" t="s">
        <v>58614</v>
      </c>
      <c r="AM3686" s="1" t="s">
        <v>53920</v>
      </c>
      <c r="AN3686" s="1"/>
      <c r="AO3686" s="1">
        <v>41278</v>
      </c>
      <c r="AP3686" s="1">
        <v>41774</v>
      </c>
      <c r="AQ3686" s="1">
        <v>56.4</v>
      </c>
      <c r="AR3686" s="1" t="s">
        <v>98</v>
      </c>
      <c r="AS3686" s="1" t="s">
        <v>98</v>
      </c>
      <c r="AT3686" s="1" t="s">
        <v>98</v>
      </c>
      <c r="AU3686" s="1" t="s">
        <v>98</v>
      </c>
      <c r="AV3686" s="1" t="s">
        <v>98</v>
      </c>
      <c r="AW3686" s="1" t="s">
        <v>98</v>
      </c>
      <c r="AX3686" s="1" t="s">
        <v>98</v>
      </c>
      <c r="AY3686" s="1" t="s">
        <v>58615</v>
      </c>
      <c r="AZ3686" s="1" t="s">
        <v>58616</v>
      </c>
      <c r="BA3686" s="1"/>
      <c r="BB3686" s="1"/>
      <c r="BC3686" s="1">
        <v>41830</v>
      </c>
      <c r="BD3686" s="1">
        <v>43288</v>
      </c>
      <c r="BE3686" s="1">
        <v>64.6</v>
      </c>
      <c r="BF3686" s="1">
        <v>6.46</v>
      </c>
      <c r="BG3686" s="1" t="s">
        <v>98</v>
      </c>
      <c r="BH3686" s="1"/>
      <c r="BI3686" s="1"/>
      <c r="BJ3686" s="1"/>
      <c r="BK3686" s="1" t="s">
        <v>98</v>
      </c>
      <c r="BL3686" s="1" t="s">
        <v>98</v>
      </c>
      <c r="BM3686" s="1" t="s">
        <v>98</v>
      </c>
      <c r="BN3686" s="1" t="s">
        <v>98</v>
      </c>
      <c r="BO3686" s="1"/>
      <c r="BP3686" s="1"/>
      <c r="BQ3686" s="1"/>
      <c r="BR3686" s="1" t="s">
        <v>58617</v>
      </c>
      <c r="BS3686" s="1">
        <v>7</v>
      </c>
      <c r="BT3686" s="1"/>
      <c r="BU3686" s="1" t="str">
        <f>HYPERLINK("https://nconnect.nicmar.ac.in/storage/profile/2021-2023_AP21490_918763.jpg","Download")</f>
        <v>0</v>
      </c>
      <c r="BV3686" s="3"/>
      <c r="BW3686" s="3"/>
    </row>
    <row r="3687" spans="1:75">
      <c r="A3687" s="1" t="s">
        <v>51340</v>
      </c>
      <c r="B3687" s="1" t="s">
        <v>51341</v>
      </c>
      <c r="C3687" s="1" t="s">
        <v>58618</v>
      </c>
      <c r="D3687" s="1" t="s">
        <v>1319</v>
      </c>
      <c r="E3687" s="1" t="s">
        <v>1612</v>
      </c>
      <c r="F3687" s="1" t="s">
        <v>58619</v>
      </c>
      <c r="G3687" s="1" t="s">
        <v>58620</v>
      </c>
      <c r="H3687" s="1" t="s">
        <v>58621</v>
      </c>
      <c r="I3687" s="1" t="s">
        <v>58622</v>
      </c>
      <c r="J3687" s="1">
        <v>9834973848</v>
      </c>
      <c r="K3687" s="1" t="s">
        <v>84</v>
      </c>
      <c r="L3687" s="1" t="s">
        <v>58623</v>
      </c>
      <c r="M3687" s="1" t="s">
        <v>86</v>
      </c>
      <c r="N3687" s="1" t="s">
        <v>6884</v>
      </c>
      <c r="O3687" s="1"/>
      <c r="P3687" s="1" t="s">
        <v>481</v>
      </c>
      <c r="Q3687" s="1" t="s">
        <v>58624</v>
      </c>
      <c r="R3687" s="1" t="s">
        <v>58625</v>
      </c>
      <c r="S3687" s="1">
        <v>9420205133</v>
      </c>
      <c r="T3687" s="1" t="s">
        <v>2950</v>
      </c>
      <c r="U3687" s="1" t="s">
        <v>58626</v>
      </c>
      <c r="V3687" s="1">
        <v>9421132416</v>
      </c>
      <c r="W3687" s="1" t="s">
        <v>8634</v>
      </c>
      <c r="X3687" s="1" t="s">
        <v>58627</v>
      </c>
      <c r="Y3687" s="1" t="s">
        <v>6128</v>
      </c>
      <c r="Z3687" s="1" t="s">
        <v>97</v>
      </c>
      <c r="AA3687" s="1" t="s">
        <v>58628</v>
      </c>
      <c r="AB3687" s="1" t="s">
        <v>196</v>
      </c>
      <c r="AC3687" s="1" t="s">
        <v>97</v>
      </c>
      <c r="AD3687" s="1" t="s">
        <v>98</v>
      </c>
      <c r="AE3687" s="1" t="s">
        <v>98</v>
      </c>
      <c r="AF3687" s="1" t="s">
        <v>58629</v>
      </c>
      <c r="AG3687" s="1" t="s">
        <v>58630</v>
      </c>
      <c r="AH3687" s="1" t="s">
        <v>101</v>
      </c>
      <c r="AI3687" s="1" t="s">
        <v>136</v>
      </c>
      <c r="AJ3687" s="1">
        <v>89.2</v>
      </c>
      <c r="AK3687" s="1"/>
      <c r="AL3687" s="1" t="s">
        <v>58631</v>
      </c>
      <c r="AM3687" s="1" t="s">
        <v>58630</v>
      </c>
      <c r="AN3687" s="1"/>
      <c r="AO3687" s="1" t="s">
        <v>139</v>
      </c>
      <c r="AP3687" s="1" t="s">
        <v>200</v>
      </c>
      <c r="AQ3687" s="1">
        <v>73.23</v>
      </c>
      <c r="AR3687" s="1"/>
      <c r="AS3687" s="1"/>
      <c r="AT3687" s="1"/>
      <c r="AU3687" s="1" t="s">
        <v>98</v>
      </c>
      <c r="AV3687" s="1" t="s">
        <v>98</v>
      </c>
      <c r="AW3687" s="1"/>
      <c r="AX3687" s="1"/>
      <c r="AY3687" s="1" t="s">
        <v>1887</v>
      </c>
      <c r="AZ3687" s="1" t="s">
        <v>58632</v>
      </c>
      <c r="BA3687" s="1"/>
      <c r="BB3687" s="1"/>
      <c r="BC3687" s="1" t="s">
        <v>230</v>
      </c>
      <c r="BD3687" s="1" t="s">
        <v>845</v>
      </c>
      <c r="BE3687" s="1">
        <v>71.6</v>
      </c>
      <c r="BF3687" s="1">
        <v>7.66</v>
      </c>
      <c r="BG3687" s="1"/>
      <c r="BH3687" s="1"/>
      <c r="BI3687" s="1"/>
      <c r="BJ3687" s="1"/>
      <c r="BK3687" s="1" t="s">
        <v>98</v>
      </c>
      <c r="BL3687" s="1" t="s">
        <v>98</v>
      </c>
      <c r="BM3687" s="1" t="s">
        <v>98</v>
      </c>
      <c r="BN3687" s="1" t="s">
        <v>98</v>
      </c>
      <c r="BO3687" s="1" t="s">
        <v>58633</v>
      </c>
      <c r="BP3687" s="1"/>
      <c r="BQ3687" s="1"/>
      <c r="BR3687" s="1" t="s">
        <v>58634</v>
      </c>
      <c r="BS3687" s="1">
        <v>-31</v>
      </c>
      <c r="BT3687" s="1"/>
      <c r="BU3687" s="1" t="str">
        <f>HYPERLINK("https://nconnect.nicmar.ac.in/storage/profile/2021-2023_AP21491_258731.jpg","Download")</f>
        <v>0</v>
      </c>
      <c r="BV3687" s="3"/>
      <c r="BW3687" s="3"/>
    </row>
    <row r="3688" spans="1:75">
      <c r="A3688" s="1" t="s">
        <v>51340</v>
      </c>
      <c r="B3688" s="1" t="s">
        <v>51341</v>
      </c>
      <c r="C3688" s="1" t="s">
        <v>58635</v>
      </c>
      <c r="D3688" s="1" t="s">
        <v>27954</v>
      </c>
      <c r="E3688" s="1" t="s">
        <v>34768</v>
      </c>
      <c r="F3688" s="1" t="s">
        <v>2099</v>
      </c>
      <c r="G3688" s="1" t="s">
        <v>58636</v>
      </c>
      <c r="H3688" s="1" t="s">
        <v>58637</v>
      </c>
      <c r="I3688" s="1" t="s">
        <v>58638</v>
      </c>
      <c r="J3688" s="1">
        <v>7057229093</v>
      </c>
      <c r="K3688" s="1" t="s">
        <v>84</v>
      </c>
      <c r="L3688" s="1" t="s">
        <v>22377</v>
      </c>
      <c r="M3688" s="1" t="s">
        <v>86</v>
      </c>
      <c r="N3688" s="1" t="s">
        <v>1163</v>
      </c>
      <c r="O3688" s="1"/>
      <c r="P3688" s="1" t="s">
        <v>670</v>
      </c>
      <c r="Q3688" s="1" t="s">
        <v>58639</v>
      </c>
      <c r="R3688" s="1" t="s">
        <v>58640</v>
      </c>
      <c r="S3688" s="1">
        <v>9423271934</v>
      </c>
      <c r="T3688" s="1" t="s">
        <v>127</v>
      </c>
      <c r="U3688" s="1" t="s">
        <v>58641</v>
      </c>
      <c r="V3688" s="1">
        <v>9011143834</v>
      </c>
      <c r="W3688" s="1" t="s">
        <v>94</v>
      </c>
      <c r="X3688" s="1" t="s">
        <v>58642</v>
      </c>
      <c r="Y3688" s="1" t="s">
        <v>58643</v>
      </c>
      <c r="Z3688" s="1" t="s">
        <v>97</v>
      </c>
      <c r="AA3688" s="1" t="s">
        <v>58642</v>
      </c>
      <c r="AB3688" s="1" t="s">
        <v>58643</v>
      </c>
      <c r="AC3688" s="1" t="s">
        <v>97</v>
      </c>
      <c r="AD3688" s="1" t="s">
        <v>98</v>
      </c>
      <c r="AE3688" s="1" t="s">
        <v>98</v>
      </c>
      <c r="AF3688" s="1" t="s">
        <v>58644</v>
      </c>
      <c r="AG3688" s="1" t="s">
        <v>1968</v>
      </c>
      <c r="AH3688" s="1">
        <v>41432</v>
      </c>
      <c r="AI3688" s="1">
        <v>41807</v>
      </c>
      <c r="AJ3688" s="1">
        <v>90.2</v>
      </c>
      <c r="AK3688" s="1"/>
      <c r="AL3688" s="1" t="s">
        <v>58645</v>
      </c>
      <c r="AM3688" s="1" t="s">
        <v>1968</v>
      </c>
      <c r="AN3688" s="1"/>
      <c r="AO3688" s="1">
        <v>42073</v>
      </c>
      <c r="AP3688" s="1">
        <v>42415</v>
      </c>
      <c r="AQ3688" s="1">
        <v>74.15</v>
      </c>
      <c r="AR3688" s="1"/>
      <c r="AS3688" s="1"/>
      <c r="AT3688" s="1"/>
      <c r="AU3688" s="1" t="s">
        <v>98</v>
      </c>
      <c r="AV3688" s="1" t="s">
        <v>98</v>
      </c>
      <c r="AW3688" s="1" t="s">
        <v>98</v>
      </c>
      <c r="AX3688" s="1" t="s">
        <v>98</v>
      </c>
      <c r="AY3688" s="1" t="s">
        <v>366</v>
      </c>
      <c r="AZ3688" s="1" t="s">
        <v>58646</v>
      </c>
      <c r="BA3688" s="1"/>
      <c r="BB3688" s="1"/>
      <c r="BC3688" s="1">
        <v>42583</v>
      </c>
      <c r="BD3688" s="1">
        <v>44146</v>
      </c>
      <c r="BE3688" s="1">
        <v>58.69</v>
      </c>
      <c r="BF3688" s="1">
        <v>6.67</v>
      </c>
      <c r="BG3688" s="1"/>
      <c r="BH3688" s="1"/>
      <c r="BI3688" s="1"/>
      <c r="BJ3688" s="1"/>
      <c r="BK3688" s="1" t="s">
        <v>98</v>
      </c>
      <c r="BL3688" s="1" t="s">
        <v>98</v>
      </c>
      <c r="BM3688" s="1" t="s">
        <v>98</v>
      </c>
      <c r="BN3688" s="1" t="s">
        <v>98</v>
      </c>
      <c r="BO3688" s="1" t="s">
        <v>369</v>
      </c>
      <c r="BP3688" s="1"/>
      <c r="BQ3688" s="1"/>
      <c r="BR3688" s="1" t="s">
        <v>58647</v>
      </c>
      <c r="BS3688" s="1">
        <v>25</v>
      </c>
      <c r="BT3688" s="1"/>
      <c r="BU3688" s="1" t="str">
        <f>HYPERLINK("https://nconnect.nicmar.ac.in/storage/profile/2021-2023_AP21492_196542.jpg","Download")</f>
        <v>0</v>
      </c>
      <c r="BV3688" s="3"/>
      <c r="BW3688" s="3"/>
    </row>
    <row r="3689" spans="1:75">
      <c r="A3689" s="1" t="s">
        <v>51340</v>
      </c>
      <c r="B3689" s="1" t="s">
        <v>51341</v>
      </c>
      <c r="C3689" s="1" t="s">
        <v>58648</v>
      </c>
      <c r="D3689" s="1" t="s">
        <v>9134</v>
      </c>
      <c r="E3689" s="1"/>
      <c r="F3689" s="1" t="s">
        <v>9986</v>
      </c>
      <c r="G3689" s="1" t="s">
        <v>58649</v>
      </c>
      <c r="H3689" s="1" t="s">
        <v>58650</v>
      </c>
      <c r="I3689" s="1" t="s">
        <v>58651</v>
      </c>
      <c r="J3689" s="1">
        <v>8948041055</v>
      </c>
      <c r="K3689" s="1" t="s">
        <v>84</v>
      </c>
      <c r="L3689" s="1"/>
      <c r="M3689" s="1" t="s">
        <v>86</v>
      </c>
      <c r="N3689" s="1" t="s">
        <v>246</v>
      </c>
      <c r="O3689" s="1"/>
      <c r="P3689" s="1" t="s">
        <v>455</v>
      </c>
      <c r="Q3689" s="1">
        <v>994000000000</v>
      </c>
      <c r="R3689" s="1" t="s">
        <v>58652</v>
      </c>
      <c r="S3689" s="1">
        <v>9816089018</v>
      </c>
      <c r="T3689" s="1" t="s">
        <v>58653</v>
      </c>
      <c r="U3689" s="1" t="s">
        <v>58654</v>
      </c>
      <c r="V3689" s="1">
        <v>9816054495</v>
      </c>
      <c r="W3689" s="1" t="s">
        <v>94</v>
      </c>
      <c r="X3689" s="1" t="s">
        <v>58655</v>
      </c>
      <c r="Y3689" s="1"/>
      <c r="Z3689" s="1"/>
      <c r="AA3689" s="1" t="s">
        <v>98</v>
      </c>
      <c r="AB3689" s="1"/>
      <c r="AC3689" s="1"/>
      <c r="AD3689" s="1" t="s">
        <v>98</v>
      </c>
      <c r="AE3689" s="1" t="s">
        <v>98</v>
      </c>
      <c r="AF3689" s="1" t="s">
        <v>58656</v>
      </c>
      <c r="AG3689" s="1" t="s">
        <v>312</v>
      </c>
      <c r="AH3689" s="1">
        <v>40634</v>
      </c>
      <c r="AI3689" s="1">
        <v>41053</v>
      </c>
      <c r="AJ3689" s="1">
        <v>89.3</v>
      </c>
      <c r="AK3689" s="1">
        <v>9.4</v>
      </c>
      <c r="AL3689" s="1" t="s">
        <v>58657</v>
      </c>
      <c r="AM3689" s="1" t="s">
        <v>312</v>
      </c>
      <c r="AN3689" s="1"/>
      <c r="AO3689" s="1">
        <v>41365</v>
      </c>
      <c r="AP3689" s="1">
        <v>41787</v>
      </c>
      <c r="AQ3689" s="1">
        <v>67.2</v>
      </c>
      <c r="AR3689" s="1" t="s">
        <v>98</v>
      </c>
      <c r="AS3689" s="1" t="s">
        <v>98</v>
      </c>
      <c r="AT3689" s="1" t="s">
        <v>98</v>
      </c>
      <c r="AU3689" s="1" t="s">
        <v>98</v>
      </c>
      <c r="AV3689" s="1" t="s">
        <v>98</v>
      </c>
      <c r="AW3689" s="1" t="s">
        <v>98</v>
      </c>
      <c r="AX3689" s="1" t="s">
        <v>98</v>
      </c>
      <c r="AY3689" s="1" t="s">
        <v>58658</v>
      </c>
      <c r="AZ3689" s="1" t="s">
        <v>58659</v>
      </c>
      <c r="BA3689" s="1"/>
      <c r="BB3689" s="1"/>
      <c r="BC3689" s="1">
        <v>41848</v>
      </c>
      <c r="BD3689" s="1">
        <v>43274</v>
      </c>
      <c r="BE3689" s="1">
        <v>75.68</v>
      </c>
      <c r="BF3689" s="1" t="s">
        <v>98</v>
      </c>
      <c r="BG3689" s="1" t="s">
        <v>98</v>
      </c>
      <c r="BH3689" s="1"/>
      <c r="BI3689" s="1"/>
      <c r="BJ3689" s="1"/>
      <c r="BK3689" s="1" t="s">
        <v>98</v>
      </c>
      <c r="BL3689" s="1" t="s">
        <v>98</v>
      </c>
      <c r="BM3689" s="1" t="s">
        <v>98</v>
      </c>
      <c r="BN3689" s="1" t="s">
        <v>98</v>
      </c>
      <c r="BO3689" s="1"/>
      <c r="BP3689" s="1" t="s">
        <v>58660</v>
      </c>
      <c r="BQ3689" s="1" t="s">
        <v>2326</v>
      </c>
      <c r="BR3689" s="1" t="s">
        <v>58661</v>
      </c>
      <c r="BS3689" s="1">
        <v>18</v>
      </c>
      <c r="BT3689" s="1"/>
      <c r="BU3689" s="1" t="str">
        <f>HYPERLINK("https://nconnect.nicmar.ac.in/storage/profile/2021-2023_AP21493_917425.jpg","Download")</f>
        <v>0</v>
      </c>
      <c r="BV3689" s="3"/>
      <c r="BW3689" s="3"/>
    </row>
    <row r="3690" spans="1:75">
      <c r="A3690" s="1" t="s">
        <v>51340</v>
      </c>
      <c r="B3690" s="1" t="s">
        <v>51341</v>
      </c>
      <c r="C3690" s="1" t="s">
        <v>58662</v>
      </c>
      <c r="D3690" s="1" t="s">
        <v>58663</v>
      </c>
      <c r="E3690" s="1"/>
      <c r="F3690" s="1" t="s">
        <v>58664</v>
      </c>
      <c r="G3690" s="1" t="s">
        <v>58665</v>
      </c>
      <c r="H3690" s="1" t="s">
        <v>58666</v>
      </c>
      <c r="I3690" s="1" t="s">
        <v>58667</v>
      </c>
      <c r="J3690" s="1">
        <v>9830274505</v>
      </c>
      <c r="K3690" s="1" t="s">
        <v>84</v>
      </c>
      <c r="L3690" s="1" t="s">
        <v>58668</v>
      </c>
      <c r="M3690" s="1" t="s">
        <v>86</v>
      </c>
      <c r="N3690" s="1" t="s">
        <v>33137</v>
      </c>
      <c r="O3690" s="1"/>
      <c r="P3690" s="1" t="s">
        <v>481</v>
      </c>
      <c r="Q3690" s="1" t="s">
        <v>58669</v>
      </c>
      <c r="R3690" s="1" t="s">
        <v>58670</v>
      </c>
      <c r="S3690" s="1">
        <v>9830093433</v>
      </c>
      <c r="T3690" s="1" t="s">
        <v>98</v>
      </c>
      <c r="U3690" s="1" t="s">
        <v>58671</v>
      </c>
      <c r="V3690" s="1">
        <v>9830225083</v>
      </c>
      <c r="W3690" s="1" t="s">
        <v>94</v>
      </c>
      <c r="X3690" s="1" t="s">
        <v>58672</v>
      </c>
      <c r="Y3690" s="1" t="s">
        <v>58673</v>
      </c>
      <c r="Z3690" s="1" t="s">
        <v>1234</v>
      </c>
      <c r="AA3690" s="1" t="s">
        <v>98</v>
      </c>
      <c r="AB3690" s="1" t="s">
        <v>58673</v>
      </c>
      <c r="AC3690" s="1" t="s">
        <v>1234</v>
      </c>
      <c r="AD3690" s="1" t="s">
        <v>98</v>
      </c>
      <c r="AE3690" s="1" t="s">
        <v>98</v>
      </c>
      <c r="AF3690" s="1" t="s">
        <v>58674</v>
      </c>
      <c r="AG3690" s="1" t="s">
        <v>312</v>
      </c>
      <c r="AH3690" s="1">
        <v>40270</v>
      </c>
      <c r="AI3690" s="1">
        <v>40664</v>
      </c>
      <c r="AJ3690" s="1">
        <v>79.8</v>
      </c>
      <c r="AK3690" s="1">
        <v>8.4</v>
      </c>
      <c r="AL3690" s="1" t="s">
        <v>98</v>
      </c>
      <c r="AM3690" s="1" t="s">
        <v>98</v>
      </c>
      <c r="AN3690" s="1"/>
      <c r="AO3690" s="1" t="s">
        <v>98</v>
      </c>
      <c r="AP3690" s="1" t="s">
        <v>98</v>
      </c>
      <c r="AQ3690" s="1" t="s">
        <v>98</v>
      </c>
      <c r="AR3690" s="1" t="s">
        <v>98</v>
      </c>
      <c r="AS3690" s="1" t="s">
        <v>439</v>
      </c>
      <c r="AT3690" s="1" t="s">
        <v>58675</v>
      </c>
      <c r="AU3690" s="1">
        <v>40695</v>
      </c>
      <c r="AV3690" s="1">
        <v>41796</v>
      </c>
      <c r="AW3690" s="1">
        <v>68</v>
      </c>
      <c r="AX3690" s="1" t="s">
        <v>98</v>
      </c>
      <c r="AY3690" s="1" t="s">
        <v>32307</v>
      </c>
      <c r="AZ3690" s="1" t="s">
        <v>58676</v>
      </c>
      <c r="BA3690" s="1"/>
      <c r="BB3690" s="1"/>
      <c r="BC3690" s="1">
        <v>41855</v>
      </c>
      <c r="BD3690" s="1">
        <v>43523</v>
      </c>
      <c r="BE3690" s="1">
        <v>57.8</v>
      </c>
      <c r="BF3690" s="1">
        <v>6.53</v>
      </c>
      <c r="BG3690" s="1" t="s">
        <v>98</v>
      </c>
      <c r="BH3690" s="1"/>
      <c r="BI3690" s="1"/>
      <c r="BJ3690" s="1"/>
      <c r="BK3690" s="1" t="s">
        <v>98</v>
      </c>
      <c r="BL3690" s="1" t="s">
        <v>98</v>
      </c>
      <c r="BM3690" s="1" t="s">
        <v>98</v>
      </c>
      <c r="BN3690" s="1" t="s">
        <v>98</v>
      </c>
      <c r="BO3690" s="1"/>
      <c r="BP3690" s="1" t="s">
        <v>58677</v>
      </c>
      <c r="BQ3690" s="1" t="s">
        <v>8010</v>
      </c>
      <c r="BR3690" s="1" t="s">
        <v>58678</v>
      </c>
      <c r="BS3690" s="1">
        <v>10</v>
      </c>
      <c r="BT3690" s="1"/>
      <c r="BU3690" s="1" t="str">
        <f>HYPERLINK("https://nconnect.nicmar.ac.in/storage/profile/2021-2023_AP21494_297618.jpg","Download")</f>
        <v>0</v>
      </c>
      <c r="BV3690" s="3"/>
      <c r="BW3690" s="3"/>
    </row>
    <row r="3691" spans="1:75">
      <c r="A3691" s="1" t="s">
        <v>51340</v>
      </c>
      <c r="B3691" s="1" t="s">
        <v>51341</v>
      </c>
      <c r="C3691" s="1" t="s">
        <v>58679</v>
      </c>
      <c r="D3691" s="1" t="s">
        <v>58680</v>
      </c>
      <c r="E3691" s="1"/>
      <c r="F3691" s="1" t="s">
        <v>6030</v>
      </c>
      <c r="G3691" s="1" t="s">
        <v>58681</v>
      </c>
      <c r="H3691" s="1" t="s">
        <v>58682</v>
      </c>
      <c r="I3691" s="1" t="s">
        <v>58683</v>
      </c>
      <c r="J3691" s="1">
        <v>9717345428</v>
      </c>
      <c r="K3691" s="1" t="s">
        <v>84</v>
      </c>
      <c r="L3691" s="1" t="s">
        <v>58684</v>
      </c>
      <c r="M3691" s="1" t="s">
        <v>86</v>
      </c>
      <c r="N3691" s="1" t="s">
        <v>58685</v>
      </c>
      <c r="O3691" s="1"/>
      <c r="P3691" s="1" t="s">
        <v>455</v>
      </c>
      <c r="Q3691" s="1" t="s">
        <v>58686</v>
      </c>
      <c r="R3691" s="1" t="s">
        <v>58687</v>
      </c>
      <c r="S3691" s="1">
        <v>9811998909</v>
      </c>
      <c r="T3691" s="1" t="s">
        <v>58688</v>
      </c>
      <c r="U3691" s="1" t="s">
        <v>58689</v>
      </c>
      <c r="V3691" s="1">
        <v>9811258731</v>
      </c>
      <c r="W3691" s="1" t="s">
        <v>1552</v>
      </c>
      <c r="X3691" s="1" t="s">
        <v>58690</v>
      </c>
      <c r="Y3691" s="1" t="s">
        <v>1739</v>
      </c>
      <c r="Z3691" s="1" t="s">
        <v>1739</v>
      </c>
      <c r="AA3691" s="1" t="s">
        <v>58690</v>
      </c>
      <c r="AB3691" s="1" t="s">
        <v>1739</v>
      </c>
      <c r="AC3691" s="1" t="s">
        <v>1739</v>
      </c>
      <c r="AD3691" s="1" t="s">
        <v>98</v>
      </c>
      <c r="AE3691" s="1" t="s">
        <v>98</v>
      </c>
      <c r="AF3691" s="1" t="s">
        <v>58691</v>
      </c>
      <c r="AG3691" s="1" t="s">
        <v>52721</v>
      </c>
      <c r="AH3691" s="1">
        <v>39231</v>
      </c>
      <c r="AI3691" s="1">
        <v>39597</v>
      </c>
      <c r="AJ3691" s="1">
        <v>91.4</v>
      </c>
      <c r="AK3691" s="1"/>
      <c r="AL3691" s="1" t="s">
        <v>58692</v>
      </c>
      <c r="AM3691" s="1" t="s">
        <v>52721</v>
      </c>
      <c r="AN3691" s="1"/>
      <c r="AO3691" s="1">
        <v>39954</v>
      </c>
      <c r="AP3691" s="1">
        <v>40319</v>
      </c>
      <c r="AQ3691" s="1">
        <v>73</v>
      </c>
      <c r="AR3691" s="1"/>
      <c r="AS3691" s="1"/>
      <c r="AT3691" s="1"/>
      <c r="AU3691" s="1" t="s">
        <v>98</v>
      </c>
      <c r="AV3691" s="1" t="s">
        <v>98</v>
      </c>
      <c r="AW3691" s="1" t="s">
        <v>98</v>
      </c>
      <c r="AX3691" s="1" t="s">
        <v>98</v>
      </c>
      <c r="AY3691" s="1" t="s">
        <v>8266</v>
      </c>
      <c r="AZ3691" s="1" t="s">
        <v>8267</v>
      </c>
      <c r="BA3691" s="1"/>
      <c r="BB3691" s="1"/>
      <c r="BC3691" s="1">
        <v>40766</v>
      </c>
      <c r="BD3691" s="1">
        <v>43630</v>
      </c>
      <c r="BE3691" s="1">
        <v>60.07</v>
      </c>
      <c r="BF3691" s="1">
        <v>6.07</v>
      </c>
      <c r="BG3691" s="1"/>
      <c r="BH3691" s="1"/>
      <c r="BI3691" s="1"/>
      <c r="BJ3691" s="1"/>
      <c r="BK3691" s="1" t="s">
        <v>98</v>
      </c>
      <c r="BL3691" s="1" t="s">
        <v>98</v>
      </c>
      <c r="BM3691" s="1" t="s">
        <v>98</v>
      </c>
      <c r="BN3691" s="1" t="s">
        <v>98</v>
      </c>
      <c r="BO3691" s="1" t="s">
        <v>369</v>
      </c>
      <c r="BP3691" s="1"/>
      <c r="BQ3691" s="1"/>
      <c r="BR3691" s="1" t="s">
        <v>58693</v>
      </c>
      <c r="BS3691" s="1">
        <v>38</v>
      </c>
      <c r="BT3691" s="1"/>
      <c r="BU3691" s="1" t="str">
        <f>HYPERLINK("https://nconnect.nicmar.ac.in/storage/profile/2021-2023_AP21495_835172.JPG","Download")</f>
        <v>0</v>
      </c>
      <c r="BV3691" s="3"/>
      <c r="BW3691" s="3"/>
    </row>
    <row r="3692" spans="1:75">
      <c r="A3692" s="1" t="s">
        <v>51340</v>
      </c>
      <c r="B3692" s="1" t="s">
        <v>51341</v>
      </c>
      <c r="C3692" s="1" t="s">
        <v>58694</v>
      </c>
      <c r="D3692" s="1" t="s">
        <v>58695</v>
      </c>
      <c r="E3692" s="1"/>
      <c r="F3692" s="1" t="s">
        <v>58696</v>
      </c>
      <c r="G3692" s="1" t="s">
        <v>58697</v>
      </c>
      <c r="H3692" s="1" t="s">
        <v>58698</v>
      </c>
      <c r="I3692" s="1" t="s">
        <v>58699</v>
      </c>
      <c r="J3692" s="1">
        <v>8500237547</v>
      </c>
      <c r="K3692" s="1" t="s">
        <v>84</v>
      </c>
      <c r="L3692" s="1" t="s">
        <v>27817</v>
      </c>
      <c r="M3692" s="1" t="s">
        <v>86</v>
      </c>
      <c r="N3692" s="1" t="s">
        <v>3026</v>
      </c>
      <c r="O3692" s="1"/>
      <c r="P3692" s="1" t="s">
        <v>455</v>
      </c>
      <c r="Q3692" s="1" t="s">
        <v>58700</v>
      </c>
      <c r="R3692" s="1" t="s">
        <v>58701</v>
      </c>
      <c r="S3692" s="1">
        <v>9849125617</v>
      </c>
      <c r="T3692" s="1" t="s">
        <v>839</v>
      </c>
      <c r="U3692" s="1" t="s">
        <v>58702</v>
      </c>
      <c r="V3692" s="1">
        <v>7893413817</v>
      </c>
      <c r="W3692" s="1" t="s">
        <v>94</v>
      </c>
      <c r="X3692" s="1" t="s">
        <v>58703</v>
      </c>
      <c r="Y3692" s="1" t="s">
        <v>58704</v>
      </c>
      <c r="Z3692" s="1" t="s">
        <v>461</v>
      </c>
      <c r="AA3692" s="1" t="s">
        <v>58703</v>
      </c>
      <c r="AB3692" s="1" t="s">
        <v>58704</v>
      </c>
      <c r="AC3692" s="1" t="s">
        <v>461</v>
      </c>
      <c r="AD3692" s="1" t="s">
        <v>98</v>
      </c>
      <c r="AE3692" s="1" t="s">
        <v>98</v>
      </c>
      <c r="AF3692" s="1" t="s">
        <v>58705</v>
      </c>
      <c r="AG3692" s="1" t="s">
        <v>312</v>
      </c>
      <c r="AH3692" s="1">
        <v>41413</v>
      </c>
      <c r="AI3692" s="1">
        <v>41778</v>
      </c>
      <c r="AJ3692" s="1">
        <v>95</v>
      </c>
      <c r="AK3692" s="1">
        <v>10</v>
      </c>
      <c r="AL3692" s="1" t="s">
        <v>58706</v>
      </c>
      <c r="AM3692" s="1" t="s">
        <v>58707</v>
      </c>
      <c r="AN3692" s="1"/>
      <c r="AO3692" s="1" t="s">
        <v>58708</v>
      </c>
      <c r="AP3692" s="1" t="s">
        <v>58709</v>
      </c>
      <c r="AQ3692" s="1">
        <v>96.1</v>
      </c>
      <c r="AR3692" s="1">
        <v>0</v>
      </c>
      <c r="AS3692" s="1"/>
      <c r="AT3692" s="1"/>
      <c r="AU3692" s="1" t="s">
        <v>98</v>
      </c>
      <c r="AV3692" s="1" t="s">
        <v>98</v>
      </c>
      <c r="AW3692" s="1" t="s">
        <v>98</v>
      </c>
      <c r="AX3692" s="1" t="s">
        <v>98</v>
      </c>
      <c r="AY3692" s="1" t="s">
        <v>1823</v>
      </c>
      <c r="AZ3692" s="1" t="s">
        <v>58710</v>
      </c>
      <c r="BA3692" s="1"/>
      <c r="BB3692" s="1"/>
      <c r="BC3692" s="1" t="s">
        <v>58711</v>
      </c>
      <c r="BD3692" s="1" t="s">
        <v>58712</v>
      </c>
      <c r="BE3692" s="1">
        <v>72.8</v>
      </c>
      <c r="BF3692" s="1">
        <v>7.78</v>
      </c>
      <c r="BG3692" s="1" t="s">
        <v>1823</v>
      </c>
      <c r="BH3692" s="1" t="s">
        <v>6026</v>
      </c>
      <c r="BI3692" s="1"/>
      <c r="BJ3692" s="1"/>
      <c r="BK3692" s="1" t="s">
        <v>58713</v>
      </c>
      <c r="BL3692" s="1" t="s">
        <v>58712</v>
      </c>
      <c r="BM3692" s="1">
        <v>85.5</v>
      </c>
      <c r="BN3692" s="1">
        <v>9.05</v>
      </c>
      <c r="BO3692" s="1" t="s">
        <v>58714</v>
      </c>
      <c r="BP3692" s="1"/>
      <c r="BQ3692" s="1"/>
      <c r="BR3692" s="1" t="s">
        <v>58715</v>
      </c>
      <c r="BS3692" s="1">
        <v>10</v>
      </c>
      <c r="BT3692" s="1"/>
      <c r="BU3692" s="1" t="str">
        <f>HYPERLINK("https://nconnect.nicmar.ac.in/storage/profile/2021-2023_AP21496_358124.jpg","Download")</f>
        <v>0</v>
      </c>
      <c r="BV3692" s="3"/>
      <c r="BW3692" s="3"/>
    </row>
    <row r="3693" spans="1:75">
      <c r="A3693" s="1" t="s">
        <v>51340</v>
      </c>
      <c r="B3693" s="1" t="s">
        <v>51341</v>
      </c>
      <c r="C3693" s="1" t="s">
        <v>58716</v>
      </c>
      <c r="D3693" s="1" t="s">
        <v>10043</v>
      </c>
      <c r="E3693" s="1" t="s">
        <v>397</v>
      </c>
      <c r="F3693" s="1" t="s">
        <v>12035</v>
      </c>
      <c r="G3693" s="1" t="s">
        <v>58717</v>
      </c>
      <c r="H3693" s="1" t="s">
        <v>58718</v>
      </c>
      <c r="I3693" s="1" t="s">
        <v>58719</v>
      </c>
      <c r="J3693" s="1">
        <v>9769703266</v>
      </c>
      <c r="K3693" s="1" t="s">
        <v>84</v>
      </c>
      <c r="L3693" s="1" t="s">
        <v>30977</v>
      </c>
      <c r="M3693" s="1" t="s">
        <v>86</v>
      </c>
      <c r="N3693" s="1" t="s">
        <v>990</v>
      </c>
      <c r="O3693" s="1"/>
      <c r="P3693" s="1" t="s">
        <v>455</v>
      </c>
      <c r="Q3693" s="1" t="s">
        <v>58720</v>
      </c>
      <c r="R3693" s="1" t="s">
        <v>58721</v>
      </c>
      <c r="S3693" s="1">
        <v>9137330877</v>
      </c>
      <c r="T3693" s="1" t="s">
        <v>539</v>
      </c>
      <c r="U3693" s="1" t="s">
        <v>58722</v>
      </c>
      <c r="V3693" s="1">
        <v>7718820289</v>
      </c>
      <c r="W3693" s="1" t="s">
        <v>2547</v>
      </c>
      <c r="X3693" s="1" t="s">
        <v>58723</v>
      </c>
      <c r="Y3693" s="1" t="s">
        <v>1012</v>
      </c>
      <c r="Z3693" s="1" t="s">
        <v>97</v>
      </c>
      <c r="AA3693" s="1" t="s">
        <v>58723</v>
      </c>
      <c r="AB3693" s="1" t="s">
        <v>1012</v>
      </c>
      <c r="AC3693" s="1" t="s">
        <v>97</v>
      </c>
      <c r="AD3693" s="1" t="s">
        <v>98</v>
      </c>
      <c r="AE3693" s="1" t="s">
        <v>98</v>
      </c>
      <c r="AF3693" s="1" t="s">
        <v>13520</v>
      </c>
      <c r="AG3693" s="1" t="s">
        <v>1968</v>
      </c>
      <c r="AH3693" s="1">
        <v>41797</v>
      </c>
      <c r="AI3693" s="1">
        <v>42163</v>
      </c>
      <c r="AJ3693" s="1">
        <v>91.6</v>
      </c>
      <c r="AK3693" s="1">
        <v>0</v>
      </c>
      <c r="AL3693" s="1" t="s">
        <v>58724</v>
      </c>
      <c r="AM3693" s="1" t="s">
        <v>1968</v>
      </c>
      <c r="AN3693" s="1"/>
      <c r="AO3693" s="1">
        <v>42584</v>
      </c>
      <c r="AP3693" s="1">
        <v>42885</v>
      </c>
      <c r="AQ3693" s="1">
        <v>63.23</v>
      </c>
      <c r="AR3693" s="1">
        <v>0</v>
      </c>
      <c r="AS3693" s="1"/>
      <c r="AT3693" s="1"/>
      <c r="AU3693" s="1" t="s">
        <v>98</v>
      </c>
      <c r="AV3693" s="1" t="s">
        <v>98</v>
      </c>
      <c r="AW3693" s="1" t="s">
        <v>98</v>
      </c>
      <c r="AX3693" s="1" t="s">
        <v>98</v>
      </c>
      <c r="AY3693" s="1" t="s">
        <v>258</v>
      </c>
      <c r="AZ3693" s="1" t="s">
        <v>26614</v>
      </c>
      <c r="BA3693" s="1"/>
      <c r="BB3693" s="1"/>
      <c r="BC3693" s="1">
        <v>42954</v>
      </c>
      <c r="BD3693" s="1">
        <v>44407</v>
      </c>
      <c r="BE3693" s="1">
        <v>72.16</v>
      </c>
      <c r="BF3693" s="1">
        <v>7.99</v>
      </c>
      <c r="BG3693" s="1"/>
      <c r="BH3693" s="1"/>
      <c r="BI3693" s="1"/>
      <c r="BJ3693" s="1"/>
      <c r="BK3693" s="1" t="s">
        <v>98</v>
      </c>
      <c r="BL3693" s="1" t="s">
        <v>98</v>
      </c>
      <c r="BM3693" s="1" t="s">
        <v>98</v>
      </c>
      <c r="BN3693" s="1" t="s">
        <v>98</v>
      </c>
      <c r="BO3693" s="1" t="s">
        <v>58725</v>
      </c>
      <c r="BP3693" s="1"/>
      <c r="BQ3693" s="1"/>
      <c r="BR3693" s="1" t="s">
        <v>58726</v>
      </c>
      <c r="BS3693" s="1">
        <v>16</v>
      </c>
      <c r="BT3693" s="1"/>
      <c r="BU3693" s="1" t="str">
        <f>HYPERLINK("https://nconnect.nicmar.ac.in/storage/profile/2021-2023_AP21498_238794.jpg","Download")</f>
        <v>0</v>
      </c>
      <c r="BV3693" s="3"/>
      <c r="BW3693" s="3"/>
    </row>
    <row r="3694" spans="1:75">
      <c r="A3694" s="1" t="s">
        <v>51340</v>
      </c>
      <c r="B3694" s="1" t="s">
        <v>51341</v>
      </c>
      <c r="C3694" s="1" t="s">
        <v>58727</v>
      </c>
      <c r="D3694" s="1" t="s">
        <v>58728</v>
      </c>
      <c r="E3694" s="1"/>
      <c r="F3694" s="1" t="s">
        <v>58729</v>
      </c>
      <c r="G3694" s="1" t="s">
        <v>58730</v>
      </c>
      <c r="H3694" s="1" t="s">
        <v>58731</v>
      </c>
      <c r="I3694" s="1" t="s">
        <v>58732</v>
      </c>
      <c r="J3694" s="1">
        <v>9039291278</v>
      </c>
      <c r="K3694" s="1" t="s">
        <v>153</v>
      </c>
      <c r="L3694" s="1" t="s">
        <v>58733</v>
      </c>
      <c r="M3694" s="1" t="s">
        <v>155</v>
      </c>
      <c r="N3694" s="1" t="s">
        <v>246</v>
      </c>
      <c r="O3694" s="1"/>
      <c r="P3694" s="1" t="s">
        <v>507</v>
      </c>
      <c r="Q3694" s="1" t="s">
        <v>58734</v>
      </c>
      <c r="R3694" s="1" t="s">
        <v>58735</v>
      </c>
      <c r="S3694" s="1">
        <v>9826086629</v>
      </c>
      <c r="T3694" s="1" t="s">
        <v>53570</v>
      </c>
      <c r="U3694" s="1" t="s">
        <v>58736</v>
      </c>
      <c r="V3694" s="1">
        <v>9826507417</v>
      </c>
      <c r="W3694" s="1" t="s">
        <v>94</v>
      </c>
      <c r="X3694" s="1" t="s">
        <v>58737</v>
      </c>
      <c r="Y3694" s="1" t="s">
        <v>5641</v>
      </c>
      <c r="Z3694" s="1" t="s">
        <v>3419</v>
      </c>
      <c r="AA3694" s="1" t="s">
        <v>58738</v>
      </c>
      <c r="AB3694" s="1" t="s">
        <v>196</v>
      </c>
      <c r="AC3694" s="1" t="s">
        <v>97</v>
      </c>
      <c r="AD3694" s="1" t="s">
        <v>98</v>
      </c>
      <c r="AE3694" s="1" t="s">
        <v>98</v>
      </c>
      <c r="AF3694" s="1" t="s">
        <v>58739</v>
      </c>
      <c r="AG3694" s="1" t="s">
        <v>796</v>
      </c>
      <c r="AH3694" s="1">
        <v>38443</v>
      </c>
      <c r="AI3694" s="1">
        <v>38864</v>
      </c>
      <c r="AJ3694" s="1">
        <v>75.8</v>
      </c>
      <c r="AK3694" s="1">
        <v>0</v>
      </c>
      <c r="AL3694" s="1" t="s">
        <v>58740</v>
      </c>
      <c r="AM3694" s="1" t="s">
        <v>796</v>
      </c>
      <c r="AN3694" s="1"/>
      <c r="AO3694" s="1">
        <v>39173</v>
      </c>
      <c r="AP3694" s="1">
        <v>39589</v>
      </c>
      <c r="AQ3694" s="1">
        <v>76.8</v>
      </c>
      <c r="AR3694" s="1">
        <v>0</v>
      </c>
      <c r="AS3694" s="1"/>
      <c r="AT3694" s="1"/>
      <c r="AU3694" s="1" t="s">
        <v>98</v>
      </c>
      <c r="AV3694" s="1" t="s">
        <v>98</v>
      </c>
      <c r="AW3694" s="1" t="s">
        <v>98</v>
      </c>
      <c r="AX3694" s="1" t="s">
        <v>98</v>
      </c>
      <c r="AY3694" s="1" t="s">
        <v>58741</v>
      </c>
      <c r="AZ3694" s="1" t="s">
        <v>58742</v>
      </c>
      <c r="BA3694" s="1"/>
      <c r="BB3694" s="1"/>
      <c r="BC3694" s="1">
        <v>39713</v>
      </c>
      <c r="BD3694" s="1">
        <v>41449</v>
      </c>
      <c r="BE3694" s="1">
        <v>80.11</v>
      </c>
      <c r="BF3694" s="1">
        <v>0</v>
      </c>
      <c r="BG3694" s="1" t="s">
        <v>58743</v>
      </c>
      <c r="BH3694" s="1" t="s">
        <v>58744</v>
      </c>
      <c r="BI3694" s="1"/>
      <c r="BJ3694" s="1"/>
      <c r="BK3694" s="1">
        <v>41853</v>
      </c>
      <c r="BL3694" s="1">
        <v>42521</v>
      </c>
      <c r="BM3694" s="1">
        <v>76.02</v>
      </c>
      <c r="BN3694" s="1">
        <v>7.6</v>
      </c>
      <c r="BO3694" s="1" t="s">
        <v>58745</v>
      </c>
      <c r="BP3694" s="1" t="s">
        <v>58746</v>
      </c>
      <c r="BQ3694" s="1" t="s">
        <v>55540</v>
      </c>
      <c r="BR3694" s="1" t="s">
        <v>58747</v>
      </c>
      <c r="BS3694" s="1">
        <v>37</v>
      </c>
      <c r="BT3694" s="1"/>
      <c r="BU3694" s="1" t="str">
        <f>HYPERLINK("https://nconnect.nicmar.ac.in/storage/profile/2021-2023_AP21499_685341.jpg","Download")</f>
        <v>0</v>
      </c>
      <c r="BV3694" s="3"/>
      <c r="BW3694" s="3"/>
    </row>
    <row r="3695" spans="1:75">
      <c r="A3695" s="1" t="s">
        <v>51340</v>
      </c>
      <c r="B3695" s="1" t="s">
        <v>51341</v>
      </c>
      <c r="C3695" s="1" t="s">
        <v>58748</v>
      </c>
      <c r="D3695" s="1" t="s">
        <v>58749</v>
      </c>
      <c r="E3695" s="1" t="s">
        <v>5753</v>
      </c>
      <c r="F3695" s="1" t="s">
        <v>58750</v>
      </c>
      <c r="G3695" s="1" t="s">
        <v>58751</v>
      </c>
      <c r="H3695" s="1" t="s">
        <v>58752</v>
      </c>
      <c r="I3695" s="1" t="s">
        <v>58753</v>
      </c>
      <c r="J3695" s="1">
        <v>9067116380</v>
      </c>
      <c r="K3695" s="1" t="s">
        <v>153</v>
      </c>
      <c r="L3695" s="1" t="s">
        <v>17281</v>
      </c>
      <c r="M3695" s="1" t="s">
        <v>86</v>
      </c>
      <c r="N3695" s="1" t="s">
        <v>903</v>
      </c>
      <c r="O3695" s="1"/>
      <c r="P3695" s="1" t="s">
        <v>481</v>
      </c>
      <c r="Q3695" s="1" t="s">
        <v>58754</v>
      </c>
      <c r="R3695" s="1" t="s">
        <v>58755</v>
      </c>
      <c r="S3695" s="1">
        <v>9423676302</v>
      </c>
      <c r="T3695" s="1" t="s">
        <v>2084</v>
      </c>
      <c r="U3695" s="1" t="s">
        <v>58756</v>
      </c>
      <c r="V3695" s="1">
        <v>9049904029</v>
      </c>
      <c r="W3695" s="1" t="s">
        <v>127</v>
      </c>
      <c r="X3695" s="1" t="s">
        <v>58757</v>
      </c>
      <c r="Y3695" s="1" t="s">
        <v>624</v>
      </c>
      <c r="Z3695" s="1" t="s">
        <v>97</v>
      </c>
      <c r="AA3695" s="1" t="s">
        <v>58758</v>
      </c>
      <c r="AB3695" s="1" t="s">
        <v>196</v>
      </c>
      <c r="AC3695" s="1" t="s">
        <v>97</v>
      </c>
      <c r="AD3695" s="1" t="s">
        <v>98</v>
      </c>
      <c r="AE3695" s="1" t="s">
        <v>98</v>
      </c>
      <c r="AF3695" s="1" t="s">
        <v>58759</v>
      </c>
      <c r="AG3695" s="1" t="s">
        <v>2475</v>
      </c>
      <c r="AH3695" s="1">
        <v>41395</v>
      </c>
      <c r="AI3695" s="1">
        <v>41778</v>
      </c>
      <c r="AJ3695" s="1">
        <v>81.7</v>
      </c>
      <c r="AK3695" s="1">
        <v>8.6</v>
      </c>
      <c r="AL3695" s="1" t="s">
        <v>58760</v>
      </c>
      <c r="AM3695" s="1" t="s">
        <v>2475</v>
      </c>
      <c r="AN3695" s="1"/>
      <c r="AO3695" s="1">
        <v>42200</v>
      </c>
      <c r="AP3695" s="1">
        <v>42428</v>
      </c>
      <c r="AQ3695" s="1">
        <v>72.15</v>
      </c>
      <c r="AR3695" s="1">
        <v>0</v>
      </c>
      <c r="AS3695" s="1"/>
      <c r="AT3695" s="1"/>
      <c r="AU3695" s="1" t="s">
        <v>98</v>
      </c>
      <c r="AV3695" s="1" t="s">
        <v>98</v>
      </c>
      <c r="AW3695" s="1" t="s">
        <v>98</v>
      </c>
      <c r="AX3695" s="1" t="s">
        <v>98</v>
      </c>
      <c r="AY3695" s="1" t="s">
        <v>366</v>
      </c>
      <c r="AZ3695" s="1" t="s">
        <v>58761</v>
      </c>
      <c r="BA3695" s="1"/>
      <c r="BB3695" s="1"/>
      <c r="BC3695" s="1">
        <v>42590</v>
      </c>
      <c r="BD3695" s="1">
        <v>44146</v>
      </c>
      <c r="BE3695" s="1">
        <v>64.76</v>
      </c>
      <c r="BF3695" s="1">
        <v>7.36</v>
      </c>
      <c r="BG3695" s="1"/>
      <c r="BH3695" s="1"/>
      <c r="BI3695" s="1"/>
      <c r="BJ3695" s="1"/>
      <c r="BK3695" s="1" t="s">
        <v>98</v>
      </c>
      <c r="BL3695" s="1" t="s">
        <v>98</v>
      </c>
      <c r="BM3695" s="1" t="s">
        <v>98</v>
      </c>
      <c r="BN3695" s="1" t="s">
        <v>98</v>
      </c>
      <c r="BO3695" s="1" t="s">
        <v>58762</v>
      </c>
      <c r="BP3695" s="1"/>
      <c r="BQ3695" s="1"/>
      <c r="BR3695" s="1" t="s">
        <v>58763</v>
      </c>
      <c r="BS3695" s="1">
        <v>86</v>
      </c>
      <c r="BT3695" s="1"/>
      <c r="BU3695" s="1" t="str">
        <f>HYPERLINK("https://nconnect.nicmar.ac.in/storage/profile/2021-2023_AP21500_398724.jpg","Download")</f>
        <v>0</v>
      </c>
      <c r="BV3695" s="3"/>
      <c r="BW3695" s="3"/>
    </row>
    <row r="3696" spans="1:75">
      <c r="A3696" s="1" t="s">
        <v>51340</v>
      </c>
      <c r="B3696" s="1" t="s">
        <v>51341</v>
      </c>
      <c r="C3696" s="1" t="s">
        <v>58764</v>
      </c>
      <c r="D3696" s="1" t="s">
        <v>58765</v>
      </c>
      <c r="E3696" s="1" t="s">
        <v>4966</v>
      </c>
      <c r="F3696" s="1" t="s">
        <v>58766</v>
      </c>
      <c r="G3696" s="1" t="s">
        <v>58767</v>
      </c>
      <c r="H3696" s="1" t="s">
        <v>58768</v>
      </c>
      <c r="I3696" s="1" t="s">
        <v>58769</v>
      </c>
      <c r="J3696" s="1">
        <v>7517415799</v>
      </c>
      <c r="K3696" s="1" t="s">
        <v>153</v>
      </c>
      <c r="L3696" s="1" t="s">
        <v>25506</v>
      </c>
      <c r="M3696" s="1" t="s">
        <v>86</v>
      </c>
      <c r="N3696" s="1" t="s">
        <v>903</v>
      </c>
      <c r="O3696" s="1"/>
      <c r="P3696" s="1" t="s">
        <v>481</v>
      </c>
      <c r="Q3696" s="1" t="s">
        <v>58770</v>
      </c>
      <c r="R3696" s="1" t="s">
        <v>58771</v>
      </c>
      <c r="S3696" s="1">
        <v>9372065600</v>
      </c>
      <c r="T3696" s="1" t="s">
        <v>1620</v>
      </c>
      <c r="U3696" s="1" t="s">
        <v>58772</v>
      </c>
      <c r="V3696" s="1">
        <v>9561153186</v>
      </c>
      <c r="W3696" s="1" t="s">
        <v>94</v>
      </c>
      <c r="X3696" s="1" t="s">
        <v>58773</v>
      </c>
      <c r="Y3696" s="1" t="s">
        <v>410</v>
      </c>
      <c r="Z3696" s="1" t="s">
        <v>97</v>
      </c>
      <c r="AA3696" s="1" t="s">
        <v>58773</v>
      </c>
      <c r="AB3696" s="1" t="s">
        <v>410</v>
      </c>
      <c r="AC3696" s="1" t="s">
        <v>97</v>
      </c>
      <c r="AD3696" s="1" t="s">
        <v>98</v>
      </c>
      <c r="AE3696" s="1" t="s">
        <v>98</v>
      </c>
      <c r="AF3696" s="1" t="s">
        <v>58774</v>
      </c>
      <c r="AG3696" s="1" t="s">
        <v>312</v>
      </c>
      <c r="AH3696" s="1">
        <v>41699</v>
      </c>
      <c r="AI3696" s="1">
        <v>42154</v>
      </c>
      <c r="AJ3696" s="1">
        <v>90.4</v>
      </c>
      <c r="AK3696" s="1">
        <v>9.8</v>
      </c>
      <c r="AL3696" s="1" t="s">
        <v>58775</v>
      </c>
      <c r="AM3696" s="1" t="s">
        <v>1968</v>
      </c>
      <c r="AN3696" s="1"/>
      <c r="AO3696" s="1">
        <v>42430</v>
      </c>
      <c r="AP3696" s="1">
        <v>42776</v>
      </c>
      <c r="AQ3696" s="1">
        <v>74.15</v>
      </c>
      <c r="AR3696" s="1">
        <v>0</v>
      </c>
      <c r="AS3696" s="1"/>
      <c r="AT3696" s="1"/>
      <c r="AU3696" s="1" t="s">
        <v>98</v>
      </c>
      <c r="AV3696" s="1" t="s">
        <v>98</v>
      </c>
      <c r="AW3696" s="1" t="s">
        <v>98</v>
      </c>
      <c r="AX3696" s="1" t="s">
        <v>98</v>
      </c>
      <c r="AY3696" s="1" t="s">
        <v>58776</v>
      </c>
      <c r="AZ3696" s="1" t="s">
        <v>20667</v>
      </c>
      <c r="BA3696" s="1"/>
      <c r="BB3696" s="1"/>
      <c r="BC3696" s="1">
        <v>42948</v>
      </c>
      <c r="BD3696" s="1">
        <v>44345</v>
      </c>
      <c r="BE3696" s="1">
        <v>76.9</v>
      </c>
      <c r="BF3696" s="1">
        <v>7.69</v>
      </c>
      <c r="BG3696" s="1"/>
      <c r="BH3696" s="1"/>
      <c r="BI3696" s="1"/>
      <c r="BJ3696" s="1"/>
      <c r="BK3696" s="1" t="s">
        <v>98</v>
      </c>
      <c r="BL3696" s="1" t="s">
        <v>98</v>
      </c>
      <c r="BM3696" s="1" t="s">
        <v>98</v>
      </c>
      <c r="BN3696" s="1" t="s">
        <v>98</v>
      </c>
      <c r="BO3696" s="1" t="s">
        <v>369</v>
      </c>
      <c r="BP3696" s="1"/>
      <c r="BQ3696" s="1"/>
      <c r="BR3696" s="1" t="s">
        <v>58777</v>
      </c>
      <c r="BS3696" s="1">
        <v>26</v>
      </c>
      <c r="BT3696" s="1"/>
      <c r="BU3696" s="1" t="str">
        <f>HYPERLINK("https://nconnect.nicmar.ac.in/storage/profile/2021-2023_AP21501_728536.png","Download")</f>
        <v>0</v>
      </c>
      <c r="BV3696" s="3"/>
      <c r="BW3696" s="3"/>
    </row>
    <row r="3697" spans="1:75">
      <c r="A3697" s="1" t="s">
        <v>51340</v>
      </c>
      <c r="B3697" s="1" t="s">
        <v>51341</v>
      </c>
      <c r="C3697" s="1" t="s">
        <v>58778</v>
      </c>
      <c r="D3697" s="1" t="s">
        <v>58779</v>
      </c>
      <c r="E3697" s="1"/>
      <c r="F3697" s="1" t="s">
        <v>53102</v>
      </c>
      <c r="G3697" s="1" t="s">
        <v>58780</v>
      </c>
      <c r="H3697" s="1" t="s">
        <v>58781</v>
      </c>
      <c r="I3697" s="1" t="s">
        <v>58782</v>
      </c>
      <c r="J3697" s="1">
        <v>7044906706</v>
      </c>
      <c r="K3697" s="1" t="s">
        <v>153</v>
      </c>
      <c r="L3697" s="1" t="s">
        <v>58783</v>
      </c>
      <c r="M3697" s="1" t="s">
        <v>86</v>
      </c>
      <c r="N3697" s="1" t="s">
        <v>27171</v>
      </c>
      <c r="O3697" s="1"/>
      <c r="P3697" s="1" t="s">
        <v>455</v>
      </c>
      <c r="Q3697" s="1" t="s">
        <v>58784</v>
      </c>
      <c r="R3697" s="1" t="s">
        <v>58785</v>
      </c>
      <c r="S3697" s="1">
        <v>9339871129</v>
      </c>
      <c r="T3697" s="1" t="s">
        <v>31687</v>
      </c>
      <c r="U3697" s="1" t="s">
        <v>58786</v>
      </c>
      <c r="V3697" s="1">
        <v>9339887829</v>
      </c>
      <c r="W3697" s="1" t="s">
        <v>94</v>
      </c>
      <c r="X3697" s="1" t="s">
        <v>58787</v>
      </c>
      <c r="Y3697" s="1" t="s">
        <v>58673</v>
      </c>
      <c r="Z3697" s="1" t="s">
        <v>1234</v>
      </c>
      <c r="AA3697" s="1" t="s">
        <v>98</v>
      </c>
      <c r="AB3697" s="1" t="s">
        <v>58673</v>
      </c>
      <c r="AC3697" s="1" t="s">
        <v>1234</v>
      </c>
      <c r="AD3697" s="1" t="s">
        <v>98</v>
      </c>
      <c r="AE3697" s="1" t="s">
        <v>98</v>
      </c>
      <c r="AF3697" s="1" t="s">
        <v>58788</v>
      </c>
      <c r="AG3697" s="1" t="s">
        <v>3284</v>
      </c>
      <c r="AH3697" s="1">
        <v>41644</v>
      </c>
      <c r="AI3697" s="1">
        <v>42146</v>
      </c>
      <c r="AJ3697" s="1">
        <v>56.72</v>
      </c>
      <c r="AK3697" s="1"/>
      <c r="AL3697" s="1" t="s">
        <v>98</v>
      </c>
      <c r="AM3697" s="1" t="s">
        <v>3284</v>
      </c>
      <c r="AN3697" s="1"/>
      <c r="AO3697" s="1" t="s">
        <v>98</v>
      </c>
      <c r="AP3697" s="1" t="s">
        <v>98</v>
      </c>
      <c r="AQ3697" s="1"/>
      <c r="AR3697" s="1">
        <v>0</v>
      </c>
      <c r="AS3697" s="1" t="s">
        <v>439</v>
      </c>
      <c r="AT3697" s="1" t="s">
        <v>58789</v>
      </c>
      <c r="AU3697" s="1">
        <v>42233</v>
      </c>
      <c r="AV3697" s="1">
        <v>43252</v>
      </c>
      <c r="AW3697" s="1">
        <v>72.2</v>
      </c>
      <c r="AX3697" s="1">
        <v>7.5</v>
      </c>
      <c r="AY3697" s="1" t="s">
        <v>1240</v>
      </c>
      <c r="AZ3697" s="1" t="s">
        <v>58790</v>
      </c>
      <c r="BA3697" s="1"/>
      <c r="BB3697" s="1"/>
      <c r="BC3697" s="1">
        <v>43253</v>
      </c>
      <c r="BD3697" s="1">
        <v>44436</v>
      </c>
      <c r="BE3697" s="1">
        <v>70</v>
      </c>
      <c r="BF3697" s="1">
        <v>8.01</v>
      </c>
      <c r="BG3697" s="1"/>
      <c r="BH3697" s="1"/>
      <c r="BI3697" s="1"/>
      <c r="BJ3697" s="1"/>
      <c r="BK3697" s="1" t="s">
        <v>98</v>
      </c>
      <c r="BL3697" s="1" t="s">
        <v>98</v>
      </c>
      <c r="BM3697" s="1" t="s">
        <v>98</v>
      </c>
      <c r="BN3697" s="1" t="s">
        <v>98</v>
      </c>
      <c r="BO3697" s="1" t="s">
        <v>260</v>
      </c>
      <c r="BP3697" s="1"/>
      <c r="BQ3697" s="1"/>
      <c r="BR3697" s="1" t="s">
        <v>58791</v>
      </c>
      <c r="BS3697" s="1">
        <v>21</v>
      </c>
      <c r="BT3697" s="1"/>
      <c r="BU3697" s="1" t="str">
        <f>HYPERLINK("https://nconnect.nicmar.ac.in/storage/profile/2021-2023_AP21502_174369.jpg","Download")</f>
        <v>0</v>
      </c>
      <c r="BV3697" s="3"/>
      <c r="BW3697" s="3"/>
    </row>
    <row r="3698" spans="1:75">
      <c r="A3698" s="1" t="s">
        <v>51340</v>
      </c>
      <c r="B3698" s="1" t="s">
        <v>51341</v>
      </c>
      <c r="C3698" s="1" t="s">
        <v>58792</v>
      </c>
      <c r="D3698" s="1" t="s">
        <v>5771</v>
      </c>
      <c r="E3698" s="1" t="s">
        <v>58793</v>
      </c>
      <c r="F3698" s="1" t="s">
        <v>58794</v>
      </c>
      <c r="G3698" s="1" t="s">
        <v>58795</v>
      </c>
      <c r="H3698" s="1" t="s">
        <v>58796</v>
      </c>
      <c r="I3698" s="1" t="s">
        <v>58797</v>
      </c>
      <c r="J3698" s="1">
        <v>7057858515</v>
      </c>
      <c r="K3698" s="1" t="s">
        <v>84</v>
      </c>
      <c r="L3698" s="1" t="s">
        <v>26765</v>
      </c>
      <c r="M3698" s="1" t="s">
        <v>86</v>
      </c>
      <c r="N3698" s="1" t="s">
        <v>1163</v>
      </c>
      <c r="O3698" s="1"/>
      <c r="P3698" s="1" t="s">
        <v>507</v>
      </c>
      <c r="Q3698" s="1" t="s">
        <v>58798</v>
      </c>
      <c r="R3698" s="1" t="s">
        <v>58799</v>
      </c>
      <c r="S3698" s="1">
        <v>8600637393</v>
      </c>
      <c r="T3698" s="1" t="s">
        <v>839</v>
      </c>
      <c r="U3698" s="1" t="s">
        <v>58800</v>
      </c>
      <c r="V3698" s="1">
        <v>9403866655</v>
      </c>
      <c r="W3698" s="1" t="s">
        <v>161</v>
      </c>
      <c r="X3698" s="1" t="s">
        <v>58801</v>
      </c>
      <c r="Y3698" s="1" t="s">
        <v>5083</v>
      </c>
      <c r="Z3698" s="1" t="s">
        <v>97</v>
      </c>
      <c r="AA3698" s="1" t="s">
        <v>58801</v>
      </c>
      <c r="AB3698" s="1" t="s">
        <v>5083</v>
      </c>
      <c r="AC3698" s="1" t="s">
        <v>97</v>
      </c>
      <c r="AD3698" s="1" t="s">
        <v>98</v>
      </c>
      <c r="AE3698" s="1" t="s">
        <v>98</v>
      </c>
      <c r="AF3698" s="1" t="s">
        <v>27805</v>
      </c>
      <c r="AG3698" s="1" t="s">
        <v>312</v>
      </c>
      <c r="AH3698" s="1" t="s">
        <v>58802</v>
      </c>
      <c r="AI3698" s="1" t="s">
        <v>54155</v>
      </c>
      <c r="AJ3698" s="1">
        <v>77.9</v>
      </c>
      <c r="AK3698" s="1">
        <v>8.2</v>
      </c>
      <c r="AL3698" s="1" t="s">
        <v>58803</v>
      </c>
      <c r="AM3698" s="1" t="s">
        <v>312</v>
      </c>
      <c r="AN3698" s="1"/>
      <c r="AO3698" s="1" t="s">
        <v>58804</v>
      </c>
      <c r="AP3698" s="1" t="s">
        <v>52475</v>
      </c>
      <c r="AQ3698" s="1">
        <v>76.77</v>
      </c>
      <c r="AR3698" s="1">
        <v>0</v>
      </c>
      <c r="AS3698" s="1"/>
      <c r="AT3698" s="1"/>
      <c r="AU3698" s="1" t="s">
        <v>98</v>
      </c>
      <c r="AV3698" s="1" t="s">
        <v>98</v>
      </c>
      <c r="AW3698" s="1" t="s">
        <v>98</v>
      </c>
      <c r="AX3698" s="1" t="s">
        <v>98</v>
      </c>
      <c r="AY3698" s="1" t="s">
        <v>58805</v>
      </c>
      <c r="AZ3698" s="1" t="s">
        <v>9437</v>
      </c>
      <c r="BA3698" s="1"/>
      <c r="BB3698" s="1"/>
      <c r="BC3698" s="1" t="s">
        <v>58806</v>
      </c>
      <c r="BD3698" s="1" t="s">
        <v>58807</v>
      </c>
      <c r="BE3698" s="1">
        <v>84.7</v>
      </c>
      <c r="BF3698" s="1">
        <v>8.47</v>
      </c>
      <c r="BG3698" s="1"/>
      <c r="BH3698" s="1"/>
      <c r="BI3698" s="1"/>
      <c r="BJ3698" s="1"/>
      <c r="BK3698" s="1" t="s">
        <v>98</v>
      </c>
      <c r="BL3698" s="1" t="s">
        <v>98</v>
      </c>
      <c r="BM3698" s="1" t="s">
        <v>98</v>
      </c>
      <c r="BN3698" s="1" t="s">
        <v>98</v>
      </c>
      <c r="BO3698" s="1" t="s">
        <v>369</v>
      </c>
      <c r="BP3698" s="1"/>
      <c r="BQ3698" s="1"/>
      <c r="BR3698" s="1" t="s">
        <v>58808</v>
      </c>
      <c r="BS3698" s="1">
        <v>37</v>
      </c>
      <c r="BT3698" s="1"/>
      <c r="BU3698" s="1" t="str">
        <f>HYPERLINK("https://nconnect.nicmar.ac.in/storage/profile/2021-2023_AP21503_913578.jpg","Download")</f>
        <v>0</v>
      </c>
      <c r="BV3698" s="3"/>
      <c r="BW3698" s="3"/>
    </row>
    <row r="3699" spans="1:75">
      <c r="A3699" s="1" t="s">
        <v>51340</v>
      </c>
      <c r="B3699" s="1" t="s">
        <v>51341</v>
      </c>
      <c r="C3699" s="1" t="s">
        <v>58809</v>
      </c>
      <c r="D3699" s="1" t="s">
        <v>41037</v>
      </c>
      <c r="E3699" s="1" t="s">
        <v>2428</v>
      </c>
      <c r="F3699" s="1" t="s">
        <v>58810</v>
      </c>
      <c r="G3699" s="1" t="s">
        <v>58811</v>
      </c>
      <c r="H3699" s="1" t="s">
        <v>58812</v>
      </c>
      <c r="I3699" s="1" t="s">
        <v>58813</v>
      </c>
      <c r="J3699" s="1">
        <v>8286717650</v>
      </c>
      <c r="K3699" s="1" t="s">
        <v>84</v>
      </c>
      <c r="L3699" s="1" t="s">
        <v>32947</v>
      </c>
      <c r="M3699" s="1" t="s">
        <v>86</v>
      </c>
      <c r="N3699" s="1" t="s">
        <v>58814</v>
      </c>
      <c r="O3699" s="1"/>
      <c r="P3699" s="1" t="s">
        <v>1028</v>
      </c>
      <c r="Q3699" s="1" t="s">
        <v>58815</v>
      </c>
      <c r="R3699" s="1" t="s">
        <v>58816</v>
      </c>
      <c r="S3699" s="1">
        <v>9987334245</v>
      </c>
      <c r="T3699" s="1" t="s">
        <v>839</v>
      </c>
      <c r="U3699" s="1" t="s">
        <v>58817</v>
      </c>
      <c r="V3699" s="1">
        <v>8355917524</v>
      </c>
      <c r="W3699" s="1" t="s">
        <v>161</v>
      </c>
      <c r="X3699" s="1" t="s">
        <v>58818</v>
      </c>
      <c r="Y3699" s="1" t="s">
        <v>52420</v>
      </c>
      <c r="Z3699" s="1" t="s">
        <v>97</v>
      </c>
      <c r="AA3699" s="1" t="s">
        <v>58818</v>
      </c>
      <c r="AB3699" s="1" t="s">
        <v>52420</v>
      </c>
      <c r="AC3699" s="1" t="s">
        <v>97</v>
      </c>
      <c r="AD3699" s="1" t="s">
        <v>98</v>
      </c>
      <c r="AE3699" s="1" t="s">
        <v>98</v>
      </c>
      <c r="AF3699" s="1" t="s">
        <v>58819</v>
      </c>
      <c r="AG3699" s="1" t="s">
        <v>56915</v>
      </c>
      <c r="AH3699" s="1" t="s">
        <v>133</v>
      </c>
      <c r="AI3699" s="1" t="s">
        <v>1213</v>
      </c>
      <c r="AJ3699" s="1">
        <v>77.27</v>
      </c>
      <c r="AK3699" s="1">
        <v>0</v>
      </c>
      <c r="AL3699" s="1"/>
      <c r="AM3699" s="1"/>
      <c r="AN3699" s="1"/>
      <c r="AO3699" s="1" t="s">
        <v>98</v>
      </c>
      <c r="AP3699" s="1" t="s">
        <v>98</v>
      </c>
      <c r="AQ3699" s="1"/>
      <c r="AR3699" s="1"/>
      <c r="AS3699" s="1" t="s">
        <v>439</v>
      </c>
      <c r="AT3699" s="1" t="s">
        <v>47532</v>
      </c>
      <c r="AU3699" s="1" t="s">
        <v>804</v>
      </c>
      <c r="AV3699" s="1" t="s">
        <v>1396</v>
      </c>
      <c r="AW3699" s="1">
        <v>69.76</v>
      </c>
      <c r="AX3699" s="1">
        <v>0</v>
      </c>
      <c r="AY3699" s="1" t="s">
        <v>258</v>
      </c>
      <c r="AZ3699" s="1" t="s">
        <v>58820</v>
      </c>
      <c r="BA3699" s="1"/>
      <c r="BB3699" s="1"/>
      <c r="BC3699" s="1" t="s">
        <v>139</v>
      </c>
      <c r="BD3699" s="1" t="s">
        <v>315</v>
      </c>
      <c r="BE3699" s="1">
        <v>60.56</v>
      </c>
      <c r="BF3699" s="1">
        <v>6.98</v>
      </c>
      <c r="BG3699" s="1"/>
      <c r="BH3699" s="1"/>
      <c r="BI3699" s="1"/>
      <c r="BJ3699" s="1"/>
      <c r="BK3699" s="1" t="s">
        <v>98</v>
      </c>
      <c r="BL3699" s="1" t="s">
        <v>98</v>
      </c>
      <c r="BM3699" s="1" t="s">
        <v>98</v>
      </c>
      <c r="BN3699" s="1" t="s">
        <v>98</v>
      </c>
      <c r="BO3699" s="1" t="s">
        <v>25445</v>
      </c>
      <c r="BP3699" s="1" t="s">
        <v>58821</v>
      </c>
      <c r="BQ3699" s="1" t="s">
        <v>4944</v>
      </c>
      <c r="BR3699" s="1" t="s">
        <v>58822</v>
      </c>
      <c r="BS3699" s="1">
        <v>8</v>
      </c>
      <c r="BT3699" s="1"/>
      <c r="BU3699" s="1" t="str">
        <f>HYPERLINK("https://nconnect.nicmar.ac.in/storage/profile/2021-2023_AP21504_894165.jpg","Download")</f>
        <v>0</v>
      </c>
      <c r="BV3699" s="3"/>
      <c r="BW3699" s="3"/>
    </row>
    <row r="3700" spans="1:75">
      <c r="A3700" s="1" t="s">
        <v>51340</v>
      </c>
      <c r="B3700" s="1" t="s">
        <v>51341</v>
      </c>
      <c r="C3700" s="1" t="s">
        <v>58823</v>
      </c>
      <c r="D3700" s="1" t="s">
        <v>20601</v>
      </c>
      <c r="E3700" s="1"/>
      <c r="F3700" s="1" t="s">
        <v>58824</v>
      </c>
      <c r="G3700" s="1" t="s">
        <v>58825</v>
      </c>
      <c r="H3700" s="1" t="s">
        <v>58826</v>
      </c>
      <c r="I3700" s="1" t="s">
        <v>58827</v>
      </c>
      <c r="J3700" s="1">
        <v>9526990770</v>
      </c>
      <c r="K3700" s="1" t="s">
        <v>84</v>
      </c>
      <c r="L3700" s="1" t="s">
        <v>15877</v>
      </c>
      <c r="M3700" s="1" t="s">
        <v>86</v>
      </c>
      <c r="N3700" s="1" t="s">
        <v>58828</v>
      </c>
      <c r="O3700" s="1"/>
      <c r="P3700" s="1" t="s">
        <v>481</v>
      </c>
      <c r="Q3700" s="1" t="s">
        <v>58829</v>
      </c>
      <c r="R3700" s="1" t="s">
        <v>58830</v>
      </c>
      <c r="S3700" s="1">
        <v>9947068100</v>
      </c>
      <c r="T3700" s="1" t="s">
        <v>839</v>
      </c>
      <c r="U3700" s="1" t="s">
        <v>58831</v>
      </c>
      <c r="V3700" s="1">
        <v>9961871871</v>
      </c>
      <c r="W3700" s="1" t="s">
        <v>94</v>
      </c>
      <c r="X3700" s="1" t="s">
        <v>58832</v>
      </c>
      <c r="Y3700" s="1" t="s">
        <v>58833</v>
      </c>
      <c r="Z3700" s="1" t="s">
        <v>130</v>
      </c>
      <c r="AA3700" s="1" t="s">
        <v>58832</v>
      </c>
      <c r="AB3700" s="1" t="s">
        <v>58833</v>
      </c>
      <c r="AC3700" s="1" t="s">
        <v>130</v>
      </c>
      <c r="AD3700" s="1" t="s">
        <v>98</v>
      </c>
      <c r="AE3700" s="1" t="s">
        <v>98</v>
      </c>
      <c r="AF3700" s="1" t="s">
        <v>58834</v>
      </c>
      <c r="AG3700" s="1" t="s">
        <v>312</v>
      </c>
      <c r="AH3700" s="1">
        <v>41064</v>
      </c>
      <c r="AI3700" s="1">
        <v>41420</v>
      </c>
      <c r="AJ3700" s="1">
        <v>91.2</v>
      </c>
      <c r="AK3700" s="1">
        <v>9.6</v>
      </c>
      <c r="AL3700" s="1" t="s">
        <v>54773</v>
      </c>
      <c r="AM3700" s="1" t="s">
        <v>312</v>
      </c>
      <c r="AN3700" s="1"/>
      <c r="AO3700" s="1">
        <v>41792</v>
      </c>
      <c r="AP3700" s="1">
        <v>42149</v>
      </c>
      <c r="AQ3700" s="1">
        <v>72</v>
      </c>
      <c r="AR3700" s="1"/>
      <c r="AS3700" s="1"/>
      <c r="AT3700" s="1"/>
      <c r="AU3700" s="1" t="s">
        <v>98</v>
      </c>
      <c r="AV3700" s="1" t="s">
        <v>98</v>
      </c>
      <c r="AW3700" s="1" t="s">
        <v>98</v>
      </c>
      <c r="AX3700" s="1" t="s">
        <v>98</v>
      </c>
      <c r="AY3700" s="1" t="s">
        <v>137</v>
      </c>
      <c r="AZ3700" s="1" t="s">
        <v>26036</v>
      </c>
      <c r="BA3700" s="1"/>
      <c r="BB3700" s="1"/>
      <c r="BC3700" s="1">
        <v>42222</v>
      </c>
      <c r="BD3700" s="1">
        <v>43662</v>
      </c>
      <c r="BE3700" s="1">
        <v>73.15</v>
      </c>
      <c r="BF3700" s="1">
        <v>7.69</v>
      </c>
      <c r="BG3700" s="1"/>
      <c r="BH3700" s="1"/>
      <c r="BI3700" s="1"/>
      <c r="BJ3700" s="1"/>
      <c r="BK3700" s="1" t="s">
        <v>98</v>
      </c>
      <c r="BL3700" s="1" t="s">
        <v>98</v>
      </c>
      <c r="BM3700" s="1" t="s">
        <v>98</v>
      </c>
      <c r="BN3700" s="1" t="s">
        <v>98</v>
      </c>
      <c r="BO3700" s="1" t="s">
        <v>1315</v>
      </c>
      <c r="BP3700" s="1" t="s">
        <v>58835</v>
      </c>
      <c r="BQ3700" s="1" t="s">
        <v>6652</v>
      </c>
      <c r="BR3700" s="1" t="s">
        <v>58836</v>
      </c>
      <c r="BS3700" s="1">
        <v>13</v>
      </c>
      <c r="BT3700" s="1"/>
      <c r="BU3700" s="1" t="str">
        <f>HYPERLINK("https://nconnect.nicmar.ac.in/storage/profile/2021-2023_AP21505_763924.jpg","Download")</f>
        <v>0</v>
      </c>
      <c r="BV3700" s="3"/>
      <c r="BW3700" s="3"/>
    </row>
    <row r="3701" spans="1:75">
      <c r="A3701" s="1" t="s">
        <v>51340</v>
      </c>
      <c r="B3701" s="1" t="s">
        <v>51341</v>
      </c>
      <c r="C3701" s="1" t="s">
        <v>58837</v>
      </c>
      <c r="D3701" s="1" t="s">
        <v>58838</v>
      </c>
      <c r="E3701" s="1" t="s">
        <v>10368</v>
      </c>
      <c r="F3701" s="1" t="s">
        <v>58839</v>
      </c>
      <c r="G3701" s="1" t="s">
        <v>58840</v>
      </c>
      <c r="H3701" s="1" t="s">
        <v>58841</v>
      </c>
      <c r="I3701" s="1" t="s">
        <v>58842</v>
      </c>
      <c r="J3701" s="1">
        <v>9673760335</v>
      </c>
      <c r="K3701" s="1" t="s">
        <v>84</v>
      </c>
      <c r="L3701" s="1" t="s">
        <v>3184</v>
      </c>
      <c r="M3701" s="1" t="s">
        <v>86</v>
      </c>
      <c r="N3701" s="1" t="s">
        <v>1163</v>
      </c>
      <c r="O3701" s="1"/>
      <c r="P3701" s="1" t="s">
        <v>507</v>
      </c>
      <c r="Q3701" s="1" t="s">
        <v>58843</v>
      </c>
      <c r="R3701" s="1" t="s">
        <v>58844</v>
      </c>
      <c r="S3701" s="1">
        <v>9422401616</v>
      </c>
      <c r="T3701" s="1" t="s">
        <v>13258</v>
      </c>
      <c r="U3701" s="1" t="s">
        <v>58845</v>
      </c>
      <c r="V3701" s="1">
        <v>9422401661</v>
      </c>
      <c r="W3701" s="1" t="s">
        <v>94</v>
      </c>
      <c r="X3701" s="1" t="s">
        <v>58846</v>
      </c>
      <c r="Y3701" s="1" t="s">
        <v>5181</v>
      </c>
      <c r="Z3701" s="1" t="s">
        <v>97</v>
      </c>
      <c r="AA3701" s="1" t="s">
        <v>58847</v>
      </c>
      <c r="AB3701" s="1" t="s">
        <v>196</v>
      </c>
      <c r="AC3701" s="1" t="s">
        <v>97</v>
      </c>
      <c r="AD3701" s="1" t="s">
        <v>98</v>
      </c>
      <c r="AE3701" s="1" t="s">
        <v>98</v>
      </c>
      <c r="AF3701" s="1" t="s">
        <v>58848</v>
      </c>
      <c r="AG3701" s="1" t="s">
        <v>5121</v>
      </c>
      <c r="AH3701" s="1">
        <v>41795</v>
      </c>
      <c r="AI3701" s="1" t="s">
        <v>58849</v>
      </c>
      <c r="AJ3701" s="1">
        <v>89.2</v>
      </c>
      <c r="AK3701" s="1"/>
      <c r="AL3701" s="1" t="s">
        <v>58850</v>
      </c>
      <c r="AM3701" s="1" t="s">
        <v>5121</v>
      </c>
      <c r="AN3701" s="1"/>
      <c r="AO3701" s="1">
        <v>42526</v>
      </c>
      <c r="AP3701" s="1">
        <v>42794</v>
      </c>
      <c r="AQ3701" s="1">
        <v>69.69</v>
      </c>
      <c r="AR3701" s="1"/>
      <c r="AS3701" s="1"/>
      <c r="AT3701" s="1"/>
      <c r="AU3701" s="1" t="s">
        <v>98</v>
      </c>
      <c r="AV3701" s="1" t="s">
        <v>98</v>
      </c>
      <c r="AW3701" s="1" t="s">
        <v>98</v>
      </c>
      <c r="AX3701" s="1" t="s">
        <v>98</v>
      </c>
      <c r="AY3701" s="1" t="s">
        <v>56830</v>
      </c>
      <c r="AZ3701" s="1" t="s">
        <v>56830</v>
      </c>
      <c r="BA3701" s="1"/>
      <c r="BB3701" s="1"/>
      <c r="BC3701" s="1">
        <v>42952</v>
      </c>
      <c r="BD3701" s="1">
        <v>44478</v>
      </c>
      <c r="BE3701" s="1">
        <v>75.71</v>
      </c>
      <c r="BF3701" s="1">
        <v>8.32</v>
      </c>
      <c r="BG3701" s="1"/>
      <c r="BH3701" s="1"/>
      <c r="BI3701" s="1"/>
      <c r="BJ3701" s="1"/>
      <c r="BK3701" s="1" t="s">
        <v>98</v>
      </c>
      <c r="BL3701" s="1" t="s">
        <v>98</v>
      </c>
      <c r="BM3701" s="1" t="s">
        <v>98</v>
      </c>
      <c r="BN3701" s="1" t="s">
        <v>98</v>
      </c>
      <c r="BO3701" s="1" t="s">
        <v>369</v>
      </c>
      <c r="BP3701" s="1"/>
      <c r="BQ3701" s="1"/>
      <c r="BR3701" s="1" t="s">
        <v>58851</v>
      </c>
      <c r="BS3701" s="1">
        <v>24</v>
      </c>
      <c r="BT3701" s="1"/>
      <c r="BU3701" s="1" t="str">
        <f>HYPERLINK("https://nconnect.nicmar.ac.in/storage/profile/2021-2023_AP21506_457198.jpg","Download")</f>
        <v>0</v>
      </c>
      <c r="BV3701" s="3"/>
      <c r="BW3701" s="3"/>
    </row>
    <row r="3702" spans="1:75">
      <c r="A3702" s="1" t="s">
        <v>51340</v>
      </c>
      <c r="B3702" s="1" t="s">
        <v>51341</v>
      </c>
      <c r="C3702" s="1" t="s">
        <v>58852</v>
      </c>
      <c r="D3702" s="1" t="s">
        <v>11148</v>
      </c>
      <c r="E3702" s="1" t="s">
        <v>7866</v>
      </c>
      <c r="F3702" s="1" t="s">
        <v>58853</v>
      </c>
      <c r="G3702" s="1" t="s">
        <v>58854</v>
      </c>
      <c r="H3702" s="1" t="s">
        <v>58855</v>
      </c>
      <c r="I3702" s="1" t="s">
        <v>58856</v>
      </c>
      <c r="J3702" s="1">
        <v>9071297766</v>
      </c>
      <c r="K3702" s="1" t="s">
        <v>84</v>
      </c>
      <c r="L3702" s="1" t="s">
        <v>58300</v>
      </c>
      <c r="M3702" s="1" t="s">
        <v>86</v>
      </c>
      <c r="N3702" s="1" t="s">
        <v>50522</v>
      </c>
      <c r="O3702" s="1"/>
      <c r="P3702" s="1" t="s">
        <v>455</v>
      </c>
      <c r="Q3702" s="1" t="s">
        <v>58857</v>
      </c>
      <c r="R3702" s="1" t="s">
        <v>58858</v>
      </c>
      <c r="S3702" s="1">
        <v>9964699366</v>
      </c>
      <c r="T3702" s="1" t="s">
        <v>58859</v>
      </c>
      <c r="U3702" s="1" t="s">
        <v>567</v>
      </c>
      <c r="V3702" s="1">
        <v>9449408909</v>
      </c>
      <c r="W3702" s="1" t="s">
        <v>94</v>
      </c>
      <c r="X3702" s="1" t="s">
        <v>58860</v>
      </c>
      <c r="Y3702" s="1" t="s">
        <v>1209</v>
      </c>
      <c r="Z3702" s="1" t="s">
        <v>1210</v>
      </c>
      <c r="AA3702" s="1" t="s">
        <v>58861</v>
      </c>
      <c r="AB3702" s="1" t="s">
        <v>1209</v>
      </c>
      <c r="AC3702" s="1" t="s">
        <v>1210</v>
      </c>
      <c r="AD3702" s="1" t="s">
        <v>98</v>
      </c>
      <c r="AE3702" s="1" t="s">
        <v>98</v>
      </c>
      <c r="AF3702" s="1" t="s">
        <v>58862</v>
      </c>
      <c r="AG3702" s="1" t="s">
        <v>58173</v>
      </c>
      <c r="AH3702" s="1">
        <v>41431</v>
      </c>
      <c r="AI3702" s="1">
        <v>41772</v>
      </c>
      <c r="AJ3702" s="1">
        <v>80.16</v>
      </c>
      <c r="AK3702" s="1"/>
      <c r="AL3702" s="1" t="s">
        <v>58863</v>
      </c>
      <c r="AM3702" s="1" t="s">
        <v>58173</v>
      </c>
      <c r="AN3702" s="1"/>
      <c r="AO3702" s="1">
        <v>42192</v>
      </c>
      <c r="AP3702" s="1">
        <v>42515</v>
      </c>
      <c r="AQ3702" s="1">
        <v>70.83</v>
      </c>
      <c r="AR3702" s="1"/>
      <c r="AS3702" s="1"/>
      <c r="AT3702" s="1"/>
      <c r="AU3702" s="1" t="s">
        <v>98</v>
      </c>
      <c r="AV3702" s="1" t="s">
        <v>98</v>
      </c>
      <c r="AW3702" s="1" t="s">
        <v>98</v>
      </c>
      <c r="AX3702" s="1" t="s">
        <v>98</v>
      </c>
      <c r="AY3702" s="1" t="s">
        <v>1217</v>
      </c>
      <c r="AZ3702" s="1" t="s">
        <v>54096</v>
      </c>
      <c r="BA3702" s="1"/>
      <c r="BB3702" s="1"/>
      <c r="BC3702" s="1">
        <v>42558</v>
      </c>
      <c r="BD3702" s="1">
        <v>44069</v>
      </c>
      <c r="BE3702" s="1">
        <v>57.8</v>
      </c>
      <c r="BF3702" s="1">
        <v>6.53</v>
      </c>
      <c r="BG3702" s="1"/>
      <c r="BH3702" s="1"/>
      <c r="BI3702" s="1"/>
      <c r="BJ3702" s="1"/>
      <c r="BK3702" s="1" t="s">
        <v>98</v>
      </c>
      <c r="BL3702" s="1" t="s">
        <v>98</v>
      </c>
      <c r="BM3702" s="1" t="s">
        <v>98</v>
      </c>
      <c r="BN3702" s="1" t="s">
        <v>98</v>
      </c>
      <c r="BO3702" s="1" t="s">
        <v>25463</v>
      </c>
      <c r="BP3702" s="1"/>
      <c r="BQ3702" s="1"/>
      <c r="BR3702" s="1" t="s">
        <v>58864</v>
      </c>
      <c r="BS3702" s="1">
        <v>19</v>
      </c>
      <c r="BT3702" s="1"/>
      <c r="BU3702" s="1" t="str">
        <f>HYPERLINK("https://nconnect.nicmar.ac.in/storage/profile/2021-2023_AP21508_857431.png","Download")</f>
        <v>0</v>
      </c>
      <c r="BV3702" s="3"/>
      <c r="BW3702" s="3"/>
    </row>
    <row r="3703" spans="1:75">
      <c r="A3703" s="1" t="s">
        <v>51340</v>
      </c>
      <c r="B3703" s="1" t="s">
        <v>51341</v>
      </c>
      <c r="C3703" s="1" t="s">
        <v>58865</v>
      </c>
      <c r="D3703" s="1" t="s">
        <v>58866</v>
      </c>
      <c r="E3703" s="1" t="s">
        <v>1320</v>
      </c>
      <c r="F3703" s="1" t="s">
        <v>58867</v>
      </c>
      <c r="G3703" s="1" t="s">
        <v>58868</v>
      </c>
      <c r="H3703" s="1" t="s">
        <v>58869</v>
      </c>
      <c r="I3703" s="1" t="s">
        <v>58870</v>
      </c>
      <c r="J3703" s="1">
        <v>7481916685</v>
      </c>
      <c r="K3703" s="1" t="s">
        <v>84</v>
      </c>
      <c r="L3703" s="1" t="s">
        <v>58871</v>
      </c>
      <c r="M3703" s="1" t="s">
        <v>86</v>
      </c>
      <c r="N3703" s="1" t="s">
        <v>246</v>
      </c>
      <c r="O3703" s="1"/>
      <c r="P3703" s="1" t="s">
        <v>2062</v>
      </c>
      <c r="Q3703" s="1" t="s">
        <v>58872</v>
      </c>
      <c r="R3703" s="1" t="s">
        <v>58873</v>
      </c>
      <c r="S3703" s="1">
        <v>9939865481</v>
      </c>
      <c r="T3703" s="1" t="s">
        <v>839</v>
      </c>
      <c r="U3703" s="1" t="s">
        <v>58874</v>
      </c>
      <c r="V3703" s="1">
        <v>9931221533</v>
      </c>
      <c r="W3703" s="1" t="s">
        <v>94</v>
      </c>
      <c r="X3703" s="1" t="s">
        <v>58875</v>
      </c>
      <c r="Y3703" s="1" t="s">
        <v>57254</v>
      </c>
      <c r="Z3703" s="1" t="s">
        <v>649</v>
      </c>
      <c r="AA3703" s="1" t="s">
        <v>58876</v>
      </c>
      <c r="AB3703" s="1" t="s">
        <v>57254</v>
      </c>
      <c r="AC3703" s="1" t="s">
        <v>649</v>
      </c>
      <c r="AD3703" s="1" t="s">
        <v>98</v>
      </c>
      <c r="AE3703" s="1" t="s">
        <v>98</v>
      </c>
      <c r="AF3703" s="1" t="s">
        <v>58877</v>
      </c>
      <c r="AG3703" s="1" t="s">
        <v>312</v>
      </c>
      <c r="AH3703" s="1">
        <v>40269</v>
      </c>
      <c r="AI3703" s="1">
        <v>40704</v>
      </c>
      <c r="AJ3703" s="1">
        <v>85.5</v>
      </c>
      <c r="AK3703" s="1">
        <v>9</v>
      </c>
      <c r="AL3703" s="1" t="s">
        <v>42722</v>
      </c>
      <c r="AM3703" s="1" t="s">
        <v>312</v>
      </c>
      <c r="AN3703" s="1"/>
      <c r="AO3703" s="1">
        <v>41001</v>
      </c>
      <c r="AP3703" s="1">
        <v>41421</v>
      </c>
      <c r="AQ3703" s="1">
        <v>81.2</v>
      </c>
      <c r="AR3703" s="1"/>
      <c r="AS3703" s="1"/>
      <c r="AT3703" s="1"/>
      <c r="AU3703" s="1" t="s">
        <v>98</v>
      </c>
      <c r="AV3703" s="1" t="s">
        <v>98</v>
      </c>
      <c r="AW3703" s="1" t="s">
        <v>98</v>
      </c>
      <c r="AX3703" s="1" t="s">
        <v>98</v>
      </c>
      <c r="AY3703" s="1" t="s">
        <v>58878</v>
      </c>
      <c r="AZ3703" s="1" t="s">
        <v>5106</v>
      </c>
      <c r="BA3703" s="1"/>
      <c r="BB3703" s="1"/>
      <c r="BC3703" s="1">
        <v>41808</v>
      </c>
      <c r="BD3703" s="1">
        <v>43216</v>
      </c>
      <c r="BE3703" s="1">
        <v>75.7</v>
      </c>
      <c r="BF3703" s="1">
        <v>7.57</v>
      </c>
      <c r="BG3703" s="1"/>
      <c r="BH3703" s="1"/>
      <c r="BI3703" s="1"/>
      <c r="BJ3703" s="1"/>
      <c r="BK3703" s="1" t="s">
        <v>98</v>
      </c>
      <c r="BL3703" s="1" t="s">
        <v>98</v>
      </c>
      <c r="BM3703" s="1" t="s">
        <v>98</v>
      </c>
      <c r="BN3703" s="1" t="s">
        <v>98</v>
      </c>
      <c r="BO3703" s="1" t="s">
        <v>369</v>
      </c>
      <c r="BP3703" s="1"/>
      <c r="BQ3703" s="1"/>
      <c r="BR3703" s="1" t="s">
        <v>58879</v>
      </c>
      <c r="BS3703" s="1">
        <v>21</v>
      </c>
      <c r="BT3703" s="1"/>
      <c r="BU3703" s="1" t="str">
        <f>HYPERLINK("https://nconnect.nicmar.ac.in/storage/profile/2021-2023_AP21509_728965.jpg","Download")</f>
        <v>0</v>
      </c>
      <c r="BV3703" s="3"/>
      <c r="BW3703" s="3"/>
    </row>
    <row r="3704" spans="1:75">
      <c r="A3704" s="1" t="s">
        <v>51340</v>
      </c>
      <c r="B3704" s="1" t="s">
        <v>51341</v>
      </c>
      <c r="C3704" s="1" t="s">
        <v>58880</v>
      </c>
      <c r="D3704" s="1" t="s">
        <v>761</v>
      </c>
      <c r="E3704" s="1" t="s">
        <v>10414</v>
      </c>
      <c r="F3704" s="1" t="s">
        <v>58881</v>
      </c>
      <c r="G3704" s="1" t="s">
        <v>58882</v>
      </c>
      <c r="H3704" s="1" t="s">
        <v>58883</v>
      </c>
      <c r="I3704" s="1" t="s">
        <v>58884</v>
      </c>
      <c r="J3704" s="1">
        <v>9404384488</v>
      </c>
      <c r="K3704" s="1" t="s">
        <v>84</v>
      </c>
      <c r="L3704" s="1" t="s">
        <v>55423</v>
      </c>
      <c r="M3704" s="1" t="s">
        <v>86</v>
      </c>
      <c r="N3704" s="1" t="s">
        <v>1163</v>
      </c>
      <c r="O3704" s="1"/>
      <c r="P3704" s="1" t="s">
        <v>455</v>
      </c>
      <c r="Q3704" s="1" t="s">
        <v>58885</v>
      </c>
      <c r="R3704" s="1" t="s">
        <v>58886</v>
      </c>
      <c r="S3704" s="1">
        <v>9421100221</v>
      </c>
      <c r="T3704" s="1" t="s">
        <v>1552</v>
      </c>
      <c r="U3704" s="1" t="s">
        <v>58887</v>
      </c>
      <c r="V3704" s="1">
        <v>9403454100</v>
      </c>
      <c r="W3704" s="1" t="s">
        <v>1552</v>
      </c>
      <c r="X3704" s="1" t="s">
        <v>58888</v>
      </c>
      <c r="Y3704" s="1" t="s">
        <v>1989</v>
      </c>
      <c r="Z3704" s="1" t="s">
        <v>97</v>
      </c>
      <c r="AA3704" s="1" t="s">
        <v>58889</v>
      </c>
      <c r="AB3704" s="1" t="s">
        <v>196</v>
      </c>
      <c r="AC3704" s="1" t="s">
        <v>97</v>
      </c>
      <c r="AD3704" s="1" t="s">
        <v>98</v>
      </c>
      <c r="AE3704" s="1" t="s">
        <v>98</v>
      </c>
      <c r="AF3704" s="1" t="s">
        <v>42018</v>
      </c>
      <c r="AG3704" s="1" t="s">
        <v>1968</v>
      </c>
      <c r="AH3704" s="1">
        <v>41004</v>
      </c>
      <c r="AI3704" s="1" t="s">
        <v>52453</v>
      </c>
      <c r="AJ3704" s="1">
        <v>84</v>
      </c>
      <c r="AK3704" s="1"/>
      <c r="AL3704" s="1" t="s">
        <v>58890</v>
      </c>
      <c r="AM3704" s="1" t="s">
        <v>1968</v>
      </c>
      <c r="AN3704" s="1"/>
      <c r="AO3704" s="1">
        <v>41705</v>
      </c>
      <c r="AP3704" s="1">
        <v>42151</v>
      </c>
      <c r="AQ3704" s="1">
        <v>60.62</v>
      </c>
      <c r="AR3704" s="1"/>
      <c r="AS3704" s="1"/>
      <c r="AT3704" s="1"/>
      <c r="AU3704" s="1" t="s">
        <v>98</v>
      </c>
      <c r="AV3704" s="1" t="s">
        <v>98</v>
      </c>
      <c r="AW3704" s="1" t="s">
        <v>98</v>
      </c>
      <c r="AX3704" s="1" t="s">
        <v>98</v>
      </c>
      <c r="AY3704" s="1" t="s">
        <v>366</v>
      </c>
      <c r="AZ3704" s="1" t="s">
        <v>58891</v>
      </c>
      <c r="BA3704" s="1"/>
      <c r="BB3704" s="1"/>
      <c r="BC3704" s="1">
        <v>42590</v>
      </c>
      <c r="BD3704" s="1">
        <v>44146</v>
      </c>
      <c r="BE3704" s="1">
        <v>67.05</v>
      </c>
      <c r="BF3704" s="1">
        <v>7.62</v>
      </c>
      <c r="BG3704" s="1"/>
      <c r="BH3704" s="1"/>
      <c r="BI3704" s="1"/>
      <c r="BJ3704" s="1"/>
      <c r="BK3704" s="1" t="s">
        <v>98</v>
      </c>
      <c r="BL3704" s="1" t="s">
        <v>98</v>
      </c>
      <c r="BM3704" s="1" t="s">
        <v>98</v>
      </c>
      <c r="BN3704" s="1" t="s">
        <v>98</v>
      </c>
      <c r="BO3704" s="1" t="s">
        <v>369</v>
      </c>
      <c r="BP3704" s="1" t="s">
        <v>58892</v>
      </c>
      <c r="BQ3704" s="1" t="s">
        <v>471</v>
      </c>
      <c r="BR3704" s="1" t="s">
        <v>58893</v>
      </c>
      <c r="BS3704" s="1">
        <v>11</v>
      </c>
      <c r="BT3704" s="1"/>
      <c r="BU3704" s="1" t="str">
        <f>HYPERLINK("https://nconnect.nicmar.ac.in/storage/profile/2021-2023_AP21510_574932.jpg","Download")</f>
        <v>0</v>
      </c>
      <c r="BV3704" s="3"/>
      <c r="BW3704" s="3"/>
    </row>
    <row r="3705" spans="1:75">
      <c r="A3705" s="1" t="s">
        <v>51340</v>
      </c>
      <c r="B3705" s="1" t="s">
        <v>51341</v>
      </c>
      <c r="C3705" s="1" t="s">
        <v>58894</v>
      </c>
      <c r="D3705" s="1" t="s">
        <v>4646</v>
      </c>
      <c r="E3705" s="1"/>
      <c r="F3705" s="1" t="s">
        <v>58895</v>
      </c>
      <c r="G3705" s="1" t="s">
        <v>58896</v>
      </c>
      <c r="H3705" s="1" t="s">
        <v>58897</v>
      </c>
      <c r="I3705" s="1" t="s">
        <v>58898</v>
      </c>
      <c r="J3705" s="1">
        <v>9603355462</v>
      </c>
      <c r="K3705" s="1" t="s">
        <v>84</v>
      </c>
      <c r="L3705" s="1" t="s">
        <v>30413</v>
      </c>
      <c r="M3705" s="1" t="s">
        <v>86</v>
      </c>
      <c r="N3705" s="1" t="s">
        <v>19114</v>
      </c>
      <c r="O3705" s="1"/>
      <c r="P3705" s="1" t="s">
        <v>507</v>
      </c>
      <c r="Q3705" s="1" t="s">
        <v>58899</v>
      </c>
      <c r="R3705" s="1" t="s">
        <v>58900</v>
      </c>
      <c r="S3705" s="1">
        <v>9393844449</v>
      </c>
      <c r="T3705" s="1" t="s">
        <v>839</v>
      </c>
      <c r="U3705" s="1" t="s">
        <v>58901</v>
      </c>
      <c r="V3705" s="1">
        <v>8465814999</v>
      </c>
      <c r="W3705" s="1" t="s">
        <v>94</v>
      </c>
      <c r="X3705" s="1" t="s">
        <v>58902</v>
      </c>
      <c r="Y3705" s="1" t="s">
        <v>57066</v>
      </c>
      <c r="Z3705" s="1" t="s">
        <v>281</v>
      </c>
      <c r="AA3705" s="1" t="s">
        <v>58902</v>
      </c>
      <c r="AB3705" s="1" t="s">
        <v>57066</v>
      </c>
      <c r="AC3705" s="1" t="s">
        <v>281</v>
      </c>
      <c r="AD3705" s="1" t="s">
        <v>98</v>
      </c>
      <c r="AE3705" s="1" t="s">
        <v>98</v>
      </c>
      <c r="AF3705" s="1" t="s">
        <v>58903</v>
      </c>
      <c r="AG3705" s="1" t="s">
        <v>1418</v>
      </c>
      <c r="AH3705" s="1">
        <v>41437</v>
      </c>
      <c r="AI3705" s="1">
        <v>41774</v>
      </c>
      <c r="AJ3705" s="1">
        <v>85.5</v>
      </c>
      <c r="AK3705" s="1">
        <v>9</v>
      </c>
      <c r="AL3705" s="1" t="s">
        <v>1843</v>
      </c>
      <c r="AM3705" s="1" t="s">
        <v>1418</v>
      </c>
      <c r="AN3705" s="1"/>
      <c r="AO3705" s="1">
        <v>42195</v>
      </c>
      <c r="AP3705" s="1">
        <v>42479</v>
      </c>
      <c r="AQ3705" s="1">
        <v>89.6</v>
      </c>
      <c r="AR3705" s="1"/>
      <c r="AS3705" s="1"/>
      <c r="AT3705" s="1"/>
      <c r="AU3705" s="1" t="s">
        <v>98</v>
      </c>
      <c r="AV3705" s="1" t="s">
        <v>98</v>
      </c>
      <c r="AW3705" s="1" t="s">
        <v>98</v>
      </c>
      <c r="AX3705" s="1" t="s">
        <v>98</v>
      </c>
      <c r="AY3705" s="1" t="s">
        <v>2654</v>
      </c>
      <c r="AZ3705" s="1" t="s">
        <v>58904</v>
      </c>
      <c r="BA3705" s="1"/>
      <c r="BB3705" s="1"/>
      <c r="BC3705" s="1">
        <v>42578</v>
      </c>
      <c r="BD3705" s="1">
        <v>44089</v>
      </c>
      <c r="BE3705" s="1">
        <v>71.2</v>
      </c>
      <c r="BF3705" s="1">
        <v>7.87</v>
      </c>
      <c r="BG3705" s="1"/>
      <c r="BH3705" s="1"/>
      <c r="BI3705" s="1"/>
      <c r="BJ3705" s="1"/>
      <c r="BK3705" s="1" t="s">
        <v>98</v>
      </c>
      <c r="BL3705" s="1" t="s">
        <v>98</v>
      </c>
      <c r="BM3705" s="1" t="s">
        <v>98</v>
      </c>
      <c r="BN3705" s="1" t="s">
        <v>98</v>
      </c>
      <c r="BO3705" s="1" t="s">
        <v>1114</v>
      </c>
      <c r="BP3705" s="1" t="s">
        <v>58905</v>
      </c>
      <c r="BQ3705" s="1" t="s">
        <v>10925</v>
      </c>
      <c r="BR3705" s="1" t="s">
        <v>58906</v>
      </c>
      <c r="BS3705" s="1">
        <v>7</v>
      </c>
      <c r="BT3705" s="1"/>
      <c r="BU3705" s="1" t="str">
        <f>HYPERLINK("https://nconnect.nicmar.ac.in/storage/profile/2021-2023_AP21511_169382.jpg","Download")</f>
        <v>0</v>
      </c>
      <c r="BV3705" s="3"/>
      <c r="BW3705" s="3"/>
    </row>
    <row r="3706" spans="1:75">
      <c r="A3706" s="1" t="s">
        <v>51340</v>
      </c>
      <c r="B3706" s="1" t="s">
        <v>51341</v>
      </c>
      <c r="C3706" s="1" t="s">
        <v>58907</v>
      </c>
      <c r="D3706" s="1" t="s">
        <v>58908</v>
      </c>
      <c r="E3706" s="1"/>
      <c r="F3706" s="1" t="s">
        <v>58909</v>
      </c>
      <c r="G3706" s="1" t="s">
        <v>58910</v>
      </c>
      <c r="H3706" s="1" t="s">
        <v>58911</v>
      </c>
      <c r="I3706" s="1" t="s">
        <v>58912</v>
      </c>
      <c r="J3706" s="1">
        <v>8885910888</v>
      </c>
      <c r="K3706" s="1" t="s">
        <v>84</v>
      </c>
      <c r="L3706" s="1" t="s">
        <v>7057</v>
      </c>
      <c r="M3706" s="1" t="s">
        <v>86</v>
      </c>
      <c r="N3706" s="1" t="s">
        <v>58913</v>
      </c>
      <c r="O3706" s="1"/>
      <c r="P3706" s="1" t="s">
        <v>455</v>
      </c>
      <c r="Q3706" s="1" t="s">
        <v>58914</v>
      </c>
      <c r="R3706" s="1" t="s">
        <v>58915</v>
      </c>
      <c r="S3706" s="1">
        <v>8686686245</v>
      </c>
      <c r="T3706" s="1" t="s">
        <v>839</v>
      </c>
      <c r="U3706" s="1" t="s">
        <v>58916</v>
      </c>
      <c r="V3706" s="1">
        <v>8885610888</v>
      </c>
      <c r="W3706" s="1" t="s">
        <v>94</v>
      </c>
      <c r="X3706" s="1" t="s">
        <v>58917</v>
      </c>
      <c r="Y3706" s="1" t="s">
        <v>13200</v>
      </c>
      <c r="Z3706" s="1" t="s">
        <v>281</v>
      </c>
      <c r="AA3706" s="1" t="s">
        <v>98</v>
      </c>
      <c r="AB3706" s="1" t="s">
        <v>13200</v>
      </c>
      <c r="AC3706" s="1" t="s">
        <v>281</v>
      </c>
      <c r="AD3706" s="1" t="s">
        <v>98</v>
      </c>
      <c r="AE3706" s="1" t="s">
        <v>98</v>
      </c>
      <c r="AF3706" s="1" t="s">
        <v>58918</v>
      </c>
      <c r="AG3706" s="1" t="s">
        <v>52041</v>
      </c>
      <c r="AH3706" s="1">
        <v>41801</v>
      </c>
      <c r="AI3706" s="1">
        <v>42104</v>
      </c>
      <c r="AJ3706" s="1">
        <v>54.15</v>
      </c>
      <c r="AK3706" s="1">
        <v>5.7</v>
      </c>
      <c r="AL3706" s="1" t="s">
        <v>58919</v>
      </c>
      <c r="AM3706" s="1" t="s">
        <v>52041</v>
      </c>
      <c r="AN3706" s="1"/>
      <c r="AO3706" s="1">
        <v>42166</v>
      </c>
      <c r="AP3706" s="1">
        <v>42838</v>
      </c>
      <c r="AQ3706" s="1">
        <v>56.5</v>
      </c>
      <c r="AR3706" s="1"/>
      <c r="AS3706" s="1"/>
      <c r="AT3706" s="1"/>
      <c r="AU3706" s="1" t="s">
        <v>98</v>
      </c>
      <c r="AV3706" s="1" t="s">
        <v>98</v>
      </c>
      <c r="AW3706" s="1" t="s">
        <v>98</v>
      </c>
      <c r="AX3706" s="1" t="s">
        <v>98</v>
      </c>
      <c r="AY3706" s="1" t="s">
        <v>58920</v>
      </c>
      <c r="AZ3706" s="1" t="s">
        <v>58920</v>
      </c>
      <c r="BA3706" s="1"/>
      <c r="BB3706" s="1"/>
      <c r="BC3706" s="1">
        <v>42949</v>
      </c>
      <c r="BD3706" s="1">
        <v>44327</v>
      </c>
      <c r="BE3706" s="1">
        <v>69.17</v>
      </c>
      <c r="BF3706" s="1">
        <v>7.57</v>
      </c>
      <c r="BG3706" s="1"/>
      <c r="BH3706" s="1"/>
      <c r="BI3706" s="1"/>
      <c r="BJ3706" s="1"/>
      <c r="BK3706" s="1" t="s">
        <v>98</v>
      </c>
      <c r="BL3706" s="1" t="s">
        <v>98</v>
      </c>
      <c r="BM3706" s="1" t="s">
        <v>98</v>
      </c>
      <c r="BN3706" s="1" t="s">
        <v>98</v>
      </c>
      <c r="BO3706" s="1" t="s">
        <v>57009</v>
      </c>
      <c r="BP3706" s="1"/>
      <c r="BQ3706" s="1"/>
      <c r="BR3706" s="1" t="s">
        <v>58921</v>
      </c>
      <c r="BS3706" s="1">
        <v>21</v>
      </c>
      <c r="BT3706" s="1"/>
      <c r="BU3706" s="1" t="str">
        <f>HYPERLINK("https://nconnect.nicmar.ac.in/storage/profile/2021-2023_AP21512_375692.jpg","Download")</f>
        <v>0</v>
      </c>
      <c r="BV3706" s="3"/>
      <c r="BW3706" s="3"/>
    </row>
    <row r="3707" spans="1:75">
      <c r="A3707" s="1" t="s">
        <v>51340</v>
      </c>
      <c r="B3707" s="1" t="s">
        <v>51341</v>
      </c>
      <c r="C3707" s="1" t="s">
        <v>58922</v>
      </c>
      <c r="D3707" s="1" t="s">
        <v>58923</v>
      </c>
      <c r="E3707" s="1" t="s">
        <v>58924</v>
      </c>
      <c r="F3707" s="1" t="s">
        <v>33964</v>
      </c>
      <c r="G3707" s="1" t="s">
        <v>58925</v>
      </c>
      <c r="H3707" s="1" t="s">
        <v>58926</v>
      </c>
      <c r="I3707" s="1" t="s">
        <v>58927</v>
      </c>
      <c r="J3707" s="1">
        <v>9518509249</v>
      </c>
      <c r="K3707" s="1" t="s">
        <v>153</v>
      </c>
      <c r="L3707" s="1" t="s">
        <v>58928</v>
      </c>
      <c r="M3707" s="1" t="s">
        <v>86</v>
      </c>
      <c r="N3707" s="1" t="s">
        <v>1163</v>
      </c>
      <c r="O3707" s="1"/>
      <c r="P3707" s="1" t="s">
        <v>507</v>
      </c>
      <c r="Q3707" s="1" t="s">
        <v>58929</v>
      </c>
      <c r="R3707" s="1" t="s">
        <v>58930</v>
      </c>
      <c r="S3707" s="1">
        <v>9822927562</v>
      </c>
      <c r="T3707" s="1" t="s">
        <v>926</v>
      </c>
      <c r="U3707" s="1" t="s">
        <v>58931</v>
      </c>
      <c r="V3707" s="1">
        <v>7058187562</v>
      </c>
      <c r="W3707" s="1" t="s">
        <v>161</v>
      </c>
      <c r="X3707" s="1" t="s">
        <v>58932</v>
      </c>
      <c r="Y3707" s="1" t="s">
        <v>384</v>
      </c>
      <c r="Z3707" s="1" t="s">
        <v>97</v>
      </c>
      <c r="AA3707" s="1" t="s">
        <v>58932</v>
      </c>
      <c r="AB3707" s="1" t="s">
        <v>384</v>
      </c>
      <c r="AC3707" s="1" t="s">
        <v>97</v>
      </c>
      <c r="AD3707" s="1" t="s">
        <v>98</v>
      </c>
      <c r="AE3707" s="1" t="s">
        <v>98</v>
      </c>
      <c r="AF3707" s="1" t="s">
        <v>58933</v>
      </c>
      <c r="AG3707" s="1" t="s">
        <v>796</v>
      </c>
      <c r="AH3707" s="1">
        <v>41791</v>
      </c>
      <c r="AI3707" s="1">
        <v>42152</v>
      </c>
      <c r="AJ3707" s="1">
        <v>74.6</v>
      </c>
      <c r="AK3707" s="1">
        <v>8.2</v>
      </c>
      <c r="AL3707" s="1" t="s">
        <v>58934</v>
      </c>
      <c r="AM3707" s="1" t="s">
        <v>796</v>
      </c>
      <c r="AN3707" s="1"/>
      <c r="AO3707" s="1">
        <v>42583</v>
      </c>
      <c r="AP3707" s="1">
        <v>42916</v>
      </c>
      <c r="AQ3707" s="1">
        <v>70</v>
      </c>
      <c r="AR3707" s="1">
        <v>0</v>
      </c>
      <c r="AS3707" s="1"/>
      <c r="AT3707" s="1"/>
      <c r="AU3707" s="1" t="s">
        <v>98</v>
      </c>
      <c r="AV3707" s="1" t="s">
        <v>98</v>
      </c>
      <c r="AW3707" s="1" t="s">
        <v>98</v>
      </c>
      <c r="AX3707" s="1" t="s">
        <v>98</v>
      </c>
      <c r="AY3707" s="1" t="s">
        <v>107</v>
      </c>
      <c r="AZ3707" s="1" t="s">
        <v>58935</v>
      </c>
      <c r="BA3707" s="1"/>
      <c r="BB3707" s="1"/>
      <c r="BC3707" s="1">
        <v>42948</v>
      </c>
      <c r="BD3707" s="1">
        <v>44470</v>
      </c>
      <c r="BE3707" s="1">
        <v>80.8</v>
      </c>
      <c r="BF3707" s="1">
        <v>8.58</v>
      </c>
      <c r="BG3707" s="1"/>
      <c r="BH3707" s="1"/>
      <c r="BI3707" s="1"/>
      <c r="BJ3707" s="1"/>
      <c r="BK3707" s="1" t="s">
        <v>98</v>
      </c>
      <c r="BL3707" s="1" t="s">
        <v>98</v>
      </c>
      <c r="BM3707" s="1" t="s">
        <v>98</v>
      </c>
      <c r="BN3707" s="1" t="s">
        <v>98</v>
      </c>
      <c r="BO3707" s="1" t="s">
        <v>58936</v>
      </c>
      <c r="BP3707" s="1"/>
      <c r="BQ3707" s="1"/>
      <c r="BR3707" s="1" t="s">
        <v>58937</v>
      </c>
      <c r="BS3707" s="1">
        <v>31</v>
      </c>
      <c r="BT3707" s="1"/>
      <c r="BU3707" s="1" t="str">
        <f>HYPERLINK("https://nconnect.nicmar.ac.in/storage/profile/2021-2023_AP21513_528943.jpg","Download")</f>
        <v>0</v>
      </c>
      <c r="BV3707" s="3"/>
      <c r="BW3707" s="3"/>
    </row>
    <row r="3708" spans="1:75">
      <c r="A3708" s="1" t="s">
        <v>51340</v>
      </c>
      <c r="B3708" s="1" t="s">
        <v>51341</v>
      </c>
      <c r="C3708" s="1" t="s">
        <v>58938</v>
      </c>
      <c r="D3708" s="1" t="s">
        <v>58939</v>
      </c>
      <c r="E3708" s="1"/>
      <c r="F3708" s="1" t="s">
        <v>7759</v>
      </c>
      <c r="G3708" s="1" t="s">
        <v>58940</v>
      </c>
      <c r="H3708" s="1" t="s">
        <v>58941</v>
      </c>
      <c r="I3708" s="1" t="s">
        <v>58942</v>
      </c>
      <c r="J3708" s="1">
        <v>8700613753</v>
      </c>
      <c r="K3708" s="1" t="s">
        <v>84</v>
      </c>
      <c r="L3708" s="1" t="s">
        <v>58943</v>
      </c>
      <c r="M3708" s="1" t="s">
        <v>86</v>
      </c>
      <c r="N3708" s="1" t="s">
        <v>58944</v>
      </c>
      <c r="O3708" s="1"/>
      <c r="P3708" s="1" t="s">
        <v>455</v>
      </c>
      <c r="Q3708" s="1" t="s">
        <v>58945</v>
      </c>
      <c r="R3708" s="1" t="s">
        <v>58946</v>
      </c>
      <c r="S3708" s="1">
        <v>8860337714</v>
      </c>
      <c r="T3708" s="1" t="s">
        <v>5027</v>
      </c>
      <c r="U3708" s="1" t="s">
        <v>58947</v>
      </c>
      <c r="V3708" s="1">
        <v>8860337715</v>
      </c>
      <c r="W3708" s="1" t="s">
        <v>5027</v>
      </c>
      <c r="X3708" s="1" t="s">
        <v>58948</v>
      </c>
      <c r="Y3708" s="1" t="s">
        <v>3767</v>
      </c>
      <c r="Z3708" s="1" t="s">
        <v>544</v>
      </c>
      <c r="AA3708" s="1" t="s">
        <v>98</v>
      </c>
      <c r="AB3708" s="1" t="s">
        <v>196</v>
      </c>
      <c r="AC3708" s="1" t="s">
        <v>97</v>
      </c>
      <c r="AD3708" s="1" t="s">
        <v>98</v>
      </c>
      <c r="AE3708" s="1" t="s">
        <v>98</v>
      </c>
      <c r="AF3708" s="1" t="s">
        <v>58949</v>
      </c>
      <c r="AG3708" s="1" t="s">
        <v>312</v>
      </c>
      <c r="AH3708" s="1">
        <v>41001</v>
      </c>
      <c r="AI3708" s="1">
        <v>41337</v>
      </c>
      <c r="AJ3708" s="1">
        <v>87.4</v>
      </c>
      <c r="AK3708" s="1">
        <v>9.2</v>
      </c>
      <c r="AL3708" s="1" t="s">
        <v>58949</v>
      </c>
      <c r="AM3708" s="1" t="s">
        <v>312</v>
      </c>
      <c r="AN3708" s="1"/>
      <c r="AO3708" s="1">
        <v>41730</v>
      </c>
      <c r="AP3708" s="1">
        <v>42188</v>
      </c>
      <c r="AQ3708" s="1">
        <v>80.4</v>
      </c>
      <c r="AR3708" s="1"/>
      <c r="AS3708" s="1"/>
      <c r="AT3708" s="1"/>
      <c r="AU3708" s="1" t="s">
        <v>98</v>
      </c>
      <c r="AV3708" s="1" t="s">
        <v>98</v>
      </c>
      <c r="AW3708" s="1" t="s">
        <v>98</v>
      </c>
      <c r="AX3708" s="1" t="s">
        <v>98</v>
      </c>
      <c r="AY3708" s="1" t="s">
        <v>5106</v>
      </c>
      <c r="AZ3708" s="1" t="s">
        <v>5106</v>
      </c>
      <c r="BA3708" s="1"/>
      <c r="BB3708" s="1"/>
      <c r="BC3708" s="1">
        <v>42226</v>
      </c>
      <c r="BD3708" s="1">
        <v>43587</v>
      </c>
      <c r="BE3708" s="1">
        <v>74.95</v>
      </c>
      <c r="BF3708" s="1">
        <v>7.89</v>
      </c>
      <c r="BG3708" s="1"/>
      <c r="BH3708" s="1"/>
      <c r="BI3708" s="1"/>
      <c r="BJ3708" s="1"/>
      <c r="BK3708" s="1" t="s">
        <v>98</v>
      </c>
      <c r="BL3708" s="1" t="s">
        <v>98</v>
      </c>
      <c r="BM3708" s="1" t="s">
        <v>98</v>
      </c>
      <c r="BN3708" s="1" t="s">
        <v>98</v>
      </c>
      <c r="BO3708" s="1" t="s">
        <v>58950</v>
      </c>
      <c r="BP3708" s="1" t="s">
        <v>58951</v>
      </c>
      <c r="BQ3708" s="1" t="s">
        <v>4552</v>
      </c>
      <c r="BR3708" s="1" t="s">
        <v>58952</v>
      </c>
      <c r="BS3708" s="1">
        <v>18</v>
      </c>
      <c r="BT3708" s="1"/>
      <c r="BU3708" s="1" t="str">
        <f>HYPERLINK("https://nconnect.nicmar.ac.in/storage/profile/2021-2023_AP21514_485279.jpg","Download")</f>
        <v>0</v>
      </c>
      <c r="BV3708" s="3"/>
      <c r="BW3708" s="3"/>
    </row>
    <row r="3709" spans="1:75">
      <c r="A3709" s="1" t="s">
        <v>51340</v>
      </c>
      <c r="B3709" s="1" t="s">
        <v>51341</v>
      </c>
      <c r="C3709" s="1" t="s">
        <v>58953</v>
      </c>
      <c r="D3709" s="1" t="s">
        <v>1295</v>
      </c>
      <c r="E3709" s="1" t="s">
        <v>20744</v>
      </c>
      <c r="F3709" s="1" t="s">
        <v>27989</v>
      </c>
      <c r="G3709" s="1" t="s">
        <v>58954</v>
      </c>
      <c r="H3709" s="1" t="s">
        <v>58955</v>
      </c>
      <c r="I3709" s="1" t="s">
        <v>58956</v>
      </c>
      <c r="J3709" s="1">
        <v>8106295798</v>
      </c>
      <c r="K3709" s="1" t="s">
        <v>84</v>
      </c>
      <c r="L3709" s="1" t="s">
        <v>58957</v>
      </c>
      <c r="M3709" s="1" t="s">
        <v>86</v>
      </c>
      <c r="N3709" s="1" t="s">
        <v>8347</v>
      </c>
      <c r="O3709" s="1"/>
      <c r="P3709" s="1" t="s">
        <v>1028</v>
      </c>
      <c r="Q3709" s="1" t="s">
        <v>58958</v>
      </c>
      <c r="R3709" s="1" t="s">
        <v>58959</v>
      </c>
      <c r="S3709" s="1">
        <v>9347210049</v>
      </c>
      <c r="T3709" s="1" t="s">
        <v>5027</v>
      </c>
      <c r="U3709" s="1" t="s">
        <v>58960</v>
      </c>
      <c r="V3709" s="1">
        <v>9848461346</v>
      </c>
      <c r="W3709" s="1" t="s">
        <v>58961</v>
      </c>
      <c r="X3709" s="1" t="s">
        <v>58962</v>
      </c>
      <c r="Y3709" s="1" t="s">
        <v>3031</v>
      </c>
      <c r="Z3709" s="1" t="s">
        <v>461</v>
      </c>
      <c r="AA3709" s="1" t="s">
        <v>58962</v>
      </c>
      <c r="AB3709" s="1" t="s">
        <v>3031</v>
      </c>
      <c r="AC3709" s="1" t="s">
        <v>461</v>
      </c>
      <c r="AD3709" s="1" t="s">
        <v>98</v>
      </c>
      <c r="AE3709" s="1" t="s">
        <v>98</v>
      </c>
      <c r="AF3709" s="1" t="s">
        <v>58963</v>
      </c>
      <c r="AG3709" s="1" t="s">
        <v>312</v>
      </c>
      <c r="AH3709" s="1" t="s">
        <v>58964</v>
      </c>
      <c r="AI3709" s="1" t="s">
        <v>58965</v>
      </c>
      <c r="AJ3709" s="1">
        <v>87.4</v>
      </c>
      <c r="AK3709" s="1">
        <v>9.2</v>
      </c>
      <c r="AL3709" s="1" t="s">
        <v>4051</v>
      </c>
      <c r="AM3709" s="1" t="s">
        <v>312</v>
      </c>
      <c r="AN3709" s="1"/>
      <c r="AO3709" s="1" t="s">
        <v>58966</v>
      </c>
      <c r="AP3709" s="1" t="s">
        <v>58967</v>
      </c>
      <c r="AQ3709" s="1">
        <v>93.7</v>
      </c>
      <c r="AR3709" s="1">
        <v>9.37</v>
      </c>
      <c r="AS3709" s="1"/>
      <c r="AT3709" s="1"/>
      <c r="AU3709" s="1" t="s">
        <v>98</v>
      </c>
      <c r="AV3709" s="1" t="s">
        <v>98</v>
      </c>
      <c r="AW3709" s="1" t="s">
        <v>98</v>
      </c>
      <c r="AX3709" s="1" t="s">
        <v>98</v>
      </c>
      <c r="AY3709" s="1" t="s">
        <v>1823</v>
      </c>
      <c r="AZ3709" s="1" t="s">
        <v>58968</v>
      </c>
      <c r="BA3709" s="1"/>
      <c r="BB3709" s="1"/>
      <c r="BC3709" s="1">
        <v>42954</v>
      </c>
      <c r="BD3709" s="1">
        <v>44391</v>
      </c>
      <c r="BE3709" s="1">
        <v>72.4</v>
      </c>
      <c r="BF3709" s="1">
        <v>7.74</v>
      </c>
      <c r="BG3709" s="1"/>
      <c r="BH3709" s="1"/>
      <c r="BI3709" s="1"/>
      <c r="BJ3709" s="1"/>
      <c r="BK3709" s="1" t="s">
        <v>98</v>
      </c>
      <c r="BL3709" s="1" t="s">
        <v>98</v>
      </c>
      <c r="BM3709" s="1" t="s">
        <v>98</v>
      </c>
      <c r="BN3709" s="1" t="s">
        <v>98</v>
      </c>
      <c r="BO3709" s="1" t="s">
        <v>58969</v>
      </c>
      <c r="BP3709" s="1"/>
      <c r="BQ3709" s="1"/>
      <c r="BR3709" s="1" t="s">
        <v>58970</v>
      </c>
      <c r="BS3709" s="1">
        <v>12</v>
      </c>
      <c r="BT3709" s="1"/>
      <c r="BU3709" s="1" t="str">
        <f>HYPERLINK("https://nconnect.nicmar.ac.in/storage/profile/2021-2023_AP21515_213698.jpg","Download")</f>
        <v>0</v>
      </c>
      <c r="BV3709" s="3"/>
      <c r="BW3709" s="3"/>
    </row>
    <row r="3710" spans="1:75">
      <c r="A3710" s="1" t="s">
        <v>51340</v>
      </c>
      <c r="B3710" s="1" t="s">
        <v>51341</v>
      </c>
      <c r="C3710" s="1" t="s">
        <v>58971</v>
      </c>
      <c r="D3710" s="1" t="s">
        <v>58972</v>
      </c>
      <c r="E3710" s="1"/>
      <c r="F3710" s="1" t="s">
        <v>7814</v>
      </c>
      <c r="G3710" s="1" t="s">
        <v>58973</v>
      </c>
      <c r="H3710" s="1" t="s">
        <v>58974</v>
      </c>
      <c r="I3710" s="1" t="s">
        <v>58975</v>
      </c>
      <c r="J3710" s="1">
        <v>8700871110</v>
      </c>
      <c r="K3710" s="1" t="s">
        <v>153</v>
      </c>
      <c r="L3710" s="1" t="s">
        <v>58976</v>
      </c>
      <c r="M3710" s="1" t="s">
        <v>155</v>
      </c>
      <c r="N3710" s="1" t="s">
        <v>246</v>
      </c>
      <c r="O3710" s="1"/>
      <c r="P3710" s="1" t="s">
        <v>455</v>
      </c>
      <c r="Q3710" s="1" t="s">
        <v>58977</v>
      </c>
      <c r="R3710" s="1" t="s">
        <v>58978</v>
      </c>
      <c r="S3710" s="1">
        <v>9899966727</v>
      </c>
      <c r="T3710" s="1" t="s">
        <v>58979</v>
      </c>
      <c r="U3710" s="1" t="s">
        <v>58980</v>
      </c>
      <c r="V3710" s="1">
        <v>9953553107</v>
      </c>
      <c r="W3710" s="1" t="s">
        <v>34811</v>
      </c>
      <c r="X3710" s="1" t="s">
        <v>58981</v>
      </c>
      <c r="Y3710" s="1" t="s">
        <v>19329</v>
      </c>
      <c r="Z3710" s="1" t="s">
        <v>3419</v>
      </c>
      <c r="AA3710" s="1" t="s">
        <v>58981</v>
      </c>
      <c r="AB3710" s="1" t="s">
        <v>19329</v>
      </c>
      <c r="AC3710" s="1" t="s">
        <v>3419</v>
      </c>
      <c r="AD3710" s="1" t="s">
        <v>98</v>
      </c>
      <c r="AE3710" s="1" t="s">
        <v>98</v>
      </c>
      <c r="AF3710" s="1" t="s">
        <v>58982</v>
      </c>
      <c r="AG3710" s="1" t="s">
        <v>312</v>
      </c>
      <c r="AH3710" s="1">
        <v>39173</v>
      </c>
      <c r="AI3710" s="1">
        <v>39597</v>
      </c>
      <c r="AJ3710" s="1">
        <v>80.2</v>
      </c>
      <c r="AK3710" s="1"/>
      <c r="AL3710" s="1" t="s">
        <v>58983</v>
      </c>
      <c r="AM3710" s="1" t="s">
        <v>312</v>
      </c>
      <c r="AN3710" s="1"/>
      <c r="AO3710" s="1">
        <v>39904</v>
      </c>
      <c r="AP3710" s="1">
        <v>40319</v>
      </c>
      <c r="AQ3710" s="1">
        <v>63.33</v>
      </c>
      <c r="AR3710" s="1"/>
      <c r="AS3710" s="1"/>
      <c r="AT3710" s="1"/>
      <c r="AU3710" s="1" t="s">
        <v>98</v>
      </c>
      <c r="AV3710" s="1" t="s">
        <v>98</v>
      </c>
      <c r="AW3710" s="1" t="s">
        <v>98</v>
      </c>
      <c r="AX3710" s="1" t="s">
        <v>98</v>
      </c>
      <c r="AY3710" s="1" t="s">
        <v>6631</v>
      </c>
      <c r="AZ3710" s="1" t="s">
        <v>58984</v>
      </c>
      <c r="BA3710" s="1"/>
      <c r="BB3710" s="1"/>
      <c r="BC3710" s="1">
        <v>41487</v>
      </c>
      <c r="BD3710" s="1">
        <v>43277</v>
      </c>
      <c r="BE3710" s="1">
        <v>72</v>
      </c>
      <c r="BF3710" s="1"/>
      <c r="BG3710" s="1"/>
      <c r="BH3710" s="1"/>
      <c r="BI3710" s="1"/>
      <c r="BJ3710" s="1"/>
      <c r="BK3710" s="1" t="s">
        <v>98</v>
      </c>
      <c r="BL3710" s="1" t="s">
        <v>98</v>
      </c>
      <c r="BM3710" s="1" t="s">
        <v>98</v>
      </c>
      <c r="BN3710" s="1" t="s">
        <v>98</v>
      </c>
      <c r="BO3710" s="1" t="s">
        <v>260</v>
      </c>
      <c r="BP3710" s="1" t="s">
        <v>58985</v>
      </c>
      <c r="BQ3710" s="1" t="s">
        <v>6365</v>
      </c>
      <c r="BR3710" s="1" t="s">
        <v>58986</v>
      </c>
      <c r="BS3710" s="1">
        <v>13</v>
      </c>
      <c r="BT3710" s="1"/>
      <c r="BU3710" s="1" t="str">
        <f>HYPERLINK("https://nconnect.nicmar.ac.in/storage/profile/2021-2023_AP21516_758146.jpg","Download")</f>
        <v>0</v>
      </c>
      <c r="BV3710" s="3"/>
      <c r="BW3710" s="3"/>
    </row>
    <row r="3711" spans="1:75">
      <c r="A3711" s="1" t="s">
        <v>51340</v>
      </c>
      <c r="B3711" s="1" t="s">
        <v>51341</v>
      </c>
      <c r="C3711" s="1" t="s">
        <v>58987</v>
      </c>
      <c r="D3711" s="1" t="s">
        <v>58988</v>
      </c>
      <c r="E3711" s="1" t="s">
        <v>5921</v>
      </c>
      <c r="F3711" s="1" t="s">
        <v>32362</v>
      </c>
      <c r="G3711" s="1" t="s">
        <v>58989</v>
      </c>
      <c r="H3711" s="1" t="s">
        <v>58990</v>
      </c>
      <c r="I3711" s="1" t="s">
        <v>58991</v>
      </c>
      <c r="J3711" s="1">
        <v>8763470657</v>
      </c>
      <c r="K3711" s="1" t="s">
        <v>84</v>
      </c>
      <c r="L3711" s="1" t="s">
        <v>17281</v>
      </c>
      <c r="M3711" s="1" t="s">
        <v>86</v>
      </c>
      <c r="N3711" s="1" t="s">
        <v>881</v>
      </c>
      <c r="O3711" s="1"/>
      <c r="P3711" s="1" t="s">
        <v>455</v>
      </c>
      <c r="Q3711" s="1" t="s">
        <v>58992</v>
      </c>
      <c r="R3711" s="1" t="s">
        <v>58993</v>
      </c>
      <c r="S3711" s="1">
        <v>8249823562</v>
      </c>
      <c r="T3711" s="1" t="s">
        <v>5027</v>
      </c>
      <c r="U3711" s="1" t="s">
        <v>58994</v>
      </c>
      <c r="V3711" s="1">
        <v>7978623157</v>
      </c>
      <c r="W3711" s="1" t="s">
        <v>94</v>
      </c>
      <c r="X3711" s="1" t="s">
        <v>58995</v>
      </c>
      <c r="Y3711" s="1" t="s">
        <v>58996</v>
      </c>
      <c r="Z3711" s="1" t="s">
        <v>865</v>
      </c>
      <c r="AA3711" s="1" t="s">
        <v>58995</v>
      </c>
      <c r="AB3711" s="1" t="s">
        <v>58996</v>
      </c>
      <c r="AC3711" s="1" t="s">
        <v>865</v>
      </c>
      <c r="AD3711" s="1" t="s">
        <v>98</v>
      </c>
      <c r="AE3711" s="1" t="s">
        <v>98</v>
      </c>
      <c r="AF3711" s="1" t="s">
        <v>58997</v>
      </c>
      <c r="AG3711" s="1" t="s">
        <v>37511</v>
      </c>
      <c r="AH3711" s="1">
        <v>41379</v>
      </c>
      <c r="AI3711" s="1">
        <v>41759</v>
      </c>
      <c r="AJ3711" s="1">
        <v>90.33</v>
      </c>
      <c r="AK3711" s="1"/>
      <c r="AL3711" s="1" t="s">
        <v>58998</v>
      </c>
      <c r="AM3711" s="1" t="s">
        <v>14122</v>
      </c>
      <c r="AN3711" s="1"/>
      <c r="AO3711" s="1">
        <v>42224</v>
      </c>
      <c r="AP3711" s="1">
        <v>42503</v>
      </c>
      <c r="AQ3711" s="1">
        <v>71</v>
      </c>
      <c r="AR3711" s="1"/>
      <c r="AS3711" s="1"/>
      <c r="AT3711" s="1"/>
      <c r="AU3711" s="1" t="s">
        <v>98</v>
      </c>
      <c r="AV3711" s="1" t="s">
        <v>98</v>
      </c>
      <c r="AW3711" s="1" t="s">
        <v>98</v>
      </c>
      <c r="AX3711" s="1" t="s">
        <v>98</v>
      </c>
      <c r="AY3711" s="1" t="s">
        <v>13327</v>
      </c>
      <c r="AZ3711" s="1" t="s">
        <v>58999</v>
      </c>
      <c r="BA3711" s="1"/>
      <c r="BB3711" s="1"/>
      <c r="BC3711" s="1">
        <v>42947</v>
      </c>
      <c r="BD3711" s="1">
        <v>44331</v>
      </c>
      <c r="BE3711" s="1">
        <v>80.6</v>
      </c>
      <c r="BF3711" s="1">
        <v>8.56</v>
      </c>
      <c r="BG3711" s="1"/>
      <c r="BH3711" s="1"/>
      <c r="BI3711" s="1"/>
      <c r="BJ3711" s="1"/>
      <c r="BK3711" s="1" t="s">
        <v>98</v>
      </c>
      <c r="BL3711" s="1" t="s">
        <v>98</v>
      </c>
      <c r="BM3711" s="1" t="s">
        <v>98</v>
      </c>
      <c r="BN3711" s="1" t="s">
        <v>98</v>
      </c>
      <c r="BO3711" s="1" t="s">
        <v>872</v>
      </c>
      <c r="BP3711" s="1"/>
      <c r="BQ3711" s="1"/>
      <c r="BR3711" s="1" t="s">
        <v>59000</v>
      </c>
      <c r="BS3711" s="1">
        <v>12</v>
      </c>
      <c r="BT3711" s="1"/>
      <c r="BU3711" s="1" t="str">
        <f>HYPERLINK("https://nconnect.nicmar.ac.in/storage/profile/ProfilePhoto_AP21517_435897.jpg","Download")</f>
        <v>0</v>
      </c>
      <c r="BV3711" s="3"/>
      <c r="BW3711" s="3"/>
    </row>
    <row r="3712" spans="1:75">
      <c r="A3712" s="1" t="s">
        <v>59001</v>
      </c>
      <c r="B3712" s="1" t="s">
        <v>51341</v>
      </c>
      <c r="C3712" s="1" t="s">
        <v>59002</v>
      </c>
      <c r="D3712" s="1" t="s">
        <v>59003</v>
      </c>
      <c r="E3712" s="1"/>
      <c r="F3712" s="1" t="s">
        <v>59004</v>
      </c>
      <c r="G3712" s="1" t="s">
        <v>59005</v>
      </c>
      <c r="H3712" s="1" t="s">
        <v>59006</v>
      </c>
      <c r="I3712" s="1" t="s">
        <v>59007</v>
      </c>
      <c r="J3712" s="1">
        <v>9491911572</v>
      </c>
      <c r="K3712" s="1" t="s">
        <v>84</v>
      </c>
      <c r="L3712" s="1" t="s">
        <v>31753</v>
      </c>
      <c r="M3712" s="1" t="s">
        <v>86</v>
      </c>
      <c r="N3712" s="1" t="s">
        <v>59008</v>
      </c>
      <c r="O3712" s="1"/>
      <c r="P3712" s="1" t="s">
        <v>455</v>
      </c>
      <c r="Q3712" s="1" t="s">
        <v>59009</v>
      </c>
      <c r="R3712" s="1" t="s">
        <v>59010</v>
      </c>
      <c r="S3712" s="1">
        <v>9494374914</v>
      </c>
      <c r="T3712" s="1" t="s">
        <v>539</v>
      </c>
      <c r="U3712" s="1" t="s">
        <v>59011</v>
      </c>
      <c r="V3712" s="1">
        <v>9492783612</v>
      </c>
      <c r="W3712" s="1" t="s">
        <v>94</v>
      </c>
      <c r="X3712" s="1" t="s">
        <v>59012</v>
      </c>
      <c r="Y3712" s="1" t="s">
        <v>1454</v>
      </c>
      <c r="Z3712" s="1" t="s">
        <v>281</v>
      </c>
      <c r="AA3712" s="1" t="s">
        <v>59012</v>
      </c>
      <c r="AB3712" s="1" t="s">
        <v>1454</v>
      </c>
      <c r="AC3712" s="1" t="s">
        <v>281</v>
      </c>
      <c r="AD3712" s="1" t="s">
        <v>98</v>
      </c>
      <c r="AE3712" s="1" t="s">
        <v>98</v>
      </c>
      <c r="AF3712" s="1" t="s">
        <v>42430</v>
      </c>
      <c r="AG3712" s="1" t="s">
        <v>52041</v>
      </c>
      <c r="AH3712" s="1" t="s">
        <v>336</v>
      </c>
      <c r="AI3712" s="1" t="s">
        <v>801</v>
      </c>
      <c r="AJ3712" s="1">
        <v>67.5</v>
      </c>
      <c r="AK3712" s="1">
        <v>0</v>
      </c>
      <c r="AL3712" s="1" t="s">
        <v>4051</v>
      </c>
      <c r="AM3712" s="1" t="s">
        <v>52041</v>
      </c>
      <c r="AN3712" s="1"/>
      <c r="AO3712" s="1" t="s">
        <v>3770</v>
      </c>
      <c r="AP3712" s="1" t="s">
        <v>3421</v>
      </c>
      <c r="AQ3712" s="1">
        <v>80.6</v>
      </c>
      <c r="AR3712" s="1">
        <v>0</v>
      </c>
      <c r="AS3712" s="1"/>
      <c r="AT3712" s="1"/>
      <c r="AU3712" s="1" t="s">
        <v>98</v>
      </c>
      <c r="AV3712" s="1" t="s">
        <v>98</v>
      </c>
      <c r="AW3712" s="1" t="s">
        <v>98</v>
      </c>
      <c r="AX3712" s="1" t="s">
        <v>98</v>
      </c>
      <c r="AY3712" s="1" t="s">
        <v>59013</v>
      </c>
      <c r="AZ3712" s="1" t="s">
        <v>1440</v>
      </c>
      <c r="BA3712" s="1"/>
      <c r="BB3712" s="1"/>
      <c r="BC3712" s="1" t="s">
        <v>1213</v>
      </c>
      <c r="BD3712" s="1" t="s">
        <v>704</v>
      </c>
      <c r="BE3712" s="1">
        <v>66.5</v>
      </c>
      <c r="BF3712" s="1">
        <v>6.65</v>
      </c>
      <c r="BG3712" s="1"/>
      <c r="BH3712" s="1"/>
      <c r="BI3712" s="1"/>
      <c r="BJ3712" s="1"/>
      <c r="BK3712" s="1" t="s">
        <v>98</v>
      </c>
      <c r="BL3712" s="1" t="s">
        <v>98</v>
      </c>
      <c r="BM3712" s="1" t="s">
        <v>98</v>
      </c>
      <c r="BN3712" s="1" t="s">
        <v>98</v>
      </c>
      <c r="BO3712" s="1" t="s">
        <v>59014</v>
      </c>
      <c r="BP3712" s="1" t="s">
        <v>59015</v>
      </c>
      <c r="BQ3712" s="1" t="s">
        <v>8862</v>
      </c>
      <c r="BR3712" s="1" t="s">
        <v>59016</v>
      </c>
      <c r="BS3712" s="1">
        <v>16</v>
      </c>
      <c r="BT3712" s="1"/>
      <c r="BU3712" s="1" t="str">
        <f>HYPERLINK("https://nconnect.nicmar.ac.in/storage/profile/2021-2023_PP21001_142793.jpg","Download")</f>
        <v>0</v>
      </c>
      <c r="BV3712" s="3"/>
      <c r="BW3712" s="3"/>
    </row>
    <row r="3713" spans="1:75">
      <c r="A3713" s="1" t="s">
        <v>59001</v>
      </c>
      <c r="B3713" s="1" t="s">
        <v>51341</v>
      </c>
      <c r="C3713" s="1" t="s">
        <v>59017</v>
      </c>
      <c r="D3713" s="1" t="s">
        <v>7798</v>
      </c>
      <c r="E3713" s="1"/>
      <c r="F3713" s="1" t="s">
        <v>961</v>
      </c>
      <c r="G3713" s="1" t="s">
        <v>59018</v>
      </c>
      <c r="H3713" s="1" t="s">
        <v>59019</v>
      </c>
      <c r="I3713" s="1" t="s">
        <v>59020</v>
      </c>
      <c r="J3713" s="1">
        <v>7389412588</v>
      </c>
      <c r="K3713" s="1" t="s">
        <v>84</v>
      </c>
      <c r="L3713" s="1" t="s">
        <v>59021</v>
      </c>
      <c r="M3713" s="1" t="s">
        <v>86</v>
      </c>
      <c r="N3713" s="1" t="s">
        <v>246</v>
      </c>
      <c r="O3713" s="1"/>
      <c r="P3713" s="1" t="s">
        <v>455</v>
      </c>
      <c r="Q3713" s="1" t="s">
        <v>59022</v>
      </c>
      <c r="R3713" s="1" t="s">
        <v>59023</v>
      </c>
      <c r="S3713" s="1">
        <v>9425119377</v>
      </c>
      <c r="T3713" s="1" t="s">
        <v>59024</v>
      </c>
      <c r="U3713" s="1" t="s">
        <v>59025</v>
      </c>
      <c r="V3713" s="1">
        <v>9165323557</v>
      </c>
      <c r="W3713" s="1" t="s">
        <v>94</v>
      </c>
      <c r="X3713" s="1" t="s">
        <v>59026</v>
      </c>
      <c r="Y3713" s="1" t="s">
        <v>59027</v>
      </c>
      <c r="Z3713" s="1" t="s">
        <v>3419</v>
      </c>
      <c r="AA3713" s="1" t="s">
        <v>59026</v>
      </c>
      <c r="AB3713" s="1" t="s">
        <v>59027</v>
      </c>
      <c r="AC3713" s="1" t="s">
        <v>3419</v>
      </c>
      <c r="AD3713" s="1" t="s">
        <v>98</v>
      </c>
      <c r="AE3713" s="1" t="s">
        <v>98</v>
      </c>
      <c r="AF3713" s="1" t="s">
        <v>59028</v>
      </c>
      <c r="AG3713" s="1" t="s">
        <v>53920</v>
      </c>
      <c r="AH3713" s="1">
        <v>40360</v>
      </c>
      <c r="AI3713" s="1">
        <v>40691</v>
      </c>
      <c r="AJ3713" s="1">
        <v>62.33</v>
      </c>
      <c r="AK3713" s="1">
        <v>6.56</v>
      </c>
      <c r="AL3713" s="1" t="s">
        <v>59029</v>
      </c>
      <c r="AM3713" s="1" t="s">
        <v>53920</v>
      </c>
      <c r="AN3713" s="1"/>
      <c r="AO3713" s="1">
        <v>41091</v>
      </c>
      <c r="AP3713" s="1">
        <v>41415</v>
      </c>
      <c r="AQ3713" s="1">
        <v>47</v>
      </c>
      <c r="AR3713" s="1">
        <v>4.94</v>
      </c>
      <c r="AS3713" s="1"/>
      <c r="AT3713" s="1"/>
      <c r="AU3713" s="1" t="s">
        <v>98</v>
      </c>
      <c r="AV3713" s="1" t="s">
        <v>98</v>
      </c>
      <c r="AW3713" s="1" t="s">
        <v>98</v>
      </c>
      <c r="AX3713" s="1" t="s">
        <v>98</v>
      </c>
      <c r="AY3713" s="1" t="s">
        <v>2206</v>
      </c>
      <c r="AZ3713" s="1" t="s">
        <v>59030</v>
      </c>
      <c r="BA3713" s="1"/>
      <c r="BB3713" s="1"/>
      <c r="BC3713" s="1">
        <v>41487</v>
      </c>
      <c r="BD3713" s="1">
        <v>43251</v>
      </c>
      <c r="BE3713" s="1">
        <v>66.4</v>
      </c>
      <c r="BF3713" s="1">
        <v>6.64</v>
      </c>
      <c r="BG3713" s="1"/>
      <c r="BH3713" s="1"/>
      <c r="BI3713" s="1"/>
      <c r="BJ3713" s="1"/>
      <c r="BK3713" s="1" t="s">
        <v>98</v>
      </c>
      <c r="BL3713" s="1" t="s">
        <v>98</v>
      </c>
      <c r="BM3713" s="1" t="s">
        <v>98</v>
      </c>
      <c r="BN3713" s="1" t="s">
        <v>98</v>
      </c>
      <c r="BO3713" s="1" t="s">
        <v>59031</v>
      </c>
      <c r="BP3713" s="1" t="s">
        <v>59032</v>
      </c>
      <c r="BQ3713" s="1" t="s">
        <v>1357</v>
      </c>
      <c r="BR3713" s="1" t="s">
        <v>59033</v>
      </c>
      <c r="BS3713" s="1">
        <v>17</v>
      </c>
      <c r="BT3713" s="1"/>
      <c r="BU3713" s="1" t="str">
        <f>HYPERLINK("https://nconnect.nicmar.ac.in/storage/profile/2021-2023_PP21002_246978.png","Download")</f>
        <v>0</v>
      </c>
      <c r="BV3713" s="3"/>
      <c r="BW3713" s="3"/>
    </row>
    <row r="3714" spans="1:75">
      <c r="A3714" s="1" t="s">
        <v>59001</v>
      </c>
      <c r="B3714" s="1" t="s">
        <v>51341</v>
      </c>
      <c r="C3714" s="1" t="s">
        <v>59034</v>
      </c>
      <c r="D3714" s="1" t="s">
        <v>12804</v>
      </c>
      <c r="E3714" s="1"/>
      <c r="F3714" s="1" t="s">
        <v>36349</v>
      </c>
      <c r="G3714" s="1" t="s">
        <v>59035</v>
      </c>
      <c r="H3714" s="1" t="s">
        <v>59036</v>
      </c>
      <c r="I3714" s="1" t="s">
        <v>59037</v>
      </c>
      <c r="J3714" s="1">
        <v>8889222067</v>
      </c>
      <c r="K3714" s="1" t="s">
        <v>84</v>
      </c>
      <c r="L3714" s="1" t="s">
        <v>34725</v>
      </c>
      <c r="M3714" s="1" t="s">
        <v>86</v>
      </c>
      <c r="N3714" s="1" t="s">
        <v>58685</v>
      </c>
      <c r="O3714" s="1"/>
      <c r="P3714" s="1" t="s">
        <v>481</v>
      </c>
      <c r="Q3714" s="1" t="s">
        <v>59038</v>
      </c>
      <c r="R3714" s="1" t="s">
        <v>59039</v>
      </c>
      <c r="S3714" s="1">
        <v>8425875288</v>
      </c>
      <c r="T3714" s="1" t="s">
        <v>59040</v>
      </c>
      <c r="U3714" s="1" t="s">
        <v>59041</v>
      </c>
      <c r="V3714" s="1">
        <v>9977204699</v>
      </c>
      <c r="W3714" s="1" t="s">
        <v>59042</v>
      </c>
      <c r="X3714" s="1" t="s">
        <v>59043</v>
      </c>
      <c r="Y3714" s="1" t="s">
        <v>1189</v>
      </c>
      <c r="Z3714" s="1" t="s">
        <v>97</v>
      </c>
      <c r="AA3714" s="1" t="s">
        <v>59044</v>
      </c>
      <c r="AB3714" s="1" t="s">
        <v>2932</v>
      </c>
      <c r="AC3714" s="1" t="s">
        <v>2933</v>
      </c>
      <c r="AD3714" s="1" t="s">
        <v>98</v>
      </c>
      <c r="AE3714" s="1" t="s">
        <v>98</v>
      </c>
      <c r="AF3714" s="1" t="s">
        <v>59045</v>
      </c>
      <c r="AG3714" s="1" t="s">
        <v>312</v>
      </c>
      <c r="AH3714" s="1" t="s">
        <v>59046</v>
      </c>
      <c r="AI3714" s="1" t="s">
        <v>55004</v>
      </c>
      <c r="AJ3714" s="1">
        <v>74.1</v>
      </c>
      <c r="AK3714" s="1">
        <v>7.8</v>
      </c>
      <c r="AL3714" s="1" t="s">
        <v>38396</v>
      </c>
      <c r="AM3714" s="1" t="s">
        <v>312</v>
      </c>
      <c r="AN3714" s="1"/>
      <c r="AO3714" s="1" t="s">
        <v>56513</v>
      </c>
      <c r="AP3714" s="1" t="s">
        <v>52588</v>
      </c>
      <c r="AQ3714" s="1">
        <v>60.4</v>
      </c>
      <c r="AR3714" s="1"/>
      <c r="AS3714" s="1"/>
      <c r="AT3714" s="1"/>
      <c r="AU3714" s="1" t="s">
        <v>98</v>
      </c>
      <c r="AV3714" s="1" t="s">
        <v>98</v>
      </c>
      <c r="AW3714" s="1" t="s">
        <v>98</v>
      </c>
      <c r="AX3714" s="1" t="s">
        <v>98</v>
      </c>
      <c r="AY3714" s="1" t="s">
        <v>5338</v>
      </c>
      <c r="AZ3714" s="1" t="s">
        <v>59047</v>
      </c>
      <c r="BA3714" s="1"/>
      <c r="BB3714" s="1"/>
      <c r="BC3714" s="1" t="s">
        <v>57834</v>
      </c>
      <c r="BD3714" s="1" t="s">
        <v>59048</v>
      </c>
      <c r="BE3714" s="1">
        <v>65.69</v>
      </c>
      <c r="BF3714" s="1"/>
      <c r="BG3714" s="1"/>
      <c r="BH3714" s="1"/>
      <c r="BI3714" s="1"/>
      <c r="BJ3714" s="1"/>
      <c r="BK3714" s="1" t="s">
        <v>98</v>
      </c>
      <c r="BL3714" s="1" t="s">
        <v>98</v>
      </c>
      <c r="BM3714" s="1" t="s">
        <v>98</v>
      </c>
      <c r="BN3714" s="1" t="s">
        <v>98</v>
      </c>
      <c r="BO3714" s="1" t="s">
        <v>46164</v>
      </c>
      <c r="BP3714" s="1"/>
      <c r="BQ3714" s="1"/>
      <c r="BR3714" s="1" t="s">
        <v>59049</v>
      </c>
      <c r="BS3714" s="1">
        <v>12</v>
      </c>
      <c r="BT3714" s="1"/>
      <c r="BU3714" s="1" t="str">
        <f>HYPERLINK("https://nconnect.nicmar.ac.in/storage/profile/2021-2023_PP21003_312879.jpg","Download")</f>
        <v>0</v>
      </c>
      <c r="BV3714" s="3"/>
      <c r="BW3714" s="3"/>
    </row>
    <row r="3715" spans="1:75">
      <c r="A3715" s="1" t="s">
        <v>59001</v>
      </c>
      <c r="B3715" s="1" t="s">
        <v>51341</v>
      </c>
      <c r="C3715" s="1" t="s">
        <v>59050</v>
      </c>
      <c r="D3715" s="1" t="s">
        <v>59051</v>
      </c>
      <c r="E3715" s="1" t="s">
        <v>762</v>
      </c>
      <c r="F3715" s="1" t="s">
        <v>42878</v>
      </c>
      <c r="G3715" s="1" t="s">
        <v>59052</v>
      </c>
      <c r="H3715" s="1" t="s">
        <v>59053</v>
      </c>
      <c r="I3715" s="1" t="s">
        <v>59054</v>
      </c>
      <c r="J3715" s="1">
        <v>9764171773</v>
      </c>
      <c r="K3715" s="1" t="s">
        <v>84</v>
      </c>
      <c r="L3715" s="1" t="s">
        <v>59055</v>
      </c>
      <c r="M3715" s="1" t="s">
        <v>86</v>
      </c>
      <c r="N3715" s="1" t="s">
        <v>1163</v>
      </c>
      <c r="O3715" s="1"/>
      <c r="P3715" s="1" t="s">
        <v>507</v>
      </c>
      <c r="Q3715" s="1" t="s">
        <v>59056</v>
      </c>
      <c r="R3715" s="1" t="s">
        <v>59057</v>
      </c>
      <c r="S3715" s="1">
        <v>9370926309</v>
      </c>
      <c r="T3715" s="1" t="s">
        <v>926</v>
      </c>
      <c r="U3715" s="1" t="s">
        <v>59058</v>
      </c>
      <c r="V3715" s="1">
        <v>9673455132</v>
      </c>
      <c r="W3715" s="1" t="s">
        <v>94</v>
      </c>
      <c r="X3715" s="1" t="s">
        <v>59059</v>
      </c>
      <c r="Y3715" s="1" t="s">
        <v>910</v>
      </c>
      <c r="Z3715" s="1" t="s">
        <v>97</v>
      </c>
      <c r="AA3715" s="1" t="s">
        <v>59059</v>
      </c>
      <c r="AB3715" s="1" t="s">
        <v>910</v>
      </c>
      <c r="AC3715" s="1" t="s">
        <v>97</v>
      </c>
      <c r="AD3715" s="1" t="s">
        <v>98</v>
      </c>
      <c r="AE3715" s="1" t="s">
        <v>98</v>
      </c>
      <c r="AF3715" s="1" t="s">
        <v>59060</v>
      </c>
      <c r="AG3715" s="1" t="s">
        <v>1968</v>
      </c>
      <c r="AH3715" s="1" t="s">
        <v>59061</v>
      </c>
      <c r="AI3715" s="1" t="s">
        <v>59062</v>
      </c>
      <c r="AJ3715" s="1">
        <v>84.36</v>
      </c>
      <c r="AK3715" s="1"/>
      <c r="AL3715" s="1" t="s">
        <v>59063</v>
      </c>
      <c r="AM3715" s="1" t="s">
        <v>1968</v>
      </c>
      <c r="AN3715" s="1"/>
      <c r="AO3715" s="1" t="s">
        <v>59064</v>
      </c>
      <c r="AP3715" s="1" t="s">
        <v>59065</v>
      </c>
      <c r="AQ3715" s="1">
        <v>72.92</v>
      </c>
      <c r="AR3715" s="1"/>
      <c r="AS3715" s="1"/>
      <c r="AT3715" s="1"/>
      <c r="AU3715" s="1" t="s">
        <v>98</v>
      </c>
      <c r="AV3715" s="1" t="s">
        <v>98</v>
      </c>
      <c r="AW3715" s="1" t="s">
        <v>98</v>
      </c>
      <c r="AX3715" s="1" t="s">
        <v>98</v>
      </c>
      <c r="AY3715" s="1" t="s">
        <v>366</v>
      </c>
      <c r="AZ3715" s="1" t="s">
        <v>59066</v>
      </c>
      <c r="BA3715" s="1"/>
      <c r="BB3715" s="1"/>
      <c r="BC3715" s="1" t="s">
        <v>59067</v>
      </c>
      <c r="BD3715" s="1" t="s">
        <v>59068</v>
      </c>
      <c r="BE3715" s="1">
        <v>59.55</v>
      </c>
      <c r="BF3715" s="1"/>
      <c r="BG3715" s="1"/>
      <c r="BH3715" s="1"/>
      <c r="BI3715" s="1"/>
      <c r="BJ3715" s="1"/>
      <c r="BK3715" s="1" t="s">
        <v>98</v>
      </c>
      <c r="BL3715" s="1" t="s">
        <v>98</v>
      </c>
      <c r="BM3715" s="1" t="s">
        <v>98</v>
      </c>
      <c r="BN3715" s="1" t="s">
        <v>98</v>
      </c>
      <c r="BO3715" s="1" t="s">
        <v>260</v>
      </c>
      <c r="BP3715" s="1" t="s">
        <v>59069</v>
      </c>
      <c r="BQ3715" s="1" t="s">
        <v>143</v>
      </c>
      <c r="BR3715" s="1" t="s">
        <v>59070</v>
      </c>
      <c r="BS3715" s="1">
        <v>7</v>
      </c>
      <c r="BT3715" s="1"/>
      <c r="BU3715" s="1" t="s">
        <v>9653</v>
      </c>
      <c r="BV3715" s="3"/>
      <c r="BW3715" s="3"/>
    </row>
    <row r="3716" spans="1:75">
      <c r="A3716" s="1" t="s">
        <v>59001</v>
      </c>
      <c r="B3716" s="1" t="s">
        <v>51341</v>
      </c>
      <c r="C3716" s="1" t="s">
        <v>59071</v>
      </c>
      <c r="D3716" s="1" t="s">
        <v>7146</v>
      </c>
      <c r="E3716" s="1" t="s">
        <v>12752</v>
      </c>
      <c r="F3716" s="1" t="s">
        <v>52060</v>
      </c>
      <c r="G3716" s="1" t="s">
        <v>59072</v>
      </c>
      <c r="H3716" s="1" t="s">
        <v>59073</v>
      </c>
      <c r="I3716" s="1" t="s">
        <v>59074</v>
      </c>
      <c r="J3716" s="1">
        <v>9916704955</v>
      </c>
      <c r="K3716" s="1" t="s">
        <v>84</v>
      </c>
      <c r="L3716" s="1" t="s">
        <v>32019</v>
      </c>
      <c r="M3716" s="1" t="s">
        <v>86</v>
      </c>
      <c r="N3716" s="1" t="s">
        <v>59075</v>
      </c>
      <c r="O3716" s="1"/>
      <c r="P3716" s="1" t="s">
        <v>507</v>
      </c>
      <c r="Q3716" s="1" t="s">
        <v>59076</v>
      </c>
      <c r="R3716" s="1" t="s">
        <v>59077</v>
      </c>
      <c r="S3716" s="1">
        <v>7899840525</v>
      </c>
      <c r="T3716" s="1" t="s">
        <v>59078</v>
      </c>
      <c r="U3716" s="1" t="s">
        <v>59079</v>
      </c>
      <c r="V3716" s="1">
        <v>8088504295</v>
      </c>
      <c r="W3716" s="1" t="s">
        <v>94</v>
      </c>
      <c r="X3716" s="1" t="s">
        <v>59080</v>
      </c>
      <c r="Y3716" s="1" t="s">
        <v>14079</v>
      </c>
      <c r="Z3716" s="1" t="s">
        <v>97</v>
      </c>
      <c r="AA3716" s="1" t="s">
        <v>59081</v>
      </c>
      <c r="AB3716" s="1" t="s">
        <v>51747</v>
      </c>
      <c r="AC3716" s="1" t="s">
        <v>1210</v>
      </c>
      <c r="AD3716" s="1" t="s">
        <v>98</v>
      </c>
      <c r="AE3716" s="1" t="s">
        <v>98</v>
      </c>
      <c r="AF3716" s="1" t="s">
        <v>31436</v>
      </c>
      <c r="AG3716" s="1" t="s">
        <v>6474</v>
      </c>
      <c r="AH3716" s="1" t="s">
        <v>59082</v>
      </c>
      <c r="AI3716" s="1" t="s">
        <v>55345</v>
      </c>
      <c r="AJ3716" s="1">
        <v>80.5</v>
      </c>
      <c r="AK3716" s="1"/>
      <c r="AL3716" s="1" t="s">
        <v>59083</v>
      </c>
      <c r="AM3716" s="1" t="s">
        <v>51875</v>
      </c>
      <c r="AN3716" s="1"/>
      <c r="AO3716" s="1" t="s">
        <v>59084</v>
      </c>
      <c r="AP3716" s="1" t="s">
        <v>59085</v>
      </c>
      <c r="AQ3716" s="1">
        <v>71.84</v>
      </c>
      <c r="AR3716" s="1"/>
      <c r="AS3716" s="1"/>
      <c r="AT3716" s="1"/>
      <c r="AU3716" s="1" t="s">
        <v>98</v>
      </c>
      <c r="AV3716" s="1" t="s">
        <v>98</v>
      </c>
      <c r="AW3716" s="1" t="s">
        <v>98</v>
      </c>
      <c r="AX3716" s="1" t="s">
        <v>98</v>
      </c>
      <c r="AY3716" s="1" t="s">
        <v>1217</v>
      </c>
      <c r="AZ3716" s="1" t="s">
        <v>18421</v>
      </c>
      <c r="BA3716" s="1"/>
      <c r="BB3716" s="1"/>
      <c r="BC3716" s="1">
        <v>42956</v>
      </c>
      <c r="BD3716" s="1">
        <v>44415</v>
      </c>
      <c r="BE3716" s="1">
        <v>74.2</v>
      </c>
      <c r="BF3716" s="1">
        <v>8.17</v>
      </c>
      <c r="BG3716" s="1"/>
      <c r="BH3716" s="1"/>
      <c r="BI3716" s="1"/>
      <c r="BJ3716" s="1"/>
      <c r="BK3716" s="1" t="s">
        <v>98</v>
      </c>
      <c r="BL3716" s="1" t="s">
        <v>98</v>
      </c>
      <c r="BM3716" s="1" t="s">
        <v>98</v>
      </c>
      <c r="BN3716" s="1" t="s">
        <v>98</v>
      </c>
      <c r="BO3716" s="1" t="s">
        <v>59086</v>
      </c>
      <c r="BP3716" s="1"/>
      <c r="BQ3716" s="1"/>
      <c r="BR3716" s="1" t="s">
        <v>59087</v>
      </c>
      <c r="BS3716" s="1">
        <v>15</v>
      </c>
      <c r="BT3716" s="1"/>
      <c r="BU3716" s="1" t="str">
        <f>HYPERLINK("https://nconnect.nicmar.ac.in/storage/profile/2021-2023_PP21005_371294.jpg","Download")</f>
        <v>0</v>
      </c>
      <c r="BV3716" s="3"/>
      <c r="BW3716" s="3"/>
    </row>
    <row r="3717" spans="1:75">
      <c r="A3717" s="1" t="s">
        <v>59001</v>
      </c>
      <c r="B3717" s="1" t="s">
        <v>51341</v>
      </c>
      <c r="C3717" s="1" t="s">
        <v>59088</v>
      </c>
      <c r="D3717" s="1" t="s">
        <v>6136</v>
      </c>
      <c r="E3717" s="1"/>
      <c r="F3717" s="1" t="s">
        <v>19607</v>
      </c>
      <c r="G3717" s="1" t="s">
        <v>59089</v>
      </c>
      <c r="H3717" s="1" t="s">
        <v>59090</v>
      </c>
      <c r="I3717" s="1" t="s">
        <v>59090</v>
      </c>
      <c r="J3717" s="1"/>
      <c r="K3717" s="1" t="s">
        <v>84</v>
      </c>
      <c r="L3717" s="1" t="s">
        <v>6604</v>
      </c>
      <c r="M3717" s="1" t="s">
        <v>86</v>
      </c>
      <c r="N3717" s="1" t="s">
        <v>4278</v>
      </c>
      <c r="O3717" s="1"/>
      <c r="P3717" s="1" t="s">
        <v>481</v>
      </c>
      <c r="Q3717" s="1" t="s">
        <v>59091</v>
      </c>
      <c r="R3717" s="1" t="s">
        <v>54355</v>
      </c>
      <c r="S3717" s="1">
        <v>9415240777</v>
      </c>
      <c r="T3717" s="1" t="s">
        <v>125</v>
      </c>
      <c r="U3717" s="1" t="s">
        <v>6054</v>
      </c>
      <c r="V3717" s="1">
        <v>9415006440</v>
      </c>
      <c r="W3717" s="1" t="s">
        <v>94</v>
      </c>
      <c r="X3717" s="1" t="s">
        <v>59092</v>
      </c>
      <c r="Y3717" s="1" t="s">
        <v>1059</v>
      </c>
      <c r="Z3717" s="1" t="s">
        <v>544</v>
      </c>
      <c r="AA3717" s="1" t="s">
        <v>59092</v>
      </c>
      <c r="AB3717" s="1" t="s">
        <v>1059</v>
      </c>
      <c r="AC3717" s="1" t="s">
        <v>544</v>
      </c>
      <c r="AD3717" s="1" t="s">
        <v>98</v>
      </c>
      <c r="AE3717" s="1" t="s">
        <v>98</v>
      </c>
      <c r="AF3717" s="1" t="s">
        <v>59093</v>
      </c>
      <c r="AG3717" s="1" t="s">
        <v>312</v>
      </c>
      <c r="AH3717" s="1">
        <v>41730</v>
      </c>
      <c r="AI3717" s="1">
        <v>42152</v>
      </c>
      <c r="AJ3717" s="1">
        <v>89.3</v>
      </c>
      <c r="AK3717" s="1">
        <v>9.4</v>
      </c>
      <c r="AL3717" s="1" t="s">
        <v>59094</v>
      </c>
      <c r="AM3717" s="1" t="s">
        <v>312</v>
      </c>
      <c r="AN3717" s="1"/>
      <c r="AO3717" s="1">
        <v>42461</v>
      </c>
      <c r="AP3717" s="1">
        <v>42883</v>
      </c>
      <c r="AQ3717" s="1">
        <v>68.8</v>
      </c>
      <c r="AR3717" s="1"/>
      <c r="AS3717" s="1"/>
      <c r="AT3717" s="1"/>
      <c r="AU3717" s="1" t="s">
        <v>98</v>
      </c>
      <c r="AV3717" s="1" t="s">
        <v>98</v>
      </c>
      <c r="AW3717" s="1" t="s">
        <v>98</v>
      </c>
      <c r="AX3717" s="1" t="s">
        <v>98</v>
      </c>
      <c r="AY3717" s="1" t="s">
        <v>59095</v>
      </c>
      <c r="AZ3717" s="1" t="s">
        <v>59096</v>
      </c>
      <c r="BA3717" s="1"/>
      <c r="BB3717" s="1"/>
      <c r="BC3717" s="1">
        <v>42948</v>
      </c>
      <c r="BD3717" s="1">
        <v>44331</v>
      </c>
      <c r="BE3717" s="1">
        <v>67.5</v>
      </c>
      <c r="BF3717" s="1">
        <v>6.75</v>
      </c>
      <c r="BG3717" s="1"/>
      <c r="BH3717" s="1"/>
      <c r="BI3717" s="1"/>
      <c r="BJ3717" s="1"/>
      <c r="BK3717" s="1" t="s">
        <v>98</v>
      </c>
      <c r="BL3717" s="1" t="s">
        <v>98</v>
      </c>
      <c r="BM3717" s="1" t="s">
        <v>98</v>
      </c>
      <c r="BN3717" s="1" t="s">
        <v>98</v>
      </c>
      <c r="BO3717" s="1" t="s">
        <v>8688</v>
      </c>
      <c r="BP3717" s="1"/>
      <c r="BQ3717" s="1"/>
      <c r="BR3717" s="1" t="s">
        <v>59097</v>
      </c>
      <c r="BS3717" s="1">
        <v>11</v>
      </c>
      <c r="BT3717" s="1"/>
      <c r="BU3717" s="1" t="s">
        <v>9653</v>
      </c>
      <c r="BV3717" s="3"/>
      <c r="BW3717" s="3"/>
    </row>
    <row r="3718" spans="1:75">
      <c r="A3718" s="1" t="s">
        <v>59001</v>
      </c>
      <c r="B3718" s="1" t="s">
        <v>51341</v>
      </c>
      <c r="C3718" s="1" t="s">
        <v>59098</v>
      </c>
      <c r="D3718" s="1" t="s">
        <v>638</v>
      </c>
      <c r="E3718" s="1"/>
      <c r="F3718" s="1" t="s">
        <v>2735</v>
      </c>
      <c r="G3718" s="1" t="s">
        <v>59099</v>
      </c>
      <c r="H3718" s="1" t="s">
        <v>59100</v>
      </c>
      <c r="I3718" s="1" t="s">
        <v>59101</v>
      </c>
      <c r="J3718" s="1">
        <v>9952077247</v>
      </c>
      <c r="K3718" s="1" t="s">
        <v>84</v>
      </c>
      <c r="L3718" s="1" t="s">
        <v>59102</v>
      </c>
      <c r="M3718" s="1" t="s">
        <v>86</v>
      </c>
      <c r="N3718" s="1" t="s">
        <v>13274</v>
      </c>
      <c r="O3718" s="1"/>
      <c r="P3718" s="1" t="s">
        <v>507</v>
      </c>
      <c r="Q3718" s="1" t="s">
        <v>59103</v>
      </c>
      <c r="R3718" s="1" t="s">
        <v>59104</v>
      </c>
      <c r="S3718" s="1">
        <v>7042554865</v>
      </c>
      <c r="T3718" s="1" t="s">
        <v>25383</v>
      </c>
      <c r="U3718" s="1" t="s">
        <v>59105</v>
      </c>
      <c r="V3718" s="1">
        <v>9773837480</v>
      </c>
      <c r="W3718" s="1" t="s">
        <v>94</v>
      </c>
      <c r="X3718" s="1" t="s">
        <v>59106</v>
      </c>
      <c r="Y3718" s="1" t="s">
        <v>57463</v>
      </c>
      <c r="Z3718" s="1" t="s">
        <v>544</v>
      </c>
      <c r="AA3718" s="1" t="s">
        <v>59107</v>
      </c>
      <c r="AB3718" s="1" t="s">
        <v>3031</v>
      </c>
      <c r="AC3718" s="1" t="s">
        <v>461</v>
      </c>
      <c r="AD3718" s="1" t="s">
        <v>98</v>
      </c>
      <c r="AE3718" s="1" t="s">
        <v>98</v>
      </c>
      <c r="AF3718" s="1" t="s">
        <v>59108</v>
      </c>
      <c r="AG3718" s="1" t="s">
        <v>312</v>
      </c>
      <c r="AH3718" s="1" t="s">
        <v>254</v>
      </c>
      <c r="AI3718" s="1" t="s">
        <v>134</v>
      </c>
      <c r="AJ3718" s="1">
        <v>79.8</v>
      </c>
      <c r="AK3718" s="1">
        <v>8.4</v>
      </c>
      <c r="AL3718" s="1" t="s">
        <v>59109</v>
      </c>
      <c r="AM3718" s="1" t="s">
        <v>312</v>
      </c>
      <c r="AN3718" s="1"/>
      <c r="AO3718" s="1" t="s">
        <v>166</v>
      </c>
      <c r="AP3718" s="1" t="s">
        <v>627</v>
      </c>
      <c r="AQ3718" s="1">
        <v>67.6</v>
      </c>
      <c r="AR3718" s="1">
        <v>6.76</v>
      </c>
      <c r="AS3718" s="1"/>
      <c r="AT3718" s="1"/>
      <c r="AU3718" s="1" t="s">
        <v>98</v>
      </c>
      <c r="AV3718" s="1" t="s">
        <v>98</v>
      </c>
      <c r="AW3718" s="1" t="s">
        <v>98</v>
      </c>
      <c r="AX3718" s="1" t="s">
        <v>98</v>
      </c>
      <c r="AY3718" s="1" t="s">
        <v>53028</v>
      </c>
      <c r="AZ3718" s="1" t="s">
        <v>53028</v>
      </c>
      <c r="BA3718" s="1"/>
      <c r="BB3718" s="1"/>
      <c r="BC3718" s="1" t="s">
        <v>14379</v>
      </c>
      <c r="BD3718" s="1" t="s">
        <v>468</v>
      </c>
      <c r="BE3718" s="1">
        <v>66.67</v>
      </c>
      <c r="BF3718" s="1">
        <v>5.66</v>
      </c>
      <c r="BG3718" s="1"/>
      <c r="BH3718" s="1"/>
      <c r="BI3718" s="1"/>
      <c r="BJ3718" s="1"/>
      <c r="BK3718" s="1" t="s">
        <v>98</v>
      </c>
      <c r="BL3718" s="1" t="s">
        <v>98</v>
      </c>
      <c r="BM3718" s="1" t="s">
        <v>98</v>
      </c>
      <c r="BN3718" s="1" t="s">
        <v>98</v>
      </c>
      <c r="BO3718" s="1" t="s">
        <v>54161</v>
      </c>
      <c r="BP3718" s="1"/>
      <c r="BQ3718" s="1"/>
      <c r="BR3718" s="1" t="s">
        <v>59110</v>
      </c>
      <c r="BS3718" s="1">
        <v>17</v>
      </c>
      <c r="BT3718" s="1"/>
      <c r="BU3718" s="1" t="str">
        <f>HYPERLINK("https://nconnect.nicmar.ac.in/storage/profile/2021-2023_PP21007_341895.jpg","Download")</f>
        <v>0</v>
      </c>
      <c r="BV3718" s="3"/>
      <c r="BW3718" s="3"/>
    </row>
    <row r="3719" spans="1:75">
      <c r="A3719" s="1" t="s">
        <v>59001</v>
      </c>
      <c r="B3719" s="1" t="s">
        <v>51341</v>
      </c>
      <c r="C3719" s="1" t="s">
        <v>59111</v>
      </c>
      <c r="D3719" s="1" t="s">
        <v>59112</v>
      </c>
      <c r="E3719" s="1"/>
      <c r="F3719" s="1" t="s">
        <v>59113</v>
      </c>
      <c r="G3719" s="1" t="s">
        <v>59114</v>
      </c>
      <c r="H3719" s="1" t="s">
        <v>59115</v>
      </c>
      <c r="I3719" s="1" t="s">
        <v>59116</v>
      </c>
      <c r="J3719" s="1">
        <v>8401710657</v>
      </c>
      <c r="K3719" s="1" t="s">
        <v>84</v>
      </c>
      <c r="L3719" s="1" t="s">
        <v>59117</v>
      </c>
      <c r="M3719" s="1" t="s">
        <v>86</v>
      </c>
      <c r="N3719" s="1" t="s">
        <v>246</v>
      </c>
      <c r="O3719" s="1"/>
      <c r="P3719" s="1" t="s">
        <v>1028</v>
      </c>
      <c r="Q3719" s="1" t="s">
        <v>59118</v>
      </c>
      <c r="R3719" s="1" t="s">
        <v>59119</v>
      </c>
      <c r="S3719" s="1">
        <v>9998215542</v>
      </c>
      <c r="T3719" s="1" t="s">
        <v>59120</v>
      </c>
      <c r="U3719" s="1" t="s">
        <v>59121</v>
      </c>
      <c r="V3719" s="1">
        <v>9998959903</v>
      </c>
      <c r="W3719" s="1" t="s">
        <v>94</v>
      </c>
      <c r="X3719" s="1" t="s">
        <v>59122</v>
      </c>
      <c r="Y3719" s="1" t="s">
        <v>33677</v>
      </c>
      <c r="Z3719" s="1" t="s">
        <v>676</v>
      </c>
      <c r="AA3719" s="1" t="s">
        <v>51872</v>
      </c>
      <c r="AB3719" s="1" t="s">
        <v>196</v>
      </c>
      <c r="AC3719" s="1" t="s">
        <v>97</v>
      </c>
      <c r="AD3719" s="1" t="s">
        <v>98</v>
      </c>
      <c r="AE3719" s="1" t="s">
        <v>98</v>
      </c>
      <c r="AF3719" s="1" t="s">
        <v>59123</v>
      </c>
      <c r="AG3719" s="1" t="s">
        <v>312</v>
      </c>
      <c r="AH3719" s="1">
        <v>41365</v>
      </c>
      <c r="AI3719" s="1">
        <v>41779</v>
      </c>
      <c r="AJ3719" s="1">
        <v>76</v>
      </c>
      <c r="AK3719" s="1">
        <v>8</v>
      </c>
      <c r="AL3719" s="1" t="s">
        <v>59123</v>
      </c>
      <c r="AM3719" s="1" t="s">
        <v>312</v>
      </c>
      <c r="AN3719" s="1"/>
      <c r="AO3719" s="1">
        <v>42095</v>
      </c>
      <c r="AP3719" s="1">
        <v>42521</v>
      </c>
      <c r="AQ3719" s="1">
        <v>62</v>
      </c>
      <c r="AR3719" s="1" t="s">
        <v>98</v>
      </c>
      <c r="AS3719" s="1" t="s">
        <v>98</v>
      </c>
      <c r="AT3719" s="1" t="s">
        <v>98</v>
      </c>
      <c r="AU3719" s="1" t="s">
        <v>98</v>
      </c>
      <c r="AV3719" s="1" t="s">
        <v>98</v>
      </c>
      <c r="AW3719" s="1" t="s">
        <v>98</v>
      </c>
      <c r="AX3719" s="1" t="s">
        <v>98</v>
      </c>
      <c r="AY3719" s="1" t="s">
        <v>13485</v>
      </c>
      <c r="AZ3719" s="1" t="s">
        <v>39100</v>
      </c>
      <c r="BA3719" s="1"/>
      <c r="BB3719" s="1"/>
      <c r="BC3719" s="1">
        <v>42583</v>
      </c>
      <c r="BD3719" s="1">
        <v>44016</v>
      </c>
      <c r="BE3719" s="1">
        <v>62.89</v>
      </c>
      <c r="BF3719" s="1">
        <v>6.62</v>
      </c>
      <c r="BG3719" s="1" t="s">
        <v>98</v>
      </c>
      <c r="BH3719" s="1"/>
      <c r="BI3719" s="1"/>
      <c r="BJ3719" s="1"/>
      <c r="BK3719" s="1" t="s">
        <v>98</v>
      </c>
      <c r="BL3719" s="1" t="s">
        <v>98</v>
      </c>
      <c r="BM3719" s="1" t="s">
        <v>98</v>
      </c>
      <c r="BN3719" s="1" t="s">
        <v>98</v>
      </c>
      <c r="BO3719" s="1"/>
      <c r="BP3719" s="1" t="s">
        <v>59124</v>
      </c>
      <c r="BQ3719" s="1" t="s">
        <v>1174</v>
      </c>
      <c r="BR3719" s="1" t="s">
        <v>59125</v>
      </c>
      <c r="BS3719" s="1">
        <v>18</v>
      </c>
      <c r="BT3719" s="1"/>
      <c r="BU3719" s="1" t="str">
        <f>HYPERLINK("https://nconnect.nicmar.ac.in/storage/profile/2021-2023_PP21008_395487.jpg","Download")</f>
        <v>0</v>
      </c>
      <c r="BV3719" s="3"/>
      <c r="BW3719" s="3"/>
    </row>
    <row r="3720" spans="1:75">
      <c r="A3720" s="1" t="s">
        <v>59001</v>
      </c>
      <c r="B3720" s="1" t="s">
        <v>51341</v>
      </c>
      <c r="C3720" s="1" t="s">
        <v>59126</v>
      </c>
      <c r="D3720" s="1" t="s">
        <v>55680</v>
      </c>
      <c r="E3720" s="1" t="s">
        <v>2963</v>
      </c>
      <c r="F3720" s="1" t="s">
        <v>28166</v>
      </c>
      <c r="G3720" s="1" t="s">
        <v>59127</v>
      </c>
      <c r="H3720" s="1" t="s">
        <v>59128</v>
      </c>
      <c r="I3720" s="1" t="s">
        <v>59129</v>
      </c>
      <c r="J3720" s="1">
        <v>8590570829</v>
      </c>
      <c r="K3720" s="1" t="s">
        <v>84</v>
      </c>
      <c r="L3720" s="1" t="s">
        <v>59130</v>
      </c>
      <c r="M3720" s="1" t="s">
        <v>86</v>
      </c>
      <c r="N3720" s="1" t="s">
        <v>59131</v>
      </c>
      <c r="O3720" s="1"/>
      <c r="P3720" s="1" t="s">
        <v>481</v>
      </c>
      <c r="Q3720" s="1" t="s">
        <v>59132</v>
      </c>
      <c r="R3720" s="1" t="s">
        <v>59133</v>
      </c>
      <c r="S3720" s="1">
        <v>9446533103</v>
      </c>
      <c r="T3720" s="1" t="s">
        <v>8332</v>
      </c>
      <c r="U3720" s="1" t="s">
        <v>59134</v>
      </c>
      <c r="V3720" s="1">
        <v>9567363984</v>
      </c>
      <c r="W3720" s="1" t="s">
        <v>94</v>
      </c>
      <c r="X3720" s="1" t="s">
        <v>59135</v>
      </c>
      <c r="Y3720" s="1" t="s">
        <v>4916</v>
      </c>
      <c r="Z3720" s="1" t="s">
        <v>130</v>
      </c>
      <c r="AA3720" s="1" t="s">
        <v>59136</v>
      </c>
      <c r="AB3720" s="1" t="s">
        <v>3190</v>
      </c>
      <c r="AC3720" s="1" t="s">
        <v>130</v>
      </c>
      <c r="AD3720" s="1" t="s">
        <v>98</v>
      </c>
      <c r="AE3720" s="1" t="s">
        <v>98</v>
      </c>
      <c r="AF3720" s="1" t="s">
        <v>59137</v>
      </c>
      <c r="AG3720" s="1" t="s">
        <v>312</v>
      </c>
      <c r="AH3720" s="1">
        <v>41365</v>
      </c>
      <c r="AI3720" s="1">
        <v>41779</v>
      </c>
      <c r="AJ3720" s="1">
        <v>93.1</v>
      </c>
      <c r="AK3720" s="1">
        <v>9.8</v>
      </c>
      <c r="AL3720" s="1" t="s">
        <v>59137</v>
      </c>
      <c r="AM3720" s="1" t="s">
        <v>312</v>
      </c>
      <c r="AN3720" s="1"/>
      <c r="AO3720" s="1">
        <v>42095</v>
      </c>
      <c r="AP3720" s="1">
        <v>42511</v>
      </c>
      <c r="AQ3720" s="1">
        <v>91.04</v>
      </c>
      <c r="AR3720" s="1">
        <v>0</v>
      </c>
      <c r="AS3720" s="1"/>
      <c r="AT3720" s="1"/>
      <c r="AU3720" s="1" t="s">
        <v>98</v>
      </c>
      <c r="AV3720" s="1" t="s">
        <v>98</v>
      </c>
      <c r="AW3720" s="1" t="s">
        <v>98</v>
      </c>
      <c r="AX3720" s="1" t="s">
        <v>98</v>
      </c>
      <c r="AY3720" s="1" t="s">
        <v>54846</v>
      </c>
      <c r="AZ3720" s="1" t="s">
        <v>53028</v>
      </c>
      <c r="BA3720" s="1"/>
      <c r="BB3720" s="1"/>
      <c r="BC3720" s="1">
        <v>42569</v>
      </c>
      <c r="BD3720" s="1">
        <v>44011</v>
      </c>
      <c r="BE3720" s="1">
        <v>68.88</v>
      </c>
      <c r="BF3720" s="1">
        <v>5.89</v>
      </c>
      <c r="BG3720" s="1"/>
      <c r="BH3720" s="1"/>
      <c r="BI3720" s="1"/>
      <c r="BJ3720" s="1"/>
      <c r="BK3720" s="1" t="s">
        <v>98</v>
      </c>
      <c r="BL3720" s="1" t="s">
        <v>98</v>
      </c>
      <c r="BM3720" s="1" t="s">
        <v>98</v>
      </c>
      <c r="BN3720" s="1" t="s">
        <v>98</v>
      </c>
      <c r="BO3720" s="1" t="s">
        <v>25463</v>
      </c>
      <c r="BP3720" s="1"/>
      <c r="BQ3720" s="1"/>
      <c r="BR3720" s="1" t="s">
        <v>59138</v>
      </c>
      <c r="BS3720" s="1">
        <v>13</v>
      </c>
      <c r="BT3720" s="1"/>
      <c r="BU3720" s="1" t="s">
        <v>9653</v>
      </c>
      <c r="BV3720" s="3"/>
      <c r="BW3720" s="3"/>
    </row>
    <row r="3721" spans="1:75">
      <c r="A3721" s="1" t="s">
        <v>59001</v>
      </c>
      <c r="B3721" s="1" t="s">
        <v>51341</v>
      </c>
      <c r="C3721" s="1" t="s">
        <v>59139</v>
      </c>
      <c r="D3721" s="1" t="s">
        <v>5482</v>
      </c>
      <c r="E3721" s="1" t="s">
        <v>11218</v>
      </c>
      <c r="F3721" s="1" t="s">
        <v>2099</v>
      </c>
      <c r="G3721" s="1" t="s">
        <v>59140</v>
      </c>
      <c r="H3721" s="1" t="s">
        <v>59141</v>
      </c>
      <c r="I3721" s="1" t="s">
        <v>59142</v>
      </c>
      <c r="J3721" s="1">
        <v>9604253805</v>
      </c>
      <c r="K3721" s="1" t="s">
        <v>84</v>
      </c>
      <c r="L3721" s="1" t="s">
        <v>59143</v>
      </c>
      <c r="M3721" s="1" t="s">
        <v>86</v>
      </c>
      <c r="N3721" s="1" t="s">
        <v>1163</v>
      </c>
      <c r="O3721" s="1"/>
      <c r="P3721" s="1" t="s">
        <v>507</v>
      </c>
      <c r="Q3721" s="1" t="s">
        <v>59144</v>
      </c>
      <c r="R3721" s="1" t="s">
        <v>59145</v>
      </c>
      <c r="S3721" s="1">
        <v>8446168976</v>
      </c>
      <c r="T3721" s="1" t="s">
        <v>539</v>
      </c>
      <c r="U3721" s="1" t="s">
        <v>59146</v>
      </c>
      <c r="V3721" s="1">
        <v>8421149986</v>
      </c>
      <c r="W3721" s="1" t="s">
        <v>94</v>
      </c>
      <c r="X3721" s="1" t="s">
        <v>59147</v>
      </c>
      <c r="Y3721" s="1" t="s">
        <v>196</v>
      </c>
      <c r="Z3721" s="1" t="s">
        <v>97</v>
      </c>
      <c r="AA3721" s="1" t="s">
        <v>98</v>
      </c>
      <c r="AB3721" s="1" t="s">
        <v>196</v>
      </c>
      <c r="AC3721" s="1" t="s">
        <v>97</v>
      </c>
      <c r="AD3721" s="1" t="s">
        <v>98</v>
      </c>
      <c r="AE3721" s="1" t="s">
        <v>98</v>
      </c>
      <c r="AF3721" s="1" t="s">
        <v>56420</v>
      </c>
      <c r="AG3721" s="1" t="s">
        <v>2745</v>
      </c>
      <c r="AH3721" s="1">
        <v>40269</v>
      </c>
      <c r="AI3721" s="1">
        <v>40711</v>
      </c>
      <c r="AJ3721" s="1">
        <v>61</v>
      </c>
      <c r="AK3721" s="1"/>
      <c r="AL3721" s="1" t="s">
        <v>98</v>
      </c>
      <c r="AM3721" s="1" t="s">
        <v>98</v>
      </c>
      <c r="AN3721" s="1"/>
      <c r="AO3721" s="1"/>
      <c r="AP3721" s="1"/>
      <c r="AQ3721" s="1"/>
      <c r="AR3721" s="1"/>
      <c r="AS3721" s="1" t="s">
        <v>439</v>
      </c>
      <c r="AT3721" s="1" t="s">
        <v>58126</v>
      </c>
      <c r="AU3721" s="1">
        <v>40738</v>
      </c>
      <c r="AV3721" s="1">
        <v>42384</v>
      </c>
      <c r="AW3721" s="1">
        <v>54.59</v>
      </c>
      <c r="AX3721" s="1"/>
      <c r="AY3721" s="1" t="s">
        <v>366</v>
      </c>
      <c r="AZ3721" s="1" t="s">
        <v>59148</v>
      </c>
      <c r="BA3721" s="1"/>
      <c r="BB3721" s="1"/>
      <c r="BC3721" s="1">
        <v>42592</v>
      </c>
      <c r="BD3721" s="1">
        <v>44146</v>
      </c>
      <c r="BE3721" s="1">
        <v>57.29</v>
      </c>
      <c r="BF3721" s="1">
        <v>6.51</v>
      </c>
      <c r="BG3721" s="1"/>
      <c r="BH3721" s="1"/>
      <c r="BI3721" s="1"/>
      <c r="BJ3721" s="1"/>
      <c r="BK3721" s="1" t="s">
        <v>98</v>
      </c>
      <c r="BL3721" s="1" t="s">
        <v>98</v>
      </c>
      <c r="BM3721" s="1" t="s">
        <v>98</v>
      </c>
      <c r="BN3721" s="1" t="s">
        <v>98</v>
      </c>
      <c r="BO3721" s="1" t="s">
        <v>59149</v>
      </c>
      <c r="BP3721" s="1"/>
      <c r="BQ3721" s="1"/>
      <c r="BR3721" s="1" t="s">
        <v>59150</v>
      </c>
      <c r="BS3721" s="1">
        <v>9</v>
      </c>
      <c r="BT3721" s="1"/>
      <c r="BU3721" s="1" t="str">
        <f>HYPERLINK("https://nconnect.nicmar.ac.in/storage/profile/2021-2023_PP21010_394285.jpg","Download")</f>
        <v>0</v>
      </c>
      <c r="BV3721" s="3"/>
      <c r="BW3721" s="3"/>
    </row>
    <row r="3722" spans="1:75">
      <c r="A3722" s="1" t="s">
        <v>59001</v>
      </c>
      <c r="B3722" s="1" t="s">
        <v>51341</v>
      </c>
      <c r="C3722" s="1" t="s">
        <v>59151</v>
      </c>
      <c r="D3722" s="1" t="s">
        <v>59152</v>
      </c>
      <c r="E3722" s="1" t="s">
        <v>59153</v>
      </c>
      <c r="F3722" s="1" t="s">
        <v>59154</v>
      </c>
      <c r="G3722" s="1" t="s">
        <v>59155</v>
      </c>
      <c r="H3722" s="1" t="s">
        <v>59156</v>
      </c>
      <c r="I3722" s="1" t="s">
        <v>59157</v>
      </c>
      <c r="J3722" s="1">
        <v>8078169249</v>
      </c>
      <c r="K3722" s="1" t="s">
        <v>153</v>
      </c>
      <c r="L3722" s="1" t="s">
        <v>59158</v>
      </c>
      <c r="M3722" s="1" t="s">
        <v>86</v>
      </c>
      <c r="N3722" s="1" t="s">
        <v>59159</v>
      </c>
      <c r="O3722" s="1"/>
      <c r="P3722" s="1" t="s">
        <v>507</v>
      </c>
      <c r="Q3722" s="1" t="s">
        <v>59160</v>
      </c>
      <c r="R3722" s="1" t="s">
        <v>59161</v>
      </c>
      <c r="S3722" s="1">
        <v>9446367907</v>
      </c>
      <c r="T3722" s="1" t="s">
        <v>59162</v>
      </c>
      <c r="U3722" s="1" t="s">
        <v>59163</v>
      </c>
      <c r="V3722" s="1">
        <v>9847785850</v>
      </c>
      <c r="W3722" s="1" t="s">
        <v>1495</v>
      </c>
      <c r="X3722" s="1" t="s">
        <v>59164</v>
      </c>
      <c r="Y3722" s="1" t="s">
        <v>2526</v>
      </c>
      <c r="Z3722" s="1" t="s">
        <v>130</v>
      </c>
      <c r="AA3722" s="1" t="s">
        <v>59164</v>
      </c>
      <c r="AB3722" s="1" t="s">
        <v>2526</v>
      </c>
      <c r="AC3722" s="1" t="s">
        <v>130</v>
      </c>
      <c r="AD3722" s="1" t="s">
        <v>98</v>
      </c>
      <c r="AE3722" s="1" t="s">
        <v>98</v>
      </c>
      <c r="AF3722" s="1" t="s">
        <v>59165</v>
      </c>
      <c r="AG3722" s="1" t="s">
        <v>705</v>
      </c>
      <c r="AH3722" s="1">
        <v>41791</v>
      </c>
      <c r="AI3722" s="1" t="s">
        <v>59166</v>
      </c>
      <c r="AJ3722" s="1">
        <v>95</v>
      </c>
      <c r="AK3722" s="1">
        <v>10</v>
      </c>
      <c r="AL3722" s="1" t="s">
        <v>59165</v>
      </c>
      <c r="AM3722" s="1" t="s">
        <v>705</v>
      </c>
      <c r="AN3722" s="1"/>
      <c r="AO3722" s="1">
        <v>42522</v>
      </c>
      <c r="AP3722" s="1" t="s">
        <v>59167</v>
      </c>
      <c r="AQ3722" s="1">
        <v>91.2</v>
      </c>
      <c r="AR3722" s="1">
        <v>9.6</v>
      </c>
      <c r="AS3722" s="1"/>
      <c r="AT3722" s="1"/>
      <c r="AU3722" s="1" t="s">
        <v>98</v>
      </c>
      <c r="AV3722" s="1" t="s">
        <v>98</v>
      </c>
      <c r="AW3722" s="1" t="s">
        <v>98</v>
      </c>
      <c r="AX3722" s="1" t="s">
        <v>98</v>
      </c>
      <c r="AY3722" s="1" t="s">
        <v>137</v>
      </c>
      <c r="AZ3722" s="1" t="s">
        <v>59168</v>
      </c>
      <c r="BA3722" s="1"/>
      <c r="BB3722" s="1"/>
      <c r="BC3722" s="1">
        <v>42948</v>
      </c>
      <c r="BD3722" s="1">
        <v>44377</v>
      </c>
      <c r="BE3722" s="1">
        <v>76.65</v>
      </c>
      <c r="BF3722" s="1">
        <v>8.04</v>
      </c>
      <c r="BG3722" s="1"/>
      <c r="BH3722" s="1"/>
      <c r="BI3722" s="1"/>
      <c r="BJ3722" s="1"/>
      <c r="BK3722" s="1" t="s">
        <v>98</v>
      </c>
      <c r="BL3722" s="1" t="s">
        <v>98</v>
      </c>
      <c r="BM3722" s="1" t="s">
        <v>98</v>
      </c>
      <c r="BN3722" s="1" t="s">
        <v>98</v>
      </c>
      <c r="BO3722" s="1" t="s">
        <v>28364</v>
      </c>
      <c r="BP3722" s="1"/>
      <c r="BQ3722" s="1"/>
      <c r="BR3722" s="1" t="s">
        <v>59169</v>
      </c>
      <c r="BS3722" s="1">
        <v>8</v>
      </c>
      <c r="BT3722" s="1"/>
      <c r="BU3722" s="1" t="str">
        <f>HYPERLINK("https://nconnect.nicmar.ac.in/storage/profile/2021-2023_PP21011_925634.png","Download")</f>
        <v>0</v>
      </c>
      <c r="BV3722" s="3"/>
      <c r="BW3722" s="3"/>
    </row>
    <row r="3723" spans="1:75">
      <c r="A3723" s="1" t="s">
        <v>59001</v>
      </c>
      <c r="B3723" s="1" t="s">
        <v>51341</v>
      </c>
      <c r="C3723" s="1" t="s">
        <v>59170</v>
      </c>
      <c r="D3723" s="1" t="s">
        <v>59171</v>
      </c>
      <c r="E3723" s="1"/>
      <c r="F3723" s="1" t="s">
        <v>1853</v>
      </c>
      <c r="G3723" s="1" t="s">
        <v>59172</v>
      </c>
      <c r="H3723" s="1" t="s">
        <v>59173</v>
      </c>
      <c r="I3723" s="1" t="s">
        <v>59174</v>
      </c>
      <c r="J3723" s="1">
        <v>8825814711</v>
      </c>
      <c r="K3723" s="1" t="s">
        <v>153</v>
      </c>
      <c r="L3723" s="1" t="s">
        <v>36336</v>
      </c>
      <c r="M3723" s="1" t="s">
        <v>86</v>
      </c>
      <c r="N3723" s="1" t="s">
        <v>59008</v>
      </c>
      <c r="O3723" s="1"/>
      <c r="P3723" s="1" t="s">
        <v>455</v>
      </c>
      <c r="Q3723" s="1" t="s">
        <v>59175</v>
      </c>
      <c r="R3723" s="1" t="s">
        <v>59176</v>
      </c>
      <c r="S3723" s="1">
        <v>9791359255</v>
      </c>
      <c r="T3723" s="1" t="s">
        <v>3788</v>
      </c>
      <c r="U3723" s="1" t="s">
        <v>25625</v>
      </c>
      <c r="V3723" s="1">
        <v>7338711595</v>
      </c>
      <c r="W3723" s="1" t="s">
        <v>94</v>
      </c>
      <c r="X3723" s="1" t="s">
        <v>59177</v>
      </c>
      <c r="Y3723" s="1" t="s">
        <v>4249</v>
      </c>
      <c r="Z3723" s="1" t="s">
        <v>570</v>
      </c>
      <c r="AA3723" s="1" t="s">
        <v>59177</v>
      </c>
      <c r="AB3723" s="1" t="s">
        <v>4249</v>
      </c>
      <c r="AC3723" s="1" t="s">
        <v>570</v>
      </c>
      <c r="AD3723" s="1" t="s">
        <v>98</v>
      </c>
      <c r="AE3723" s="1" t="s">
        <v>98</v>
      </c>
      <c r="AF3723" s="1" t="s">
        <v>59178</v>
      </c>
      <c r="AG3723" s="1" t="s">
        <v>57831</v>
      </c>
      <c r="AH3723" s="1">
        <v>41791</v>
      </c>
      <c r="AI3723" s="1">
        <v>42145</v>
      </c>
      <c r="AJ3723" s="1">
        <v>94.4</v>
      </c>
      <c r="AK3723" s="1"/>
      <c r="AL3723" s="1" t="s">
        <v>59179</v>
      </c>
      <c r="AM3723" s="1" t="s">
        <v>57831</v>
      </c>
      <c r="AN3723" s="1"/>
      <c r="AO3723" s="1">
        <v>42522</v>
      </c>
      <c r="AP3723" s="1">
        <v>42867</v>
      </c>
      <c r="AQ3723" s="1">
        <v>85.91</v>
      </c>
      <c r="AR3723" s="1"/>
      <c r="AS3723" s="1"/>
      <c r="AT3723" s="1"/>
      <c r="AU3723" s="1" t="s">
        <v>98</v>
      </c>
      <c r="AV3723" s="1" t="s">
        <v>98</v>
      </c>
      <c r="AW3723" s="1" t="s">
        <v>98</v>
      </c>
      <c r="AX3723" s="1" t="s">
        <v>98</v>
      </c>
      <c r="AY3723" s="1" t="s">
        <v>2614</v>
      </c>
      <c r="AZ3723" s="1" t="s">
        <v>2614</v>
      </c>
      <c r="BA3723" s="1"/>
      <c r="BB3723" s="1"/>
      <c r="BC3723" s="1">
        <v>42901</v>
      </c>
      <c r="BD3723" s="1">
        <v>44364</v>
      </c>
      <c r="BE3723" s="1">
        <v>84.83</v>
      </c>
      <c r="BF3723" s="1">
        <v>7.98</v>
      </c>
      <c r="BG3723" s="1" t="s">
        <v>59180</v>
      </c>
      <c r="BH3723" s="1" t="s">
        <v>1062</v>
      </c>
      <c r="BI3723" s="1"/>
      <c r="BJ3723" s="1"/>
      <c r="BK3723" s="1" t="s">
        <v>59181</v>
      </c>
      <c r="BL3723" s="1" t="s">
        <v>59182</v>
      </c>
      <c r="BM3723" s="1">
        <v>93.2</v>
      </c>
      <c r="BN3723" s="1"/>
      <c r="BO3723" s="1" t="s">
        <v>3508</v>
      </c>
      <c r="BP3723" s="1"/>
      <c r="BQ3723" s="1"/>
      <c r="BR3723" s="1" t="s">
        <v>59183</v>
      </c>
      <c r="BS3723" s="1">
        <v>9</v>
      </c>
      <c r="BT3723" s="1"/>
      <c r="BU3723" s="1" t="s">
        <v>9653</v>
      </c>
      <c r="BV3723" s="3"/>
      <c r="BW3723" s="3"/>
    </row>
    <row r="3724" spans="1:75">
      <c r="A3724" s="1" t="s">
        <v>59001</v>
      </c>
      <c r="B3724" s="1" t="s">
        <v>51341</v>
      </c>
      <c r="C3724" s="1" t="s">
        <v>59184</v>
      </c>
      <c r="D3724" s="1" t="s">
        <v>3216</v>
      </c>
      <c r="E3724" s="1"/>
      <c r="F3724" s="1" t="s">
        <v>1361</v>
      </c>
      <c r="G3724" s="1" t="s">
        <v>59185</v>
      </c>
      <c r="H3724" s="1" t="s">
        <v>59186</v>
      </c>
      <c r="I3724" s="1" t="s">
        <v>59187</v>
      </c>
      <c r="J3724" s="1">
        <v>7406806651</v>
      </c>
      <c r="K3724" s="1" t="s">
        <v>153</v>
      </c>
      <c r="L3724" s="1" t="s">
        <v>59188</v>
      </c>
      <c r="M3724" s="1" t="s">
        <v>86</v>
      </c>
      <c r="N3724" s="1" t="s">
        <v>11117</v>
      </c>
      <c r="O3724" s="1"/>
      <c r="P3724" s="1" t="s">
        <v>1028</v>
      </c>
      <c r="Q3724" s="1" t="s">
        <v>59189</v>
      </c>
      <c r="R3724" s="1" t="s">
        <v>59190</v>
      </c>
      <c r="S3724" s="1">
        <v>9169330666</v>
      </c>
      <c r="T3724" s="1" t="s">
        <v>7281</v>
      </c>
      <c r="U3724" s="1" t="s">
        <v>1126</v>
      </c>
      <c r="V3724" s="1">
        <v>9449920345</v>
      </c>
      <c r="W3724" s="1" t="s">
        <v>539</v>
      </c>
      <c r="X3724" s="1" t="s">
        <v>59191</v>
      </c>
      <c r="Y3724" s="1" t="s">
        <v>1209</v>
      </c>
      <c r="Z3724" s="1" t="s">
        <v>1210</v>
      </c>
      <c r="AA3724" s="1" t="s">
        <v>59191</v>
      </c>
      <c r="AB3724" s="1" t="s">
        <v>1209</v>
      </c>
      <c r="AC3724" s="1" t="s">
        <v>1210</v>
      </c>
      <c r="AD3724" s="1" t="s">
        <v>98</v>
      </c>
      <c r="AE3724" s="1" t="s">
        <v>98</v>
      </c>
      <c r="AF3724" s="1" t="s">
        <v>59192</v>
      </c>
      <c r="AG3724" s="1" t="s">
        <v>312</v>
      </c>
      <c r="AH3724" s="1">
        <v>41730</v>
      </c>
      <c r="AI3724" s="1">
        <v>42152</v>
      </c>
      <c r="AJ3724" s="1">
        <v>81.7</v>
      </c>
      <c r="AK3724" s="1">
        <v>8.6</v>
      </c>
      <c r="AL3724" s="1" t="s">
        <v>59193</v>
      </c>
      <c r="AM3724" s="1" t="s">
        <v>59194</v>
      </c>
      <c r="AN3724" s="1"/>
      <c r="AO3724" s="1">
        <v>42435</v>
      </c>
      <c r="AP3724" s="1">
        <v>42867</v>
      </c>
      <c r="AQ3724" s="1">
        <v>69.16</v>
      </c>
      <c r="AR3724" s="1">
        <v>0</v>
      </c>
      <c r="AS3724" s="1"/>
      <c r="AT3724" s="1"/>
      <c r="AU3724" s="1" t="s">
        <v>98</v>
      </c>
      <c r="AV3724" s="1" t="s">
        <v>98</v>
      </c>
      <c r="AW3724" s="1" t="s">
        <v>98</v>
      </c>
      <c r="AX3724" s="1" t="s">
        <v>98</v>
      </c>
      <c r="AY3724" s="1" t="s">
        <v>59195</v>
      </c>
      <c r="AZ3724" s="1" t="s">
        <v>41671</v>
      </c>
      <c r="BA3724" s="1"/>
      <c r="BB3724" s="1"/>
      <c r="BC3724" s="1">
        <v>42948</v>
      </c>
      <c r="BD3724" s="1">
        <v>44424</v>
      </c>
      <c r="BE3724" s="1">
        <v>69.8</v>
      </c>
      <c r="BF3724" s="1">
        <v>7.73</v>
      </c>
      <c r="BG3724" s="1"/>
      <c r="BH3724" s="1"/>
      <c r="BI3724" s="1"/>
      <c r="BJ3724" s="1"/>
      <c r="BK3724" s="1" t="s">
        <v>98</v>
      </c>
      <c r="BL3724" s="1" t="s">
        <v>98</v>
      </c>
      <c r="BM3724" s="1" t="s">
        <v>98</v>
      </c>
      <c r="BN3724" s="1" t="s">
        <v>98</v>
      </c>
      <c r="BO3724" s="1" t="s">
        <v>8688</v>
      </c>
      <c r="BP3724" s="1"/>
      <c r="BQ3724" s="1"/>
      <c r="BR3724" s="1" t="s">
        <v>59196</v>
      </c>
      <c r="BS3724" s="1">
        <v>11</v>
      </c>
      <c r="BT3724" s="1"/>
      <c r="BU3724" s="1" t="str">
        <f>HYPERLINK("https://nconnect.nicmar.ac.in/storage/profile/2021-2023_PP21013_539124.JPG","Download")</f>
        <v>0</v>
      </c>
      <c r="BV3724" s="3"/>
      <c r="BW3724" s="3"/>
    </row>
    <row r="3725" spans="1:75">
      <c r="A3725" s="1" t="s">
        <v>59001</v>
      </c>
      <c r="B3725" s="1" t="s">
        <v>51341</v>
      </c>
      <c r="C3725" s="1" t="s">
        <v>59197</v>
      </c>
      <c r="D3725" s="1" t="s">
        <v>13423</v>
      </c>
      <c r="E3725" s="1" t="s">
        <v>42157</v>
      </c>
      <c r="F3725" s="1" t="s">
        <v>3217</v>
      </c>
      <c r="G3725" s="1" t="s">
        <v>59198</v>
      </c>
      <c r="H3725" s="1" t="s">
        <v>59199</v>
      </c>
      <c r="I3725" s="1" t="s">
        <v>59200</v>
      </c>
      <c r="J3725" s="1">
        <v>9403108180</v>
      </c>
      <c r="K3725" s="1" t="s">
        <v>84</v>
      </c>
      <c r="L3725" s="1" t="s">
        <v>59201</v>
      </c>
      <c r="M3725" s="1" t="s">
        <v>86</v>
      </c>
      <c r="N3725" s="1" t="s">
        <v>1163</v>
      </c>
      <c r="O3725" s="1"/>
      <c r="P3725" s="1" t="s">
        <v>507</v>
      </c>
      <c r="Q3725" s="1" t="s">
        <v>59202</v>
      </c>
      <c r="R3725" s="1" t="s">
        <v>59203</v>
      </c>
      <c r="S3725" s="1">
        <v>9421623326</v>
      </c>
      <c r="T3725" s="1" t="s">
        <v>59204</v>
      </c>
      <c r="U3725" s="1" t="s">
        <v>59205</v>
      </c>
      <c r="V3725" s="1">
        <v>9404423306</v>
      </c>
      <c r="W3725" s="1" t="s">
        <v>94</v>
      </c>
      <c r="X3725" s="1" t="s">
        <v>59206</v>
      </c>
      <c r="Y3725" s="1" t="s">
        <v>196</v>
      </c>
      <c r="Z3725" s="1" t="s">
        <v>97</v>
      </c>
      <c r="AA3725" s="1" t="s">
        <v>59207</v>
      </c>
      <c r="AB3725" s="1" t="s">
        <v>59208</v>
      </c>
      <c r="AC3725" s="1" t="s">
        <v>97</v>
      </c>
      <c r="AD3725" s="1" t="s">
        <v>98</v>
      </c>
      <c r="AE3725" s="1" t="s">
        <v>98</v>
      </c>
      <c r="AF3725" s="1" t="s">
        <v>59209</v>
      </c>
      <c r="AG3725" s="1" t="s">
        <v>796</v>
      </c>
      <c r="AH3725" s="1">
        <v>41019</v>
      </c>
      <c r="AI3725" s="1">
        <v>41420</v>
      </c>
      <c r="AJ3725" s="1">
        <v>66.5</v>
      </c>
      <c r="AK3725" s="1">
        <v>7</v>
      </c>
      <c r="AL3725" s="1" t="s">
        <v>1603</v>
      </c>
      <c r="AM3725" s="1" t="s">
        <v>796</v>
      </c>
      <c r="AN3725" s="1"/>
      <c r="AO3725" s="1">
        <v>41747</v>
      </c>
      <c r="AP3725" s="1">
        <v>42121</v>
      </c>
      <c r="AQ3725" s="1">
        <v>82.1</v>
      </c>
      <c r="AR3725" s="1">
        <v>0</v>
      </c>
      <c r="AS3725" s="1"/>
      <c r="AT3725" s="1"/>
      <c r="AU3725" s="1" t="s">
        <v>98</v>
      </c>
      <c r="AV3725" s="1" t="s">
        <v>98</v>
      </c>
      <c r="AW3725" s="1" t="s">
        <v>98</v>
      </c>
      <c r="AX3725" s="1" t="s">
        <v>98</v>
      </c>
      <c r="AY3725" s="1" t="s">
        <v>366</v>
      </c>
      <c r="AZ3725" s="1" t="s">
        <v>59210</v>
      </c>
      <c r="BA3725" s="1"/>
      <c r="BB3725" s="1"/>
      <c r="BC3725" s="1">
        <v>42200</v>
      </c>
      <c r="BD3725" s="1">
        <v>44408</v>
      </c>
      <c r="BE3725" s="1">
        <v>61.6</v>
      </c>
      <c r="BF3725" s="1">
        <v>7</v>
      </c>
      <c r="BG3725" s="1"/>
      <c r="BH3725" s="1"/>
      <c r="BI3725" s="1"/>
      <c r="BJ3725" s="1"/>
      <c r="BK3725" s="1" t="s">
        <v>98</v>
      </c>
      <c r="BL3725" s="1" t="s">
        <v>98</v>
      </c>
      <c r="BM3725" s="1" t="s">
        <v>98</v>
      </c>
      <c r="BN3725" s="1" t="s">
        <v>98</v>
      </c>
      <c r="BO3725" s="1" t="s">
        <v>28364</v>
      </c>
      <c r="BP3725" s="1"/>
      <c r="BQ3725" s="1"/>
      <c r="BR3725" s="1" t="s">
        <v>59211</v>
      </c>
      <c r="BS3725" s="1">
        <v>104</v>
      </c>
      <c r="BT3725" s="1"/>
      <c r="BU3725" s="1" t="s">
        <v>9653</v>
      </c>
      <c r="BV3725" s="3"/>
      <c r="BW3725" s="3"/>
    </row>
    <row r="3726" spans="1:75">
      <c r="A3726" s="1" t="s">
        <v>59001</v>
      </c>
      <c r="B3726" s="1" t="s">
        <v>51341</v>
      </c>
      <c r="C3726" s="1" t="s">
        <v>59212</v>
      </c>
      <c r="D3726" s="1" t="s">
        <v>29672</v>
      </c>
      <c r="E3726" s="1"/>
      <c r="F3726" s="1" t="s">
        <v>2250</v>
      </c>
      <c r="G3726" s="1" t="s">
        <v>59213</v>
      </c>
      <c r="H3726" s="1" t="s">
        <v>59214</v>
      </c>
      <c r="I3726" s="1" t="s">
        <v>59215</v>
      </c>
      <c r="J3726" s="1">
        <v>9086107945</v>
      </c>
      <c r="K3726" s="1" t="s">
        <v>84</v>
      </c>
      <c r="L3726" s="1" t="s">
        <v>57514</v>
      </c>
      <c r="M3726" s="1" t="s">
        <v>86</v>
      </c>
      <c r="N3726" s="1" t="s">
        <v>38572</v>
      </c>
      <c r="O3726" s="1"/>
      <c r="P3726" s="1" t="s">
        <v>507</v>
      </c>
      <c r="Q3726" s="1" t="s">
        <v>59216</v>
      </c>
      <c r="R3726" s="1" t="s">
        <v>59217</v>
      </c>
      <c r="S3726" s="1">
        <v>9419303799</v>
      </c>
      <c r="T3726" s="1" t="s">
        <v>539</v>
      </c>
      <c r="U3726" s="1" t="s">
        <v>59218</v>
      </c>
      <c r="V3726" s="1">
        <v>9796034088</v>
      </c>
      <c r="W3726" s="1" t="s">
        <v>94</v>
      </c>
      <c r="X3726" s="1" t="s">
        <v>59219</v>
      </c>
      <c r="Y3726" s="1" t="s">
        <v>8895</v>
      </c>
      <c r="Z3726" s="1" t="s">
        <v>59220</v>
      </c>
      <c r="AA3726" s="1" t="s">
        <v>59219</v>
      </c>
      <c r="AB3726" s="1" t="s">
        <v>8895</v>
      </c>
      <c r="AC3726" s="1" t="s">
        <v>59220</v>
      </c>
      <c r="AD3726" s="1" t="s">
        <v>98</v>
      </c>
      <c r="AE3726" s="1" t="s">
        <v>98</v>
      </c>
      <c r="AF3726" s="1" t="s">
        <v>59221</v>
      </c>
      <c r="AG3726" s="1" t="s">
        <v>30304</v>
      </c>
      <c r="AH3726" s="1">
        <v>41701</v>
      </c>
      <c r="AI3726" s="1">
        <v>42149</v>
      </c>
      <c r="AJ3726" s="1">
        <v>85.2</v>
      </c>
      <c r="AK3726" s="1">
        <v>8.8</v>
      </c>
      <c r="AL3726" s="1" t="s">
        <v>59222</v>
      </c>
      <c r="AM3726" s="1" t="s">
        <v>30304</v>
      </c>
      <c r="AN3726" s="1"/>
      <c r="AO3726" s="1">
        <v>42430</v>
      </c>
      <c r="AP3726" s="1">
        <v>42854</v>
      </c>
      <c r="AQ3726" s="1">
        <v>84.6</v>
      </c>
      <c r="AR3726" s="1"/>
      <c r="AS3726" s="1"/>
      <c r="AT3726" s="1"/>
      <c r="AU3726" s="1" t="s">
        <v>98</v>
      </c>
      <c r="AV3726" s="1" t="s">
        <v>98</v>
      </c>
      <c r="AW3726" s="1" t="s">
        <v>98</v>
      </c>
      <c r="AX3726" s="1" t="s">
        <v>98</v>
      </c>
      <c r="AY3726" s="1" t="s">
        <v>11251</v>
      </c>
      <c r="AZ3726" s="1" t="s">
        <v>59223</v>
      </c>
      <c r="BA3726" s="1"/>
      <c r="BB3726" s="1"/>
      <c r="BC3726" s="1">
        <v>42954</v>
      </c>
      <c r="BD3726" s="1">
        <v>44319</v>
      </c>
      <c r="BE3726" s="1">
        <v>75.52</v>
      </c>
      <c r="BF3726" s="1">
        <v>7.95</v>
      </c>
      <c r="BG3726" s="1"/>
      <c r="BH3726" s="1"/>
      <c r="BI3726" s="1"/>
      <c r="BJ3726" s="1"/>
      <c r="BK3726" s="1" t="s">
        <v>98</v>
      </c>
      <c r="BL3726" s="1" t="s">
        <v>98</v>
      </c>
      <c r="BM3726" s="1" t="s">
        <v>98</v>
      </c>
      <c r="BN3726" s="1" t="s">
        <v>98</v>
      </c>
      <c r="BO3726" s="1" t="s">
        <v>59224</v>
      </c>
      <c r="BP3726" s="1"/>
      <c r="BQ3726" s="1"/>
      <c r="BR3726" s="1" t="s">
        <v>59225</v>
      </c>
      <c r="BS3726" s="1">
        <v>45</v>
      </c>
      <c r="BT3726" s="1"/>
      <c r="BU3726" s="1" t="str">
        <f>HYPERLINK("https://nconnect.nicmar.ac.in/storage/profile/2021-2023_PP21015_462539.jpg","Download")</f>
        <v>0</v>
      </c>
      <c r="BV3726" s="3"/>
      <c r="BW3726" s="3"/>
    </row>
    <row r="3727" spans="1:75">
      <c r="A3727" s="1" t="s">
        <v>59001</v>
      </c>
      <c r="B3727" s="1" t="s">
        <v>51341</v>
      </c>
      <c r="C3727" s="1" t="s">
        <v>59226</v>
      </c>
      <c r="D3727" s="1" t="s">
        <v>10414</v>
      </c>
      <c r="E3727" s="1" t="s">
        <v>34156</v>
      </c>
      <c r="F3727" s="1" t="s">
        <v>3563</v>
      </c>
      <c r="G3727" s="1" t="s">
        <v>59227</v>
      </c>
      <c r="H3727" s="1" t="s">
        <v>59228</v>
      </c>
      <c r="I3727" s="1" t="s">
        <v>59229</v>
      </c>
      <c r="J3727" s="1">
        <v>7397429801</v>
      </c>
      <c r="K3727" s="1" t="s">
        <v>84</v>
      </c>
      <c r="L3727" s="1" t="s">
        <v>52498</v>
      </c>
      <c r="M3727" s="1" t="s">
        <v>86</v>
      </c>
      <c r="N3727" s="1" t="s">
        <v>43717</v>
      </c>
      <c r="O3727" s="1"/>
      <c r="P3727" s="1" t="s">
        <v>481</v>
      </c>
      <c r="Q3727" s="1" t="s">
        <v>59230</v>
      </c>
      <c r="R3727" s="1" t="s">
        <v>59231</v>
      </c>
      <c r="S3727" s="1">
        <v>9421150109</v>
      </c>
      <c r="T3727" s="1" t="s">
        <v>59232</v>
      </c>
      <c r="U3727" s="1" t="s">
        <v>59233</v>
      </c>
      <c r="V3727" s="1">
        <v>8861473284</v>
      </c>
      <c r="W3727" s="1" t="s">
        <v>94</v>
      </c>
      <c r="X3727" s="1" t="s">
        <v>59234</v>
      </c>
      <c r="Y3727" s="1" t="s">
        <v>6871</v>
      </c>
      <c r="Z3727" s="1" t="s">
        <v>1210</v>
      </c>
      <c r="AA3727" s="1" t="s">
        <v>59234</v>
      </c>
      <c r="AB3727" s="1" t="s">
        <v>6871</v>
      </c>
      <c r="AC3727" s="1" t="s">
        <v>1210</v>
      </c>
      <c r="AD3727" s="1" t="s">
        <v>98</v>
      </c>
      <c r="AE3727" s="1" t="s">
        <v>98</v>
      </c>
      <c r="AF3727" s="1" t="s">
        <v>4636</v>
      </c>
      <c r="AG3727" s="1" t="s">
        <v>1946</v>
      </c>
      <c r="AH3727" s="1">
        <v>41791</v>
      </c>
      <c r="AI3727" s="1">
        <v>42124</v>
      </c>
      <c r="AJ3727" s="1">
        <v>75.2</v>
      </c>
      <c r="AK3727" s="1"/>
      <c r="AL3727" s="1" t="s">
        <v>29207</v>
      </c>
      <c r="AM3727" s="1" t="s">
        <v>1946</v>
      </c>
      <c r="AN3727" s="1"/>
      <c r="AO3727" s="1">
        <v>42522</v>
      </c>
      <c r="AP3727" s="1">
        <v>42824</v>
      </c>
      <c r="AQ3727" s="1">
        <v>85.16</v>
      </c>
      <c r="AR3727" s="1"/>
      <c r="AS3727" s="1"/>
      <c r="AT3727" s="1"/>
      <c r="AU3727" s="1" t="s">
        <v>98</v>
      </c>
      <c r="AV3727" s="1" t="s">
        <v>98</v>
      </c>
      <c r="AW3727" s="1" t="s">
        <v>98</v>
      </c>
      <c r="AX3727" s="1" t="s">
        <v>98</v>
      </c>
      <c r="AY3727" s="1" t="s">
        <v>550</v>
      </c>
      <c r="AZ3727" s="1" t="s">
        <v>550</v>
      </c>
      <c r="BA3727" s="1"/>
      <c r="BB3727" s="1"/>
      <c r="BC3727" s="1">
        <v>42894</v>
      </c>
      <c r="BD3727" s="1">
        <v>44405</v>
      </c>
      <c r="BE3727" s="1">
        <v>76.9</v>
      </c>
      <c r="BF3727" s="1">
        <v>7.69</v>
      </c>
      <c r="BG3727" s="1"/>
      <c r="BH3727" s="1"/>
      <c r="BI3727" s="1"/>
      <c r="BJ3727" s="1"/>
      <c r="BK3727" s="1" t="s">
        <v>98</v>
      </c>
      <c r="BL3727" s="1" t="s">
        <v>98</v>
      </c>
      <c r="BM3727" s="1" t="s">
        <v>98</v>
      </c>
      <c r="BN3727" s="1" t="s">
        <v>98</v>
      </c>
      <c r="BO3727" s="1" t="s">
        <v>59235</v>
      </c>
      <c r="BP3727" s="1"/>
      <c r="BQ3727" s="1"/>
      <c r="BR3727" s="1" t="s">
        <v>59236</v>
      </c>
      <c r="BS3727" s="1">
        <v>31</v>
      </c>
      <c r="BT3727" s="1"/>
      <c r="BU3727" s="1" t="str">
        <f>HYPERLINK("https://nconnect.nicmar.ac.in/storage/profile/2021-2023_PP21016_497253.jpg","Download")</f>
        <v>0</v>
      </c>
      <c r="BV3727" s="3"/>
      <c r="BW3727" s="3"/>
    </row>
    <row r="3728" spans="1:75">
      <c r="A3728" s="1" t="s">
        <v>59001</v>
      </c>
      <c r="B3728" s="1" t="s">
        <v>51341</v>
      </c>
      <c r="C3728" s="1" t="s">
        <v>59237</v>
      </c>
      <c r="D3728" s="1" t="s">
        <v>6537</v>
      </c>
      <c r="E3728" s="1" t="s">
        <v>1320</v>
      </c>
      <c r="F3728" s="1" t="s">
        <v>5558</v>
      </c>
      <c r="G3728" s="1" t="s">
        <v>59238</v>
      </c>
      <c r="H3728" s="1" t="s">
        <v>59239</v>
      </c>
      <c r="I3728" s="1" t="s">
        <v>59240</v>
      </c>
      <c r="J3728" s="1">
        <v>7760964410</v>
      </c>
      <c r="K3728" s="1" t="s">
        <v>84</v>
      </c>
      <c r="L3728" s="1" t="s">
        <v>59241</v>
      </c>
      <c r="M3728" s="1" t="s">
        <v>86</v>
      </c>
      <c r="N3728" s="1" t="s">
        <v>379</v>
      </c>
      <c r="O3728" s="1"/>
      <c r="P3728" s="1" t="s">
        <v>481</v>
      </c>
      <c r="Q3728" s="1" t="s">
        <v>59242</v>
      </c>
      <c r="R3728" s="1" t="s">
        <v>59243</v>
      </c>
      <c r="S3728" s="1">
        <v>9431933748</v>
      </c>
      <c r="T3728" s="1" t="s">
        <v>59244</v>
      </c>
      <c r="U3728" s="1" t="s">
        <v>59245</v>
      </c>
      <c r="V3728" s="1">
        <v>9431933746</v>
      </c>
      <c r="W3728" s="1" t="s">
        <v>94</v>
      </c>
      <c r="X3728" s="1" t="s">
        <v>59246</v>
      </c>
      <c r="Y3728" s="1" t="s">
        <v>2954</v>
      </c>
      <c r="Z3728" s="1" t="s">
        <v>2955</v>
      </c>
      <c r="AA3728" s="1" t="s">
        <v>59246</v>
      </c>
      <c r="AB3728" s="1" t="s">
        <v>2954</v>
      </c>
      <c r="AC3728" s="1" t="s">
        <v>2955</v>
      </c>
      <c r="AD3728" s="1" t="s">
        <v>98</v>
      </c>
      <c r="AE3728" s="1" t="s">
        <v>98</v>
      </c>
      <c r="AF3728" s="1" t="s">
        <v>24232</v>
      </c>
      <c r="AG3728" s="1" t="s">
        <v>312</v>
      </c>
      <c r="AH3728" s="1">
        <v>39539</v>
      </c>
      <c r="AI3728" s="1">
        <v>39962</v>
      </c>
      <c r="AJ3728" s="1">
        <v>84.8</v>
      </c>
      <c r="AK3728" s="1" t="s">
        <v>98</v>
      </c>
      <c r="AL3728" s="1" t="s">
        <v>24232</v>
      </c>
      <c r="AM3728" s="1" t="s">
        <v>312</v>
      </c>
      <c r="AN3728" s="1"/>
      <c r="AO3728" s="1">
        <v>40269</v>
      </c>
      <c r="AP3728" s="1">
        <v>40690</v>
      </c>
      <c r="AQ3728" s="1">
        <v>77.8</v>
      </c>
      <c r="AR3728" s="1" t="s">
        <v>98</v>
      </c>
      <c r="AS3728" s="1" t="s">
        <v>98</v>
      </c>
      <c r="AT3728" s="1" t="s">
        <v>98</v>
      </c>
      <c r="AU3728" s="1" t="s">
        <v>98</v>
      </c>
      <c r="AV3728" s="1" t="s">
        <v>98</v>
      </c>
      <c r="AW3728" s="1" t="s">
        <v>98</v>
      </c>
      <c r="AX3728" s="1" t="s">
        <v>98</v>
      </c>
      <c r="AY3728" s="1" t="s">
        <v>59247</v>
      </c>
      <c r="AZ3728" s="1" t="s">
        <v>59248</v>
      </c>
      <c r="BA3728" s="1"/>
      <c r="BB3728" s="1"/>
      <c r="BC3728" s="1">
        <v>41122</v>
      </c>
      <c r="BD3728" s="1">
        <v>42460</v>
      </c>
      <c r="BE3728" s="1">
        <v>57.54</v>
      </c>
      <c r="BF3728" s="1" t="s">
        <v>98</v>
      </c>
      <c r="BG3728" s="1" t="s">
        <v>98</v>
      </c>
      <c r="BH3728" s="1"/>
      <c r="BI3728" s="1"/>
      <c r="BJ3728" s="1"/>
      <c r="BK3728" s="1" t="s">
        <v>98</v>
      </c>
      <c r="BL3728" s="1" t="s">
        <v>98</v>
      </c>
      <c r="BM3728" s="1" t="s">
        <v>98</v>
      </c>
      <c r="BN3728" s="1" t="s">
        <v>98</v>
      </c>
      <c r="BO3728" s="1"/>
      <c r="BP3728" s="1" t="s">
        <v>59249</v>
      </c>
      <c r="BQ3728" s="1" t="s">
        <v>12940</v>
      </c>
      <c r="BR3728" s="1" t="s">
        <v>59250</v>
      </c>
      <c r="BS3728" s="1">
        <v>7</v>
      </c>
      <c r="BT3728" s="1"/>
      <c r="BU3728" s="1" t="str">
        <f>HYPERLINK("https://nconnect.nicmar.ac.in/storage/profile/2021-2023_PP21017_583691.jpg","Download")</f>
        <v>0</v>
      </c>
      <c r="BV3728" s="3"/>
      <c r="BW3728" s="3"/>
    </row>
    <row r="3729" spans="1:75">
      <c r="A3729" s="1" t="s">
        <v>59001</v>
      </c>
      <c r="B3729" s="1" t="s">
        <v>51341</v>
      </c>
      <c r="C3729" s="1" t="s">
        <v>59251</v>
      </c>
      <c r="D3729" s="1" t="s">
        <v>59252</v>
      </c>
      <c r="E3729" s="1" t="s">
        <v>34324</v>
      </c>
      <c r="F3729" s="1" t="s">
        <v>59253</v>
      </c>
      <c r="G3729" s="1" t="s">
        <v>59254</v>
      </c>
      <c r="H3729" s="1" t="s">
        <v>59255</v>
      </c>
      <c r="I3729" s="1" t="s">
        <v>59256</v>
      </c>
      <c r="J3729" s="1">
        <v>8169215955</v>
      </c>
      <c r="K3729" s="1" t="s">
        <v>84</v>
      </c>
      <c r="L3729" s="1" t="s">
        <v>53899</v>
      </c>
      <c r="M3729" s="1" t="s">
        <v>86</v>
      </c>
      <c r="N3729" s="1" t="s">
        <v>59257</v>
      </c>
      <c r="O3729" s="1"/>
      <c r="P3729" s="1" t="s">
        <v>455</v>
      </c>
      <c r="Q3729" s="1" t="s">
        <v>59258</v>
      </c>
      <c r="R3729" s="1" t="s">
        <v>59259</v>
      </c>
      <c r="S3729" s="1">
        <v>9820076213</v>
      </c>
      <c r="T3729" s="1" t="s">
        <v>276</v>
      </c>
      <c r="U3729" s="1" t="s">
        <v>59260</v>
      </c>
      <c r="V3729" s="1">
        <v>9920076213</v>
      </c>
      <c r="W3729" s="1" t="s">
        <v>94</v>
      </c>
      <c r="X3729" s="1" t="s">
        <v>59261</v>
      </c>
      <c r="Y3729" s="1" t="s">
        <v>14079</v>
      </c>
      <c r="Z3729" s="1" t="s">
        <v>97</v>
      </c>
      <c r="AA3729" s="1" t="s">
        <v>59262</v>
      </c>
      <c r="AB3729" s="1" t="s">
        <v>14079</v>
      </c>
      <c r="AC3729" s="1" t="s">
        <v>97</v>
      </c>
      <c r="AD3729" s="1" t="s">
        <v>98</v>
      </c>
      <c r="AE3729" s="1" t="s">
        <v>98</v>
      </c>
      <c r="AF3729" s="1" t="s">
        <v>59263</v>
      </c>
      <c r="AG3729" s="1" t="s">
        <v>6474</v>
      </c>
      <c r="AH3729" s="1" t="s">
        <v>59264</v>
      </c>
      <c r="AI3729" s="1" t="s">
        <v>59265</v>
      </c>
      <c r="AJ3729" s="1">
        <v>78.5</v>
      </c>
      <c r="AK3729" s="1"/>
      <c r="AL3729" s="1" t="s">
        <v>59266</v>
      </c>
      <c r="AM3729" s="1" t="s">
        <v>6474</v>
      </c>
      <c r="AN3729" s="1"/>
      <c r="AO3729" s="1" t="s">
        <v>59267</v>
      </c>
      <c r="AP3729" s="1" t="s">
        <v>59268</v>
      </c>
      <c r="AQ3729" s="1">
        <v>88.5</v>
      </c>
      <c r="AR3729" s="1"/>
      <c r="AS3729" s="1"/>
      <c r="AT3729" s="1"/>
      <c r="AU3729" s="1" t="s">
        <v>98</v>
      </c>
      <c r="AV3729" s="1" t="s">
        <v>98</v>
      </c>
      <c r="AW3729" s="1" t="s">
        <v>98</v>
      </c>
      <c r="AX3729" s="1" t="s">
        <v>98</v>
      </c>
      <c r="AY3729" s="1" t="s">
        <v>680</v>
      </c>
      <c r="AZ3729" s="1" t="s">
        <v>2266</v>
      </c>
      <c r="BA3729" s="1"/>
      <c r="BB3729" s="1"/>
      <c r="BC3729" s="1">
        <v>42602</v>
      </c>
      <c r="BD3729" s="1">
        <v>44123</v>
      </c>
      <c r="BE3729" s="1">
        <v>71.5</v>
      </c>
      <c r="BF3729" s="1">
        <v>8.04</v>
      </c>
      <c r="BG3729" s="1"/>
      <c r="BH3729" s="1"/>
      <c r="BI3729" s="1"/>
      <c r="BJ3729" s="1"/>
      <c r="BK3729" s="1" t="s">
        <v>98</v>
      </c>
      <c r="BL3729" s="1" t="s">
        <v>98</v>
      </c>
      <c r="BM3729" s="1" t="s">
        <v>98</v>
      </c>
      <c r="BN3729" s="1" t="s">
        <v>98</v>
      </c>
      <c r="BO3729" s="1" t="s">
        <v>40690</v>
      </c>
      <c r="BP3729" s="1"/>
      <c r="BQ3729" s="1"/>
      <c r="BR3729" s="1" t="s">
        <v>59269</v>
      </c>
      <c r="BS3729" s="1">
        <v>8</v>
      </c>
      <c r="BT3729" s="1"/>
      <c r="BU3729" s="1" t="str">
        <f>HYPERLINK("https://nconnect.nicmar.ac.in/storage/profile/2021-2023_PP21018_953762.jpg","Download")</f>
        <v>0</v>
      </c>
      <c r="BV3729" s="3"/>
      <c r="BW3729" s="3"/>
    </row>
    <row r="3730" spans="1:75">
      <c r="A3730" s="1" t="s">
        <v>59001</v>
      </c>
      <c r="B3730" s="1" t="s">
        <v>51341</v>
      </c>
      <c r="C3730" s="1" t="s">
        <v>59270</v>
      </c>
      <c r="D3730" s="1" t="s">
        <v>6222</v>
      </c>
      <c r="E3730" s="1" t="s">
        <v>59271</v>
      </c>
      <c r="F3730" s="1" t="s">
        <v>5809</v>
      </c>
      <c r="G3730" s="1" t="s">
        <v>59272</v>
      </c>
      <c r="H3730" s="1" t="s">
        <v>59273</v>
      </c>
      <c r="I3730" s="1" t="s">
        <v>59274</v>
      </c>
      <c r="J3730" s="1">
        <v>9757240880</v>
      </c>
      <c r="K3730" s="1" t="s">
        <v>84</v>
      </c>
      <c r="L3730" s="1" t="s">
        <v>59275</v>
      </c>
      <c r="M3730" s="1" t="s">
        <v>86</v>
      </c>
      <c r="N3730" s="1" t="s">
        <v>59276</v>
      </c>
      <c r="O3730" s="1"/>
      <c r="P3730" s="1" t="s">
        <v>455</v>
      </c>
      <c r="Q3730" s="1" t="s">
        <v>59277</v>
      </c>
      <c r="R3730" s="1" t="s">
        <v>59278</v>
      </c>
      <c r="S3730" s="1">
        <v>8208582485</v>
      </c>
      <c r="T3730" s="1" t="s">
        <v>9257</v>
      </c>
      <c r="U3730" s="1" t="s">
        <v>59279</v>
      </c>
      <c r="V3730" s="1">
        <v>9869566088</v>
      </c>
      <c r="W3730" s="1" t="s">
        <v>94</v>
      </c>
      <c r="X3730" s="1" t="s">
        <v>59280</v>
      </c>
      <c r="Y3730" s="1" t="s">
        <v>59281</v>
      </c>
      <c r="Z3730" s="1" t="s">
        <v>97</v>
      </c>
      <c r="AA3730" s="1" t="s">
        <v>59280</v>
      </c>
      <c r="AB3730" s="1" t="s">
        <v>59281</v>
      </c>
      <c r="AC3730" s="1" t="s">
        <v>97</v>
      </c>
      <c r="AD3730" s="1" t="s">
        <v>98</v>
      </c>
      <c r="AE3730" s="1" t="s">
        <v>98</v>
      </c>
      <c r="AF3730" s="1" t="s">
        <v>59282</v>
      </c>
      <c r="AG3730" s="1" t="s">
        <v>51712</v>
      </c>
      <c r="AH3730" s="1">
        <v>40695</v>
      </c>
      <c r="AI3730" s="1">
        <v>40969</v>
      </c>
      <c r="AJ3730" s="1">
        <v>84.55</v>
      </c>
      <c r="AK3730" s="1"/>
      <c r="AL3730" s="1" t="s">
        <v>29585</v>
      </c>
      <c r="AM3730" s="1" t="s">
        <v>51712</v>
      </c>
      <c r="AN3730" s="1"/>
      <c r="AO3730" s="1">
        <v>41426</v>
      </c>
      <c r="AP3730" s="1">
        <v>41792</v>
      </c>
      <c r="AQ3730" s="1">
        <v>71.23</v>
      </c>
      <c r="AR3730" s="1"/>
      <c r="AS3730" s="1"/>
      <c r="AT3730" s="1"/>
      <c r="AU3730" s="1" t="s">
        <v>98</v>
      </c>
      <c r="AV3730" s="1" t="s">
        <v>98</v>
      </c>
      <c r="AW3730" s="1" t="s">
        <v>98</v>
      </c>
      <c r="AX3730" s="1" t="s">
        <v>98</v>
      </c>
      <c r="AY3730" s="1" t="s">
        <v>258</v>
      </c>
      <c r="AZ3730" s="1" t="s">
        <v>1973</v>
      </c>
      <c r="BA3730" s="1"/>
      <c r="BB3730" s="1"/>
      <c r="BC3730" s="1">
        <v>41852</v>
      </c>
      <c r="BD3730" s="1">
        <v>43305</v>
      </c>
      <c r="BE3730" s="1">
        <v>61.13</v>
      </c>
      <c r="BF3730" s="1">
        <v>6.92</v>
      </c>
      <c r="BG3730" s="1"/>
      <c r="BH3730" s="1"/>
      <c r="BI3730" s="1"/>
      <c r="BJ3730" s="1"/>
      <c r="BK3730" s="1" t="s">
        <v>98</v>
      </c>
      <c r="BL3730" s="1" t="s">
        <v>98</v>
      </c>
      <c r="BM3730" s="1" t="s">
        <v>98</v>
      </c>
      <c r="BN3730" s="1" t="s">
        <v>98</v>
      </c>
      <c r="BO3730" s="1" t="s">
        <v>28364</v>
      </c>
      <c r="BP3730" s="1" t="s">
        <v>59283</v>
      </c>
      <c r="BQ3730" s="1" t="s">
        <v>736</v>
      </c>
      <c r="BR3730" s="1" t="s">
        <v>59284</v>
      </c>
      <c r="BS3730" s="1">
        <v>32</v>
      </c>
      <c r="BT3730" s="1"/>
      <c r="BU3730" s="1" t="str">
        <f>HYPERLINK("https://nconnect.nicmar.ac.in/storage/profile/2021-2023_PP21019_254368.jpg","Download")</f>
        <v>0</v>
      </c>
      <c r="BV3730" s="3"/>
      <c r="BW3730" s="3"/>
    </row>
    <row r="3731" spans="1:75">
      <c r="A3731" s="1" t="s">
        <v>59001</v>
      </c>
      <c r="B3731" s="1" t="s">
        <v>51341</v>
      </c>
      <c r="C3731" s="1" t="s">
        <v>59285</v>
      </c>
      <c r="D3731" s="1" t="s">
        <v>6880</v>
      </c>
      <c r="E3731" s="1"/>
      <c r="F3731" s="1" t="s">
        <v>961</v>
      </c>
      <c r="G3731" s="1" t="s">
        <v>59286</v>
      </c>
      <c r="H3731" s="1" t="s">
        <v>59287</v>
      </c>
      <c r="I3731" s="1" t="s">
        <v>59288</v>
      </c>
      <c r="J3731" s="1">
        <v>8602484688</v>
      </c>
      <c r="K3731" s="1" t="s">
        <v>84</v>
      </c>
      <c r="L3731" s="1" t="s">
        <v>33350</v>
      </c>
      <c r="M3731" s="1" t="s">
        <v>86</v>
      </c>
      <c r="N3731" s="1" t="s">
        <v>379</v>
      </c>
      <c r="O3731" s="1"/>
      <c r="P3731" s="1" t="s">
        <v>507</v>
      </c>
      <c r="Q3731" s="1" t="s">
        <v>59289</v>
      </c>
      <c r="R3731" s="1" t="s">
        <v>59290</v>
      </c>
      <c r="S3731" s="1">
        <v>9926448602</v>
      </c>
      <c r="T3731" s="1" t="s">
        <v>59291</v>
      </c>
      <c r="U3731" s="1" t="s">
        <v>52111</v>
      </c>
      <c r="V3731" s="1">
        <v>9977061067</v>
      </c>
      <c r="W3731" s="1" t="s">
        <v>94</v>
      </c>
      <c r="X3731" s="1" t="s">
        <v>59292</v>
      </c>
      <c r="Y3731" s="1" t="s">
        <v>59293</v>
      </c>
      <c r="Z3731" s="1" t="s">
        <v>3419</v>
      </c>
      <c r="AA3731" s="1" t="s">
        <v>59292</v>
      </c>
      <c r="AB3731" s="1" t="s">
        <v>59293</v>
      </c>
      <c r="AC3731" s="1" t="s">
        <v>3419</v>
      </c>
      <c r="AD3731" s="1" t="s">
        <v>98</v>
      </c>
      <c r="AE3731" s="1" t="s">
        <v>98</v>
      </c>
      <c r="AF3731" s="1" t="s">
        <v>59294</v>
      </c>
      <c r="AG3731" s="1" t="s">
        <v>53920</v>
      </c>
      <c r="AH3731" s="1">
        <v>41456</v>
      </c>
      <c r="AI3731" s="1">
        <v>41774</v>
      </c>
      <c r="AJ3731" s="1">
        <v>72.5</v>
      </c>
      <c r="AK3731" s="1"/>
      <c r="AL3731" s="1" t="s">
        <v>59295</v>
      </c>
      <c r="AM3731" s="1" t="s">
        <v>53920</v>
      </c>
      <c r="AN3731" s="1"/>
      <c r="AO3731" s="1"/>
      <c r="AP3731" s="1"/>
      <c r="AQ3731" s="1">
        <v>63.2</v>
      </c>
      <c r="AR3731" s="1"/>
      <c r="AS3731" s="1"/>
      <c r="AT3731" s="1"/>
      <c r="AU3731" s="1" t="s">
        <v>98</v>
      </c>
      <c r="AV3731" s="1" t="s">
        <v>98</v>
      </c>
      <c r="AW3731" s="1" t="s">
        <v>98</v>
      </c>
      <c r="AX3731" s="1" t="s">
        <v>98</v>
      </c>
      <c r="AY3731" s="1" t="s">
        <v>52115</v>
      </c>
      <c r="AZ3731" s="1" t="s">
        <v>52115</v>
      </c>
      <c r="BA3731" s="1"/>
      <c r="BB3731" s="1"/>
      <c r="BC3731" s="1">
        <v>42567</v>
      </c>
      <c r="BD3731" s="1">
        <v>44114</v>
      </c>
      <c r="BE3731" s="1">
        <v>63.6</v>
      </c>
      <c r="BF3731" s="1">
        <v>6.36</v>
      </c>
      <c r="BG3731" s="1"/>
      <c r="BH3731" s="1"/>
      <c r="BI3731" s="1"/>
      <c r="BJ3731" s="1"/>
      <c r="BK3731" s="1" t="s">
        <v>98</v>
      </c>
      <c r="BL3731" s="1" t="s">
        <v>98</v>
      </c>
      <c r="BM3731" s="1" t="s">
        <v>98</v>
      </c>
      <c r="BN3731" s="1" t="s">
        <v>98</v>
      </c>
      <c r="BO3731" s="1" t="s">
        <v>28364</v>
      </c>
      <c r="BP3731" s="1"/>
      <c r="BQ3731" s="1"/>
      <c r="BR3731" s="1" t="s">
        <v>59296</v>
      </c>
      <c r="BS3731" s="1">
        <v>24</v>
      </c>
      <c r="BT3731" s="1"/>
      <c r="BU3731" s="1" t="str">
        <f>HYPERLINK("https://nconnect.nicmar.ac.in/storage/profile/2021-2023_PP21020_891746.JPG","Download")</f>
        <v>0</v>
      </c>
      <c r="BV3731" s="3"/>
      <c r="BW3731" s="3"/>
    </row>
    <row r="3732" spans="1:75">
      <c r="A3732" s="1" t="s">
        <v>59001</v>
      </c>
      <c r="B3732" s="1" t="s">
        <v>51341</v>
      </c>
      <c r="C3732" s="1" t="s">
        <v>59297</v>
      </c>
      <c r="D3732" s="1" t="s">
        <v>784</v>
      </c>
      <c r="E3732" s="1" t="s">
        <v>1247</v>
      </c>
      <c r="F3732" s="1" t="s">
        <v>43886</v>
      </c>
      <c r="G3732" s="1" t="s">
        <v>59298</v>
      </c>
      <c r="H3732" s="1" t="s">
        <v>59299</v>
      </c>
      <c r="I3732" s="1" t="s">
        <v>59300</v>
      </c>
      <c r="J3732" s="1">
        <v>9930130285</v>
      </c>
      <c r="K3732" s="1" t="s">
        <v>84</v>
      </c>
      <c r="L3732" s="1" t="s">
        <v>718</v>
      </c>
      <c r="M3732" s="1" t="s">
        <v>86</v>
      </c>
      <c r="N3732" s="1" t="s">
        <v>59301</v>
      </c>
      <c r="O3732" s="1"/>
      <c r="P3732" s="1" t="s">
        <v>507</v>
      </c>
      <c r="Q3732" s="1" t="s">
        <v>59302</v>
      </c>
      <c r="R3732" s="1" t="s">
        <v>59303</v>
      </c>
      <c r="S3732" s="1">
        <v>9969661802</v>
      </c>
      <c r="T3732" s="1" t="s">
        <v>839</v>
      </c>
      <c r="U3732" s="1" t="s">
        <v>59304</v>
      </c>
      <c r="V3732" s="1">
        <v>9869463151</v>
      </c>
      <c r="W3732" s="1" t="s">
        <v>161</v>
      </c>
      <c r="X3732" s="1" t="s">
        <v>59305</v>
      </c>
      <c r="Y3732" s="1" t="s">
        <v>14079</v>
      </c>
      <c r="Z3732" s="1" t="s">
        <v>97</v>
      </c>
      <c r="AA3732" s="1" t="s">
        <v>59305</v>
      </c>
      <c r="AB3732" s="1" t="s">
        <v>14079</v>
      </c>
      <c r="AC3732" s="1" t="s">
        <v>97</v>
      </c>
      <c r="AD3732" s="1" t="s">
        <v>98</v>
      </c>
      <c r="AE3732" s="1" t="s">
        <v>98</v>
      </c>
      <c r="AF3732" s="1" t="s">
        <v>59306</v>
      </c>
      <c r="AG3732" s="1" t="s">
        <v>1968</v>
      </c>
      <c r="AH3732" s="1">
        <v>41439</v>
      </c>
      <c r="AI3732" s="1">
        <v>41729</v>
      </c>
      <c r="AJ3732" s="1">
        <v>90</v>
      </c>
      <c r="AK3732" s="1"/>
      <c r="AL3732" s="1" t="s">
        <v>59307</v>
      </c>
      <c r="AM3732" s="1" t="s">
        <v>98</v>
      </c>
      <c r="AN3732" s="1"/>
      <c r="AO3732" s="1" t="s">
        <v>52701</v>
      </c>
      <c r="AP3732" s="1" t="s">
        <v>59308</v>
      </c>
      <c r="AQ3732" s="1">
        <v>87.44</v>
      </c>
      <c r="AR3732" s="1"/>
      <c r="AS3732" s="1" t="s">
        <v>37854</v>
      </c>
      <c r="AT3732" s="1" t="s">
        <v>59307</v>
      </c>
      <c r="AU3732" s="1">
        <v>41791</v>
      </c>
      <c r="AV3732" s="1">
        <v>43264</v>
      </c>
      <c r="AW3732" s="1">
        <v>87.44</v>
      </c>
      <c r="AX3732" s="1"/>
      <c r="AY3732" s="1" t="s">
        <v>59309</v>
      </c>
      <c r="AZ3732" s="1" t="s">
        <v>59310</v>
      </c>
      <c r="BA3732" s="1"/>
      <c r="BB3732" s="1"/>
      <c r="BC3732" s="1">
        <v>43265</v>
      </c>
      <c r="BD3732" s="1">
        <v>44347</v>
      </c>
      <c r="BE3732" s="1">
        <v>81.71</v>
      </c>
      <c r="BF3732" s="1">
        <v>8.88</v>
      </c>
      <c r="BG3732" s="1"/>
      <c r="BH3732" s="1"/>
      <c r="BI3732" s="1"/>
      <c r="BJ3732" s="1"/>
      <c r="BK3732" s="1" t="s">
        <v>98</v>
      </c>
      <c r="BL3732" s="1" t="s">
        <v>98</v>
      </c>
      <c r="BM3732" s="1" t="s">
        <v>98</v>
      </c>
      <c r="BN3732" s="1" t="s">
        <v>98</v>
      </c>
      <c r="BO3732" s="1" t="s">
        <v>260</v>
      </c>
      <c r="BP3732" s="1"/>
      <c r="BQ3732" s="1"/>
      <c r="BR3732" s="1" t="s">
        <v>59311</v>
      </c>
      <c r="BS3732" s="1">
        <v>59</v>
      </c>
      <c r="BT3732" s="1"/>
      <c r="BU3732" s="1" t="str">
        <f>HYPERLINK("https://nconnect.nicmar.ac.in/storage/profile/2021-2023_PP21021_534869.jpg","Download")</f>
        <v>0</v>
      </c>
      <c r="BV3732" s="3"/>
      <c r="BW3732" s="3"/>
    </row>
    <row r="3733" spans="1:75">
      <c r="A3733" s="1" t="s">
        <v>59001</v>
      </c>
      <c r="B3733" s="1" t="s">
        <v>51341</v>
      </c>
      <c r="C3733" s="1" t="s">
        <v>59312</v>
      </c>
      <c r="D3733" s="1" t="s">
        <v>55709</v>
      </c>
      <c r="E3733" s="1"/>
      <c r="F3733" s="1" t="s">
        <v>30736</v>
      </c>
      <c r="G3733" s="1" t="s">
        <v>59313</v>
      </c>
      <c r="H3733" s="1" t="s">
        <v>59314</v>
      </c>
      <c r="I3733" s="1" t="s">
        <v>59315</v>
      </c>
      <c r="J3733" s="1">
        <v>8939120552</v>
      </c>
      <c r="K3733" s="1" t="s">
        <v>84</v>
      </c>
      <c r="L3733" s="1" t="s">
        <v>59316</v>
      </c>
      <c r="M3733" s="1" t="s">
        <v>86</v>
      </c>
      <c r="N3733" s="1" t="s">
        <v>246</v>
      </c>
      <c r="O3733" s="1"/>
      <c r="P3733" s="1" t="s">
        <v>507</v>
      </c>
      <c r="Q3733" s="1" t="s">
        <v>59317</v>
      </c>
      <c r="R3733" s="1" t="s">
        <v>59318</v>
      </c>
      <c r="S3733" s="1">
        <v>8939120552</v>
      </c>
      <c r="T3733" s="1" t="s">
        <v>1495</v>
      </c>
      <c r="U3733" s="1" t="s">
        <v>59319</v>
      </c>
      <c r="V3733" s="1">
        <v>9997489782</v>
      </c>
      <c r="W3733" s="1" t="s">
        <v>127</v>
      </c>
      <c r="X3733" s="1" t="s">
        <v>59320</v>
      </c>
      <c r="Y3733" s="1" t="s">
        <v>19101</v>
      </c>
      <c r="Z3733" s="1" t="s">
        <v>7930</v>
      </c>
      <c r="AA3733" s="1" t="s">
        <v>59320</v>
      </c>
      <c r="AB3733" s="1" t="s">
        <v>19101</v>
      </c>
      <c r="AC3733" s="1" t="s">
        <v>7930</v>
      </c>
      <c r="AD3733" s="1" t="s">
        <v>98</v>
      </c>
      <c r="AE3733" s="1" t="s">
        <v>98</v>
      </c>
      <c r="AF3733" s="1" t="s">
        <v>59321</v>
      </c>
      <c r="AG3733" s="1" t="s">
        <v>6474</v>
      </c>
      <c r="AH3733" s="1">
        <v>41334</v>
      </c>
      <c r="AI3733" s="1">
        <v>41699</v>
      </c>
      <c r="AJ3733" s="1">
        <v>80.33</v>
      </c>
      <c r="AK3733" s="1"/>
      <c r="AL3733" s="1" t="s">
        <v>59322</v>
      </c>
      <c r="AM3733" s="1" t="s">
        <v>6474</v>
      </c>
      <c r="AN3733" s="1"/>
      <c r="AO3733" s="1" t="s">
        <v>54775</v>
      </c>
      <c r="AP3733" s="1" t="s">
        <v>59323</v>
      </c>
      <c r="AQ3733" s="1">
        <v>62.5</v>
      </c>
      <c r="AR3733" s="1"/>
      <c r="AS3733" s="1"/>
      <c r="AT3733" s="1"/>
      <c r="AU3733" s="1" t="s">
        <v>98</v>
      </c>
      <c r="AV3733" s="1" t="s">
        <v>98</v>
      </c>
      <c r="AW3733" s="1" t="s">
        <v>98</v>
      </c>
      <c r="AX3733" s="1" t="s">
        <v>98</v>
      </c>
      <c r="AY3733" s="1" t="s">
        <v>2614</v>
      </c>
      <c r="AZ3733" s="1" t="s">
        <v>2614</v>
      </c>
      <c r="BA3733" s="1"/>
      <c r="BB3733" s="1"/>
      <c r="BC3733" s="1" t="s">
        <v>52704</v>
      </c>
      <c r="BD3733" s="1" t="s">
        <v>57787</v>
      </c>
      <c r="BE3733" s="1">
        <v>67.37</v>
      </c>
      <c r="BF3733" s="1">
        <v>5.65</v>
      </c>
      <c r="BG3733" s="1"/>
      <c r="BH3733" s="1"/>
      <c r="BI3733" s="1"/>
      <c r="BJ3733" s="1"/>
      <c r="BK3733" s="1" t="s">
        <v>98</v>
      </c>
      <c r="BL3733" s="1" t="s">
        <v>98</v>
      </c>
      <c r="BM3733" s="1" t="s">
        <v>98</v>
      </c>
      <c r="BN3733" s="1" t="s">
        <v>98</v>
      </c>
      <c r="BO3733" s="1" t="s">
        <v>40690</v>
      </c>
      <c r="BP3733" s="1"/>
      <c r="BQ3733" s="1"/>
      <c r="BR3733" s="1" t="s">
        <v>59324</v>
      </c>
      <c r="BS3733" s="1">
        <v>-26</v>
      </c>
      <c r="BT3733" s="1"/>
      <c r="BU3733" s="1" t="str">
        <f>HYPERLINK("https://nconnect.nicmar.ac.in/storage/profile/2021-2023_PP21022_649358.jpg","Download")</f>
        <v>0</v>
      </c>
      <c r="BV3733" s="3"/>
      <c r="BW3733" s="3"/>
    </row>
    <row r="3734" spans="1:75">
      <c r="A3734" s="1" t="s">
        <v>59001</v>
      </c>
      <c r="B3734" s="1" t="s">
        <v>51341</v>
      </c>
      <c r="C3734" s="1" t="s">
        <v>59325</v>
      </c>
      <c r="D3734" s="1" t="s">
        <v>37521</v>
      </c>
      <c r="E3734" s="1" t="s">
        <v>59326</v>
      </c>
      <c r="F3734" s="1" t="s">
        <v>59327</v>
      </c>
      <c r="G3734" s="1" t="s">
        <v>59328</v>
      </c>
      <c r="H3734" s="1" t="s">
        <v>59329</v>
      </c>
      <c r="I3734" s="1" t="s">
        <v>59330</v>
      </c>
      <c r="J3734" s="1">
        <v>9130546489</v>
      </c>
      <c r="K3734" s="1" t="s">
        <v>153</v>
      </c>
      <c r="L3734" s="1" t="s">
        <v>59331</v>
      </c>
      <c r="M3734" s="1" t="s">
        <v>86</v>
      </c>
      <c r="N3734" s="1" t="s">
        <v>903</v>
      </c>
      <c r="O3734" s="1"/>
      <c r="P3734" s="1" t="s">
        <v>507</v>
      </c>
      <c r="Q3734" s="1" t="s">
        <v>59332</v>
      </c>
      <c r="R3734" s="1" t="s">
        <v>59333</v>
      </c>
      <c r="S3734" s="1">
        <v>9822970687</v>
      </c>
      <c r="T3734" s="1" t="s">
        <v>926</v>
      </c>
      <c r="U3734" s="1" t="s">
        <v>59334</v>
      </c>
      <c r="V3734" s="1">
        <v>9270535653</v>
      </c>
      <c r="W3734" s="1" t="s">
        <v>94</v>
      </c>
      <c r="X3734" s="1" t="s">
        <v>59335</v>
      </c>
      <c r="Y3734" s="1" t="s">
        <v>196</v>
      </c>
      <c r="Z3734" s="1" t="s">
        <v>97</v>
      </c>
      <c r="AA3734" s="1" t="s">
        <v>98</v>
      </c>
      <c r="AB3734" s="1" t="s">
        <v>196</v>
      </c>
      <c r="AC3734" s="1" t="s">
        <v>97</v>
      </c>
      <c r="AD3734" s="1" t="s">
        <v>98</v>
      </c>
      <c r="AE3734" s="1" t="s">
        <v>98</v>
      </c>
      <c r="AF3734" s="1" t="s">
        <v>59336</v>
      </c>
      <c r="AG3734" s="1" t="s">
        <v>1968</v>
      </c>
      <c r="AH3734" s="1">
        <v>40706</v>
      </c>
      <c r="AI3734" s="1">
        <v>41073</v>
      </c>
      <c r="AJ3734" s="1">
        <v>84.2</v>
      </c>
      <c r="AK3734" s="1"/>
      <c r="AL3734" s="1" t="s">
        <v>59337</v>
      </c>
      <c r="AM3734" s="1" t="s">
        <v>1968</v>
      </c>
      <c r="AN3734" s="1"/>
      <c r="AO3734" s="1">
        <v>41429</v>
      </c>
      <c r="AP3734" s="1">
        <v>41790</v>
      </c>
      <c r="AQ3734" s="1">
        <v>62</v>
      </c>
      <c r="AR3734" s="1"/>
      <c r="AS3734" s="1"/>
      <c r="AT3734" s="1"/>
      <c r="AU3734" s="1" t="s">
        <v>98</v>
      </c>
      <c r="AV3734" s="1" t="s">
        <v>98</v>
      </c>
      <c r="AW3734" s="1" t="s">
        <v>98</v>
      </c>
      <c r="AX3734" s="1" t="s">
        <v>98</v>
      </c>
      <c r="AY3734" s="1" t="s">
        <v>366</v>
      </c>
      <c r="AZ3734" s="1" t="s">
        <v>59338</v>
      </c>
      <c r="BA3734" s="1"/>
      <c r="BB3734" s="1"/>
      <c r="BC3734" s="1">
        <v>41852</v>
      </c>
      <c r="BD3734" s="1">
        <v>43285</v>
      </c>
      <c r="BE3734" s="1">
        <v>70.72</v>
      </c>
      <c r="BF3734" s="1">
        <v>0</v>
      </c>
      <c r="BG3734" s="1"/>
      <c r="BH3734" s="1"/>
      <c r="BI3734" s="1"/>
      <c r="BJ3734" s="1"/>
      <c r="BK3734" s="1" t="s">
        <v>98</v>
      </c>
      <c r="BL3734" s="1" t="s">
        <v>98</v>
      </c>
      <c r="BM3734" s="1" t="s">
        <v>98</v>
      </c>
      <c r="BN3734" s="1" t="s">
        <v>98</v>
      </c>
      <c r="BO3734" s="1" t="s">
        <v>28364</v>
      </c>
      <c r="BP3734" s="1"/>
      <c r="BQ3734" s="1"/>
      <c r="BR3734" s="1" t="s">
        <v>59339</v>
      </c>
      <c r="BS3734" s="1">
        <v>45</v>
      </c>
      <c r="BT3734" s="1"/>
      <c r="BU3734" s="1" t="str">
        <f>HYPERLINK("https://nconnect.nicmar.ac.in/storage/profile/2021-2023_PP21023_714592.jpg","Download")</f>
        <v>0</v>
      </c>
      <c r="BV3734" s="3"/>
      <c r="BW3734" s="3"/>
    </row>
    <row r="3735" spans="1:75">
      <c r="A3735" s="1" t="s">
        <v>59001</v>
      </c>
      <c r="B3735" s="1" t="s">
        <v>51341</v>
      </c>
      <c r="C3735" s="1" t="s">
        <v>59340</v>
      </c>
      <c r="D3735" s="1" t="s">
        <v>59341</v>
      </c>
      <c r="E3735" s="1" t="s">
        <v>1963</v>
      </c>
      <c r="F3735" s="1" t="s">
        <v>58502</v>
      </c>
      <c r="G3735" s="1" t="s">
        <v>59342</v>
      </c>
      <c r="H3735" s="1" t="s">
        <v>59343</v>
      </c>
      <c r="I3735" s="1" t="s">
        <v>59344</v>
      </c>
      <c r="J3735" s="1">
        <v>8007878231</v>
      </c>
      <c r="K3735" s="1" t="s">
        <v>84</v>
      </c>
      <c r="L3735" s="1" t="s">
        <v>59345</v>
      </c>
      <c r="M3735" s="1" t="s">
        <v>86</v>
      </c>
      <c r="N3735" s="1" t="s">
        <v>1163</v>
      </c>
      <c r="O3735" s="1"/>
      <c r="P3735" s="1" t="s">
        <v>507</v>
      </c>
      <c r="Q3735" s="1" t="s">
        <v>59346</v>
      </c>
      <c r="R3735" s="1" t="s">
        <v>59347</v>
      </c>
      <c r="S3735" s="1">
        <v>9821462870</v>
      </c>
      <c r="T3735" s="1" t="s">
        <v>926</v>
      </c>
      <c r="U3735" s="1" t="s">
        <v>59348</v>
      </c>
      <c r="V3735" s="1">
        <v>8879516369</v>
      </c>
      <c r="W3735" s="1" t="s">
        <v>59349</v>
      </c>
      <c r="X3735" s="1" t="s">
        <v>59350</v>
      </c>
      <c r="Y3735" s="1" t="s">
        <v>14079</v>
      </c>
      <c r="Z3735" s="1" t="s">
        <v>97</v>
      </c>
      <c r="AA3735" s="1" t="s">
        <v>59351</v>
      </c>
      <c r="AB3735" s="1" t="s">
        <v>14079</v>
      </c>
      <c r="AC3735" s="1" t="s">
        <v>97</v>
      </c>
      <c r="AD3735" s="1" t="s">
        <v>98</v>
      </c>
      <c r="AE3735" s="1" t="s">
        <v>98</v>
      </c>
      <c r="AF3735" s="1" t="s">
        <v>59352</v>
      </c>
      <c r="AG3735" s="1" t="s">
        <v>2745</v>
      </c>
      <c r="AH3735" s="1" t="s">
        <v>4593</v>
      </c>
      <c r="AI3735" s="1" t="s">
        <v>3285</v>
      </c>
      <c r="AJ3735" s="1">
        <v>78.73</v>
      </c>
      <c r="AK3735" s="1"/>
      <c r="AL3735" s="1" t="s">
        <v>59353</v>
      </c>
      <c r="AM3735" s="1" t="s">
        <v>2745</v>
      </c>
      <c r="AN3735" s="1"/>
      <c r="AO3735" s="1" t="s">
        <v>133</v>
      </c>
      <c r="AP3735" s="1" t="s">
        <v>134</v>
      </c>
      <c r="AQ3735" s="1">
        <v>45.83</v>
      </c>
      <c r="AR3735" s="1"/>
      <c r="AS3735" s="1" t="s">
        <v>59354</v>
      </c>
      <c r="AT3735" s="1" t="s">
        <v>59355</v>
      </c>
      <c r="AU3735" s="1" t="s">
        <v>48268</v>
      </c>
      <c r="AV3735" s="1" t="s">
        <v>2822</v>
      </c>
      <c r="AW3735" s="1">
        <v>61.33</v>
      </c>
      <c r="AX3735" s="1"/>
      <c r="AY3735" s="1" t="s">
        <v>366</v>
      </c>
      <c r="AZ3735" s="1" t="s">
        <v>59356</v>
      </c>
      <c r="BA3735" s="1"/>
      <c r="BB3735" s="1"/>
      <c r="BC3735" s="1" t="s">
        <v>139</v>
      </c>
      <c r="BD3735" s="1" t="s">
        <v>2863</v>
      </c>
      <c r="BE3735" s="1">
        <v>55.8</v>
      </c>
      <c r="BF3735" s="1">
        <v>5.91</v>
      </c>
      <c r="BG3735" s="1"/>
      <c r="BH3735" s="1"/>
      <c r="BI3735" s="1"/>
      <c r="BJ3735" s="1"/>
      <c r="BK3735" s="1" t="s">
        <v>98</v>
      </c>
      <c r="BL3735" s="1" t="s">
        <v>98</v>
      </c>
      <c r="BM3735" s="1" t="s">
        <v>98</v>
      </c>
      <c r="BN3735" s="1" t="s">
        <v>98</v>
      </c>
      <c r="BO3735" s="1" t="s">
        <v>1114</v>
      </c>
      <c r="BP3735" s="1"/>
      <c r="BQ3735" s="1"/>
      <c r="BR3735" s="1" t="s">
        <v>59357</v>
      </c>
      <c r="BS3735" s="1">
        <v>38</v>
      </c>
      <c r="BT3735" s="1"/>
      <c r="BU3735" s="1" t="str">
        <f>HYPERLINK("https://nconnect.nicmar.ac.in/storage/profile/2021-2023_PP21024_326798.jpg","Download")</f>
        <v>0</v>
      </c>
      <c r="BV3735" s="3"/>
      <c r="BW3735" s="3"/>
    </row>
    <row r="3736" spans="1:75">
      <c r="A3736" s="1" t="s">
        <v>59001</v>
      </c>
      <c r="B3736" s="1" t="s">
        <v>51341</v>
      </c>
      <c r="C3736" s="1" t="s">
        <v>59358</v>
      </c>
      <c r="D3736" s="1" t="s">
        <v>761</v>
      </c>
      <c r="E3736" s="1"/>
      <c r="F3736" s="1" t="s">
        <v>7372</v>
      </c>
      <c r="G3736" s="1" t="s">
        <v>59359</v>
      </c>
      <c r="H3736" s="1" t="s">
        <v>59360</v>
      </c>
      <c r="I3736" s="1" t="s">
        <v>59361</v>
      </c>
      <c r="J3736" s="1">
        <v>8875129141</v>
      </c>
      <c r="K3736" s="1" t="s">
        <v>84</v>
      </c>
      <c r="L3736" s="1" t="s">
        <v>59362</v>
      </c>
      <c r="M3736" s="1" t="s">
        <v>86</v>
      </c>
      <c r="N3736" s="1" t="s">
        <v>59363</v>
      </c>
      <c r="O3736" s="1"/>
      <c r="P3736" s="1" t="s">
        <v>507</v>
      </c>
      <c r="Q3736" s="1" t="s">
        <v>59364</v>
      </c>
      <c r="R3736" s="1" t="s">
        <v>59365</v>
      </c>
      <c r="S3736" s="1">
        <v>7726061553</v>
      </c>
      <c r="T3736" s="1" t="s">
        <v>539</v>
      </c>
      <c r="U3736" s="1" t="s">
        <v>59366</v>
      </c>
      <c r="V3736" s="1">
        <v>7229944115</v>
      </c>
      <c r="W3736" s="1" t="s">
        <v>330</v>
      </c>
      <c r="X3736" s="1" t="s">
        <v>59367</v>
      </c>
      <c r="Y3736" s="1" t="s">
        <v>29682</v>
      </c>
      <c r="Z3736" s="1" t="s">
        <v>2153</v>
      </c>
      <c r="AA3736" s="1" t="s">
        <v>59367</v>
      </c>
      <c r="AB3736" s="1" t="s">
        <v>29682</v>
      </c>
      <c r="AC3736" s="1" t="s">
        <v>2153</v>
      </c>
      <c r="AD3736" s="1" t="s">
        <v>98</v>
      </c>
      <c r="AE3736" s="1" t="s">
        <v>98</v>
      </c>
      <c r="AF3736" s="1" t="s">
        <v>59368</v>
      </c>
      <c r="AG3736" s="1" t="s">
        <v>312</v>
      </c>
      <c r="AH3736" s="1">
        <v>41366</v>
      </c>
      <c r="AI3736" s="1">
        <v>41702</v>
      </c>
      <c r="AJ3736" s="1">
        <v>62.7</v>
      </c>
      <c r="AK3736" s="1">
        <v>6.6</v>
      </c>
      <c r="AL3736" s="1" t="s">
        <v>59369</v>
      </c>
      <c r="AM3736" s="1" t="s">
        <v>312</v>
      </c>
      <c r="AN3736" s="1"/>
      <c r="AO3736" s="1">
        <v>42096</v>
      </c>
      <c r="AP3736" s="1">
        <v>42432</v>
      </c>
      <c r="AQ3736" s="1">
        <v>60.2</v>
      </c>
      <c r="AR3736" s="1"/>
      <c r="AS3736" s="1"/>
      <c r="AT3736" s="1"/>
      <c r="AU3736" s="1" t="s">
        <v>98</v>
      </c>
      <c r="AV3736" s="1" t="s">
        <v>98</v>
      </c>
      <c r="AW3736" s="1" t="s">
        <v>98</v>
      </c>
      <c r="AX3736" s="1" t="s">
        <v>98</v>
      </c>
      <c r="AY3736" s="1" t="s">
        <v>3771</v>
      </c>
      <c r="AZ3736" s="1" t="s">
        <v>59370</v>
      </c>
      <c r="BA3736" s="1"/>
      <c r="BB3736" s="1"/>
      <c r="BC3736" s="1">
        <v>42586</v>
      </c>
      <c r="BD3736" s="1">
        <v>44050</v>
      </c>
      <c r="BE3736" s="1">
        <v>73.4</v>
      </c>
      <c r="BF3736" s="1">
        <v>7.34</v>
      </c>
      <c r="BG3736" s="1"/>
      <c r="BH3736" s="1"/>
      <c r="BI3736" s="1"/>
      <c r="BJ3736" s="1"/>
      <c r="BK3736" s="1" t="s">
        <v>98</v>
      </c>
      <c r="BL3736" s="1" t="s">
        <v>98</v>
      </c>
      <c r="BM3736" s="1" t="s">
        <v>98</v>
      </c>
      <c r="BN3736" s="1" t="s">
        <v>98</v>
      </c>
      <c r="BO3736" s="1" t="s">
        <v>28364</v>
      </c>
      <c r="BP3736" s="1"/>
      <c r="BQ3736" s="1"/>
      <c r="BR3736" s="1" t="s">
        <v>59371</v>
      </c>
      <c r="BS3736" s="1">
        <v>32</v>
      </c>
      <c r="BT3736" s="1"/>
      <c r="BU3736" s="1" t="str">
        <f>HYPERLINK("https://nconnect.nicmar.ac.in/storage/profile/2021-2023_PP21025_894137.jpg","Download")</f>
        <v>0</v>
      </c>
      <c r="BV3736" s="3"/>
      <c r="BW3736" s="3"/>
    </row>
    <row r="3737" spans="1:75">
      <c r="A3737" s="1" t="s">
        <v>59001</v>
      </c>
      <c r="B3737" s="1" t="s">
        <v>51341</v>
      </c>
      <c r="C3737" s="1" t="s">
        <v>59372</v>
      </c>
      <c r="D3737" s="1" t="s">
        <v>59373</v>
      </c>
      <c r="E3737" s="1" t="s">
        <v>59374</v>
      </c>
      <c r="F3737" s="1" t="s">
        <v>59375</v>
      </c>
      <c r="G3737" s="1" t="s">
        <v>59376</v>
      </c>
      <c r="H3737" s="1" t="s">
        <v>59377</v>
      </c>
      <c r="I3737" s="1" t="s">
        <v>59378</v>
      </c>
      <c r="J3737" s="1">
        <v>8446931258</v>
      </c>
      <c r="K3737" s="1" t="s">
        <v>84</v>
      </c>
      <c r="L3737" s="1" t="s">
        <v>59379</v>
      </c>
      <c r="M3737" s="1" t="s">
        <v>86</v>
      </c>
      <c r="N3737" s="1" t="s">
        <v>59380</v>
      </c>
      <c r="O3737" s="1"/>
      <c r="P3737" s="1" t="s">
        <v>5904</v>
      </c>
      <c r="Q3737" s="1" t="s">
        <v>59381</v>
      </c>
      <c r="R3737" s="1" t="s">
        <v>59382</v>
      </c>
      <c r="S3737" s="1">
        <v>9850585717</v>
      </c>
      <c r="T3737" s="1" t="s">
        <v>5027</v>
      </c>
      <c r="U3737" s="1" t="s">
        <v>59383</v>
      </c>
      <c r="V3737" s="1">
        <v>9922787286</v>
      </c>
      <c r="W3737" s="1" t="s">
        <v>94</v>
      </c>
      <c r="X3737" s="1" t="s">
        <v>59384</v>
      </c>
      <c r="Y3737" s="1" t="s">
        <v>96</v>
      </c>
      <c r="Z3737" s="1" t="s">
        <v>97</v>
      </c>
      <c r="AA3737" s="1" t="s">
        <v>59384</v>
      </c>
      <c r="AB3737" s="1" t="s">
        <v>96</v>
      </c>
      <c r="AC3737" s="1" t="s">
        <v>97</v>
      </c>
      <c r="AD3737" s="1" t="s">
        <v>98</v>
      </c>
      <c r="AE3737" s="1" t="s">
        <v>98</v>
      </c>
      <c r="AF3737" s="1" t="s">
        <v>32650</v>
      </c>
      <c r="AG3737" s="1" t="s">
        <v>15114</v>
      </c>
      <c r="AH3737" s="1" t="s">
        <v>59385</v>
      </c>
      <c r="AI3737" s="1">
        <v>41073</v>
      </c>
      <c r="AJ3737" s="1">
        <v>57.45</v>
      </c>
      <c r="AK3737" s="1">
        <v>6.05</v>
      </c>
      <c r="AL3737" s="1" t="s">
        <v>98</v>
      </c>
      <c r="AM3737" s="1" t="s">
        <v>15114</v>
      </c>
      <c r="AN3737" s="1"/>
      <c r="AO3737" s="1" t="s">
        <v>98</v>
      </c>
      <c r="AP3737" s="1" t="s">
        <v>98</v>
      </c>
      <c r="AQ3737" s="1"/>
      <c r="AR3737" s="1"/>
      <c r="AS3737" s="1" t="s">
        <v>37854</v>
      </c>
      <c r="AT3737" s="1" t="s">
        <v>59386</v>
      </c>
      <c r="AU3737" s="1">
        <v>41146</v>
      </c>
      <c r="AV3737" s="1">
        <v>42530</v>
      </c>
      <c r="AW3737" s="1">
        <v>59.87</v>
      </c>
      <c r="AX3737" s="1">
        <v>6.3</v>
      </c>
      <c r="AY3737" s="1" t="s">
        <v>4270</v>
      </c>
      <c r="AZ3737" s="1" t="s">
        <v>39307</v>
      </c>
      <c r="BA3737" s="1"/>
      <c r="BB3737" s="1"/>
      <c r="BC3737" s="1">
        <v>42621</v>
      </c>
      <c r="BD3737" s="1">
        <v>44012</v>
      </c>
      <c r="BE3737" s="1">
        <v>60.64</v>
      </c>
      <c r="BF3737" s="1">
        <v>6.38</v>
      </c>
      <c r="BG3737" s="1"/>
      <c r="BH3737" s="1"/>
      <c r="BI3737" s="1"/>
      <c r="BJ3737" s="1"/>
      <c r="BK3737" s="1" t="s">
        <v>98</v>
      </c>
      <c r="BL3737" s="1" t="s">
        <v>98</v>
      </c>
      <c r="BM3737" s="1" t="s">
        <v>98</v>
      </c>
      <c r="BN3737" s="1" t="s">
        <v>98</v>
      </c>
      <c r="BO3737" s="1" t="s">
        <v>59387</v>
      </c>
      <c r="BP3737" s="1"/>
      <c r="BQ3737" s="1"/>
      <c r="BR3737" s="1" t="s">
        <v>59388</v>
      </c>
      <c r="BS3737" s="1">
        <v>110</v>
      </c>
      <c r="BT3737" s="1"/>
      <c r="BU3737" s="1" t="str">
        <f>HYPERLINK("https://nconnect.nicmar.ac.in/storage/profile/2021-2023_PP21026_912485.jpg","Download")</f>
        <v>0</v>
      </c>
      <c r="BV3737" s="3"/>
      <c r="BW3737" s="3"/>
    </row>
    <row r="3738" spans="1:75">
      <c r="A3738" s="1" t="s">
        <v>59001</v>
      </c>
      <c r="B3738" s="1" t="s">
        <v>51341</v>
      </c>
      <c r="C3738" s="1" t="s">
        <v>59389</v>
      </c>
      <c r="D3738" s="1" t="s">
        <v>6195</v>
      </c>
      <c r="E3738" s="1" t="s">
        <v>1464</v>
      </c>
      <c r="F3738" s="1" t="s">
        <v>59390</v>
      </c>
      <c r="G3738" s="1" t="s">
        <v>59391</v>
      </c>
      <c r="H3738" s="1" t="s">
        <v>59392</v>
      </c>
      <c r="I3738" s="1" t="s">
        <v>59393</v>
      </c>
      <c r="J3738" s="1">
        <v>7709521131</v>
      </c>
      <c r="K3738" s="1" t="s">
        <v>153</v>
      </c>
      <c r="L3738" s="1" t="s">
        <v>59394</v>
      </c>
      <c r="M3738" s="1" t="s">
        <v>86</v>
      </c>
      <c r="N3738" s="1" t="s">
        <v>990</v>
      </c>
      <c r="O3738" s="1"/>
      <c r="P3738" s="1" t="s">
        <v>481</v>
      </c>
      <c r="Q3738" s="1" t="s">
        <v>59395</v>
      </c>
      <c r="R3738" s="1" t="s">
        <v>59396</v>
      </c>
      <c r="S3738" s="1">
        <v>9766612230</v>
      </c>
      <c r="T3738" s="1" t="s">
        <v>926</v>
      </c>
      <c r="U3738" s="1" t="s">
        <v>59397</v>
      </c>
      <c r="V3738" s="1">
        <v>9545943309</v>
      </c>
      <c r="W3738" s="1" t="s">
        <v>94</v>
      </c>
      <c r="X3738" s="1" t="s">
        <v>59398</v>
      </c>
      <c r="Y3738" s="1" t="s">
        <v>624</v>
      </c>
      <c r="Z3738" s="1" t="s">
        <v>97</v>
      </c>
      <c r="AA3738" s="1" t="s">
        <v>59398</v>
      </c>
      <c r="AB3738" s="1" t="s">
        <v>624</v>
      </c>
      <c r="AC3738" s="1" t="s">
        <v>97</v>
      </c>
      <c r="AD3738" s="1" t="s">
        <v>98</v>
      </c>
      <c r="AE3738" s="1" t="s">
        <v>98</v>
      </c>
      <c r="AF3738" s="1" t="s">
        <v>59399</v>
      </c>
      <c r="AG3738" s="1" t="s">
        <v>59400</v>
      </c>
      <c r="AH3738" s="1">
        <v>40707</v>
      </c>
      <c r="AI3738" s="1">
        <v>41073</v>
      </c>
      <c r="AJ3738" s="1">
        <v>77</v>
      </c>
      <c r="AK3738" s="1"/>
      <c r="AL3738" s="1" t="s">
        <v>59401</v>
      </c>
      <c r="AM3738" s="1" t="s">
        <v>59400</v>
      </c>
      <c r="AN3738" s="1"/>
      <c r="AO3738" s="1">
        <v>41452</v>
      </c>
      <c r="AP3738" s="1">
        <v>41792</v>
      </c>
      <c r="AQ3738" s="1">
        <v>60.31</v>
      </c>
      <c r="AR3738" s="1"/>
      <c r="AS3738" s="1"/>
      <c r="AT3738" s="1"/>
      <c r="AU3738" s="1" t="s">
        <v>98</v>
      </c>
      <c r="AV3738" s="1" t="s">
        <v>98</v>
      </c>
      <c r="AW3738" s="1" t="s">
        <v>98</v>
      </c>
      <c r="AX3738" s="1" t="s">
        <v>98</v>
      </c>
      <c r="AY3738" s="1" t="s">
        <v>415</v>
      </c>
      <c r="AZ3738" s="1" t="s">
        <v>59402</v>
      </c>
      <c r="BA3738" s="1"/>
      <c r="BB3738" s="1"/>
      <c r="BC3738" s="1">
        <v>42588</v>
      </c>
      <c r="BD3738" s="1">
        <v>44147</v>
      </c>
      <c r="BE3738" s="1">
        <v>68.81</v>
      </c>
      <c r="BF3738" s="1">
        <v>7.4</v>
      </c>
      <c r="BG3738" s="1"/>
      <c r="BH3738" s="1"/>
      <c r="BI3738" s="1"/>
      <c r="BJ3738" s="1"/>
      <c r="BK3738" s="1" t="s">
        <v>98</v>
      </c>
      <c r="BL3738" s="1" t="s">
        <v>98</v>
      </c>
      <c r="BM3738" s="1" t="s">
        <v>98</v>
      </c>
      <c r="BN3738" s="1" t="s">
        <v>98</v>
      </c>
      <c r="BO3738" s="1" t="s">
        <v>28364</v>
      </c>
      <c r="BP3738" s="1"/>
      <c r="BQ3738" s="1"/>
      <c r="BR3738" s="1" t="s">
        <v>59403</v>
      </c>
      <c r="BS3738" s="1">
        <v>17</v>
      </c>
      <c r="BT3738" s="1"/>
      <c r="BU3738" s="1" t="str">
        <f>HYPERLINK("https://nconnect.nicmar.ac.in/storage/profile/2021-2023_PP21027_952614.png","Download")</f>
        <v>0</v>
      </c>
      <c r="BV3738" s="3"/>
      <c r="BW3738" s="3"/>
    </row>
    <row r="3739" spans="1:75">
      <c r="A3739" s="1" t="s">
        <v>59001</v>
      </c>
      <c r="B3739" s="1" t="s">
        <v>51341</v>
      </c>
      <c r="C3739" s="1" t="s">
        <v>59404</v>
      </c>
      <c r="D3739" s="1" t="s">
        <v>9295</v>
      </c>
      <c r="E3739" s="1"/>
      <c r="F3739" s="1" t="s">
        <v>29230</v>
      </c>
      <c r="G3739" s="1" t="s">
        <v>59405</v>
      </c>
      <c r="H3739" s="1" t="s">
        <v>59406</v>
      </c>
      <c r="I3739" s="1" t="s">
        <v>59407</v>
      </c>
      <c r="J3739" s="1">
        <v>9528634247</v>
      </c>
      <c r="K3739" s="1" t="s">
        <v>84</v>
      </c>
      <c r="L3739" s="1" t="s">
        <v>59408</v>
      </c>
      <c r="M3739" s="1" t="s">
        <v>86</v>
      </c>
      <c r="N3739" s="1" t="s">
        <v>246</v>
      </c>
      <c r="O3739" s="1"/>
      <c r="P3739" s="1" t="s">
        <v>455</v>
      </c>
      <c r="Q3739" s="1" t="s">
        <v>59409</v>
      </c>
      <c r="R3739" s="1" t="s">
        <v>59410</v>
      </c>
      <c r="S3739" s="1">
        <v>9719118133</v>
      </c>
      <c r="T3739" s="1" t="s">
        <v>13258</v>
      </c>
      <c r="U3739" s="1" t="s">
        <v>59411</v>
      </c>
      <c r="V3739" s="1">
        <v>9528718058</v>
      </c>
      <c r="W3739" s="1" t="s">
        <v>161</v>
      </c>
      <c r="X3739" s="1" t="s">
        <v>59412</v>
      </c>
      <c r="Y3739" s="1" t="s">
        <v>28737</v>
      </c>
      <c r="Z3739" s="1" t="s">
        <v>544</v>
      </c>
      <c r="AA3739" s="1" t="s">
        <v>59412</v>
      </c>
      <c r="AB3739" s="1" t="s">
        <v>28737</v>
      </c>
      <c r="AC3739" s="1" t="s">
        <v>544</v>
      </c>
      <c r="AD3739" s="1" t="s">
        <v>98</v>
      </c>
      <c r="AE3739" s="1" t="s">
        <v>98</v>
      </c>
      <c r="AF3739" s="1" t="s">
        <v>59413</v>
      </c>
      <c r="AG3739" s="1" t="s">
        <v>5568</v>
      </c>
      <c r="AH3739" s="1">
        <v>40330</v>
      </c>
      <c r="AI3739" s="1">
        <v>40674</v>
      </c>
      <c r="AJ3739" s="1">
        <v>62</v>
      </c>
      <c r="AK3739" s="1">
        <v>6.5</v>
      </c>
      <c r="AL3739" s="1" t="s">
        <v>59414</v>
      </c>
      <c r="AM3739" s="1" t="s">
        <v>56257</v>
      </c>
      <c r="AN3739" s="1"/>
      <c r="AO3739" s="1">
        <v>41427</v>
      </c>
      <c r="AP3739" s="1">
        <v>41784</v>
      </c>
      <c r="AQ3739" s="1">
        <v>72.16</v>
      </c>
      <c r="AR3739" s="1" t="s">
        <v>98</v>
      </c>
      <c r="AS3739" s="1" t="s">
        <v>98</v>
      </c>
      <c r="AT3739" s="1" t="s">
        <v>98</v>
      </c>
      <c r="AU3739" s="1" t="s">
        <v>98</v>
      </c>
      <c r="AV3739" s="1" t="s">
        <v>98</v>
      </c>
      <c r="AW3739" s="1" t="s">
        <v>98</v>
      </c>
      <c r="AX3739" s="1" t="s">
        <v>98</v>
      </c>
      <c r="AY3739" s="1" t="s">
        <v>59415</v>
      </c>
      <c r="AZ3739" s="1" t="s">
        <v>59416</v>
      </c>
      <c r="BA3739" s="1"/>
      <c r="BB3739" s="1"/>
      <c r="BC3739" s="1">
        <v>41852</v>
      </c>
      <c r="BD3739" s="1">
        <v>43294</v>
      </c>
      <c r="BE3739" s="1">
        <v>72</v>
      </c>
      <c r="BF3739" s="1">
        <v>7.18</v>
      </c>
      <c r="BG3739" s="1" t="s">
        <v>98</v>
      </c>
      <c r="BH3739" s="1"/>
      <c r="BI3739" s="1"/>
      <c r="BJ3739" s="1"/>
      <c r="BK3739" s="1" t="s">
        <v>98</v>
      </c>
      <c r="BL3739" s="1" t="s">
        <v>98</v>
      </c>
      <c r="BM3739" s="1" t="s">
        <v>98</v>
      </c>
      <c r="BN3739" s="1" t="s">
        <v>98</v>
      </c>
      <c r="BO3739" s="1"/>
      <c r="BP3739" s="1" t="s">
        <v>59417</v>
      </c>
      <c r="BQ3739" s="1" t="s">
        <v>9111</v>
      </c>
      <c r="BR3739" s="1" t="s">
        <v>59418</v>
      </c>
      <c r="BS3739" s="1">
        <v>15</v>
      </c>
      <c r="BT3739" s="1"/>
      <c r="BU3739" s="1" t="s">
        <v>9653</v>
      </c>
      <c r="BV3739" s="3"/>
      <c r="BW3739" s="3"/>
    </row>
    <row r="3740" spans="1:75">
      <c r="A3740" s="1" t="s">
        <v>59001</v>
      </c>
      <c r="B3740" s="1" t="s">
        <v>51341</v>
      </c>
      <c r="C3740" s="1" t="s">
        <v>59419</v>
      </c>
      <c r="D3740" s="1" t="s">
        <v>1853</v>
      </c>
      <c r="E3740" s="1"/>
      <c r="F3740" s="1" t="s">
        <v>853</v>
      </c>
      <c r="G3740" s="1" t="s">
        <v>59420</v>
      </c>
      <c r="H3740" s="1" t="s">
        <v>59421</v>
      </c>
      <c r="I3740" s="1" t="s">
        <v>59422</v>
      </c>
      <c r="J3740" s="1">
        <v>9763943412</v>
      </c>
      <c r="K3740" s="1" t="s">
        <v>153</v>
      </c>
      <c r="L3740" s="1" t="s">
        <v>52498</v>
      </c>
      <c r="M3740" s="1" t="s">
        <v>86</v>
      </c>
      <c r="N3740" s="1" t="s">
        <v>59423</v>
      </c>
      <c r="O3740" s="1"/>
      <c r="P3740" s="1" t="s">
        <v>455</v>
      </c>
      <c r="Q3740" s="1" t="s">
        <v>59424</v>
      </c>
      <c r="R3740" s="1" t="s">
        <v>59425</v>
      </c>
      <c r="S3740" s="1">
        <v>9689924001</v>
      </c>
      <c r="T3740" s="1" t="s">
        <v>59426</v>
      </c>
      <c r="U3740" s="1" t="s">
        <v>59427</v>
      </c>
      <c r="V3740" s="1">
        <v>8007695761</v>
      </c>
      <c r="W3740" s="1" t="s">
        <v>94</v>
      </c>
      <c r="X3740" s="1" t="s">
        <v>59428</v>
      </c>
      <c r="Y3740" s="1" t="s">
        <v>196</v>
      </c>
      <c r="Z3740" s="1" t="s">
        <v>97</v>
      </c>
      <c r="AA3740" s="1" t="s">
        <v>59429</v>
      </c>
      <c r="AB3740" s="1" t="s">
        <v>196</v>
      </c>
      <c r="AC3740" s="1" t="s">
        <v>97</v>
      </c>
      <c r="AD3740" s="1" t="s">
        <v>98</v>
      </c>
      <c r="AE3740" s="1" t="s">
        <v>98</v>
      </c>
      <c r="AF3740" s="1" t="s">
        <v>548</v>
      </c>
      <c r="AG3740" s="1" t="s">
        <v>312</v>
      </c>
      <c r="AH3740" s="1" t="s">
        <v>3421</v>
      </c>
      <c r="AI3740" s="1" t="s">
        <v>515</v>
      </c>
      <c r="AJ3740" s="1">
        <v>72.2</v>
      </c>
      <c r="AK3740" s="1">
        <v>7.6</v>
      </c>
      <c r="AL3740" s="1"/>
      <c r="AM3740" s="1"/>
      <c r="AN3740" s="1"/>
      <c r="AO3740" s="1" t="s">
        <v>98</v>
      </c>
      <c r="AP3740" s="1" t="s">
        <v>98</v>
      </c>
      <c r="AQ3740" s="1"/>
      <c r="AR3740" s="1"/>
      <c r="AS3740" s="1" t="s">
        <v>439</v>
      </c>
      <c r="AT3740" s="1" t="s">
        <v>59430</v>
      </c>
      <c r="AU3740" s="1" t="s">
        <v>101</v>
      </c>
      <c r="AV3740" s="1" t="s">
        <v>704</v>
      </c>
      <c r="AW3740" s="1">
        <v>83</v>
      </c>
      <c r="AX3740" s="1"/>
      <c r="AY3740" s="1" t="s">
        <v>59431</v>
      </c>
      <c r="AZ3740" s="1" t="s">
        <v>27217</v>
      </c>
      <c r="BA3740" s="1"/>
      <c r="BB3740" s="1"/>
      <c r="BC3740" s="1" t="s">
        <v>230</v>
      </c>
      <c r="BD3740" s="1" t="s">
        <v>1040</v>
      </c>
      <c r="BE3740" s="1">
        <v>70.36</v>
      </c>
      <c r="BF3740" s="1">
        <v>7.36</v>
      </c>
      <c r="BG3740" s="1"/>
      <c r="BH3740" s="1"/>
      <c r="BI3740" s="1"/>
      <c r="BJ3740" s="1"/>
      <c r="BK3740" s="1" t="s">
        <v>98</v>
      </c>
      <c r="BL3740" s="1" t="s">
        <v>98</v>
      </c>
      <c r="BM3740" s="1" t="s">
        <v>98</v>
      </c>
      <c r="BN3740" s="1" t="s">
        <v>98</v>
      </c>
      <c r="BO3740" s="1" t="s">
        <v>28364</v>
      </c>
      <c r="BP3740" s="1" t="s">
        <v>59432</v>
      </c>
      <c r="BQ3740" s="1" t="s">
        <v>1070</v>
      </c>
      <c r="BR3740" s="1" t="s">
        <v>59433</v>
      </c>
      <c r="BS3740" s="1">
        <v>17</v>
      </c>
      <c r="BT3740" s="1"/>
      <c r="BU3740" s="1" t="str">
        <f>HYPERLINK("https://nconnect.nicmar.ac.in/storage/profile/2021-2023_PP21031_275896.jpg","Download")</f>
        <v>0</v>
      </c>
      <c r="BV3740" s="3"/>
      <c r="BW3740" s="3"/>
    </row>
    <row r="3741" spans="1:75">
      <c r="A3741" s="1" t="s">
        <v>59001</v>
      </c>
      <c r="B3741" s="1" t="s">
        <v>51341</v>
      </c>
      <c r="C3741" s="1" t="s">
        <v>59434</v>
      </c>
      <c r="D3741" s="1" t="s">
        <v>12383</v>
      </c>
      <c r="E3741" s="1" t="s">
        <v>762</v>
      </c>
      <c r="F3741" s="1" t="s">
        <v>59435</v>
      </c>
      <c r="G3741" s="1" t="s">
        <v>59436</v>
      </c>
      <c r="H3741" s="1" t="s">
        <v>59437</v>
      </c>
      <c r="I3741" s="1" t="s">
        <v>59438</v>
      </c>
      <c r="J3741" s="1">
        <v>7588900637</v>
      </c>
      <c r="K3741" s="1" t="s">
        <v>84</v>
      </c>
      <c r="L3741" s="1" t="s">
        <v>19934</v>
      </c>
      <c r="M3741" s="1" t="s">
        <v>86</v>
      </c>
      <c r="N3741" s="1" t="s">
        <v>1163</v>
      </c>
      <c r="O3741" s="1"/>
      <c r="P3741" s="1" t="s">
        <v>507</v>
      </c>
      <c r="Q3741" s="1" t="s">
        <v>59439</v>
      </c>
      <c r="R3741" s="1" t="s">
        <v>59440</v>
      </c>
      <c r="S3741" s="1">
        <v>9823353953</v>
      </c>
      <c r="T3741" s="1" t="s">
        <v>698</v>
      </c>
      <c r="U3741" s="1" t="s">
        <v>59441</v>
      </c>
      <c r="V3741" s="1">
        <v>7264025628</v>
      </c>
      <c r="W3741" s="1" t="s">
        <v>94</v>
      </c>
      <c r="X3741" s="1" t="s">
        <v>59442</v>
      </c>
      <c r="Y3741" s="1" t="s">
        <v>163</v>
      </c>
      <c r="Z3741" s="1" t="s">
        <v>97</v>
      </c>
      <c r="AA3741" s="1" t="s">
        <v>59443</v>
      </c>
      <c r="AB3741" s="1" t="s">
        <v>163</v>
      </c>
      <c r="AC3741" s="1" t="s">
        <v>97</v>
      </c>
      <c r="AD3741" s="1" t="s">
        <v>98</v>
      </c>
      <c r="AE3741" s="1" t="s">
        <v>98</v>
      </c>
      <c r="AF3741" s="1" t="s">
        <v>59444</v>
      </c>
      <c r="AG3741" s="1" t="s">
        <v>2745</v>
      </c>
      <c r="AH3741" s="1">
        <v>41699</v>
      </c>
      <c r="AI3741" s="1">
        <v>42163</v>
      </c>
      <c r="AJ3741" s="1">
        <v>85.8</v>
      </c>
      <c r="AK3741" s="1"/>
      <c r="AL3741" s="1" t="s">
        <v>59445</v>
      </c>
      <c r="AM3741" s="1" t="s">
        <v>2745</v>
      </c>
      <c r="AN3741" s="1"/>
      <c r="AO3741" s="1">
        <v>42373</v>
      </c>
      <c r="AP3741" s="1">
        <v>42784</v>
      </c>
      <c r="AQ3741" s="1">
        <v>60.15</v>
      </c>
      <c r="AR3741" s="1"/>
      <c r="AS3741" s="1"/>
      <c r="AT3741" s="1"/>
      <c r="AU3741" s="1" t="s">
        <v>98</v>
      </c>
      <c r="AV3741" s="1" t="s">
        <v>98</v>
      </c>
      <c r="AW3741" s="1" t="s">
        <v>98</v>
      </c>
      <c r="AX3741" s="1" t="s">
        <v>98</v>
      </c>
      <c r="AY3741" s="1" t="s">
        <v>107</v>
      </c>
      <c r="AZ3741" s="1" t="s">
        <v>59446</v>
      </c>
      <c r="BA3741" s="1"/>
      <c r="BB3741" s="1"/>
      <c r="BC3741" s="1">
        <v>42917</v>
      </c>
      <c r="BD3741" s="1">
        <v>44265</v>
      </c>
      <c r="BE3741" s="1">
        <v>78.2</v>
      </c>
      <c r="BF3741" s="1">
        <v>8.32</v>
      </c>
      <c r="BG3741" s="1"/>
      <c r="BH3741" s="1"/>
      <c r="BI3741" s="1"/>
      <c r="BJ3741" s="1"/>
      <c r="BK3741" s="1" t="s">
        <v>98</v>
      </c>
      <c r="BL3741" s="1" t="s">
        <v>98</v>
      </c>
      <c r="BM3741" s="1" t="s">
        <v>98</v>
      </c>
      <c r="BN3741" s="1" t="s">
        <v>98</v>
      </c>
      <c r="BO3741" s="1" t="s">
        <v>25463</v>
      </c>
      <c r="BP3741" s="1"/>
      <c r="BQ3741" s="1"/>
      <c r="BR3741" s="1" t="s">
        <v>59447</v>
      </c>
      <c r="BS3741" s="1">
        <v>13</v>
      </c>
      <c r="BT3741" s="1"/>
      <c r="BU3741" s="1" t="str">
        <f>HYPERLINK("https://nconnect.nicmar.ac.in/storage/profile/2021-2023_PP21032_423815.jpg","Download")</f>
        <v>0</v>
      </c>
      <c r="BV3741" s="3"/>
      <c r="BW3741" s="3"/>
    </row>
    <row r="3742" spans="1:75">
      <c r="A3742" s="1" t="s">
        <v>59001</v>
      </c>
      <c r="B3742" s="1" t="s">
        <v>51341</v>
      </c>
      <c r="C3742" s="1" t="s">
        <v>59448</v>
      </c>
      <c r="D3742" s="1" t="s">
        <v>1815</v>
      </c>
      <c r="E3742" s="1"/>
      <c r="F3742" s="1" t="s">
        <v>34202</v>
      </c>
      <c r="G3742" s="1" t="s">
        <v>59449</v>
      </c>
      <c r="H3742" s="1" t="s">
        <v>59450</v>
      </c>
      <c r="I3742" s="1" t="s">
        <v>59451</v>
      </c>
      <c r="J3742" s="1">
        <v>9542222099</v>
      </c>
      <c r="K3742" s="1" t="s">
        <v>84</v>
      </c>
      <c r="L3742" s="1" t="s">
        <v>59452</v>
      </c>
      <c r="M3742" s="1" t="s">
        <v>86</v>
      </c>
      <c r="N3742" s="1" t="s">
        <v>52289</v>
      </c>
      <c r="O3742" s="1"/>
      <c r="P3742" s="1" t="s">
        <v>455</v>
      </c>
      <c r="Q3742" s="1" t="s">
        <v>59453</v>
      </c>
      <c r="R3742" s="1" t="s">
        <v>59454</v>
      </c>
      <c r="S3742" s="1">
        <v>9949852557</v>
      </c>
      <c r="T3742" s="1" t="s">
        <v>159</v>
      </c>
      <c r="U3742" s="1" t="s">
        <v>59455</v>
      </c>
      <c r="V3742" s="1">
        <v>8885852557</v>
      </c>
      <c r="W3742" s="1" t="s">
        <v>541</v>
      </c>
      <c r="X3742" s="1" t="s">
        <v>59456</v>
      </c>
      <c r="Y3742" s="1" t="s">
        <v>59457</v>
      </c>
      <c r="Z3742" s="1" t="s">
        <v>281</v>
      </c>
      <c r="AA3742" s="1" t="s">
        <v>59456</v>
      </c>
      <c r="AB3742" s="1" t="s">
        <v>59457</v>
      </c>
      <c r="AC3742" s="1" t="s">
        <v>281</v>
      </c>
      <c r="AD3742" s="1" t="s">
        <v>98</v>
      </c>
      <c r="AE3742" s="1" t="s">
        <v>98</v>
      </c>
      <c r="AF3742" s="1" t="s">
        <v>59458</v>
      </c>
      <c r="AG3742" s="1" t="s">
        <v>1418</v>
      </c>
      <c r="AH3742" s="1">
        <v>39237</v>
      </c>
      <c r="AI3742" s="1">
        <v>39583</v>
      </c>
      <c r="AJ3742" s="1">
        <v>76.66</v>
      </c>
      <c r="AK3742" s="1"/>
      <c r="AL3742" s="1" t="s">
        <v>59459</v>
      </c>
      <c r="AM3742" s="1" t="s">
        <v>1418</v>
      </c>
      <c r="AN3742" s="1"/>
      <c r="AO3742" s="1">
        <v>39608</v>
      </c>
      <c r="AP3742" s="1">
        <v>40298</v>
      </c>
      <c r="AQ3742" s="1">
        <v>86.5</v>
      </c>
      <c r="AR3742" s="1"/>
      <c r="AS3742" s="1"/>
      <c r="AT3742" s="1"/>
      <c r="AU3742" s="1" t="s">
        <v>98</v>
      </c>
      <c r="AV3742" s="1" t="s">
        <v>98</v>
      </c>
      <c r="AW3742" s="1" t="s">
        <v>98</v>
      </c>
      <c r="AX3742" s="1" t="s">
        <v>98</v>
      </c>
      <c r="AY3742" s="1" t="s">
        <v>2654</v>
      </c>
      <c r="AZ3742" s="1" t="s">
        <v>59460</v>
      </c>
      <c r="BA3742" s="1"/>
      <c r="BB3742" s="1"/>
      <c r="BC3742" s="1">
        <v>40451</v>
      </c>
      <c r="BD3742" s="1">
        <v>41820</v>
      </c>
      <c r="BE3742" s="1">
        <v>75.53</v>
      </c>
      <c r="BF3742" s="1"/>
      <c r="BG3742" s="1" t="s">
        <v>2654</v>
      </c>
      <c r="BH3742" s="1" t="s">
        <v>1586</v>
      </c>
      <c r="BI3742" s="1"/>
      <c r="BJ3742" s="1"/>
      <c r="BK3742" s="1">
        <v>41912</v>
      </c>
      <c r="BL3742" s="1">
        <v>42704</v>
      </c>
      <c r="BM3742" s="1">
        <v>70.57</v>
      </c>
      <c r="BN3742" s="1"/>
      <c r="BO3742" s="1" t="s">
        <v>260</v>
      </c>
      <c r="BP3742" s="1" t="s">
        <v>59461</v>
      </c>
      <c r="BQ3742" s="1" t="s">
        <v>21121</v>
      </c>
      <c r="BR3742" s="1" t="s">
        <v>59462</v>
      </c>
      <c r="BS3742" s="1">
        <v>18</v>
      </c>
      <c r="BT3742" s="1"/>
      <c r="BU3742" s="1" t="str">
        <f>HYPERLINK("https://nconnect.nicmar.ac.in/storage/profile/2021-2023_PP21033_976124.jpg","Download")</f>
        <v>0</v>
      </c>
      <c r="BV3742" s="3"/>
      <c r="BW3742" s="3"/>
    </row>
    <row r="3743" spans="1:75">
      <c r="A3743" s="1" t="s">
        <v>59001</v>
      </c>
      <c r="B3743" s="1" t="s">
        <v>51341</v>
      </c>
      <c r="C3743" s="1" t="s">
        <v>59463</v>
      </c>
      <c r="D3743" s="1" t="s">
        <v>59464</v>
      </c>
      <c r="E3743" s="1" t="s">
        <v>5171</v>
      </c>
      <c r="F3743" s="1" t="s">
        <v>59465</v>
      </c>
      <c r="G3743" s="1" t="s">
        <v>59466</v>
      </c>
      <c r="H3743" s="1" t="s">
        <v>59467</v>
      </c>
      <c r="I3743" s="1" t="s">
        <v>59468</v>
      </c>
      <c r="J3743" s="1">
        <v>9545351002</v>
      </c>
      <c r="K3743" s="1" t="s">
        <v>84</v>
      </c>
      <c r="L3743" s="1" t="s">
        <v>59469</v>
      </c>
      <c r="M3743" s="1" t="s">
        <v>86</v>
      </c>
      <c r="N3743" s="1" t="s">
        <v>903</v>
      </c>
      <c r="O3743" s="1"/>
      <c r="P3743" s="1" t="s">
        <v>455</v>
      </c>
      <c r="Q3743" s="1" t="s">
        <v>59470</v>
      </c>
      <c r="R3743" s="1" t="s">
        <v>59471</v>
      </c>
      <c r="S3743" s="1">
        <v>8806322223</v>
      </c>
      <c r="T3743" s="1" t="s">
        <v>59472</v>
      </c>
      <c r="U3743" s="1" t="s">
        <v>59473</v>
      </c>
      <c r="V3743" s="1">
        <v>8432109191</v>
      </c>
      <c r="W3743" s="1" t="s">
        <v>839</v>
      </c>
      <c r="X3743" s="1" t="s">
        <v>59474</v>
      </c>
      <c r="Y3743" s="1" t="s">
        <v>624</v>
      </c>
      <c r="Z3743" s="1" t="s">
        <v>97</v>
      </c>
      <c r="AA3743" s="1" t="s">
        <v>59474</v>
      </c>
      <c r="AB3743" s="1" t="s">
        <v>624</v>
      </c>
      <c r="AC3743" s="1" t="s">
        <v>97</v>
      </c>
      <c r="AD3743" s="1" t="s">
        <v>98</v>
      </c>
      <c r="AE3743" s="1" t="s">
        <v>98</v>
      </c>
      <c r="AF3743" s="1" t="s">
        <v>59475</v>
      </c>
      <c r="AG3743" s="1" t="s">
        <v>2745</v>
      </c>
      <c r="AH3743" s="1">
        <v>41451</v>
      </c>
      <c r="AI3743" s="1">
        <v>41790</v>
      </c>
      <c r="AJ3743" s="1">
        <v>81.6</v>
      </c>
      <c r="AK3743" s="1"/>
      <c r="AL3743" s="1" t="s">
        <v>59476</v>
      </c>
      <c r="AM3743" s="1" t="s">
        <v>2745</v>
      </c>
      <c r="AN3743" s="1"/>
      <c r="AO3743" s="1" t="s">
        <v>59477</v>
      </c>
      <c r="AP3743" s="1" t="s">
        <v>54454</v>
      </c>
      <c r="AQ3743" s="1">
        <v>58.92</v>
      </c>
      <c r="AR3743" s="1"/>
      <c r="AS3743" s="1"/>
      <c r="AT3743" s="1"/>
      <c r="AU3743" s="1" t="s">
        <v>98</v>
      </c>
      <c r="AV3743" s="1" t="s">
        <v>98</v>
      </c>
      <c r="AW3743" s="1" t="s">
        <v>98</v>
      </c>
      <c r="AX3743" s="1" t="s">
        <v>98</v>
      </c>
      <c r="AY3743" s="1" t="s">
        <v>415</v>
      </c>
      <c r="AZ3743" s="1" t="s">
        <v>26393</v>
      </c>
      <c r="BA3743" s="1"/>
      <c r="BB3743" s="1"/>
      <c r="BC3743" s="1">
        <v>42592</v>
      </c>
      <c r="BD3743" s="1">
        <v>44369</v>
      </c>
      <c r="BE3743" s="1">
        <v>63.8</v>
      </c>
      <c r="BF3743" s="1">
        <v>7.13</v>
      </c>
      <c r="BG3743" s="1"/>
      <c r="BH3743" s="1"/>
      <c r="BI3743" s="1"/>
      <c r="BJ3743" s="1"/>
      <c r="BK3743" s="1" t="s">
        <v>98</v>
      </c>
      <c r="BL3743" s="1" t="s">
        <v>98</v>
      </c>
      <c r="BM3743" s="1" t="s">
        <v>98</v>
      </c>
      <c r="BN3743" s="1" t="s">
        <v>98</v>
      </c>
      <c r="BO3743" s="1" t="s">
        <v>849</v>
      </c>
      <c r="BP3743" s="1"/>
      <c r="BQ3743" s="1"/>
      <c r="BR3743" s="1" t="s">
        <v>59478</v>
      </c>
      <c r="BS3743" s="1">
        <v>25</v>
      </c>
      <c r="BT3743" s="1"/>
      <c r="BU3743" s="1" t="str">
        <f>HYPERLINK("https://nconnect.nicmar.ac.in/storage/profile/2021-2023_PP21034_961578.jpg","Download")</f>
        <v>0</v>
      </c>
      <c r="BV3743" s="3"/>
      <c r="BW3743" s="3"/>
    </row>
    <row r="3744" spans="1:75">
      <c r="A3744" s="1" t="s">
        <v>59001</v>
      </c>
      <c r="B3744" s="1" t="s">
        <v>51341</v>
      </c>
      <c r="C3744" s="1" t="s">
        <v>59479</v>
      </c>
      <c r="D3744" s="1" t="s">
        <v>6636</v>
      </c>
      <c r="E3744" s="1" t="s">
        <v>59480</v>
      </c>
      <c r="F3744" s="1" t="s">
        <v>59481</v>
      </c>
      <c r="G3744" s="1" t="s">
        <v>59482</v>
      </c>
      <c r="H3744" s="1" t="s">
        <v>59483</v>
      </c>
      <c r="I3744" s="1" t="s">
        <v>59484</v>
      </c>
      <c r="J3744" s="1">
        <v>8460748700</v>
      </c>
      <c r="K3744" s="1" t="s">
        <v>84</v>
      </c>
      <c r="L3744" s="1" t="s">
        <v>59485</v>
      </c>
      <c r="M3744" s="1" t="s">
        <v>86</v>
      </c>
      <c r="N3744" s="1" t="s">
        <v>6641</v>
      </c>
      <c r="O3744" s="1"/>
      <c r="P3744" s="1" t="s">
        <v>455</v>
      </c>
      <c r="Q3744" s="1" t="s">
        <v>59486</v>
      </c>
      <c r="R3744" s="1" t="s">
        <v>59487</v>
      </c>
      <c r="S3744" s="1">
        <v>9978407422</v>
      </c>
      <c r="T3744" s="1" t="s">
        <v>1620</v>
      </c>
      <c r="U3744" s="1" t="s">
        <v>59488</v>
      </c>
      <c r="V3744" s="1">
        <v>9978944022</v>
      </c>
      <c r="W3744" s="1" t="s">
        <v>94</v>
      </c>
      <c r="X3744" s="1" t="s">
        <v>59489</v>
      </c>
      <c r="Y3744" s="1" t="s">
        <v>2880</v>
      </c>
      <c r="Z3744" s="1" t="s">
        <v>676</v>
      </c>
      <c r="AA3744" s="1" t="s">
        <v>98</v>
      </c>
      <c r="AB3744" s="1" t="s">
        <v>2880</v>
      </c>
      <c r="AC3744" s="1" t="s">
        <v>676</v>
      </c>
      <c r="AD3744" s="1" t="s">
        <v>98</v>
      </c>
      <c r="AE3744" s="1" t="s">
        <v>98</v>
      </c>
      <c r="AF3744" s="1" t="s">
        <v>56900</v>
      </c>
      <c r="AG3744" s="1" t="s">
        <v>10192</v>
      </c>
      <c r="AH3744" s="1">
        <v>41794</v>
      </c>
      <c r="AI3744" s="1">
        <v>42159</v>
      </c>
      <c r="AJ3744" s="1">
        <v>77.5</v>
      </c>
      <c r="AK3744" s="1">
        <v>0</v>
      </c>
      <c r="AL3744" s="1" t="s">
        <v>59490</v>
      </c>
      <c r="AM3744" s="1" t="s">
        <v>10192</v>
      </c>
      <c r="AN3744" s="1"/>
      <c r="AO3744" s="1">
        <v>42160</v>
      </c>
      <c r="AP3744" s="1">
        <v>42860</v>
      </c>
      <c r="AQ3744" s="1">
        <v>72</v>
      </c>
      <c r="AR3744" s="1">
        <v>0</v>
      </c>
      <c r="AS3744" s="1"/>
      <c r="AT3744" s="1"/>
      <c r="AU3744" s="1" t="s">
        <v>98</v>
      </c>
      <c r="AV3744" s="1" t="s">
        <v>98</v>
      </c>
      <c r="AW3744" s="1" t="s">
        <v>98</v>
      </c>
      <c r="AX3744" s="1" t="s">
        <v>98</v>
      </c>
      <c r="AY3744" s="1" t="s">
        <v>8169</v>
      </c>
      <c r="AZ3744" s="1" t="s">
        <v>59491</v>
      </c>
      <c r="BA3744" s="1"/>
      <c r="BB3744" s="1"/>
      <c r="BC3744" s="1">
        <v>42923</v>
      </c>
      <c r="BD3744" s="1">
        <v>44362</v>
      </c>
      <c r="BE3744" s="1">
        <v>60.5</v>
      </c>
      <c r="BF3744" s="1">
        <v>6.55</v>
      </c>
      <c r="BG3744" s="1"/>
      <c r="BH3744" s="1"/>
      <c r="BI3744" s="1"/>
      <c r="BJ3744" s="1"/>
      <c r="BK3744" s="1" t="s">
        <v>98</v>
      </c>
      <c r="BL3744" s="1" t="s">
        <v>98</v>
      </c>
      <c r="BM3744" s="1" t="s">
        <v>98</v>
      </c>
      <c r="BN3744" s="1" t="s">
        <v>98</v>
      </c>
      <c r="BO3744" s="1" t="s">
        <v>28364</v>
      </c>
      <c r="BP3744" s="1"/>
      <c r="BQ3744" s="1"/>
      <c r="BR3744" s="1" t="s">
        <v>59492</v>
      </c>
      <c r="BS3744" s="1">
        <v>23</v>
      </c>
      <c r="BT3744" s="1"/>
      <c r="BU3744" s="1" t="str">
        <f>HYPERLINK("https://nconnect.nicmar.ac.in/storage/profile/2021-2023_PP21035_947268.jpg","Download")</f>
        <v>0</v>
      </c>
      <c r="BV3744" s="3"/>
      <c r="BW3744" s="3"/>
    </row>
    <row r="3745" spans="1:75">
      <c r="A3745" s="1" t="s">
        <v>59001</v>
      </c>
      <c r="B3745" s="1" t="s">
        <v>51341</v>
      </c>
      <c r="C3745" s="1" t="s">
        <v>59493</v>
      </c>
      <c r="D3745" s="1" t="s">
        <v>6896</v>
      </c>
      <c r="E3745" s="1"/>
      <c r="F3745" s="1" t="s">
        <v>59494</v>
      </c>
      <c r="G3745" s="1" t="s">
        <v>59495</v>
      </c>
      <c r="H3745" s="1" t="s">
        <v>59496</v>
      </c>
      <c r="I3745" s="1" t="s">
        <v>59497</v>
      </c>
      <c r="J3745" s="1">
        <v>7338496002</v>
      </c>
      <c r="K3745" s="1" t="s">
        <v>84</v>
      </c>
      <c r="L3745" s="1" t="s">
        <v>10585</v>
      </c>
      <c r="M3745" s="1" t="s">
        <v>86</v>
      </c>
      <c r="N3745" s="1" t="s">
        <v>11117</v>
      </c>
      <c r="O3745" s="1"/>
      <c r="P3745" s="1" t="s">
        <v>507</v>
      </c>
      <c r="Q3745" s="1" t="s">
        <v>59498</v>
      </c>
      <c r="R3745" s="1" t="s">
        <v>59499</v>
      </c>
      <c r="S3745" s="1">
        <v>8008801599</v>
      </c>
      <c r="T3745" s="1" t="s">
        <v>12597</v>
      </c>
      <c r="U3745" s="1" t="s">
        <v>59500</v>
      </c>
      <c r="V3745" s="1">
        <v>9494229498</v>
      </c>
      <c r="W3745" s="1" t="s">
        <v>94</v>
      </c>
      <c r="X3745" s="1" t="s">
        <v>59501</v>
      </c>
      <c r="Y3745" s="1" t="s">
        <v>6871</v>
      </c>
      <c r="Z3745" s="1" t="s">
        <v>1210</v>
      </c>
      <c r="AA3745" s="1" t="s">
        <v>59502</v>
      </c>
      <c r="AB3745" s="1" t="s">
        <v>51747</v>
      </c>
      <c r="AC3745" s="1" t="s">
        <v>1210</v>
      </c>
      <c r="AD3745" s="1" t="s">
        <v>98</v>
      </c>
      <c r="AE3745" s="1" t="s">
        <v>98</v>
      </c>
      <c r="AF3745" s="1" t="s">
        <v>59503</v>
      </c>
      <c r="AG3745" s="1" t="s">
        <v>59504</v>
      </c>
      <c r="AH3745" s="1">
        <v>41477</v>
      </c>
      <c r="AI3745" s="1">
        <v>41778</v>
      </c>
      <c r="AJ3745" s="1">
        <v>95</v>
      </c>
      <c r="AK3745" s="1">
        <v>10</v>
      </c>
      <c r="AL3745" s="1" t="s">
        <v>59503</v>
      </c>
      <c r="AM3745" s="1" t="s">
        <v>59505</v>
      </c>
      <c r="AN3745" s="1"/>
      <c r="AO3745" s="1">
        <v>42207</v>
      </c>
      <c r="AP3745" s="1">
        <v>42511</v>
      </c>
      <c r="AQ3745" s="1">
        <v>67.8</v>
      </c>
      <c r="AR3745" s="1">
        <v>0</v>
      </c>
      <c r="AS3745" s="1"/>
      <c r="AT3745" s="1"/>
      <c r="AU3745" s="1" t="s">
        <v>98</v>
      </c>
      <c r="AV3745" s="1" t="s">
        <v>98</v>
      </c>
      <c r="AW3745" s="1" t="s">
        <v>98</v>
      </c>
      <c r="AX3745" s="1" t="s">
        <v>98</v>
      </c>
      <c r="AY3745" s="1" t="s">
        <v>731</v>
      </c>
      <c r="AZ3745" s="1" t="s">
        <v>59506</v>
      </c>
      <c r="BA3745" s="1"/>
      <c r="BB3745" s="1"/>
      <c r="BC3745" s="1">
        <v>42583</v>
      </c>
      <c r="BD3745" s="1">
        <v>44211</v>
      </c>
      <c r="BE3745" s="1">
        <v>56.8</v>
      </c>
      <c r="BF3745" s="1">
        <v>6.43</v>
      </c>
      <c r="BG3745" s="1"/>
      <c r="BH3745" s="1"/>
      <c r="BI3745" s="1"/>
      <c r="BJ3745" s="1"/>
      <c r="BK3745" s="1" t="s">
        <v>98</v>
      </c>
      <c r="BL3745" s="1" t="s">
        <v>98</v>
      </c>
      <c r="BM3745" s="1" t="s">
        <v>98</v>
      </c>
      <c r="BN3745" s="1" t="s">
        <v>98</v>
      </c>
      <c r="BO3745" s="1" t="s">
        <v>1114</v>
      </c>
      <c r="BP3745" s="1"/>
      <c r="BQ3745" s="1"/>
      <c r="BR3745" s="1" t="s">
        <v>59507</v>
      </c>
      <c r="BS3745" s="1">
        <v>11</v>
      </c>
      <c r="BT3745" s="1"/>
      <c r="BU3745" s="1" t="str">
        <f>HYPERLINK("https://nconnect.nicmar.ac.in/storage/profile/2021-2023_PP21036_176439.jpg","Download")</f>
        <v>0</v>
      </c>
      <c r="BV3745" s="3"/>
      <c r="BW3745" s="3"/>
    </row>
    <row r="3746" spans="1:75">
      <c r="A3746" s="1" t="s">
        <v>59001</v>
      </c>
      <c r="B3746" s="1" t="s">
        <v>51341</v>
      </c>
      <c r="C3746" s="1" t="s">
        <v>59508</v>
      </c>
      <c r="D3746" s="1" t="s">
        <v>2097</v>
      </c>
      <c r="E3746" s="1" t="s">
        <v>59509</v>
      </c>
      <c r="F3746" s="1" t="s">
        <v>1047</v>
      </c>
      <c r="G3746" s="1" t="s">
        <v>59510</v>
      </c>
      <c r="H3746" s="1" t="s">
        <v>59511</v>
      </c>
      <c r="I3746" s="1" t="s">
        <v>59512</v>
      </c>
      <c r="J3746" s="1">
        <v>8451835321</v>
      </c>
      <c r="K3746" s="1" t="s">
        <v>84</v>
      </c>
      <c r="L3746" s="1" t="s">
        <v>16291</v>
      </c>
      <c r="M3746" s="1" t="s">
        <v>86</v>
      </c>
      <c r="N3746" s="1" t="s">
        <v>1163</v>
      </c>
      <c r="O3746" s="1"/>
      <c r="P3746" s="1" t="s">
        <v>507</v>
      </c>
      <c r="Q3746" s="1" t="s">
        <v>59513</v>
      </c>
      <c r="R3746" s="1" t="s">
        <v>59514</v>
      </c>
      <c r="S3746" s="1">
        <v>9820988273</v>
      </c>
      <c r="T3746" s="1" t="s">
        <v>645</v>
      </c>
      <c r="U3746" s="1" t="s">
        <v>59515</v>
      </c>
      <c r="V3746" s="1">
        <v>9819898273</v>
      </c>
      <c r="W3746" s="1" t="s">
        <v>94</v>
      </c>
      <c r="X3746" s="1" t="s">
        <v>59516</v>
      </c>
      <c r="Y3746" s="1" t="s">
        <v>1012</v>
      </c>
      <c r="Z3746" s="1" t="s">
        <v>97</v>
      </c>
      <c r="AA3746" s="1" t="s">
        <v>59516</v>
      </c>
      <c r="AB3746" s="1" t="s">
        <v>1012</v>
      </c>
      <c r="AC3746" s="1" t="s">
        <v>97</v>
      </c>
      <c r="AD3746" s="1" t="s">
        <v>98</v>
      </c>
      <c r="AE3746" s="1" t="s">
        <v>98</v>
      </c>
      <c r="AF3746" s="1" t="s">
        <v>28925</v>
      </c>
      <c r="AG3746" s="1" t="s">
        <v>312</v>
      </c>
      <c r="AH3746" s="1">
        <v>41372</v>
      </c>
      <c r="AI3746" s="1">
        <v>41785</v>
      </c>
      <c r="AJ3746" s="1">
        <v>60.8</v>
      </c>
      <c r="AK3746" s="1">
        <v>6.4</v>
      </c>
      <c r="AL3746" s="1" t="s">
        <v>59517</v>
      </c>
      <c r="AM3746" s="1" t="s">
        <v>312</v>
      </c>
      <c r="AN3746" s="1"/>
      <c r="AO3746" s="1">
        <v>42527</v>
      </c>
      <c r="AP3746" s="1">
        <v>42886</v>
      </c>
      <c r="AQ3746" s="1">
        <v>57.54</v>
      </c>
      <c r="AR3746" s="1"/>
      <c r="AS3746" s="1"/>
      <c r="AT3746" s="1"/>
      <c r="AU3746" s="1" t="s">
        <v>98</v>
      </c>
      <c r="AV3746" s="1" t="s">
        <v>98</v>
      </c>
      <c r="AW3746" s="1" t="s">
        <v>98</v>
      </c>
      <c r="AX3746" s="1" t="s">
        <v>98</v>
      </c>
      <c r="AY3746" s="1" t="s">
        <v>680</v>
      </c>
      <c r="AZ3746" s="1" t="s">
        <v>26157</v>
      </c>
      <c r="BA3746" s="1"/>
      <c r="BB3746" s="1"/>
      <c r="BC3746" s="1">
        <v>42954</v>
      </c>
      <c r="BD3746" s="1">
        <v>44357</v>
      </c>
      <c r="BE3746" s="1">
        <v>65.28</v>
      </c>
      <c r="BF3746" s="1">
        <v>7.2</v>
      </c>
      <c r="BG3746" s="1"/>
      <c r="BH3746" s="1"/>
      <c r="BI3746" s="1"/>
      <c r="BJ3746" s="1"/>
      <c r="BK3746" s="1" t="s">
        <v>98</v>
      </c>
      <c r="BL3746" s="1" t="s">
        <v>98</v>
      </c>
      <c r="BM3746" s="1" t="s">
        <v>98</v>
      </c>
      <c r="BN3746" s="1" t="s">
        <v>98</v>
      </c>
      <c r="BO3746" s="1" t="s">
        <v>28364</v>
      </c>
      <c r="BP3746" s="1"/>
      <c r="BQ3746" s="1"/>
      <c r="BR3746" s="1" t="s">
        <v>59518</v>
      </c>
      <c r="BS3746" s="1">
        <v>8</v>
      </c>
      <c r="BT3746" s="1"/>
      <c r="BU3746" s="1" t="str">
        <f>HYPERLINK("https://nconnect.nicmar.ac.in/storage/profile/2021-2023_PP21037_425879.jpg","Download")</f>
        <v>0</v>
      </c>
      <c r="BV3746" s="3"/>
      <c r="BW3746" s="3"/>
    </row>
    <row r="3747" spans="1:75">
      <c r="A3747" s="1" t="s">
        <v>59001</v>
      </c>
      <c r="B3747" s="1" t="s">
        <v>51341</v>
      </c>
      <c r="C3747" s="1" t="s">
        <v>59519</v>
      </c>
      <c r="D3747" s="1" t="s">
        <v>59520</v>
      </c>
      <c r="E3747" s="1"/>
      <c r="F3747" s="1" t="s">
        <v>2250</v>
      </c>
      <c r="G3747" s="1" t="s">
        <v>59521</v>
      </c>
      <c r="H3747" s="1" t="s">
        <v>59522</v>
      </c>
      <c r="I3747" s="1" t="s">
        <v>59523</v>
      </c>
      <c r="J3747" s="1">
        <v>9910668033</v>
      </c>
      <c r="K3747" s="1"/>
      <c r="L3747" s="1"/>
      <c r="M3747" s="1"/>
      <c r="N3747" s="1"/>
      <c r="O3747" s="1"/>
      <c r="P3747" s="1"/>
      <c r="Q3747" s="1"/>
      <c r="R3747" s="1"/>
      <c r="S3747" s="1"/>
      <c r="T3747" s="1"/>
      <c r="U3747" s="1"/>
      <c r="V3747" s="1"/>
      <c r="W3747" s="1"/>
      <c r="X3747" s="1"/>
      <c r="Y3747" s="1"/>
      <c r="Z3747" s="1"/>
      <c r="AA3747" s="1"/>
      <c r="AB3747" s="1"/>
      <c r="AC3747" s="1"/>
      <c r="AD3747" s="1" t="s">
        <v>98</v>
      </c>
      <c r="AE3747" s="1" t="s">
        <v>98</v>
      </c>
      <c r="AF3747" s="1"/>
      <c r="AG3747" s="1"/>
      <c r="AH3747" s="1"/>
      <c r="AI3747" s="1"/>
      <c r="AJ3747" s="1"/>
      <c r="AK3747" s="1"/>
      <c r="AL3747" s="1"/>
      <c r="AM3747" s="1"/>
      <c r="AN3747" s="1"/>
      <c r="AO3747" s="1"/>
      <c r="AP3747" s="1"/>
      <c r="AQ3747" s="1"/>
      <c r="AR3747" s="1"/>
      <c r="AS3747" s="1"/>
      <c r="AT3747" s="1"/>
      <c r="AU3747" s="1"/>
      <c r="AV3747" s="1"/>
      <c r="AW3747" s="1"/>
      <c r="AX3747" s="1"/>
      <c r="AY3747" s="1"/>
      <c r="AZ3747" s="1"/>
      <c r="BA3747" s="1"/>
      <c r="BB3747" s="1"/>
      <c r="BC3747" s="1"/>
      <c r="BD3747" s="1"/>
      <c r="BE3747" s="1"/>
      <c r="BF3747" s="1"/>
      <c r="BG3747" s="1"/>
      <c r="BH3747" s="1"/>
      <c r="BI3747" s="1"/>
      <c r="BJ3747" s="1"/>
      <c r="BK3747" s="1"/>
      <c r="BL3747" s="1"/>
      <c r="BM3747" s="1"/>
      <c r="BN3747" s="1"/>
      <c r="BO3747" s="1"/>
      <c r="BP3747" s="1"/>
      <c r="BQ3747" s="1"/>
      <c r="BR3747" s="1" t="s">
        <v>59524</v>
      </c>
      <c r="BS3747" s="1">
        <v>8</v>
      </c>
      <c r="BT3747" s="1"/>
      <c r="BU3747" s="1" t="s">
        <v>9653</v>
      </c>
      <c r="BV3747" s="3"/>
      <c r="BW3747" s="3"/>
    </row>
    <row r="3748" spans="1:75">
      <c r="A3748" s="1" t="s">
        <v>59001</v>
      </c>
      <c r="B3748" s="1" t="s">
        <v>51341</v>
      </c>
      <c r="C3748" s="1" t="s">
        <v>59525</v>
      </c>
      <c r="D3748" s="1" t="s">
        <v>9910</v>
      </c>
      <c r="E3748" s="1"/>
      <c r="F3748" s="1" t="s">
        <v>1709</v>
      </c>
      <c r="G3748" s="1" t="s">
        <v>59526</v>
      </c>
      <c r="H3748" s="1" t="s">
        <v>59527</v>
      </c>
      <c r="I3748" s="1" t="s">
        <v>59528</v>
      </c>
      <c r="J3748" s="1">
        <v>9435002150</v>
      </c>
      <c r="K3748" s="1" t="s">
        <v>153</v>
      </c>
      <c r="L3748" s="1" t="s">
        <v>59529</v>
      </c>
      <c r="M3748" s="1" t="s">
        <v>86</v>
      </c>
      <c r="N3748" s="1" t="s">
        <v>1714</v>
      </c>
      <c r="O3748" s="1"/>
      <c r="P3748" s="1" t="s">
        <v>507</v>
      </c>
      <c r="Q3748" s="1" t="s">
        <v>59530</v>
      </c>
      <c r="R3748" s="1" t="s">
        <v>59531</v>
      </c>
      <c r="S3748" s="1">
        <v>9435039680</v>
      </c>
      <c r="T3748" s="1" t="s">
        <v>3788</v>
      </c>
      <c r="U3748" s="1" t="s">
        <v>59532</v>
      </c>
      <c r="V3748" s="1">
        <v>9435005356</v>
      </c>
      <c r="W3748" s="1" t="s">
        <v>1620</v>
      </c>
      <c r="X3748" s="1" t="s">
        <v>59533</v>
      </c>
      <c r="Y3748" s="1" t="s">
        <v>59534</v>
      </c>
      <c r="Z3748" s="1" t="s">
        <v>1556</v>
      </c>
      <c r="AA3748" s="1" t="s">
        <v>59533</v>
      </c>
      <c r="AB3748" s="1" t="s">
        <v>59534</v>
      </c>
      <c r="AC3748" s="1" t="s">
        <v>1556</v>
      </c>
      <c r="AD3748" s="1" t="s">
        <v>98</v>
      </c>
      <c r="AE3748" s="1" t="s">
        <v>98</v>
      </c>
      <c r="AF3748" s="1" t="s">
        <v>59535</v>
      </c>
      <c r="AG3748" s="1" t="s">
        <v>59536</v>
      </c>
      <c r="AH3748" s="1">
        <v>41284</v>
      </c>
      <c r="AI3748" s="1">
        <v>41738</v>
      </c>
      <c r="AJ3748" s="1">
        <v>93.17</v>
      </c>
      <c r="AK3748" s="1"/>
      <c r="AL3748" s="1" t="s">
        <v>59537</v>
      </c>
      <c r="AM3748" s="1" t="s">
        <v>312</v>
      </c>
      <c r="AN3748" s="1"/>
      <c r="AO3748" s="1">
        <v>42097</v>
      </c>
      <c r="AP3748" s="1">
        <v>42511</v>
      </c>
      <c r="AQ3748" s="1">
        <v>85.8</v>
      </c>
      <c r="AR3748" s="1"/>
      <c r="AS3748" s="1"/>
      <c r="AT3748" s="1"/>
      <c r="AU3748" s="1" t="s">
        <v>98</v>
      </c>
      <c r="AV3748" s="1" t="s">
        <v>98</v>
      </c>
      <c r="AW3748" s="1" t="s">
        <v>98</v>
      </c>
      <c r="AX3748" s="1" t="s">
        <v>98</v>
      </c>
      <c r="AY3748" s="1" t="s">
        <v>9196</v>
      </c>
      <c r="AZ3748" s="1" t="s">
        <v>59538</v>
      </c>
      <c r="BA3748" s="1"/>
      <c r="BB3748" s="1"/>
      <c r="BC3748" s="1">
        <v>42584</v>
      </c>
      <c r="BD3748" s="1">
        <v>44092</v>
      </c>
      <c r="BE3748" s="1">
        <v>85.25</v>
      </c>
      <c r="BF3748" s="1"/>
      <c r="BG3748" s="1"/>
      <c r="BH3748" s="1"/>
      <c r="BI3748" s="1"/>
      <c r="BJ3748" s="1"/>
      <c r="BK3748" s="1" t="s">
        <v>98</v>
      </c>
      <c r="BL3748" s="1" t="s">
        <v>98</v>
      </c>
      <c r="BM3748" s="1" t="s">
        <v>98</v>
      </c>
      <c r="BN3748" s="1" t="s">
        <v>98</v>
      </c>
      <c r="BO3748" s="1" t="s">
        <v>59539</v>
      </c>
      <c r="BP3748" s="1"/>
      <c r="BQ3748" s="1"/>
      <c r="BR3748" s="1" t="s">
        <v>59540</v>
      </c>
      <c r="BS3748" s="1">
        <v>16</v>
      </c>
      <c r="BT3748" s="1"/>
      <c r="BU3748" s="1" t="str">
        <f>HYPERLINK("https://nconnect.nicmar.ac.in/storage/profile/2021-2023_PP21039_734156.jpg","Download")</f>
        <v>0</v>
      </c>
      <c r="BV3748" s="3"/>
      <c r="BW3748" s="3"/>
    </row>
    <row r="3749" spans="1:75">
      <c r="A3749" s="1" t="s">
        <v>59001</v>
      </c>
      <c r="B3749" s="1" t="s">
        <v>51341</v>
      </c>
      <c r="C3749" s="1" t="s">
        <v>59541</v>
      </c>
      <c r="D3749" s="1" t="s">
        <v>59542</v>
      </c>
      <c r="E3749" s="1"/>
      <c r="F3749" s="1" t="s">
        <v>10216</v>
      </c>
      <c r="G3749" s="1" t="s">
        <v>59543</v>
      </c>
      <c r="H3749" s="1" t="s">
        <v>59544</v>
      </c>
      <c r="I3749" s="1" t="s">
        <v>59545</v>
      </c>
      <c r="J3749" s="1">
        <v>9952345106</v>
      </c>
      <c r="K3749" s="1" t="s">
        <v>153</v>
      </c>
      <c r="L3749" s="1" t="s">
        <v>57665</v>
      </c>
      <c r="M3749" s="1" t="s">
        <v>86</v>
      </c>
      <c r="N3749" s="1" t="s">
        <v>12624</v>
      </c>
      <c r="O3749" s="1"/>
      <c r="P3749" s="1" t="s">
        <v>5904</v>
      </c>
      <c r="Q3749" s="1" t="s">
        <v>59546</v>
      </c>
      <c r="R3749" s="1" t="s">
        <v>59547</v>
      </c>
      <c r="S3749" s="1">
        <v>9345113486</v>
      </c>
      <c r="T3749" s="1" t="s">
        <v>926</v>
      </c>
      <c r="U3749" s="1" t="s">
        <v>59548</v>
      </c>
      <c r="V3749" s="1">
        <v>8940971223</v>
      </c>
      <c r="W3749" s="1" t="s">
        <v>94</v>
      </c>
      <c r="X3749" s="1" t="s">
        <v>59549</v>
      </c>
      <c r="Y3749" s="1" t="s">
        <v>59550</v>
      </c>
      <c r="Z3749" s="1" t="s">
        <v>570</v>
      </c>
      <c r="AA3749" s="1" t="s">
        <v>59549</v>
      </c>
      <c r="AB3749" s="1" t="s">
        <v>59550</v>
      </c>
      <c r="AC3749" s="1" t="s">
        <v>570</v>
      </c>
      <c r="AD3749" s="1" t="s">
        <v>98</v>
      </c>
      <c r="AE3749" s="1" t="s">
        <v>98</v>
      </c>
      <c r="AF3749" s="1" t="s">
        <v>59551</v>
      </c>
      <c r="AG3749" s="1" t="s">
        <v>59552</v>
      </c>
      <c r="AH3749" s="1">
        <v>40336</v>
      </c>
      <c r="AI3749" s="1">
        <v>40690</v>
      </c>
      <c r="AJ3749" s="1">
        <v>96.4</v>
      </c>
      <c r="AK3749" s="1"/>
      <c r="AL3749" s="1" t="s">
        <v>59551</v>
      </c>
      <c r="AM3749" s="1" t="s">
        <v>59552</v>
      </c>
      <c r="AN3749" s="1"/>
      <c r="AO3749" s="1">
        <v>41071</v>
      </c>
      <c r="AP3749" s="1">
        <v>41403</v>
      </c>
      <c r="AQ3749" s="1">
        <v>90.83</v>
      </c>
      <c r="AR3749" s="1"/>
      <c r="AS3749" s="1"/>
      <c r="AT3749" s="1"/>
      <c r="AU3749" s="1" t="s">
        <v>98</v>
      </c>
      <c r="AV3749" s="1" t="s">
        <v>98</v>
      </c>
      <c r="AW3749" s="1" t="s">
        <v>98</v>
      </c>
      <c r="AX3749" s="1" t="s">
        <v>98</v>
      </c>
      <c r="AY3749" s="1" t="s">
        <v>34881</v>
      </c>
      <c r="AZ3749" s="1" t="s">
        <v>34881</v>
      </c>
      <c r="BA3749" s="1"/>
      <c r="BB3749" s="1"/>
      <c r="BC3749" s="1">
        <v>41813</v>
      </c>
      <c r="BD3749" s="1">
        <v>43273</v>
      </c>
      <c r="BE3749" s="1">
        <v>91.26</v>
      </c>
      <c r="BF3749" s="1">
        <v>9.36</v>
      </c>
      <c r="BG3749" s="1"/>
      <c r="BH3749" s="1"/>
      <c r="BI3749" s="1"/>
      <c r="BJ3749" s="1"/>
      <c r="BK3749" s="1" t="s">
        <v>98</v>
      </c>
      <c r="BL3749" s="1" t="s">
        <v>98</v>
      </c>
      <c r="BM3749" s="1" t="s">
        <v>98</v>
      </c>
      <c r="BN3749" s="1" t="s">
        <v>98</v>
      </c>
      <c r="BO3749" s="1" t="s">
        <v>47491</v>
      </c>
      <c r="BP3749" s="1" t="s">
        <v>59553</v>
      </c>
      <c r="BQ3749" s="1" t="s">
        <v>1174</v>
      </c>
      <c r="BR3749" s="1" t="s">
        <v>59554</v>
      </c>
      <c r="BS3749" s="1">
        <v>11</v>
      </c>
      <c r="BT3749" s="1"/>
      <c r="BU3749" s="1" t="s">
        <v>9653</v>
      </c>
      <c r="BV3749" s="3"/>
      <c r="BW3749" s="3"/>
    </row>
    <row r="3750" spans="1:75">
      <c r="A3750" s="1" t="s">
        <v>59001</v>
      </c>
      <c r="B3750" s="1" t="s">
        <v>51341</v>
      </c>
      <c r="C3750" s="1" t="s">
        <v>59555</v>
      </c>
      <c r="D3750" s="1" t="s">
        <v>2829</v>
      </c>
      <c r="E3750" s="1"/>
      <c r="F3750" s="1" t="s">
        <v>59556</v>
      </c>
      <c r="G3750" s="1" t="s">
        <v>59557</v>
      </c>
      <c r="H3750" s="1" t="s">
        <v>59558</v>
      </c>
      <c r="I3750" s="1" t="s">
        <v>59559</v>
      </c>
      <c r="J3750" s="1">
        <v>9310805081</v>
      </c>
      <c r="K3750" s="1" t="s">
        <v>84</v>
      </c>
      <c r="L3750" s="1" t="s">
        <v>59560</v>
      </c>
      <c r="M3750" s="1" t="s">
        <v>86</v>
      </c>
      <c r="N3750" s="1" t="s">
        <v>379</v>
      </c>
      <c r="O3750" s="1"/>
      <c r="P3750" s="1" t="s">
        <v>507</v>
      </c>
      <c r="Q3750" s="1" t="s">
        <v>59561</v>
      </c>
      <c r="R3750" s="1" t="s">
        <v>59562</v>
      </c>
      <c r="S3750" s="1">
        <v>9868131090</v>
      </c>
      <c r="T3750" s="1" t="s">
        <v>539</v>
      </c>
      <c r="U3750" s="1" t="s">
        <v>59563</v>
      </c>
      <c r="V3750" s="1">
        <v>9350805081</v>
      </c>
      <c r="W3750" s="1" t="s">
        <v>7840</v>
      </c>
      <c r="X3750" s="1" t="s">
        <v>59564</v>
      </c>
      <c r="Y3750" s="1" t="s">
        <v>32752</v>
      </c>
      <c r="Z3750" s="1" t="s">
        <v>1739</v>
      </c>
      <c r="AA3750" s="1" t="s">
        <v>59564</v>
      </c>
      <c r="AB3750" s="1" t="s">
        <v>32752</v>
      </c>
      <c r="AC3750" s="1" t="s">
        <v>1739</v>
      </c>
      <c r="AD3750" s="1" t="s">
        <v>98</v>
      </c>
      <c r="AE3750" s="1" t="s">
        <v>98</v>
      </c>
      <c r="AF3750" s="1" t="s">
        <v>59565</v>
      </c>
      <c r="AG3750" s="1" t="s">
        <v>312</v>
      </c>
      <c r="AH3750" s="1">
        <v>41001</v>
      </c>
      <c r="AI3750" s="1">
        <v>41424</v>
      </c>
      <c r="AJ3750" s="1">
        <v>74.1</v>
      </c>
      <c r="AK3750" s="1">
        <v>7.8</v>
      </c>
      <c r="AL3750" s="1" t="s">
        <v>59565</v>
      </c>
      <c r="AM3750" s="1" t="s">
        <v>312</v>
      </c>
      <c r="AN3750" s="1"/>
      <c r="AO3750" s="1">
        <v>41730</v>
      </c>
      <c r="AP3750" s="1">
        <v>42149</v>
      </c>
      <c r="AQ3750" s="1">
        <v>67.66</v>
      </c>
      <c r="AR3750" s="1">
        <v>0</v>
      </c>
      <c r="AS3750" s="1"/>
      <c r="AT3750" s="1"/>
      <c r="AU3750" s="1" t="s">
        <v>98</v>
      </c>
      <c r="AV3750" s="1" t="s">
        <v>98</v>
      </c>
      <c r="AW3750" s="1" t="s">
        <v>98</v>
      </c>
      <c r="AX3750" s="1" t="s">
        <v>98</v>
      </c>
      <c r="AY3750" s="1" t="s">
        <v>6631</v>
      </c>
      <c r="AZ3750" s="1" t="s">
        <v>54898</v>
      </c>
      <c r="BA3750" s="1"/>
      <c r="BB3750" s="1"/>
      <c r="BC3750" s="1">
        <v>42219</v>
      </c>
      <c r="BD3750" s="1">
        <v>43754</v>
      </c>
      <c r="BE3750" s="1">
        <v>60.86</v>
      </c>
      <c r="BF3750" s="1">
        <v>0</v>
      </c>
      <c r="BG3750" s="1"/>
      <c r="BH3750" s="1"/>
      <c r="BI3750" s="1"/>
      <c r="BJ3750" s="1"/>
      <c r="BK3750" s="1" t="s">
        <v>98</v>
      </c>
      <c r="BL3750" s="1" t="s">
        <v>98</v>
      </c>
      <c r="BM3750" s="1" t="s">
        <v>98</v>
      </c>
      <c r="BN3750" s="1" t="s">
        <v>98</v>
      </c>
      <c r="BO3750" s="1" t="s">
        <v>28364</v>
      </c>
      <c r="BP3750" s="1" t="s">
        <v>59566</v>
      </c>
      <c r="BQ3750" s="1" t="s">
        <v>4149</v>
      </c>
      <c r="BR3750" s="1" t="s">
        <v>59567</v>
      </c>
      <c r="BS3750" s="1">
        <v>11</v>
      </c>
      <c r="BT3750" s="1"/>
      <c r="BU3750" s="1" t="str">
        <f>HYPERLINK("https://nconnect.nicmar.ac.in/storage/profile/2021-2023_PP21041_827165.png","Download")</f>
        <v>0</v>
      </c>
      <c r="BV3750" s="3"/>
      <c r="BW3750" s="3"/>
    </row>
    <row r="3751" spans="1:75">
      <c r="A3751" s="1" t="s">
        <v>59001</v>
      </c>
      <c r="B3751" s="1" t="s">
        <v>51341</v>
      </c>
      <c r="C3751" s="1" t="s">
        <v>59568</v>
      </c>
      <c r="D3751" s="1" t="s">
        <v>32585</v>
      </c>
      <c r="E3751" s="1"/>
      <c r="F3751" s="1" t="s">
        <v>2250</v>
      </c>
      <c r="G3751" s="1" t="s">
        <v>59569</v>
      </c>
      <c r="H3751" s="1" t="s">
        <v>59570</v>
      </c>
      <c r="I3751" s="1" t="s">
        <v>59571</v>
      </c>
      <c r="J3751" s="1">
        <v>9816595539</v>
      </c>
      <c r="K3751" s="1" t="s">
        <v>153</v>
      </c>
      <c r="L3751" s="1" t="s">
        <v>59572</v>
      </c>
      <c r="M3751" s="1" t="s">
        <v>86</v>
      </c>
      <c r="N3751" s="1" t="s">
        <v>246</v>
      </c>
      <c r="O3751" s="1"/>
      <c r="P3751" s="1" t="s">
        <v>2062</v>
      </c>
      <c r="Q3751" s="1" t="s">
        <v>59573</v>
      </c>
      <c r="R3751" s="1" t="s">
        <v>59574</v>
      </c>
      <c r="S3751" s="1">
        <v>9418095539</v>
      </c>
      <c r="T3751" s="1" t="s">
        <v>926</v>
      </c>
      <c r="U3751" s="1" t="s">
        <v>59575</v>
      </c>
      <c r="V3751" s="1">
        <v>9418694404</v>
      </c>
      <c r="W3751" s="1" t="s">
        <v>127</v>
      </c>
      <c r="X3751" s="1" t="s">
        <v>59576</v>
      </c>
      <c r="Y3751" s="1" t="s">
        <v>2607</v>
      </c>
      <c r="Z3751" s="1" t="s">
        <v>2608</v>
      </c>
      <c r="AA3751" s="1" t="s">
        <v>59576</v>
      </c>
      <c r="AB3751" s="1" t="s">
        <v>2607</v>
      </c>
      <c r="AC3751" s="1" t="s">
        <v>2608</v>
      </c>
      <c r="AD3751" s="1" t="s">
        <v>98</v>
      </c>
      <c r="AE3751" s="1" t="s">
        <v>98</v>
      </c>
      <c r="AF3751" s="1" t="s">
        <v>59577</v>
      </c>
      <c r="AG3751" s="1" t="s">
        <v>312</v>
      </c>
      <c r="AH3751" s="1">
        <v>41731</v>
      </c>
      <c r="AI3751" s="1">
        <v>42089</v>
      </c>
      <c r="AJ3751" s="1">
        <v>85.5</v>
      </c>
      <c r="AK3751" s="1">
        <v>9</v>
      </c>
      <c r="AL3751" s="1" t="s">
        <v>59578</v>
      </c>
      <c r="AM3751" s="1" t="s">
        <v>312</v>
      </c>
      <c r="AN3751" s="1"/>
      <c r="AO3751" s="1">
        <v>42462</v>
      </c>
      <c r="AP3751" s="1">
        <v>42823</v>
      </c>
      <c r="AQ3751" s="1">
        <v>70.6</v>
      </c>
      <c r="AR3751" s="1"/>
      <c r="AS3751" s="1"/>
      <c r="AT3751" s="1"/>
      <c r="AU3751" s="1" t="s">
        <v>98</v>
      </c>
      <c r="AV3751" s="1" t="s">
        <v>98</v>
      </c>
      <c r="AW3751" s="1" t="s">
        <v>98</v>
      </c>
      <c r="AX3751" s="1" t="s">
        <v>98</v>
      </c>
      <c r="AY3751" s="1" t="s">
        <v>11251</v>
      </c>
      <c r="AZ3751" s="1" t="s">
        <v>59579</v>
      </c>
      <c r="BA3751" s="1"/>
      <c r="BB3751" s="1"/>
      <c r="BC3751" s="1">
        <v>42950</v>
      </c>
      <c r="BD3751" s="1">
        <v>44379</v>
      </c>
      <c r="BE3751" s="1">
        <v>76</v>
      </c>
      <c r="BF3751" s="1"/>
      <c r="BG3751" s="1"/>
      <c r="BH3751" s="1"/>
      <c r="BI3751" s="1"/>
      <c r="BJ3751" s="1"/>
      <c r="BK3751" s="1" t="s">
        <v>98</v>
      </c>
      <c r="BL3751" s="1" t="s">
        <v>98</v>
      </c>
      <c r="BM3751" s="1" t="s">
        <v>98</v>
      </c>
      <c r="BN3751" s="1" t="s">
        <v>98</v>
      </c>
      <c r="BO3751" s="1" t="s">
        <v>28364</v>
      </c>
      <c r="BP3751" s="1"/>
      <c r="BQ3751" s="1"/>
      <c r="BR3751" s="1" t="s">
        <v>59580</v>
      </c>
      <c r="BS3751" s="1">
        <v>8</v>
      </c>
      <c r="BT3751" s="1"/>
      <c r="BU3751" s="1" t="str">
        <f>HYPERLINK("https://nconnect.nicmar.ac.in/storage/profile/2021-2023_PP21042_458237.jpg","Download")</f>
        <v>0</v>
      </c>
      <c r="BV3751" s="3"/>
      <c r="BW3751" s="3"/>
    </row>
    <row r="3752" spans="1:75">
      <c r="A3752" s="1" t="s">
        <v>59001</v>
      </c>
      <c r="B3752" s="1" t="s">
        <v>51341</v>
      </c>
      <c r="C3752" s="1" t="s">
        <v>59581</v>
      </c>
      <c r="D3752" s="1" t="s">
        <v>2829</v>
      </c>
      <c r="E3752" s="1" t="s">
        <v>37408</v>
      </c>
      <c r="F3752" s="1" t="s">
        <v>12200</v>
      </c>
      <c r="G3752" s="1" t="s">
        <v>59582</v>
      </c>
      <c r="H3752" s="1" t="s">
        <v>59583</v>
      </c>
      <c r="I3752" s="1" t="s">
        <v>59584</v>
      </c>
      <c r="J3752" s="1">
        <v>9029200020</v>
      </c>
      <c r="K3752" s="1" t="s">
        <v>84</v>
      </c>
      <c r="L3752" s="1" t="s">
        <v>3275</v>
      </c>
      <c r="M3752" s="1" t="s">
        <v>86</v>
      </c>
      <c r="N3752" s="1" t="s">
        <v>990</v>
      </c>
      <c r="O3752" s="1"/>
      <c r="P3752" s="1" t="s">
        <v>455</v>
      </c>
      <c r="Q3752" s="1" t="s">
        <v>59585</v>
      </c>
      <c r="R3752" s="1" t="s">
        <v>59586</v>
      </c>
      <c r="S3752" s="1">
        <v>8652528126</v>
      </c>
      <c r="T3752" s="1" t="s">
        <v>3788</v>
      </c>
      <c r="U3752" s="1" t="s">
        <v>59587</v>
      </c>
      <c r="V3752" s="1">
        <v>9323825133</v>
      </c>
      <c r="W3752" s="1" t="s">
        <v>94</v>
      </c>
      <c r="X3752" s="1" t="s">
        <v>59588</v>
      </c>
      <c r="Y3752" s="1" t="s">
        <v>1012</v>
      </c>
      <c r="Z3752" s="1" t="s">
        <v>97</v>
      </c>
      <c r="AA3752" s="1" t="s">
        <v>98</v>
      </c>
      <c r="AB3752" s="1" t="s">
        <v>1012</v>
      </c>
      <c r="AC3752" s="1" t="s">
        <v>97</v>
      </c>
      <c r="AD3752" s="1" t="s">
        <v>98</v>
      </c>
      <c r="AE3752" s="1" t="s">
        <v>98</v>
      </c>
      <c r="AF3752" s="1" t="s">
        <v>59589</v>
      </c>
      <c r="AG3752" s="1" t="s">
        <v>59590</v>
      </c>
      <c r="AH3752" s="1">
        <v>40707</v>
      </c>
      <c r="AI3752" s="1">
        <v>41073</v>
      </c>
      <c r="AJ3752" s="1">
        <v>83.27</v>
      </c>
      <c r="AK3752" s="1"/>
      <c r="AL3752" s="1" t="s">
        <v>98</v>
      </c>
      <c r="AM3752" s="1" t="s">
        <v>98</v>
      </c>
      <c r="AN3752" s="1"/>
      <c r="AO3752" s="1" t="s">
        <v>98</v>
      </c>
      <c r="AP3752" s="1" t="s">
        <v>98</v>
      </c>
      <c r="AQ3752" s="1"/>
      <c r="AR3752" s="1"/>
      <c r="AS3752" s="1" t="s">
        <v>439</v>
      </c>
      <c r="AT3752" s="1" t="s">
        <v>43274</v>
      </c>
      <c r="AU3752" s="1">
        <v>41105</v>
      </c>
      <c r="AV3752" s="1">
        <v>42164</v>
      </c>
      <c r="AW3752" s="1">
        <v>66.96</v>
      </c>
      <c r="AX3752" s="1"/>
      <c r="AY3752" s="1" t="s">
        <v>680</v>
      </c>
      <c r="AZ3752" s="1" t="s">
        <v>59591</v>
      </c>
      <c r="BA3752" s="1"/>
      <c r="BB3752" s="1"/>
      <c r="BC3752" s="1">
        <v>42231</v>
      </c>
      <c r="BD3752" s="1">
        <v>43761</v>
      </c>
      <c r="BE3752" s="1">
        <v>55.15</v>
      </c>
      <c r="BF3752" s="1">
        <v>6.09</v>
      </c>
      <c r="BG3752" s="1"/>
      <c r="BH3752" s="1"/>
      <c r="BI3752" s="1"/>
      <c r="BJ3752" s="1"/>
      <c r="BK3752" s="1" t="s">
        <v>98</v>
      </c>
      <c r="BL3752" s="1" t="s">
        <v>98</v>
      </c>
      <c r="BM3752" s="1" t="s">
        <v>98</v>
      </c>
      <c r="BN3752" s="1" t="s">
        <v>98</v>
      </c>
      <c r="BO3752" s="1" t="s">
        <v>59592</v>
      </c>
      <c r="BP3752" s="1"/>
      <c r="BQ3752" s="1"/>
      <c r="BR3752" s="1" t="s">
        <v>59593</v>
      </c>
      <c r="BS3752" s="1">
        <v>7</v>
      </c>
      <c r="BT3752" s="1"/>
      <c r="BU3752" s="1" t="str">
        <f>HYPERLINK("https://nconnect.nicmar.ac.in/storage/profile/2021-2023_PP21043_796134.jpeg","Download")</f>
        <v>0</v>
      </c>
      <c r="BV3752" s="3"/>
      <c r="BW3752" s="3"/>
    </row>
    <row r="3753" spans="1:75">
      <c r="A3753" s="1" t="s">
        <v>59001</v>
      </c>
      <c r="B3753" s="1" t="s">
        <v>51341</v>
      </c>
      <c r="C3753" s="1" t="s">
        <v>59594</v>
      </c>
      <c r="D3753" s="1" t="s">
        <v>59595</v>
      </c>
      <c r="E3753" s="1" t="s">
        <v>59596</v>
      </c>
      <c r="F3753" s="1" t="s">
        <v>2735</v>
      </c>
      <c r="G3753" s="1" t="s">
        <v>59597</v>
      </c>
      <c r="H3753" s="1" t="s">
        <v>59598</v>
      </c>
      <c r="I3753" s="1" t="s">
        <v>59598</v>
      </c>
      <c r="J3753" s="1">
        <v>9632862910</v>
      </c>
      <c r="K3753" s="1" t="s">
        <v>84</v>
      </c>
      <c r="L3753" s="1" t="s">
        <v>51740</v>
      </c>
      <c r="M3753" s="1" t="s">
        <v>86</v>
      </c>
      <c r="N3753" s="1" t="s">
        <v>1617</v>
      </c>
      <c r="O3753" s="1"/>
      <c r="P3753" s="1" t="s">
        <v>481</v>
      </c>
      <c r="Q3753" s="1" t="s">
        <v>59599</v>
      </c>
      <c r="R3753" s="1" t="s">
        <v>59600</v>
      </c>
      <c r="S3753" s="1">
        <v>9972019062</v>
      </c>
      <c r="T3753" s="1" t="s">
        <v>35779</v>
      </c>
      <c r="U3753" s="1" t="s">
        <v>59601</v>
      </c>
      <c r="V3753" s="1">
        <v>9611592700</v>
      </c>
      <c r="W3753" s="1" t="s">
        <v>161</v>
      </c>
      <c r="X3753" s="1" t="s">
        <v>59602</v>
      </c>
      <c r="Y3753" s="1" t="s">
        <v>3729</v>
      </c>
      <c r="Z3753" s="1" t="s">
        <v>1210</v>
      </c>
      <c r="AA3753" s="1" t="s">
        <v>59603</v>
      </c>
      <c r="AB3753" s="1" t="s">
        <v>196</v>
      </c>
      <c r="AC3753" s="1" t="s">
        <v>97</v>
      </c>
      <c r="AD3753" s="1" t="s">
        <v>98</v>
      </c>
      <c r="AE3753" s="1" t="s">
        <v>98</v>
      </c>
      <c r="AF3753" s="1" t="s">
        <v>59604</v>
      </c>
      <c r="AG3753" s="1" t="s">
        <v>11341</v>
      </c>
      <c r="AH3753" s="1" t="s">
        <v>59605</v>
      </c>
      <c r="AI3753" s="1" t="s">
        <v>59606</v>
      </c>
      <c r="AJ3753" s="1">
        <v>69.76</v>
      </c>
      <c r="AK3753" s="1"/>
      <c r="AL3753" s="1" t="s">
        <v>59607</v>
      </c>
      <c r="AM3753" s="1" t="s">
        <v>59608</v>
      </c>
      <c r="AN3753" s="1"/>
      <c r="AO3753" s="1" t="s">
        <v>55344</v>
      </c>
      <c r="AP3753" s="1" t="s">
        <v>55345</v>
      </c>
      <c r="AQ3753" s="1">
        <v>68.16</v>
      </c>
      <c r="AR3753" s="1"/>
      <c r="AS3753" s="1"/>
      <c r="AT3753" s="1"/>
      <c r="AU3753" s="1"/>
      <c r="AV3753" s="1"/>
      <c r="AW3753" s="1"/>
      <c r="AX3753" s="1"/>
      <c r="AY3753" s="1" t="s">
        <v>1038</v>
      </c>
      <c r="AZ3753" s="1" t="s">
        <v>59609</v>
      </c>
      <c r="BA3753" s="1"/>
      <c r="BB3753" s="1"/>
      <c r="BC3753" s="1" t="s">
        <v>59610</v>
      </c>
      <c r="BD3753" s="1" t="s">
        <v>59611</v>
      </c>
      <c r="BE3753" s="1">
        <v>74.25</v>
      </c>
      <c r="BF3753" s="1"/>
      <c r="BG3753" s="1"/>
      <c r="BH3753" s="1"/>
      <c r="BI3753" s="1"/>
      <c r="BJ3753" s="1"/>
      <c r="BK3753" s="1"/>
      <c r="BL3753" s="1"/>
      <c r="BM3753" s="1"/>
      <c r="BN3753" s="1"/>
      <c r="BO3753" s="1" t="s">
        <v>28364</v>
      </c>
      <c r="BP3753" s="1"/>
      <c r="BQ3753" s="1"/>
      <c r="BR3753" s="1" t="s">
        <v>59612</v>
      </c>
      <c r="BS3753" s="1">
        <v>25</v>
      </c>
      <c r="BT3753" s="1"/>
      <c r="BU3753" s="1" t="str">
        <f>HYPERLINK("https://nconnect.nicmar.ac.in/storage/profile/2021-2023_PP21044_196357.jpg","Download")</f>
        <v>0</v>
      </c>
      <c r="BV3753" s="3"/>
      <c r="BW3753" s="3"/>
    </row>
    <row r="3754" spans="1:75">
      <c r="A3754" s="1" t="s">
        <v>59001</v>
      </c>
      <c r="B3754" s="1" t="s">
        <v>51341</v>
      </c>
      <c r="C3754" s="1" t="s">
        <v>59613</v>
      </c>
      <c r="D3754" s="1" t="s">
        <v>3493</v>
      </c>
      <c r="E3754" s="1" t="s">
        <v>7638</v>
      </c>
      <c r="F3754" s="1" t="s">
        <v>374</v>
      </c>
      <c r="G3754" s="1" t="s">
        <v>59614</v>
      </c>
      <c r="H3754" s="1" t="s">
        <v>59615</v>
      </c>
      <c r="I3754" s="1" t="s">
        <v>59616</v>
      </c>
      <c r="J3754" s="1">
        <v>9284258206</v>
      </c>
      <c r="K3754" s="1" t="s">
        <v>84</v>
      </c>
      <c r="L3754" s="1" t="s">
        <v>59617</v>
      </c>
      <c r="M3754" s="1" t="s">
        <v>86</v>
      </c>
      <c r="N3754" s="1" t="s">
        <v>59618</v>
      </c>
      <c r="O3754" s="1"/>
      <c r="P3754" s="1" t="s">
        <v>507</v>
      </c>
      <c r="Q3754" s="1" t="s">
        <v>59619</v>
      </c>
      <c r="R3754" s="1" t="s">
        <v>59620</v>
      </c>
      <c r="S3754" s="1">
        <v>7020423994</v>
      </c>
      <c r="T3754" s="1" t="s">
        <v>839</v>
      </c>
      <c r="U3754" s="1" t="s">
        <v>59621</v>
      </c>
      <c r="V3754" s="1">
        <v>9766721609</v>
      </c>
      <c r="W3754" s="1" t="s">
        <v>94</v>
      </c>
      <c r="X3754" s="1" t="s">
        <v>59622</v>
      </c>
      <c r="Y3754" s="1" t="s">
        <v>196</v>
      </c>
      <c r="Z3754" s="1" t="s">
        <v>97</v>
      </c>
      <c r="AA3754" s="1" t="s">
        <v>98</v>
      </c>
      <c r="AB3754" s="1" t="s">
        <v>196</v>
      </c>
      <c r="AC3754" s="1" t="s">
        <v>97</v>
      </c>
      <c r="AD3754" s="1" t="s">
        <v>98</v>
      </c>
      <c r="AE3754" s="1" t="s">
        <v>98</v>
      </c>
      <c r="AF3754" s="1" t="s">
        <v>33912</v>
      </c>
      <c r="AG3754" s="1" t="s">
        <v>2745</v>
      </c>
      <c r="AH3754" s="1">
        <v>41439</v>
      </c>
      <c r="AI3754" s="1">
        <v>41807</v>
      </c>
      <c r="AJ3754" s="1">
        <v>72.4</v>
      </c>
      <c r="AK3754" s="1" t="s">
        <v>98</v>
      </c>
      <c r="AL3754" s="1" t="s">
        <v>98</v>
      </c>
      <c r="AM3754" s="1" t="s">
        <v>98</v>
      </c>
      <c r="AN3754" s="1"/>
      <c r="AO3754" s="1" t="s">
        <v>98</v>
      </c>
      <c r="AP3754" s="1" t="s">
        <v>98</v>
      </c>
      <c r="AQ3754" s="1"/>
      <c r="AR3754" s="1"/>
      <c r="AS3754" s="1" t="s">
        <v>439</v>
      </c>
      <c r="AT3754" s="1" t="s">
        <v>59623</v>
      </c>
      <c r="AU3754" s="1">
        <v>41831</v>
      </c>
      <c r="AV3754" s="1">
        <v>42894</v>
      </c>
      <c r="AW3754" s="1">
        <v>61.88</v>
      </c>
      <c r="AX3754" s="1">
        <v>6.18</v>
      </c>
      <c r="AY3754" s="1" t="s">
        <v>59624</v>
      </c>
      <c r="AZ3754" s="1" t="s">
        <v>59625</v>
      </c>
      <c r="BA3754" s="1"/>
      <c r="BB3754" s="1"/>
      <c r="BC3754" s="1">
        <v>42978</v>
      </c>
      <c r="BD3754" s="1">
        <v>44131</v>
      </c>
      <c r="BE3754" s="1">
        <v>61.4</v>
      </c>
      <c r="BF3754" s="1">
        <v>6.14</v>
      </c>
      <c r="BG3754" s="1" t="s">
        <v>98</v>
      </c>
      <c r="BH3754" s="1"/>
      <c r="BI3754" s="1"/>
      <c r="BJ3754" s="1"/>
      <c r="BK3754" s="1" t="s">
        <v>98</v>
      </c>
      <c r="BL3754" s="1" t="s">
        <v>98</v>
      </c>
      <c r="BM3754" s="1" t="s">
        <v>98</v>
      </c>
      <c r="BN3754" s="1" t="s">
        <v>98</v>
      </c>
      <c r="BO3754" s="1"/>
      <c r="BP3754" s="1"/>
      <c r="BQ3754" s="1"/>
      <c r="BR3754" s="1" t="s">
        <v>59626</v>
      </c>
      <c r="BS3754" s="1">
        <v>13</v>
      </c>
      <c r="BT3754" s="1"/>
      <c r="BU3754" s="1" t="str">
        <f>HYPERLINK("https://nconnect.nicmar.ac.in/storage/profile/2021-2023_PP21045_736298.jpg","Download")</f>
        <v>0</v>
      </c>
      <c r="BV3754" s="3"/>
      <c r="BW3754" s="3"/>
    </row>
    <row r="3755" spans="1:75">
      <c r="A3755" s="1" t="s">
        <v>59001</v>
      </c>
      <c r="B3755" s="1" t="s">
        <v>51341</v>
      </c>
      <c r="C3755" s="1" t="s">
        <v>59627</v>
      </c>
      <c r="D3755" s="1" t="s">
        <v>1118</v>
      </c>
      <c r="E3755" s="1" t="s">
        <v>2659</v>
      </c>
      <c r="F3755" s="1" t="s">
        <v>12314</v>
      </c>
      <c r="G3755" s="1" t="s">
        <v>59628</v>
      </c>
      <c r="H3755" s="1" t="s">
        <v>59629</v>
      </c>
      <c r="I3755" s="1" t="s">
        <v>59629</v>
      </c>
      <c r="J3755" s="1">
        <v>9922357311</v>
      </c>
      <c r="K3755" s="1" t="s">
        <v>84</v>
      </c>
      <c r="L3755" s="1" t="s">
        <v>26131</v>
      </c>
      <c r="M3755" s="1" t="s">
        <v>86</v>
      </c>
      <c r="N3755" s="1" t="s">
        <v>1163</v>
      </c>
      <c r="O3755" s="1"/>
      <c r="P3755" s="1" t="s">
        <v>507</v>
      </c>
      <c r="Q3755" s="1" t="s">
        <v>59630</v>
      </c>
      <c r="R3755" s="1" t="s">
        <v>2659</v>
      </c>
      <c r="S3755" s="1">
        <v>9860594034</v>
      </c>
      <c r="T3755" s="1" t="s">
        <v>839</v>
      </c>
      <c r="U3755" s="1" t="s">
        <v>6338</v>
      </c>
      <c r="V3755" s="1">
        <v>9423158754</v>
      </c>
      <c r="W3755" s="1" t="s">
        <v>161</v>
      </c>
      <c r="X3755" s="1" t="s">
        <v>59631</v>
      </c>
      <c r="Y3755" s="1" t="s">
        <v>1779</v>
      </c>
      <c r="Z3755" s="1" t="s">
        <v>97</v>
      </c>
      <c r="AA3755" s="1" t="s">
        <v>59632</v>
      </c>
      <c r="AB3755" s="1" t="s">
        <v>1779</v>
      </c>
      <c r="AC3755" s="1" t="s">
        <v>97</v>
      </c>
      <c r="AD3755" s="1" t="s">
        <v>98</v>
      </c>
      <c r="AE3755" s="1" t="s">
        <v>98</v>
      </c>
      <c r="AF3755" s="1" t="s">
        <v>59633</v>
      </c>
      <c r="AG3755" s="1" t="s">
        <v>59634</v>
      </c>
      <c r="AH3755" s="1" t="s">
        <v>59635</v>
      </c>
      <c r="AI3755" s="1" t="s">
        <v>59636</v>
      </c>
      <c r="AJ3755" s="1">
        <v>78.18</v>
      </c>
      <c r="AK3755" s="1"/>
      <c r="AL3755" s="1" t="s">
        <v>98</v>
      </c>
      <c r="AM3755" s="1" t="s">
        <v>13411</v>
      </c>
      <c r="AN3755" s="1"/>
      <c r="AO3755" s="1" t="s">
        <v>59637</v>
      </c>
      <c r="AP3755" s="1" t="s">
        <v>59637</v>
      </c>
      <c r="AQ3755" s="1"/>
      <c r="AR3755" s="1"/>
      <c r="AS3755" s="1" t="s">
        <v>439</v>
      </c>
      <c r="AT3755" s="1" t="s">
        <v>59638</v>
      </c>
      <c r="AU3755" s="1" t="s">
        <v>59639</v>
      </c>
      <c r="AV3755" s="1" t="s">
        <v>59640</v>
      </c>
      <c r="AW3755" s="1">
        <v>63.88</v>
      </c>
      <c r="AX3755" s="1"/>
      <c r="AY3755" s="1" t="s">
        <v>366</v>
      </c>
      <c r="AZ3755" s="1" t="s">
        <v>59641</v>
      </c>
      <c r="BA3755" s="1"/>
      <c r="BB3755" s="1"/>
      <c r="BC3755" s="1" t="s">
        <v>59642</v>
      </c>
      <c r="BD3755" s="1" t="s">
        <v>59643</v>
      </c>
      <c r="BE3755" s="1">
        <v>52.53</v>
      </c>
      <c r="BF3755" s="1">
        <v>5.97</v>
      </c>
      <c r="BG3755" s="1"/>
      <c r="BH3755" s="1"/>
      <c r="BI3755" s="1"/>
      <c r="BJ3755" s="1"/>
      <c r="BK3755" s="1"/>
      <c r="BL3755" s="1"/>
      <c r="BM3755" s="1"/>
      <c r="BN3755" s="1"/>
      <c r="BO3755" s="1" t="s">
        <v>59644</v>
      </c>
      <c r="BP3755" s="1" t="s">
        <v>59645</v>
      </c>
      <c r="BQ3755" s="1" t="s">
        <v>9405</v>
      </c>
      <c r="BR3755" s="1" t="s">
        <v>59646</v>
      </c>
      <c r="BS3755" s="1">
        <v>10</v>
      </c>
      <c r="BT3755" s="1"/>
      <c r="BU3755" s="1" t="str">
        <f>HYPERLINK("https://nconnect.nicmar.ac.in/storage/profile/2021-2023_PP21046_142735.jpeg","Download")</f>
        <v>0</v>
      </c>
      <c r="BV3755" s="3"/>
      <c r="BW3755" s="3"/>
    </row>
    <row r="3756" spans="1:75">
      <c r="A3756" s="1" t="s">
        <v>59001</v>
      </c>
      <c r="B3756" s="1" t="s">
        <v>51341</v>
      </c>
      <c r="C3756" s="1" t="s">
        <v>59647</v>
      </c>
      <c r="D3756" s="1" t="s">
        <v>25270</v>
      </c>
      <c r="E3756" s="1"/>
      <c r="F3756" s="1" t="s">
        <v>4520</v>
      </c>
      <c r="G3756" s="1" t="s">
        <v>59648</v>
      </c>
      <c r="H3756" s="1" t="s">
        <v>59649</v>
      </c>
      <c r="I3756" s="1" t="s">
        <v>59650</v>
      </c>
      <c r="J3756" s="1">
        <v>9810665080</v>
      </c>
      <c r="K3756" s="1"/>
      <c r="L3756" s="1"/>
      <c r="M3756" s="1"/>
      <c r="N3756" s="1"/>
      <c r="O3756" s="1"/>
      <c r="P3756" s="1"/>
      <c r="Q3756" s="1"/>
      <c r="R3756" s="1"/>
      <c r="S3756" s="1"/>
      <c r="T3756" s="1"/>
      <c r="U3756" s="1"/>
      <c r="V3756" s="1"/>
      <c r="W3756" s="1"/>
      <c r="X3756" s="1"/>
      <c r="Y3756" s="1"/>
      <c r="Z3756" s="1"/>
      <c r="AA3756" s="1"/>
      <c r="AB3756" s="1"/>
      <c r="AC3756" s="1"/>
      <c r="AD3756" s="1" t="s">
        <v>98</v>
      </c>
      <c r="AE3756" s="1" t="s">
        <v>98</v>
      </c>
      <c r="AF3756" s="1"/>
      <c r="AG3756" s="1"/>
      <c r="AH3756" s="1"/>
      <c r="AI3756" s="1"/>
      <c r="AJ3756" s="1"/>
      <c r="AK3756" s="1"/>
      <c r="AL3756" s="1"/>
      <c r="AM3756" s="1"/>
      <c r="AN3756" s="1"/>
      <c r="AO3756" s="1"/>
      <c r="AP3756" s="1"/>
      <c r="AQ3756" s="1"/>
      <c r="AR3756" s="1"/>
      <c r="AS3756" s="1"/>
      <c r="AT3756" s="1"/>
      <c r="AU3756" s="1"/>
      <c r="AV3756" s="1"/>
      <c r="AW3756" s="1"/>
      <c r="AX3756" s="1"/>
      <c r="AY3756" s="1"/>
      <c r="AZ3756" s="1"/>
      <c r="BA3756" s="1"/>
      <c r="BB3756" s="1"/>
      <c r="BC3756" s="1"/>
      <c r="BD3756" s="1"/>
      <c r="BE3756" s="1"/>
      <c r="BF3756" s="1"/>
      <c r="BG3756" s="1"/>
      <c r="BH3756" s="1"/>
      <c r="BI3756" s="1"/>
      <c r="BJ3756" s="1"/>
      <c r="BK3756" s="1"/>
      <c r="BL3756" s="1"/>
      <c r="BM3756" s="1"/>
      <c r="BN3756" s="1"/>
      <c r="BO3756" s="1"/>
      <c r="BP3756" s="1"/>
      <c r="BQ3756" s="1"/>
      <c r="BR3756" s="1"/>
      <c r="BS3756" s="1"/>
      <c r="BT3756" s="1"/>
      <c r="BU3756" s="1" t="s">
        <v>9653</v>
      </c>
      <c r="BV3756" s="3"/>
      <c r="BW3756" s="3"/>
    </row>
    <row r="3757" spans="1:75">
      <c r="A3757" s="1" t="s">
        <v>59001</v>
      </c>
      <c r="B3757" s="1" t="s">
        <v>51341</v>
      </c>
      <c r="C3757" s="1" t="s">
        <v>59651</v>
      </c>
      <c r="D3757" s="1" t="s">
        <v>59652</v>
      </c>
      <c r="E3757" s="1" t="s">
        <v>36420</v>
      </c>
      <c r="F3757" s="1" t="s">
        <v>2734</v>
      </c>
      <c r="G3757" s="1" t="s">
        <v>59653</v>
      </c>
      <c r="H3757" s="1" t="s">
        <v>59654</v>
      </c>
      <c r="I3757" s="1" t="s">
        <v>59655</v>
      </c>
      <c r="J3757" s="1">
        <v>9177907778</v>
      </c>
      <c r="K3757" s="1" t="s">
        <v>84</v>
      </c>
      <c r="L3757" s="1" t="s">
        <v>26166</v>
      </c>
      <c r="M3757" s="1" t="s">
        <v>86</v>
      </c>
      <c r="N3757" s="1" t="s">
        <v>59656</v>
      </c>
      <c r="O3757" s="1"/>
      <c r="P3757" s="1" t="s">
        <v>481</v>
      </c>
      <c r="Q3757" s="1" t="s">
        <v>59657</v>
      </c>
      <c r="R3757" s="1" t="s">
        <v>59658</v>
      </c>
      <c r="S3757" s="1">
        <v>9849711768</v>
      </c>
      <c r="T3757" s="1" t="s">
        <v>159</v>
      </c>
      <c r="U3757" s="1" t="s">
        <v>59659</v>
      </c>
      <c r="V3757" s="1">
        <v>8179291768</v>
      </c>
      <c r="W3757" s="1" t="s">
        <v>94</v>
      </c>
      <c r="X3757" s="1" t="s">
        <v>59660</v>
      </c>
      <c r="Y3757" s="1" t="s">
        <v>59661</v>
      </c>
      <c r="Z3757" s="1" t="s">
        <v>281</v>
      </c>
      <c r="AA3757" s="1" t="s">
        <v>59662</v>
      </c>
      <c r="AB3757" s="1" t="s">
        <v>59661</v>
      </c>
      <c r="AC3757" s="1" t="s">
        <v>281</v>
      </c>
      <c r="AD3757" s="1" t="s">
        <v>98</v>
      </c>
      <c r="AE3757" s="1" t="s">
        <v>98</v>
      </c>
      <c r="AF3757" s="1" t="s">
        <v>38761</v>
      </c>
      <c r="AG3757" s="1" t="s">
        <v>59663</v>
      </c>
      <c r="AH3757" s="1" t="s">
        <v>54451</v>
      </c>
      <c r="AI3757" s="1" t="s">
        <v>59664</v>
      </c>
      <c r="AJ3757" s="1">
        <v>92.15</v>
      </c>
      <c r="AK3757" s="1">
        <v>9.7</v>
      </c>
      <c r="AL3757" s="1" t="s">
        <v>10501</v>
      </c>
      <c r="AM3757" s="1" t="s">
        <v>59663</v>
      </c>
      <c r="AN3757" s="1"/>
      <c r="AO3757" s="1" t="s">
        <v>52701</v>
      </c>
      <c r="AP3757" s="1" t="s">
        <v>59665</v>
      </c>
      <c r="AQ3757" s="1">
        <v>88.6</v>
      </c>
      <c r="AR3757" s="1"/>
      <c r="AS3757" s="1"/>
      <c r="AT3757" s="1"/>
      <c r="AU3757" s="1" t="s">
        <v>98</v>
      </c>
      <c r="AV3757" s="1" t="s">
        <v>98</v>
      </c>
      <c r="AW3757" s="1" t="s">
        <v>98</v>
      </c>
      <c r="AX3757" s="1" t="s">
        <v>98</v>
      </c>
      <c r="AY3757" s="1" t="s">
        <v>287</v>
      </c>
      <c r="AZ3757" s="1" t="s">
        <v>59666</v>
      </c>
      <c r="BA3757" s="1"/>
      <c r="BB3757" s="1"/>
      <c r="BC3757" s="1" t="s">
        <v>52704</v>
      </c>
      <c r="BD3757" s="1" t="s">
        <v>59667</v>
      </c>
      <c r="BE3757" s="1">
        <v>72.2</v>
      </c>
      <c r="BF3757" s="1">
        <v>7.97</v>
      </c>
      <c r="BG3757" s="1"/>
      <c r="BH3757" s="1"/>
      <c r="BI3757" s="1"/>
      <c r="BJ3757" s="1"/>
      <c r="BK3757" s="1" t="s">
        <v>98</v>
      </c>
      <c r="BL3757" s="1" t="s">
        <v>98</v>
      </c>
      <c r="BM3757" s="1" t="s">
        <v>98</v>
      </c>
      <c r="BN3757" s="1" t="s">
        <v>98</v>
      </c>
      <c r="BO3757" s="1" t="s">
        <v>28364</v>
      </c>
      <c r="BP3757" s="1" t="s">
        <v>59668</v>
      </c>
      <c r="BQ3757" s="1" t="s">
        <v>893</v>
      </c>
      <c r="BR3757" s="1" t="s">
        <v>59669</v>
      </c>
      <c r="BS3757" s="1">
        <v>19</v>
      </c>
      <c r="BT3757" s="1"/>
      <c r="BU3757" s="1" t="str">
        <f>HYPERLINK("https://nconnect.nicmar.ac.in/storage/profile/2021-2023_PP21048_179385.jpg","Download")</f>
        <v>0</v>
      </c>
      <c r="BV3757" s="3"/>
      <c r="BW3757" s="3"/>
    </row>
    <row r="3758" spans="1:75">
      <c r="A3758" s="1" t="s">
        <v>59001</v>
      </c>
      <c r="B3758" s="1" t="s">
        <v>51341</v>
      </c>
      <c r="C3758" s="1" t="s">
        <v>59670</v>
      </c>
      <c r="D3758" s="1" t="s">
        <v>59671</v>
      </c>
      <c r="E3758" s="1"/>
      <c r="F3758" s="1" t="s">
        <v>53193</v>
      </c>
      <c r="G3758" s="1" t="s">
        <v>59672</v>
      </c>
      <c r="H3758" s="1" t="s">
        <v>59673</v>
      </c>
      <c r="I3758" s="1" t="s">
        <v>59674</v>
      </c>
      <c r="J3758" s="1">
        <v>9674695961</v>
      </c>
      <c r="K3758" s="1" t="s">
        <v>153</v>
      </c>
      <c r="L3758" s="1" t="s">
        <v>59675</v>
      </c>
      <c r="M3758" s="1" t="s">
        <v>86</v>
      </c>
      <c r="N3758" s="1" t="s">
        <v>2812</v>
      </c>
      <c r="O3758" s="1"/>
      <c r="P3758" s="1" t="s">
        <v>481</v>
      </c>
      <c r="Q3758" s="1" t="s">
        <v>59676</v>
      </c>
      <c r="R3758" s="1" t="s">
        <v>59677</v>
      </c>
      <c r="S3758" s="1">
        <v>9830332621</v>
      </c>
      <c r="T3758" s="1" t="s">
        <v>2950</v>
      </c>
      <c r="U3758" s="1" t="s">
        <v>59678</v>
      </c>
      <c r="V3758" s="1">
        <v>8334945471</v>
      </c>
      <c r="W3758" s="1" t="s">
        <v>541</v>
      </c>
      <c r="X3758" s="1" t="s">
        <v>59679</v>
      </c>
      <c r="Y3758" s="1" t="s">
        <v>10874</v>
      </c>
      <c r="Z3758" s="1" t="s">
        <v>1234</v>
      </c>
      <c r="AA3758" s="1" t="s">
        <v>98</v>
      </c>
      <c r="AB3758" s="1" t="s">
        <v>10874</v>
      </c>
      <c r="AC3758" s="1" t="s">
        <v>1234</v>
      </c>
      <c r="AD3758" s="1" t="s">
        <v>98</v>
      </c>
      <c r="AE3758" s="1" t="s">
        <v>98</v>
      </c>
      <c r="AF3758" s="1" t="s">
        <v>59680</v>
      </c>
      <c r="AG3758" s="1" t="s">
        <v>3284</v>
      </c>
      <c r="AH3758" s="1">
        <v>40909</v>
      </c>
      <c r="AI3758" s="1">
        <v>41421</v>
      </c>
      <c r="AJ3758" s="1">
        <v>88.71</v>
      </c>
      <c r="AK3758" s="1" t="s">
        <v>98</v>
      </c>
      <c r="AL3758" s="1" t="s">
        <v>59680</v>
      </c>
      <c r="AM3758" s="1" t="s">
        <v>3287</v>
      </c>
      <c r="AN3758" s="1"/>
      <c r="AO3758" s="1">
        <v>41730</v>
      </c>
      <c r="AP3758" s="1">
        <v>42153</v>
      </c>
      <c r="AQ3758" s="1">
        <v>79</v>
      </c>
      <c r="AR3758" s="1" t="s">
        <v>98</v>
      </c>
      <c r="AS3758" s="1" t="s">
        <v>98</v>
      </c>
      <c r="AT3758" s="1" t="s">
        <v>98</v>
      </c>
      <c r="AU3758" s="1" t="s">
        <v>98</v>
      </c>
      <c r="AV3758" s="1" t="s">
        <v>98</v>
      </c>
      <c r="AW3758" s="1" t="s">
        <v>98</v>
      </c>
      <c r="AX3758" s="1" t="s">
        <v>98</v>
      </c>
      <c r="AY3758" s="1" t="s">
        <v>3625</v>
      </c>
      <c r="AZ3758" s="1" t="s">
        <v>33165</v>
      </c>
      <c r="BA3758" s="1"/>
      <c r="BB3758" s="1"/>
      <c r="BC3758" s="1">
        <v>42219</v>
      </c>
      <c r="BD3758" s="1">
        <v>43811</v>
      </c>
      <c r="BE3758" s="1">
        <v>75.6</v>
      </c>
      <c r="BF3758" s="1">
        <v>8.31</v>
      </c>
      <c r="BG3758" s="1" t="s">
        <v>98</v>
      </c>
      <c r="BH3758" s="1"/>
      <c r="BI3758" s="1"/>
      <c r="BJ3758" s="1"/>
      <c r="BK3758" s="1" t="s">
        <v>98</v>
      </c>
      <c r="BL3758" s="1" t="s">
        <v>98</v>
      </c>
      <c r="BM3758" s="1" t="s">
        <v>98</v>
      </c>
      <c r="BN3758" s="1" t="s">
        <v>98</v>
      </c>
      <c r="BO3758" s="1"/>
      <c r="BP3758" s="1" t="s">
        <v>59681</v>
      </c>
      <c r="BQ3758" s="1" t="s">
        <v>2326</v>
      </c>
      <c r="BR3758" s="1" t="s">
        <v>59682</v>
      </c>
      <c r="BS3758" s="1">
        <v>277</v>
      </c>
      <c r="BT3758" s="1"/>
      <c r="BU3758" s="1" t="str">
        <f>HYPERLINK("https://nconnect.nicmar.ac.in/storage/profile/2021-2023_PP21049_528649.JPG","Download")</f>
        <v>0</v>
      </c>
      <c r="BV3758" s="3"/>
      <c r="BW3758" s="3"/>
    </row>
    <row r="3759" spans="1:75">
      <c r="A3759" s="1" t="s">
        <v>59001</v>
      </c>
      <c r="B3759" s="1" t="s">
        <v>51341</v>
      </c>
      <c r="C3759" s="1" t="s">
        <v>59683</v>
      </c>
      <c r="D3759" s="1" t="s">
        <v>59684</v>
      </c>
      <c r="E3759" s="1" t="s">
        <v>29615</v>
      </c>
      <c r="F3759" s="1" t="s">
        <v>3546</v>
      </c>
      <c r="G3759" s="1" t="s">
        <v>59685</v>
      </c>
      <c r="H3759" s="1" t="s">
        <v>59686</v>
      </c>
      <c r="I3759" s="1" t="s">
        <v>59687</v>
      </c>
      <c r="J3759" s="1">
        <v>9746331380</v>
      </c>
      <c r="K3759" s="1" t="s">
        <v>84</v>
      </c>
      <c r="L3759" s="1" t="s">
        <v>59688</v>
      </c>
      <c r="M3759" s="1" t="s">
        <v>86</v>
      </c>
      <c r="N3759" s="1" t="s">
        <v>695</v>
      </c>
      <c r="O3759" s="1"/>
      <c r="P3759" s="1" t="s">
        <v>455</v>
      </c>
      <c r="Q3759" s="1" t="s">
        <v>59689</v>
      </c>
      <c r="R3759" s="1" t="s">
        <v>59690</v>
      </c>
      <c r="S3759" s="1">
        <v>9745972385</v>
      </c>
      <c r="T3759" s="1" t="s">
        <v>3067</v>
      </c>
      <c r="U3759" s="1" t="s">
        <v>59691</v>
      </c>
      <c r="V3759" s="1">
        <v>9745972386</v>
      </c>
      <c r="W3759" s="1" t="s">
        <v>59692</v>
      </c>
      <c r="X3759" s="1" t="s">
        <v>59693</v>
      </c>
      <c r="Y3759" s="1" t="s">
        <v>701</v>
      </c>
      <c r="Z3759" s="1" t="s">
        <v>130</v>
      </c>
      <c r="AA3759" s="1" t="s">
        <v>59693</v>
      </c>
      <c r="AB3759" s="1" t="s">
        <v>701</v>
      </c>
      <c r="AC3759" s="1" t="s">
        <v>130</v>
      </c>
      <c r="AD3759" s="1" t="s">
        <v>98</v>
      </c>
      <c r="AE3759" s="1" t="s">
        <v>98</v>
      </c>
      <c r="AF3759" s="1" t="s">
        <v>59694</v>
      </c>
      <c r="AG3759" s="1" t="s">
        <v>312</v>
      </c>
      <c r="AH3759" s="1">
        <v>40638</v>
      </c>
      <c r="AI3759" s="1">
        <v>41004</v>
      </c>
      <c r="AJ3759" s="1">
        <v>85.5</v>
      </c>
      <c r="AK3759" s="1">
        <v>9</v>
      </c>
      <c r="AL3759" s="1" t="s">
        <v>59694</v>
      </c>
      <c r="AM3759" s="1" t="s">
        <v>312</v>
      </c>
      <c r="AN3759" s="1"/>
      <c r="AO3759" s="1">
        <v>41369</v>
      </c>
      <c r="AP3759" s="1">
        <v>41785</v>
      </c>
      <c r="AQ3759" s="1">
        <v>79</v>
      </c>
      <c r="AR3759" s="1">
        <v>0</v>
      </c>
      <c r="AS3759" s="1"/>
      <c r="AT3759" s="1"/>
      <c r="AU3759" s="1" t="s">
        <v>98</v>
      </c>
      <c r="AV3759" s="1" t="s">
        <v>98</v>
      </c>
      <c r="AW3759" s="1" t="s">
        <v>98</v>
      </c>
      <c r="AX3759" s="1" t="s">
        <v>98</v>
      </c>
      <c r="AY3759" s="1" t="s">
        <v>20215</v>
      </c>
      <c r="AZ3759" s="1" t="s">
        <v>59695</v>
      </c>
      <c r="BA3759" s="1"/>
      <c r="BB3759" s="1"/>
      <c r="BC3759" s="1">
        <v>41852</v>
      </c>
      <c r="BD3759" s="1">
        <v>43454</v>
      </c>
      <c r="BE3759" s="1">
        <v>61.7</v>
      </c>
      <c r="BF3759" s="1">
        <v>6.17</v>
      </c>
      <c r="BG3759" s="1"/>
      <c r="BH3759" s="1"/>
      <c r="BI3759" s="1"/>
      <c r="BJ3759" s="1"/>
      <c r="BK3759" s="1" t="s">
        <v>98</v>
      </c>
      <c r="BL3759" s="1" t="s">
        <v>98</v>
      </c>
      <c r="BM3759" s="1" t="s">
        <v>98</v>
      </c>
      <c r="BN3759" s="1" t="s">
        <v>98</v>
      </c>
      <c r="BO3759" s="1" t="s">
        <v>59696</v>
      </c>
      <c r="BP3759" s="1" t="s">
        <v>59697</v>
      </c>
      <c r="BQ3759" s="1" t="s">
        <v>4149</v>
      </c>
      <c r="BR3759" s="1" t="s">
        <v>59698</v>
      </c>
      <c r="BS3759" s="1">
        <v>14</v>
      </c>
      <c r="BT3759" s="1"/>
      <c r="BU3759" s="1" t="str">
        <f>HYPERLINK("https://nconnect.nicmar.ac.in/storage/profile/2021-2023_PP21051_165943.jpg","Download")</f>
        <v>0</v>
      </c>
      <c r="BV3759" s="3"/>
      <c r="BW3759" s="3"/>
    </row>
    <row r="3760" spans="1:75">
      <c r="A3760" s="1" t="s">
        <v>59001</v>
      </c>
      <c r="B3760" s="1" t="s">
        <v>51341</v>
      </c>
      <c r="C3760" s="1" t="s">
        <v>59699</v>
      </c>
      <c r="D3760" s="1" t="s">
        <v>35554</v>
      </c>
      <c r="E3760" s="1" t="s">
        <v>2233</v>
      </c>
      <c r="F3760" s="1" t="s">
        <v>59700</v>
      </c>
      <c r="G3760" s="1" t="s">
        <v>59701</v>
      </c>
      <c r="H3760" s="1" t="s">
        <v>59702</v>
      </c>
      <c r="I3760" s="1" t="s">
        <v>59703</v>
      </c>
      <c r="J3760" s="1">
        <v>9404532834</v>
      </c>
      <c r="K3760" s="1" t="s">
        <v>84</v>
      </c>
      <c r="L3760" s="1" t="s">
        <v>59704</v>
      </c>
      <c r="M3760" s="1" t="s">
        <v>86</v>
      </c>
      <c r="N3760" s="1" t="s">
        <v>1184</v>
      </c>
      <c r="O3760" s="1"/>
      <c r="P3760" s="1" t="s">
        <v>481</v>
      </c>
      <c r="Q3760" s="1" t="s">
        <v>59705</v>
      </c>
      <c r="R3760" s="1" t="s">
        <v>59706</v>
      </c>
      <c r="S3760" s="1">
        <v>9423587058</v>
      </c>
      <c r="T3760" s="1" t="s">
        <v>1620</v>
      </c>
      <c r="U3760" s="1" t="s">
        <v>59707</v>
      </c>
      <c r="V3760" s="1">
        <v>9423587058</v>
      </c>
      <c r="W3760" s="1" t="s">
        <v>94</v>
      </c>
      <c r="X3760" s="1" t="s">
        <v>59708</v>
      </c>
      <c r="Y3760" s="1" t="s">
        <v>434</v>
      </c>
      <c r="Z3760" s="1" t="s">
        <v>97</v>
      </c>
      <c r="AA3760" s="1" t="s">
        <v>59709</v>
      </c>
      <c r="AB3760" s="1" t="s">
        <v>196</v>
      </c>
      <c r="AC3760" s="1" t="s">
        <v>97</v>
      </c>
      <c r="AD3760" s="1" t="s">
        <v>98</v>
      </c>
      <c r="AE3760" s="1" t="s">
        <v>98</v>
      </c>
      <c r="AF3760" s="1" t="s">
        <v>59710</v>
      </c>
      <c r="AG3760" s="1" t="s">
        <v>2745</v>
      </c>
      <c r="AH3760" s="1" t="s">
        <v>10573</v>
      </c>
      <c r="AI3760" s="1" t="s">
        <v>4593</v>
      </c>
      <c r="AJ3760" s="1">
        <v>96.91</v>
      </c>
      <c r="AK3760" s="1"/>
      <c r="AL3760" s="1" t="s">
        <v>98</v>
      </c>
      <c r="AM3760" s="1"/>
      <c r="AN3760" s="1"/>
      <c r="AO3760" s="1" t="s">
        <v>98</v>
      </c>
      <c r="AP3760" s="1" t="s">
        <v>98</v>
      </c>
      <c r="AQ3760" s="1"/>
      <c r="AR3760" s="1"/>
      <c r="AS3760" s="1" t="s">
        <v>439</v>
      </c>
      <c r="AT3760" s="1" t="s">
        <v>7863</v>
      </c>
      <c r="AU3760" s="1" t="s">
        <v>1970</v>
      </c>
      <c r="AV3760" s="1" t="s">
        <v>515</v>
      </c>
      <c r="AW3760" s="1">
        <v>72.75</v>
      </c>
      <c r="AX3760" s="1"/>
      <c r="AY3760" s="1" t="s">
        <v>366</v>
      </c>
      <c r="AZ3760" s="1" t="s">
        <v>59711</v>
      </c>
      <c r="BA3760" s="1"/>
      <c r="BB3760" s="1"/>
      <c r="BC3760" s="1" t="s">
        <v>257</v>
      </c>
      <c r="BD3760" s="1" t="s">
        <v>573</v>
      </c>
      <c r="BE3760" s="1">
        <v>67.4</v>
      </c>
      <c r="BF3760" s="1"/>
      <c r="BG3760" s="1"/>
      <c r="BH3760" s="1"/>
      <c r="BI3760" s="1"/>
      <c r="BJ3760" s="1"/>
      <c r="BK3760" s="1" t="s">
        <v>98</v>
      </c>
      <c r="BL3760" s="1" t="s">
        <v>98</v>
      </c>
      <c r="BM3760" s="1" t="s">
        <v>98</v>
      </c>
      <c r="BN3760" s="1" t="s">
        <v>98</v>
      </c>
      <c r="BO3760" s="1" t="s">
        <v>1114</v>
      </c>
      <c r="BP3760" s="1" t="s">
        <v>59712</v>
      </c>
      <c r="BQ3760" s="1" t="s">
        <v>6365</v>
      </c>
      <c r="BR3760" s="1" t="s">
        <v>59713</v>
      </c>
      <c r="BS3760" s="1">
        <v>74</v>
      </c>
      <c r="BT3760" s="1"/>
      <c r="BU3760" s="1" t="str">
        <f>HYPERLINK("https://nconnect.nicmar.ac.in/storage/profile/2021-2023_PP21052_273985.jpg","Download")</f>
        <v>0</v>
      </c>
      <c r="BV3760" s="3"/>
      <c r="BW3760" s="3"/>
    </row>
    <row r="3761" spans="1:75">
      <c r="A3761" s="1" t="s">
        <v>59001</v>
      </c>
      <c r="B3761" s="1" t="s">
        <v>51341</v>
      </c>
      <c r="C3761" s="1" t="s">
        <v>59714</v>
      </c>
      <c r="D3761" s="1" t="s">
        <v>4214</v>
      </c>
      <c r="E3761" s="1"/>
      <c r="F3761" s="1" t="s">
        <v>59715</v>
      </c>
      <c r="G3761" s="1" t="s">
        <v>59716</v>
      </c>
      <c r="H3761" s="1" t="s">
        <v>59717</v>
      </c>
      <c r="I3761" s="1" t="s">
        <v>59718</v>
      </c>
      <c r="J3761" s="1">
        <v>9717043270</v>
      </c>
      <c r="K3761" s="1" t="s">
        <v>84</v>
      </c>
      <c r="L3761" s="1" t="s">
        <v>59719</v>
      </c>
      <c r="M3761" s="1" t="s">
        <v>86</v>
      </c>
      <c r="N3761" s="1" t="s">
        <v>246</v>
      </c>
      <c r="O3761" s="1"/>
      <c r="P3761" s="1" t="s">
        <v>481</v>
      </c>
      <c r="Q3761" s="1" t="s">
        <v>59720</v>
      </c>
      <c r="R3761" s="1" t="s">
        <v>59721</v>
      </c>
      <c r="S3761" s="1">
        <v>9891217972</v>
      </c>
      <c r="T3761" s="1" t="s">
        <v>5548</v>
      </c>
      <c r="U3761" s="1" t="s">
        <v>59722</v>
      </c>
      <c r="V3761" s="1">
        <v>9560263681</v>
      </c>
      <c r="W3761" s="1" t="s">
        <v>161</v>
      </c>
      <c r="X3761" s="1" t="s">
        <v>59723</v>
      </c>
      <c r="Y3761" s="1" t="s">
        <v>16334</v>
      </c>
      <c r="Z3761" s="1" t="s">
        <v>1700</v>
      </c>
      <c r="AA3761" s="1" t="s">
        <v>59723</v>
      </c>
      <c r="AB3761" s="1" t="s">
        <v>16334</v>
      </c>
      <c r="AC3761" s="1" t="s">
        <v>1700</v>
      </c>
      <c r="AD3761" s="1" t="s">
        <v>98</v>
      </c>
      <c r="AE3761" s="1" t="s">
        <v>98</v>
      </c>
      <c r="AF3761" s="1" t="s">
        <v>59724</v>
      </c>
      <c r="AG3761" s="1" t="s">
        <v>312</v>
      </c>
      <c r="AH3761" s="1">
        <v>40664</v>
      </c>
      <c r="AI3761" s="1">
        <v>41053</v>
      </c>
      <c r="AJ3761" s="1">
        <v>79.8</v>
      </c>
      <c r="AK3761" s="1">
        <v>8.4</v>
      </c>
      <c r="AL3761" s="1" t="s">
        <v>59724</v>
      </c>
      <c r="AM3761" s="1" t="s">
        <v>312</v>
      </c>
      <c r="AN3761" s="1"/>
      <c r="AO3761" s="1">
        <v>41365</v>
      </c>
      <c r="AP3761" s="1">
        <v>41787</v>
      </c>
      <c r="AQ3761" s="1">
        <v>74.8</v>
      </c>
      <c r="AR3761" s="1"/>
      <c r="AS3761" s="1"/>
      <c r="AT3761" s="1"/>
      <c r="AU3761" s="1" t="s">
        <v>98</v>
      </c>
      <c r="AV3761" s="1" t="s">
        <v>98</v>
      </c>
      <c r="AW3761" s="1" t="s">
        <v>98</v>
      </c>
      <c r="AX3761" s="1" t="s">
        <v>98</v>
      </c>
      <c r="AY3761" s="1" t="s">
        <v>59725</v>
      </c>
      <c r="AZ3761" s="1" t="s">
        <v>59726</v>
      </c>
      <c r="BA3761" s="1"/>
      <c r="BB3761" s="1"/>
      <c r="BC3761" s="1">
        <v>41871</v>
      </c>
      <c r="BD3761" s="1">
        <v>43325</v>
      </c>
      <c r="BE3761" s="1">
        <v>68</v>
      </c>
      <c r="BF3761" s="1"/>
      <c r="BG3761" s="1"/>
      <c r="BH3761" s="1"/>
      <c r="BI3761" s="1"/>
      <c r="BJ3761" s="1"/>
      <c r="BK3761" s="1" t="s">
        <v>98</v>
      </c>
      <c r="BL3761" s="1" t="s">
        <v>98</v>
      </c>
      <c r="BM3761" s="1" t="s">
        <v>98</v>
      </c>
      <c r="BN3761" s="1" t="s">
        <v>98</v>
      </c>
      <c r="BO3761" s="1" t="s">
        <v>59727</v>
      </c>
      <c r="BP3761" s="1" t="s">
        <v>59728</v>
      </c>
      <c r="BQ3761" s="1" t="s">
        <v>524</v>
      </c>
      <c r="BR3761" s="1" t="s">
        <v>59729</v>
      </c>
      <c r="BS3761" s="1">
        <v>42</v>
      </c>
      <c r="BT3761" s="1"/>
      <c r="BU3761" s="1" t="str">
        <f>HYPERLINK("https://nconnect.nicmar.ac.in/storage/profile/2021-2023_PP21053_329165.jpg","Download")</f>
        <v>0</v>
      </c>
      <c r="BV3761" s="3"/>
      <c r="BW3761" s="3"/>
    </row>
    <row r="3762" spans="1:75">
      <c r="A3762" s="1" t="s">
        <v>59001</v>
      </c>
      <c r="B3762" s="1" t="s">
        <v>51341</v>
      </c>
      <c r="C3762" s="1" t="s">
        <v>59730</v>
      </c>
      <c r="D3762" s="1" t="s">
        <v>1319</v>
      </c>
      <c r="E3762" s="1" t="s">
        <v>9046</v>
      </c>
      <c r="F3762" s="1" t="s">
        <v>59731</v>
      </c>
      <c r="G3762" s="1" t="s">
        <v>59732</v>
      </c>
      <c r="H3762" s="1" t="s">
        <v>59733</v>
      </c>
      <c r="I3762" s="1" t="s">
        <v>59734</v>
      </c>
      <c r="J3762" s="1">
        <v>7016580661</v>
      </c>
      <c r="K3762" s="1" t="s">
        <v>84</v>
      </c>
      <c r="L3762" s="1" t="s">
        <v>59735</v>
      </c>
      <c r="M3762" s="1" t="s">
        <v>86</v>
      </c>
      <c r="N3762" s="1" t="s">
        <v>59736</v>
      </c>
      <c r="O3762" s="1"/>
      <c r="P3762" s="1" t="s">
        <v>455</v>
      </c>
      <c r="Q3762" s="1" t="s">
        <v>59737</v>
      </c>
      <c r="R3762" s="1" t="s">
        <v>59738</v>
      </c>
      <c r="S3762" s="1">
        <v>9429210946</v>
      </c>
      <c r="T3762" s="1" t="s">
        <v>839</v>
      </c>
      <c r="U3762" s="1" t="s">
        <v>59739</v>
      </c>
      <c r="V3762" s="1">
        <v>9510531394</v>
      </c>
      <c r="W3762" s="1" t="s">
        <v>161</v>
      </c>
      <c r="X3762" s="1" t="s">
        <v>59740</v>
      </c>
      <c r="Y3762" s="1" t="s">
        <v>8166</v>
      </c>
      <c r="Z3762" s="1" t="s">
        <v>676</v>
      </c>
      <c r="AA3762" s="1" t="s">
        <v>59740</v>
      </c>
      <c r="AB3762" s="1" t="s">
        <v>8166</v>
      </c>
      <c r="AC3762" s="1" t="s">
        <v>676</v>
      </c>
      <c r="AD3762" s="1" t="s">
        <v>98</v>
      </c>
      <c r="AE3762" s="1" t="s">
        <v>98</v>
      </c>
      <c r="AF3762" s="1" t="s">
        <v>59741</v>
      </c>
      <c r="AG3762" s="1" t="s">
        <v>8746</v>
      </c>
      <c r="AH3762" s="1">
        <v>41490</v>
      </c>
      <c r="AI3762" s="1">
        <v>41727</v>
      </c>
      <c r="AJ3762" s="1">
        <v>84</v>
      </c>
      <c r="AK3762" s="1"/>
      <c r="AL3762" s="1" t="s">
        <v>59741</v>
      </c>
      <c r="AM3762" s="1" t="s">
        <v>8746</v>
      </c>
      <c r="AN3762" s="1"/>
      <c r="AO3762" s="1">
        <v>41856</v>
      </c>
      <c r="AP3762" s="1">
        <v>42460</v>
      </c>
      <c r="AQ3762" s="1">
        <v>60</v>
      </c>
      <c r="AR3762" s="1"/>
      <c r="AS3762" s="1"/>
      <c r="AT3762" s="1"/>
      <c r="AU3762" s="1" t="s">
        <v>98</v>
      </c>
      <c r="AV3762" s="1" t="s">
        <v>98</v>
      </c>
      <c r="AW3762" s="1" t="s">
        <v>98</v>
      </c>
      <c r="AX3762" s="1" t="s">
        <v>98</v>
      </c>
      <c r="AY3762" s="1" t="s">
        <v>55190</v>
      </c>
      <c r="AZ3762" s="1" t="s">
        <v>59742</v>
      </c>
      <c r="BA3762" s="1"/>
      <c r="BB3762" s="1"/>
      <c r="BC3762" s="1">
        <v>42583</v>
      </c>
      <c r="BD3762" s="1">
        <v>43981</v>
      </c>
      <c r="BE3762" s="1">
        <v>61.5</v>
      </c>
      <c r="BF3762" s="1">
        <v>5.98</v>
      </c>
      <c r="BG3762" s="1"/>
      <c r="BH3762" s="1"/>
      <c r="BI3762" s="1"/>
      <c r="BJ3762" s="1"/>
      <c r="BK3762" s="1" t="s">
        <v>98</v>
      </c>
      <c r="BL3762" s="1" t="s">
        <v>98</v>
      </c>
      <c r="BM3762" s="1" t="s">
        <v>98</v>
      </c>
      <c r="BN3762" s="1" t="s">
        <v>98</v>
      </c>
      <c r="BO3762" s="1" t="s">
        <v>59743</v>
      </c>
      <c r="BP3762" s="1" t="s">
        <v>59744</v>
      </c>
      <c r="BQ3762" s="1" t="s">
        <v>1043</v>
      </c>
      <c r="BR3762" s="1" t="s">
        <v>59745</v>
      </c>
      <c r="BS3762" s="1">
        <v>14</v>
      </c>
      <c r="BT3762" s="1"/>
      <c r="BU3762" s="1" t="str">
        <f>HYPERLINK("https://nconnect.nicmar.ac.in/storage/profile/2021-2023_PP21054_647123.jpeg","Download")</f>
        <v>0</v>
      </c>
      <c r="BV3762" s="3"/>
      <c r="BW3762" s="3"/>
    </row>
    <row r="3763" spans="1:75">
      <c r="A3763" s="1" t="s">
        <v>59001</v>
      </c>
      <c r="B3763" s="1" t="s">
        <v>51341</v>
      </c>
      <c r="C3763" s="1" t="s">
        <v>59746</v>
      </c>
      <c r="D3763" s="1" t="s">
        <v>59747</v>
      </c>
      <c r="E3763" s="1"/>
      <c r="F3763" s="1" t="s">
        <v>59748</v>
      </c>
      <c r="G3763" s="1" t="s">
        <v>59749</v>
      </c>
      <c r="H3763" s="1" t="s">
        <v>59750</v>
      </c>
      <c r="I3763" s="1" t="s">
        <v>59751</v>
      </c>
      <c r="J3763" s="1">
        <v>6006426992</v>
      </c>
      <c r="K3763" s="1" t="s">
        <v>153</v>
      </c>
      <c r="L3763" s="1" t="s">
        <v>59752</v>
      </c>
      <c r="M3763" s="1" t="s">
        <v>86</v>
      </c>
      <c r="N3763" s="1" t="s">
        <v>59753</v>
      </c>
      <c r="O3763" s="1"/>
      <c r="P3763" s="1" t="s">
        <v>507</v>
      </c>
      <c r="Q3763" s="1" t="s">
        <v>59754</v>
      </c>
      <c r="R3763" s="1" t="s">
        <v>59755</v>
      </c>
      <c r="S3763" s="1">
        <v>9541308652</v>
      </c>
      <c r="T3763" s="1" t="s">
        <v>98</v>
      </c>
      <c r="U3763" s="1" t="s">
        <v>59756</v>
      </c>
      <c r="V3763" s="1">
        <v>9541308652</v>
      </c>
      <c r="W3763" s="1" t="s">
        <v>539</v>
      </c>
      <c r="X3763" s="1" t="s">
        <v>59757</v>
      </c>
      <c r="Y3763" s="1" t="s">
        <v>59758</v>
      </c>
      <c r="Z3763" s="1" t="s">
        <v>59220</v>
      </c>
      <c r="AA3763" s="1" t="s">
        <v>59759</v>
      </c>
      <c r="AB3763" s="1" t="s">
        <v>196</v>
      </c>
      <c r="AC3763" s="1" t="s">
        <v>97</v>
      </c>
      <c r="AD3763" s="1" t="s">
        <v>98</v>
      </c>
      <c r="AE3763" s="1" t="s">
        <v>98</v>
      </c>
      <c r="AF3763" s="1" t="s">
        <v>59760</v>
      </c>
      <c r="AG3763" s="1" t="s">
        <v>59761</v>
      </c>
      <c r="AH3763" s="1">
        <v>40512</v>
      </c>
      <c r="AI3763" s="1">
        <v>40905</v>
      </c>
      <c r="AJ3763" s="1">
        <v>64.6</v>
      </c>
      <c r="AK3763" s="1">
        <v>6.8</v>
      </c>
      <c r="AL3763" s="1" t="s">
        <v>59762</v>
      </c>
      <c r="AM3763" s="1" t="s">
        <v>59761</v>
      </c>
      <c r="AN3763" s="1"/>
      <c r="AO3763" s="1">
        <v>41593</v>
      </c>
      <c r="AP3763" s="1">
        <v>41656</v>
      </c>
      <c r="AQ3763" s="1">
        <v>62.6</v>
      </c>
      <c r="AR3763" s="1">
        <v>0</v>
      </c>
      <c r="AS3763" s="1"/>
      <c r="AT3763" s="1"/>
      <c r="AU3763" s="1" t="s">
        <v>98</v>
      </c>
      <c r="AV3763" s="1" t="s">
        <v>98</v>
      </c>
      <c r="AW3763" s="1" t="s">
        <v>98</v>
      </c>
      <c r="AX3763" s="1" t="s">
        <v>98</v>
      </c>
      <c r="AY3763" s="1" t="s">
        <v>3713</v>
      </c>
      <c r="AZ3763" s="1" t="s">
        <v>59763</v>
      </c>
      <c r="BA3763" s="1"/>
      <c r="BB3763" s="1"/>
      <c r="BC3763" s="1">
        <v>42201</v>
      </c>
      <c r="BD3763" s="1">
        <v>44145</v>
      </c>
      <c r="BE3763" s="1">
        <v>79.62</v>
      </c>
      <c r="BF3763" s="1">
        <v>0</v>
      </c>
      <c r="BG3763" s="1"/>
      <c r="BH3763" s="1"/>
      <c r="BI3763" s="1"/>
      <c r="BJ3763" s="1"/>
      <c r="BK3763" s="1" t="s">
        <v>98</v>
      </c>
      <c r="BL3763" s="1" t="s">
        <v>98</v>
      </c>
      <c r="BM3763" s="1" t="s">
        <v>98</v>
      </c>
      <c r="BN3763" s="1" t="s">
        <v>98</v>
      </c>
      <c r="BO3763" s="1" t="s">
        <v>28364</v>
      </c>
      <c r="BP3763" s="1"/>
      <c r="BQ3763" s="1"/>
      <c r="BR3763" s="1" t="s">
        <v>59764</v>
      </c>
      <c r="BS3763" s="1">
        <v>15</v>
      </c>
      <c r="BT3763" s="1"/>
      <c r="BU3763" s="1" t="s">
        <v>9653</v>
      </c>
      <c r="BV3763" s="3"/>
      <c r="BW3763" s="3"/>
    </row>
    <row r="3764" spans="1:75">
      <c r="A3764" s="1" t="s">
        <v>59001</v>
      </c>
      <c r="B3764" s="1" t="s">
        <v>51341</v>
      </c>
      <c r="C3764" s="1" t="s">
        <v>59765</v>
      </c>
      <c r="D3764" s="1" t="s">
        <v>897</v>
      </c>
      <c r="E3764" s="1" t="s">
        <v>3639</v>
      </c>
      <c r="F3764" s="1" t="s">
        <v>35297</v>
      </c>
      <c r="G3764" s="1" t="s">
        <v>59766</v>
      </c>
      <c r="H3764" s="1" t="s">
        <v>59767</v>
      </c>
      <c r="I3764" s="1" t="s">
        <v>59768</v>
      </c>
      <c r="J3764" s="1">
        <v>9970079508</v>
      </c>
      <c r="K3764" s="1" t="s">
        <v>84</v>
      </c>
      <c r="L3764" s="1" t="s">
        <v>16636</v>
      </c>
      <c r="M3764" s="1" t="s">
        <v>86</v>
      </c>
      <c r="N3764" s="1" t="s">
        <v>6605</v>
      </c>
      <c r="O3764" s="1"/>
      <c r="P3764" s="1" t="s">
        <v>455</v>
      </c>
      <c r="Q3764" s="1" t="s">
        <v>59769</v>
      </c>
      <c r="R3764" s="1" t="s">
        <v>59770</v>
      </c>
      <c r="S3764" s="1">
        <v>9766613585</v>
      </c>
      <c r="T3764" s="1" t="s">
        <v>539</v>
      </c>
      <c r="U3764" s="1" t="s">
        <v>59771</v>
      </c>
      <c r="V3764" s="1">
        <v>9096874135</v>
      </c>
      <c r="W3764" s="1" t="s">
        <v>539</v>
      </c>
      <c r="X3764" s="1" t="s">
        <v>59772</v>
      </c>
      <c r="Y3764" s="1" t="s">
        <v>56074</v>
      </c>
      <c r="Z3764" s="1" t="s">
        <v>97</v>
      </c>
      <c r="AA3764" s="1" t="s">
        <v>59773</v>
      </c>
      <c r="AB3764" s="1" t="s">
        <v>56074</v>
      </c>
      <c r="AC3764" s="1" t="s">
        <v>97</v>
      </c>
      <c r="AD3764" s="1" t="s">
        <v>98</v>
      </c>
      <c r="AE3764" s="1" t="s">
        <v>98</v>
      </c>
      <c r="AF3764" s="1" t="s">
        <v>59774</v>
      </c>
      <c r="AG3764" s="1" t="s">
        <v>2745</v>
      </c>
      <c r="AH3764" s="1">
        <v>41440</v>
      </c>
      <c r="AI3764" s="1">
        <v>41726</v>
      </c>
      <c r="AJ3764" s="1">
        <v>85.6</v>
      </c>
      <c r="AK3764" s="1"/>
      <c r="AL3764" s="1" t="s">
        <v>59775</v>
      </c>
      <c r="AM3764" s="1" t="s">
        <v>2745</v>
      </c>
      <c r="AN3764" s="1"/>
      <c r="AO3764" s="1">
        <v>42170</v>
      </c>
      <c r="AP3764" s="1">
        <v>42459</v>
      </c>
      <c r="AQ3764" s="1">
        <v>56</v>
      </c>
      <c r="AR3764" s="1"/>
      <c r="AS3764" s="1"/>
      <c r="AT3764" s="1"/>
      <c r="AU3764" s="1" t="s">
        <v>98</v>
      </c>
      <c r="AV3764" s="1" t="s">
        <v>98</v>
      </c>
      <c r="AW3764" s="1" t="s">
        <v>98</v>
      </c>
      <c r="AX3764" s="1" t="s">
        <v>98</v>
      </c>
      <c r="AY3764" s="1" t="s">
        <v>366</v>
      </c>
      <c r="AZ3764" s="1" t="s">
        <v>59776</v>
      </c>
      <c r="BA3764" s="1"/>
      <c r="BB3764" s="1"/>
      <c r="BC3764" s="1">
        <v>42536</v>
      </c>
      <c r="BD3764" s="1">
        <v>43859</v>
      </c>
      <c r="BE3764" s="1">
        <v>66.69</v>
      </c>
      <c r="BF3764" s="1">
        <v>7.02</v>
      </c>
      <c r="BG3764" s="1"/>
      <c r="BH3764" s="1"/>
      <c r="BI3764" s="1"/>
      <c r="BJ3764" s="1"/>
      <c r="BK3764" s="1" t="s">
        <v>98</v>
      </c>
      <c r="BL3764" s="1" t="s">
        <v>98</v>
      </c>
      <c r="BM3764" s="1" t="s">
        <v>98</v>
      </c>
      <c r="BN3764" s="1" t="s">
        <v>98</v>
      </c>
      <c r="BO3764" s="1" t="s">
        <v>59777</v>
      </c>
      <c r="BP3764" s="1"/>
      <c r="BQ3764" s="1"/>
      <c r="BR3764" s="1" t="s">
        <v>59778</v>
      </c>
      <c r="BS3764" s="1">
        <v>87</v>
      </c>
      <c r="BT3764" s="1"/>
      <c r="BU3764" s="1" t="str">
        <f>HYPERLINK("https://nconnect.nicmar.ac.in/storage/profile/2021-2023_PP21057_398754.jpg","Download")</f>
        <v>0</v>
      </c>
      <c r="BV3764" s="3"/>
      <c r="BW3764" s="3"/>
    </row>
    <row r="3765" spans="1:75">
      <c r="A3765" s="1" t="s">
        <v>59001</v>
      </c>
      <c r="B3765" s="1" t="s">
        <v>51341</v>
      </c>
      <c r="C3765" s="1" t="s">
        <v>59779</v>
      </c>
      <c r="D3765" s="1" t="s">
        <v>12637</v>
      </c>
      <c r="E3765" s="1" t="s">
        <v>5230</v>
      </c>
      <c r="F3765" s="1" t="s">
        <v>5151</v>
      </c>
      <c r="G3765" s="1" t="s">
        <v>59780</v>
      </c>
      <c r="H3765" s="1" t="s">
        <v>59781</v>
      </c>
      <c r="I3765" s="1" t="s">
        <v>59782</v>
      </c>
      <c r="J3765" s="1">
        <v>8379046718</v>
      </c>
      <c r="K3765" s="1" t="s">
        <v>84</v>
      </c>
      <c r="L3765" s="1" t="s">
        <v>27763</v>
      </c>
      <c r="M3765" s="1" t="s">
        <v>86</v>
      </c>
      <c r="N3765" s="1" t="s">
        <v>5235</v>
      </c>
      <c r="O3765" s="1"/>
      <c r="P3765" s="1" t="s">
        <v>455</v>
      </c>
      <c r="Q3765" s="1" t="s">
        <v>59783</v>
      </c>
      <c r="R3765" s="1" t="s">
        <v>59784</v>
      </c>
      <c r="S3765" s="1">
        <v>9130009785</v>
      </c>
      <c r="T3765" s="1" t="s">
        <v>839</v>
      </c>
      <c r="U3765" s="1" t="s">
        <v>59785</v>
      </c>
      <c r="V3765" s="1">
        <v>7020794497</v>
      </c>
      <c r="W3765" s="1" t="s">
        <v>161</v>
      </c>
      <c r="X3765" s="1" t="s">
        <v>59786</v>
      </c>
      <c r="Y3765" s="1" t="s">
        <v>196</v>
      </c>
      <c r="Z3765" s="1" t="s">
        <v>97</v>
      </c>
      <c r="AA3765" s="1" t="s">
        <v>59786</v>
      </c>
      <c r="AB3765" s="1" t="s">
        <v>196</v>
      </c>
      <c r="AC3765" s="1" t="s">
        <v>97</v>
      </c>
      <c r="AD3765" s="1" t="s">
        <v>98</v>
      </c>
      <c r="AE3765" s="1" t="s">
        <v>98</v>
      </c>
      <c r="AF3765" s="1" t="s">
        <v>59787</v>
      </c>
      <c r="AG3765" s="1" t="s">
        <v>1968</v>
      </c>
      <c r="AH3765" s="1" t="s">
        <v>1213</v>
      </c>
      <c r="AI3765" s="1" t="s">
        <v>515</v>
      </c>
      <c r="AJ3765" s="1">
        <v>81</v>
      </c>
      <c r="AK3765" s="1"/>
      <c r="AL3765" s="1" t="s">
        <v>13642</v>
      </c>
      <c r="AM3765" s="1" t="s">
        <v>1968</v>
      </c>
      <c r="AN3765" s="1"/>
      <c r="AO3765" s="1" t="s">
        <v>166</v>
      </c>
      <c r="AP3765" s="1" t="s">
        <v>517</v>
      </c>
      <c r="AQ3765" s="1">
        <v>58</v>
      </c>
      <c r="AR3765" s="1"/>
      <c r="AS3765" s="1" t="s">
        <v>439</v>
      </c>
      <c r="AT3765" s="1" t="s">
        <v>59788</v>
      </c>
      <c r="AU3765" s="1" t="s">
        <v>284</v>
      </c>
      <c r="AV3765" s="1" t="s">
        <v>106</v>
      </c>
      <c r="AW3765" s="1">
        <v>85.64</v>
      </c>
      <c r="AX3765" s="1"/>
      <c r="AY3765" s="1" t="s">
        <v>366</v>
      </c>
      <c r="AZ3765" s="1" t="s">
        <v>59210</v>
      </c>
      <c r="BA3765" s="1"/>
      <c r="BB3765" s="1"/>
      <c r="BC3765" s="1" t="s">
        <v>1065</v>
      </c>
      <c r="BD3765" s="1" t="s">
        <v>549</v>
      </c>
      <c r="BE3765" s="1">
        <v>78.67</v>
      </c>
      <c r="BF3765" s="1">
        <v>8.94</v>
      </c>
      <c r="BG3765" s="1"/>
      <c r="BH3765" s="1"/>
      <c r="BI3765" s="1"/>
      <c r="BJ3765" s="1"/>
      <c r="BK3765" s="1" t="s">
        <v>98</v>
      </c>
      <c r="BL3765" s="1" t="s">
        <v>98</v>
      </c>
      <c r="BM3765" s="1" t="s">
        <v>98</v>
      </c>
      <c r="BN3765" s="1" t="s">
        <v>98</v>
      </c>
      <c r="BO3765" s="1" t="s">
        <v>1114</v>
      </c>
      <c r="BP3765" s="1"/>
      <c r="BQ3765" s="1"/>
      <c r="BR3765" s="1" t="s">
        <v>59789</v>
      </c>
      <c r="BS3765" s="1">
        <v>16</v>
      </c>
      <c r="BT3765" s="1"/>
      <c r="BU3765" s="1" t="str">
        <f>HYPERLINK("https://nconnect.nicmar.ac.in/storage/profile/2021-2023_PP21058_795316.jpg","Download")</f>
        <v>0</v>
      </c>
      <c r="BV3765" s="3"/>
      <c r="BW3765" s="3"/>
    </row>
    <row r="3766" spans="1:75">
      <c r="A3766" s="1" t="s">
        <v>59001</v>
      </c>
      <c r="B3766" s="1" t="s">
        <v>51341</v>
      </c>
      <c r="C3766" s="1" t="s">
        <v>59790</v>
      </c>
      <c r="D3766" s="1" t="s">
        <v>12165</v>
      </c>
      <c r="E3766" s="1" t="s">
        <v>7146</v>
      </c>
      <c r="F3766" s="1" t="s">
        <v>59791</v>
      </c>
      <c r="G3766" s="1" t="s">
        <v>59792</v>
      </c>
      <c r="H3766" s="1" t="s">
        <v>59793</v>
      </c>
      <c r="I3766" s="1" t="s">
        <v>59794</v>
      </c>
      <c r="J3766" s="1">
        <v>7218538966</v>
      </c>
      <c r="K3766" s="1" t="s">
        <v>84</v>
      </c>
      <c r="L3766" s="1" t="s">
        <v>31933</v>
      </c>
      <c r="M3766" s="1" t="s">
        <v>86</v>
      </c>
      <c r="N3766" s="1" t="s">
        <v>59795</v>
      </c>
      <c r="O3766" s="1"/>
      <c r="P3766" s="1" t="s">
        <v>507</v>
      </c>
      <c r="Q3766" s="1" t="s">
        <v>59796</v>
      </c>
      <c r="R3766" s="1" t="s">
        <v>59797</v>
      </c>
      <c r="S3766" s="1">
        <v>7066716834</v>
      </c>
      <c r="T3766" s="1" t="s">
        <v>4486</v>
      </c>
      <c r="U3766" s="1" t="s">
        <v>59798</v>
      </c>
      <c r="V3766" s="1">
        <v>9403195005</v>
      </c>
      <c r="W3766" s="1" t="s">
        <v>161</v>
      </c>
      <c r="X3766" s="1" t="s">
        <v>59799</v>
      </c>
      <c r="Y3766" s="1" t="s">
        <v>624</v>
      </c>
      <c r="Z3766" s="1" t="s">
        <v>97</v>
      </c>
      <c r="AA3766" s="1" t="s">
        <v>98</v>
      </c>
      <c r="AB3766" s="1" t="s">
        <v>410</v>
      </c>
      <c r="AC3766" s="1" t="s">
        <v>97</v>
      </c>
      <c r="AD3766" s="1" t="s">
        <v>98</v>
      </c>
      <c r="AE3766" s="1" t="s">
        <v>98</v>
      </c>
      <c r="AF3766" s="1" t="s">
        <v>59800</v>
      </c>
      <c r="AG3766" s="1" t="s">
        <v>312</v>
      </c>
      <c r="AH3766" s="1">
        <v>41434</v>
      </c>
      <c r="AI3766" s="1">
        <v>41778</v>
      </c>
      <c r="AJ3766" s="1">
        <v>77.9</v>
      </c>
      <c r="AK3766" s="1">
        <v>8.2</v>
      </c>
      <c r="AL3766" s="1" t="s">
        <v>55005</v>
      </c>
      <c r="AM3766" s="1" t="s">
        <v>312</v>
      </c>
      <c r="AN3766" s="1"/>
      <c r="AO3766" s="1">
        <v>42177</v>
      </c>
      <c r="AP3766" s="1">
        <v>42479</v>
      </c>
      <c r="AQ3766" s="1">
        <v>82.8</v>
      </c>
      <c r="AR3766" s="1"/>
      <c r="AS3766" s="1"/>
      <c r="AT3766" s="1"/>
      <c r="AU3766" s="1" t="s">
        <v>98</v>
      </c>
      <c r="AV3766" s="1" t="s">
        <v>98</v>
      </c>
      <c r="AW3766" s="1" t="s">
        <v>98</v>
      </c>
      <c r="AX3766" s="1" t="s">
        <v>98</v>
      </c>
      <c r="AY3766" s="1" t="s">
        <v>415</v>
      </c>
      <c r="AZ3766" s="1" t="s">
        <v>26393</v>
      </c>
      <c r="BA3766" s="1"/>
      <c r="BB3766" s="1"/>
      <c r="BC3766" s="1">
        <v>42593</v>
      </c>
      <c r="BD3766" s="1">
        <v>44378</v>
      </c>
      <c r="BE3766" s="1">
        <v>59.7</v>
      </c>
      <c r="BF3766" s="1">
        <v>6.72</v>
      </c>
      <c r="BG3766" s="1"/>
      <c r="BH3766" s="1"/>
      <c r="BI3766" s="1"/>
      <c r="BJ3766" s="1"/>
      <c r="BK3766" s="1" t="s">
        <v>98</v>
      </c>
      <c r="BL3766" s="1" t="s">
        <v>98</v>
      </c>
      <c r="BM3766" s="1" t="s">
        <v>98</v>
      </c>
      <c r="BN3766" s="1" t="s">
        <v>98</v>
      </c>
      <c r="BO3766" s="1" t="s">
        <v>59801</v>
      </c>
      <c r="BP3766" s="1"/>
      <c r="BQ3766" s="1"/>
      <c r="BR3766" s="1" t="s">
        <v>59802</v>
      </c>
      <c r="BS3766" s="1">
        <v>25</v>
      </c>
      <c r="BT3766" s="1"/>
      <c r="BU3766" s="1" t="str">
        <f>HYPERLINK("https://nconnect.nicmar.ac.in/storage/profile/2021-2023_PP21059_938524.jpg","Download")</f>
        <v>0</v>
      </c>
      <c r="BV3766" s="3"/>
      <c r="BW3766" s="3"/>
    </row>
    <row r="3767" spans="1:75">
      <c r="A3767" s="1" t="s">
        <v>59001</v>
      </c>
      <c r="B3767" s="1" t="s">
        <v>51341</v>
      </c>
      <c r="C3767" s="1" t="s">
        <v>59803</v>
      </c>
      <c r="D3767" s="1" t="s">
        <v>59804</v>
      </c>
      <c r="E3767" s="1" t="s">
        <v>20601</v>
      </c>
      <c r="F3767" s="1" t="s">
        <v>59805</v>
      </c>
      <c r="G3767" s="1" t="s">
        <v>59806</v>
      </c>
      <c r="H3767" s="1" t="s">
        <v>59807</v>
      </c>
      <c r="I3767" s="1" t="s">
        <v>59808</v>
      </c>
      <c r="J3767" s="1">
        <v>9495647384</v>
      </c>
      <c r="K3767" s="1" t="s">
        <v>84</v>
      </c>
      <c r="L3767" s="1" t="s">
        <v>29832</v>
      </c>
      <c r="M3767" s="1" t="s">
        <v>86</v>
      </c>
      <c r="N3767" s="1" t="s">
        <v>2699</v>
      </c>
      <c r="O3767" s="1"/>
      <c r="P3767" s="1" t="s">
        <v>507</v>
      </c>
      <c r="Q3767" s="1" t="s">
        <v>59809</v>
      </c>
      <c r="R3767" s="1" t="s">
        <v>59810</v>
      </c>
      <c r="S3767" s="1">
        <v>9447057384</v>
      </c>
      <c r="T3767" s="1" t="s">
        <v>59811</v>
      </c>
      <c r="U3767" s="1" t="s">
        <v>59812</v>
      </c>
      <c r="V3767" s="1">
        <v>9446309385</v>
      </c>
      <c r="W3767" s="1" t="s">
        <v>94</v>
      </c>
      <c r="X3767" s="1" t="s">
        <v>59813</v>
      </c>
      <c r="Y3767" s="1" t="s">
        <v>59814</v>
      </c>
      <c r="Z3767" s="1" t="s">
        <v>130</v>
      </c>
      <c r="AA3767" s="1" t="s">
        <v>59813</v>
      </c>
      <c r="AB3767" s="1" t="s">
        <v>59814</v>
      </c>
      <c r="AC3767" s="1" t="s">
        <v>130</v>
      </c>
      <c r="AD3767" s="1" t="s">
        <v>98</v>
      </c>
      <c r="AE3767" s="1" t="s">
        <v>98</v>
      </c>
      <c r="AF3767" s="1" t="s">
        <v>6322</v>
      </c>
      <c r="AG3767" s="1" t="s">
        <v>312</v>
      </c>
      <c r="AH3767" s="1">
        <v>41061</v>
      </c>
      <c r="AI3767" s="1">
        <v>41420</v>
      </c>
      <c r="AJ3767" s="1">
        <v>91.2</v>
      </c>
      <c r="AK3767" s="1">
        <v>9.6</v>
      </c>
      <c r="AL3767" s="1" t="s">
        <v>6322</v>
      </c>
      <c r="AM3767" s="1" t="s">
        <v>312</v>
      </c>
      <c r="AN3767" s="1"/>
      <c r="AO3767" s="1">
        <v>41791</v>
      </c>
      <c r="AP3767" s="1">
        <v>42149</v>
      </c>
      <c r="AQ3767" s="1">
        <v>84</v>
      </c>
      <c r="AR3767" s="1"/>
      <c r="AS3767" s="1"/>
      <c r="AT3767" s="1"/>
      <c r="AU3767" s="1" t="s">
        <v>98</v>
      </c>
      <c r="AV3767" s="1" t="s">
        <v>98</v>
      </c>
      <c r="AW3767" s="1" t="s">
        <v>98</v>
      </c>
      <c r="AX3767" s="1" t="s">
        <v>98</v>
      </c>
      <c r="AY3767" s="1" t="s">
        <v>137</v>
      </c>
      <c r="AZ3767" s="1" t="s">
        <v>47612</v>
      </c>
      <c r="BA3767" s="1"/>
      <c r="BB3767" s="1"/>
      <c r="BC3767" s="1">
        <v>42217</v>
      </c>
      <c r="BD3767" s="1">
        <v>43662</v>
      </c>
      <c r="BE3767" s="1">
        <v>74.75</v>
      </c>
      <c r="BF3767" s="1">
        <v>7.85</v>
      </c>
      <c r="BG3767" s="1"/>
      <c r="BH3767" s="1"/>
      <c r="BI3767" s="1"/>
      <c r="BJ3767" s="1"/>
      <c r="BK3767" s="1" t="s">
        <v>98</v>
      </c>
      <c r="BL3767" s="1" t="s">
        <v>98</v>
      </c>
      <c r="BM3767" s="1" t="s">
        <v>98</v>
      </c>
      <c r="BN3767" s="1" t="s">
        <v>98</v>
      </c>
      <c r="BO3767" s="1"/>
      <c r="BP3767" s="1"/>
      <c r="BQ3767" s="1"/>
      <c r="BR3767" s="1" t="s">
        <v>59815</v>
      </c>
      <c r="BS3767" s="1">
        <v>22</v>
      </c>
      <c r="BT3767" s="1"/>
      <c r="BU3767" s="1" t="str">
        <f>HYPERLINK("https://nconnect.nicmar.ac.in/storage/profile/2021-2023_PP21060_715963.jpg","Download")</f>
        <v>0</v>
      </c>
      <c r="BV3767" s="3"/>
      <c r="BW3767" s="3"/>
    </row>
    <row r="3768" spans="1:75">
      <c r="A3768" s="1" t="s">
        <v>59001</v>
      </c>
      <c r="B3768" s="1" t="s">
        <v>51341</v>
      </c>
      <c r="C3768" s="1" t="s">
        <v>59816</v>
      </c>
      <c r="D3768" s="1" t="s">
        <v>32181</v>
      </c>
      <c r="E3768" s="1" t="s">
        <v>239</v>
      </c>
      <c r="F3768" s="1" t="s">
        <v>8253</v>
      </c>
      <c r="G3768" s="1" t="s">
        <v>59817</v>
      </c>
      <c r="H3768" s="1" t="s">
        <v>59818</v>
      </c>
      <c r="I3768" s="1" t="s">
        <v>59819</v>
      </c>
      <c r="J3768" s="1">
        <v>8105238468</v>
      </c>
      <c r="K3768" s="1" t="s">
        <v>84</v>
      </c>
      <c r="L3768" s="1" t="s">
        <v>32167</v>
      </c>
      <c r="M3768" s="1" t="s">
        <v>86</v>
      </c>
      <c r="N3768" s="1" t="s">
        <v>59820</v>
      </c>
      <c r="O3768" s="1"/>
      <c r="P3768" s="1" t="s">
        <v>507</v>
      </c>
      <c r="Q3768" s="1" t="s">
        <v>59821</v>
      </c>
      <c r="R3768" s="1" t="s">
        <v>59822</v>
      </c>
      <c r="S3768" s="1">
        <v>9309487774</v>
      </c>
      <c r="T3768" s="1" t="s">
        <v>92</v>
      </c>
      <c r="U3768" s="1" t="s">
        <v>59823</v>
      </c>
      <c r="V3768" s="1">
        <v>8149070935</v>
      </c>
      <c r="W3768" s="1" t="s">
        <v>541</v>
      </c>
      <c r="X3768" s="1" t="s">
        <v>59824</v>
      </c>
      <c r="Y3768" s="1" t="s">
        <v>59825</v>
      </c>
      <c r="Z3768" s="1" t="s">
        <v>97</v>
      </c>
      <c r="AA3768" s="1" t="s">
        <v>59824</v>
      </c>
      <c r="AB3768" s="1" t="s">
        <v>59825</v>
      </c>
      <c r="AC3768" s="1" t="s">
        <v>97</v>
      </c>
      <c r="AD3768" s="1" t="s">
        <v>98</v>
      </c>
      <c r="AE3768" s="1" t="s">
        <v>98</v>
      </c>
      <c r="AF3768" s="1" t="s">
        <v>59826</v>
      </c>
      <c r="AG3768" s="1" t="s">
        <v>1968</v>
      </c>
      <c r="AH3768" s="1">
        <v>41087</v>
      </c>
      <c r="AI3768" s="1">
        <v>41360</v>
      </c>
      <c r="AJ3768" s="1">
        <v>88.73</v>
      </c>
      <c r="AK3768" s="1">
        <v>0</v>
      </c>
      <c r="AL3768" s="1" t="s">
        <v>59827</v>
      </c>
      <c r="AM3768" s="1" t="s">
        <v>1968</v>
      </c>
      <c r="AN3768" s="1"/>
      <c r="AO3768" s="1">
        <v>41792</v>
      </c>
      <c r="AP3768" s="1">
        <v>42060</v>
      </c>
      <c r="AQ3768" s="1">
        <v>57.54</v>
      </c>
      <c r="AR3768" s="1">
        <v>0</v>
      </c>
      <c r="AS3768" s="1"/>
      <c r="AT3768" s="1"/>
      <c r="AU3768" s="1" t="s">
        <v>98</v>
      </c>
      <c r="AV3768" s="1" t="s">
        <v>98</v>
      </c>
      <c r="AW3768" s="1" t="s">
        <v>98</v>
      </c>
      <c r="AX3768" s="1" t="s">
        <v>98</v>
      </c>
      <c r="AY3768" s="1" t="s">
        <v>59828</v>
      </c>
      <c r="AZ3768" s="1" t="s">
        <v>59829</v>
      </c>
      <c r="BA3768" s="1"/>
      <c r="BB3768" s="1"/>
      <c r="BC3768" s="1">
        <v>42218</v>
      </c>
      <c r="BD3768" s="1">
        <v>44063</v>
      </c>
      <c r="BE3768" s="1">
        <v>48.6</v>
      </c>
      <c r="BF3768" s="1">
        <v>5.61</v>
      </c>
      <c r="BG3768" s="1"/>
      <c r="BH3768" s="1"/>
      <c r="BI3768" s="1"/>
      <c r="BJ3768" s="1"/>
      <c r="BK3768" s="1" t="s">
        <v>98</v>
      </c>
      <c r="BL3768" s="1" t="s">
        <v>98</v>
      </c>
      <c r="BM3768" s="1" t="s">
        <v>98</v>
      </c>
      <c r="BN3768" s="1" t="s">
        <v>98</v>
      </c>
      <c r="BO3768" s="1" t="s">
        <v>849</v>
      </c>
      <c r="BP3768" s="1"/>
      <c r="BQ3768" s="1"/>
      <c r="BR3768" s="1" t="s">
        <v>59830</v>
      </c>
      <c r="BS3768" s="1">
        <v>23</v>
      </c>
      <c r="BT3768" s="1"/>
      <c r="BU3768" s="1" t="str">
        <f>HYPERLINK("https://nconnect.nicmar.ac.in/storage/profile/2021-2023_PP21061_863175.jpg","Download")</f>
        <v>0</v>
      </c>
      <c r="BV3768" s="3"/>
      <c r="BW3768" s="3"/>
    </row>
    <row r="3769" spans="1:75">
      <c r="A3769" s="1" t="s">
        <v>59001</v>
      </c>
      <c r="B3769" s="1" t="s">
        <v>51341</v>
      </c>
      <c r="C3769" s="1" t="s">
        <v>59831</v>
      </c>
      <c r="D3769" s="1" t="s">
        <v>7146</v>
      </c>
      <c r="E3769" s="1"/>
      <c r="F3769" s="1" t="s">
        <v>58695</v>
      </c>
      <c r="G3769" s="1" t="s">
        <v>59832</v>
      </c>
      <c r="H3769" s="1" t="s">
        <v>59833</v>
      </c>
      <c r="I3769" s="1" t="s">
        <v>59834</v>
      </c>
      <c r="J3769" s="1">
        <v>8897190851</v>
      </c>
      <c r="K3769" s="1" t="s">
        <v>84</v>
      </c>
      <c r="L3769" s="1" t="s">
        <v>59835</v>
      </c>
      <c r="M3769" s="1" t="s">
        <v>86</v>
      </c>
      <c r="N3769" s="1" t="s">
        <v>54841</v>
      </c>
      <c r="O3769" s="1"/>
      <c r="P3769" s="1" t="s">
        <v>455</v>
      </c>
      <c r="Q3769" s="1" t="s">
        <v>59836</v>
      </c>
      <c r="R3769" s="1" t="s">
        <v>59837</v>
      </c>
      <c r="S3769" s="1">
        <v>9390802777</v>
      </c>
      <c r="T3769" s="1" t="s">
        <v>8332</v>
      </c>
      <c r="U3769" s="1" t="s">
        <v>59838</v>
      </c>
      <c r="V3769" s="1">
        <v>8978875168</v>
      </c>
      <c r="W3769" s="1" t="s">
        <v>94</v>
      </c>
      <c r="X3769" s="1" t="s">
        <v>59839</v>
      </c>
      <c r="Y3769" s="1" t="s">
        <v>1454</v>
      </c>
      <c r="Z3769" s="1" t="s">
        <v>281</v>
      </c>
      <c r="AA3769" s="1" t="s">
        <v>59839</v>
      </c>
      <c r="AB3769" s="1" t="s">
        <v>1454</v>
      </c>
      <c r="AC3769" s="1" t="s">
        <v>281</v>
      </c>
      <c r="AD3769" s="1" t="s">
        <v>98</v>
      </c>
      <c r="AE3769" s="1" t="s">
        <v>98</v>
      </c>
      <c r="AF3769" s="1" t="s">
        <v>59840</v>
      </c>
      <c r="AG3769" s="1" t="s">
        <v>312</v>
      </c>
      <c r="AH3769" s="1">
        <v>41444</v>
      </c>
      <c r="AI3769" s="1">
        <v>41778</v>
      </c>
      <c r="AJ3769" s="1">
        <v>87.4</v>
      </c>
      <c r="AK3769" s="1">
        <v>9.2</v>
      </c>
      <c r="AL3769" s="1" t="s">
        <v>59841</v>
      </c>
      <c r="AM3769" s="1" t="s">
        <v>312</v>
      </c>
      <c r="AN3769" s="1"/>
      <c r="AO3769" s="1">
        <v>42178</v>
      </c>
      <c r="AP3769" s="1">
        <v>42479</v>
      </c>
      <c r="AQ3769" s="1">
        <v>91.8</v>
      </c>
      <c r="AR3769" s="1"/>
      <c r="AS3769" s="1"/>
      <c r="AT3769" s="1"/>
      <c r="AU3769" s="1" t="s">
        <v>98</v>
      </c>
      <c r="AV3769" s="1" t="s">
        <v>98</v>
      </c>
      <c r="AW3769" s="1" t="s">
        <v>98</v>
      </c>
      <c r="AX3769" s="1" t="s">
        <v>98</v>
      </c>
      <c r="AY3769" s="1" t="s">
        <v>42432</v>
      </c>
      <c r="AZ3769" s="1" t="s">
        <v>42432</v>
      </c>
      <c r="BA3769" s="1"/>
      <c r="BB3769" s="1"/>
      <c r="BC3769" s="1">
        <v>42541</v>
      </c>
      <c r="BD3769" s="1">
        <v>44008</v>
      </c>
      <c r="BE3769" s="1">
        <v>73.24</v>
      </c>
      <c r="BF3769" s="1">
        <v>7.71</v>
      </c>
      <c r="BG3769" s="1"/>
      <c r="BH3769" s="1"/>
      <c r="BI3769" s="1"/>
      <c r="BJ3769" s="1"/>
      <c r="BK3769" s="1" t="s">
        <v>98</v>
      </c>
      <c r="BL3769" s="1" t="s">
        <v>98</v>
      </c>
      <c r="BM3769" s="1" t="s">
        <v>98</v>
      </c>
      <c r="BN3769" s="1" t="s">
        <v>98</v>
      </c>
      <c r="BO3769" s="1" t="s">
        <v>28364</v>
      </c>
      <c r="BP3769" s="1" t="s">
        <v>59842</v>
      </c>
      <c r="BQ3769" s="1" t="s">
        <v>658</v>
      </c>
      <c r="BR3769" s="1" t="s">
        <v>59843</v>
      </c>
      <c r="BS3769" s="1">
        <v>13</v>
      </c>
      <c r="BT3769" s="1"/>
      <c r="BU3769" s="1" t="str">
        <f>HYPERLINK("https://nconnect.nicmar.ac.in/storage/profile/2021-2023_PP21062_385617.jpg","Download")</f>
        <v>0</v>
      </c>
      <c r="BV3769" s="3"/>
      <c r="BW3769" s="3"/>
    </row>
    <row r="3770" spans="1:75">
      <c r="A3770" s="1" t="s">
        <v>59001</v>
      </c>
      <c r="B3770" s="1" t="s">
        <v>51341</v>
      </c>
      <c r="C3770" s="1" t="s">
        <v>59844</v>
      </c>
      <c r="D3770" s="1" t="s">
        <v>8341</v>
      </c>
      <c r="E3770" s="1"/>
      <c r="F3770" s="1" t="s">
        <v>4926</v>
      </c>
      <c r="G3770" s="1" t="s">
        <v>59845</v>
      </c>
      <c r="H3770" s="1" t="s">
        <v>59846</v>
      </c>
      <c r="I3770" s="1" t="s">
        <v>59847</v>
      </c>
      <c r="J3770" s="1">
        <v>7609939870</v>
      </c>
      <c r="K3770" s="1" t="s">
        <v>153</v>
      </c>
      <c r="L3770" s="1" t="s">
        <v>59394</v>
      </c>
      <c r="M3770" s="1" t="s">
        <v>86</v>
      </c>
      <c r="N3770" s="1" t="s">
        <v>246</v>
      </c>
      <c r="O3770" s="1"/>
      <c r="P3770" s="1" t="s">
        <v>481</v>
      </c>
      <c r="Q3770" s="1" t="s">
        <v>59848</v>
      </c>
      <c r="R3770" s="1" t="s">
        <v>59849</v>
      </c>
      <c r="S3770" s="1">
        <v>9470388280</v>
      </c>
      <c r="T3770" s="1" t="s">
        <v>539</v>
      </c>
      <c r="U3770" s="1" t="s">
        <v>59850</v>
      </c>
      <c r="V3770" s="1">
        <v>8409169598</v>
      </c>
      <c r="W3770" s="1" t="s">
        <v>94</v>
      </c>
      <c r="X3770" s="1" t="s">
        <v>59851</v>
      </c>
      <c r="Y3770" s="1" t="s">
        <v>53362</v>
      </c>
      <c r="Z3770" s="1" t="s">
        <v>2955</v>
      </c>
      <c r="AA3770" s="1" t="s">
        <v>59851</v>
      </c>
      <c r="AB3770" s="1" t="s">
        <v>53362</v>
      </c>
      <c r="AC3770" s="1" t="s">
        <v>2955</v>
      </c>
      <c r="AD3770" s="1" t="s">
        <v>98</v>
      </c>
      <c r="AE3770" s="1" t="s">
        <v>98</v>
      </c>
      <c r="AF3770" s="1" t="s">
        <v>59852</v>
      </c>
      <c r="AG3770" s="1" t="s">
        <v>59853</v>
      </c>
      <c r="AH3770" s="1">
        <v>41001</v>
      </c>
      <c r="AI3770" s="1">
        <v>41410</v>
      </c>
      <c r="AJ3770" s="1">
        <v>76.4</v>
      </c>
      <c r="AK3770" s="1" t="s">
        <v>98</v>
      </c>
      <c r="AL3770" s="1" t="s">
        <v>59854</v>
      </c>
      <c r="AM3770" s="1" t="s">
        <v>59853</v>
      </c>
      <c r="AN3770" s="1"/>
      <c r="AO3770" s="1">
        <v>41425</v>
      </c>
      <c r="AP3770" s="1">
        <v>42521</v>
      </c>
      <c r="AQ3770" s="1">
        <v>74</v>
      </c>
      <c r="AR3770" s="1" t="s">
        <v>98</v>
      </c>
      <c r="AS3770" s="1" t="s">
        <v>98</v>
      </c>
      <c r="AT3770" s="1" t="s">
        <v>98</v>
      </c>
      <c r="AU3770" s="1" t="s">
        <v>98</v>
      </c>
      <c r="AV3770" s="1" t="s">
        <v>98</v>
      </c>
      <c r="AW3770" s="1" t="s">
        <v>98</v>
      </c>
      <c r="AX3770" s="1" t="s">
        <v>98</v>
      </c>
      <c r="AY3770" s="1" t="s">
        <v>59855</v>
      </c>
      <c r="AZ3770" s="1" t="s">
        <v>54123</v>
      </c>
      <c r="BA3770" s="1"/>
      <c r="BB3770" s="1"/>
      <c r="BC3770" s="1">
        <v>42583</v>
      </c>
      <c r="BD3770" s="1">
        <v>44033</v>
      </c>
      <c r="BE3770" s="1">
        <v>95.4</v>
      </c>
      <c r="BF3770" s="1">
        <v>9.54</v>
      </c>
      <c r="BG3770" s="1" t="s">
        <v>98</v>
      </c>
      <c r="BH3770" s="1"/>
      <c r="BI3770" s="1"/>
      <c r="BJ3770" s="1"/>
      <c r="BK3770" s="1" t="s">
        <v>98</v>
      </c>
      <c r="BL3770" s="1" t="s">
        <v>98</v>
      </c>
      <c r="BM3770" s="1" t="s">
        <v>98</v>
      </c>
      <c r="BN3770" s="1" t="s">
        <v>98</v>
      </c>
      <c r="BO3770" s="1"/>
      <c r="BP3770" s="1" t="s">
        <v>59856</v>
      </c>
      <c r="BQ3770" s="1" t="s">
        <v>1070</v>
      </c>
      <c r="BR3770" s="1" t="s">
        <v>59857</v>
      </c>
      <c r="BS3770" s="1">
        <v>7</v>
      </c>
      <c r="BT3770" s="1"/>
      <c r="BU3770" s="1" t="str">
        <f>HYPERLINK("https://nconnect.nicmar.ac.in/storage/profile/2021-2023_PP21063_574682.jpg","Download")</f>
        <v>0</v>
      </c>
      <c r="BV3770" s="3"/>
      <c r="BW3770" s="3"/>
    </row>
    <row r="3771" spans="1:75">
      <c r="A3771" s="1" t="s">
        <v>59001</v>
      </c>
      <c r="B3771" s="1" t="s">
        <v>51341</v>
      </c>
      <c r="C3771" s="1" t="s">
        <v>59858</v>
      </c>
      <c r="D3771" s="1" t="s">
        <v>20600</v>
      </c>
      <c r="E3771" s="1" t="s">
        <v>2233</v>
      </c>
      <c r="F3771" s="1" t="s">
        <v>59859</v>
      </c>
      <c r="G3771" s="1" t="s">
        <v>59860</v>
      </c>
      <c r="H3771" s="1" t="s">
        <v>59861</v>
      </c>
      <c r="I3771" s="1" t="s">
        <v>59862</v>
      </c>
      <c r="J3771" s="1">
        <v>9562753918</v>
      </c>
      <c r="K3771" s="1" t="s">
        <v>84</v>
      </c>
      <c r="L3771" s="1" t="s">
        <v>59863</v>
      </c>
      <c r="M3771" s="1" t="s">
        <v>86</v>
      </c>
      <c r="N3771" s="1" t="s">
        <v>2699</v>
      </c>
      <c r="O3771" s="1"/>
      <c r="P3771" s="1" t="s">
        <v>481</v>
      </c>
      <c r="Q3771" s="1" t="s">
        <v>59864</v>
      </c>
      <c r="R3771" s="1" t="s">
        <v>59865</v>
      </c>
      <c r="S3771" s="1">
        <v>9447126424</v>
      </c>
      <c r="T3771" s="1" t="s">
        <v>92</v>
      </c>
      <c r="U3771" s="1" t="s">
        <v>59866</v>
      </c>
      <c r="V3771" s="1">
        <v>9495926424</v>
      </c>
      <c r="W3771" s="1" t="s">
        <v>94</v>
      </c>
      <c r="X3771" s="1" t="s">
        <v>59867</v>
      </c>
      <c r="Y3771" s="1" t="s">
        <v>4916</v>
      </c>
      <c r="Z3771" s="1" t="s">
        <v>130</v>
      </c>
      <c r="AA3771" s="1" t="s">
        <v>59867</v>
      </c>
      <c r="AB3771" s="1" t="s">
        <v>4916</v>
      </c>
      <c r="AC3771" s="1" t="s">
        <v>130</v>
      </c>
      <c r="AD3771" s="1" t="s">
        <v>98</v>
      </c>
      <c r="AE3771" s="1" t="s">
        <v>98</v>
      </c>
      <c r="AF3771" s="1" t="s">
        <v>59868</v>
      </c>
      <c r="AG3771" s="1" t="s">
        <v>312</v>
      </c>
      <c r="AH3771" s="1">
        <v>41412</v>
      </c>
      <c r="AI3771" s="1">
        <v>41778</v>
      </c>
      <c r="AJ3771" s="1">
        <v>79.8</v>
      </c>
      <c r="AK3771" s="1">
        <v>8.4</v>
      </c>
      <c r="AL3771" s="1" t="s">
        <v>59868</v>
      </c>
      <c r="AM3771" s="1" t="s">
        <v>312</v>
      </c>
      <c r="AN3771" s="1"/>
      <c r="AO3771" s="1">
        <v>42139</v>
      </c>
      <c r="AP3771" s="1">
        <v>42511</v>
      </c>
      <c r="AQ3771" s="1">
        <v>66.4</v>
      </c>
      <c r="AR3771" s="1"/>
      <c r="AS3771" s="1"/>
      <c r="AT3771" s="1"/>
      <c r="AU3771" s="1" t="s">
        <v>98</v>
      </c>
      <c r="AV3771" s="1" t="s">
        <v>98</v>
      </c>
      <c r="AW3771" s="1" t="s">
        <v>98</v>
      </c>
      <c r="AX3771" s="1" t="s">
        <v>98</v>
      </c>
      <c r="AY3771" s="1" t="s">
        <v>137</v>
      </c>
      <c r="AZ3771" s="1" t="s">
        <v>54776</v>
      </c>
      <c r="BA3771" s="1"/>
      <c r="BB3771" s="1"/>
      <c r="BC3771" s="1">
        <v>42551</v>
      </c>
      <c r="BD3771" s="1">
        <v>44097</v>
      </c>
      <c r="BE3771" s="1">
        <v>61.05</v>
      </c>
      <c r="BF3771" s="1">
        <v>6.48</v>
      </c>
      <c r="BG3771" s="1"/>
      <c r="BH3771" s="1"/>
      <c r="BI3771" s="1"/>
      <c r="BJ3771" s="1"/>
      <c r="BK3771" s="1" t="s">
        <v>98</v>
      </c>
      <c r="BL3771" s="1" t="s">
        <v>98</v>
      </c>
      <c r="BM3771" s="1" t="s">
        <v>98</v>
      </c>
      <c r="BN3771" s="1" t="s">
        <v>98</v>
      </c>
      <c r="BO3771" s="1" t="s">
        <v>25463</v>
      </c>
      <c r="BP3771" s="1"/>
      <c r="BQ3771" s="1"/>
      <c r="BR3771" s="1" t="s">
        <v>59869</v>
      </c>
      <c r="BS3771" s="1">
        <v>24</v>
      </c>
      <c r="BT3771" s="1"/>
      <c r="BU3771" s="1" t="str">
        <f>HYPERLINK("https://nconnect.nicmar.ac.in/storage/profile/2021-2023_PP21064_479261.jpg","Download")</f>
        <v>0</v>
      </c>
      <c r="BV3771" s="3"/>
      <c r="BW3771" s="3"/>
    </row>
    <row r="3772" spans="1:75">
      <c r="A3772" s="1" t="s">
        <v>59001</v>
      </c>
      <c r="B3772" s="1" t="s">
        <v>51341</v>
      </c>
      <c r="C3772" s="1" t="s">
        <v>59870</v>
      </c>
      <c r="D3772" s="1" t="s">
        <v>148</v>
      </c>
      <c r="E3772" s="1" t="s">
        <v>149</v>
      </c>
      <c r="F3772" s="1" t="s">
        <v>59871</v>
      </c>
      <c r="G3772" s="1" t="s">
        <v>59872</v>
      </c>
      <c r="H3772" s="1" t="s">
        <v>59873</v>
      </c>
      <c r="I3772" s="1" t="s">
        <v>59874</v>
      </c>
      <c r="J3772" s="1">
        <v>9591963722</v>
      </c>
      <c r="K3772" s="1" t="s">
        <v>153</v>
      </c>
      <c r="L3772" s="1" t="s">
        <v>59875</v>
      </c>
      <c r="M3772" s="1" t="s">
        <v>86</v>
      </c>
      <c r="N3772" s="1" t="s">
        <v>59876</v>
      </c>
      <c r="O3772" s="1"/>
      <c r="P3772" s="1" t="s">
        <v>481</v>
      </c>
      <c r="Q3772" s="1" t="s">
        <v>59877</v>
      </c>
      <c r="R3772" s="1" t="s">
        <v>59878</v>
      </c>
      <c r="S3772" s="1">
        <v>9739403751</v>
      </c>
      <c r="T3772" s="1" t="s">
        <v>34987</v>
      </c>
      <c r="U3772" s="1" t="s">
        <v>59879</v>
      </c>
      <c r="V3772" s="1">
        <v>9880591621</v>
      </c>
      <c r="W3772" s="1" t="s">
        <v>94</v>
      </c>
      <c r="X3772" s="1" t="s">
        <v>59880</v>
      </c>
      <c r="Y3772" s="1" t="s">
        <v>51747</v>
      </c>
      <c r="Z3772" s="1" t="s">
        <v>1210</v>
      </c>
      <c r="AA3772" s="1" t="s">
        <v>59880</v>
      </c>
      <c r="AB3772" s="1" t="s">
        <v>51747</v>
      </c>
      <c r="AC3772" s="1" t="s">
        <v>1210</v>
      </c>
      <c r="AD3772" s="1" t="s">
        <v>98</v>
      </c>
      <c r="AE3772" s="1" t="s">
        <v>98</v>
      </c>
      <c r="AF3772" s="1" t="s">
        <v>59881</v>
      </c>
      <c r="AG3772" s="1" t="s">
        <v>1946</v>
      </c>
      <c r="AH3772" s="1" t="s">
        <v>133</v>
      </c>
      <c r="AI3772" s="1" t="s">
        <v>3421</v>
      </c>
      <c r="AJ3772" s="1">
        <v>88.96</v>
      </c>
      <c r="AK3772" s="1">
        <v>0</v>
      </c>
      <c r="AL3772" s="1" t="s">
        <v>35039</v>
      </c>
      <c r="AM3772" s="1" t="s">
        <v>1946</v>
      </c>
      <c r="AN3772" s="1"/>
      <c r="AO3772" s="1" t="s">
        <v>1214</v>
      </c>
      <c r="AP3772" s="1" t="s">
        <v>102</v>
      </c>
      <c r="AQ3772" s="1">
        <v>81.66</v>
      </c>
      <c r="AR3772" s="1">
        <v>0</v>
      </c>
      <c r="AS3772" s="1"/>
      <c r="AT3772" s="1"/>
      <c r="AU3772" s="1" t="s">
        <v>98</v>
      </c>
      <c r="AV3772" s="1" t="s">
        <v>98</v>
      </c>
      <c r="AW3772" s="1" t="s">
        <v>98</v>
      </c>
      <c r="AX3772" s="1" t="s">
        <v>98</v>
      </c>
      <c r="AY3772" s="1" t="s">
        <v>1217</v>
      </c>
      <c r="AZ3772" s="1" t="s">
        <v>35041</v>
      </c>
      <c r="BA3772" s="1"/>
      <c r="BB3772" s="1"/>
      <c r="BC3772" s="1" t="s">
        <v>166</v>
      </c>
      <c r="BD3772" s="1" t="s">
        <v>438</v>
      </c>
      <c r="BE3772" s="1">
        <v>74.3</v>
      </c>
      <c r="BF3772" s="1">
        <v>8.18</v>
      </c>
      <c r="BG3772" s="1"/>
      <c r="BH3772" s="1"/>
      <c r="BI3772" s="1"/>
      <c r="BJ3772" s="1"/>
      <c r="BK3772" s="1" t="s">
        <v>98</v>
      </c>
      <c r="BL3772" s="1" t="s">
        <v>98</v>
      </c>
      <c r="BM3772" s="1" t="s">
        <v>98</v>
      </c>
      <c r="BN3772" s="1" t="s">
        <v>98</v>
      </c>
      <c r="BO3772" s="1" t="s">
        <v>59882</v>
      </c>
      <c r="BP3772" s="1" t="s">
        <v>59883</v>
      </c>
      <c r="BQ3772" s="1" t="s">
        <v>1482</v>
      </c>
      <c r="BR3772" s="1" t="s">
        <v>59884</v>
      </c>
      <c r="BS3772" s="1">
        <v>13</v>
      </c>
      <c r="BT3772" s="1"/>
      <c r="BU3772" s="1" t="str">
        <f>HYPERLINK("https://nconnect.nicmar.ac.in/storage/profile/2021-2023_PP21065_761483.JPG","Download")</f>
        <v>0</v>
      </c>
      <c r="BV3772" s="3"/>
      <c r="BW3772" s="3"/>
    </row>
    <row r="3773" spans="1:75">
      <c r="A3773" s="1" t="s">
        <v>59001</v>
      </c>
      <c r="B3773" s="1" t="s">
        <v>51341</v>
      </c>
      <c r="C3773" s="1" t="s">
        <v>59885</v>
      </c>
      <c r="D3773" s="1" t="s">
        <v>55709</v>
      </c>
      <c r="E3773" s="1"/>
      <c r="F3773" s="1" t="s">
        <v>350</v>
      </c>
      <c r="G3773" s="1" t="s">
        <v>59886</v>
      </c>
      <c r="H3773" s="1" t="s">
        <v>59887</v>
      </c>
      <c r="I3773" s="1" t="s">
        <v>59887</v>
      </c>
      <c r="J3773" s="1"/>
      <c r="K3773" s="1" t="s">
        <v>84</v>
      </c>
      <c r="L3773" s="1" t="s">
        <v>59888</v>
      </c>
      <c r="M3773" s="1" t="s">
        <v>86</v>
      </c>
      <c r="N3773" s="1" t="s">
        <v>87</v>
      </c>
      <c r="O3773" s="1"/>
      <c r="P3773" s="1" t="s">
        <v>481</v>
      </c>
      <c r="Q3773" s="1" t="s">
        <v>59889</v>
      </c>
      <c r="R3773" s="1" t="s">
        <v>59890</v>
      </c>
      <c r="S3773" s="1">
        <v>6260854815</v>
      </c>
      <c r="T3773" s="1" t="s">
        <v>596</v>
      </c>
      <c r="U3773" s="1" t="s">
        <v>59891</v>
      </c>
      <c r="V3773" s="1">
        <v>9406653823</v>
      </c>
      <c r="W3773" s="1" t="s">
        <v>161</v>
      </c>
      <c r="X3773" s="1" t="s">
        <v>59892</v>
      </c>
      <c r="Y3773" s="1" t="s">
        <v>5641</v>
      </c>
      <c r="Z3773" s="1" t="s">
        <v>3419</v>
      </c>
      <c r="AA3773" s="1" t="s">
        <v>59893</v>
      </c>
      <c r="AB3773" s="1" t="s">
        <v>5641</v>
      </c>
      <c r="AC3773" s="1" t="s">
        <v>3419</v>
      </c>
      <c r="AD3773" s="1" t="s">
        <v>98</v>
      </c>
      <c r="AE3773" s="1" t="s">
        <v>98</v>
      </c>
      <c r="AF3773" s="1" t="s">
        <v>59894</v>
      </c>
      <c r="AG3773" s="1" t="s">
        <v>59895</v>
      </c>
      <c r="AH3773" s="1" t="s">
        <v>59896</v>
      </c>
      <c r="AI3773" s="1" t="s">
        <v>59897</v>
      </c>
      <c r="AJ3773" s="1">
        <v>80</v>
      </c>
      <c r="AK3773" s="1">
        <v>8</v>
      </c>
      <c r="AL3773" s="1" t="s">
        <v>59894</v>
      </c>
      <c r="AM3773" s="1" t="s">
        <v>59895</v>
      </c>
      <c r="AN3773" s="1"/>
      <c r="AO3773" s="1" t="s">
        <v>54174</v>
      </c>
      <c r="AP3773" s="1" t="s">
        <v>59898</v>
      </c>
      <c r="AQ3773" s="1">
        <v>64.5</v>
      </c>
      <c r="AR3773" s="1"/>
      <c r="AS3773" s="1"/>
      <c r="AT3773" s="1"/>
      <c r="AU3773" s="1"/>
      <c r="AV3773" s="1"/>
      <c r="AW3773" s="1"/>
      <c r="AX3773" s="1"/>
      <c r="AY3773" s="1" t="s">
        <v>57548</v>
      </c>
      <c r="AZ3773" s="1" t="s">
        <v>59899</v>
      </c>
      <c r="BA3773" s="1"/>
      <c r="BB3773" s="1"/>
      <c r="BC3773" s="1" t="s">
        <v>59900</v>
      </c>
      <c r="BD3773" s="1" t="s">
        <v>59901</v>
      </c>
      <c r="BE3773" s="1">
        <v>59.1</v>
      </c>
      <c r="BF3773" s="1"/>
      <c r="BG3773" s="1"/>
      <c r="BH3773" s="1"/>
      <c r="BI3773" s="1"/>
      <c r="BJ3773" s="1"/>
      <c r="BK3773" s="1"/>
      <c r="BL3773" s="1"/>
      <c r="BM3773" s="1"/>
      <c r="BN3773" s="1"/>
      <c r="BO3773" s="1" t="s">
        <v>260</v>
      </c>
      <c r="BP3773" s="1"/>
      <c r="BQ3773" s="1"/>
      <c r="BR3773" s="1" t="s">
        <v>59902</v>
      </c>
      <c r="BS3773" s="1">
        <v>13</v>
      </c>
      <c r="BT3773" s="1"/>
      <c r="BU3773" s="1" t="str">
        <f>HYPERLINK("https://nconnect.nicmar.ac.in/storage/profile/2021-2023_PP21066_569381.jpg","Download")</f>
        <v>0</v>
      </c>
      <c r="BV3773" s="3"/>
      <c r="BW3773" s="3"/>
    </row>
    <row r="3774" spans="1:75">
      <c r="A3774" s="1" t="s">
        <v>59001</v>
      </c>
      <c r="B3774" s="1" t="s">
        <v>51341</v>
      </c>
      <c r="C3774" s="1" t="s">
        <v>59903</v>
      </c>
      <c r="D3774" s="1" t="s">
        <v>59904</v>
      </c>
      <c r="E3774" s="1"/>
      <c r="F3774" s="1" t="s">
        <v>59905</v>
      </c>
      <c r="G3774" s="1" t="s">
        <v>59906</v>
      </c>
      <c r="H3774" s="1" t="s">
        <v>59907</v>
      </c>
      <c r="I3774" s="1" t="s">
        <v>59908</v>
      </c>
      <c r="J3774" s="1">
        <v>9491357638</v>
      </c>
      <c r="K3774" s="1" t="s">
        <v>84</v>
      </c>
      <c r="L3774" s="1" t="s">
        <v>30911</v>
      </c>
      <c r="M3774" s="1" t="s">
        <v>86</v>
      </c>
      <c r="N3774" s="1" t="s">
        <v>8347</v>
      </c>
      <c r="O3774" s="1"/>
      <c r="P3774" s="1" t="s">
        <v>481</v>
      </c>
      <c r="Q3774" s="1" t="s">
        <v>59909</v>
      </c>
      <c r="R3774" s="1" t="s">
        <v>59910</v>
      </c>
      <c r="S3774" s="1">
        <v>9490498160</v>
      </c>
      <c r="T3774" s="1" t="s">
        <v>11390</v>
      </c>
      <c r="U3774" s="1" t="s">
        <v>59911</v>
      </c>
      <c r="V3774" s="1">
        <v>9440757638</v>
      </c>
      <c r="W3774" s="1" t="s">
        <v>94</v>
      </c>
      <c r="X3774" s="1" t="s">
        <v>59912</v>
      </c>
      <c r="Y3774" s="1" t="s">
        <v>57848</v>
      </c>
      <c r="Z3774" s="1" t="s">
        <v>461</v>
      </c>
      <c r="AA3774" s="1" t="s">
        <v>59912</v>
      </c>
      <c r="AB3774" s="1" t="s">
        <v>57848</v>
      </c>
      <c r="AC3774" s="1" t="s">
        <v>461</v>
      </c>
      <c r="AD3774" s="1" t="s">
        <v>98</v>
      </c>
      <c r="AE3774" s="1" t="s">
        <v>98</v>
      </c>
      <c r="AF3774" s="1" t="s">
        <v>59913</v>
      </c>
      <c r="AG3774" s="1" t="s">
        <v>59914</v>
      </c>
      <c r="AH3774" s="1">
        <v>41066</v>
      </c>
      <c r="AI3774" s="1">
        <v>41370</v>
      </c>
      <c r="AJ3774" s="1">
        <v>88.35</v>
      </c>
      <c r="AK3774" s="1">
        <v>9.3</v>
      </c>
      <c r="AL3774" s="1" t="s">
        <v>3033</v>
      </c>
      <c r="AM3774" s="1" t="s">
        <v>59915</v>
      </c>
      <c r="AN3774" s="1"/>
      <c r="AO3774" s="1">
        <v>41796</v>
      </c>
      <c r="AP3774" s="1">
        <v>42079</v>
      </c>
      <c r="AQ3774" s="1">
        <v>85.2</v>
      </c>
      <c r="AR3774" s="1"/>
      <c r="AS3774" s="1"/>
      <c r="AT3774" s="1"/>
      <c r="AU3774" s="1" t="s">
        <v>98</v>
      </c>
      <c r="AV3774" s="1" t="s">
        <v>98</v>
      </c>
      <c r="AW3774" s="1" t="s">
        <v>98</v>
      </c>
      <c r="AX3774" s="1" t="s">
        <v>98</v>
      </c>
      <c r="AY3774" s="1" t="s">
        <v>550</v>
      </c>
      <c r="AZ3774" s="1" t="s">
        <v>59916</v>
      </c>
      <c r="BA3774" s="1"/>
      <c r="BB3774" s="1"/>
      <c r="BC3774" s="1">
        <v>42194</v>
      </c>
      <c r="BD3774" s="1">
        <v>43636</v>
      </c>
      <c r="BE3774" s="1">
        <v>74.5</v>
      </c>
      <c r="BF3774" s="1">
        <v>7.45</v>
      </c>
      <c r="BG3774" s="1"/>
      <c r="BH3774" s="1"/>
      <c r="BI3774" s="1"/>
      <c r="BJ3774" s="1"/>
      <c r="BK3774" s="1" t="s">
        <v>98</v>
      </c>
      <c r="BL3774" s="1" t="s">
        <v>98</v>
      </c>
      <c r="BM3774" s="1" t="s">
        <v>98</v>
      </c>
      <c r="BN3774" s="1" t="s">
        <v>98</v>
      </c>
      <c r="BO3774" s="1" t="s">
        <v>28364</v>
      </c>
      <c r="BP3774" s="1"/>
      <c r="BQ3774" s="1"/>
      <c r="BR3774" s="1" t="s">
        <v>59917</v>
      </c>
      <c r="BS3774" s="1">
        <v>13</v>
      </c>
      <c r="BT3774" s="1"/>
      <c r="BU3774" s="1" t="str">
        <f>HYPERLINK("https://nconnect.nicmar.ac.in/storage/profile/2021-2023_PP21067_937621.jpg","Download")</f>
        <v>0</v>
      </c>
      <c r="BV3774" s="3"/>
      <c r="BW3774" s="3"/>
    </row>
    <row r="3775" spans="1:75">
      <c r="A3775" s="1" t="s">
        <v>59001</v>
      </c>
      <c r="B3775" s="1" t="s">
        <v>51341</v>
      </c>
      <c r="C3775" s="1" t="s">
        <v>59918</v>
      </c>
      <c r="D3775" s="1" t="s">
        <v>59919</v>
      </c>
      <c r="E3775" s="1" t="s">
        <v>213</v>
      </c>
      <c r="F3775" s="1" t="s">
        <v>59920</v>
      </c>
      <c r="G3775" s="1" t="s">
        <v>59921</v>
      </c>
      <c r="H3775" s="1" t="s">
        <v>59922</v>
      </c>
      <c r="I3775" s="1" t="s">
        <v>59923</v>
      </c>
      <c r="J3775" s="1">
        <v>9619795018</v>
      </c>
      <c r="K3775" s="1" t="s">
        <v>84</v>
      </c>
      <c r="L3775" s="1" t="s">
        <v>59924</v>
      </c>
      <c r="M3775" s="1" t="s">
        <v>86</v>
      </c>
      <c r="N3775" s="1" t="s">
        <v>903</v>
      </c>
      <c r="O3775" s="1"/>
      <c r="P3775" s="1" t="s">
        <v>481</v>
      </c>
      <c r="Q3775" s="1" t="s">
        <v>59925</v>
      </c>
      <c r="R3775" s="1" t="s">
        <v>59926</v>
      </c>
      <c r="S3775" s="1">
        <v>8108051176</v>
      </c>
      <c r="T3775" s="1" t="s">
        <v>645</v>
      </c>
      <c r="U3775" s="1" t="s">
        <v>59927</v>
      </c>
      <c r="V3775" s="1">
        <v>9820880948</v>
      </c>
      <c r="W3775" s="1" t="s">
        <v>539</v>
      </c>
      <c r="X3775" s="1" t="s">
        <v>59928</v>
      </c>
      <c r="Y3775" s="1" t="s">
        <v>14079</v>
      </c>
      <c r="Z3775" s="1" t="s">
        <v>97</v>
      </c>
      <c r="AA3775" s="1" t="s">
        <v>57224</v>
      </c>
      <c r="AB3775" s="1" t="s">
        <v>196</v>
      </c>
      <c r="AC3775" s="1" t="s">
        <v>97</v>
      </c>
      <c r="AD3775" s="1" t="s">
        <v>98</v>
      </c>
      <c r="AE3775" s="1" t="s">
        <v>98</v>
      </c>
      <c r="AF3775" s="1" t="s">
        <v>59929</v>
      </c>
      <c r="AG3775" s="1" t="s">
        <v>51712</v>
      </c>
      <c r="AH3775" s="1">
        <v>41805</v>
      </c>
      <c r="AI3775" s="1">
        <v>42091</v>
      </c>
      <c r="AJ3775" s="1">
        <v>78.4</v>
      </c>
      <c r="AK3775" s="1">
        <v>0</v>
      </c>
      <c r="AL3775" s="1" t="s">
        <v>59930</v>
      </c>
      <c r="AM3775" s="1" t="s">
        <v>51712</v>
      </c>
      <c r="AN3775" s="1"/>
      <c r="AO3775" s="1">
        <v>42522</v>
      </c>
      <c r="AP3775" s="1">
        <v>42784</v>
      </c>
      <c r="AQ3775" s="1">
        <v>56.6</v>
      </c>
      <c r="AR3775" s="1">
        <v>0</v>
      </c>
      <c r="AS3775" s="1"/>
      <c r="AT3775" s="1"/>
      <c r="AU3775" s="1" t="s">
        <v>98</v>
      </c>
      <c r="AV3775" s="1" t="s">
        <v>98</v>
      </c>
      <c r="AW3775" s="1" t="s">
        <v>98</v>
      </c>
      <c r="AX3775" s="1" t="s">
        <v>98</v>
      </c>
      <c r="AY3775" s="1" t="s">
        <v>39052</v>
      </c>
      <c r="AZ3775" s="1" t="s">
        <v>59931</v>
      </c>
      <c r="BA3775" s="1"/>
      <c r="BB3775" s="1"/>
      <c r="BC3775" s="1">
        <v>42917</v>
      </c>
      <c r="BD3775" s="1">
        <v>44379</v>
      </c>
      <c r="BE3775" s="1">
        <v>72</v>
      </c>
      <c r="BF3775" s="1">
        <v>7.2</v>
      </c>
      <c r="BG3775" s="1"/>
      <c r="BH3775" s="1"/>
      <c r="BI3775" s="1"/>
      <c r="BJ3775" s="1"/>
      <c r="BK3775" s="1" t="s">
        <v>98</v>
      </c>
      <c r="BL3775" s="1" t="s">
        <v>98</v>
      </c>
      <c r="BM3775" s="1" t="s">
        <v>98</v>
      </c>
      <c r="BN3775" s="1" t="s">
        <v>98</v>
      </c>
      <c r="BO3775" s="1" t="s">
        <v>28364</v>
      </c>
      <c r="BP3775" s="1"/>
      <c r="BQ3775" s="1"/>
      <c r="BR3775" s="1" t="s">
        <v>59932</v>
      </c>
      <c r="BS3775" s="1">
        <v>8</v>
      </c>
      <c r="BT3775" s="1"/>
      <c r="BU3775" s="1" t="str">
        <f>HYPERLINK("https://nconnect.nicmar.ac.in/storage/profile/2021-2023_PP21068_296475.jpeg","Download")</f>
        <v>0</v>
      </c>
      <c r="BV3775" s="3"/>
      <c r="BW3775" s="3"/>
    </row>
    <row r="3776" spans="1:75">
      <c r="A3776" s="1" t="s">
        <v>59001</v>
      </c>
      <c r="B3776" s="1" t="s">
        <v>51341</v>
      </c>
      <c r="C3776" s="1" t="s">
        <v>59933</v>
      </c>
      <c r="D3776" s="1" t="s">
        <v>59934</v>
      </c>
      <c r="E3776" s="1"/>
      <c r="F3776" s="1" t="s">
        <v>1997</v>
      </c>
      <c r="G3776" s="1" t="s">
        <v>59935</v>
      </c>
      <c r="H3776" s="1" t="s">
        <v>59936</v>
      </c>
      <c r="I3776" s="1" t="s">
        <v>59937</v>
      </c>
      <c r="J3776" s="1">
        <v>9633509342</v>
      </c>
      <c r="K3776" s="1" t="s">
        <v>84</v>
      </c>
      <c r="L3776" s="1" t="s">
        <v>59938</v>
      </c>
      <c r="M3776" s="1" t="s">
        <v>86</v>
      </c>
      <c r="N3776" s="1" t="s">
        <v>33739</v>
      </c>
      <c r="O3776" s="1"/>
      <c r="P3776" s="1" t="s">
        <v>1028</v>
      </c>
      <c r="Q3776" s="1" t="s">
        <v>59939</v>
      </c>
      <c r="R3776" s="1" t="s">
        <v>59940</v>
      </c>
      <c r="S3776" s="1">
        <v>9633053358</v>
      </c>
      <c r="T3776" s="1" t="s">
        <v>59941</v>
      </c>
      <c r="U3776" s="1" t="s">
        <v>59942</v>
      </c>
      <c r="V3776" s="1">
        <v>8921457624</v>
      </c>
      <c r="W3776" s="1" t="s">
        <v>94</v>
      </c>
      <c r="X3776" s="1" t="s">
        <v>59943</v>
      </c>
      <c r="Y3776" s="1" t="s">
        <v>701</v>
      </c>
      <c r="Z3776" s="1" t="s">
        <v>130</v>
      </c>
      <c r="AA3776" s="1" t="s">
        <v>59944</v>
      </c>
      <c r="AB3776" s="1" t="s">
        <v>701</v>
      </c>
      <c r="AC3776" s="1" t="s">
        <v>130</v>
      </c>
      <c r="AD3776" s="1" t="s">
        <v>98</v>
      </c>
      <c r="AE3776" s="1" t="s">
        <v>98</v>
      </c>
      <c r="AF3776" s="1" t="s">
        <v>59945</v>
      </c>
      <c r="AG3776" s="1" t="s">
        <v>312</v>
      </c>
      <c r="AH3776" s="1">
        <v>40684</v>
      </c>
      <c r="AI3776" s="1">
        <v>41050</v>
      </c>
      <c r="AJ3776" s="1">
        <v>76</v>
      </c>
      <c r="AK3776" s="1">
        <v>8</v>
      </c>
      <c r="AL3776" s="1" t="s">
        <v>59945</v>
      </c>
      <c r="AM3776" s="1" t="s">
        <v>312</v>
      </c>
      <c r="AN3776" s="1"/>
      <c r="AO3776" s="1">
        <v>41420</v>
      </c>
      <c r="AP3776" s="1">
        <v>41785</v>
      </c>
      <c r="AQ3776" s="1">
        <v>71.2</v>
      </c>
      <c r="AR3776" s="1"/>
      <c r="AS3776" s="1"/>
      <c r="AT3776" s="1"/>
      <c r="AU3776" s="1" t="s">
        <v>98</v>
      </c>
      <c r="AV3776" s="1" t="s">
        <v>98</v>
      </c>
      <c r="AW3776" s="1" t="s">
        <v>98</v>
      </c>
      <c r="AX3776" s="1" t="s">
        <v>98</v>
      </c>
      <c r="AY3776" s="1" t="s">
        <v>20215</v>
      </c>
      <c r="AZ3776" s="1" t="s">
        <v>15665</v>
      </c>
      <c r="BA3776" s="1"/>
      <c r="BB3776" s="1"/>
      <c r="BC3776" s="1">
        <v>41851</v>
      </c>
      <c r="BD3776" s="1">
        <v>43312</v>
      </c>
      <c r="BE3776" s="1">
        <v>63.5</v>
      </c>
      <c r="BF3776" s="1">
        <v>6.35</v>
      </c>
      <c r="BG3776" s="1"/>
      <c r="BH3776" s="1"/>
      <c r="BI3776" s="1"/>
      <c r="BJ3776" s="1"/>
      <c r="BK3776" s="1" t="s">
        <v>98</v>
      </c>
      <c r="BL3776" s="1" t="s">
        <v>98</v>
      </c>
      <c r="BM3776" s="1" t="s">
        <v>98</v>
      </c>
      <c r="BN3776" s="1" t="s">
        <v>98</v>
      </c>
      <c r="BO3776" s="1" t="s">
        <v>40690</v>
      </c>
      <c r="BP3776" s="1" t="s">
        <v>59946</v>
      </c>
      <c r="BQ3776" s="1" t="s">
        <v>736</v>
      </c>
      <c r="BR3776" s="1" t="s">
        <v>59947</v>
      </c>
      <c r="BS3776" s="1">
        <v>9</v>
      </c>
      <c r="BT3776" s="1"/>
      <c r="BU3776" s="1" t="str">
        <f>HYPERLINK("https://nconnect.nicmar.ac.in/storage/profile/2021-2023_PP21069_865149.jpg","Download")</f>
        <v>0</v>
      </c>
      <c r="BV3776" s="3"/>
      <c r="BW3776" s="3"/>
    </row>
    <row r="3777" spans="1:75">
      <c r="A3777" s="1" t="s">
        <v>59001</v>
      </c>
      <c r="B3777" s="1" t="s">
        <v>51341</v>
      </c>
      <c r="C3777" s="1" t="s">
        <v>59948</v>
      </c>
      <c r="D3777" s="1" t="s">
        <v>875</v>
      </c>
      <c r="E3777" s="1"/>
      <c r="F3777" s="1" t="s">
        <v>9986</v>
      </c>
      <c r="G3777" s="1" t="s">
        <v>59949</v>
      </c>
      <c r="H3777" s="1" t="s">
        <v>59950</v>
      </c>
      <c r="I3777" s="1" t="s">
        <v>59950</v>
      </c>
      <c r="J3777" s="1">
        <v>7023405846</v>
      </c>
      <c r="K3777" s="1" t="s">
        <v>84</v>
      </c>
      <c r="L3777" s="1" t="s">
        <v>59951</v>
      </c>
      <c r="M3777" s="1" t="s">
        <v>86</v>
      </c>
      <c r="N3777" s="1" t="s">
        <v>379</v>
      </c>
      <c r="O3777" s="1"/>
      <c r="P3777" s="1" t="s">
        <v>481</v>
      </c>
      <c r="Q3777" s="1" t="s">
        <v>59952</v>
      </c>
      <c r="R3777" s="1" t="s">
        <v>59953</v>
      </c>
      <c r="S3777" s="1">
        <v>9829228105</v>
      </c>
      <c r="T3777" s="1" t="s">
        <v>59954</v>
      </c>
      <c r="U3777" s="1" t="s">
        <v>59955</v>
      </c>
      <c r="V3777" s="1">
        <v>7073859379</v>
      </c>
      <c r="W3777" s="1" t="s">
        <v>94</v>
      </c>
      <c r="X3777" s="1" t="s">
        <v>59956</v>
      </c>
      <c r="Y3777" s="1" t="s">
        <v>28970</v>
      </c>
      <c r="Z3777" s="1" t="s">
        <v>2153</v>
      </c>
      <c r="AA3777" s="1" t="s">
        <v>59956</v>
      </c>
      <c r="AB3777" s="1" t="s">
        <v>28970</v>
      </c>
      <c r="AC3777" s="1" t="s">
        <v>2153</v>
      </c>
      <c r="AD3777" s="1" t="s">
        <v>98</v>
      </c>
      <c r="AE3777" s="1" t="s">
        <v>98</v>
      </c>
      <c r="AF3777" s="1" t="s">
        <v>59957</v>
      </c>
      <c r="AG3777" s="1" t="s">
        <v>59958</v>
      </c>
      <c r="AH3777" s="1" t="s">
        <v>55062</v>
      </c>
      <c r="AI3777" s="1" t="s">
        <v>59959</v>
      </c>
      <c r="AJ3777" s="1">
        <v>62.7</v>
      </c>
      <c r="AK3777" s="1">
        <v>6.6</v>
      </c>
      <c r="AL3777" s="1" t="s">
        <v>59957</v>
      </c>
      <c r="AM3777" s="1" t="s">
        <v>59958</v>
      </c>
      <c r="AN3777" s="1"/>
      <c r="AO3777" s="1" t="s">
        <v>59960</v>
      </c>
      <c r="AP3777" s="1" t="s">
        <v>59961</v>
      </c>
      <c r="AQ3777" s="1">
        <v>48</v>
      </c>
      <c r="AR3777" s="1">
        <v>0</v>
      </c>
      <c r="AS3777" s="1"/>
      <c r="AT3777" s="1"/>
      <c r="AU3777" s="1"/>
      <c r="AV3777" s="1"/>
      <c r="AW3777" s="1"/>
      <c r="AX3777" s="1"/>
      <c r="AY3777" s="1" t="s">
        <v>28974</v>
      </c>
      <c r="AZ3777" s="1" t="s">
        <v>59962</v>
      </c>
      <c r="BA3777" s="1"/>
      <c r="BB3777" s="1"/>
      <c r="BC3777" s="1" t="s">
        <v>59963</v>
      </c>
      <c r="BD3777" s="1" t="s">
        <v>59964</v>
      </c>
      <c r="BE3777" s="1">
        <v>62.2</v>
      </c>
      <c r="BF3777" s="1">
        <v>0</v>
      </c>
      <c r="BG3777" s="1"/>
      <c r="BH3777" s="1"/>
      <c r="BI3777" s="1"/>
      <c r="BJ3777" s="1"/>
      <c r="BK3777" s="1"/>
      <c r="BL3777" s="1"/>
      <c r="BM3777" s="1"/>
      <c r="BN3777" s="1"/>
      <c r="BO3777" s="1" t="s">
        <v>59965</v>
      </c>
      <c r="BP3777" s="1" t="s">
        <v>59966</v>
      </c>
      <c r="BQ3777" s="1" t="s">
        <v>1174</v>
      </c>
      <c r="BR3777" s="1" t="s">
        <v>59967</v>
      </c>
      <c r="BS3777" s="1">
        <v>50</v>
      </c>
      <c r="BT3777" s="1"/>
      <c r="BU3777" s="1" t="str">
        <f>HYPERLINK("https://nconnect.nicmar.ac.in/storage/profile/2021-2023_PP21070_465279.jpeg","Download")</f>
        <v>0</v>
      </c>
      <c r="BV3777" s="3"/>
      <c r="BW3777" s="3"/>
    </row>
    <row r="3778" spans="1:75">
      <c r="A3778" s="1" t="s">
        <v>59001</v>
      </c>
      <c r="B3778" s="1" t="s">
        <v>51341</v>
      </c>
      <c r="C3778" s="1" t="s">
        <v>59968</v>
      </c>
      <c r="D3778" s="1" t="s">
        <v>12752</v>
      </c>
      <c r="E3778" s="1"/>
      <c r="F3778" s="1" t="s">
        <v>59969</v>
      </c>
      <c r="G3778" s="1" t="s">
        <v>59970</v>
      </c>
      <c r="H3778" s="1" t="s">
        <v>59971</v>
      </c>
      <c r="I3778" s="1" t="s">
        <v>59972</v>
      </c>
      <c r="J3778" s="1">
        <v>8989660146</v>
      </c>
      <c r="K3778" s="1" t="s">
        <v>84</v>
      </c>
      <c r="L3778" s="1" t="s">
        <v>34077</v>
      </c>
      <c r="M3778" s="1" t="s">
        <v>86</v>
      </c>
      <c r="N3778" s="1" t="s">
        <v>379</v>
      </c>
      <c r="O3778" s="1"/>
      <c r="P3778" s="1" t="s">
        <v>455</v>
      </c>
      <c r="Q3778" s="1" t="s">
        <v>59973</v>
      </c>
      <c r="R3778" s="1" t="s">
        <v>59974</v>
      </c>
      <c r="S3778" s="1">
        <v>9425675015</v>
      </c>
      <c r="T3778" s="1" t="s">
        <v>645</v>
      </c>
      <c r="U3778" s="1" t="s">
        <v>59975</v>
      </c>
      <c r="V3778" s="1">
        <v>9300337823</v>
      </c>
      <c r="W3778" s="1" t="s">
        <v>2950</v>
      </c>
      <c r="X3778" s="1" t="s">
        <v>59976</v>
      </c>
      <c r="Y3778" s="1" t="s">
        <v>7949</v>
      </c>
      <c r="Z3778" s="1" t="s">
        <v>3419</v>
      </c>
      <c r="AA3778" s="1" t="s">
        <v>59977</v>
      </c>
      <c r="AB3778" s="1" t="s">
        <v>7949</v>
      </c>
      <c r="AC3778" s="1" t="s">
        <v>3419</v>
      </c>
      <c r="AD3778" s="1" t="s">
        <v>98</v>
      </c>
      <c r="AE3778" s="1" t="s">
        <v>98</v>
      </c>
      <c r="AF3778" s="1" t="s">
        <v>8282</v>
      </c>
      <c r="AG3778" s="1" t="s">
        <v>59978</v>
      </c>
      <c r="AH3778" s="1" t="s">
        <v>3421</v>
      </c>
      <c r="AI3778" s="1" t="s">
        <v>101</v>
      </c>
      <c r="AJ3778" s="1">
        <v>81.7</v>
      </c>
      <c r="AK3778" s="1">
        <v>8.6</v>
      </c>
      <c r="AL3778" s="1" t="s">
        <v>8282</v>
      </c>
      <c r="AM3778" s="1" t="s">
        <v>59978</v>
      </c>
      <c r="AN3778" s="1"/>
      <c r="AO3778" s="1" t="s">
        <v>1110</v>
      </c>
      <c r="AP3778" s="1" t="s">
        <v>627</v>
      </c>
      <c r="AQ3778" s="1">
        <v>74.2</v>
      </c>
      <c r="AR3778" s="1">
        <v>0</v>
      </c>
      <c r="AS3778" s="1"/>
      <c r="AT3778" s="1"/>
      <c r="AU3778" s="1" t="s">
        <v>98</v>
      </c>
      <c r="AV3778" s="1" t="s">
        <v>98</v>
      </c>
      <c r="AW3778" s="1" t="s">
        <v>98</v>
      </c>
      <c r="AX3778" s="1" t="s">
        <v>98</v>
      </c>
      <c r="AY3778" s="1" t="s">
        <v>6995</v>
      </c>
      <c r="AZ3778" s="1" t="s">
        <v>59979</v>
      </c>
      <c r="BA3778" s="1"/>
      <c r="BB3778" s="1"/>
      <c r="BC3778" s="1" t="s">
        <v>1396</v>
      </c>
      <c r="BD3778" s="1" t="s">
        <v>890</v>
      </c>
      <c r="BE3778" s="1">
        <v>67.1</v>
      </c>
      <c r="BF3778" s="1">
        <v>6.71</v>
      </c>
      <c r="BG3778" s="1"/>
      <c r="BH3778" s="1"/>
      <c r="BI3778" s="1"/>
      <c r="BJ3778" s="1"/>
      <c r="BK3778" s="1" t="s">
        <v>98</v>
      </c>
      <c r="BL3778" s="1" t="s">
        <v>98</v>
      </c>
      <c r="BM3778" s="1" t="s">
        <v>98</v>
      </c>
      <c r="BN3778" s="1" t="s">
        <v>98</v>
      </c>
      <c r="BO3778" s="1" t="s">
        <v>59980</v>
      </c>
      <c r="BP3778" s="1"/>
      <c r="BQ3778" s="1"/>
      <c r="BR3778" s="1" t="s">
        <v>59981</v>
      </c>
      <c r="BS3778" s="1">
        <v>24</v>
      </c>
      <c r="BT3778" s="1"/>
      <c r="BU3778" s="1" t="s">
        <v>9653</v>
      </c>
      <c r="BV3778" s="3"/>
      <c r="BW3778" s="3"/>
    </row>
    <row r="3779" spans="1:75">
      <c r="A3779" s="1" t="s">
        <v>59001</v>
      </c>
      <c r="B3779" s="1" t="s">
        <v>51341</v>
      </c>
      <c r="C3779" s="1" t="s">
        <v>59982</v>
      </c>
      <c r="D3779" s="1" t="s">
        <v>59983</v>
      </c>
      <c r="E3779" s="1"/>
      <c r="F3779" s="1" t="s">
        <v>59984</v>
      </c>
      <c r="G3779" s="1" t="s">
        <v>59985</v>
      </c>
      <c r="H3779" s="1" t="s">
        <v>59986</v>
      </c>
      <c r="I3779" s="1" t="s">
        <v>59987</v>
      </c>
      <c r="J3779" s="1">
        <v>9894984931</v>
      </c>
      <c r="K3779" s="1" t="s">
        <v>84</v>
      </c>
      <c r="L3779" s="1" t="s">
        <v>59988</v>
      </c>
      <c r="M3779" s="1" t="s">
        <v>86</v>
      </c>
      <c r="N3779" s="1" t="s">
        <v>7673</v>
      </c>
      <c r="O3779" s="1"/>
      <c r="P3779" s="1" t="s">
        <v>455</v>
      </c>
      <c r="Q3779" s="1" t="s">
        <v>59989</v>
      </c>
      <c r="R3779" s="1" t="s">
        <v>59990</v>
      </c>
      <c r="S3779" s="1">
        <v>9895057882</v>
      </c>
      <c r="T3779" s="1" t="s">
        <v>839</v>
      </c>
      <c r="U3779" s="1" t="s">
        <v>59991</v>
      </c>
      <c r="V3779" s="1">
        <v>8848818750</v>
      </c>
      <c r="W3779" s="1" t="s">
        <v>278</v>
      </c>
      <c r="X3779" s="1" t="s">
        <v>59992</v>
      </c>
      <c r="Y3779" s="1" t="s">
        <v>59993</v>
      </c>
      <c r="Z3779" s="1" t="s">
        <v>130</v>
      </c>
      <c r="AA3779" s="1" t="s">
        <v>59992</v>
      </c>
      <c r="AB3779" s="1" t="s">
        <v>59993</v>
      </c>
      <c r="AC3779" s="1" t="s">
        <v>130</v>
      </c>
      <c r="AD3779" s="1" t="s">
        <v>98</v>
      </c>
      <c r="AE3779" s="1" t="s">
        <v>98</v>
      </c>
      <c r="AF3779" s="1" t="s">
        <v>59994</v>
      </c>
      <c r="AG3779" s="1" t="s">
        <v>59995</v>
      </c>
      <c r="AH3779" s="1" t="s">
        <v>1262</v>
      </c>
      <c r="AI3779" s="1" t="s">
        <v>1110</v>
      </c>
      <c r="AJ3779" s="1">
        <v>67</v>
      </c>
      <c r="AK3779" s="1"/>
      <c r="AL3779" s="1" t="s">
        <v>59996</v>
      </c>
      <c r="AM3779" s="1" t="s">
        <v>59997</v>
      </c>
      <c r="AN3779" s="1"/>
      <c r="AO3779" s="1" t="s">
        <v>284</v>
      </c>
      <c r="AP3779" s="1" t="s">
        <v>200</v>
      </c>
      <c r="AQ3779" s="1">
        <v>57.4</v>
      </c>
      <c r="AR3779" s="1"/>
      <c r="AS3779" s="1"/>
      <c r="AT3779" s="1"/>
      <c r="AU3779" s="1"/>
      <c r="AV3779" s="1"/>
      <c r="AW3779" s="1"/>
      <c r="AX3779" s="1"/>
      <c r="AY3779" s="1" t="s">
        <v>9026</v>
      </c>
      <c r="AZ3779" s="1" t="s">
        <v>2614</v>
      </c>
      <c r="BA3779" s="1"/>
      <c r="BB3779" s="1"/>
      <c r="BC3779" s="1" t="s">
        <v>388</v>
      </c>
      <c r="BD3779" s="1" t="s">
        <v>549</v>
      </c>
      <c r="BE3779" s="1">
        <v>66.89</v>
      </c>
      <c r="BF3779" s="1">
        <v>5.73</v>
      </c>
      <c r="BG3779" s="1"/>
      <c r="BH3779" s="1"/>
      <c r="BI3779" s="1"/>
      <c r="BJ3779" s="1"/>
      <c r="BK3779" s="1"/>
      <c r="BL3779" s="1"/>
      <c r="BM3779" s="1"/>
      <c r="BN3779" s="1"/>
      <c r="BO3779" s="1" t="s">
        <v>1114</v>
      </c>
      <c r="BP3779" s="1"/>
      <c r="BQ3779" s="1"/>
      <c r="BR3779" s="1" t="s">
        <v>59998</v>
      </c>
      <c r="BS3779" s="1">
        <v>12</v>
      </c>
      <c r="BT3779" s="1"/>
      <c r="BU3779" s="1" t="str">
        <f>HYPERLINK("https://nconnect.nicmar.ac.in/storage/profile/2021-2023_PP21072_456873.jpg","Download")</f>
        <v>0</v>
      </c>
      <c r="BV3779" s="3"/>
      <c r="BW3779" s="3"/>
    </row>
    <row r="3780" spans="1:75">
      <c r="A3780" s="1" t="s">
        <v>59001</v>
      </c>
      <c r="B3780" s="1" t="s">
        <v>51341</v>
      </c>
      <c r="C3780" s="1" t="s">
        <v>59999</v>
      </c>
      <c r="D3780" s="1" t="s">
        <v>60000</v>
      </c>
      <c r="E3780" s="1"/>
      <c r="F3780" s="1" t="s">
        <v>60001</v>
      </c>
      <c r="G3780" s="1" t="s">
        <v>60002</v>
      </c>
      <c r="H3780" s="1" t="s">
        <v>60003</v>
      </c>
      <c r="I3780" s="1" t="s">
        <v>60004</v>
      </c>
      <c r="J3780" s="1">
        <v>9207067825</v>
      </c>
      <c r="K3780" s="1" t="s">
        <v>153</v>
      </c>
      <c r="L3780" s="1" t="s">
        <v>22902</v>
      </c>
      <c r="M3780" s="1" t="s">
        <v>86</v>
      </c>
      <c r="N3780" s="1" t="s">
        <v>53145</v>
      </c>
      <c r="O3780" s="1"/>
      <c r="P3780" s="1" t="s">
        <v>455</v>
      </c>
      <c r="Q3780" s="1" t="s">
        <v>60005</v>
      </c>
      <c r="R3780" s="1" t="s">
        <v>60006</v>
      </c>
      <c r="S3780" s="1">
        <v>9207067825</v>
      </c>
      <c r="T3780" s="1" t="s">
        <v>98</v>
      </c>
      <c r="U3780" s="1" t="s">
        <v>60007</v>
      </c>
      <c r="V3780" s="1">
        <v>9605023615</v>
      </c>
      <c r="W3780" s="1" t="s">
        <v>94</v>
      </c>
      <c r="X3780" s="1" t="s">
        <v>60008</v>
      </c>
      <c r="Y3780" s="1" t="s">
        <v>4916</v>
      </c>
      <c r="Z3780" s="1" t="s">
        <v>130</v>
      </c>
      <c r="AA3780" s="1" t="s">
        <v>60008</v>
      </c>
      <c r="AB3780" s="1" t="s">
        <v>4916</v>
      </c>
      <c r="AC3780" s="1" t="s">
        <v>130</v>
      </c>
      <c r="AD3780" s="1" t="s">
        <v>98</v>
      </c>
      <c r="AE3780" s="1" t="s">
        <v>98</v>
      </c>
      <c r="AF3780" s="1" t="s">
        <v>34633</v>
      </c>
      <c r="AG3780" s="1" t="s">
        <v>3155</v>
      </c>
      <c r="AH3780" s="1">
        <v>41428</v>
      </c>
      <c r="AI3780" s="1">
        <v>41778</v>
      </c>
      <c r="AJ3780" s="1">
        <v>95</v>
      </c>
      <c r="AK3780" s="1">
        <v>10</v>
      </c>
      <c r="AL3780" s="1" t="s">
        <v>34633</v>
      </c>
      <c r="AM3780" s="1" t="s">
        <v>3155</v>
      </c>
      <c r="AN3780" s="1"/>
      <c r="AO3780" s="1">
        <v>42156</v>
      </c>
      <c r="AP3780" s="1">
        <v>42511</v>
      </c>
      <c r="AQ3780" s="1">
        <v>92</v>
      </c>
      <c r="AR3780" s="1"/>
      <c r="AS3780" s="1"/>
      <c r="AT3780" s="1"/>
      <c r="AU3780" s="1" t="s">
        <v>98</v>
      </c>
      <c r="AV3780" s="1" t="s">
        <v>98</v>
      </c>
      <c r="AW3780" s="1" t="s">
        <v>98</v>
      </c>
      <c r="AX3780" s="1" t="s">
        <v>98</v>
      </c>
      <c r="AY3780" s="1" t="s">
        <v>137</v>
      </c>
      <c r="AZ3780" s="1" t="s">
        <v>41147</v>
      </c>
      <c r="BA3780" s="1"/>
      <c r="BB3780" s="1"/>
      <c r="BC3780" s="1">
        <v>42948</v>
      </c>
      <c r="BD3780" s="1">
        <v>44454</v>
      </c>
      <c r="BE3780" s="1">
        <v>84.95</v>
      </c>
      <c r="BF3780" s="1">
        <v>8.87</v>
      </c>
      <c r="BG3780" s="1"/>
      <c r="BH3780" s="1"/>
      <c r="BI3780" s="1"/>
      <c r="BJ3780" s="1"/>
      <c r="BK3780" s="1" t="s">
        <v>98</v>
      </c>
      <c r="BL3780" s="1" t="s">
        <v>98</v>
      </c>
      <c r="BM3780" s="1" t="s">
        <v>98</v>
      </c>
      <c r="BN3780" s="1" t="s">
        <v>98</v>
      </c>
      <c r="BO3780" s="1" t="s">
        <v>60009</v>
      </c>
      <c r="BP3780" s="1"/>
      <c r="BQ3780" s="1"/>
      <c r="BR3780" s="1" t="s">
        <v>60010</v>
      </c>
      <c r="BS3780" s="1">
        <v>16</v>
      </c>
      <c r="BT3780" s="1"/>
      <c r="BU3780" s="1" t="str">
        <f>HYPERLINK("https://nconnect.nicmar.ac.in/storage/profile/2021-2023_PP21073_589472.jpg","Download")</f>
        <v>0</v>
      </c>
      <c r="BV3780" s="3"/>
      <c r="BW3780" s="3"/>
    </row>
    <row r="3781" spans="1:75">
      <c r="A3781" s="1" t="s">
        <v>59001</v>
      </c>
      <c r="B3781" s="1" t="s">
        <v>51341</v>
      </c>
      <c r="C3781" s="1" t="s">
        <v>60011</v>
      </c>
      <c r="D3781" s="1" t="s">
        <v>60012</v>
      </c>
      <c r="E3781" s="1"/>
      <c r="F3781" s="1" t="s">
        <v>2751</v>
      </c>
      <c r="G3781" s="1" t="s">
        <v>60013</v>
      </c>
      <c r="H3781" s="1" t="s">
        <v>60014</v>
      </c>
      <c r="I3781" s="1" t="s">
        <v>60015</v>
      </c>
      <c r="J3781" s="1">
        <v>9126449063</v>
      </c>
      <c r="K3781" s="1" t="s">
        <v>153</v>
      </c>
      <c r="L3781" s="1" t="s">
        <v>25417</v>
      </c>
      <c r="M3781" s="1" t="s">
        <v>86</v>
      </c>
      <c r="N3781" s="1" t="s">
        <v>60016</v>
      </c>
      <c r="O3781" s="1"/>
      <c r="P3781" s="1" t="s">
        <v>455</v>
      </c>
      <c r="Q3781" s="1" t="s">
        <v>60017</v>
      </c>
      <c r="R3781" s="1" t="s">
        <v>60018</v>
      </c>
      <c r="S3781" s="1">
        <v>9864049372</v>
      </c>
      <c r="T3781" s="1" t="s">
        <v>60019</v>
      </c>
      <c r="U3781" s="1" t="s">
        <v>60020</v>
      </c>
      <c r="V3781" s="1">
        <v>9435143858</v>
      </c>
      <c r="W3781" s="1" t="s">
        <v>94</v>
      </c>
      <c r="X3781" s="1" t="s">
        <v>60021</v>
      </c>
      <c r="Y3781" s="1" t="s">
        <v>58333</v>
      </c>
      <c r="Z3781" s="1" t="s">
        <v>1556</v>
      </c>
      <c r="AA3781" s="1" t="s">
        <v>60022</v>
      </c>
      <c r="AB3781" s="1" t="s">
        <v>58333</v>
      </c>
      <c r="AC3781" s="1" t="s">
        <v>1556</v>
      </c>
      <c r="AD3781" s="1" t="s">
        <v>98</v>
      </c>
      <c r="AE3781" s="1" t="s">
        <v>98</v>
      </c>
      <c r="AF3781" s="1" t="s">
        <v>60023</v>
      </c>
      <c r="AG3781" s="1" t="s">
        <v>312</v>
      </c>
      <c r="AH3781" s="1">
        <v>41701</v>
      </c>
      <c r="AI3781" s="1">
        <v>42091</v>
      </c>
      <c r="AJ3781" s="1">
        <v>85.5</v>
      </c>
      <c r="AK3781" s="1">
        <v>9</v>
      </c>
      <c r="AL3781" s="1" t="s">
        <v>60023</v>
      </c>
      <c r="AM3781" s="1" t="s">
        <v>60024</v>
      </c>
      <c r="AN3781" s="1"/>
      <c r="AO3781" s="1">
        <v>42422</v>
      </c>
      <c r="AP3781" s="1">
        <v>42823</v>
      </c>
      <c r="AQ3781" s="1">
        <v>64.2</v>
      </c>
      <c r="AR3781" s="1"/>
      <c r="AS3781" s="1"/>
      <c r="AT3781" s="1"/>
      <c r="AU3781" s="1" t="s">
        <v>98</v>
      </c>
      <c r="AV3781" s="1" t="s">
        <v>98</v>
      </c>
      <c r="AW3781" s="1" t="s">
        <v>98</v>
      </c>
      <c r="AX3781" s="1" t="s">
        <v>98</v>
      </c>
      <c r="AY3781" s="1" t="s">
        <v>60025</v>
      </c>
      <c r="AZ3781" s="1" t="s">
        <v>60025</v>
      </c>
      <c r="BA3781" s="1"/>
      <c r="BB3781" s="1"/>
      <c r="BC3781" s="1">
        <v>42923</v>
      </c>
      <c r="BD3781" s="1">
        <v>44321</v>
      </c>
      <c r="BE3781" s="1">
        <v>78</v>
      </c>
      <c r="BF3781" s="1">
        <v>7.8</v>
      </c>
      <c r="BG3781" s="1"/>
      <c r="BH3781" s="1"/>
      <c r="BI3781" s="1"/>
      <c r="BJ3781" s="1"/>
      <c r="BK3781" s="1" t="s">
        <v>98</v>
      </c>
      <c r="BL3781" s="1" t="s">
        <v>98</v>
      </c>
      <c r="BM3781" s="1" t="s">
        <v>98</v>
      </c>
      <c r="BN3781" s="1" t="s">
        <v>98</v>
      </c>
      <c r="BO3781" s="1" t="s">
        <v>60026</v>
      </c>
      <c r="BP3781" s="1"/>
      <c r="BQ3781" s="1"/>
      <c r="BR3781" s="1" t="s">
        <v>60027</v>
      </c>
      <c r="BS3781" s="1">
        <v>15</v>
      </c>
      <c r="BT3781" s="1"/>
      <c r="BU3781" s="1" t="str">
        <f>HYPERLINK("https://nconnect.nicmar.ac.in/storage/profile/2021-2023_PP21074_124379.jpg","Download")</f>
        <v>0</v>
      </c>
      <c r="BV3781" s="3"/>
      <c r="BW3781" s="3"/>
    </row>
    <row r="3782" spans="1:75">
      <c r="A3782" s="1" t="s">
        <v>59001</v>
      </c>
      <c r="B3782" s="1" t="s">
        <v>51341</v>
      </c>
      <c r="C3782" s="1" t="s">
        <v>60028</v>
      </c>
      <c r="D3782" s="1" t="s">
        <v>875</v>
      </c>
      <c r="E3782" s="1"/>
      <c r="F3782" s="1" t="s">
        <v>54492</v>
      </c>
      <c r="G3782" s="1" t="s">
        <v>60029</v>
      </c>
      <c r="H3782" s="1" t="s">
        <v>60030</v>
      </c>
      <c r="I3782" s="1" t="s">
        <v>60031</v>
      </c>
      <c r="J3782" s="1">
        <v>8889927880</v>
      </c>
      <c r="K3782" s="1" t="s">
        <v>84</v>
      </c>
      <c r="L3782" s="1" t="s">
        <v>60032</v>
      </c>
      <c r="M3782" s="1" t="s">
        <v>86</v>
      </c>
      <c r="N3782" s="1" t="s">
        <v>87</v>
      </c>
      <c r="O3782" s="1"/>
      <c r="P3782" s="1" t="s">
        <v>507</v>
      </c>
      <c r="Q3782" s="1" t="s">
        <v>60033</v>
      </c>
      <c r="R3782" s="1" t="s">
        <v>60034</v>
      </c>
      <c r="S3782" s="1">
        <v>9425269501</v>
      </c>
      <c r="T3782" s="1" t="s">
        <v>13258</v>
      </c>
      <c r="U3782" s="1" t="s">
        <v>60035</v>
      </c>
      <c r="V3782" s="1">
        <v>9425269801</v>
      </c>
      <c r="W3782" s="1" t="s">
        <v>94</v>
      </c>
      <c r="X3782" s="1" t="s">
        <v>60036</v>
      </c>
      <c r="Y3782" s="1" t="s">
        <v>1699</v>
      </c>
      <c r="Z3782" s="1" t="s">
        <v>2933</v>
      </c>
      <c r="AA3782" s="1" t="s">
        <v>60036</v>
      </c>
      <c r="AB3782" s="1" t="s">
        <v>1699</v>
      </c>
      <c r="AC3782" s="1" t="s">
        <v>2933</v>
      </c>
      <c r="AD3782" s="1" t="s">
        <v>98</v>
      </c>
      <c r="AE3782" s="1" t="s">
        <v>98</v>
      </c>
      <c r="AF3782" s="1" t="s">
        <v>60037</v>
      </c>
      <c r="AG3782" s="1" t="s">
        <v>60038</v>
      </c>
      <c r="AH3782" s="1">
        <v>41730</v>
      </c>
      <c r="AI3782" s="1">
        <v>42152</v>
      </c>
      <c r="AJ3782" s="1">
        <v>76</v>
      </c>
      <c r="AK3782" s="1">
        <v>8</v>
      </c>
      <c r="AL3782" s="1" t="s">
        <v>4591</v>
      </c>
      <c r="AM3782" s="1" t="s">
        <v>60039</v>
      </c>
      <c r="AN3782" s="1"/>
      <c r="AO3782" s="1">
        <v>42464</v>
      </c>
      <c r="AP3782" s="1">
        <v>42883</v>
      </c>
      <c r="AQ3782" s="1">
        <v>74.2</v>
      </c>
      <c r="AR3782" s="1"/>
      <c r="AS3782" s="1"/>
      <c r="AT3782" s="1"/>
      <c r="AU3782" s="1" t="s">
        <v>98</v>
      </c>
      <c r="AV3782" s="1" t="s">
        <v>98</v>
      </c>
      <c r="AW3782" s="1" t="s">
        <v>98</v>
      </c>
      <c r="AX3782" s="1" t="s">
        <v>98</v>
      </c>
      <c r="AY3782" s="1" t="s">
        <v>39117</v>
      </c>
      <c r="AZ3782" s="1" t="s">
        <v>56640</v>
      </c>
      <c r="BA3782" s="1"/>
      <c r="BB3782" s="1"/>
      <c r="BC3782" s="1">
        <v>42920</v>
      </c>
      <c r="BD3782" s="1">
        <v>44438</v>
      </c>
      <c r="BE3782" s="1">
        <v>80.3</v>
      </c>
      <c r="BF3782" s="1">
        <v>8.53</v>
      </c>
      <c r="BG3782" s="1"/>
      <c r="BH3782" s="1"/>
      <c r="BI3782" s="1"/>
      <c r="BJ3782" s="1"/>
      <c r="BK3782" s="1" t="s">
        <v>98</v>
      </c>
      <c r="BL3782" s="1" t="s">
        <v>98</v>
      </c>
      <c r="BM3782" s="1" t="s">
        <v>98</v>
      </c>
      <c r="BN3782" s="1" t="s">
        <v>98</v>
      </c>
      <c r="BO3782" s="1" t="s">
        <v>28364</v>
      </c>
      <c r="BP3782" s="1"/>
      <c r="BQ3782" s="1"/>
      <c r="BR3782" s="1" t="s">
        <v>60040</v>
      </c>
      <c r="BS3782" s="1">
        <v>22</v>
      </c>
      <c r="BT3782" s="1"/>
      <c r="BU3782" s="1" t="str">
        <f>HYPERLINK("https://nconnect.nicmar.ac.in/storage/profile/2021-2023_PP21075_612834.jpg","Download")</f>
        <v>0</v>
      </c>
      <c r="BV3782" s="3"/>
      <c r="BW3782" s="3"/>
    </row>
    <row r="3783" spans="1:75">
      <c r="A3783" s="1" t="s">
        <v>59001</v>
      </c>
      <c r="B3783" s="1" t="s">
        <v>51341</v>
      </c>
      <c r="C3783" s="1" t="s">
        <v>60041</v>
      </c>
      <c r="D3783" s="1" t="s">
        <v>6599</v>
      </c>
      <c r="E3783" s="1" t="s">
        <v>3042</v>
      </c>
      <c r="F3783" s="1" t="s">
        <v>60042</v>
      </c>
      <c r="G3783" s="1" t="s">
        <v>60043</v>
      </c>
      <c r="H3783" s="1" t="s">
        <v>60044</v>
      </c>
      <c r="I3783" s="1" t="s">
        <v>60044</v>
      </c>
      <c r="J3783" s="1">
        <v>7718825844</v>
      </c>
      <c r="K3783" s="1" t="s">
        <v>84</v>
      </c>
      <c r="L3783" s="1" t="s">
        <v>60045</v>
      </c>
      <c r="M3783" s="1" t="s">
        <v>86</v>
      </c>
      <c r="N3783" s="1" t="s">
        <v>903</v>
      </c>
      <c r="O3783" s="1"/>
      <c r="P3783" s="1" t="s">
        <v>507</v>
      </c>
      <c r="Q3783" s="1" t="s">
        <v>60046</v>
      </c>
      <c r="R3783" s="1" t="s">
        <v>3042</v>
      </c>
      <c r="S3783" s="1">
        <v>9869699880</v>
      </c>
      <c r="T3783" s="1" t="s">
        <v>645</v>
      </c>
      <c r="U3783" s="1" t="s">
        <v>60047</v>
      </c>
      <c r="V3783" s="1">
        <v>7718913879</v>
      </c>
      <c r="W3783" s="1" t="s">
        <v>161</v>
      </c>
      <c r="X3783" s="1" t="s">
        <v>60048</v>
      </c>
      <c r="Y3783" s="1" t="s">
        <v>1012</v>
      </c>
      <c r="Z3783" s="1" t="s">
        <v>97</v>
      </c>
      <c r="AA3783" s="1" t="s">
        <v>60048</v>
      </c>
      <c r="AB3783" s="1" t="s">
        <v>1012</v>
      </c>
      <c r="AC3783" s="1" t="s">
        <v>97</v>
      </c>
      <c r="AD3783" s="1" t="s">
        <v>98</v>
      </c>
      <c r="AE3783" s="1" t="s">
        <v>98</v>
      </c>
      <c r="AF3783" s="1" t="s">
        <v>43603</v>
      </c>
      <c r="AG3783" s="1" t="s">
        <v>60049</v>
      </c>
      <c r="AH3783" s="1" t="s">
        <v>56291</v>
      </c>
      <c r="AI3783" s="1" t="s">
        <v>60050</v>
      </c>
      <c r="AJ3783" s="1">
        <v>75.45</v>
      </c>
      <c r="AK3783" s="1"/>
      <c r="AL3783" s="1" t="s">
        <v>98</v>
      </c>
      <c r="AM3783" s="1" t="s">
        <v>98</v>
      </c>
      <c r="AN3783" s="1"/>
      <c r="AO3783" s="1" t="s">
        <v>60051</v>
      </c>
      <c r="AP3783" s="1" t="s">
        <v>60051</v>
      </c>
      <c r="AQ3783" s="1"/>
      <c r="AR3783" s="1"/>
      <c r="AS3783" s="1" t="s">
        <v>439</v>
      </c>
      <c r="AT3783" s="1" t="s">
        <v>60052</v>
      </c>
      <c r="AU3783" s="1" t="s">
        <v>60053</v>
      </c>
      <c r="AV3783" s="1" t="s">
        <v>59640</v>
      </c>
      <c r="AW3783" s="1">
        <v>66.67</v>
      </c>
      <c r="AX3783" s="1"/>
      <c r="AY3783" s="1" t="s">
        <v>680</v>
      </c>
      <c r="AZ3783" s="1" t="s">
        <v>60054</v>
      </c>
      <c r="BA3783" s="1"/>
      <c r="BB3783" s="1"/>
      <c r="BC3783" s="1" t="s">
        <v>55010</v>
      </c>
      <c r="BD3783" s="1" t="s">
        <v>60055</v>
      </c>
      <c r="BE3783" s="1">
        <v>55.02</v>
      </c>
      <c r="BF3783" s="1"/>
      <c r="BG3783" s="1"/>
      <c r="BH3783" s="1"/>
      <c r="BI3783" s="1"/>
      <c r="BJ3783" s="1"/>
      <c r="BK3783" s="1"/>
      <c r="BL3783" s="1"/>
      <c r="BM3783" s="1"/>
      <c r="BN3783" s="1"/>
      <c r="BO3783" s="1"/>
      <c r="BP3783" s="1"/>
      <c r="BQ3783" s="1"/>
      <c r="BR3783" s="1" t="s">
        <v>60056</v>
      </c>
      <c r="BS3783" s="1">
        <v>7</v>
      </c>
      <c r="BT3783" s="1"/>
      <c r="BU3783" s="1" t="str">
        <f>HYPERLINK("https://nconnect.nicmar.ac.in/storage/profile/2021-2023_PP21076_975683.jpg","Download")</f>
        <v>0</v>
      </c>
      <c r="BV3783" s="3"/>
      <c r="BW3783" s="3"/>
    </row>
    <row r="3784" spans="1:75">
      <c r="A3784" s="1" t="s">
        <v>59001</v>
      </c>
      <c r="B3784" s="1" t="s">
        <v>51341</v>
      </c>
      <c r="C3784" s="1" t="s">
        <v>60057</v>
      </c>
      <c r="D3784" s="1" t="s">
        <v>60058</v>
      </c>
      <c r="E3784" s="1"/>
      <c r="F3784" s="1" t="s">
        <v>60059</v>
      </c>
      <c r="G3784" s="1" t="s">
        <v>60060</v>
      </c>
      <c r="H3784" s="1" t="s">
        <v>60061</v>
      </c>
      <c r="I3784" s="1" t="s">
        <v>60062</v>
      </c>
      <c r="J3784" s="1">
        <v>9158084453</v>
      </c>
      <c r="K3784" s="1" t="s">
        <v>84</v>
      </c>
      <c r="L3784" s="1" t="s">
        <v>34574</v>
      </c>
      <c r="M3784" s="1" t="s">
        <v>86</v>
      </c>
      <c r="N3784" s="1" t="s">
        <v>60063</v>
      </c>
      <c r="O3784" s="1"/>
      <c r="P3784" s="1" t="s">
        <v>455</v>
      </c>
      <c r="Q3784" s="1" t="s">
        <v>60064</v>
      </c>
      <c r="R3784" s="1" t="s">
        <v>60065</v>
      </c>
      <c r="S3784" s="1">
        <v>9158478653</v>
      </c>
      <c r="T3784" s="1" t="s">
        <v>926</v>
      </c>
      <c r="U3784" s="1" t="s">
        <v>60066</v>
      </c>
      <c r="V3784" s="1">
        <v>8459562852</v>
      </c>
      <c r="W3784" s="1" t="s">
        <v>94</v>
      </c>
      <c r="X3784" s="1" t="s">
        <v>60067</v>
      </c>
      <c r="Y3784" s="1" t="s">
        <v>410</v>
      </c>
      <c r="Z3784" s="1" t="s">
        <v>97</v>
      </c>
      <c r="AA3784" s="1" t="s">
        <v>60068</v>
      </c>
      <c r="AB3784" s="1" t="s">
        <v>410</v>
      </c>
      <c r="AC3784" s="1" t="s">
        <v>97</v>
      </c>
      <c r="AD3784" s="1" t="s">
        <v>98</v>
      </c>
      <c r="AE3784" s="1" t="s">
        <v>98</v>
      </c>
      <c r="AF3784" s="1" t="s">
        <v>4636</v>
      </c>
      <c r="AG3784" s="1" t="s">
        <v>312</v>
      </c>
      <c r="AH3784" s="1" t="s">
        <v>101</v>
      </c>
      <c r="AI3784" s="1" t="s">
        <v>166</v>
      </c>
      <c r="AJ3784" s="1">
        <v>76.4</v>
      </c>
      <c r="AK3784" s="1">
        <v>8.4</v>
      </c>
      <c r="AL3784" s="1" t="s">
        <v>60069</v>
      </c>
      <c r="AM3784" s="1" t="s">
        <v>312</v>
      </c>
      <c r="AN3784" s="1"/>
      <c r="AO3784" s="1" t="s">
        <v>166</v>
      </c>
      <c r="AP3784" s="1" t="s">
        <v>388</v>
      </c>
      <c r="AQ3784" s="1">
        <v>75.54</v>
      </c>
      <c r="AR3784" s="1"/>
      <c r="AS3784" s="1"/>
      <c r="AT3784" s="1"/>
      <c r="AU3784" s="1" t="s">
        <v>98</v>
      </c>
      <c r="AV3784" s="1" t="s">
        <v>98</v>
      </c>
      <c r="AW3784" s="1"/>
      <c r="AX3784" s="1"/>
      <c r="AY3784" s="1" t="s">
        <v>997</v>
      </c>
      <c r="AZ3784" s="1" t="s">
        <v>60070</v>
      </c>
      <c r="BA3784" s="1"/>
      <c r="BB3784" s="1"/>
      <c r="BC3784" s="1" t="s">
        <v>170</v>
      </c>
      <c r="BD3784" s="1" t="s">
        <v>549</v>
      </c>
      <c r="BE3784" s="1">
        <v>76.1</v>
      </c>
      <c r="BF3784" s="1">
        <v>8.36</v>
      </c>
      <c r="BG3784" s="1"/>
      <c r="BH3784" s="1"/>
      <c r="BI3784" s="1"/>
      <c r="BJ3784" s="1"/>
      <c r="BK3784" s="1" t="s">
        <v>98</v>
      </c>
      <c r="BL3784" s="1" t="s">
        <v>98</v>
      </c>
      <c r="BM3784" s="1" t="s">
        <v>98</v>
      </c>
      <c r="BN3784" s="1" t="s">
        <v>98</v>
      </c>
      <c r="BO3784" s="1" t="s">
        <v>1114</v>
      </c>
      <c r="BP3784" s="1"/>
      <c r="BQ3784" s="1"/>
      <c r="BR3784" s="1" t="s">
        <v>60071</v>
      </c>
      <c r="BS3784" s="1">
        <v>43</v>
      </c>
      <c r="BT3784" s="1"/>
      <c r="BU3784" s="1" t="str">
        <f>HYPERLINK("https://nconnect.nicmar.ac.in/storage/profile/2021-2023_PP21077_812579.jpg","Download")</f>
        <v>0</v>
      </c>
      <c r="BV3784" s="3"/>
      <c r="BW3784" s="3"/>
    </row>
    <row r="3785" spans="1:75">
      <c r="A3785" s="1" t="s">
        <v>59001</v>
      </c>
      <c r="B3785" s="1" t="s">
        <v>51341</v>
      </c>
      <c r="C3785" s="1" t="s">
        <v>60072</v>
      </c>
      <c r="D3785" s="1" t="s">
        <v>60073</v>
      </c>
      <c r="E3785" s="1" t="s">
        <v>7510</v>
      </c>
      <c r="F3785" s="1" t="s">
        <v>2659</v>
      </c>
      <c r="G3785" s="1" t="s">
        <v>60074</v>
      </c>
      <c r="H3785" s="1" t="s">
        <v>60075</v>
      </c>
      <c r="I3785" s="1" t="s">
        <v>60076</v>
      </c>
      <c r="J3785" s="1">
        <v>7745017791</v>
      </c>
      <c r="K3785" s="1" t="s">
        <v>84</v>
      </c>
      <c r="L3785" s="1" t="s">
        <v>60077</v>
      </c>
      <c r="M3785" s="1" t="s">
        <v>86</v>
      </c>
      <c r="N3785" s="1" t="s">
        <v>990</v>
      </c>
      <c r="O3785" s="1"/>
      <c r="P3785" s="1" t="s">
        <v>507</v>
      </c>
      <c r="Q3785" s="1" t="s">
        <v>60078</v>
      </c>
      <c r="R3785" s="1" t="s">
        <v>60079</v>
      </c>
      <c r="S3785" s="1">
        <v>9822504550</v>
      </c>
      <c r="T3785" s="1" t="s">
        <v>60080</v>
      </c>
      <c r="U3785" s="1" t="s">
        <v>60081</v>
      </c>
      <c r="V3785" s="1">
        <v>9604844463</v>
      </c>
      <c r="W3785" s="1" t="s">
        <v>161</v>
      </c>
      <c r="X3785" s="1" t="s">
        <v>60082</v>
      </c>
      <c r="Y3785" s="1" t="s">
        <v>196</v>
      </c>
      <c r="Z3785" s="1" t="s">
        <v>97</v>
      </c>
      <c r="AA3785" s="1" t="s">
        <v>60083</v>
      </c>
      <c r="AB3785" s="1" t="s">
        <v>196</v>
      </c>
      <c r="AC3785" s="1" t="s">
        <v>97</v>
      </c>
      <c r="AD3785" s="1" t="s">
        <v>98</v>
      </c>
      <c r="AE3785" s="1" t="s">
        <v>98</v>
      </c>
      <c r="AF3785" s="1" t="s">
        <v>33911</v>
      </c>
      <c r="AG3785" s="1" t="s">
        <v>1968</v>
      </c>
      <c r="AH3785" s="1">
        <v>41066</v>
      </c>
      <c r="AI3785" s="1">
        <v>41432</v>
      </c>
      <c r="AJ3785" s="1">
        <v>73.27</v>
      </c>
      <c r="AK3785" s="1"/>
      <c r="AL3785" s="1" t="s">
        <v>98</v>
      </c>
      <c r="AM3785" s="1"/>
      <c r="AN3785" s="1"/>
      <c r="AO3785" s="1"/>
      <c r="AP3785" s="1"/>
      <c r="AQ3785" s="1"/>
      <c r="AR3785" s="1"/>
      <c r="AS3785" s="1" t="s">
        <v>439</v>
      </c>
      <c r="AT3785" s="1" t="s">
        <v>60084</v>
      </c>
      <c r="AU3785" s="1">
        <v>41465</v>
      </c>
      <c r="AV3785" s="1">
        <v>42571</v>
      </c>
      <c r="AW3785" s="1">
        <v>65.7</v>
      </c>
      <c r="AX3785" s="1">
        <v>6.21</v>
      </c>
      <c r="AY3785" s="1" t="s">
        <v>366</v>
      </c>
      <c r="AZ3785" s="1" t="s">
        <v>8080</v>
      </c>
      <c r="BA3785" s="1"/>
      <c r="BB3785" s="1"/>
      <c r="BC3785" s="1">
        <v>42948</v>
      </c>
      <c r="BD3785" s="1">
        <v>43976</v>
      </c>
      <c r="BE3785" s="1">
        <v>58.04</v>
      </c>
      <c r="BF3785" s="1">
        <v>6.11</v>
      </c>
      <c r="BG3785" s="1"/>
      <c r="BH3785" s="1"/>
      <c r="BI3785" s="1"/>
      <c r="BJ3785" s="1"/>
      <c r="BK3785" s="1" t="s">
        <v>98</v>
      </c>
      <c r="BL3785" s="1" t="s">
        <v>98</v>
      </c>
      <c r="BM3785" s="1" t="s">
        <v>98</v>
      </c>
      <c r="BN3785" s="1" t="s">
        <v>98</v>
      </c>
      <c r="BO3785" s="1" t="s">
        <v>28364</v>
      </c>
      <c r="BP3785" s="1"/>
      <c r="BQ3785" s="1"/>
      <c r="BR3785" s="1" t="s">
        <v>60085</v>
      </c>
      <c r="BS3785" s="1">
        <v>7</v>
      </c>
      <c r="BT3785" s="1"/>
      <c r="BU3785" s="1" t="str">
        <f>HYPERLINK("https://nconnect.nicmar.ac.in/storage/profile/2021-2023_PP21078_695831.jpeg","Download")</f>
        <v>0</v>
      </c>
      <c r="BV3785" s="3"/>
      <c r="BW3785" s="3"/>
    </row>
    <row r="3786" spans="1:75">
      <c r="A3786" s="1" t="s">
        <v>59001</v>
      </c>
      <c r="B3786" s="1" t="s">
        <v>51341</v>
      </c>
      <c r="C3786" s="1" t="s">
        <v>60086</v>
      </c>
      <c r="D3786" s="1" t="s">
        <v>59520</v>
      </c>
      <c r="E3786" s="1"/>
      <c r="F3786" s="1" t="s">
        <v>60087</v>
      </c>
      <c r="G3786" s="1" t="s">
        <v>60088</v>
      </c>
      <c r="H3786" s="1" t="s">
        <v>60089</v>
      </c>
      <c r="I3786" s="1" t="s">
        <v>60090</v>
      </c>
      <c r="J3786" s="1">
        <v>9340129768</v>
      </c>
      <c r="K3786" s="1" t="s">
        <v>84</v>
      </c>
      <c r="L3786" s="1" t="s">
        <v>56490</v>
      </c>
      <c r="M3786" s="1" t="s">
        <v>86</v>
      </c>
      <c r="N3786" s="1" t="s">
        <v>246</v>
      </c>
      <c r="O3786" s="1"/>
      <c r="P3786" s="1" t="s">
        <v>507</v>
      </c>
      <c r="Q3786" s="1" t="s">
        <v>60091</v>
      </c>
      <c r="R3786" s="1" t="s">
        <v>60092</v>
      </c>
      <c r="S3786" s="1">
        <v>9425117256</v>
      </c>
      <c r="T3786" s="1" t="s">
        <v>11408</v>
      </c>
      <c r="U3786" s="1" t="s">
        <v>60093</v>
      </c>
      <c r="V3786" s="1">
        <v>9425110356</v>
      </c>
      <c r="W3786" s="1" t="s">
        <v>94</v>
      </c>
      <c r="X3786" s="1" t="s">
        <v>60094</v>
      </c>
      <c r="Y3786" s="1" t="s">
        <v>5219</v>
      </c>
      <c r="Z3786" s="1" t="s">
        <v>3419</v>
      </c>
      <c r="AA3786" s="1" t="s">
        <v>98</v>
      </c>
      <c r="AB3786" s="1" t="s">
        <v>60095</v>
      </c>
      <c r="AC3786" s="1" t="s">
        <v>3419</v>
      </c>
      <c r="AD3786" s="1" t="s">
        <v>98</v>
      </c>
      <c r="AE3786" s="1" t="s">
        <v>98</v>
      </c>
      <c r="AF3786" s="1" t="s">
        <v>1060</v>
      </c>
      <c r="AG3786" s="1" t="s">
        <v>796</v>
      </c>
      <c r="AH3786" s="1">
        <v>41733</v>
      </c>
      <c r="AI3786" s="1">
        <v>42152</v>
      </c>
      <c r="AJ3786" s="1">
        <v>72.2</v>
      </c>
      <c r="AK3786" s="1">
        <v>7.6</v>
      </c>
      <c r="AL3786" s="1" t="s">
        <v>60096</v>
      </c>
      <c r="AM3786" s="1" t="s">
        <v>796</v>
      </c>
      <c r="AN3786" s="1"/>
      <c r="AO3786" s="1">
        <v>42462</v>
      </c>
      <c r="AP3786" s="1">
        <v>42883</v>
      </c>
      <c r="AQ3786" s="1">
        <v>54.6</v>
      </c>
      <c r="AR3786" s="1"/>
      <c r="AS3786" s="1"/>
      <c r="AT3786" s="1"/>
      <c r="AU3786" s="1" t="s">
        <v>98</v>
      </c>
      <c r="AV3786" s="1" t="s">
        <v>98</v>
      </c>
      <c r="AW3786" s="1" t="s">
        <v>98</v>
      </c>
      <c r="AX3786" s="1" t="s">
        <v>98</v>
      </c>
      <c r="AY3786" s="1" t="s">
        <v>60097</v>
      </c>
      <c r="AZ3786" s="1" t="s">
        <v>60098</v>
      </c>
      <c r="BA3786" s="1"/>
      <c r="BB3786" s="1"/>
      <c r="BC3786" s="1">
        <v>42936</v>
      </c>
      <c r="BD3786" s="1">
        <v>44354</v>
      </c>
      <c r="BE3786" s="1">
        <v>66</v>
      </c>
      <c r="BF3786" s="1">
        <v>6.6</v>
      </c>
      <c r="BG3786" s="1"/>
      <c r="BH3786" s="1"/>
      <c r="BI3786" s="1"/>
      <c r="BJ3786" s="1"/>
      <c r="BK3786" s="1" t="s">
        <v>98</v>
      </c>
      <c r="BL3786" s="1" t="s">
        <v>98</v>
      </c>
      <c r="BM3786" s="1" t="s">
        <v>98</v>
      </c>
      <c r="BN3786" s="1" t="s">
        <v>98</v>
      </c>
      <c r="BO3786" s="1" t="s">
        <v>849</v>
      </c>
      <c r="BP3786" s="1"/>
      <c r="BQ3786" s="1"/>
      <c r="BR3786" s="1" t="s">
        <v>60099</v>
      </c>
      <c r="BS3786" s="1">
        <v>11</v>
      </c>
      <c r="BT3786" s="1"/>
      <c r="BU3786" s="1" t="s">
        <v>9653</v>
      </c>
      <c r="BV3786" s="3"/>
      <c r="BW3786" s="3"/>
    </row>
    <row r="3787" spans="1:75">
      <c r="A3787" s="1" t="s">
        <v>59001</v>
      </c>
      <c r="B3787" s="1" t="s">
        <v>51341</v>
      </c>
      <c r="C3787" s="1" t="s">
        <v>60100</v>
      </c>
      <c r="D3787" s="1" t="s">
        <v>60101</v>
      </c>
      <c r="E3787" s="1" t="s">
        <v>29672</v>
      </c>
      <c r="F3787" s="1" t="s">
        <v>60102</v>
      </c>
      <c r="G3787" s="1" t="s">
        <v>60103</v>
      </c>
      <c r="H3787" s="1" t="s">
        <v>60104</v>
      </c>
      <c r="I3787" s="1" t="s">
        <v>60105</v>
      </c>
      <c r="J3787" s="1">
        <v>8624995105</v>
      </c>
      <c r="K3787" s="1" t="s">
        <v>84</v>
      </c>
      <c r="L3787" s="1" t="s">
        <v>57016</v>
      </c>
      <c r="M3787" s="1" t="s">
        <v>86</v>
      </c>
      <c r="N3787" s="1" t="s">
        <v>246</v>
      </c>
      <c r="O3787" s="1"/>
      <c r="P3787" s="1" t="s">
        <v>1028</v>
      </c>
      <c r="Q3787" s="1" t="s">
        <v>60106</v>
      </c>
      <c r="R3787" s="1" t="s">
        <v>60107</v>
      </c>
      <c r="S3787" s="1">
        <v>8551885438</v>
      </c>
      <c r="T3787" s="1" t="s">
        <v>839</v>
      </c>
      <c r="U3787" s="1" t="s">
        <v>60108</v>
      </c>
      <c r="V3787" s="1">
        <v>9503778846</v>
      </c>
      <c r="W3787" s="1" t="s">
        <v>2547</v>
      </c>
      <c r="X3787" s="1" t="s">
        <v>60109</v>
      </c>
      <c r="Y3787" s="1" t="s">
        <v>410</v>
      </c>
      <c r="Z3787" s="1" t="s">
        <v>97</v>
      </c>
      <c r="AA3787" s="1" t="s">
        <v>60109</v>
      </c>
      <c r="AB3787" s="1" t="s">
        <v>410</v>
      </c>
      <c r="AC3787" s="1" t="s">
        <v>97</v>
      </c>
      <c r="AD3787" s="1" t="s">
        <v>98</v>
      </c>
      <c r="AE3787" s="1" t="s">
        <v>98</v>
      </c>
      <c r="AF3787" s="1" t="s">
        <v>52025</v>
      </c>
      <c r="AG3787" s="1" t="s">
        <v>312</v>
      </c>
      <c r="AH3787" s="1" t="s">
        <v>1583</v>
      </c>
      <c r="AI3787" s="1" t="s">
        <v>1262</v>
      </c>
      <c r="AJ3787" s="1">
        <v>81.7</v>
      </c>
      <c r="AK3787" s="1">
        <v>8.6</v>
      </c>
      <c r="AL3787" s="1" t="s">
        <v>60110</v>
      </c>
      <c r="AM3787" s="1" t="s">
        <v>312</v>
      </c>
      <c r="AN3787" s="1"/>
      <c r="AO3787" s="1" t="s">
        <v>102</v>
      </c>
      <c r="AP3787" s="1" t="s">
        <v>517</v>
      </c>
      <c r="AQ3787" s="1">
        <v>69.85</v>
      </c>
      <c r="AR3787" s="1"/>
      <c r="AS3787" s="1"/>
      <c r="AT3787" s="1"/>
      <c r="AU3787" s="1" t="s">
        <v>98</v>
      </c>
      <c r="AV3787" s="1" t="s">
        <v>98</v>
      </c>
      <c r="AW3787" s="1" t="s">
        <v>98</v>
      </c>
      <c r="AX3787" s="1" t="s">
        <v>98</v>
      </c>
      <c r="AY3787" s="1" t="s">
        <v>60111</v>
      </c>
      <c r="AZ3787" s="1" t="s">
        <v>20667</v>
      </c>
      <c r="BA3787" s="1"/>
      <c r="BB3787" s="1"/>
      <c r="BC3787" s="1" t="s">
        <v>139</v>
      </c>
      <c r="BD3787" s="1" t="s">
        <v>845</v>
      </c>
      <c r="BE3787" s="1">
        <v>68.4</v>
      </c>
      <c r="BF3787" s="1">
        <v>6.84</v>
      </c>
      <c r="BG3787" s="1"/>
      <c r="BH3787" s="1"/>
      <c r="BI3787" s="1"/>
      <c r="BJ3787" s="1"/>
      <c r="BK3787" s="1" t="s">
        <v>98</v>
      </c>
      <c r="BL3787" s="1" t="s">
        <v>98</v>
      </c>
      <c r="BM3787" s="1" t="s">
        <v>98</v>
      </c>
      <c r="BN3787" s="1" t="s">
        <v>98</v>
      </c>
      <c r="BO3787" s="1" t="s">
        <v>60112</v>
      </c>
      <c r="BP3787" s="1"/>
      <c r="BQ3787" s="1"/>
      <c r="BR3787" s="1" t="s">
        <v>60113</v>
      </c>
      <c r="BS3787" s="1">
        <v>36</v>
      </c>
      <c r="BT3787" s="1"/>
      <c r="BU3787" s="1" t="str">
        <f>HYPERLINK("https://nconnect.nicmar.ac.in/storage/profile/2021-2023_PP21080_247853.jpg","Download")</f>
        <v>0</v>
      </c>
      <c r="BV3787" s="3"/>
      <c r="BW3787" s="3"/>
    </row>
    <row r="3788" spans="1:75">
      <c r="A3788" s="1" t="s">
        <v>59001</v>
      </c>
      <c r="B3788" s="1" t="s">
        <v>51341</v>
      </c>
      <c r="C3788" s="1" t="s">
        <v>60114</v>
      </c>
      <c r="D3788" s="1" t="s">
        <v>6011</v>
      </c>
      <c r="E3788" s="1" t="s">
        <v>2447</v>
      </c>
      <c r="F3788" s="1" t="s">
        <v>36711</v>
      </c>
      <c r="G3788" s="1" t="s">
        <v>60115</v>
      </c>
      <c r="H3788" s="1" t="s">
        <v>60116</v>
      </c>
      <c r="I3788" s="1" t="s">
        <v>60117</v>
      </c>
      <c r="J3788" s="1">
        <v>7709334284</v>
      </c>
      <c r="K3788" s="1" t="s">
        <v>153</v>
      </c>
      <c r="L3788" s="1" t="s">
        <v>59117</v>
      </c>
      <c r="M3788" s="1" t="s">
        <v>86</v>
      </c>
      <c r="N3788" s="1" t="s">
        <v>1163</v>
      </c>
      <c r="O3788" s="1"/>
      <c r="P3788" s="1" t="s">
        <v>481</v>
      </c>
      <c r="Q3788" s="1" t="s">
        <v>60118</v>
      </c>
      <c r="R3788" s="1" t="s">
        <v>60119</v>
      </c>
      <c r="S3788" s="1">
        <v>9422386216</v>
      </c>
      <c r="T3788" s="1" t="s">
        <v>3396</v>
      </c>
      <c r="U3788" s="1" t="s">
        <v>60120</v>
      </c>
      <c r="V3788" s="1">
        <v>9819268640</v>
      </c>
      <c r="W3788" s="1" t="s">
        <v>161</v>
      </c>
      <c r="X3788" s="1" t="s">
        <v>60121</v>
      </c>
      <c r="Y3788" s="1" t="s">
        <v>4302</v>
      </c>
      <c r="Z3788" s="1" t="s">
        <v>97</v>
      </c>
      <c r="AA3788" s="1" t="s">
        <v>60121</v>
      </c>
      <c r="AB3788" s="1" t="s">
        <v>4302</v>
      </c>
      <c r="AC3788" s="1" t="s">
        <v>97</v>
      </c>
      <c r="AD3788" s="1" t="s">
        <v>98</v>
      </c>
      <c r="AE3788" s="1" t="s">
        <v>98</v>
      </c>
      <c r="AF3788" s="1" t="s">
        <v>60122</v>
      </c>
      <c r="AG3788" s="1" t="s">
        <v>51712</v>
      </c>
      <c r="AH3788" s="1" t="s">
        <v>1213</v>
      </c>
      <c r="AI3788" s="1" t="s">
        <v>515</v>
      </c>
      <c r="AJ3788" s="1">
        <v>76</v>
      </c>
      <c r="AK3788" s="1"/>
      <c r="AL3788" s="1" t="s">
        <v>60123</v>
      </c>
      <c r="AM3788" s="1" t="s">
        <v>51712</v>
      </c>
      <c r="AN3788" s="1"/>
      <c r="AO3788" s="1" t="s">
        <v>166</v>
      </c>
      <c r="AP3788" s="1" t="s">
        <v>517</v>
      </c>
      <c r="AQ3788" s="1">
        <v>63.08</v>
      </c>
      <c r="AR3788" s="1"/>
      <c r="AS3788" s="1"/>
      <c r="AT3788" s="1"/>
      <c r="AU3788" s="1" t="s">
        <v>98</v>
      </c>
      <c r="AV3788" s="1" t="s">
        <v>98</v>
      </c>
      <c r="AW3788" s="1"/>
      <c r="AX3788" s="1"/>
      <c r="AY3788" s="1" t="s">
        <v>258</v>
      </c>
      <c r="AZ3788" s="1" t="s">
        <v>60124</v>
      </c>
      <c r="BA3788" s="1"/>
      <c r="BB3788" s="1"/>
      <c r="BC3788" s="1" t="s">
        <v>139</v>
      </c>
      <c r="BD3788" s="1" t="s">
        <v>1647</v>
      </c>
      <c r="BE3788" s="1">
        <v>72</v>
      </c>
      <c r="BF3788" s="1">
        <v>8.08</v>
      </c>
      <c r="BG3788" s="1"/>
      <c r="BH3788" s="1"/>
      <c r="BI3788" s="1"/>
      <c r="BJ3788" s="1"/>
      <c r="BK3788" s="1" t="s">
        <v>98</v>
      </c>
      <c r="BL3788" s="1" t="s">
        <v>98</v>
      </c>
      <c r="BM3788" s="1" t="s">
        <v>98</v>
      </c>
      <c r="BN3788" s="1" t="s">
        <v>98</v>
      </c>
      <c r="BO3788" s="1" t="s">
        <v>1114</v>
      </c>
      <c r="BP3788" s="1"/>
      <c r="BQ3788" s="1"/>
      <c r="BR3788" s="1" t="s">
        <v>60125</v>
      </c>
      <c r="BS3788" s="1">
        <v>8</v>
      </c>
      <c r="BT3788" s="1"/>
      <c r="BU3788" s="1" t="str">
        <f>HYPERLINK("https://nconnect.nicmar.ac.in/storage/profile/2021-2023_PP21081_758169.jpg","Download")</f>
        <v>0</v>
      </c>
      <c r="BV3788" s="3"/>
      <c r="BW3788" s="3"/>
    </row>
    <row r="3789" spans="1:75">
      <c r="A3789" s="1" t="s">
        <v>59001</v>
      </c>
      <c r="B3789" s="1" t="s">
        <v>51341</v>
      </c>
      <c r="C3789" s="1" t="s">
        <v>60126</v>
      </c>
      <c r="D3789" s="1" t="s">
        <v>60127</v>
      </c>
      <c r="E3789" s="1" t="s">
        <v>422</v>
      </c>
      <c r="F3789" s="1" t="s">
        <v>7638</v>
      </c>
      <c r="G3789" s="1" t="s">
        <v>60128</v>
      </c>
      <c r="H3789" s="1" t="s">
        <v>60129</v>
      </c>
      <c r="I3789" s="1" t="s">
        <v>60130</v>
      </c>
      <c r="J3789" s="1">
        <v>7249433417</v>
      </c>
      <c r="K3789" s="1" t="s">
        <v>153</v>
      </c>
      <c r="L3789" s="1" t="s">
        <v>52357</v>
      </c>
      <c r="M3789" s="1" t="s">
        <v>86</v>
      </c>
      <c r="N3789" s="1" t="s">
        <v>2433</v>
      </c>
      <c r="O3789" s="1"/>
      <c r="P3789" s="1" t="s">
        <v>481</v>
      </c>
      <c r="Q3789" s="1" t="s">
        <v>60131</v>
      </c>
      <c r="R3789" s="1" t="s">
        <v>60132</v>
      </c>
      <c r="S3789" s="1">
        <v>8983731021</v>
      </c>
      <c r="T3789" s="1" t="s">
        <v>98</v>
      </c>
      <c r="U3789" s="1" t="s">
        <v>60133</v>
      </c>
      <c r="V3789" s="1">
        <v>8767143979</v>
      </c>
      <c r="W3789" s="1" t="s">
        <v>6971</v>
      </c>
      <c r="X3789" s="1" t="s">
        <v>60134</v>
      </c>
      <c r="Y3789" s="1" t="s">
        <v>96</v>
      </c>
      <c r="Z3789" s="1" t="s">
        <v>97</v>
      </c>
      <c r="AA3789" s="1" t="s">
        <v>60134</v>
      </c>
      <c r="AB3789" s="1" t="s">
        <v>96</v>
      </c>
      <c r="AC3789" s="1" t="s">
        <v>97</v>
      </c>
      <c r="AD3789" s="1" t="s">
        <v>98</v>
      </c>
      <c r="AE3789" s="1" t="s">
        <v>98</v>
      </c>
      <c r="AF3789" s="1" t="s">
        <v>60135</v>
      </c>
      <c r="AG3789" s="1" t="s">
        <v>60136</v>
      </c>
      <c r="AH3789" s="1">
        <v>41440</v>
      </c>
      <c r="AI3789" s="1">
        <v>41807</v>
      </c>
      <c r="AJ3789" s="1">
        <v>81.8</v>
      </c>
      <c r="AK3789" s="1"/>
      <c r="AL3789" s="1" t="s">
        <v>98</v>
      </c>
      <c r="AM3789" s="1" t="s">
        <v>98</v>
      </c>
      <c r="AN3789" s="1"/>
      <c r="AO3789" s="1" t="s">
        <v>98</v>
      </c>
      <c r="AP3789" s="1" t="s">
        <v>98</v>
      </c>
      <c r="AQ3789" s="1"/>
      <c r="AR3789" s="1"/>
      <c r="AS3789" s="1" t="s">
        <v>439</v>
      </c>
      <c r="AT3789" s="1" t="s">
        <v>60137</v>
      </c>
      <c r="AU3789" s="1">
        <v>41870</v>
      </c>
      <c r="AV3789" s="1">
        <v>42894</v>
      </c>
      <c r="AW3789" s="1">
        <v>72.48</v>
      </c>
      <c r="AX3789" s="1"/>
      <c r="AY3789" s="1" t="s">
        <v>366</v>
      </c>
      <c r="AZ3789" s="1" t="s">
        <v>36475</v>
      </c>
      <c r="BA3789" s="1"/>
      <c r="BB3789" s="1"/>
      <c r="BC3789" s="1">
        <v>42965</v>
      </c>
      <c r="BD3789" s="1">
        <v>44146</v>
      </c>
      <c r="BE3789" s="1">
        <v>65.83</v>
      </c>
      <c r="BF3789" s="1">
        <v>6.93</v>
      </c>
      <c r="BG3789" s="1"/>
      <c r="BH3789" s="1"/>
      <c r="BI3789" s="1"/>
      <c r="BJ3789" s="1"/>
      <c r="BK3789" s="1" t="s">
        <v>98</v>
      </c>
      <c r="BL3789" s="1" t="s">
        <v>98</v>
      </c>
      <c r="BM3789" s="1" t="s">
        <v>98</v>
      </c>
      <c r="BN3789" s="1" t="s">
        <v>98</v>
      </c>
      <c r="BO3789" s="1" t="s">
        <v>40690</v>
      </c>
      <c r="BP3789" s="1"/>
      <c r="BQ3789" s="1"/>
      <c r="BR3789" s="1" t="s">
        <v>60138</v>
      </c>
      <c r="BS3789" s="1">
        <v>10</v>
      </c>
      <c r="BT3789" s="1"/>
      <c r="BU3789" s="1" t="str">
        <f>HYPERLINK("https://nconnect.nicmar.ac.in/storage/profile/2021-2023_PP21082_716245.jpg","Download")</f>
        <v>0</v>
      </c>
      <c r="BV3789" s="3"/>
      <c r="BW3789" s="3"/>
    </row>
    <row r="3790" spans="1:75">
      <c r="A3790" s="1" t="s">
        <v>59001</v>
      </c>
      <c r="B3790" s="1" t="s">
        <v>51341</v>
      </c>
      <c r="C3790" s="1" t="s">
        <v>60139</v>
      </c>
      <c r="D3790" s="1" t="s">
        <v>761</v>
      </c>
      <c r="E3790" s="1" t="s">
        <v>1075</v>
      </c>
      <c r="F3790" s="1" t="s">
        <v>60140</v>
      </c>
      <c r="G3790" s="1" t="s">
        <v>60141</v>
      </c>
      <c r="H3790" s="1" t="s">
        <v>60142</v>
      </c>
      <c r="I3790" s="1" t="s">
        <v>60143</v>
      </c>
      <c r="J3790" s="1">
        <v>8484019279</v>
      </c>
      <c r="K3790" s="1" t="s">
        <v>84</v>
      </c>
      <c r="L3790" s="1" t="s">
        <v>34674</v>
      </c>
      <c r="M3790" s="1" t="s">
        <v>86</v>
      </c>
      <c r="N3790" s="1" t="s">
        <v>3064</v>
      </c>
      <c r="O3790" s="1"/>
      <c r="P3790" s="1" t="s">
        <v>507</v>
      </c>
      <c r="Q3790" s="1" t="s">
        <v>60144</v>
      </c>
      <c r="R3790" s="1" t="s">
        <v>60145</v>
      </c>
      <c r="S3790" s="1">
        <v>9145299860</v>
      </c>
      <c r="T3790" s="1" t="s">
        <v>645</v>
      </c>
      <c r="U3790" s="1" t="s">
        <v>60146</v>
      </c>
      <c r="V3790" s="1">
        <v>9730165343</v>
      </c>
      <c r="W3790" s="1" t="s">
        <v>161</v>
      </c>
      <c r="X3790" s="1" t="s">
        <v>60147</v>
      </c>
      <c r="Y3790" s="1" t="s">
        <v>4302</v>
      </c>
      <c r="Z3790" s="1" t="s">
        <v>97</v>
      </c>
      <c r="AA3790" s="1" t="s">
        <v>98</v>
      </c>
      <c r="AB3790" s="1" t="s">
        <v>4302</v>
      </c>
      <c r="AC3790" s="1" t="s">
        <v>97</v>
      </c>
      <c r="AD3790" s="1" t="s">
        <v>98</v>
      </c>
      <c r="AE3790" s="1" t="s">
        <v>98</v>
      </c>
      <c r="AF3790" s="1" t="s">
        <v>60148</v>
      </c>
      <c r="AG3790" s="1" t="s">
        <v>51712</v>
      </c>
      <c r="AH3790" s="1">
        <v>41435</v>
      </c>
      <c r="AI3790" s="1">
        <v>41807</v>
      </c>
      <c r="AJ3790" s="1">
        <v>86.4</v>
      </c>
      <c r="AK3790" s="1"/>
      <c r="AL3790" s="1" t="s">
        <v>60149</v>
      </c>
      <c r="AM3790" s="1" t="s">
        <v>51712</v>
      </c>
      <c r="AN3790" s="1"/>
      <c r="AO3790" s="1">
        <v>42156</v>
      </c>
      <c r="AP3790" s="1">
        <v>42511</v>
      </c>
      <c r="AQ3790" s="1">
        <v>65.38</v>
      </c>
      <c r="AR3790" s="1"/>
      <c r="AS3790" s="1"/>
      <c r="AT3790" s="1"/>
      <c r="AU3790" s="1" t="s">
        <v>98</v>
      </c>
      <c r="AV3790" s="1" t="s">
        <v>98</v>
      </c>
      <c r="AW3790" s="1" t="s">
        <v>98</v>
      </c>
      <c r="AX3790" s="1" t="s">
        <v>98</v>
      </c>
      <c r="AY3790" s="1" t="s">
        <v>258</v>
      </c>
      <c r="AZ3790" s="1" t="s">
        <v>60150</v>
      </c>
      <c r="BA3790" s="1"/>
      <c r="BB3790" s="1"/>
      <c r="BC3790" s="1">
        <v>42586</v>
      </c>
      <c r="BD3790" s="1">
        <v>44112</v>
      </c>
      <c r="BE3790" s="1">
        <v>66.54</v>
      </c>
      <c r="BF3790" s="1">
        <v>7.37</v>
      </c>
      <c r="BG3790" s="1"/>
      <c r="BH3790" s="1"/>
      <c r="BI3790" s="1"/>
      <c r="BJ3790" s="1"/>
      <c r="BK3790" s="1" t="s">
        <v>98</v>
      </c>
      <c r="BL3790" s="1" t="s">
        <v>98</v>
      </c>
      <c r="BM3790" s="1" t="s">
        <v>98</v>
      </c>
      <c r="BN3790" s="1" t="s">
        <v>98</v>
      </c>
      <c r="BO3790" s="1" t="s">
        <v>8688</v>
      </c>
      <c r="BP3790" s="1" t="s">
        <v>60151</v>
      </c>
      <c r="BQ3790" s="1" t="s">
        <v>1070</v>
      </c>
      <c r="BR3790" s="1" t="s">
        <v>60152</v>
      </c>
      <c r="BS3790" s="1">
        <v>12</v>
      </c>
      <c r="BT3790" s="1"/>
      <c r="BU3790" s="1" t="str">
        <f>HYPERLINK("https://nconnect.nicmar.ac.in/storage/profile/2021-2023_PP21083_356712.jpeg","Download")</f>
        <v>0</v>
      </c>
      <c r="BV3790" s="3"/>
      <c r="BW3790" s="3"/>
    </row>
    <row r="3791" spans="1:75">
      <c r="A3791" s="1" t="s">
        <v>59001</v>
      </c>
      <c r="B3791" s="1" t="s">
        <v>51341</v>
      </c>
      <c r="C3791" s="1" t="s">
        <v>60153</v>
      </c>
      <c r="D3791" s="1" t="s">
        <v>1787</v>
      </c>
      <c r="E3791" s="1" t="s">
        <v>60154</v>
      </c>
      <c r="F3791" s="1" t="s">
        <v>60155</v>
      </c>
      <c r="G3791" s="1" t="s">
        <v>60156</v>
      </c>
      <c r="H3791" s="1" t="s">
        <v>60157</v>
      </c>
      <c r="I3791" s="1" t="s">
        <v>60158</v>
      </c>
      <c r="J3791" s="1">
        <v>9766115858</v>
      </c>
      <c r="K3791" s="1" t="s">
        <v>84</v>
      </c>
      <c r="L3791" s="1" t="s">
        <v>5830</v>
      </c>
      <c r="M3791" s="1" t="s">
        <v>86</v>
      </c>
      <c r="N3791" s="1" t="s">
        <v>13689</v>
      </c>
      <c r="O3791" s="1"/>
      <c r="P3791" s="1" t="s">
        <v>507</v>
      </c>
      <c r="Q3791" s="1" t="s">
        <v>60159</v>
      </c>
      <c r="R3791" s="1" t="s">
        <v>60160</v>
      </c>
      <c r="S3791" s="1">
        <v>8459357448</v>
      </c>
      <c r="T3791" s="1" t="s">
        <v>127</v>
      </c>
      <c r="U3791" s="1" t="s">
        <v>60161</v>
      </c>
      <c r="V3791" s="1">
        <v>9511679788</v>
      </c>
      <c r="W3791" s="1" t="s">
        <v>127</v>
      </c>
      <c r="X3791" s="1" t="s">
        <v>60162</v>
      </c>
      <c r="Y3791" s="1" t="s">
        <v>56074</v>
      </c>
      <c r="Z3791" s="1" t="s">
        <v>97</v>
      </c>
      <c r="AA3791" s="1" t="s">
        <v>60163</v>
      </c>
      <c r="AB3791" s="1" t="s">
        <v>56074</v>
      </c>
      <c r="AC3791" s="1" t="s">
        <v>97</v>
      </c>
      <c r="AD3791" s="1" t="s">
        <v>98</v>
      </c>
      <c r="AE3791" s="1" t="s">
        <v>98</v>
      </c>
      <c r="AF3791" s="1" t="s">
        <v>60164</v>
      </c>
      <c r="AG3791" s="1" t="s">
        <v>60165</v>
      </c>
      <c r="AH3791" s="1">
        <v>41805</v>
      </c>
      <c r="AI3791" s="1">
        <v>42163</v>
      </c>
      <c r="AJ3791" s="1">
        <v>86</v>
      </c>
      <c r="AK3791" s="1"/>
      <c r="AL3791" s="1" t="s">
        <v>60166</v>
      </c>
      <c r="AM3791" s="1" t="s">
        <v>60165</v>
      </c>
      <c r="AN3791" s="1"/>
      <c r="AO3791" s="1">
        <v>42566</v>
      </c>
      <c r="AP3791" s="1">
        <v>42860</v>
      </c>
      <c r="AQ3791" s="1">
        <v>56.15</v>
      </c>
      <c r="AR3791" s="1"/>
      <c r="AS3791" s="1"/>
      <c r="AT3791" s="1"/>
      <c r="AU3791" s="1" t="s">
        <v>98</v>
      </c>
      <c r="AV3791" s="1" t="s">
        <v>98</v>
      </c>
      <c r="AW3791" s="1" t="s">
        <v>98</v>
      </c>
      <c r="AX3791" s="1" t="s">
        <v>98</v>
      </c>
      <c r="AY3791" s="1" t="s">
        <v>258</v>
      </c>
      <c r="AZ3791" s="1" t="s">
        <v>26157</v>
      </c>
      <c r="BA3791" s="1"/>
      <c r="BB3791" s="1"/>
      <c r="BC3791" s="1">
        <v>42988</v>
      </c>
      <c r="BD3791" s="1">
        <v>44407</v>
      </c>
      <c r="BE3791" s="1">
        <v>62.97</v>
      </c>
      <c r="BF3791" s="1">
        <v>6.97</v>
      </c>
      <c r="BG3791" s="1"/>
      <c r="BH3791" s="1"/>
      <c r="BI3791" s="1"/>
      <c r="BJ3791" s="1"/>
      <c r="BK3791" s="1" t="s">
        <v>98</v>
      </c>
      <c r="BL3791" s="1" t="s">
        <v>98</v>
      </c>
      <c r="BM3791" s="1" t="s">
        <v>98</v>
      </c>
      <c r="BN3791" s="1" t="s">
        <v>98</v>
      </c>
      <c r="BO3791" s="1"/>
      <c r="BP3791" s="1"/>
      <c r="BQ3791" s="1"/>
      <c r="BR3791" s="1" t="s">
        <v>60167</v>
      </c>
      <c r="BS3791" s="1">
        <v>7</v>
      </c>
      <c r="BT3791" s="1"/>
      <c r="BU3791" s="1" t="str">
        <f>HYPERLINK("https://nconnect.nicmar.ac.in/storage/profile/2021-2023_PP21084_759683.jpg","Download")</f>
        <v>0</v>
      </c>
      <c r="BV3791" s="3"/>
      <c r="BW3791" s="3"/>
    </row>
    <row r="3792" spans="1:75">
      <c r="A3792" s="1" t="s">
        <v>59001</v>
      </c>
      <c r="B3792" s="1" t="s">
        <v>51341</v>
      </c>
      <c r="C3792" s="1" t="s">
        <v>60168</v>
      </c>
      <c r="D3792" s="1" t="s">
        <v>960</v>
      </c>
      <c r="E3792" s="1" t="s">
        <v>1320</v>
      </c>
      <c r="F3792" s="1" t="s">
        <v>961</v>
      </c>
      <c r="G3792" s="1" t="s">
        <v>60169</v>
      </c>
      <c r="H3792" s="1" t="s">
        <v>60170</v>
      </c>
      <c r="I3792" s="1" t="s">
        <v>60171</v>
      </c>
      <c r="J3792" s="1">
        <v>8939427599</v>
      </c>
      <c r="K3792" s="1" t="s">
        <v>84</v>
      </c>
      <c r="L3792" s="1" t="s">
        <v>30720</v>
      </c>
      <c r="M3792" s="1" t="s">
        <v>86</v>
      </c>
      <c r="N3792" s="1" t="s">
        <v>2969</v>
      </c>
      <c r="O3792" s="1"/>
      <c r="P3792" s="1" t="s">
        <v>481</v>
      </c>
      <c r="Q3792" s="1" t="s">
        <v>60172</v>
      </c>
      <c r="R3792" s="1" t="s">
        <v>60173</v>
      </c>
      <c r="S3792" s="1">
        <v>8887547059</v>
      </c>
      <c r="T3792" s="1" t="s">
        <v>539</v>
      </c>
      <c r="U3792" s="1" t="s">
        <v>60174</v>
      </c>
      <c r="V3792" s="1">
        <v>6306626289</v>
      </c>
      <c r="W3792" s="1" t="s">
        <v>94</v>
      </c>
      <c r="X3792" s="1" t="s">
        <v>60175</v>
      </c>
      <c r="Y3792" s="1" t="s">
        <v>1059</v>
      </c>
      <c r="Z3792" s="1" t="s">
        <v>544</v>
      </c>
      <c r="AA3792" s="1" t="s">
        <v>60176</v>
      </c>
      <c r="AB3792" s="1" t="s">
        <v>196</v>
      </c>
      <c r="AC3792" s="1" t="s">
        <v>97</v>
      </c>
      <c r="AD3792" s="1" t="s">
        <v>98</v>
      </c>
      <c r="AE3792" s="1" t="s">
        <v>98</v>
      </c>
      <c r="AF3792" s="1" t="s">
        <v>60177</v>
      </c>
      <c r="AG3792" s="1" t="s">
        <v>312</v>
      </c>
      <c r="AH3792" s="1">
        <v>41365</v>
      </c>
      <c r="AI3792" s="1">
        <v>41713</v>
      </c>
      <c r="AJ3792" s="1">
        <v>79.8</v>
      </c>
      <c r="AK3792" s="1">
        <v>8.4</v>
      </c>
      <c r="AL3792" s="1" t="s">
        <v>60177</v>
      </c>
      <c r="AM3792" s="1" t="s">
        <v>312</v>
      </c>
      <c r="AN3792" s="1"/>
      <c r="AO3792" s="1">
        <v>42095</v>
      </c>
      <c r="AP3792" s="1">
        <v>42511</v>
      </c>
      <c r="AQ3792" s="1">
        <v>70.6</v>
      </c>
      <c r="AR3792" s="1"/>
      <c r="AS3792" s="1"/>
      <c r="AT3792" s="1"/>
      <c r="AU3792" s="1" t="s">
        <v>98</v>
      </c>
      <c r="AV3792" s="1" t="s">
        <v>98</v>
      </c>
      <c r="AW3792" s="1" t="s">
        <v>98</v>
      </c>
      <c r="AX3792" s="1" t="s">
        <v>98</v>
      </c>
      <c r="AY3792" s="1" t="s">
        <v>9026</v>
      </c>
      <c r="AZ3792" s="1" t="s">
        <v>2614</v>
      </c>
      <c r="BA3792" s="1"/>
      <c r="BB3792" s="1"/>
      <c r="BC3792" s="1">
        <v>42583</v>
      </c>
      <c r="BD3792" s="1">
        <v>43971</v>
      </c>
      <c r="BE3792" s="1">
        <v>75.68</v>
      </c>
      <c r="BF3792" s="1">
        <v>6.75</v>
      </c>
      <c r="BG3792" s="1"/>
      <c r="BH3792" s="1"/>
      <c r="BI3792" s="1"/>
      <c r="BJ3792" s="1"/>
      <c r="BK3792" s="1" t="s">
        <v>98</v>
      </c>
      <c r="BL3792" s="1" t="s">
        <v>98</v>
      </c>
      <c r="BM3792" s="1" t="s">
        <v>98</v>
      </c>
      <c r="BN3792" s="1" t="s">
        <v>98</v>
      </c>
      <c r="BO3792" s="1" t="s">
        <v>28364</v>
      </c>
      <c r="BP3792" s="1" t="s">
        <v>60178</v>
      </c>
      <c r="BQ3792" s="1" t="s">
        <v>2116</v>
      </c>
      <c r="BR3792" s="1" t="s">
        <v>60179</v>
      </c>
      <c r="BS3792" s="1">
        <v>10</v>
      </c>
      <c r="BT3792" s="1"/>
      <c r="BU3792" s="1" t="str">
        <f>HYPERLINK("https://nconnect.nicmar.ac.in/storage/profile/2021-2023_PP21085_936572.jpg","Download")</f>
        <v>0</v>
      </c>
      <c r="BV3792" s="3"/>
      <c r="BW3792" s="3"/>
    </row>
    <row r="3793" spans="1:75">
      <c r="A3793" s="1" t="s">
        <v>59001</v>
      </c>
      <c r="B3793" s="1" t="s">
        <v>51341</v>
      </c>
      <c r="C3793" s="1" t="s">
        <v>60180</v>
      </c>
      <c r="D3793" s="1" t="s">
        <v>239</v>
      </c>
      <c r="E3793" s="1"/>
      <c r="F3793" s="1" t="s">
        <v>1320</v>
      </c>
      <c r="G3793" s="1" t="s">
        <v>60181</v>
      </c>
      <c r="H3793" s="1" t="s">
        <v>60182</v>
      </c>
      <c r="I3793" s="1" t="s">
        <v>60183</v>
      </c>
      <c r="J3793" s="1">
        <v>7983239081</v>
      </c>
      <c r="K3793" s="1" t="s">
        <v>84</v>
      </c>
      <c r="L3793" s="1" t="s">
        <v>60184</v>
      </c>
      <c r="M3793" s="1" t="s">
        <v>86</v>
      </c>
      <c r="N3793" s="1" t="s">
        <v>246</v>
      </c>
      <c r="O3793" s="1"/>
      <c r="P3793" s="1" t="s">
        <v>455</v>
      </c>
      <c r="Q3793" s="1" t="s">
        <v>60185</v>
      </c>
      <c r="R3793" s="1" t="s">
        <v>60186</v>
      </c>
      <c r="S3793" s="1">
        <v>9808665335</v>
      </c>
      <c r="T3793" s="1" t="s">
        <v>839</v>
      </c>
      <c r="U3793" s="1" t="s">
        <v>60187</v>
      </c>
      <c r="V3793" s="1">
        <v>9084304974</v>
      </c>
      <c r="W3793" s="1" t="s">
        <v>161</v>
      </c>
      <c r="X3793" s="1" t="s">
        <v>60188</v>
      </c>
      <c r="Y3793" s="1" t="s">
        <v>14415</v>
      </c>
      <c r="Z3793" s="1" t="s">
        <v>544</v>
      </c>
      <c r="AA3793" s="1" t="s">
        <v>60189</v>
      </c>
      <c r="AB3793" s="1" t="s">
        <v>1739</v>
      </c>
      <c r="AC3793" s="1" t="s">
        <v>1739</v>
      </c>
      <c r="AD3793" s="1" t="s">
        <v>98</v>
      </c>
      <c r="AE3793" s="1" t="s">
        <v>98</v>
      </c>
      <c r="AF3793" s="1" t="s">
        <v>60190</v>
      </c>
      <c r="AG3793" s="1" t="s">
        <v>60191</v>
      </c>
      <c r="AH3793" s="1">
        <v>39266</v>
      </c>
      <c r="AI3793" s="1">
        <v>39598</v>
      </c>
      <c r="AJ3793" s="1">
        <v>66</v>
      </c>
      <c r="AK3793" s="1"/>
      <c r="AL3793" s="1" t="s">
        <v>60192</v>
      </c>
      <c r="AM3793" s="1" t="s">
        <v>60191</v>
      </c>
      <c r="AN3793" s="1"/>
      <c r="AO3793" s="1">
        <v>39995</v>
      </c>
      <c r="AP3793" s="1">
        <v>40346</v>
      </c>
      <c r="AQ3793" s="1">
        <v>69.83</v>
      </c>
      <c r="AR3793" s="1"/>
      <c r="AS3793" s="1"/>
      <c r="AT3793" s="1"/>
      <c r="AU3793" s="1" t="s">
        <v>98</v>
      </c>
      <c r="AV3793" s="1" t="s">
        <v>98</v>
      </c>
      <c r="AW3793" s="1" t="s">
        <v>98</v>
      </c>
      <c r="AX3793" s="1" t="s">
        <v>98</v>
      </c>
      <c r="AY3793" s="1" t="s">
        <v>60193</v>
      </c>
      <c r="AZ3793" s="1" t="s">
        <v>60194</v>
      </c>
      <c r="BA3793" s="1"/>
      <c r="BB3793" s="1"/>
      <c r="BC3793" s="1">
        <v>40392</v>
      </c>
      <c r="BD3793" s="1">
        <v>41820</v>
      </c>
      <c r="BE3793" s="1">
        <v>66.14</v>
      </c>
      <c r="BF3793" s="1"/>
      <c r="BG3793" s="1"/>
      <c r="BH3793" s="1"/>
      <c r="BI3793" s="1"/>
      <c r="BJ3793" s="1"/>
      <c r="BK3793" s="1" t="s">
        <v>98</v>
      </c>
      <c r="BL3793" s="1" t="s">
        <v>98</v>
      </c>
      <c r="BM3793" s="1" t="s">
        <v>98</v>
      </c>
      <c r="BN3793" s="1" t="s">
        <v>98</v>
      </c>
      <c r="BO3793" s="1" t="s">
        <v>1114</v>
      </c>
      <c r="BP3793" s="1" t="s">
        <v>60195</v>
      </c>
      <c r="BQ3793" s="1" t="s">
        <v>56659</v>
      </c>
      <c r="BR3793" s="1" t="s">
        <v>60196</v>
      </c>
      <c r="BS3793" s="1">
        <v>16</v>
      </c>
      <c r="BT3793" s="1"/>
      <c r="BU3793" s="1" t="str">
        <f>HYPERLINK("https://nconnect.nicmar.ac.in/storage/profile/2021-2023_PP21086_653981.jpg","Download")</f>
        <v>0</v>
      </c>
      <c r="BV3793" s="3"/>
      <c r="BW3793" s="3"/>
    </row>
    <row r="3794" spans="1:75">
      <c r="A3794" s="1" t="s">
        <v>59001</v>
      </c>
      <c r="B3794" s="1" t="s">
        <v>51341</v>
      </c>
      <c r="C3794" s="1" t="s">
        <v>60197</v>
      </c>
      <c r="D3794" s="1" t="s">
        <v>60198</v>
      </c>
      <c r="E3794" s="1"/>
      <c r="F3794" s="1" t="s">
        <v>60199</v>
      </c>
      <c r="G3794" s="1" t="s">
        <v>60200</v>
      </c>
      <c r="H3794" s="1" t="s">
        <v>60201</v>
      </c>
      <c r="I3794" s="1" t="s">
        <v>60202</v>
      </c>
      <c r="J3794" s="1">
        <v>9432329350</v>
      </c>
      <c r="K3794" s="1" t="s">
        <v>84</v>
      </c>
      <c r="L3794" s="1" t="s">
        <v>52565</v>
      </c>
      <c r="M3794" s="1" t="s">
        <v>86</v>
      </c>
      <c r="N3794" s="1" t="s">
        <v>27171</v>
      </c>
      <c r="O3794" s="1"/>
      <c r="P3794" s="1" t="s">
        <v>507</v>
      </c>
      <c r="Q3794" s="1" t="s">
        <v>60203</v>
      </c>
      <c r="R3794" s="1" t="s">
        <v>60204</v>
      </c>
      <c r="S3794" s="1">
        <v>9474759350</v>
      </c>
      <c r="T3794" s="1" t="s">
        <v>645</v>
      </c>
      <c r="U3794" s="1" t="s">
        <v>60205</v>
      </c>
      <c r="V3794" s="1">
        <v>9474089093</v>
      </c>
      <c r="W3794" s="1" t="s">
        <v>541</v>
      </c>
      <c r="X3794" s="1" t="s">
        <v>60206</v>
      </c>
      <c r="Y3794" s="1" t="s">
        <v>3282</v>
      </c>
      <c r="Z3794" s="1" t="s">
        <v>1234</v>
      </c>
      <c r="AA3794" s="1" t="s">
        <v>60207</v>
      </c>
      <c r="AB3794" s="1" t="s">
        <v>3282</v>
      </c>
      <c r="AC3794" s="1" t="s">
        <v>1234</v>
      </c>
      <c r="AD3794" s="1" t="s">
        <v>98</v>
      </c>
      <c r="AE3794" s="1" t="s">
        <v>98</v>
      </c>
      <c r="AF3794" s="1" t="s">
        <v>54402</v>
      </c>
      <c r="AG3794" s="1" t="s">
        <v>312</v>
      </c>
      <c r="AH3794" s="1">
        <v>41366</v>
      </c>
      <c r="AI3794" s="1">
        <v>41779</v>
      </c>
      <c r="AJ3794" s="1">
        <v>87.4</v>
      </c>
      <c r="AK3794" s="1">
        <v>9.2</v>
      </c>
      <c r="AL3794" s="1" t="s">
        <v>54402</v>
      </c>
      <c r="AM3794" s="1" t="s">
        <v>312</v>
      </c>
      <c r="AN3794" s="1"/>
      <c r="AO3794" s="1">
        <v>42114</v>
      </c>
      <c r="AP3794" s="1">
        <v>42511</v>
      </c>
      <c r="AQ3794" s="1">
        <v>69.6</v>
      </c>
      <c r="AR3794" s="1">
        <v>0</v>
      </c>
      <c r="AS3794" s="1"/>
      <c r="AT3794" s="1"/>
      <c r="AU3794" s="1" t="s">
        <v>98</v>
      </c>
      <c r="AV3794" s="1" t="s">
        <v>98</v>
      </c>
      <c r="AW3794" s="1" t="s">
        <v>98</v>
      </c>
      <c r="AX3794" s="1" t="s">
        <v>98</v>
      </c>
      <c r="AY3794" s="1" t="s">
        <v>1240</v>
      </c>
      <c r="AZ3794" s="1" t="s">
        <v>60208</v>
      </c>
      <c r="BA3794" s="1"/>
      <c r="BB3794" s="1"/>
      <c r="BC3794" s="1">
        <v>42571</v>
      </c>
      <c r="BD3794" s="1">
        <v>44032</v>
      </c>
      <c r="BE3794" s="1">
        <v>71.4</v>
      </c>
      <c r="BF3794" s="1">
        <v>7.89</v>
      </c>
      <c r="BG3794" s="1"/>
      <c r="BH3794" s="1"/>
      <c r="BI3794" s="1"/>
      <c r="BJ3794" s="1"/>
      <c r="BK3794" s="1" t="s">
        <v>98</v>
      </c>
      <c r="BL3794" s="1" t="s">
        <v>98</v>
      </c>
      <c r="BM3794" s="1" t="s">
        <v>98</v>
      </c>
      <c r="BN3794" s="1" t="s">
        <v>98</v>
      </c>
      <c r="BO3794" s="1" t="s">
        <v>60209</v>
      </c>
      <c r="BP3794" s="1" t="s">
        <v>60210</v>
      </c>
      <c r="BQ3794" s="1" t="s">
        <v>2116</v>
      </c>
      <c r="BR3794" s="1" t="s">
        <v>60211</v>
      </c>
      <c r="BS3794" s="1">
        <v>13</v>
      </c>
      <c r="BT3794" s="1"/>
      <c r="BU3794" s="1" t="str">
        <f>HYPERLINK("https://nconnect.nicmar.ac.in/storage/profile/2021-2023_PP21087_947253.jpg","Download")</f>
        <v>0</v>
      </c>
      <c r="BV3794" s="3"/>
      <c r="BW3794" s="3"/>
    </row>
    <row r="3795" spans="1:75">
      <c r="A3795" s="1" t="s">
        <v>59001</v>
      </c>
      <c r="B3795" s="1" t="s">
        <v>51341</v>
      </c>
      <c r="C3795" s="1" t="s">
        <v>60212</v>
      </c>
      <c r="D3795" s="1" t="s">
        <v>60213</v>
      </c>
      <c r="E3795" s="1" t="s">
        <v>60214</v>
      </c>
      <c r="F3795" s="1" t="s">
        <v>60215</v>
      </c>
      <c r="G3795" s="1" t="s">
        <v>60216</v>
      </c>
      <c r="H3795" s="1" t="s">
        <v>60217</v>
      </c>
      <c r="I3795" s="1" t="s">
        <v>60218</v>
      </c>
      <c r="J3795" s="1">
        <v>7509609361</v>
      </c>
      <c r="K3795" s="1" t="s">
        <v>153</v>
      </c>
      <c r="L3795" s="1" t="s">
        <v>60219</v>
      </c>
      <c r="M3795" s="1" t="s">
        <v>86</v>
      </c>
      <c r="N3795" s="1" t="s">
        <v>87</v>
      </c>
      <c r="O3795" s="1"/>
      <c r="P3795" s="1" t="s">
        <v>507</v>
      </c>
      <c r="Q3795" s="1" t="s">
        <v>60220</v>
      </c>
      <c r="R3795" s="1" t="s">
        <v>60221</v>
      </c>
      <c r="S3795" s="1">
        <v>9617291556</v>
      </c>
      <c r="T3795" s="1" t="s">
        <v>60222</v>
      </c>
      <c r="U3795" s="1" t="s">
        <v>60223</v>
      </c>
      <c r="V3795" s="1">
        <v>9926121581</v>
      </c>
      <c r="W3795" s="1" t="s">
        <v>94</v>
      </c>
      <c r="X3795" s="1" t="s">
        <v>60224</v>
      </c>
      <c r="Y3795" s="1" t="s">
        <v>2932</v>
      </c>
      <c r="Z3795" s="1" t="s">
        <v>2933</v>
      </c>
      <c r="AA3795" s="1" t="s">
        <v>98</v>
      </c>
      <c r="AB3795" s="1" t="s">
        <v>2932</v>
      </c>
      <c r="AC3795" s="1" t="s">
        <v>2933</v>
      </c>
      <c r="AD3795" s="1" t="s">
        <v>98</v>
      </c>
      <c r="AE3795" s="1" t="s">
        <v>98</v>
      </c>
      <c r="AF3795" s="1" t="s">
        <v>31436</v>
      </c>
      <c r="AG3795" s="1" t="s">
        <v>2475</v>
      </c>
      <c r="AH3795" s="1">
        <v>41076</v>
      </c>
      <c r="AI3795" s="1">
        <v>41424</v>
      </c>
      <c r="AJ3795" s="1">
        <v>58.9</v>
      </c>
      <c r="AK3795" s="1">
        <v>6.2</v>
      </c>
      <c r="AL3795" s="1" t="s">
        <v>60225</v>
      </c>
      <c r="AM3795" s="1" t="s">
        <v>2475</v>
      </c>
      <c r="AN3795" s="1"/>
      <c r="AO3795" s="1">
        <v>42220</v>
      </c>
      <c r="AP3795" s="1">
        <v>42490</v>
      </c>
      <c r="AQ3795" s="1">
        <v>65.8</v>
      </c>
      <c r="AR3795" s="1">
        <v>0</v>
      </c>
      <c r="AS3795" s="1"/>
      <c r="AT3795" s="1"/>
      <c r="AU3795" s="1" t="s">
        <v>98</v>
      </c>
      <c r="AV3795" s="1" t="s">
        <v>98</v>
      </c>
      <c r="AW3795" s="1" t="s">
        <v>98</v>
      </c>
      <c r="AX3795" s="1" t="s">
        <v>98</v>
      </c>
      <c r="AY3795" s="1" t="s">
        <v>60226</v>
      </c>
      <c r="AZ3795" s="1" t="s">
        <v>60227</v>
      </c>
      <c r="BA3795" s="1"/>
      <c r="BB3795" s="1"/>
      <c r="BC3795" s="1">
        <v>42559</v>
      </c>
      <c r="BD3795" s="1">
        <v>44033</v>
      </c>
      <c r="BE3795" s="1">
        <v>84.9</v>
      </c>
      <c r="BF3795" s="1">
        <v>8.49</v>
      </c>
      <c r="BG3795" s="1"/>
      <c r="BH3795" s="1"/>
      <c r="BI3795" s="1"/>
      <c r="BJ3795" s="1"/>
      <c r="BK3795" s="1" t="s">
        <v>98</v>
      </c>
      <c r="BL3795" s="1" t="s">
        <v>98</v>
      </c>
      <c r="BM3795" s="1" t="s">
        <v>98</v>
      </c>
      <c r="BN3795" s="1" t="s">
        <v>98</v>
      </c>
      <c r="BO3795" s="1" t="s">
        <v>60228</v>
      </c>
      <c r="BP3795" s="1"/>
      <c r="BQ3795" s="1"/>
      <c r="BR3795" s="1" t="s">
        <v>60229</v>
      </c>
      <c r="BS3795" s="1">
        <v>12</v>
      </c>
      <c r="BT3795" s="1"/>
      <c r="BU3795" s="1" t="str">
        <f>HYPERLINK("https://nconnect.nicmar.ac.in/storage/profile/ProfilePhoto_PP21088_456397.jpg","Download")</f>
        <v>0</v>
      </c>
      <c r="BV3795" s="3"/>
      <c r="BW3795" s="3"/>
    </row>
    <row r="3796" spans="1:75">
      <c r="A3796" s="1" t="s">
        <v>59001</v>
      </c>
      <c r="B3796" s="1" t="s">
        <v>51341</v>
      </c>
      <c r="C3796" s="1" t="s">
        <v>60230</v>
      </c>
      <c r="D3796" s="1" t="s">
        <v>2750</v>
      </c>
      <c r="E3796" s="1"/>
      <c r="F3796" s="1" t="s">
        <v>1320</v>
      </c>
      <c r="G3796" s="1" t="s">
        <v>60231</v>
      </c>
      <c r="H3796" s="1" t="s">
        <v>60232</v>
      </c>
      <c r="I3796" s="1" t="s">
        <v>60233</v>
      </c>
      <c r="J3796" s="1">
        <v>8077487296</v>
      </c>
      <c r="K3796" s="1" t="s">
        <v>84</v>
      </c>
      <c r="L3796" s="1" t="s">
        <v>51449</v>
      </c>
      <c r="M3796" s="1" t="s">
        <v>86</v>
      </c>
      <c r="N3796" s="1" t="s">
        <v>87</v>
      </c>
      <c r="O3796" s="1"/>
      <c r="P3796" s="1" t="s">
        <v>481</v>
      </c>
      <c r="Q3796" s="1" t="s">
        <v>60234</v>
      </c>
      <c r="R3796" s="1" t="s">
        <v>60235</v>
      </c>
      <c r="S3796" s="1">
        <v>9905211536</v>
      </c>
      <c r="T3796" s="1" t="s">
        <v>839</v>
      </c>
      <c r="U3796" s="1" t="s">
        <v>60236</v>
      </c>
      <c r="V3796" s="1">
        <v>8084811442</v>
      </c>
      <c r="W3796" s="1" t="s">
        <v>161</v>
      </c>
      <c r="X3796" s="1" t="s">
        <v>60237</v>
      </c>
      <c r="Y3796" s="1" t="s">
        <v>60238</v>
      </c>
      <c r="Z3796" s="1" t="s">
        <v>649</v>
      </c>
      <c r="AA3796" s="1" t="s">
        <v>60239</v>
      </c>
      <c r="AB3796" s="1" t="s">
        <v>1739</v>
      </c>
      <c r="AC3796" s="1" t="s">
        <v>1739</v>
      </c>
      <c r="AD3796" s="1" t="s">
        <v>98</v>
      </c>
      <c r="AE3796" s="1" t="s">
        <v>98</v>
      </c>
      <c r="AF3796" s="1" t="s">
        <v>60240</v>
      </c>
      <c r="AG3796" s="1" t="s">
        <v>312</v>
      </c>
      <c r="AH3796" s="1">
        <v>40269</v>
      </c>
      <c r="AI3796" s="1">
        <v>40704</v>
      </c>
      <c r="AJ3796" s="1">
        <v>83.6</v>
      </c>
      <c r="AK3796" s="1">
        <v>8.8</v>
      </c>
      <c r="AL3796" s="1" t="s">
        <v>60241</v>
      </c>
      <c r="AM3796" s="1" t="s">
        <v>312</v>
      </c>
      <c r="AN3796" s="1"/>
      <c r="AO3796" s="1">
        <v>40756</v>
      </c>
      <c r="AP3796" s="1">
        <v>41409</v>
      </c>
      <c r="AQ3796" s="1">
        <v>66.8</v>
      </c>
      <c r="AR3796" s="1"/>
      <c r="AS3796" s="1"/>
      <c r="AT3796" s="1"/>
      <c r="AU3796" s="1" t="s">
        <v>98</v>
      </c>
      <c r="AV3796" s="1" t="s">
        <v>98</v>
      </c>
      <c r="AW3796" s="1" t="s">
        <v>98</v>
      </c>
      <c r="AX3796" s="1" t="s">
        <v>98</v>
      </c>
      <c r="AY3796" s="1" t="s">
        <v>60242</v>
      </c>
      <c r="AZ3796" s="1" t="s">
        <v>60243</v>
      </c>
      <c r="BA3796" s="1"/>
      <c r="BB3796" s="1"/>
      <c r="BC3796" s="1">
        <v>41865</v>
      </c>
      <c r="BD3796" s="1">
        <v>43388</v>
      </c>
      <c r="BE3796" s="1">
        <v>61</v>
      </c>
      <c r="BF3796" s="1"/>
      <c r="BG3796" s="1"/>
      <c r="BH3796" s="1"/>
      <c r="BI3796" s="1"/>
      <c r="BJ3796" s="1"/>
      <c r="BK3796" s="1" t="s">
        <v>98</v>
      </c>
      <c r="BL3796" s="1" t="s">
        <v>98</v>
      </c>
      <c r="BM3796" s="1" t="s">
        <v>98</v>
      </c>
      <c r="BN3796" s="1" t="s">
        <v>98</v>
      </c>
      <c r="BO3796" s="1" t="s">
        <v>28364</v>
      </c>
      <c r="BP3796" s="1" t="s">
        <v>60244</v>
      </c>
      <c r="BQ3796" s="1" t="s">
        <v>582</v>
      </c>
      <c r="BR3796" s="1" t="s">
        <v>60245</v>
      </c>
      <c r="BS3796" s="1">
        <v>11</v>
      </c>
      <c r="BT3796" s="1"/>
      <c r="BU3796" s="1" t="str">
        <f>HYPERLINK("https://nconnect.nicmar.ac.in/storage/profile/2021-2023_PP21089_841256.png","Download")</f>
        <v>0</v>
      </c>
      <c r="BV3796" s="3"/>
      <c r="BW3796" s="3"/>
    </row>
    <row r="3797" spans="1:75">
      <c r="A3797" s="1" t="s">
        <v>59001</v>
      </c>
      <c r="B3797" s="1" t="s">
        <v>51341</v>
      </c>
      <c r="C3797" s="1" t="s">
        <v>60246</v>
      </c>
      <c r="D3797" s="1" t="s">
        <v>60247</v>
      </c>
      <c r="E3797" s="1"/>
      <c r="F3797" s="1" t="s">
        <v>30886</v>
      </c>
      <c r="G3797" s="1" t="s">
        <v>60248</v>
      </c>
      <c r="H3797" s="1" t="s">
        <v>60249</v>
      </c>
      <c r="I3797" s="1" t="s">
        <v>60250</v>
      </c>
      <c r="J3797" s="1">
        <v>7006157395</v>
      </c>
      <c r="K3797" s="1" t="s">
        <v>84</v>
      </c>
      <c r="L3797" s="1" t="s">
        <v>60251</v>
      </c>
      <c r="M3797" s="1" t="s">
        <v>86</v>
      </c>
      <c r="N3797" s="1" t="s">
        <v>55408</v>
      </c>
      <c r="O3797" s="1"/>
      <c r="P3797" s="1" t="s">
        <v>455</v>
      </c>
      <c r="Q3797" s="1" t="s">
        <v>60252</v>
      </c>
      <c r="R3797" s="1" t="s">
        <v>60253</v>
      </c>
      <c r="S3797" s="1">
        <v>9419010274</v>
      </c>
      <c r="T3797" s="1" t="s">
        <v>1552</v>
      </c>
      <c r="U3797" s="1" t="s">
        <v>60254</v>
      </c>
      <c r="V3797" s="1">
        <v>7006299552</v>
      </c>
      <c r="W3797" s="1" t="s">
        <v>127</v>
      </c>
      <c r="X3797" s="1" t="s">
        <v>60255</v>
      </c>
      <c r="Y3797" s="1" t="s">
        <v>13744</v>
      </c>
      <c r="Z3797" s="1" t="s">
        <v>59220</v>
      </c>
      <c r="AA3797" s="1" t="s">
        <v>60256</v>
      </c>
      <c r="AB3797" s="1" t="s">
        <v>13744</v>
      </c>
      <c r="AC3797" s="1" t="s">
        <v>59220</v>
      </c>
      <c r="AD3797" s="1" t="s">
        <v>98</v>
      </c>
      <c r="AE3797" s="1" t="s">
        <v>98</v>
      </c>
      <c r="AF3797" s="1" t="s">
        <v>60257</v>
      </c>
      <c r="AG3797" s="1" t="s">
        <v>60258</v>
      </c>
      <c r="AH3797" s="1">
        <v>40848</v>
      </c>
      <c r="AI3797" s="1">
        <v>41260</v>
      </c>
      <c r="AJ3797" s="1">
        <v>87.8</v>
      </c>
      <c r="AK3797" s="1">
        <v>9.2</v>
      </c>
      <c r="AL3797" s="1" t="s">
        <v>60259</v>
      </c>
      <c r="AM3797" s="1" t="s">
        <v>60258</v>
      </c>
      <c r="AN3797" s="1"/>
      <c r="AO3797" s="1">
        <v>41765</v>
      </c>
      <c r="AP3797" s="1">
        <v>42431</v>
      </c>
      <c r="AQ3797" s="1">
        <v>71.6</v>
      </c>
      <c r="AR3797" s="1">
        <v>0</v>
      </c>
      <c r="AS3797" s="1"/>
      <c r="AT3797" s="1"/>
      <c r="AU3797" s="1" t="s">
        <v>98</v>
      </c>
      <c r="AV3797" s="1" t="s">
        <v>98</v>
      </c>
      <c r="AW3797" s="1" t="s">
        <v>98</v>
      </c>
      <c r="AX3797" s="1" t="s">
        <v>98</v>
      </c>
      <c r="AY3797" s="1" t="s">
        <v>60260</v>
      </c>
      <c r="AZ3797" s="1" t="s">
        <v>2553</v>
      </c>
      <c r="BA3797" s="1"/>
      <c r="BB3797" s="1"/>
      <c r="BC3797" s="1">
        <v>42576</v>
      </c>
      <c r="BD3797" s="1">
        <v>44068</v>
      </c>
      <c r="BE3797" s="1">
        <v>63.2</v>
      </c>
      <c r="BF3797" s="1">
        <v>6.32</v>
      </c>
      <c r="BG3797" s="1"/>
      <c r="BH3797" s="1"/>
      <c r="BI3797" s="1"/>
      <c r="BJ3797" s="1"/>
      <c r="BK3797" s="1" t="s">
        <v>98</v>
      </c>
      <c r="BL3797" s="1" t="s">
        <v>98</v>
      </c>
      <c r="BM3797" s="1" t="s">
        <v>98</v>
      </c>
      <c r="BN3797" s="1" t="s">
        <v>98</v>
      </c>
      <c r="BO3797" s="1" t="s">
        <v>60261</v>
      </c>
      <c r="BP3797" s="1"/>
      <c r="BQ3797" s="1"/>
      <c r="BR3797" s="1" t="s">
        <v>60262</v>
      </c>
      <c r="BS3797" s="1">
        <v>18</v>
      </c>
      <c r="BT3797" s="1"/>
      <c r="BU3797" s="1" t="str">
        <f>HYPERLINK("https://nconnect.nicmar.ac.in/storage/profile/2021-2023_PP21090_967238.jpg","Download")</f>
        <v>0</v>
      </c>
      <c r="BV3797" s="3"/>
      <c r="BW3797" s="3"/>
    </row>
    <row r="3798" spans="1:75">
      <c r="A3798" s="1" t="s">
        <v>59001</v>
      </c>
      <c r="B3798" s="1" t="s">
        <v>51341</v>
      </c>
      <c r="C3798" s="1" t="s">
        <v>60263</v>
      </c>
      <c r="D3798" s="1" t="s">
        <v>7272</v>
      </c>
      <c r="E3798" s="1"/>
      <c r="F3798" s="1" t="s">
        <v>1320</v>
      </c>
      <c r="G3798" s="1" t="s">
        <v>60264</v>
      </c>
      <c r="H3798" s="1" t="s">
        <v>60265</v>
      </c>
      <c r="I3798" s="1" t="s">
        <v>60266</v>
      </c>
      <c r="J3798" s="1">
        <v>8160288299</v>
      </c>
      <c r="K3798" s="1" t="s">
        <v>84</v>
      </c>
      <c r="L3798" s="1" t="s">
        <v>38244</v>
      </c>
      <c r="M3798" s="1" t="s">
        <v>86</v>
      </c>
      <c r="N3798" s="1" t="s">
        <v>6641</v>
      </c>
      <c r="O3798" s="1"/>
      <c r="P3798" s="1" t="s">
        <v>2021</v>
      </c>
      <c r="Q3798" s="1" t="s">
        <v>60267</v>
      </c>
      <c r="R3798" s="1" t="s">
        <v>60268</v>
      </c>
      <c r="S3798" s="1">
        <v>9409533747</v>
      </c>
      <c r="T3798" s="1" t="s">
        <v>28175</v>
      </c>
      <c r="U3798" s="1" t="s">
        <v>60269</v>
      </c>
      <c r="V3798" s="1">
        <v>9427114916</v>
      </c>
      <c r="W3798" s="1" t="s">
        <v>94</v>
      </c>
      <c r="X3798" s="1" t="s">
        <v>60270</v>
      </c>
      <c r="Y3798" s="1" t="s">
        <v>60271</v>
      </c>
      <c r="Z3798" s="1" t="s">
        <v>2153</v>
      </c>
      <c r="AA3798" s="1" t="s">
        <v>60272</v>
      </c>
      <c r="AB3798" s="1" t="s">
        <v>8166</v>
      </c>
      <c r="AC3798" s="1" t="s">
        <v>676</v>
      </c>
      <c r="AD3798" s="1" t="s">
        <v>98</v>
      </c>
      <c r="AE3798" s="1" t="s">
        <v>98</v>
      </c>
      <c r="AF3798" s="1" t="s">
        <v>60273</v>
      </c>
      <c r="AG3798" s="1" t="s">
        <v>312</v>
      </c>
      <c r="AH3798" s="1">
        <v>41730</v>
      </c>
      <c r="AI3798" s="1">
        <v>42152</v>
      </c>
      <c r="AJ3798" s="1">
        <v>85.5</v>
      </c>
      <c r="AK3798" s="1">
        <v>9</v>
      </c>
      <c r="AL3798" s="1" t="s">
        <v>32045</v>
      </c>
      <c r="AM3798" s="1" t="s">
        <v>312</v>
      </c>
      <c r="AN3798" s="1"/>
      <c r="AO3798" s="1">
        <v>42170</v>
      </c>
      <c r="AP3798" s="1">
        <v>42883</v>
      </c>
      <c r="AQ3798" s="1">
        <v>77.2</v>
      </c>
      <c r="AR3798" s="1" t="s">
        <v>98</v>
      </c>
      <c r="AS3798" s="1" t="s">
        <v>98</v>
      </c>
      <c r="AT3798" s="1" t="s">
        <v>98</v>
      </c>
      <c r="AU3798" s="1" t="s">
        <v>98</v>
      </c>
      <c r="AV3798" s="1" t="s">
        <v>98</v>
      </c>
      <c r="AW3798" s="1" t="s">
        <v>98</v>
      </c>
      <c r="AX3798" s="1" t="s">
        <v>98</v>
      </c>
      <c r="AY3798" s="1" t="s">
        <v>5241</v>
      </c>
      <c r="AZ3798" s="1" t="s">
        <v>29137</v>
      </c>
      <c r="BA3798" s="1"/>
      <c r="BB3798" s="1"/>
      <c r="BC3798" s="1">
        <v>42950</v>
      </c>
      <c r="BD3798" s="1">
        <v>44383</v>
      </c>
      <c r="BE3798" s="1">
        <v>92.2</v>
      </c>
      <c r="BF3798" s="1">
        <v>9.72</v>
      </c>
      <c r="BG3798" s="1" t="s">
        <v>98</v>
      </c>
      <c r="BH3798" s="1"/>
      <c r="BI3798" s="1"/>
      <c r="BJ3798" s="1"/>
      <c r="BK3798" s="1" t="s">
        <v>98</v>
      </c>
      <c r="BL3798" s="1" t="s">
        <v>98</v>
      </c>
      <c r="BM3798" s="1" t="s">
        <v>98</v>
      </c>
      <c r="BN3798" s="1" t="s">
        <v>98</v>
      </c>
      <c r="BO3798" s="1"/>
      <c r="BP3798" s="1"/>
      <c r="BQ3798" s="1"/>
      <c r="BR3798" s="1" t="s">
        <v>60274</v>
      </c>
      <c r="BS3798" s="1">
        <v>13</v>
      </c>
      <c r="BT3798" s="1"/>
      <c r="BU3798" s="1" t="str">
        <f>HYPERLINK("https://nconnect.nicmar.ac.in/storage/profile/2021-2023_PP21091_893427.jpeg","Download")</f>
        <v>0</v>
      </c>
      <c r="BV3798" s="3"/>
      <c r="BW3798" s="3"/>
    </row>
    <row r="3799" spans="1:75">
      <c r="A3799" s="1" t="s">
        <v>59001</v>
      </c>
      <c r="B3799" s="1" t="s">
        <v>51341</v>
      </c>
      <c r="C3799" s="1" t="s">
        <v>60275</v>
      </c>
      <c r="D3799" s="1" t="s">
        <v>27636</v>
      </c>
      <c r="E3799" s="1" t="s">
        <v>60276</v>
      </c>
      <c r="F3799" s="1" t="s">
        <v>60277</v>
      </c>
      <c r="G3799" s="1" t="s">
        <v>60278</v>
      </c>
      <c r="H3799" s="1" t="s">
        <v>60279</v>
      </c>
      <c r="I3799" s="1" t="s">
        <v>60280</v>
      </c>
      <c r="J3799" s="1">
        <v>9995665624</v>
      </c>
      <c r="K3799" s="1" t="s">
        <v>84</v>
      </c>
      <c r="L3799" s="1" t="s">
        <v>60281</v>
      </c>
      <c r="M3799" s="1" t="s">
        <v>86</v>
      </c>
      <c r="N3799" s="1" t="s">
        <v>60282</v>
      </c>
      <c r="O3799" s="1"/>
      <c r="P3799" s="1" t="s">
        <v>455</v>
      </c>
      <c r="Q3799" s="1" t="s">
        <v>60283</v>
      </c>
      <c r="R3799" s="1" t="s">
        <v>60284</v>
      </c>
      <c r="S3799" s="1">
        <v>7902930755</v>
      </c>
      <c r="T3799" s="1" t="s">
        <v>839</v>
      </c>
      <c r="U3799" s="1" t="s">
        <v>60285</v>
      </c>
      <c r="V3799" s="1">
        <v>9497217938</v>
      </c>
      <c r="W3799" s="1" t="s">
        <v>94</v>
      </c>
      <c r="X3799" s="1" t="s">
        <v>60286</v>
      </c>
      <c r="Y3799" s="1" t="s">
        <v>60287</v>
      </c>
      <c r="Z3799" s="1" t="s">
        <v>130</v>
      </c>
      <c r="AA3799" s="1" t="s">
        <v>60288</v>
      </c>
      <c r="AB3799" s="1" t="s">
        <v>57963</v>
      </c>
      <c r="AC3799" s="1" t="s">
        <v>130</v>
      </c>
      <c r="AD3799" s="1" t="s">
        <v>98</v>
      </c>
      <c r="AE3799" s="1" t="s">
        <v>98</v>
      </c>
      <c r="AF3799" s="1" t="s">
        <v>60289</v>
      </c>
      <c r="AG3799" s="1" t="s">
        <v>60290</v>
      </c>
      <c r="AH3799" s="1" t="s">
        <v>101</v>
      </c>
      <c r="AI3799" s="1" t="s">
        <v>102</v>
      </c>
      <c r="AJ3799" s="1">
        <v>97</v>
      </c>
      <c r="AK3799" s="1">
        <v>9.7</v>
      </c>
      <c r="AL3799" s="1" t="s">
        <v>60289</v>
      </c>
      <c r="AM3799" s="1" t="s">
        <v>60290</v>
      </c>
      <c r="AN3799" s="1"/>
      <c r="AO3799" s="1" t="s">
        <v>167</v>
      </c>
      <c r="AP3799" s="1" t="s">
        <v>200</v>
      </c>
      <c r="AQ3799" s="1">
        <v>88</v>
      </c>
      <c r="AR3799" s="1">
        <v>8.89</v>
      </c>
      <c r="AS3799" s="1"/>
      <c r="AT3799" s="1"/>
      <c r="AU3799" s="1" t="s">
        <v>98</v>
      </c>
      <c r="AV3799" s="1" t="s">
        <v>98</v>
      </c>
      <c r="AW3799" s="1" t="s">
        <v>98</v>
      </c>
      <c r="AX3799" s="1" t="s">
        <v>98</v>
      </c>
      <c r="AY3799" s="1" t="s">
        <v>706</v>
      </c>
      <c r="AZ3799" s="1" t="s">
        <v>53392</v>
      </c>
      <c r="BA3799" s="1"/>
      <c r="BB3799" s="1"/>
      <c r="BC3799" s="1" t="s">
        <v>230</v>
      </c>
      <c r="BD3799" s="1" t="s">
        <v>549</v>
      </c>
      <c r="BE3799" s="1">
        <v>66.25</v>
      </c>
      <c r="BF3799" s="1">
        <v>7</v>
      </c>
      <c r="BG3799" s="1"/>
      <c r="BH3799" s="1"/>
      <c r="BI3799" s="1"/>
      <c r="BJ3799" s="1"/>
      <c r="BK3799" s="1" t="s">
        <v>98</v>
      </c>
      <c r="BL3799" s="1" t="s">
        <v>98</v>
      </c>
      <c r="BM3799" s="1" t="s">
        <v>98</v>
      </c>
      <c r="BN3799" s="1" t="s">
        <v>98</v>
      </c>
      <c r="BO3799" s="1" t="s">
        <v>28364</v>
      </c>
      <c r="BP3799" s="1"/>
      <c r="BQ3799" s="1"/>
      <c r="BR3799" s="1" t="s">
        <v>60291</v>
      </c>
      <c r="BS3799" s="1">
        <v>18</v>
      </c>
      <c r="BT3799" s="1"/>
      <c r="BU3799" s="1" t="str">
        <f>HYPERLINK("https://nconnect.nicmar.ac.in/storage/profile/2021-2023_PP21092_723695.jpg","Download")</f>
        <v>0</v>
      </c>
      <c r="BV3799" s="3"/>
      <c r="BW3799" s="3"/>
    </row>
    <row r="3800" spans="1:75">
      <c r="A3800" s="1" t="s">
        <v>59001</v>
      </c>
      <c r="B3800" s="1" t="s">
        <v>51341</v>
      </c>
      <c r="C3800" s="1" t="s">
        <v>60292</v>
      </c>
      <c r="D3800" s="1" t="s">
        <v>11009</v>
      </c>
      <c r="E3800" s="1" t="s">
        <v>19350</v>
      </c>
      <c r="F3800" s="1" t="s">
        <v>60293</v>
      </c>
      <c r="G3800" s="1" t="s">
        <v>60294</v>
      </c>
      <c r="H3800" s="1" t="s">
        <v>60295</v>
      </c>
      <c r="I3800" s="1" t="s">
        <v>60296</v>
      </c>
      <c r="J3800" s="1">
        <v>7773984757</v>
      </c>
      <c r="K3800" s="1" t="s">
        <v>153</v>
      </c>
      <c r="L3800" s="1" t="s">
        <v>60297</v>
      </c>
      <c r="M3800" s="1" t="s">
        <v>86</v>
      </c>
      <c r="N3800" s="1" t="s">
        <v>1163</v>
      </c>
      <c r="O3800" s="1"/>
      <c r="P3800" s="1" t="s">
        <v>481</v>
      </c>
      <c r="Q3800" s="1" t="s">
        <v>60298</v>
      </c>
      <c r="R3800" s="1" t="s">
        <v>60299</v>
      </c>
      <c r="S3800" s="1">
        <v>8275637476</v>
      </c>
      <c r="T3800" s="1" t="s">
        <v>926</v>
      </c>
      <c r="U3800" s="1" t="s">
        <v>60300</v>
      </c>
      <c r="V3800" s="1">
        <v>7773984757</v>
      </c>
      <c r="W3800" s="1" t="s">
        <v>94</v>
      </c>
      <c r="X3800" s="1" t="s">
        <v>60301</v>
      </c>
      <c r="Y3800" s="1" t="s">
        <v>52503</v>
      </c>
      <c r="Z3800" s="1" t="s">
        <v>97</v>
      </c>
      <c r="AA3800" s="1" t="s">
        <v>60301</v>
      </c>
      <c r="AB3800" s="1" t="s">
        <v>52503</v>
      </c>
      <c r="AC3800" s="1" t="s">
        <v>97</v>
      </c>
      <c r="AD3800" s="1" t="s">
        <v>98</v>
      </c>
      <c r="AE3800" s="1" t="s">
        <v>98</v>
      </c>
      <c r="AF3800" s="1" t="s">
        <v>60302</v>
      </c>
      <c r="AG3800" s="1" t="s">
        <v>1968</v>
      </c>
      <c r="AH3800" s="1">
        <v>41798</v>
      </c>
      <c r="AI3800" s="1">
        <v>42163</v>
      </c>
      <c r="AJ3800" s="1">
        <v>91</v>
      </c>
      <c r="AK3800" s="1" t="s">
        <v>98</v>
      </c>
      <c r="AL3800" s="1" t="s">
        <v>60303</v>
      </c>
      <c r="AM3800" s="1" t="s">
        <v>1968</v>
      </c>
      <c r="AN3800" s="1"/>
      <c r="AO3800" s="1">
        <v>42185</v>
      </c>
      <c r="AP3800" s="1">
        <v>42885</v>
      </c>
      <c r="AQ3800" s="1">
        <v>76.15</v>
      </c>
      <c r="AR3800" s="1" t="s">
        <v>98</v>
      </c>
      <c r="AS3800" s="1" t="s">
        <v>98</v>
      </c>
      <c r="AT3800" s="1" t="s">
        <v>98</v>
      </c>
      <c r="AU3800" s="1" t="s">
        <v>98</v>
      </c>
      <c r="AV3800" s="1" t="s">
        <v>98</v>
      </c>
      <c r="AW3800" s="1" t="s">
        <v>98</v>
      </c>
      <c r="AX3800" s="1" t="s">
        <v>98</v>
      </c>
      <c r="AY3800" s="1" t="s">
        <v>680</v>
      </c>
      <c r="AZ3800" s="1" t="s">
        <v>60304</v>
      </c>
      <c r="BA3800" s="1"/>
      <c r="BB3800" s="1"/>
      <c r="BC3800" s="1">
        <v>42946</v>
      </c>
      <c r="BD3800" s="1">
        <v>44407</v>
      </c>
      <c r="BE3800" s="1">
        <v>69.28</v>
      </c>
      <c r="BF3800" s="1">
        <v>7.75</v>
      </c>
      <c r="BG3800" s="1" t="s">
        <v>98</v>
      </c>
      <c r="BH3800" s="1"/>
      <c r="BI3800" s="1"/>
      <c r="BJ3800" s="1"/>
      <c r="BK3800" s="1" t="s">
        <v>98</v>
      </c>
      <c r="BL3800" s="1" t="s">
        <v>98</v>
      </c>
      <c r="BM3800" s="1" t="s">
        <v>98</v>
      </c>
      <c r="BN3800" s="1" t="s">
        <v>98</v>
      </c>
      <c r="BO3800" s="1"/>
      <c r="BP3800" s="1"/>
      <c r="BQ3800" s="1"/>
      <c r="BR3800" s="1" t="s">
        <v>60305</v>
      </c>
      <c r="BS3800" s="1">
        <v>19</v>
      </c>
      <c r="BT3800" s="1"/>
      <c r="BU3800" s="1" t="str">
        <f>HYPERLINK("https://nconnect.nicmar.ac.in/storage/profile/2021-2023_PP21093_372618.jpg","Download")</f>
        <v>0</v>
      </c>
      <c r="BV3800" s="3"/>
      <c r="BW3800" s="3"/>
    </row>
    <row r="3801" spans="1:75">
      <c r="A3801" s="1" t="s">
        <v>59001</v>
      </c>
      <c r="B3801" s="1" t="s">
        <v>51341</v>
      </c>
      <c r="C3801" s="1" t="s">
        <v>60306</v>
      </c>
      <c r="D3801" s="1" t="s">
        <v>60307</v>
      </c>
      <c r="E3801" s="1" t="s">
        <v>397</v>
      </c>
      <c r="F3801" s="1" t="s">
        <v>12401</v>
      </c>
      <c r="G3801" s="1" t="s">
        <v>60308</v>
      </c>
      <c r="H3801" s="1" t="s">
        <v>60309</v>
      </c>
      <c r="I3801" s="1" t="s">
        <v>60310</v>
      </c>
      <c r="J3801" s="1">
        <v>8698523164</v>
      </c>
      <c r="K3801" s="1" t="s">
        <v>84</v>
      </c>
      <c r="L3801" s="1" t="s">
        <v>54635</v>
      </c>
      <c r="M3801" s="1" t="s">
        <v>86</v>
      </c>
      <c r="N3801" s="1" t="s">
        <v>1163</v>
      </c>
      <c r="O3801" s="1"/>
      <c r="P3801" s="1" t="s">
        <v>507</v>
      </c>
      <c r="Q3801" s="1" t="s">
        <v>60311</v>
      </c>
      <c r="R3801" s="1" t="s">
        <v>60312</v>
      </c>
      <c r="S3801" s="1">
        <v>9423606531</v>
      </c>
      <c r="T3801" s="1" t="s">
        <v>2950</v>
      </c>
      <c r="U3801" s="1" t="s">
        <v>60313</v>
      </c>
      <c r="V3801" s="1">
        <v>9764885881</v>
      </c>
      <c r="W3801" s="1" t="s">
        <v>94</v>
      </c>
      <c r="X3801" s="1" t="s">
        <v>60314</v>
      </c>
      <c r="Y3801" s="1" t="s">
        <v>5584</v>
      </c>
      <c r="Z3801" s="1" t="s">
        <v>97</v>
      </c>
      <c r="AA3801" s="1" t="s">
        <v>60314</v>
      </c>
      <c r="AB3801" s="1" t="s">
        <v>5584</v>
      </c>
      <c r="AC3801" s="1" t="s">
        <v>97</v>
      </c>
      <c r="AD3801" s="1" t="s">
        <v>98</v>
      </c>
      <c r="AE3801" s="1" t="s">
        <v>98</v>
      </c>
      <c r="AF3801" s="1" t="s">
        <v>60315</v>
      </c>
      <c r="AG3801" s="1" t="s">
        <v>60316</v>
      </c>
      <c r="AH3801" s="1">
        <v>41806</v>
      </c>
      <c r="AI3801" s="1">
        <v>42152</v>
      </c>
      <c r="AJ3801" s="1">
        <v>79.8</v>
      </c>
      <c r="AK3801" s="1">
        <v>8.4</v>
      </c>
      <c r="AL3801" s="1" t="s">
        <v>60317</v>
      </c>
      <c r="AM3801" s="1" t="s">
        <v>60318</v>
      </c>
      <c r="AN3801" s="1"/>
      <c r="AO3801" s="1">
        <v>42522</v>
      </c>
      <c r="AP3801" s="1">
        <v>42885</v>
      </c>
      <c r="AQ3801" s="1">
        <v>60.77</v>
      </c>
      <c r="AR3801" s="1"/>
      <c r="AS3801" s="1"/>
      <c r="AT3801" s="1"/>
      <c r="AU3801" s="1" t="s">
        <v>98</v>
      </c>
      <c r="AV3801" s="1" t="s">
        <v>98</v>
      </c>
      <c r="AW3801" s="1" t="s">
        <v>98</v>
      </c>
      <c r="AX3801" s="1" t="s">
        <v>98</v>
      </c>
      <c r="AY3801" s="1" t="s">
        <v>997</v>
      </c>
      <c r="AZ3801" s="1" t="s">
        <v>60319</v>
      </c>
      <c r="BA3801" s="1"/>
      <c r="BB3801" s="1"/>
      <c r="BC3801" s="1">
        <v>42917</v>
      </c>
      <c r="BD3801" s="1">
        <v>44401</v>
      </c>
      <c r="BE3801" s="1">
        <v>78</v>
      </c>
      <c r="BF3801" s="1">
        <v>8.55</v>
      </c>
      <c r="BG3801" s="1"/>
      <c r="BH3801" s="1"/>
      <c r="BI3801" s="1"/>
      <c r="BJ3801" s="1"/>
      <c r="BK3801" s="1" t="s">
        <v>98</v>
      </c>
      <c r="BL3801" s="1" t="s">
        <v>98</v>
      </c>
      <c r="BM3801" s="1" t="s">
        <v>98</v>
      </c>
      <c r="BN3801" s="1" t="s">
        <v>98</v>
      </c>
      <c r="BO3801" s="1" t="s">
        <v>849</v>
      </c>
      <c r="BP3801" s="1"/>
      <c r="BQ3801" s="1"/>
      <c r="BR3801" s="1" t="s">
        <v>60320</v>
      </c>
      <c r="BS3801" s="1">
        <v>34</v>
      </c>
      <c r="BT3801" s="1"/>
      <c r="BU3801" s="1" t="str">
        <f>HYPERLINK("https://nconnect.nicmar.ac.in/storage/profile/2021-2023_PP21094_463927.jpg","Download")</f>
        <v>0</v>
      </c>
      <c r="BV3801" s="3"/>
      <c r="BW3801" s="3"/>
    </row>
    <row r="3802" spans="1:75">
      <c r="A3802" s="1" t="s">
        <v>59001</v>
      </c>
      <c r="B3802" s="1" t="s">
        <v>51341</v>
      </c>
      <c r="C3802" s="1" t="s">
        <v>60321</v>
      </c>
      <c r="D3802" s="1" t="s">
        <v>2309</v>
      </c>
      <c r="E3802" s="1"/>
      <c r="F3802" s="1" t="s">
        <v>7798</v>
      </c>
      <c r="G3802" s="1" t="s">
        <v>60322</v>
      </c>
      <c r="H3802" s="1" t="s">
        <v>60323</v>
      </c>
      <c r="I3802" s="1" t="s">
        <v>60324</v>
      </c>
      <c r="J3802" s="1">
        <v>7608823391</v>
      </c>
      <c r="K3802" s="1" t="s">
        <v>84</v>
      </c>
      <c r="L3802" s="1" t="s">
        <v>60325</v>
      </c>
      <c r="M3802" s="1" t="s">
        <v>86</v>
      </c>
      <c r="N3802" s="1" t="s">
        <v>246</v>
      </c>
      <c r="O3802" s="1"/>
      <c r="P3802" s="1" t="s">
        <v>507</v>
      </c>
      <c r="Q3802" s="1" t="s">
        <v>60326</v>
      </c>
      <c r="R3802" s="1" t="s">
        <v>60327</v>
      </c>
      <c r="S3802" s="1">
        <v>9431068953</v>
      </c>
      <c r="T3802" s="1" t="s">
        <v>13258</v>
      </c>
      <c r="U3802" s="1" t="s">
        <v>60328</v>
      </c>
      <c r="V3802" s="1">
        <v>9939407897</v>
      </c>
      <c r="W3802" s="1" t="s">
        <v>94</v>
      </c>
      <c r="X3802" s="1" t="s">
        <v>60329</v>
      </c>
      <c r="Y3802" s="1" t="s">
        <v>18264</v>
      </c>
      <c r="Z3802" s="1" t="s">
        <v>649</v>
      </c>
      <c r="AA3802" s="1" t="s">
        <v>60330</v>
      </c>
      <c r="AB3802" s="1" t="s">
        <v>196</v>
      </c>
      <c r="AC3802" s="1" t="s">
        <v>97</v>
      </c>
      <c r="AD3802" s="1" t="s">
        <v>98</v>
      </c>
      <c r="AE3802" s="1" t="s">
        <v>98</v>
      </c>
      <c r="AF3802" s="1" t="s">
        <v>60331</v>
      </c>
      <c r="AG3802" s="1" t="s">
        <v>312</v>
      </c>
      <c r="AH3802" s="1">
        <v>41426</v>
      </c>
      <c r="AI3802" s="1">
        <v>41784</v>
      </c>
      <c r="AJ3802" s="1">
        <v>83.6</v>
      </c>
      <c r="AK3802" s="1">
        <v>8.8</v>
      </c>
      <c r="AL3802" s="1" t="s">
        <v>60331</v>
      </c>
      <c r="AM3802" s="1" t="s">
        <v>312</v>
      </c>
      <c r="AN3802" s="1"/>
      <c r="AO3802" s="1">
        <v>42064</v>
      </c>
      <c r="AP3802" s="1">
        <v>42491</v>
      </c>
      <c r="AQ3802" s="1">
        <v>66.4</v>
      </c>
      <c r="AR3802" s="1">
        <v>0</v>
      </c>
      <c r="AS3802" s="1"/>
      <c r="AT3802" s="1"/>
      <c r="AU3802" s="1" t="s">
        <v>98</v>
      </c>
      <c r="AV3802" s="1" t="s">
        <v>98</v>
      </c>
      <c r="AW3802" s="1" t="s">
        <v>98</v>
      </c>
      <c r="AX3802" s="1" t="s">
        <v>98</v>
      </c>
      <c r="AY3802" s="1" t="s">
        <v>60332</v>
      </c>
      <c r="AZ3802" s="1" t="s">
        <v>60333</v>
      </c>
      <c r="BA3802" s="1"/>
      <c r="BB3802" s="1"/>
      <c r="BC3802" s="1">
        <v>42948</v>
      </c>
      <c r="BD3802" s="1">
        <v>44373</v>
      </c>
      <c r="BE3802" s="1">
        <v>76.2</v>
      </c>
      <c r="BF3802" s="1">
        <v>7.62</v>
      </c>
      <c r="BG3802" s="1"/>
      <c r="BH3802" s="1"/>
      <c r="BI3802" s="1"/>
      <c r="BJ3802" s="1"/>
      <c r="BK3802" s="1" t="s">
        <v>98</v>
      </c>
      <c r="BL3802" s="1" t="s">
        <v>98</v>
      </c>
      <c r="BM3802" s="1" t="s">
        <v>98</v>
      </c>
      <c r="BN3802" s="1" t="s">
        <v>98</v>
      </c>
      <c r="BO3802" s="1" t="s">
        <v>1114</v>
      </c>
      <c r="BP3802" s="1"/>
      <c r="BQ3802" s="1"/>
      <c r="BR3802" s="1" t="s">
        <v>60334</v>
      </c>
      <c r="BS3802" s="1">
        <v>13</v>
      </c>
      <c r="BT3802" s="1"/>
      <c r="BU3802" s="1" t="str">
        <f>HYPERLINK("https://nconnect.nicmar.ac.in/storage/profile/2021-2023_PP21095_957124.jpg","Download")</f>
        <v>0</v>
      </c>
      <c r="BV3802" s="3"/>
      <c r="BW3802" s="3"/>
    </row>
    <row r="3803" spans="1:75">
      <c r="A3803" s="1" t="s">
        <v>59001</v>
      </c>
      <c r="B3803" s="1" t="s">
        <v>51341</v>
      </c>
      <c r="C3803" s="1" t="s">
        <v>60335</v>
      </c>
      <c r="D3803" s="1" t="s">
        <v>1505</v>
      </c>
      <c r="E3803" s="1"/>
      <c r="F3803" s="1" t="s">
        <v>60336</v>
      </c>
      <c r="G3803" s="1" t="s">
        <v>60337</v>
      </c>
      <c r="H3803" s="1" t="s">
        <v>60338</v>
      </c>
      <c r="I3803" s="1" t="s">
        <v>60339</v>
      </c>
      <c r="J3803" s="1">
        <v>9340433008</v>
      </c>
      <c r="K3803" s="1" t="s">
        <v>84</v>
      </c>
      <c r="L3803" s="1" t="s">
        <v>60340</v>
      </c>
      <c r="M3803" s="1" t="s">
        <v>86</v>
      </c>
      <c r="N3803" s="1" t="s">
        <v>903</v>
      </c>
      <c r="O3803" s="1"/>
      <c r="P3803" s="1" t="s">
        <v>481</v>
      </c>
      <c r="Q3803" s="1" t="s">
        <v>60341</v>
      </c>
      <c r="R3803" s="1" t="s">
        <v>60342</v>
      </c>
      <c r="S3803" s="1">
        <v>9827182625</v>
      </c>
      <c r="T3803" s="1" t="s">
        <v>1552</v>
      </c>
      <c r="U3803" s="1" t="s">
        <v>60343</v>
      </c>
      <c r="V3803" s="1">
        <v>9425539298</v>
      </c>
      <c r="W3803" s="1" t="s">
        <v>1552</v>
      </c>
      <c r="X3803" s="1" t="s">
        <v>60344</v>
      </c>
      <c r="Y3803" s="1" t="s">
        <v>11285</v>
      </c>
      <c r="Z3803" s="1" t="s">
        <v>2933</v>
      </c>
      <c r="AA3803" s="1" t="s">
        <v>60345</v>
      </c>
      <c r="AB3803" s="1" t="s">
        <v>11285</v>
      </c>
      <c r="AC3803" s="1" t="s">
        <v>2933</v>
      </c>
      <c r="AD3803" s="1" t="s">
        <v>98</v>
      </c>
      <c r="AE3803" s="1" t="s">
        <v>98</v>
      </c>
      <c r="AF3803" s="1" t="s">
        <v>60346</v>
      </c>
      <c r="AG3803" s="1" t="s">
        <v>312</v>
      </c>
      <c r="AH3803" s="1">
        <v>40983</v>
      </c>
      <c r="AI3803" s="1">
        <v>41424</v>
      </c>
      <c r="AJ3803" s="1">
        <v>68.4</v>
      </c>
      <c r="AK3803" s="1">
        <v>7.2</v>
      </c>
      <c r="AL3803" s="1" t="s">
        <v>60347</v>
      </c>
      <c r="AM3803" s="1" t="s">
        <v>312</v>
      </c>
      <c r="AN3803" s="1"/>
      <c r="AO3803" s="1">
        <v>41680</v>
      </c>
      <c r="AP3803" s="1">
        <v>42149</v>
      </c>
      <c r="AQ3803" s="1">
        <v>56.6</v>
      </c>
      <c r="AR3803" s="1"/>
      <c r="AS3803" s="1"/>
      <c r="AT3803" s="1"/>
      <c r="AU3803" s="1" t="s">
        <v>98</v>
      </c>
      <c r="AV3803" s="1" t="s">
        <v>98</v>
      </c>
      <c r="AW3803" s="1" t="s">
        <v>98</v>
      </c>
      <c r="AX3803" s="1" t="s">
        <v>98</v>
      </c>
      <c r="AY3803" s="1" t="s">
        <v>60348</v>
      </c>
      <c r="AZ3803" s="1" t="s">
        <v>60349</v>
      </c>
      <c r="BA3803" s="1"/>
      <c r="BB3803" s="1"/>
      <c r="BC3803" s="1">
        <v>42948</v>
      </c>
      <c r="BD3803" s="1">
        <v>44416</v>
      </c>
      <c r="BE3803" s="1">
        <v>68.08</v>
      </c>
      <c r="BF3803" s="1"/>
      <c r="BG3803" s="1"/>
      <c r="BH3803" s="1"/>
      <c r="BI3803" s="1"/>
      <c r="BJ3803" s="1"/>
      <c r="BK3803" s="1" t="s">
        <v>98</v>
      </c>
      <c r="BL3803" s="1" t="s">
        <v>98</v>
      </c>
      <c r="BM3803" s="1" t="s">
        <v>98</v>
      </c>
      <c r="BN3803" s="1" t="s">
        <v>98</v>
      </c>
      <c r="BO3803" s="1" t="s">
        <v>28364</v>
      </c>
      <c r="BP3803" s="1"/>
      <c r="BQ3803" s="1"/>
      <c r="BR3803" s="1" t="s">
        <v>60350</v>
      </c>
      <c r="BS3803" s="1">
        <v>11</v>
      </c>
      <c r="BT3803" s="1"/>
      <c r="BU3803" s="1" t="s">
        <v>9653</v>
      </c>
      <c r="BV3803" s="3"/>
      <c r="BW3803" s="3"/>
    </row>
    <row r="3804" spans="1:75">
      <c r="A3804" s="1" t="s">
        <v>59001</v>
      </c>
      <c r="B3804" s="1" t="s">
        <v>51341</v>
      </c>
      <c r="C3804" s="1" t="s">
        <v>60351</v>
      </c>
      <c r="D3804" s="1" t="s">
        <v>1425</v>
      </c>
      <c r="E3804" s="1"/>
      <c r="F3804" s="1" t="s">
        <v>1853</v>
      </c>
      <c r="G3804" s="1" t="s">
        <v>60352</v>
      </c>
      <c r="H3804" s="1" t="s">
        <v>60353</v>
      </c>
      <c r="I3804" s="1" t="s">
        <v>60354</v>
      </c>
      <c r="J3804" s="1">
        <v>9686751352</v>
      </c>
      <c r="K3804" s="1" t="s">
        <v>84</v>
      </c>
      <c r="L3804" s="1" t="s">
        <v>60355</v>
      </c>
      <c r="M3804" s="1" t="s">
        <v>86</v>
      </c>
      <c r="N3804" s="1" t="s">
        <v>13845</v>
      </c>
      <c r="O3804" s="1"/>
      <c r="P3804" s="1" t="s">
        <v>481</v>
      </c>
      <c r="Q3804" s="1" t="s">
        <v>60356</v>
      </c>
      <c r="R3804" s="1" t="s">
        <v>60357</v>
      </c>
      <c r="S3804" s="1">
        <v>9448539016</v>
      </c>
      <c r="T3804" s="1" t="s">
        <v>159</v>
      </c>
      <c r="U3804" s="1" t="s">
        <v>60358</v>
      </c>
      <c r="V3804" s="1">
        <v>9480318875</v>
      </c>
      <c r="W3804" s="1" t="s">
        <v>94</v>
      </c>
      <c r="X3804" s="1" t="s">
        <v>60359</v>
      </c>
      <c r="Y3804" s="1" t="s">
        <v>51747</v>
      </c>
      <c r="Z3804" s="1" t="s">
        <v>1210</v>
      </c>
      <c r="AA3804" s="1" t="s">
        <v>60359</v>
      </c>
      <c r="AB3804" s="1" t="s">
        <v>51747</v>
      </c>
      <c r="AC3804" s="1" t="s">
        <v>1210</v>
      </c>
      <c r="AD3804" s="1" t="s">
        <v>98</v>
      </c>
      <c r="AE3804" s="1" t="s">
        <v>98</v>
      </c>
      <c r="AF3804" s="1" t="s">
        <v>60360</v>
      </c>
      <c r="AG3804" s="1" t="s">
        <v>56622</v>
      </c>
      <c r="AH3804" s="1">
        <v>40318</v>
      </c>
      <c r="AI3804" s="1">
        <v>40676</v>
      </c>
      <c r="AJ3804" s="1">
        <v>91.36</v>
      </c>
      <c r="AK3804" s="1">
        <v>0</v>
      </c>
      <c r="AL3804" s="1" t="s">
        <v>60361</v>
      </c>
      <c r="AM3804" s="1" t="s">
        <v>56622</v>
      </c>
      <c r="AN3804" s="1"/>
      <c r="AO3804" s="1">
        <v>41030</v>
      </c>
      <c r="AP3804" s="1">
        <v>41401</v>
      </c>
      <c r="AQ3804" s="1">
        <v>77.66</v>
      </c>
      <c r="AR3804" s="1">
        <v>0</v>
      </c>
      <c r="AS3804" s="1"/>
      <c r="AT3804" s="1"/>
      <c r="AU3804" s="1" t="s">
        <v>98</v>
      </c>
      <c r="AV3804" s="1" t="s">
        <v>98</v>
      </c>
      <c r="AW3804" s="1" t="s">
        <v>98</v>
      </c>
      <c r="AX3804" s="1" t="s">
        <v>98</v>
      </c>
      <c r="AY3804" s="1" t="s">
        <v>60362</v>
      </c>
      <c r="AZ3804" s="1" t="s">
        <v>60363</v>
      </c>
      <c r="BA3804" s="1"/>
      <c r="BB3804" s="1"/>
      <c r="BC3804" s="1">
        <v>41489</v>
      </c>
      <c r="BD3804" s="1">
        <v>43095</v>
      </c>
      <c r="BE3804" s="1">
        <v>76.31</v>
      </c>
      <c r="BF3804" s="1">
        <v>0</v>
      </c>
      <c r="BG3804" s="1"/>
      <c r="BH3804" s="1"/>
      <c r="BI3804" s="1"/>
      <c r="BJ3804" s="1"/>
      <c r="BK3804" s="1" t="s">
        <v>98</v>
      </c>
      <c r="BL3804" s="1" t="s">
        <v>98</v>
      </c>
      <c r="BM3804" s="1" t="s">
        <v>98</v>
      </c>
      <c r="BN3804" s="1" t="s">
        <v>98</v>
      </c>
      <c r="BO3804" s="1" t="s">
        <v>8688</v>
      </c>
      <c r="BP3804" s="1" t="s">
        <v>60364</v>
      </c>
      <c r="BQ3804" s="1" t="s">
        <v>8010</v>
      </c>
      <c r="BR3804" s="1" t="s">
        <v>60365</v>
      </c>
      <c r="BS3804" s="1">
        <v>30</v>
      </c>
      <c r="BT3804" s="1"/>
      <c r="BU3804" s="1" t="str">
        <f>HYPERLINK("https://nconnect.nicmar.ac.in/storage/profile/2021-2023_PP21097_172936.JPG","Download")</f>
        <v>0</v>
      </c>
      <c r="BV3804" s="3"/>
      <c r="BW3804" s="3"/>
    </row>
    <row r="3805" spans="1:75">
      <c r="A3805" s="1" t="s">
        <v>59001</v>
      </c>
      <c r="B3805" s="1" t="s">
        <v>51341</v>
      </c>
      <c r="C3805" s="1" t="s">
        <v>60366</v>
      </c>
      <c r="D3805" s="1" t="s">
        <v>43004</v>
      </c>
      <c r="E3805" s="1"/>
      <c r="F3805" s="1" t="s">
        <v>53582</v>
      </c>
      <c r="G3805" s="1" t="s">
        <v>60367</v>
      </c>
      <c r="H3805" s="1" t="s">
        <v>60368</v>
      </c>
      <c r="I3805" s="1" t="s">
        <v>60369</v>
      </c>
      <c r="J3805" s="1">
        <v>9149123549</v>
      </c>
      <c r="K3805" s="1" t="s">
        <v>84</v>
      </c>
      <c r="L3805" s="1" t="s">
        <v>28731</v>
      </c>
      <c r="M3805" s="1" t="s">
        <v>86</v>
      </c>
      <c r="N3805" s="1" t="s">
        <v>246</v>
      </c>
      <c r="O3805" s="1"/>
      <c r="P3805" s="1" t="s">
        <v>507</v>
      </c>
      <c r="Q3805" s="1" t="s">
        <v>60370</v>
      </c>
      <c r="R3805" s="1" t="s">
        <v>60371</v>
      </c>
      <c r="S3805" s="1">
        <v>9419972413</v>
      </c>
      <c r="T3805" s="1" t="s">
        <v>60372</v>
      </c>
      <c r="U3805" s="1" t="s">
        <v>60373</v>
      </c>
      <c r="V3805" s="1">
        <v>9458826873</v>
      </c>
      <c r="W3805" s="1" t="s">
        <v>94</v>
      </c>
      <c r="X3805" s="1" t="s">
        <v>60374</v>
      </c>
      <c r="Y3805" s="1" t="s">
        <v>14415</v>
      </c>
      <c r="Z3805" s="1" t="s">
        <v>544</v>
      </c>
      <c r="AA3805" s="1" t="s">
        <v>60375</v>
      </c>
      <c r="AB3805" s="1" t="s">
        <v>14415</v>
      </c>
      <c r="AC3805" s="1" t="s">
        <v>544</v>
      </c>
      <c r="AD3805" s="1" t="s">
        <v>98</v>
      </c>
      <c r="AE3805" s="1" t="s">
        <v>98</v>
      </c>
      <c r="AF3805" s="1" t="s">
        <v>60376</v>
      </c>
      <c r="AG3805" s="1" t="s">
        <v>312</v>
      </c>
      <c r="AH3805" s="1" t="s">
        <v>56514</v>
      </c>
      <c r="AI3805" s="1" t="s">
        <v>54155</v>
      </c>
      <c r="AJ3805" s="1">
        <v>78.85</v>
      </c>
      <c r="AK3805" s="1">
        <v>8.3</v>
      </c>
      <c r="AL3805" s="1" t="s">
        <v>60376</v>
      </c>
      <c r="AM3805" s="1" t="s">
        <v>312</v>
      </c>
      <c r="AN3805" s="1"/>
      <c r="AO3805" s="1" t="s">
        <v>55346</v>
      </c>
      <c r="AP3805" s="1" t="s">
        <v>54158</v>
      </c>
      <c r="AQ3805" s="1">
        <v>75</v>
      </c>
      <c r="AR3805" s="1"/>
      <c r="AS3805" s="1"/>
      <c r="AT3805" s="1"/>
      <c r="AU3805" s="1" t="s">
        <v>98</v>
      </c>
      <c r="AV3805" s="1" t="s">
        <v>98</v>
      </c>
      <c r="AW3805" s="1" t="s">
        <v>98</v>
      </c>
      <c r="AX3805" s="1" t="s">
        <v>98</v>
      </c>
      <c r="AY3805" s="1" t="s">
        <v>8336</v>
      </c>
      <c r="AZ3805" s="1" t="s">
        <v>8336</v>
      </c>
      <c r="BA3805" s="1"/>
      <c r="BB3805" s="1"/>
      <c r="BC3805" s="1" t="s">
        <v>60377</v>
      </c>
      <c r="BD3805" s="1" t="s">
        <v>60378</v>
      </c>
      <c r="BE3805" s="1">
        <v>77</v>
      </c>
      <c r="BF3805" s="1">
        <v>7.7</v>
      </c>
      <c r="BG3805" s="1"/>
      <c r="BH3805" s="1"/>
      <c r="BI3805" s="1"/>
      <c r="BJ3805" s="1"/>
      <c r="BK3805" s="1" t="s">
        <v>98</v>
      </c>
      <c r="BL3805" s="1" t="s">
        <v>98</v>
      </c>
      <c r="BM3805" s="1" t="s">
        <v>98</v>
      </c>
      <c r="BN3805" s="1" t="s">
        <v>98</v>
      </c>
      <c r="BO3805" s="1" t="s">
        <v>60379</v>
      </c>
      <c r="BP3805" s="1"/>
      <c r="BQ3805" s="1"/>
      <c r="BR3805" s="1" t="s">
        <v>60380</v>
      </c>
      <c r="BS3805" s="1">
        <v>17</v>
      </c>
      <c r="BT3805" s="1"/>
      <c r="BU3805" s="1" t="str">
        <f>HYPERLINK("https://nconnect.nicmar.ac.in/storage/profile/2021-2023_PP21098_381527.jpg","Download")</f>
        <v>0</v>
      </c>
      <c r="BV3805" s="3"/>
      <c r="BW3805" s="3"/>
    </row>
    <row r="3806" spans="1:75">
      <c r="A3806" s="1" t="s">
        <v>59001</v>
      </c>
      <c r="B3806" s="1" t="s">
        <v>51341</v>
      </c>
      <c r="C3806" s="1" t="s">
        <v>60381</v>
      </c>
      <c r="D3806" s="1" t="s">
        <v>60382</v>
      </c>
      <c r="E3806" s="1" t="s">
        <v>13892</v>
      </c>
      <c r="F3806" s="1" t="s">
        <v>6030</v>
      </c>
      <c r="G3806" s="1" t="s">
        <v>60383</v>
      </c>
      <c r="H3806" s="1" t="s">
        <v>60384</v>
      </c>
      <c r="I3806" s="1" t="s">
        <v>60385</v>
      </c>
      <c r="J3806" s="1">
        <v>8390577999</v>
      </c>
      <c r="K3806" s="1" t="s">
        <v>84</v>
      </c>
      <c r="L3806" s="1" t="s">
        <v>31917</v>
      </c>
      <c r="M3806" s="1" t="s">
        <v>86</v>
      </c>
      <c r="N3806" s="1" t="s">
        <v>990</v>
      </c>
      <c r="O3806" s="1"/>
      <c r="P3806" s="1" t="s">
        <v>481</v>
      </c>
      <c r="Q3806" s="1" t="s">
        <v>60386</v>
      </c>
      <c r="R3806" s="1" t="s">
        <v>60387</v>
      </c>
      <c r="S3806" s="1">
        <v>8149257999</v>
      </c>
      <c r="T3806" s="1" t="s">
        <v>60388</v>
      </c>
      <c r="U3806" s="1" t="s">
        <v>60389</v>
      </c>
      <c r="V3806" s="1">
        <v>9860433765</v>
      </c>
      <c r="W3806" s="1" t="s">
        <v>94</v>
      </c>
      <c r="X3806" s="1" t="s">
        <v>60390</v>
      </c>
      <c r="Y3806" s="1" t="s">
        <v>53990</v>
      </c>
      <c r="Z3806" s="1" t="s">
        <v>97</v>
      </c>
      <c r="AA3806" s="1" t="s">
        <v>60391</v>
      </c>
      <c r="AB3806" s="1" t="s">
        <v>53990</v>
      </c>
      <c r="AC3806" s="1" t="s">
        <v>97</v>
      </c>
      <c r="AD3806" s="1" t="s">
        <v>98</v>
      </c>
      <c r="AE3806" s="1" t="s">
        <v>98</v>
      </c>
      <c r="AF3806" s="1" t="s">
        <v>60392</v>
      </c>
      <c r="AG3806" s="1" t="s">
        <v>2745</v>
      </c>
      <c r="AH3806" s="1" t="s">
        <v>60393</v>
      </c>
      <c r="AI3806" s="1" t="s">
        <v>56014</v>
      </c>
      <c r="AJ3806" s="1">
        <v>88.8</v>
      </c>
      <c r="AK3806" s="1"/>
      <c r="AL3806" s="1" t="s">
        <v>98</v>
      </c>
      <c r="AM3806" s="1" t="s">
        <v>98</v>
      </c>
      <c r="AN3806" s="1"/>
      <c r="AO3806" s="1" t="s">
        <v>60394</v>
      </c>
      <c r="AP3806" s="1" t="s">
        <v>60395</v>
      </c>
      <c r="AQ3806" s="1"/>
      <c r="AR3806" s="1"/>
      <c r="AS3806" s="1" t="s">
        <v>13362</v>
      </c>
      <c r="AT3806" s="1" t="s">
        <v>60396</v>
      </c>
      <c r="AU3806" s="1" t="s">
        <v>60397</v>
      </c>
      <c r="AV3806" s="1" t="s">
        <v>60395</v>
      </c>
      <c r="AW3806" s="1">
        <v>75.94</v>
      </c>
      <c r="AX3806" s="1"/>
      <c r="AY3806" s="1" t="s">
        <v>258</v>
      </c>
      <c r="AZ3806" s="1" t="s">
        <v>60398</v>
      </c>
      <c r="BA3806" s="1"/>
      <c r="BB3806" s="1"/>
      <c r="BC3806" s="1" t="s">
        <v>55044</v>
      </c>
      <c r="BD3806" s="1" t="s">
        <v>60399</v>
      </c>
      <c r="BE3806" s="1">
        <v>73.73</v>
      </c>
      <c r="BF3806" s="1">
        <v>8.17</v>
      </c>
      <c r="BG3806" s="1"/>
      <c r="BH3806" s="1"/>
      <c r="BI3806" s="1"/>
      <c r="BJ3806" s="1"/>
      <c r="BK3806" s="1" t="s">
        <v>98</v>
      </c>
      <c r="BL3806" s="1" t="s">
        <v>98</v>
      </c>
      <c r="BM3806" s="1" t="s">
        <v>98</v>
      </c>
      <c r="BN3806" s="1" t="s">
        <v>98</v>
      </c>
      <c r="BO3806" s="1" t="s">
        <v>28364</v>
      </c>
      <c r="BP3806" s="1"/>
      <c r="BQ3806" s="1"/>
      <c r="BR3806" s="1" t="s">
        <v>60400</v>
      </c>
      <c r="BS3806" s="1">
        <v>12</v>
      </c>
      <c r="BT3806" s="1"/>
      <c r="BU3806" s="1" t="str">
        <f>HYPERLINK("https://nconnect.nicmar.ac.in/storage/profile/2021-2023_PP21099_483517.jpg","Download")</f>
        <v>0</v>
      </c>
      <c r="BV3806" s="3"/>
      <c r="BW3806" s="3"/>
    </row>
    <row r="3807" spans="1:75">
      <c r="A3807" s="1" t="s">
        <v>59001</v>
      </c>
      <c r="B3807" s="1" t="s">
        <v>51341</v>
      </c>
      <c r="C3807" s="1" t="s">
        <v>60401</v>
      </c>
      <c r="D3807" s="1" t="s">
        <v>4214</v>
      </c>
      <c r="E3807" s="1" t="s">
        <v>116</v>
      </c>
      <c r="F3807" s="1" t="s">
        <v>60402</v>
      </c>
      <c r="G3807" s="1" t="s">
        <v>60403</v>
      </c>
      <c r="H3807" s="1" t="s">
        <v>60404</v>
      </c>
      <c r="I3807" s="1" t="s">
        <v>60405</v>
      </c>
      <c r="J3807" s="1">
        <v>9036868226</v>
      </c>
      <c r="K3807" s="1" t="s">
        <v>84</v>
      </c>
      <c r="L3807" s="1" t="s">
        <v>29865</v>
      </c>
      <c r="M3807" s="1" t="s">
        <v>86</v>
      </c>
      <c r="N3807" s="1" t="s">
        <v>11117</v>
      </c>
      <c r="O3807" s="1"/>
      <c r="P3807" s="1" t="s">
        <v>481</v>
      </c>
      <c r="Q3807" s="1" t="s">
        <v>60406</v>
      </c>
      <c r="R3807" s="1" t="s">
        <v>60407</v>
      </c>
      <c r="S3807" s="1">
        <v>7899945425</v>
      </c>
      <c r="T3807" s="1" t="s">
        <v>539</v>
      </c>
      <c r="U3807" s="1" t="s">
        <v>60408</v>
      </c>
      <c r="V3807" s="1">
        <v>9743843968</v>
      </c>
      <c r="W3807" s="1" t="s">
        <v>94</v>
      </c>
      <c r="X3807" s="1" t="s">
        <v>60409</v>
      </c>
      <c r="Y3807" s="1" t="s">
        <v>3011</v>
      </c>
      <c r="Z3807" s="1" t="s">
        <v>1210</v>
      </c>
      <c r="AA3807" s="1" t="s">
        <v>60410</v>
      </c>
      <c r="AB3807" s="1" t="s">
        <v>3011</v>
      </c>
      <c r="AC3807" s="1" t="s">
        <v>1210</v>
      </c>
      <c r="AD3807" s="1" t="s">
        <v>98</v>
      </c>
      <c r="AE3807" s="1" t="s">
        <v>98</v>
      </c>
      <c r="AF3807" s="1" t="s">
        <v>60411</v>
      </c>
      <c r="AG3807" s="1" t="s">
        <v>6474</v>
      </c>
      <c r="AH3807" s="1">
        <v>41792</v>
      </c>
      <c r="AI3807" s="1">
        <v>42094</v>
      </c>
      <c r="AJ3807" s="1">
        <v>71.5</v>
      </c>
      <c r="AK3807" s="1"/>
      <c r="AL3807" s="1" t="s">
        <v>60412</v>
      </c>
      <c r="AM3807" s="1" t="s">
        <v>6474</v>
      </c>
      <c r="AN3807" s="1"/>
      <c r="AO3807" s="1">
        <v>42523</v>
      </c>
      <c r="AP3807" s="1">
        <v>42825</v>
      </c>
      <c r="AQ3807" s="1">
        <v>69.66</v>
      </c>
      <c r="AR3807" s="1"/>
      <c r="AS3807" s="1"/>
      <c r="AT3807" s="1"/>
      <c r="AU3807" s="1" t="s">
        <v>98</v>
      </c>
      <c r="AV3807" s="1" t="s">
        <v>98</v>
      </c>
      <c r="AW3807" s="1" t="s">
        <v>98</v>
      </c>
      <c r="AX3807" s="1" t="s">
        <v>98</v>
      </c>
      <c r="AY3807" s="1" t="s">
        <v>60413</v>
      </c>
      <c r="AZ3807" s="1" t="s">
        <v>20935</v>
      </c>
      <c r="BA3807" s="1"/>
      <c r="BB3807" s="1"/>
      <c r="BC3807" s="1">
        <v>42955</v>
      </c>
      <c r="BD3807" s="1">
        <v>44456</v>
      </c>
      <c r="BE3807" s="1">
        <v>76.3</v>
      </c>
      <c r="BF3807" s="1">
        <v>8.38</v>
      </c>
      <c r="BG3807" s="1"/>
      <c r="BH3807" s="1"/>
      <c r="BI3807" s="1"/>
      <c r="BJ3807" s="1"/>
      <c r="BK3807" s="1" t="s">
        <v>98</v>
      </c>
      <c r="BL3807" s="1" t="s">
        <v>98</v>
      </c>
      <c r="BM3807" s="1" t="s">
        <v>98</v>
      </c>
      <c r="BN3807" s="1" t="s">
        <v>98</v>
      </c>
      <c r="BO3807" s="1" t="s">
        <v>40690</v>
      </c>
      <c r="BP3807" s="1"/>
      <c r="BQ3807" s="1"/>
      <c r="BR3807" s="1" t="s">
        <v>60414</v>
      </c>
      <c r="BS3807" s="1">
        <v>16</v>
      </c>
      <c r="BT3807" s="1"/>
      <c r="BU3807" s="1" t="s">
        <v>9653</v>
      </c>
      <c r="BV3807" s="3"/>
      <c r="BW3807" s="3"/>
    </row>
    <row r="3808" spans="1:75">
      <c r="A3808" s="1" t="s">
        <v>59001</v>
      </c>
      <c r="B3808" s="1" t="s">
        <v>51341</v>
      </c>
      <c r="C3808" s="1" t="s">
        <v>60415</v>
      </c>
      <c r="D3808" s="1" t="s">
        <v>60416</v>
      </c>
      <c r="E3808" s="1" t="s">
        <v>2500</v>
      </c>
      <c r="F3808" s="1" t="s">
        <v>60417</v>
      </c>
      <c r="G3808" s="1" t="s">
        <v>60418</v>
      </c>
      <c r="H3808" s="1" t="s">
        <v>60419</v>
      </c>
      <c r="I3808" s="1" t="s">
        <v>60420</v>
      </c>
      <c r="J3808" s="1">
        <v>7387718529</v>
      </c>
      <c r="K3808" s="1" t="s">
        <v>84</v>
      </c>
      <c r="L3808" s="1" t="s">
        <v>60421</v>
      </c>
      <c r="M3808" s="1" t="s">
        <v>86</v>
      </c>
      <c r="N3808" s="1" t="s">
        <v>42784</v>
      </c>
      <c r="O3808" s="1"/>
      <c r="P3808" s="1" t="s">
        <v>507</v>
      </c>
      <c r="Q3808" s="1" t="s">
        <v>60422</v>
      </c>
      <c r="R3808" s="1" t="s">
        <v>60423</v>
      </c>
      <c r="S3808" s="1">
        <v>8275321092</v>
      </c>
      <c r="T3808" s="1" t="s">
        <v>539</v>
      </c>
      <c r="U3808" s="1" t="s">
        <v>60424</v>
      </c>
      <c r="V3808" s="1">
        <v>8855040035</v>
      </c>
      <c r="W3808" s="1" t="s">
        <v>3461</v>
      </c>
      <c r="X3808" s="1" t="s">
        <v>60425</v>
      </c>
      <c r="Y3808" s="1" t="s">
        <v>196</v>
      </c>
      <c r="Z3808" s="1" t="s">
        <v>97</v>
      </c>
      <c r="AA3808" s="1" t="s">
        <v>98</v>
      </c>
      <c r="AB3808" s="1" t="s">
        <v>196</v>
      </c>
      <c r="AC3808" s="1" t="s">
        <v>97</v>
      </c>
      <c r="AD3808" s="1" t="s">
        <v>98</v>
      </c>
      <c r="AE3808" s="1" t="s">
        <v>98</v>
      </c>
      <c r="AF3808" s="1" t="s">
        <v>60426</v>
      </c>
      <c r="AG3808" s="1" t="s">
        <v>51712</v>
      </c>
      <c r="AH3808" s="1">
        <v>40709</v>
      </c>
      <c r="AI3808" s="1">
        <v>41073</v>
      </c>
      <c r="AJ3808" s="1">
        <v>80.55</v>
      </c>
      <c r="AK3808" s="1" t="s">
        <v>98</v>
      </c>
      <c r="AL3808" s="1" t="s">
        <v>98</v>
      </c>
      <c r="AM3808" s="1" t="s">
        <v>98</v>
      </c>
      <c r="AN3808" s="1"/>
      <c r="AO3808" s="1" t="s">
        <v>98</v>
      </c>
      <c r="AP3808" s="1" t="s">
        <v>98</v>
      </c>
      <c r="AQ3808" s="1" t="s">
        <v>98</v>
      </c>
      <c r="AR3808" s="1" t="s">
        <v>98</v>
      </c>
      <c r="AS3808" s="1" t="s">
        <v>439</v>
      </c>
      <c r="AT3808" s="1" t="s">
        <v>7863</v>
      </c>
      <c r="AU3808" s="1">
        <v>41120</v>
      </c>
      <c r="AV3808" s="1">
        <v>42160</v>
      </c>
      <c r="AW3808" s="1">
        <v>83.38</v>
      </c>
      <c r="AX3808" s="1" t="s">
        <v>98</v>
      </c>
      <c r="AY3808" s="1" t="s">
        <v>366</v>
      </c>
      <c r="AZ3808" s="1" t="s">
        <v>16244</v>
      </c>
      <c r="BA3808" s="1"/>
      <c r="BB3808" s="1"/>
      <c r="BC3808" s="1">
        <v>42228</v>
      </c>
      <c r="BD3808" s="1">
        <v>43285</v>
      </c>
      <c r="BE3808" s="1">
        <v>72.73</v>
      </c>
      <c r="BF3808" s="1" t="s">
        <v>98</v>
      </c>
      <c r="BG3808" s="1" t="s">
        <v>98</v>
      </c>
      <c r="BH3808" s="1"/>
      <c r="BI3808" s="1"/>
      <c r="BJ3808" s="1"/>
      <c r="BK3808" s="1" t="s">
        <v>98</v>
      </c>
      <c r="BL3808" s="1" t="s">
        <v>98</v>
      </c>
      <c r="BM3808" s="1" t="s">
        <v>98</v>
      </c>
      <c r="BN3808" s="1" t="s">
        <v>98</v>
      </c>
      <c r="BO3808" s="1"/>
      <c r="BP3808" s="1" t="s">
        <v>60427</v>
      </c>
      <c r="BQ3808" s="1" t="s">
        <v>1482</v>
      </c>
      <c r="BR3808" s="1" t="s">
        <v>60428</v>
      </c>
      <c r="BS3808" s="1">
        <v>7</v>
      </c>
      <c r="BT3808" s="1"/>
      <c r="BU3808" s="1" t="s">
        <v>9653</v>
      </c>
      <c r="BV3808" s="3"/>
      <c r="BW3808" s="3"/>
    </row>
    <row r="3809" spans="1:75">
      <c r="A3809" s="1" t="s">
        <v>59001</v>
      </c>
      <c r="B3809" s="1" t="s">
        <v>51341</v>
      </c>
      <c r="C3809" s="1" t="s">
        <v>60429</v>
      </c>
      <c r="D3809" s="1" t="s">
        <v>6136</v>
      </c>
      <c r="E3809" s="1"/>
      <c r="F3809" s="1" t="s">
        <v>1320</v>
      </c>
      <c r="G3809" s="1" t="s">
        <v>60430</v>
      </c>
      <c r="H3809" s="1" t="s">
        <v>60431</v>
      </c>
      <c r="I3809" s="1" t="s">
        <v>60432</v>
      </c>
      <c r="J3809" s="1">
        <v>9340140920</v>
      </c>
      <c r="K3809" s="1" t="s">
        <v>84</v>
      </c>
      <c r="L3809" s="1" t="s">
        <v>30740</v>
      </c>
      <c r="M3809" s="1" t="s">
        <v>86</v>
      </c>
      <c r="N3809" s="1" t="s">
        <v>87</v>
      </c>
      <c r="O3809" s="1"/>
      <c r="P3809" s="1" t="s">
        <v>455</v>
      </c>
      <c r="Q3809" s="1" t="s">
        <v>60433</v>
      </c>
      <c r="R3809" s="1" t="s">
        <v>60434</v>
      </c>
      <c r="S3809" s="1">
        <v>9826466963</v>
      </c>
      <c r="T3809" s="1" t="s">
        <v>645</v>
      </c>
      <c r="U3809" s="1" t="s">
        <v>60435</v>
      </c>
      <c r="V3809" s="1">
        <v>8871946089</v>
      </c>
      <c r="W3809" s="1" t="s">
        <v>94</v>
      </c>
      <c r="X3809" s="1" t="s">
        <v>60436</v>
      </c>
      <c r="Y3809" s="1" t="s">
        <v>7949</v>
      </c>
      <c r="Z3809" s="1" t="s">
        <v>3419</v>
      </c>
      <c r="AA3809" s="1" t="s">
        <v>60436</v>
      </c>
      <c r="AB3809" s="1" t="s">
        <v>7949</v>
      </c>
      <c r="AC3809" s="1" t="s">
        <v>3419</v>
      </c>
      <c r="AD3809" s="1" t="s">
        <v>98</v>
      </c>
      <c r="AE3809" s="1" t="s">
        <v>98</v>
      </c>
      <c r="AF3809" s="1" t="s">
        <v>31436</v>
      </c>
      <c r="AG3809" s="1" t="s">
        <v>312</v>
      </c>
      <c r="AH3809" s="1">
        <v>41805</v>
      </c>
      <c r="AI3809" s="1">
        <v>42151</v>
      </c>
      <c r="AJ3809" s="1">
        <v>85.5</v>
      </c>
      <c r="AK3809" s="1">
        <v>9</v>
      </c>
      <c r="AL3809" s="1" t="s">
        <v>31436</v>
      </c>
      <c r="AM3809" s="1" t="s">
        <v>312</v>
      </c>
      <c r="AN3809" s="1"/>
      <c r="AO3809" s="1">
        <v>42536</v>
      </c>
      <c r="AP3809" s="1">
        <v>42883</v>
      </c>
      <c r="AQ3809" s="1">
        <v>70</v>
      </c>
      <c r="AR3809" s="1"/>
      <c r="AS3809" s="1"/>
      <c r="AT3809" s="1"/>
      <c r="AU3809" s="1" t="s">
        <v>98</v>
      </c>
      <c r="AV3809" s="1" t="s">
        <v>98</v>
      </c>
      <c r="AW3809" s="1" t="s">
        <v>98</v>
      </c>
      <c r="AX3809" s="1" t="s">
        <v>98</v>
      </c>
      <c r="AY3809" s="1" t="s">
        <v>2206</v>
      </c>
      <c r="AZ3809" s="1" t="s">
        <v>60437</v>
      </c>
      <c r="BA3809" s="1"/>
      <c r="BB3809" s="1"/>
      <c r="BC3809" s="1">
        <v>42943</v>
      </c>
      <c r="BD3809" s="1">
        <v>44379</v>
      </c>
      <c r="BE3809" s="1">
        <v>67.2</v>
      </c>
      <c r="BF3809" s="1">
        <v>6.72</v>
      </c>
      <c r="BG3809" s="1"/>
      <c r="BH3809" s="1"/>
      <c r="BI3809" s="1"/>
      <c r="BJ3809" s="1"/>
      <c r="BK3809" s="1" t="s">
        <v>98</v>
      </c>
      <c r="BL3809" s="1" t="s">
        <v>98</v>
      </c>
      <c r="BM3809" s="1" t="s">
        <v>98</v>
      </c>
      <c r="BN3809" s="1" t="s">
        <v>98</v>
      </c>
      <c r="BO3809" s="1" t="s">
        <v>25463</v>
      </c>
      <c r="BP3809" s="1"/>
      <c r="BQ3809" s="1"/>
      <c r="BR3809" s="1" t="s">
        <v>60438</v>
      </c>
      <c r="BS3809" s="1">
        <v>15</v>
      </c>
      <c r="BT3809" s="1"/>
      <c r="BU3809" s="1" t="str">
        <f>HYPERLINK("https://nconnect.nicmar.ac.in/storage/profile/2021-2023_PP21102_651824.jpg","Download")</f>
        <v>0</v>
      </c>
      <c r="BV3809" s="3"/>
      <c r="BW3809" s="3"/>
    </row>
    <row r="3810" spans="1:75">
      <c r="A3810" s="1" t="s">
        <v>59001</v>
      </c>
      <c r="B3810" s="1" t="s">
        <v>51341</v>
      </c>
      <c r="C3810" s="1" t="s">
        <v>60439</v>
      </c>
      <c r="D3810" s="1" t="s">
        <v>60440</v>
      </c>
      <c r="E3810" s="1"/>
      <c r="F3810" s="1" t="s">
        <v>530</v>
      </c>
      <c r="G3810" s="1" t="s">
        <v>60441</v>
      </c>
      <c r="H3810" s="1" t="s">
        <v>60442</v>
      </c>
      <c r="I3810" s="1" t="s">
        <v>60443</v>
      </c>
      <c r="J3810" s="1">
        <v>8524008810</v>
      </c>
      <c r="K3810" s="1" t="s">
        <v>84</v>
      </c>
      <c r="L3810" s="1" t="s">
        <v>9098</v>
      </c>
      <c r="M3810" s="1" t="s">
        <v>86</v>
      </c>
      <c r="N3810" s="1" t="s">
        <v>4278</v>
      </c>
      <c r="O3810" s="1"/>
      <c r="P3810" s="1" t="s">
        <v>507</v>
      </c>
      <c r="Q3810" s="1" t="s">
        <v>60444</v>
      </c>
      <c r="R3810" s="1" t="s">
        <v>60445</v>
      </c>
      <c r="S3810" s="1">
        <v>9450763870</v>
      </c>
      <c r="T3810" s="1" t="s">
        <v>2950</v>
      </c>
      <c r="U3810" s="1" t="s">
        <v>60446</v>
      </c>
      <c r="V3810" s="1">
        <v>9450763849</v>
      </c>
      <c r="W3810" s="1" t="s">
        <v>2950</v>
      </c>
      <c r="X3810" s="1" t="s">
        <v>60447</v>
      </c>
      <c r="Y3810" s="1" t="s">
        <v>1059</v>
      </c>
      <c r="Z3810" s="1" t="s">
        <v>544</v>
      </c>
      <c r="AA3810" s="1" t="s">
        <v>60448</v>
      </c>
      <c r="AB3810" s="1" t="s">
        <v>1059</v>
      </c>
      <c r="AC3810" s="1" t="s">
        <v>544</v>
      </c>
      <c r="AD3810" s="1" t="s">
        <v>98</v>
      </c>
      <c r="AE3810" s="1" t="s">
        <v>98</v>
      </c>
      <c r="AF3810" s="1" t="s">
        <v>60449</v>
      </c>
      <c r="AG3810" s="1" t="s">
        <v>60450</v>
      </c>
      <c r="AH3810" s="1" t="s">
        <v>133</v>
      </c>
      <c r="AI3810" s="1" t="s">
        <v>101</v>
      </c>
      <c r="AJ3810" s="1">
        <v>74.1</v>
      </c>
      <c r="AK3810" s="1">
        <v>7.8</v>
      </c>
      <c r="AL3810" s="1" t="s">
        <v>60449</v>
      </c>
      <c r="AM3810" s="1" t="s">
        <v>60450</v>
      </c>
      <c r="AN3810" s="1"/>
      <c r="AO3810" s="1" t="s">
        <v>101</v>
      </c>
      <c r="AP3810" s="1" t="s">
        <v>167</v>
      </c>
      <c r="AQ3810" s="1">
        <v>72.4</v>
      </c>
      <c r="AR3810" s="1"/>
      <c r="AS3810" s="1"/>
      <c r="AT3810" s="1"/>
      <c r="AU3810" s="1"/>
      <c r="AV3810" s="1"/>
      <c r="AW3810" s="1"/>
      <c r="AX3810" s="1"/>
      <c r="AY3810" s="1" t="s">
        <v>60451</v>
      </c>
      <c r="AZ3810" s="1" t="s">
        <v>60452</v>
      </c>
      <c r="BA3810" s="1"/>
      <c r="BB3810" s="1"/>
      <c r="BC3810" s="1" t="s">
        <v>388</v>
      </c>
      <c r="BD3810" s="1" t="s">
        <v>549</v>
      </c>
      <c r="BE3810" s="1">
        <v>70.78</v>
      </c>
      <c r="BF3810" s="1">
        <v>7.45</v>
      </c>
      <c r="BG3810" s="1"/>
      <c r="BH3810" s="1"/>
      <c r="BI3810" s="1"/>
      <c r="BJ3810" s="1"/>
      <c r="BK3810" s="1"/>
      <c r="BL3810" s="1"/>
      <c r="BM3810" s="1"/>
      <c r="BN3810" s="1"/>
      <c r="BO3810" s="1" t="s">
        <v>60453</v>
      </c>
      <c r="BP3810" s="1"/>
      <c r="BQ3810" s="1"/>
      <c r="BR3810" s="1" t="s">
        <v>60454</v>
      </c>
      <c r="BS3810" s="1">
        <v>8</v>
      </c>
      <c r="BT3810" s="1"/>
      <c r="BU3810" s="1" t="str">
        <f>HYPERLINK("https://nconnect.nicmar.ac.in/storage/profile/2021-2023_PP21103_684725.jpg","Download")</f>
        <v>0</v>
      </c>
      <c r="BV3810" s="3"/>
      <c r="BW3810" s="3"/>
    </row>
    <row r="3811" spans="1:75">
      <c r="A3811" s="1" t="s">
        <v>59001</v>
      </c>
      <c r="B3811" s="1" t="s">
        <v>51341</v>
      </c>
      <c r="C3811" s="1" t="s">
        <v>60455</v>
      </c>
      <c r="D3811" s="1" t="s">
        <v>2500</v>
      </c>
      <c r="E3811" s="1" t="s">
        <v>34768</v>
      </c>
      <c r="F3811" s="1" t="s">
        <v>60456</v>
      </c>
      <c r="G3811" s="1" t="s">
        <v>60457</v>
      </c>
      <c r="H3811" s="1" t="s">
        <v>60458</v>
      </c>
      <c r="I3811" s="1" t="s">
        <v>60459</v>
      </c>
      <c r="J3811" s="1">
        <v>9423576255</v>
      </c>
      <c r="K3811" s="1" t="s">
        <v>84</v>
      </c>
      <c r="L3811" s="1" t="s">
        <v>60460</v>
      </c>
      <c r="M3811" s="1" t="s">
        <v>86</v>
      </c>
      <c r="N3811" s="1" t="s">
        <v>60461</v>
      </c>
      <c r="O3811" s="1"/>
      <c r="P3811" s="1" t="s">
        <v>507</v>
      </c>
      <c r="Q3811" s="1" t="s">
        <v>60462</v>
      </c>
      <c r="R3811" s="1" t="s">
        <v>60463</v>
      </c>
      <c r="S3811" s="1">
        <v>9405233866</v>
      </c>
      <c r="T3811" s="1" t="s">
        <v>60464</v>
      </c>
      <c r="U3811" s="1" t="s">
        <v>60465</v>
      </c>
      <c r="V3811" s="1">
        <v>9448010793</v>
      </c>
      <c r="W3811" s="1" t="s">
        <v>94</v>
      </c>
      <c r="X3811" s="1" t="s">
        <v>60466</v>
      </c>
      <c r="Y3811" s="1" t="s">
        <v>3011</v>
      </c>
      <c r="Z3811" s="1" t="s">
        <v>1210</v>
      </c>
      <c r="AA3811" s="1" t="s">
        <v>60466</v>
      </c>
      <c r="AB3811" s="1" t="s">
        <v>3011</v>
      </c>
      <c r="AC3811" s="1" t="s">
        <v>1210</v>
      </c>
      <c r="AD3811" s="1" t="s">
        <v>98</v>
      </c>
      <c r="AE3811" s="1" t="s">
        <v>98</v>
      </c>
      <c r="AF3811" s="1" t="s">
        <v>60467</v>
      </c>
      <c r="AG3811" s="1" t="s">
        <v>796</v>
      </c>
      <c r="AH3811" s="1">
        <v>41365</v>
      </c>
      <c r="AI3811" s="1">
        <v>41778</v>
      </c>
      <c r="AJ3811" s="1">
        <v>85.5</v>
      </c>
      <c r="AK3811" s="1">
        <v>9</v>
      </c>
      <c r="AL3811" s="1" t="s">
        <v>60467</v>
      </c>
      <c r="AM3811" s="1" t="s">
        <v>796</v>
      </c>
      <c r="AN3811" s="1"/>
      <c r="AO3811" s="1">
        <v>42095</v>
      </c>
      <c r="AP3811" s="1">
        <v>42511</v>
      </c>
      <c r="AQ3811" s="1">
        <v>64.6</v>
      </c>
      <c r="AR3811" s="1">
        <v>0</v>
      </c>
      <c r="AS3811" s="1"/>
      <c r="AT3811" s="1"/>
      <c r="AU3811" s="1" t="s">
        <v>98</v>
      </c>
      <c r="AV3811" s="1" t="s">
        <v>98</v>
      </c>
      <c r="AW3811" s="1" t="s">
        <v>98</v>
      </c>
      <c r="AX3811" s="1" t="s">
        <v>98</v>
      </c>
      <c r="AY3811" s="1" t="s">
        <v>550</v>
      </c>
      <c r="AZ3811" s="1" t="s">
        <v>60468</v>
      </c>
      <c r="BA3811" s="1"/>
      <c r="BB3811" s="1"/>
      <c r="BC3811" s="1">
        <v>42621</v>
      </c>
      <c r="BD3811" s="1">
        <v>44084</v>
      </c>
      <c r="BE3811" s="1">
        <v>72.8</v>
      </c>
      <c r="BF3811" s="1">
        <v>7.28</v>
      </c>
      <c r="BG3811" s="1"/>
      <c r="BH3811" s="1"/>
      <c r="BI3811" s="1"/>
      <c r="BJ3811" s="1"/>
      <c r="BK3811" s="1" t="s">
        <v>98</v>
      </c>
      <c r="BL3811" s="1" t="s">
        <v>98</v>
      </c>
      <c r="BM3811" s="1" t="s">
        <v>98</v>
      </c>
      <c r="BN3811" s="1" t="s">
        <v>98</v>
      </c>
      <c r="BO3811" s="1" t="s">
        <v>28364</v>
      </c>
      <c r="BP3811" s="1" t="s">
        <v>60469</v>
      </c>
      <c r="BQ3811" s="1" t="s">
        <v>1564</v>
      </c>
      <c r="BR3811" s="1" t="s">
        <v>60470</v>
      </c>
      <c r="BS3811" s="1">
        <v>11</v>
      </c>
      <c r="BT3811" s="1"/>
      <c r="BU3811" s="1" t="s">
        <v>9653</v>
      </c>
      <c r="BV3811" s="3"/>
      <c r="BW3811" s="3"/>
    </row>
    <row r="3812" spans="1:75">
      <c r="A3812" s="1" t="s">
        <v>59001</v>
      </c>
      <c r="B3812" s="1" t="s">
        <v>51341</v>
      </c>
      <c r="C3812" s="1" t="s">
        <v>60471</v>
      </c>
      <c r="D3812" s="1" t="s">
        <v>8789</v>
      </c>
      <c r="E3812" s="1"/>
      <c r="F3812" s="1" t="s">
        <v>60472</v>
      </c>
      <c r="G3812" s="1" t="s">
        <v>60473</v>
      </c>
      <c r="H3812" s="1" t="s">
        <v>60474</v>
      </c>
      <c r="I3812" s="1" t="s">
        <v>60475</v>
      </c>
      <c r="J3812" s="1">
        <v>7543018867</v>
      </c>
      <c r="K3812" s="1" t="s">
        <v>84</v>
      </c>
      <c r="L3812" s="1" t="s">
        <v>27223</v>
      </c>
      <c r="M3812" s="1" t="s">
        <v>86</v>
      </c>
      <c r="N3812" s="1" t="s">
        <v>246</v>
      </c>
      <c r="O3812" s="1"/>
      <c r="P3812" s="1" t="s">
        <v>507</v>
      </c>
      <c r="Q3812" s="1" t="s">
        <v>60476</v>
      </c>
      <c r="R3812" s="1" t="s">
        <v>60477</v>
      </c>
      <c r="S3812" s="1">
        <v>8757565758</v>
      </c>
      <c r="T3812" s="1" t="s">
        <v>51798</v>
      </c>
      <c r="U3812" s="1" t="s">
        <v>6001</v>
      </c>
      <c r="V3812" s="1">
        <v>7070768820</v>
      </c>
      <c r="W3812" s="1" t="s">
        <v>94</v>
      </c>
      <c r="X3812" s="1" t="s">
        <v>60478</v>
      </c>
      <c r="Y3812" s="1" t="s">
        <v>648</v>
      </c>
      <c r="Z3812" s="1" t="s">
        <v>649</v>
      </c>
      <c r="AA3812" s="1" t="s">
        <v>60479</v>
      </c>
      <c r="AB3812" s="1" t="s">
        <v>34263</v>
      </c>
      <c r="AC3812" s="1" t="s">
        <v>649</v>
      </c>
      <c r="AD3812" s="1" t="s">
        <v>98</v>
      </c>
      <c r="AE3812" s="1" t="s">
        <v>98</v>
      </c>
      <c r="AF3812" s="1" t="s">
        <v>1060</v>
      </c>
      <c r="AG3812" s="1" t="s">
        <v>312</v>
      </c>
      <c r="AH3812" s="1">
        <v>41365</v>
      </c>
      <c r="AI3812" s="1">
        <v>41779</v>
      </c>
      <c r="AJ3812" s="1">
        <v>83.6</v>
      </c>
      <c r="AK3812" s="1">
        <v>8.8</v>
      </c>
      <c r="AL3812" s="1" t="s">
        <v>60480</v>
      </c>
      <c r="AM3812" s="1" t="s">
        <v>312</v>
      </c>
      <c r="AN3812" s="1"/>
      <c r="AO3812" s="1">
        <v>42095</v>
      </c>
      <c r="AP3812" s="1">
        <v>42511</v>
      </c>
      <c r="AQ3812" s="1">
        <v>78</v>
      </c>
      <c r="AR3812" s="1"/>
      <c r="AS3812" s="1"/>
      <c r="AT3812" s="1"/>
      <c r="AU3812" s="1" t="s">
        <v>98</v>
      </c>
      <c r="AV3812" s="1" t="s">
        <v>98</v>
      </c>
      <c r="AW3812" s="1" t="s">
        <v>98</v>
      </c>
      <c r="AX3812" s="1" t="s">
        <v>98</v>
      </c>
      <c r="AY3812" s="1" t="s">
        <v>6995</v>
      </c>
      <c r="AZ3812" s="1" t="s">
        <v>22727</v>
      </c>
      <c r="BA3812" s="1"/>
      <c r="BB3812" s="1"/>
      <c r="BC3812" s="1">
        <v>42583</v>
      </c>
      <c r="BD3812" s="1">
        <v>44067</v>
      </c>
      <c r="BE3812" s="1">
        <v>72.7</v>
      </c>
      <c r="BF3812" s="1">
        <v>7.27</v>
      </c>
      <c r="BG3812" s="1"/>
      <c r="BH3812" s="1"/>
      <c r="BI3812" s="1"/>
      <c r="BJ3812" s="1"/>
      <c r="BK3812" s="1" t="s">
        <v>98</v>
      </c>
      <c r="BL3812" s="1" t="s">
        <v>98</v>
      </c>
      <c r="BM3812" s="1" t="s">
        <v>98</v>
      </c>
      <c r="BN3812" s="1" t="s">
        <v>98</v>
      </c>
      <c r="BO3812" s="1" t="s">
        <v>1114</v>
      </c>
      <c r="BP3812" s="1"/>
      <c r="BQ3812" s="1"/>
      <c r="BR3812" s="1" t="s">
        <v>60481</v>
      </c>
      <c r="BS3812" s="1">
        <v>44</v>
      </c>
      <c r="BT3812" s="1"/>
      <c r="BU3812" s="1" t="str">
        <f>HYPERLINK("https://nconnect.nicmar.ac.in/storage/profile/2021-2023_PP21056_145637.JPG","Download")</f>
        <v>0</v>
      </c>
      <c r="BV3812" s="3"/>
      <c r="BW3812" s="3"/>
    </row>
    <row r="3813" spans="1:75">
      <c r="A3813" s="1" t="s">
        <v>60482</v>
      </c>
      <c r="B3813" s="1" t="s">
        <v>51341</v>
      </c>
      <c r="C3813" s="1" t="s">
        <v>60483</v>
      </c>
      <c r="D3813" s="1" t="s">
        <v>7798</v>
      </c>
      <c r="E3813" s="1"/>
      <c r="F3813" s="1" t="s">
        <v>60484</v>
      </c>
      <c r="G3813" s="1" t="s">
        <v>60485</v>
      </c>
      <c r="H3813" s="1" t="s">
        <v>60486</v>
      </c>
      <c r="I3813" s="1" t="s">
        <v>60487</v>
      </c>
      <c r="J3813" s="1"/>
      <c r="K3813" s="1" t="s">
        <v>84</v>
      </c>
      <c r="L3813" s="1" t="s">
        <v>60488</v>
      </c>
      <c r="M3813" s="1" t="s">
        <v>86</v>
      </c>
      <c r="N3813" s="1" t="s">
        <v>5777</v>
      </c>
      <c r="O3813" s="1"/>
      <c r="P3813" s="1" t="s">
        <v>1028</v>
      </c>
      <c r="Q3813" s="1" t="s">
        <v>60489</v>
      </c>
      <c r="R3813" s="1" t="s">
        <v>60490</v>
      </c>
      <c r="S3813" s="1">
        <v>9884543946</v>
      </c>
      <c r="T3813" s="1" t="s">
        <v>13411</v>
      </c>
      <c r="U3813" s="1" t="s">
        <v>60491</v>
      </c>
      <c r="V3813" s="1">
        <v>8610459772</v>
      </c>
      <c r="W3813" s="1" t="s">
        <v>539</v>
      </c>
      <c r="X3813" s="1" t="s">
        <v>60492</v>
      </c>
      <c r="Y3813" s="1" t="s">
        <v>1498</v>
      </c>
      <c r="Z3813" s="1" t="s">
        <v>570</v>
      </c>
      <c r="AA3813" s="1" t="s">
        <v>60492</v>
      </c>
      <c r="AB3813" s="1" t="s">
        <v>1498</v>
      </c>
      <c r="AC3813" s="1" t="s">
        <v>570</v>
      </c>
      <c r="AD3813" s="1" t="s">
        <v>98</v>
      </c>
      <c r="AE3813" s="1" t="s">
        <v>98</v>
      </c>
      <c r="AF3813" s="1" t="s">
        <v>60493</v>
      </c>
      <c r="AG3813" s="1" t="s">
        <v>60494</v>
      </c>
      <c r="AH3813" s="1" t="s">
        <v>12936</v>
      </c>
      <c r="AI3813" s="1" t="s">
        <v>3923</v>
      </c>
      <c r="AJ3813" s="1">
        <v>80.4</v>
      </c>
      <c r="AK3813" s="1">
        <v>8.04</v>
      </c>
      <c r="AL3813" s="1" t="s">
        <v>60493</v>
      </c>
      <c r="AM3813" s="1" t="s">
        <v>7028</v>
      </c>
      <c r="AN3813" s="1"/>
      <c r="AO3813" s="1" t="s">
        <v>133</v>
      </c>
      <c r="AP3813" s="1" t="s">
        <v>3421</v>
      </c>
      <c r="AQ3813" s="1">
        <v>80.4</v>
      </c>
      <c r="AR3813" s="1">
        <v>8.04</v>
      </c>
      <c r="AS3813" s="1"/>
      <c r="AT3813" s="1"/>
      <c r="AU3813" s="1"/>
      <c r="AV3813" s="1"/>
      <c r="AW3813" s="1"/>
      <c r="AX3813" s="1"/>
      <c r="AY3813" s="1" t="s">
        <v>576</v>
      </c>
      <c r="AZ3813" s="1" t="s">
        <v>60495</v>
      </c>
      <c r="BA3813" s="1"/>
      <c r="BB3813" s="1"/>
      <c r="BC3813" s="1" t="s">
        <v>804</v>
      </c>
      <c r="BD3813" s="1" t="s">
        <v>573</v>
      </c>
      <c r="BE3813" s="1">
        <v>72.5</v>
      </c>
      <c r="BF3813" s="1">
        <v>7.25</v>
      </c>
      <c r="BG3813" s="1"/>
      <c r="BH3813" s="1"/>
      <c r="BI3813" s="1"/>
      <c r="BJ3813" s="1"/>
      <c r="BK3813" s="1"/>
      <c r="BL3813" s="1"/>
      <c r="BM3813" s="1"/>
      <c r="BN3813" s="1"/>
      <c r="BO3813" s="1" t="s">
        <v>1114</v>
      </c>
      <c r="BP3813" s="1" t="s">
        <v>60496</v>
      </c>
      <c r="BQ3813" s="1" t="s">
        <v>292</v>
      </c>
      <c r="BR3813" s="1" t="s">
        <v>60497</v>
      </c>
      <c r="BS3813" s="1">
        <v>8</v>
      </c>
      <c r="BT3813" s="1"/>
      <c r="BU3813" s="1" t="str">
        <f>HYPERLINK("https://nconnect.nicmar.ac.in/storage/profile/2021-2023_FP20012_364751.jpg","Download")</f>
        <v>0</v>
      </c>
      <c r="BV3813" s="3"/>
      <c r="BW3813" s="3"/>
    </row>
    <row r="3814" spans="1:75">
      <c r="A3814" s="1" t="s">
        <v>60482</v>
      </c>
      <c r="B3814" s="1" t="s">
        <v>51341</v>
      </c>
      <c r="C3814" s="1" t="s">
        <v>60498</v>
      </c>
      <c r="D3814" s="1" t="s">
        <v>12265</v>
      </c>
      <c r="E3814" s="1"/>
      <c r="F3814" s="1" t="s">
        <v>60499</v>
      </c>
      <c r="G3814" s="1" t="s">
        <v>60500</v>
      </c>
      <c r="H3814" s="1" t="s">
        <v>60501</v>
      </c>
      <c r="I3814" s="1" t="s">
        <v>60502</v>
      </c>
      <c r="J3814" s="1">
        <v>8981081815</v>
      </c>
      <c r="K3814" s="1" t="s">
        <v>84</v>
      </c>
      <c r="L3814" s="1" t="s">
        <v>60503</v>
      </c>
      <c r="M3814" s="1" t="s">
        <v>86</v>
      </c>
      <c r="N3814" s="1" t="s">
        <v>60504</v>
      </c>
      <c r="O3814" s="1"/>
      <c r="P3814" s="1" t="s">
        <v>1028</v>
      </c>
      <c r="Q3814" s="1" t="s">
        <v>60505</v>
      </c>
      <c r="R3814" s="1" t="s">
        <v>60506</v>
      </c>
      <c r="S3814" s="1">
        <v>7980492907</v>
      </c>
      <c r="T3814" s="1" t="s">
        <v>839</v>
      </c>
      <c r="U3814" s="1" t="s">
        <v>60507</v>
      </c>
      <c r="V3814" s="1">
        <v>9937613303</v>
      </c>
      <c r="W3814" s="1" t="s">
        <v>161</v>
      </c>
      <c r="X3814" s="1" t="s">
        <v>60508</v>
      </c>
      <c r="Y3814" s="1" t="s">
        <v>3282</v>
      </c>
      <c r="Z3814" s="1" t="s">
        <v>1234</v>
      </c>
      <c r="AA3814" s="1" t="s">
        <v>60509</v>
      </c>
      <c r="AB3814" s="1" t="s">
        <v>3282</v>
      </c>
      <c r="AC3814" s="1" t="s">
        <v>1234</v>
      </c>
      <c r="AD3814" s="1" t="s">
        <v>98</v>
      </c>
      <c r="AE3814" s="1" t="s">
        <v>98</v>
      </c>
      <c r="AF3814" s="1" t="s">
        <v>60510</v>
      </c>
      <c r="AG3814" s="1" t="s">
        <v>60511</v>
      </c>
      <c r="AH3814" s="1" t="s">
        <v>59064</v>
      </c>
      <c r="AI3814" s="1" t="s">
        <v>60512</v>
      </c>
      <c r="AJ3814" s="1">
        <v>70.16</v>
      </c>
      <c r="AK3814" s="1"/>
      <c r="AL3814" s="1" t="s">
        <v>60513</v>
      </c>
      <c r="AM3814" s="1" t="s">
        <v>2181</v>
      </c>
      <c r="AN3814" s="1"/>
      <c r="AO3814" s="1" t="s">
        <v>60514</v>
      </c>
      <c r="AP3814" s="1" t="s">
        <v>60515</v>
      </c>
      <c r="AQ3814" s="1">
        <v>66.33</v>
      </c>
      <c r="AR3814" s="1"/>
      <c r="AS3814" s="1"/>
      <c r="AT3814" s="1"/>
      <c r="AU3814" s="1"/>
      <c r="AV3814" s="1"/>
      <c r="AW3814" s="1"/>
      <c r="AX3814" s="1"/>
      <c r="AY3814" s="1" t="s">
        <v>60516</v>
      </c>
      <c r="AZ3814" s="1" t="s">
        <v>56540</v>
      </c>
      <c r="BA3814" s="1"/>
      <c r="BB3814" s="1"/>
      <c r="BC3814" s="1" t="s">
        <v>60517</v>
      </c>
      <c r="BD3814" s="1" t="s">
        <v>60518</v>
      </c>
      <c r="BE3814" s="1">
        <v>66.6</v>
      </c>
      <c r="BF3814" s="1">
        <v>6.66</v>
      </c>
      <c r="BG3814" s="1"/>
      <c r="BH3814" s="1"/>
      <c r="BI3814" s="1"/>
      <c r="BJ3814" s="1"/>
      <c r="BK3814" s="1"/>
      <c r="BL3814" s="1"/>
      <c r="BM3814" s="1"/>
      <c r="BN3814" s="1"/>
      <c r="BO3814" s="1" t="s">
        <v>40690</v>
      </c>
      <c r="BP3814" s="1" t="s">
        <v>60519</v>
      </c>
      <c r="BQ3814" s="1" t="s">
        <v>2245</v>
      </c>
      <c r="BR3814" s="1" t="s">
        <v>60520</v>
      </c>
      <c r="BS3814" s="1">
        <v>18</v>
      </c>
      <c r="BT3814" s="1"/>
      <c r="BU3814" s="1" t="s">
        <v>9653</v>
      </c>
      <c r="BV3814" s="3"/>
      <c r="BW3814" s="3"/>
    </row>
    <row r="3815" spans="1:75">
      <c r="A3815" s="1" t="s">
        <v>60482</v>
      </c>
      <c r="B3815" s="1" t="s">
        <v>51341</v>
      </c>
      <c r="C3815" s="1" t="s">
        <v>60521</v>
      </c>
      <c r="D3815" s="1" t="s">
        <v>60522</v>
      </c>
      <c r="E3815" s="1" t="s">
        <v>5230</v>
      </c>
      <c r="F3815" s="1" t="s">
        <v>60523</v>
      </c>
      <c r="G3815" s="1" t="s">
        <v>60524</v>
      </c>
      <c r="H3815" s="1" t="s">
        <v>60525</v>
      </c>
      <c r="I3815" s="1" t="s">
        <v>60526</v>
      </c>
      <c r="J3815" s="1">
        <v>8669007681</v>
      </c>
      <c r="K3815" s="1" t="s">
        <v>84</v>
      </c>
      <c r="L3815" s="1" t="s">
        <v>58300</v>
      </c>
      <c r="M3815" s="1" t="s">
        <v>86</v>
      </c>
      <c r="N3815" s="1" t="s">
        <v>1163</v>
      </c>
      <c r="O3815" s="1"/>
      <c r="P3815" s="1" t="s">
        <v>481</v>
      </c>
      <c r="Q3815" s="1" t="s">
        <v>60527</v>
      </c>
      <c r="R3815" s="1" t="s">
        <v>60528</v>
      </c>
      <c r="S3815" s="1">
        <v>9423187213</v>
      </c>
      <c r="T3815" s="1" t="s">
        <v>11408</v>
      </c>
      <c r="U3815" s="1" t="s">
        <v>60529</v>
      </c>
      <c r="V3815" s="1">
        <v>8459473789</v>
      </c>
      <c r="W3815" s="1" t="s">
        <v>161</v>
      </c>
      <c r="X3815" s="1" t="s">
        <v>60530</v>
      </c>
      <c r="Y3815" s="1" t="s">
        <v>309</v>
      </c>
      <c r="Z3815" s="1" t="s">
        <v>97</v>
      </c>
      <c r="AA3815" s="1" t="s">
        <v>60530</v>
      </c>
      <c r="AB3815" s="1" t="s">
        <v>309</v>
      </c>
      <c r="AC3815" s="1" t="s">
        <v>97</v>
      </c>
      <c r="AD3815" s="1" t="s">
        <v>98</v>
      </c>
      <c r="AE3815" s="1" t="s">
        <v>98</v>
      </c>
      <c r="AF3815" s="1" t="s">
        <v>60531</v>
      </c>
      <c r="AG3815" s="1" t="s">
        <v>2745</v>
      </c>
      <c r="AH3815" s="1" t="s">
        <v>60532</v>
      </c>
      <c r="AI3815" s="1" t="s">
        <v>60533</v>
      </c>
      <c r="AJ3815" s="1">
        <v>83.8</v>
      </c>
      <c r="AK3815" s="1"/>
      <c r="AL3815" s="1" t="s">
        <v>98</v>
      </c>
      <c r="AM3815" s="1" t="s">
        <v>98</v>
      </c>
      <c r="AN3815" s="1"/>
      <c r="AO3815" s="1" t="s">
        <v>98</v>
      </c>
      <c r="AP3815" s="1" t="s">
        <v>98</v>
      </c>
      <c r="AQ3815" s="1"/>
      <c r="AR3815" s="1"/>
      <c r="AS3815" s="1" t="s">
        <v>439</v>
      </c>
      <c r="AT3815" s="1" t="s">
        <v>60534</v>
      </c>
      <c r="AU3815" s="1" t="s">
        <v>60535</v>
      </c>
      <c r="AV3815" s="1" t="s">
        <v>56831</v>
      </c>
      <c r="AW3815" s="1">
        <v>76.25</v>
      </c>
      <c r="AX3815" s="1"/>
      <c r="AY3815" s="1" t="s">
        <v>680</v>
      </c>
      <c r="AZ3815" s="1" t="s">
        <v>60536</v>
      </c>
      <c r="BA3815" s="1"/>
      <c r="BB3815" s="1"/>
      <c r="BC3815" s="1" t="s">
        <v>60537</v>
      </c>
      <c r="BD3815" s="1" t="s">
        <v>60538</v>
      </c>
      <c r="BE3815" s="1">
        <v>68.86</v>
      </c>
      <c r="BF3815" s="1">
        <v>7.98</v>
      </c>
      <c r="BG3815" s="1"/>
      <c r="BH3815" s="1"/>
      <c r="BI3815" s="1"/>
      <c r="BJ3815" s="1"/>
      <c r="BK3815" s="1" t="s">
        <v>98</v>
      </c>
      <c r="BL3815" s="1" t="s">
        <v>98</v>
      </c>
      <c r="BM3815" s="1" t="s">
        <v>98</v>
      </c>
      <c r="BN3815" s="1" t="s">
        <v>98</v>
      </c>
      <c r="BO3815" s="1" t="s">
        <v>60539</v>
      </c>
      <c r="BP3815" s="1"/>
      <c r="BQ3815" s="1"/>
      <c r="BR3815" s="1" t="s">
        <v>60540</v>
      </c>
      <c r="BS3815" s="1">
        <v>8</v>
      </c>
      <c r="BT3815" s="1"/>
      <c r="BU3815" s="1" t="str">
        <f>HYPERLINK("https://nconnect.nicmar.ac.in/storage/profile/2021-2023_FP21002_815934.png","Download")</f>
        <v>0</v>
      </c>
      <c r="BV3815" s="3"/>
      <c r="BW3815" s="3"/>
    </row>
    <row r="3816" spans="1:75">
      <c r="A3816" s="1" t="s">
        <v>60482</v>
      </c>
      <c r="B3816" s="1" t="s">
        <v>51341</v>
      </c>
      <c r="C3816" s="1" t="s">
        <v>60541</v>
      </c>
      <c r="D3816" s="1" t="s">
        <v>60542</v>
      </c>
      <c r="E3816" s="1"/>
      <c r="F3816" s="1" t="s">
        <v>60543</v>
      </c>
      <c r="G3816" s="1" t="s">
        <v>60544</v>
      </c>
      <c r="H3816" s="1" t="s">
        <v>60545</v>
      </c>
      <c r="I3816" s="1" t="s">
        <v>60546</v>
      </c>
      <c r="J3816" s="1">
        <v>7738441986</v>
      </c>
      <c r="K3816" s="1" t="s">
        <v>153</v>
      </c>
      <c r="L3816" s="1" t="s">
        <v>60547</v>
      </c>
      <c r="M3816" s="1" t="s">
        <v>86</v>
      </c>
      <c r="N3816" s="1" t="s">
        <v>246</v>
      </c>
      <c r="O3816" s="1"/>
      <c r="P3816" s="1" t="s">
        <v>507</v>
      </c>
      <c r="Q3816" s="1" t="s">
        <v>60548</v>
      </c>
      <c r="R3816" s="1" t="s">
        <v>60549</v>
      </c>
      <c r="S3816" s="1">
        <v>9892056489</v>
      </c>
      <c r="T3816" s="1" t="s">
        <v>698</v>
      </c>
      <c r="U3816" s="1" t="s">
        <v>60550</v>
      </c>
      <c r="V3816" s="1">
        <v>9967656489</v>
      </c>
      <c r="W3816" s="1" t="s">
        <v>94</v>
      </c>
      <c r="X3816" s="1" t="s">
        <v>60551</v>
      </c>
      <c r="Y3816" s="1" t="s">
        <v>1012</v>
      </c>
      <c r="Z3816" s="1" t="s">
        <v>97</v>
      </c>
      <c r="AA3816" s="1" t="s">
        <v>60551</v>
      </c>
      <c r="AB3816" s="1" t="s">
        <v>1012</v>
      </c>
      <c r="AC3816" s="1" t="s">
        <v>97</v>
      </c>
      <c r="AD3816" s="1" t="s">
        <v>98</v>
      </c>
      <c r="AE3816" s="1" t="s">
        <v>98</v>
      </c>
      <c r="AF3816" s="1" t="s">
        <v>60552</v>
      </c>
      <c r="AG3816" s="1" t="s">
        <v>52026</v>
      </c>
      <c r="AH3816" s="1">
        <v>40971</v>
      </c>
      <c r="AI3816" s="1">
        <v>41421</v>
      </c>
      <c r="AJ3816" s="1">
        <v>87</v>
      </c>
      <c r="AK3816" s="1"/>
      <c r="AL3816" s="1" t="s">
        <v>57050</v>
      </c>
      <c r="AM3816" s="1" t="s">
        <v>52026</v>
      </c>
      <c r="AN3816" s="1"/>
      <c r="AO3816" s="1">
        <v>41699</v>
      </c>
      <c r="AP3816" s="1">
        <v>42151</v>
      </c>
      <c r="AQ3816" s="1">
        <v>78.46</v>
      </c>
      <c r="AR3816" s="1"/>
      <c r="AS3816" s="1"/>
      <c r="AT3816" s="1"/>
      <c r="AU3816" s="1" t="s">
        <v>98</v>
      </c>
      <c r="AV3816" s="1" t="s">
        <v>98</v>
      </c>
      <c r="AW3816" s="1" t="s">
        <v>98</v>
      </c>
      <c r="AX3816" s="1" t="s">
        <v>98</v>
      </c>
      <c r="AY3816" s="1" t="s">
        <v>258</v>
      </c>
      <c r="AZ3816" s="1" t="s">
        <v>60553</v>
      </c>
      <c r="BA3816" s="1"/>
      <c r="BB3816" s="1"/>
      <c r="BC3816" s="1">
        <v>42212</v>
      </c>
      <c r="BD3816" s="1">
        <v>43657</v>
      </c>
      <c r="BE3816" s="1">
        <v>67.57</v>
      </c>
      <c r="BF3816" s="1">
        <v>7.51</v>
      </c>
      <c r="BG3816" s="1"/>
      <c r="BH3816" s="1"/>
      <c r="BI3816" s="1"/>
      <c r="BJ3816" s="1"/>
      <c r="BK3816" s="1" t="s">
        <v>98</v>
      </c>
      <c r="BL3816" s="1" t="s">
        <v>98</v>
      </c>
      <c r="BM3816" s="1" t="s">
        <v>98</v>
      </c>
      <c r="BN3816" s="1" t="s">
        <v>98</v>
      </c>
      <c r="BO3816" s="1" t="s">
        <v>28364</v>
      </c>
      <c r="BP3816" s="1"/>
      <c r="BQ3816" s="1"/>
      <c r="BR3816" s="1" t="s">
        <v>60554</v>
      </c>
      <c r="BS3816" s="1">
        <v>13</v>
      </c>
      <c r="BT3816" s="1"/>
      <c r="BU3816" s="1" t="str">
        <f>HYPERLINK("https://nconnect.nicmar.ac.in/storage/profile/ProfilePhoto_FP21003_572641.jpg","Download")</f>
        <v>0</v>
      </c>
      <c r="BV3816" s="3"/>
      <c r="BW3816" s="3"/>
    </row>
    <row r="3817" spans="1:75">
      <c r="A3817" s="1" t="s">
        <v>60482</v>
      </c>
      <c r="B3817" s="1" t="s">
        <v>51341</v>
      </c>
      <c r="C3817" s="1" t="s">
        <v>60555</v>
      </c>
      <c r="D3817" s="1" t="s">
        <v>60556</v>
      </c>
      <c r="E3817" s="1"/>
      <c r="F3817" s="1" t="s">
        <v>1853</v>
      </c>
      <c r="G3817" s="1" t="s">
        <v>60557</v>
      </c>
      <c r="H3817" s="1" t="s">
        <v>60558</v>
      </c>
      <c r="I3817" s="1" t="s">
        <v>60559</v>
      </c>
      <c r="J3817" s="1">
        <v>9944896209</v>
      </c>
      <c r="K3817" s="1" t="s">
        <v>84</v>
      </c>
      <c r="L3817" s="1" t="s">
        <v>31683</v>
      </c>
      <c r="M3817" s="1" t="s">
        <v>86</v>
      </c>
      <c r="N3817" s="1" t="s">
        <v>12624</v>
      </c>
      <c r="O3817" s="1"/>
      <c r="P3817" s="1" t="s">
        <v>455</v>
      </c>
      <c r="Q3817" s="1" t="s">
        <v>60560</v>
      </c>
      <c r="R3817" s="1" t="s">
        <v>60561</v>
      </c>
      <c r="S3817" s="1">
        <v>9487944717</v>
      </c>
      <c r="T3817" s="1" t="s">
        <v>60562</v>
      </c>
      <c r="U3817" s="1" t="s">
        <v>60563</v>
      </c>
      <c r="V3817" s="1">
        <v>9942141415</v>
      </c>
      <c r="W3817" s="1" t="s">
        <v>127</v>
      </c>
      <c r="X3817" s="1" t="s">
        <v>60564</v>
      </c>
      <c r="Y3817" s="1" t="s">
        <v>18215</v>
      </c>
      <c r="Z3817" s="1" t="s">
        <v>570</v>
      </c>
      <c r="AA3817" s="1" t="s">
        <v>60564</v>
      </c>
      <c r="AB3817" s="1" t="s">
        <v>18215</v>
      </c>
      <c r="AC3817" s="1" t="s">
        <v>570</v>
      </c>
      <c r="AD3817" s="1" t="s">
        <v>98</v>
      </c>
      <c r="AE3817" s="1" t="s">
        <v>98</v>
      </c>
      <c r="AF3817" s="1" t="s">
        <v>60565</v>
      </c>
      <c r="AG3817" s="1" t="s">
        <v>60566</v>
      </c>
      <c r="AH3817" s="1">
        <v>41800</v>
      </c>
      <c r="AI3817" s="1">
        <v>42145</v>
      </c>
      <c r="AJ3817" s="1">
        <v>97.6</v>
      </c>
      <c r="AK3817" s="1"/>
      <c r="AL3817" s="1" t="s">
        <v>60567</v>
      </c>
      <c r="AM3817" s="1" t="s">
        <v>60566</v>
      </c>
      <c r="AN3817" s="1"/>
      <c r="AO3817" s="1">
        <v>42513</v>
      </c>
      <c r="AP3817" s="1">
        <v>42867</v>
      </c>
      <c r="AQ3817" s="1">
        <v>91.91</v>
      </c>
      <c r="AR3817" s="1"/>
      <c r="AS3817" s="1"/>
      <c r="AT3817" s="1"/>
      <c r="AU3817" s="1" t="s">
        <v>98</v>
      </c>
      <c r="AV3817" s="1" t="s">
        <v>98</v>
      </c>
      <c r="AW3817" s="1" t="s">
        <v>98</v>
      </c>
      <c r="AX3817" s="1" t="s">
        <v>98</v>
      </c>
      <c r="AY3817" s="1" t="s">
        <v>576</v>
      </c>
      <c r="AZ3817" s="1" t="s">
        <v>4365</v>
      </c>
      <c r="BA3817" s="1"/>
      <c r="BB3817" s="1"/>
      <c r="BC3817" s="1">
        <v>42955</v>
      </c>
      <c r="BD3817" s="1">
        <v>44316</v>
      </c>
      <c r="BE3817" s="1">
        <v>81.6</v>
      </c>
      <c r="BF3817" s="1">
        <v>8.16</v>
      </c>
      <c r="BG3817" s="1"/>
      <c r="BH3817" s="1"/>
      <c r="BI3817" s="1"/>
      <c r="BJ3817" s="1"/>
      <c r="BK3817" s="1" t="s">
        <v>98</v>
      </c>
      <c r="BL3817" s="1" t="s">
        <v>98</v>
      </c>
      <c r="BM3817" s="1" t="s">
        <v>98</v>
      </c>
      <c r="BN3817" s="1" t="s">
        <v>98</v>
      </c>
      <c r="BO3817" s="1" t="s">
        <v>28364</v>
      </c>
      <c r="BP3817" s="1"/>
      <c r="BQ3817" s="1"/>
      <c r="BR3817" s="1" t="s">
        <v>60568</v>
      </c>
      <c r="BS3817" s="1">
        <v>24</v>
      </c>
      <c r="BT3817" s="1"/>
      <c r="BU3817" s="1" t="str">
        <f>HYPERLINK("https://nconnect.nicmar.ac.in/storage/profile/2021-2023_FP21004_139457.jpg","Download")</f>
        <v>0</v>
      </c>
      <c r="BV3817" s="3"/>
      <c r="BW3817" s="3"/>
    </row>
    <row r="3818" spans="1:75">
      <c r="A3818" s="1" t="s">
        <v>60482</v>
      </c>
      <c r="B3818" s="1" t="s">
        <v>51341</v>
      </c>
      <c r="C3818" s="1" t="s">
        <v>60569</v>
      </c>
      <c r="D3818" s="1" t="s">
        <v>60570</v>
      </c>
      <c r="E3818" s="1"/>
      <c r="F3818" s="1" t="s">
        <v>55015</v>
      </c>
      <c r="G3818" s="1" t="s">
        <v>60571</v>
      </c>
      <c r="H3818" s="1" t="s">
        <v>60572</v>
      </c>
      <c r="I3818" s="1" t="s">
        <v>60573</v>
      </c>
      <c r="J3818" s="1">
        <v>9958780476</v>
      </c>
      <c r="K3818" s="1" t="s">
        <v>84</v>
      </c>
      <c r="L3818" s="1" t="s">
        <v>60574</v>
      </c>
      <c r="M3818" s="1" t="s">
        <v>86</v>
      </c>
      <c r="N3818" s="1" t="s">
        <v>27171</v>
      </c>
      <c r="O3818" s="1"/>
      <c r="P3818" s="1" t="s">
        <v>507</v>
      </c>
      <c r="Q3818" s="1" t="s">
        <v>60575</v>
      </c>
      <c r="R3818" s="1" t="s">
        <v>60576</v>
      </c>
      <c r="S3818" s="1">
        <v>9871777709</v>
      </c>
      <c r="T3818" s="1" t="s">
        <v>5027</v>
      </c>
      <c r="U3818" s="1" t="s">
        <v>60577</v>
      </c>
      <c r="V3818" s="1">
        <v>9910108737</v>
      </c>
      <c r="W3818" s="1" t="s">
        <v>161</v>
      </c>
      <c r="X3818" s="1" t="s">
        <v>60578</v>
      </c>
      <c r="Y3818" s="1" t="s">
        <v>16334</v>
      </c>
      <c r="Z3818" s="1" t="s">
        <v>1700</v>
      </c>
      <c r="AA3818" s="1" t="s">
        <v>60578</v>
      </c>
      <c r="AB3818" s="1" t="s">
        <v>16334</v>
      </c>
      <c r="AC3818" s="1" t="s">
        <v>1700</v>
      </c>
      <c r="AD3818" s="1" t="s">
        <v>98</v>
      </c>
      <c r="AE3818" s="1" t="s">
        <v>98</v>
      </c>
      <c r="AF3818" s="1" t="s">
        <v>60579</v>
      </c>
      <c r="AG3818" s="1" t="s">
        <v>312</v>
      </c>
      <c r="AH3818" s="1">
        <v>38534</v>
      </c>
      <c r="AI3818" s="1">
        <v>38864</v>
      </c>
      <c r="AJ3818" s="1">
        <v>81.4</v>
      </c>
      <c r="AK3818" s="1" t="s">
        <v>98</v>
      </c>
      <c r="AL3818" s="1" t="s">
        <v>60580</v>
      </c>
      <c r="AM3818" s="1" t="s">
        <v>312</v>
      </c>
      <c r="AN3818" s="1"/>
      <c r="AO3818" s="1">
        <v>38899</v>
      </c>
      <c r="AP3818" s="1">
        <v>39953</v>
      </c>
      <c r="AQ3818" s="1">
        <v>64.6</v>
      </c>
      <c r="AR3818" s="1" t="s">
        <v>98</v>
      </c>
      <c r="AS3818" s="1" t="s">
        <v>98</v>
      </c>
      <c r="AT3818" s="1" t="s">
        <v>98</v>
      </c>
      <c r="AU3818" s="1" t="s">
        <v>98</v>
      </c>
      <c r="AV3818" s="1" t="s">
        <v>98</v>
      </c>
      <c r="AW3818" s="1" t="s">
        <v>98</v>
      </c>
      <c r="AX3818" s="1" t="s">
        <v>98</v>
      </c>
      <c r="AY3818" s="1" t="s">
        <v>29243</v>
      </c>
      <c r="AZ3818" s="1" t="s">
        <v>60581</v>
      </c>
      <c r="BA3818" s="1"/>
      <c r="BB3818" s="1"/>
      <c r="BC3818" s="1">
        <v>40028</v>
      </c>
      <c r="BD3818" s="1">
        <v>41761</v>
      </c>
      <c r="BE3818" s="1">
        <v>60.06</v>
      </c>
      <c r="BF3818" s="1" t="s">
        <v>98</v>
      </c>
      <c r="BG3818" s="1" t="s">
        <v>98</v>
      </c>
      <c r="BH3818" s="1"/>
      <c r="BI3818" s="1"/>
      <c r="BJ3818" s="1"/>
      <c r="BK3818" s="1" t="s">
        <v>98</v>
      </c>
      <c r="BL3818" s="1" t="s">
        <v>98</v>
      </c>
      <c r="BM3818" s="1" t="s">
        <v>98</v>
      </c>
      <c r="BN3818" s="1" t="s">
        <v>98</v>
      </c>
      <c r="BO3818" s="1"/>
      <c r="BP3818" s="1" t="s">
        <v>60582</v>
      </c>
      <c r="BQ3818" s="1" t="s">
        <v>26776</v>
      </c>
      <c r="BR3818" s="1" t="s">
        <v>60583</v>
      </c>
      <c r="BS3818" s="1">
        <v>33</v>
      </c>
      <c r="BT3818" s="1"/>
      <c r="BU3818" s="1" t="str">
        <f>HYPERLINK("https://nconnect.nicmar.ac.in/storage/profile/2021-2023_FP21005_958174.JPG","Download")</f>
        <v>0</v>
      </c>
      <c r="BV3818" s="3"/>
      <c r="BW3818" s="3"/>
    </row>
    <row r="3819" spans="1:75">
      <c r="A3819" s="1" t="s">
        <v>60482</v>
      </c>
      <c r="B3819" s="1" t="s">
        <v>51341</v>
      </c>
      <c r="C3819" s="1" t="s">
        <v>60584</v>
      </c>
      <c r="D3819" s="1" t="s">
        <v>3217</v>
      </c>
      <c r="E3819" s="1"/>
      <c r="F3819" s="1" t="s">
        <v>4037</v>
      </c>
      <c r="G3819" s="1" t="s">
        <v>60585</v>
      </c>
      <c r="H3819" s="1" t="s">
        <v>60586</v>
      </c>
      <c r="I3819" s="1" t="s">
        <v>60587</v>
      </c>
      <c r="J3819" s="1">
        <v>9000257711</v>
      </c>
      <c r="K3819" s="1"/>
      <c r="L3819" s="1"/>
      <c r="M3819" s="1"/>
      <c r="N3819" s="1"/>
      <c r="O3819" s="1"/>
      <c r="P3819" s="1"/>
      <c r="Q3819" s="1"/>
      <c r="R3819" s="1"/>
      <c r="S3819" s="1"/>
      <c r="T3819" s="1"/>
      <c r="U3819" s="1"/>
      <c r="V3819" s="1"/>
      <c r="W3819" s="1"/>
      <c r="X3819" s="1"/>
      <c r="Y3819" s="1"/>
      <c r="Z3819" s="1"/>
      <c r="AA3819" s="1"/>
      <c r="AB3819" s="1"/>
      <c r="AC3819" s="1"/>
      <c r="AD3819" s="1" t="s">
        <v>98</v>
      </c>
      <c r="AE3819" s="1" t="s">
        <v>98</v>
      </c>
      <c r="AF3819" s="1"/>
      <c r="AG3819" s="1"/>
      <c r="AH3819" s="1"/>
      <c r="AI3819" s="1"/>
      <c r="AJ3819" s="1"/>
      <c r="AK3819" s="1"/>
      <c r="AL3819" s="1"/>
      <c r="AM3819" s="1"/>
      <c r="AN3819" s="1"/>
      <c r="AO3819" s="1"/>
      <c r="AP3819" s="1"/>
      <c r="AQ3819" s="1"/>
      <c r="AR3819" s="1"/>
      <c r="AS3819" s="1"/>
      <c r="AT3819" s="1"/>
      <c r="AU3819" s="1"/>
      <c r="AV3819" s="1"/>
      <c r="AW3819" s="1"/>
      <c r="AX3819" s="1"/>
      <c r="AY3819" s="1"/>
      <c r="AZ3819" s="1"/>
      <c r="BA3819" s="1"/>
      <c r="BB3819" s="1"/>
      <c r="BC3819" s="1"/>
      <c r="BD3819" s="1"/>
      <c r="BE3819" s="1"/>
      <c r="BF3819" s="1"/>
      <c r="BG3819" s="1"/>
      <c r="BH3819" s="1"/>
      <c r="BI3819" s="1"/>
      <c r="BJ3819" s="1"/>
      <c r="BK3819" s="1"/>
      <c r="BL3819" s="1"/>
      <c r="BM3819" s="1"/>
      <c r="BN3819" s="1"/>
      <c r="BO3819" s="1"/>
      <c r="BP3819" s="1"/>
      <c r="BQ3819" s="1"/>
      <c r="BR3819" s="1"/>
      <c r="BS3819" s="1"/>
      <c r="BT3819" s="1"/>
      <c r="BU3819" s="1" t="s">
        <v>9653</v>
      </c>
      <c r="BV3819" s="3"/>
      <c r="BW3819" s="3"/>
    </row>
    <row r="3820" spans="1:75">
      <c r="A3820" s="1" t="s">
        <v>60482</v>
      </c>
      <c r="B3820" s="1" t="s">
        <v>51341</v>
      </c>
      <c r="C3820" s="1" t="s">
        <v>60588</v>
      </c>
      <c r="D3820" s="1" t="s">
        <v>1118</v>
      </c>
      <c r="E3820" s="1" t="s">
        <v>587</v>
      </c>
      <c r="F3820" s="1" t="s">
        <v>530</v>
      </c>
      <c r="G3820" s="1" t="s">
        <v>60589</v>
      </c>
      <c r="H3820" s="1" t="s">
        <v>60590</v>
      </c>
      <c r="I3820" s="1" t="s">
        <v>60591</v>
      </c>
      <c r="J3820" s="1">
        <v>8088006000</v>
      </c>
      <c r="K3820" s="1" t="s">
        <v>84</v>
      </c>
      <c r="L3820" s="1" t="s">
        <v>29369</v>
      </c>
      <c r="M3820" s="1" t="s">
        <v>86</v>
      </c>
      <c r="N3820" s="1" t="s">
        <v>60592</v>
      </c>
      <c r="O3820" s="1"/>
      <c r="P3820" s="1" t="s">
        <v>455</v>
      </c>
      <c r="Q3820" s="1" t="s">
        <v>60593</v>
      </c>
      <c r="R3820" s="1" t="s">
        <v>60594</v>
      </c>
      <c r="S3820" s="1">
        <v>9844550055</v>
      </c>
      <c r="T3820" s="1" t="s">
        <v>98</v>
      </c>
      <c r="U3820" s="1" t="s">
        <v>60595</v>
      </c>
      <c r="V3820" s="1">
        <v>8088005000</v>
      </c>
      <c r="W3820" s="1" t="s">
        <v>60596</v>
      </c>
      <c r="X3820" s="1" t="s">
        <v>60597</v>
      </c>
      <c r="Y3820" s="1" t="s">
        <v>51747</v>
      </c>
      <c r="Z3820" s="1" t="s">
        <v>1210</v>
      </c>
      <c r="AA3820" s="1" t="s">
        <v>60598</v>
      </c>
      <c r="AB3820" s="1" t="s">
        <v>51747</v>
      </c>
      <c r="AC3820" s="1" t="s">
        <v>1210</v>
      </c>
      <c r="AD3820" s="1" t="s">
        <v>98</v>
      </c>
      <c r="AE3820" s="1" t="s">
        <v>98</v>
      </c>
      <c r="AF3820" s="1" t="s">
        <v>25534</v>
      </c>
      <c r="AG3820" s="1" t="s">
        <v>5568</v>
      </c>
      <c r="AH3820" s="1">
        <v>41061</v>
      </c>
      <c r="AI3820" s="1">
        <v>41365</v>
      </c>
      <c r="AJ3820" s="1">
        <v>65.66</v>
      </c>
      <c r="AK3820" s="1"/>
      <c r="AL3820" s="1" t="s">
        <v>60599</v>
      </c>
      <c r="AM3820" s="1" t="s">
        <v>5568</v>
      </c>
      <c r="AN3820" s="1"/>
      <c r="AO3820" s="1" t="s">
        <v>54451</v>
      </c>
      <c r="AP3820" s="1" t="s">
        <v>54174</v>
      </c>
      <c r="AQ3820" s="1">
        <v>51.5</v>
      </c>
      <c r="AR3820" s="1"/>
      <c r="AS3820" s="1"/>
      <c r="AT3820" s="1"/>
      <c r="AU3820" s="1" t="s">
        <v>98</v>
      </c>
      <c r="AV3820" s="1" t="s">
        <v>98</v>
      </c>
      <c r="AW3820" s="1" t="s">
        <v>98</v>
      </c>
      <c r="AX3820" s="1" t="s">
        <v>98</v>
      </c>
      <c r="AY3820" s="1" t="s">
        <v>1217</v>
      </c>
      <c r="AZ3820" s="1" t="s">
        <v>60600</v>
      </c>
      <c r="BA3820" s="1"/>
      <c r="BB3820" s="1"/>
      <c r="BC3820" s="1">
        <v>42219</v>
      </c>
      <c r="BD3820" s="1">
        <v>44102</v>
      </c>
      <c r="BE3820" s="1">
        <v>56</v>
      </c>
      <c r="BF3820" s="1">
        <v>6.35</v>
      </c>
      <c r="BG3820" s="1"/>
      <c r="BH3820" s="1"/>
      <c r="BI3820" s="1"/>
      <c r="BJ3820" s="1"/>
      <c r="BK3820" s="1" t="s">
        <v>98</v>
      </c>
      <c r="BL3820" s="1" t="s">
        <v>98</v>
      </c>
      <c r="BM3820" s="1" t="s">
        <v>98</v>
      </c>
      <c r="BN3820" s="1" t="s">
        <v>98</v>
      </c>
      <c r="BO3820" s="1" t="s">
        <v>60601</v>
      </c>
      <c r="BP3820" s="1"/>
      <c r="BQ3820" s="1"/>
      <c r="BR3820" s="1" t="s">
        <v>60602</v>
      </c>
      <c r="BS3820" s="1">
        <v>32</v>
      </c>
      <c r="BT3820" s="1"/>
      <c r="BU3820" s="1" t="str">
        <f>HYPERLINK("https://nconnect.nicmar.ac.in/storage/profile/2021-2023_FP21007_534817.jpg","Download")</f>
        <v>0</v>
      </c>
      <c r="BV3820" s="3"/>
      <c r="BW3820" s="3"/>
    </row>
    <row r="3821" spans="1:75">
      <c r="A3821" s="1" t="s">
        <v>60482</v>
      </c>
      <c r="B3821" s="1" t="s">
        <v>51341</v>
      </c>
      <c r="C3821" s="1" t="s">
        <v>60603</v>
      </c>
      <c r="D3821" s="1" t="s">
        <v>60604</v>
      </c>
      <c r="E3821" s="1"/>
      <c r="F3821" s="1" t="s">
        <v>58664</v>
      </c>
      <c r="G3821" s="1" t="s">
        <v>60605</v>
      </c>
      <c r="H3821" s="1" t="s">
        <v>60606</v>
      </c>
      <c r="I3821" s="1" t="s">
        <v>60607</v>
      </c>
      <c r="J3821" s="1">
        <v>9600255931</v>
      </c>
      <c r="K3821" s="1" t="s">
        <v>84</v>
      </c>
      <c r="L3821" s="1" t="s">
        <v>60608</v>
      </c>
      <c r="M3821" s="1" t="s">
        <v>86</v>
      </c>
      <c r="N3821" s="1" t="s">
        <v>4690</v>
      </c>
      <c r="O3821" s="1"/>
      <c r="P3821" s="1" t="s">
        <v>455</v>
      </c>
      <c r="Q3821" s="1" t="s">
        <v>60609</v>
      </c>
      <c r="R3821" s="1" t="s">
        <v>60610</v>
      </c>
      <c r="S3821" s="1">
        <v>9434009414</v>
      </c>
      <c r="T3821" s="1" t="s">
        <v>60611</v>
      </c>
      <c r="U3821" s="1" t="s">
        <v>60612</v>
      </c>
      <c r="V3821" s="1">
        <v>9474051020</v>
      </c>
      <c r="W3821" s="1" t="s">
        <v>60613</v>
      </c>
      <c r="X3821" s="1" t="s">
        <v>60614</v>
      </c>
      <c r="Y3821" s="1" t="s">
        <v>55656</v>
      </c>
      <c r="Z3821" s="1" t="s">
        <v>1234</v>
      </c>
      <c r="AA3821" s="1" t="s">
        <v>60614</v>
      </c>
      <c r="AB3821" s="1" t="s">
        <v>55656</v>
      </c>
      <c r="AC3821" s="1" t="s">
        <v>1234</v>
      </c>
      <c r="AD3821" s="1" t="s">
        <v>98</v>
      </c>
      <c r="AE3821" s="1" t="s">
        <v>98</v>
      </c>
      <c r="AF3821" s="1" t="s">
        <v>60615</v>
      </c>
      <c r="AG3821" s="1" t="s">
        <v>6474</v>
      </c>
      <c r="AH3821" s="1">
        <v>40068</v>
      </c>
      <c r="AI3821" s="1">
        <v>40690</v>
      </c>
      <c r="AJ3821" s="1">
        <v>88</v>
      </c>
      <c r="AK3821" s="1">
        <v>0</v>
      </c>
      <c r="AL3821" s="1" t="s">
        <v>56729</v>
      </c>
      <c r="AM3821" s="1" t="s">
        <v>6474</v>
      </c>
      <c r="AN3821" s="1"/>
      <c r="AO3821" s="1">
        <v>40700</v>
      </c>
      <c r="AP3821" s="1">
        <v>41422</v>
      </c>
      <c r="AQ3821" s="1">
        <v>83.33</v>
      </c>
      <c r="AR3821" s="1">
        <v>0</v>
      </c>
      <c r="AS3821" s="1"/>
      <c r="AT3821" s="1"/>
      <c r="AU3821" s="1" t="s">
        <v>98</v>
      </c>
      <c r="AV3821" s="1" t="s">
        <v>98</v>
      </c>
      <c r="AW3821" s="1" t="s">
        <v>98</v>
      </c>
      <c r="AX3821" s="1" t="s">
        <v>98</v>
      </c>
      <c r="AY3821" s="1" t="s">
        <v>550</v>
      </c>
      <c r="AZ3821" s="1" t="s">
        <v>550</v>
      </c>
      <c r="BA3821" s="1"/>
      <c r="BB3821" s="1"/>
      <c r="BC3821" s="1">
        <v>41826</v>
      </c>
      <c r="BD3821" s="1">
        <v>43301</v>
      </c>
      <c r="BE3821" s="1">
        <v>88.2</v>
      </c>
      <c r="BF3821" s="1">
        <v>8.82</v>
      </c>
      <c r="BG3821" s="1"/>
      <c r="BH3821" s="1"/>
      <c r="BI3821" s="1"/>
      <c r="BJ3821" s="1"/>
      <c r="BK3821" s="1" t="s">
        <v>98</v>
      </c>
      <c r="BL3821" s="1" t="s">
        <v>98</v>
      </c>
      <c r="BM3821" s="1" t="s">
        <v>98</v>
      </c>
      <c r="BN3821" s="1" t="s">
        <v>98</v>
      </c>
      <c r="BO3821" s="1" t="s">
        <v>60616</v>
      </c>
      <c r="BP3821" s="1" t="s">
        <v>60617</v>
      </c>
      <c r="BQ3821" s="1" t="s">
        <v>582</v>
      </c>
      <c r="BR3821" s="1" t="s">
        <v>60618</v>
      </c>
      <c r="BS3821" s="1">
        <v>11</v>
      </c>
      <c r="BT3821" s="1"/>
      <c r="BU3821" s="1" t="s">
        <v>9653</v>
      </c>
      <c r="BV3821" s="3"/>
      <c r="BW3821" s="3"/>
    </row>
    <row r="3822" spans="1:75">
      <c r="A3822" s="1" t="s">
        <v>60482</v>
      </c>
      <c r="B3822" s="1" t="s">
        <v>51341</v>
      </c>
      <c r="C3822" s="1" t="s">
        <v>60619</v>
      </c>
      <c r="D3822" s="1" t="s">
        <v>2829</v>
      </c>
      <c r="E3822" s="1" t="s">
        <v>60620</v>
      </c>
      <c r="F3822" s="1" t="s">
        <v>60621</v>
      </c>
      <c r="G3822" s="1" t="s">
        <v>60622</v>
      </c>
      <c r="H3822" s="1" t="s">
        <v>60623</v>
      </c>
      <c r="I3822" s="1" t="s">
        <v>60623</v>
      </c>
      <c r="J3822" s="1"/>
      <c r="K3822" s="1" t="s">
        <v>84</v>
      </c>
      <c r="L3822" s="1" t="s">
        <v>30443</v>
      </c>
      <c r="M3822" s="1" t="s">
        <v>86</v>
      </c>
      <c r="N3822" s="1" t="s">
        <v>903</v>
      </c>
      <c r="O3822" s="1"/>
      <c r="P3822" s="1" t="s">
        <v>1028</v>
      </c>
      <c r="Q3822" s="1" t="s">
        <v>60624</v>
      </c>
      <c r="R3822" s="1" t="s">
        <v>60625</v>
      </c>
      <c r="S3822" s="1">
        <v>9822955500</v>
      </c>
      <c r="T3822" s="1" t="s">
        <v>926</v>
      </c>
      <c r="U3822" s="1" t="s">
        <v>60626</v>
      </c>
      <c r="V3822" s="1">
        <v>9881295500</v>
      </c>
      <c r="W3822" s="1" t="s">
        <v>161</v>
      </c>
      <c r="X3822" s="1" t="s">
        <v>60627</v>
      </c>
      <c r="Y3822" s="1" t="s">
        <v>56986</v>
      </c>
      <c r="Z3822" s="1" t="s">
        <v>97</v>
      </c>
      <c r="AA3822" s="1" t="s">
        <v>60628</v>
      </c>
      <c r="AB3822" s="1" t="s">
        <v>196</v>
      </c>
      <c r="AC3822" s="1" t="s">
        <v>97</v>
      </c>
      <c r="AD3822" s="1" t="s">
        <v>98</v>
      </c>
      <c r="AE3822" s="1" t="s">
        <v>98</v>
      </c>
      <c r="AF3822" s="1" t="s">
        <v>60629</v>
      </c>
      <c r="AG3822" s="1" t="s">
        <v>629</v>
      </c>
      <c r="AH3822" s="1" t="s">
        <v>60630</v>
      </c>
      <c r="AI3822" s="1" t="s">
        <v>60631</v>
      </c>
      <c r="AJ3822" s="1">
        <v>84.8</v>
      </c>
      <c r="AK3822" s="1"/>
      <c r="AL3822" s="1" t="s">
        <v>60632</v>
      </c>
      <c r="AM3822" s="1" t="s">
        <v>629</v>
      </c>
      <c r="AN3822" s="1"/>
      <c r="AO3822" s="1" t="s">
        <v>60633</v>
      </c>
      <c r="AP3822" s="1" t="s">
        <v>60634</v>
      </c>
      <c r="AQ3822" s="1">
        <v>73.69</v>
      </c>
      <c r="AR3822" s="1"/>
      <c r="AS3822" s="1"/>
      <c r="AT3822" s="1"/>
      <c r="AU3822" s="1"/>
      <c r="AV3822" s="1"/>
      <c r="AW3822" s="1"/>
      <c r="AX3822" s="1"/>
      <c r="AY3822" s="1" t="s">
        <v>366</v>
      </c>
      <c r="AZ3822" s="1" t="s">
        <v>60635</v>
      </c>
      <c r="BA3822" s="1"/>
      <c r="BB3822" s="1"/>
      <c r="BC3822" s="1" t="s">
        <v>55064</v>
      </c>
      <c r="BD3822" s="1" t="s">
        <v>60636</v>
      </c>
      <c r="BE3822" s="1">
        <v>64.8</v>
      </c>
      <c r="BF3822" s="1">
        <v>7.23</v>
      </c>
      <c r="BG3822" s="1"/>
      <c r="BH3822" s="1"/>
      <c r="BI3822" s="1"/>
      <c r="BJ3822" s="1"/>
      <c r="BK3822" s="1"/>
      <c r="BL3822" s="1"/>
      <c r="BM3822" s="1"/>
      <c r="BN3822" s="1"/>
      <c r="BO3822" s="1" t="s">
        <v>369</v>
      </c>
      <c r="BP3822" s="1"/>
      <c r="BQ3822" s="1"/>
      <c r="BR3822" s="1" t="s">
        <v>60637</v>
      </c>
      <c r="BS3822" s="1">
        <v>7</v>
      </c>
      <c r="BT3822" s="1"/>
      <c r="BU3822" s="1" t="str">
        <f>HYPERLINK("https://nconnect.nicmar.ac.in/storage/profile/2021-2023_FP21009_941635.jpg","Download")</f>
        <v>0</v>
      </c>
      <c r="BV3822" s="3"/>
      <c r="BW3822" s="3"/>
    </row>
    <row r="3823" spans="1:75">
      <c r="A3823" s="1" t="s">
        <v>60482</v>
      </c>
      <c r="B3823" s="1" t="s">
        <v>51341</v>
      </c>
      <c r="C3823" s="1" t="s">
        <v>60638</v>
      </c>
      <c r="D3823" s="1" t="s">
        <v>60639</v>
      </c>
      <c r="E3823" s="1" t="s">
        <v>500</v>
      </c>
      <c r="F3823" s="1" t="s">
        <v>60640</v>
      </c>
      <c r="G3823" s="1" t="s">
        <v>60641</v>
      </c>
      <c r="H3823" s="1" t="s">
        <v>60642</v>
      </c>
      <c r="I3823" s="1" t="s">
        <v>60642</v>
      </c>
      <c r="J3823" s="1"/>
      <c r="K3823" s="1" t="s">
        <v>153</v>
      </c>
      <c r="L3823" s="1" t="s">
        <v>60643</v>
      </c>
      <c r="M3823" s="1" t="s">
        <v>86</v>
      </c>
      <c r="N3823" s="1" t="s">
        <v>1163</v>
      </c>
      <c r="O3823" s="1"/>
      <c r="P3823" s="1" t="s">
        <v>670</v>
      </c>
      <c r="Q3823" s="1" t="s">
        <v>60644</v>
      </c>
      <c r="R3823" s="1" t="s">
        <v>60645</v>
      </c>
      <c r="S3823" s="1">
        <v>8788954630</v>
      </c>
      <c r="T3823" s="1" t="s">
        <v>1552</v>
      </c>
      <c r="U3823" s="1" t="s">
        <v>60646</v>
      </c>
      <c r="V3823" s="1">
        <v>8830365662</v>
      </c>
      <c r="W3823" s="1" t="s">
        <v>161</v>
      </c>
      <c r="X3823" s="1" t="s">
        <v>60647</v>
      </c>
      <c r="Y3823" s="1" t="s">
        <v>55814</v>
      </c>
      <c r="Z3823" s="1" t="s">
        <v>97</v>
      </c>
      <c r="AA3823" s="1" t="s">
        <v>60648</v>
      </c>
      <c r="AB3823" s="1" t="s">
        <v>196</v>
      </c>
      <c r="AC3823" s="1" t="s">
        <v>97</v>
      </c>
      <c r="AD3823" s="1" t="s">
        <v>98</v>
      </c>
      <c r="AE3823" s="1" t="s">
        <v>98</v>
      </c>
      <c r="AF3823" s="1" t="s">
        <v>60649</v>
      </c>
      <c r="AG3823" s="1" t="s">
        <v>35340</v>
      </c>
      <c r="AH3823" s="1" t="s">
        <v>59664</v>
      </c>
      <c r="AI3823" s="1" t="s">
        <v>60650</v>
      </c>
      <c r="AJ3823" s="1">
        <v>94.6</v>
      </c>
      <c r="AK3823" s="1"/>
      <c r="AL3823" s="1" t="s">
        <v>60651</v>
      </c>
      <c r="AM3823" s="1" t="s">
        <v>35342</v>
      </c>
      <c r="AN3823" s="1"/>
      <c r="AO3823" s="1" t="s">
        <v>60652</v>
      </c>
      <c r="AP3823" s="1" t="s">
        <v>60653</v>
      </c>
      <c r="AQ3823" s="1">
        <v>83.08</v>
      </c>
      <c r="AR3823" s="1"/>
      <c r="AS3823" s="1"/>
      <c r="AT3823" s="1"/>
      <c r="AU3823" s="1"/>
      <c r="AV3823" s="1"/>
      <c r="AW3823" s="1"/>
      <c r="AX3823" s="1"/>
      <c r="AY3823" s="1" t="s">
        <v>54987</v>
      </c>
      <c r="AZ3823" s="1" t="s">
        <v>60654</v>
      </c>
      <c r="BA3823" s="1"/>
      <c r="BB3823" s="1"/>
      <c r="BC3823" s="1" t="s">
        <v>60655</v>
      </c>
      <c r="BD3823" s="1" t="s">
        <v>60656</v>
      </c>
      <c r="BE3823" s="1">
        <v>73.2</v>
      </c>
      <c r="BF3823" s="1">
        <v>8.07</v>
      </c>
      <c r="BG3823" s="1"/>
      <c r="BH3823" s="1"/>
      <c r="BI3823" s="1"/>
      <c r="BJ3823" s="1"/>
      <c r="BK3823" s="1"/>
      <c r="BL3823" s="1"/>
      <c r="BM3823" s="1"/>
      <c r="BN3823" s="1"/>
      <c r="BO3823" s="1" t="s">
        <v>1114</v>
      </c>
      <c r="BP3823" s="1"/>
      <c r="BQ3823" s="1"/>
      <c r="BR3823" s="1" t="s">
        <v>60657</v>
      </c>
      <c r="BS3823" s="1">
        <v>12</v>
      </c>
      <c r="BT3823" s="1"/>
      <c r="BU3823" s="1" t="str">
        <f>HYPERLINK("https://nconnect.nicmar.ac.in/storage/profile/2021-2023_FP21010_963785.jpeg","Download")</f>
        <v>0</v>
      </c>
      <c r="BV3823" s="3"/>
      <c r="BW3823" s="3"/>
    </row>
    <row r="3824" spans="1:75">
      <c r="A3824" s="1" t="s">
        <v>60482</v>
      </c>
      <c r="B3824" s="1" t="s">
        <v>51341</v>
      </c>
      <c r="C3824" s="1" t="s">
        <v>60658</v>
      </c>
      <c r="D3824" s="1" t="s">
        <v>20319</v>
      </c>
      <c r="E3824" s="1" t="s">
        <v>60659</v>
      </c>
      <c r="F3824" s="1" t="s">
        <v>60660</v>
      </c>
      <c r="G3824" s="1" t="s">
        <v>60661</v>
      </c>
      <c r="H3824" s="1" t="s">
        <v>60662</v>
      </c>
      <c r="I3824" s="1" t="s">
        <v>60663</v>
      </c>
      <c r="J3824" s="1">
        <v>8762963720</v>
      </c>
      <c r="K3824" s="1" t="s">
        <v>84</v>
      </c>
      <c r="L3824" s="1" t="s">
        <v>52604</v>
      </c>
      <c r="M3824" s="1" t="s">
        <v>86</v>
      </c>
      <c r="N3824" s="1" t="s">
        <v>11117</v>
      </c>
      <c r="O3824" s="1"/>
      <c r="P3824" s="1" t="s">
        <v>507</v>
      </c>
      <c r="Q3824" s="1" t="s">
        <v>60664</v>
      </c>
      <c r="R3824" s="1" t="s">
        <v>60665</v>
      </c>
      <c r="S3824" s="1">
        <v>9448301633</v>
      </c>
      <c r="T3824" s="1" t="s">
        <v>92</v>
      </c>
      <c r="U3824" s="1" t="s">
        <v>60666</v>
      </c>
      <c r="V3824" s="1">
        <v>9481448657</v>
      </c>
      <c r="W3824" s="1" t="s">
        <v>60667</v>
      </c>
      <c r="X3824" s="1" t="s">
        <v>60668</v>
      </c>
      <c r="Y3824" s="1" t="s">
        <v>54929</v>
      </c>
      <c r="Z3824" s="1" t="s">
        <v>1210</v>
      </c>
      <c r="AA3824" s="1" t="s">
        <v>60668</v>
      </c>
      <c r="AB3824" s="1" t="s">
        <v>54929</v>
      </c>
      <c r="AC3824" s="1" t="s">
        <v>1210</v>
      </c>
      <c r="AD3824" s="1" t="s">
        <v>98</v>
      </c>
      <c r="AE3824" s="1" t="s">
        <v>98</v>
      </c>
      <c r="AF3824" s="1" t="s">
        <v>60669</v>
      </c>
      <c r="AG3824" s="1" t="s">
        <v>60670</v>
      </c>
      <c r="AH3824" s="1">
        <v>41404</v>
      </c>
      <c r="AI3824" s="1">
        <v>41772</v>
      </c>
      <c r="AJ3824" s="1">
        <v>68.16</v>
      </c>
      <c r="AK3824" s="1">
        <v>7.17</v>
      </c>
      <c r="AL3824" s="1" t="s">
        <v>60671</v>
      </c>
      <c r="AM3824" s="1" t="s">
        <v>60670</v>
      </c>
      <c r="AN3824" s="1"/>
      <c r="AO3824" s="1">
        <v>42164</v>
      </c>
      <c r="AP3824" s="1">
        <v>42515</v>
      </c>
      <c r="AQ3824" s="1">
        <v>71.66</v>
      </c>
      <c r="AR3824" s="1"/>
      <c r="AS3824" s="1"/>
      <c r="AT3824" s="1"/>
      <c r="AU3824" s="1" t="s">
        <v>98</v>
      </c>
      <c r="AV3824" s="1" t="s">
        <v>98</v>
      </c>
      <c r="AW3824" s="1" t="s">
        <v>98</v>
      </c>
      <c r="AX3824" s="1" t="s">
        <v>98</v>
      </c>
      <c r="AY3824" s="1" t="s">
        <v>15492</v>
      </c>
      <c r="AZ3824" s="1" t="s">
        <v>60672</v>
      </c>
      <c r="BA3824" s="1"/>
      <c r="BB3824" s="1"/>
      <c r="BC3824" s="1">
        <v>42586</v>
      </c>
      <c r="BD3824" s="1">
        <v>44131</v>
      </c>
      <c r="BE3824" s="1">
        <v>60.5</v>
      </c>
      <c r="BF3824" s="1">
        <v>6.8</v>
      </c>
      <c r="BG3824" s="1"/>
      <c r="BH3824" s="1"/>
      <c r="BI3824" s="1"/>
      <c r="BJ3824" s="1"/>
      <c r="BK3824" s="1" t="s">
        <v>98</v>
      </c>
      <c r="BL3824" s="1" t="s">
        <v>98</v>
      </c>
      <c r="BM3824" s="1" t="s">
        <v>98</v>
      </c>
      <c r="BN3824" s="1" t="s">
        <v>98</v>
      </c>
      <c r="BO3824" s="1" t="s">
        <v>260</v>
      </c>
      <c r="BP3824" s="1"/>
      <c r="BQ3824" s="1"/>
      <c r="BR3824" s="1" t="s">
        <v>60673</v>
      </c>
      <c r="BS3824" s="1">
        <v>13</v>
      </c>
      <c r="BT3824" s="1"/>
      <c r="BU3824" s="1" t="str">
        <f>HYPERLINK("https://nconnect.nicmar.ac.in/storage/profile/2021-2023_FP21011_516297.jpg","Download")</f>
        <v>0</v>
      </c>
      <c r="BV3824" s="3"/>
      <c r="BW3824" s="3"/>
    </row>
    <row r="3825" spans="1:75">
      <c r="A3825" s="1" t="s">
        <v>60482</v>
      </c>
      <c r="B3825" s="1" t="s">
        <v>51341</v>
      </c>
      <c r="C3825" s="1" t="s">
        <v>60674</v>
      </c>
      <c r="D3825" s="1" t="s">
        <v>60675</v>
      </c>
      <c r="E3825" s="1"/>
      <c r="F3825" s="1" t="s">
        <v>60676</v>
      </c>
      <c r="G3825" s="1" t="s">
        <v>60677</v>
      </c>
      <c r="H3825" s="1" t="s">
        <v>60678</v>
      </c>
      <c r="I3825" s="1" t="s">
        <v>60678</v>
      </c>
      <c r="J3825" s="1"/>
      <c r="K3825" s="1" t="s">
        <v>153</v>
      </c>
      <c r="L3825" s="1" t="s">
        <v>60679</v>
      </c>
      <c r="M3825" s="1" t="s">
        <v>86</v>
      </c>
      <c r="N3825" s="1" t="s">
        <v>27382</v>
      </c>
      <c r="O3825" s="1"/>
      <c r="P3825" s="1" t="s">
        <v>507</v>
      </c>
      <c r="Q3825" s="1" t="s">
        <v>60680</v>
      </c>
      <c r="R3825" s="1" t="s">
        <v>60681</v>
      </c>
      <c r="S3825" s="1">
        <v>8925735777</v>
      </c>
      <c r="T3825" s="1" t="s">
        <v>92</v>
      </c>
      <c r="U3825" s="1" t="s">
        <v>60682</v>
      </c>
      <c r="V3825" s="1">
        <v>8925735666</v>
      </c>
      <c r="W3825" s="1" t="s">
        <v>541</v>
      </c>
      <c r="X3825" s="1" t="s">
        <v>60683</v>
      </c>
      <c r="Y3825" s="1" t="s">
        <v>51747</v>
      </c>
      <c r="Z3825" s="1" t="s">
        <v>1210</v>
      </c>
      <c r="AA3825" s="1" t="s">
        <v>60684</v>
      </c>
      <c r="AB3825" s="1" t="s">
        <v>51747</v>
      </c>
      <c r="AC3825" s="1" t="s">
        <v>1210</v>
      </c>
      <c r="AD3825" s="1" t="s">
        <v>98</v>
      </c>
      <c r="AE3825" s="1" t="s">
        <v>98</v>
      </c>
      <c r="AF3825" s="1" t="s">
        <v>41846</v>
      </c>
      <c r="AG3825" s="1" t="s">
        <v>60685</v>
      </c>
      <c r="AH3825" s="1" t="s">
        <v>3285</v>
      </c>
      <c r="AI3825" s="1" t="s">
        <v>3770</v>
      </c>
      <c r="AJ3825" s="1">
        <v>74.1</v>
      </c>
      <c r="AK3825" s="1">
        <v>7.8</v>
      </c>
      <c r="AL3825" s="1" t="s">
        <v>60686</v>
      </c>
      <c r="AM3825" s="1" t="s">
        <v>60687</v>
      </c>
      <c r="AN3825" s="1"/>
      <c r="AO3825" s="1" t="s">
        <v>48268</v>
      </c>
      <c r="AP3825" s="1" t="s">
        <v>1214</v>
      </c>
      <c r="AQ3825" s="1">
        <v>84.8</v>
      </c>
      <c r="AR3825" s="1">
        <v>0</v>
      </c>
      <c r="AS3825" s="1"/>
      <c r="AT3825" s="1"/>
      <c r="AU3825" s="1"/>
      <c r="AV3825" s="1"/>
      <c r="AW3825" s="1"/>
      <c r="AX3825" s="1"/>
      <c r="AY3825" s="1" t="s">
        <v>60688</v>
      </c>
      <c r="AZ3825" s="1" t="s">
        <v>60689</v>
      </c>
      <c r="BA3825" s="1"/>
      <c r="BB3825" s="1"/>
      <c r="BC3825" s="1" t="s">
        <v>5515</v>
      </c>
      <c r="BD3825" s="1" t="s">
        <v>1647</v>
      </c>
      <c r="BE3825" s="1">
        <v>79</v>
      </c>
      <c r="BF3825" s="1">
        <v>2.99</v>
      </c>
      <c r="BG3825" s="1"/>
      <c r="BH3825" s="1"/>
      <c r="BI3825" s="1"/>
      <c r="BJ3825" s="1"/>
      <c r="BK3825" s="1"/>
      <c r="BL3825" s="1"/>
      <c r="BM3825" s="1"/>
      <c r="BN3825" s="1"/>
      <c r="BO3825" s="1" t="s">
        <v>25630</v>
      </c>
      <c r="BP3825" s="1"/>
      <c r="BQ3825" s="1"/>
      <c r="BR3825" s="1" t="s">
        <v>60690</v>
      </c>
      <c r="BS3825" s="1">
        <v>20</v>
      </c>
      <c r="BT3825" s="1"/>
      <c r="BU3825" s="1" t="s">
        <v>9653</v>
      </c>
      <c r="BV3825" s="3"/>
      <c r="BW3825" s="3"/>
    </row>
    <row r="3826" spans="1:75">
      <c r="A3826" s="1" t="s">
        <v>60691</v>
      </c>
      <c r="B3826" s="1" t="s">
        <v>51341</v>
      </c>
      <c r="C3826" s="1" t="s">
        <v>60692</v>
      </c>
      <c r="D3826" s="1" t="s">
        <v>60693</v>
      </c>
      <c r="E3826" s="1"/>
      <c r="F3826" s="1" t="s">
        <v>60694</v>
      </c>
      <c r="G3826" s="1" t="s">
        <v>60695</v>
      </c>
      <c r="H3826" s="1" t="s">
        <v>60696</v>
      </c>
      <c r="I3826" s="1" t="s">
        <v>60697</v>
      </c>
      <c r="J3826" s="1">
        <v>9542975541</v>
      </c>
      <c r="K3826" s="1" t="s">
        <v>84</v>
      </c>
      <c r="L3826" s="1" t="s">
        <v>58380</v>
      </c>
      <c r="M3826" s="1" t="s">
        <v>86</v>
      </c>
      <c r="N3826" s="1" t="s">
        <v>60698</v>
      </c>
      <c r="O3826" s="1"/>
      <c r="P3826" s="1" t="s">
        <v>507</v>
      </c>
      <c r="Q3826" s="1" t="s">
        <v>60699</v>
      </c>
      <c r="R3826" s="1" t="s">
        <v>60700</v>
      </c>
      <c r="S3826" s="1">
        <v>9449986123</v>
      </c>
      <c r="T3826" s="1" t="s">
        <v>1495</v>
      </c>
      <c r="U3826" s="1" t="s">
        <v>60701</v>
      </c>
      <c r="V3826" s="1">
        <v>8317667046</v>
      </c>
      <c r="W3826" s="1" t="s">
        <v>94</v>
      </c>
      <c r="X3826" s="1" t="s">
        <v>60702</v>
      </c>
      <c r="Y3826" s="1" t="s">
        <v>51747</v>
      </c>
      <c r="Z3826" s="1" t="s">
        <v>1210</v>
      </c>
      <c r="AA3826" s="1" t="s">
        <v>60702</v>
      </c>
      <c r="AB3826" s="1" t="s">
        <v>51747</v>
      </c>
      <c r="AC3826" s="1" t="s">
        <v>1210</v>
      </c>
      <c r="AD3826" s="1" t="s">
        <v>98</v>
      </c>
      <c r="AE3826" s="1" t="s">
        <v>98</v>
      </c>
      <c r="AF3826" s="1" t="s">
        <v>60703</v>
      </c>
      <c r="AG3826" s="1" t="s">
        <v>60704</v>
      </c>
      <c r="AH3826" s="1" t="s">
        <v>60705</v>
      </c>
      <c r="AI3826" s="1" t="s">
        <v>60706</v>
      </c>
      <c r="AJ3826" s="1">
        <v>82.65</v>
      </c>
      <c r="AK3826" s="1">
        <v>8.7</v>
      </c>
      <c r="AL3826" s="1" t="s">
        <v>1603</v>
      </c>
      <c r="AM3826" s="1" t="s">
        <v>60704</v>
      </c>
      <c r="AN3826" s="1"/>
      <c r="AO3826" s="1" t="s">
        <v>60707</v>
      </c>
      <c r="AP3826" s="1" t="s">
        <v>55641</v>
      </c>
      <c r="AQ3826" s="1">
        <v>84</v>
      </c>
      <c r="AR3826" s="1">
        <v>0</v>
      </c>
      <c r="AS3826" s="1"/>
      <c r="AT3826" s="1"/>
      <c r="AU3826" s="1" t="s">
        <v>98</v>
      </c>
      <c r="AV3826" s="1" t="s">
        <v>98</v>
      </c>
      <c r="AW3826" s="1" t="s">
        <v>98</v>
      </c>
      <c r="AX3826" s="1" t="s">
        <v>98</v>
      </c>
      <c r="AY3826" s="1" t="s">
        <v>60708</v>
      </c>
      <c r="AZ3826" s="1" t="s">
        <v>60709</v>
      </c>
      <c r="BA3826" s="1"/>
      <c r="BB3826" s="1"/>
      <c r="BC3826" s="1" t="s">
        <v>60710</v>
      </c>
      <c r="BD3826" s="1" t="s">
        <v>60711</v>
      </c>
      <c r="BE3826" s="1">
        <v>76.89</v>
      </c>
      <c r="BF3826" s="1">
        <v>8.18</v>
      </c>
      <c r="BG3826" s="1"/>
      <c r="BH3826" s="1"/>
      <c r="BI3826" s="1"/>
      <c r="BJ3826" s="1"/>
      <c r="BK3826" s="1" t="s">
        <v>98</v>
      </c>
      <c r="BL3826" s="1" t="s">
        <v>98</v>
      </c>
      <c r="BM3826" s="1" t="s">
        <v>98</v>
      </c>
      <c r="BN3826" s="1" t="s">
        <v>98</v>
      </c>
      <c r="BO3826" s="1" t="s">
        <v>260</v>
      </c>
      <c r="BP3826" s="1"/>
      <c r="BQ3826" s="1"/>
      <c r="BR3826" s="1" t="s">
        <v>60712</v>
      </c>
      <c r="BS3826" s="1">
        <v>26</v>
      </c>
      <c r="BT3826" s="1"/>
      <c r="BU3826" s="1" t="str">
        <f>HYPERLINK("https://nconnect.nicmar.ac.in/storage/profile/2021-2023_RP21001_713928.jpg","Download")</f>
        <v>0</v>
      </c>
      <c r="BV3826" s="3"/>
      <c r="BW3826" s="3"/>
    </row>
    <row r="3827" spans="1:75">
      <c r="A3827" s="1" t="s">
        <v>60691</v>
      </c>
      <c r="B3827" s="1" t="s">
        <v>51341</v>
      </c>
      <c r="C3827" s="1" t="s">
        <v>60713</v>
      </c>
      <c r="D3827" s="1" t="s">
        <v>37843</v>
      </c>
      <c r="E3827" s="1"/>
      <c r="F3827" s="1" t="s">
        <v>37079</v>
      </c>
      <c r="G3827" s="1" t="s">
        <v>60714</v>
      </c>
      <c r="H3827" s="1" t="s">
        <v>60715</v>
      </c>
      <c r="I3827" s="1" t="s">
        <v>60716</v>
      </c>
      <c r="J3827" s="1">
        <v>8339068037</v>
      </c>
      <c r="K3827" s="1" t="s">
        <v>153</v>
      </c>
      <c r="L3827" s="1" t="s">
        <v>60717</v>
      </c>
      <c r="M3827" s="1" t="s">
        <v>86</v>
      </c>
      <c r="N3827" s="1" t="s">
        <v>881</v>
      </c>
      <c r="O3827" s="1"/>
      <c r="P3827" s="1" t="s">
        <v>481</v>
      </c>
      <c r="Q3827" s="1" t="s">
        <v>60718</v>
      </c>
      <c r="R3827" s="1" t="s">
        <v>60719</v>
      </c>
      <c r="S3827" s="1">
        <v>9938866425</v>
      </c>
      <c r="T3827" s="1" t="s">
        <v>60720</v>
      </c>
      <c r="U3827" s="1" t="s">
        <v>60721</v>
      </c>
      <c r="V3827" s="1">
        <v>9861192124</v>
      </c>
      <c r="W3827" s="1" t="s">
        <v>541</v>
      </c>
      <c r="X3827" s="1" t="s">
        <v>60722</v>
      </c>
      <c r="Y3827" s="1" t="s">
        <v>1259</v>
      </c>
      <c r="Z3827" s="1" t="s">
        <v>865</v>
      </c>
      <c r="AA3827" s="1" t="s">
        <v>60722</v>
      </c>
      <c r="AB3827" s="1" t="s">
        <v>1259</v>
      </c>
      <c r="AC3827" s="1" t="s">
        <v>865</v>
      </c>
      <c r="AD3827" s="1" t="s">
        <v>98</v>
      </c>
      <c r="AE3827" s="1" t="s">
        <v>98</v>
      </c>
      <c r="AF3827" s="1" t="s">
        <v>60723</v>
      </c>
      <c r="AG3827" s="1" t="s">
        <v>2032</v>
      </c>
      <c r="AH3827" s="1" t="s">
        <v>53725</v>
      </c>
      <c r="AI3827" s="1" t="s">
        <v>60724</v>
      </c>
      <c r="AJ3827" s="1">
        <v>83.6</v>
      </c>
      <c r="AK3827" s="1">
        <v>8.8</v>
      </c>
      <c r="AL3827" s="1" t="s">
        <v>60723</v>
      </c>
      <c r="AM3827" s="1" t="s">
        <v>2032</v>
      </c>
      <c r="AN3827" s="1"/>
      <c r="AO3827" s="1" t="s">
        <v>56513</v>
      </c>
      <c r="AP3827" s="1" t="s">
        <v>55125</v>
      </c>
      <c r="AQ3827" s="1">
        <v>74.8</v>
      </c>
      <c r="AR3827" s="1">
        <v>0</v>
      </c>
      <c r="AS3827" s="1"/>
      <c r="AT3827" s="1"/>
      <c r="AU3827" s="1"/>
      <c r="AV3827" s="1"/>
      <c r="AW3827" s="1"/>
      <c r="AX3827" s="1"/>
      <c r="AY3827" s="1" t="s">
        <v>1264</v>
      </c>
      <c r="AZ3827" s="1" t="s">
        <v>37514</v>
      </c>
      <c r="BA3827" s="1"/>
      <c r="BB3827" s="1"/>
      <c r="BC3827" s="1" t="s">
        <v>60725</v>
      </c>
      <c r="BD3827" s="1" t="s">
        <v>60726</v>
      </c>
      <c r="BE3827" s="1">
        <v>73.9</v>
      </c>
      <c r="BF3827" s="1">
        <v>0</v>
      </c>
      <c r="BG3827" s="1"/>
      <c r="BH3827" s="1"/>
      <c r="BI3827" s="1"/>
      <c r="BJ3827" s="1"/>
      <c r="BK3827" s="1"/>
      <c r="BL3827" s="1"/>
      <c r="BM3827" s="1"/>
      <c r="BN3827" s="1"/>
      <c r="BO3827" s="1" t="s">
        <v>60727</v>
      </c>
      <c r="BP3827" s="1" t="s">
        <v>60728</v>
      </c>
      <c r="BQ3827" s="1" t="s">
        <v>1070</v>
      </c>
      <c r="BR3827" s="1" t="s">
        <v>60729</v>
      </c>
      <c r="BS3827" s="1">
        <v>30</v>
      </c>
      <c r="BT3827" s="1"/>
      <c r="BU3827" s="1" t="str">
        <f>HYPERLINK("https://nconnect.nicmar.ac.in/storage/profile/2021-2023_RP21002_185624.jpg","Download")</f>
        <v>0</v>
      </c>
      <c r="BV3827" s="3"/>
      <c r="BW3827" s="3"/>
    </row>
    <row r="3828" spans="1:75">
      <c r="A3828" s="1" t="s">
        <v>60691</v>
      </c>
      <c r="B3828" s="1" t="s">
        <v>51341</v>
      </c>
      <c r="C3828" s="1" t="s">
        <v>60730</v>
      </c>
      <c r="D3828" s="1" t="s">
        <v>36128</v>
      </c>
      <c r="E3828" s="1" t="s">
        <v>9856</v>
      </c>
      <c r="F3828" s="1" t="s">
        <v>961</v>
      </c>
      <c r="G3828" s="1" t="s">
        <v>60731</v>
      </c>
      <c r="H3828" s="1" t="s">
        <v>60732</v>
      </c>
      <c r="I3828" s="1" t="s">
        <v>60733</v>
      </c>
      <c r="J3828" s="1">
        <v>8308606616</v>
      </c>
      <c r="K3828" s="1" t="s">
        <v>153</v>
      </c>
      <c r="L3828" s="1" t="s">
        <v>60734</v>
      </c>
      <c r="M3828" s="1" t="s">
        <v>86</v>
      </c>
      <c r="N3828" s="1" t="s">
        <v>903</v>
      </c>
      <c r="O3828" s="1"/>
      <c r="P3828" s="1" t="s">
        <v>455</v>
      </c>
      <c r="Q3828" s="1" t="s">
        <v>60735</v>
      </c>
      <c r="R3828" s="1" t="s">
        <v>60736</v>
      </c>
      <c r="S3828" s="1">
        <v>9373212877</v>
      </c>
      <c r="T3828" s="1" t="s">
        <v>926</v>
      </c>
      <c r="U3828" s="1" t="s">
        <v>60737</v>
      </c>
      <c r="V3828" s="1">
        <v>9284918477</v>
      </c>
      <c r="W3828" s="1" t="s">
        <v>94</v>
      </c>
      <c r="X3828" s="1" t="s">
        <v>60738</v>
      </c>
      <c r="Y3828" s="1" t="s">
        <v>410</v>
      </c>
      <c r="Z3828" s="1" t="s">
        <v>97</v>
      </c>
      <c r="AA3828" s="1" t="s">
        <v>60738</v>
      </c>
      <c r="AB3828" s="1" t="s">
        <v>410</v>
      </c>
      <c r="AC3828" s="1" t="s">
        <v>97</v>
      </c>
      <c r="AD3828" s="1" t="s">
        <v>98</v>
      </c>
      <c r="AE3828" s="1" t="s">
        <v>98</v>
      </c>
      <c r="AF3828" s="1" t="s">
        <v>60739</v>
      </c>
      <c r="AG3828" s="1" t="s">
        <v>312</v>
      </c>
      <c r="AH3828" s="1">
        <v>41000</v>
      </c>
      <c r="AI3828" s="1">
        <v>41339</v>
      </c>
      <c r="AJ3828" s="1">
        <v>93.1</v>
      </c>
      <c r="AK3828" s="1">
        <v>9.8</v>
      </c>
      <c r="AL3828" s="1" t="s">
        <v>60740</v>
      </c>
      <c r="AM3828" s="1" t="s">
        <v>312</v>
      </c>
      <c r="AN3828" s="1"/>
      <c r="AO3828" s="1">
        <v>41761</v>
      </c>
      <c r="AP3828" s="1">
        <v>42050</v>
      </c>
      <c r="AQ3828" s="1">
        <v>63.69</v>
      </c>
      <c r="AR3828" s="1"/>
      <c r="AS3828" s="1"/>
      <c r="AT3828" s="1"/>
      <c r="AU3828" s="1" t="s">
        <v>98</v>
      </c>
      <c r="AV3828" s="1" t="s">
        <v>98</v>
      </c>
      <c r="AW3828" s="1" t="s">
        <v>98</v>
      </c>
      <c r="AX3828" s="1" t="s">
        <v>98</v>
      </c>
      <c r="AY3828" s="1" t="s">
        <v>415</v>
      </c>
      <c r="AZ3828" s="1" t="s">
        <v>10685</v>
      </c>
      <c r="BA3828" s="1"/>
      <c r="BB3828" s="1"/>
      <c r="BC3828" s="1">
        <v>42212</v>
      </c>
      <c r="BD3828" s="1">
        <v>44156</v>
      </c>
      <c r="BE3828" s="1">
        <v>69</v>
      </c>
      <c r="BF3828" s="1">
        <v>7.67</v>
      </c>
      <c r="BG3828" s="1"/>
      <c r="BH3828" s="1"/>
      <c r="BI3828" s="1"/>
      <c r="BJ3828" s="1"/>
      <c r="BK3828" s="1" t="s">
        <v>98</v>
      </c>
      <c r="BL3828" s="1" t="s">
        <v>98</v>
      </c>
      <c r="BM3828" s="1" t="s">
        <v>98</v>
      </c>
      <c r="BN3828" s="1" t="s">
        <v>98</v>
      </c>
      <c r="BO3828" s="1" t="s">
        <v>28364</v>
      </c>
      <c r="BP3828" s="1" t="s">
        <v>60741</v>
      </c>
      <c r="BQ3828" s="1" t="s">
        <v>1070</v>
      </c>
      <c r="BR3828" s="1" t="s">
        <v>60742</v>
      </c>
      <c r="BS3828" s="1">
        <v>43</v>
      </c>
      <c r="BT3828" s="1"/>
      <c r="BU3828" s="1" t="s">
        <v>9653</v>
      </c>
      <c r="BV3828" s="3"/>
      <c r="BW3828" s="3"/>
    </row>
    <row r="3829" spans="1:75">
      <c r="A3829" s="1" t="s">
        <v>60691</v>
      </c>
      <c r="B3829" s="1" t="s">
        <v>51341</v>
      </c>
      <c r="C3829" s="1" t="s">
        <v>60743</v>
      </c>
      <c r="D3829" s="1" t="s">
        <v>52865</v>
      </c>
      <c r="E3829" s="1"/>
      <c r="F3829" s="1" t="s">
        <v>812</v>
      </c>
      <c r="G3829" s="1" t="s">
        <v>60744</v>
      </c>
      <c r="H3829" s="1" t="s">
        <v>60745</v>
      </c>
      <c r="I3829" s="1" t="s">
        <v>60746</v>
      </c>
      <c r="J3829" s="1">
        <v>7397650509</v>
      </c>
      <c r="K3829" s="1" t="s">
        <v>84</v>
      </c>
      <c r="L3829" s="1" t="s">
        <v>60747</v>
      </c>
      <c r="M3829" s="1" t="s">
        <v>86</v>
      </c>
      <c r="N3829" s="1" t="s">
        <v>60748</v>
      </c>
      <c r="O3829" s="1"/>
      <c r="P3829" s="1" t="s">
        <v>507</v>
      </c>
      <c r="Q3829" s="1" t="s">
        <v>60749</v>
      </c>
      <c r="R3829" s="1" t="s">
        <v>36291</v>
      </c>
      <c r="S3829" s="1">
        <v>9786842904</v>
      </c>
      <c r="T3829" s="1" t="s">
        <v>159</v>
      </c>
      <c r="U3829" s="1" t="s">
        <v>60750</v>
      </c>
      <c r="V3829" s="1">
        <v>7397119609</v>
      </c>
      <c r="W3829" s="1" t="s">
        <v>94</v>
      </c>
      <c r="X3829" s="1" t="s">
        <v>60751</v>
      </c>
      <c r="Y3829" s="1" t="s">
        <v>60752</v>
      </c>
      <c r="Z3829" s="1" t="s">
        <v>570</v>
      </c>
      <c r="AA3829" s="1" t="s">
        <v>60751</v>
      </c>
      <c r="AB3829" s="1" t="s">
        <v>60752</v>
      </c>
      <c r="AC3829" s="1" t="s">
        <v>570</v>
      </c>
      <c r="AD3829" s="1" t="s">
        <v>98</v>
      </c>
      <c r="AE3829" s="1" t="s">
        <v>98</v>
      </c>
      <c r="AF3829" s="1" t="s">
        <v>60753</v>
      </c>
      <c r="AG3829" s="1" t="s">
        <v>24204</v>
      </c>
      <c r="AH3829" s="1" t="s">
        <v>60754</v>
      </c>
      <c r="AI3829" s="1" t="s">
        <v>60755</v>
      </c>
      <c r="AJ3829" s="1">
        <v>84</v>
      </c>
      <c r="AK3829" s="1">
        <v>8.4</v>
      </c>
      <c r="AL3829" s="1" t="s">
        <v>60753</v>
      </c>
      <c r="AM3829" s="1" t="s">
        <v>24204</v>
      </c>
      <c r="AN3829" s="1"/>
      <c r="AO3829" s="1" t="s">
        <v>60756</v>
      </c>
      <c r="AP3829" s="1" t="s">
        <v>60757</v>
      </c>
      <c r="AQ3829" s="1">
        <v>71.08</v>
      </c>
      <c r="AR3829" s="1"/>
      <c r="AS3829" s="1"/>
      <c r="AT3829" s="1"/>
      <c r="AU3829" s="1" t="s">
        <v>98</v>
      </c>
      <c r="AV3829" s="1" t="s">
        <v>98</v>
      </c>
      <c r="AW3829" s="1" t="s">
        <v>98</v>
      </c>
      <c r="AX3829" s="1" t="s">
        <v>98</v>
      </c>
      <c r="AY3829" s="1" t="s">
        <v>60758</v>
      </c>
      <c r="AZ3829" s="1" t="s">
        <v>60759</v>
      </c>
      <c r="BA3829" s="1"/>
      <c r="BB3829" s="1"/>
      <c r="BC3829" s="1" t="s">
        <v>60760</v>
      </c>
      <c r="BD3829" s="1" t="s">
        <v>60761</v>
      </c>
      <c r="BE3829" s="1">
        <v>62.7</v>
      </c>
      <c r="BF3829" s="1">
        <v>6.27</v>
      </c>
      <c r="BG3829" s="1"/>
      <c r="BH3829" s="1"/>
      <c r="BI3829" s="1"/>
      <c r="BJ3829" s="1"/>
      <c r="BK3829" s="1" t="s">
        <v>98</v>
      </c>
      <c r="BL3829" s="1" t="s">
        <v>98</v>
      </c>
      <c r="BM3829" s="1" t="s">
        <v>98</v>
      </c>
      <c r="BN3829" s="1" t="s">
        <v>98</v>
      </c>
      <c r="BO3829" s="1" t="s">
        <v>872</v>
      </c>
      <c r="BP3829" s="1"/>
      <c r="BQ3829" s="1"/>
      <c r="BR3829" s="1" t="s">
        <v>60762</v>
      </c>
      <c r="BS3829" s="1">
        <v>8</v>
      </c>
      <c r="BT3829" s="1"/>
      <c r="BU3829" s="1" t="str">
        <f>HYPERLINK("https://nconnect.nicmar.ac.in/storage/profile/2021-2023_RP21004_531286.jpg","Download")</f>
        <v>0</v>
      </c>
      <c r="BV3829" s="3"/>
      <c r="BW3829" s="3"/>
    </row>
    <row r="3830" spans="1:75">
      <c r="A3830" s="1" t="s">
        <v>60691</v>
      </c>
      <c r="B3830" s="1" t="s">
        <v>51341</v>
      </c>
      <c r="C3830" s="1" t="s">
        <v>60763</v>
      </c>
      <c r="D3830" s="1" t="s">
        <v>60764</v>
      </c>
      <c r="E3830" s="1" t="s">
        <v>27118</v>
      </c>
      <c r="F3830" s="1" t="s">
        <v>60765</v>
      </c>
      <c r="G3830" s="1" t="s">
        <v>60766</v>
      </c>
      <c r="H3830" s="1" t="s">
        <v>60767</v>
      </c>
      <c r="I3830" s="1" t="s">
        <v>60768</v>
      </c>
      <c r="J3830" s="1">
        <v>9820074011</v>
      </c>
      <c r="K3830" s="1" t="s">
        <v>153</v>
      </c>
      <c r="L3830" s="1" t="s">
        <v>59951</v>
      </c>
      <c r="M3830" s="1" t="s">
        <v>86</v>
      </c>
      <c r="N3830" s="1" t="s">
        <v>618</v>
      </c>
      <c r="O3830" s="1"/>
      <c r="P3830" s="1" t="s">
        <v>481</v>
      </c>
      <c r="Q3830" s="1" t="s">
        <v>60769</v>
      </c>
      <c r="R3830" s="1" t="s">
        <v>60770</v>
      </c>
      <c r="S3830" s="1">
        <v>9821974011</v>
      </c>
      <c r="T3830" s="1" t="s">
        <v>60771</v>
      </c>
      <c r="U3830" s="1" t="s">
        <v>60772</v>
      </c>
      <c r="V3830" s="1">
        <v>9702203612</v>
      </c>
      <c r="W3830" s="1" t="s">
        <v>645</v>
      </c>
      <c r="X3830" s="1" t="s">
        <v>60773</v>
      </c>
      <c r="Y3830" s="1" t="s">
        <v>1012</v>
      </c>
      <c r="Z3830" s="1" t="s">
        <v>97</v>
      </c>
      <c r="AA3830" s="1" t="s">
        <v>60773</v>
      </c>
      <c r="AB3830" s="1" t="s">
        <v>53803</v>
      </c>
      <c r="AC3830" s="1" t="s">
        <v>97</v>
      </c>
      <c r="AD3830" s="1" t="s">
        <v>98</v>
      </c>
      <c r="AE3830" s="1" t="s">
        <v>98</v>
      </c>
      <c r="AF3830" s="1" t="s">
        <v>60774</v>
      </c>
      <c r="AG3830" s="1" t="s">
        <v>60775</v>
      </c>
      <c r="AH3830" s="1">
        <v>40335</v>
      </c>
      <c r="AI3830" s="1">
        <v>40700</v>
      </c>
      <c r="AJ3830" s="1">
        <v>77.14</v>
      </c>
      <c r="AK3830" s="1">
        <v>0</v>
      </c>
      <c r="AL3830" s="1" t="s">
        <v>60776</v>
      </c>
      <c r="AM3830" s="1" t="s">
        <v>60775</v>
      </c>
      <c r="AN3830" s="1"/>
      <c r="AO3830" s="1">
        <v>41132</v>
      </c>
      <c r="AP3830" s="1">
        <v>41431</v>
      </c>
      <c r="AQ3830" s="1">
        <v>63.67</v>
      </c>
      <c r="AR3830" s="1">
        <v>0</v>
      </c>
      <c r="AS3830" s="1"/>
      <c r="AT3830" s="1"/>
      <c r="AU3830" s="1" t="s">
        <v>98</v>
      </c>
      <c r="AV3830" s="1" t="s">
        <v>98</v>
      </c>
      <c r="AW3830" s="1" t="s">
        <v>98</v>
      </c>
      <c r="AX3830" s="1" t="s">
        <v>98</v>
      </c>
      <c r="AY3830" s="1" t="s">
        <v>366</v>
      </c>
      <c r="AZ3830" s="1" t="s">
        <v>60777</v>
      </c>
      <c r="BA3830" s="1"/>
      <c r="BB3830" s="1"/>
      <c r="BC3830" s="1">
        <v>41476</v>
      </c>
      <c r="BD3830" s="1">
        <v>43193</v>
      </c>
      <c r="BE3830" s="1">
        <v>59.97</v>
      </c>
      <c r="BF3830" s="1"/>
      <c r="BG3830" s="1"/>
      <c r="BH3830" s="1"/>
      <c r="BI3830" s="1"/>
      <c r="BJ3830" s="1"/>
      <c r="BK3830" s="1" t="s">
        <v>98</v>
      </c>
      <c r="BL3830" s="1" t="s">
        <v>98</v>
      </c>
      <c r="BM3830" s="1" t="s">
        <v>98</v>
      </c>
      <c r="BN3830" s="1" t="s">
        <v>98</v>
      </c>
      <c r="BO3830" s="1" t="s">
        <v>60539</v>
      </c>
      <c r="BP3830" s="1" t="s">
        <v>60778</v>
      </c>
      <c r="BQ3830" s="1" t="s">
        <v>8862</v>
      </c>
      <c r="BR3830" s="1" t="s">
        <v>60779</v>
      </c>
      <c r="BS3830" s="1">
        <v>28</v>
      </c>
      <c r="BT3830" s="1"/>
      <c r="BU3830" s="1" t="str">
        <f>HYPERLINK("https://nconnect.nicmar.ac.in/storage/profile/2021-2023_RP21005_924765.jpg","Download")</f>
        <v>0</v>
      </c>
      <c r="BV3830" s="3"/>
      <c r="BW3830" s="3"/>
    </row>
    <row r="3831" spans="1:75">
      <c r="A3831" s="1" t="s">
        <v>60691</v>
      </c>
      <c r="B3831" s="1" t="s">
        <v>51341</v>
      </c>
      <c r="C3831" s="1" t="s">
        <v>60780</v>
      </c>
      <c r="D3831" s="1" t="s">
        <v>60781</v>
      </c>
      <c r="E3831" s="1"/>
      <c r="F3831" s="1" t="s">
        <v>60782</v>
      </c>
      <c r="G3831" s="1" t="s">
        <v>60783</v>
      </c>
      <c r="H3831" s="1" t="s">
        <v>60784</v>
      </c>
      <c r="I3831" s="1" t="s">
        <v>60785</v>
      </c>
      <c r="J3831" s="1">
        <v>7021472476</v>
      </c>
      <c r="K3831" s="1" t="s">
        <v>153</v>
      </c>
      <c r="L3831" s="1" t="s">
        <v>53062</v>
      </c>
      <c r="M3831" s="1" t="s">
        <v>86</v>
      </c>
      <c r="N3831" s="1" t="s">
        <v>60786</v>
      </c>
      <c r="O3831" s="1"/>
      <c r="P3831" s="1" t="s">
        <v>1028</v>
      </c>
      <c r="Q3831" s="1" t="s">
        <v>60787</v>
      </c>
      <c r="R3831" s="1" t="s">
        <v>60788</v>
      </c>
      <c r="S3831" s="1">
        <v>9833811930</v>
      </c>
      <c r="T3831" s="1" t="s">
        <v>645</v>
      </c>
      <c r="U3831" s="1" t="s">
        <v>60789</v>
      </c>
      <c r="V3831" s="1">
        <v>7032918608</v>
      </c>
      <c r="W3831" s="1" t="s">
        <v>94</v>
      </c>
      <c r="X3831" s="1" t="s">
        <v>60790</v>
      </c>
      <c r="Y3831" s="1" t="s">
        <v>1012</v>
      </c>
      <c r="Z3831" s="1" t="s">
        <v>97</v>
      </c>
      <c r="AA3831" s="1" t="s">
        <v>60790</v>
      </c>
      <c r="AB3831" s="1" t="s">
        <v>1012</v>
      </c>
      <c r="AC3831" s="1" t="s">
        <v>97</v>
      </c>
      <c r="AD3831" s="1" t="s">
        <v>98</v>
      </c>
      <c r="AE3831" s="1" t="s">
        <v>98</v>
      </c>
      <c r="AF3831" s="1" t="s">
        <v>36039</v>
      </c>
      <c r="AG3831" s="1" t="s">
        <v>312</v>
      </c>
      <c r="AH3831" s="1">
        <v>41395</v>
      </c>
      <c r="AI3831" s="1">
        <v>41778</v>
      </c>
      <c r="AJ3831" s="1">
        <v>93.1</v>
      </c>
      <c r="AK3831" s="1">
        <v>9.8</v>
      </c>
      <c r="AL3831" s="1" t="s">
        <v>34087</v>
      </c>
      <c r="AM3831" s="1" t="s">
        <v>312</v>
      </c>
      <c r="AN3831" s="1"/>
      <c r="AO3831" s="1" t="s">
        <v>56754</v>
      </c>
      <c r="AP3831" s="1" t="s">
        <v>53808</v>
      </c>
      <c r="AQ3831" s="1">
        <v>73</v>
      </c>
      <c r="AR3831" s="1"/>
      <c r="AS3831" s="1"/>
      <c r="AT3831" s="1"/>
      <c r="AU3831" s="1" t="s">
        <v>98</v>
      </c>
      <c r="AV3831" s="1" t="s">
        <v>98</v>
      </c>
      <c r="AW3831" s="1" t="s">
        <v>98</v>
      </c>
      <c r="AX3831" s="1" t="s">
        <v>98</v>
      </c>
      <c r="AY3831" s="1" t="s">
        <v>8169</v>
      </c>
      <c r="AZ3831" s="1" t="s">
        <v>60791</v>
      </c>
      <c r="BA3831" s="1"/>
      <c r="BB3831" s="1"/>
      <c r="BC3831" s="1">
        <v>42604</v>
      </c>
      <c r="BD3831" s="1">
        <v>44029</v>
      </c>
      <c r="BE3831" s="1">
        <v>72.9</v>
      </c>
      <c r="BF3831" s="1">
        <v>7.79</v>
      </c>
      <c r="BG3831" s="1"/>
      <c r="BH3831" s="1"/>
      <c r="BI3831" s="1"/>
      <c r="BJ3831" s="1"/>
      <c r="BK3831" s="1" t="s">
        <v>98</v>
      </c>
      <c r="BL3831" s="1" t="s">
        <v>98</v>
      </c>
      <c r="BM3831" s="1" t="s">
        <v>98</v>
      </c>
      <c r="BN3831" s="1" t="s">
        <v>98</v>
      </c>
      <c r="BO3831" s="1" t="s">
        <v>60792</v>
      </c>
      <c r="BP3831" s="1"/>
      <c r="BQ3831" s="1"/>
      <c r="BR3831" s="1" t="s">
        <v>60793</v>
      </c>
      <c r="BS3831" s="1">
        <v>24</v>
      </c>
      <c r="BT3831" s="1"/>
      <c r="BU3831" s="1" t="s">
        <v>9653</v>
      </c>
      <c r="BV3831" s="3"/>
      <c r="BW3831" s="3"/>
    </row>
    <row r="3832" spans="1:75">
      <c r="A3832" s="1" t="s">
        <v>60691</v>
      </c>
      <c r="B3832" s="1" t="s">
        <v>51341</v>
      </c>
      <c r="C3832" s="1" t="s">
        <v>60794</v>
      </c>
      <c r="D3832" s="1" t="s">
        <v>33259</v>
      </c>
      <c r="E3832" s="1"/>
      <c r="F3832" s="1" t="s">
        <v>60795</v>
      </c>
      <c r="G3832" s="1" t="s">
        <v>60796</v>
      </c>
      <c r="H3832" s="1" t="s">
        <v>60797</v>
      </c>
      <c r="I3832" s="1" t="s">
        <v>60798</v>
      </c>
      <c r="J3832" s="1">
        <v>7987374239</v>
      </c>
      <c r="K3832" s="1" t="s">
        <v>84</v>
      </c>
      <c r="L3832" s="1" t="s">
        <v>60799</v>
      </c>
      <c r="M3832" s="1" t="s">
        <v>86</v>
      </c>
      <c r="N3832" s="1" t="s">
        <v>6641</v>
      </c>
      <c r="O3832" s="1"/>
      <c r="P3832" s="1" t="s">
        <v>1028</v>
      </c>
      <c r="Q3832" s="1" t="s">
        <v>60800</v>
      </c>
      <c r="R3832" s="1" t="s">
        <v>60801</v>
      </c>
      <c r="S3832" s="1">
        <v>9662481949</v>
      </c>
      <c r="T3832" s="1" t="s">
        <v>645</v>
      </c>
      <c r="U3832" s="1" t="s">
        <v>60802</v>
      </c>
      <c r="V3832" s="1">
        <v>9662481949</v>
      </c>
      <c r="W3832" s="1" t="s">
        <v>94</v>
      </c>
      <c r="X3832" s="1" t="s">
        <v>60803</v>
      </c>
      <c r="Y3832" s="1" t="s">
        <v>2880</v>
      </c>
      <c r="Z3832" s="1" t="s">
        <v>676</v>
      </c>
      <c r="AA3832" s="1" t="s">
        <v>60804</v>
      </c>
      <c r="AB3832" s="1" t="s">
        <v>2880</v>
      </c>
      <c r="AC3832" s="1" t="s">
        <v>676</v>
      </c>
      <c r="AD3832" s="1" t="s">
        <v>98</v>
      </c>
      <c r="AE3832" s="1" t="s">
        <v>98</v>
      </c>
      <c r="AF3832" s="1" t="s">
        <v>60805</v>
      </c>
      <c r="AG3832" s="1" t="s">
        <v>2475</v>
      </c>
      <c r="AH3832" s="1">
        <v>41395</v>
      </c>
      <c r="AI3832" s="1">
        <v>41779</v>
      </c>
      <c r="AJ3832" s="1">
        <v>55.1</v>
      </c>
      <c r="AK3832" s="1">
        <v>5.8</v>
      </c>
      <c r="AL3832" s="1" t="s">
        <v>60806</v>
      </c>
      <c r="AM3832" s="1" t="s">
        <v>53920</v>
      </c>
      <c r="AN3832" s="1"/>
      <c r="AO3832" s="1" t="s">
        <v>54775</v>
      </c>
      <c r="AP3832" s="1" t="s">
        <v>60807</v>
      </c>
      <c r="AQ3832" s="1">
        <v>66.6</v>
      </c>
      <c r="AR3832" s="1"/>
      <c r="AS3832" s="1"/>
      <c r="AT3832" s="1"/>
      <c r="AU3832" s="1" t="s">
        <v>98</v>
      </c>
      <c r="AV3832" s="1" t="s">
        <v>98</v>
      </c>
      <c r="AW3832" s="1" t="s">
        <v>98</v>
      </c>
      <c r="AX3832" s="1" t="s">
        <v>98</v>
      </c>
      <c r="AY3832" s="1" t="s">
        <v>8169</v>
      </c>
      <c r="AZ3832" s="1" t="s">
        <v>60808</v>
      </c>
      <c r="BA3832" s="1"/>
      <c r="BB3832" s="1"/>
      <c r="BC3832" s="1">
        <v>42604</v>
      </c>
      <c r="BD3832" s="1">
        <v>44032</v>
      </c>
      <c r="BE3832" s="1">
        <v>57.5</v>
      </c>
      <c r="BF3832" s="1">
        <v>6.25</v>
      </c>
      <c r="BG3832" s="1"/>
      <c r="BH3832" s="1"/>
      <c r="BI3832" s="1"/>
      <c r="BJ3832" s="1"/>
      <c r="BK3832" s="1" t="s">
        <v>98</v>
      </c>
      <c r="BL3832" s="1" t="s">
        <v>98</v>
      </c>
      <c r="BM3832" s="1" t="s">
        <v>98</v>
      </c>
      <c r="BN3832" s="1" t="s">
        <v>98</v>
      </c>
      <c r="BO3832" s="1" t="s">
        <v>260</v>
      </c>
      <c r="BP3832" s="1"/>
      <c r="BQ3832" s="1"/>
      <c r="BR3832" s="1" t="s">
        <v>60809</v>
      </c>
      <c r="BS3832" s="1">
        <v>33</v>
      </c>
      <c r="BT3832" s="1"/>
      <c r="BU3832" s="1" t="s">
        <v>9653</v>
      </c>
      <c r="BV3832" s="3"/>
      <c r="BW3832" s="3"/>
    </row>
    <row r="3833" spans="1:75">
      <c r="A3833" s="1" t="s">
        <v>60691</v>
      </c>
      <c r="B3833" s="1" t="s">
        <v>51341</v>
      </c>
      <c r="C3833" s="1" t="s">
        <v>60810</v>
      </c>
      <c r="D3833" s="1" t="s">
        <v>6636</v>
      </c>
      <c r="E3833" s="1" t="s">
        <v>51753</v>
      </c>
      <c r="F3833" s="1" t="s">
        <v>60811</v>
      </c>
      <c r="G3833" s="1" t="s">
        <v>60812</v>
      </c>
      <c r="H3833" s="1" t="s">
        <v>60813</v>
      </c>
      <c r="I3833" s="1" t="s">
        <v>60814</v>
      </c>
      <c r="J3833" s="1">
        <v>8141656869</v>
      </c>
      <c r="K3833" s="1" t="s">
        <v>153</v>
      </c>
      <c r="L3833" s="1" t="s">
        <v>29334</v>
      </c>
      <c r="M3833" s="1" t="s">
        <v>86</v>
      </c>
      <c r="N3833" s="1" t="s">
        <v>27995</v>
      </c>
      <c r="O3833" s="1"/>
      <c r="P3833" s="1" t="s">
        <v>670</v>
      </c>
      <c r="Q3833" s="1" t="s">
        <v>60815</v>
      </c>
      <c r="R3833" s="1" t="s">
        <v>60816</v>
      </c>
      <c r="S3833" s="1">
        <v>9374713208</v>
      </c>
      <c r="T3833" s="1" t="s">
        <v>60817</v>
      </c>
      <c r="U3833" s="1" t="s">
        <v>60818</v>
      </c>
      <c r="V3833" s="1">
        <v>7984333434</v>
      </c>
      <c r="W3833" s="1" t="s">
        <v>94</v>
      </c>
      <c r="X3833" s="1" t="s">
        <v>60819</v>
      </c>
      <c r="Y3833" s="1" t="s">
        <v>5138</v>
      </c>
      <c r="Z3833" s="1" t="s">
        <v>676</v>
      </c>
      <c r="AA3833" s="1" t="s">
        <v>60819</v>
      </c>
      <c r="AB3833" s="1" t="s">
        <v>5138</v>
      </c>
      <c r="AC3833" s="1" t="s">
        <v>676</v>
      </c>
      <c r="AD3833" s="1" t="s">
        <v>98</v>
      </c>
      <c r="AE3833" s="1" t="s">
        <v>98</v>
      </c>
      <c r="AF3833" s="1" t="s">
        <v>60820</v>
      </c>
      <c r="AG3833" s="1" t="s">
        <v>60821</v>
      </c>
      <c r="AH3833" s="1" t="s">
        <v>56291</v>
      </c>
      <c r="AI3833" s="1" t="s">
        <v>53726</v>
      </c>
      <c r="AJ3833" s="1">
        <v>73.68</v>
      </c>
      <c r="AK3833" s="1">
        <v>0</v>
      </c>
      <c r="AL3833" s="1" t="s">
        <v>60820</v>
      </c>
      <c r="AM3833" s="1" t="s">
        <v>60821</v>
      </c>
      <c r="AN3833" s="1"/>
      <c r="AO3833" s="1" t="s">
        <v>53443</v>
      </c>
      <c r="AP3833" s="1" t="s">
        <v>55125</v>
      </c>
      <c r="AQ3833" s="1">
        <v>70.8</v>
      </c>
      <c r="AR3833" s="1">
        <v>0</v>
      </c>
      <c r="AS3833" s="1"/>
      <c r="AT3833" s="1"/>
      <c r="AU3833" s="1" t="s">
        <v>98</v>
      </c>
      <c r="AV3833" s="1" t="s">
        <v>98</v>
      </c>
      <c r="AW3833" s="1" t="s">
        <v>98</v>
      </c>
      <c r="AX3833" s="1" t="s">
        <v>98</v>
      </c>
      <c r="AY3833" s="1" t="s">
        <v>13485</v>
      </c>
      <c r="AZ3833" s="1" t="s">
        <v>60822</v>
      </c>
      <c r="BA3833" s="1"/>
      <c r="BB3833" s="1"/>
      <c r="BC3833" s="1" t="s">
        <v>60397</v>
      </c>
      <c r="BD3833" s="1" t="s">
        <v>60823</v>
      </c>
      <c r="BE3833" s="1">
        <v>68.49</v>
      </c>
      <c r="BF3833" s="1">
        <v>7.21</v>
      </c>
      <c r="BG3833" s="1"/>
      <c r="BH3833" s="1"/>
      <c r="BI3833" s="1"/>
      <c r="BJ3833" s="1"/>
      <c r="BK3833" s="1" t="s">
        <v>98</v>
      </c>
      <c r="BL3833" s="1" t="s">
        <v>98</v>
      </c>
      <c r="BM3833" s="1" t="s">
        <v>98</v>
      </c>
      <c r="BN3833" s="1" t="s">
        <v>98</v>
      </c>
      <c r="BO3833" s="1" t="s">
        <v>60824</v>
      </c>
      <c r="BP3833" s="1"/>
      <c r="BQ3833" s="1"/>
      <c r="BR3833" s="1" t="s">
        <v>60825</v>
      </c>
      <c r="BS3833" s="1">
        <v>31</v>
      </c>
      <c r="BT3833" s="1"/>
      <c r="BU3833" s="1" t="str">
        <f>HYPERLINK("https://nconnect.nicmar.ac.in/storage/profile/2021-2023_RP21008_452198.jpg","Download")</f>
        <v>0</v>
      </c>
      <c r="BV3833" s="3"/>
      <c r="BW3833" s="3"/>
    </row>
    <row r="3834" spans="1:75">
      <c r="A3834" s="1" t="s">
        <v>60691</v>
      </c>
      <c r="B3834" s="1" t="s">
        <v>51341</v>
      </c>
      <c r="C3834" s="1" t="s">
        <v>60826</v>
      </c>
      <c r="D3834" s="1" t="s">
        <v>3512</v>
      </c>
      <c r="E3834" s="1"/>
      <c r="F3834" s="1" t="s">
        <v>4802</v>
      </c>
      <c r="G3834" s="1" t="s">
        <v>60827</v>
      </c>
      <c r="H3834" s="1" t="s">
        <v>60828</v>
      </c>
      <c r="I3834" s="1" t="s">
        <v>60829</v>
      </c>
      <c r="J3834" s="1">
        <v>9036717378</v>
      </c>
      <c r="K3834" s="1" t="s">
        <v>84</v>
      </c>
      <c r="L3834" s="1" t="s">
        <v>41791</v>
      </c>
      <c r="M3834" s="1" t="s">
        <v>86</v>
      </c>
      <c r="N3834" s="1" t="s">
        <v>60830</v>
      </c>
      <c r="O3834" s="1"/>
      <c r="P3834" s="1" t="s">
        <v>507</v>
      </c>
      <c r="Q3834" s="1" t="s">
        <v>60831</v>
      </c>
      <c r="R3834" s="1" t="s">
        <v>60832</v>
      </c>
      <c r="S3834" s="1">
        <v>9845397954</v>
      </c>
      <c r="T3834" s="1" t="s">
        <v>839</v>
      </c>
      <c r="U3834" s="1" t="s">
        <v>60833</v>
      </c>
      <c r="V3834" s="1">
        <v>9480125248</v>
      </c>
      <c r="W3834" s="1" t="s">
        <v>94</v>
      </c>
      <c r="X3834" s="1" t="s">
        <v>60834</v>
      </c>
      <c r="Y3834" s="1" t="s">
        <v>53823</v>
      </c>
      <c r="Z3834" s="1" t="s">
        <v>1210</v>
      </c>
      <c r="AA3834" s="1" t="s">
        <v>60834</v>
      </c>
      <c r="AB3834" s="1" t="s">
        <v>53823</v>
      </c>
      <c r="AC3834" s="1" t="s">
        <v>1210</v>
      </c>
      <c r="AD3834" s="1" t="s">
        <v>98</v>
      </c>
      <c r="AE3834" s="1" t="s">
        <v>98</v>
      </c>
      <c r="AF3834" s="1" t="s">
        <v>26428</v>
      </c>
      <c r="AG3834" s="1" t="s">
        <v>312</v>
      </c>
      <c r="AH3834" s="1">
        <v>41427</v>
      </c>
      <c r="AI3834" s="1">
        <v>41778</v>
      </c>
      <c r="AJ3834" s="1">
        <v>74.1</v>
      </c>
      <c r="AK3834" s="1">
        <v>7.8</v>
      </c>
      <c r="AL3834" s="1" t="s">
        <v>56496</v>
      </c>
      <c r="AM3834" s="1" t="s">
        <v>51875</v>
      </c>
      <c r="AN3834" s="1"/>
      <c r="AO3834" s="1">
        <v>42160</v>
      </c>
      <c r="AP3834" s="1">
        <v>42515</v>
      </c>
      <c r="AQ3834" s="1">
        <v>73.66</v>
      </c>
      <c r="AR3834" s="1"/>
      <c r="AS3834" s="1"/>
      <c r="AT3834" s="1"/>
      <c r="AU3834" s="1" t="s">
        <v>98</v>
      </c>
      <c r="AV3834" s="1" t="s">
        <v>98</v>
      </c>
      <c r="AW3834" s="1" t="s">
        <v>98</v>
      </c>
      <c r="AX3834" s="1" t="s">
        <v>98</v>
      </c>
      <c r="AY3834" s="1" t="s">
        <v>1217</v>
      </c>
      <c r="AZ3834" s="1" t="s">
        <v>60835</v>
      </c>
      <c r="BA3834" s="1"/>
      <c r="BB3834" s="1"/>
      <c r="BC3834" s="1">
        <v>42584</v>
      </c>
      <c r="BD3834" s="1">
        <v>44102</v>
      </c>
      <c r="BE3834" s="1">
        <v>72.2</v>
      </c>
      <c r="BF3834" s="1">
        <v>7.97</v>
      </c>
      <c r="BG3834" s="1"/>
      <c r="BH3834" s="1"/>
      <c r="BI3834" s="1"/>
      <c r="BJ3834" s="1"/>
      <c r="BK3834" s="1" t="s">
        <v>98</v>
      </c>
      <c r="BL3834" s="1" t="s">
        <v>98</v>
      </c>
      <c r="BM3834" s="1" t="s">
        <v>98</v>
      </c>
      <c r="BN3834" s="1" t="s">
        <v>98</v>
      </c>
      <c r="BO3834" s="1" t="s">
        <v>40690</v>
      </c>
      <c r="BP3834" s="1" t="s">
        <v>60836</v>
      </c>
      <c r="BQ3834" s="1" t="s">
        <v>893</v>
      </c>
      <c r="BR3834" s="1" t="s">
        <v>60837</v>
      </c>
      <c r="BS3834" s="1">
        <v>18</v>
      </c>
      <c r="BT3834" s="1"/>
      <c r="BU3834" s="1" t="str">
        <f>HYPERLINK("https://nconnect.nicmar.ac.in/storage/profile/2021-2023_RP21009_149326.JPG","Download")</f>
        <v>0</v>
      </c>
      <c r="BV3834" s="3"/>
      <c r="BW3834" s="3"/>
    </row>
    <row r="3835" spans="1:75">
      <c r="A3835" s="1" t="s">
        <v>60691</v>
      </c>
      <c r="B3835" s="1" t="s">
        <v>51341</v>
      </c>
      <c r="C3835" s="1" t="s">
        <v>60838</v>
      </c>
      <c r="D3835" s="1" t="s">
        <v>60839</v>
      </c>
      <c r="E3835" s="1" t="s">
        <v>60840</v>
      </c>
      <c r="F3835" s="1" t="s">
        <v>12882</v>
      </c>
      <c r="G3835" s="1" t="s">
        <v>60841</v>
      </c>
      <c r="H3835" s="1" t="s">
        <v>60842</v>
      </c>
      <c r="I3835" s="1" t="s">
        <v>60843</v>
      </c>
      <c r="J3835" s="1">
        <v>7359648338</v>
      </c>
      <c r="K3835" s="1" t="s">
        <v>84</v>
      </c>
      <c r="L3835" s="1" t="s">
        <v>56952</v>
      </c>
      <c r="M3835" s="1" t="s">
        <v>86</v>
      </c>
      <c r="N3835" s="1" t="s">
        <v>6641</v>
      </c>
      <c r="O3835" s="1"/>
      <c r="P3835" s="1" t="s">
        <v>507</v>
      </c>
      <c r="Q3835" s="1" t="s">
        <v>60844</v>
      </c>
      <c r="R3835" s="1" t="s">
        <v>60845</v>
      </c>
      <c r="S3835" s="1">
        <v>8758549242</v>
      </c>
      <c r="T3835" s="1" t="s">
        <v>98</v>
      </c>
      <c r="U3835" s="1" t="s">
        <v>60846</v>
      </c>
      <c r="V3835" s="1">
        <v>8758549242</v>
      </c>
      <c r="W3835" s="1" t="s">
        <v>94</v>
      </c>
      <c r="X3835" s="1" t="s">
        <v>60847</v>
      </c>
      <c r="Y3835" s="1" t="s">
        <v>57082</v>
      </c>
      <c r="Z3835" s="1" t="s">
        <v>676</v>
      </c>
      <c r="AA3835" s="1" t="s">
        <v>60847</v>
      </c>
      <c r="AB3835" s="1" t="s">
        <v>57082</v>
      </c>
      <c r="AC3835" s="1" t="s">
        <v>676</v>
      </c>
      <c r="AD3835" s="1" t="s">
        <v>98</v>
      </c>
      <c r="AE3835" s="1" t="s">
        <v>98</v>
      </c>
      <c r="AF3835" s="1" t="s">
        <v>60848</v>
      </c>
      <c r="AG3835" s="1" t="s">
        <v>8746</v>
      </c>
      <c r="AH3835" s="1">
        <v>41791</v>
      </c>
      <c r="AI3835" s="1">
        <v>42094</v>
      </c>
      <c r="AJ3835" s="1">
        <v>68</v>
      </c>
      <c r="AK3835" s="1">
        <v>0</v>
      </c>
      <c r="AL3835" s="1" t="s">
        <v>98</v>
      </c>
      <c r="AM3835" s="1" t="s">
        <v>98</v>
      </c>
      <c r="AN3835" s="1"/>
      <c r="AO3835" s="1" t="s">
        <v>98</v>
      </c>
      <c r="AP3835" s="1" t="s">
        <v>98</v>
      </c>
      <c r="AQ3835" s="1"/>
      <c r="AR3835" s="1"/>
      <c r="AS3835" s="1" t="s">
        <v>439</v>
      </c>
      <c r="AT3835" s="1" t="s">
        <v>60849</v>
      </c>
      <c r="AU3835" s="1">
        <v>42200</v>
      </c>
      <c r="AV3835" s="1">
        <v>43245</v>
      </c>
      <c r="AW3835" s="1">
        <v>67.2</v>
      </c>
      <c r="AX3835" s="1">
        <v>7.22</v>
      </c>
      <c r="AY3835" s="1" t="s">
        <v>5241</v>
      </c>
      <c r="AZ3835" s="1" t="s">
        <v>60850</v>
      </c>
      <c r="BA3835" s="1"/>
      <c r="BB3835" s="1"/>
      <c r="BC3835" s="1">
        <v>43296</v>
      </c>
      <c r="BD3835" s="1">
        <v>44531</v>
      </c>
      <c r="BE3835" s="1">
        <v>76</v>
      </c>
      <c r="BF3835" s="1">
        <v>8.1</v>
      </c>
      <c r="BG3835" s="1"/>
      <c r="BH3835" s="1"/>
      <c r="BI3835" s="1"/>
      <c r="BJ3835" s="1"/>
      <c r="BK3835" s="1" t="s">
        <v>98</v>
      </c>
      <c r="BL3835" s="1" t="s">
        <v>98</v>
      </c>
      <c r="BM3835" s="1" t="s">
        <v>98</v>
      </c>
      <c r="BN3835" s="1" t="s">
        <v>98</v>
      </c>
      <c r="BO3835" s="1" t="s">
        <v>1114</v>
      </c>
      <c r="BP3835" s="1"/>
      <c r="BQ3835" s="1"/>
      <c r="BR3835" s="1" t="s">
        <v>60851</v>
      </c>
      <c r="BS3835" s="1">
        <v>8</v>
      </c>
      <c r="BT3835" s="1"/>
      <c r="BU3835" s="1" t="str">
        <f>HYPERLINK("https://nconnect.nicmar.ac.in/storage/profile/2021-2023_RP21010_472831.jpg","Download")</f>
        <v>0</v>
      </c>
      <c r="BV3835" s="3"/>
      <c r="BW3835" s="3"/>
    </row>
    <row r="3836" spans="1:75">
      <c r="A3836" s="1" t="s">
        <v>60691</v>
      </c>
      <c r="B3836" s="1" t="s">
        <v>51341</v>
      </c>
      <c r="C3836" s="1" t="s">
        <v>60852</v>
      </c>
      <c r="D3836" s="1" t="s">
        <v>60853</v>
      </c>
      <c r="E3836" s="1"/>
      <c r="F3836" s="1" t="s">
        <v>3910</v>
      </c>
      <c r="G3836" s="1" t="s">
        <v>60854</v>
      </c>
      <c r="H3836" s="1" t="s">
        <v>60855</v>
      </c>
      <c r="I3836" s="1" t="s">
        <v>60856</v>
      </c>
      <c r="J3836" s="1">
        <v>7656800588</v>
      </c>
      <c r="K3836" s="1" t="s">
        <v>153</v>
      </c>
      <c r="L3836" s="1" t="s">
        <v>30462</v>
      </c>
      <c r="M3836" s="1" t="s">
        <v>86</v>
      </c>
      <c r="N3836" s="1" t="s">
        <v>881</v>
      </c>
      <c r="O3836" s="1"/>
      <c r="P3836" s="1" t="s">
        <v>507</v>
      </c>
      <c r="Q3836" s="1" t="s">
        <v>60857</v>
      </c>
      <c r="R3836" s="1" t="s">
        <v>60858</v>
      </c>
      <c r="S3836" s="1">
        <v>9438669933</v>
      </c>
      <c r="T3836" s="1" t="s">
        <v>60859</v>
      </c>
      <c r="U3836" s="1" t="s">
        <v>60860</v>
      </c>
      <c r="V3836" s="1">
        <v>9438423506</v>
      </c>
      <c r="W3836" s="1" t="s">
        <v>94</v>
      </c>
      <c r="X3836" s="1" t="s">
        <v>60861</v>
      </c>
      <c r="Y3836" s="1" t="s">
        <v>1259</v>
      </c>
      <c r="Z3836" s="1" t="s">
        <v>865</v>
      </c>
      <c r="AA3836" s="1" t="s">
        <v>60861</v>
      </c>
      <c r="AB3836" s="1" t="s">
        <v>1259</v>
      </c>
      <c r="AC3836" s="1" t="s">
        <v>865</v>
      </c>
      <c r="AD3836" s="1" t="s">
        <v>98</v>
      </c>
      <c r="AE3836" s="1" t="s">
        <v>98</v>
      </c>
      <c r="AF3836" s="1" t="s">
        <v>26428</v>
      </c>
      <c r="AG3836" s="1" t="s">
        <v>312</v>
      </c>
      <c r="AH3836" s="1">
        <v>41031</v>
      </c>
      <c r="AI3836" s="1">
        <v>41424</v>
      </c>
      <c r="AJ3836" s="1">
        <v>95</v>
      </c>
      <c r="AK3836" s="1">
        <v>10</v>
      </c>
      <c r="AL3836" s="1" t="s">
        <v>26428</v>
      </c>
      <c r="AM3836" s="1" t="s">
        <v>312</v>
      </c>
      <c r="AN3836" s="1"/>
      <c r="AO3836" s="1">
        <v>41760</v>
      </c>
      <c r="AP3836" s="1">
        <v>42149</v>
      </c>
      <c r="AQ3836" s="1">
        <v>83.8</v>
      </c>
      <c r="AR3836" s="1"/>
      <c r="AS3836" s="1"/>
      <c r="AT3836" s="1"/>
      <c r="AU3836" s="1" t="s">
        <v>98</v>
      </c>
      <c r="AV3836" s="1" t="s">
        <v>98</v>
      </c>
      <c r="AW3836" s="1" t="s">
        <v>98</v>
      </c>
      <c r="AX3836" s="1" t="s">
        <v>98</v>
      </c>
      <c r="AY3836" s="1" t="s">
        <v>1264</v>
      </c>
      <c r="AZ3836" s="1" t="s">
        <v>60862</v>
      </c>
      <c r="BA3836" s="1"/>
      <c r="BB3836" s="1"/>
      <c r="BC3836" s="1">
        <v>42222</v>
      </c>
      <c r="BD3836" s="1">
        <v>44027</v>
      </c>
      <c r="BE3836" s="1">
        <v>74.3</v>
      </c>
      <c r="BF3836" s="1">
        <v>7.93</v>
      </c>
      <c r="BG3836" s="1"/>
      <c r="BH3836" s="1"/>
      <c r="BI3836" s="1"/>
      <c r="BJ3836" s="1"/>
      <c r="BK3836" s="1" t="s">
        <v>98</v>
      </c>
      <c r="BL3836" s="1" t="s">
        <v>98</v>
      </c>
      <c r="BM3836" s="1" t="s">
        <v>98</v>
      </c>
      <c r="BN3836" s="1" t="s">
        <v>98</v>
      </c>
      <c r="BO3836" s="1" t="s">
        <v>28364</v>
      </c>
      <c r="BP3836" s="1" t="s">
        <v>60863</v>
      </c>
      <c r="BQ3836" s="1" t="s">
        <v>2245</v>
      </c>
      <c r="BR3836" s="1" t="s">
        <v>60864</v>
      </c>
      <c r="BS3836" s="1">
        <v>30</v>
      </c>
      <c r="BT3836" s="1"/>
      <c r="BU3836" s="1" t="str">
        <f>HYPERLINK("https://nconnect.nicmar.ac.in/storage/profile/2021-2023_RP21011_975186.jpg","Download")</f>
        <v>0</v>
      </c>
      <c r="BV3836" s="3"/>
      <c r="BW3836" s="3"/>
    </row>
    <row r="3837" spans="1:75">
      <c r="A3837" s="1" t="s">
        <v>60691</v>
      </c>
      <c r="B3837" s="1" t="s">
        <v>51341</v>
      </c>
      <c r="C3837" s="1" t="s">
        <v>60865</v>
      </c>
      <c r="D3837" s="1" t="s">
        <v>4988</v>
      </c>
      <c r="E3837" s="1"/>
      <c r="F3837" s="1" t="s">
        <v>1320</v>
      </c>
      <c r="G3837" s="1" t="s">
        <v>60866</v>
      </c>
      <c r="H3837" s="1" t="s">
        <v>60867</v>
      </c>
      <c r="I3837" s="1" t="s">
        <v>60868</v>
      </c>
      <c r="J3837" s="1">
        <v>7021763136</v>
      </c>
      <c r="K3837" s="1" t="s">
        <v>84</v>
      </c>
      <c r="L3837" s="1" t="s">
        <v>60869</v>
      </c>
      <c r="M3837" s="1" t="s">
        <v>86</v>
      </c>
      <c r="N3837" s="1" t="s">
        <v>246</v>
      </c>
      <c r="O3837" s="1"/>
      <c r="P3837" s="1" t="s">
        <v>455</v>
      </c>
      <c r="Q3837" s="1" t="s">
        <v>60870</v>
      </c>
      <c r="R3837" s="1" t="s">
        <v>60871</v>
      </c>
      <c r="S3837" s="1">
        <v>9575304113</v>
      </c>
      <c r="T3837" s="1" t="s">
        <v>125</v>
      </c>
      <c r="U3837" s="1" t="s">
        <v>60872</v>
      </c>
      <c r="V3837" s="1">
        <v>7693044113</v>
      </c>
      <c r="W3837" s="1" t="s">
        <v>94</v>
      </c>
      <c r="X3837" s="1" t="s">
        <v>60873</v>
      </c>
      <c r="Y3837" s="1" t="s">
        <v>60874</v>
      </c>
      <c r="Z3837" s="1" t="s">
        <v>544</v>
      </c>
      <c r="AA3837" s="1" t="s">
        <v>60873</v>
      </c>
      <c r="AB3837" s="1" t="s">
        <v>60874</v>
      </c>
      <c r="AC3837" s="1" t="s">
        <v>544</v>
      </c>
      <c r="AD3837" s="1" t="s">
        <v>98</v>
      </c>
      <c r="AE3837" s="1" t="s">
        <v>98</v>
      </c>
      <c r="AF3837" s="1" t="s">
        <v>1060</v>
      </c>
      <c r="AG3837" s="1" t="s">
        <v>312</v>
      </c>
      <c r="AH3837" s="1" t="s">
        <v>60875</v>
      </c>
      <c r="AI3837" s="1" t="s">
        <v>60876</v>
      </c>
      <c r="AJ3837" s="1">
        <v>81.7</v>
      </c>
      <c r="AK3837" s="1">
        <v>8.6</v>
      </c>
      <c r="AL3837" s="1" t="s">
        <v>60877</v>
      </c>
      <c r="AM3837" s="1" t="s">
        <v>312</v>
      </c>
      <c r="AN3837" s="1"/>
      <c r="AO3837" s="1" t="s">
        <v>60878</v>
      </c>
      <c r="AP3837" s="1" t="s">
        <v>59082</v>
      </c>
      <c r="AQ3837" s="1">
        <v>69.35</v>
      </c>
      <c r="AR3837" s="1">
        <v>7.3</v>
      </c>
      <c r="AS3837" s="1"/>
      <c r="AT3837" s="1"/>
      <c r="AU3837" s="1" t="s">
        <v>98</v>
      </c>
      <c r="AV3837" s="1" t="s">
        <v>98</v>
      </c>
      <c r="AW3837" s="1" t="s">
        <v>98</v>
      </c>
      <c r="AX3837" s="1" t="s">
        <v>98</v>
      </c>
      <c r="AY3837" s="1" t="s">
        <v>258</v>
      </c>
      <c r="AZ3837" s="1" t="s">
        <v>41468</v>
      </c>
      <c r="BA3837" s="1"/>
      <c r="BB3837" s="1"/>
      <c r="BC3837" s="1" t="s">
        <v>60879</v>
      </c>
      <c r="BD3837" s="1" t="s">
        <v>60880</v>
      </c>
      <c r="BE3837" s="1">
        <v>65.17</v>
      </c>
      <c r="BF3837" s="1">
        <v>6.86</v>
      </c>
      <c r="BG3837" s="1"/>
      <c r="BH3837" s="1"/>
      <c r="BI3837" s="1"/>
      <c r="BJ3837" s="1"/>
      <c r="BK3837" s="1" t="s">
        <v>98</v>
      </c>
      <c r="BL3837" s="1" t="s">
        <v>98</v>
      </c>
      <c r="BM3837" s="1" t="s">
        <v>98</v>
      </c>
      <c r="BN3837" s="1" t="s">
        <v>98</v>
      </c>
      <c r="BO3837" s="1" t="s">
        <v>60881</v>
      </c>
      <c r="BP3837" s="1"/>
      <c r="BQ3837" s="1"/>
      <c r="BR3837" s="1" t="s">
        <v>60882</v>
      </c>
      <c r="BS3837" s="1">
        <v>63</v>
      </c>
      <c r="BT3837" s="1"/>
      <c r="BU3837" s="1" t="str">
        <f>HYPERLINK("https://nconnect.nicmar.ac.in/storage/profile/2021-2023_RP21012_693528.jpg","Download")</f>
        <v>0</v>
      </c>
      <c r="BV3837" s="3"/>
      <c r="BW3837" s="3"/>
    </row>
    <row r="3838" spans="1:75">
      <c r="A3838" s="1" t="s">
        <v>60691</v>
      </c>
      <c r="B3838" s="1" t="s">
        <v>51341</v>
      </c>
      <c r="C3838" s="1" t="s">
        <v>60883</v>
      </c>
      <c r="D3838" s="1" t="s">
        <v>60884</v>
      </c>
      <c r="E3838" s="1" t="s">
        <v>60885</v>
      </c>
      <c r="F3838" s="1" t="s">
        <v>58376</v>
      </c>
      <c r="G3838" s="1" t="s">
        <v>60886</v>
      </c>
      <c r="H3838" s="1" t="s">
        <v>60887</v>
      </c>
      <c r="I3838" s="1" t="s">
        <v>60888</v>
      </c>
      <c r="J3838" s="1">
        <v>9454578786</v>
      </c>
      <c r="K3838" s="1" t="s">
        <v>84</v>
      </c>
      <c r="L3838" s="1" t="s">
        <v>60889</v>
      </c>
      <c r="M3838" s="1" t="s">
        <v>86</v>
      </c>
      <c r="N3838" s="1" t="s">
        <v>60890</v>
      </c>
      <c r="O3838" s="1"/>
      <c r="P3838" s="1" t="s">
        <v>1028</v>
      </c>
      <c r="Q3838" s="1" t="s">
        <v>60891</v>
      </c>
      <c r="R3838" s="1" t="s">
        <v>60892</v>
      </c>
      <c r="S3838" s="1">
        <v>9415036615</v>
      </c>
      <c r="T3838" s="1" t="s">
        <v>839</v>
      </c>
      <c r="U3838" s="1" t="s">
        <v>60893</v>
      </c>
      <c r="V3838" s="1">
        <v>7905082298</v>
      </c>
      <c r="W3838" s="1" t="s">
        <v>94</v>
      </c>
      <c r="X3838" s="1" t="s">
        <v>60894</v>
      </c>
      <c r="Y3838" s="1" t="s">
        <v>20892</v>
      </c>
      <c r="Z3838" s="1" t="s">
        <v>544</v>
      </c>
      <c r="AA3838" s="1" t="s">
        <v>60894</v>
      </c>
      <c r="AB3838" s="1" t="s">
        <v>20892</v>
      </c>
      <c r="AC3838" s="1" t="s">
        <v>544</v>
      </c>
      <c r="AD3838" s="1" t="s">
        <v>98</v>
      </c>
      <c r="AE3838" s="1" t="s">
        <v>98</v>
      </c>
      <c r="AF3838" s="1" t="s">
        <v>60895</v>
      </c>
      <c r="AG3838" s="1" t="s">
        <v>60896</v>
      </c>
      <c r="AH3838" s="1" t="s">
        <v>56513</v>
      </c>
      <c r="AI3838" s="1" t="s">
        <v>60533</v>
      </c>
      <c r="AJ3838" s="1">
        <v>81</v>
      </c>
      <c r="AK3838" s="1"/>
      <c r="AL3838" s="1" t="s">
        <v>60895</v>
      </c>
      <c r="AM3838" s="1" t="s">
        <v>60897</v>
      </c>
      <c r="AN3838" s="1"/>
      <c r="AO3838" s="1" t="s">
        <v>55990</v>
      </c>
      <c r="AP3838" s="1" t="s">
        <v>59084</v>
      </c>
      <c r="AQ3838" s="1">
        <v>78.6</v>
      </c>
      <c r="AR3838" s="1"/>
      <c r="AS3838" s="1"/>
      <c r="AT3838" s="1"/>
      <c r="AU3838" s="1"/>
      <c r="AV3838" s="1"/>
      <c r="AW3838" s="1"/>
      <c r="AX3838" s="1"/>
      <c r="AY3838" s="1" t="s">
        <v>9026</v>
      </c>
      <c r="AZ3838" s="1" t="s">
        <v>60898</v>
      </c>
      <c r="BA3838" s="1"/>
      <c r="BB3838" s="1"/>
      <c r="BC3838" s="1" t="s">
        <v>60899</v>
      </c>
      <c r="BD3838" s="1" t="s">
        <v>60900</v>
      </c>
      <c r="BE3838" s="1">
        <v>75.85</v>
      </c>
      <c r="BF3838" s="1">
        <v>6.73</v>
      </c>
      <c r="BG3838" s="1"/>
      <c r="BH3838" s="1"/>
      <c r="BI3838" s="1"/>
      <c r="BJ3838" s="1"/>
      <c r="BK3838" s="1"/>
      <c r="BL3838" s="1"/>
      <c r="BM3838" s="1"/>
      <c r="BN3838" s="1"/>
      <c r="BO3838" s="1" t="s">
        <v>47504</v>
      </c>
      <c r="BP3838" s="1"/>
      <c r="BQ3838" s="1"/>
      <c r="BR3838" s="1" t="s">
        <v>60901</v>
      </c>
      <c r="BS3838" s="1">
        <v>19</v>
      </c>
      <c r="BT3838" s="1"/>
      <c r="BU3838" s="1" t="s">
        <v>9653</v>
      </c>
      <c r="BV3838" s="3"/>
      <c r="BW3838" s="3"/>
    </row>
    <row r="3839" spans="1:75">
      <c r="A3839" s="1" t="s">
        <v>60691</v>
      </c>
      <c r="B3839" s="1" t="s">
        <v>51341</v>
      </c>
      <c r="C3839" s="1" t="s">
        <v>60902</v>
      </c>
      <c r="D3839" s="1" t="s">
        <v>6726</v>
      </c>
      <c r="E3839" s="1"/>
      <c r="F3839" s="1" t="s">
        <v>60903</v>
      </c>
      <c r="G3839" s="1" t="s">
        <v>60904</v>
      </c>
      <c r="H3839" s="1" t="s">
        <v>60905</v>
      </c>
      <c r="I3839" s="1" t="s">
        <v>60906</v>
      </c>
      <c r="J3839" s="1">
        <v>7354128598</v>
      </c>
      <c r="K3839" s="1" t="s">
        <v>153</v>
      </c>
      <c r="L3839" s="1" t="s">
        <v>28086</v>
      </c>
      <c r="M3839" s="1" t="s">
        <v>86</v>
      </c>
      <c r="N3839" s="1" t="s">
        <v>59363</v>
      </c>
      <c r="O3839" s="1"/>
      <c r="P3839" s="1" t="s">
        <v>507</v>
      </c>
      <c r="Q3839" s="1" t="s">
        <v>60907</v>
      </c>
      <c r="R3839" s="1" t="s">
        <v>60908</v>
      </c>
      <c r="S3839" s="1">
        <v>9826708800</v>
      </c>
      <c r="T3839" s="1" t="s">
        <v>1620</v>
      </c>
      <c r="U3839" s="1" t="s">
        <v>60909</v>
      </c>
      <c r="V3839" s="1">
        <v>9977956781</v>
      </c>
      <c r="W3839" s="1" t="s">
        <v>94</v>
      </c>
      <c r="X3839" s="1" t="s">
        <v>60910</v>
      </c>
      <c r="Y3839" s="1" t="s">
        <v>5641</v>
      </c>
      <c r="Z3839" s="1" t="s">
        <v>3419</v>
      </c>
      <c r="AA3839" s="1" t="s">
        <v>98</v>
      </c>
      <c r="AB3839" s="1" t="s">
        <v>5641</v>
      </c>
      <c r="AC3839" s="1" t="s">
        <v>3419</v>
      </c>
      <c r="AD3839" s="1" t="s">
        <v>98</v>
      </c>
      <c r="AE3839" s="1" t="s">
        <v>98</v>
      </c>
      <c r="AF3839" s="1" t="s">
        <v>59894</v>
      </c>
      <c r="AG3839" s="1" t="s">
        <v>312</v>
      </c>
      <c r="AH3839" s="1">
        <v>41730</v>
      </c>
      <c r="AI3839" s="1">
        <v>42152</v>
      </c>
      <c r="AJ3839" s="1">
        <v>95</v>
      </c>
      <c r="AK3839" s="1">
        <v>10</v>
      </c>
      <c r="AL3839" s="1" t="s">
        <v>59894</v>
      </c>
      <c r="AM3839" s="1" t="s">
        <v>312</v>
      </c>
      <c r="AN3839" s="1"/>
      <c r="AO3839" s="1">
        <v>42436</v>
      </c>
      <c r="AP3839" s="1">
        <v>42883</v>
      </c>
      <c r="AQ3839" s="1">
        <v>86.4</v>
      </c>
      <c r="AR3839" s="1"/>
      <c r="AS3839" s="1"/>
      <c r="AT3839" s="1"/>
      <c r="AU3839" s="1" t="s">
        <v>98</v>
      </c>
      <c r="AV3839" s="1" t="s">
        <v>98</v>
      </c>
      <c r="AW3839" s="1" t="s">
        <v>98</v>
      </c>
      <c r="AX3839" s="1" t="s">
        <v>98</v>
      </c>
      <c r="AY3839" s="1" t="s">
        <v>550</v>
      </c>
      <c r="AZ3839" s="1" t="s">
        <v>550</v>
      </c>
      <c r="BA3839" s="1"/>
      <c r="BB3839" s="1"/>
      <c r="BC3839" s="1">
        <v>42921</v>
      </c>
      <c r="BD3839" s="1">
        <v>44390</v>
      </c>
      <c r="BE3839" s="1">
        <v>83.22</v>
      </c>
      <c r="BF3839" s="1">
        <v>8.78</v>
      </c>
      <c r="BG3839" s="1"/>
      <c r="BH3839" s="1"/>
      <c r="BI3839" s="1"/>
      <c r="BJ3839" s="1"/>
      <c r="BK3839" s="1" t="s">
        <v>98</v>
      </c>
      <c r="BL3839" s="1" t="s">
        <v>98</v>
      </c>
      <c r="BM3839" s="1" t="s">
        <v>98</v>
      </c>
      <c r="BN3839" s="1" t="s">
        <v>98</v>
      </c>
      <c r="BO3839" s="1" t="s">
        <v>28364</v>
      </c>
      <c r="BP3839" s="1"/>
      <c r="BQ3839" s="1"/>
      <c r="BR3839" s="1" t="s">
        <v>60911</v>
      </c>
      <c r="BS3839" s="1">
        <v>29</v>
      </c>
      <c r="BT3839" s="1"/>
      <c r="BU3839" s="1" t="str">
        <f>HYPERLINK("https://nconnect.nicmar.ac.in/storage/profile/2021-2023_RP21014_534682.jpg","Download")</f>
        <v>0</v>
      </c>
      <c r="BV3839" s="3"/>
      <c r="BW3839" s="3"/>
    </row>
    <row r="3840" spans="1:75">
      <c r="A3840" s="1" t="s">
        <v>60691</v>
      </c>
      <c r="B3840" s="1" t="s">
        <v>51341</v>
      </c>
      <c r="C3840" s="1" t="s">
        <v>60912</v>
      </c>
      <c r="D3840" s="1" t="s">
        <v>60913</v>
      </c>
      <c r="E3840" s="1" t="s">
        <v>5365</v>
      </c>
      <c r="F3840" s="1" t="s">
        <v>2273</v>
      </c>
      <c r="G3840" s="1" t="s">
        <v>60914</v>
      </c>
      <c r="H3840" s="1" t="s">
        <v>60915</v>
      </c>
      <c r="I3840" s="1" t="s">
        <v>60916</v>
      </c>
      <c r="J3840" s="1">
        <v>9823196688</v>
      </c>
      <c r="K3840" s="1" t="s">
        <v>153</v>
      </c>
      <c r="L3840" s="1" t="s">
        <v>30397</v>
      </c>
      <c r="M3840" s="1" t="s">
        <v>86</v>
      </c>
      <c r="N3840" s="1" t="s">
        <v>1163</v>
      </c>
      <c r="O3840" s="1"/>
      <c r="P3840" s="1" t="s">
        <v>507</v>
      </c>
      <c r="Q3840" s="1" t="s">
        <v>60917</v>
      </c>
      <c r="R3840" s="1" t="s">
        <v>60918</v>
      </c>
      <c r="S3840" s="1">
        <v>9766532077</v>
      </c>
      <c r="T3840" s="1" t="s">
        <v>60919</v>
      </c>
      <c r="U3840" s="1" t="s">
        <v>60920</v>
      </c>
      <c r="V3840" s="1">
        <v>9922086666</v>
      </c>
      <c r="W3840" s="1" t="s">
        <v>94</v>
      </c>
      <c r="X3840" s="1" t="s">
        <v>60921</v>
      </c>
      <c r="Y3840" s="1" t="s">
        <v>1989</v>
      </c>
      <c r="Z3840" s="1" t="s">
        <v>97</v>
      </c>
      <c r="AA3840" s="1" t="s">
        <v>60922</v>
      </c>
      <c r="AB3840" s="1" t="s">
        <v>1989</v>
      </c>
      <c r="AC3840" s="1" t="s">
        <v>97</v>
      </c>
      <c r="AD3840" s="1" t="s">
        <v>98</v>
      </c>
      <c r="AE3840" s="1" t="s">
        <v>98</v>
      </c>
      <c r="AF3840" s="1" t="s">
        <v>60923</v>
      </c>
      <c r="AG3840" s="1" t="s">
        <v>2745</v>
      </c>
      <c r="AH3840" s="1">
        <v>41072</v>
      </c>
      <c r="AI3840" s="1">
        <v>41425</v>
      </c>
      <c r="AJ3840" s="1">
        <v>78.91</v>
      </c>
      <c r="AK3840" s="1"/>
      <c r="AL3840" s="1" t="s">
        <v>60924</v>
      </c>
      <c r="AM3840" s="1" t="s">
        <v>2745</v>
      </c>
      <c r="AN3840" s="1"/>
      <c r="AO3840" s="1">
        <v>41829</v>
      </c>
      <c r="AP3840" s="1">
        <v>42160</v>
      </c>
      <c r="AQ3840" s="1">
        <v>66.62</v>
      </c>
      <c r="AR3840" s="1"/>
      <c r="AS3840" s="1"/>
      <c r="AT3840" s="1"/>
      <c r="AU3840" s="1" t="s">
        <v>98</v>
      </c>
      <c r="AV3840" s="1" t="s">
        <v>98</v>
      </c>
      <c r="AW3840" s="1" t="s">
        <v>98</v>
      </c>
      <c r="AX3840" s="1" t="s">
        <v>98</v>
      </c>
      <c r="AY3840" s="1" t="s">
        <v>3713</v>
      </c>
      <c r="AZ3840" s="1" t="s">
        <v>13726</v>
      </c>
      <c r="BA3840" s="1"/>
      <c r="BB3840" s="1"/>
      <c r="BC3840" s="1">
        <v>42191</v>
      </c>
      <c r="BD3840" s="1">
        <v>44145</v>
      </c>
      <c r="BE3840" s="1">
        <v>78.15</v>
      </c>
      <c r="BF3840" s="1"/>
      <c r="BG3840" s="1"/>
      <c r="BH3840" s="1"/>
      <c r="BI3840" s="1"/>
      <c r="BJ3840" s="1"/>
      <c r="BK3840" s="1" t="s">
        <v>98</v>
      </c>
      <c r="BL3840" s="1" t="s">
        <v>98</v>
      </c>
      <c r="BM3840" s="1" t="s">
        <v>98</v>
      </c>
      <c r="BN3840" s="1" t="s">
        <v>98</v>
      </c>
      <c r="BO3840" s="1" t="s">
        <v>60925</v>
      </c>
      <c r="BP3840" s="1" t="s">
        <v>60926</v>
      </c>
      <c r="BQ3840" s="1" t="s">
        <v>1043</v>
      </c>
      <c r="BR3840" s="1" t="s">
        <v>60927</v>
      </c>
      <c r="BS3840" s="1">
        <v>47</v>
      </c>
      <c r="BT3840" s="1"/>
      <c r="BU3840" s="1" t="str">
        <f>HYPERLINK("https://nconnect.nicmar.ac.in/storage/profile/2021-2023_RP21015_854623.JPG","Download")</f>
        <v>0</v>
      </c>
      <c r="BV3840" s="3"/>
      <c r="BW3840" s="3"/>
    </row>
    <row r="3841" spans="1:75">
      <c r="A3841" s="1" t="s">
        <v>60691</v>
      </c>
      <c r="B3841" s="1" t="s">
        <v>51341</v>
      </c>
      <c r="C3841" s="1" t="s">
        <v>60928</v>
      </c>
      <c r="D3841" s="1" t="s">
        <v>60929</v>
      </c>
      <c r="E3841" s="1"/>
      <c r="F3841" s="1" t="s">
        <v>7814</v>
      </c>
      <c r="G3841" s="1" t="s">
        <v>60930</v>
      </c>
      <c r="H3841" s="1" t="s">
        <v>60931</v>
      </c>
      <c r="I3841" s="1" t="s">
        <v>60932</v>
      </c>
      <c r="J3841" s="1">
        <v>9675757596</v>
      </c>
      <c r="K3841" s="1" t="s">
        <v>153</v>
      </c>
      <c r="L3841" s="1" t="s">
        <v>60933</v>
      </c>
      <c r="M3841" s="1" t="s">
        <v>86</v>
      </c>
      <c r="N3841" s="1" t="s">
        <v>246</v>
      </c>
      <c r="O3841" s="1"/>
      <c r="P3841" s="1" t="s">
        <v>507</v>
      </c>
      <c r="Q3841" s="1" t="s">
        <v>60934</v>
      </c>
      <c r="R3841" s="1" t="s">
        <v>60935</v>
      </c>
      <c r="S3841" s="1">
        <v>9557733001</v>
      </c>
      <c r="T3841" s="1" t="s">
        <v>926</v>
      </c>
      <c r="U3841" s="1" t="s">
        <v>60936</v>
      </c>
      <c r="V3841" s="1">
        <v>9557733337</v>
      </c>
      <c r="W3841" s="1" t="s">
        <v>60937</v>
      </c>
      <c r="X3841" s="1" t="s">
        <v>60938</v>
      </c>
      <c r="Y3841" s="1" t="s">
        <v>31778</v>
      </c>
      <c r="Z3841" s="1" t="s">
        <v>544</v>
      </c>
      <c r="AA3841" s="1" t="s">
        <v>60938</v>
      </c>
      <c r="AB3841" s="1" t="s">
        <v>31778</v>
      </c>
      <c r="AC3841" s="1" t="s">
        <v>544</v>
      </c>
      <c r="AD3841" s="1" t="s">
        <v>98</v>
      </c>
      <c r="AE3841" s="1" t="s">
        <v>98</v>
      </c>
      <c r="AF3841" s="1" t="s">
        <v>1060</v>
      </c>
      <c r="AG3841" s="1" t="s">
        <v>312</v>
      </c>
      <c r="AH3841" s="1">
        <v>41001</v>
      </c>
      <c r="AI3841" s="1">
        <v>41399</v>
      </c>
      <c r="AJ3841" s="1">
        <v>79.8</v>
      </c>
      <c r="AK3841" s="1">
        <v>8.4</v>
      </c>
      <c r="AL3841" s="1" t="s">
        <v>1060</v>
      </c>
      <c r="AM3841" s="1" t="s">
        <v>312</v>
      </c>
      <c r="AN3841" s="1"/>
      <c r="AO3841" s="1">
        <v>41715</v>
      </c>
      <c r="AP3841" s="1">
        <v>42149</v>
      </c>
      <c r="AQ3841" s="1">
        <v>76.6</v>
      </c>
      <c r="AR3841" s="1"/>
      <c r="AS3841" s="1"/>
      <c r="AT3841" s="1"/>
      <c r="AU3841" s="1" t="s">
        <v>98</v>
      </c>
      <c r="AV3841" s="1" t="s">
        <v>98</v>
      </c>
      <c r="AW3841" s="1" t="s">
        <v>98</v>
      </c>
      <c r="AX3841" s="1" t="s">
        <v>98</v>
      </c>
      <c r="AY3841" s="1" t="s">
        <v>7455</v>
      </c>
      <c r="AZ3841" s="1" t="s">
        <v>60581</v>
      </c>
      <c r="BA3841" s="1"/>
      <c r="BB3841" s="1"/>
      <c r="BC3841" s="1">
        <v>42219</v>
      </c>
      <c r="BD3841" s="1">
        <v>44159</v>
      </c>
      <c r="BE3841" s="1">
        <v>62.03</v>
      </c>
      <c r="BF3841" s="1">
        <v>6.53</v>
      </c>
      <c r="BG3841" s="1"/>
      <c r="BH3841" s="1"/>
      <c r="BI3841" s="1"/>
      <c r="BJ3841" s="1"/>
      <c r="BK3841" s="1" t="s">
        <v>98</v>
      </c>
      <c r="BL3841" s="1" t="s">
        <v>98</v>
      </c>
      <c r="BM3841" s="1" t="s">
        <v>98</v>
      </c>
      <c r="BN3841" s="1" t="s">
        <v>98</v>
      </c>
      <c r="BO3841" s="1" t="s">
        <v>60939</v>
      </c>
      <c r="BP3841" s="1" t="s">
        <v>60940</v>
      </c>
      <c r="BQ3841" s="1" t="s">
        <v>1174</v>
      </c>
      <c r="BR3841" s="1" t="s">
        <v>60941</v>
      </c>
      <c r="BS3841" s="1">
        <v>31</v>
      </c>
      <c r="BT3841" s="1"/>
      <c r="BU3841" s="1" t="str">
        <f>HYPERLINK("https://nconnect.nicmar.ac.in/storage/profile/2021-2023_RP21016_628739.jpg","Download")</f>
        <v>0</v>
      </c>
      <c r="BV3841" s="3"/>
      <c r="BW3841" s="3"/>
    </row>
    <row r="3842" spans="1:75">
      <c r="A3842" s="1" t="s">
        <v>60691</v>
      </c>
      <c r="B3842" s="1" t="s">
        <v>51341</v>
      </c>
      <c r="C3842" s="1" t="s">
        <v>60942</v>
      </c>
      <c r="D3842" s="1" t="s">
        <v>1444</v>
      </c>
      <c r="E3842" s="1"/>
      <c r="F3842" s="1" t="s">
        <v>116</v>
      </c>
      <c r="G3842" s="1" t="s">
        <v>60943</v>
      </c>
      <c r="H3842" s="1" t="s">
        <v>60944</v>
      </c>
      <c r="I3842" s="1" t="s">
        <v>60944</v>
      </c>
      <c r="J3842" s="1"/>
      <c r="K3842" s="1" t="s">
        <v>84</v>
      </c>
      <c r="L3842" s="1" t="s">
        <v>54664</v>
      </c>
      <c r="M3842" s="1" t="s">
        <v>86</v>
      </c>
      <c r="N3842" s="1" t="s">
        <v>12624</v>
      </c>
      <c r="O3842" s="1"/>
      <c r="P3842" s="1" t="s">
        <v>507</v>
      </c>
      <c r="Q3842" s="1" t="s">
        <v>60945</v>
      </c>
      <c r="R3842" s="1" t="s">
        <v>60946</v>
      </c>
      <c r="S3842" s="1">
        <v>9842177270</v>
      </c>
      <c r="T3842" s="1" t="s">
        <v>839</v>
      </c>
      <c r="U3842" s="1" t="s">
        <v>60947</v>
      </c>
      <c r="V3842" s="1">
        <v>9940839039</v>
      </c>
      <c r="W3842" s="1" t="s">
        <v>94</v>
      </c>
      <c r="X3842" s="1" t="s">
        <v>60948</v>
      </c>
      <c r="Y3842" s="1" t="s">
        <v>60752</v>
      </c>
      <c r="Z3842" s="1" t="s">
        <v>570</v>
      </c>
      <c r="AA3842" s="1" t="s">
        <v>60948</v>
      </c>
      <c r="AB3842" s="1" t="s">
        <v>60752</v>
      </c>
      <c r="AC3842" s="1" t="s">
        <v>570</v>
      </c>
      <c r="AD3842" s="1" t="s">
        <v>98</v>
      </c>
      <c r="AE3842" s="1" t="s">
        <v>98</v>
      </c>
      <c r="AF3842" s="1" t="s">
        <v>60949</v>
      </c>
      <c r="AG3842" s="1" t="s">
        <v>60950</v>
      </c>
      <c r="AH3842" s="1" t="s">
        <v>55060</v>
      </c>
      <c r="AI3842" s="1" t="s">
        <v>60951</v>
      </c>
      <c r="AJ3842" s="1">
        <v>77.4</v>
      </c>
      <c r="AK3842" s="1"/>
      <c r="AL3842" s="1" t="s">
        <v>60952</v>
      </c>
      <c r="AM3842" s="1" t="s">
        <v>60953</v>
      </c>
      <c r="AN3842" s="1"/>
      <c r="AO3842" s="1" t="s">
        <v>60954</v>
      </c>
      <c r="AP3842" s="1" t="s">
        <v>60955</v>
      </c>
      <c r="AQ3842" s="1">
        <v>64.5</v>
      </c>
      <c r="AR3842" s="1"/>
      <c r="AS3842" s="1"/>
      <c r="AT3842" s="1"/>
      <c r="AU3842" s="1"/>
      <c r="AV3842" s="1"/>
      <c r="AW3842" s="1"/>
      <c r="AX3842" s="1"/>
      <c r="AY3842" s="1" t="s">
        <v>576</v>
      </c>
      <c r="AZ3842" s="1" t="s">
        <v>60956</v>
      </c>
      <c r="BA3842" s="1"/>
      <c r="BB3842" s="1"/>
      <c r="BC3842" s="1" t="s">
        <v>59963</v>
      </c>
      <c r="BD3842" s="1" t="s">
        <v>60957</v>
      </c>
      <c r="BE3842" s="1">
        <v>64.7</v>
      </c>
      <c r="BF3842" s="1">
        <v>6.47</v>
      </c>
      <c r="BG3842" s="1"/>
      <c r="BH3842" s="1"/>
      <c r="BI3842" s="1"/>
      <c r="BJ3842" s="1"/>
      <c r="BK3842" s="1"/>
      <c r="BL3842" s="1"/>
      <c r="BM3842" s="1"/>
      <c r="BN3842" s="1"/>
      <c r="BO3842" s="1" t="s">
        <v>28364</v>
      </c>
      <c r="BP3842" s="1" t="s">
        <v>60958</v>
      </c>
      <c r="BQ3842" s="1" t="s">
        <v>2245</v>
      </c>
      <c r="BR3842" s="1" t="s">
        <v>60959</v>
      </c>
      <c r="BS3842" s="1">
        <v>30</v>
      </c>
      <c r="BT3842" s="1"/>
      <c r="BU3842" s="1" t="str">
        <f>HYPERLINK("https://nconnect.nicmar.ac.in/storage/profile/2021-2023_RP21017_412963.jpg","Download")</f>
        <v>0</v>
      </c>
      <c r="BV3842" s="3"/>
      <c r="BW3842" s="3"/>
    </row>
    <row r="3843" spans="1:75">
      <c r="A3843" s="1" t="s">
        <v>60691</v>
      </c>
      <c r="B3843" s="1" t="s">
        <v>51341</v>
      </c>
      <c r="C3843" s="1" t="s">
        <v>60960</v>
      </c>
      <c r="D3843" s="1" t="s">
        <v>5118</v>
      </c>
      <c r="E3843" s="1" t="s">
        <v>8790</v>
      </c>
      <c r="F3843" s="1" t="s">
        <v>60961</v>
      </c>
      <c r="G3843" s="1" t="s">
        <v>60962</v>
      </c>
      <c r="H3843" s="1" t="s">
        <v>60963</v>
      </c>
      <c r="I3843" s="1" t="s">
        <v>60964</v>
      </c>
      <c r="J3843" s="1">
        <v>9833955210</v>
      </c>
      <c r="K3843" s="1" t="s">
        <v>153</v>
      </c>
      <c r="L3843" s="1" t="s">
        <v>25805</v>
      </c>
      <c r="M3843" s="1" t="s">
        <v>86</v>
      </c>
      <c r="N3843" s="1" t="s">
        <v>1163</v>
      </c>
      <c r="O3843" s="1"/>
      <c r="P3843" s="1" t="s">
        <v>670</v>
      </c>
      <c r="Q3843" s="1" t="s">
        <v>60965</v>
      </c>
      <c r="R3843" s="1" t="s">
        <v>60966</v>
      </c>
      <c r="S3843" s="1">
        <v>9869574367</v>
      </c>
      <c r="T3843" s="1" t="s">
        <v>926</v>
      </c>
      <c r="U3843" s="1" t="s">
        <v>60967</v>
      </c>
      <c r="V3843" s="1">
        <v>9833686210</v>
      </c>
      <c r="W3843" s="1" t="s">
        <v>94</v>
      </c>
      <c r="X3843" s="1" t="s">
        <v>60968</v>
      </c>
      <c r="Y3843" s="1" t="s">
        <v>14079</v>
      </c>
      <c r="Z3843" s="1" t="s">
        <v>97</v>
      </c>
      <c r="AA3843" s="1" t="s">
        <v>60968</v>
      </c>
      <c r="AB3843" s="1" t="s">
        <v>14079</v>
      </c>
      <c r="AC3843" s="1" t="s">
        <v>97</v>
      </c>
      <c r="AD3843" s="1" t="s">
        <v>98</v>
      </c>
      <c r="AE3843" s="1" t="s">
        <v>98</v>
      </c>
      <c r="AF3843" s="1" t="s">
        <v>57631</v>
      </c>
      <c r="AG3843" s="1" t="s">
        <v>1968</v>
      </c>
      <c r="AH3843" s="1">
        <v>41061</v>
      </c>
      <c r="AI3843" s="1">
        <v>41432</v>
      </c>
      <c r="AJ3843" s="1">
        <v>87.09</v>
      </c>
      <c r="AK3843" s="1"/>
      <c r="AL3843" s="1" t="s">
        <v>60969</v>
      </c>
      <c r="AM3843" s="1" t="s">
        <v>1968</v>
      </c>
      <c r="AN3843" s="1"/>
      <c r="AO3843" s="1">
        <v>41791</v>
      </c>
      <c r="AP3843" s="1">
        <v>42036</v>
      </c>
      <c r="AQ3843" s="1">
        <v>72.15</v>
      </c>
      <c r="AR3843" s="1"/>
      <c r="AS3843" s="1"/>
      <c r="AT3843" s="1"/>
      <c r="AU3843" s="1" t="s">
        <v>98</v>
      </c>
      <c r="AV3843" s="1" t="s">
        <v>98</v>
      </c>
      <c r="AW3843" s="1" t="s">
        <v>98</v>
      </c>
      <c r="AX3843" s="1" t="s">
        <v>98</v>
      </c>
      <c r="AY3843" s="1" t="s">
        <v>60970</v>
      </c>
      <c r="AZ3843" s="1" t="s">
        <v>12876</v>
      </c>
      <c r="BA3843" s="1"/>
      <c r="BB3843" s="1"/>
      <c r="BC3843" s="1">
        <v>42217</v>
      </c>
      <c r="BD3843" s="1">
        <v>43952</v>
      </c>
      <c r="BE3843" s="1">
        <v>70.9</v>
      </c>
      <c r="BF3843" s="1">
        <v>0</v>
      </c>
      <c r="BG3843" s="1"/>
      <c r="BH3843" s="1"/>
      <c r="BI3843" s="1"/>
      <c r="BJ3843" s="1"/>
      <c r="BK3843" s="1" t="s">
        <v>98</v>
      </c>
      <c r="BL3843" s="1" t="s">
        <v>98</v>
      </c>
      <c r="BM3843" s="1" t="s">
        <v>98</v>
      </c>
      <c r="BN3843" s="1" t="s">
        <v>98</v>
      </c>
      <c r="BO3843" s="1" t="s">
        <v>60971</v>
      </c>
      <c r="BP3843" s="1" t="s">
        <v>60972</v>
      </c>
      <c r="BQ3843" s="1" t="s">
        <v>292</v>
      </c>
      <c r="BR3843" s="1" t="s">
        <v>60973</v>
      </c>
      <c r="BS3843" s="1">
        <v>41</v>
      </c>
      <c r="BT3843" s="1"/>
      <c r="BU3843" s="1" t="str">
        <f>HYPERLINK("https://nconnect.nicmar.ac.in/storage/profile/2021-2023_RP21018_453768.jpg","Download")</f>
        <v>0</v>
      </c>
      <c r="BV3843" s="3"/>
      <c r="BW3843" s="3"/>
    </row>
    <row r="3844" spans="1:75">
      <c r="A3844" s="1" t="s">
        <v>60691</v>
      </c>
      <c r="B3844" s="1" t="s">
        <v>51341</v>
      </c>
      <c r="C3844" s="1" t="s">
        <v>60974</v>
      </c>
      <c r="D3844" s="1" t="s">
        <v>60975</v>
      </c>
      <c r="E3844" s="1" t="s">
        <v>149</v>
      </c>
      <c r="F3844" s="1" t="s">
        <v>60976</v>
      </c>
      <c r="G3844" s="1" t="s">
        <v>60977</v>
      </c>
      <c r="H3844" s="1" t="s">
        <v>60978</v>
      </c>
      <c r="I3844" s="1" t="s">
        <v>60979</v>
      </c>
      <c r="J3844" s="1">
        <v>7030777468</v>
      </c>
      <c r="K3844" s="1" t="s">
        <v>153</v>
      </c>
      <c r="L3844" s="1" t="s">
        <v>60980</v>
      </c>
      <c r="M3844" s="1" t="s">
        <v>86</v>
      </c>
      <c r="N3844" s="1" t="s">
        <v>1163</v>
      </c>
      <c r="O3844" s="1"/>
      <c r="P3844" s="1" t="s">
        <v>455</v>
      </c>
      <c r="Q3844" s="1" t="s">
        <v>60981</v>
      </c>
      <c r="R3844" s="1" t="s">
        <v>60982</v>
      </c>
      <c r="S3844" s="1">
        <v>9921671750</v>
      </c>
      <c r="T3844" s="1" t="s">
        <v>5027</v>
      </c>
      <c r="U3844" s="1" t="s">
        <v>60983</v>
      </c>
      <c r="V3844" s="1">
        <v>9850195098</v>
      </c>
      <c r="W3844" s="1" t="s">
        <v>94</v>
      </c>
      <c r="X3844" s="1" t="s">
        <v>60984</v>
      </c>
      <c r="Y3844" s="1" t="s">
        <v>96</v>
      </c>
      <c r="Z3844" s="1" t="s">
        <v>97</v>
      </c>
      <c r="AA3844" s="1" t="s">
        <v>98</v>
      </c>
      <c r="AB3844" s="1" t="s">
        <v>96</v>
      </c>
      <c r="AC3844" s="1" t="s">
        <v>97</v>
      </c>
      <c r="AD3844" s="1" t="s">
        <v>98</v>
      </c>
      <c r="AE3844" s="1" t="s">
        <v>98</v>
      </c>
      <c r="AF3844" s="1" t="s">
        <v>60985</v>
      </c>
      <c r="AG3844" s="1" t="s">
        <v>1968</v>
      </c>
      <c r="AH3844" s="1">
        <v>40695</v>
      </c>
      <c r="AI3844" s="1">
        <v>40969</v>
      </c>
      <c r="AJ3844" s="1">
        <v>92.18</v>
      </c>
      <c r="AK3844" s="1"/>
      <c r="AL3844" s="1" t="s">
        <v>7969</v>
      </c>
      <c r="AM3844" s="1" t="s">
        <v>1968</v>
      </c>
      <c r="AN3844" s="1"/>
      <c r="AO3844" s="1">
        <v>41426</v>
      </c>
      <c r="AP3844" s="1">
        <v>41760</v>
      </c>
      <c r="AQ3844" s="1">
        <v>73.08</v>
      </c>
      <c r="AR3844" s="1"/>
      <c r="AS3844" s="1"/>
      <c r="AT3844" s="1"/>
      <c r="AU3844" s="1" t="s">
        <v>98</v>
      </c>
      <c r="AV3844" s="1" t="s">
        <v>98</v>
      </c>
      <c r="AW3844" s="1" t="s">
        <v>98</v>
      </c>
      <c r="AX3844" s="1" t="s">
        <v>98</v>
      </c>
      <c r="AY3844" s="1" t="s">
        <v>4270</v>
      </c>
      <c r="AZ3844" s="1" t="s">
        <v>39307</v>
      </c>
      <c r="BA3844" s="1"/>
      <c r="BB3844" s="1"/>
      <c r="BC3844" s="1">
        <v>41852</v>
      </c>
      <c r="BD3844" s="1">
        <v>43678</v>
      </c>
      <c r="BE3844" s="1">
        <v>69.15</v>
      </c>
      <c r="BF3844" s="1"/>
      <c r="BG3844" s="1"/>
      <c r="BH3844" s="1"/>
      <c r="BI3844" s="1"/>
      <c r="BJ3844" s="1"/>
      <c r="BK3844" s="1" t="s">
        <v>98</v>
      </c>
      <c r="BL3844" s="1" t="s">
        <v>98</v>
      </c>
      <c r="BM3844" s="1" t="s">
        <v>98</v>
      </c>
      <c r="BN3844" s="1" t="s">
        <v>98</v>
      </c>
      <c r="BO3844" s="1" t="s">
        <v>60986</v>
      </c>
      <c r="BP3844" s="1" t="s">
        <v>60987</v>
      </c>
      <c r="BQ3844" s="1" t="s">
        <v>1070</v>
      </c>
      <c r="BR3844" s="1" t="s">
        <v>60988</v>
      </c>
      <c r="BS3844" s="1">
        <v>52</v>
      </c>
      <c r="BT3844" s="1"/>
      <c r="BU3844" s="1" t="str">
        <f>HYPERLINK("https://nconnect.nicmar.ac.in/storage/profile/2021-2023_RP21019_859123.jpg","Download")</f>
        <v>0</v>
      </c>
      <c r="BV3844" s="3"/>
      <c r="BW3844" s="3"/>
    </row>
    <row r="3845" spans="1:75">
      <c r="A3845" s="1" t="s">
        <v>60691</v>
      </c>
      <c r="B3845" s="1" t="s">
        <v>51341</v>
      </c>
      <c r="C3845" s="1" t="s">
        <v>60989</v>
      </c>
      <c r="D3845" s="1" t="s">
        <v>60990</v>
      </c>
      <c r="E3845" s="1"/>
      <c r="F3845" s="1" t="s">
        <v>60991</v>
      </c>
      <c r="G3845" s="1" t="s">
        <v>60992</v>
      </c>
      <c r="H3845" s="1" t="s">
        <v>60993</v>
      </c>
      <c r="I3845" s="1" t="s">
        <v>60994</v>
      </c>
      <c r="J3845" s="1">
        <v>8281091185</v>
      </c>
      <c r="K3845" s="1" t="s">
        <v>84</v>
      </c>
      <c r="L3845" s="1" t="s">
        <v>60995</v>
      </c>
      <c r="M3845" s="1" t="s">
        <v>86</v>
      </c>
      <c r="N3845" s="1" t="s">
        <v>53145</v>
      </c>
      <c r="O3845" s="1"/>
      <c r="P3845" s="1" t="s">
        <v>507</v>
      </c>
      <c r="Q3845" s="1" t="s">
        <v>60996</v>
      </c>
      <c r="R3845" s="1" t="s">
        <v>60997</v>
      </c>
      <c r="S3845" s="1">
        <v>9947246160</v>
      </c>
      <c r="T3845" s="1" t="s">
        <v>3396</v>
      </c>
      <c r="U3845" s="1" t="s">
        <v>60998</v>
      </c>
      <c r="V3845" s="1">
        <v>9037627486</v>
      </c>
      <c r="W3845" s="1" t="s">
        <v>94</v>
      </c>
      <c r="X3845" s="1" t="s">
        <v>60999</v>
      </c>
      <c r="Y3845" s="1" t="s">
        <v>701</v>
      </c>
      <c r="Z3845" s="1" t="s">
        <v>130</v>
      </c>
      <c r="AA3845" s="1" t="s">
        <v>60999</v>
      </c>
      <c r="AB3845" s="1" t="s">
        <v>701</v>
      </c>
      <c r="AC3845" s="1" t="s">
        <v>130</v>
      </c>
      <c r="AD3845" s="1" t="s">
        <v>98</v>
      </c>
      <c r="AE3845" s="1" t="s">
        <v>98</v>
      </c>
      <c r="AF3845" s="1" t="s">
        <v>61000</v>
      </c>
      <c r="AG3845" s="1" t="s">
        <v>312</v>
      </c>
      <c r="AH3845" s="1">
        <v>39601</v>
      </c>
      <c r="AI3845" s="1">
        <v>39959</v>
      </c>
      <c r="AJ3845" s="1">
        <v>72</v>
      </c>
      <c r="AK3845" s="1">
        <v>0</v>
      </c>
      <c r="AL3845" s="1" t="s">
        <v>61000</v>
      </c>
      <c r="AM3845" s="1" t="s">
        <v>312</v>
      </c>
      <c r="AN3845" s="1"/>
      <c r="AO3845" s="1">
        <v>40330</v>
      </c>
      <c r="AP3845" s="1">
        <v>40686</v>
      </c>
      <c r="AQ3845" s="1">
        <v>55.4</v>
      </c>
      <c r="AR3845" s="1">
        <v>0</v>
      </c>
      <c r="AS3845" s="1"/>
      <c r="AT3845" s="1"/>
      <c r="AU3845" s="1" t="s">
        <v>98</v>
      </c>
      <c r="AV3845" s="1" t="s">
        <v>98</v>
      </c>
      <c r="AW3845" s="1" t="s">
        <v>98</v>
      </c>
      <c r="AX3845" s="1" t="s">
        <v>98</v>
      </c>
      <c r="AY3845" s="1" t="s">
        <v>61001</v>
      </c>
      <c r="AZ3845" s="1" t="s">
        <v>61002</v>
      </c>
      <c r="BA3845" s="1"/>
      <c r="BB3845" s="1"/>
      <c r="BC3845" s="1">
        <v>40730</v>
      </c>
      <c r="BD3845" s="1">
        <v>42139</v>
      </c>
      <c r="BE3845" s="1">
        <v>73.6</v>
      </c>
      <c r="BF3845" s="1">
        <v>7.36</v>
      </c>
      <c r="BG3845" s="1"/>
      <c r="BH3845" s="1"/>
      <c r="BI3845" s="1"/>
      <c r="BJ3845" s="1"/>
      <c r="BK3845" s="1" t="s">
        <v>98</v>
      </c>
      <c r="BL3845" s="1" t="s">
        <v>98</v>
      </c>
      <c r="BM3845" s="1" t="s">
        <v>98</v>
      </c>
      <c r="BN3845" s="1" t="s">
        <v>98</v>
      </c>
      <c r="BO3845" s="1" t="s">
        <v>61003</v>
      </c>
      <c r="BP3845" s="1" t="s">
        <v>61004</v>
      </c>
      <c r="BQ3845" s="1" t="s">
        <v>345</v>
      </c>
      <c r="BR3845" s="1" t="s">
        <v>61005</v>
      </c>
      <c r="BS3845" s="1">
        <v>33</v>
      </c>
      <c r="BT3845" s="1"/>
      <c r="BU3845" s="1" t="str">
        <f>HYPERLINK("https://nconnect.nicmar.ac.in/storage/profile/2021-2023_RP21020_135496.jpg","Download")</f>
        <v>0</v>
      </c>
      <c r="BV3845" s="3"/>
      <c r="BW3845" s="3"/>
    </row>
    <row r="3846" spans="1:75">
      <c r="A3846" s="1" t="s">
        <v>60691</v>
      </c>
      <c r="B3846" s="1" t="s">
        <v>51341</v>
      </c>
      <c r="C3846" s="1" t="s">
        <v>61006</v>
      </c>
      <c r="D3846" s="1" t="s">
        <v>3493</v>
      </c>
      <c r="E3846" s="1"/>
      <c r="F3846" s="1" t="s">
        <v>61007</v>
      </c>
      <c r="G3846" s="1" t="s">
        <v>61008</v>
      </c>
      <c r="H3846" s="1" t="s">
        <v>61009</v>
      </c>
      <c r="I3846" s="1" t="s">
        <v>61010</v>
      </c>
      <c r="J3846" s="1">
        <v>9506373665</v>
      </c>
      <c r="K3846" s="1" t="s">
        <v>84</v>
      </c>
      <c r="L3846" s="1" t="s">
        <v>30143</v>
      </c>
      <c r="M3846" s="1" t="s">
        <v>86</v>
      </c>
      <c r="N3846" s="1" t="s">
        <v>246</v>
      </c>
      <c r="O3846" s="1"/>
      <c r="P3846" s="1" t="s">
        <v>1028</v>
      </c>
      <c r="Q3846" s="1" t="s">
        <v>61011</v>
      </c>
      <c r="R3846" s="1" t="s">
        <v>61012</v>
      </c>
      <c r="S3846" s="1">
        <v>8005312865</v>
      </c>
      <c r="T3846" s="1" t="s">
        <v>61013</v>
      </c>
      <c r="U3846" s="1" t="s">
        <v>61014</v>
      </c>
      <c r="V3846" s="1">
        <v>8090043207</v>
      </c>
      <c r="W3846" s="1" t="s">
        <v>94</v>
      </c>
      <c r="X3846" s="1" t="s">
        <v>61015</v>
      </c>
      <c r="Y3846" s="1" t="s">
        <v>1059</v>
      </c>
      <c r="Z3846" s="1" t="s">
        <v>544</v>
      </c>
      <c r="AA3846" s="1" t="s">
        <v>61015</v>
      </c>
      <c r="AB3846" s="1" t="s">
        <v>1059</v>
      </c>
      <c r="AC3846" s="1" t="s">
        <v>544</v>
      </c>
      <c r="AD3846" s="1" t="s">
        <v>98</v>
      </c>
      <c r="AE3846" s="1" t="s">
        <v>98</v>
      </c>
      <c r="AF3846" s="1" t="s">
        <v>61016</v>
      </c>
      <c r="AG3846" s="1" t="s">
        <v>6474</v>
      </c>
      <c r="AH3846" s="1">
        <v>41366</v>
      </c>
      <c r="AI3846" s="1">
        <v>41725</v>
      </c>
      <c r="AJ3846" s="1">
        <v>74.16</v>
      </c>
      <c r="AK3846" s="1"/>
      <c r="AL3846" s="1" t="s">
        <v>61017</v>
      </c>
      <c r="AM3846" s="1" t="s">
        <v>6474</v>
      </c>
      <c r="AN3846" s="1"/>
      <c r="AO3846" s="1">
        <v>42130</v>
      </c>
      <c r="AP3846" s="1">
        <v>42496</v>
      </c>
      <c r="AQ3846" s="1">
        <v>61.8</v>
      </c>
      <c r="AR3846" s="1"/>
      <c r="AS3846" s="1"/>
      <c r="AT3846" s="1"/>
      <c r="AU3846" s="1" t="s">
        <v>98</v>
      </c>
      <c r="AV3846" s="1" t="s">
        <v>98</v>
      </c>
      <c r="AW3846" s="1" t="s">
        <v>98</v>
      </c>
      <c r="AX3846" s="1" t="s">
        <v>98</v>
      </c>
      <c r="AY3846" s="1" t="s">
        <v>51505</v>
      </c>
      <c r="AZ3846" s="1" t="s">
        <v>61018</v>
      </c>
      <c r="BA3846" s="1"/>
      <c r="BB3846" s="1"/>
      <c r="BC3846" s="1">
        <v>42583</v>
      </c>
      <c r="BD3846" s="1">
        <v>44097</v>
      </c>
      <c r="BE3846" s="1">
        <v>72.1</v>
      </c>
      <c r="BF3846" s="1">
        <v>7.21</v>
      </c>
      <c r="BG3846" s="1"/>
      <c r="BH3846" s="1"/>
      <c r="BI3846" s="1"/>
      <c r="BJ3846" s="1"/>
      <c r="BK3846" s="1" t="s">
        <v>98</v>
      </c>
      <c r="BL3846" s="1" t="s">
        <v>98</v>
      </c>
      <c r="BM3846" s="1" t="s">
        <v>98</v>
      </c>
      <c r="BN3846" s="1" t="s">
        <v>98</v>
      </c>
      <c r="BO3846" s="1" t="s">
        <v>849</v>
      </c>
      <c r="BP3846" s="1"/>
      <c r="BQ3846" s="1"/>
      <c r="BR3846" s="1" t="s">
        <v>61019</v>
      </c>
      <c r="BS3846" s="1">
        <v>8</v>
      </c>
      <c r="BT3846" s="1"/>
      <c r="BU3846" s="1" t="str">
        <f>HYPERLINK("https://nconnect.nicmar.ac.in/storage/profile/2021-2023_RP21021_342519.jpg","Download")</f>
        <v>0</v>
      </c>
      <c r="BV3846" s="3"/>
      <c r="BW3846" s="3"/>
    </row>
    <row r="3847" spans="1:75">
      <c r="A3847" s="1" t="s">
        <v>60691</v>
      </c>
      <c r="B3847" s="1" t="s">
        <v>51341</v>
      </c>
      <c r="C3847" s="1" t="s">
        <v>61020</v>
      </c>
      <c r="D3847" s="1" t="s">
        <v>61021</v>
      </c>
      <c r="E3847" s="1"/>
      <c r="F3847" s="1" t="s">
        <v>6222</v>
      </c>
      <c r="G3847" s="1" t="s">
        <v>61022</v>
      </c>
      <c r="H3847" s="1" t="s">
        <v>61023</v>
      </c>
      <c r="I3847" s="1" t="s">
        <v>61024</v>
      </c>
      <c r="J3847" s="1">
        <v>8826240900</v>
      </c>
      <c r="K3847" s="1" t="s">
        <v>153</v>
      </c>
      <c r="L3847" s="1" t="s">
        <v>61025</v>
      </c>
      <c r="M3847" s="1" t="s">
        <v>86</v>
      </c>
      <c r="N3847" s="1" t="s">
        <v>61026</v>
      </c>
      <c r="O3847" s="1"/>
      <c r="P3847" s="1" t="s">
        <v>481</v>
      </c>
      <c r="Q3847" s="1" t="s">
        <v>61027</v>
      </c>
      <c r="R3847" s="1" t="s">
        <v>61028</v>
      </c>
      <c r="S3847" s="1">
        <v>8383904625</v>
      </c>
      <c r="T3847" s="1" t="s">
        <v>1620</v>
      </c>
      <c r="U3847" s="1" t="s">
        <v>61029</v>
      </c>
      <c r="V3847" s="1">
        <v>9810184510</v>
      </c>
      <c r="W3847" s="1" t="s">
        <v>29982</v>
      </c>
      <c r="X3847" s="1" t="s">
        <v>61030</v>
      </c>
      <c r="Y3847" s="1" t="s">
        <v>1739</v>
      </c>
      <c r="Z3847" s="1" t="s">
        <v>1739</v>
      </c>
      <c r="AA3847" s="1" t="s">
        <v>61031</v>
      </c>
      <c r="AB3847" s="1" t="s">
        <v>1739</v>
      </c>
      <c r="AC3847" s="1" t="s">
        <v>1739</v>
      </c>
      <c r="AD3847" s="1" t="s">
        <v>98</v>
      </c>
      <c r="AE3847" s="1" t="s">
        <v>98</v>
      </c>
      <c r="AF3847" s="1" t="s">
        <v>61032</v>
      </c>
      <c r="AG3847" s="1" t="s">
        <v>312</v>
      </c>
      <c r="AH3847" s="1">
        <v>41348</v>
      </c>
      <c r="AI3847" s="1">
        <v>41713</v>
      </c>
      <c r="AJ3847" s="1">
        <v>87.4</v>
      </c>
      <c r="AK3847" s="1">
        <v>9.2</v>
      </c>
      <c r="AL3847" s="1" t="s">
        <v>61033</v>
      </c>
      <c r="AM3847" s="1" t="s">
        <v>312</v>
      </c>
      <c r="AN3847" s="1"/>
      <c r="AO3847" s="1">
        <v>42078</v>
      </c>
      <c r="AP3847" s="1">
        <v>42511</v>
      </c>
      <c r="AQ3847" s="1">
        <v>79.8</v>
      </c>
      <c r="AR3847" s="1">
        <v>8</v>
      </c>
      <c r="AS3847" s="1"/>
      <c r="AT3847" s="1"/>
      <c r="AU3847" s="1" t="s">
        <v>98</v>
      </c>
      <c r="AV3847" s="1" t="s">
        <v>98</v>
      </c>
      <c r="AW3847" s="1" t="s">
        <v>98</v>
      </c>
      <c r="AX3847" s="1" t="s">
        <v>98</v>
      </c>
      <c r="AY3847" s="1" t="s">
        <v>26880</v>
      </c>
      <c r="AZ3847" s="1" t="s">
        <v>61034</v>
      </c>
      <c r="BA3847" s="1"/>
      <c r="BB3847" s="1"/>
      <c r="BC3847" s="1">
        <v>42594</v>
      </c>
      <c r="BD3847" s="1">
        <v>44013</v>
      </c>
      <c r="BE3847" s="1">
        <v>73.76</v>
      </c>
      <c r="BF3847" s="1">
        <v>7.37</v>
      </c>
      <c r="BG3847" s="1"/>
      <c r="BH3847" s="1"/>
      <c r="BI3847" s="1"/>
      <c r="BJ3847" s="1"/>
      <c r="BK3847" s="1" t="s">
        <v>98</v>
      </c>
      <c r="BL3847" s="1" t="s">
        <v>98</v>
      </c>
      <c r="BM3847" s="1" t="s">
        <v>98</v>
      </c>
      <c r="BN3847" s="1" t="s">
        <v>98</v>
      </c>
      <c r="BO3847" s="1" t="s">
        <v>61035</v>
      </c>
      <c r="BP3847" s="1"/>
      <c r="BQ3847" s="1"/>
      <c r="BR3847" s="1" t="s">
        <v>61036</v>
      </c>
      <c r="BS3847" s="1">
        <v>35</v>
      </c>
      <c r="BT3847" s="1"/>
      <c r="BU3847" s="1" t="str">
        <f>HYPERLINK("https://nconnect.nicmar.ac.in/storage/profile/2021-2023_RP21023_849736.jpeg","Download")</f>
        <v>0</v>
      </c>
      <c r="BV3847" s="3"/>
      <c r="BW3847" s="3"/>
    </row>
    <row r="3848" spans="1:75">
      <c r="A3848" s="1" t="s">
        <v>60691</v>
      </c>
      <c r="B3848" s="1" t="s">
        <v>51341</v>
      </c>
      <c r="C3848" s="1" t="s">
        <v>61037</v>
      </c>
      <c r="D3848" s="1" t="s">
        <v>61038</v>
      </c>
      <c r="E3848" s="1" t="s">
        <v>4966</v>
      </c>
      <c r="F3848" s="1" t="s">
        <v>31165</v>
      </c>
      <c r="G3848" s="1" t="s">
        <v>61039</v>
      </c>
      <c r="H3848" s="1" t="s">
        <v>61040</v>
      </c>
      <c r="I3848" s="1" t="s">
        <v>61041</v>
      </c>
      <c r="J3848" s="1">
        <v>9764265666</v>
      </c>
      <c r="K3848" s="1" t="s">
        <v>153</v>
      </c>
      <c r="L3848" s="1" t="s">
        <v>61042</v>
      </c>
      <c r="M3848" s="1" t="s">
        <v>86</v>
      </c>
      <c r="N3848" s="1" t="s">
        <v>61043</v>
      </c>
      <c r="O3848" s="1"/>
      <c r="P3848" s="1" t="s">
        <v>507</v>
      </c>
      <c r="Q3848" s="1" t="s">
        <v>61044</v>
      </c>
      <c r="R3848" s="1" t="s">
        <v>61045</v>
      </c>
      <c r="S3848" s="1">
        <v>9421737806</v>
      </c>
      <c r="T3848" s="1" t="s">
        <v>539</v>
      </c>
      <c r="U3848" s="1" t="s">
        <v>61046</v>
      </c>
      <c r="V3848" s="1">
        <v>9422183665</v>
      </c>
      <c r="W3848" s="1" t="s">
        <v>539</v>
      </c>
      <c r="X3848" s="1" t="s">
        <v>61047</v>
      </c>
      <c r="Y3848" s="1" t="s">
        <v>410</v>
      </c>
      <c r="Z3848" s="1" t="s">
        <v>97</v>
      </c>
      <c r="AA3848" s="1" t="s">
        <v>61048</v>
      </c>
      <c r="AB3848" s="1" t="s">
        <v>196</v>
      </c>
      <c r="AC3848" s="1" t="s">
        <v>97</v>
      </c>
      <c r="AD3848" s="1" t="s">
        <v>98</v>
      </c>
      <c r="AE3848" s="1" t="s">
        <v>98</v>
      </c>
      <c r="AF3848" s="1" t="s">
        <v>61049</v>
      </c>
      <c r="AG3848" s="1" t="s">
        <v>51712</v>
      </c>
      <c r="AH3848" s="1">
        <v>39979</v>
      </c>
      <c r="AI3848" s="1">
        <v>40267</v>
      </c>
      <c r="AJ3848" s="1">
        <v>91.09</v>
      </c>
      <c r="AK3848" s="1"/>
      <c r="AL3848" s="1" t="s">
        <v>61050</v>
      </c>
      <c r="AM3848" s="1" t="s">
        <v>51712</v>
      </c>
      <c r="AN3848" s="1"/>
      <c r="AO3848" s="1">
        <v>40700</v>
      </c>
      <c r="AP3848" s="1">
        <v>40968</v>
      </c>
      <c r="AQ3848" s="1">
        <v>70.17</v>
      </c>
      <c r="AR3848" s="1"/>
      <c r="AS3848" s="1"/>
      <c r="AT3848" s="1"/>
      <c r="AU3848" s="1" t="s">
        <v>98</v>
      </c>
      <c r="AV3848" s="1" t="s">
        <v>98</v>
      </c>
      <c r="AW3848" s="1" t="s">
        <v>98</v>
      </c>
      <c r="AX3848" s="1" t="s">
        <v>98</v>
      </c>
      <c r="AY3848" s="1" t="s">
        <v>415</v>
      </c>
      <c r="AZ3848" s="1" t="s">
        <v>61051</v>
      </c>
      <c r="BA3848" s="1"/>
      <c r="BB3848" s="1"/>
      <c r="BC3848" s="1">
        <v>41127</v>
      </c>
      <c r="BD3848" s="1">
        <v>42880</v>
      </c>
      <c r="BE3848" s="1">
        <v>52</v>
      </c>
      <c r="BF3848" s="1">
        <v>5.95</v>
      </c>
      <c r="BG3848" s="1"/>
      <c r="BH3848" s="1"/>
      <c r="BI3848" s="1"/>
      <c r="BJ3848" s="1"/>
      <c r="BK3848" s="1" t="s">
        <v>98</v>
      </c>
      <c r="BL3848" s="1" t="s">
        <v>98</v>
      </c>
      <c r="BM3848" s="1" t="s">
        <v>98</v>
      </c>
      <c r="BN3848" s="1" t="s">
        <v>98</v>
      </c>
      <c r="BO3848" s="1" t="s">
        <v>61052</v>
      </c>
      <c r="BP3848" s="1" t="s">
        <v>61053</v>
      </c>
      <c r="BQ3848" s="1" t="s">
        <v>52831</v>
      </c>
      <c r="BR3848" s="1" t="s">
        <v>61054</v>
      </c>
      <c r="BS3848" s="1">
        <v>135</v>
      </c>
      <c r="BT3848" s="1"/>
      <c r="BU3848" s="1" t="str">
        <f>HYPERLINK("https://nconnect.nicmar.ac.in/storage/profile/2021-2023_RP21024_437618.jpeg","Download")</f>
        <v>0</v>
      </c>
      <c r="BV3848" s="3"/>
      <c r="BW3848" s="3"/>
    </row>
    <row r="3849" spans="1:75">
      <c r="A3849" s="1" t="s">
        <v>60691</v>
      </c>
      <c r="B3849" s="1" t="s">
        <v>51341</v>
      </c>
      <c r="C3849" s="1" t="s">
        <v>61055</v>
      </c>
      <c r="D3849" s="1" t="s">
        <v>34570</v>
      </c>
      <c r="E3849" s="1"/>
      <c r="F3849" s="1" t="s">
        <v>530</v>
      </c>
      <c r="G3849" s="1" t="s">
        <v>61056</v>
      </c>
      <c r="H3849" s="1" t="s">
        <v>61057</v>
      </c>
      <c r="I3849" s="1" t="s">
        <v>61058</v>
      </c>
      <c r="J3849" s="1">
        <v>8169335102</v>
      </c>
      <c r="K3849" s="1" t="s">
        <v>153</v>
      </c>
      <c r="L3849" s="1" t="s">
        <v>56678</v>
      </c>
      <c r="M3849" s="1" t="s">
        <v>86</v>
      </c>
      <c r="N3849" s="1" t="s">
        <v>61059</v>
      </c>
      <c r="O3849" s="1"/>
      <c r="P3849" s="1" t="s">
        <v>455</v>
      </c>
      <c r="Q3849" s="1" t="s">
        <v>61060</v>
      </c>
      <c r="R3849" s="1" t="s">
        <v>61061</v>
      </c>
      <c r="S3849" s="1">
        <v>9820627783</v>
      </c>
      <c r="T3849" s="1" t="s">
        <v>61062</v>
      </c>
      <c r="U3849" s="1" t="s">
        <v>61063</v>
      </c>
      <c r="V3849" s="1">
        <v>9870046260</v>
      </c>
      <c r="W3849" s="1" t="s">
        <v>94</v>
      </c>
      <c r="X3849" s="1" t="s">
        <v>61064</v>
      </c>
      <c r="Y3849" s="1" t="s">
        <v>52420</v>
      </c>
      <c r="Z3849" s="1" t="s">
        <v>97</v>
      </c>
      <c r="AA3849" s="1" t="s">
        <v>61065</v>
      </c>
      <c r="AB3849" s="1" t="s">
        <v>52420</v>
      </c>
      <c r="AC3849" s="1" t="s">
        <v>97</v>
      </c>
      <c r="AD3849" s="1" t="s">
        <v>98</v>
      </c>
      <c r="AE3849" s="1" t="s">
        <v>98</v>
      </c>
      <c r="AF3849" s="1" t="s">
        <v>61066</v>
      </c>
      <c r="AG3849" s="1" t="s">
        <v>61067</v>
      </c>
      <c r="AH3849" s="1">
        <v>40698</v>
      </c>
      <c r="AI3849" s="1">
        <v>41060</v>
      </c>
      <c r="AJ3849" s="1">
        <v>76</v>
      </c>
      <c r="AK3849" s="1">
        <v>8</v>
      </c>
      <c r="AL3849" s="1" t="s">
        <v>61066</v>
      </c>
      <c r="AM3849" s="1" t="s">
        <v>61067</v>
      </c>
      <c r="AN3849" s="1"/>
      <c r="AO3849" s="1">
        <v>41429</v>
      </c>
      <c r="AP3849" s="1">
        <v>41785</v>
      </c>
      <c r="AQ3849" s="1">
        <v>65.8</v>
      </c>
      <c r="AR3849" s="1">
        <v>0</v>
      </c>
      <c r="AS3849" s="1"/>
      <c r="AT3849" s="1"/>
      <c r="AU3849" s="1" t="s">
        <v>98</v>
      </c>
      <c r="AV3849" s="1" t="s">
        <v>98</v>
      </c>
      <c r="AW3849" s="1" t="s">
        <v>98</v>
      </c>
      <c r="AX3849" s="1" t="s">
        <v>98</v>
      </c>
      <c r="AY3849" s="1" t="s">
        <v>680</v>
      </c>
      <c r="AZ3849" s="1" t="s">
        <v>61068</v>
      </c>
      <c r="BA3849" s="1"/>
      <c r="BB3849" s="1"/>
      <c r="BC3849" s="1">
        <v>41855</v>
      </c>
      <c r="BD3849" s="1">
        <v>43595</v>
      </c>
      <c r="BE3849" s="1">
        <v>57.36</v>
      </c>
      <c r="BF3849" s="1">
        <v>6.39</v>
      </c>
      <c r="BG3849" s="1"/>
      <c r="BH3849" s="1"/>
      <c r="BI3849" s="1"/>
      <c r="BJ3849" s="1"/>
      <c r="BK3849" s="1" t="s">
        <v>98</v>
      </c>
      <c r="BL3849" s="1" t="s">
        <v>98</v>
      </c>
      <c r="BM3849" s="1" t="s">
        <v>98</v>
      </c>
      <c r="BN3849" s="1" t="s">
        <v>98</v>
      </c>
      <c r="BO3849" s="1" t="s">
        <v>260</v>
      </c>
      <c r="BP3849" s="1" t="s">
        <v>61069</v>
      </c>
      <c r="BQ3849" s="1" t="s">
        <v>2213</v>
      </c>
      <c r="BR3849" s="1" t="s">
        <v>61070</v>
      </c>
      <c r="BS3849" s="1">
        <v>26</v>
      </c>
      <c r="BT3849" s="1"/>
      <c r="BU3849" s="1" t="str">
        <f>HYPERLINK("https://nconnect.nicmar.ac.in/storage/profile/2021-2023_RP21025_617258.jpg","Download")</f>
        <v>0</v>
      </c>
      <c r="BV3849" s="3"/>
      <c r="BW3849" s="3"/>
    </row>
    <row r="3850" spans="1:75">
      <c r="A3850" s="1" t="s">
        <v>60691</v>
      </c>
      <c r="B3850" s="1" t="s">
        <v>51341</v>
      </c>
      <c r="C3850" s="1" t="s">
        <v>61071</v>
      </c>
      <c r="D3850" s="1" t="s">
        <v>32585</v>
      </c>
      <c r="E3850" s="1"/>
      <c r="F3850" s="1" t="s">
        <v>27396</v>
      </c>
      <c r="G3850" s="1" t="s">
        <v>61072</v>
      </c>
      <c r="H3850" s="1" t="s">
        <v>61073</v>
      </c>
      <c r="I3850" s="1" t="s">
        <v>61074</v>
      </c>
      <c r="J3850" s="1">
        <v>7869667077</v>
      </c>
      <c r="K3850" s="1" t="s">
        <v>153</v>
      </c>
      <c r="L3850" s="1" t="s">
        <v>52339</v>
      </c>
      <c r="M3850" s="1" t="s">
        <v>86</v>
      </c>
      <c r="N3850" s="1" t="s">
        <v>246</v>
      </c>
      <c r="O3850" s="1"/>
      <c r="P3850" s="1" t="s">
        <v>481</v>
      </c>
      <c r="Q3850" s="1" t="s">
        <v>61075</v>
      </c>
      <c r="R3850" s="1" t="s">
        <v>61076</v>
      </c>
      <c r="S3850" s="1">
        <v>7354101181</v>
      </c>
      <c r="T3850" s="1" t="s">
        <v>539</v>
      </c>
      <c r="U3850" s="1" t="s">
        <v>61077</v>
      </c>
      <c r="V3850" s="1">
        <v>9644283079</v>
      </c>
      <c r="W3850" s="1" t="s">
        <v>539</v>
      </c>
      <c r="X3850" s="1" t="s">
        <v>61078</v>
      </c>
      <c r="Y3850" s="1" t="s">
        <v>7949</v>
      </c>
      <c r="Z3850" s="1" t="s">
        <v>3419</v>
      </c>
      <c r="AA3850" s="1" t="s">
        <v>61079</v>
      </c>
      <c r="AB3850" s="1" t="s">
        <v>7949</v>
      </c>
      <c r="AC3850" s="1" t="s">
        <v>3419</v>
      </c>
      <c r="AD3850" s="1" t="s">
        <v>98</v>
      </c>
      <c r="AE3850" s="1" t="s">
        <v>98</v>
      </c>
      <c r="AF3850" s="1" t="s">
        <v>61080</v>
      </c>
      <c r="AG3850" s="1" t="s">
        <v>312</v>
      </c>
      <c r="AH3850" s="1">
        <v>41000</v>
      </c>
      <c r="AI3850" s="1">
        <v>41424</v>
      </c>
      <c r="AJ3850" s="1">
        <v>77.9</v>
      </c>
      <c r="AK3850" s="1">
        <v>8.2</v>
      </c>
      <c r="AL3850" s="1" t="s">
        <v>61081</v>
      </c>
      <c r="AM3850" s="1" t="s">
        <v>312</v>
      </c>
      <c r="AN3850" s="1"/>
      <c r="AO3850" s="1">
        <v>41730</v>
      </c>
      <c r="AP3850" s="1">
        <v>42149</v>
      </c>
      <c r="AQ3850" s="1">
        <v>76.8</v>
      </c>
      <c r="AR3850" s="1"/>
      <c r="AS3850" s="1"/>
      <c r="AT3850" s="1"/>
      <c r="AU3850" s="1" t="s">
        <v>98</v>
      </c>
      <c r="AV3850" s="1" t="s">
        <v>98</v>
      </c>
      <c r="AW3850" s="1" t="s">
        <v>98</v>
      </c>
      <c r="AX3850" s="1" t="s">
        <v>98</v>
      </c>
      <c r="AY3850" s="1" t="s">
        <v>11637</v>
      </c>
      <c r="AZ3850" s="1" t="s">
        <v>61082</v>
      </c>
      <c r="BA3850" s="1"/>
      <c r="BB3850" s="1"/>
      <c r="BC3850" s="1">
        <v>42221</v>
      </c>
      <c r="BD3850" s="1">
        <v>44097</v>
      </c>
      <c r="BE3850" s="1">
        <v>73.1</v>
      </c>
      <c r="BF3850" s="1">
        <v>7.31</v>
      </c>
      <c r="BG3850" s="1"/>
      <c r="BH3850" s="1"/>
      <c r="BI3850" s="1"/>
      <c r="BJ3850" s="1"/>
      <c r="BK3850" s="1" t="s">
        <v>98</v>
      </c>
      <c r="BL3850" s="1" t="s">
        <v>98</v>
      </c>
      <c r="BM3850" s="1" t="s">
        <v>98</v>
      </c>
      <c r="BN3850" s="1" t="s">
        <v>98</v>
      </c>
      <c r="BO3850" s="1" t="s">
        <v>61083</v>
      </c>
      <c r="BP3850" s="1"/>
      <c r="BQ3850" s="1"/>
      <c r="BR3850" s="1" t="s">
        <v>61084</v>
      </c>
      <c r="BS3850" s="1">
        <v>51</v>
      </c>
      <c r="BT3850" s="1"/>
      <c r="BU3850" s="1" t="str">
        <f>HYPERLINK("https://nconnect.nicmar.ac.in/storage/profile/2021-2023_RP21026_624753.jpg","Download")</f>
        <v>0</v>
      </c>
      <c r="BV3850" s="3"/>
      <c r="BW3850" s="3"/>
    </row>
    <row r="3851" spans="1:75">
      <c r="A3851" s="1" t="s">
        <v>60691</v>
      </c>
      <c r="B3851" s="1" t="s">
        <v>51341</v>
      </c>
      <c r="C3851" s="1" t="s">
        <v>61085</v>
      </c>
      <c r="D3851" s="1" t="s">
        <v>1294</v>
      </c>
      <c r="E3851" s="1"/>
      <c r="F3851" s="1" t="s">
        <v>61086</v>
      </c>
      <c r="G3851" s="1" t="s">
        <v>61087</v>
      </c>
      <c r="H3851" s="1" t="s">
        <v>61088</v>
      </c>
      <c r="I3851" s="1" t="s">
        <v>61089</v>
      </c>
      <c r="J3851" s="1">
        <v>8019240591</v>
      </c>
      <c r="K3851" s="1" t="s">
        <v>84</v>
      </c>
      <c r="L3851" s="1" t="s">
        <v>57372</v>
      </c>
      <c r="M3851" s="1" t="s">
        <v>86</v>
      </c>
      <c r="N3851" s="1" t="s">
        <v>61090</v>
      </c>
      <c r="O3851" s="1"/>
      <c r="P3851" s="1" t="s">
        <v>507</v>
      </c>
      <c r="Q3851" s="1" t="s">
        <v>61091</v>
      </c>
      <c r="R3851" s="1" t="s">
        <v>61092</v>
      </c>
      <c r="S3851" s="1">
        <v>9440707745</v>
      </c>
      <c r="T3851" s="1" t="s">
        <v>8332</v>
      </c>
      <c r="U3851" s="1" t="s">
        <v>61093</v>
      </c>
      <c r="V3851" s="1">
        <v>7093281815</v>
      </c>
      <c r="W3851" s="1" t="s">
        <v>94</v>
      </c>
      <c r="X3851" s="1" t="s">
        <v>61094</v>
      </c>
      <c r="Y3851" s="1" t="s">
        <v>53707</v>
      </c>
      <c r="Z3851" s="1" t="s">
        <v>281</v>
      </c>
      <c r="AA3851" s="1" t="s">
        <v>98</v>
      </c>
      <c r="AB3851" s="1" t="s">
        <v>53707</v>
      </c>
      <c r="AC3851" s="1" t="s">
        <v>281</v>
      </c>
      <c r="AD3851" s="1" t="s">
        <v>98</v>
      </c>
      <c r="AE3851" s="1" t="s">
        <v>98</v>
      </c>
      <c r="AF3851" s="1" t="s">
        <v>61095</v>
      </c>
      <c r="AG3851" s="1" t="s">
        <v>21404</v>
      </c>
      <c r="AH3851" s="1" t="s">
        <v>133</v>
      </c>
      <c r="AI3851" s="1" t="s">
        <v>134</v>
      </c>
      <c r="AJ3851" s="1">
        <v>87</v>
      </c>
      <c r="AK3851" s="1">
        <v>8.7</v>
      </c>
      <c r="AL3851" s="1" t="s">
        <v>3033</v>
      </c>
      <c r="AM3851" s="1" t="s">
        <v>21404</v>
      </c>
      <c r="AN3851" s="1"/>
      <c r="AO3851" s="1" t="s">
        <v>1213</v>
      </c>
      <c r="AP3851" s="1" t="s">
        <v>1110</v>
      </c>
      <c r="AQ3851" s="1">
        <v>89</v>
      </c>
      <c r="AR3851" s="1">
        <v>8.9</v>
      </c>
      <c r="AS3851" s="1"/>
      <c r="AT3851" s="1"/>
      <c r="AU3851" s="1" t="s">
        <v>98</v>
      </c>
      <c r="AV3851" s="1" t="s">
        <v>98</v>
      </c>
      <c r="AW3851" s="1"/>
      <c r="AX3851" s="1"/>
      <c r="AY3851" s="1" t="s">
        <v>1559</v>
      </c>
      <c r="AZ3851" s="1" t="s">
        <v>1559</v>
      </c>
      <c r="BA3851" s="1"/>
      <c r="BB3851" s="1"/>
      <c r="BC3851" s="1">
        <v>42209</v>
      </c>
      <c r="BD3851" s="1">
        <v>44394</v>
      </c>
      <c r="BE3851" s="1">
        <v>70.3</v>
      </c>
      <c r="BF3851" s="1">
        <v>7.03</v>
      </c>
      <c r="BG3851" s="1"/>
      <c r="BH3851" s="1"/>
      <c r="BI3851" s="1"/>
      <c r="BJ3851" s="1"/>
      <c r="BK3851" s="1" t="s">
        <v>98</v>
      </c>
      <c r="BL3851" s="1" t="s">
        <v>98</v>
      </c>
      <c r="BM3851" s="1" t="s">
        <v>98</v>
      </c>
      <c r="BN3851" s="1" t="s">
        <v>98</v>
      </c>
      <c r="BO3851" s="1" t="s">
        <v>61096</v>
      </c>
      <c r="BP3851" s="1"/>
      <c r="BQ3851" s="1"/>
      <c r="BR3851" s="1" t="s">
        <v>61097</v>
      </c>
      <c r="BS3851" s="1">
        <v>9</v>
      </c>
      <c r="BT3851" s="1"/>
      <c r="BU3851" s="1" t="str">
        <f>HYPERLINK("https://nconnect.nicmar.ac.in/storage/profile/2021-2023_RP21027_749238.JPG","Download")</f>
        <v>0</v>
      </c>
      <c r="BV3851" s="3"/>
      <c r="BW3851" s="3"/>
    </row>
    <row r="3852" spans="1:75">
      <c r="A3852" s="1" t="s">
        <v>60691</v>
      </c>
      <c r="B3852" s="1" t="s">
        <v>51341</v>
      </c>
      <c r="C3852" s="1" t="s">
        <v>61098</v>
      </c>
      <c r="D3852" s="1" t="s">
        <v>2428</v>
      </c>
      <c r="E3852" s="1"/>
      <c r="F3852" s="1" t="s">
        <v>5482</v>
      </c>
      <c r="G3852" s="1" t="s">
        <v>61099</v>
      </c>
      <c r="H3852" s="1" t="s">
        <v>61100</v>
      </c>
      <c r="I3852" s="1" t="s">
        <v>61101</v>
      </c>
      <c r="J3852" s="1">
        <v>9264436733</v>
      </c>
      <c r="K3852" s="1" t="s">
        <v>84</v>
      </c>
      <c r="L3852" s="1" t="s">
        <v>61102</v>
      </c>
      <c r="M3852" s="1" t="s">
        <v>86</v>
      </c>
      <c r="N3852" s="1" t="s">
        <v>61103</v>
      </c>
      <c r="O3852" s="1"/>
      <c r="P3852" s="1" t="s">
        <v>455</v>
      </c>
      <c r="Q3852" s="1" t="s">
        <v>61104</v>
      </c>
      <c r="R3852" s="1" t="s">
        <v>61105</v>
      </c>
      <c r="S3852" s="1">
        <v>9000888007</v>
      </c>
      <c r="T3852" s="1" t="s">
        <v>698</v>
      </c>
      <c r="U3852" s="1" t="s">
        <v>61106</v>
      </c>
      <c r="V3852" s="1">
        <v>7004479105</v>
      </c>
      <c r="W3852" s="1" t="s">
        <v>94</v>
      </c>
      <c r="X3852" s="1" t="s">
        <v>61107</v>
      </c>
      <c r="Y3852" s="1" t="s">
        <v>1454</v>
      </c>
      <c r="Z3852" s="1" t="s">
        <v>281</v>
      </c>
      <c r="AA3852" s="1" t="s">
        <v>61108</v>
      </c>
      <c r="AB3852" s="1" t="s">
        <v>196</v>
      </c>
      <c r="AC3852" s="1" t="s">
        <v>97</v>
      </c>
      <c r="AD3852" s="1" t="s">
        <v>98</v>
      </c>
      <c r="AE3852" s="1" t="s">
        <v>98</v>
      </c>
      <c r="AF3852" s="1" t="s">
        <v>61109</v>
      </c>
      <c r="AG3852" s="1" t="s">
        <v>312</v>
      </c>
      <c r="AH3852" s="1">
        <v>40634</v>
      </c>
      <c r="AI3852" s="1">
        <v>41050</v>
      </c>
      <c r="AJ3852" s="1">
        <v>74.1</v>
      </c>
      <c r="AK3852" s="1">
        <v>7.8</v>
      </c>
      <c r="AL3852" s="1" t="s">
        <v>61110</v>
      </c>
      <c r="AM3852" s="1" t="s">
        <v>312</v>
      </c>
      <c r="AN3852" s="1"/>
      <c r="AO3852" s="1">
        <v>41365</v>
      </c>
      <c r="AP3852" s="1">
        <v>42149</v>
      </c>
      <c r="AQ3852" s="1">
        <v>50.2</v>
      </c>
      <c r="AR3852" s="1"/>
      <c r="AS3852" s="1"/>
      <c r="AT3852" s="1"/>
      <c r="AU3852" s="1" t="s">
        <v>98</v>
      </c>
      <c r="AV3852" s="1" t="s">
        <v>98</v>
      </c>
      <c r="AW3852" s="1" t="s">
        <v>98</v>
      </c>
      <c r="AX3852" s="1" t="s">
        <v>98</v>
      </c>
      <c r="AY3852" s="1" t="s">
        <v>2553</v>
      </c>
      <c r="AZ3852" s="1" t="s">
        <v>41033</v>
      </c>
      <c r="BA3852" s="1"/>
      <c r="BB3852" s="1"/>
      <c r="BC3852" s="1">
        <v>42217</v>
      </c>
      <c r="BD3852" s="1">
        <v>44114</v>
      </c>
      <c r="BE3852" s="1">
        <v>68.4</v>
      </c>
      <c r="BF3852" s="1">
        <v>6.84</v>
      </c>
      <c r="BG3852" s="1"/>
      <c r="BH3852" s="1"/>
      <c r="BI3852" s="1"/>
      <c r="BJ3852" s="1"/>
      <c r="BK3852" s="1" t="s">
        <v>98</v>
      </c>
      <c r="BL3852" s="1" t="s">
        <v>98</v>
      </c>
      <c r="BM3852" s="1" t="s">
        <v>98</v>
      </c>
      <c r="BN3852" s="1" t="s">
        <v>98</v>
      </c>
      <c r="BO3852" s="1" t="s">
        <v>61111</v>
      </c>
      <c r="BP3852" s="1"/>
      <c r="BQ3852" s="1"/>
      <c r="BR3852" s="1" t="s">
        <v>61112</v>
      </c>
      <c r="BS3852" s="1">
        <v>36</v>
      </c>
      <c r="BT3852" s="1"/>
      <c r="BU3852" s="1" t="str">
        <f>HYPERLINK("https://nconnect.nicmar.ac.in/storage/profile/2021-2023_RP21028_768319.jpg","Download")</f>
        <v>0</v>
      </c>
      <c r="BV3852" s="3"/>
      <c r="BW3852" s="3"/>
    </row>
    <row r="3853" spans="1:75">
      <c r="A3853" s="1" t="s">
        <v>60691</v>
      </c>
      <c r="B3853" s="1" t="s">
        <v>51341</v>
      </c>
      <c r="C3853" s="1" t="s">
        <v>61113</v>
      </c>
      <c r="D3853" s="1" t="s">
        <v>61114</v>
      </c>
      <c r="E3853" s="1"/>
      <c r="F3853" s="1" t="s">
        <v>961</v>
      </c>
      <c r="G3853" s="1" t="s">
        <v>61115</v>
      </c>
      <c r="H3853" s="1" t="s">
        <v>61116</v>
      </c>
      <c r="I3853" s="1" t="s">
        <v>61117</v>
      </c>
      <c r="J3853" s="1">
        <v>7987325259</v>
      </c>
      <c r="K3853" s="1" t="s">
        <v>153</v>
      </c>
      <c r="L3853" s="1" t="s">
        <v>61118</v>
      </c>
      <c r="M3853" s="1" t="s">
        <v>155</v>
      </c>
      <c r="N3853" s="1" t="s">
        <v>246</v>
      </c>
      <c r="O3853" s="1"/>
      <c r="P3853" s="1" t="s">
        <v>507</v>
      </c>
      <c r="Q3853" s="1" t="s">
        <v>61119</v>
      </c>
      <c r="R3853" s="1" t="s">
        <v>27106</v>
      </c>
      <c r="S3853" s="1">
        <v>9424224316</v>
      </c>
      <c r="T3853" s="1" t="s">
        <v>539</v>
      </c>
      <c r="U3853" s="1" t="s">
        <v>61120</v>
      </c>
      <c r="V3853" s="1">
        <v>9179495331</v>
      </c>
      <c r="W3853" s="1" t="s">
        <v>51069</v>
      </c>
      <c r="X3853" s="1" t="s">
        <v>61121</v>
      </c>
      <c r="Y3853" s="1" t="s">
        <v>2259</v>
      </c>
      <c r="Z3853" s="1" t="s">
        <v>97</v>
      </c>
      <c r="AA3853" s="1" t="s">
        <v>61121</v>
      </c>
      <c r="AB3853" s="1" t="s">
        <v>2259</v>
      </c>
      <c r="AC3853" s="1" t="s">
        <v>97</v>
      </c>
      <c r="AD3853" s="1" t="s">
        <v>98</v>
      </c>
      <c r="AE3853" s="1" t="s">
        <v>98</v>
      </c>
      <c r="AF3853" s="1" t="s">
        <v>61122</v>
      </c>
      <c r="AG3853" s="1" t="s">
        <v>312</v>
      </c>
      <c r="AH3853" s="1" t="s">
        <v>2203</v>
      </c>
      <c r="AI3853" s="1" t="s">
        <v>336</v>
      </c>
      <c r="AJ3853" s="1">
        <v>79.5</v>
      </c>
      <c r="AK3853" s="1">
        <v>8.4</v>
      </c>
      <c r="AL3853" s="1" t="s">
        <v>61122</v>
      </c>
      <c r="AM3853" s="1" t="s">
        <v>312</v>
      </c>
      <c r="AN3853" s="1"/>
      <c r="AO3853" s="1" t="s">
        <v>801</v>
      </c>
      <c r="AP3853" s="1" t="s">
        <v>2726</v>
      </c>
      <c r="AQ3853" s="1">
        <v>69.2</v>
      </c>
      <c r="AR3853" s="1"/>
      <c r="AS3853" s="1"/>
      <c r="AT3853" s="1"/>
      <c r="AU3853" s="1" t="s">
        <v>98</v>
      </c>
      <c r="AV3853" s="1" t="s">
        <v>98</v>
      </c>
      <c r="AW3853" s="1"/>
      <c r="AX3853" s="1"/>
      <c r="AY3853" s="1" t="s">
        <v>415</v>
      </c>
      <c r="AZ3853" s="1" t="s">
        <v>10685</v>
      </c>
      <c r="BA3853" s="1"/>
      <c r="BB3853" s="1"/>
      <c r="BC3853" s="1" t="s">
        <v>10236</v>
      </c>
      <c r="BD3853" s="1" t="s">
        <v>573</v>
      </c>
      <c r="BE3853" s="1">
        <v>64.18</v>
      </c>
      <c r="BF3853" s="1">
        <v>6.07</v>
      </c>
      <c r="BG3853" s="1"/>
      <c r="BH3853" s="1"/>
      <c r="BI3853" s="1"/>
      <c r="BJ3853" s="1"/>
      <c r="BK3853" s="1" t="s">
        <v>98</v>
      </c>
      <c r="BL3853" s="1" t="s">
        <v>98</v>
      </c>
      <c r="BM3853" s="1" t="s">
        <v>98</v>
      </c>
      <c r="BN3853" s="1" t="s">
        <v>98</v>
      </c>
      <c r="BO3853" s="1" t="s">
        <v>28364</v>
      </c>
      <c r="BP3853" s="1" t="s">
        <v>61123</v>
      </c>
      <c r="BQ3853" s="1" t="s">
        <v>143</v>
      </c>
      <c r="BR3853" s="1" t="s">
        <v>61124</v>
      </c>
      <c r="BS3853" s="1">
        <v>46</v>
      </c>
      <c r="BT3853" s="1"/>
      <c r="BU3853" s="1" t="str">
        <f>HYPERLINK("https://nconnect.nicmar.ac.in/storage/profile/2021-2023_RP21029_751329.jpg","Download")</f>
        <v>0</v>
      </c>
      <c r="BV3853" s="3"/>
      <c r="BW3853" s="3"/>
    </row>
    <row r="3854" spans="1:75">
      <c r="A3854" s="1" t="s">
        <v>60691</v>
      </c>
      <c r="B3854" s="1" t="s">
        <v>51341</v>
      </c>
      <c r="C3854" s="1" t="s">
        <v>61125</v>
      </c>
      <c r="D3854" s="1" t="s">
        <v>61126</v>
      </c>
      <c r="E3854" s="1" t="s">
        <v>61127</v>
      </c>
      <c r="F3854" s="1" t="s">
        <v>61128</v>
      </c>
      <c r="G3854" s="1" t="s">
        <v>61129</v>
      </c>
      <c r="H3854" s="1" t="s">
        <v>61130</v>
      </c>
      <c r="I3854" s="1" t="s">
        <v>61131</v>
      </c>
      <c r="J3854" s="1">
        <v>9496402093</v>
      </c>
      <c r="K3854" s="1" t="s">
        <v>84</v>
      </c>
      <c r="L3854" s="1" t="s">
        <v>61132</v>
      </c>
      <c r="M3854" s="1" t="s">
        <v>86</v>
      </c>
      <c r="N3854" s="1" t="s">
        <v>11866</v>
      </c>
      <c r="O3854" s="1"/>
      <c r="P3854" s="1" t="s">
        <v>2021</v>
      </c>
      <c r="Q3854" s="1" t="s">
        <v>61133</v>
      </c>
      <c r="R3854" s="1" t="s">
        <v>61134</v>
      </c>
      <c r="S3854" s="1">
        <v>9846141237</v>
      </c>
      <c r="T3854" s="1" t="s">
        <v>11869</v>
      </c>
      <c r="U3854" s="1" t="s">
        <v>61135</v>
      </c>
      <c r="V3854" s="1">
        <v>9496578544</v>
      </c>
      <c r="W3854" s="1" t="s">
        <v>94</v>
      </c>
      <c r="X3854" s="1" t="s">
        <v>61136</v>
      </c>
      <c r="Y3854" s="1" t="s">
        <v>701</v>
      </c>
      <c r="Z3854" s="1" t="s">
        <v>130</v>
      </c>
      <c r="AA3854" s="1" t="s">
        <v>61136</v>
      </c>
      <c r="AB3854" s="1" t="s">
        <v>701</v>
      </c>
      <c r="AC3854" s="1" t="s">
        <v>130</v>
      </c>
      <c r="AD3854" s="1" t="s">
        <v>98</v>
      </c>
      <c r="AE3854" s="1" t="s">
        <v>98</v>
      </c>
      <c r="AF3854" s="1" t="s">
        <v>56811</v>
      </c>
      <c r="AG3854" s="1" t="s">
        <v>312</v>
      </c>
      <c r="AH3854" s="1">
        <v>41049</v>
      </c>
      <c r="AI3854" s="1">
        <v>41395</v>
      </c>
      <c r="AJ3854" s="1">
        <v>68.4</v>
      </c>
      <c r="AK3854" s="1">
        <v>7.2</v>
      </c>
      <c r="AL3854" s="1" t="s">
        <v>56811</v>
      </c>
      <c r="AM3854" s="1" t="s">
        <v>312</v>
      </c>
      <c r="AN3854" s="1"/>
      <c r="AO3854" s="1">
        <v>41730</v>
      </c>
      <c r="AP3854" s="1">
        <v>42130</v>
      </c>
      <c r="AQ3854" s="1">
        <v>62.4</v>
      </c>
      <c r="AR3854" s="1"/>
      <c r="AS3854" s="1"/>
      <c r="AT3854" s="1"/>
      <c r="AU3854" s="1" t="s">
        <v>98</v>
      </c>
      <c r="AV3854" s="1" t="s">
        <v>98</v>
      </c>
      <c r="AW3854" s="1" t="s">
        <v>98</v>
      </c>
      <c r="AX3854" s="1" t="s">
        <v>98</v>
      </c>
      <c r="AY3854" s="1" t="s">
        <v>137</v>
      </c>
      <c r="AZ3854" s="1" t="s">
        <v>61137</v>
      </c>
      <c r="BA3854" s="1"/>
      <c r="BB3854" s="1"/>
      <c r="BC3854" s="1">
        <v>42198</v>
      </c>
      <c r="BD3854" s="1">
        <v>43673</v>
      </c>
      <c r="BE3854" s="1">
        <v>55.95</v>
      </c>
      <c r="BF3854" s="1">
        <v>5.89</v>
      </c>
      <c r="BG3854" s="1"/>
      <c r="BH3854" s="1"/>
      <c r="BI3854" s="1"/>
      <c r="BJ3854" s="1"/>
      <c r="BK3854" s="1" t="s">
        <v>98</v>
      </c>
      <c r="BL3854" s="1" t="s">
        <v>98</v>
      </c>
      <c r="BM3854" s="1" t="s">
        <v>98</v>
      </c>
      <c r="BN3854" s="1" t="s">
        <v>98</v>
      </c>
      <c r="BO3854" s="1" t="s">
        <v>260</v>
      </c>
      <c r="BP3854" s="1" t="s">
        <v>61138</v>
      </c>
      <c r="BQ3854" s="1" t="s">
        <v>780</v>
      </c>
      <c r="BR3854" s="1" t="s">
        <v>61139</v>
      </c>
      <c r="BS3854" s="1">
        <v>8</v>
      </c>
      <c r="BT3854" s="1"/>
      <c r="BU3854" s="1" t="s">
        <v>9653</v>
      </c>
      <c r="BV3854" s="3"/>
      <c r="BW3854" s="3"/>
    </row>
    <row r="3855" spans="1:75">
      <c r="A3855" s="1" t="s">
        <v>60691</v>
      </c>
      <c r="B3855" s="1" t="s">
        <v>51341</v>
      </c>
      <c r="C3855" s="1" t="s">
        <v>61140</v>
      </c>
      <c r="D3855" s="1" t="s">
        <v>26108</v>
      </c>
      <c r="E3855" s="1"/>
      <c r="F3855" s="1" t="s">
        <v>61141</v>
      </c>
      <c r="G3855" s="1" t="s">
        <v>61142</v>
      </c>
      <c r="H3855" s="1" t="s">
        <v>61143</v>
      </c>
      <c r="I3855" s="1" t="s">
        <v>61144</v>
      </c>
      <c r="J3855" s="1">
        <v>7073852914</v>
      </c>
      <c r="K3855" s="1" t="s">
        <v>153</v>
      </c>
      <c r="L3855" s="1" t="s">
        <v>61145</v>
      </c>
      <c r="M3855" s="1" t="s">
        <v>86</v>
      </c>
      <c r="N3855" s="1" t="s">
        <v>246</v>
      </c>
      <c r="O3855" s="1"/>
      <c r="P3855" s="1" t="s">
        <v>481</v>
      </c>
      <c r="Q3855" s="1" t="s">
        <v>61146</v>
      </c>
      <c r="R3855" s="1" t="s">
        <v>61147</v>
      </c>
      <c r="S3855" s="1">
        <v>9962982914</v>
      </c>
      <c r="T3855" s="1" t="s">
        <v>7840</v>
      </c>
      <c r="U3855" s="1" t="s">
        <v>61148</v>
      </c>
      <c r="V3855" s="1">
        <v>9962982914</v>
      </c>
      <c r="W3855" s="1" t="s">
        <v>94</v>
      </c>
      <c r="X3855" s="1" t="s">
        <v>61149</v>
      </c>
      <c r="Y3855" s="1" t="s">
        <v>196</v>
      </c>
      <c r="Z3855" s="1" t="s">
        <v>97</v>
      </c>
      <c r="AA3855" s="1" t="s">
        <v>61150</v>
      </c>
      <c r="AB3855" s="1" t="s">
        <v>196</v>
      </c>
      <c r="AC3855" s="1" t="s">
        <v>97</v>
      </c>
      <c r="AD3855" s="1" t="s">
        <v>98</v>
      </c>
      <c r="AE3855" s="1" t="s">
        <v>98</v>
      </c>
      <c r="AF3855" s="1" t="s">
        <v>61151</v>
      </c>
      <c r="AG3855" s="1" t="s">
        <v>312</v>
      </c>
      <c r="AH3855" s="1">
        <v>41001</v>
      </c>
      <c r="AI3855" s="1">
        <v>41420</v>
      </c>
      <c r="AJ3855" s="1">
        <v>85.5</v>
      </c>
      <c r="AK3855" s="1">
        <v>9</v>
      </c>
      <c r="AL3855" s="1" t="s">
        <v>31381</v>
      </c>
      <c r="AM3855" s="1" t="s">
        <v>312</v>
      </c>
      <c r="AN3855" s="1"/>
      <c r="AO3855" s="1">
        <v>41731</v>
      </c>
      <c r="AP3855" s="1">
        <v>42149</v>
      </c>
      <c r="AQ3855" s="1">
        <v>77.8</v>
      </c>
      <c r="AR3855" s="1"/>
      <c r="AS3855" s="1"/>
      <c r="AT3855" s="1"/>
      <c r="AU3855" s="1" t="s">
        <v>98</v>
      </c>
      <c r="AV3855" s="1" t="s">
        <v>98</v>
      </c>
      <c r="AW3855" s="1" t="s">
        <v>98</v>
      </c>
      <c r="AX3855" s="1" t="s">
        <v>98</v>
      </c>
      <c r="AY3855" s="1" t="s">
        <v>8266</v>
      </c>
      <c r="AZ3855" s="1" t="s">
        <v>8266</v>
      </c>
      <c r="BA3855" s="1"/>
      <c r="BB3855" s="1"/>
      <c r="BC3855" s="1">
        <v>42219</v>
      </c>
      <c r="BD3855" s="1">
        <v>44048</v>
      </c>
      <c r="BE3855" s="1">
        <v>66.1</v>
      </c>
      <c r="BF3855" s="1">
        <v>6.61</v>
      </c>
      <c r="BG3855" s="1"/>
      <c r="BH3855" s="1"/>
      <c r="BI3855" s="1"/>
      <c r="BJ3855" s="1"/>
      <c r="BK3855" s="1" t="s">
        <v>98</v>
      </c>
      <c r="BL3855" s="1" t="s">
        <v>98</v>
      </c>
      <c r="BM3855" s="1" t="s">
        <v>98</v>
      </c>
      <c r="BN3855" s="1" t="s">
        <v>98</v>
      </c>
      <c r="BO3855" s="1" t="s">
        <v>1114</v>
      </c>
      <c r="BP3855" s="1"/>
      <c r="BQ3855" s="1"/>
      <c r="BR3855" s="1" t="s">
        <v>61152</v>
      </c>
      <c r="BS3855" s="1">
        <v>9</v>
      </c>
      <c r="BT3855" s="1"/>
      <c r="BU3855" s="1" t="str">
        <f>HYPERLINK("https://nconnect.nicmar.ac.in/storage/profile/2021-2023_RP21031_617348.jpg","Download")</f>
        <v>0</v>
      </c>
      <c r="BV3855" s="3"/>
      <c r="BW3855" s="3"/>
    </row>
    <row r="3856" spans="1:75">
      <c r="A3856" s="1" t="s">
        <v>60691</v>
      </c>
      <c r="B3856" s="1" t="s">
        <v>51341</v>
      </c>
      <c r="C3856" s="1" t="s">
        <v>61153</v>
      </c>
      <c r="D3856" s="1" t="s">
        <v>3778</v>
      </c>
      <c r="E3856" s="1"/>
      <c r="F3856" s="1" t="s">
        <v>61154</v>
      </c>
      <c r="G3856" s="1" t="s">
        <v>61155</v>
      </c>
      <c r="H3856" s="1" t="s">
        <v>61156</v>
      </c>
      <c r="I3856" s="1" t="s">
        <v>61157</v>
      </c>
      <c r="J3856" s="1">
        <v>9080796709</v>
      </c>
      <c r="K3856" s="1" t="s">
        <v>84</v>
      </c>
      <c r="L3856" s="1" t="s">
        <v>57060</v>
      </c>
      <c r="M3856" s="1" t="s">
        <v>86</v>
      </c>
      <c r="N3856" s="1" t="s">
        <v>12624</v>
      </c>
      <c r="O3856" s="1"/>
      <c r="P3856" s="1" t="s">
        <v>481</v>
      </c>
      <c r="Q3856" s="1" t="s">
        <v>61158</v>
      </c>
      <c r="R3856" s="1" t="s">
        <v>61159</v>
      </c>
      <c r="S3856" s="1">
        <v>9443165203</v>
      </c>
      <c r="T3856" s="1" t="s">
        <v>839</v>
      </c>
      <c r="U3856" s="1" t="s">
        <v>61160</v>
      </c>
      <c r="V3856" s="1">
        <v>6382057371</v>
      </c>
      <c r="W3856" s="1" t="s">
        <v>94</v>
      </c>
      <c r="X3856" s="1" t="s">
        <v>61161</v>
      </c>
      <c r="Y3856" s="1" t="s">
        <v>51897</v>
      </c>
      <c r="Z3856" s="1" t="s">
        <v>570</v>
      </c>
      <c r="AA3856" s="1" t="s">
        <v>61162</v>
      </c>
      <c r="AB3856" s="1" t="s">
        <v>51897</v>
      </c>
      <c r="AC3856" s="1" t="s">
        <v>570</v>
      </c>
      <c r="AD3856" s="1" t="s">
        <v>98</v>
      </c>
      <c r="AE3856" s="1" t="s">
        <v>98</v>
      </c>
      <c r="AF3856" s="1" t="s">
        <v>51899</v>
      </c>
      <c r="AG3856" s="1" t="s">
        <v>52902</v>
      </c>
      <c r="AH3856" s="1">
        <v>41769</v>
      </c>
      <c r="AI3856" s="1">
        <v>42073</v>
      </c>
      <c r="AJ3856" s="1">
        <v>96.2</v>
      </c>
      <c r="AK3856" s="1">
        <v>0</v>
      </c>
      <c r="AL3856" s="1" t="s">
        <v>61163</v>
      </c>
      <c r="AM3856" s="1" t="s">
        <v>52902</v>
      </c>
      <c r="AN3856" s="1"/>
      <c r="AO3856" s="1" t="s">
        <v>61164</v>
      </c>
      <c r="AP3856" s="1" t="s">
        <v>61165</v>
      </c>
      <c r="AQ3856" s="1">
        <v>82.83</v>
      </c>
      <c r="AR3856" s="1">
        <v>0</v>
      </c>
      <c r="AS3856" s="1"/>
      <c r="AT3856" s="1"/>
      <c r="AU3856" s="1" t="s">
        <v>98</v>
      </c>
      <c r="AV3856" s="1" t="s">
        <v>98</v>
      </c>
      <c r="AW3856" s="1" t="s">
        <v>98</v>
      </c>
      <c r="AX3856" s="1" t="s">
        <v>98</v>
      </c>
      <c r="AY3856" s="1" t="s">
        <v>576</v>
      </c>
      <c r="AZ3856" s="1" t="s">
        <v>24206</v>
      </c>
      <c r="BA3856" s="1"/>
      <c r="BB3856" s="1"/>
      <c r="BC3856" s="1">
        <v>42926</v>
      </c>
      <c r="BD3856" s="1">
        <v>44357</v>
      </c>
      <c r="BE3856" s="1">
        <v>75.55</v>
      </c>
      <c r="BF3856" s="1">
        <v>7.55</v>
      </c>
      <c r="BG3856" s="1"/>
      <c r="BH3856" s="1"/>
      <c r="BI3856" s="1"/>
      <c r="BJ3856" s="1"/>
      <c r="BK3856" s="1" t="s">
        <v>98</v>
      </c>
      <c r="BL3856" s="1" t="s">
        <v>98</v>
      </c>
      <c r="BM3856" s="1" t="s">
        <v>98</v>
      </c>
      <c r="BN3856" s="1" t="s">
        <v>98</v>
      </c>
      <c r="BO3856" s="1" t="s">
        <v>28364</v>
      </c>
      <c r="BP3856" s="1"/>
      <c r="BQ3856" s="1"/>
      <c r="BR3856" s="1" t="s">
        <v>61166</v>
      </c>
      <c r="BS3856" s="1">
        <v>20</v>
      </c>
      <c r="BT3856" s="1"/>
      <c r="BU3856" s="1" t="s">
        <v>9653</v>
      </c>
      <c r="BV3856" s="3"/>
      <c r="BW3856" s="3"/>
    </row>
    <row r="3857" spans="1:75">
      <c r="A3857" s="1" t="s">
        <v>60691</v>
      </c>
      <c r="B3857" s="1" t="s">
        <v>51341</v>
      </c>
      <c r="C3857" s="1" t="s">
        <v>61167</v>
      </c>
      <c r="D3857" s="1" t="s">
        <v>61168</v>
      </c>
      <c r="E3857" s="1"/>
      <c r="F3857" s="1" t="s">
        <v>61169</v>
      </c>
      <c r="G3857" s="1" t="s">
        <v>61170</v>
      </c>
      <c r="H3857" s="1" t="s">
        <v>61171</v>
      </c>
      <c r="I3857" s="1" t="s">
        <v>61172</v>
      </c>
      <c r="J3857" s="1">
        <v>8377954065</v>
      </c>
      <c r="K3857" s="1" t="s">
        <v>153</v>
      </c>
      <c r="L3857" s="1" t="s">
        <v>61173</v>
      </c>
      <c r="M3857" s="1" t="s">
        <v>86</v>
      </c>
      <c r="N3857" s="1" t="s">
        <v>61174</v>
      </c>
      <c r="O3857" s="1"/>
      <c r="P3857" s="1" t="s">
        <v>481</v>
      </c>
      <c r="Q3857" s="1" t="s">
        <v>61175</v>
      </c>
      <c r="R3857" s="1" t="s">
        <v>61176</v>
      </c>
      <c r="S3857" s="1">
        <v>9167056172</v>
      </c>
      <c r="T3857" s="1" t="s">
        <v>61177</v>
      </c>
      <c r="U3857" s="1" t="s">
        <v>61178</v>
      </c>
      <c r="V3857" s="1">
        <v>9167870467</v>
      </c>
      <c r="W3857" s="1" t="s">
        <v>37196</v>
      </c>
      <c r="X3857" s="1" t="s">
        <v>61179</v>
      </c>
      <c r="Y3857" s="1" t="s">
        <v>52420</v>
      </c>
      <c r="Z3857" s="1" t="s">
        <v>97</v>
      </c>
      <c r="AA3857" s="1" t="s">
        <v>61179</v>
      </c>
      <c r="AB3857" s="1" t="s">
        <v>52420</v>
      </c>
      <c r="AC3857" s="1" t="s">
        <v>97</v>
      </c>
      <c r="AD3857" s="1" t="s">
        <v>98</v>
      </c>
      <c r="AE3857" s="1" t="s">
        <v>98</v>
      </c>
      <c r="AF3857" s="1" t="s">
        <v>38661</v>
      </c>
      <c r="AG3857" s="1" t="s">
        <v>61180</v>
      </c>
      <c r="AH3857" s="1" t="s">
        <v>61181</v>
      </c>
      <c r="AI3857" s="1" t="s">
        <v>61182</v>
      </c>
      <c r="AJ3857" s="1">
        <v>86.88</v>
      </c>
      <c r="AK3857" s="1"/>
      <c r="AL3857" s="1" t="s">
        <v>61183</v>
      </c>
      <c r="AM3857" s="1" t="s">
        <v>61184</v>
      </c>
      <c r="AN3857" s="1"/>
      <c r="AO3857" s="1" t="s">
        <v>61185</v>
      </c>
      <c r="AP3857" s="1" t="s">
        <v>61186</v>
      </c>
      <c r="AQ3857" s="1">
        <v>88.88</v>
      </c>
      <c r="AR3857" s="1"/>
      <c r="AS3857" s="1"/>
      <c r="AT3857" s="1"/>
      <c r="AU3857" s="1"/>
      <c r="AV3857" s="1"/>
      <c r="AW3857" s="1"/>
      <c r="AX3857" s="1"/>
      <c r="AY3857" s="1" t="s">
        <v>1559</v>
      </c>
      <c r="AZ3857" s="1" t="s">
        <v>61187</v>
      </c>
      <c r="BA3857" s="1"/>
      <c r="BB3857" s="1"/>
      <c r="BC3857" s="1" t="s">
        <v>61188</v>
      </c>
      <c r="BD3857" s="1" t="s">
        <v>57833</v>
      </c>
      <c r="BE3857" s="1">
        <v>66.08</v>
      </c>
      <c r="BF3857" s="1"/>
      <c r="BG3857" s="1"/>
      <c r="BH3857" s="1"/>
      <c r="BI3857" s="1"/>
      <c r="BJ3857" s="1"/>
      <c r="BK3857" s="1"/>
      <c r="BL3857" s="1"/>
      <c r="BM3857" s="1"/>
      <c r="BN3857" s="1"/>
      <c r="BO3857" s="1" t="s">
        <v>260</v>
      </c>
      <c r="BP3857" s="1" t="s">
        <v>61189</v>
      </c>
      <c r="BQ3857" s="1" t="s">
        <v>524</v>
      </c>
      <c r="BR3857" s="1" t="s">
        <v>61190</v>
      </c>
      <c r="BS3857" s="1">
        <v>56</v>
      </c>
      <c r="BT3857" s="1"/>
      <c r="BU3857" s="1" t="str">
        <f>HYPERLINK("https://nconnect.nicmar.ac.in/storage/profile/2021-2023_RP21033_274536.jpg","Download")</f>
        <v>0</v>
      </c>
      <c r="BV3857" s="3"/>
      <c r="BW3857" s="3"/>
    </row>
    <row r="3858" spans="1:75">
      <c r="A3858" s="1" t="s">
        <v>60691</v>
      </c>
      <c r="B3858" s="1" t="s">
        <v>51341</v>
      </c>
      <c r="C3858" s="1" t="s">
        <v>61191</v>
      </c>
      <c r="D3858" s="1" t="s">
        <v>61192</v>
      </c>
      <c r="E3858" s="1" t="s">
        <v>11734</v>
      </c>
      <c r="F3858" s="1" t="s">
        <v>61193</v>
      </c>
      <c r="G3858" s="1" t="s">
        <v>61194</v>
      </c>
      <c r="H3858" s="1" t="s">
        <v>61195</v>
      </c>
      <c r="I3858" s="1" t="s">
        <v>61196</v>
      </c>
      <c r="J3858" s="1">
        <v>9664027298</v>
      </c>
      <c r="K3858" s="1" t="s">
        <v>84</v>
      </c>
      <c r="L3858" s="1" t="s">
        <v>18259</v>
      </c>
      <c r="M3858" s="1" t="s">
        <v>86</v>
      </c>
      <c r="N3858" s="1" t="s">
        <v>2433</v>
      </c>
      <c r="O3858" s="1"/>
      <c r="P3858" s="1" t="s">
        <v>481</v>
      </c>
      <c r="Q3858" s="1" t="s">
        <v>61197</v>
      </c>
      <c r="R3858" s="1" t="s">
        <v>61198</v>
      </c>
      <c r="S3858" s="1">
        <v>9867298076</v>
      </c>
      <c r="T3858" s="1" t="s">
        <v>645</v>
      </c>
      <c r="U3858" s="1" t="s">
        <v>61199</v>
      </c>
      <c r="V3858" s="1">
        <v>9821152692</v>
      </c>
      <c r="W3858" s="1" t="s">
        <v>1620</v>
      </c>
      <c r="X3858" s="1" t="s">
        <v>61200</v>
      </c>
      <c r="Y3858" s="1" t="s">
        <v>14079</v>
      </c>
      <c r="Z3858" s="1" t="s">
        <v>97</v>
      </c>
      <c r="AA3858" s="1" t="s">
        <v>61200</v>
      </c>
      <c r="AB3858" s="1" t="s">
        <v>14079</v>
      </c>
      <c r="AC3858" s="1" t="s">
        <v>97</v>
      </c>
      <c r="AD3858" s="1" t="s">
        <v>98</v>
      </c>
      <c r="AE3858" s="1" t="s">
        <v>98</v>
      </c>
      <c r="AF3858" s="1" t="s">
        <v>61201</v>
      </c>
      <c r="AG3858" s="1" t="s">
        <v>56009</v>
      </c>
      <c r="AH3858" s="1">
        <v>41365</v>
      </c>
      <c r="AI3858" s="1">
        <v>41730</v>
      </c>
      <c r="AJ3858" s="1">
        <v>94.16</v>
      </c>
      <c r="AK3858" s="1"/>
      <c r="AL3858" s="1" t="s">
        <v>33844</v>
      </c>
      <c r="AM3858" s="1" t="s">
        <v>56009</v>
      </c>
      <c r="AN3858" s="1"/>
      <c r="AO3858" s="1">
        <v>42095</v>
      </c>
      <c r="AP3858" s="1">
        <v>42461</v>
      </c>
      <c r="AQ3858" s="1">
        <v>70.92</v>
      </c>
      <c r="AR3858" s="1"/>
      <c r="AS3858" s="1"/>
      <c r="AT3858" s="1"/>
      <c r="AU3858" s="1" t="s">
        <v>98</v>
      </c>
      <c r="AV3858" s="1" t="s">
        <v>98</v>
      </c>
      <c r="AW3858" s="1" t="s">
        <v>98</v>
      </c>
      <c r="AX3858" s="1" t="s">
        <v>98</v>
      </c>
      <c r="AY3858" s="1" t="s">
        <v>680</v>
      </c>
      <c r="AZ3858" s="1" t="s">
        <v>61202</v>
      </c>
      <c r="BA3858" s="1"/>
      <c r="BB3858" s="1"/>
      <c r="BC3858" s="1">
        <v>42590</v>
      </c>
      <c r="BD3858" s="1">
        <v>44319</v>
      </c>
      <c r="BE3858" s="1">
        <v>68.16</v>
      </c>
      <c r="BF3858" s="1">
        <v>7.59</v>
      </c>
      <c r="BG3858" s="1"/>
      <c r="BH3858" s="1"/>
      <c r="BI3858" s="1"/>
      <c r="BJ3858" s="1"/>
      <c r="BK3858" s="1" t="s">
        <v>98</v>
      </c>
      <c r="BL3858" s="1" t="s">
        <v>98</v>
      </c>
      <c r="BM3858" s="1" t="s">
        <v>98</v>
      </c>
      <c r="BN3858" s="1" t="s">
        <v>98</v>
      </c>
      <c r="BO3858" s="1" t="s">
        <v>61203</v>
      </c>
      <c r="BP3858" s="1"/>
      <c r="BQ3858" s="1"/>
      <c r="BR3858" s="1" t="s">
        <v>61204</v>
      </c>
      <c r="BS3858" s="1">
        <v>69</v>
      </c>
      <c r="BT3858" s="1"/>
      <c r="BU3858" s="1" t="str">
        <f>HYPERLINK("https://nconnect.nicmar.ac.in/storage/profile/2021-2023_RP21034_183675.jpg","Download")</f>
        <v>0</v>
      </c>
      <c r="BV3858" s="3"/>
      <c r="BW3858" s="3"/>
    </row>
    <row r="3859" spans="1:75">
      <c r="A3859" s="1" t="s">
        <v>60691</v>
      </c>
      <c r="B3859" s="1" t="s">
        <v>51341</v>
      </c>
      <c r="C3859" s="1" t="s">
        <v>61205</v>
      </c>
      <c r="D3859" s="1" t="s">
        <v>61206</v>
      </c>
      <c r="E3859" s="1"/>
      <c r="F3859" s="1" t="s">
        <v>239</v>
      </c>
      <c r="G3859" s="1" t="s">
        <v>61207</v>
      </c>
      <c r="H3859" s="1" t="s">
        <v>61208</v>
      </c>
      <c r="I3859" s="1" t="s">
        <v>61209</v>
      </c>
      <c r="J3859" s="1">
        <v>9554420460</v>
      </c>
      <c r="K3859" s="1" t="s">
        <v>84</v>
      </c>
      <c r="L3859" s="1" t="s">
        <v>32746</v>
      </c>
      <c r="M3859" s="1" t="s">
        <v>86</v>
      </c>
      <c r="N3859" s="1" t="s">
        <v>246</v>
      </c>
      <c r="O3859" s="1"/>
      <c r="P3859" s="1" t="s">
        <v>455</v>
      </c>
      <c r="Q3859" s="1" t="s">
        <v>61210</v>
      </c>
      <c r="R3859" s="1" t="s">
        <v>61211</v>
      </c>
      <c r="S3859" s="1">
        <v>9415519956</v>
      </c>
      <c r="T3859" s="1" t="s">
        <v>645</v>
      </c>
      <c r="U3859" s="1" t="s">
        <v>61212</v>
      </c>
      <c r="V3859" s="1">
        <v>9721432932</v>
      </c>
      <c r="W3859" s="1" t="s">
        <v>645</v>
      </c>
      <c r="X3859" s="1" t="s">
        <v>61213</v>
      </c>
      <c r="Y3859" s="1" t="s">
        <v>1059</v>
      </c>
      <c r="Z3859" s="1" t="s">
        <v>544</v>
      </c>
      <c r="AA3859" s="1" t="s">
        <v>61214</v>
      </c>
      <c r="AB3859" s="1" t="s">
        <v>196</v>
      </c>
      <c r="AC3859" s="1" t="s">
        <v>97</v>
      </c>
      <c r="AD3859" s="1" t="s">
        <v>98</v>
      </c>
      <c r="AE3859" s="1" t="s">
        <v>98</v>
      </c>
      <c r="AF3859" s="1" t="s">
        <v>3399</v>
      </c>
      <c r="AG3859" s="1" t="s">
        <v>52026</v>
      </c>
      <c r="AH3859" s="1" t="s">
        <v>133</v>
      </c>
      <c r="AI3859" s="1" t="s">
        <v>1457</v>
      </c>
      <c r="AJ3859" s="1">
        <v>82.66</v>
      </c>
      <c r="AK3859" s="1">
        <v>0</v>
      </c>
      <c r="AL3859" s="1" t="s">
        <v>3399</v>
      </c>
      <c r="AM3859" s="1" t="s">
        <v>52026</v>
      </c>
      <c r="AN3859" s="1"/>
      <c r="AO3859" s="1" t="s">
        <v>101</v>
      </c>
      <c r="AP3859" s="1" t="s">
        <v>136</v>
      </c>
      <c r="AQ3859" s="1">
        <v>75.5</v>
      </c>
      <c r="AR3859" s="1">
        <v>0</v>
      </c>
      <c r="AS3859" s="1"/>
      <c r="AT3859" s="1"/>
      <c r="AU3859" s="1" t="s">
        <v>98</v>
      </c>
      <c r="AV3859" s="1" t="s">
        <v>98</v>
      </c>
      <c r="AW3859" s="1" t="s">
        <v>98</v>
      </c>
      <c r="AX3859" s="1" t="s">
        <v>98</v>
      </c>
      <c r="AY3859" s="1" t="s">
        <v>54201</v>
      </c>
      <c r="AZ3859" s="1" t="s">
        <v>54201</v>
      </c>
      <c r="BA3859" s="1"/>
      <c r="BB3859" s="1"/>
      <c r="BC3859" s="1" t="s">
        <v>105</v>
      </c>
      <c r="BD3859" s="1" t="s">
        <v>313</v>
      </c>
      <c r="BE3859" s="1">
        <v>75.2</v>
      </c>
      <c r="BF3859" s="1">
        <v>7.52</v>
      </c>
      <c r="BG3859" s="1"/>
      <c r="BH3859" s="1"/>
      <c r="BI3859" s="1"/>
      <c r="BJ3859" s="1"/>
      <c r="BK3859" s="1" t="s">
        <v>98</v>
      </c>
      <c r="BL3859" s="1" t="s">
        <v>98</v>
      </c>
      <c r="BM3859" s="1" t="s">
        <v>98</v>
      </c>
      <c r="BN3859" s="1" t="s">
        <v>98</v>
      </c>
      <c r="BO3859" s="1" t="s">
        <v>61215</v>
      </c>
      <c r="BP3859" s="1" t="s">
        <v>61216</v>
      </c>
      <c r="BQ3859" s="1" t="s">
        <v>658</v>
      </c>
      <c r="BR3859" s="1" t="s">
        <v>61217</v>
      </c>
      <c r="BS3859" s="1">
        <v>12</v>
      </c>
      <c r="BT3859" s="1"/>
      <c r="BU3859" s="1" t="str">
        <f>HYPERLINK("https://nconnect.nicmar.ac.in/storage/profile/2021-2023_RP21035_593178.jpg","Download")</f>
        <v>0</v>
      </c>
      <c r="BV3859" s="3"/>
      <c r="BW3859" s="3"/>
    </row>
    <row r="3860" spans="1:75">
      <c r="A3860" s="1" t="s">
        <v>60691</v>
      </c>
      <c r="B3860" s="1" t="s">
        <v>51341</v>
      </c>
      <c r="C3860" s="1" t="s">
        <v>61218</v>
      </c>
      <c r="D3860" s="1" t="s">
        <v>61219</v>
      </c>
      <c r="E3860" s="1"/>
      <c r="F3860" s="1" t="s">
        <v>530</v>
      </c>
      <c r="G3860" s="1" t="s">
        <v>61220</v>
      </c>
      <c r="H3860" s="1" t="s">
        <v>61221</v>
      </c>
      <c r="I3860" s="1" t="s">
        <v>61222</v>
      </c>
      <c r="J3860" s="1">
        <v>7388955034</v>
      </c>
      <c r="K3860" s="1" t="s">
        <v>84</v>
      </c>
      <c r="L3860" s="1" t="s">
        <v>54840</v>
      </c>
      <c r="M3860" s="1" t="s">
        <v>86</v>
      </c>
      <c r="N3860" s="1" t="s">
        <v>246</v>
      </c>
      <c r="O3860" s="1"/>
      <c r="P3860" s="1" t="s">
        <v>1028</v>
      </c>
      <c r="Q3860" s="1" t="s">
        <v>61223</v>
      </c>
      <c r="R3860" s="1" t="s">
        <v>61224</v>
      </c>
      <c r="S3860" s="1">
        <v>9415189149</v>
      </c>
      <c r="T3860" s="1" t="s">
        <v>539</v>
      </c>
      <c r="U3860" s="1" t="s">
        <v>61225</v>
      </c>
      <c r="V3860" s="1">
        <v>8004505863</v>
      </c>
      <c r="W3860" s="1" t="s">
        <v>94</v>
      </c>
      <c r="X3860" s="1" t="s">
        <v>61226</v>
      </c>
      <c r="Y3860" s="1" t="s">
        <v>28737</v>
      </c>
      <c r="Z3860" s="1" t="s">
        <v>544</v>
      </c>
      <c r="AA3860" s="1" t="s">
        <v>61226</v>
      </c>
      <c r="AB3860" s="1" t="s">
        <v>1059</v>
      </c>
      <c r="AC3860" s="1" t="s">
        <v>544</v>
      </c>
      <c r="AD3860" s="1" t="s">
        <v>98</v>
      </c>
      <c r="AE3860" s="1" t="s">
        <v>98</v>
      </c>
      <c r="AF3860" s="1" t="s">
        <v>3399</v>
      </c>
      <c r="AG3860" s="1" t="s">
        <v>52026</v>
      </c>
      <c r="AH3860" s="1">
        <v>40637</v>
      </c>
      <c r="AI3860" s="1">
        <v>40998</v>
      </c>
      <c r="AJ3860" s="1">
        <v>77</v>
      </c>
      <c r="AK3860" s="1"/>
      <c r="AL3860" s="1" t="s">
        <v>3399</v>
      </c>
      <c r="AM3860" s="1" t="s">
        <v>52026</v>
      </c>
      <c r="AN3860" s="1"/>
      <c r="AO3860" s="1">
        <v>41365</v>
      </c>
      <c r="AP3860" s="1">
        <v>41727</v>
      </c>
      <c r="AQ3860" s="1">
        <v>84.5</v>
      </c>
      <c r="AR3860" s="1"/>
      <c r="AS3860" s="1"/>
      <c r="AT3860" s="1"/>
      <c r="AU3860" s="1" t="s">
        <v>98</v>
      </c>
      <c r="AV3860" s="1" t="s">
        <v>98</v>
      </c>
      <c r="AW3860" s="1" t="s">
        <v>98</v>
      </c>
      <c r="AX3860" s="1" t="s">
        <v>98</v>
      </c>
      <c r="AY3860" s="1" t="s">
        <v>933</v>
      </c>
      <c r="AZ3860" s="1" t="s">
        <v>61227</v>
      </c>
      <c r="BA3860" s="1"/>
      <c r="BB3860" s="1"/>
      <c r="BC3860" s="1">
        <v>41870</v>
      </c>
      <c r="BD3860" s="1">
        <v>43258</v>
      </c>
      <c r="BE3860" s="1">
        <v>64.6</v>
      </c>
      <c r="BF3860" s="1"/>
      <c r="BG3860" s="1"/>
      <c r="BH3860" s="1"/>
      <c r="BI3860" s="1"/>
      <c r="BJ3860" s="1"/>
      <c r="BK3860" s="1" t="s">
        <v>98</v>
      </c>
      <c r="BL3860" s="1" t="s">
        <v>98</v>
      </c>
      <c r="BM3860" s="1" t="s">
        <v>98</v>
      </c>
      <c r="BN3860" s="1" t="s">
        <v>98</v>
      </c>
      <c r="BO3860" s="1" t="s">
        <v>61228</v>
      </c>
      <c r="BP3860" s="1" t="s">
        <v>61229</v>
      </c>
      <c r="BQ3860" s="1" t="s">
        <v>658</v>
      </c>
      <c r="BR3860" s="1" t="s">
        <v>61230</v>
      </c>
      <c r="BS3860" s="1">
        <v>10</v>
      </c>
      <c r="BT3860" s="1"/>
      <c r="BU3860" s="1" t="str">
        <f>HYPERLINK("https://nconnect.nicmar.ac.in/storage/profile/2021-2023_RP21036_168593.jpg","Download")</f>
        <v>0</v>
      </c>
      <c r="BV3860" s="3"/>
      <c r="BW3860" s="3"/>
    </row>
    <row r="3861" spans="1:75">
      <c r="A3861" s="1" t="s">
        <v>60691</v>
      </c>
      <c r="B3861" s="1" t="s">
        <v>51341</v>
      </c>
      <c r="C3861" s="1" t="s">
        <v>61231</v>
      </c>
      <c r="D3861" s="1" t="s">
        <v>6136</v>
      </c>
      <c r="E3861" s="1"/>
      <c r="F3861" s="1" t="s">
        <v>530</v>
      </c>
      <c r="G3861" s="1" t="s">
        <v>61232</v>
      </c>
      <c r="H3861" s="1" t="s">
        <v>61233</v>
      </c>
      <c r="I3861" s="1" t="s">
        <v>61234</v>
      </c>
      <c r="J3861" s="1">
        <v>9830564948</v>
      </c>
      <c r="K3861" s="1" t="s">
        <v>84</v>
      </c>
      <c r="L3861" s="1" t="s">
        <v>33155</v>
      </c>
      <c r="M3861" s="1" t="s">
        <v>86</v>
      </c>
      <c r="N3861" s="1" t="s">
        <v>61235</v>
      </c>
      <c r="O3861" s="1"/>
      <c r="P3861" s="1" t="s">
        <v>507</v>
      </c>
      <c r="Q3861" s="1" t="s">
        <v>61236</v>
      </c>
      <c r="R3861" s="1" t="s">
        <v>61237</v>
      </c>
      <c r="S3861" s="1">
        <v>9830124948</v>
      </c>
      <c r="T3861" s="1" t="s">
        <v>926</v>
      </c>
      <c r="U3861" s="1" t="s">
        <v>61238</v>
      </c>
      <c r="V3861" s="1">
        <v>8100219217</v>
      </c>
      <c r="W3861" s="1" t="s">
        <v>43394</v>
      </c>
      <c r="X3861" s="1" t="s">
        <v>61239</v>
      </c>
      <c r="Y3861" s="1" t="s">
        <v>3282</v>
      </c>
      <c r="Z3861" s="1" t="s">
        <v>1234</v>
      </c>
      <c r="AA3861" s="1" t="s">
        <v>61239</v>
      </c>
      <c r="AB3861" s="1" t="s">
        <v>3282</v>
      </c>
      <c r="AC3861" s="1" t="s">
        <v>1234</v>
      </c>
      <c r="AD3861" s="1" t="s">
        <v>98</v>
      </c>
      <c r="AE3861" s="1" t="s">
        <v>98</v>
      </c>
      <c r="AF3861" s="1" t="s">
        <v>36327</v>
      </c>
      <c r="AG3861" s="1" t="s">
        <v>61240</v>
      </c>
      <c r="AH3861" s="1">
        <v>41737</v>
      </c>
      <c r="AI3861" s="1">
        <v>42142</v>
      </c>
      <c r="AJ3861" s="1">
        <v>68.8</v>
      </c>
      <c r="AK3861" s="1">
        <v>0</v>
      </c>
      <c r="AL3861" s="1" t="s">
        <v>61241</v>
      </c>
      <c r="AM3861" s="1" t="s">
        <v>61240</v>
      </c>
      <c r="AN3861" s="1"/>
      <c r="AO3861" s="1">
        <v>42471</v>
      </c>
      <c r="AP3861" s="1">
        <v>42884</v>
      </c>
      <c r="AQ3861" s="1">
        <v>51.4</v>
      </c>
      <c r="AR3861" s="1">
        <v>0</v>
      </c>
      <c r="AS3861" s="1"/>
      <c r="AT3861" s="1"/>
      <c r="AU3861" s="1" t="s">
        <v>98</v>
      </c>
      <c r="AV3861" s="1" t="s">
        <v>98</v>
      </c>
      <c r="AW3861" s="1" t="s">
        <v>98</v>
      </c>
      <c r="AX3861" s="1" t="s">
        <v>98</v>
      </c>
      <c r="AY3861" s="1" t="s">
        <v>3625</v>
      </c>
      <c r="AZ3861" s="1" t="s">
        <v>61242</v>
      </c>
      <c r="BA3861" s="1"/>
      <c r="BB3861" s="1"/>
      <c r="BC3861" s="1">
        <v>42982</v>
      </c>
      <c r="BD3861" s="1">
        <v>44390</v>
      </c>
      <c r="BE3861" s="1">
        <v>67</v>
      </c>
      <c r="BF3861" s="1">
        <v>7.45</v>
      </c>
      <c r="BG3861" s="1"/>
      <c r="BH3861" s="1"/>
      <c r="BI3861" s="1"/>
      <c r="BJ3861" s="1"/>
      <c r="BK3861" s="1" t="s">
        <v>98</v>
      </c>
      <c r="BL3861" s="1" t="s">
        <v>98</v>
      </c>
      <c r="BM3861" s="1" t="s">
        <v>98</v>
      </c>
      <c r="BN3861" s="1" t="s">
        <v>98</v>
      </c>
      <c r="BO3861" s="1" t="s">
        <v>61243</v>
      </c>
      <c r="BP3861" s="1"/>
      <c r="BQ3861" s="1"/>
      <c r="BR3861" s="1" t="s">
        <v>61244</v>
      </c>
      <c r="BS3861" s="1">
        <v>17</v>
      </c>
      <c r="BT3861" s="1"/>
      <c r="BU3861" s="1" t="str">
        <f>HYPERLINK("https://nconnect.nicmar.ac.in/storage/profile/2021-2023_RP21037_258169.jpeg","Download")</f>
        <v>0</v>
      </c>
      <c r="BV3861" s="3"/>
      <c r="BW3861" s="3"/>
    </row>
    <row r="3862" spans="1:75">
      <c r="A3862" s="1" t="s">
        <v>60691</v>
      </c>
      <c r="B3862" s="1" t="s">
        <v>51341</v>
      </c>
      <c r="C3862" s="1" t="s">
        <v>61245</v>
      </c>
      <c r="D3862" s="1" t="s">
        <v>27117</v>
      </c>
      <c r="E3862" s="1"/>
      <c r="F3862" s="1" t="s">
        <v>38474</v>
      </c>
      <c r="G3862" s="1" t="s">
        <v>61246</v>
      </c>
      <c r="H3862" s="1" t="s">
        <v>61247</v>
      </c>
      <c r="I3862" s="1" t="s">
        <v>61248</v>
      </c>
      <c r="J3862" s="1">
        <v>9833353705</v>
      </c>
      <c r="K3862" s="1" t="s">
        <v>84</v>
      </c>
      <c r="L3862" s="1" t="s">
        <v>61249</v>
      </c>
      <c r="M3862" s="1" t="s">
        <v>86</v>
      </c>
      <c r="N3862" s="1" t="s">
        <v>61250</v>
      </c>
      <c r="O3862" s="1"/>
      <c r="P3862" s="1" t="s">
        <v>507</v>
      </c>
      <c r="Q3862" s="1" t="s">
        <v>61251</v>
      </c>
      <c r="R3862" s="1" t="s">
        <v>61252</v>
      </c>
      <c r="S3862" s="1">
        <v>9224449329</v>
      </c>
      <c r="T3862" s="1" t="s">
        <v>98</v>
      </c>
      <c r="U3862" s="1" t="s">
        <v>61253</v>
      </c>
      <c r="V3862" s="1">
        <v>9224449329</v>
      </c>
      <c r="W3862" s="1" t="s">
        <v>61254</v>
      </c>
      <c r="X3862" s="1" t="s">
        <v>61255</v>
      </c>
      <c r="Y3862" s="1" t="s">
        <v>14079</v>
      </c>
      <c r="Z3862" s="1" t="s">
        <v>97</v>
      </c>
      <c r="AA3862" s="1" t="s">
        <v>61255</v>
      </c>
      <c r="AB3862" s="1" t="s">
        <v>14079</v>
      </c>
      <c r="AC3862" s="1" t="s">
        <v>97</v>
      </c>
      <c r="AD3862" s="1" t="s">
        <v>98</v>
      </c>
      <c r="AE3862" s="1" t="s">
        <v>98</v>
      </c>
      <c r="AF3862" s="1" t="s">
        <v>61256</v>
      </c>
      <c r="AG3862" s="1" t="s">
        <v>6474</v>
      </c>
      <c r="AH3862" s="1">
        <v>40701</v>
      </c>
      <c r="AI3862" s="1">
        <v>41092</v>
      </c>
      <c r="AJ3862" s="1">
        <v>92.85</v>
      </c>
      <c r="AK3862" s="1"/>
      <c r="AL3862" s="1" t="s">
        <v>61257</v>
      </c>
      <c r="AM3862" s="1" t="s">
        <v>6474</v>
      </c>
      <c r="AN3862" s="1"/>
      <c r="AO3862" s="1">
        <v>41429</v>
      </c>
      <c r="AP3862" s="1">
        <v>41792</v>
      </c>
      <c r="AQ3862" s="1">
        <v>68</v>
      </c>
      <c r="AR3862" s="1"/>
      <c r="AS3862" s="1"/>
      <c r="AT3862" s="1"/>
      <c r="AU3862" s="1" t="s">
        <v>98</v>
      </c>
      <c r="AV3862" s="1" t="s">
        <v>98</v>
      </c>
      <c r="AW3862" s="1" t="s">
        <v>98</v>
      </c>
      <c r="AX3862" s="1" t="s">
        <v>98</v>
      </c>
      <c r="AY3862" s="1" t="s">
        <v>366</v>
      </c>
      <c r="AZ3862" s="1" t="s">
        <v>61258</v>
      </c>
      <c r="BA3862" s="1"/>
      <c r="BB3862" s="1"/>
      <c r="BC3862" s="1">
        <v>41856</v>
      </c>
      <c r="BD3862" s="1">
        <v>43651</v>
      </c>
      <c r="BE3862" s="1">
        <v>60.61</v>
      </c>
      <c r="BF3862" s="1">
        <v>0</v>
      </c>
      <c r="BG3862" s="1"/>
      <c r="BH3862" s="1"/>
      <c r="BI3862" s="1"/>
      <c r="BJ3862" s="1"/>
      <c r="BK3862" s="1" t="s">
        <v>98</v>
      </c>
      <c r="BL3862" s="1" t="s">
        <v>98</v>
      </c>
      <c r="BM3862" s="1" t="s">
        <v>98</v>
      </c>
      <c r="BN3862" s="1" t="s">
        <v>98</v>
      </c>
      <c r="BO3862" s="1" t="s">
        <v>61259</v>
      </c>
      <c r="BP3862" s="1"/>
      <c r="BQ3862" s="1"/>
      <c r="BR3862" s="1" t="s">
        <v>61260</v>
      </c>
      <c r="BS3862" s="1">
        <v>33</v>
      </c>
      <c r="BT3862" s="1"/>
      <c r="BU3862" s="1" t="str">
        <f>HYPERLINK("https://nconnect.nicmar.ac.in/storage/profile/2021-2023_RP21039_537849.jpg","Download")</f>
        <v>0</v>
      </c>
      <c r="BV3862" s="3"/>
      <c r="BW3862" s="3"/>
    </row>
    <row r="3863" spans="1:75">
      <c r="A3863" s="1" t="s">
        <v>60691</v>
      </c>
      <c r="B3863" s="1" t="s">
        <v>51341</v>
      </c>
      <c r="C3863" s="1" t="s">
        <v>61261</v>
      </c>
      <c r="D3863" s="1" t="s">
        <v>2428</v>
      </c>
      <c r="E3863" s="1" t="s">
        <v>61262</v>
      </c>
      <c r="F3863" s="1" t="s">
        <v>61263</v>
      </c>
      <c r="G3863" s="1" t="s">
        <v>61264</v>
      </c>
      <c r="H3863" s="1" t="s">
        <v>61265</v>
      </c>
      <c r="I3863" s="1" t="s">
        <v>61266</v>
      </c>
      <c r="J3863" s="1">
        <v>9081222178</v>
      </c>
      <c r="K3863" s="1" t="s">
        <v>84</v>
      </c>
      <c r="L3863" s="1" t="s">
        <v>61267</v>
      </c>
      <c r="M3863" s="1" t="s">
        <v>86</v>
      </c>
      <c r="N3863" s="1" t="s">
        <v>6641</v>
      </c>
      <c r="O3863" s="1"/>
      <c r="P3863" s="1" t="s">
        <v>455</v>
      </c>
      <c r="Q3863" s="1" t="s">
        <v>61268</v>
      </c>
      <c r="R3863" s="1" t="s">
        <v>61269</v>
      </c>
      <c r="S3863" s="1">
        <v>9825322178</v>
      </c>
      <c r="T3863" s="1" t="s">
        <v>926</v>
      </c>
      <c r="U3863" s="1" t="s">
        <v>61270</v>
      </c>
      <c r="V3863" s="1">
        <v>9428277178</v>
      </c>
      <c r="W3863" s="1" t="s">
        <v>161</v>
      </c>
      <c r="X3863" s="1" t="s">
        <v>61271</v>
      </c>
      <c r="Y3863" s="1" t="s">
        <v>52845</v>
      </c>
      <c r="Z3863" s="1" t="s">
        <v>676</v>
      </c>
      <c r="AA3863" s="1" t="s">
        <v>61271</v>
      </c>
      <c r="AB3863" s="1" t="s">
        <v>52845</v>
      </c>
      <c r="AC3863" s="1" t="s">
        <v>676</v>
      </c>
      <c r="AD3863" s="1" t="s">
        <v>98</v>
      </c>
      <c r="AE3863" s="1" t="s">
        <v>98</v>
      </c>
      <c r="AF3863" s="1" t="s">
        <v>61272</v>
      </c>
      <c r="AG3863" s="1" t="s">
        <v>61273</v>
      </c>
      <c r="AH3863" s="1" t="s">
        <v>1262</v>
      </c>
      <c r="AI3863" s="1" t="s">
        <v>102</v>
      </c>
      <c r="AJ3863" s="1">
        <v>82.83</v>
      </c>
      <c r="AK3863" s="1">
        <v>0</v>
      </c>
      <c r="AL3863" s="1" t="s">
        <v>61272</v>
      </c>
      <c r="AM3863" s="1" t="s">
        <v>61273</v>
      </c>
      <c r="AN3863" s="1"/>
      <c r="AO3863" s="1" t="s">
        <v>1110</v>
      </c>
      <c r="AP3863" s="1" t="s">
        <v>1886</v>
      </c>
      <c r="AQ3863" s="1">
        <v>81.33</v>
      </c>
      <c r="AR3863" s="1">
        <v>0</v>
      </c>
      <c r="AS3863" s="1"/>
      <c r="AT3863" s="1"/>
      <c r="AU3863" s="1"/>
      <c r="AV3863" s="1"/>
      <c r="AW3863" s="1"/>
      <c r="AX3863" s="1"/>
      <c r="AY3863" s="1" t="s">
        <v>8169</v>
      </c>
      <c r="AZ3863" s="1" t="s">
        <v>61274</v>
      </c>
      <c r="BA3863" s="1"/>
      <c r="BB3863" s="1"/>
      <c r="BC3863" s="1" t="s">
        <v>388</v>
      </c>
      <c r="BD3863" s="1" t="s">
        <v>847</v>
      </c>
      <c r="BE3863" s="1">
        <v>62</v>
      </c>
      <c r="BF3863" s="1">
        <v>6.7</v>
      </c>
      <c r="BG3863" s="1"/>
      <c r="BH3863" s="1"/>
      <c r="BI3863" s="1"/>
      <c r="BJ3863" s="1"/>
      <c r="BK3863" s="1"/>
      <c r="BL3863" s="1"/>
      <c r="BM3863" s="1"/>
      <c r="BN3863" s="1"/>
      <c r="BO3863" s="1" t="s">
        <v>60539</v>
      </c>
      <c r="BP3863" s="1"/>
      <c r="BQ3863" s="1"/>
      <c r="BR3863" s="1" t="s">
        <v>61275</v>
      </c>
      <c r="BS3863" s="1">
        <v>22</v>
      </c>
      <c r="BT3863" s="1"/>
      <c r="BU3863" s="1" t="str">
        <f>HYPERLINK("https://nconnect.nicmar.ac.in/storage/profile/2021-2023_RP21040_215978.jpg","Download")</f>
        <v>0</v>
      </c>
      <c r="BV3863" s="3"/>
      <c r="BW3863" s="3"/>
    </row>
    <row r="3864" spans="1:75">
      <c r="A3864" s="1" t="s">
        <v>60691</v>
      </c>
      <c r="B3864" s="1" t="s">
        <v>51341</v>
      </c>
      <c r="C3864" s="1" t="s">
        <v>61276</v>
      </c>
      <c r="D3864" s="1" t="s">
        <v>61277</v>
      </c>
      <c r="E3864" s="1"/>
      <c r="F3864" s="1" t="s">
        <v>61278</v>
      </c>
      <c r="G3864" s="1" t="s">
        <v>61279</v>
      </c>
      <c r="H3864" s="1" t="s">
        <v>61280</v>
      </c>
      <c r="I3864" s="1" t="s">
        <v>61281</v>
      </c>
      <c r="J3864" s="1">
        <v>8008695291</v>
      </c>
      <c r="K3864" s="1" t="s">
        <v>84</v>
      </c>
      <c r="L3864" s="1" t="s">
        <v>55366</v>
      </c>
      <c r="M3864" s="1" t="s">
        <v>86</v>
      </c>
      <c r="N3864" s="1" t="s">
        <v>3026</v>
      </c>
      <c r="O3864" s="1"/>
      <c r="P3864" s="1" t="s">
        <v>455</v>
      </c>
      <c r="Q3864" s="1" t="s">
        <v>61282</v>
      </c>
      <c r="R3864" s="1" t="s">
        <v>61283</v>
      </c>
      <c r="S3864" s="1">
        <v>8374424466</v>
      </c>
      <c r="T3864" s="1" t="s">
        <v>839</v>
      </c>
      <c r="U3864" s="1" t="s">
        <v>61284</v>
      </c>
      <c r="V3864" s="1">
        <v>9959136042</v>
      </c>
      <c r="W3864" s="1" t="s">
        <v>94</v>
      </c>
      <c r="X3864" s="1" t="s">
        <v>61285</v>
      </c>
      <c r="Y3864" s="1" t="s">
        <v>3031</v>
      </c>
      <c r="Z3864" s="1" t="s">
        <v>461</v>
      </c>
      <c r="AA3864" s="1" t="s">
        <v>98</v>
      </c>
      <c r="AB3864" s="1" t="s">
        <v>3031</v>
      </c>
      <c r="AC3864" s="1" t="s">
        <v>461</v>
      </c>
      <c r="AD3864" s="1" t="s">
        <v>98</v>
      </c>
      <c r="AE3864" s="1" t="s">
        <v>98</v>
      </c>
      <c r="AF3864" s="1" t="s">
        <v>3032</v>
      </c>
      <c r="AG3864" s="1" t="s">
        <v>1418</v>
      </c>
      <c r="AH3864" s="1">
        <v>41334</v>
      </c>
      <c r="AI3864" s="1">
        <v>41774</v>
      </c>
      <c r="AJ3864" s="1">
        <v>90.25</v>
      </c>
      <c r="AK3864" s="1">
        <v>9.5</v>
      </c>
      <c r="AL3864" s="1" t="s">
        <v>61286</v>
      </c>
      <c r="AM3864" s="1" t="s">
        <v>1418</v>
      </c>
      <c r="AN3864" s="1"/>
      <c r="AO3864" s="1">
        <v>41791</v>
      </c>
      <c r="AP3864" s="1">
        <v>42482</v>
      </c>
      <c r="AQ3864" s="1">
        <v>90.8</v>
      </c>
      <c r="AR3864" s="1"/>
      <c r="AS3864" s="1"/>
      <c r="AT3864" s="1"/>
      <c r="AU3864" s="1" t="s">
        <v>98</v>
      </c>
      <c r="AV3864" s="1" t="s">
        <v>98</v>
      </c>
      <c r="AW3864" s="1" t="s">
        <v>98</v>
      </c>
      <c r="AX3864" s="1" t="s">
        <v>98</v>
      </c>
      <c r="AY3864" s="1" t="s">
        <v>1823</v>
      </c>
      <c r="AZ3864" s="1" t="s">
        <v>52627</v>
      </c>
      <c r="BA3864" s="1"/>
      <c r="BB3864" s="1"/>
      <c r="BC3864" s="1">
        <v>42952</v>
      </c>
      <c r="BD3864" s="1">
        <v>44418</v>
      </c>
      <c r="BE3864" s="1">
        <v>73.8</v>
      </c>
      <c r="BF3864" s="1">
        <v>7.88</v>
      </c>
      <c r="BG3864" s="1"/>
      <c r="BH3864" s="1"/>
      <c r="BI3864" s="1"/>
      <c r="BJ3864" s="1"/>
      <c r="BK3864" s="1" t="s">
        <v>98</v>
      </c>
      <c r="BL3864" s="1" t="s">
        <v>98</v>
      </c>
      <c r="BM3864" s="1" t="s">
        <v>98</v>
      </c>
      <c r="BN3864" s="1" t="s">
        <v>98</v>
      </c>
      <c r="BO3864" s="1" t="s">
        <v>1114</v>
      </c>
      <c r="BP3864" s="1"/>
      <c r="BQ3864" s="1"/>
      <c r="BR3864" s="1" t="s">
        <v>61287</v>
      </c>
      <c r="BS3864" s="1">
        <v>23</v>
      </c>
      <c r="BT3864" s="1"/>
      <c r="BU3864" s="1" t="str">
        <f>HYPERLINK("https://nconnect.nicmar.ac.in/storage/profile/2021-2023_RP21041_893571.jpg","Download")</f>
        <v>0</v>
      </c>
      <c r="BV3864" s="3"/>
      <c r="BW3864"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 ref="BU82" r:id="rId_hyperlink_81" tooltip="Download" display="Download"/>
    <hyperlink ref="BU83" r:id="rId_hyperlink_82" tooltip="Download" display="Download"/>
    <hyperlink ref="BU84" r:id="rId_hyperlink_83" tooltip="Download" display="Download"/>
    <hyperlink ref="BU85" r:id="rId_hyperlink_84" tooltip="Download" display="Download"/>
    <hyperlink ref="BU86" r:id="rId_hyperlink_85" tooltip="Download" display="Download"/>
    <hyperlink ref="BU87" r:id="rId_hyperlink_86" tooltip="Download" display="Download"/>
    <hyperlink ref="BU88" r:id="rId_hyperlink_87" tooltip="Download" display="Download"/>
    <hyperlink ref="BU89" r:id="rId_hyperlink_88" tooltip="Download" display="Download"/>
    <hyperlink ref="BU90" r:id="rId_hyperlink_89" tooltip="Download" display="Download"/>
    <hyperlink ref="BU91" r:id="rId_hyperlink_90" tooltip="Download" display="Download"/>
    <hyperlink ref="BU92" r:id="rId_hyperlink_91" tooltip="Download" display="Download"/>
    <hyperlink ref="BU93" r:id="rId_hyperlink_92" tooltip="Download" display="Download"/>
    <hyperlink ref="BU94" r:id="rId_hyperlink_93" tooltip="Download" display="Download"/>
    <hyperlink ref="BU95" r:id="rId_hyperlink_94" tooltip="Download" display="Download"/>
    <hyperlink ref="BU96" r:id="rId_hyperlink_95" tooltip="Download" display="Download"/>
    <hyperlink ref="BU97" r:id="rId_hyperlink_96" tooltip="Download" display="Download"/>
    <hyperlink ref="BU98" r:id="rId_hyperlink_97" tooltip="Download" display="Download"/>
    <hyperlink ref="BU99" r:id="rId_hyperlink_98" tooltip="Download" display="Download"/>
    <hyperlink ref="BU100" r:id="rId_hyperlink_99" tooltip="Download" display="Download"/>
    <hyperlink ref="BU101" r:id="rId_hyperlink_100" tooltip="Download" display="Download"/>
    <hyperlink ref="BU102" r:id="rId_hyperlink_101" tooltip="Download" display="Download"/>
    <hyperlink ref="BU103" r:id="rId_hyperlink_102" tooltip="Download" display="Download"/>
    <hyperlink ref="BU104" r:id="rId_hyperlink_103" tooltip="Download" display="Download"/>
    <hyperlink ref="BU105" r:id="rId_hyperlink_104" tooltip="Download" display="Download"/>
    <hyperlink ref="BU106" r:id="rId_hyperlink_105" tooltip="Download" display="Download"/>
    <hyperlink ref="BU107" r:id="rId_hyperlink_106" tooltip="Download" display="Download"/>
    <hyperlink ref="BU108" r:id="rId_hyperlink_107" tooltip="Download" display="Download"/>
    <hyperlink ref="BU109" r:id="rId_hyperlink_108" tooltip="Download" display="Download"/>
    <hyperlink ref="BU110" r:id="rId_hyperlink_109" tooltip="Download" display="Download"/>
    <hyperlink ref="BU111" r:id="rId_hyperlink_110" tooltip="Download" display="Download"/>
    <hyperlink ref="BU112" r:id="rId_hyperlink_111" tooltip="Download" display="Download"/>
    <hyperlink ref="BU113" r:id="rId_hyperlink_112" tooltip="Download" display="Download"/>
    <hyperlink ref="BU114" r:id="rId_hyperlink_113" tooltip="Download" display="Download"/>
    <hyperlink ref="BU115" r:id="rId_hyperlink_114" tooltip="Download" display="Download"/>
    <hyperlink ref="BU116" r:id="rId_hyperlink_115" tooltip="Download" display="Download"/>
    <hyperlink ref="BU117" r:id="rId_hyperlink_116" tooltip="Download" display="Download"/>
    <hyperlink ref="BU118" r:id="rId_hyperlink_117" tooltip="Download" display="Download"/>
    <hyperlink ref="BU119" r:id="rId_hyperlink_118" tooltip="Download" display="Download"/>
    <hyperlink ref="BU120" r:id="rId_hyperlink_119" tooltip="Download" display="Download"/>
    <hyperlink ref="BU121" r:id="rId_hyperlink_120" tooltip="Download" display="Download"/>
    <hyperlink ref="BU122" r:id="rId_hyperlink_121" tooltip="Download" display="Download"/>
    <hyperlink ref="BU123" r:id="rId_hyperlink_122" tooltip="Download" display="Download"/>
    <hyperlink ref="BU124" r:id="rId_hyperlink_123" tooltip="Download" display="Download"/>
    <hyperlink ref="BU125" r:id="rId_hyperlink_124" tooltip="Download" display="Download"/>
    <hyperlink ref="BU126" r:id="rId_hyperlink_125" tooltip="Download" display="Download"/>
    <hyperlink ref="BU127" r:id="rId_hyperlink_126" tooltip="Download" display="Download"/>
    <hyperlink ref="BU128" r:id="rId_hyperlink_127" tooltip="Download" display="Download"/>
    <hyperlink ref="BU129" r:id="rId_hyperlink_128" tooltip="Download" display="Download"/>
    <hyperlink ref="BU130" r:id="rId_hyperlink_129" tooltip="Download" display="Download"/>
    <hyperlink ref="BU131" r:id="rId_hyperlink_130" tooltip="Download" display="Download"/>
    <hyperlink ref="BU132" r:id="rId_hyperlink_131" tooltip="Download" display="Download"/>
    <hyperlink ref="BU133" r:id="rId_hyperlink_132" tooltip="Download" display="Download"/>
    <hyperlink ref="BU134" r:id="rId_hyperlink_133" tooltip="Download" display="Download"/>
    <hyperlink ref="BU135" r:id="rId_hyperlink_134" tooltip="Download" display="Download"/>
    <hyperlink ref="BU136" r:id="rId_hyperlink_135" tooltip="Download" display="Download"/>
    <hyperlink ref="BU137" r:id="rId_hyperlink_136" tooltip="Download" display="Download"/>
    <hyperlink ref="BU138" r:id="rId_hyperlink_137" tooltip="Download" display="Download"/>
    <hyperlink ref="BU139" r:id="rId_hyperlink_138" tooltip="Download" display="Download"/>
    <hyperlink ref="BU140" r:id="rId_hyperlink_139" tooltip="Download" display="Download"/>
    <hyperlink ref="BU141" r:id="rId_hyperlink_140" tooltip="Download" display="Download"/>
    <hyperlink ref="BU142" r:id="rId_hyperlink_141" tooltip="Download" display="Download"/>
    <hyperlink ref="BU143" r:id="rId_hyperlink_142" tooltip="Download" display="Download"/>
    <hyperlink ref="BU144" r:id="rId_hyperlink_143" tooltip="Download" display="Download"/>
    <hyperlink ref="BU145" r:id="rId_hyperlink_144" tooltip="Download" display="Download"/>
    <hyperlink ref="BU146" r:id="rId_hyperlink_145" tooltip="Download" display="Download"/>
    <hyperlink ref="BU147" r:id="rId_hyperlink_146" tooltip="Download" display="Download"/>
    <hyperlink ref="BU148" r:id="rId_hyperlink_147" tooltip="Download" display="Download"/>
    <hyperlink ref="BU149" r:id="rId_hyperlink_148" tooltip="Download" display="Download"/>
    <hyperlink ref="BU150" r:id="rId_hyperlink_149" tooltip="Download" display="Download"/>
    <hyperlink ref="BU151" r:id="rId_hyperlink_150" tooltip="Download" display="Download"/>
    <hyperlink ref="BU152" r:id="rId_hyperlink_151" tooltip="Download" display="Download"/>
    <hyperlink ref="BU153" r:id="rId_hyperlink_152" tooltip="Download" display="Download"/>
    <hyperlink ref="BU154" r:id="rId_hyperlink_153" tooltip="Download" display="Download"/>
    <hyperlink ref="BU155" r:id="rId_hyperlink_154" tooltip="Download" display="Download"/>
    <hyperlink ref="BU156" r:id="rId_hyperlink_155" tooltip="Download" display="Download"/>
    <hyperlink ref="BU157" r:id="rId_hyperlink_156" tooltip="Download" display="Download"/>
    <hyperlink ref="BU158" r:id="rId_hyperlink_157" tooltip="Download" display="Download"/>
    <hyperlink ref="BU159" r:id="rId_hyperlink_158" tooltip="Download" display="Download"/>
    <hyperlink ref="BU160" r:id="rId_hyperlink_159" tooltip="Download" display="Download"/>
    <hyperlink ref="BU161" r:id="rId_hyperlink_160" tooltip="Download" display="Download"/>
    <hyperlink ref="BU162" r:id="rId_hyperlink_161" tooltip="Download" display="Download"/>
    <hyperlink ref="BU163" r:id="rId_hyperlink_162" tooltip="Download" display="Download"/>
    <hyperlink ref="BU164" r:id="rId_hyperlink_163" tooltip="Download" display="Download"/>
    <hyperlink ref="BU165" r:id="rId_hyperlink_164" tooltip="Download" display="Download"/>
    <hyperlink ref="BU166" r:id="rId_hyperlink_165" tooltip="Download" display="Download"/>
    <hyperlink ref="BU167" r:id="rId_hyperlink_166" tooltip="Download" display="Download"/>
    <hyperlink ref="BU168" r:id="rId_hyperlink_167" tooltip="Download" display="Download"/>
    <hyperlink ref="BU169" r:id="rId_hyperlink_168" tooltip="Download" display="Download"/>
    <hyperlink ref="BU170" r:id="rId_hyperlink_169" tooltip="Download" display="Download"/>
    <hyperlink ref="BU171" r:id="rId_hyperlink_170" tooltip="Download" display="Download"/>
    <hyperlink ref="BU172" r:id="rId_hyperlink_171" tooltip="Download" display="Download"/>
    <hyperlink ref="BU173" r:id="rId_hyperlink_172" tooltip="Download" display="Download"/>
    <hyperlink ref="BU174" r:id="rId_hyperlink_173" tooltip="Download" display="Download"/>
    <hyperlink ref="BU175" r:id="rId_hyperlink_174" tooltip="Download" display="Download"/>
    <hyperlink ref="BU176" r:id="rId_hyperlink_175" tooltip="Download" display="Download"/>
    <hyperlink ref="BU177" r:id="rId_hyperlink_176" tooltip="Download" display="Download"/>
    <hyperlink ref="BU178" r:id="rId_hyperlink_177" tooltip="Download" display="Download"/>
    <hyperlink ref="BU179" r:id="rId_hyperlink_178" tooltip="Download" display="Download"/>
    <hyperlink ref="BU180" r:id="rId_hyperlink_179" tooltip="Download" display="Download"/>
    <hyperlink ref="BU181" r:id="rId_hyperlink_180" tooltip="Download" display="Download"/>
    <hyperlink ref="BU182" r:id="rId_hyperlink_181" tooltip="Download" display="Download"/>
    <hyperlink ref="BU183" r:id="rId_hyperlink_182" tooltip="Download" display="Download"/>
    <hyperlink ref="BU184" r:id="rId_hyperlink_183" tooltip="Download" display="Download"/>
    <hyperlink ref="BU185" r:id="rId_hyperlink_184" tooltip="Download" display="Download"/>
    <hyperlink ref="BU186" r:id="rId_hyperlink_185" tooltip="Download" display="Download"/>
    <hyperlink ref="BU187" r:id="rId_hyperlink_186" tooltip="Download" display="Download"/>
    <hyperlink ref="BU188" r:id="rId_hyperlink_187" tooltip="Download" display="Download"/>
    <hyperlink ref="BU189" r:id="rId_hyperlink_188" tooltip="Download" display="Download"/>
    <hyperlink ref="BU190" r:id="rId_hyperlink_189" tooltip="Download" display="Download"/>
    <hyperlink ref="BU191" r:id="rId_hyperlink_190" tooltip="Download" display="Download"/>
    <hyperlink ref="BU192" r:id="rId_hyperlink_191" tooltip="Download" display="Download"/>
    <hyperlink ref="BU193" r:id="rId_hyperlink_192" tooltip="Download" display="Download"/>
    <hyperlink ref="BU194" r:id="rId_hyperlink_193" tooltip="Download" display="Download"/>
    <hyperlink ref="BU195" r:id="rId_hyperlink_194" tooltip="Download" display="Download"/>
    <hyperlink ref="BU196" r:id="rId_hyperlink_195" tooltip="Download" display="Download"/>
    <hyperlink ref="BU197" r:id="rId_hyperlink_196" tooltip="Download" display="Download"/>
    <hyperlink ref="BU198" r:id="rId_hyperlink_197" tooltip="Download" display="Download"/>
    <hyperlink ref="BU199" r:id="rId_hyperlink_198" tooltip="Download" display="Download"/>
    <hyperlink ref="BU200" r:id="rId_hyperlink_199" tooltip="Download" display="Download"/>
    <hyperlink ref="BU201" r:id="rId_hyperlink_200" tooltip="Download" display="Download"/>
    <hyperlink ref="BU202" r:id="rId_hyperlink_201" tooltip="Download" display="Download"/>
    <hyperlink ref="BU203" r:id="rId_hyperlink_202" tooltip="Download" display="Download"/>
    <hyperlink ref="BU204" r:id="rId_hyperlink_203" tooltip="Download" display="Download"/>
    <hyperlink ref="BU205" r:id="rId_hyperlink_204" tooltip="Download" display="Download"/>
    <hyperlink ref="BU206" r:id="rId_hyperlink_205" tooltip="Download" display="Download"/>
    <hyperlink ref="BU207" r:id="rId_hyperlink_206" tooltip="Download" display="Download"/>
    <hyperlink ref="BU208" r:id="rId_hyperlink_207" tooltip="Download" display="Download"/>
    <hyperlink ref="BU209" r:id="rId_hyperlink_208" tooltip="Download" display="Download"/>
    <hyperlink ref="BU210" r:id="rId_hyperlink_209" tooltip="Download" display="Download"/>
    <hyperlink ref="BU211" r:id="rId_hyperlink_210" tooltip="Download" display="Download"/>
    <hyperlink ref="BU212" r:id="rId_hyperlink_211" tooltip="Download" display="Download"/>
    <hyperlink ref="BU213" r:id="rId_hyperlink_212" tooltip="Download" display="Download"/>
    <hyperlink ref="BU214" r:id="rId_hyperlink_213" tooltip="Download" display="Download"/>
    <hyperlink ref="BU215" r:id="rId_hyperlink_214" tooltip="Download" display="Download"/>
    <hyperlink ref="BU216" r:id="rId_hyperlink_215" tooltip="Download" display="Download"/>
    <hyperlink ref="BU217" r:id="rId_hyperlink_216" tooltip="Download" display="Download"/>
    <hyperlink ref="BU218" r:id="rId_hyperlink_217" tooltip="Download" display="Download"/>
    <hyperlink ref="BU219" r:id="rId_hyperlink_218" tooltip="Download" display="Download"/>
    <hyperlink ref="BU220" r:id="rId_hyperlink_219" tooltip="Download" display="Download"/>
    <hyperlink ref="BU221" r:id="rId_hyperlink_220" tooltip="Download" display="Download"/>
    <hyperlink ref="BU222" r:id="rId_hyperlink_221" tooltip="Download" display="Download"/>
    <hyperlink ref="BU223" r:id="rId_hyperlink_222" tooltip="Download" display="Download"/>
    <hyperlink ref="BU224" r:id="rId_hyperlink_223" tooltip="Download" display="Download"/>
    <hyperlink ref="BU225" r:id="rId_hyperlink_224" tooltip="Download" display="Download"/>
    <hyperlink ref="BU226" r:id="rId_hyperlink_225" tooltip="Download" display="Download"/>
    <hyperlink ref="BU227" r:id="rId_hyperlink_226" tooltip="Download" display="Download"/>
    <hyperlink ref="BU228" r:id="rId_hyperlink_227" tooltip="Download" display="Download"/>
    <hyperlink ref="BU229" r:id="rId_hyperlink_228" tooltip="Download" display="Download"/>
    <hyperlink ref="BU230" r:id="rId_hyperlink_229" tooltip="Download" display="Download"/>
    <hyperlink ref="BU231" r:id="rId_hyperlink_230" tooltip="Download" display="Download"/>
    <hyperlink ref="BU232" r:id="rId_hyperlink_231" tooltip="Download" display="Download"/>
    <hyperlink ref="BU233" r:id="rId_hyperlink_232" tooltip="Download" display="Download"/>
    <hyperlink ref="BU234" r:id="rId_hyperlink_233" tooltip="Download" display="Download"/>
    <hyperlink ref="BU235" r:id="rId_hyperlink_234" tooltip="Download" display="Download"/>
    <hyperlink ref="BU236" r:id="rId_hyperlink_235" tooltip="Download" display="Download"/>
    <hyperlink ref="BU237" r:id="rId_hyperlink_236" tooltip="Download" display="Download"/>
    <hyperlink ref="BU238" r:id="rId_hyperlink_237" tooltip="Download" display="Download"/>
    <hyperlink ref="BU239" r:id="rId_hyperlink_238" tooltip="Download" display="Download"/>
    <hyperlink ref="BU240" r:id="rId_hyperlink_239" tooltip="Download" display="Download"/>
    <hyperlink ref="BU241" r:id="rId_hyperlink_240" tooltip="Download" display="Download"/>
    <hyperlink ref="BU242" r:id="rId_hyperlink_241" tooltip="Download" display="Download"/>
    <hyperlink ref="BU243" r:id="rId_hyperlink_242" tooltip="Download" display="Download"/>
    <hyperlink ref="BU244" r:id="rId_hyperlink_243" tooltip="Download" display="Download"/>
    <hyperlink ref="BU245" r:id="rId_hyperlink_244" tooltip="Download" display="Download"/>
    <hyperlink ref="BU246" r:id="rId_hyperlink_245" tooltip="Download" display="Download"/>
    <hyperlink ref="BU247" r:id="rId_hyperlink_246" tooltip="Download" display="Download"/>
    <hyperlink ref="BU248" r:id="rId_hyperlink_247" tooltip="Download" display="Download"/>
    <hyperlink ref="BU249" r:id="rId_hyperlink_248" tooltip="Download" display="Download"/>
    <hyperlink ref="BU250" r:id="rId_hyperlink_249" tooltip="Download" display="Download"/>
    <hyperlink ref="BU251" r:id="rId_hyperlink_250" tooltip="Download" display="Download"/>
    <hyperlink ref="BU252" r:id="rId_hyperlink_251" tooltip="Download" display="Download"/>
    <hyperlink ref="BU253" r:id="rId_hyperlink_252" tooltip="Download" display="Download"/>
    <hyperlink ref="BU254" r:id="rId_hyperlink_253" tooltip="Download" display="Download"/>
    <hyperlink ref="BU255" r:id="rId_hyperlink_254" tooltip="Download" display="Download"/>
    <hyperlink ref="BU256" r:id="rId_hyperlink_255" tooltip="Download" display="Download"/>
    <hyperlink ref="BU257" r:id="rId_hyperlink_256" tooltip="Download" display="Download"/>
    <hyperlink ref="BU258" r:id="rId_hyperlink_257" tooltip="Download" display="Download"/>
    <hyperlink ref="BU259" r:id="rId_hyperlink_258" tooltip="Download" display="Download"/>
    <hyperlink ref="BU260" r:id="rId_hyperlink_259" tooltip="Download" display="Download"/>
    <hyperlink ref="BU261" r:id="rId_hyperlink_260" tooltip="Download" display="Download"/>
    <hyperlink ref="BU262" r:id="rId_hyperlink_261" tooltip="Download" display="Download"/>
    <hyperlink ref="BU263" r:id="rId_hyperlink_262" tooltip="Download" display="Download"/>
    <hyperlink ref="BU264" r:id="rId_hyperlink_263" tooltip="Download" display="Download"/>
    <hyperlink ref="BU265" r:id="rId_hyperlink_264" tooltip="Download" display="Download"/>
    <hyperlink ref="BU266" r:id="rId_hyperlink_265" tooltip="Download" display="Download"/>
    <hyperlink ref="BU267" r:id="rId_hyperlink_266" tooltip="Download" display="Download"/>
    <hyperlink ref="BU268" r:id="rId_hyperlink_267" tooltip="Download" display="Download"/>
    <hyperlink ref="BU269" r:id="rId_hyperlink_268" tooltip="Download" display="Download"/>
    <hyperlink ref="BU270" r:id="rId_hyperlink_269" tooltip="Download" display="Download"/>
    <hyperlink ref="BU271" r:id="rId_hyperlink_270" tooltip="Download" display="Download"/>
    <hyperlink ref="BU272" r:id="rId_hyperlink_271" tooltip="Download" display="Download"/>
    <hyperlink ref="BU273" r:id="rId_hyperlink_272" tooltip="Download" display="Download"/>
    <hyperlink ref="BU274" r:id="rId_hyperlink_273" tooltip="Download" display="Download"/>
    <hyperlink ref="BU275" r:id="rId_hyperlink_274" tooltip="Download" display="Download"/>
    <hyperlink ref="BU276" r:id="rId_hyperlink_275" tooltip="Download" display="Download"/>
    <hyperlink ref="BU277" r:id="rId_hyperlink_276" tooltip="Download" display="Download"/>
    <hyperlink ref="BU278" r:id="rId_hyperlink_277" tooltip="Download" display="Download"/>
    <hyperlink ref="BU279" r:id="rId_hyperlink_278" tooltip="Download" display="Download"/>
    <hyperlink ref="BU280" r:id="rId_hyperlink_279" tooltip="Download" display="Download"/>
    <hyperlink ref="BU281" r:id="rId_hyperlink_280" tooltip="Download" display="Download"/>
    <hyperlink ref="BU282" r:id="rId_hyperlink_281" tooltip="Download" display="Download"/>
    <hyperlink ref="BU283" r:id="rId_hyperlink_282" tooltip="Download" display="Download"/>
    <hyperlink ref="BU284" r:id="rId_hyperlink_283" tooltip="Download" display="Download"/>
    <hyperlink ref="BU285" r:id="rId_hyperlink_284" tooltip="Download" display="Download"/>
    <hyperlink ref="BU286" r:id="rId_hyperlink_285" tooltip="Download" display="Download"/>
    <hyperlink ref="BU287" r:id="rId_hyperlink_286" tooltip="Download" display="Download"/>
    <hyperlink ref="BU288" r:id="rId_hyperlink_287" tooltip="Download" display="Download"/>
    <hyperlink ref="BU289" r:id="rId_hyperlink_288" tooltip="Download" display="Download"/>
    <hyperlink ref="BU290" r:id="rId_hyperlink_289" tooltip="Download" display="Download"/>
    <hyperlink ref="BU291" r:id="rId_hyperlink_290" tooltip="Download" display="Download"/>
    <hyperlink ref="BU292" r:id="rId_hyperlink_291" tooltip="Download" display="Download"/>
    <hyperlink ref="BU293" r:id="rId_hyperlink_292" tooltip="Download" display="Download"/>
    <hyperlink ref="BU294" r:id="rId_hyperlink_293" tooltip="Download" display="Download"/>
    <hyperlink ref="BU295" r:id="rId_hyperlink_294" tooltip="Download" display="Download"/>
    <hyperlink ref="BU296" r:id="rId_hyperlink_295" tooltip="Download" display="Download"/>
    <hyperlink ref="BU297" r:id="rId_hyperlink_296" tooltip="Download" display="Download"/>
    <hyperlink ref="BU298" r:id="rId_hyperlink_297" tooltip="Download" display="Download"/>
    <hyperlink ref="BU299" r:id="rId_hyperlink_298" tooltip="Download" display="Download"/>
    <hyperlink ref="BU300" r:id="rId_hyperlink_299" tooltip="Download" display="Download"/>
    <hyperlink ref="BU301" r:id="rId_hyperlink_300" tooltip="Download" display="Download"/>
    <hyperlink ref="BU302" r:id="rId_hyperlink_301" tooltip="Download" display="Download"/>
    <hyperlink ref="BU303" r:id="rId_hyperlink_302" tooltip="Download" display="Download"/>
    <hyperlink ref="BU304" r:id="rId_hyperlink_303" tooltip="Download" display="Download"/>
    <hyperlink ref="BU305" r:id="rId_hyperlink_304" tooltip="Download" display="Download"/>
    <hyperlink ref="BU306" r:id="rId_hyperlink_305" tooltip="Download" display="Download"/>
    <hyperlink ref="BU307" r:id="rId_hyperlink_306" tooltip="Download" display="Download"/>
    <hyperlink ref="BU308" r:id="rId_hyperlink_307" tooltip="Download" display="Download"/>
    <hyperlink ref="BU309" r:id="rId_hyperlink_308" tooltip="Download" display="Download"/>
    <hyperlink ref="BU310" r:id="rId_hyperlink_309" tooltip="Download" display="Download"/>
    <hyperlink ref="BU311" r:id="rId_hyperlink_310" tooltip="Download" display="Download"/>
    <hyperlink ref="BU312" r:id="rId_hyperlink_311" tooltip="Download" display="Download"/>
    <hyperlink ref="BU313" r:id="rId_hyperlink_312" tooltip="Download" display="Download"/>
    <hyperlink ref="BU314" r:id="rId_hyperlink_313" tooltip="Download" display="Download"/>
    <hyperlink ref="BU315" r:id="rId_hyperlink_314" tooltip="Download" display="Download"/>
    <hyperlink ref="BU316" r:id="rId_hyperlink_315" tooltip="Download" display="Download"/>
    <hyperlink ref="BU317" r:id="rId_hyperlink_316" tooltip="Download" display="Download"/>
    <hyperlink ref="BU318" r:id="rId_hyperlink_317" tooltip="Download" display="Download"/>
    <hyperlink ref="BU319" r:id="rId_hyperlink_318" tooltip="Download" display="Download"/>
    <hyperlink ref="BU320" r:id="rId_hyperlink_319" tooltip="Download" display="Download"/>
    <hyperlink ref="BU321" r:id="rId_hyperlink_320" tooltip="Download" display="Download"/>
    <hyperlink ref="BU322" r:id="rId_hyperlink_321" tooltip="Download" display="Download"/>
    <hyperlink ref="BU323" r:id="rId_hyperlink_322" tooltip="Download" display="Download"/>
    <hyperlink ref="BU324" r:id="rId_hyperlink_323" tooltip="Download" display="Download"/>
    <hyperlink ref="BU325" r:id="rId_hyperlink_324" tooltip="Download" display="Download"/>
    <hyperlink ref="BU326" r:id="rId_hyperlink_325" tooltip="Download" display="Download"/>
    <hyperlink ref="BU327" r:id="rId_hyperlink_326" tooltip="Download" display="Download"/>
    <hyperlink ref="BU328" r:id="rId_hyperlink_327" tooltip="Download" display="Download"/>
    <hyperlink ref="BU329" r:id="rId_hyperlink_328" tooltip="Download" display="Download"/>
    <hyperlink ref="BU330" r:id="rId_hyperlink_329" tooltip="Download" display="Download"/>
    <hyperlink ref="BU331" r:id="rId_hyperlink_330" tooltip="Download" display="Download"/>
    <hyperlink ref="BU332" r:id="rId_hyperlink_331" tooltip="Download" display="Download"/>
    <hyperlink ref="BU333" r:id="rId_hyperlink_332" tooltip="Download" display="Download"/>
    <hyperlink ref="BU334" r:id="rId_hyperlink_333" tooltip="Download" display="Download"/>
    <hyperlink ref="BU335" r:id="rId_hyperlink_334" tooltip="Download" display="Download"/>
    <hyperlink ref="BU336" r:id="rId_hyperlink_335" tooltip="Download" display="Download"/>
    <hyperlink ref="BU337" r:id="rId_hyperlink_336" tooltip="Download" display="Download"/>
    <hyperlink ref="BU338" r:id="rId_hyperlink_337" tooltip="Download" display="Download"/>
    <hyperlink ref="BU339" r:id="rId_hyperlink_338" tooltip="Download" display="Download"/>
    <hyperlink ref="BU340" r:id="rId_hyperlink_339" tooltip="Download" display="Download"/>
    <hyperlink ref="BU341" r:id="rId_hyperlink_340" tooltip="Download" display="Download"/>
    <hyperlink ref="BU342" r:id="rId_hyperlink_341" tooltip="Download" display="Download"/>
    <hyperlink ref="BU343" r:id="rId_hyperlink_342" tooltip="Download" display="Download"/>
    <hyperlink ref="BU344" r:id="rId_hyperlink_343" tooltip="Download" display="Download"/>
    <hyperlink ref="BU345" r:id="rId_hyperlink_344" tooltip="Download" display="Download"/>
    <hyperlink ref="BU346" r:id="rId_hyperlink_345" tooltip="Download" display="Download"/>
    <hyperlink ref="BU347" r:id="rId_hyperlink_346" tooltip="Download" display="Download"/>
    <hyperlink ref="BU348" r:id="rId_hyperlink_347" tooltip="Download" display="Download"/>
    <hyperlink ref="BU349" r:id="rId_hyperlink_348" tooltip="Download" display="Download"/>
    <hyperlink ref="BU350" r:id="rId_hyperlink_349" tooltip="Download" display="Download"/>
    <hyperlink ref="BU351" r:id="rId_hyperlink_350" tooltip="Download" display="Download"/>
    <hyperlink ref="BU352" r:id="rId_hyperlink_351" tooltip="Download" display="Download"/>
    <hyperlink ref="BU353" r:id="rId_hyperlink_352" tooltip="Download" display="Download"/>
    <hyperlink ref="BU354" r:id="rId_hyperlink_353" tooltip="Download" display="Download"/>
    <hyperlink ref="BU355" r:id="rId_hyperlink_354" tooltip="Download" display="Download"/>
    <hyperlink ref="BU356" r:id="rId_hyperlink_355" tooltip="Download" display="Download"/>
    <hyperlink ref="BU357" r:id="rId_hyperlink_356" tooltip="Download" display="Download"/>
    <hyperlink ref="BU358" r:id="rId_hyperlink_357" tooltip="Download" display="Download"/>
    <hyperlink ref="BU359" r:id="rId_hyperlink_358" tooltip="Download" display="Download"/>
    <hyperlink ref="BU360" r:id="rId_hyperlink_359" tooltip="Download" display="Download"/>
    <hyperlink ref="BU361" r:id="rId_hyperlink_360" tooltip="Download" display="Download"/>
    <hyperlink ref="BU362" r:id="rId_hyperlink_361" tooltip="Download" display="Download"/>
    <hyperlink ref="BU363" r:id="rId_hyperlink_362" tooltip="Download" display="Download"/>
    <hyperlink ref="BU364" r:id="rId_hyperlink_363" tooltip="Download" display="Download"/>
    <hyperlink ref="BU365" r:id="rId_hyperlink_364" tooltip="Download" display="Download"/>
    <hyperlink ref="BU366" r:id="rId_hyperlink_365" tooltip="Download" display="Download"/>
    <hyperlink ref="BU367" r:id="rId_hyperlink_366" tooltip="Download" display="Download"/>
    <hyperlink ref="BU368" r:id="rId_hyperlink_367" tooltip="Download" display="Download"/>
    <hyperlink ref="BU369" r:id="rId_hyperlink_368" tooltip="Download" display="Download"/>
    <hyperlink ref="BU370" r:id="rId_hyperlink_369" tooltip="Download" display="Download"/>
    <hyperlink ref="BU371" r:id="rId_hyperlink_370" tooltip="Download" display="Download"/>
    <hyperlink ref="BU372" r:id="rId_hyperlink_371" tooltip="Download" display="Download"/>
    <hyperlink ref="BU373" r:id="rId_hyperlink_372" tooltip="Download" display="Download"/>
    <hyperlink ref="BU374" r:id="rId_hyperlink_373" tooltip="Download" display="Download"/>
    <hyperlink ref="BU375" r:id="rId_hyperlink_374" tooltip="Download" display="Download"/>
    <hyperlink ref="BU376" r:id="rId_hyperlink_375" tooltip="Download" display="Download"/>
    <hyperlink ref="BU377" r:id="rId_hyperlink_376" tooltip="Download" display="Download"/>
    <hyperlink ref="BU378" r:id="rId_hyperlink_377" tooltip="Download" display="Download"/>
    <hyperlink ref="BU379" r:id="rId_hyperlink_378" tooltip="Download" display="Download"/>
    <hyperlink ref="BU380" r:id="rId_hyperlink_379" tooltip="Download" display="Download"/>
    <hyperlink ref="BU381" r:id="rId_hyperlink_380" tooltip="Download" display="Download"/>
    <hyperlink ref="BU382" r:id="rId_hyperlink_381" tooltip="Download" display="Download"/>
    <hyperlink ref="BU383" r:id="rId_hyperlink_382" tooltip="Download" display="Download"/>
    <hyperlink ref="BU384" r:id="rId_hyperlink_383" tooltip="Download" display="Download"/>
    <hyperlink ref="BU385" r:id="rId_hyperlink_384" tooltip="Download" display="Download"/>
    <hyperlink ref="BU386" r:id="rId_hyperlink_385" tooltip="Download" display="Download"/>
    <hyperlink ref="BU387" r:id="rId_hyperlink_386" tooltip="Download" display="Download"/>
    <hyperlink ref="BU388" r:id="rId_hyperlink_387" tooltip="Download" display="Download"/>
    <hyperlink ref="BU389" r:id="rId_hyperlink_388" tooltip="Download" display="Download"/>
    <hyperlink ref="BU390" r:id="rId_hyperlink_389" tooltip="Download" display="Download"/>
    <hyperlink ref="BU391" r:id="rId_hyperlink_390" tooltip="Download" display="Download"/>
    <hyperlink ref="BU392" r:id="rId_hyperlink_391" tooltip="Download" display="Download"/>
    <hyperlink ref="BU393" r:id="rId_hyperlink_392" tooltip="Download" display="Download"/>
    <hyperlink ref="BU394" r:id="rId_hyperlink_393" tooltip="Download" display="Download"/>
    <hyperlink ref="BU395" r:id="rId_hyperlink_394" tooltip="Download" display="Download"/>
    <hyperlink ref="BU396" r:id="rId_hyperlink_395" tooltip="Download" display="Download"/>
    <hyperlink ref="BU397" r:id="rId_hyperlink_396" tooltip="Download" display="Download"/>
    <hyperlink ref="BU398" r:id="rId_hyperlink_397" tooltip="Download" display="Download"/>
    <hyperlink ref="BU399" r:id="rId_hyperlink_398" tooltip="Download" display="Download"/>
    <hyperlink ref="BU400" r:id="rId_hyperlink_399" tooltip="Download" display="Download"/>
    <hyperlink ref="BU401" r:id="rId_hyperlink_400" tooltip="Download" display="Download"/>
    <hyperlink ref="BU402" r:id="rId_hyperlink_401" tooltip="Download" display="Download"/>
    <hyperlink ref="BU403" r:id="rId_hyperlink_402" tooltip="Download" display="Download"/>
    <hyperlink ref="BU404" r:id="rId_hyperlink_403" tooltip="Download" display="Download"/>
    <hyperlink ref="BU405" r:id="rId_hyperlink_404" tooltip="Download" display="Download"/>
    <hyperlink ref="BU406" r:id="rId_hyperlink_405" tooltip="Download" display="Download"/>
    <hyperlink ref="BU407" r:id="rId_hyperlink_406" tooltip="Download" display="Download"/>
    <hyperlink ref="BU408" r:id="rId_hyperlink_407" tooltip="Download" display="Download"/>
    <hyperlink ref="BU409" r:id="rId_hyperlink_408" tooltip="Download" display="Download"/>
    <hyperlink ref="BU410" r:id="rId_hyperlink_409" tooltip="Download" display="Download"/>
    <hyperlink ref="BU411" r:id="rId_hyperlink_410" tooltip="Download" display="Download"/>
    <hyperlink ref="BU412" r:id="rId_hyperlink_411" tooltip="Download" display="Download"/>
    <hyperlink ref="BU413" r:id="rId_hyperlink_412" tooltip="Download" display="Download"/>
    <hyperlink ref="BU414" r:id="rId_hyperlink_413" tooltip="Download" display="Download"/>
    <hyperlink ref="BU415" r:id="rId_hyperlink_414" tooltip="Download" display="Download"/>
    <hyperlink ref="BU416" r:id="rId_hyperlink_415" tooltip="Download" display="Download"/>
    <hyperlink ref="BU417" r:id="rId_hyperlink_416" tooltip="Download" display="Download"/>
    <hyperlink ref="BU418" r:id="rId_hyperlink_417" tooltip="Download" display="Download"/>
    <hyperlink ref="BU419" r:id="rId_hyperlink_418" tooltip="Download" display="Download"/>
    <hyperlink ref="BU420" r:id="rId_hyperlink_419" tooltip="Download" display="Download"/>
    <hyperlink ref="BU421" r:id="rId_hyperlink_420" tooltip="Download" display="Download"/>
    <hyperlink ref="BU422" r:id="rId_hyperlink_421" tooltip="Download" display="Download"/>
    <hyperlink ref="BU423" r:id="rId_hyperlink_422" tooltip="Download" display="Download"/>
    <hyperlink ref="BU424" r:id="rId_hyperlink_423" tooltip="Download" display="Download"/>
    <hyperlink ref="BU425" r:id="rId_hyperlink_424" tooltip="Download" display="Download"/>
    <hyperlink ref="BU426" r:id="rId_hyperlink_425" tooltip="Download" display="Download"/>
    <hyperlink ref="BU427" r:id="rId_hyperlink_426" tooltip="Download" display="Download"/>
    <hyperlink ref="BU428" r:id="rId_hyperlink_427" tooltip="Download" display="Download"/>
    <hyperlink ref="BU429" r:id="rId_hyperlink_428" tooltip="Download" display="Download"/>
    <hyperlink ref="BU430" r:id="rId_hyperlink_429" tooltip="Download" display="Download"/>
    <hyperlink ref="BU431" r:id="rId_hyperlink_430" tooltip="Download" display="Download"/>
    <hyperlink ref="BU432" r:id="rId_hyperlink_431" tooltip="Download" display="Download"/>
    <hyperlink ref="BU433" r:id="rId_hyperlink_432" tooltip="Download" display="Download"/>
    <hyperlink ref="BU434" r:id="rId_hyperlink_433" tooltip="Download" display="Download"/>
    <hyperlink ref="BU435" r:id="rId_hyperlink_434" tooltip="Download" display="Download"/>
    <hyperlink ref="BU436" r:id="rId_hyperlink_435" tooltip="Download" display="Download"/>
    <hyperlink ref="BU437" r:id="rId_hyperlink_436" tooltip="Download" display="Download"/>
    <hyperlink ref="BU438" r:id="rId_hyperlink_437" tooltip="Download" display="Download"/>
    <hyperlink ref="BU439" r:id="rId_hyperlink_438" tooltip="Download" display="Download"/>
    <hyperlink ref="BU440" r:id="rId_hyperlink_439" tooltip="Download" display="Download"/>
    <hyperlink ref="BU441" r:id="rId_hyperlink_440" tooltip="Download" display="Download"/>
    <hyperlink ref="BU442" r:id="rId_hyperlink_441" tooltip="Download" display="Download"/>
    <hyperlink ref="BU443" r:id="rId_hyperlink_442" tooltip="Download" display="Download"/>
    <hyperlink ref="BU444" r:id="rId_hyperlink_443" tooltip="Download" display="Download"/>
    <hyperlink ref="BU445" r:id="rId_hyperlink_444" tooltip="Download" display="Download"/>
    <hyperlink ref="BU446" r:id="rId_hyperlink_445" tooltip="Download" display="Download"/>
    <hyperlink ref="BU447" r:id="rId_hyperlink_446" tooltip="Download" display="Download"/>
    <hyperlink ref="BU448" r:id="rId_hyperlink_447" tooltip="Download" display="Download"/>
    <hyperlink ref="BU449" r:id="rId_hyperlink_448" tooltip="Download" display="Download"/>
    <hyperlink ref="BU450" r:id="rId_hyperlink_449" tooltip="Download" display="Download"/>
    <hyperlink ref="BU451" r:id="rId_hyperlink_450" tooltip="Download" display="Download"/>
    <hyperlink ref="BU452" r:id="rId_hyperlink_451" tooltip="Download" display="Download"/>
    <hyperlink ref="BU453" r:id="rId_hyperlink_452" tooltip="Download" display="Download"/>
    <hyperlink ref="BU454" r:id="rId_hyperlink_453" tooltip="Download" display="Download"/>
    <hyperlink ref="BU455" r:id="rId_hyperlink_454" tooltip="Download" display="Download"/>
    <hyperlink ref="BU456" r:id="rId_hyperlink_455" tooltip="Download" display="Download"/>
    <hyperlink ref="BU457" r:id="rId_hyperlink_456" tooltip="Download" display="Download"/>
    <hyperlink ref="BU458" r:id="rId_hyperlink_457" tooltip="Download" display="Download"/>
    <hyperlink ref="BU459" r:id="rId_hyperlink_458" tooltip="Download" display="Download"/>
    <hyperlink ref="BU460" r:id="rId_hyperlink_459" tooltip="Download" display="Download"/>
    <hyperlink ref="BU461" r:id="rId_hyperlink_460" tooltip="Download" display="Download"/>
    <hyperlink ref="BU462" r:id="rId_hyperlink_461" tooltip="Download" display="Download"/>
    <hyperlink ref="BU463" r:id="rId_hyperlink_462" tooltip="Download" display="Download"/>
    <hyperlink ref="BU464" r:id="rId_hyperlink_463" tooltip="Download" display="Download"/>
    <hyperlink ref="BU465" r:id="rId_hyperlink_464" tooltip="Download" display="Download"/>
    <hyperlink ref="BU466" r:id="rId_hyperlink_465" tooltip="Download" display="Download"/>
    <hyperlink ref="BU467" r:id="rId_hyperlink_466" tooltip="Download" display="Download"/>
    <hyperlink ref="BU468" r:id="rId_hyperlink_467" tooltip="Download" display="Download"/>
    <hyperlink ref="BU469" r:id="rId_hyperlink_468" tooltip="Download" display="Download"/>
    <hyperlink ref="BU470" r:id="rId_hyperlink_469" tooltip="Download" display="Download"/>
    <hyperlink ref="BU471" r:id="rId_hyperlink_470" tooltip="Download" display="Download"/>
    <hyperlink ref="BU472" r:id="rId_hyperlink_471" tooltip="Download" display="Download"/>
    <hyperlink ref="BU473" r:id="rId_hyperlink_472" tooltip="Download" display="Download"/>
    <hyperlink ref="BU474" r:id="rId_hyperlink_473" tooltip="Download" display="Download"/>
    <hyperlink ref="BU475" r:id="rId_hyperlink_474" tooltip="Download" display="Download"/>
    <hyperlink ref="BU476" r:id="rId_hyperlink_475" tooltip="Download" display="Download"/>
    <hyperlink ref="BU477" r:id="rId_hyperlink_476" tooltip="Download" display="Download"/>
    <hyperlink ref="BU478" r:id="rId_hyperlink_477" tooltip="Download" display="Download"/>
    <hyperlink ref="BU479" r:id="rId_hyperlink_478" tooltip="Download" display="Download"/>
    <hyperlink ref="BU480" r:id="rId_hyperlink_479" tooltip="Download" display="Download"/>
    <hyperlink ref="BU481" r:id="rId_hyperlink_480" tooltip="Download" display="Download"/>
    <hyperlink ref="BU482" r:id="rId_hyperlink_481" tooltip="Download" display="Download"/>
    <hyperlink ref="BU483" r:id="rId_hyperlink_482" tooltip="Download" display="Download"/>
    <hyperlink ref="BU484" r:id="rId_hyperlink_483" tooltip="Download" display="Download"/>
    <hyperlink ref="BU485" r:id="rId_hyperlink_484" tooltip="Download" display="Download"/>
    <hyperlink ref="BU486" r:id="rId_hyperlink_485" tooltip="Download" display="Download"/>
    <hyperlink ref="BU487" r:id="rId_hyperlink_486" tooltip="Download" display="Download"/>
    <hyperlink ref="BU488" r:id="rId_hyperlink_487" tooltip="Download" display="Download"/>
    <hyperlink ref="BU489" r:id="rId_hyperlink_488" tooltip="Download" display="Download"/>
    <hyperlink ref="BU490" r:id="rId_hyperlink_489" tooltip="Download" display="Download"/>
    <hyperlink ref="BU491" r:id="rId_hyperlink_490" tooltip="Download" display="Download"/>
    <hyperlink ref="BU492" r:id="rId_hyperlink_491" tooltip="Download" display="Download"/>
    <hyperlink ref="BU493" r:id="rId_hyperlink_492" tooltip="Download" display="Download"/>
    <hyperlink ref="BU494" r:id="rId_hyperlink_493" tooltip="Download" display="Download"/>
    <hyperlink ref="BU495" r:id="rId_hyperlink_494" tooltip="Download" display="Download"/>
    <hyperlink ref="BU496" r:id="rId_hyperlink_495" tooltip="Download" display="Download"/>
    <hyperlink ref="BU497" r:id="rId_hyperlink_496" tooltip="Download" display="Download"/>
    <hyperlink ref="BU498" r:id="rId_hyperlink_497" tooltip="Download" display="Download"/>
    <hyperlink ref="BU502" r:id="rId_hyperlink_498" tooltip="Download" display="Download"/>
    <hyperlink ref="BU503" r:id="rId_hyperlink_499" tooltip="Download" display="Download"/>
    <hyperlink ref="BU504" r:id="rId_hyperlink_500" tooltip="Download" display="Download"/>
    <hyperlink ref="BU505" r:id="rId_hyperlink_501" tooltip="Download" display="Download"/>
    <hyperlink ref="BU506" r:id="rId_hyperlink_502" tooltip="Download" display="Download"/>
    <hyperlink ref="BU507" r:id="rId_hyperlink_503" tooltip="Download" display="Download"/>
    <hyperlink ref="BU508" r:id="rId_hyperlink_504" tooltip="Download" display="Download"/>
    <hyperlink ref="BU509" r:id="rId_hyperlink_505" tooltip="Download" display="Download"/>
    <hyperlink ref="BU510" r:id="rId_hyperlink_506" tooltip="Download" display="Download"/>
    <hyperlink ref="BU511" r:id="rId_hyperlink_507" tooltip="Download" display="Download"/>
    <hyperlink ref="BU512" r:id="rId_hyperlink_508" tooltip="Download" display="Download"/>
    <hyperlink ref="BU513" r:id="rId_hyperlink_509" tooltip="Download" display="Download"/>
    <hyperlink ref="BU514" r:id="rId_hyperlink_510" tooltip="Download" display="Download"/>
    <hyperlink ref="BU515" r:id="rId_hyperlink_511" tooltip="Download" display="Download"/>
    <hyperlink ref="BU516" r:id="rId_hyperlink_512" tooltip="Download" display="Download"/>
    <hyperlink ref="BU517" r:id="rId_hyperlink_513" tooltip="Download" display="Download"/>
    <hyperlink ref="BU518" r:id="rId_hyperlink_514" tooltip="Download" display="Download"/>
    <hyperlink ref="BU519" r:id="rId_hyperlink_515" tooltip="Download" display="Download"/>
    <hyperlink ref="BU520" r:id="rId_hyperlink_516" tooltip="Download" display="Download"/>
    <hyperlink ref="BU521" r:id="rId_hyperlink_517" tooltip="Download" display="Download"/>
    <hyperlink ref="BU522" r:id="rId_hyperlink_518" tooltip="Download" display="Download"/>
    <hyperlink ref="BU523" r:id="rId_hyperlink_519" tooltip="Download" display="Download"/>
    <hyperlink ref="BU524" r:id="rId_hyperlink_520" tooltip="Download" display="Download"/>
    <hyperlink ref="BU525" r:id="rId_hyperlink_521" tooltip="Download" display="Download"/>
    <hyperlink ref="BU526" r:id="rId_hyperlink_522" tooltip="Download" display="Download"/>
    <hyperlink ref="BU527" r:id="rId_hyperlink_523" tooltip="Download" display="Download"/>
    <hyperlink ref="BU528" r:id="rId_hyperlink_524" tooltip="Download" display="Download"/>
    <hyperlink ref="BU529" r:id="rId_hyperlink_525" tooltip="Download" display="Download"/>
    <hyperlink ref="BU530" r:id="rId_hyperlink_526" tooltip="Download" display="Download"/>
    <hyperlink ref="BU531" r:id="rId_hyperlink_527" tooltip="Download" display="Download"/>
    <hyperlink ref="BU532" r:id="rId_hyperlink_528" tooltip="Download" display="Download"/>
    <hyperlink ref="BU533" r:id="rId_hyperlink_529" tooltip="Download" display="Download"/>
    <hyperlink ref="BU534" r:id="rId_hyperlink_530" tooltip="Download" display="Download"/>
    <hyperlink ref="BU535" r:id="rId_hyperlink_531" tooltip="Download" display="Download"/>
    <hyperlink ref="BU536" r:id="rId_hyperlink_532" tooltip="Download" display="Download"/>
    <hyperlink ref="BU537" r:id="rId_hyperlink_533" tooltip="Download" display="Download"/>
    <hyperlink ref="BU538" r:id="rId_hyperlink_534" tooltip="Download" display="Download"/>
    <hyperlink ref="BU539" r:id="rId_hyperlink_535" tooltip="Download" display="Download"/>
    <hyperlink ref="BU540" r:id="rId_hyperlink_536" tooltip="Download" display="Download"/>
    <hyperlink ref="BU541" r:id="rId_hyperlink_537" tooltip="Download" display="Download"/>
    <hyperlink ref="BU542" r:id="rId_hyperlink_538" tooltip="Download" display="Download"/>
    <hyperlink ref="BU543" r:id="rId_hyperlink_539" tooltip="Download" display="Download"/>
    <hyperlink ref="BU544" r:id="rId_hyperlink_540" tooltip="Download" display="Download"/>
    <hyperlink ref="BU545" r:id="rId_hyperlink_541" tooltip="Download" display="Download"/>
    <hyperlink ref="BU546" r:id="rId_hyperlink_542" tooltip="Download" display="Download"/>
    <hyperlink ref="BU547" r:id="rId_hyperlink_543" tooltip="Download" display="Download"/>
    <hyperlink ref="BU548" r:id="rId_hyperlink_544" tooltip="Download" display="Download"/>
    <hyperlink ref="BU549" r:id="rId_hyperlink_545" tooltip="Download" display="Download"/>
    <hyperlink ref="BU550" r:id="rId_hyperlink_546" tooltip="Download" display="Download"/>
    <hyperlink ref="BU551" r:id="rId_hyperlink_547" tooltip="Download" display="Download"/>
    <hyperlink ref="BU552" r:id="rId_hyperlink_548" tooltip="Download" display="Download"/>
    <hyperlink ref="BU553" r:id="rId_hyperlink_549" tooltip="Download" display="Download"/>
    <hyperlink ref="BU554" r:id="rId_hyperlink_550" tooltip="Download" display="Download"/>
    <hyperlink ref="BU555" r:id="rId_hyperlink_551" tooltip="Download" display="Download"/>
    <hyperlink ref="BU556" r:id="rId_hyperlink_552" tooltip="Download" display="Download"/>
    <hyperlink ref="BU557" r:id="rId_hyperlink_553" tooltip="Download" display="Download"/>
    <hyperlink ref="BU558" r:id="rId_hyperlink_554" tooltip="Download" display="Download"/>
    <hyperlink ref="BU559" r:id="rId_hyperlink_555" tooltip="Download" display="Download"/>
    <hyperlink ref="BU560" r:id="rId_hyperlink_556" tooltip="Download" display="Download"/>
    <hyperlink ref="BU561" r:id="rId_hyperlink_557" tooltip="Download" display="Download"/>
    <hyperlink ref="BU562" r:id="rId_hyperlink_558" tooltip="Download" display="Download"/>
    <hyperlink ref="BU563" r:id="rId_hyperlink_559" tooltip="Download" display="Download"/>
    <hyperlink ref="BU564" r:id="rId_hyperlink_560" tooltip="Download" display="Download"/>
    <hyperlink ref="BU565" r:id="rId_hyperlink_561" tooltip="Download" display="Download"/>
    <hyperlink ref="BU566" r:id="rId_hyperlink_562" tooltip="Download" display="Download"/>
    <hyperlink ref="BU567" r:id="rId_hyperlink_563" tooltip="Download" display="Download"/>
    <hyperlink ref="BU568" r:id="rId_hyperlink_564" tooltip="Download" display="Download"/>
    <hyperlink ref="BU569" r:id="rId_hyperlink_565" tooltip="Download" display="Download"/>
    <hyperlink ref="BU570" r:id="rId_hyperlink_566" tooltip="Download" display="Download"/>
    <hyperlink ref="BU571" r:id="rId_hyperlink_567" tooltip="Download" display="Download"/>
    <hyperlink ref="BU572" r:id="rId_hyperlink_568" tooltip="Download" display="Download"/>
    <hyperlink ref="BU573" r:id="rId_hyperlink_569" tooltip="Download" display="Download"/>
    <hyperlink ref="BU574" r:id="rId_hyperlink_570" tooltip="Download" display="Download"/>
    <hyperlink ref="BU575" r:id="rId_hyperlink_571" tooltip="Download" display="Download"/>
    <hyperlink ref="BU576" r:id="rId_hyperlink_572" tooltip="Download" display="Download"/>
    <hyperlink ref="BU577" r:id="rId_hyperlink_573" tooltip="Download" display="Download"/>
    <hyperlink ref="BU578" r:id="rId_hyperlink_574" tooltip="Download" display="Download"/>
    <hyperlink ref="BU579" r:id="rId_hyperlink_575" tooltip="Download" display="Download"/>
    <hyperlink ref="BU580" r:id="rId_hyperlink_576" tooltip="Download" display="Download"/>
    <hyperlink ref="BU581" r:id="rId_hyperlink_577" tooltip="Download" display="Download"/>
    <hyperlink ref="BU582" r:id="rId_hyperlink_578" tooltip="Download" display="Download"/>
    <hyperlink ref="BU583" r:id="rId_hyperlink_579" tooltip="Download" display="Download"/>
    <hyperlink ref="BU584" r:id="rId_hyperlink_580" tooltip="Download" display="Download"/>
    <hyperlink ref="BU585" r:id="rId_hyperlink_581" tooltip="Download" display="Download"/>
    <hyperlink ref="BU586" r:id="rId_hyperlink_582" tooltip="Download" display="Download"/>
    <hyperlink ref="BU587" r:id="rId_hyperlink_583" tooltip="Download" display="Download"/>
    <hyperlink ref="BU588" r:id="rId_hyperlink_584" tooltip="Download" display="Download"/>
    <hyperlink ref="BU589" r:id="rId_hyperlink_585" tooltip="Download" display="Download"/>
    <hyperlink ref="BU590" r:id="rId_hyperlink_586" tooltip="Download" display="Download"/>
    <hyperlink ref="BU591" r:id="rId_hyperlink_587" tooltip="Download" display="Download"/>
    <hyperlink ref="BU592" r:id="rId_hyperlink_588" tooltip="Download" display="Download"/>
    <hyperlink ref="BU593" r:id="rId_hyperlink_589" tooltip="Download" display="Download"/>
    <hyperlink ref="BU594" r:id="rId_hyperlink_590" tooltip="Download" display="Download"/>
    <hyperlink ref="BU595" r:id="rId_hyperlink_591" tooltip="Download" display="Download"/>
    <hyperlink ref="BU596" r:id="rId_hyperlink_592" tooltip="Download" display="Download"/>
    <hyperlink ref="BU597" r:id="rId_hyperlink_593" tooltip="Download" display="Download"/>
    <hyperlink ref="BU598" r:id="rId_hyperlink_594" tooltip="Download" display="Download"/>
    <hyperlink ref="BU599" r:id="rId_hyperlink_595" tooltip="Download" display="Download"/>
    <hyperlink ref="BU600" r:id="rId_hyperlink_596" tooltip="Download" display="Download"/>
    <hyperlink ref="BU601" r:id="rId_hyperlink_597" tooltip="Download" display="Download"/>
    <hyperlink ref="BU602" r:id="rId_hyperlink_598" tooltip="Download" display="Download"/>
    <hyperlink ref="BU603" r:id="rId_hyperlink_599" tooltip="Download" display="Download"/>
    <hyperlink ref="BU604" r:id="rId_hyperlink_600" tooltip="Download" display="Download"/>
    <hyperlink ref="BU605" r:id="rId_hyperlink_601" tooltip="Download" display="Download"/>
    <hyperlink ref="BU606" r:id="rId_hyperlink_602" tooltip="Download" display="Download"/>
    <hyperlink ref="BU607" r:id="rId_hyperlink_603" tooltip="Download" display="Download"/>
    <hyperlink ref="BU608" r:id="rId_hyperlink_604" tooltip="Download" display="Download"/>
    <hyperlink ref="BU609" r:id="rId_hyperlink_605" tooltip="Download" display="Download"/>
    <hyperlink ref="BU610" r:id="rId_hyperlink_606" tooltip="Download" display="Download"/>
    <hyperlink ref="BU611" r:id="rId_hyperlink_607" tooltip="Download" display="Download"/>
    <hyperlink ref="BU612" r:id="rId_hyperlink_608" tooltip="Download" display="Download"/>
    <hyperlink ref="BU613" r:id="rId_hyperlink_609" tooltip="Download" display="Download"/>
    <hyperlink ref="BU614" r:id="rId_hyperlink_610" tooltip="Download" display="Download"/>
    <hyperlink ref="BU615" r:id="rId_hyperlink_611" tooltip="Download" display="Download"/>
    <hyperlink ref="BU616" r:id="rId_hyperlink_612" tooltip="Download" display="Download"/>
    <hyperlink ref="BU617" r:id="rId_hyperlink_613" tooltip="Download" display="Download"/>
    <hyperlink ref="BU618" r:id="rId_hyperlink_614" tooltip="Download" display="Download"/>
    <hyperlink ref="BU619" r:id="rId_hyperlink_615" tooltip="Download" display="Download"/>
    <hyperlink ref="BU620" r:id="rId_hyperlink_616" tooltip="Download" display="Download"/>
    <hyperlink ref="BU621" r:id="rId_hyperlink_617" tooltip="Download" display="Download"/>
    <hyperlink ref="BU622" r:id="rId_hyperlink_618" tooltip="Download" display="Download"/>
    <hyperlink ref="BU623" r:id="rId_hyperlink_619" tooltip="Download" display="Download"/>
    <hyperlink ref="BU624" r:id="rId_hyperlink_620" tooltip="Download" display="Download"/>
    <hyperlink ref="BU625" r:id="rId_hyperlink_621" tooltip="Download" display="Download"/>
    <hyperlink ref="BU626" r:id="rId_hyperlink_622" tooltip="Download" display="Download"/>
    <hyperlink ref="BU627" r:id="rId_hyperlink_623" tooltip="Download" display="Download"/>
    <hyperlink ref="BU628" r:id="rId_hyperlink_624" tooltip="Download" display="Download"/>
    <hyperlink ref="BU629" r:id="rId_hyperlink_625" tooltip="Download" display="Download"/>
    <hyperlink ref="BU630" r:id="rId_hyperlink_626" tooltip="Download" display="Download"/>
    <hyperlink ref="BU631" r:id="rId_hyperlink_627" tooltip="Download" display="Download"/>
    <hyperlink ref="BU632" r:id="rId_hyperlink_628" tooltip="Download" display="Download"/>
    <hyperlink ref="BU633" r:id="rId_hyperlink_629" tooltip="Download" display="Download"/>
    <hyperlink ref="BU634" r:id="rId_hyperlink_630" tooltip="Download" display="Download"/>
    <hyperlink ref="BU635" r:id="rId_hyperlink_631" tooltip="Download" display="Download"/>
    <hyperlink ref="BU636" r:id="rId_hyperlink_632" tooltip="Download" display="Download"/>
    <hyperlink ref="BU637" r:id="rId_hyperlink_633" tooltip="Download" display="Download"/>
    <hyperlink ref="BU638" r:id="rId_hyperlink_634" tooltip="Download" display="Download"/>
    <hyperlink ref="BU639" r:id="rId_hyperlink_635" tooltip="Download" display="Download"/>
    <hyperlink ref="BU640" r:id="rId_hyperlink_636" tooltip="Download" display="Download"/>
    <hyperlink ref="BU641" r:id="rId_hyperlink_637" tooltip="Download" display="Download"/>
    <hyperlink ref="BU642" r:id="rId_hyperlink_638" tooltip="Download" display="Download"/>
    <hyperlink ref="BU643" r:id="rId_hyperlink_639" tooltip="Download" display="Download"/>
    <hyperlink ref="BU644" r:id="rId_hyperlink_640" tooltip="Download" display="Download"/>
    <hyperlink ref="BU645" r:id="rId_hyperlink_641" tooltip="Download" display="Download"/>
    <hyperlink ref="BU646" r:id="rId_hyperlink_642" tooltip="Download" display="Download"/>
    <hyperlink ref="BU647" r:id="rId_hyperlink_643" tooltip="Download" display="Download"/>
    <hyperlink ref="BU648" r:id="rId_hyperlink_644" tooltip="Download" display="Download"/>
    <hyperlink ref="BU649" r:id="rId_hyperlink_645" tooltip="Download" display="Download"/>
    <hyperlink ref="BU650" r:id="rId_hyperlink_646" tooltip="Download" display="Download"/>
    <hyperlink ref="BU651" r:id="rId_hyperlink_647" tooltip="Download" display="Download"/>
    <hyperlink ref="BU652" r:id="rId_hyperlink_648" tooltip="Download" display="Download"/>
    <hyperlink ref="BU653" r:id="rId_hyperlink_649" tooltip="Download" display="Download"/>
    <hyperlink ref="BU654" r:id="rId_hyperlink_650" tooltip="Download" display="Download"/>
    <hyperlink ref="BU655" r:id="rId_hyperlink_651" tooltip="Download" display="Download"/>
    <hyperlink ref="BU656" r:id="rId_hyperlink_652" tooltip="Download" display="Download"/>
    <hyperlink ref="BU657" r:id="rId_hyperlink_653" tooltip="Download" display="Download"/>
    <hyperlink ref="BU658" r:id="rId_hyperlink_654" tooltip="Download" display="Download"/>
    <hyperlink ref="BU659" r:id="rId_hyperlink_655" tooltip="Download" display="Download"/>
    <hyperlink ref="BU660" r:id="rId_hyperlink_656" tooltip="Download" display="Download"/>
    <hyperlink ref="BU661" r:id="rId_hyperlink_657" tooltip="Download" display="Download"/>
    <hyperlink ref="BU662" r:id="rId_hyperlink_658" tooltip="Download" display="Download"/>
    <hyperlink ref="BU663" r:id="rId_hyperlink_659" tooltip="Download" display="Download"/>
    <hyperlink ref="BU664" r:id="rId_hyperlink_660" tooltip="Download" display="Download"/>
    <hyperlink ref="BU665" r:id="rId_hyperlink_661" tooltip="Download" display="Download"/>
    <hyperlink ref="BU666" r:id="rId_hyperlink_662" tooltip="Download" display="Download"/>
    <hyperlink ref="BU667" r:id="rId_hyperlink_663" tooltip="Download" display="Download"/>
    <hyperlink ref="BU668" r:id="rId_hyperlink_664" tooltip="Download" display="Download"/>
    <hyperlink ref="BU669" r:id="rId_hyperlink_665" tooltip="Download" display="Download"/>
    <hyperlink ref="BU670" r:id="rId_hyperlink_666" tooltip="Download" display="Download"/>
    <hyperlink ref="BU671" r:id="rId_hyperlink_667" tooltip="Download" display="Download"/>
    <hyperlink ref="BU672" r:id="rId_hyperlink_668" tooltip="Download" display="Download"/>
    <hyperlink ref="BU673" r:id="rId_hyperlink_669" tooltip="Download" display="Download"/>
    <hyperlink ref="BU674" r:id="rId_hyperlink_670" tooltip="Download" display="Download"/>
    <hyperlink ref="BU675" r:id="rId_hyperlink_671" tooltip="Download" display="Download"/>
    <hyperlink ref="BU676" r:id="rId_hyperlink_672" tooltip="Download" display="Download"/>
    <hyperlink ref="BU677" r:id="rId_hyperlink_673" tooltip="Download" display="Download"/>
    <hyperlink ref="BU678" r:id="rId_hyperlink_674" tooltip="Download" display="Download"/>
    <hyperlink ref="BU679" r:id="rId_hyperlink_675" tooltip="Download" display="Download"/>
    <hyperlink ref="BU680" r:id="rId_hyperlink_676" tooltip="Download" display="Download"/>
    <hyperlink ref="BU681" r:id="rId_hyperlink_677" tooltip="Download" display="Download"/>
    <hyperlink ref="BU682" r:id="rId_hyperlink_678" tooltip="Download" display="Download"/>
    <hyperlink ref="BU683" r:id="rId_hyperlink_679" tooltip="Download" display="Download"/>
    <hyperlink ref="BU684" r:id="rId_hyperlink_680" tooltip="Download" display="Download"/>
    <hyperlink ref="BU685" r:id="rId_hyperlink_681" tooltip="Download" display="Download"/>
    <hyperlink ref="BU686" r:id="rId_hyperlink_682" tooltip="Download" display="Download"/>
    <hyperlink ref="BU687" r:id="rId_hyperlink_683" tooltip="Download" display="Download"/>
    <hyperlink ref="BU688" r:id="rId_hyperlink_684" tooltip="Download" display="Download"/>
    <hyperlink ref="BU689" r:id="rId_hyperlink_685" tooltip="Download" display="Download"/>
    <hyperlink ref="BU690" r:id="rId_hyperlink_686" tooltip="Download" display="Download"/>
    <hyperlink ref="BU691" r:id="rId_hyperlink_687" tooltip="Download" display="Download"/>
    <hyperlink ref="BU692" r:id="rId_hyperlink_688" tooltip="Download" display="Download"/>
    <hyperlink ref="BU693" r:id="rId_hyperlink_689" tooltip="Download" display="Download"/>
    <hyperlink ref="BU694" r:id="rId_hyperlink_690" tooltip="Download" display="Download"/>
    <hyperlink ref="BU695" r:id="rId_hyperlink_691" tooltip="Download" display="Download"/>
    <hyperlink ref="BU696" r:id="rId_hyperlink_692" tooltip="Download" display="Download"/>
    <hyperlink ref="BU697" r:id="rId_hyperlink_693" tooltip="Download" display="Download"/>
    <hyperlink ref="BU698" r:id="rId_hyperlink_694" tooltip="Download" display="Download"/>
    <hyperlink ref="BU699" r:id="rId_hyperlink_695" tooltip="Download" display="Download"/>
    <hyperlink ref="BU700" r:id="rId_hyperlink_696" tooltip="Download" display="Download"/>
    <hyperlink ref="BU701" r:id="rId_hyperlink_697" tooltip="Download" display="Download"/>
    <hyperlink ref="BU702" r:id="rId_hyperlink_698" tooltip="Download" display="Download"/>
    <hyperlink ref="BU703" r:id="rId_hyperlink_699" tooltip="Download" display="Download"/>
    <hyperlink ref="BU704" r:id="rId_hyperlink_700" tooltip="Download" display="Download"/>
    <hyperlink ref="BU705" r:id="rId_hyperlink_701" tooltip="Download" display="Download"/>
    <hyperlink ref="BU706" r:id="rId_hyperlink_702" tooltip="Download" display="Download"/>
    <hyperlink ref="BU707" r:id="rId_hyperlink_703" tooltip="Download" display="Download"/>
    <hyperlink ref="BU708" r:id="rId_hyperlink_704" tooltip="Download" display="Download"/>
    <hyperlink ref="BU709" r:id="rId_hyperlink_705" tooltip="Download" display="Download"/>
    <hyperlink ref="BU710" r:id="rId_hyperlink_706" tooltip="Download" display="Download"/>
    <hyperlink ref="BU711" r:id="rId_hyperlink_707" tooltip="Download" display="Download"/>
    <hyperlink ref="BU712" r:id="rId_hyperlink_708" tooltip="Download" display="Download"/>
    <hyperlink ref="BU713" r:id="rId_hyperlink_709" tooltip="Download" display="Download"/>
    <hyperlink ref="BU714" r:id="rId_hyperlink_710" tooltip="Download" display="Download"/>
    <hyperlink ref="BU715" r:id="rId_hyperlink_711" tooltip="Download" display="Download"/>
    <hyperlink ref="BU716" r:id="rId_hyperlink_712" tooltip="Download" display="Download"/>
    <hyperlink ref="BU717" r:id="rId_hyperlink_713" tooltip="Download" display="Download"/>
    <hyperlink ref="BU718" r:id="rId_hyperlink_714" tooltip="Download" display="Download"/>
    <hyperlink ref="BU719" r:id="rId_hyperlink_715" tooltip="Download" display="Download"/>
    <hyperlink ref="BU720" r:id="rId_hyperlink_716" tooltip="Download" display="Download"/>
    <hyperlink ref="BU721" r:id="rId_hyperlink_717" tooltip="Download" display="Download"/>
    <hyperlink ref="BU722" r:id="rId_hyperlink_718" tooltip="Download" display="Download"/>
    <hyperlink ref="BU723" r:id="rId_hyperlink_719" tooltip="Download" display="Download"/>
    <hyperlink ref="BU724" r:id="rId_hyperlink_720" tooltip="Download" display="Download"/>
    <hyperlink ref="BU725" r:id="rId_hyperlink_721" tooltip="Download" display="Download"/>
    <hyperlink ref="BU726" r:id="rId_hyperlink_722" tooltip="Download" display="Download"/>
    <hyperlink ref="BU727" r:id="rId_hyperlink_723" tooltip="Download" display="Download"/>
    <hyperlink ref="BU728" r:id="rId_hyperlink_724" tooltip="Download" display="Download"/>
    <hyperlink ref="BU729" r:id="rId_hyperlink_725" tooltip="Download" display="Download"/>
    <hyperlink ref="BU730" r:id="rId_hyperlink_726" tooltip="Download" display="Download"/>
    <hyperlink ref="BU731" r:id="rId_hyperlink_727" tooltip="Download" display="Download"/>
    <hyperlink ref="BU732" r:id="rId_hyperlink_728" tooltip="Download" display="Download"/>
    <hyperlink ref="BU733" r:id="rId_hyperlink_729" tooltip="Download" display="Download"/>
    <hyperlink ref="BU734" r:id="rId_hyperlink_730" tooltip="Download" display="Download"/>
    <hyperlink ref="BU735" r:id="rId_hyperlink_731" tooltip="Download" display="Download"/>
    <hyperlink ref="BU736" r:id="rId_hyperlink_732" tooltip="Download" display="Download"/>
    <hyperlink ref="BU737" r:id="rId_hyperlink_733" tooltip="Download" display="Download"/>
    <hyperlink ref="BU738" r:id="rId_hyperlink_734" tooltip="Download" display="Download"/>
    <hyperlink ref="BU739" r:id="rId_hyperlink_735" tooltip="Download" display="Download"/>
    <hyperlink ref="BU740" r:id="rId_hyperlink_736" tooltip="Download" display="Download"/>
    <hyperlink ref="BU741" r:id="rId_hyperlink_737" tooltip="Download" display="Download"/>
    <hyperlink ref="BU742" r:id="rId_hyperlink_738" tooltip="Download" display="Download"/>
    <hyperlink ref="BU743" r:id="rId_hyperlink_739" tooltip="Download" display="Download"/>
    <hyperlink ref="BU744" r:id="rId_hyperlink_740" tooltip="Download" display="Download"/>
    <hyperlink ref="BU745" r:id="rId_hyperlink_741" tooltip="Download" display="Download"/>
    <hyperlink ref="BU746" r:id="rId_hyperlink_742" tooltip="Download" display="Download"/>
    <hyperlink ref="BU747" r:id="rId_hyperlink_743" tooltip="Download" display="Download"/>
    <hyperlink ref="BU748" r:id="rId_hyperlink_744" tooltip="Download" display="Download"/>
    <hyperlink ref="BU749" r:id="rId_hyperlink_745" tooltip="Download" display="Download"/>
    <hyperlink ref="BU750" r:id="rId_hyperlink_746" tooltip="Download" display="Download"/>
    <hyperlink ref="BU751" r:id="rId_hyperlink_747" tooltip="Download" display="Download"/>
    <hyperlink ref="BU752" r:id="rId_hyperlink_748" tooltip="Download" display="Download"/>
    <hyperlink ref="BU753" r:id="rId_hyperlink_749" tooltip="Download" display="Download"/>
    <hyperlink ref="BU755" r:id="rId_hyperlink_750" tooltip="Download" display="Download"/>
    <hyperlink ref="BU756" r:id="rId_hyperlink_751" tooltip="Download" display="Download"/>
    <hyperlink ref="BU757" r:id="rId_hyperlink_752" tooltip="Download" display="Download"/>
    <hyperlink ref="BU759" r:id="rId_hyperlink_753" tooltip="Download" display="Download"/>
    <hyperlink ref="BU760" r:id="rId_hyperlink_754" tooltip="Download" display="Download"/>
    <hyperlink ref="BU761" r:id="rId_hyperlink_755" tooltip="Download" display="Download"/>
    <hyperlink ref="BU762" r:id="rId_hyperlink_756" tooltip="Download" display="Download"/>
    <hyperlink ref="BU763" r:id="rId_hyperlink_757" tooltip="Download" display="Download"/>
    <hyperlink ref="BU764" r:id="rId_hyperlink_758" tooltip="Download" display="Download"/>
    <hyperlink ref="BU765" r:id="rId_hyperlink_759" tooltip="Download" display="Download"/>
    <hyperlink ref="BU766" r:id="rId_hyperlink_760" tooltip="Download" display="Download"/>
    <hyperlink ref="BU767" r:id="rId_hyperlink_761" tooltip="Download" display="Download"/>
    <hyperlink ref="BU768" r:id="rId_hyperlink_762" tooltip="Download" display="Download"/>
    <hyperlink ref="BU769" r:id="rId_hyperlink_763" tooltip="Download" display="Download"/>
    <hyperlink ref="BU770" r:id="rId_hyperlink_764" tooltip="Download" display="Download"/>
    <hyperlink ref="BU771" r:id="rId_hyperlink_765" tooltip="Download" display="Download"/>
    <hyperlink ref="BU772" r:id="rId_hyperlink_766" tooltip="Download" display="Download"/>
    <hyperlink ref="BU773" r:id="rId_hyperlink_767" tooltip="Download" display="Download"/>
    <hyperlink ref="BU774" r:id="rId_hyperlink_768" tooltip="Download" display="Download"/>
    <hyperlink ref="BU775" r:id="rId_hyperlink_769" tooltip="Download" display="Download"/>
    <hyperlink ref="BU776" r:id="rId_hyperlink_770" tooltip="Download" display="Download"/>
    <hyperlink ref="BU777" r:id="rId_hyperlink_771" tooltip="Download" display="Download"/>
    <hyperlink ref="BU778" r:id="rId_hyperlink_772" tooltip="Download" display="Download"/>
    <hyperlink ref="BU779" r:id="rId_hyperlink_773" tooltip="Download" display="Download"/>
    <hyperlink ref="BU780" r:id="rId_hyperlink_774" tooltip="Download" display="Download"/>
    <hyperlink ref="BU781" r:id="rId_hyperlink_775" tooltip="Download" display="Download"/>
    <hyperlink ref="BU782" r:id="rId_hyperlink_776" tooltip="Download" display="Download"/>
    <hyperlink ref="BU783" r:id="rId_hyperlink_777" tooltip="Download" display="Download"/>
    <hyperlink ref="BU784" r:id="rId_hyperlink_778" tooltip="Download" display="Download"/>
    <hyperlink ref="BU785" r:id="rId_hyperlink_779" tooltip="Download" display="Download"/>
    <hyperlink ref="BU786" r:id="rId_hyperlink_780" tooltip="Download" display="Download"/>
    <hyperlink ref="BU787" r:id="rId_hyperlink_781" tooltip="Download" display="Download"/>
    <hyperlink ref="BU788" r:id="rId_hyperlink_782" tooltip="Download" display="Download"/>
    <hyperlink ref="BU789" r:id="rId_hyperlink_783" tooltip="Download" display="Download"/>
    <hyperlink ref="BU790" r:id="rId_hyperlink_784" tooltip="Download" display="Download"/>
    <hyperlink ref="BU791" r:id="rId_hyperlink_785" tooltip="Download" display="Download"/>
    <hyperlink ref="BU792" r:id="rId_hyperlink_786" tooltip="Download" display="Download"/>
    <hyperlink ref="BU793" r:id="rId_hyperlink_787" tooltip="Download" display="Download"/>
    <hyperlink ref="BU794" r:id="rId_hyperlink_788" tooltip="Download" display="Download"/>
    <hyperlink ref="BU795" r:id="rId_hyperlink_789" tooltip="Download" display="Download"/>
    <hyperlink ref="BU796" r:id="rId_hyperlink_790" tooltip="Download" display="Download"/>
    <hyperlink ref="BU797" r:id="rId_hyperlink_791" tooltip="Download" display="Download"/>
    <hyperlink ref="BU798" r:id="rId_hyperlink_792" tooltip="Download" display="Download"/>
    <hyperlink ref="BU799" r:id="rId_hyperlink_793" tooltip="Download" display="Download"/>
    <hyperlink ref="BU801" r:id="rId_hyperlink_794" tooltip="Download" display="Download"/>
    <hyperlink ref="BU802" r:id="rId_hyperlink_795" tooltip="Download" display="Download"/>
    <hyperlink ref="BU803" r:id="rId_hyperlink_796" tooltip="Download" display="Download"/>
    <hyperlink ref="BU804" r:id="rId_hyperlink_797" tooltip="Download" display="Download"/>
    <hyperlink ref="BU805" r:id="rId_hyperlink_798" tooltip="Download" display="Download"/>
    <hyperlink ref="BU806" r:id="rId_hyperlink_799" tooltip="Download" display="Download"/>
    <hyperlink ref="BU807" r:id="rId_hyperlink_800" tooltip="Download" display="Download"/>
    <hyperlink ref="BU808" r:id="rId_hyperlink_801" tooltip="Download" display="Download"/>
    <hyperlink ref="BU810" r:id="rId_hyperlink_802" tooltip="Download" display="Download"/>
    <hyperlink ref="BU811" r:id="rId_hyperlink_803" tooltip="Download" display="Download"/>
    <hyperlink ref="BU812" r:id="rId_hyperlink_804" tooltip="Download" display="Download"/>
    <hyperlink ref="BU813" r:id="rId_hyperlink_805" tooltip="Download" display="Download"/>
    <hyperlink ref="BU814" r:id="rId_hyperlink_806" tooltip="Download" display="Download"/>
    <hyperlink ref="BU815" r:id="rId_hyperlink_807" tooltip="Download" display="Download"/>
    <hyperlink ref="BU816" r:id="rId_hyperlink_808" tooltip="Download" display="Download"/>
    <hyperlink ref="BU817" r:id="rId_hyperlink_809" tooltip="Download" display="Download"/>
    <hyperlink ref="BU818" r:id="rId_hyperlink_810" tooltip="Download" display="Download"/>
    <hyperlink ref="BU819" r:id="rId_hyperlink_811" tooltip="Download" display="Download"/>
    <hyperlink ref="BU820" r:id="rId_hyperlink_812" tooltip="Download" display="Download"/>
    <hyperlink ref="BU821" r:id="rId_hyperlink_813" tooltip="Download" display="Download"/>
    <hyperlink ref="BU822" r:id="rId_hyperlink_814" tooltip="Download" display="Download"/>
    <hyperlink ref="BU823" r:id="rId_hyperlink_815" tooltip="Download" display="Download"/>
    <hyperlink ref="BU824" r:id="rId_hyperlink_816" tooltip="Download" display="Download"/>
    <hyperlink ref="BU825" r:id="rId_hyperlink_817" tooltip="Download" display="Download"/>
    <hyperlink ref="BU827" r:id="rId_hyperlink_818" tooltip="Download" display="Download"/>
    <hyperlink ref="BU828" r:id="rId_hyperlink_819" tooltip="Download" display="Download"/>
    <hyperlink ref="BU829" r:id="rId_hyperlink_820" tooltip="Download" display="Download"/>
    <hyperlink ref="BU831" r:id="rId_hyperlink_821" tooltip="Download" display="Download"/>
    <hyperlink ref="BU832" r:id="rId_hyperlink_822" tooltip="Download" display="Download"/>
    <hyperlink ref="BU833" r:id="rId_hyperlink_823" tooltip="Download" display="Download"/>
    <hyperlink ref="BU834" r:id="rId_hyperlink_824" tooltip="Download" display="Download"/>
    <hyperlink ref="BU835" r:id="rId_hyperlink_825" tooltip="Download" display="Download"/>
    <hyperlink ref="BU836" r:id="rId_hyperlink_826" tooltip="Download" display="Download"/>
    <hyperlink ref="BU837" r:id="rId_hyperlink_827" tooltip="Download" display="Download"/>
    <hyperlink ref="BU838" r:id="rId_hyperlink_828" tooltip="Download" display="Download"/>
    <hyperlink ref="BU839" r:id="rId_hyperlink_829" tooltip="Download" display="Download"/>
    <hyperlink ref="BU840" r:id="rId_hyperlink_830" tooltip="Download" display="Download"/>
    <hyperlink ref="BU841" r:id="rId_hyperlink_831" tooltip="Download" display="Download"/>
    <hyperlink ref="BU842" r:id="rId_hyperlink_832" tooltip="Download" display="Download"/>
    <hyperlink ref="BU843" r:id="rId_hyperlink_833" tooltip="Download" display="Download"/>
    <hyperlink ref="BU844" r:id="rId_hyperlink_834" tooltip="Download" display="Download"/>
    <hyperlink ref="BU845" r:id="rId_hyperlink_835" tooltip="Download" display="Download"/>
    <hyperlink ref="BU846" r:id="rId_hyperlink_836" tooltip="Download" display="Download"/>
    <hyperlink ref="BU847" r:id="rId_hyperlink_837" tooltip="Download" display="Download"/>
    <hyperlink ref="BU848" r:id="rId_hyperlink_838" tooltip="Download" display="Download"/>
    <hyperlink ref="BU849" r:id="rId_hyperlink_839" tooltip="Download" display="Download"/>
    <hyperlink ref="BU850" r:id="rId_hyperlink_840" tooltip="Download" display="Download"/>
    <hyperlink ref="BU851" r:id="rId_hyperlink_841" tooltip="Download" display="Download"/>
    <hyperlink ref="BU853" r:id="rId_hyperlink_842" tooltip="Download" display="Download"/>
    <hyperlink ref="BU854" r:id="rId_hyperlink_843" tooltip="Download" display="Download"/>
    <hyperlink ref="BU855" r:id="rId_hyperlink_844" tooltip="Download" display="Download"/>
    <hyperlink ref="BU856" r:id="rId_hyperlink_845" tooltip="Download" display="Download"/>
    <hyperlink ref="BU857" r:id="rId_hyperlink_846" tooltip="Download" display="Download"/>
    <hyperlink ref="BU858" r:id="rId_hyperlink_847" tooltip="Download" display="Download"/>
    <hyperlink ref="BU859" r:id="rId_hyperlink_848" tooltip="Download" display="Download"/>
    <hyperlink ref="BU860" r:id="rId_hyperlink_849" tooltip="Download" display="Download"/>
    <hyperlink ref="BU861" r:id="rId_hyperlink_850" tooltip="Download" display="Download"/>
    <hyperlink ref="BU862" r:id="rId_hyperlink_851" tooltip="Download" display="Download"/>
    <hyperlink ref="BU863" r:id="rId_hyperlink_852" tooltip="Download" display="Download"/>
    <hyperlink ref="BU864" r:id="rId_hyperlink_853" tooltip="Download" display="Download"/>
    <hyperlink ref="BU865" r:id="rId_hyperlink_854" tooltip="Download" display="Download"/>
    <hyperlink ref="BU866" r:id="rId_hyperlink_855" tooltip="Download" display="Download"/>
    <hyperlink ref="BU867" r:id="rId_hyperlink_856" tooltip="Download" display="Download"/>
    <hyperlink ref="BU868" r:id="rId_hyperlink_857" tooltip="Download" display="Download"/>
    <hyperlink ref="BU869" r:id="rId_hyperlink_858" tooltip="Download" display="Download"/>
    <hyperlink ref="BU870" r:id="rId_hyperlink_859" tooltip="Download" display="Download"/>
    <hyperlink ref="BU871" r:id="rId_hyperlink_860" tooltip="Download" display="Download"/>
    <hyperlink ref="BU872" r:id="rId_hyperlink_861" tooltip="Download" display="Download"/>
    <hyperlink ref="BU873" r:id="rId_hyperlink_862" tooltip="Download" display="Download"/>
    <hyperlink ref="BU874" r:id="rId_hyperlink_863" tooltip="Download" display="Download"/>
    <hyperlink ref="BU875" r:id="rId_hyperlink_864" tooltip="Download" display="Download"/>
    <hyperlink ref="BU876" r:id="rId_hyperlink_865" tooltip="Download" display="Download"/>
    <hyperlink ref="BU877" r:id="rId_hyperlink_866" tooltip="Download" display="Download"/>
    <hyperlink ref="BU878" r:id="rId_hyperlink_867" tooltip="Download" display="Download"/>
    <hyperlink ref="BU879" r:id="rId_hyperlink_868" tooltip="Download" display="Download"/>
    <hyperlink ref="BU880" r:id="rId_hyperlink_869" tooltip="Download" display="Download"/>
    <hyperlink ref="BU881" r:id="rId_hyperlink_870" tooltip="Download" display="Download"/>
    <hyperlink ref="BU882" r:id="rId_hyperlink_871" tooltip="Download" display="Download"/>
    <hyperlink ref="BU883" r:id="rId_hyperlink_872" tooltip="Download" display="Download"/>
    <hyperlink ref="BU884" r:id="rId_hyperlink_873" tooltip="Download" display="Download"/>
    <hyperlink ref="BU885" r:id="rId_hyperlink_874" tooltip="Download" display="Download"/>
    <hyperlink ref="BU886" r:id="rId_hyperlink_875" tooltip="Download" display="Download"/>
    <hyperlink ref="BU887" r:id="rId_hyperlink_876" tooltip="Download" display="Download"/>
    <hyperlink ref="BU888" r:id="rId_hyperlink_877" tooltip="Download" display="Download"/>
    <hyperlink ref="BU889" r:id="rId_hyperlink_878" tooltip="Download" display="Download"/>
    <hyperlink ref="BU890" r:id="rId_hyperlink_879" tooltip="Download" display="Download"/>
    <hyperlink ref="BU891" r:id="rId_hyperlink_880" tooltip="Download" display="Download"/>
    <hyperlink ref="BU892" r:id="rId_hyperlink_881" tooltip="Download" display="Download"/>
    <hyperlink ref="BU893" r:id="rId_hyperlink_882" tooltip="Download" display="Download"/>
    <hyperlink ref="BU894" r:id="rId_hyperlink_883" tooltip="Download" display="Download"/>
    <hyperlink ref="BU895" r:id="rId_hyperlink_884" tooltip="Download" display="Download"/>
    <hyperlink ref="BU896" r:id="rId_hyperlink_885" tooltip="Download" display="Download"/>
    <hyperlink ref="BU897" r:id="rId_hyperlink_886" tooltip="Download" display="Download"/>
    <hyperlink ref="BU898" r:id="rId_hyperlink_887" tooltip="Download" display="Download"/>
    <hyperlink ref="BU899" r:id="rId_hyperlink_888" tooltip="Download" display="Download"/>
    <hyperlink ref="BU900" r:id="rId_hyperlink_889" tooltip="Download" display="Download"/>
    <hyperlink ref="BU901" r:id="rId_hyperlink_890" tooltip="Download" display="Download"/>
    <hyperlink ref="BU902" r:id="rId_hyperlink_891" tooltip="Download" display="Download"/>
    <hyperlink ref="BU903" r:id="rId_hyperlink_892" tooltip="Download" display="Download"/>
    <hyperlink ref="BU904" r:id="rId_hyperlink_893" tooltip="Download" display="Download"/>
    <hyperlink ref="BU905" r:id="rId_hyperlink_894" tooltip="Download" display="Download"/>
    <hyperlink ref="BU906" r:id="rId_hyperlink_895" tooltip="Download" display="Download"/>
    <hyperlink ref="BU907" r:id="rId_hyperlink_896" tooltip="Download" display="Download"/>
    <hyperlink ref="BU908" r:id="rId_hyperlink_897" tooltip="Download" display="Download"/>
    <hyperlink ref="BU909" r:id="rId_hyperlink_898" tooltip="Download" display="Download"/>
    <hyperlink ref="BU910" r:id="rId_hyperlink_899" tooltip="Download" display="Download"/>
    <hyperlink ref="BU911" r:id="rId_hyperlink_900" tooltip="Download" display="Download"/>
    <hyperlink ref="BU912" r:id="rId_hyperlink_901" tooltip="Download" display="Download"/>
    <hyperlink ref="BU913" r:id="rId_hyperlink_902" tooltip="Download" display="Download"/>
    <hyperlink ref="BU914" r:id="rId_hyperlink_903" tooltip="Download" display="Download"/>
    <hyperlink ref="BU915" r:id="rId_hyperlink_904" tooltip="Download" display="Download"/>
    <hyperlink ref="BU916" r:id="rId_hyperlink_905" tooltip="Download" display="Download"/>
    <hyperlink ref="BU917" r:id="rId_hyperlink_906" tooltip="Download" display="Download"/>
    <hyperlink ref="BU918" r:id="rId_hyperlink_907" tooltip="Download" display="Download"/>
    <hyperlink ref="BU919" r:id="rId_hyperlink_908" tooltip="Download" display="Download"/>
    <hyperlink ref="BU920" r:id="rId_hyperlink_909" tooltip="Download" display="Download"/>
    <hyperlink ref="BU921" r:id="rId_hyperlink_910" tooltip="Download" display="Download"/>
    <hyperlink ref="BU922" r:id="rId_hyperlink_911" tooltip="Download" display="Download"/>
    <hyperlink ref="BU923" r:id="rId_hyperlink_912" tooltip="Download" display="Download"/>
    <hyperlink ref="BU924" r:id="rId_hyperlink_913" tooltip="Download" display="Download"/>
    <hyperlink ref="BU925" r:id="rId_hyperlink_914" tooltip="Download" display="Download"/>
    <hyperlink ref="BU926" r:id="rId_hyperlink_915" tooltip="Download" display="Download"/>
    <hyperlink ref="BU927" r:id="rId_hyperlink_916" tooltip="Download" display="Download"/>
    <hyperlink ref="BU928" r:id="rId_hyperlink_917" tooltip="Download" display="Download"/>
    <hyperlink ref="BU929" r:id="rId_hyperlink_918" tooltip="Download" display="Download"/>
    <hyperlink ref="BU930" r:id="rId_hyperlink_919" tooltip="Download" display="Download"/>
    <hyperlink ref="BU931" r:id="rId_hyperlink_920" tooltip="Download" display="Download"/>
    <hyperlink ref="BU932" r:id="rId_hyperlink_921" tooltip="Download" display="Download"/>
    <hyperlink ref="BU933" r:id="rId_hyperlink_922" tooltip="Download" display="Download"/>
    <hyperlink ref="BU934" r:id="rId_hyperlink_923" tooltip="Download" display="Download"/>
    <hyperlink ref="BU935" r:id="rId_hyperlink_924" tooltip="Download" display="Download"/>
    <hyperlink ref="BU936" r:id="rId_hyperlink_925" tooltip="Download" display="Download"/>
    <hyperlink ref="BU937" r:id="rId_hyperlink_926" tooltip="Download" display="Download"/>
    <hyperlink ref="BU938" r:id="rId_hyperlink_927" tooltip="Download" display="Download"/>
    <hyperlink ref="BU939" r:id="rId_hyperlink_928" tooltip="Download" display="Download"/>
    <hyperlink ref="BU940" r:id="rId_hyperlink_929" tooltip="Download" display="Download"/>
    <hyperlink ref="BU941" r:id="rId_hyperlink_930" tooltip="Download" display="Download"/>
    <hyperlink ref="BU942" r:id="rId_hyperlink_931" tooltip="Download" display="Download"/>
    <hyperlink ref="BU943" r:id="rId_hyperlink_932" tooltip="Download" display="Download"/>
    <hyperlink ref="BU944" r:id="rId_hyperlink_933" tooltip="Download" display="Download"/>
    <hyperlink ref="BU945" r:id="rId_hyperlink_934" tooltip="Download" display="Download"/>
    <hyperlink ref="BU946" r:id="rId_hyperlink_935" tooltip="Download" display="Download"/>
    <hyperlink ref="BU947" r:id="rId_hyperlink_936" tooltip="Download" display="Download"/>
    <hyperlink ref="BU948" r:id="rId_hyperlink_937" tooltip="Download" display="Download"/>
    <hyperlink ref="BU949" r:id="rId_hyperlink_938" tooltip="Download" display="Download"/>
    <hyperlink ref="BU950" r:id="rId_hyperlink_939" tooltip="Download" display="Download"/>
    <hyperlink ref="BU951" r:id="rId_hyperlink_940" tooltip="Download" display="Download"/>
    <hyperlink ref="BU953" r:id="rId_hyperlink_941" tooltip="Download" display="Download"/>
    <hyperlink ref="BU954" r:id="rId_hyperlink_942" tooltip="Download" display="Download"/>
    <hyperlink ref="BU955" r:id="rId_hyperlink_943" tooltip="Download" display="Download"/>
    <hyperlink ref="BU956" r:id="rId_hyperlink_944" tooltip="Download" display="Download"/>
    <hyperlink ref="BU957" r:id="rId_hyperlink_945" tooltip="Download" display="Download"/>
    <hyperlink ref="BU958" r:id="rId_hyperlink_946" tooltip="Download" display="Download"/>
    <hyperlink ref="BU959" r:id="rId_hyperlink_947" tooltip="Download" display="Download"/>
    <hyperlink ref="BU960" r:id="rId_hyperlink_948" tooltip="Download" display="Download"/>
    <hyperlink ref="BU961" r:id="rId_hyperlink_949" tooltip="Download" display="Download"/>
    <hyperlink ref="BU962" r:id="rId_hyperlink_950" tooltip="Download" display="Download"/>
    <hyperlink ref="BU963" r:id="rId_hyperlink_951" tooltip="Download" display="Download"/>
    <hyperlink ref="BU964" r:id="rId_hyperlink_952" tooltip="Download" display="Download"/>
    <hyperlink ref="BU965" r:id="rId_hyperlink_953" tooltip="Download" display="Download"/>
    <hyperlink ref="BU966" r:id="rId_hyperlink_954" tooltip="Download" display="Download"/>
    <hyperlink ref="BU967" r:id="rId_hyperlink_955" tooltip="Download" display="Download"/>
    <hyperlink ref="BU968" r:id="rId_hyperlink_956" tooltip="Download" display="Download"/>
    <hyperlink ref="BU969" r:id="rId_hyperlink_957" tooltip="Download" display="Download"/>
    <hyperlink ref="BU970" r:id="rId_hyperlink_958" tooltip="Download" display="Download"/>
    <hyperlink ref="BU971" r:id="rId_hyperlink_959" tooltip="Download" display="Download"/>
    <hyperlink ref="BU972" r:id="rId_hyperlink_960" tooltip="Download" display="Download"/>
    <hyperlink ref="BU973" r:id="rId_hyperlink_961" tooltip="Download" display="Download"/>
    <hyperlink ref="BU974" r:id="rId_hyperlink_962" tooltip="Download" display="Download"/>
    <hyperlink ref="BU975" r:id="rId_hyperlink_963" tooltip="Download" display="Download"/>
    <hyperlink ref="BU976" r:id="rId_hyperlink_964" tooltip="Download" display="Download"/>
    <hyperlink ref="BU977" r:id="rId_hyperlink_965" tooltip="Download" display="Download"/>
    <hyperlink ref="BU978" r:id="rId_hyperlink_966" tooltip="Download" display="Download"/>
    <hyperlink ref="BU979" r:id="rId_hyperlink_967" tooltip="Download" display="Download"/>
    <hyperlink ref="BU980" r:id="rId_hyperlink_968" tooltip="Download" display="Download"/>
    <hyperlink ref="BU981" r:id="rId_hyperlink_969" tooltip="Download" display="Download"/>
    <hyperlink ref="BU982" r:id="rId_hyperlink_970" tooltip="Download" display="Download"/>
    <hyperlink ref="BU983" r:id="rId_hyperlink_971" tooltip="Download" display="Download"/>
    <hyperlink ref="BU984" r:id="rId_hyperlink_972" tooltip="Download" display="Download"/>
    <hyperlink ref="BU985" r:id="rId_hyperlink_973" tooltip="Download" display="Download"/>
    <hyperlink ref="BU986" r:id="rId_hyperlink_974" tooltip="Download" display="Download"/>
    <hyperlink ref="BU987" r:id="rId_hyperlink_975" tooltip="Download" display="Download"/>
    <hyperlink ref="BU988" r:id="rId_hyperlink_976" tooltip="Download" display="Download"/>
    <hyperlink ref="BU989" r:id="rId_hyperlink_977" tooltip="Download" display="Download"/>
    <hyperlink ref="BU990" r:id="rId_hyperlink_978" tooltip="Download" display="Download"/>
    <hyperlink ref="BU991" r:id="rId_hyperlink_979" tooltip="Download" display="Download"/>
    <hyperlink ref="BU992" r:id="rId_hyperlink_980" tooltip="Download" display="Download"/>
    <hyperlink ref="BU993" r:id="rId_hyperlink_981" tooltip="Download" display="Download"/>
    <hyperlink ref="BU994" r:id="rId_hyperlink_982" tooltip="Download" display="Download"/>
    <hyperlink ref="BU995" r:id="rId_hyperlink_983" tooltip="Download" display="Download"/>
    <hyperlink ref="BU996" r:id="rId_hyperlink_984" tooltip="Download" display="Download"/>
    <hyperlink ref="BU997" r:id="rId_hyperlink_985" tooltip="Download" display="Download"/>
    <hyperlink ref="BU998" r:id="rId_hyperlink_986" tooltip="Download" display="Download"/>
    <hyperlink ref="BU999" r:id="rId_hyperlink_987" tooltip="Download" display="Download"/>
    <hyperlink ref="BU1000" r:id="rId_hyperlink_988" tooltip="Download" display="Download"/>
    <hyperlink ref="BU1001" r:id="rId_hyperlink_989" tooltip="Download" display="Download"/>
    <hyperlink ref="BU1002" r:id="rId_hyperlink_990" tooltip="Download" display="Download"/>
    <hyperlink ref="BU1003" r:id="rId_hyperlink_991" tooltip="Download" display="Download"/>
    <hyperlink ref="BU1004" r:id="rId_hyperlink_992" tooltip="Download" display="Download"/>
    <hyperlink ref="BU1005" r:id="rId_hyperlink_993" tooltip="Download" display="Download"/>
    <hyperlink ref="BU1006" r:id="rId_hyperlink_994" tooltip="Download" display="Download"/>
    <hyperlink ref="BU1007" r:id="rId_hyperlink_995" tooltip="Download" display="Download"/>
    <hyperlink ref="BU1008" r:id="rId_hyperlink_996" tooltip="Download" display="Download"/>
    <hyperlink ref="BU1009" r:id="rId_hyperlink_997" tooltip="Download" display="Download"/>
    <hyperlink ref="BU1010" r:id="rId_hyperlink_998" tooltip="Download" display="Download"/>
    <hyperlink ref="BU1011" r:id="rId_hyperlink_999" tooltip="Download" display="Download"/>
    <hyperlink ref="BU1012" r:id="rId_hyperlink_1000" tooltip="Download" display="Download"/>
    <hyperlink ref="BU1014" r:id="rId_hyperlink_1001" tooltip="Download" display="Download"/>
    <hyperlink ref="BU1015" r:id="rId_hyperlink_1002" tooltip="Download" display="Download"/>
    <hyperlink ref="BU1016" r:id="rId_hyperlink_1003" tooltip="Download" display="Download"/>
    <hyperlink ref="BU1017" r:id="rId_hyperlink_1004" tooltip="Download" display="Download"/>
    <hyperlink ref="BU1018" r:id="rId_hyperlink_1005" tooltip="Download" display="Download"/>
    <hyperlink ref="BU1019" r:id="rId_hyperlink_1006" tooltip="Download" display="Download"/>
    <hyperlink ref="BU1020" r:id="rId_hyperlink_1007" tooltip="Download" display="Download"/>
    <hyperlink ref="BU1021" r:id="rId_hyperlink_1008" tooltip="Download" display="Download"/>
    <hyperlink ref="BU1022" r:id="rId_hyperlink_1009" tooltip="Download" display="Download"/>
    <hyperlink ref="BU1023" r:id="rId_hyperlink_1010" tooltip="Download" display="Download"/>
    <hyperlink ref="BU1024" r:id="rId_hyperlink_1011" tooltip="Download" display="Download"/>
    <hyperlink ref="BU1025" r:id="rId_hyperlink_1012" tooltip="Download" display="Download"/>
    <hyperlink ref="BU1026" r:id="rId_hyperlink_1013" tooltip="Download" display="Download"/>
    <hyperlink ref="BU1027" r:id="rId_hyperlink_1014" tooltip="Download" display="Download"/>
    <hyperlink ref="BU1028" r:id="rId_hyperlink_1015" tooltip="Download" display="Download"/>
    <hyperlink ref="BU1029" r:id="rId_hyperlink_1016" tooltip="Download" display="Download"/>
    <hyperlink ref="BU1030" r:id="rId_hyperlink_1017" tooltip="Download" display="Download"/>
    <hyperlink ref="BU1031" r:id="rId_hyperlink_1018" tooltip="Download" display="Download"/>
    <hyperlink ref="BU1032" r:id="rId_hyperlink_1019" tooltip="Download" display="Download"/>
    <hyperlink ref="BU1033" r:id="rId_hyperlink_1020" tooltip="Download" display="Download"/>
    <hyperlink ref="BU1034" r:id="rId_hyperlink_1021" tooltip="Download" display="Download"/>
    <hyperlink ref="BU1036" r:id="rId_hyperlink_1022" tooltip="Download" display="Download"/>
    <hyperlink ref="BU1037" r:id="rId_hyperlink_1023" tooltip="Download" display="Download"/>
    <hyperlink ref="BU1038" r:id="rId_hyperlink_1024" tooltip="Download" display="Download"/>
    <hyperlink ref="BU1039" r:id="rId_hyperlink_1025" tooltip="Download" display="Download"/>
    <hyperlink ref="BU1040" r:id="rId_hyperlink_1026" tooltip="Download" display="Download"/>
    <hyperlink ref="BU1041" r:id="rId_hyperlink_1027" tooltip="Download" display="Download"/>
    <hyperlink ref="BU1042" r:id="rId_hyperlink_1028" tooltip="Download" display="Download"/>
    <hyperlink ref="BU1043" r:id="rId_hyperlink_1029" tooltip="Download" display="Download"/>
    <hyperlink ref="BU1044" r:id="rId_hyperlink_1030" tooltip="Download" display="Download"/>
    <hyperlink ref="BU1045" r:id="rId_hyperlink_1031" tooltip="Download" display="Download"/>
    <hyperlink ref="BU1046" r:id="rId_hyperlink_1032" tooltip="Download" display="Download"/>
    <hyperlink ref="BU1047" r:id="rId_hyperlink_1033" tooltip="Download" display="Download"/>
    <hyperlink ref="BU1048" r:id="rId_hyperlink_1034" tooltip="Download" display="Download"/>
    <hyperlink ref="BU1049" r:id="rId_hyperlink_1035" tooltip="Download" display="Download"/>
    <hyperlink ref="BU1050" r:id="rId_hyperlink_1036" tooltip="Download" display="Download"/>
    <hyperlink ref="BU1051" r:id="rId_hyperlink_1037" tooltip="Download" display="Download"/>
    <hyperlink ref="BU1052" r:id="rId_hyperlink_1038" tooltip="Download" display="Download"/>
    <hyperlink ref="BU1053" r:id="rId_hyperlink_1039" tooltip="Download" display="Download"/>
    <hyperlink ref="BU1054" r:id="rId_hyperlink_1040" tooltip="Download" display="Download"/>
    <hyperlink ref="BU1055" r:id="rId_hyperlink_1041" tooltip="Download" display="Download"/>
    <hyperlink ref="BU1056" r:id="rId_hyperlink_1042" tooltip="Download" display="Download"/>
    <hyperlink ref="BU1057" r:id="rId_hyperlink_1043" tooltip="Download" display="Download"/>
    <hyperlink ref="BU1058" r:id="rId_hyperlink_1044" tooltip="Download" display="Download"/>
    <hyperlink ref="BU1059" r:id="rId_hyperlink_1045" tooltip="Download" display="Download"/>
    <hyperlink ref="BU1060" r:id="rId_hyperlink_1046" tooltip="Download" display="Download"/>
    <hyperlink ref="BU1061" r:id="rId_hyperlink_1047" tooltip="Download" display="Download"/>
    <hyperlink ref="BU1062" r:id="rId_hyperlink_1048" tooltip="Download" display="Download"/>
    <hyperlink ref="BU1063" r:id="rId_hyperlink_1049" tooltip="Download" display="Download"/>
    <hyperlink ref="BU1064" r:id="rId_hyperlink_1050" tooltip="Download" display="Download"/>
    <hyperlink ref="BU1065" r:id="rId_hyperlink_1051" tooltip="Download" display="Download"/>
    <hyperlink ref="BU1066" r:id="rId_hyperlink_1052" tooltip="Download" display="Download"/>
    <hyperlink ref="BU1067" r:id="rId_hyperlink_1053" tooltip="Download" display="Download"/>
    <hyperlink ref="BU1068" r:id="rId_hyperlink_1054" tooltip="Download" display="Download"/>
    <hyperlink ref="BU1069" r:id="rId_hyperlink_1055" tooltip="Download" display="Download"/>
    <hyperlink ref="BU1070" r:id="rId_hyperlink_1056" tooltip="Download" display="Download"/>
    <hyperlink ref="BU1071" r:id="rId_hyperlink_1057" tooltip="Download" display="Download"/>
    <hyperlink ref="BU1072" r:id="rId_hyperlink_1058" tooltip="Download" display="Download"/>
    <hyperlink ref="BU1073" r:id="rId_hyperlink_1059" tooltip="Download" display="Download"/>
    <hyperlink ref="BU1074" r:id="rId_hyperlink_1060" tooltip="Download" display="Download"/>
    <hyperlink ref="BU1075" r:id="rId_hyperlink_1061" tooltip="Download" display="Download"/>
    <hyperlink ref="BU1076" r:id="rId_hyperlink_1062" tooltip="Download" display="Download"/>
    <hyperlink ref="BU1078" r:id="rId_hyperlink_1063" tooltip="Download" display="Download"/>
    <hyperlink ref="BU1079" r:id="rId_hyperlink_1064" tooltip="Download" display="Download"/>
    <hyperlink ref="BU1080" r:id="rId_hyperlink_1065" tooltip="Download" display="Download"/>
    <hyperlink ref="BU1081" r:id="rId_hyperlink_1066" tooltip="Download" display="Download"/>
    <hyperlink ref="BU1082" r:id="rId_hyperlink_1067" tooltip="Download" display="Download"/>
    <hyperlink ref="BU1083" r:id="rId_hyperlink_1068" tooltip="Download" display="Download"/>
    <hyperlink ref="BU1084" r:id="rId_hyperlink_1069" tooltip="Download" display="Download"/>
    <hyperlink ref="BU1085" r:id="rId_hyperlink_1070" tooltip="Download" display="Download"/>
    <hyperlink ref="BU1086" r:id="rId_hyperlink_1071" tooltip="Download" display="Download"/>
    <hyperlink ref="BU1088" r:id="rId_hyperlink_1072" tooltip="Download" display="Download"/>
    <hyperlink ref="BU1089" r:id="rId_hyperlink_1073" tooltip="Download" display="Download"/>
    <hyperlink ref="BU1090" r:id="rId_hyperlink_1074" tooltip="Download" display="Download"/>
    <hyperlink ref="BU1091" r:id="rId_hyperlink_1075" tooltip="Download" display="Download"/>
    <hyperlink ref="BU1092" r:id="rId_hyperlink_1076" tooltip="Download" display="Download"/>
    <hyperlink ref="BU1093" r:id="rId_hyperlink_1077" tooltip="Download" display="Download"/>
    <hyperlink ref="BU1094" r:id="rId_hyperlink_1078" tooltip="Download" display="Download"/>
    <hyperlink ref="BU1095" r:id="rId_hyperlink_1079" tooltip="Download" display="Download"/>
    <hyperlink ref="BU1096" r:id="rId_hyperlink_1080" tooltip="Download" display="Download"/>
    <hyperlink ref="BU1097" r:id="rId_hyperlink_1081" tooltip="Download" display="Download"/>
    <hyperlink ref="BU1098" r:id="rId_hyperlink_1082" tooltip="Download" display="Download"/>
    <hyperlink ref="BU1099" r:id="rId_hyperlink_1083" tooltip="Download" display="Download"/>
    <hyperlink ref="BU1101" r:id="rId_hyperlink_1084" tooltip="Download" display="Download"/>
    <hyperlink ref="BU1102" r:id="rId_hyperlink_1085" tooltip="Download" display="Download"/>
    <hyperlink ref="BU1103" r:id="rId_hyperlink_1086" tooltip="Download" display="Download"/>
    <hyperlink ref="BU1104" r:id="rId_hyperlink_1087" tooltip="Download" display="Download"/>
    <hyperlink ref="BU1105" r:id="rId_hyperlink_1088" tooltip="Download" display="Download"/>
    <hyperlink ref="BU1106" r:id="rId_hyperlink_1089" tooltip="Download" display="Download"/>
    <hyperlink ref="BU1107" r:id="rId_hyperlink_1090" tooltip="Download" display="Download"/>
    <hyperlink ref="BU1108" r:id="rId_hyperlink_1091" tooltip="Download" display="Download"/>
    <hyperlink ref="BU1109" r:id="rId_hyperlink_1092" tooltip="Download" display="Download"/>
    <hyperlink ref="BU1110" r:id="rId_hyperlink_1093" tooltip="Download" display="Download"/>
    <hyperlink ref="BU1111" r:id="rId_hyperlink_1094" tooltip="Download" display="Download"/>
    <hyperlink ref="BU1112" r:id="rId_hyperlink_1095" tooltip="Download" display="Download"/>
    <hyperlink ref="BU1113" r:id="rId_hyperlink_1096" tooltip="Download" display="Download"/>
    <hyperlink ref="BU1114" r:id="rId_hyperlink_1097" tooltip="Download" display="Download"/>
    <hyperlink ref="BU1115" r:id="rId_hyperlink_1098" tooltip="Download" display="Download"/>
    <hyperlink ref="BU1116" r:id="rId_hyperlink_1099" tooltip="Download" display="Download"/>
    <hyperlink ref="BU1117" r:id="rId_hyperlink_1100" tooltip="Download" display="Download"/>
    <hyperlink ref="BU1118" r:id="rId_hyperlink_1101" tooltip="Download" display="Download"/>
    <hyperlink ref="BU1119" r:id="rId_hyperlink_1102" tooltip="Download" display="Download"/>
    <hyperlink ref="BU1120" r:id="rId_hyperlink_1103" tooltip="Download" display="Download"/>
    <hyperlink ref="BU1121" r:id="rId_hyperlink_1104" tooltip="Download" display="Download"/>
    <hyperlink ref="BU1122" r:id="rId_hyperlink_1105" tooltip="Download" display="Download"/>
    <hyperlink ref="BU1123" r:id="rId_hyperlink_1106" tooltip="Download" display="Download"/>
    <hyperlink ref="BU1125" r:id="rId_hyperlink_1107" tooltip="Download" display="Download"/>
    <hyperlink ref="BU1126" r:id="rId_hyperlink_1108" tooltip="Download" display="Download"/>
    <hyperlink ref="BU1127" r:id="rId_hyperlink_1109" tooltip="Download" display="Download"/>
    <hyperlink ref="BU1128" r:id="rId_hyperlink_1110" tooltip="Download" display="Download"/>
    <hyperlink ref="BU1129" r:id="rId_hyperlink_1111" tooltip="Download" display="Download"/>
    <hyperlink ref="BU1130" r:id="rId_hyperlink_1112" tooltip="Download" display="Download"/>
    <hyperlink ref="BU1131" r:id="rId_hyperlink_1113" tooltip="Download" display="Download"/>
    <hyperlink ref="BU1132" r:id="rId_hyperlink_1114" tooltip="Download" display="Download"/>
    <hyperlink ref="BU1133" r:id="rId_hyperlink_1115" tooltip="Download" display="Download"/>
    <hyperlink ref="BU1135" r:id="rId_hyperlink_1116" tooltip="Download" display="Download"/>
    <hyperlink ref="BU1136" r:id="rId_hyperlink_1117" tooltip="Download" display="Download"/>
    <hyperlink ref="BU1137" r:id="rId_hyperlink_1118" tooltip="Download" display="Download"/>
    <hyperlink ref="BU1138" r:id="rId_hyperlink_1119" tooltip="Download" display="Download"/>
    <hyperlink ref="BU1139" r:id="rId_hyperlink_1120" tooltip="Download" display="Download"/>
    <hyperlink ref="BU1140" r:id="rId_hyperlink_1121" tooltip="Download" display="Download"/>
    <hyperlink ref="BU1141" r:id="rId_hyperlink_1122" tooltip="Download" display="Download"/>
    <hyperlink ref="BU1142" r:id="rId_hyperlink_1123" tooltip="Download" display="Download"/>
    <hyperlink ref="BU1143" r:id="rId_hyperlink_1124" tooltip="Download" display="Download"/>
    <hyperlink ref="BU1144" r:id="rId_hyperlink_1125" tooltip="Download" display="Download"/>
    <hyperlink ref="BU1145" r:id="rId_hyperlink_1126" tooltip="Download" display="Download"/>
    <hyperlink ref="BU1146" r:id="rId_hyperlink_1127" tooltip="Download" display="Download"/>
    <hyperlink ref="BU1147" r:id="rId_hyperlink_1128" tooltip="Download" display="Download"/>
    <hyperlink ref="BU1148" r:id="rId_hyperlink_1129" tooltip="Download" display="Download"/>
    <hyperlink ref="BU1149" r:id="rId_hyperlink_1130" tooltip="Download" display="Download"/>
    <hyperlink ref="BU1150" r:id="rId_hyperlink_1131" tooltip="Download" display="Download"/>
    <hyperlink ref="BU1151" r:id="rId_hyperlink_1132" tooltip="Download" display="Download"/>
    <hyperlink ref="BU1152" r:id="rId_hyperlink_1133" tooltip="Download" display="Download"/>
    <hyperlink ref="BU1153" r:id="rId_hyperlink_1134" tooltip="Download" display="Download"/>
    <hyperlink ref="BU1154" r:id="rId_hyperlink_1135" tooltip="Download" display="Download"/>
    <hyperlink ref="BU1155" r:id="rId_hyperlink_1136" tooltip="Download" display="Download"/>
    <hyperlink ref="BU1156" r:id="rId_hyperlink_1137" tooltip="Download" display="Download"/>
    <hyperlink ref="BU1157" r:id="rId_hyperlink_1138" tooltip="Download" display="Download"/>
    <hyperlink ref="BU1158" r:id="rId_hyperlink_1139" tooltip="Download" display="Download"/>
    <hyperlink ref="BU1159" r:id="rId_hyperlink_1140" tooltip="Download" display="Download"/>
    <hyperlink ref="BU1160" r:id="rId_hyperlink_1141" tooltip="Download" display="Download"/>
    <hyperlink ref="BU1161" r:id="rId_hyperlink_1142" tooltip="Download" display="Download"/>
    <hyperlink ref="BU1162" r:id="rId_hyperlink_1143" tooltip="Download" display="Download"/>
    <hyperlink ref="BU1164" r:id="rId_hyperlink_1144" tooltip="Download" display="Download"/>
    <hyperlink ref="BU1165" r:id="rId_hyperlink_1145" tooltip="Download" display="Download"/>
    <hyperlink ref="BU1166" r:id="rId_hyperlink_1146" tooltip="Download" display="Download"/>
    <hyperlink ref="BU1167" r:id="rId_hyperlink_1147" tooltip="Download" display="Download"/>
    <hyperlink ref="BU1168" r:id="rId_hyperlink_1148" tooltip="Download" display="Download"/>
    <hyperlink ref="BU1169" r:id="rId_hyperlink_1149" tooltip="Download" display="Download"/>
    <hyperlink ref="BU1170" r:id="rId_hyperlink_1150" tooltip="Download" display="Download"/>
    <hyperlink ref="BU1171" r:id="rId_hyperlink_1151" tooltip="Download" display="Download"/>
    <hyperlink ref="BU1172" r:id="rId_hyperlink_1152" tooltip="Download" display="Download"/>
    <hyperlink ref="BU1173" r:id="rId_hyperlink_1153" tooltip="Download" display="Download"/>
    <hyperlink ref="BU1174" r:id="rId_hyperlink_1154" tooltip="Download" display="Download"/>
    <hyperlink ref="BU1175" r:id="rId_hyperlink_1155" tooltip="Download" display="Download"/>
    <hyperlink ref="BU1176" r:id="rId_hyperlink_1156" tooltip="Download" display="Download"/>
    <hyperlink ref="BU1177" r:id="rId_hyperlink_1157" tooltip="Download" display="Download"/>
    <hyperlink ref="BU1178" r:id="rId_hyperlink_1158" tooltip="Download" display="Download"/>
    <hyperlink ref="BU1179" r:id="rId_hyperlink_1159" tooltip="Download" display="Download"/>
    <hyperlink ref="BU1180" r:id="rId_hyperlink_1160" tooltip="Download" display="Download"/>
    <hyperlink ref="BU1181" r:id="rId_hyperlink_1161" tooltip="Download" display="Download"/>
    <hyperlink ref="BU1182" r:id="rId_hyperlink_1162" tooltip="Download" display="Download"/>
    <hyperlink ref="BU1183" r:id="rId_hyperlink_1163" tooltip="Download" display="Download"/>
    <hyperlink ref="BU1184" r:id="rId_hyperlink_1164" tooltip="Download" display="Download"/>
    <hyperlink ref="BU1185" r:id="rId_hyperlink_1165" tooltip="Download" display="Download"/>
    <hyperlink ref="BU1186" r:id="rId_hyperlink_1166" tooltip="Download" display="Download"/>
    <hyperlink ref="BU1187" r:id="rId_hyperlink_1167" tooltip="Download" display="Download"/>
    <hyperlink ref="BU1188" r:id="rId_hyperlink_1168" tooltip="Download" display="Download"/>
    <hyperlink ref="BU1189" r:id="rId_hyperlink_1169" tooltip="Download" display="Download"/>
    <hyperlink ref="BU1190" r:id="rId_hyperlink_1170" tooltip="Download" display="Download"/>
    <hyperlink ref="BU1191" r:id="rId_hyperlink_1171" tooltip="Download" display="Download"/>
    <hyperlink ref="BU1192" r:id="rId_hyperlink_1172" tooltip="Download" display="Download"/>
    <hyperlink ref="BU1193" r:id="rId_hyperlink_1173" tooltip="Download" display="Download"/>
    <hyperlink ref="BU1194" r:id="rId_hyperlink_1174" tooltip="Download" display="Download"/>
    <hyperlink ref="BU1195" r:id="rId_hyperlink_1175" tooltip="Download" display="Download"/>
    <hyperlink ref="BU1197" r:id="rId_hyperlink_1176" tooltip="Download" display="Download"/>
    <hyperlink ref="BU1198" r:id="rId_hyperlink_1177" tooltip="Download" display="Download"/>
    <hyperlink ref="BU1199" r:id="rId_hyperlink_1178" tooltip="Download" display="Download"/>
    <hyperlink ref="BU1200" r:id="rId_hyperlink_1179" tooltip="Download" display="Download"/>
    <hyperlink ref="BU1201" r:id="rId_hyperlink_1180" tooltip="Download" display="Download"/>
    <hyperlink ref="BU1202" r:id="rId_hyperlink_1181" tooltip="Download" display="Download"/>
    <hyperlink ref="BU1203" r:id="rId_hyperlink_1182" tooltip="Download" display="Download"/>
    <hyperlink ref="BU1204" r:id="rId_hyperlink_1183" tooltip="Download" display="Download"/>
    <hyperlink ref="BU1206" r:id="rId_hyperlink_1184" tooltip="Download" display="Download"/>
    <hyperlink ref="BU1207" r:id="rId_hyperlink_1185" tooltip="Download" display="Download"/>
    <hyperlink ref="BU1208" r:id="rId_hyperlink_1186" tooltip="Download" display="Download"/>
    <hyperlink ref="BU1209" r:id="rId_hyperlink_1187" tooltip="Download" display="Download"/>
    <hyperlink ref="BU1210" r:id="rId_hyperlink_1188" tooltip="Download" display="Download"/>
    <hyperlink ref="BU1211" r:id="rId_hyperlink_1189" tooltip="Download" display="Download"/>
    <hyperlink ref="BU1212" r:id="rId_hyperlink_1190" tooltip="Download" display="Download"/>
    <hyperlink ref="BU1213" r:id="rId_hyperlink_1191" tooltip="Download" display="Download"/>
    <hyperlink ref="BU1214" r:id="rId_hyperlink_1192" tooltip="Download" display="Download"/>
    <hyperlink ref="BU1215" r:id="rId_hyperlink_1193" tooltip="Download" display="Download"/>
    <hyperlink ref="BU1216" r:id="rId_hyperlink_1194" tooltip="Download" display="Download"/>
    <hyperlink ref="BU1217" r:id="rId_hyperlink_1195" tooltip="Download" display="Download"/>
    <hyperlink ref="BU1218" r:id="rId_hyperlink_1196" tooltip="Download" display="Download"/>
    <hyperlink ref="BU1220" r:id="rId_hyperlink_1197" tooltip="Download" display="Download"/>
    <hyperlink ref="BU1221" r:id="rId_hyperlink_1198" tooltip="Download" display="Download"/>
    <hyperlink ref="BU1222" r:id="rId_hyperlink_1199" tooltip="Download" display="Download"/>
    <hyperlink ref="BU1223" r:id="rId_hyperlink_1200" tooltip="Download" display="Download"/>
    <hyperlink ref="BU1224" r:id="rId_hyperlink_1201" tooltip="Download" display="Download"/>
    <hyperlink ref="BU1225" r:id="rId_hyperlink_1202" tooltip="Download" display="Download"/>
    <hyperlink ref="BU1226" r:id="rId_hyperlink_1203" tooltip="Download" display="Download"/>
    <hyperlink ref="BU1227" r:id="rId_hyperlink_1204" tooltip="Download" display="Download"/>
    <hyperlink ref="BU1228" r:id="rId_hyperlink_1205" tooltip="Download" display="Download"/>
    <hyperlink ref="BU1229" r:id="rId_hyperlink_1206" tooltip="Download" display="Download"/>
    <hyperlink ref="BU1230" r:id="rId_hyperlink_1207" tooltip="Download" display="Download"/>
    <hyperlink ref="BU1231" r:id="rId_hyperlink_1208" tooltip="Download" display="Download"/>
    <hyperlink ref="BU1232" r:id="rId_hyperlink_1209" tooltip="Download" display="Download"/>
    <hyperlink ref="BU1233" r:id="rId_hyperlink_1210" tooltip="Download" display="Download"/>
    <hyperlink ref="BU1234" r:id="rId_hyperlink_1211" tooltip="Download" display="Download"/>
    <hyperlink ref="BU1235" r:id="rId_hyperlink_1212" tooltip="Download" display="Download"/>
    <hyperlink ref="BU1237" r:id="rId_hyperlink_1213" tooltip="Download" display="Download"/>
    <hyperlink ref="BU1238" r:id="rId_hyperlink_1214" tooltip="Download" display="Download"/>
    <hyperlink ref="BU1239" r:id="rId_hyperlink_1215" tooltip="Download" display="Download"/>
    <hyperlink ref="BU1240" r:id="rId_hyperlink_1216" tooltip="Download" display="Download"/>
    <hyperlink ref="BU1241" r:id="rId_hyperlink_1217" tooltip="Download" display="Download"/>
    <hyperlink ref="BU1242" r:id="rId_hyperlink_1218" tooltip="Download" display="Download"/>
    <hyperlink ref="BU1243" r:id="rId_hyperlink_1219" tooltip="Download" display="Download"/>
    <hyperlink ref="BU1244" r:id="rId_hyperlink_1220" tooltip="Download" display="Download"/>
    <hyperlink ref="BU1245" r:id="rId_hyperlink_1221" tooltip="Download" display="Download"/>
    <hyperlink ref="BU1246" r:id="rId_hyperlink_1222" tooltip="Download" display="Download"/>
    <hyperlink ref="BU1247" r:id="rId_hyperlink_1223" tooltip="Download" display="Download"/>
    <hyperlink ref="BU1248" r:id="rId_hyperlink_1224" tooltip="Download" display="Download"/>
    <hyperlink ref="BU1249" r:id="rId_hyperlink_1225" tooltip="Download" display="Download"/>
    <hyperlink ref="BU1250" r:id="rId_hyperlink_1226" tooltip="Download" display="Download"/>
    <hyperlink ref="BU1251" r:id="rId_hyperlink_1227" tooltip="Download" display="Download"/>
    <hyperlink ref="BU1252" r:id="rId_hyperlink_1228" tooltip="Download" display="Download"/>
    <hyperlink ref="BU1253" r:id="rId_hyperlink_1229" tooltip="Download" display="Download"/>
    <hyperlink ref="BU1254" r:id="rId_hyperlink_1230" tooltip="Download" display="Download"/>
    <hyperlink ref="BU1255" r:id="rId_hyperlink_1231" tooltip="Download" display="Download"/>
    <hyperlink ref="BU1256" r:id="rId_hyperlink_1232" tooltip="Download" display="Download"/>
    <hyperlink ref="BU1257" r:id="rId_hyperlink_1233" tooltip="Download" display="Download"/>
    <hyperlink ref="BU1258" r:id="rId_hyperlink_1234" tooltip="Download" display="Download"/>
    <hyperlink ref="BU1259" r:id="rId_hyperlink_1235" tooltip="Download" display="Download"/>
    <hyperlink ref="BU1260" r:id="rId_hyperlink_1236" tooltip="Download" display="Download"/>
    <hyperlink ref="BU1261" r:id="rId_hyperlink_1237" tooltip="Download" display="Download"/>
    <hyperlink ref="BU1263" r:id="rId_hyperlink_1238" tooltip="Download" display="Download"/>
    <hyperlink ref="BU1264" r:id="rId_hyperlink_1239" tooltip="Download" display="Download"/>
    <hyperlink ref="BU1265" r:id="rId_hyperlink_1240" tooltip="Download" display="Download"/>
    <hyperlink ref="BU1266" r:id="rId_hyperlink_1241" tooltip="Download" display="Download"/>
    <hyperlink ref="BU1267" r:id="rId_hyperlink_1242" tooltip="Download" display="Download"/>
    <hyperlink ref="BU1268" r:id="rId_hyperlink_1243" tooltip="Download" display="Download"/>
    <hyperlink ref="BU1269" r:id="rId_hyperlink_1244" tooltip="Download" display="Download"/>
    <hyperlink ref="BU1270" r:id="rId_hyperlink_1245" tooltip="Download" display="Download"/>
    <hyperlink ref="BU1271" r:id="rId_hyperlink_1246" tooltip="Download" display="Download"/>
    <hyperlink ref="BU1272" r:id="rId_hyperlink_1247" tooltip="Download" display="Download"/>
    <hyperlink ref="BU1273" r:id="rId_hyperlink_1248" tooltip="Download" display="Download"/>
    <hyperlink ref="BU1274" r:id="rId_hyperlink_1249" tooltip="Download" display="Download"/>
    <hyperlink ref="BU1275" r:id="rId_hyperlink_1250" tooltip="Download" display="Download"/>
    <hyperlink ref="BU1276" r:id="rId_hyperlink_1251" tooltip="Download" display="Download"/>
    <hyperlink ref="BU1277" r:id="rId_hyperlink_1252" tooltip="Download" display="Download"/>
    <hyperlink ref="BU1278" r:id="rId_hyperlink_1253" tooltip="Download" display="Download"/>
    <hyperlink ref="BU1279" r:id="rId_hyperlink_1254" tooltip="Download" display="Download"/>
    <hyperlink ref="BU1280" r:id="rId_hyperlink_1255" tooltip="Download" display="Download"/>
    <hyperlink ref="BU1281" r:id="rId_hyperlink_1256" tooltip="Download" display="Download"/>
    <hyperlink ref="BU1282" r:id="rId_hyperlink_1257" tooltip="Download" display="Download"/>
    <hyperlink ref="BU1283" r:id="rId_hyperlink_1258" tooltip="Download" display="Download"/>
    <hyperlink ref="BU1284" r:id="rId_hyperlink_1259" tooltip="Download" display="Download"/>
    <hyperlink ref="BU1285" r:id="rId_hyperlink_1260" tooltip="Download" display="Download"/>
    <hyperlink ref="BU1286" r:id="rId_hyperlink_1261" tooltip="Download" display="Download"/>
    <hyperlink ref="BU1287" r:id="rId_hyperlink_1262" tooltip="Download" display="Download"/>
    <hyperlink ref="BU1288" r:id="rId_hyperlink_1263" tooltip="Download" display="Download"/>
    <hyperlink ref="BU1289" r:id="rId_hyperlink_1264" tooltip="Download" display="Download"/>
    <hyperlink ref="BU1290" r:id="rId_hyperlink_1265" tooltip="Download" display="Download"/>
    <hyperlink ref="BU1291" r:id="rId_hyperlink_1266" tooltip="Download" display="Download"/>
    <hyperlink ref="BU1292" r:id="rId_hyperlink_1267" tooltip="Download" display="Download"/>
    <hyperlink ref="BU1293" r:id="rId_hyperlink_1268" tooltip="Download" display="Download"/>
    <hyperlink ref="BU1294" r:id="rId_hyperlink_1269" tooltip="Download" display="Download"/>
    <hyperlink ref="BU1295" r:id="rId_hyperlink_1270" tooltip="Download" display="Download"/>
    <hyperlink ref="BU1296" r:id="rId_hyperlink_1271" tooltip="Download" display="Download"/>
    <hyperlink ref="BU1297" r:id="rId_hyperlink_1272" tooltip="Download" display="Download"/>
    <hyperlink ref="BU1298" r:id="rId_hyperlink_1273" tooltip="Download" display="Download"/>
    <hyperlink ref="BU1299" r:id="rId_hyperlink_1274" tooltip="Download" display="Download"/>
    <hyperlink ref="BU1300" r:id="rId_hyperlink_1275" tooltip="Download" display="Download"/>
    <hyperlink ref="BU1301" r:id="rId_hyperlink_1276" tooltip="Download" display="Download"/>
    <hyperlink ref="BU1302" r:id="rId_hyperlink_1277" tooltip="Download" display="Download"/>
    <hyperlink ref="BU1303" r:id="rId_hyperlink_1278" tooltip="Download" display="Download"/>
    <hyperlink ref="BU1304" r:id="rId_hyperlink_1279" tooltip="Download" display="Download"/>
    <hyperlink ref="BU1305" r:id="rId_hyperlink_1280" tooltip="Download" display="Download"/>
    <hyperlink ref="BU1306" r:id="rId_hyperlink_1281" tooltip="Download" display="Download"/>
    <hyperlink ref="BU1307" r:id="rId_hyperlink_1282" tooltip="Download" display="Download"/>
    <hyperlink ref="BU1308" r:id="rId_hyperlink_1283" tooltip="Download" display="Download"/>
    <hyperlink ref="BU1309" r:id="rId_hyperlink_1284" tooltip="Download" display="Download"/>
    <hyperlink ref="BU1310" r:id="rId_hyperlink_1285" tooltip="Download" display="Download"/>
    <hyperlink ref="BU1311" r:id="rId_hyperlink_1286" tooltip="Download" display="Download"/>
    <hyperlink ref="BU1312" r:id="rId_hyperlink_1287" tooltip="Download" display="Download"/>
    <hyperlink ref="BU1313" r:id="rId_hyperlink_1288" tooltip="Download" display="Download"/>
    <hyperlink ref="BU1314" r:id="rId_hyperlink_1289" tooltip="Download" display="Download"/>
    <hyperlink ref="BU1315" r:id="rId_hyperlink_1290" tooltip="Download" display="Download"/>
    <hyperlink ref="BU1316" r:id="rId_hyperlink_1291" tooltip="Download" display="Download"/>
    <hyperlink ref="BU1317" r:id="rId_hyperlink_1292" tooltip="Download" display="Download"/>
    <hyperlink ref="BU1318" r:id="rId_hyperlink_1293" tooltip="Download" display="Download"/>
    <hyperlink ref="BU1319" r:id="rId_hyperlink_1294" tooltip="Download" display="Download"/>
    <hyperlink ref="BU1320" r:id="rId_hyperlink_1295" tooltip="Download" display="Download"/>
    <hyperlink ref="BU1321" r:id="rId_hyperlink_1296" tooltip="Download" display="Download"/>
    <hyperlink ref="BU1322" r:id="rId_hyperlink_1297" tooltip="Download" display="Download"/>
    <hyperlink ref="BU1324" r:id="rId_hyperlink_1298" tooltip="Download" display="Download"/>
    <hyperlink ref="BU1325" r:id="rId_hyperlink_1299" tooltip="Download" display="Download"/>
    <hyperlink ref="BU1326" r:id="rId_hyperlink_1300" tooltip="Download" display="Download"/>
    <hyperlink ref="BU1327" r:id="rId_hyperlink_1301" tooltip="Download" display="Download"/>
    <hyperlink ref="BU1328" r:id="rId_hyperlink_1302" tooltip="Download" display="Download"/>
    <hyperlink ref="BU1329" r:id="rId_hyperlink_1303" tooltip="Download" display="Download"/>
    <hyperlink ref="BU1330" r:id="rId_hyperlink_1304" tooltip="Download" display="Download"/>
    <hyperlink ref="BU1331" r:id="rId_hyperlink_1305" tooltip="Download" display="Download"/>
    <hyperlink ref="BU1332" r:id="rId_hyperlink_1306" tooltip="Download" display="Download"/>
    <hyperlink ref="BU1334" r:id="rId_hyperlink_1307" tooltip="Download" display="Download"/>
    <hyperlink ref="BU1335" r:id="rId_hyperlink_1308" tooltip="Download" display="Download"/>
    <hyperlink ref="BU1336" r:id="rId_hyperlink_1309" tooltip="Download" display="Download"/>
    <hyperlink ref="BU1337" r:id="rId_hyperlink_1310" tooltip="Download" display="Download"/>
    <hyperlink ref="BU1338" r:id="rId_hyperlink_1311" tooltip="Download" display="Download"/>
    <hyperlink ref="BU1339" r:id="rId_hyperlink_1312" tooltip="Download" display="Download"/>
    <hyperlink ref="BU1340" r:id="rId_hyperlink_1313" tooltip="Download" display="Download"/>
    <hyperlink ref="BU1341" r:id="rId_hyperlink_1314" tooltip="Download" display="Download"/>
    <hyperlink ref="BU1342" r:id="rId_hyperlink_1315" tooltip="Download" display="Download"/>
    <hyperlink ref="BU1343" r:id="rId_hyperlink_1316" tooltip="Download" display="Download"/>
    <hyperlink ref="BU1344" r:id="rId_hyperlink_1317" tooltip="Download" display="Download"/>
    <hyperlink ref="BU1345" r:id="rId_hyperlink_1318" tooltip="Download" display="Download"/>
    <hyperlink ref="BU1346" r:id="rId_hyperlink_1319" tooltip="Download" display="Download"/>
    <hyperlink ref="BU1347" r:id="rId_hyperlink_1320" tooltip="Download" display="Download"/>
    <hyperlink ref="BU1348" r:id="rId_hyperlink_1321" tooltip="Download" display="Download"/>
    <hyperlink ref="BU1349" r:id="rId_hyperlink_1322" tooltip="Download" display="Download"/>
    <hyperlink ref="BU1350" r:id="rId_hyperlink_1323" tooltip="Download" display="Download"/>
    <hyperlink ref="BU1351" r:id="rId_hyperlink_1324" tooltip="Download" display="Download"/>
    <hyperlink ref="BU1352" r:id="rId_hyperlink_1325" tooltip="Download" display="Download"/>
    <hyperlink ref="BU1353" r:id="rId_hyperlink_1326" tooltip="Download" display="Download"/>
    <hyperlink ref="BU1354" r:id="rId_hyperlink_1327" tooltip="Download" display="Download"/>
    <hyperlink ref="BU1355" r:id="rId_hyperlink_1328" tooltip="Download" display="Download"/>
    <hyperlink ref="BU1356" r:id="rId_hyperlink_1329" tooltip="Download" display="Download"/>
    <hyperlink ref="BU1357" r:id="rId_hyperlink_1330" tooltip="Download" display="Download"/>
    <hyperlink ref="BU1358" r:id="rId_hyperlink_1331" tooltip="Download" display="Download"/>
    <hyperlink ref="BU1359" r:id="rId_hyperlink_1332" tooltip="Download" display="Download"/>
    <hyperlink ref="BU1360" r:id="rId_hyperlink_1333" tooltip="Download" display="Download"/>
    <hyperlink ref="BU1361" r:id="rId_hyperlink_1334" tooltip="Download" display="Download"/>
    <hyperlink ref="BU1362" r:id="rId_hyperlink_1335" tooltip="Download" display="Download"/>
    <hyperlink ref="BU1363" r:id="rId_hyperlink_1336" tooltip="Download" display="Download"/>
    <hyperlink ref="BU1364" r:id="rId_hyperlink_1337" tooltip="Download" display="Download"/>
    <hyperlink ref="BU1366" r:id="rId_hyperlink_1338" tooltip="Download" display="Download"/>
    <hyperlink ref="BU1367" r:id="rId_hyperlink_1339" tooltip="Download" display="Download"/>
    <hyperlink ref="BU1368" r:id="rId_hyperlink_1340" tooltip="Download" display="Download"/>
    <hyperlink ref="BU1369" r:id="rId_hyperlink_1341" tooltip="Download" display="Download"/>
    <hyperlink ref="BU1370" r:id="rId_hyperlink_1342" tooltip="Download" display="Download"/>
    <hyperlink ref="BU1371" r:id="rId_hyperlink_1343" tooltip="Download" display="Download"/>
    <hyperlink ref="BU1372" r:id="rId_hyperlink_1344" tooltip="Download" display="Download"/>
    <hyperlink ref="BU1373" r:id="rId_hyperlink_1345" tooltip="Download" display="Download"/>
    <hyperlink ref="BU1374" r:id="rId_hyperlink_1346" tooltip="Download" display="Download"/>
    <hyperlink ref="BU1375" r:id="rId_hyperlink_1347" tooltip="Download" display="Download"/>
    <hyperlink ref="BU1376" r:id="rId_hyperlink_1348" tooltip="Download" display="Download"/>
    <hyperlink ref="BU1377" r:id="rId_hyperlink_1349" tooltip="Download" display="Download"/>
    <hyperlink ref="BU1378" r:id="rId_hyperlink_1350" tooltip="Download" display="Download"/>
    <hyperlink ref="BU1379" r:id="rId_hyperlink_1351" tooltip="Download" display="Download"/>
    <hyperlink ref="BU1380" r:id="rId_hyperlink_1352" tooltip="Download" display="Download"/>
    <hyperlink ref="BU1381" r:id="rId_hyperlink_1353" tooltip="Download" display="Download"/>
    <hyperlink ref="BU1385" r:id="rId_hyperlink_1354" tooltip="Download" display="Download"/>
    <hyperlink ref="BU1386" r:id="rId_hyperlink_1355" tooltip="Download" display="Download"/>
    <hyperlink ref="BU1387" r:id="rId_hyperlink_1356" tooltip="Download" display="Download"/>
    <hyperlink ref="BU1388" r:id="rId_hyperlink_1357" tooltip="Download" display="Download"/>
    <hyperlink ref="BU1389" r:id="rId_hyperlink_1358" tooltip="Download" display="Download"/>
    <hyperlink ref="BU1390" r:id="rId_hyperlink_1359" tooltip="Download" display="Download"/>
    <hyperlink ref="BU1391" r:id="rId_hyperlink_1360" tooltip="Download" display="Download"/>
    <hyperlink ref="BU1392" r:id="rId_hyperlink_1361" tooltip="Download" display="Download"/>
    <hyperlink ref="BU1393" r:id="rId_hyperlink_1362" tooltip="Download" display="Download"/>
    <hyperlink ref="BU1395" r:id="rId_hyperlink_1363" tooltip="Download" display="Download"/>
    <hyperlink ref="BU1396" r:id="rId_hyperlink_1364" tooltip="Download" display="Download"/>
    <hyperlink ref="BU1397" r:id="rId_hyperlink_1365" tooltip="Download" display="Download"/>
    <hyperlink ref="BU1398" r:id="rId_hyperlink_1366" tooltip="Download" display="Download"/>
    <hyperlink ref="BU1400" r:id="rId_hyperlink_1367" tooltip="Download" display="Download"/>
    <hyperlink ref="BU1401" r:id="rId_hyperlink_1368" tooltip="Download" display="Download"/>
    <hyperlink ref="BU1402" r:id="rId_hyperlink_1369" tooltip="Download" display="Download"/>
    <hyperlink ref="BU1403" r:id="rId_hyperlink_1370" tooltip="Download" display="Download"/>
    <hyperlink ref="BU1404" r:id="rId_hyperlink_1371" tooltip="Download" display="Download"/>
    <hyperlink ref="BU1405" r:id="rId_hyperlink_1372" tooltip="Download" display="Download"/>
    <hyperlink ref="BU1406" r:id="rId_hyperlink_1373" tooltip="Download" display="Download"/>
    <hyperlink ref="BU1407" r:id="rId_hyperlink_1374" tooltip="Download" display="Download"/>
    <hyperlink ref="BU1410" r:id="rId_hyperlink_1375" tooltip="Download" display="Download"/>
    <hyperlink ref="BU1411" r:id="rId_hyperlink_1376" tooltip="Download" display="Download"/>
    <hyperlink ref="BU1412" r:id="rId_hyperlink_1377" tooltip="Download" display="Download"/>
    <hyperlink ref="BU1413" r:id="rId_hyperlink_1378" tooltip="Download" display="Download"/>
    <hyperlink ref="BU1414" r:id="rId_hyperlink_1379" tooltip="Download" display="Download"/>
    <hyperlink ref="BU1415" r:id="rId_hyperlink_1380" tooltip="Download" display="Download"/>
    <hyperlink ref="BU1416" r:id="rId_hyperlink_1381" tooltip="Download" display="Download"/>
    <hyperlink ref="BU1418" r:id="rId_hyperlink_1382" tooltip="Download" display="Download"/>
    <hyperlink ref="BU1419" r:id="rId_hyperlink_1383" tooltip="Download" display="Download"/>
    <hyperlink ref="BU1420" r:id="rId_hyperlink_1384" tooltip="Download" display="Download"/>
    <hyperlink ref="BU1421" r:id="rId_hyperlink_1385" tooltip="Download" display="Download"/>
    <hyperlink ref="BU1422" r:id="rId_hyperlink_1386" tooltip="Download" display="Download"/>
    <hyperlink ref="BU1423" r:id="rId_hyperlink_1387" tooltip="Download" display="Download"/>
    <hyperlink ref="BU1424" r:id="rId_hyperlink_1388" tooltip="Download" display="Download"/>
    <hyperlink ref="BU1425" r:id="rId_hyperlink_1389" tooltip="Download" display="Download"/>
    <hyperlink ref="BU1426" r:id="rId_hyperlink_1390" tooltip="Download" display="Download"/>
    <hyperlink ref="BU1427" r:id="rId_hyperlink_1391" tooltip="Download" display="Download"/>
    <hyperlink ref="BU1428" r:id="rId_hyperlink_1392" tooltip="Download" display="Download"/>
    <hyperlink ref="BU1429" r:id="rId_hyperlink_1393" tooltip="Download" display="Download"/>
    <hyperlink ref="BU1430" r:id="rId_hyperlink_1394" tooltip="Download" display="Download"/>
    <hyperlink ref="BU1431" r:id="rId_hyperlink_1395" tooltip="Download" display="Download"/>
    <hyperlink ref="BU1432" r:id="rId_hyperlink_1396" tooltip="Download" display="Download"/>
    <hyperlink ref="BU1433" r:id="rId_hyperlink_1397" tooltip="Download" display="Download"/>
    <hyperlink ref="BU1434" r:id="rId_hyperlink_1398" tooltip="Download" display="Download"/>
    <hyperlink ref="BU1435" r:id="rId_hyperlink_1399" tooltip="Download" display="Download"/>
    <hyperlink ref="BU1436" r:id="rId_hyperlink_1400" tooltip="Download" display="Download"/>
    <hyperlink ref="BU1437" r:id="rId_hyperlink_1401" tooltip="Download" display="Download"/>
    <hyperlink ref="BU1438" r:id="rId_hyperlink_1402" tooltip="Download" display="Download"/>
    <hyperlink ref="BU1439" r:id="rId_hyperlink_1403" tooltip="Download" display="Download"/>
    <hyperlink ref="BU1440" r:id="rId_hyperlink_1404" tooltip="Download" display="Download"/>
    <hyperlink ref="BU1441" r:id="rId_hyperlink_1405" tooltip="Download" display="Download"/>
    <hyperlink ref="BU1442" r:id="rId_hyperlink_1406" tooltip="Download" display="Download"/>
    <hyperlink ref="BU1443" r:id="rId_hyperlink_1407" tooltip="Download" display="Download"/>
    <hyperlink ref="BU1444" r:id="rId_hyperlink_1408" tooltip="Download" display="Download"/>
    <hyperlink ref="BU1445" r:id="rId_hyperlink_1409" tooltip="Download" display="Download"/>
    <hyperlink ref="BU1446" r:id="rId_hyperlink_1410" tooltip="Download" display="Download"/>
    <hyperlink ref="BU1447" r:id="rId_hyperlink_1411" tooltip="Download" display="Download"/>
    <hyperlink ref="BU1448" r:id="rId_hyperlink_1412" tooltip="Download" display="Download"/>
    <hyperlink ref="BU1449" r:id="rId_hyperlink_1413" tooltip="Download" display="Download"/>
    <hyperlink ref="BU1450" r:id="rId_hyperlink_1414" tooltip="Download" display="Download"/>
    <hyperlink ref="BU1451" r:id="rId_hyperlink_1415" tooltip="Download" display="Download"/>
    <hyperlink ref="BU1452" r:id="rId_hyperlink_1416" tooltip="Download" display="Download"/>
    <hyperlink ref="BU1453" r:id="rId_hyperlink_1417" tooltip="Download" display="Download"/>
    <hyperlink ref="BU1454" r:id="rId_hyperlink_1418" tooltip="Download" display="Download"/>
    <hyperlink ref="BU1455" r:id="rId_hyperlink_1419" tooltip="Download" display="Download"/>
    <hyperlink ref="BU1456" r:id="rId_hyperlink_1420" tooltip="Download" display="Download"/>
    <hyperlink ref="BU1457" r:id="rId_hyperlink_1421" tooltip="Download" display="Download"/>
    <hyperlink ref="BU1458" r:id="rId_hyperlink_1422" tooltip="Download" display="Download"/>
    <hyperlink ref="BU1459" r:id="rId_hyperlink_1423" tooltip="Download" display="Download"/>
    <hyperlink ref="BU1460" r:id="rId_hyperlink_1424" tooltip="Download" display="Download"/>
    <hyperlink ref="BU1461" r:id="rId_hyperlink_1425" tooltip="Download" display="Download"/>
    <hyperlink ref="BU1462" r:id="rId_hyperlink_1426" tooltip="Download" display="Download"/>
    <hyperlink ref="BU1463" r:id="rId_hyperlink_1427" tooltip="Download" display="Download"/>
    <hyperlink ref="BU1464" r:id="rId_hyperlink_1428" tooltip="Download" display="Download"/>
    <hyperlink ref="BU1465" r:id="rId_hyperlink_1429" tooltip="Download" display="Download"/>
    <hyperlink ref="BU1466" r:id="rId_hyperlink_1430" tooltip="Download" display="Download"/>
    <hyperlink ref="BU1467" r:id="rId_hyperlink_1431" tooltip="Download" display="Download"/>
    <hyperlink ref="BU1468" r:id="rId_hyperlink_1432" tooltip="Download" display="Download"/>
    <hyperlink ref="BU1469" r:id="rId_hyperlink_1433" tooltip="Download" display="Download"/>
    <hyperlink ref="BU1470" r:id="rId_hyperlink_1434" tooltip="Download" display="Download"/>
    <hyperlink ref="BU1471" r:id="rId_hyperlink_1435" tooltip="Download" display="Download"/>
    <hyperlink ref="BU1472" r:id="rId_hyperlink_1436" tooltip="Download" display="Download"/>
    <hyperlink ref="BU1473" r:id="rId_hyperlink_1437" tooltip="Download" display="Download"/>
    <hyperlink ref="BU1474" r:id="rId_hyperlink_1438" tooltip="Download" display="Download"/>
    <hyperlink ref="BU1475" r:id="rId_hyperlink_1439" tooltip="Download" display="Download"/>
    <hyperlink ref="BU1476" r:id="rId_hyperlink_1440" tooltip="Download" display="Download"/>
    <hyperlink ref="BU1477" r:id="rId_hyperlink_1441" tooltip="Download" display="Download"/>
    <hyperlink ref="BU1478" r:id="rId_hyperlink_1442" tooltip="Download" display="Download"/>
    <hyperlink ref="BU1479" r:id="rId_hyperlink_1443" tooltip="Download" display="Download"/>
    <hyperlink ref="BU1480" r:id="rId_hyperlink_1444" tooltip="Download" display="Download"/>
    <hyperlink ref="BU1481" r:id="rId_hyperlink_1445" tooltip="Download" display="Download"/>
    <hyperlink ref="BU1482" r:id="rId_hyperlink_1446" tooltip="Download" display="Download"/>
    <hyperlink ref="BU1483" r:id="rId_hyperlink_1447" tooltip="Download" display="Download"/>
    <hyperlink ref="BU1484" r:id="rId_hyperlink_1448" tooltip="Download" display="Download"/>
    <hyperlink ref="BU1485" r:id="rId_hyperlink_1449" tooltip="Download" display="Download"/>
    <hyperlink ref="BU1486" r:id="rId_hyperlink_1450" tooltip="Download" display="Download"/>
    <hyperlink ref="BU1487" r:id="rId_hyperlink_1451" tooltip="Download" display="Download"/>
    <hyperlink ref="BU1488" r:id="rId_hyperlink_1452" tooltip="Download" display="Download"/>
    <hyperlink ref="BU1489" r:id="rId_hyperlink_1453" tooltip="Download" display="Download"/>
    <hyperlink ref="BU1490" r:id="rId_hyperlink_1454" tooltip="Download" display="Download"/>
    <hyperlink ref="BU1491" r:id="rId_hyperlink_1455" tooltip="Download" display="Download"/>
    <hyperlink ref="BU1492" r:id="rId_hyperlink_1456" tooltip="Download" display="Download"/>
    <hyperlink ref="BU1493" r:id="rId_hyperlink_1457" tooltip="Download" display="Download"/>
    <hyperlink ref="BU1494" r:id="rId_hyperlink_1458" tooltip="Download" display="Download"/>
    <hyperlink ref="BU1495" r:id="rId_hyperlink_1459" tooltip="Download" display="Download"/>
    <hyperlink ref="BU1496" r:id="rId_hyperlink_1460" tooltip="Download" display="Download"/>
    <hyperlink ref="BU1497" r:id="rId_hyperlink_1461" tooltip="Download" display="Download"/>
    <hyperlink ref="BU1498" r:id="rId_hyperlink_1462" tooltip="Download" display="Download"/>
    <hyperlink ref="BU1499" r:id="rId_hyperlink_1463" tooltip="Download" display="Download"/>
    <hyperlink ref="BU1500" r:id="rId_hyperlink_1464" tooltip="Download" display="Download"/>
    <hyperlink ref="BU1501" r:id="rId_hyperlink_1465" tooltip="Download" display="Download"/>
    <hyperlink ref="BU1502" r:id="rId_hyperlink_1466" tooltip="Download" display="Download"/>
    <hyperlink ref="BU1503" r:id="rId_hyperlink_1467" tooltip="Download" display="Download"/>
    <hyperlink ref="BU1504" r:id="rId_hyperlink_1468" tooltip="Download" display="Download"/>
    <hyperlink ref="BU1505" r:id="rId_hyperlink_1469" tooltip="Download" display="Download"/>
    <hyperlink ref="BU1506" r:id="rId_hyperlink_1470" tooltip="Download" display="Download"/>
    <hyperlink ref="BU1507" r:id="rId_hyperlink_1471" tooltip="Download" display="Download"/>
    <hyperlink ref="BU1508" r:id="rId_hyperlink_1472" tooltip="Download" display="Download"/>
    <hyperlink ref="BU1509" r:id="rId_hyperlink_1473" tooltip="Download" display="Download"/>
    <hyperlink ref="BU1510" r:id="rId_hyperlink_1474" tooltip="Download" display="Download"/>
    <hyperlink ref="BU1511" r:id="rId_hyperlink_1475" tooltip="Download" display="Download"/>
    <hyperlink ref="BU1512" r:id="rId_hyperlink_1476" tooltip="Download" display="Download"/>
    <hyperlink ref="BU1513" r:id="rId_hyperlink_1477" tooltip="Download" display="Download"/>
    <hyperlink ref="BU1514" r:id="rId_hyperlink_1478" tooltip="Download" display="Download"/>
    <hyperlink ref="BU1515" r:id="rId_hyperlink_1479" tooltip="Download" display="Download"/>
    <hyperlink ref="BU1516" r:id="rId_hyperlink_1480" tooltip="Download" display="Download"/>
    <hyperlink ref="BU1517" r:id="rId_hyperlink_1481" tooltip="Download" display="Download"/>
    <hyperlink ref="BU1518" r:id="rId_hyperlink_1482" tooltip="Download" display="Download"/>
    <hyperlink ref="BU1519" r:id="rId_hyperlink_1483" tooltip="Download" display="Download"/>
    <hyperlink ref="BU1520" r:id="rId_hyperlink_1484" tooltip="Download" display="Download"/>
    <hyperlink ref="BU1521" r:id="rId_hyperlink_1485" tooltip="Download" display="Download"/>
    <hyperlink ref="BU1522" r:id="rId_hyperlink_1486" tooltip="Download" display="Download"/>
    <hyperlink ref="BU1523" r:id="rId_hyperlink_1487" tooltip="Download" display="Download"/>
    <hyperlink ref="BU1524" r:id="rId_hyperlink_1488" tooltip="Download" display="Download"/>
    <hyperlink ref="BU1525" r:id="rId_hyperlink_1489" tooltip="Download" display="Download"/>
    <hyperlink ref="BU1526" r:id="rId_hyperlink_1490" tooltip="Download" display="Download"/>
    <hyperlink ref="BU1527" r:id="rId_hyperlink_1491" tooltip="Download" display="Download"/>
    <hyperlink ref="BU1528" r:id="rId_hyperlink_1492" tooltip="Download" display="Download"/>
    <hyperlink ref="BU1529" r:id="rId_hyperlink_1493" tooltip="Download" display="Download"/>
    <hyperlink ref="BU1530" r:id="rId_hyperlink_1494" tooltip="Download" display="Download"/>
    <hyperlink ref="BU1531" r:id="rId_hyperlink_1495" tooltip="Download" display="Download"/>
    <hyperlink ref="BU1532" r:id="rId_hyperlink_1496" tooltip="Download" display="Download"/>
    <hyperlink ref="BU1533" r:id="rId_hyperlink_1497" tooltip="Download" display="Download"/>
    <hyperlink ref="BU1534" r:id="rId_hyperlink_1498" tooltip="Download" display="Download"/>
    <hyperlink ref="BU1535" r:id="rId_hyperlink_1499" tooltip="Download" display="Download"/>
    <hyperlink ref="BU1536" r:id="rId_hyperlink_1500" tooltip="Download" display="Download"/>
    <hyperlink ref="BU1537" r:id="rId_hyperlink_1501" tooltip="Download" display="Download"/>
    <hyperlink ref="BU1538" r:id="rId_hyperlink_1502" tooltip="Download" display="Download"/>
    <hyperlink ref="BU1539" r:id="rId_hyperlink_1503" tooltip="Download" display="Download"/>
    <hyperlink ref="BU1540" r:id="rId_hyperlink_1504" tooltip="Download" display="Download"/>
    <hyperlink ref="BU1541" r:id="rId_hyperlink_1505" tooltip="Download" display="Download"/>
    <hyperlink ref="BU1542" r:id="rId_hyperlink_1506" tooltip="Download" display="Download"/>
    <hyperlink ref="BU1543" r:id="rId_hyperlink_1507" tooltip="Download" display="Download"/>
    <hyperlink ref="BU1544" r:id="rId_hyperlink_1508" tooltip="Download" display="Download"/>
    <hyperlink ref="BU1545" r:id="rId_hyperlink_1509" tooltip="Download" display="Download"/>
    <hyperlink ref="BU1546" r:id="rId_hyperlink_1510" tooltip="Download" display="Download"/>
    <hyperlink ref="BU1547" r:id="rId_hyperlink_1511" tooltip="Download" display="Download"/>
    <hyperlink ref="BU1548" r:id="rId_hyperlink_1512" tooltip="Download" display="Download"/>
    <hyperlink ref="BU1549" r:id="rId_hyperlink_1513" tooltip="Download" display="Download"/>
    <hyperlink ref="BU1550" r:id="rId_hyperlink_1514" tooltip="Download" display="Download"/>
    <hyperlink ref="BU1551" r:id="rId_hyperlink_1515" tooltip="Download" display="Download"/>
    <hyperlink ref="BU1552" r:id="rId_hyperlink_1516" tooltip="Download" display="Download"/>
    <hyperlink ref="BU1553" r:id="rId_hyperlink_1517" tooltip="Download" display="Download"/>
    <hyperlink ref="BU1554" r:id="rId_hyperlink_1518" tooltip="Download" display="Download"/>
    <hyperlink ref="BU1555" r:id="rId_hyperlink_1519" tooltip="Download" display="Download"/>
    <hyperlink ref="BU1556" r:id="rId_hyperlink_1520" tooltip="Download" display="Download"/>
    <hyperlink ref="BU1557" r:id="rId_hyperlink_1521" tooltip="Download" display="Download"/>
    <hyperlink ref="BU1558" r:id="rId_hyperlink_1522" tooltip="Download" display="Download"/>
    <hyperlink ref="BU1559" r:id="rId_hyperlink_1523" tooltip="Download" display="Download"/>
    <hyperlink ref="BU1560" r:id="rId_hyperlink_1524" tooltip="Download" display="Download"/>
    <hyperlink ref="BU1561" r:id="rId_hyperlink_1525" tooltip="Download" display="Download"/>
    <hyperlink ref="BU1562" r:id="rId_hyperlink_1526" tooltip="Download" display="Download"/>
    <hyperlink ref="BU1563" r:id="rId_hyperlink_1527" tooltip="Download" display="Download"/>
    <hyperlink ref="BU1564" r:id="rId_hyperlink_1528" tooltip="Download" display="Download"/>
    <hyperlink ref="BU1565" r:id="rId_hyperlink_1529" tooltip="Download" display="Download"/>
    <hyperlink ref="BU1566" r:id="rId_hyperlink_1530" tooltip="Download" display="Download"/>
    <hyperlink ref="BU1567" r:id="rId_hyperlink_1531" tooltip="Download" display="Download"/>
    <hyperlink ref="BU1568" r:id="rId_hyperlink_1532" tooltip="Download" display="Download"/>
    <hyperlink ref="BU1569" r:id="rId_hyperlink_1533" tooltip="Download" display="Download"/>
    <hyperlink ref="BU1570" r:id="rId_hyperlink_1534" tooltip="Download" display="Download"/>
    <hyperlink ref="BU1571" r:id="rId_hyperlink_1535" tooltip="Download" display="Download"/>
    <hyperlink ref="BU1572" r:id="rId_hyperlink_1536" tooltip="Download" display="Download"/>
    <hyperlink ref="BU1573" r:id="rId_hyperlink_1537" tooltip="Download" display="Download"/>
    <hyperlink ref="BU1574" r:id="rId_hyperlink_1538" tooltip="Download" display="Download"/>
    <hyperlink ref="BU1575" r:id="rId_hyperlink_1539" tooltip="Download" display="Download"/>
    <hyperlink ref="BU1576" r:id="rId_hyperlink_1540" tooltip="Download" display="Download"/>
    <hyperlink ref="BU1577" r:id="rId_hyperlink_1541" tooltip="Download" display="Download"/>
    <hyperlink ref="BU1578" r:id="rId_hyperlink_1542" tooltip="Download" display="Download"/>
    <hyperlink ref="BU1579" r:id="rId_hyperlink_1543" tooltip="Download" display="Download"/>
    <hyperlink ref="BU1580" r:id="rId_hyperlink_1544" tooltip="Download" display="Download"/>
    <hyperlink ref="BU1581" r:id="rId_hyperlink_1545" tooltip="Download" display="Download"/>
    <hyperlink ref="BU1582" r:id="rId_hyperlink_1546" tooltip="Download" display="Download"/>
    <hyperlink ref="BU1583" r:id="rId_hyperlink_1547" tooltip="Download" display="Download"/>
    <hyperlink ref="BU1584" r:id="rId_hyperlink_1548" tooltip="Download" display="Download"/>
    <hyperlink ref="BU1585" r:id="rId_hyperlink_1549" tooltip="Download" display="Download"/>
    <hyperlink ref="BU1586" r:id="rId_hyperlink_1550" tooltip="Download" display="Download"/>
    <hyperlink ref="BU1587" r:id="rId_hyperlink_1551" tooltip="Download" display="Download"/>
    <hyperlink ref="BU1588" r:id="rId_hyperlink_1552" tooltip="Download" display="Download"/>
    <hyperlink ref="BU1589" r:id="rId_hyperlink_1553" tooltip="Download" display="Download"/>
    <hyperlink ref="BU1590" r:id="rId_hyperlink_1554" tooltip="Download" display="Download"/>
    <hyperlink ref="BU1591" r:id="rId_hyperlink_1555" tooltip="Download" display="Download"/>
    <hyperlink ref="BU1592" r:id="rId_hyperlink_1556" tooltip="Download" display="Download"/>
    <hyperlink ref="BU1593" r:id="rId_hyperlink_1557" tooltip="Download" display="Download"/>
    <hyperlink ref="BU1594" r:id="rId_hyperlink_1558" tooltip="Download" display="Download"/>
    <hyperlink ref="BU1595" r:id="rId_hyperlink_1559" tooltip="Download" display="Download"/>
    <hyperlink ref="BU1596" r:id="rId_hyperlink_1560" tooltip="Download" display="Download"/>
    <hyperlink ref="BU1597" r:id="rId_hyperlink_1561" tooltip="Download" display="Download"/>
    <hyperlink ref="BU1598" r:id="rId_hyperlink_1562" tooltip="Download" display="Download"/>
    <hyperlink ref="BU1599" r:id="rId_hyperlink_1563" tooltip="Download" display="Download"/>
    <hyperlink ref="BU1600" r:id="rId_hyperlink_1564" tooltip="Download" display="Download"/>
    <hyperlink ref="BU1601" r:id="rId_hyperlink_1565" tooltip="Download" display="Download"/>
    <hyperlink ref="BU1602" r:id="rId_hyperlink_1566" tooltip="Download" display="Download"/>
    <hyperlink ref="BU1603" r:id="rId_hyperlink_1567" tooltip="Download" display="Download"/>
    <hyperlink ref="BU1604" r:id="rId_hyperlink_1568" tooltip="Download" display="Download"/>
    <hyperlink ref="BU1605" r:id="rId_hyperlink_1569" tooltip="Download" display="Download"/>
    <hyperlink ref="BU1606" r:id="rId_hyperlink_1570" tooltip="Download" display="Download"/>
    <hyperlink ref="BU1607" r:id="rId_hyperlink_1571" tooltip="Download" display="Download"/>
    <hyperlink ref="BU1608" r:id="rId_hyperlink_1572" tooltip="Download" display="Download"/>
    <hyperlink ref="BU1609" r:id="rId_hyperlink_1573" tooltip="Download" display="Download"/>
    <hyperlink ref="BU1610" r:id="rId_hyperlink_1574" tooltip="Download" display="Download"/>
    <hyperlink ref="BU1611" r:id="rId_hyperlink_1575" tooltip="Download" display="Download"/>
    <hyperlink ref="BU1612" r:id="rId_hyperlink_1576" tooltip="Download" display="Download"/>
    <hyperlink ref="BU1613" r:id="rId_hyperlink_1577" tooltip="Download" display="Download"/>
    <hyperlink ref="BU1614" r:id="rId_hyperlink_1578" tooltip="Download" display="Download"/>
    <hyperlink ref="BU1615" r:id="rId_hyperlink_1579" tooltip="Download" display="Download"/>
    <hyperlink ref="BU1616" r:id="rId_hyperlink_1580" tooltip="Download" display="Download"/>
    <hyperlink ref="BU1617" r:id="rId_hyperlink_1581" tooltip="Download" display="Download"/>
    <hyperlink ref="BU1618" r:id="rId_hyperlink_1582" tooltip="Download" display="Download"/>
    <hyperlink ref="BU1619" r:id="rId_hyperlink_1583" tooltip="Download" display="Download"/>
    <hyperlink ref="BU1620" r:id="rId_hyperlink_1584" tooltip="Download" display="Download"/>
    <hyperlink ref="BU1621" r:id="rId_hyperlink_1585" tooltip="Download" display="Download"/>
    <hyperlink ref="BU1622" r:id="rId_hyperlink_1586" tooltip="Download" display="Download"/>
    <hyperlink ref="BU1623" r:id="rId_hyperlink_1587" tooltip="Download" display="Download"/>
    <hyperlink ref="BU1624" r:id="rId_hyperlink_1588" tooltip="Download" display="Download"/>
    <hyperlink ref="BU1625" r:id="rId_hyperlink_1589" tooltip="Download" display="Download"/>
    <hyperlink ref="BU1626" r:id="rId_hyperlink_1590" tooltip="Download" display="Download"/>
    <hyperlink ref="BU1627" r:id="rId_hyperlink_1591" tooltip="Download" display="Download"/>
    <hyperlink ref="BU1628" r:id="rId_hyperlink_1592" tooltip="Download" display="Download"/>
    <hyperlink ref="BU1629" r:id="rId_hyperlink_1593" tooltip="Download" display="Download"/>
    <hyperlink ref="BU1630" r:id="rId_hyperlink_1594" tooltip="Download" display="Download"/>
    <hyperlink ref="BU1631" r:id="rId_hyperlink_1595" tooltip="Download" display="Download"/>
    <hyperlink ref="BU1632" r:id="rId_hyperlink_1596" tooltip="Download" display="Download"/>
    <hyperlink ref="BU1633" r:id="rId_hyperlink_1597" tooltip="Download" display="Download"/>
    <hyperlink ref="BU1634" r:id="rId_hyperlink_1598" tooltip="Download" display="Download"/>
    <hyperlink ref="BU1635" r:id="rId_hyperlink_1599" tooltip="Download" display="Download"/>
    <hyperlink ref="BU1636" r:id="rId_hyperlink_1600" tooltip="Download" display="Download"/>
    <hyperlink ref="BU1637" r:id="rId_hyperlink_1601" tooltip="Download" display="Download"/>
    <hyperlink ref="BU1638" r:id="rId_hyperlink_1602" tooltip="Download" display="Download"/>
    <hyperlink ref="BU1639" r:id="rId_hyperlink_1603" tooltip="Download" display="Download"/>
    <hyperlink ref="BU1640" r:id="rId_hyperlink_1604" tooltip="Download" display="Download"/>
    <hyperlink ref="BU1641" r:id="rId_hyperlink_1605" tooltip="Download" display="Download"/>
    <hyperlink ref="BU1642" r:id="rId_hyperlink_1606" tooltip="Download" display="Download"/>
    <hyperlink ref="BU1643" r:id="rId_hyperlink_1607" tooltip="Download" display="Download"/>
    <hyperlink ref="BU1644" r:id="rId_hyperlink_1608" tooltip="Download" display="Download"/>
    <hyperlink ref="BU1645" r:id="rId_hyperlink_1609" tooltip="Download" display="Download"/>
    <hyperlink ref="BU1646" r:id="rId_hyperlink_1610" tooltip="Download" display="Download"/>
    <hyperlink ref="BU1647" r:id="rId_hyperlink_1611" tooltip="Download" display="Download"/>
    <hyperlink ref="BU1648" r:id="rId_hyperlink_1612" tooltip="Download" display="Download"/>
    <hyperlink ref="BU1649" r:id="rId_hyperlink_1613" tooltip="Download" display="Download"/>
    <hyperlink ref="BU1650" r:id="rId_hyperlink_1614" tooltip="Download" display="Download"/>
    <hyperlink ref="BU1651" r:id="rId_hyperlink_1615" tooltip="Download" display="Download"/>
    <hyperlink ref="BU1652" r:id="rId_hyperlink_1616" tooltip="Download" display="Download"/>
    <hyperlink ref="BU1653" r:id="rId_hyperlink_1617" tooltip="Download" display="Download"/>
    <hyperlink ref="BU1654" r:id="rId_hyperlink_1618" tooltip="Download" display="Download"/>
    <hyperlink ref="BU1655" r:id="rId_hyperlink_1619" tooltip="Download" display="Download"/>
    <hyperlink ref="BU1656" r:id="rId_hyperlink_1620" tooltip="Download" display="Download"/>
    <hyperlink ref="BU1657" r:id="rId_hyperlink_1621" tooltip="Download" display="Download"/>
    <hyperlink ref="BU1658" r:id="rId_hyperlink_1622" tooltip="Download" display="Download"/>
    <hyperlink ref="BU1659" r:id="rId_hyperlink_1623" tooltip="Download" display="Download"/>
    <hyperlink ref="BU1660" r:id="rId_hyperlink_1624" tooltip="Download" display="Download"/>
    <hyperlink ref="BU1661" r:id="rId_hyperlink_1625" tooltip="Download" display="Download"/>
    <hyperlink ref="BU1662" r:id="rId_hyperlink_1626" tooltip="Download" display="Download"/>
    <hyperlink ref="BU1663" r:id="rId_hyperlink_1627" tooltip="Download" display="Download"/>
    <hyperlink ref="BU1664" r:id="rId_hyperlink_1628" tooltip="Download" display="Download"/>
    <hyperlink ref="BU1665" r:id="rId_hyperlink_1629" tooltip="Download" display="Download"/>
    <hyperlink ref="BU1666" r:id="rId_hyperlink_1630" tooltip="Download" display="Download"/>
    <hyperlink ref="BU1667" r:id="rId_hyperlink_1631" tooltip="Download" display="Download"/>
    <hyperlink ref="BU1668" r:id="rId_hyperlink_1632" tooltip="Download" display="Download"/>
    <hyperlink ref="BU1669" r:id="rId_hyperlink_1633" tooltip="Download" display="Download"/>
    <hyperlink ref="BU1670" r:id="rId_hyperlink_1634" tooltip="Download" display="Download"/>
    <hyperlink ref="BU1671" r:id="rId_hyperlink_1635" tooltip="Download" display="Download"/>
    <hyperlink ref="BU1672" r:id="rId_hyperlink_1636" tooltip="Download" display="Download"/>
    <hyperlink ref="BU1673" r:id="rId_hyperlink_1637" tooltip="Download" display="Download"/>
    <hyperlink ref="BU1674" r:id="rId_hyperlink_1638" tooltip="Download" display="Download"/>
    <hyperlink ref="BU1675" r:id="rId_hyperlink_1639" tooltip="Download" display="Download"/>
    <hyperlink ref="BU1676" r:id="rId_hyperlink_1640" tooltip="Download" display="Download"/>
    <hyperlink ref="BU1677" r:id="rId_hyperlink_1641" tooltip="Download" display="Download"/>
    <hyperlink ref="BU1678" r:id="rId_hyperlink_1642" tooltip="Download" display="Download"/>
    <hyperlink ref="BU1679" r:id="rId_hyperlink_1643" tooltip="Download" display="Download"/>
    <hyperlink ref="BU1680" r:id="rId_hyperlink_1644" tooltip="Download" display="Download"/>
    <hyperlink ref="BU1681" r:id="rId_hyperlink_1645" tooltip="Download" display="Download"/>
    <hyperlink ref="BU1682" r:id="rId_hyperlink_1646" tooltip="Download" display="Download"/>
    <hyperlink ref="BU1683" r:id="rId_hyperlink_1647" tooltip="Download" display="Download"/>
    <hyperlink ref="BU1684" r:id="rId_hyperlink_1648" tooltip="Download" display="Download"/>
    <hyperlink ref="BU1685" r:id="rId_hyperlink_1649" tooltip="Download" display="Download"/>
    <hyperlink ref="BU1686" r:id="rId_hyperlink_1650" tooltip="Download" display="Download"/>
    <hyperlink ref="BU1687" r:id="rId_hyperlink_1651" tooltip="Download" display="Download"/>
    <hyperlink ref="BU1688" r:id="rId_hyperlink_1652" tooltip="Download" display="Download"/>
    <hyperlink ref="BU1689" r:id="rId_hyperlink_1653" tooltip="Download" display="Download"/>
    <hyperlink ref="BU1690" r:id="rId_hyperlink_1654" tooltip="Download" display="Download"/>
    <hyperlink ref="BU1691" r:id="rId_hyperlink_1655" tooltip="Download" display="Download"/>
    <hyperlink ref="BU1692" r:id="rId_hyperlink_1656" tooltip="Download" display="Download"/>
    <hyperlink ref="BU1693" r:id="rId_hyperlink_1657" tooltip="Download" display="Download"/>
    <hyperlink ref="BU1694" r:id="rId_hyperlink_1658" tooltip="Download" display="Download"/>
    <hyperlink ref="BU1695" r:id="rId_hyperlink_1659" tooltip="Download" display="Download"/>
    <hyperlink ref="BU1696" r:id="rId_hyperlink_1660" tooltip="Download" display="Download"/>
    <hyperlink ref="BU1697" r:id="rId_hyperlink_1661" tooltip="Download" display="Download"/>
    <hyperlink ref="BU1698" r:id="rId_hyperlink_1662" tooltip="Download" display="Download"/>
    <hyperlink ref="BU1699" r:id="rId_hyperlink_1663" tooltip="Download" display="Download"/>
    <hyperlink ref="BU1700" r:id="rId_hyperlink_1664" tooltip="Download" display="Download"/>
    <hyperlink ref="BU1701" r:id="rId_hyperlink_1665" tooltip="Download" display="Download"/>
    <hyperlink ref="BU1702" r:id="rId_hyperlink_1666" tooltip="Download" display="Download"/>
    <hyperlink ref="BU1703" r:id="rId_hyperlink_1667" tooltip="Download" display="Download"/>
    <hyperlink ref="BU1704" r:id="rId_hyperlink_1668" tooltip="Download" display="Download"/>
    <hyperlink ref="BU1705" r:id="rId_hyperlink_1669" tooltip="Download" display="Download"/>
    <hyperlink ref="BU1706" r:id="rId_hyperlink_1670" tooltip="Download" display="Download"/>
    <hyperlink ref="BU1707" r:id="rId_hyperlink_1671" tooltip="Download" display="Download"/>
    <hyperlink ref="BU1708" r:id="rId_hyperlink_1672" tooltip="Download" display="Download"/>
    <hyperlink ref="BU1709" r:id="rId_hyperlink_1673" tooltip="Download" display="Download"/>
    <hyperlink ref="BU1710" r:id="rId_hyperlink_1674" tooltip="Download" display="Download"/>
    <hyperlink ref="BU1711" r:id="rId_hyperlink_1675" tooltip="Download" display="Download"/>
    <hyperlink ref="BU1712" r:id="rId_hyperlink_1676" tooltip="Download" display="Download"/>
    <hyperlink ref="BU1713" r:id="rId_hyperlink_1677" tooltip="Download" display="Download"/>
    <hyperlink ref="BU1714" r:id="rId_hyperlink_1678" tooltip="Download" display="Download"/>
    <hyperlink ref="BU1715" r:id="rId_hyperlink_1679" tooltip="Download" display="Download"/>
    <hyperlink ref="BU1716" r:id="rId_hyperlink_1680" tooltip="Download" display="Download"/>
    <hyperlink ref="BU1717" r:id="rId_hyperlink_1681" tooltip="Download" display="Download"/>
    <hyperlink ref="BU1718" r:id="rId_hyperlink_1682" tooltip="Download" display="Download"/>
    <hyperlink ref="BU1719" r:id="rId_hyperlink_1683" tooltip="Download" display="Download"/>
    <hyperlink ref="BU1720" r:id="rId_hyperlink_1684" tooltip="Download" display="Download"/>
    <hyperlink ref="BU1721" r:id="rId_hyperlink_1685" tooltip="Download" display="Download"/>
    <hyperlink ref="BU1722" r:id="rId_hyperlink_1686" tooltip="Download" display="Download"/>
    <hyperlink ref="BU1723" r:id="rId_hyperlink_1687" tooltip="Download" display="Download"/>
    <hyperlink ref="BU1724" r:id="rId_hyperlink_1688" tooltip="Download" display="Download"/>
    <hyperlink ref="BU1725" r:id="rId_hyperlink_1689" tooltip="Download" display="Download"/>
    <hyperlink ref="BU1726" r:id="rId_hyperlink_1690" tooltip="Download" display="Download"/>
    <hyperlink ref="BU1727" r:id="rId_hyperlink_1691" tooltip="Download" display="Download"/>
    <hyperlink ref="BU1728" r:id="rId_hyperlink_1692" tooltip="Download" display="Download"/>
    <hyperlink ref="BU1729" r:id="rId_hyperlink_1693" tooltip="Download" display="Download"/>
    <hyperlink ref="BU1730" r:id="rId_hyperlink_1694" tooltip="Download" display="Download"/>
    <hyperlink ref="BU1731" r:id="rId_hyperlink_1695" tooltip="Download" display="Download"/>
    <hyperlink ref="BU1732" r:id="rId_hyperlink_1696" tooltip="Download" display="Download"/>
    <hyperlink ref="BU1733" r:id="rId_hyperlink_1697" tooltip="Download" display="Download"/>
    <hyperlink ref="BU1734" r:id="rId_hyperlink_1698" tooltip="Download" display="Download"/>
    <hyperlink ref="BU1735" r:id="rId_hyperlink_1699" tooltip="Download" display="Download"/>
    <hyperlink ref="BU1736" r:id="rId_hyperlink_1700" tooltip="Download" display="Download"/>
    <hyperlink ref="BU1737" r:id="rId_hyperlink_1701" tooltip="Download" display="Download"/>
    <hyperlink ref="BU1738" r:id="rId_hyperlink_1702" tooltip="Download" display="Download"/>
    <hyperlink ref="BU1739" r:id="rId_hyperlink_1703" tooltip="Download" display="Download"/>
    <hyperlink ref="BU1740" r:id="rId_hyperlink_1704" tooltip="Download" display="Download"/>
    <hyperlink ref="BU1741" r:id="rId_hyperlink_1705" tooltip="Download" display="Download"/>
    <hyperlink ref="BU1742" r:id="rId_hyperlink_1706" tooltip="Download" display="Download"/>
    <hyperlink ref="BU1743" r:id="rId_hyperlink_1707" tooltip="Download" display="Download"/>
    <hyperlink ref="BU1744" r:id="rId_hyperlink_1708" tooltip="Download" display="Download"/>
    <hyperlink ref="BU1745" r:id="rId_hyperlink_1709" tooltip="Download" display="Download"/>
    <hyperlink ref="BU1746" r:id="rId_hyperlink_1710" tooltip="Download" display="Download"/>
    <hyperlink ref="BU1747" r:id="rId_hyperlink_1711" tooltip="Download" display="Download"/>
    <hyperlink ref="BU1748" r:id="rId_hyperlink_1712" tooltip="Download" display="Download"/>
    <hyperlink ref="BU1749" r:id="rId_hyperlink_1713" tooltip="Download" display="Download"/>
    <hyperlink ref="BU1750" r:id="rId_hyperlink_1714" tooltip="Download" display="Download"/>
    <hyperlink ref="BU1751" r:id="rId_hyperlink_1715" tooltip="Download" display="Download"/>
    <hyperlink ref="BU1752" r:id="rId_hyperlink_1716" tooltip="Download" display="Download"/>
    <hyperlink ref="BU1753" r:id="rId_hyperlink_1717" tooltip="Download" display="Download"/>
    <hyperlink ref="BU1754" r:id="rId_hyperlink_1718" tooltip="Download" display="Download"/>
    <hyperlink ref="BU1755" r:id="rId_hyperlink_1719" tooltip="Download" display="Download"/>
    <hyperlink ref="BU1756" r:id="rId_hyperlink_1720" tooltip="Download" display="Download"/>
    <hyperlink ref="BU1757" r:id="rId_hyperlink_1721" tooltip="Download" display="Download"/>
    <hyperlink ref="BU1758" r:id="rId_hyperlink_1722" tooltip="Download" display="Download"/>
    <hyperlink ref="BU1759" r:id="rId_hyperlink_1723" tooltip="Download" display="Download"/>
    <hyperlink ref="BU1760" r:id="rId_hyperlink_1724" tooltip="Download" display="Download"/>
    <hyperlink ref="BU1761" r:id="rId_hyperlink_1725" tooltip="Download" display="Download"/>
    <hyperlink ref="BU1762" r:id="rId_hyperlink_1726" tooltip="Download" display="Download"/>
    <hyperlink ref="BU1763" r:id="rId_hyperlink_1727" tooltip="Download" display="Download"/>
    <hyperlink ref="BU1764" r:id="rId_hyperlink_1728" tooltip="Download" display="Download"/>
    <hyperlink ref="BU1765" r:id="rId_hyperlink_1729" tooltip="Download" display="Download"/>
    <hyperlink ref="BU1766" r:id="rId_hyperlink_1730" tooltip="Download" display="Download"/>
    <hyperlink ref="BU1767" r:id="rId_hyperlink_1731" tooltip="Download" display="Download"/>
    <hyperlink ref="BU1768" r:id="rId_hyperlink_1732" tooltip="Download" display="Download"/>
    <hyperlink ref="BU1769" r:id="rId_hyperlink_1733" tooltip="Download" display="Download"/>
    <hyperlink ref="BU1770" r:id="rId_hyperlink_1734" tooltip="Download" display="Download"/>
    <hyperlink ref="BU1771" r:id="rId_hyperlink_1735" tooltip="Download" display="Download"/>
    <hyperlink ref="BU1772" r:id="rId_hyperlink_1736" tooltip="Download" display="Download"/>
    <hyperlink ref="BU1773" r:id="rId_hyperlink_1737" tooltip="Download" display="Download"/>
    <hyperlink ref="BU1774" r:id="rId_hyperlink_1738" tooltip="Download" display="Download"/>
    <hyperlink ref="BU1775" r:id="rId_hyperlink_1739" tooltip="Download" display="Download"/>
    <hyperlink ref="BU1776" r:id="rId_hyperlink_1740" tooltip="Download" display="Download"/>
    <hyperlink ref="BU1777" r:id="rId_hyperlink_1741" tooltip="Download" display="Download"/>
    <hyperlink ref="BU1778" r:id="rId_hyperlink_1742" tooltip="Download" display="Download"/>
    <hyperlink ref="BU1779" r:id="rId_hyperlink_1743" tooltip="Download" display="Download"/>
    <hyperlink ref="BU1780" r:id="rId_hyperlink_1744" tooltip="Download" display="Download"/>
    <hyperlink ref="BU1781" r:id="rId_hyperlink_1745" tooltip="Download" display="Download"/>
    <hyperlink ref="BU1782" r:id="rId_hyperlink_1746" tooltip="Download" display="Download"/>
    <hyperlink ref="BU1783" r:id="rId_hyperlink_1747" tooltip="Download" display="Download"/>
    <hyperlink ref="BU1784" r:id="rId_hyperlink_1748" tooltip="Download" display="Download"/>
    <hyperlink ref="BU1785" r:id="rId_hyperlink_1749" tooltip="Download" display="Download"/>
    <hyperlink ref="BU1786" r:id="rId_hyperlink_1750" tooltip="Download" display="Download"/>
    <hyperlink ref="BU1787" r:id="rId_hyperlink_1751" tooltip="Download" display="Download"/>
    <hyperlink ref="BU1788" r:id="rId_hyperlink_1752" tooltip="Download" display="Download"/>
    <hyperlink ref="BU1789" r:id="rId_hyperlink_1753" tooltip="Download" display="Download"/>
    <hyperlink ref="BU1790" r:id="rId_hyperlink_1754" tooltip="Download" display="Download"/>
    <hyperlink ref="BU1791" r:id="rId_hyperlink_1755" tooltip="Download" display="Download"/>
    <hyperlink ref="BU1792" r:id="rId_hyperlink_1756" tooltip="Download" display="Download"/>
    <hyperlink ref="BU1793" r:id="rId_hyperlink_1757" tooltip="Download" display="Download"/>
    <hyperlink ref="BU1794" r:id="rId_hyperlink_1758" tooltip="Download" display="Download"/>
    <hyperlink ref="BU1795" r:id="rId_hyperlink_1759" tooltip="Download" display="Download"/>
    <hyperlink ref="BU1796" r:id="rId_hyperlink_1760" tooltip="Download" display="Download"/>
    <hyperlink ref="BU1797" r:id="rId_hyperlink_1761" tooltip="Download" display="Download"/>
    <hyperlink ref="BU1798" r:id="rId_hyperlink_1762" tooltip="Download" display="Download"/>
    <hyperlink ref="BU1799" r:id="rId_hyperlink_1763" tooltip="Download" display="Download"/>
    <hyperlink ref="BU1800" r:id="rId_hyperlink_1764" tooltip="Download" display="Download"/>
    <hyperlink ref="BU1801" r:id="rId_hyperlink_1765" tooltip="Download" display="Download"/>
    <hyperlink ref="BU1802" r:id="rId_hyperlink_1766" tooltip="Download" display="Download"/>
    <hyperlink ref="BU1803" r:id="rId_hyperlink_1767" tooltip="Download" display="Download"/>
    <hyperlink ref="BU1804" r:id="rId_hyperlink_1768" tooltip="Download" display="Download"/>
    <hyperlink ref="BU1805" r:id="rId_hyperlink_1769" tooltip="Download" display="Download"/>
    <hyperlink ref="BU1806" r:id="rId_hyperlink_1770" tooltip="Download" display="Download"/>
    <hyperlink ref="BU1807" r:id="rId_hyperlink_1771" tooltip="Download" display="Download"/>
    <hyperlink ref="BU1808" r:id="rId_hyperlink_1772" tooltip="Download" display="Download"/>
    <hyperlink ref="BU1809" r:id="rId_hyperlink_1773" tooltip="Download" display="Download"/>
    <hyperlink ref="BU1810" r:id="rId_hyperlink_1774" tooltip="Download" display="Download"/>
    <hyperlink ref="BU1811" r:id="rId_hyperlink_1775" tooltip="Download" display="Download"/>
    <hyperlink ref="BU1812" r:id="rId_hyperlink_1776" tooltip="Download" display="Download"/>
    <hyperlink ref="BU1813" r:id="rId_hyperlink_1777" tooltip="Download" display="Download"/>
    <hyperlink ref="BU1814" r:id="rId_hyperlink_1778" tooltip="Download" display="Download"/>
    <hyperlink ref="BU1815" r:id="rId_hyperlink_1779" tooltip="Download" display="Download"/>
    <hyperlink ref="BU1816" r:id="rId_hyperlink_1780" tooltip="Download" display="Download"/>
    <hyperlink ref="BU1817" r:id="rId_hyperlink_1781" tooltip="Download" display="Download"/>
    <hyperlink ref="BU1818" r:id="rId_hyperlink_1782" tooltip="Download" display="Download"/>
    <hyperlink ref="BU1819" r:id="rId_hyperlink_1783" tooltip="Download" display="Download"/>
    <hyperlink ref="BU1820" r:id="rId_hyperlink_1784" tooltip="Download" display="Download"/>
    <hyperlink ref="BU1821" r:id="rId_hyperlink_1785" tooltip="Download" display="Download"/>
    <hyperlink ref="BU1822" r:id="rId_hyperlink_1786" tooltip="Download" display="Download"/>
    <hyperlink ref="BU1823" r:id="rId_hyperlink_1787" tooltip="Download" display="Download"/>
    <hyperlink ref="BU1824" r:id="rId_hyperlink_1788" tooltip="Download" display="Download"/>
    <hyperlink ref="BU1825" r:id="rId_hyperlink_1789" tooltip="Download" display="Download"/>
    <hyperlink ref="BU1826" r:id="rId_hyperlink_1790" tooltip="Download" display="Download"/>
    <hyperlink ref="BU1827" r:id="rId_hyperlink_1791" tooltip="Download" display="Download"/>
    <hyperlink ref="BU1828" r:id="rId_hyperlink_1792" tooltip="Download" display="Download"/>
    <hyperlink ref="BU1829" r:id="rId_hyperlink_1793" tooltip="Download" display="Download"/>
    <hyperlink ref="BU1830" r:id="rId_hyperlink_1794" tooltip="Download" display="Download"/>
    <hyperlink ref="BU1831" r:id="rId_hyperlink_1795" tooltip="Download" display="Download"/>
    <hyperlink ref="BU1832" r:id="rId_hyperlink_1796" tooltip="Download" display="Download"/>
    <hyperlink ref="BU1833" r:id="rId_hyperlink_1797" tooltip="Download" display="Download"/>
    <hyperlink ref="BU1834" r:id="rId_hyperlink_1798" tooltip="Download" display="Download"/>
    <hyperlink ref="BU1835" r:id="rId_hyperlink_1799" tooltip="Download" display="Download"/>
    <hyperlink ref="BU1836" r:id="rId_hyperlink_1800" tooltip="Download" display="Download"/>
    <hyperlink ref="BU1837" r:id="rId_hyperlink_1801" tooltip="Download" display="Download"/>
    <hyperlink ref="BU1838" r:id="rId_hyperlink_1802" tooltip="Download" display="Download"/>
    <hyperlink ref="BU1839" r:id="rId_hyperlink_1803" tooltip="Download" display="Download"/>
    <hyperlink ref="BU1840" r:id="rId_hyperlink_1804" tooltip="Download" display="Download"/>
    <hyperlink ref="BU1841" r:id="rId_hyperlink_1805" tooltip="Download" display="Download"/>
    <hyperlink ref="BU1842" r:id="rId_hyperlink_1806" tooltip="Download" display="Download"/>
    <hyperlink ref="BU1843" r:id="rId_hyperlink_1807" tooltip="Download" display="Download"/>
    <hyperlink ref="BU1844" r:id="rId_hyperlink_1808" tooltip="Download" display="Download"/>
    <hyperlink ref="BU1845" r:id="rId_hyperlink_1809" tooltip="Download" display="Download"/>
    <hyperlink ref="BU1846" r:id="rId_hyperlink_1810" tooltip="Download" display="Download"/>
    <hyperlink ref="BU1847" r:id="rId_hyperlink_1811" tooltip="Download" display="Download"/>
    <hyperlink ref="BU1848" r:id="rId_hyperlink_1812" tooltip="Download" display="Download"/>
    <hyperlink ref="BU1849" r:id="rId_hyperlink_1813" tooltip="Download" display="Download"/>
    <hyperlink ref="BU1850" r:id="rId_hyperlink_1814" tooltip="Download" display="Download"/>
    <hyperlink ref="BU1851" r:id="rId_hyperlink_1815" tooltip="Download" display="Download"/>
    <hyperlink ref="BU1852" r:id="rId_hyperlink_1816" tooltip="Download" display="Download"/>
    <hyperlink ref="BU1853" r:id="rId_hyperlink_1817" tooltip="Download" display="Download"/>
    <hyperlink ref="BU1854" r:id="rId_hyperlink_1818" tooltip="Download" display="Download"/>
    <hyperlink ref="BU1855" r:id="rId_hyperlink_1819" tooltip="Download" display="Download"/>
    <hyperlink ref="BU1856" r:id="rId_hyperlink_1820" tooltip="Download" display="Download"/>
    <hyperlink ref="BU1857" r:id="rId_hyperlink_1821" tooltip="Download" display="Download"/>
    <hyperlink ref="BU1858" r:id="rId_hyperlink_1822" tooltip="Download" display="Download"/>
    <hyperlink ref="BU1859" r:id="rId_hyperlink_1823" tooltip="Download" display="Download"/>
    <hyperlink ref="BU1860" r:id="rId_hyperlink_1824" tooltip="Download" display="Download"/>
    <hyperlink ref="BU1861" r:id="rId_hyperlink_1825" tooltip="Download" display="Download"/>
    <hyperlink ref="BU1862" r:id="rId_hyperlink_1826" tooltip="Download" display="Download"/>
    <hyperlink ref="BU1863" r:id="rId_hyperlink_1827" tooltip="Download" display="Download"/>
    <hyperlink ref="BU1864" r:id="rId_hyperlink_1828" tooltip="Download" display="Download"/>
    <hyperlink ref="BU1865" r:id="rId_hyperlink_1829" tooltip="Download" display="Download"/>
    <hyperlink ref="BU1866" r:id="rId_hyperlink_1830" tooltip="Download" display="Download"/>
    <hyperlink ref="BU1867" r:id="rId_hyperlink_1831" tooltip="Download" display="Download"/>
    <hyperlink ref="BU1868" r:id="rId_hyperlink_1832" tooltip="Download" display="Download"/>
    <hyperlink ref="BU1869" r:id="rId_hyperlink_1833" tooltip="Download" display="Download"/>
    <hyperlink ref="BU1870" r:id="rId_hyperlink_1834" tooltip="Download" display="Download"/>
    <hyperlink ref="BU1871" r:id="rId_hyperlink_1835" tooltip="Download" display="Download"/>
    <hyperlink ref="BU1872" r:id="rId_hyperlink_1836" tooltip="Download" display="Download"/>
    <hyperlink ref="BU1873" r:id="rId_hyperlink_1837" tooltip="Download" display="Download"/>
    <hyperlink ref="BU1874" r:id="rId_hyperlink_1838" tooltip="Download" display="Download"/>
    <hyperlink ref="BU1875" r:id="rId_hyperlink_1839" tooltip="Download" display="Download"/>
    <hyperlink ref="BU1876" r:id="rId_hyperlink_1840" tooltip="Download" display="Download"/>
    <hyperlink ref="BU1877" r:id="rId_hyperlink_1841" tooltip="Download" display="Download"/>
    <hyperlink ref="BU1878" r:id="rId_hyperlink_1842" tooltip="Download" display="Download"/>
    <hyperlink ref="BU1879" r:id="rId_hyperlink_1843" tooltip="Download" display="Download"/>
    <hyperlink ref="BU1880" r:id="rId_hyperlink_1844" tooltip="Download" display="Download"/>
    <hyperlink ref="BU1881" r:id="rId_hyperlink_1845" tooltip="Download" display="Download"/>
    <hyperlink ref="BU1882" r:id="rId_hyperlink_1846" tooltip="Download" display="Download"/>
    <hyperlink ref="BU1883" r:id="rId_hyperlink_1847" tooltip="Download" display="Download"/>
    <hyperlink ref="BU1884" r:id="rId_hyperlink_1848" tooltip="Download" display="Download"/>
    <hyperlink ref="BU1885" r:id="rId_hyperlink_1849" tooltip="Download" display="Download"/>
    <hyperlink ref="BU1886" r:id="rId_hyperlink_1850" tooltip="Download" display="Download"/>
    <hyperlink ref="BU1887" r:id="rId_hyperlink_1851" tooltip="Download" display="Download"/>
    <hyperlink ref="BU1888" r:id="rId_hyperlink_1852" tooltip="Download" display="Download"/>
    <hyperlink ref="BU1889" r:id="rId_hyperlink_1853" tooltip="Download" display="Download"/>
    <hyperlink ref="BU1890" r:id="rId_hyperlink_1854" tooltip="Download" display="Download"/>
    <hyperlink ref="BU1891" r:id="rId_hyperlink_1855" tooltip="Download" display="Download"/>
    <hyperlink ref="BU1892" r:id="rId_hyperlink_1856" tooltip="Download" display="Download"/>
    <hyperlink ref="BU1893" r:id="rId_hyperlink_1857" tooltip="Download" display="Download"/>
    <hyperlink ref="BU1894" r:id="rId_hyperlink_1858" tooltip="Download" display="Download"/>
    <hyperlink ref="BU1895" r:id="rId_hyperlink_1859" tooltip="Download" display="Download"/>
    <hyperlink ref="BU1896" r:id="rId_hyperlink_1860" tooltip="Download" display="Download"/>
    <hyperlink ref="BU1897" r:id="rId_hyperlink_1861" tooltip="Download" display="Download"/>
    <hyperlink ref="BU1898" r:id="rId_hyperlink_1862" tooltip="Download" display="Download"/>
    <hyperlink ref="BU1899" r:id="rId_hyperlink_1863" tooltip="Download" display="Download"/>
    <hyperlink ref="BU1900" r:id="rId_hyperlink_1864" tooltip="Download" display="Download"/>
    <hyperlink ref="BU1901" r:id="rId_hyperlink_1865" tooltip="Download" display="Download"/>
    <hyperlink ref="BU1902" r:id="rId_hyperlink_1866" tooltip="Download" display="Download"/>
    <hyperlink ref="BU1903" r:id="rId_hyperlink_1867" tooltip="Download" display="Download"/>
    <hyperlink ref="BU1904" r:id="rId_hyperlink_1868" tooltip="Download" display="Download"/>
    <hyperlink ref="BU1905" r:id="rId_hyperlink_1869" tooltip="Download" display="Download"/>
    <hyperlink ref="BU1906" r:id="rId_hyperlink_1870" tooltip="Download" display="Download"/>
    <hyperlink ref="BU1907" r:id="rId_hyperlink_1871" tooltip="Download" display="Download"/>
    <hyperlink ref="BU1908" r:id="rId_hyperlink_1872" tooltip="Download" display="Download"/>
    <hyperlink ref="BU1909" r:id="rId_hyperlink_1873" tooltip="Download" display="Download"/>
    <hyperlink ref="BU1910" r:id="rId_hyperlink_1874" tooltip="Download" display="Download"/>
    <hyperlink ref="BU1911" r:id="rId_hyperlink_1875" tooltip="Download" display="Download"/>
    <hyperlink ref="BU1912" r:id="rId_hyperlink_1876" tooltip="Download" display="Download"/>
    <hyperlink ref="BU1913" r:id="rId_hyperlink_1877" tooltip="Download" display="Download"/>
    <hyperlink ref="BU1914" r:id="rId_hyperlink_1878" tooltip="Download" display="Download"/>
    <hyperlink ref="BU1915" r:id="rId_hyperlink_1879" tooltip="Download" display="Download"/>
    <hyperlink ref="BU1916" r:id="rId_hyperlink_1880" tooltip="Download" display="Download"/>
    <hyperlink ref="BU1917" r:id="rId_hyperlink_1881" tooltip="Download" display="Download"/>
    <hyperlink ref="BU1918" r:id="rId_hyperlink_1882" tooltip="Download" display="Download"/>
    <hyperlink ref="BU1919" r:id="rId_hyperlink_1883" tooltip="Download" display="Download"/>
    <hyperlink ref="BU1920" r:id="rId_hyperlink_1884" tooltip="Download" display="Download"/>
    <hyperlink ref="BU1921" r:id="rId_hyperlink_1885" tooltip="Download" display="Download"/>
    <hyperlink ref="BU1922" r:id="rId_hyperlink_1886" tooltip="Download" display="Download"/>
    <hyperlink ref="BU1923" r:id="rId_hyperlink_1887" tooltip="Download" display="Download"/>
    <hyperlink ref="BU1924" r:id="rId_hyperlink_1888" tooltip="Download" display="Download"/>
    <hyperlink ref="BU1925" r:id="rId_hyperlink_1889" tooltip="Download" display="Download"/>
    <hyperlink ref="BU1926" r:id="rId_hyperlink_1890" tooltip="Download" display="Download"/>
    <hyperlink ref="BU1927" r:id="rId_hyperlink_1891" tooltip="Download" display="Download"/>
    <hyperlink ref="BU1928" r:id="rId_hyperlink_1892" tooltip="Download" display="Download"/>
    <hyperlink ref="BU1929" r:id="rId_hyperlink_1893" tooltip="Download" display="Download"/>
    <hyperlink ref="BU1930" r:id="rId_hyperlink_1894" tooltip="Download" display="Download"/>
    <hyperlink ref="BU1931" r:id="rId_hyperlink_1895" tooltip="Download" display="Download"/>
    <hyperlink ref="BU1932" r:id="rId_hyperlink_1896" tooltip="Download" display="Download"/>
    <hyperlink ref="BU1933" r:id="rId_hyperlink_1897" tooltip="Download" display="Download"/>
    <hyperlink ref="BU1934" r:id="rId_hyperlink_1898" tooltip="Download" display="Download"/>
    <hyperlink ref="BU1935" r:id="rId_hyperlink_1899" tooltip="Download" display="Download"/>
    <hyperlink ref="BU1936" r:id="rId_hyperlink_1900" tooltip="Download" display="Download"/>
    <hyperlink ref="BU1937" r:id="rId_hyperlink_1901" tooltip="Download" display="Download"/>
    <hyperlink ref="BU1938" r:id="rId_hyperlink_1902" tooltip="Download" display="Download"/>
    <hyperlink ref="BU1939" r:id="rId_hyperlink_1903" tooltip="Download" display="Download"/>
    <hyperlink ref="BU1940" r:id="rId_hyperlink_1904" tooltip="Download" display="Download"/>
    <hyperlink ref="BU1941" r:id="rId_hyperlink_1905" tooltip="Download" display="Download"/>
    <hyperlink ref="BU1942" r:id="rId_hyperlink_1906" tooltip="Download" display="Download"/>
    <hyperlink ref="BU1943" r:id="rId_hyperlink_1907" tooltip="Download" display="Download"/>
    <hyperlink ref="BU1944" r:id="rId_hyperlink_1908" tooltip="Download" display="Download"/>
    <hyperlink ref="BU1945" r:id="rId_hyperlink_1909" tooltip="Download" display="Download"/>
    <hyperlink ref="BU1946" r:id="rId_hyperlink_1910" tooltip="Download" display="Download"/>
    <hyperlink ref="BU1947" r:id="rId_hyperlink_1911" tooltip="Download" display="Download"/>
    <hyperlink ref="BU1948" r:id="rId_hyperlink_1912" tooltip="Download" display="Download"/>
    <hyperlink ref="BU1949" r:id="rId_hyperlink_1913" tooltip="Download" display="Download"/>
    <hyperlink ref="BU1950" r:id="rId_hyperlink_1914" tooltip="Download" display="Download"/>
    <hyperlink ref="BU1951" r:id="rId_hyperlink_1915" tooltip="Download" display="Download"/>
    <hyperlink ref="BU1952" r:id="rId_hyperlink_1916" tooltip="Download" display="Download"/>
    <hyperlink ref="BU1953" r:id="rId_hyperlink_1917" tooltip="Download" display="Download"/>
    <hyperlink ref="BU1954" r:id="rId_hyperlink_1918" tooltip="Download" display="Download"/>
    <hyperlink ref="BU1955" r:id="rId_hyperlink_1919" tooltip="Download" display="Download"/>
    <hyperlink ref="BU1956" r:id="rId_hyperlink_1920" tooltip="Download" display="Download"/>
    <hyperlink ref="BU1957" r:id="rId_hyperlink_1921" tooltip="Download" display="Download"/>
    <hyperlink ref="BU1958" r:id="rId_hyperlink_1922" tooltip="Download" display="Download"/>
    <hyperlink ref="BU1959" r:id="rId_hyperlink_1923" tooltip="Download" display="Download"/>
    <hyperlink ref="BU1960" r:id="rId_hyperlink_1924" tooltip="Download" display="Download"/>
    <hyperlink ref="BU1961" r:id="rId_hyperlink_1925" tooltip="Download" display="Download"/>
    <hyperlink ref="BU1962" r:id="rId_hyperlink_1926" tooltip="Download" display="Download"/>
    <hyperlink ref="BU1963" r:id="rId_hyperlink_1927" tooltip="Download" display="Download"/>
    <hyperlink ref="BU1964" r:id="rId_hyperlink_1928" tooltip="Download" display="Download"/>
    <hyperlink ref="BU1965" r:id="rId_hyperlink_1929" tooltip="Download" display="Download"/>
    <hyperlink ref="BU1966" r:id="rId_hyperlink_1930" tooltip="Download" display="Download"/>
    <hyperlink ref="BU1967" r:id="rId_hyperlink_1931" tooltip="Download" display="Download"/>
    <hyperlink ref="BU1968" r:id="rId_hyperlink_1932" tooltip="Download" display="Download"/>
    <hyperlink ref="BU1969" r:id="rId_hyperlink_1933" tooltip="Download" display="Download"/>
    <hyperlink ref="BU1970" r:id="rId_hyperlink_1934" tooltip="Download" display="Download"/>
    <hyperlink ref="BU1971" r:id="rId_hyperlink_1935" tooltip="Download" display="Download"/>
    <hyperlink ref="BU1972" r:id="rId_hyperlink_1936" tooltip="Download" display="Download"/>
    <hyperlink ref="BU1973" r:id="rId_hyperlink_1937" tooltip="Download" display="Download"/>
    <hyperlink ref="BU1974" r:id="rId_hyperlink_1938" tooltip="Download" display="Download"/>
    <hyperlink ref="BU1975" r:id="rId_hyperlink_1939" tooltip="Download" display="Download"/>
    <hyperlink ref="BU1976" r:id="rId_hyperlink_1940" tooltip="Download" display="Download"/>
    <hyperlink ref="BU1977" r:id="rId_hyperlink_1941" tooltip="Download" display="Download"/>
    <hyperlink ref="BU1978" r:id="rId_hyperlink_1942" tooltip="Download" display="Download"/>
    <hyperlink ref="BU1979" r:id="rId_hyperlink_1943" tooltip="Download" display="Download"/>
    <hyperlink ref="BU1980" r:id="rId_hyperlink_1944" tooltip="Download" display="Download"/>
    <hyperlink ref="BU1981" r:id="rId_hyperlink_1945" tooltip="Download" display="Download"/>
    <hyperlink ref="BU1982" r:id="rId_hyperlink_1946" tooltip="Download" display="Download"/>
    <hyperlink ref="BU1983" r:id="rId_hyperlink_1947" tooltip="Download" display="Download"/>
    <hyperlink ref="BU1984" r:id="rId_hyperlink_1948" tooltip="Download" display="Download"/>
    <hyperlink ref="BU1985" r:id="rId_hyperlink_1949" tooltip="Download" display="Download"/>
    <hyperlink ref="BU1986" r:id="rId_hyperlink_1950" tooltip="Download" display="Download"/>
    <hyperlink ref="BU1987" r:id="rId_hyperlink_1951" tooltip="Download" display="Download"/>
    <hyperlink ref="BU1988" r:id="rId_hyperlink_1952" tooltip="Download" display="Download"/>
    <hyperlink ref="BU1989" r:id="rId_hyperlink_1953" tooltip="Download" display="Download"/>
    <hyperlink ref="BU1990" r:id="rId_hyperlink_1954" tooltip="Download" display="Download"/>
    <hyperlink ref="BU1991" r:id="rId_hyperlink_1955" tooltip="Download" display="Download"/>
    <hyperlink ref="BU1992" r:id="rId_hyperlink_1956" tooltip="Download" display="Download"/>
    <hyperlink ref="BU1993" r:id="rId_hyperlink_1957" tooltip="Download" display="Download"/>
    <hyperlink ref="BU1994" r:id="rId_hyperlink_1958" tooltip="Download" display="Download"/>
    <hyperlink ref="BU1995" r:id="rId_hyperlink_1959" tooltip="Download" display="Download"/>
    <hyperlink ref="BU1996" r:id="rId_hyperlink_1960" tooltip="Download" display="Download"/>
    <hyperlink ref="BU1997" r:id="rId_hyperlink_1961" tooltip="Download" display="Download"/>
    <hyperlink ref="BU1998" r:id="rId_hyperlink_1962" tooltip="Download" display="Download"/>
    <hyperlink ref="BU1999" r:id="rId_hyperlink_1963" tooltip="Download" display="Download"/>
    <hyperlink ref="BU2000" r:id="rId_hyperlink_1964" tooltip="Download" display="Download"/>
    <hyperlink ref="BU2001" r:id="rId_hyperlink_1965" tooltip="Download" display="Download"/>
    <hyperlink ref="BU2002" r:id="rId_hyperlink_1966" tooltip="Download" display="Download"/>
    <hyperlink ref="BU2003" r:id="rId_hyperlink_1967" tooltip="Download" display="Download"/>
    <hyperlink ref="BU2004" r:id="rId_hyperlink_1968" tooltip="Download" display="Download"/>
    <hyperlink ref="BU2005" r:id="rId_hyperlink_1969" tooltip="Download" display="Download"/>
    <hyperlink ref="BU2006" r:id="rId_hyperlink_1970" tooltip="Download" display="Download"/>
    <hyperlink ref="BU2007" r:id="rId_hyperlink_1971" tooltip="Download" display="Download"/>
    <hyperlink ref="BU2008" r:id="rId_hyperlink_1972" tooltip="Download" display="Download"/>
    <hyperlink ref="BU2009" r:id="rId_hyperlink_1973" tooltip="Download" display="Download"/>
    <hyperlink ref="BU2010" r:id="rId_hyperlink_1974" tooltip="Download" display="Download"/>
    <hyperlink ref="BU2011" r:id="rId_hyperlink_1975" tooltip="Download" display="Download"/>
    <hyperlink ref="BU2012" r:id="rId_hyperlink_1976" tooltip="Download" display="Download"/>
    <hyperlink ref="BU2013" r:id="rId_hyperlink_1977" tooltip="Download" display="Download"/>
    <hyperlink ref="BU2014" r:id="rId_hyperlink_1978" tooltip="Download" display="Download"/>
    <hyperlink ref="BU2015" r:id="rId_hyperlink_1979" tooltip="Download" display="Download"/>
    <hyperlink ref="BU2016" r:id="rId_hyperlink_1980" tooltip="Download" display="Download"/>
    <hyperlink ref="BU2017" r:id="rId_hyperlink_1981" tooltip="Download" display="Download"/>
    <hyperlink ref="BU2018" r:id="rId_hyperlink_1982" tooltip="Download" display="Download"/>
    <hyperlink ref="BU2019" r:id="rId_hyperlink_1983" tooltip="Download" display="Download"/>
    <hyperlink ref="BU2020" r:id="rId_hyperlink_1984" tooltip="Download" display="Download"/>
    <hyperlink ref="BU2021" r:id="rId_hyperlink_1985" tooltip="Download" display="Download"/>
    <hyperlink ref="BU2022" r:id="rId_hyperlink_1986" tooltip="Download" display="Download"/>
    <hyperlink ref="BU2023" r:id="rId_hyperlink_1987" tooltip="Download" display="Download"/>
    <hyperlink ref="BU2025" r:id="rId_hyperlink_1988" tooltip="Download" display="Download"/>
    <hyperlink ref="BU2026" r:id="rId_hyperlink_1989" tooltip="Download" display="Download"/>
    <hyperlink ref="BU2027" r:id="rId_hyperlink_1990" tooltip="Download" display="Download"/>
    <hyperlink ref="BU2028" r:id="rId_hyperlink_1991" tooltip="Download" display="Download"/>
    <hyperlink ref="BU2029" r:id="rId_hyperlink_1992" tooltip="Download" display="Download"/>
    <hyperlink ref="BU2030" r:id="rId_hyperlink_1993" tooltip="Download" display="Download"/>
    <hyperlink ref="BU2031" r:id="rId_hyperlink_1994" tooltip="Download" display="Download"/>
    <hyperlink ref="BU2032" r:id="rId_hyperlink_1995" tooltip="Download" display="Download"/>
    <hyperlink ref="BU2033" r:id="rId_hyperlink_1996" tooltip="Download" display="Download"/>
    <hyperlink ref="BU2034" r:id="rId_hyperlink_1997" tooltip="Download" display="Download"/>
    <hyperlink ref="BU2035" r:id="rId_hyperlink_1998" tooltip="Download" display="Download"/>
    <hyperlink ref="BU2036" r:id="rId_hyperlink_1999" tooltip="Download" display="Download"/>
    <hyperlink ref="BU2037" r:id="rId_hyperlink_2000" tooltip="Download" display="Download"/>
    <hyperlink ref="BU2038" r:id="rId_hyperlink_2001" tooltip="Download" display="Download"/>
    <hyperlink ref="BU2039" r:id="rId_hyperlink_2002" tooltip="Download" display="Download"/>
    <hyperlink ref="BU2040" r:id="rId_hyperlink_2003" tooltip="Download" display="Download"/>
    <hyperlink ref="BU2041" r:id="rId_hyperlink_2004" tooltip="Download" display="Download"/>
    <hyperlink ref="BU2042" r:id="rId_hyperlink_2005" tooltip="Download" display="Download"/>
    <hyperlink ref="BU2043" r:id="rId_hyperlink_2006" tooltip="Download" display="Download"/>
    <hyperlink ref="BU2044" r:id="rId_hyperlink_2007" tooltip="Download" display="Download"/>
    <hyperlink ref="BU2045" r:id="rId_hyperlink_2008" tooltip="Download" display="Download"/>
    <hyperlink ref="BU2046" r:id="rId_hyperlink_2009" tooltip="Download" display="Download"/>
    <hyperlink ref="BU2047" r:id="rId_hyperlink_2010" tooltip="Download" display="Download"/>
    <hyperlink ref="BU2048" r:id="rId_hyperlink_2011" tooltip="Download" display="Download"/>
    <hyperlink ref="BU2049" r:id="rId_hyperlink_2012" tooltip="Download" display="Download"/>
    <hyperlink ref="BU2050" r:id="rId_hyperlink_2013" tooltip="Download" display="Download"/>
    <hyperlink ref="BU2051" r:id="rId_hyperlink_2014" tooltip="Download" display="Download"/>
    <hyperlink ref="BU2052" r:id="rId_hyperlink_2015" tooltip="Download" display="Download"/>
    <hyperlink ref="BU2053" r:id="rId_hyperlink_2016" tooltip="Download" display="Download"/>
    <hyperlink ref="BU2054" r:id="rId_hyperlink_2017" tooltip="Download" display="Download"/>
    <hyperlink ref="BU2055" r:id="rId_hyperlink_2018" tooltip="Download" display="Download"/>
    <hyperlink ref="BU2056" r:id="rId_hyperlink_2019" tooltip="Download" display="Download"/>
    <hyperlink ref="BU2057" r:id="rId_hyperlink_2020" tooltip="Download" display="Download"/>
    <hyperlink ref="BU2058" r:id="rId_hyperlink_2021" tooltip="Download" display="Download"/>
    <hyperlink ref="BU2059" r:id="rId_hyperlink_2022" tooltip="Download" display="Download"/>
    <hyperlink ref="BU2060" r:id="rId_hyperlink_2023" tooltip="Download" display="Download"/>
    <hyperlink ref="BU2061" r:id="rId_hyperlink_2024" tooltip="Download" display="Download"/>
    <hyperlink ref="BU2062" r:id="rId_hyperlink_2025" tooltip="Download" display="Download"/>
    <hyperlink ref="BU2063" r:id="rId_hyperlink_2026" tooltip="Download" display="Download"/>
    <hyperlink ref="BU2064" r:id="rId_hyperlink_2027" tooltip="Download" display="Download"/>
    <hyperlink ref="BU2065" r:id="rId_hyperlink_2028" tooltip="Download" display="Download"/>
    <hyperlink ref="BU2066" r:id="rId_hyperlink_2029" tooltip="Download" display="Download"/>
    <hyperlink ref="BU2067" r:id="rId_hyperlink_2030" tooltip="Download" display="Download"/>
    <hyperlink ref="BU2068" r:id="rId_hyperlink_2031" tooltip="Download" display="Download"/>
    <hyperlink ref="BU2069" r:id="rId_hyperlink_2032" tooltip="Download" display="Download"/>
    <hyperlink ref="BU2070" r:id="rId_hyperlink_2033" tooltip="Download" display="Download"/>
    <hyperlink ref="BU2071" r:id="rId_hyperlink_2034" tooltip="Download" display="Download"/>
    <hyperlink ref="BU2072" r:id="rId_hyperlink_2035" tooltip="Download" display="Download"/>
    <hyperlink ref="BU2073" r:id="rId_hyperlink_2036" tooltip="Download" display="Download"/>
    <hyperlink ref="BU2074" r:id="rId_hyperlink_2037" tooltip="Download" display="Download"/>
    <hyperlink ref="BU2075" r:id="rId_hyperlink_2038" tooltip="Download" display="Download"/>
    <hyperlink ref="BU2076" r:id="rId_hyperlink_2039" tooltip="Download" display="Download"/>
    <hyperlink ref="BU2077" r:id="rId_hyperlink_2040" tooltip="Download" display="Download"/>
    <hyperlink ref="BU2078" r:id="rId_hyperlink_2041" tooltip="Download" display="Download"/>
    <hyperlink ref="BU2079" r:id="rId_hyperlink_2042" tooltip="Download" display="Download"/>
    <hyperlink ref="BU2080" r:id="rId_hyperlink_2043" tooltip="Download" display="Download"/>
    <hyperlink ref="BU2081" r:id="rId_hyperlink_2044" tooltip="Download" display="Download"/>
    <hyperlink ref="BU2082" r:id="rId_hyperlink_2045" tooltip="Download" display="Download"/>
    <hyperlink ref="BU2083" r:id="rId_hyperlink_2046" tooltip="Download" display="Download"/>
    <hyperlink ref="BU2084" r:id="rId_hyperlink_2047" tooltip="Download" display="Download"/>
    <hyperlink ref="BU2085" r:id="rId_hyperlink_2048" tooltip="Download" display="Download"/>
    <hyperlink ref="BU2086" r:id="rId_hyperlink_2049" tooltip="Download" display="Download"/>
    <hyperlink ref="BU2087" r:id="rId_hyperlink_2050" tooltip="Download" display="Download"/>
    <hyperlink ref="BU2088" r:id="rId_hyperlink_2051" tooltip="Download" display="Download"/>
    <hyperlink ref="BU2089" r:id="rId_hyperlink_2052" tooltip="Download" display="Download"/>
    <hyperlink ref="BU2090" r:id="rId_hyperlink_2053" tooltip="Download" display="Download"/>
    <hyperlink ref="BU2091" r:id="rId_hyperlink_2054" tooltip="Download" display="Download"/>
    <hyperlink ref="BU2092" r:id="rId_hyperlink_2055" tooltip="Download" display="Download"/>
    <hyperlink ref="BU2093" r:id="rId_hyperlink_2056" tooltip="Download" display="Download"/>
    <hyperlink ref="BU2094" r:id="rId_hyperlink_2057" tooltip="Download" display="Download"/>
    <hyperlink ref="BU2095" r:id="rId_hyperlink_2058" tooltip="Download" display="Download"/>
    <hyperlink ref="BU2096" r:id="rId_hyperlink_2059" tooltip="Download" display="Download"/>
    <hyperlink ref="BU2097" r:id="rId_hyperlink_2060" tooltip="Download" display="Download"/>
    <hyperlink ref="BU2098" r:id="rId_hyperlink_2061" tooltip="Download" display="Download"/>
    <hyperlink ref="BU2099" r:id="rId_hyperlink_2062" tooltip="Download" display="Download"/>
    <hyperlink ref="BU2100" r:id="rId_hyperlink_2063" tooltip="Download" display="Download"/>
    <hyperlink ref="BU2101" r:id="rId_hyperlink_2064" tooltip="Download" display="Download"/>
    <hyperlink ref="BU2102" r:id="rId_hyperlink_2065" tooltip="Download" display="Download"/>
    <hyperlink ref="BU2103" r:id="rId_hyperlink_2066" tooltip="Download" display="Download"/>
    <hyperlink ref="BU2104" r:id="rId_hyperlink_2067" tooltip="Download" display="Download"/>
    <hyperlink ref="BU2105" r:id="rId_hyperlink_2068" tooltip="Download" display="Download"/>
    <hyperlink ref="BU2106" r:id="rId_hyperlink_2069" tooltip="Download" display="Download"/>
    <hyperlink ref="BU2107" r:id="rId_hyperlink_2070" tooltip="Download" display="Download"/>
    <hyperlink ref="BU2108" r:id="rId_hyperlink_2071" tooltip="Download" display="Download"/>
    <hyperlink ref="BU2109" r:id="rId_hyperlink_2072" tooltip="Download" display="Download"/>
    <hyperlink ref="BU2111" r:id="rId_hyperlink_2073" tooltip="Download" display="Download"/>
    <hyperlink ref="BU2112" r:id="rId_hyperlink_2074" tooltip="Download" display="Download"/>
    <hyperlink ref="BU2113" r:id="rId_hyperlink_2075" tooltip="Download" display="Download"/>
    <hyperlink ref="BU2114" r:id="rId_hyperlink_2076" tooltip="Download" display="Download"/>
    <hyperlink ref="BU2115" r:id="rId_hyperlink_2077" tooltip="Download" display="Download"/>
    <hyperlink ref="BU2116" r:id="rId_hyperlink_2078" tooltip="Download" display="Download"/>
    <hyperlink ref="BU2117" r:id="rId_hyperlink_2079" tooltip="Download" display="Download"/>
    <hyperlink ref="BU2118" r:id="rId_hyperlink_2080" tooltip="Download" display="Download"/>
    <hyperlink ref="BU2119" r:id="rId_hyperlink_2081" tooltip="Download" display="Download"/>
    <hyperlink ref="BU2120" r:id="rId_hyperlink_2082" tooltip="Download" display="Download"/>
    <hyperlink ref="BU2121" r:id="rId_hyperlink_2083" tooltip="Download" display="Download"/>
    <hyperlink ref="BU2122" r:id="rId_hyperlink_2084" tooltip="Download" display="Download"/>
    <hyperlink ref="BU2123" r:id="rId_hyperlink_2085" tooltip="Download" display="Download"/>
    <hyperlink ref="BU2124" r:id="rId_hyperlink_2086" tooltip="Download" display="Download"/>
    <hyperlink ref="BU2125" r:id="rId_hyperlink_2087" tooltip="Download" display="Download"/>
    <hyperlink ref="BU2126" r:id="rId_hyperlink_2088" tooltip="Download" display="Download"/>
    <hyperlink ref="BU2127" r:id="rId_hyperlink_2089" tooltip="Download" display="Download"/>
    <hyperlink ref="BU2128" r:id="rId_hyperlink_2090" tooltip="Download" display="Download"/>
    <hyperlink ref="BU2129" r:id="rId_hyperlink_2091" tooltip="Download" display="Download"/>
    <hyperlink ref="BU2130" r:id="rId_hyperlink_2092" tooltip="Download" display="Download"/>
    <hyperlink ref="BU2131" r:id="rId_hyperlink_2093" tooltip="Download" display="Download"/>
    <hyperlink ref="BU2132" r:id="rId_hyperlink_2094" tooltip="Download" display="Download"/>
    <hyperlink ref="BU2134" r:id="rId_hyperlink_2095" tooltip="Download" display="Download"/>
    <hyperlink ref="BU2135" r:id="rId_hyperlink_2096" tooltip="Download" display="Download"/>
    <hyperlink ref="BU2136" r:id="rId_hyperlink_2097" tooltip="Download" display="Download"/>
    <hyperlink ref="BU2137" r:id="rId_hyperlink_2098" tooltip="Download" display="Download"/>
    <hyperlink ref="BU2138" r:id="rId_hyperlink_2099" tooltip="Download" display="Download"/>
    <hyperlink ref="BU2139" r:id="rId_hyperlink_2100" tooltip="Download" display="Download"/>
    <hyperlink ref="BU2140" r:id="rId_hyperlink_2101" tooltip="Download" display="Download"/>
    <hyperlink ref="BU2141" r:id="rId_hyperlink_2102" tooltip="Download" display="Download"/>
    <hyperlink ref="BU2142" r:id="rId_hyperlink_2103" tooltip="Download" display="Download"/>
    <hyperlink ref="BU2143" r:id="rId_hyperlink_2104" tooltip="Download" display="Download"/>
    <hyperlink ref="BU2144" r:id="rId_hyperlink_2105" tooltip="Download" display="Download"/>
    <hyperlink ref="BU2145" r:id="rId_hyperlink_2106" tooltip="Download" display="Download"/>
    <hyperlink ref="BU2146" r:id="rId_hyperlink_2107" tooltip="Download" display="Download"/>
    <hyperlink ref="BU2147" r:id="rId_hyperlink_2108" tooltip="Download" display="Download"/>
    <hyperlink ref="BU2148" r:id="rId_hyperlink_2109" tooltip="Download" display="Download"/>
    <hyperlink ref="BU2149" r:id="rId_hyperlink_2110" tooltip="Download" display="Download"/>
    <hyperlink ref="BU2150" r:id="rId_hyperlink_2111" tooltip="Download" display="Download"/>
    <hyperlink ref="BU2151" r:id="rId_hyperlink_2112" tooltip="Download" display="Download"/>
    <hyperlink ref="BU2152" r:id="rId_hyperlink_2113" tooltip="Download" display="Download"/>
    <hyperlink ref="BU2153" r:id="rId_hyperlink_2114" tooltip="Download" display="Download"/>
    <hyperlink ref="BU2154" r:id="rId_hyperlink_2115" tooltip="Download" display="Download"/>
    <hyperlink ref="BU2155" r:id="rId_hyperlink_2116" tooltip="Download" display="Download"/>
    <hyperlink ref="BU2156" r:id="rId_hyperlink_2117" tooltip="Download" display="Download"/>
    <hyperlink ref="BU2157" r:id="rId_hyperlink_2118" tooltip="Download" display="Download"/>
    <hyperlink ref="BU2158" r:id="rId_hyperlink_2119" tooltip="Download" display="Download"/>
    <hyperlink ref="BU2159" r:id="rId_hyperlink_2120" tooltip="Download" display="Download"/>
    <hyperlink ref="BU2160" r:id="rId_hyperlink_2121" tooltip="Download" display="Download"/>
    <hyperlink ref="BU2161" r:id="rId_hyperlink_2122" tooltip="Download" display="Download"/>
    <hyperlink ref="BU2162" r:id="rId_hyperlink_2123" tooltip="Download" display="Download"/>
    <hyperlink ref="BU2164" r:id="rId_hyperlink_2124" tooltip="Download" display="Download"/>
    <hyperlink ref="BU2165" r:id="rId_hyperlink_2125" tooltip="Download" display="Download"/>
    <hyperlink ref="BU2166" r:id="rId_hyperlink_2126" tooltip="Download" display="Download"/>
    <hyperlink ref="BU2167" r:id="rId_hyperlink_2127" tooltip="Download" display="Download"/>
    <hyperlink ref="BU2168" r:id="rId_hyperlink_2128" tooltip="Download" display="Download"/>
    <hyperlink ref="BU2169" r:id="rId_hyperlink_2129" tooltip="Download" display="Download"/>
    <hyperlink ref="BU2170" r:id="rId_hyperlink_2130" tooltip="Download" display="Download"/>
    <hyperlink ref="BU2171" r:id="rId_hyperlink_2131" tooltip="Download" display="Download"/>
    <hyperlink ref="BU2172" r:id="rId_hyperlink_2132" tooltip="Download" display="Download"/>
    <hyperlink ref="BU2173" r:id="rId_hyperlink_2133" tooltip="Download" display="Download"/>
    <hyperlink ref="BU2174" r:id="rId_hyperlink_2134" tooltip="Download" display="Download"/>
    <hyperlink ref="BU2175" r:id="rId_hyperlink_2135" tooltip="Download" display="Download"/>
    <hyperlink ref="BU2176" r:id="rId_hyperlink_2136" tooltip="Download" display="Download"/>
    <hyperlink ref="BU2177" r:id="rId_hyperlink_2137" tooltip="Download" display="Download"/>
    <hyperlink ref="BU2178" r:id="rId_hyperlink_2138" tooltip="Download" display="Download"/>
    <hyperlink ref="BU2179" r:id="rId_hyperlink_2139" tooltip="Download" display="Download"/>
    <hyperlink ref="BU2180" r:id="rId_hyperlink_2140" tooltip="Download" display="Download"/>
    <hyperlink ref="BU2181" r:id="rId_hyperlink_2141" tooltip="Download" display="Download"/>
    <hyperlink ref="BU2182" r:id="rId_hyperlink_2142" tooltip="Download" display="Download"/>
    <hyperlink ref="BU2183" r:id="rId_hyperlink_2143" tooltip="Download" display="Download"/>
    <hyperlink ref="BU2184" r:id="rId_hyperlink_2144" tooltip="Download" display="Download"/>
    <hyperlink ref="BU2185" r:id="rId_hyperlink_2145" tooltip="Download" display="Download"/>
    <hyperlink ref="BU2186" r:id="rId_hyperlink_2146" tooltip="Download" display="Download"/>
    <hyperlink ref="BU2187" r:id="rId_hyperlink_2147" tooltip="Download" display="Download"/>
    <hyperlink ref="BU2188" r:id="rId_hyperlink_2148" tooltip="Download" display="Download"/>
    <hyperlink ref="BU2189" r:id="rId_hyperlink_2149" tooltip="Download" display="Download"/>
    <hyperlink ref="BU2190" r:id="rId_hyperlink_2150" tooltip="Download" display="Download"/>
    <hyperlink ref="BU2191" r:id="rId_hyperlink_2151" tooltip="Download" display="Download"/>
    <hyperlink ref="BU2192" r:id="rId_hyperlink_2152" tooltip="Download" display="Download"/>
    <hyperlink ref="BU2193" r:id="rId_hyperlink_2153" tooltip="Download" display="Download"/>
    <hyperlink ref="BU2194" r:id="rId_hyperlink_2154" tooltip="Download" display="Download"/>
    <hyperlink ref="BU2195" r:id="rId_hyperlink_2155" tooltip="Download" display="Download"/>
    <hyperlink ref="BU2196" r:id="rId_hyperlink_2156" tooltip="Download" display="Download"/>
    <hyperlink ref="BU2197" r:id="rId_hyperlink_2157" tooltip="Download" display="Download"/>
    <hyperlink ref="BU2198" r:id="rId_hyperlink_2158" tooltip="Download" display="Download"/>
    <hyperlink ref="BU2199" r:id="rId_hyperlink_2159" tooltip="Download" display="Download"/>
    <hyperlink ref="BU2200" r:id="rId_hyperlink_2160" tooltip="Download" display="Download"/>
    <hyperlink ref="BU2201" r:id="rId_hyperlink_2161" tooltip="Download" display="Download"/>
    <hyperlink ref="BU2202" r:id="rId_hyperlink_2162" tooltip="Download" display="Download"/>
    <hyperlink ref="BU2203" r:id="rId_hyperlink_2163" tooltip="Download" display="Download"/>
    <hyperlink ref="BU2204" r:id="rId_hyperlink_2164" tooltip="Download" display="Download"/>
    <hyperlink ref="BU2205" r:id="rId_hyperlink_2165" tooltip="Download" display="Download"/>
    <hyperlink ref="BU2206" r:id="rId_hyperlink_2166" tooltip="Download" display="Download"/>
    <hyperlink ref="BU2207" r:id="rId_hyperlink_2167" tooltip="Download" display="Download"/>
    <hyperlink ref="BU2208" r:id="rId_hyperlink_2168" tooltip="Download" display="Download"/>
    <hyperlink ref="BU2209" r:id="rId_hyperlink_2169" tooltip="Download" display="Download"/>
    <hyperlink ref="BU2210" r:id="rId_hyperlink_2170" tooltip="Download" display="Download"/>
    <hyperlink ref="BU2211" r:id="rId_hyperlink_2171" tooltip="Download" display="Download"/>
    <hyperlink ref="BU2212" r:id="rId_hyperlink_2172" tooltip="Download" display="Download"/>
    <hyperlink ref="BU2213" r:id="rId_hyperlink_2173" tooltip="Download" display="Download"/>
    <hyperlink ref="BU2214" r:id="rId_hyperlink_2174" tooltip="Download" display="Download"/>
    <hyperlink ref="BU2215" r:id="rId_hyperlink_2175" tooltip="Download" display="Download"/>
    <hyperlink ref="BU2216" r:id="rId_hyperlink_2176" tooltip="Download" display="Download"/>
    <hyperlink ref="BU2217" r:id="rId_hyperlink_2177" tooltip="Download" display="Download"/>
    <hyperlink ref="BU2218" r:id="rId_hyperlink_2178" tooltip="Download" display="Download"/>
    <hyperlink ref="BU2219" r:id="rId_hyperlink_2179" tooltip="Download" display="Download"/>
    <hyperlink ref="BU2220" r:id="rId_hyperlink_2180" tooltip="Download" display="Download"/>
    <hyperlink ref="BU2221" r:id="rId_hyperlink_2181" tooltip="Download" display="Download"/>
    <hyperlink ref="BU2222" r:id="rId_hyperlink_2182" tooltip="Download" display="Download"/>
    <hyperlink ref="BU2223" r:id="rId_hyperlink_2183" tooltip="Download" display="Download"/>
    <hyperlink ref="BU2224" r:id="rId_hyperlink_2184" tooltip="Download" display="Download"/>
    <hyperlink ref="BU2225" r:id="rId_hyperlink_2185" tooltip="Download" display="Download"/>
    <hyperlink ref="BU2226" r:id="rId_hyperlink_2186" tooltip="Download" display="Download"/>
    <hyperlink ref="BU2227" r:id="rId_hyperlink_2187" tooltip="Download" display="Download"/>
    <hyperlink ref="BU2228" r:id="rId_hyperlink_2188" tooltip="Download" display="Download"/>
    <hyperlink ref="BU2229" r:id="rId_hyperlink_2189" tooltip="Download" display="Download"/>
    <hyperlink ref="BU2230" r:id="rId_hyperlink_2190" tooltip="Download" display="Download"/>
    <hyperlink ref="BU2231" r:id="rId_hyperlink_2191" tooltip="Download" display="Download"/>
    <hyperlink ref="BU2232" r:id="rId_hyperlink_2192" tooltip="Download" display="Download"/>
    <hyperlink ref="BU2233" r:id="rId_hyperlink_2193" tooltip="Download" display="Download"/>
    <hyperlink ref="BU2234" r:id="rId_hyperlink_2194" tooltip="Download" display="Download"/>
    <hyperlink ref="BU2235" r:id="rId_hyperlink_2195" tooltip="Download" display="Download"/>
    <hyperlink ref="BU2236" r:id="rId_hyperlink_2196" tooltip="Download" display="Download"/>
    <hyperlink ref="BU2237" r:id="rId_hyperlink_2197" tooltip="Download" display="Download"/>
    <hyperlink ref="BU2238" r:id="rId_hyperlink_2198" tooltip="Download" display="Download"/>
    <hyperlink ref="BU2239" r:id="rId_hyperlink_2199" tooltip="Download" display="Download"/>
    <hyperlink ref="BU2240" r:id="rId_hyperlink_2200" tooltip="Download" display="Download"/>
    <hyperlink ref="BU2241" r:id="rId_hyperlink_2201" tooltip="Download" display="Download"/>
    <hyperlink ref="BU2242" r:id="rId_hyperlink_2202" tooltip="Download" display="Download"/>
    <hyperlink ref="BU2243" r:id="rId_hyperlink_2203" tooltip="Download" display="Download"/>
    <hyperlink ref="BU2244" r:id="rId_hyperlink_2204" tooltip="Download" display="Download"/>
    <hyperlink ref="BU2245" r:id="rId_hyperlink_2205" tooltip="Download" display="Download"/>
    <hyperlink ref="BU2246" r:id="rId_hyperlink_2206" tooltip="Download" display="Download"/>
    <hyperlink ref="BU2247" r:id="rId_hyperlink_2207" tooltip="Download" display="Download"/>
    <hyperlink ref="BU2248" r:id="rId_hyperlink_2208" tooltip="Download" display="Download"/>
    <hyperlink ref="BU2249" r:id="rId_hyperlink_2209" tooltip="Download" display="Download"/>
    <hyperlink ref="BU2250" r:id="rId_hyperlink_2210" tooltip="Download" display="Download"/>
    <hyperlink ref="BU2251" r:id="rId_hyperlink_2211" tooltip="Download" display="Download"/>
    <hyperlink ref="BU2252" r:id="rId_hyperlink_2212" tooltip="Download" display="Download"/>
    <hyperlink ref="BU2253" r:id="rId_hyperlink_2213" tooltip="Download" display="Download"/>
    <hyperlink ref="BU2254" r:id="rId_hyperlink_2214" tooltip="Download" display="Download"/>
    <hyperlink ref="BU2255" r:id="rId_hyperlink_2215" tooltip="Download" display="Download"/>
    <hyperlink ref="BU2256" r:id="rId_hyperlink_2216" tooltip="Download" display="Download"/>
    <hyperlink ref="BU2257" r:id="rId_hyperlink_2217" tooltip="Download" display="Download"/>
    <hyperlink ref="BU2258" r:id="rId_hyperlink_2218" tooltip="Download" display="Download"/>
    <hyperlink ref="BU2259" r:id="rId_hyperlink_2219" tooltip="Download" display="Download"/>
    <hyperlink ref="BU2260" r:id="rId_hyperlink_2220" tooltip="Download" display="Download"/>
    <hyperlink ref="BU2261" r:id="rId_hyperlink_2221" tooltip="Download" display="Download"/>
    <hyperlink ref="BU2262" r:id="rId_hyperlink_2222" tooltip="Download" display="Download"/>
    <hyperlink ref="BU2263" r:id="rId_hyperlink_2223" tooltip="Download" display="Download"/>
    <hyperlink ref="BU2264" r:id="rId_hyperlink_2224" tooltip="Download" display="Download"/>
    <hyperlink ref="BU2265" r:id="rId_hyperlink_2225" tooltip="Download" display="Download"/>
    <hyperlink ref="BU2266" r:id="rId_hyperlink_2226" tooltip="Download" display="Download"/>
    <hyperlink ref="BU2267" r:id="rId_hyperlink_2227" tooltip="Download" display="Download"/>
    <hyperlink ref="BU2268" r:id="rId_hyperlink_2228" tooltip="Download" display="Download"/>
    <hyperlink ref="BU2269" r:id="rId_hyperlink_2229" tooltip="Download" display="Download"/>
    <hyperlink ref="BU2270" r:id="rId_hyperlink_2230" tooltip="Download" display="Download"/>
    <hyperlink ref="BU2271" r:id="rId_hyperlink_2231" tooltip="Download" display="Download"/>
    <hyperlink ref="BU2272" r:id="rId_hyperlink_2232" tooltip="Download" display="Download"/>
    <hyperlink ref="BU2273" r:id="rId_hyperlink_2233" tooltip="Download" display="Download"/>
    <hyperlink ref="BU2274" r:id="rId_hyperlink_2234" tooltip="Download" display="Download"/>
    <hyperlink ref="BU2275" r:id="rId_hyperlink_2235" tooltip="Download" display="Download"/>
    <hyperlink ref="BU2276" r:id="rId_hyperlink_2236" tooltip="Download" display="Download"/>
    <hyperlink ref="BU2277" r:id="rId_hyperlink_2237" tooltip="Download" display="Download"/>
    <hyperlink ref="BU2278" r:id="rId_hyperlink_2238" tooltip="Download" display="Download"/>
    <hyperlink ref="BU2279" r:id="rId_hyperlink_2239" tooltip="Download" display="Download"/>
    <hyperlink ref="BU2281" r:id="rId_hyperlink_2240" tooltip="Download" display="Download"/>
    <hyperlink ref="BU2282" r:id="rId_hyperlink_2241" tooltip="Download" display="Download"/>
    <hyperlink ref="BU2283" r:id="rId_hyperlink_2242" tooltip="Download" display="Download"/>
    <hyperlink ref="BU2284" r:id="rId_hyperlink_2243" tooltip="Download" display="Download"/>
    <hyperlink ref="BU2285" r:id="rId_hyperlink_2244" tooltip="Download" display="Download"/>
    <hyperlink ref="BU2287" r:id="rId_hyperlink_2245" tooltip="Download" display="Download"/>
    <hyperlink ref="BU2288" r:id="rId_hyperlink_2246" tooltip="Download" display="Download"/>
    <hyperlink ref="BU2289" r:id="rId_hyperlink_2247" tooltip="Download" display="Download"/>
    <hyperlink ref="BU2290" r:id="rId_hyperlink_2248" tooltip="Download" display="Download"/>
    <hyperlink ref="BU2291" r:id="rId_hyperlink_2249" tooltip="Download" display="Download"/>
    <hyperlink ref="BU2294" r:id="rId_hyperlink_2250" tooltip="Download" display="Download"/>
    <hyperlink ref="BU2295" r:id="rId_hyperlink_2251" tooltip="Download" display="Download"/>
    <hyperlink ref="BU2297" r:id="rId_hyperlink_2252" tooltip="Download" display="Download"/>
    <hyperlink ref="BU2298" r:id="rId_hyperlink_2253" tooltip="Download" display="Download"/>
    <hyperlink ref="BU2299" r:id="rId_hyperlink_2254" tooltip="Download" display="Download"/>
    <hyperlink ref="BU2300" r:id="rId_hyperlink_2255" tooltip="Download" display="Download"/>
    <hyperlink ref="BU2301" r:id="rId_hyperlink_2256" tooltip="Download" display="Download"/>
    <hyperlink ref="BU2302" r:id="rId_hyperlink_2257" tooltip="Download" display="Download"/>
    <hyperlink ref="BU2303" r:id="rId_hyperlink_2258" tooltip="Download" display="Download"/>
    <hyperlink ref="BU2304" r:id="rId_hyperlink_2259" tooltip="Download" display="Download"/>
    <hyperlink ref="BU2305" r:id="rId_hyperlink_2260" tooltip="Download" display="Download"/>
    <hyperlink ref="BU2306" r:id="rId_hyperlink_2261" tooltip="Download" display="Download"/>
    <hyperlink ref="BU2308" r:id="rId_hyperlink_2262" tooltip="Download" display="Download"/>
    <hyperlink ref="BU2310" r:id="rId_hyperlink_2263" tooltip="Download" display="Download"/>
    <hyperlink ref="BU2312" r:id="rId_hyperlink_2264" tooltip="Download" display="Download"/>
    <hyperlink ref="BU2313" r:id="rId_hyperlink_2265" tooltip="Download" display="Download"/>
    <hyperlink ref="BU2314" r:id="rId_hyperlink_2266" tooltip="Download" display="Download"/>
    <hyperlink ref="BU2315" r:id="rId_hyperlink_2267" tooltip="Download" display="Download"/>
    <hyperlink ref="BU2316" r:id="rId_hyperlink_2268" tooltip="Download" display="Download"/>
    <hyperlink ref="BU2317" r:id="rId_hyperlink_2269" tooltip="Download" display="Download"/>
    <hyperlink ref="BU2318" r:id="rId_hyperlink_2270" tooltip="Download" display="Download"/>
    <hyperlink ref="BU2320" r:id="rId_hyperlink_2271" tooltip="Download" display="Download"/>
    <hyperlink ref="BU2321" r:id="rId_hyperlink_2272" tooltip="Download" display="Download"/>
    <hyperlink ref="BU2322" r:id="rId_hyperlink_2273" tooltip="Download" display="Download"/>
    <hyperlink ref="BU2324" r:id="rId_hyperlink_2274" tooltip="Download" display="Download"/>
    <hyperlink ref="BU2326" r:id="rId_hyperlink_2275" tooltip="Download" display="Download"/>
    <hyperlink ref="BU2328" r:id="rId_hyperlink_2276" tooltip="Download" display="Download"/>
    <hyperlink ref="BU2330" r:id="rId_hyperlink_2277" tooltip="Download" display="Download"/>
    <hyperlink ref="BU2333" r:id="rId_hyperlink_2278" tooltip="Download" display="Download"/>
    <hyperlink ref="BU2334" r:id="rId_hyperlink_2279" tooltip="Download" display="Download"/>
    <hyperlink ref="BU2335" r:id="rId_hyperlink_2280" tooltip="Download" display="Download"/>
    <hyperlink ref="BU2336" r:id="rId_hyperlink_2281" tooltip="Download" display="Download"/>
    <hyperlink ref="BU2337" r:id="rId_hyperlink_2282" tooltip="Download" display="Download"/>
    <hyperlink ref="BU2339" r:id="rId_hyperlink_2283" tooltip="Download" display="Download"/>
    <hyperlink ref="BU2340" r:id="rId_hyperlink_2284" tooltip="Download" display="Download"/>
    <hyperlink ref="BU2341" r:id="rId_hyperlink_2285" tooltip="Download" display="Download"/>
    <hyperlink ref="BU2343" r:id="rId_hyperlink_2286" tooltip="Download" display="Download"/>
    <hyperlink ref="BU2344" r:id="rId_hyperlink_2287" tooltip="Download" display="Download"/>
    <hyperlink ref="BU2345" r:id="rId_hyperlink_2288" tooltip="Download" display="Download"/>
    <hyperlink ref="BU2346" r:id="rId_hyperlink_2289" tooltip="Download" display="Download"/>
    <hyperlink ref="BU2348" r:id="rId_hyperlink_2290" tooltip="Download" display="Download"/>
    <hyperlink ref="BU2349" r:id="rId_hyperlink_2291" tooltip="Download" display="Download"/>
    <hyperlink ref="BU2350" r:id="rId_hyperlink_2292" tooltip="Download" display="Download"/>
    <hyperlink ref="BU2357" r:id="rId_hyperlink_2293" tooltip="Download" display="Download"/>
    <hyperlink ref="BU2358" r:id="rId_hyperlink_2294" tooltip="Download" display="Download"/>
    <hyperlink ref="BU2361" r:id="rId_hyperlink_2295" tooltip="Download" display="Download"/>
    <hyperlink ref="BU2502" r:id="rId_hyperlink_2296" tooltip="Download" display="Download"/>
    <hyperlink ref="BU2503" r:id="rId_hyperlink_2297" tooltip="Download" display="Download"/>
    <hyperlink ref="BU2504" r:id="rId_hyperlink_2298" tooltip="Download" display="Download"/>
    <hyperlink ref="BU2505" r:id="rId_hyperlink_2299" tooltip="Download" display="Download"/>
    <hyperlink ref="BU2506" r:id="rId_hyperlink_2300" tooltip="Download" display="Download"/>
    <hyperlink ref="BU2507" r:id="rId_hyperlink_2301" tooltip="Download" display="Download"/>
    <hyperlink ref="BU2508" r:id="rId_hyperlink_2302" tooltip="Download" display="Download"/>
    <hyperlink ref="BU2509" r:id="rId_hyperlink_2303" tooltip="Download" display="Download"/>
    <hyperlink ref="BU2510" r:id="rId_hyperlink_2304" tooltip="Download" display="Download"/>
    <hyperlink ref="BU2511" r:id="rId_hyperlink_2305" tooltip="Download" display="Download"/>
    <hyperlink ref="BU2512" r:id="rId_hyperlink_2306" tooltip="Download" display="Download"/>
    <hyperlink ref="BU2513" r:id="rId_hyperlink_2307" tooltip="Download" display="Download"/>
    <hyperlink ref="BU2514" r:id="rId_hyperlink_2308" tooltip="Download" display="Download"/>
    <hyperlink ref="BU2515" r:id="rId_hyperlink_2309" tooltip="Download" display="Download"/>
    <hyperlink ref="BU2516" r:id="rId_hyperlink_2310" tooltip="Download" display="Download"/>
    <hyperlink ref="BU2517" r:id="rId_hyperlink_2311" tooltip="Download" display="Download"/>
    <hyperlink ref="BU2518" r:id="rId_hyperlink_2312" tooltip="Download" display="Download"/>
    <hyperlink ref="BU2519" r:id="rId_hyperlink_2313" tooltip="Download" display="Download"/>
    <hyperlink ref="BU2520" r:id="rId_hyperlink_2314" tooltip="Download" display="Download"/>
    <hyperlink ref="BU2521" r:id="rId_hyperlink_2315" tooltip="Download" display="Download"/>
    <hyperlink ref="BU2522" r:id="rId_hyperlink_2316" tooltip="Download" display="Download"/>
    <hyperlink ref="BU2523" r:id="rId_hyperlink_2317" tooltip="Download" display="Download"/>
    <hyperlink ref="BU2524" r:id="rId_hyperlink_2318" tooltip="Download" display="Download"/>
    <hyperlink ref="BU2525" r:id="rId_hyperlink_2319" tooltip="Download" display="Download"/>
    <hyperlink ref="BU2526" r:id="rId_hyperlink_2320" tooltip="Download" display="Download"/>
    <hyperlink ref="BU2527" r:id="rId_hyperlink_2321" tooltip="Download" display="Download"/>
    <hyperlink ref="BU2528" r:id="rId_hyperlink_2322" tooltip="Download" display="Download"/>
    <hyperlink ref="BU2529" r:id="rId_hyperlink_2323" tooltip="Download" display="Download"/>
    <hyperlink ref="BU2530" r:id="rId_hyperlink_2324" tooltip="Download" display="Download"/>
    <hyperlink ref="BU2531" r:id="rId_hyperlink_2325" tooltip="Download" display="Download"/>
    <hyperlink ref="BU2532" r:id="rId_hyperlink_2326" tooltip="Download" display="Download"/>
    <hyperlink ref="BU2533" r:id="rId_hyperlink_2327" tooltip="Download" display="Download"/>
    <hyperlink ref="BU2534" r:id="rId_hyperlink_2328" tooltip="Download" display="Download"/>
    <hyperlink ref="BU2535" r:id="rId_hyperlink_2329" tooltip="Download" display="Download"/>
    <hyperlink ref="BU2536" r:id="rId_hyperlink_2330" tooltip="Download" display="Download"/>
    <hyperlink ref="BU2537" r:id="rId_hyperlink_2331" tooltip="Download" display="Download"/>
    <hyperlink ref="BU2538" r:id="rId_hyperlink_2332" tooltip="Download" display="Download"/>
    <hyperlink ref="BU2539" r:id="rId_hyperlink_2333" tooltip="Download" display="Download"/>
    <hyperlink ref="BU2540" r:id="rId_hyperlink_2334" tooltip="Download" display="Download"/>
    <hyperlink ref="BU2541" r:id="rId_hyperlink_2335" tooltip="Download" display="Download"/>
    <hyperlink ref="BU2542" r:id="rId_hyperlink_2336" tooltip="Download" display="Download"/>
    <hyperlink ref="BU2543" r:id="rId_hyperlink_2337" tooltip="Download" display="Download"/>
    <hyperlink ref="BU2544" r:id="rId_hyperlink_2338" tooltip="Download" display="Download"/>
    <hyperlink ref="BU2545" r:id="rId_hyperlink_2339" tooltip="Download" display="Download"/>
    <hyperlink ref="BU2546" r:id="rId_hyperlink_2340" tooltip="Download" display="Download"/>
    <hyperlink ref="BU2547" r:id="rId_hyperlink_2341" tooltip="Download" display="Download"/>
    <hyperlink ref="BU2548" r:id="rId_hyperlink_2342" tooltip="Download" display="Download"/>
    <hyperlink ref="BU2549" r:id="rId_hyperlink_2343" tooltip="Download" display="Download"/>
    <hyperlink ref="BU2550" r:id="rId_hyperlink_2344" tooltip="Download" display="Download"/>
    <hyperlink ref="BU2551" r:id="rId_hyperlink_2345" tooltip="Download" display="Download"/>
    <hyperlink ref="BU2552" r:id="rId_hyperlink_2346" tooltip="Download" display="Download"/>
    <hyperlink ref="BU2553" r:id="rId_hyperlink_2347" tooltip="Download" display="Download"/>
    <hyperlink ref="BU2554" r:id="rId_hyperlink_2348" tooltip="Download" display="Download"/>
    <hyperlink ref="BU2555" r:id="rId_hyperlink_2349" tooltip="Download" display="Download"/>
    <hyperlink ref="BU2556" r:id="rId_hyperlink_2350" tooltip="Download" display="Download"/>
    <hyperlink ref="BU2557" r:id="rId_hyperlink_2351" tooltip="Download" display="Download"/>
    <hyperlink ref="BU2558" r:id="rId_hyperlink_2352" tooltip="Download" display="Download"/>
    <hyperlink ref="BU2559" r:id="rId_hyperlink_2353" tooltip="Download" display="Download"/>
    <hyperlink ref="BU2560" r:id="rId_hyperlink_2354" tooltip="Download" display="Download"/>
    <hyperlink ref="BU2561" r:id="rId_hyperlink_2355" tooltip="Download" display="Download"/>
    <hyperlink ref="BU2562" r:id="rId_hyperlink_2356" tooltip="Download" display="Download"/>
    <hyperlink ref="BU2563" r:id="rId_hyperlink_2357" tooltip="Download" display="Download"/>
    <hyperlink ref="BU2564" r:id="rId_hyperlink_2358" tooltip="Download" display="Download"/>
    <hyperlink ref="BU2565" r:id="rId_hyperlink_2359" tooltip="Download" display="Download"/>
    <hyperlink ref="BU2566" r:id="rId_hyperlink_2360" tooltip="Download" display="Download"/>
    <hyperlink ref="BU2567" r:id="rId_hyperlink_2361" tooltip="Download" display="Download"/>
    <hyperlink ref="BU2568" r:id="rId_hyperlink_2362" tooltip="Download" display="Download"/>
    <hyperlink ref="BU2569" r:id="rId_hyperlink_2363" tooltip="Download" display="Download"/>
    <hyperlink ref="BU2570" r:id="rId_hyperlink_2364" tooltip="Download" display="Download"/>
    <hyperlink ref="BU2571" r:id="rId_hyperlink_2365" tooltip="Download" display="Download"/>
    <hyperlink ref="BU2572" r:id="rId_hyperlink_2366" tooltip="Download" display="Download"/>
    <hyperlink ref="BU2573" r:id="rId_hyperlink_2367" tooltip="Download" display="Download"/>
    <hyperlink ref="BU2574" r:id="rId_hyperlink_2368" tooltip="Download" display="Download"/>
    <hyperlink ref="BU2575" r:id="rId_hyperlink_2369" tooltip="Download" display="Download"/>
    <hyperlink ref="BU2576" r:id="rId_hyperlink_2370" tooltip="Download" display="Download"/>
    <hyperlink ref="BU2577" r:id="rId_hyperlink_2371" tooltip="Download" display="Download"/>
    <hyperlink ref="BU2578" r:id="rId_hyperlink_2372" tooltip="Download" display="Download"/>
    <hyperlink ref="BU2579" r:id="rId_hyperlink_2373" tooltip="Download" display="Download"/>
    <hyperlink ref="BU2580" r:id="rId_hyperlink_2374" tooltip="Download" display="Download"/>
    <hyperlink ref="BU2581" r:id="rId_hyperlink_2375" tooltip="Download" display="Download"/>
    <hyperlink ref="BU2582" r:id="rId_hyperlink_2376" tooltip="Download" display="Download"/>
    <hyperlink ref="BU2583" r:id="rId_hyperlink_2377" tooltip="Download" display="Download"/>
    <hyperlink ref="BU2584" r:id="rId_hyperlink_2378" tooltip="Download" display="Download"/>
    <hyperlink ref="BU2585" r:id="rId_hyperlink_2379" tooltip="Download" display="Download"/>
    <hyperlink ref="BU2586" r:id="rId_hyperlink_2380" tooltip="Download" display="Download"/>
    <hyperlink ref="BU2587" r:id="rId_hyperlink_2381" tooltip="Download" display="Download"/>
    <hyperlink ref="BU2588" r:id="rId_hyperlink_2382" tooltip="Download" display="Download"/>
    <hyperlink ref="BU2589" r:id="rId_hyperlink_2383" tooltip="Download" display="Download"/>
    <hyperlink ref="BU2590" r:id="rId_hyperlink_2384" tooltip="Download" display="Download"/>
    <hyperlink ref="BU2591" r:id="rId_hyperlink_2385" tooltip="Download" display="Download"/>
    <hyperlink ref="BU2592" r:id="rId_hyperlink_2386" tooltip="Download" display="Download"/>
    <hyperlink ref="BU2593" r:id="rId_hyperlink_2387" tooltip="Download" display="Download"/>
    <hyperlink ref="BU2594" r:id="rId_hyperlink_2388" tooltip="Download" display="Download"/>
    <hyperlink ref="BU2595" r:id="rId_hyperlink_2389" tooltip="Download" display="Download"/>
    <hyperlink ref="BU2596" r:id="rId_hyperlink_2390" tooltip="Download" display="Download"/>
    <hyperlink ref="BU2597" r:id="rId_hyperlink_2391" tooltip="Download" display="Download"/>
    <hyperlink ref="BU2598" r:id="rId_hyperlink_2392" tooltip="Download" display="Download"/>
    <hyperlink ref="BU2599" r:id="rId_hyperlink_2393" tooltip="Download" display="Download"/>
    <hyperlink ref="BU2600" r:id="rId_hyperlink_2394" tooltip="Download" display="Download"/>
    <hyperlink ref="BU2601" r:id="rId_hyperlink_2395" tooltip="Download" display="Download"/>
    <hyperlink ref="BU2602" r:id="rId_hyperlink_2396" tooltip="Download" display="Download"/>
    <hyperlink ref="BU2603" r:id="rId_hyperlink_2397" tooltip="Download" display="Download"/>
    <hyperlink ref="BU2604" r:id="rId_hyperlink_2398" tooltip="Download" display="Download"/>
    <hyperlink ref="BU2605" r:id="rId_hyperlink_2399" tooltip="Download" display="Download"/>
    <hyperlink ref="BU2606" r:id="rId_hyperlink_2400" tooltip="Download" display="Download"/>
    <hyperlink ref="BU2607" r:id="rId_hyperlink_2401" tooltip="Download" display="Download"/>
    <hyperlink ref="BU2608" r:id="rId_hyperlink_2402" tooltip="Download" display="Download"/>
    <hyperlink ref="BU2609" r:id="rId_hyperlink_2403" tooltip="Download" display="Download"/>
    <hyperlink ref="BU2610" r:id="rId_hyperlink_2404" tooltip="Download" display="Download"/>
    <hyperlink ref="BU2611" r:id="rId_hyperlink_2405" tooltip="Download" display="Download"/>
    <hyperlink ref="BU2612" r:id="rId_hyperlink_2406" tooltip="Download" display="Download"/>
    <hyperlink ref="BU2613" r:id="rId_hyperlink_2407" tooltip="Download" display="Download"/>
    <hyperlink ref="BU2614" r:id="rId_hyperlink_2408" tooltip="Download" display="Download"/>
    <hyperlink ref="BU2615" r:id="rId_hyperlink_2409" tooltip="Download" display="Download"/>
    <hyperlink ref="BU2616" r:id="rId_hyperlink_2410" tooltip="Download" display="Download"/>
    <hyperlink ref="BU2617" r:id="rId_hyperlink_2411" tooltip="Download" display="Download"/>
    <hyperlink ref="BU2618" r:id="rId_hyperlink_2412" tooltip="Download" display="Download"/>
    <hyperlink ref="BU2619" r:id="rId_hyperlink_2413" tooltip="Download" display="Download"/>
    <hyperlink ref="BU2620" r:id="rId_hyperlink_2414" tooltip="Download" display="Download"/>
    <hyperlink ref="BU2621" r:id="rId_hyperlink_2415" tooltip="Download" display="Download"/>
    <hyperlink ref="BU2622" r:id="rId_hyperlink_2416" tooltip="Download" display="Download"/>
    <hyperlink ref="BU2623" r:id="rId_hyperlink_2417" tooltip="Download" display="Download"/>
    <hyperlink ref="BU2624" r:id="rId_hyperlink_2418" tooltip="Download" display="Download"/>
    <hyperlink ref="BU2625" r:id="rId_hyperlink_2419" tooltip="Download" display="Download"/>
    <hyperlink ref="BU2626" r:id="rId_hyperlink_2420" tooltip="Download" display="Download"/>
    <hyperlink ref="BU2627" r:id="rId_hyperlink_2421" tooltip="Download" display="Download"/>
    <hyperlink ref="BU2628" r:id="rId_hyperlink_2422" tooltip="Download" display="Download"/>
    <hyperlink ref="BU2629" r:id="rId_hyperlink_2423" tooltip="Download" display="Download"/>
    <hyperlink ref="BU2630" r:id="rId_hyperlink_2424" tooltip="Download" display="Download"/>
    <hyperlink ref="BU2631" r:id="rId_hyperlink_2425" tooltip="Download" display="Download"/>
    <hyperlink ref="BU2632" r:id="rId_hyperlink_2426" tooltip="Download" display="Download"/>
    <hyperlink ref="BU2633" r:id="rId_hyperlink_2427" tooltip="Download" display="Download"/>
    <hyperlink ref="BU2634" r:id="rId_hyperlink_2428" tooltip="Download" display="Download"/>
    <hyperlink ref="BU2635" r:id="rId_hyperlink_2429" tooltip="Download" display="Download"/>
    <hyperlink ref="BU2636" r:id="rId_hyperlink_2430" tooltip="Download" display="Download"/>
    <hyperlink ref="BU2637" r:id="rId_hyperlink_2431" tooltip="Download" display="Download"/>
    <hyperlink ref="BU2638" r:id="rId_hyperlink_2432" tooltip="Download" display="Download"/>
    <hyperlink ref="BU2639" r:id="rId_hyperlink_2433" tooltip="Download" display="Download"/>
    <hyperlink ref="BU2640" r:id="rId_hyperlink_2434" tooltip="Download" display="Download"/>
    <hyperlink ref="BU2641" r:id="rId_hyperlink_2435" tooltip="Download" display="Download"/>
    <hyperlink ref="BU2642" r:id="rId_hyperlink_2436" tooltip="Download" display="Download"/>
    <hyperlink ref="BU2643" r:id="rId_hyperlink_2437" tooltip="Download" display="Download"/>
    <hyperlink ref="BU2644" r:id="rId_hyperlink_2438" tooltip="Download" display="Download"/>
    <hyperlink ref="BU2645" r:id="rId_hyperlink_2439" tooltip="Download" display="Download"/>
    <hyperlink ref="BU2646" r:id="rId_hyperlink_2440" tooltip="Download" display="Download"/>
    <hyperlink ref="BU2647" r:id="rId_hyperlink_2441" tooltip="Download" display="Download"/>
    <hyperlink ref="BU2648" r:id="rId_hyperlink_2442" tooltip="Download" display="Download"/>
    <hyperlink ref="BU2649" r:id="rId_hyperlink_2443" tooltip="Download" display="Download"/>
    <hyperlink ref="BU2650" r:id="rId_hyperlink_2444" tooltip="Download" display="Download"/>
    <hyperlink ref="BU2651" r:id="rId_hyperlink_2445" tooltip="Download" display="Download"/>
    <hyperlink ref="BU2652" r:id="rId_hyperlink_2446" tooltip="Download" display="Download"/>
    <hyperlink ref="BU2653" r:id="rId_hyperlink_2447" tooltip="Download" display="Download"/>
    <hyperlink ref="BU2654" r:id="rId_hyperlink_2448" tooltip="Download" display="Download"/>
    <hyperlink ref="BU2655" r:id="rId_hyperlink_2449" tooltip="Download" display="Download"/>
    <hyperlink ref="BU2656" r:id="rId_hyperlink_2450" tooltip="Download" display="Download"/>
    <hyperlink ref="BU2657" r:id="rId_hyperlink_2451" tooltip="Download" display="Download"/>
    <hyperlink ref="BU2658" r:id="rId_hyperlink_2452" tooltip="Download" display="Download"/>
    <hyperlink ref="BU2659" r:id="rId_hyperlink_2453" tooltip="Download" display="Download"/>
    <hyperlink ref="BU2660" r:id="rId_hyperlink_2454" tooltip="Download" display="Download"/>
    <hyperlink ref="BU2661" r:id="rId_hyperlink_2455" tooltip="Download" display="Download"/>
    <hyperlink ref="BU2662" r:id="rId_hyperlink_2456" tooltip="Download" display="Download"/>
    <hyperlink ref="BU2663" r:id="rId_hyperlink_2457" tooltip="Download" display="Download"/>
    <hyperlink ref="BU2664" r:id="rId_hyperlink_2458" tooltip="Download" display="Download"/>
    <hyperlink ref="BU2665" r:id="rId_hyperlink_2459" tooltip="Download" display="Download"/>
    <hyperlink ref="BU2666" r:id="rId_hyperlink_2460" tooltip="Download" display="Download"/>
    <hyperlink ref="BU2667" r:id="rId_hyperlink_2461" tooltip="Download" display="Download"/>
    <hyperlink ref="BU2668" r:id="rId_hyperlink_2462" tooltip="Download" display="Download"/>
    <hyperlink ref="BU2669" r:id="rId_hyperlink_2463" tooltip="Download" display="Download"/>
    <hyperlink ref="BU2670" r:id="rId_hyperlink_2464" tooltip="Download" display="Download"/>
    <hyperlink ref="BU2671" r:id="rId_hyperlink_2465" tooltip="Download" display="Download"/>
    <hyperlink ref="BU2672" r:id="rId_hyperlink_2466" tooltip="Download" display="Download"/>
    <hyperlink ref="BU2673" r:id="rId_hyperlink_2467" tooltip="Download" display="Download"/>
    <hyperlink ref="BU2674" r:id="rId_hyperlink_2468" tooltip="Download" display="Download"/>
    <hyperlink ref="BU2675" r:id="rId_hyperlink_2469" tooltip="Download" display="Download"/>
    <hyperlink ref="BU2676" r:id="rId_hyperlink_2470" tooltip="Download" display="Download"/>
    <hyperlink ref="BU2677" r:id="rId_hyperlink_2471" tooltip="Download" display="Download"/>
    <hyperlink ref="BU2678" r:id="rId_hyperlink_2472" tooltip="Download" display="Download"/>
    <hyperlink ref="BU2679" r:id="rId_hyperlink_2473" tooltip="Download" display="Download"/>
    <hyperlink ref="BU2680" r:id="rId_hyperlink_2474" tooltip="Download" display="Download"/>
    <hyperlink ref="BU2681" r:id="rId_hyperlink_2475" tooltip="Download" display="Download"/>
    <hyperlink ref="BU2682" r:id="rId_hyperlink_2476" tooltip="Download" display="Download"/>
    <hyperlink ref="BU2683" r:id="rId_hyperlink_2477" tooltip="Download" display="Download"/>
    <hyperlink ref="BU2684" r:id="rId_hyperlink_2478" tooltip="Download" display="Download"/>
    <hyperlink ref="BU2685" r:id="rId_hyperlink_2479" tooltip="Download" display="Download"/>
    <hyperlink ref="BU2686" r:id="rId_hyperlink_2480" tooltip="Download" display="Download"/>
    <hyperlink ref="BU2687" r:id="rId_hyperlink_2481" tooltip="Download" display="Download"/>
    <hyperlink ref="BU2688" r:id="rId_hyperlink_2482" tooltip="Download" display="Download"/>
    <hyperlink ref="BU2689" r:id="rId_hyperlink_2483" tooltip="Download" display="Download"/>
    <hyperlink ref="BU2690" r:id="rId_hyperlink_2484" tooltip="Download" display="Download"/>
    <hyperlink ref="BU2691" r:id="rId_hyperlink_2485" tooltip="Download" display="Download"/>
    <hyperlink ref="BU2692" r:id="rId_hyperlink_2486" tooltip="Download" display="Download"/>
    <hyperlink ref="BU2693" r:id="rId_hyperlink_2487" tooltip="Download" display="Download"/>
    <hyperlink ref="BU2694" r:id="rId_hyperlink_2488" tooltip="Download" display="Download"/>
    <hyperlink ref="BU2695" r:id="rId_hyperlink_2489" tooltip="Download" display="Download"/>
    <hyperlink ref="BU2696" r:id="rId_hyperlink_2490" tooltip="Download" display="Download"/>
    <hyperlink ref="BU2697" r:id="rId_hyperlink_2491" tooltip="Download" display="Download"/>
    <hyperlink ref="BU2698" r:id="rId_hyperlink_2492" tooltip="Download" display="Download"/>
    <hyperlink ref="BU2699" r:id="rId_hyperlink_2493" tooltip="Download" display="Download"/>
    <hyperlink ref="BU2700" r:id="rId_hyperlink_2494" tooltip="Download" display="Download"/>
    <hyperlink ref="BU2701" r:id="rId_hyperlink_2495" tooltip="Download" display="Download"/>
    <hyperlink ref="BU2702" r:id="rId_hyperlink_2496" tooltip="Download" display="Download"/>
    <hyperlink ref="BU2703" r:id="rId_hyperlink_2497" tooltip="Download" display="Download"/>
    <hyperlink ref="BU2704" r:id="rId_hyperlink_2498" tooltip="Download" display="Download"/>
    <hyperlink ref="BU2705" r:id="rId_hyperlink_2499" tooltip="Download" display="Download"/>
    <hyperlink ref="BU2706" r:id="rId_hyperlink_2500" tooltip="Download" display="Download"/>
    <hyperlink ref="BU2707" r:id="rId_hyperlink_2501" tooltip="Download" display="Download"/>
    <hyperlink ref="BU2708" r:id="rId_hyperlink_2502" tooltip="Download" display="Download"/>
    <hyperlink ref="BU2709" r:id="rId_hyperlink_2503" tooltip="Download" display="Download"/>
    <hyperlink ref="BU2710" r:id="rId_hyperlink_2504" tooltip="Download" display="Download"/>
    <hyperlink ref="BU2711" r:id="rId_hyperlink_2505" tooltip="Download" display="Download"/>
    <hyperlink ref="BU2712" r:id="rId_hyperlink_2506" tooltip="Download" display="Download"/>
    <hyperlink ref="BU2714" r:id="rId_hyperlink_2507" tooltip="Download" display="Download"/>
    <hyperlink ref="BU2715" r:id="rId_hyperlink_2508" tooltip="Download" display="Download"/>
    <hyperlink ref="BU2716" r:id="rId_hyperlink_2509" tooltip="Download" display="Download"/>
    <hyperlink ref="BU2717" r:id="rId_hyperlink_2510" tooltip="Download" display="Download"/>
    <hyperlink ref="BU2718" r:id="rId_hyperlink_2511" tooltip="Download" display="Download"/>
    <hyperlink ref="BU2719" r:id="rId_hyperlink_2512" tooltip="Download" display="Download"/>
    <hyperlink ref="BU2720" r:id="rId_hyperlink_2513" tooltip="Download" display="Download"/>
    <hyperlink ref="BU2721" r:id="rId_hyperlink_2514" tooltip="Download" display="Download"/>
    <hyperlink ref="BU2722" r:id="rId_hyperlink_2515" tooltip="Download" display="Download"/>
    <hyperlink ref="BU2723" r:id="rId_hyperlink_2516" tooltip="Download" display="Download"/>
    <hyperlink ref="BU2724" r:id="rId_hyperlink_2517" tooltip="Download" display="Download"/>
    <hyperlink ref="BU2725" r:id="rId_hyperlink_2518" tooltip="Download" display="Download"/>
    <hyperlink ref="BU2726" r:id="rId_hyperlink_2519" tooltip="Download" display="Download"/>
    <hyperlink ref="BU2727" r:id="rId_hyperlink_2520" tooltip="Download" display="Download"/>
    <hyperlink ref="BU2728" r:id="rId_hyperlink_2521" tooltip="Download" display="Download"/>
    <hyperlink ref="BU2729" r:id="rId_hyperlink_2522" tooltip="Download" display="Download"/>
    <hyperlink ref="BU2730" r:id="rId_hyperlink_2523" tooltip="Download" display="Download"/>
    <hyperlink ref="BU2731" r:id="rId_hyperlink_2524" tooltip="Download" display="Download"/>
    <hyperlink ref="BU2732" r:id="rId_hyperlink_2525" tooltip="Download" display="Download"/>
    <hyperlink ref="BU2733" r:id="rId_hyperlink_2526" tooltip="Download" display="Download"/>
    <hyperlink ref="BU2734" r:id="rId_hyperlink_2527" tooltip="Download" display="Download"/>
    <hyperlink ref="BU2735" r:id="rId_hyperlink_2528" tooltip="Download" display="Download"/>
    <hyperlink ref="BU2736" r:id="rId_hyperlink_2529" tooltip="Download" display="Download"/>
    <hyperlink ref="BU2737" r:id="rId_hyperlink_2530" tooltip="Download" display="Download"/>
    <hyperlink ref="BU2738" r:id="rId_hyperlink_2531" tooltip="Download" display="Download"/>
    <hyperlink ref="BU2739" r:id="rId_hyperlink_2532" tooltip="Download" display="Download"/>
    <hyperlink ref="BU2740" r:id="rId_hyperlink_2533" tooltip="Download" display="Download"/>
    <hyperlink ref="BU2741" r:id="rId_hyperlink_2534" tooltip="Download" display="Download"/>
    <hyperlink ref="BU2742" r:id="rId_hyperlink_2535" tooltip="Download" display="Download"/>
    <hyperlink ref="BU2743" r:id="rId_hyperlink_2536" tooltip="Download" display="Download"/>
    <hyperlink ref="BU2744" r:id="rId_hyperlink_2537" tooltip="Download" display="Download"/>
    <hyperlink ref="BU2745" r:id="rId_hyperlink_2538" tooltip="Download" display="Download"/>
    <hyperlink ref="BU2746" r:id="rId_hyperlink_2539" tooltip="Download" display="Download"/>
    <hyperlink ref="BU2747" r:id="rId_hyperlink_2540" tooltip="Download" display="Download"/>
    <hyperlink ref="BU2748" r:id="rId_hyperlink_2541" tooltip="Download" display="Download"/>
    <hyperlink ref="BU2749" r:id="rId_hyperlink_2542" tooltip="Download" display="Download"/>
    <hyperlink ref="BU2750" r:id="rId_hyperlink_2543" tooltip="Download" display="Download"/>
    <hyperlink ref="BU2751" r:id="rId_hyperlink_2544" tooltip="Download" display="Download"/>
    <hyperlink ref="BU2752" r:id="rId_hyperlink_2545" tooltip="Download" display="Download"/>
    <hyperlink ref="BU2753" r:id="rId_hyperlink_2546" tooltip="Download" display="Download"/>
    <hyperlink ref="BU2754" r:id="rId_hyperlink_2547" tooltip="Download" display="Download"/>
    <hyperlink ref="BU2755" r:id="rId_hyperlink_2548" tooltip="Download" display="Download"/>
    <hyperlink ref="BU2756" r:id="rId_hyperlink_2549" tooltip="Download" display="Download"/>
    <hyperlink ref="BU2757" r:id="rId_hyperlink_2550" tooltip="Download" display="Download"/>
    <hyperlink ref="BU2758" r:id="rId_hyperlink_2551" tooltip="Download" display="Download"/>
    <hyperlink ref="BU2759" r:id="rId_hyperlink_2552" tooltip="Download" display="Download"/>
    <hyperlink ref="BU2760" r:id="rId_hyperlink_2553" tooltip="Download" display="Download"/>
    <hyperlink ref="BU2761" r:id="rId_hyperlink_2554" tooltip="Download" display="Download"/>
    <hyperlink ref="BU2762" r:id="rId_hyperlink_2555" tooltip="Download" display="Download"/>
    <hyperlink ref="BU2763" r:id="rId_hyperlink_2556" tooltip="Download" display="Download"/>
    <hyperlink ref="BU2764" r:id="rId_hyperlink_2557" tooltip="Download" display="Download"/>
    <hyperlink ref="BU2765" r:id="rId_hyperlink_2558" tooltip="Download" display="Download"/>
    <hyperlink ref="BU2766" r:id="rId_hyperlink_2559" tooltip="Download" display="Download"/>
    <hyperlink ref="BU2767" r:id="rId_hyperlink_2560" tooltip="Download" display="Download"/>
    <hyperlink ref="BU2768" r:id="rId_hyperlink_2561" tooltip="Download" display="Download"/>
    <hyperlink ref="BU2769" r:id="rId_hyperlink_2562" tooltip="Download" display="Download"/>
    <hyperlink ref="BU2770" r:id="rId_hyperlink_2563" tooltip="Download" display="Download"/>
    <hyperlink ref="BU2771" r:id="rId_hyperlink_2564" tooltip="Download" display="Download"/>
    <hyperlink ref="BU2772" r:id="rId_hyperlink_2565" tooltip="Download" display="Download"/>
    <hyperlink ref="BU2773" r:id="rId_hyperlink_2566" tooltip="Download" display="Download"/>
    <hyperlink ref="BU2774" r:id="rId_hyperlink_2567" tooltip="Download" display="Download"/>
    <hyperlink ref="BU2775" r:id="rId_hyperlink_2568" tooltip="Download" display="Download"/>
    <hyperlink ref="BU2776" r:id="rId_hyperlink_2569" tooltip="Download" display="Download"/>
    <hyperlink ref="BU2777" r:id="rId_hyperlink_2570" tooltip="Download" display="Download"/>
    <hyperlink ref="BU2778" r:id="rId_hyperlink_2571" tooltip="Download" display="Download"/>
    <hyperlink ref="BU2779" r:id="rId_hyperlink_2572" tooltip="Download" display="Download"/>
    <hyperlink ref="BU2780" r:id="rId_hyperlink_2573" tooltip="Download" display="Download"/>
    <hyperlink ref="BU2781" r:id="rId_hyperlink_2574" tooltip="Download" display="Download"/>
    <hyperlink ref="BU2782" r:id="rId_hyperlink_2575" tooltip="Download" display="Download"/>
    <hyperlink ref="BU2783" r:id="rId_hyperlink_2576" tooltip="Download" display="Download"/>
    <hyperlink ref="BU2784" r:id="rId_hyperlink_2577" tooltip="Download" display="Download"/>
    <hyperlink ref="BU2785" r:id="rId_hyperlink_2578" tooltip="Download" display="Download"/>
    <hyperlink ref="BU2786" r:id="rId_hyperlink_2579" tooltip="Download" display="Download"/>
    <hyperlink ref="BU2787" r:id="rId_hyperlink_2580" tooltip="Download" display="Download"/>
    <hyperlink ref="BU2788" r:id="rId_hyperlink_2581" tooltip="Download" display="Download"/>
    <hyperlink ref="BU2789" r:id="rId_hyperlink_2582" tooltip="Download" display="Download"/>
    <hyperlink ref="BU2790" r:id="rId_hyperlink_2583" tooltip="Download" display="Download"/>
    <hyperlink ref="BU2791" r:id="rId_hyperlink_2584" tooltip="Download" display="Download"/>
    <hyperlink ref="BU2792" r:id="rId_hyperlink_2585" tooltip="Download" display="Download"/>
    <hyperlink ref="BU2793" r:id="rId_hyperlink_2586" tooltip="Download" display="Download"/>
    <hyperlink ref="BU2794" r:id="rId_hyperlink_2587" tooltip="Download" display="Download"/>
    <hyperlink ref="BU2795" r:id="rId_hyperlink_2588" tooltip="Download" display="Download"/>
    <hyperlink ref="BU2796" r:id="rId_hyperlink_2589" tooltip="Download" display="Download"/>
    <hyperlink ref="BU2797" r:id="rId_hyperlink_2590" tooltip="Download" display="Download"/>
    <hyperlink ref="BU2798" r:id="rId_hyperlink_2591" tooltip="Download" display="Download"/>
    <hyperlink ref="BU2799" r:id="rId_hyperlink_2592" tooltip="Download" display="Download"/>
    <hyperlink ref="BU2800" r:id="rId_hyperlink_2593" tooltip="Download" display="Download"/>
    <hyperlink ref="BU2801" r:id="rId_hyperlink_2594" tooltip="Download" display="Download"/>
    <hyperlink ref="BU2802" r:id="rId_hyperlink_2595" tooltip="Download" display="Download"/>
    <hyperlink ref="BU2803" r:id="rId_hyperlink_2596" tooltip="Download" display="Download"/>
    <hyperlink ref="BU2804" r:id="rId_hyperlink_2597" tooltip="Download" display="Download"/>
    <hyperlink ref="BU2805" r:id="rId_hyperlink_2598" tooltip="Download" display="Download"/>
    <hyperlink ref="BU2806" r:id="rId_hyperlink_2599" tooltip="Download" display="Download"/>
    <hyperlink ref="BU2807" r:id="rId_hyperlink_2600" tooltip="Download" display="Download"/>
    <hyperlink ref="BU2808" r:id="rId_hyperlink_2601" tooltip="Download" display="Download"/>
    <hyperlink ref="BU2809" r:id="rId_hyperlink_2602" tooltip="Download" display="Download"/>
    <hyperlink ref="BU2810" r:id="rId_hyperlink_2603" tooltip="Download" display="Download"/>
    <hyperlink ref="BU2811" r:id="rId_hyperlink_2604" tooltip="Download" display="Download"/>
    <hyperlink ref="BU2812" r:id="rId_hyperlink_2605" tooltip="Download" display="Download"/>
    <hyperlink ref="BU2814" r:id="rId_hyperlink_2606" tooltip="Download" display="Download"/>
    <hyperlink ref="BU2815" r:id="rId_hyperlink_2607" tooltip="Download" display="Download"/>
    <hyperlink ref="BU2816" r:id="rId_hyperlink_2608" tooltip="Download" display="Download"/>
    <hyperlink ref="BU2818" r:id="rId_hyperlink_2609" tooltip="Download" display="Download"/>
    <hyperlink ref="BU2819" r:id="rId_hyperlink_2610" tooltip="Download" display="Download"/>
    <hyperlink ref="BU2820" r:id="rId_hyperlink_2611" tooltip="Download" display="Download"/>
    <hyperlink ref="BU2821" r:id="rId_hyperlink_2612" tooltip="Download" display="Download"/>
    <hyperlink ref="BU2822" r:id="rId_hyperlink_2613" tooltip="Download" display="Download"/>
    <hyperlink ref="BU2823" r:id="rId_hyperlink_2614" tooltip="Download" display="Download"/>
    <hyperlink ref="BU2825" r:id="rId_hyperlink_2615" tooltip="Download" display="Download"/>
    <hyperlink ref="BU2826" r:id="rId_hyperlink_2616" tooltip="Download" display="Download"/>
    <hyperlink ref="BU2827" r:id="rId_hyperlink_2617" tooltip="Download" display="Download"/>
    <hyperlink ref="BU2828" r:id="rId_hyperlink_2618" tooltip="Download" display="Download"/>
    <hyperlink ref="BU2829" r:id="rId_hyperlink_2619" tooltip="Download" display="Download"/>
    <hyperlink ref="BU2830" r:id="rId_hyperlink_2620" tooltip="Download" display="Download"/>
    <hyperlink ref="BU2831" r:id="rId_hyperlink_2621" tooltip="Download" display="Download"/>
    <hyperlink ref="BU2832" r:id="rId_hyperlink_2622" tooltip="Download" display="Download"/>
    <hyperlink ref="BU2833" r:id="rId_hyperlink_2623" tooltip="Download" display="Download"/>
    <hyperlink ref="BU2834" r:id="rId_hyperlink_2624" tooltip="Download" display="Download"/>
    <hyperlink ref="BU2835" r:id="rId_hyperlink_2625" tooltip="Download" display="Download"/>
    <hyperlink ref="BU2836" r:id="rId_hyperlink_2626" tooltip="Download" display="Download"/>
    <hyperlink ref="BU2837" r:id="rId_hyperlink_2627" tooltip="Download" display="Download"/>
    <hyperlink ref="BU2838" r:id="rId_hyperlink_2628" tooltip="Download" display="Download"/>
    <hyperlink ref="BU2840" r:id="rId_hyperlink_2629" tooltip="Download" display="Download"/>
    <hyperlink ref="BU2841" r:id="rId_hyperlink_2630" tooltip="Download" display="Download"/>
    <hyperlink ref="BU2842" r:id="rId_hyperlink_2631" tooltip="Download" display="Download"/>
    <hyperlink ref="BU2843" r:id="rId_hyperlink_2632" tooltip="Download" display="Download"/>
    <hyperlink ref="BU2845" r:id="rId_hyperlink_2633" tooltip="Download" display="Download"/>
    <hyperlink ref="BU2846" r:id="rId_hyperlink_2634" tooltip="Download" display="Download"/>
    <hyperlink ref="BU2847" r:id="rId_hyperlink_2635" tooltip="Download" display="Download"/>
    <hyperlink ref="BU2849" r:id="rId_hyperlink_2636" tooltip="Download" display="Download"/>
    <hyperlink ref="BU2850" r:id="rId_hyperlink_2637" tooltip="Download" display="Download"/>
    <hyperlink ref="BU2851" r:id="rId_hyperlink_2638" tooltip="Download" display="Download"/>
    <hyperlink ref="BU2852" r:id="rId_hyperlink_2639" tooltip="Download" display="Download"/>
    <hyperlink ref="BU2853" r:id="rId_hyperlink_2640" tooltip="Download" display="Download"/>
    <hyperlink ref="BU2854" r:id="rId_hyperlink_2641" tooltip="Download" display="Download"/>
    <hyperlink ref="BU2855" r:id="rId_hyperlink_2642" tooltip="Download" display="Download"/>
    <hyperlink ref="BU2856" r:id="rId_hyperlink_2643" tooltip="Download" display="Download"/>
    <hyperlink ref="BU2857" r:id="rId_hyperlink_2644" tooltip="Download" display="Download"/>
    <hyperlink ref="BU2858" r:id="rId_hyperlink_2645" tooltip="Download" display="Download"/>
    <hyperlink ref="BU2859" r:id="rId_hyperlink_2646" tooltip="Download" display="Download"/>
    <hyperlink ref="BU2860" r:id="rId_hyperlink_2647" tooltip="Download" display="Download"/>
    <hyperlink ref="BU2861" r:id="rId_hyperlink_2648" tooltip="Download" display="Download"/>
    <hyperlink ref="BU2862" r:id="rId_hyperlink_2649" tooltip="Download" display="Download"/>
    <hyperlink ref="BU2863" r:id="rId_hyperlink_2650" tooltip="Download" display="Download"/>
    <hyperlink ref="BU2864" r:id="rId_hyperlink_2651" tooltip="Download" display="Download"/>
    <hyperlink ref="BU2865" r:id="rId_hyperlink_2652" tooltip="Download" display="Download"/>
    <hyperlink ref="BU2867" r:id="rId_hyperlink_2653" tooltip="Download" display="Download"/>
    <hyperlink ref="BU2869" r:id="rId_hyperlink_2654" tooltip="Download" display="Download"/>
    <hyperlink ref="BU2870" r:id="rId_hyperlink_2655" tooltip="Download" display="Download"/>
    <hyperlink ref="BU2871" r:id="rId_hyperlink_2656" tooltip="Download" display="Download"/>
    <hyperlink ref="BU2872" r:id="rId_hyperlink_2657" tooltip="Download" display="Download"/>
    <hyperlink ref="BU2873" r:id="rId_hyperlink_2658" tooltip="Download" display="Download"/>
    <hyperlink ref="BU2874" r:id="rId_hyperlink_2659" tooltip="Download" display="Download"/>
    <hyperlink ref="BU2875" r:id="rId_hyperlink_2660" tooltip="Download" display="Download"/>
    <hyperlink ref="BU2876" r:id="rId_hyperlink_2661" tooltip="Download" display="Download"/>
    <hyperlink ref="BU2877" r:id="rId_hyperlink_2662" tooltip="Download" display="Download"/>
    <hyperlink ref="BU2878" r:id="rId_hyperlink_2663" tooltip="Download" display="Download"/>
    <hyperlink ref="BU2879" r:id="rId_hyperlink_2664" tooltip="Download" display="Download"/>
    <hyperlink ref="BU2880" r:id="rId_hyperlink_2665" tooltip="Download" display="Download"/>
    <hyperlink ref="BU2881" r:id="rId_hyperlink_2666" tooltip="Download" display="Download"/>
    <hyperlink ref="BU2882" r:id="rId_hyperlink_2667" tooltip="Download" display="Download"/>
    <hyperlink ref="BU2884" r:id="rId_hyperlink_2668" tooltip="Download" display="Download"/>
    <hyperlink ref="BU2885" r:id="rId_hyperlink_2669" tooltip="Download" display="Download"/>
    <hyperlink ref="BU2886" r:id="rId_hyperlink_2670" tooltip="Download" display="Download"/>
    <hyperlink ref="BU2887" r:id="rId_hyperlink_2671" tooltip="Download" display="Download"/>
    <hyperlink ref="BU2888" r:id="rId_hyperlink_2672" tooltip="Download" display="Download"/>
    <hyperlink ref="BU2889" r:id="rId_hyperlink_2673" tooltip="Download" display="Download"/>
    <hyperlink ref="BU2890" r:id="rId_hyperlink_2674" tooltip="Download" display="Download"/>
    <hyperlink ref="BU2891" r:id="rId_hyperlink_2675" tooltip="Download" display="Download"/>
    <hyperlink ref="BU2892" r:id="rId_hyperlink_2676" tooltip="Download" display="Download"/>
    <hyperlink ref="BU2893" r:id="rId_hyperlink_2677" tooltip="Download" display="Download"/>
    <hyperlink ref="BU2894" r:id="rId_hyperlink_2678" tooltip="Download" display="Download"/>
    <hyperlink ref="BU2895" r:id="rId_hyperlink_2679" tooltip="Download" display="Download"/>
    <hyperlink ref="BU2896" r:id="rId_hyperlink_2680" tooltip="Download" display="Download"/>
    <hyperlink ref="BU2897" r:id="rId_hyperlink_2681" tooltip="Download" display="Download"/>
    <hyperlink ref="BU2898" r:id="rId_hyperlink_2682" tooltip="Download" display="Download"/>
    <hyperlink ref="BU2899" r:id="rId_hyperlink_2683" tooltip="Download" display="Download"/>
    <hyperlink ref="BU2900" r:id="rId_hyperlink_2684" tooltip="Download" display="Download"/>
    <hyperlink ref="BU2901" r:id="rId_hyperlink_2685" tooltip="Download" display="Download"/>
    <hyperlink ref="BU2902" r:id="rId_hyperlink_2686" tooltip="Download" display="Download"/>
    <hyperlink ref="BU2903" r:id="rId_hyperlink_2687" tooltip="Download" display="Download"/>
    <hyperlink ref="BU2904" r:id="rId_hyperlink_2688" tooltip="Download" display="Download"/>
    <hyperlink ref="BU2905" r:id="rId_hyperlink_2689" tooltip="Download" display="Download"/>
    <hyperlink ref="BU2906" r:id="rId_hyperlink_2690" tooltip="Download" display="Download"/>
    <hyperlink ref="BU2907" r:id="rId_hyperlink_2691" tooltip="Download" display="Download"/>
    <hyperlink ref="BU2908" r:id="rId_hyperlink_2692" tooltip="Download" display="Download"/>
    <hyperlink ref="BU2909" r:id="rId_hyperlink_2693" tooltip="Download" display="Download"/>
    <hyperlink ref="BU2910" r:id="rId_hyperlink_2694" tooltip="Download" display="Download"/>
    <hyperlink ref="BU2911" r:id="rId_hyperlink_2695" tooltip="Download" display="Download"/>
    <hyperlink ref="BU2912" r:id="rId_hyperlink_2696" tooltip="Download" display="Download"/>
    <hyperlink ref="BU2913" r:id="rId_hyperlink_2697" tooltip="Download" display="Download"/>
    <hyperlink ref="BU2914" r:id="rId_hyperlink_2698" tooltip="Download" display="Download"/>
    <hyperlink ref="BU2915" r:id="rId_hyperlink_2699" tooltip="Download" display="Download"/>
    <hyperlink ref="BU2916" r:id="rId_hyperlink_2700" tooltip="Download" display="Download"/>
    <hyperlink ref="BU2917" r:id="rId_hyperlink_2701" tooltip="Download" display="Download"/>
    <hyperlink ref="BU2918" r:id="rId_hyperlink_2702" tooltip="Download" display="Download"/>
    <hyperlink ref="BU2919" r:id="rId_hyperlink_2703" tooltip="Download" display="Download"/>
    <hyperlink ref="BU2920" r:id="rId_hyperlink_2704" tooltip="Download" display="Download"/>
    <hyperlink ref="BU2921" r:id="rId_hyperlink_2705" tooltip="Download" display="Download"/>
    <hyperlink ref="BU2922" r:id="rId_hyperlink_2706" tooltip="Download" display="Download"/>
    <hyperlink ref="BU2923" r:id="rId_hyperlink_2707" tooltip="Download" display="Download"/>
    <hyperlink ref="BU2924" r:id="rId_hyperlink_2708" tooltip="Download" display="Download"/>
    <hyperlink ref="BU2925" r:id="rId_hyperlink_2709" tooltip="Download" display="Download"/>
    <hyperlink ref="BU2926" r:id="rId_hyperlink_2710" tooltip="Download" display="Download"/>
    <hyperlink ref="BU2927" r:id="rId_hyperlink_2711" tooltip="Download" display="Download"/>
    <hyperlink ref="BU2928" r:id="rId_hyperlink_2712" tooltip="Download" display="Download"/>
    <hyperlink ref="BU2929" r:id="rId_hyperlink_2713" tooltip="Download" display="Download"/>
    <hyperlink ref="BU2930" r:id="rId_hyperlink_2714" tooltip="Download" display="Download"/>
    <hyperlink ref="BU2931" r:id="rId_hyperlink_2715" tooltip="Download" display="Download"/>
    <hyperlink ref="BU2932" r:id="rId_hyperlink_2716" tooltip="Download" display="Download"/>
    <hyperlink ref="BU2933" r:id="rId_hyperlink_2717" tooltip="Download" display="Download"/>
    <hyperlink ref="BU2934" r:id="rId_hyperlink_2718" tooltip="Download" display="Download"/>
    <hyperlink ref="BU2935" r:id="rId_hyperlink_2719" tooltip="Download" display="Download"/>
    <hyperlink ref="BU2936" r:id="rId_hyperlink_2720" tooltip="Download" display="Download"/>
    <hyperlink ref="BU2937" r:id="rId_hyperlink_2721" tooltip="Download" display="Download"/>
    <hyperlink ref="BU2938" r:id="rId_hyperlink_2722" tooltip="Download" display="Download"/>
    <hyperlink ref="BU2939" r:id="rId_hyperlink_2723" tooltip="Download" display="Download"/>
    <hyperlink ref="BU2940" r:id="rId_hyperlink_2724" tooltip="Download" display="Download"/>
    <hyperlink ref="BU2941" r:id="rId_hyperlink_2725" tooltip="Download" display="Download"/>
    <hyperlink ref="BU2942" r:id="rId_hyperlink_2726" tooltip="Download" display="Download"/>
    <hyperlink ref="BU2943" r:id="rId_hyperlink_2727" tooltip="Download" display="Download"/>
    <hyperlink ref="BU2944" r:id="rId_hyperlink_2728" tooltip="Download" display="Download"/>
    <hyperlink ref="BU2945" r:id="rId_hyperlink_2729" tooltip="Download" display="Download"/>
    <hyperlink ref="BU2946" r:id="rId_hyperlink_2730" tooltip="Download" display="Download"/>
    <hyperlink ref="BU2947" r:id="rId_hyperlink_2731" tooltip="Download" display="Download"/>
    <hyperlink ref="BU2948" r:id="rId_hyperlink_2732" tooltip="Download" display="Download"/>
    <hyperlink ref="BU2949" r:id="rId_hyperlink_2733" tooltip="Download" display="Download"/>
    <hyperlink ref="BU2950" r:id="rId_hyperlink_2734" tooltip="Download" display="Download"/>
    <hyperlink ref="BU2951" r:id="rId_hyperlink_2735" tooltip="Download" display="Download"/>
    <hyperlink ref="BU2952" r:id="rId_hyperlink_2736" tooltip="Download" display="Download"/>
    <hyperlink ref="BU2953" r:id="rId_hyperlink_2737" tooltip="Download" display="Download"/>
    <hyperlink ref="BU2954" r:id="rId_hyperlink_2738" tooltip="Download" display="Download"/>
    <hyperlink ref="BU2955" r:id="rId_hyperlink_2739" tooltip="Download" display="Download"/>
    <hyperlink ref="BU2956" r:id="rId_hyperlink_2740" tooltip="Download" display="Download"/>
    <hyperlink ref="BU2957" r:id="rId_hyperlink_2741" tooltip="Download" display="Download"/>
    <hyperlink ref="BU2958" r:id="rId_hyperlink_2742" tooltip="Download" display="Download"/>
    <hyperlink ref="BU2959" r:id="rId_hyperlink_2743" tooltip="Download" display="Download"/>
    <hyperlink ref="BU2960" r:id="rId_hyperlink_2744" tooltip="Download" display="Download"/>
    <hyperlink ref="BU2961" r:id="rId_hyperlink_2745" tooltip="Download" display="Download"/>
    <hyperlink ref="BU2962" r:id="rId_hyperlink_2746" tooltip="Download" display="Download"/>
    <hyperlink ref="BU2963" r:id="rId_hyperlink_2747" tooltip="Download" display="Download"/>
    <hyperlink ref="BU2964" r:id="rId_hyperlink_2748" tooltip="Download" display="Download"/>
    <hyperlink ref="BU2965" r:id="rId_hyperlink_2749" tooltip="Download" display="Download"/>
    <hyperlink ref="BU2966" r:id="rId_hyperlink_2750" tooltip="Download" display="Download"/>
    <hyperlink ref="BU2967" r:id="rId_hyperlink_2751" tooltip="Download" display="Download"/>
    <hyperlink ref="BU2968" r:id="rId_hyperlink_2752" tooltip="Download" display="Download"/>
    <hyperlink ref="BU2969" r:id="rId_hyperlink_2753" tooltip="Download" display="Download"/>
    <hyperlink ref="BU2970" r:id="rId_hyperlink_2754" tooltip="Download" display="Download"/>
    <hyperlink ref="BU2971" r:id="rId_hyperlink_2755" tooltip="Download" display="Download"/>
    <hyperlink ref="BU2972" r:id="rId_hyperlink_2756" tooltip="Download" display="Download"/>
    <hyperlink ref="BU2973" r:id="rId_hyperlink_2757" tooltip="Download" display="Download"/>
    <hyperlink ref="BU2974" r:id="rId_hyperlink_2758" tooltip="Download" display="Download"/>
    <hyperlink ref="BU2975" r:id="rId_hyperlink_2759" tooltip="Download" display="Download"/>
    <hyperlink ref="BU2976" r:id="rId_hyperlink_2760" tooltip="Download" display="Download"/>
    <hyperlink ref="BU2977" r:id="rId_hyperlink_2761" tooltip="Download" display="Download"/>
    <hyperlink ref="BU2978" r:id="rId_hyperlink_2762" tooltip="Download" display="Download"/>
    <hyperlink ref="BU2979" r:id="rId_hyperlink_2763" tooltip="Download" display="Download"/>
    <hyperlink ref="BU2980" r:id="rId_hyperlink_2764" tooltip="Download" display="Download"/>
    <hyperlink ref="BU2981" r:id="rId_hyperlink_2765" tooltip="Download" display="Download"/>
    <hyperlink ref="BU2982" r:id="rId_hyperlink_2766" tooltip="Download" display="Download"/>
    <hyperlink ref="BU2983" r:id="rId_hyperlink_2767" tooltip="Download" display="Download"/>
    <hyperlink ref="BU2984" r:id="rId_hyperlink_2768" tooltip="Download" display="Download"/>
    <hyperlink ref="BU2985" r:id="rId_hyperlink_2769" tooltip="Download" display="Download"/>
    <hyperlink ref="BU2986" r:id="rId_hyperlink_2770" tooltip="Download" display="Download"/>
    <hyperlink ref="BU2987" r:id="rId_hyperlink_2771" tooltip="Download" display="Download"/>
    <hyperlink ref="BU2988" r:id="rId_hyperlink_2772" tooltip="Download" display="Download"/>
    <hyperlink ref="BU2989" r:id="rId_hyperlink_2773" tooltip="Download" display="Download"/>
    <hyperlink ref="BU2990" r:id="rId_hyperlink_2774" tooltip="Download" display="Download"/>
    <hyperlink ref="BU2991" r:id="rId_hyperlink_2775" tooltip="Download" display="Download"/>
    <hyperlink ref="BU2992" r:id="rId_hyperlink_2776" tooltip="Download" display="Download"/>
    <hyperlink ref="BU2993" r:id="rId_hyperlink_2777" tooltip="Download" display="Download"/>
    <hyperlink ref="BU2994" r:id="rId_hyperlink_2778" tooltip="Download" display="Download"/>
    <hyperlink ref="BU2995" r:id="rId_hyperlink_2779" tooltip="Download" display="Download"/>
    <hyperlink ref="BU2996" r:id="rId_hyperlink_2780" tooltip="Download" display="Download"/>
    <hyperlink ref="BU2997" r:id="rId_hyperlink_2781" tooltip="Download" display="Download"/>
    <hyperlink ref="BU2998" r:id="rId_hyperlink_2782" tooltip="Download" display="Download"/>
    <hyperlink ref="BU2999" r:id="rId_hyperlink_2783" tooltip="Download" display="Download"/>
    <hyperlink ref="BU3000" r:id="rId_hyperlink_2784" tooltip="Download" display="Download"/>
    <hyperlink ref="BU3001" r:id="rId_hyperlink_2785" tooltip="Download" display="Download"/>
    <hyperlink ref="BU3002" r:id="rId_hyperlink_2786" tooltip="Download" display="Download"/>
    <hyperlink ref="BU3003" r:id="rId_hyperlink_2787" tooltip="Download" display="Download"/>
    <hyperlink ref="BU3004" r:id="rId_hyperlink_2788" tooltip="Download" display="Download"/>
    <hyperlink ref="BU3005" r:id="rId_hyperlink_2789" tooltip="Download" display="Download"/>
    <hyperlink ref="BU3006" r:id="rId_hyperlink_2790" tooltip="Download" display="Download"/>
    <hyperlink ref="BU3007" r:id="rId_hyperlink_2791" tooltip="Download" display="Download"/>
    <hyperlink ref="BU3008" r:id="rId_hyperlink_2792" tooltip="Download" display="Download"/>
    <hyperlink ref="BU3009" r:id="rId_hyperlink_2793" tooltip="Download" display="Download"/>
    <hyperlink ref="BU3010" r:id="rId_hyperlink_2794" tooltip="Download" display="Download"/>
    <hyperlink ref="BU3011" r:id="rId_hyperlink_2795" tooltip="Download" display="Download"/>
    <hyperlink ref="BU3012" r:id="rId_hyperlink_2796" tooltip="Download" display="Download"/>
    <hyperlink ref="BU3013" r:id="rId_hyperlink_2797" tooltip="Download" display="Download"/>
    <hyperlink ref="BU3014" r:id="rId_hyperlink_2798" tooltip="Download" display="Download"/>
    <hyperlink ref="BU3015" r:id="rId_hyperlink_2799" tooltip="Download" display="Download"/>
    <hyperlink ref="BU3016" r:id="rId_hyperlink_2800" tooltip="Download" display="Download"/>
    <hyperlink ref="BU3017" r:id="rId_hyperlink_2801" tooltip="Download" display="Download"/>
    <hyperlink ref="BU3018" r:id="rId_hyperlink_2802" tooltip="Download" display="Download"/>
    <hyperlink ref="BU3019" r:id="rId_hyperlink_2803" tooltip="Download" display="Download"/>
    <hyperlink ref="BU3020" r:id="rId_hyperlink_2804" tooltip="Download" display="Download"/>
    <hyperlink ref="BU3021" r:id="rId_hyperlink_2805" tooltip="Download" display="Download"/>
    <hyperlink ref="BU3022" r:id="rId_hyperlink_2806" tooltip="Download" display="Download"/>
    <hyperlink ref="BU3023" r:id="rId_hyperlink_2807" tooltip="Download" display="Download"/>
    <hyperlink ref="BU3024" r:id="rId_hyperlink_2808" tooltip="Download" display="Download"/>
    <hyperlink ref="BU3025" r:id="rId_hyperlink_2809" tooltip="Download" display="Download"/>
    <hyperlink ref="BU3026" r:id="rId_hyperlink_2810" tooltip="Download" display="Download"/>
    <hyperlink ref="BU3027" r:id="rId_hyperlink_2811" tooltip="Download" display="Download"/>
    <hyperlink ref="BU3029" r:id="rId_hyperlink_2812" tooltip="Download" display="Download"/>
    <hyperlink ref="BU3030" r:id="rId_hyperlink_2813" tooltip="Download" display="Download"/>
    <hyperlink ref="BU3031" r:id="rId_hyperlink_2814" tooltip="Download" display="Download"/>
    <hyperlink ref="BU3032" r:id="rId_hyperlink_2815" tooltip="Download" display="Download"/>
    <hyperlink ref="BU3033" r:id="rId_hyperlink_2816" tooltip="Download" display="Download"/>
    <hyperlink ref="BU3034" r:id="rId_hyperlink_2817" tooltip="Download" display="Download"/>
    <hyperlink ref="BU3035" r:id="rId_hyperlink_2818" tooltip="Download" display="Download"/>
    <hyperlink ref="BU3036" r:id="rId_hyperlink_2819" tooltip="Download" display="Download"/>
    <hyperlink ref="BU3037" r:id="rId_hyperlink_2820" tooltip="Download" display="Download"/>
    <hyperlink ref="BU3038" r:id="rId_hyperlink_2821" tooltip="Download" display="Download"/>
    <hyperlink ref="BU3039" r:id="rId_hyperlink_2822" tooltip="Download" display="Download"/>
    <hyperlink ref="BU3040" r:id="rId_hyperlink_2823" tooltip="Download" display="Download"/>
    <hyperlink ref="BU3041" r:id="rId_hyperlink_2824" tooltip="Download" display="Download"/>
    <hyperlink ref="BU3042" r:id="rId_hyperlink_2825" tooltip="Download" display="Download"/>
    <hyperlink ref="BU3043" r:id="rId_hyperlink_2826" tooltip="Download" display="Download"/>
    <hyperlink ref="BU3044" r:id="rId_hyperlink_2827" tooltip="Download" display="Download"/>
    <hyperlink ref="BU3045" r:id="rId_hyperlink_2828" tooltip="Download" display="Download"/>
    <hyperlink ref="BU3046" r:id="rId_hyperlink_2829" tooltip="Download" display="Download"/>
    <hyperlink ref="BU3047" r:id="rId_hyperlink_2830" tooltip="Download" display="Download"/>
    <hyperlink ref="BU3048" r:id="rId_hyperlink_2831" tooltip="Download" display="Download"/>
    <hyperlink ref="BU3049" r:id="rId_hyperlink_2832" tooltip="Download" display="Download"/>
    <hyperlink ref="BU3050" r:id="rId_hyperlink_2833" tooltip="Download" display="Download"/>
    <hyperlink ref="BU3051" r:id="rId_hyperlink_2834" tooltip="Download" display="Download"/>
    <hyperlink ref="BU3052" r:id="rId_hyperlink_2835" tooltip="Download" display="Download"/>
    <hyperlink ref="BU3053" r:id="rId_hyperlink_2836" tooltip="Download" display="Download"/>
    <hyperlink ref="BU3054" r:id="rId_hyperlink_2837" tooltip="Download" display="Download"/>
    <hyperlink ref="BU3055" r:id="rId_hyperlink_2838" tooltip="Download" display="Download"/>
    <hyperlink ref="BU3056" r:id="rId_hyperlink_2839" tooltip="Download" display="Download"/>
    <hyperlink ref="BU3057" r:id="rId_hyperlink_2840" tooltip="Download" display="Download"/>
    <hyperlink ref="BU3058" r:id="rId_hyperlink_2841" tooltip="Download" display="Download"/>
    <hyperlink ref="BU3059" r:id="rId_hyperlink_2842" tooltip="Download" display="Download"/>
    <hyperlink ref="BU3060" r:id="rId_hyperlink_2843" tooltip="Download" display="Download"/>
    <hyperlink ref="BU3061" r:id="rId_hyperlink_2844" tooltip="Download" display="Download"/>
    <hyperlink ref="BU3062" r:id="rId_hyperlink_2845" tooltip="Download" display="Download"/>
    <hyperlink ref="BU3063" r:id="rId_hyperlink_2846" tooltip="Download" display="Download"/>
    <hyperlink ref="BU3064" r:id="rId_hyperlink_2847" tooltip="Download" display="Download"/>
    <hyperlink ref="BU3065" r:id="rId_hyperlink_2848" tooltip="Download" display="Download"/>
    <hyperlink ref="BU3066" r:id="rId_hyperlink_2849" tooltip="Download" display="Download"/>
    <hyperlink ref="BU3067" r:id="rId_hyperlink_2850" tooltip="Download" display="Download"/>
    <hyperlink ref="BU3068" r:id="rId_hyperlink_2851" tooltip="Download" display="Download"/>
    <hyperlink ref="BU3069" r:id="rId_hyperlink_2852" tooltip="Download" display="Download"/>
    <hyperlink ref="BU3070" r:id="rId_hyperlink_2853" tooltip="Download" display="Download"/>
    <hyperlink ref="BU3071" r:id="rId_hyperlink_2854" tooltip="Download" display="Download"/>
    <hyperlink ref="BU3072" r:id="rId_hyperlink_2855" tooltip="Download" display="Download"/>
    <hyperlink ref="BU3073" r:id="rId_hyperlink_2856" tooltip="Download" display="Download"/>
    <hyperlink ref="BU3074" r:id="rId_hyperlink_2857" tooltip="Download" display="Download"/>
    <hyperlink ref="BU3075" r:id="rId_hyperlink_2858" tooltip="Download" display="Download"/>
    <hyperlink ref="BU3076" r:id="rId_hyperlink_2859" tooltip="Download" display="Download"/>
    <hyperlink ref="BU3077" r:id="rId_hyperlink_2860" tooltip="Download" display="Download"/>
    <hyperlink ref="BU3078" r:id="rId_hyperlink_2861" tooltip="Download" display="Download"/>
    <hyperlink ref="BU3079" r:id="rId_hyperlink_2862" tooltip="Download" display="Download"/>
    <hyperlink ref="BU3080" r:id="rId_hyperlink_2863" tooltip="Download" display="Download"/>
    <hyperlink ref="BU3081" r:id="rId_hyperlink_2864" tooltip="Download" display="Download"/>
    <hyperlink ref="BU3082" r:id="rId_hyperlink_2865" tooltip="Download" display="Download"/>
    <hyperlink ref="BU3083" r:id="rId_hyperlink_2866" tooltip="Download" display="Download"/>
    <hyperlink ref="BU3084" r:id="rId_hyperlink_2867" tooltip="Download" display="Download"/>
    <hyperlink ref="BU3085" r:id="rId_hyperlink_2868" tooltip="Download" display="Download"/>
    <hyperlink ref="BU3086" r:id="rId_hyperlink_2869" tooltip="Download" display="Download"/>
    <hyperlink ref="BU3087" r:id="rId_hyperlink_2870" tooltip="Download" display="Download"/>
    <hyperlink ref="BU3088" r:id="rId_hyperlink_2871" tooltip="Download" display="Download"/>
    <hyperlink ref="BU3089" r:id="rId_hyperlink_2872" tooltip="Download" display="Download"/>
    <hyperlink ref="BU3090" r:id="rId_hyperlink_2873" tooltip="Download" display="Download"/>
    <hyperlink ref="BU3091" r:id="rId_hyperlink_2874" tooltip="Download" display="Download"/>
    <hyperlink ref="BU3092" r:id="rId_hyperlink_2875" tooltip="Download" display="Download"/>
    <hyperlink ref="BU3093" r:id="rId_hyperlink_2876" tooltip="Download" display="Download"/>
    <hyperlink ref="BU3094" r:id="rId_hyperlink_2877" tooltip="Download" display="Download"/>
    <hyperlink ref="BU3095" r:id="rId_hyperlink_2878" tooltip="Download" display="Download"/>
    <hyperlink ref="BU3096" r:id="rId_hyperlink_2879" tooltip="Download" display="Download"/>
    <hyperlink ref="BU3097" r:id="rId_hyperlink_2880" tooltip="Download" display="Download"/>
    <hyperlink ref="BU3098" r:id="rId_hyperlink_2881" tooltip="Download" display="Download"/>
    <hyperlink ref="BU3099" r:id="rId_hyperlink_2882" tooltip="Download" display="Download"/>
    <hyperlink ref="BU3100" r:id="rId_hyperlink_2883" tooltip="Download" display="Download"/>
    <hyperlink ref="BU3101" r:id="rId_hyperlink_2884" tooltip="Download" display="Download"/>
    <hyperlink ref="BU3102" r:id="rId_hyperlink_2885" tooltip="Download" display="Download"/>
    <hyperlink ref="BU3103" r:id="rId_hyperlink_2886" tooltip="Download" display="Download"/>
    <hyperlink ref="BU3104" r:id="rId_hyperlink_2887" tooltip="Download" display="Download"/>
    <hyperlink ref="BU3105" r:id="rId_hyperlink_2888" tooltip="Download" display="Download"/>
    <hyperlink ref="BU3106" r:id="rId_hyperlink_2889" tooltip="Download" display="Download"/>
    <hyperlink ref="BU3107" r:id="rId_hyperlink_2890" tooltip="Download" display="Download"/>
    <hyperlink ref="BU3108" r:id="rId_hyperlink_2891" tooltip="Download" display="Download"/>
    <hyperlink ref="BU3109" r:id="rId_hyperlink_2892" tooltip="Download" display="Download"/>
    <hyperlink ref="BU3110" r:id="rId_hyperlink_2893" tooltip="Download" display="Download"/>
    <hyperlink ref="BU3111" r:id="rId_hyperlink_2894" tooltip="Download" display="Download"/>
    <hyperlink ref="BU3112" r:id="rId_hyperlink_2895" tooltip="Download" display="Download"/>
    <hyperlink ref="BU3113" r:id="rId_hyperlink_2896" tooltip="Download" display="Download"/>
    <hyperlink ref="BU3115" r:id="rId_hyperlink_2897" tooltip="Download" display="Download"/>
    <hyperlink ref="BU3116" r:id="rId_hyperlink_2898" tooltip="Download" display="Download"/>
    <hyperlink ref="BU3117" r:id="rId_hyperlink_2899" tooltip="Download" display="Download"/>
    <hyperlink ref="BU3118" r:id="rId_hyperlink_2900" tooltip="Download" display="Download"/>
    <hyperlink ref="BU3119" r:id="rId_hyperlink_2901" tooltip="Download" display="Download"/>
    <hyperlink ref="BU3121" r:id="rId_hyperlink_2902" tooltip="Download" display="Download"/>
    <hyperlink ref="BU3122" r:id="rId_hyperlink_2903" tooltip="Download" display="Download"/>
    <hyperlink ref="BU3123" r:id="rId_hyperlink_2904" tooltip="Download" display="Download"/>
    <hyperlink ref="BU3124" r:id="rId_hyperlink_2905" tooltip="Download" display="Download"/>
    <hyperlink ref="BU3125" r:id="rId_hyperlink_2906" tooltip="Download" display="Download"/>
    <hyperlink ref="BU3126" r:id="rId_hyperlink_2907" tooltip="Download" display="Download"/>
    <hyperlink ref="BU3127" r:id="rId_hyperlink_2908" tooltip="Download" display="Download"/>
    <hyperlink ref="BU3128" r:id="rId_hyperlink_2909" tooltip="Download" display="Download"/>
    <hyperlink ref="BU3129" r:id="rId_hyperlink_2910" tooltip="Download" display="Download"/>
    <hyperlink ref="BU3130" r:id="rId_hyperlink_2911" tooltip="Download" display="Download"/>
    <hyperlink ref="BU3131" r:id="rId_hyperlink_2912" tooltip="Download" display="Download"/>
    <hyperlink ref="BU3133" r:id="rId_hyperlink_2913" tooltip="Download" display="Download"/>
    <hyperlink ref="BU3134" r:id="rId_hyperlink_2914" tooltip="Download" display="Download"/>
    <hyperlink ref="BU3135" r:id="rId_hyperlink_2915" tooltip="Download" display="Download"/>
    <hyperlink ref="BU3147" r:id="rId_hyperlink_2916" tooltip="Download" display="Download"/>
    <hyperlink ref="BU3151" r:id="rId_hyperlink_2917" tooltip="Download" display="Download"/>
    <hyperlink ref="BU3152" r:id="rId_hyperlink_2918" tooltip="Download" display="Download"/>
    <hyperlink ref="BU3153" r:id="rId_hyperlink_2919" tooltip="Download" display="Download"/>
    <hyperlink ref="BU3156" r:id="rId_hyperlink_2920" tooltip="Download" display="Download"/>
    <hyperlink ref="BU3157" r:id="rId_hyperlink_2921" tooltip="Download" display="Download"/>
    <hyperlink ref="BU3158" r:id="rId_hyperlink_2922" tooltip="Download" display="Download"/>
    <hyperlink ref="BU3159" r:id="rId_hyperlink_2923" tooltip="Download" display="Download"/>
    <hyperlink ref="BU3161" r:id="rId_hyperlink_2924" tooltip="Download" display="Download"/>
    <hyperlink ref="BU3162" r:id="rId_hyperlink_2925" tooltip="Download" display="Download"/>
    <hyperlink ref="BU3164" r:id="rId_hyperlink_2926" tooltip="Download" display="Download"/>
    <hyperlink ref="BU3169" r:id="rId_hyperlink_2927" tooltip="Download" display="Download"/>
    <hyperlink ref="BU3170" r:id="rId_hyperlink_2928" tooltip="Download" display="Download"/>
    <hyperlink ref="BU3171" r:id="rId_hyperlink_2929" tooltip="Download" display="Download"/>
    <hyperlink ref="BU3172" r:id="rId_hyperlink_2930" tooltip="Download" display="Download"/>
    <hyperlink ref="BU3173" r:id="rId_hyperlink_2931" tooltip="Download" display="Download"/>
    <hyperlink ref="BU3174" r:id="rId_hyperlink_2932" tooltip="Download" display="Download"/>
    <hyperlink ref="BU3175" r:id="rId_hyperlink_2933" tooltip="Download" display="Download"/>
    <hyperlink ref="BU3176" r:id="rId_hyperlink_2934" tooltip="Download" display="Download"/>
    <hyperlink ref="BU3177" r:id="rId_hyperlink_2935" tooltip="Download" display="Download"/>
    <hyperlink ref="BU3178" r:id="rId_hyperlink_2936" tooltip="Download" display="Download"/>
    <hyperlink ref="BU3179" r:id="rId_hyperlink_2937" tooltip="Download" display="Download"/>
    <hyperlink ref="BU3180" r:id="rId_hyperlink_2938" tooltip="Download" display="Download"/>
    <hyperlink ref="BU3181" r:id="rId_hyperlink_2939" tooltip="Download" display="Download"/>
    <hyperlink ref="BU3182" r:id="rId_hyperlink_2940" tooltip="Download" display="Download"/>
    <hyperlink ref="BU3183" r:id="rId_hyperlink_2941" tooltip="Download" display="Download"/>
    <hyperlink ref="BU3184" r:id="rId_hyperlink_2942" tooltip="Download" display="Download"/>
    <hyperlink ref="BU3185" r:id="rId_hyperlink_2943" tooltip="Download" display="Download"/>
    <hyperlink ref="BU3186" r:id="rId_hyperlink_2944" tooltip="Download" display="Download"/>
    <hyperlink ref="BU3187" r:id="rId_hyperlink_2945" tooltip="Download" display="Download"/>
    <hyperlink ref="BU3188" r:id="rId_hyperlink_2946" tooltip="Download" display="Download"/>
    <hyperlink ref="BU3189" r:id="rId_hyperlink_2947" tooltip="Download" display="Download"/>
    <hyperlink ref="BU3190" r:id="rId_hyperlink_2948" tooltip="Download" display="Download"/>
    <hyperlink ref="BU3191" r:id="rId_hyperlink_2949" tooltip="Download" display="Download"/>
    <hyperlink ref="BU3192" r:id="rId_hyperlink_2950" tooltip="Download" display="Download"/>
    <hyperlink ref="BU3193" r:id="rId_hyperlink_2951" tooltip="Download" display="Download"/>
    <hyperlink ref="BU3194" r:id="rId_hyperlink_2952" tooltip="Download" display="Download"/>
    <hyperlink ref="BU3195" r:id="rId_hyperlink_2953" tooltip="Download" display="Download"/>
    <hyperlink ref="BU3196" r:id="rId_hyperlink_2954" tooltip="Download" display="Download"/>
    <hyperlink ref="BU3197" r:id="rId_hyperlink_2955" tooltip="Download" display="Download"/>
    <hyperlink ref="BU3198" r:id="rId_hyperlink_2956" tooltip="Download" display="Download"/>
    <hyperlink ref="BU3201" r:id="rId_hyperlink_2957" tooltip="Download" display="Download"/>
    <hyperlink ref="BU3202" r:id="rId_hyperlink_2958" tooltip="Download" display="Download"/>
    <hyperlink ref="BU3203" r:id="rId_hyperlink_2959" tooltip="Download" display="Download"/>
    <hyperlink ref="BU3204" r:id="rId_hyperlink_2960" tooltip="Download" display="Download"/>
    <hyperlink ref="BU3208" r:id="rId_hyperlink_2961" tooltip="Download" display="Download"/>
    <hyperlink ref="BU3209" r:id="rId_hyperlink_2962" tooltip="Download" display="Download"/>
    <hyperlink ref="BU3211" r:id="rId_hyperlink_2963" tooltip="Download" display="Download"/>
    <hyperlink ref="BU3212" r:id="rId_hyperlink_2964" tooltip="Download" display="Download"/>
    <hyperlink ref="BU3213" r:id="rId_hyperlink_2965" tooltip="Download" display="Download"/>
    <hyperlink ref="BU3214" r:id="rId_hyperlink_2966" tooltip="Download" display="Download"/>
    <hyperlink ref="BU3215" r:id="rId_hyperlink_2967" tooltip="Download" display="Download"/>
    <hyperlink ref="BU3216" r:id="rId_hyperlink_2968" tooltip="Download" display="Download"/>
    <hyperlink ref="BU3217" r:id="rId_hyperlink_2969" tooltip="Download" display="Download"/>
    <hyperlink ref="BU3218" r:id="rId_hyperlink_2970" tooltip="Download" display="Download"/>
    <hyperlink ref="BU3219" r:id="rId_hyperlink_2971" tooltip="Download" display="Download"/>
    <hyperlink ref="BU3220" r:id="rId_hyperlink_2972" tooltip="Download" display="Download"/>
    <hyperlink ref="BU3221" r:id="rId_hyperlink_2973" tooltip="Download" display="Download"/>
    <hyperlink ref="BU3222" r:id="rId_hyperlink_2974" tooltip="Download" display="Download"/>
    <hyperlink ref="BU3224" r:id="rId_hyperlink_2975" tooltip="Download" display="Download"/>
    <hyperlink ref="BU3225" r:id="rId_hyperlink_2976" tooltip="Download" display="Download"/>
    <hyperlink ref="BU3226" r:id="rId_hyperlink_2977" tooltip="Download" display="Download"/>
    <hyperlink ref="BU3227" r:id="rId_hyperlink_2978" tooltip="Download" display="Download"/>
    <hyperlink ref="BU3228" r:id="rId_hyperlink_2979" tooltip="Download" display="Download"/>
    <hyperlink ref="BU3229" r:id="rId_hyperlink_2980" tooltip="Download" display="Download"/>
    <hyperlink ref="BU3230" r:id="rId_hyperlink_2981" tooltip="Download" display="Download"/>
    <hyperlink ref="BU3231" r:id="rId_hyperlink_2982" tooltip="Download" display="Download"/>
    <hyperlink ref="BU3232" r:id="rId_hyperlink_2983" tooltip="Download" display="Download"/>
    <hyperlink ref="BU3233" r:id="rId_hyperlink_2984" tooltip="Download" display="Download"/>
    <hyperlink ref="BU3235" r:id="rId_hyperlink_2985" tooltip="Download" display="Download"/>
    <hyperlink ref="BU3237" r:id="rId_hyperlink_2986" tooltip="Download" display="Download"/>
    <hyperlink ref="BU3238" r:id="rId_hyperlink_2987" tooltip="Download" display="Download"/>
    <hyperlink ref="BU3239" r:id="rId_hyperlink_2988" tooltip="Download" display="Download"/>
    <hyperlink ref="BU3240" r:id="rId_hyperlink_2989" tooltip="Download" display="Download"/>
    <hyperlink ref="BU3241" r:id="rId_hyperlink_2990" tooltip="Download" display="Download"/>
    <hyperlink ref="BU3242" r:id="rId_hyperlink_2991" tooltip="Download" display="Download"/>
    <hyperlink ref="BU3243" r:id="rId_hyperlink_2992" tooltip="Download" display="Download"/>
    <hyperlink ref="BU3244" r:id="rId_hyperlink_2993" tooltip="Download" display="Download"/>
    <hyperlink ref="BU3245" r:id="rId_hyperlink_2994" tooltip="Download" display="Download"/>
    <hyperlink ref="BU3246" r:id="rId_hyperlink_2995" tooltip="Download" display="Download"/>
    <hyperlink ref="BU3247" r:id="rId_hyperlink_2996" tooltip="Download" display="Download"/>
    <hyperlink ref="BU3248" r:id="rId_hyperlink_2997" tooltip="Download" display="Download"/>
    <hyperlink ref="BU3249" r:id="rId_hyperlink_2998" tooltip="Download" display="Download"/>
    <hyperlink ref="BU3250" r:id="rId_hyperlink_2999" tooltip="Download" display="Download"/>
    <hyperlink ref="BU3251" r:id="rId_hyperlink_3000" tooltip="Download" display="Download"/>
    <hyperlink ref="BU3252" r:id="rId_hyperlink_3001" tooltip="Download" display="Download"/>
    <hyperlink ref="BU3253" r:id="rId_hyperlink_3002" tooltip="Download" display="Download"/>
    <hyperlink ref="BU3254" r:id="rId_hyperlink_3003" tooltip="Download" display="Download"/>
    <hyperlink ref="BU3255" r:id="rId_hyperlink_3004" tooltip="Download" display="Download"/>
    <hyperlink ref="BU3256" r:id="rId_hyperlink_3005" tooltip="Download" display="Download"/>
    <hyperlink ref="BU3257" r:id="rId_hyperlink_3006" tooltip="Download" display="Download"/>
    <hyperlink ref="BU3258" r:id="rId_hyperlink_3007" tooltip="Download" display="Download"/>
    <hyperlink ref="BU3261" r:id="rId_hyperlink_3008" tooltip="Download" display="Download"/>
    <hyperlink ref="BU3262" r:id="rId_hyperlink_3009" tooltip="Download" display="Download"/>
    <hyperlink ref="BU3263" r:id="rId_hyperlink_3010" tooltip="Download" display="Download"/>
    <hyperlink ref="BU3264" r:id="rId_hyperlink_3011" tooltip="Download" display="Download"/>
    <hyperlink ref="BU3265" r:id="rId_hyperlink_3012" tooltip="Download" display="Download"/>
    <hyperlink ref="BU3266" r:id="rId_hyperlink_3013" tooltip="Download" display="Download"/>
    <hyperlink ref="BU3267" r:id="rId_hyperlink_3014" tooltip="Download" display="Download"/>
    <hyperlink ref="BU3268" r:id="rId_hyperlink_3015" tooltip="Download" display="Download"/>
    <hyperlink ref="BU3269" r:id="rId_hyperlink_3016" tooltip="Download" display="Download"/>
    <hyperlink ref="BU3270" r:id="rId_hyperlink_3017" tooltip="Download" display="Download"/>
    <hyperlink ref="BU3271" r:id="rId_hyperlink_3018" tooltip="Download" display="Download"/>
    <hyperlink ref="BU3272" r:id="rId_hyperlink_3019" tooltip="Download" display="Download"/>
    <hyperlink ref="BU3273" r:id="rId_hyperlink_3020" tooltip="Download" display="Download"/>
    <hyperlink ref="BU3274" r:id="rId_hyperlink_3021" tooltip="Download" display="Download"/>
    <hyperlink ref="BU3275" r:id="rId_hyperlink_3022" tooltip="Download" display="Download"/>
    <hyperlink ref="BU3276" r:id="rId_hyperlink_3023" tooltip="Download" display="Download"/>
    <hyperlink ref="BU3277" r:id="rId_hyperlink_3024" tooltip="Download" display="Download"/>
    <hyperlink ref="BU3278" r:id="rId_hyperlink_3025" tooltip="Download" display="Download"/>
    <hyperlink ref="BU3279" r:id="rId_hyperlink_3026" tooltip="Download" display="Download"/>
    <hyperlink ref="BU3280" r:id="rId_hyperlink_3027" tooltip="Download" display="Download"/>
    <hyperlink ref="BU3281" r:id="rId_hyperlink_3028" tooltip="Download" display="Download"/>
    <hyperlink ref="BU3282" r:id="rId_hyperlink_3029" tooltip="Download" display="Download"/>
    <hyperlink ref="BU3283" r:id="rId_hyperlink_3030" tooltip="Download" display="Download"/>
    <hyperlink ref="BU3284" r:id="rId_hyperlink_3031" tooltip="Download" display="Download"/>
    <hyperlink ref="BU3285" r:id="rId_hyperlink_3032" tooltip="Download" display="Download"/>
    <hyperlink ref="BU3286" r:id="rId_hyperlink_3033" tooltip="Download" display="Download"/>
    <hyperlink ref="BU3287" r:id="rId_hyperlink_3034" tooltip="Download" display="Download"/>
    <hyperlink ref="BU3288" r:id="rId_hyperlink_3035" tooltip="Download" display="Download"/>
    <hyperlink ref="BU3289" r:id="rId_hyperlink_3036" tooltip="Download" display="Download"/>
    <hyperlink ref="BU3290" r:id="rId_hyperlink_3037" tooltip="Download" display="Download"/>
    <hyperlink ref="BU3291" r:id="rId_hyperlink_3038" tooltip="Download" display="Download"/>
    <hyperlink ref="BU3292" r:id="rId_hyperlink_3039" tooltip="Download" display="Download"/>
    <hyperlink ref="BU3293" r:id="rId_hyperlink_3040" tooltip="Download" display="Download"/>
    <hyperlink ref="BU3294" r:id="rId_hyperlink_3041" tooltip="Download" display="Download"/>
    <hyperlink ref="BU3295" r:id="rId_hyperlink_3042" tooltip="Download" display="Download"/>
    <hyperlink ref="BU3296" r:id="rId_hyperlink_3043" tooltip="Download" display="Download"/>
    <hyperlink ref="BU3297" r:id="rId_hyperlink_3044" tooltip="Download" display="Download"/>
    <hyperlink ref="BU3298" r:id="rId_hyperlink_3045" tooltip="Download" display="Download"/>
    <hyperlink ref="BU3299" r:id="rId_hyperlink_3046" tooltip="Download" display="Download"/>
    <hyperlink ref="BU3300" r:id="rId_hyperlink_3047" tooltip="Download" display="Download"/>
    <hyperlink ref="BU3301" r:id="rId_hyperlink_3048" tooltip="Download" display="Download"/>
    <hyperlink ref="BU3302" r:id="rId_hyperlink_3049" tooltip="Download" display="Download"/>
    <hyperlink ref="BU3303" r:id="rId_hyperlink_3050" tooltip="Download" display="Download"/>
    <hyperlink ref="BU3304" r:id="rId_hyperlink_3051" tooltip="Download" display="Download"/>
    <hyperlink ref="BU3305" r:id="rId_hyperlink_3052" tooltip="Download" display="Download"/>
    <hyperlink ref="BU3306" r:id="rId_hyperlink_3053" tooltip="Download" display="Download"/>
    <hyperlink ref="BU3307" r:id="rId_hyperlink_3054" tooltip="Download" display="Download"/>
    <hyperlink ref="BU3308" r:id="rId_hyperlink_3055" tooltip="Download" display="Download"/>
    <hyperlink ref="BU3309" r:id="rId_hyperlink_3056" tooltip="Download" display="Download"/>
    <hyperlink ref="BU3310" r:id="rId_hyperlink_3057" tooltip="Download" display="Download"/>
    <hyperlink ref="BU3311" r:id="rId_hyperlink_3058" tooltip="Download" display="Download"/>
    <hyperlink ref="BU3312" r:id="rId_hyperlink_3059" tooltip="Download" display="Download"/>
    <hyperlink ref="BU3314" r:id="rId_hyperlink_3060" tooltip="Download" display="Download"/>
    <hyperlink ref="BU3315" r:id="rId_hyperlink_3061" tooltip="Download" display="Download"/>
    <hyperlink ref="BU3316" r:id="rId_hyperlink_3062" tooltip="Download" display="Download"/>
    <hyperlink ref="BU3318" r:id="rId_hyperlink_3063" tooltip="Download" display="Download"/>
    <hyperlink ref="BU3319" r:id="rId_hyperlink_3064" tooltip="Download" display="Download"/>
    <hyperlink ref="BU3320" r:id="rId_hyperlink_3065" tooltip="Download" display="Download"/>
    <hyperlink ref="BU3321" r:id="rId_hyperlink_3066" tooltip="Download" display="Download"/>
    <hyperlink ref="BU3322" r:id="rId_hyperlink_3067" tooltip="Download" display="Download"/>
    <hyperlink ref="BU3323" r:id="rId_hyperlink_3068" tooltip="Download" display="Download"/>
    <hyperlink ref="BU3324" r:id="rId_hyperlink_3069" tooltip="Download" display="Download"/>
    <hyperlink ref="BU3325" r:id="rId_hyperlink_3070" tooltip="Download" display="Download"/>
    <hyperlink ref="BU3326" r:id="rId_hyperlink_3071" tooltip="Download" display="Download"/>
    <hyperlink ref="BU3327" r:id="rId_hyperlink_3072" tooltip="Download" display="Download"/>
    <hyperlink ref="BU3328" r:id="rId_hyperlink_3073" tooltip="Download" display="Download"/>
    <hyperlink ref="BU3329" r:id="rId_hyperlink_3074" tooltip="Download" display="Download"/>
    <hyperlink ref="BU3330" r:id="rId_hyperlink_3075" tooltip="Download" display="Download"/>
    <hyperlink ref="BU3331" r:id="rId_hyperlink_3076" tooltip="Download" display="Download"/>
    <hyperlink ref="BU3332" r:id="rId_hyperlink_3077" tooltip="Download" display="Download"/>
    <hyperlink ref="BU3333" r:id="rId_hyperlink_3078" tooltip="Download" display="Download"/>
    <hyperlink ref="BU3334" r:id="rId_hyperlink_3079" tooltip="Download" display="Download"/>
    <hyperlink ref="BU3335" r:id="rId_hyperlink_3080" tooltip="Download" display="Download"/>
    <hyperlink ref="BU3336" r:id="rId_hyperlink_3081" tooltip="Download" display="Download"/>
    <hyperlink ref="BU3337" r:id="rId_hyperlink_3082" tooltip="Download" display="Download"/>
    <hyperlink ref="BU3339" r:id="rId_hyperlink_3083" tooltip="Download" display="Download"/>
    <hyperlink ref="BU3340" r:id="rId_hyperlink_3084" tooltip="Download" display="Download"/>
    <hyperlink ref="BU3341" r:id="rId_hyperlink_3085" tooltip="Download" display="Download"/>
    <hyperlink ref="BU3342" r:id="rId_hyperlink_3086" tooltip="Download" display="Download"/>
    <hyperlink ref="BU3343" r:id="rId_hyperlink_3087" tooltip="Download" display="Download"/>
    <hyperlink ref="BU3344" r:id="rId_hyperlink_3088" tooltip="Download" display="Download"/>
    <hyperlink ref="BU3345" r:id="rId_hyperlink_3089" tooltip="Download" display="Download"/>
    <hyperlink ref="BU3346" r:id="rId_hyperlink_3090" tooltip="Download" display="Download"/>
    <hyperlink ref="BU3347" r:id="rId_hyperlink_3091" tooltip="Download" display="Download"/>
    <hyperlink ref="BU3348" r:id="rId_hyperlink_3092" tooltip="Download" display="Download"/>
    <hyperlink ref="BU3349" r:id="rId_hyperlink_3093" tooltip="Download" display="Download"/>
    <hyperlink ref="BU3350" r:id="rId_hyperlink_3094" tooltip="Download" display="Download"/>
    <hyperlink ref="BU3351" r:id="rId_hyperlink_3095" tooltip="Download" display="Download"/>
    <hyperlink ref="BU3352" r:id="rId_hyperlink_3096" tooltip="Download" display="Download"/>
    <hyperlink ref="BU3353" r:id="rId_hyperlink_3097" tooltip="Download" display="Download"/>
    <hyperlink ref="BU3354" r:id="rId_hyperlink_3098" tooltip="Download" display="Download"/>
    <hyperlink ref="BU3355" r:id="rId_hyperlink_3099" tooltip="Download" display="Download"/>
    <hyperlink ref="BU3356" r:id="rId_hyperlink_3100" tooltip="Download" display="Download"/>
    <hyperlink ref="BU3357" r:id="rId_hyperlink_3101" tooltip="Download" display="Download"/>
    <hyperlink ref="BU3358" r:id="rId_hyperlink_3102" tooltip="Download" display="Download"/>
    <hyperlink ref="BU3359" r:id="rId_hyperlink_3103" tooltip="Download" display="Download"/>
    <hyperlink ref="BU3360" r:id="rId_hyperlink_3104" tooltip="Download" display="Download"/>
    <hyperlink ref="BU3362" r:id="rId_hyperlink_3105" tooltip="Download" display="Download"/>
    <hyperlink ref="BU3364" r:id="rId_hyperlink_3106" tooltip="Download" display="Download"/>
    <hyperlink ref="BU3365" r:id="rId_hyperlink_3107" tooltip="Download" display="Download"/>
    <hyperlink ref="BU3366" r:id="rId_hyperlink_3108" tooltip="Download" display="Download"/>
    <hyperlink ref="BU3367" r:id="rId_hyperlink_3109" tooltip="Download" display="Download"/>
    <hyperlink ref="BU3368" r:id="rId_hyperlink_3110" tooltip="Download" display="Download"/>
    <hyperlink ref="BU3369" r:id="rId_hyperlink_3111" tooltip="Download" display="Download"/>
    <hyperlink ref="BU3370" r:id="rId_hyperlink_3112" tooltip="Download" display="Download"/>
    <hyperlink ref="BU3371" r:id="rId_hyperlink_3113" tooltip="Download" display="Download"/>
    <hyperlink ref="BU3372" r:id="rId_hyperlink_3114" tooltip="Download" display="Download"/>
    <hyperlink ref="BU3373" r:id="rId_hyperlink_3115" tooltip="Download" display="Download"/>
    <hyperlink ref="BU3374" r:id="rId_hyperlink_3116" tooltip="Download" display="Download"/>
    <hyperlink ref="BU3375" r:id="rId_hyperlink_3117" tooltip="Download" display="Download"/>
    <hyperlink ref="BU3376" r:id="rId_hyperlink_3118" tooltip="Download" display="Download"/>
    <hyperlink ref="BU3377" r:id="rId_hyperlink_3119" tooltip="Download" display="Download"/>
    <hyperlink ref="BU3378" r:id="rId_hyperlink_3120" tooltip="Download" display="Download"/>
    <hyperlink ref="BU3379" r:id="rId_hyperlink_3121" tooltip="Download" display="Download"/>
    <hyperlink ref="BU3380" r:id="rId_hyperlink_3122" tooltip="Download" display="Download"/>
    <hyperlink ref="BU3381" r:id="rId_hyperlink_3123" tooltip="Download" display="Download"/>
    <hyperlink ref="BU3382" r:id="rId_hyperlink_3124" tooltip="Download" display="Download"/>
    <hyperlink ref="BU3383" r:id="rId_hyperlink_3125" tooltip="Download" display="Download"/>
    <hyperlink ref="BU3384" r:id="rId_hyperlink_3126" tooltip="Download" display="Download"/>
    <hyperlink ref="BU3385" r:id="rId_hyperlink_3127" tooltip="Download" display="Download"/>
    <hyperlink ref="BU3386" r:id="rId_hyperlink_3128" tooltip="Download" display="Download"/>
    <hyperlink ref="BU3387" r:id="rId_hyperlink_3129" tooltip="Download" display="Download"/>
    <hyperlink ref="BU3388" r:id="rId_hyperlink_3130" tooltip="Download" display="Download"/>
    <hyperlink ref="BU3389" r:id="rId_hyperlink_3131" tooltip="Download" display="Download"/>
    <hyperlink ref="BU3390" r:id="rId_hyperlink_3132" tooltip="Download" display="Download"/>
    <hyperlink ref="BU3391" r:id="rId_hyperlink_3133" tooltip="Download" display="Download"/>
    <hyperlink ref="BU3392" r:id="rId_hyperlink_3134" tooltip="Download" display="Download"/>
    <hyperlink ref="BU3393" r:id="rId_hyperlink_3135" tooltip="Download" display="Download"/>
    <hyperlink ref="BU3395" r:id="rId_hyperlink_3136" tooltip="Download" display="Download"/>
    <hyperlink ref="BU3396" r:id="rId_hyperlink_3137" tooltip="Download" display="Download"/>
    <hyperlink ref="BU3397" r:id="rId_hyperlink_3138" tooltip="Download" display="Download"/>
    <hyperlink ref="BU3399" r:id="rId_hyperlink_3139" tooltip="Download" display="Download"/>
    <hyperlink ref="BU3400" r:id="rId_hyperlink_3140" tooltip="Download" display="Download"/>
    <hyperlink ref="BU3401" r:id="rId_hyperlink_3141" tooltip="Download" display="Download"/>
    <hyperlink ref="BU3402" r:id="rId_hyperlink_3142" tooltip="Download" display="Download"/>
    <hyperlink ref="BU3403" r:id="rId_hyperlink_3143" tooltip="Download" display="Download"/>
    <hyperlink ref="BU3404" r:id="rId_hyperlink_3144" tooltip="Download" display="Download"/>
    <hyperlink ref="BU3405" r:id="rId_hyperlink_3145" tooltip="Download" display="Download"/>
    <hyperlink ref="BU3406" r:id="rId_hyperlink_3146" tooltip="Download" display="Download"/>
    <hyperlink ref="BU3407" r:id="rId_hyperlink_3147" tooltip="Download" display="Download"/>
    <hyperlink ref="BU3408" r:id="rId_hyperlink_3148" tooltip="Download" display="Download"/>
    <hyperlink ref="BU3409" r:id="rId_hyperlink_3149" tooltip="Download" display="Download"/>
    <hyperlink ref="BU3410" r:id="rId_hyperlink_3150" tooltip="Download" display="Download"/>
    <hyperlink ref="BU3411" r:id="rId_hyperlink_3151" tooltip="Download" display="Download"/>
    <hyperlink ref="BU3412" r:id="rId_hyperlink_3152" tooltip="Download" display="Download"/>
    <hyperlink ref="BU3413" r:id="rId_hyperlink_3153" tooltip="Download" display="Download"/>
    <hyperlink ref="BU3414" r:id="rId_hyperlink_3154" tooltip="Download" display="Download"/>
    <hyperlink ref="BU3415" r:id="rId_hyperlink_3155" tooltip="Download" display="Download"/>
    <hyperlink ref="BU3416" r:id="rId_hyperlink_3156" tooltip="Download" display="Download"/>
    <hyperlink ref="BU3417" r:id="rId_hyperlink_3157" tooltip="Download" display="Download"/>
    <hyperlink ref="BU3418" r:id="rId_hyperlink_3158" tooltip="Download" display="Download"/>
    <hyperlink ref="BU3419" r:id="rId_hyperlink_3159" tooltip="Download" display="Download"/>
    <hyperlink ref="BU3420" r:id="rId_hyperlink_3160" tooltip="Download" display="Download"/>
    <hyperlink ref="BU3421" r:id="rId_hyperlink_3161" tooltip="Download" display="Download"/>
    <hyperlink ref="BU3422" r:id="rId_hyperlink_3162" tooltip="Download" display="Download"/>
    <hyperlink ref="BU3423" r:id="rId_hyperlink_3163" tooltip="Download" display="Download"/>
    <hyperlink ref="BU3424" r:id="rId_hyperlink_3164" tooltip="Download" display="Download"/>
    <hyperlink ref="BU3425" r:id="rId_hyperlink_3165" tooltip="Download" display="Download"/>
    <hyperlink ref="BU3426" r:id="rId_hyperlink_3166" tooltip="Download" display="Download"/>
    <hyperlink ref="BU3427" r:id="rId_hyperlink_3167" tooltip="Download" display="Download"/>
    <hyperlink ref="BU3428" r:id="rId_hyperlink_3168" tooltip="Download" display="Download"/>
    <hyperlink ref="BU3429" r:id="rId_hyperlink_3169" tooltip="Download" display="Download"/>
    <hyperlink ref="BU3430" r:id="rId_hyperlink_3170" tooltip="Download" display="Download"/>
    <hyperlink ref="BU3431" r:id="rId_hyperlink_3171" tooltip="Download" display="Download"/>
    <hyperlink ref="BU3432" r:id="rId_hyperlink_3172" tooltip="Download" display="Download"/>
    <hyperlink ref="BU3433" r:id="rId_hyperlink_3173" tooltip="Download" display="Download"/>
    <hyperlink ref="BU3434" r:id="rId_hyperlink_3174" tooltip="Download" display="Download"/>
    <hyperlink ref="BU3435" r:id="rId_hyperlink_3175" tooltip="Download" display="Download"/>
    <hyperlink ref="BU3436" r:id="rId_hyperlink_3176" tooltip="Download" display="Download"/>
    <hyperlink ref="BU3437" r:id="rId_hyperlink_3177" tooltip="Download" display="Download"/>
    <hyperlink ref="BU3438" r:id="rId_hyperlink_3178" tooltip="Download" display="Download"/>
    <hyperlink ref="BU3439" r:id="rId_hyperlink_3179" tooltip="Download" display="Download"/>
    <hyperlink ref="BU3440" r:id="rId_hyperlink_3180" tooltip="Download" display="Download"/>
    <hyperlink ref="BU3441" r:id="rId_hyperlink_3181" tooltip="Download" display="Download"/>
    <hyperlink ref="BU3442" r:id="rId_hyperlink_3182" tooltip="Download" display="Download"/>
    <hyperlink ref="BU3443" r:id="rId_hyperlink_3183" tooltip="Download" display="Download"/>
    <hyperlink ref="BU3444" r:id="rId_hyperlink_3184" tooltip="Download" display="Download"/>
    <hyperlink ref="BU3445" r:id="rId_hyperlink_3185" tooltip="Download" display="Download"/>
    <hyperlink ref="BU3446" r:id="rId_hyperlink_3186" tooltip="Download" display="Download"/>
    <hyperlink ref="BU3447" r:id="rId_hyperlink_3187" tooltip="Download" display="Download"/>
    <hyperlink ref="BU3448" r:id="rId_hyperlink_3188" tooltip="Download" display="Download"/>
    <hyperlink ref="BU3449" r:id="rId_hyperlink_3189" tooltip="Download" display="Download"/>
    <hyperlink ref="BU3450" r:id="rId_hyperlink_3190" tooltip="Download" display="Download"/>
    <hyperlink ref="BU3451" r:id="rId_hyperlink_3191" tooltip="Download" display="Download"/>
    <hyperlink ref="BU3452" r:id="rId_hyperlink_3192" tooltip="Download" display="Download"/>
    <hyperlink ref="BU3453" r:id="rId_hyperlink_3193" tooltip="Download" display="Download"/>
    <hyperlink ref="BU3454" r:id="rId_hyperlink_3194" tooltip="Download" display="Download"/>
    <hyperlink ref="BU3455" r:id="rId_hyperlink_3195" tooltip="Download" display="Download"/>
    <hyperlink ref="BU3456" r:id="rId_hyperlink_3196" tooltip="Download" display="Download"/>
    <hyperlink ref="BU3457" r:id="rId_hyperlink_3197" tooltip="Download" display="Download"/>
    <hyperlink ref="BU3458" r:id="rId_hyperlink_3198" tooltip="Download" display="Download"/>
    <hyperlink ref="BU3459" r:id="rId_hyperlink_3199" tooltip="Download" display="Download"/>
    <hyperlink ref="BU3460" r:id="rId_hyperlink_3200" tooltip="Download" display="Download"/>
    <hyperlink ref="BU3461" r:id="rId_hyperlink_3201" tooltip="Download" display="Download"/>
    <hyperlink ref="BU3462" r:id="rId_hyperlink_3202" tooltip="Download" display="Download"/>
    <hyperlink ref="BU3463" r:id="rId_hyperlink_3203" tooltip="Download" display="Download"/>
    <hyperlink ref="BU3464" r:id="rId_hyperlink_3204" tooltip="Download" display="Download"/>
    <hyperlink ref="BU3465" r:id="rId_hyperlink_3205" tooltip="Download" display="Download"/>
    <hyperlink ref="BU3466" r:id="rId_hyperlink_3206" tooltip="Download" display="Download"/>
    <hyperlink ref="BU3467" r:id="rId_hyperlink_3207" tooltip="Download" display="Download"/>
    <hyperlink ref="BU3468" r:id="rId_hyperlink_3208" tooltip="Download" display="Download"/>
    <hyperlink ref="BU3469" r:id="rId_hyperlink_3209" tooltip="Download" display="Download"/>
    <hyperlink ref="BU3470" r:id="rId_hyperlink_3210" tooltip="Download" display="Download"/>
    <hyperlink ref="BU3471" r:id="rId_hyperlink_3211" tooltip="Download" display="Download"/>
    <hyperlink ref="BU3472" r:id="rId_hyperlink_3212" tooltip="Download" display="Download"/>
    <hyperlink ref="BU3473" r:id="rId_hyperlink_3213" tooltip="Download" display="Download"/>
    <hyperlink ref="BU3474" r:id="rId_hyperlink_3214" tooltip="Download" display="Download"/>
    <hyperlink ref="BU3475" r:id="rId_hyperlink_3215" tooltip="Download" display="Download"/>
    <hyperlink ref="BU3476" r:id="rId_hyperlink_3216" tooltip="Download" display="Download"/>
    <hyperlink ref="BU3477" r:id="rId_hyperlink_3217" tooltip="Download" display="Download"/>
    <hyperlink ref="BU3478" r:id="rId_hyperlink_3218" tooltip="Download" display="Download"/>
    <hyperlink ref="BU3479" r:id="rId_hyperlink_3219" tooltip="Download" display="Download"/>
    <hyperlink ref="BU3480" r:id="rId_hyperlink_3220" tooltip="Download" display="Download"/>
    <hyperlink ref="BU3481" r:id="rId_hyperlink_3221" tooltip="Download" display="Download"/>
    <hyperlink ref="BU3482" r:id="rId_hyperlink_3222" tooltip="Download" display="Download"/>
    <hyperlink ref="BU3483" r:id="rId_hyperlink_3223" tooltip="Download" display="Download"/>
    <hyperlink ref="BU3484" r:id="rId_hyperlink_3224" tooltip="Download" display="Download"/>
    <hyperlink ref="BU3485" r:id="rId_hyperlink_3225" tooltip="Download" display="Download"/>
    <hyperlink ref="BU3486" r:id="rId_hyperlink_3226" tooltip="Download" display="Download"/>
    <hyperlink ref="BU3487" r:id="rId_hyperlink_3227" tooltip="Download" display="Download"/>
    <hyperlink ref="BU3488" r:id="rId_hyperlink_3228" tooltip="Download" display="Download"/>
    <hyperlink ref="BU3489" r:id="rId_hyperlink_3229" tooltip="Download" display="Download"/>
    <hyperlink ref="BU3490" r:id="rId_hyperlink_3230" tooltip="Download" display="Download"/>
    <hyperlink ref="BU3491" r:id="rId_hyperlink_3231" tooltip="Download" display="Download"/>
    <hyperlink ref="BU3492" r:id="rId_hyperlink_3232" tooltip="Download" display="Download"/>
    <hyperlink ref="BU3493" r:id="rId_hyperlink_3233" tooltip="Download" display="Download"/>
    <hyperlink ref="BU3494" r:id="rId_hyperlink_3234" tooltip="Download" display="Download"/>
    <hyperlink ref="BU3495" r:id="rId_hyperlink_3235" tooltip="Download" display="Download"/>
    <hyperlink ref="BU3496" r:id="rId_hyperlink_3236" tooltip="Download" display="Download"/>
    <hyperlink ref="BU3497" r:id="rId_hyperlink_3237" tooltip="Download" display="Download"/>
    <hyperlink ref="BU3502" r:id="rId_hyperlink_3238" tooltip="Download" display="Download"/>
    <hyperlink ref="BU3503" r:id="rId_hyperlink_3239" tooltip="Download" display="Download"/>
    <hyperlink ref="BU3504" r:id="rId_hyperlink_3240" tooltip="Download" display="Download"/>
    <hyperlink ref="BU3505" r:id="rId_hyperlink_3241" tooltip="Download" display="Download"/>
    <hyperlink ref="BU3506" r:id="rId_hyperlink_3242" tooltip="Download" display="Download"/>
    <hyperlink ref="BU3507" r:id="rId_hyperlink_3243" tooltip="Download" display="Download"/>
    <hyperlink ref="BU3508" r:id="rId_hyperlink_3244" tooltip="Download" display="Download"/>
    <hyperlink ref="BU3509" r:id="rId_hyperlink_3245" tooltip="Download" display="Download"/>
    <hyperlink ref="BU3510" r:id="rId_hyperlink_3246" tooltip="Download" display="Download"/>
    <hyperlink ref="BU3511" r:id="rId_hyperlink_3247" tooltip="Download" display="Download"/>
    <hyperlink ref="BU3512" r:id="rId_hyperlink_3248" tooltip="Download" display="Download"/>
    <hyperlink ref="BU3513" r:id="rId_hyperlink_3249" tooltip="Download" display="Download"/>
    <hyperlink ref="BU3514" r:id="rId_hyperlink_3250" tooltip="Download" display="Download"/>
    <hyperlink ref="BU3515" r:id="rId_hyperlink_3251" tooltip="Download" display="Download"/>
    <hyperlink ref="BU3516" r:id="rId_hyperlink_3252" tooltip="Download" display="Download"/>
    <hyperlink ref="BU3517" r:id="rId_hyperlink_3253" tooltip="Download" display="Download"/>
    <hyperlink ref="BU3518" r:id="rId_hyperlink_3254" tooltip="Download" display="Download"/>
    <hyperlink ref="BU3519" r:id="rId_hyperlink_3255" tooltip="Download" display="Download"/>
    <hyperlink ref="BU3520" r:id="rId_hyperlink_3256" tooltip="Download" display="Download"/>
    <hyperlink ref="BU3521" r:id="rId_hyperlink_3257" tooltip="Download" display="Download"/>
    <hyperlink ref="BU3522" r:id="rId_hyperlink_3258" tooltip="Download" display="Download"/>
    <hyperlink ref="BU3523" r:id="rId_hyperlink_3259" tooltip="Download" display="Download"/>
    <hyperlink ref="BU3524" r:id="rId_hyperlink_3260" tooltip="Download" display="Download"/>
    <hyperlink ref="BU3525" r:id="rId_hyperlink_3261" tooltip="Download" display="Download"/>
    <hyperlink ref="BU3526" r:id="rId_hyperlink_3262" tooltip="Download" display="Download"/>
    <hyperlink ref="BU3527" r:id="rId_hyperlink_3263" tooltip="Download" display="Download"/>
    <hyperlink ref="BU3528" r:id="rId_hyperlink_3264" tooltip="Download" display="Download"/>
    <hyperlink ref="BU3529" r:id="rId_hyperlink_3265" tooltip="Download" display="Download"/>
    <hyperlink ref="BU3530" r:id="rId_hyperlink_3266" tooltip="Download" display="Download"/>
    <hyperlink ref="BU3531" r:id="rId_hyperlink_3267" tooltip="Download" display="Download"/>
    <hyperlink ref="BU3532" r:id="rId_hyperlink_3268" tooltip="Download" display="Download"/>
    <hyperlink ref="BU3533" r:id="rId_hyperlink_3269" tooltip="Download" display="Download"/>
    <hyperlink ref="BU3534" r:id="rId_hyperlink_3270" tooltip="Download" display="Download"/>
    <hyperlink ref="BU3535" r:id="rId_hyperlink_3271" tooltip="Download" display="Download"/>
    <hyperlink ref="BU3536" r:id="rId_hyperlink_3272" tooltip="Download" display="Download"/>
    <hyperlink ref="BU3537" r:id="rId_hyperlink_3273" tooltip="Download" display="Download"/>
    <hyperlink ref="BU3538" r:id="rId_hyperlink_3274" tooltip="Download" display="Download"/>
    <hyperlink ref="BU3539" r:id="rId_hyperlink_3275" tooltip="Download" display="Download"/>
    <hyperlink ref="BU3540" r:id="rId_hyperlink_3276" tooltip="Download" display="Download"/>
    <hyperlink ref="BU3541" r:id="rId_hyperlink_3277" tooltip="Download" display="Download"/>
    <hyperlink ref="BU3542" r:id="rId_hyperlink_3278" tooltip="Download" display="Download"/>
    <hyperlink ref="BU3543" r:id="rId_hyperlink_3279" tooltip="Download" display="Download"/>
    <hyperlink ref="BU3544" r:id="rId_hyperlink_3280" tooltip="Download" display="Download"/>
    <hyperlink ref="BU3546" r:id="rId_hyperlink_3281" tooltip="Download" display="Download"/>
    <hyperlink ref="BU3547" r:id="rId_hyperlink_3282" tooltip="Download" display="Download"/>
    <hyperlink ref="BU3548" r:id="rId_hyperlink_3283" tooltip="Download" display="Download"/>
    <hyperlink ref="BU3549" r:id="rId_hyperlink_3284" tooltip="Download" display="Download"/>
    <hyperlink ref="BU3550" r:id="rId_hyperlink_3285" tooltip="Download" display="Download"/>
    <hyperlink ref="BU3551" r:id="rId_hyperlink_3286" tooltip="Download" display="Download"/>
    <hyperlink ref="BU3552" r:id="rId_hyperlink_3287" tooltip="Download" display="Download"/>
    <hyperlink ref="BU3553" r:id="rId_hyperlink_3288" tooltip="Download" display="Download"/>
    <hyperlink ref="BU3554" r:id="rId_hyperlink_3289" tooltip="Download" display="Download"/>
    <hyperlink ref="BU3555" r:id="rId_hyperlink_3290" tooltip="Download" display="Download"/>
    <hyperlink ref="BU3557" r:id="rId_hyperlink_3291" tooltip="Download" display="Download"/>
    <hyperlink ref="BU3558" r:id="rId_hyperlink_3292" tooltip="Download" display="Download"/>
    <hyperlink ref="BU3559" r:id="rId_hyperlink_3293" tooltip="Download" display="Download"/>
    <hyperlink ref="BU3560" r:id="rId_hyperlink_3294" tooltip="Download" display="Download"/>
    <hyperlink ref="BU3562" r:id="rId_hyperlink_3295" tooltip="Download" display="Download"/>
    <hyperlink ref="BU3563" r:id="rId_hyperlink_3296" tooltip="Download" display="Download"/>
    <hyperlink ref="BU3564" r:id="rId_hyperlink_3297" tooltip="Download" display="Download"/>
    <hyperlink ref="BU3565" r:id="rId_hyperlink_3298" tooltip="Download" display="Download"/>
    <hyperlink ref="BU3566" r:id="rId_hyperlink_3299" tooltip="Download" display="Download"/>
    <hyperlink ref="BU3567" r:id="rId_hyperlink_3300" tooltip="Download" display="Download"/>
    <hyperlink ref="BU3568" r:id="rId_hyperlink_3301" tooltip="Download" display="Download"/>
    <hyperlink ref="BU3569" r:id="rId_hyperlink_3302" tooltip="Download" display="Download"/>
    <hyperlink ref="BU3570" r:id="rId_hyperlink_3303" tooltip="Download" display="Download"/>
    <hyperlink ref="BU3571" r:id="rId_hyperlink_3304" tooltip="Download" display="Download"/>
    <hyperlink ref="BU3572" r:id="rId_hyperlink_3305" tooltip="Download" display="Download"/>
    <hyperlink ref="BU3573" r:id="rId_hyperlink_3306" tooltip="Download" display="Download"/>
    <hyperlink ref="BU3574" r:id="rId_hyperlink_3307" tooltip="Download" display="Download"/>
    <hyperlink ref="BU3575" r:id="rId_hyperlink_3308" tooltip="Download" display="Download"/>
    <hyperlink ref="BU3576" r:id="rId_hyperlink_3309" tooltip="Download" display="Download"/>
    <hyperlink ref="BU3577" r:id="rId_hyperlink_3310" tooltip="Download" display="Download"/>
    <hyperlink ref="BU3579" r:id="rId_hyperlink_3311" tooltip="Download" display="Download"/>
    <hyperlink ref="BU3580" r:id="rId_hyperlink_3312" tooltip="Download" display="Download"/>
    <hyperlink ref="BU3581" r:id="rId_hyperlink_3313" tooltip="Download" display="Download"/>
    <hyperlink ref="BU3582" r:id="rId_hyperlink_3314" tooltip="Download" display="Download"/>
    <hyperlink ref="BU3583" r:id="rId_hyperlink_3315" tooltip="Download" display="Download"/>
    <hyperlink ref="BU3584" r:id="rId_hyperlink_3316" tooltip="Download" display="Download"/>
    <hyperlink ref="BU3585" r:id="rId_hyperlink_3317" tooltip="Download" display="Download"/>
    <hyperlink ref="BU3586" r:id="rId_hyperlink_3318" tooltip="Download" display="Download"/>
    <hyperlink ref="BU3587" r:id="rId_hyperlink_3319" tooltip="Download" display="Download"/>
    <hyperlink ref="BU3588" r:id="rId_hyperlink_3320" tooltip="Download" display="Download"/>
    <hyperlink ref="BU3589" r:id="rId_hyperlink_3321" tooltip="Download" display="Download"/>
    <hyperlink ref="BU3590" r:id="rId_hyperlink_3322" tooltip="Download" display="Download"/>
    <hyperlink ref="BU3591" r:id="rId_hyperlink_3323" tooltip="Download" display="Download"/>
    <hyperlink ref="BU3593" r:id="rId_hyperlink_3324" tooltip="Download" display="Download"/>
    <hyperlink ref="BU3594" r:id="rId_hyperlink_3325" tooltip="Download" display="Download"/>
    <hyperlink ref="BU3595" r:id="rId_hyperlink_3326" tooltip="Download" display="Download"/>
    <hyperlink ref="BU3597" r:id="rId_hyperlink_3327" tooltip="Download" display="Download"/>
    <hyperlink ref="BU3598" r:id="rId_hyperlink_3328" tooltip="Download" display="Download"/>
    <hyperlink ref="BU3599" r:id="rId_hyperlink_3329" tooltip="Download" display="Download"/>
    <hyperlink ref="BU3600" r:id="rId_hyperlink_3330" tooltip="Download" display="Download"/>
    <hyperlink ref="BU3601" r:id="rId_hyperlink_3331" tooltip="Download" display="Download"/>
    <hyperlink ref="BU3602" r:id="rId_hyperlink_3332" tooltip="Download" display="Download"/>
    <hyperlink ref="BU3603" r:id="rId_hyperlink_3333" tooltip="Download" display="Download"/>
    <hyperlink ref="BU3604" r:id="rId_hyperlink_3334" tooltip="Download" display="Download"/>
    <hyperlink ref="BU3605" r:id="rId_hyperlink_3335" tooltip="Download" display="Download"/>
    <hyperlink ref="BU3606" r:id="rId_hyperlink_3336" tooltip="Download" display="Download"/>
    <hyperlink ref="BU3607" r:id="rId_hyperlink_3337" tooltip="Download" display="Download"/>
    <hyperlink ref="BU3608" r:id="rId_hyperlink_3338" tooltip="Download" display="Download"/>
    <hyperlink ref="BU3609" r:id="rId_hyperlink_3339" tooltip="Download" display="Download"/>
    <hyperlink ref="BU3611" r:id="rId_hyperlink_3340" tooltip="Download" display="Download"/>
    <hyperlink ref="BU3612" r:id="rId_hyperlink_3341" tooltip="Download" display="Download"/>
    <hyperlink ref="BU3614" r:id="rId_hyperlink_3342" tooltip="Download" display="Download"/>
    <hyperlink ref="BU3615" r:id="rId_hyperlink_3343" tooltip="Download" display="Download"/>
    <hyperlink ref="BU3616" r:id="rId_hyperlink_3344" tooltip="Download" display="Download"/>
    <hyperlink ref="BU3617" r:id="rId_hyperlink_3345" tooltip="Download" display="Download"/>
    <hyperlink ref="BU3618" r:id="rId_hyperlink_3346" tooltip="Download" display="Download"/>
    <hyperlink ref="BU3619" r:id="rId_hyperlink_3347" tooltip="Download" display="Download"/>
    <hyperlink ref="BU3620" r:id="rId_hyperlink_3348" tooltip="Download" display="Download"/>
    <hyperlink ref="BU3621" r:id="rId_hyperlink_3349" tooltip="Download" display="Download"/>
    <hyperlink ref="BU3622" r:id="rId_hyperlink_3350" tooltip="Download" display="Download"/>
    <hyperlink ref="BU3623" r:id="rId_hyperlink_3351" tooltip="Download" display="Download"/>
    <hyperlink ref="BU3624" r:id="rId_hyperlink_3352" tooltip="Download" display="Download"/>
    <hyperlink ref="BU3625" r:id="rId_hyperlink_3353" tooltip="Download" display="Download"/>
    <hyperlink ref="BU3626" r:id="rId_hyperlink_3354" tooltip="Download" display="Download"/>
    <hyperlink ref="BU3627" r:id="rId_hyperlink_3355" tooltip="Download" display="Download"/>
    <hyperlink ref="BU3628" r:id="rId_hyperlink_3356" tooltip="Download" display="Download"/>
    <hyperlink ref="BU3629" r:id="rId_hyperlink_3357" tooltip="Download" display="Download"/>
    <hyperlink ref="BU3630" r:id="rId_hyperlink_3358" tooltip="Download" display="Download"/>
    <hyperlink ref="BU3631" r:id="rId_hyperlink_3359" tooltip="Download" display="Download"/>
    <hyperlink ref="BU3632" r:id="rId_hyperlink_3360" tooltip="Download" display="Download"/>
    <hyperlink ref="BU3633" r:id="rId_hyperlink_3361" tooltip="Download" display="Download"/>
    <hyperlink ref="BU3634" r:id="rId_hyperlink_3362" tooltip="Download" display="Download"/>
    <hyperlink ref="BU3635" r:id="rId_hyperlink_3363" tooltip="Download" display="Download"/>
    <hyperlink ref="BU3636" r:id="rId_hyperlink_3364" tooltip="Download" display="Download"/>
    <hyperlink ref="BU3637" r:id="rId_hyperlink_3365" tooltip="Download" display="Download"/>
    <hyperlink ref="BU3640" r:id="rId_hyperlink_3366" tooltip="Download" display="Download"/>
    <hyperlink ref="BU3641" r:id="rId_hyperlink_3367" tooltip="Download" display="Download"/>
    <hyperlink ref="BU3642" r:id="rId_hyperlink_3368" tooltip="Download" display="Download"/>
    <hyperlink ref="BU3643" r:id="rId_hyperlink_3369" tooltip="Download" display="Download"/>
    <hyperlink ref="BU3644" r:id="rId_hyperlink_3370" tooltip="Download" display="Download"/>
    <hyperlink ref="BU3645" r:id="rId_hyperlink_3371" tooltip="Download" display="Download"/>
    <hyperlink ref="BU3646" r:id="rId_hyperlink_3372" tooltip="Download" display="Download"/>
    <hyperlink ref="BU3647" r:id="rId_hyperlink_3373" tooltip="Download" display="Download"/>
    <hyperlink ref="BU3648" r:id="rId_hyperlink_3374" tooltip="Download" display="Download"/>
    <hyperlink ref="BU3649" r:id="rId_hyperlink_3375" tooltip="Download" display="Download"/>
    <hyperlink ref="BU3650" r:id="rId_hyperlink_3376" tooltip="Download" display="Download"/>
    <hyperlink ref="BU3651" r:id="rId_hyperlink_3377" tooltip="Download" display="Download"/>
    <hyperlink ref="BU3652" r:id="rId_hyperlink_3378" tooltip="Download" display="Download"/>
    <hyperlink ref="BU3653" r:id="rId_hyperlink_3379" tooltip="Download" display="Download"/>
    <hyperlink ref="BU3654" r:id="rId_hyperlink_3380" tooltip="Download" display="Download"/>
    <hyperlink ref="BU3655" r:id="rId_hyperlink_3381" tooltip="Download" display="Download"/>
    <hyperlink ref="BU3656" r:id="rId_hyperlink_3382" tooltip="Download" display="Download"/>
    <hyperlink ref="BU3657" r:id="rId_hyperlink_3383" tooltip="Download" display="Download"/>
    <hyperlink ref="BU3659" r:id="rId_hyperlink_3384" tooltip="Download" display="Download"/>
    <hyperlink ref="BU3660" r:id="rId_hyperlink_3385" tooltip="Download" display="Download"/>
    <hyperlink ref="BU3661" r:id="rId_hyperlink_3386" tooltip="Download" display="Download"/>
    <hyperlink ref="BU3662" r:id="rId_hyperlink_3387" tooltip="Download" display="Download"/>
    <hyperlink ref="BU3663" r:id="rId_hyperlink_3388" tooltip="Download" display="Download"/>
    <hyperlink ref="BU3664" r:id="rId_hyperlink_3389" tooltip="Download" display="Download"/>
    <hyperlink ref="BU3665" r:id="rId_hyperlink_3390" tooltip="Download" display="Download"/>
    <hyperlink ref="BU3666" r:id="rId_hyperlink_3391" tooltip="Download" display="Download"/>
    <hyperlink ref="BU3667" r:id="rId_hyperlink_3392" tooltip="Download" display="Download"/>
    <hyperlink ref="BU3668" r:id="rId_hyperlink_3393" tooltip="Download" display="Download"/>
    <hyperlink ref="BU3669" r:id="rId_hyperlink_3394" tooltip="Download" display="Download"/>
    <hyperlink ref="BU3670" r:id="rId_hyperlink_3395" tooltip="Download" display="Download"/>
    <hyperlink ref="BU3671" r:id="rId_hyperlink_3396" tooltip="Download" display="Download"/>
    <hyperlink ref="BU3672" r:id="rId_hyperlink_3397" tooltip="Download" display="Download"/>
    <hyperlink ref="BU3673" r:id="rId_hyperlink_3398" tooltip="Download" display="Download"/>
    <hyperlink ref="BU3674" r:id="rId_hyperlink_3399" tooltip="Download" display="Download"/>
    <hyperlink ref="BU3675" r:id="rId_hyperlink_3400" tooltip="Download" display="Download"/>
    <hyperlink ref="BU3676" r:id="rId_hyperlink_3401" tooltip="Download" display="Download"/>
    <hyperlink ref="BU3677" r:id="rId_hyperlink_3402" tooltip="Download" display="Download"/>
    <hyperlink ref="BU3678" r:id="rId_hyperlink_3403" tooltip="Download" display="Download"/>
    <hyperlink ref="BU3679" r:id="rId_hyperlink_3404" tooltip="Download" display="Download"/>
    <hyperlink ref="BU3680" r:id="rId_hyperlink_3405" tooltip="Download" display="Download"/>
    <hyperlink ref="BU3681" r:id="rId_hyperlink_3406" tooltip="Download" display="Download"/>
    <hyperlink ref="BU3682" r:id="rId_hyperlink_3407" tooltip="Download" display="Download"/>
    <hyperlink ref="BU3683" r:id="rId_hyperlink_3408" tooltip="Download" display="Download"/>
    <hyperlink ref="BU3684" r:id="rId_hyperlink_3409" tooltip="Download" display="Download"/>
    <hyperlink ref="BU3685" r:id="rId_hyperlink_3410" tooltip="Download" display="Download"/>
    <hyperlink ref="BU3686" r:id="rId_hyperlink_3411" tooltip="Download" display="Download"/>
    <hyperlink ref="BU3687" r:id="rId_hyperlink_3412" tooltip="Download" display="Download"/>
    <hyperlink ref="BU3688" r:id="rId_hyperlink_3413" tooltip="Download" display="Download"/>
    <hyperlink ref="BU3689" r:id="rId_hyperlink_3414" tooltip="Download" display="Download"/>
    <hyperlink ref="BU3690" r:id="rId_hyperlink_3415" tooltip="Download" display="Download"/>
    <hyperlink ref="BU3691" r:id="rId_hyperlink_3416" tooltip="Download" display="Download"/>
    <hyperlink ref="BU3692" r:id="rId_hyperlink_3417" tooltip="Download" display="Download"/>
    <hyperlink ref="BU3693" r:id="rId_hyperlink_3418" tooltip="Download" display="Download"/>
    <hyperlink ref="BU3694" r:id="rId_hyperlink_3419" tooltip="Download" display="Download"/>
    <hyperlink ref="BU3695" r:id="rId_hyperlink_3420" tooltip="Download" display="Download"/>
    <hyperlink ref="BU3696" r:id="rId_hyperlink_3421" tooltip="Download" display="Download"/>
    <hyperlink ref="BU3697" r:id="rId_hyperlink_3422" tooltip="Download" display="Download"/>
    <hyperlink ref="BU3698" r:id="rId_hyperlink_3423" tooltip="Download" display="Download"/>
    <hyperlink ref="BU3699" r:id="rId_hyperlink_3424" tooltip="Download" display="Download"/>
    <hyperlink ref="BU3700" r:id="rId_hyperlink_3425" tooltip="Download" display="Download"/>
    <hyperlink ref="BU3701" r:id="rId_hyperlink_3426" tooltip="Download" display="Download"/>
    <hyperlink ref="BU3702" r:id="rId_hyperlink_3427" tooltip="Download" display="Download"/>
    <hyperlink ref="BU3703" r:id="rId_hyperlink_3428" tooltip="Download" display="Download"/>
    <hyperlink ref="BU3704" r:id="rId_hyperlink_3429" tooltip="Download" display="Download"/>
    <hyperlink ref="BU3705" r:id="rId_hyperlink_3430" tooltip="Download" display="Download"/>
    <hyperlink ref="BU3706" r:id="rId_hyperlink_3431" tooltip="Download" display="Download"/>
    <hyperlink ref="BU3707" r:id="rId_hyperlink_3432" tooltip="Download" display="Download"/>
    <hyperlink ref="BU3708" r:id="rId_hyperlink_3433" tooltip="Download" display="Download"/>
    <hyperlink ref="BU3709" r:id="rId_hyperlink_3434" tooltip="Download" display="Download"/>
    <hyperlink ref="BU3710" r:id="rId_hyperlink_3435" tooltip="Download" display="Download"/>
    <hyperlink ref="BU3711" r:id="rId_hyperlink_3436" tooltip="Download" display="Download"/>
    <hyperlink ref="BU3712" r:id="rId_hyperlink_3437" tooltip="Download" display="Download"/>
    <hyperlink ref="BU3713" r:id="rId_hyperlink_3438" tooltip="Download" display="Download"/>
    <hyperlink ref="BU3714" r:id="rId_hyperlink_3439" tooltip="Download" display="Download"/>
    <hyperlink ref="BU3716" r:id="rId_hyperlink_3440" tooltip="Download" display="Download"/>
    <hyperlink ref="BU3718" r:id="rId_hyperlink_3441" tooltip="Download" display="Download"/>
    <hyperlink ref="BU3719" r:id="rId_hyperlink_3442" tooltip="Download" display="Download"/>
    <hyperlink ref="BU3721" r:id="rId_hyperlink_3443" tooltip="Download" display="Download"/>
    <hyperlink ref="BU3722" r:id="rId_hyperlink_3444" tooltip="Download" display="Download"/>
    <hyperlink ref="BU3724" r:id="rId_hyperlink_3445" tooltip="Download" display="Download"/>
    <hyperlink ref="BU3726" r:id="rId_hyperlink_3446" tooltip="Download" display="Download"/>
    <hyperlink ref="BU3727" r:id="rId_hyperlink_3447" tooltip="Download" display="Download"/>
    <hyperlink ref="BU3728" r:id="rId_hyperlink_3448" tooltip="Download" display="Download"/>
    <hyperlink ref="BU3729" r:id="rId_hyperlink_3449" tooltip="Download" display="Download"/>
    <hyperlink ref="BU3730" r:id="rId_hyperlink_3450" tooltip="Download" display="Download"/>
    <hyperlink ref="BU3731" r:id="rId_hyperlink_3451" tooltip="Download" display="Download"/>
    <hyperlink ref="BU3732" r:id="rId_hyperlink_3452" tooltip="Download" display="Download"/>
    <hyperlink ref="BU3733" r:id="rId_hyperlink_3453" tooltip="Download" display="Download"/>
    <hyperlink ref="BU3734" r:id="rId_hyperlink_3454" tooltip="Download" display="Download"/>
    <hyperlink ref="BU3735" r:id="rId_hyperlink_3455" tooltip="Download" display="Download"/>
    <hyperlink ref="BU3736" r:id="rId_hyperlink_3456" tooltip="Download" display="Download"/>
    <hyperlink ref="BU3737" r:id="rId_hyperlink_3457" tooltip="Download" display="Download"/>
    <hyperlink ref="BU3738" r:id="rId_hyperlink_3458" tooltip="Download" display="Download"/>
    <hyperlink ref="BU3740" r:id="rId_hyperlink_3459" tooltip="Download" display="Download"/>
    <hyperlink ref="BU3741" r:id="rId_hyperlink_3460" tooltip="Download" display="Download"/>
    <hyperlink ref="BU3742" r:id="rId_hyperlink_3461" tooltip="Download" display="Download"/>
    <hyperlink ref="BU3743" r:id="rId_hyperlink_3462" tooltip="Download" display="Download"/>
    <hyperlink ref="BU3744" r:id="rId_hyperlink_3463" tooltip="Download" display="Download"/>
    <hyperlink ref="BU3745" r:id="rId_hyperlink_3464" tooltip="Download" display="Download"/>
    <hyperlink ref="BU3746" r:id="rId_hyperlink_3465" tooltip="Download" display="Download"/>
    <hyperlink ref="BU3748" r:id="rId_hyperlink_3466" tooltip="Download" display="Download"/>
    <hyperlink ref="BU3750" r:id="rId_hyperlink_3467" tooltip="Download" display="Download"/>
    <hyperlink ref="BU3751" r:id="rId_hyperlink_3468" tooltip="Download" display="Download"/>
    <hyperlink ref="BU3752" r:id="rId_hyperlink_3469" tooltip="Download" display="Download"/>
    <hyperlink ref="BU3753" r:id="rId_hyperlink_3470" tooltip="Download" display="Download"/>
    <hyperlink ref="BU3754" r:id="rId_hyperlink_3471" tooltip="Download" display="Download"/>
    <hyperlink ref="BU3755" r:id="rId_hyperlink_3472" tooltip="Download" display="Download"/>
    <hyperlink ref="BU3757" r:id="rId_hyperlink_3473" tooltip="Download" display="Download"/>
    <hyperlink ref="BU3758" r:id="rId_hyperlink_3474" tooltip="Download" display="Download"/>
    <hyperlink ref="BU3759" r:id="rId_hyperlink_3475" tooltip="Download" display="Download"/>
    <hyperlink ref="BU3760" r:id="rId_hyperlink_3476" tooltip="Download" display="Download"/>
    <hyperlink ref="BU3761" r:id="rId_hyperlink_3477" tooltip="Download" display="Download"/>
    <hyperlink ref="BU3762" r:id="rId_hyperlink_3478" tooltip="Download" display="Download"/>
    <hyperlink ref="BU3764" r:id="rId_hyperlink_3479" tooltip="Download" display="Download"/>
    <hyperlink ref="BU3765" r:id="rId_hyperlink_3480" tooltip="Download" display="Download"/>
    <hyperlink ref="BU3766" r:id="rId_hyperlink_3481" tooltip="Download" display="Download"/>
    <hyperlink ref="BU3767" r:id="rId_hyperlink_3482" tooltip="Download" display="Download"/>
    <hyperlink ref="BU3768" r:id="rId_hyperlink_3483" tooltip="Download" display="Download"/>
    <hyperlink ref="BU3769" r:id="rId_hyperlink_3484" tooltip="Download" display="Download"/>
    <hyperlink ref="BU3770" r:id="rId_hyperlink_3485" tooltip="Download" display="Download"/>
    <hyperlink ref="BU3771" r:id="rId_hyperlink_3486" tooltip="Download" display="Download"/>
    <hyperlink ref="BU3772" r:id="rId_hyperlink_3487" tooltip="Download" display="Download"/>
    <hyperlink ref="BU3773" r:id="rId_hyperlink_3488" tooltip="Download" display="Download"/>
    <hyperlink ref="BU3774" r:id="rId_hyperlink_3489" tooltip="Download" display="Download"/>
    <hyperlink ref="BU3775" r:id="rId_hyperlink_3490" tooltip="Download" display="Download"/>
    <hyperlink ref="BU3776" r:id="rId_hyperlink_3491" tooltip="Download" display="Download"/>
    <hyperlink ref="BU3777" r:id="rId_hyperlink_3492" tooltip="Download" display="Download"/>
    <hyperlink ref="BU3779" r:id="rId_hyperlink_3493" tooltip="Download" display="Download"/>
    <hyperlink ref="BU3780" r:id="rId_hyperlink_3494" tooltip="Download" display="Download"/>
    <hyperlink ref="BU3781" r:id="rId_hyperlink_3495" tooltip="Download" display="Download"/>
    <hyperlink ref="BU3782" r:id="rId_hyperlink_3496" tooltip="Download" display="Download"/>
    <hyperlink ref="BU3783" r:id="rId_hyperlink_3497" tooltip="Download" display="Download"/>
    <hyperlink ref="BU3784" r:id="rId_hyperlink_3498" tooltip="Download" display="Download"/>
    <hyperlink ref="BU3785" r:id="rId_hyperlink_3499" tooltip="Download" display="Download"/>
    <hyperlink ref="BU3787" r:id="rId_hyperlink_3500" tooltip="Download" display="Download"/>
    <hyperlink ref="BU3788" r:id="rId_hyperlink_3501" tooltip="Download" display="Download"/>
    <hyperlink ref="BU3789" r:id="rId_hyperlink_3502" tooltip="Download" display="Download"/>
    <hyperlink ref="BU3790" r:id="rId_hyperlink_3503" tooltip="Download" display="Download"/>
    <hyperlink ref="BU3791" r:id="rId_hyperlink_3504" tooltip="Download" display="Download"/>
    <hyperlink ref="BU3792" r:id="rId_hyperlink_3505" tooltip="Download" display="Download"/>
    <hyperlink ref="BU3793" r:id="rId_hyperlink_3506" tooltip="Download" display="Download"/>
    <hyperlink ref="BU3794" r:id="rId_hyperlink_3507" tooltip="Download" display="Download"/>
    <hyperlink ref="BU3795" r:id="rId_hyperlink_3508" tooltip="Download" display="Download"/>
    <hyperlink ref="BU3796" r:id="rId_hyperlink_3509" tooltip="Download" display="Download"/>
    <hyperlink ref="BU3797" r:id="rId_hyperlink_3510" tooltip="Download" display="Download"/>
    <hyperlink ref="BU3798" r:id="rId_hyperlink_3511" tooltip="Download" display="Download"/>
    <hyperlink ref="BU3799" r:id="rId_hyperlink_3512" tooltip="Download" display="Download"/>
    <hyperlink ref="BU3800" r:id="rId_hyperlink_3513" tooltip="Download" display="Download"/>
    <hyperlink ref="BU3801" r:id="rId_hyperlink_3514" tooltip="Download" display="Download"/>
    <hyperlink ref="BU3802" r:id="rId_hyperlink_3515" tooltip="Download" display="Download"/>
    <hyperlink ref="BU3804" r:id="rId_hyperlink_3516" tooltip="Download" display="Download"/>
    <hyperlink ref="BU3805" r:id="rId_hyperlink_3517" tooltip="Download" display="Download"/>
    <hyperlink ref="BU3806" r:id="rId_hyperlink_3518" tooltip="Download" display="Download"/>
    <hyperlink ref="BU3809" r:id="rId_hyperlink_3519" tooltip="Download" display="Download"/>
    <hyperlink ref="BU3810" r:id="rId_hyperlink_3520" tooltip="Download" display="Download"/>
    <hyperlink ref="BU3812" r:id="rId_hyperlink_3521" tooltip="Download" display="Download"/>
    <hyperlink ref="BU3813" r:id="rId_hyperlink_3522" tooltip="Download" display="Download"/>
    <hyperlink ref="BU3815" r:id="rId_hyperlink_3523" tooltip="Download" display="Download"/>
    <hyperlink ref="BU3816" r:id="rId_hyperlink_3524" tooltip="Download" display="Download"/>
    <hyperlink ref="BU3817" r:id="rId_hyperlink_3525" tooltip="Download" display="Download"/>
    <hyperlink ref="BU3818" r:id="rId_hyperlink_3526" tooltip="Download" display="Download"/>
    <hyperlink ref="BU3820" r:id="rId_hyperlink_3527" tooltip="Download" display="Download"/>
    <hyperlink ref="BU3822" r:id="rId_hyperlink_3528" tooltip="Download" display="Download"/>
    <hyperlink ref="BU3823" r:id="rId_hyperlink_3529" tooltip="Download" display="Download"/>
    <hyperlink ref="BU3824" r:id="rId_hyperlink_3530" tooltip="Download" display="Download"/>
    <hyperlink ref="BU3826" r:id="rId_hyperlink_3531" tooltip="Download" display="Download"/>
    <hyperlink ref="BU3827" r:id="rId_hyperlink_3532" tooltip="Download" display="Download"/>
    <hyperlink ref="BU3829" r:id="rId_hyperlink_3533" tooltip="Download" display="Download"/>
    <hyperlink ref="BU3830" r:id="rId_hyperlink_3534" tooltip="Download" display="Download"/>
    <hyperlink ref="BU3833" r:id="rId_hyperlink_3535" tooltip="Download" display="Download"/>
    <hyperlink ref="BU3834" r:id="rId_hyperlink_3536" tooltip="Download" display="Download"/>
    <hyperlink ref="BU3835" r:id="rId_hyperlink_3537" tooltip="Download" display="Download"/>
    <hyperlink ref="BU3836" r:id="rId_hyperlink_3538" tooltip="Download" display="Download"/>
    <hyperlink ref="BU3837" r:id="rId_hyperlink_3539" tooltip="Download" display="Download"/>
    <hyperlink ref="BU3839" r:id="rId_hyperlink_3540" tooltip="Download" display="Download"/>
    <hyperlink ref="BU3840" r:id="rId_hyperlink_3541" tooltip="Download" display="Download"/>
    <hyperlink ref="BU3841" r:id="rId_hyperlink_3542" tooltip="Download" display="Download"/>
    <hyperlink ref="BU3842" r:id="rId_hyperlink_3543" tooltip="Download" display="Download"/>
    <hyperlink ref="BU3843" r:id="rId_hyperlink_3544" tooltip="Download" display="Download"/>
    <hyperlink ref="BU3844" r:id="rId_hyperlink_3545" tooltip="Download" display="Download"/>
    <hyperlink ref="BU3845" r:id="rId_hyperlink_3546" tooltip="Download" display="Download"/>
    <hyperlink ref="BU3846" r:id="rId_hyperlink_3547" tooltip="Download" display="Download"/>
    <hyperlink ref="BU3847" r:id="rId_hyperlink_3548" tooltip="Download" display="Download"/>
    <hyperlink ref="BU3848" r:id="rId_hyperlink_3549" tooltip="Download" display="Download"/>
    <hyperlink ref="BU3849" r:id="rId_hyperlink_3550" tooltip="Download" display="Download"/>
    <hyperlink ref="BU3850" r:id="rId_hyperlink_3551" tooltip="Download" display="Download"/>
    <hyperlink ref="BU3851" r:id="rId_hyperlink_3552" tooltip="Download" display="Download"/>
    <hyperlink ref="BU3852" r:id="rId_hyperlink_3553" tooltip="Download" display="Download"/>
    <hyperlink ref="BU3853" r:id="rId_hyperlink_3554" tooltip="Download" display="Download"/>
    <hyperlink ref="BU3855" r:id="rId_hyperlink_3555" tooltip="Download" display="Download"/>
    <hyperlink ref="BU3857" r:id="rId_hyperlink_3556" tooltip="Download" display="Download"/>
    <hyperlink ref="BU3858" r:id="rId_hyperlink_3557" tooltip="Download" display="Download"/>
    <hyperlink ref="BU3859" r:id="rId_hyperlink_3558" tooltip="Download" display="Download"/>
    <hyperlink ref="BU3860" r:id="rId_hyperlink_3559" tooltip="Download" display="Download"/>
    <hyperlink ref="BU3861" r:id="rId_hyperlink_3560" tooltip="Download" display="Download"/>
    <hyperlink ref="BU3862" r:id="rId_hyperlink_3561" tooltip="Download" display="Download"/>
    <hyperlink ref="BU3863" r:id="rId_hyperlink_3562" tooltip="Download" display="Download"/>
    <hyperlink ref="BU3864" r:id="rId_hyperlink_3563"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2026-08-27T14:59:00+05:30</dcterms:created>
  <dcterms:modified xsi:type="dcterms:W3CDTF">2026-08-27T14:59:00+05:30</dcterms:modified>
  <dc:title>Untitled Spreadsheet</dc:title>
  <dc:description/>
  <dc:subject/>
  <cp:keywords/>
  <cp:category/>
</cp:coreProperties>
</file>